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1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7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romatelecom-my.sharepoint.com/personal/juan_rodenas_romatelecom_onmicrosoft_com/Documents/EMPRESA/ROMA GLOBAL TELECOM/DOCUMENTACION/COMPARTIDO GESTORIA/CONTABLE-FISCAL/FACTURAS RECIBIDAS/FACTURAS RECIBIDAS 2025/Desafio/tracker-operativo/"/>
    </mc:Choice>
  </mc:AlternateContent>
  <xr:revisionPtr revIDLastSave="2575" documentId="8_{C05E57B6-D3BE-EC43-9C89-F8665BB0025B}" xr6:coauthVersionLast="47" xr6:coauthVersionMax="47" xr10:uidLastSave="{F0EAE831-752D-364E-9F80-61A436318610}"/>
  <bookViews>
    <workbookView xWindow="0" yWindow="760" windowWidth="26820" windowHeight="18040" firstSheet="6" activeTab="12" xr2:uid="{00000000-000D-0000-FFFF-FFFF00000000}"/>
  </bookViews>
  <sheets>
    <sheet name="Panel Entrada" sheetId="1" r:id="rId1"/>
    <sheet name="Dashboard Gerencia" sheetId="2" r:id="rId2"/>
    <sheet name="Arqueo e incentivos" sheetId="3" r:id="rId3"/>
    <sheet name="Caja 1" sheetId="4" r:id="rId4"/>
    <sheet name="Caja 2" sheetId="5" r:id="rId5"/>
    <sheet name="Horarios Personal" sheetId="6" r:id="rId6"/>
    <sheet name="Resumen Empleado" sheetId="7" r:id="rId7"/>
    <sheet name="P&amp;L EBITDA" sheetId="8" r:id="rId8"/>
    <sheet name="Facturación 2025" sheetId="9" r:id="rId9"/>
    <sheet name="Detalle Turnos" sheetId="10" r:id="rId10"/>
    <sheet name="Facturación 2026" sheetId="11" r:id="rId11"/>
    <sheet name="Ventas Caja 2" sheetId="12" r:id="rId12"/>
    <sheet name="Ventas Caja 1" sheetId="13" r:id="rId13"/>
    <sheet name="Eventos y Previsión" sheetId="14" r:id="rId14"/>
    <sheet name="BD_Datos" sheetId="15" state="hidden" r:id="rId15"/>
    <sheet name="Product Mix" sheetId="16" r:id="rId16"/>
    <sheet name="Hoja1" sheetId="17" r:id="rId17"/>
    <sheet name="Prev. Producción" sheetId="18" r:id="rId18"/>
    <sheet name="Análisis Omnes" sheetId="19" r:id="rId19"/>
    <sheet name="Menu Engineering" sheetId="20" r:id="rId20"/>
    <sheet name="Revisión Match" sheetId="21" r:id="rId21"/>
    <sheet name="Historial Menús" sheetId="22" r:id="rId22"/>
    <sheet name="Anàlisi Menús" sheetId="23" r:id="rId23"/>
    <sheet name="Product Mix Unificado" sheetId="24" r:id="rId24"/>
    <sheet name="Menús Grupo" sheetId="25" r:id="rId25"/>
  </sheets>
  <externalReferences>
    <externalReference r:id="rId26"/>
  </externalReferences>
  <definedNames>
    <definedName name="Tabla11">Tabla_Pivot_Facturacion[]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44" i="13" l="1"/>
  <c r="H5445" i="13"/>
  <c r="H5446" i="13"/>
  <c r="H5447" i="13"/>
  <c r="H5448" i="13"/>
  <c r="H5449" i="13"/>
  <c r="H5450" i="13"/>
  <c r="H5451" i="13"/>
  <c r="H5452" i="13"/>
  <c r="H5453" i="13"/>
  <c r="H5454" i="13"/>
  <c r="H5455" i="13"/>
  <c r="H5456" i="13"/>
  <c r="H5457" i="13"/>
  <c r="H5458" i="13"/>
  <c r="H5459" i="13"/>
  <c r="H5460" i="13"/>
  <c r="H5461" i="13"/>
  <c r="H5462" i="13"/>
  <c r="H5463" i="13"/>
  <c r="H5464" i="13"/>
  <c r="H5465" i="13"/>
  <c r="H5466" i="13"/>
  <c r="H5467" i="13"/>
  <c r="H5468" i="13"/>
  <c r="H5469" i="13"/>
  <c r="H5470" i="13"/>
  <c r="H5471" i="13"/>
  <c r="H5472" i="13"/>
  <c r="H5473" i="13"/>
  <c r="H5474" i="13"/>
  <c r="H5475" i="13"/>
  <c r="H5476" i="13"/>
  <c r="H5477" i="13"/>
  <c r="H5478" i="13"/>
  <c r="H5479" i="13"/>
  <c r="H5480" i="13"/>
  <c r="H5481" i="13"/>
  <c r="H5482" i="13"/>
  <c r="H5483" i="13"/>
  <c r="H5484" i="13"/>
  <c r="H5485" i="13"/>
  <c r="H5486" i="13"/>
  <c r="H5487" i="13"/>
  <c r="H5488" i="13"/>
  <c r="H5489" i="13"/>
  <c r="H5490" i="13"/>
  <c r="H5491" i="13"/>
  <c r="H5492" i="13"/>
  <c r="H5493" i="13"/>
  <c r="H5494" i="13"/>
  <c r="H5495" i="13"/>
  <c r="H5496" i="13"/>
  <c r="H5497" i="13"/>
  <c r="H5498" i="13"/>
  <c r="H5499" i="13"/>
  <c r="H5500" i="13"/>
  <c r="H5501" i="13"/>
  <c r="H5502" i="13"/>
  <c r="H5503" i="13"/>
  <c r="H5504" i="13"/>
  <c r="H5505" i="13"/>
  <c r="H5506" i="13"/>
  <c r="H5507" i="13"/>
  <c r="H5508" i="13"/>
  <c r="H5509" i="13"/>
  <c r="H5510" i="13"/>
  <c r="H5511" i="13"/>
  <c r="H5512" i="13"/>
  <c r="H5513" i="13"/>
  <c r="H5514" i="13"/>
  <c r="H5515" i="13"/>
  <c r="H5516" i="13"/>
  <c r="H5517" i="13"/>
  <c r="H5518" i="13"/>
  <c r="H5519" i="13"/>
  <c r="H5520" i="13"/>
  <c r="H5521" i="13"/>
  <c r="H5522" i="13"/>
  <c r="H5523" i="13"/>
  <c r="H5524" i="13"/>
  <c r="H5525" i="13"/>
  <c r="H5526" i="13"/>
  <c r="H5527" i="13"/>
  <c r="H5528" i="13"/>
  <c r="H5529" i="13"/>
  <c r="H5530" i="13"/>
  <c r="H5531" i="13"/>
  <c r="H5532" i="13"/>
  <c r="H5533" i="13"/>
  <c r="H5534" i="13"/>
  <c r="H5535" i="13"/>
  <c r="H5536" i="13"/>
  <c r="H5537" i="13"/>
  <c r="H5538" i="13"/>
  <c r="H5539" i="13"/>
  <c r="H5540" i="13"/>
  <c r="H5541" i="13"/>
  <c r="H5542" i="13"/>
  <c r="H5543" i="13"/>
  <c r="H5544" i="13"/>
  <c r="H5545" i="13"/>
  <c r="H5546" i="13"/>
  <c r="H5547" i="13"/>
  <c r="H5548" i="13"/>
  <c r="H5549" i="13"/>
  <c r="H5550" i="13"/>
  <c r="H5551" i="13"/>
  <c r="H5552" i="13"/>
  <c r="H5553" i="13"/>
  <c r="H5554" i="13"/>
  <c r="H5555" i="13"/>
  <c r="H5556" i="13"/>
  <c r="H5557" i="13"/>
  <c r="H5558" i="13"/>
  <c r="H5636" i="13"/>
  <c r="H5638" i="13"/>
  <c r="H5640" i="13"/>
  <c r="H5642" i="13"/>
  <c r="H5644" i="13"/>
  <c r="H5646" i="13"/>
  <c r="H5647" i="13"/>
  <c r="H5648" i="13"/>
  <c r="H5649" i="13"/>
  <c r="H5650" i="13"/>
  <c r="H5651" i="13"/>
  <c r="H5652" i="13"/>
  <c r="H5653" i="13"/>
  <c r="H5654" i="13"/>
  <c r="H5655" i="13"/>
  <c r="H5656" i="13"/>
  <c r="H5657" i="13"/>
  <c r="H5658" i="13"/>
  <c r="H5659" i="13"/>
  <c r="H5660" i="13"/>
  <c r="H5661" i="13"/>
  <c r="H5662" i="13"/>
  <c r="H5663" i="13"/>
  <c r="H5664" i="13"/>
  <c r="H5665" i="13"/>
  <c r="H5666" i="13"/>
  <c r="H5667" i="13"/>
  <c r="H5668" i="13"/>
  <c r="H5669" i="13"/>
  <c r="H5670" i="13"/>
  <c r="H5671" i="13"/>
  <c r="H5672" i="13"/>
  <c r="H5673" i="13"/>
  <c r="H5674" i="13"/>
  <c r="H5675" i="13"/>
  <c r="H5676" i="13"/>
  <c r="H5677" i="13"/>
  <c r="H5678" i="13"/>
  <c r="H5679" i="13"/>
  <c r="H5680" i="13"/>
  <c r="H5681" i="13"/>
  <c r="H5682" i="13"/>
  <c r="H5683" i="13"/>
  <c r="H5684" i="13"/>
  <c r="H5685" i="13"/>
  <c r="H5686" i="13"/>
  <c r="H5687" i="13"/>
  <c r="H5688" i="13"/>
  <c r="H5689" i="13"/>
  <c r="H5690" i="13"/>
  <c r="H5691" i="13"/>
  <c r="H5692" i="13"/>
  <c r="H5693" i="13"/>
  <c r="H5694" i="13"/>
  <c r="H5695" i="13"/>
  <c r="H5696" i="13"/>
  <c r="H5697" i="13"/>
  <c r="J185" i="4"/>
  <c r="I185" i="4"/>
  <c r="H185" i="4"/>
  <c r="G185" i="4" a="1"/>
  <c r="G185" i="4" s="1"/>
  <c r="E185" i="4" a="1"/>
  <c r="E185" i="4" s="1"/>
  <c r="D185" i="4" a="1"/>
  <c r="D185" i="4" s="1"/>
  <c r="F185" i="4" s="1"/>
  <c r="B185" i="4"/>
  <c r="J184" i="4"/>
  <c r="E184" i="4" a="1"/>
  <c r="E184" i="4" s="1"/>
  <c r="D184" i="4" a="1"/>
  <c r="D184" i="4" s="1"/>
  <c r="F184" i="4" s="1"/>
  <c r="B184" i="4"/>
  <c r="E198" i="10"/>
  <c r="D198" i="10" a="1"/>
  <c r="D198" i="10" s="1"/>
  <c r="C198" i="10" a="1"/>
  <c r="C198" i="10" s="1"/>
  <c r="E197" i="10"/>
  <c r="D197" i="10" a="1"/>
  <c r="D197" i="10" s="1"/>
  <c r="C197" i="10" a="1"/>
  <c r="C197" i="10" s="1"/>
  <c r="J183" i="4"/>
  <c r="E183" i="4" a="1"/>
  <c r="E183" i="4" s="1"/>
  <c r="D183" i="4" a="1"/>
  <c r="D183" i="4" s="1"/>
  <c r="B183" i="4"/>
  <c r="D196" i="10" a="1"/>
  <c r="D196" i="10" s="1"/>
  <c r="C196" i="10" a="1"/>
  <c r="C196" i="10" s="1"/>
  <c r="J182" i="4"/>
  <c r="E182" i="4" a="1"/>
  <c r="E182" i="4" s="1"/>
  <c r="D182" i="4" a="1"/>
  <c r="D182" i="4" s="1"/>
  <c r="B182" i="4"/>
  <c r="D195" i="10" a="1"/>
  <c r="D195" i="10" s="1"/>
  <c r="C195" i="10" a="1"/>
  <c r="C195" i="10" s="1"/>
  <c r="E195" i="10" s="1"/>
  <c r="J181" i="4"/>
  <c r="E181" i="4" a="1"/>
  <c r="E181" i="4" s="1"/>
  <c r="D181" i="4" a="1"/>
  <c r="D181" i="4" s="1"/>
  <c r="B181" i="4"/>
  <c r="D194" i="10" a="1"/>
  <c r="D194" i="10" s="1"/>
  <c r="C194" i="10" a="1"/>
  <c r="C194" i="10" s="1"/>
  <c r="D193" i="10" a="1"/>
  <c r="D193" i="10" s="1"/>
  <c r="C193" i="10" a="1"/>
  <c r="C193" i="10" s="1"/>
  <c r="G20" i="3"/>
  <c r="E196" i="10" l="1"/>
  <c r="F183" i="4"/>
  <c r="F182" i="4"/>
  <c r="E194" i="10"/>
  <c r="F181" i="4"/>
  <c r="E193" i="10"/>
  <c r="B46" i="25"/>
  <c r="B42" i="25"/>
  <c r="B38" i="25"/>
  <c r="B37" i="25"/>
  <c r="B36" i="25"/>
  <c r="B52" i="25" s="1"/>
  <c r="E30" i="25"/>
  <c r="E29" i="25"/>
  <c r="E28" i="25"/>
  <c r="E27" i="25"/>
  <c r="E26" i="25"/>
  <c r="B45" i="25" s="1"/>
  <c r="I23" i="25"/>
  <c r="H23" i="25"/>
  <c r="G23" i="25"/>
  <c r="H20" i="25"/>
  <c r="B41" i="25" s="1"/>
  <c r="G20" i="25"/>
  <c r="B40" i="25" s="1"/>
  <c r="F20" i="25"/>
  <c r="E20" i="25"/>
  <c r="D20" i="25"/>
  <c r="I20" i="25" s="1"/>
  <c r="B44" i="25" s="1"/>
  <c r="B48" i="25" s="1"/>
  <c r="B34" i="21"/>
  <c r="I31" i="21"/>
  <c r="H31" i="21"/>
  <c r="G31" i="21"/>
  <c r="I30" i="21"/>
  <c r="H30" i="21"/>
  <c r="G30" i="21"/>
  <c r="I29" i="21"/>
  <c r="H29" i="21"/>
  <c r="G29" i="21"/>
  <c r="H28" i="21"/>
  <c r="G28" i="21"/>
  <c r="I28" i="21" s="1"/>
  <c r="H27" i="21"/>
  <c r="G27" i="21"/>
  <c r="I27" i="21" s="1"/>
  <c r="H26" i="21"/>
  <c r="G26" i="21"/>
  <c r="I26" i="21" s="1"/>
  <c r="H25" i="21"/>
  <c r="G25" i="21"/>
  <c r="I25" i="21" s="1"/>
  <c r="I24" i="21"/>
  <c r="H24" i="21"/>
  <c r="G24" i="21"/>
  <c r="I23" i="21"/>
  <c r="H23" i="21"/>
  <c r="G23" i="21"/>
  <c r="H22" i="21"/>
  <c r="G22" i="21"/>
  <c r="I22" i="21" s="1"/>
  <c r="I21" i="21"/>
  <c r="H21" i="21"/>
  <c r="G21" i="21"/>
  <c r="H20" i="21"/>
  <c r="G20" i="21"/>
  <c r="I20" i="21" s="1"/>
  <c r="H19" i="21"/>
  <c r="G19" i="21"/>
  <c r="I19" i="21" s="1"/>
  <c r="I18" i="21"/>
  <c r="H18" i="21"/>
  <c r="G18" i="21"/>
  <c r="H17" i="21"/>
  <c r="G17" i="21"/>
  <c r="I17" i="21" s="1"/>
  <c r="I16" i="21"/>
  <c r="H16" i="21"/>
  <c r="G16" i="21"/>
  <c r="I15" i="21"/>
  <c r="H15" i="21"/>
  <c r="G15" i="21"/>
  <c r="I14" i="21"/>
  <c r="H14" i="21"/>
  <c r="G14" i="21"/>
  <c r="I13" i="21"/>
  <c r="H13" i="21"/>
  <c r="G13" i="21"/>
  <c r="H12" i="21"/>
  <c r="G12" i="21"/>
  <c r="I12" i="21" s="1"/>
  <c r="I11" i="21"/>
  <c r="H11" i="21"/>
  <c r="G11" i="21"/>
  <c r="I10" i="21"/>
  <c r="H10" i="21"/>
  <c r="G10" i="21"/>
  <c r="H9" i="21"/>
  <c r="G9" i="21"/>
  <c r="I9" i="21" s="1"/>
  <c r="I8" i="21"/>
  <c r="H8" i="21"/>
  <c r="G8" i="21"/>
  <c r="I7" i="21"/>
  <c r="H7" i="21"/>
  <c r="G7" i="21"/>
  <c r="H6" i="21"/>
  <c r="G6" i="21"/>
  <c r="I6" i="21" s="1"/>
  <c r="C207" i="20"/>
  <c r="B207" i="20"/>
  <c r="A207" i="20"/>
  <c r="C206" i="20"/>
  <c r="B206" i="20"/>
  <c r="A206" i="20"/>
  <c r="C205" i="20"/>
  <c r="B205" i="20"/>
  <c r="A205" i="20"/>
  <c r="C204" i="20"/>
  <c r="B204" i="20"/>
  <c r="A204" i="20"/>
  <c r="C203" i="20"/>
  <c r="B203" i="20"/>
  <c r="A203" i="20"/>
  <c r="C202" i="20"/>
  <c r="B202" i="20"/>
  <c r="A202" i="20"/>
  <c r="C201" i="20"/>
  <c r="B201" i="20"/>
  <c r="A201" i="20"/>
  <c r="C200" i="20"/>
  <c r="B200" i="20"/>
  <c r="A200" i="20"/>
  <c r="C199" i="20"/>
  <c r="B199" i="20"/>
  <c r="A199" i="20"/>
  <c r="C198" i="20"/>
  <c r="B198" i="20"/>
  <c r="A198" i="20"/>
  <c r="C197" i="20"/>
  <c r="B197" i="20"/>
  <c r="A197" i="20"/>
  <c r="C196" i="20"/>
  <c r="B196" i="20"/>
  <c r="A196" i="20"/>
  <c r="C195" i="20"/>
  <c r="B195" i="20"/>
  <c r="A195" i="20"/>
  <c r="C194" i="20"/>
  <c r="B194" i="20"/>
  <c r="A194" i="20"/>
  <c r="C193" i="20"/>
  <c r="B193" i="20"/>
  <c r="A193" i="20"/>
  <c r="C192" i="20"/>
  <c r="B192" i="20"/>
  <c r="A192" i="20"/>
  <c r="C191" i="20"/>
  <c r="B191" i="20"/>
  <c r="A191" i="20"/>
  <c r="C190" i="20"/>
  <c r="B190" i="20"/>
  <c r="A190" i="20"/>
  <c r="C189" i="20"/>
  <c r="B189" i="20"/>
  <c r="A189" i="20"/>
  <c r="C188" i="20"/>
  <c r="B188" i="20"/>
  <c r="A188" i="20"/>
  <c r="C187" i="20"/>
  <c r="B187" i="20"/>
  <c r="A187" i="20"/>
  <c r="C186" i="20"/>
  <c r="B186" i="20"/>
  <c r="A186" i="20"/>
  <c r="C185" i="20"/>
  <c r="B185" i="20"/>
  <c r="A185" i="20"/>
  <c r="C184" i="20"/>
  <c r="B184" i="20"/>
  <c r="A184" i="20"/>
  <c r="C183" i="20"/>
  <c r="B183" i="20"/>
  <c r="A183" i="20"/>
  <c r="C182" i="20"/>
  <c r="B182" i="20"/>
  <c r="A182" i="20"/>
  <c r="C181" i="20"/>
  <c r="B181" i="20"/>
  <c r="A181" i="20"/>
  <c r="C180" i="20"/>
  <c r="B180" i="20"/>
  <c r="A180" i="20"/>
  <c r="C179" i="20"/>
  <c r="B179" i="20"/>
  <c r="A179" i="20"/>
  <c r="C178" i="20"/>
  <c r="B178" i="20"/>
  <c r="A178" i="20"/>
  <c r="C177" i="20"/>
  <c r="B177" i="20"/>
  <c r="A177" i="20"/>
  <c r="C176" i="20"/>
  <c r="B176" i="20"/>
  <c r="A176" i="20"/>
  <c r="C175" i="20"/>
  <c r="B175" i="20"/>
  <c r="A175" i="20"/>
  <c r="C174" i="20"/>
  <c r="B174" i="20"/>
  <c r="A174" i="20"/>
  <c r="C173" i="20"/>
  <c r="B173" i="20"/>
  <c r="A173" i="20"/>
  <c r="C172" i="20"/>
  <c r="B172" i="20"/>
  <c r="A172" i="20"/>
  <c r="C171" i="20"/>
  <c r="B171" i="20"/>
  <c r="A171" i="20"/>
  <c r="C170" i="20"/>
  <c r="B170" i="20"/>
  <c r="A170" i="20"/>
  <c r="C169" i="20"/>
  <c r="B169" i="20"/>
  <c r="A169" i="20"/>
  <c r="C168" i="20"/>
  <c r="B168" i="20"/>
  <c r="A168" i="20"/>
  <c r="C167" i="20"/>
  <c r="B167" i="20"/>
  <c r="A167" i="20"/>
  <c r="C166" i="20"/>
  <c r="B166" i="20"/>
  <c r="A166" i="20"/>
  <c r="C165" i="20"/>
  <c r="B165" i="20"/>
  <c r="A165" i="20"/>
  <c r="C164" i="20"/>
  <c r="B164" i="20"/>
  <c r="A164" i="20"/>
  <c r="C163" i="20"/>
  <c r="B163" i="20"/>
  <c r="A163" i="20"/>
  <c r="C162" i="20"/>
  <c r="B162" i="20"/>
  <c r="A162" i="20"/>
  <c r="C161" i="20"/>
  <c r="B161" i="20"/>
  <c r="A161" i="20"/>
  <c r="C160" i="20"/>
  <c r="B160" i="20"/>
  <c r="A160" i="20"/>
  <c r="C159" i="20"/>
  <c r="B159" i="20"/>
  <c r="A159" i="20"/>
  <c r="C158" i="20"/>
  <c r="B158" i="20"/>
  <c r="A158" i="20"/>
  <c r="C157" i="20"/>
  <c r="B157" i="20"/>
  <c r="A157" i="20"/>
  <c r="C156" i="20"/>
  <c r="B156" i="20"/>
  <c r="A156" i="20"/>
  <c r="C155" i="20"/>
  <c r="B155" i="20"/>
  <c r="A155" i="20"/>
  <c r="C154" i="20"/>
  <c r="B154" i="20"/>
  <c r="A154" i="20"/>
  <c r="C153" i="20"/>
  <c r="B153" i="20"/>
  <c r="A153" i="20"/>
  <c r="C152" i="20"/>
  <c r="B152" i="20"/>
  <c r="A152" i="20"/>
  <c r="C151" i="20"/>
  <c r="B151" i="20"/>
  <c r="A151" i="20"/>
  <c r="C150" i="20"/>
  <c r="B150" i="20"/>
  <c r="A150" i="20"/>
  <c r="C149" i="20"/>
  <c r="B149" i="20"/>
  <c r="A149" i="20"/>
  <c r="C148" i="20"/>
  <c r="B148" i="20"/>
  <c r="A148" i="20"/>
  <c r="C147" i="20"/>
  <c r="B147" i="20"/>
  <c r="A147" i="20"/>
  <c r="C146" i="20"/>
  <c r="B146" i="20"/>
  <c r="A146" i="20"/>
  <c r="C145" i="20"/>
  <c r="B145" i="20"/>
  <c r="A145" i="20"/>
  <c r="C144" i="20"/>
  <c r="B144" i="20"/>
  <c r="A144" i="20"/>
  <c r="C143" i="20"/>
  <c r="B143" i="20"/>
  <c r="A143" i="20"/>
  <c r="C142" i="20"/>
  <c r="B142" i="20"/>
  <c r="A142" i="20"/>
  <c r="C141" i="20"/>
  <c r="B141" i="20"/>
  <c r="A141" i="20"/>
  <c r="C140" i="20"/>
  <c r="B140" i="20"/>
  <c r="A140" i="20"/>
  <c r="C139" i="20"/>
  <c r="B139" i="20"/>
  <c r="A139" i="20"/>
  <c r="C138" i="20"/>
  <c r="B138" i="20"/>
  <c r="A138" i="20"/>
  <c r="C137" i="20"/>
  <c r="B137" i="20"/>
  <c r="A137" i="20"/>
  <c r="C136" i="20"/>
  <c r="B136" i="20"/>
  <c r="A136" i="20"/>
  <c r="C135" i="20"/>
  <c r="B135" i="20"/>
  <c r="A135" i="20"/>
  <c r="C134" i="20"/>
  <c r="B134" i="20"/>
  <c r="A134" i="20"/>
  <c r="C133" i="20"/>
  <c r="B133" i="20"/>
  <c r="A133" i="20"/>
  <c r="C132" i="20"/>
  <c r="B132" i="20"/>
  <c r="A132" i="20"/>
  <c r="C131" i="20"/>
  <c r="B131" i="20"/>
  <c r="A131" i="20"/>
  <c r="C130" i="20"/>
  <c r="B130" i="20"/>
  <c r="A130" i="20"/>
  <c r="C129" i="20"/>
  <c r="B129" i="20"/>
  <c r="A129" i="20"/>
  <c r="C128" i="20"/>
  <c r="B128" i="20"/>
  <c r="A128" i="20"/>
  <c r="C127" i="20"/>
  <c r="B127" i="20"/>
  <c r="A127" i="20"/>
  <c r="C126" i="20"/>
  <c r="B126" i="20"/>
  <c r="A126" i="20"/>
  <c r="C125" i="20"/>
  <c r="B125" i="20"/>
  <c r="A125" i="20"/>
  <c r="C124" i="20"/>
  <c r="B124" i="20"/>
  <c r="A124" i="20"/>
  <c r="C123" i="20"/>
  <c r="B123" i="20"/>
  <c r="A123" i="20"/>
  <c r="C122" i="20"/>
  <c r="B122" i="20"/>
  <c r="A122" i="20"/>
  <c r="C121" i="20"/>
  <c r="B121" i="20"/>
  <c r="A121" i="20"/>
  <c r="C120" i="20"/>
  <c r="B120" i="20"/>
  <c r="A120" i="20"/>
  <c r="C119" i="20"/>
  <c r="B119" i="20"/>
  <c r="A119" i="20"/>
  <c r="C118" i="20"/>
  <c r="B118" i="20"/>
  <c r="A118" i="20"/>
  <c r="C117" i="20"/>
  <c r="B117" i="20"/>
  <c r="A117" i="20"/>
  <c r="C116" i="20"/>
  <c r="B116" i="20"/>
  <c r="A116" i="20"/>
  <c r="C115" i="20"/>
  <c r="B115" i="20"/>
  <c r="A115" i="20"/>
  <c r="C114" i="20"/>
  <c r="B114" i="20"/>
  <c r="A114" i="20"/>
  <c r="C113" i="20"/>
  <c r="B113" i="20"/>
  <c r="A113" i="20"/>
  <c r="C112" i="20"/>
  <c r="B112" i="20"/>
  <c r="A112" i="20"/>
  <c r="C111" i="20"/>
  <c r="B111" i="20"/>
  <c r="A111" i="20"/>
  <c r="C110" i="20"/>
  <c r="B110" i="20"/>
  <c r="A110" i="20"/>
  <c r="C109" i="20"/>
  <c r="B109" i="20"/>
  <c r="A109" i="20"/>
  <c r="C108" i="20"/>
  <c r="B108" i="20"/>
  <c r="A108" i="20"/>
  <c r="C107" i="20"/>
  <c r="B107" i="20"/>
  <c r="A107" i="20"/>
  <c r="C106" i="20"/>
  <c r="B106" i="20"/>
  <c r="A106" i="20"/>
  <c r="C105" i="20"/>
  <c r="B105" i="20"/>
  <c r="A105" i="20"/>
  <c r="C104" i="20"/>
  <c r="B104" i="20"/>
  <c r="A104" i="20"/>
  <c r="C103" i="20"/>
  <c r="B103" i="20"/>
  <c r="A103" i="20"/>
  <c r="C102" i="20"/>
  <c r="B102" i="20"/>
  <c r="A102" i="20"/>
  <c r="C101" i="20"/>
  <c r="B101" i="20"/>
  <c r="A101" i="20"/>
  <c r="C100" i="20"/>
  <c r="B100" i="20"/>
  <c r="A100" i="20"/>
  <c r="C99" i="20"/>
  <c r="B99" i="20"/>
  <c r="A99" i="20"/>
  <c r="C98" i="20"/>
  <c r="B98" i="20"/>
  <c r="A98" i="20"/>
  <c r="C97" i="20"/>
  <c r="B97" i="20"/>
  <c r="A97" i="20"/>
  <c r="C96" i="20"/>
  <c r="B96" i="20"/>
  <c r="A96" i="20"/>
  <c r="C95" i="20"/>
  <c r="B95" i="20"/>
  <c r="A95" i="20"/>
  <c r="C94" i="20"/>
  <c r="B94" i="20"/>
  <c r="A94" i="20"/>
  <c r="C93" i="20"/>
  <c r="B93" i="20"/>
  <c r="A93" i="20"/>
  <c r="C92" i="20"/>
  <c r="B92" i="20"/>
  <c r="A92" i="20"/>
  <c r="C91" i="20"/>
  <c r="B91" i="20"/>
  <c r="A91" i="20"/>
  <c r="C90" i="20"/>
  <c r="B90" i="20"/>
  <c r="A90" i="20"/>
  <c r="C89" i="20"/>
  <c r="B89" i="20"/>
  <c r="A89" i="20"/>
  <c r="C88" i="20"/>
  <c r="B88" i="20"/>
  <c r="A88" i="20"/>
  <c r="C87" i="20"/>
  <c r="B87" i="20"/>
  <c r="A87" i="20"/>
  <c r="C86" i="20"/>
  <c r="B86" i="20"/>
  <c r="A86" i="20"/>
  <c r="C85" i="20"/>
  <c r="B85" i="20"/>
  <c r="A85" i="20"/>
  <c r="C84" i="20"/>
  <c r="B84" i="20"/>
  <c r="A84" i="20"/>
  <c r="C83" i="20"/>
  <c r="B83" i="20"/>
  <c r="A83" i="20"/>
  <c r="C82" i="20"/>
  <c r="B82" i="20"/>
  <c r="A82" i="20"/>
  <c r="C81" i="20"/>
  <c r="B81" i="20"/>
  <c r="A81" i="20"/>
  <c r="C80" i="20"/>
  <c r="B80" i="20"/>
  <c r="A80" i="20"/>
  <c r="C79" i="20"/>
  <c r="B79" i="20"/>
  <c r="A79" i="20"/>
  <c r="C78" i="20"/>
  <c r="B78" i="20"/>
  <c r="A78" i="20"/>
  <c r="C77" i="20"/>
  <c r="B77" i="20"/>
  <c r="A77" i="20"/>
  <c r="C76" i="20"/>
  <c r="B76" i="20"/>
  <c r="A76" i="20"/>
  <c r="C75" i="20"/>
  <c r="B75" i="20"/>
  <c r="A75" i="20"/>
  <c r="C74" i="20"/>
  <c r="B74" i="20"/>
  <c r="A74" i="20"/>
  <c r="C73" i="20"/>
  <c r="B73" i="20"/>
  <c r="A73" i="20"/>
  <c r="C72" i="20"/>
  <c r="B72" i="20"/>
  <c r="A72" i="20"/>
  <c r="C71" i="20"/>
  <c r="B71" i="20"/>
  <c r="A71" i="20"/>
  <c r="C70" i="20"/>
  <c r="B70" i="20"/>
  <c r="A70" i="20"/>
  <c r="C69" i="20"/>
  <c r="B69" i="20"/>
  <c r="A69" i="20"/>
  <c r="C68" i="20"/>
  <c r="B68" i="20"/>
  <c r="A68" i="20"/>
  <c r="C67" i="20"/>
  <c r="B67" i="20"/>
  <c r="A67" i="20"/>
  <c r="C66" i="20"/>
  <c r="B66" i="20"/>
  <c r="A66" i="20"/>
  <c r="C65" i="20"/>
  <c r="B65" i="20"/>
  <c r="A65" i="20"/>
  <c r="C64" i="20"/>
  <c r="B64" i="20"/>
  <c r="A64" i="20"/>
  <c r="C63" i="20"/>
  <c r="B63" i="20"/>
  <c r="A63" i="20"/>
  <c r="C62" i="20"/>
  <c r="B62" i="20"/>
  <c r="A62" i="20"/>
  <c r="C61" i="20"/>
  <c r="B61" i="20"/>
  <c r="A61" i="20"/>
  <c r="C60" i="20"/>
  <c r="B60" i="20"/>
  <c r="A60" i="20"/>
  <c r="C59" i="20"/>
  <c r="B59" i="20"/>
  <c r="A59" i="20"/>
  <c r="C58" i="20"/>
  <c r="B58" i="20"/>
  <c r="A58" i="20"/>
  <c r="C57" i="20"/>
  <c r="B57" i="20"/>
  <c r="A57" i="20"/>
  <c r="C56" i="20"/>
  <c r="B56" i="20"/>
  <c r="A56" i="20"/>
  <c r="C55" i="20"/>
  <c r="B55" i="20"/>
  <c r="A55" i="20"/>
  <c r="C54" i="20"/>
  <c r="B54" i="20"/>
  <c r="A54" i="20"/>
  <c r="C53" i="20"/>
  <c r="B53" i="20"/>
  <c r="A53" i="20"/>
  <c r="C52" i="20"/>
  <c r="B52" i="20"/>
  <c r="A52" i="20"/>
  <c r="C51" i="20"/>
  <c r="B51" i="20"/>
  <c r="A51" i="20"/>
  <c r="C50" i="20"/>
  <c r="B50" i="20"/>
  <c r="A50" i="20"/>
  <c r="C49" i="20"/>
  <c r="B49" i="20"/>
  <c r="A49" i="20"/>
  <c r="C48" i="20"/>
  <c r="B48" i="20"/>
  <c r="A48" i="20"/>
  <c r="C47" i="20"/>
  <c r="B47" i="20"/>
  <c r="A47" i="20"/>
  <c r="C46" i="20"/>
  <c r="B46" i="20"/>
  <c r="A46" i="20"/>
  <c r="C45" i="20"/>
  <c r="B45" i="20"/>
  <c r="A45" i="20"/>
  <c r="C44" i="20"/>
  <c r="B44" i="20"/>
  <c r="A44" i="20"/>
  <c r="C43" i="20"/>
  <c r="B43" i="20"/>
  <c r="A43" i="20"/>
  <c r="C42" i="20"/>
  <c r="B42" i="20"/>
  <c r="A42" i="20"/>
  <c r="C41" i="20"/>
  <c r="B41" i="20"/>
  <c r="A41" i="20"/>
  <c r="C40" i="20"/>
  <c r="B40" i="20"/>
  <c r="A40" i="20"/>
  <c r="C39" i="20"/>
  <c r="B39" i="20"/>
  <c r="A39" i="20"/>
  <c r="C38" i="20"/>
  <c r="B38" i="20"/>
  <c r="A38" i="20"/>
  <c r="C37" i="20"/>
  <c r="B37" i="20"/>
  <c r="A37" i="20"/>
  <c r="C36" i="20"/>
  <c r="B36" i="20"/>
  <c r="A36" i="20"/>
  <c r="C35" i="20"/>
  <c r="B35" i="20"/>
  <c r="A35" i="20"/>
  <c r="C34" i="20"/>
  <c r="B34" i="20"/>
  <c r="A34" i="20"/>
  <c r="C33" i="20"/>
  <c r="B33" i="20"/>
  <c r="A33" i="20"/>
  <c r="C32" i="20"/>
  <c r="B32" i="20"/>
  <c r="A32" i="20"/>
  <c r="C31" i="20"/>
  <c r="B31" i="20"/>
  <c r="A31" i="20"/>
  <c r="C30" i="20"/>
  <c r="B30" i="20"/>
  <c r="A30" i="20"/>
  <c r="C29" i="20"/>
  <c r="B29" i="20"/>
  <c r="A29" i="20"/>
  <c r="C28" i="20"/>
  <c r="B28" i="20"/>
  <c r="A28" i="20"/>
  <c r="C27" i="20"/>
  <c r="B27" i="20"/>
  <c r="A27" i="20"/>
  <c r="C26" i="20"/>
  <c r="B26" i="20"/>
  <c r="A26" i="20"/>
  <c r="C25" i="20"/>
  <c r="B25" i="20"/>
  <c r="A25" i="20"/>
  <c r="C24" i="20"/>
  <c r="B24" i="20"/>
  <c r="A24" i="20"/>
  <c r="C23" i="20"/>
  <c r="B23" i="20"/>
  <c r="A23" i="20"/>
  <c r="C22" i="20"/>
  <c r="B22" i="20"/>
  <c r="A22" i="20"/>
  <c r="C21" i="20"/>
  <c r="B21" i="20"/>
  <c r="A21" i="20"/>
  <c r="C20" i="20"/>
  <c r="B20" i="20"/>
  <c r="A20" i="20"/>
  <c r="C19" i="20"/>
  <c r="B19" i="20"/>
  <c r="A19" i="20"/>
  <c r="C18" i="20"/>
  <c r="B18" i="20"/>
  <c r="A18" i="20"/>
  <c r="C17" i="20"/>
  <c r="B17" i="20"/>
  <c r="A17" i="20"/>
  <c r="C16" i="20"/>
  <c r="B16" i="20"/>
  <c r="A16" i="20"/>
  <c r="C15" i="20"/>
  <c r="B15" i="20"/>
  <c r="A15" i="20"/>
  <c r="C14" i="20"/>
  <c r="B14" i="20"/>
  <c r="A14" i="20"/>
  <c r="C13" i="20"/>
  <c r="B13" i="20"/>
  <c r="A13" i="20"/>
  <c r="C12" i="20"/>
  <c r="B12" i="20"/>
  <c r="A12" i="20"/>
  <c r="C11" i="20"/>
  <c r="B11" i="20"/>
  <c r="A11" i="20"/>
  <c r="C10" i="20"/>
  <c r="B10" i="20"/>
  <c r="A10" i="20"/>
  <c r="C9" i="20"/>
  <c r="B9" i="20"/>
  <c r="A9" i="20"/>
  <c r="C8" i="20"/>
  <c r="B8" i="20"/>
  <c r="A8" i="20"/>
  <c r="F109" i="18" a="1"/>
  <c r="F109" i="18"/>
  <c r="E109" i="18" a="1"/>
  <c r="E109" i="18" s="1"/>
  <c r="B109" i="18" s="1"/>
  <c r="C109" i="18" s="1"/>
  <c r="D109" i="18" a="1"/>
  <c r="D109" i="18" s="1"/>
  <c r="F108" i="18" a="1"/>
  <c r="F108" i="18" s="1"/>
  <c r="E108" i="18" a="1"/>
  <c r="E108" i="18" s="1"/>
  <c r="B108" i="18" s="1"/>
  <c r="C108" i="18" s="1"/>
  <c r="D108" i="18" a="1"/>
  <c r="D108" i="18" s="1"/>
  <c r="F107" i="18" a="1"/>
  <c r="F107" i="18" s="1"/>
  <c r="E107" i="18" a="1"/>
  <c r="E107" i="18"/>
  <c r="B107" i="18" s="1"/>
  <c r="C107" i="18" s="1"/>
  <c r="D107" i="18" a="1"/>
  <c r="D107" i="18" s="1"/>
  <c r="F106" i="18" a="1"/>
  <c r="F106" i="18" s="1"/>
  <c r="E106" i="18" a="1"/>
  <c r="E106" i="18"/>
  <c r="B106" i="18" s="1"/>
  <c r="C106" i="18" s="1"/>
  <c r="D106" i="18" a="1"/>
  <c r="D106" i="18" s="1"/>
  <c r="F105" i="18" a="1"/>
  <c r="F105" i="18"/>
  <c r="E105" i="18" a="1"/>
  <c r="E105" i="18"/>
  <c r="B105" i="18" s="1"/>
  <c r="C105" i="18" s="1"/>
  <c r="D105" i="18" a="1"/>
  <c r="D105" i="18" s="1"/>
  <c r="F104" i="18" a="1"/>
  <c r="F104" i="18"/>
  <c r="E104" i="18" a="1"/>
  <c r="E104" i="18" s="1"/>
  <c r="B104" i="18" s="1"/>
  <c r="C104" i="18" s="1"/>
  <c r="D104" i="18" a="1"/>
  <c r="D104" i="18" s="1"/>
  <c r="F103" i="18" a="1"/>
  <c r="F103" i="18"/>
  <c r="E103" i="18" a="1"/>
  <c r="E103" i="18" s="1"/>
  <c r="B103" i="18" s="1"/>
  <c r="C103" i="18" s="1"/>
  <c r="D103" i="18" a="1"/>
  <c r="D103" i="18" s="1"/>
  <c r="F102" i="18" a="1"/>
  <c r="F102" i="18" s="1"/>
  <c r="E102" i="18" a="1"/>
  <c r="E102" i="18" s="1"/>
  <c r="B102" i="18" s="1"/>
  <c r="C102" i="18" s="1"/>
  <c r="D102" i="18" a="1"/>
  <c r="D102" i="18" s="1"/>
  <c r="F101" i="18" a="1"/>
  <c r="F101" i="18" s="1"/>
  <c r="E101" i="18" a="1"/>
  <c r="E101" i="18" s="1"/>
  <c r="B101" i="18" s="1"/>
  <c r="C101" i="18" s="1"/>
  <c r="D101" i="18" a="1"/>
  <c r="D101" i="18" s="1"/>
  <c r="F100" i="18" a="1"/>
  <c r="F100" i="18" s="1"/>
  <c r="E100" i="18" a="1"/>
  <c r="E100" i="18" s="1"/>
  <c r="B100" i="18" s="1"/>
  <c r="C100" i="18" s="1"/>
  <c r="D100" i="18" a="1"/>
  <c r="D100" i="18" s="1"/>
  <c r="F99" i="18" a="1"/>
  <c r="F99" i="18" s="1"/>
  <c r="E99" i="18" a="1"/>
  <c r="E99" i="18"/>
  <c r="B99" i="18" s="1"/>
  <c r="C99" i="18" s="1"/>
  <c r="D99" i="18" a="1"/>
  <c r="D99" i="18" s="1"/>
  <c r="F98" i="18" a="1"/>
  <c r="F98" i="18" s="1"/>
  <c r="E98" i="18" a="1"/>
  <c r="E98" i="18"/>
  <c r="B98" i="18" s="1"/>
  <c r="D98" i="18" a="1"/>
  <c r="D98" i="18" s="1"/>
  <c r="F94" i="18" a="1"/>
  <c r="F94" i="18"/>
  <c r="E94" i="18" a="1"/>
  <c r="E94" i="18" s="1"/>
  <c r="D94" i="18" a="1"/>
  <c r="D94" i="18" s="1"/>
  <c r="C94" i="18"/>
  <c r="B94" i="18"/>
  <c r="F93" i="18" a="1"/>
  <c r="F93" i="18"/>
  <c r="E93" i="18" a="1"/>
  <c r="E93" i="18" s="1"/>
  <c r="B93" i="18" s="1"/>
  <c r="C93" i="18" s="1"/>
  <c r="D93" i="18" a="1"/>
  <c r="D93" i="18" s="1"/>
  <c r="F92" i="18" a="1"/>
  <c r="F92" i="18" s="1"/>
  <c r="E92" i="18" a="1"/>
  <c r="E92" i="18" s="1"/>
  <c r="B92" i="18" s="1"/>
  <c r="D92" i="18" a="1"/>
  <c r="D92" i="18" s="1"/>
  <c r="F88" i="18" a="1"/>
  <c r="F88" i="18" s="1"/>
  <c r="E88" i="18" a="1"/>
  <c r="E88" i="18" s="1"/>
  <c r="B88" i="18" s="1"/>
  <c r="C88" i="18" s="1"/>
  <c r="D88" i="18" a="1"/>
  <c r="D88" i="18"/>
  <c r="F87" i="18" a="1"/>
  <c r="F87" i="18" s="1"/>
  <c r="E87" i="18" a="1"/>
  <c r="E87" i="18" s="1"/>
  <c r="D87" i="18" a="1"/>
  <c r="D87" i="18" s="1"/>
  <c r="B87" i="18"/>
  <c r="C87" i="18" s="1"/>
  <c r="F86" i="18" a="1"/>
  <c r="F86" i="18" s="1"/>
  <c r="E86" i="18" a="1"/>
  <c r="E86" i="18" s="1"/>
  <c r="D86" i="18" a="1"/>
  <c r="D86" i="18"/>
  <c r="C86" i="18"/>
  <c r="B86" i="18"/>
  <c r="F85" i="18" a="1"/>
  <c r="F85" i="18" s="1"/>
  <c r="E85" i="18" a="1"/>
  <c r="E85" i="18" s="1"/>
  <c r="B85" i="18" s="1"/>
  <c r="C85" i="18" s="1"/>
  <c r="D85" i="18" a="1"/>
  <c r="D85" i="18" s="1"/>
  <c r="F84" i="18" a="1"/>
  <c r="F84" i="18" s="1"/>
  <c r="E84" i="18" a="1"/>
  <c r="E84" i="18" s="1"/>
  <c r="B84" i="18" s="1"/>
  <c r="C84" i="18" s="1"/>
  <c r="D84" i="18" a="1"/>
  <c r="D84" i="18"/>
  <c r="F83" i="18" a="1"/>
  <c r="F83" i="18" s="1"/>
  <c r="E83" i="18" a="1"/>
  <c r="E83" i="18" s="1"/>
  <c r="D83" i="18" a="1"/>
  <c r="D83" i="18" s="1"/>
  <c r="B83" i="18"/>
  <c r="C83" i="18" s="1"/>
  <c r="F82" i="18" a="1"/>
  <c r="F82" i="18" s="1"/>
  <c r="E82" i="18" a="1"/>
  <c r="E82" i="18" s="1"/>
  <c r="D82" i="18" a="1"/>
  <c r="D82" i="18"/>
  <c r="C82" i="18"/>
  <c r="B82" i="18"/>
  <c r="F81" i="18" a="1"/>
  <c r="F81" i="18" s="1"/>
  <c r="E81" i="18" a="1"/>
  <c r="E81" i="18" s="1"/>
  <c r="B81" i="18" s="1"/>
  <c r="C81" i="18" s="1"/>
  <c r="D81" i="18" a="1"/>
  <c r="D81" i="18" s="1"/>
  <c r="F80" i="18" a="1"/>
  <c r="F80" i="18" s="1"/>
  <c r="E80" i="18" a="1"/>
  <c r="E80" i="18" s="1"/>
  <c r="B80" i="18" s="1"/>
  <c r="C80" i="18" s="1"/>
  <c r="D80" i="18" a="1"/>
  <c r="D80" i="18" s="1"/>
  <c r="F79" i="18" a="1"/>
  <c r="F79" i="18" s="1"/>
  <c r="E79" i="18" a="1"/>
  <c r="E79" i="18" s="1"/>
  <c r="D79" i="18" a="1"/>
  <c r="D79" i="18" s="1"/>
  <c r="C79" i="18"/>
  <c r="B79" i="18"/>
  <c r="F78" i="18" a="1"/>
  <c r="F78" i="18" s="1"/>
  <c r="E78" i="18" a="1"/>
  <c r="E78" i="18" s="1"/>
  <c r="D78" i="18" a="1"/>
  <c r="D78" i="18"/>
  <c r="C78" i="18"/>
  <c r="B78" i="18"/>
  <c r="F77" i="18" a="1"/>
  <c r="F77" i="18" s="1"/>
  <c r="E77" i="18" a="1"/>
  <c r="E77" i="18" s="1"/>
  <c r="B77" i="18" s="1"/>
  <c r="D77" i="18" a="1"/>
  <c r="D77" i="18" s="1"/>
  <c r="F73" i="18" a="1"/>
  <c r="F73" i="18" s="1"/>
  <c r="E73" i="18" a="1"/>
  <c r="E73" i="18" s="1"/>
  <c r="B73" i="18" s="1"/>
  <c r="C73" i="18" s="1"/>
  <c r="D73" i="18" a="1"/>
  <c r="D73" i="18" s="1"/>
  <c r="F72" i="18" a="1"/>
  <c r="F72" i="18" s="1"/>
  <c r="E72" i="18" a="1"/>
  <c r="E72" i="18" s="1"/>
  <c r="B72" i="18" s="1"/>
  <c r="C72" i="18" s="1"/>
  <c r="D72" i="18" a="1"/>
  <c r="D72" i="18" s="1"/>
  <c r="F71" i="18" a="1"/>
  <c r="F71" i="18" s="1"/>
  <c r="E71" i="18" a="1"/>
  <c r="E71" i="18"/>
  <c r="B71" i="18" s="1"/>
  <c r="D71" i="18" a="1"/>
  <c r="D71" i="18" s="1"/>
  <c r="C71" i="18"/>
  <c r="F70" i="18" a="1"/>
  <c r="F70" i="18" s="1"/>
  <c r="E70" i="18" a="1"/>
  <c r="E70" i="18" s="1"/>
  <c r="B70" i="18" s="1"/>
  <c r="C70" i="18" s="1"/>
  <c r="D70" i="18" a="1"/>
  <c r="D70" i="18"/>
  <c r="F69" i="18" a="1"/>
  <c r="F69" i="18" s="1"/>
  <c r="E69" i="18" a="1"/>
  <c r="E69" i="18" s="1"/>
  <c r="B69" i="18" s="1"/>
  <c r="C69" i="18" s="1"/>
  <c r="D69" i="18" a="1"/>
  <c r="D69" i="18" s="1"/>
  <c r="F68" i="18" a="1"/>
  <c r="F68" i="18"/>
  <c r="E68" i="18" a="1"/>
  <c r="E68" i="18" s="1"/>
  <c r="B68" i="18" s="1"/>
  <c r="C68" i="18" s="1"/>
  <c r="D68" i="18" a="1"/>
  <c r="D68" i="18"/>
  <c r="F67" i="18" a="1"/>
  <c r="F67" i="18" s="1"/>
  <c r="E67" i="18" a="1"/>
  <c r="E67" i="18" s="1"/>
  <c r="B67" i="18" s="1"/>
  <c r="C67" i="18" s="1"/>
  <c r="D67" i="18" a="1"/>
  <c r="D67" i="18" s="1"/>
  <c r="F66" i="18" a="1"/>
  <c r="F66" i="18"/>
  <c r="E66" i="18" a="1"/>
  <c r="E66" i="18"/>
  <c r="B66" i="18" s="1"/>
  <c r="C66" i="18" s="1"/>
  <c r="D66" i="18" a="1"/>
  <c r="D66" i="18" s="1"/>
  <c r="F65" i="18" a="1"/>
  <c r="F65" i="18" s="1"/>
  <c r="E65" i="18" a="1"/>
  <c r="E65" i="18" s="1"/>
  <c r="B65" i="18" s="1"/>
  <c r="C65" i="18" s="1"/>
  <c r="D65" i="18" a="1"/>
  <c r="D65" i="18" s="1"/>
  <c r="F64" i="18" a="1"/>
  <c r="F64" i="18"/>
  <c r="E64" i="18" a="1"/>
  <c r="E64" i="18"/>
  <c r="B64" i="18" s="1"/>
  <c r="D64" i="18" a="1"/>
  <c r="D64" i="18"/>
  <c r="C64" i="18"/>
  <c r="F63" i="18" a="1"/>
  <c r="F63" i="18" s="1"/>
  <c r="E63" i="18" a="1"/>
  <c r="E63" i="18" s="1"/>
  <c r="B63" i="18" s="1"/>
  <c r="C63" i="18" s="1"/>
  <c r="D63" i="18" a="1"/>
  <c r="D63" i="18"/>
  <c r="F62" i="18" a="1"/>
  <c r="F62" i="18" s="1"/>
  <c r="E62" i="18" a="1"/>
  <c r="E62" i="18"/>
  <c r="B62" i="18" s="1"/>
  <c r="D62" i="18" a="1"/>
  <c r="D62" i="18" s="1"/>
  <c r="F58" i="18" a="1"/>
  <c r="F58" i="18" s="1"/>
  <c r="E58" i="18" a="1"/>
  <c r="E58" i="18" s="1"/>
  <c r="B58" i="18" s="1"/>
  <c r="C58" i="18" s="1"/>
  <c r="D58" i="18" a="1"/>
  <c r="D58" i="18" s="1"/>
  <c r="F57" i="18" a="1"/>
  <c r="F57" i="18" s="1"/>
  <c r="E57" i="18" a="1"/>
  <c r="E57" i="18"/>
  <c r="B57" i="18" s="1"/>
  <c r="C57" i="18" s="1"/>
  <c r="D57" i="18" a="1"/>
  <c r="D57" i="18" s="1"/>
  <c r="F56" i="18" a="1"/>
  <c r="F56" i="18" s="1"/>
  <c r="E56" i="18" a="1"/>
  <c r="E56" i="18" s="1"/>
  <c r="B56" i="18" s="1"/>
  <c r="C56" i="18" s="1"/>
  <c r="D56" i="18" a="1"/>
  <c r="D56" i="18" s="1"/>
  <c r="F55" i="18" a="1"/>
  <c r="F55" i="18"/>
  <c r="E55" i="18" a="1"/>
  <c r="E55" i="18"/>
  <c r="B55" i="18" s="1"/>
  <c r="C55" i="18" s="1"/>
  <c r="D55" i="18" a="1"/>
  <c r="D55" i="18" s="1"/>
  <c r="F54" i="18" a="1"/>
  <c r="F54" i="18"/>
  <c r="E54" i="18" a="1"/>
  <c r="E54" i="18" s="1"/>
  <c r="B54" i="18" s="1"/>
  <c r="C54" i="18" s="1"/>
  <c r="D54" i="18" a="1"/>
  <c r="D54" i="18" s="1"/>
  <c r="F53" i="18" a="1"/>
  <c r="F53" i="18" s="1"/>
  <c r="E53" i="18" a="1"/>
  <c r="E53" i="18"/>
  <c r="B53" i="18" s="1"/>
  <c r="C53" i="18" s="1"/>
  <c r="D53" i="18" a="1"/>
  <c r="D53" i="18" s="1"/>
  <c r="F52" i="18" a="1"/>
  <c r="F52" i="18" s="1"/>
  <c r="E52" i="18" a="1"/>
  <c r="E52" i="18"/>
  <c r="D52" i="18" a="1"/>
  <c r="D52" i="18" s="1"/>
  <c r="B52" i="18"/>
  <c r="C52" i="18" s="1"/>
  <c r="F51" i="18" a="1"/>
  <c r="F51" i="18"/>
  <c r="E51" i="18" a="1"/>
  <c r="E51" i="18" s="1"/>
  <c r="B51" i="18" s="1"/>
  <c r="C51" i="18" s="1"/>
  <c r="D51" i="18" a="1"/>
  <c r="D51" i="18" s="1"/>
  <c r="F50" i="18" a="1"/>
  <c r="F50" i="18" s="1"/>
  <c r="E50" i="18" a="1"/>
  <c r="E50" i="18" s="1"/>
  <c r="B50" i="18" s="1"/>
  <c r="C50" i="18" s="1"/>
  <c r="D50" i="18" a="1"/>
  <c r="D50" i="18" s="1"/>
  <c r="F49" i="18" a="1"/>
  <c r="F49" i="18"/>
  <c r="E49" i="18" a="1"/>
  <c r="E49" i="18"/>
  <c r="B49" i="18" s="1"/>
  <c r="D49" i="18" a="1"/>
  <c r="D49" i="18" s="1"/>
  <c r="F45" i="18" a="1"/>
  <c r="F45" i="18" s="1"/>
  <c r="E45" i="18" a="1"/>
  <c r="E45" i="18" s="1"/>
  <c r="B45" i="18" s="1"/>
  <c r="C45" i="18" s="1"/>
  <c r="D45" i="18" a="1"/>
  <c r="D45" i="18" s="1"/>
  <c r="F44" i="18" a="1"/>
  <c r="F44" i="18"/>
  <c r="E44" i="18" a="1"/>
  <c r="E44" i="18" s="1"/>
  <c r="B44" i="18" s="1"/>
  <c r="C44" i="18" s="1"/>
  <c r="D44" i="18" a="1"/>
  <c r="D44" i="18" s="1"/>
  <c r="F43" i="18" a="1"/>
  <c r="F43" i="18" s="1"/>
  <c r="E43" i="18" a="1"/>
  <c r="E43" i="18" s="1"/>
  <c r="B43" i="18" s="1"/>
  <c r="C43" i="18" s="1"/>
  <c r="D43" i="18" a="1"/>
  <c r="D43" i="18"/>
  <c r="F42" i="18" a="1"/>
  <c r="F42" i="18"/>
  <c r="E42" i="18" a="1"/>
  <c r="E42" i="18" s="1"/>
  <c r="B42" i="18" s="1"/>
  <c r="C42" i="18" s="1"/>
  <c r="D42" i="18" a="1"/>
  <c r="D42" i="18" s="1"/>
  <c r="F41" i="18" a="1"/>
  <c r="F41" i="18" s="1"/>
  <c r="E41" i="18" a="1"/>
  <c r="E41" i="18" s="1"/>
  <c r="D41" i="18" a="1"/>
  <c r="D41" i="18" s="1"/>
  <c r="B41" i="18"/>
  <c r="C41" i="18" s="1"/>
  <c r="F40" i="18" a="1"/>
  <c r="F40" i="18" s="1"/>
  <c r="E40" i="18" a="1"/>
  <c r="E40" i="18" s="1"/>
  <c r="D40" i="18" a="1"/>
  <c r="D40" i="18"/>
  <c r="C40" i="18"/>
  <c r="B40" i="18"/>
  <c r="F39" i="18" a="1"/>
  <c r="F39" i="18" s="1"/>
  <c r="E39" i="18" a="1"/>
  <c r="E39" i="18" s="1"/>
  <c r="D39" i="18" a="1"/>
  <c r="D39" i="18"/>
  <c r="C39" i="18"/>
  <c r="B39" i="18"/>
  <c r="F38" i="18" a="1"/>
  <c r="F38" i="18"/>
  <c r="E38" i="18" a="1"/>
  <c r="E38" i="18" s="1"/>
  <c r="D38" i="18" a="1"/>
  <c r="D38" i="18" s="1"/>
  <c r="B38" i="18"/>
  <c r="C38" i="18" s="1"/>
  <c r="F37" i="18" a="1"/>
  <c r="F37" i="18" s="1"/>
  <c r="E37" i="18" a="1"/>
  <c r="E37" i="18" s="1"/>
  <c r="B37" i="18" s="1"/>
  <c r="D37" i="18" a="1"/>
  <c r="D37" i="18"/>
  <c r="F33" i="18" a="1"/>
  <c r="F33" i="18" s="1"/>
  <c r="E33" i="18" a="1"/>
  <c r="E33" i="18" s="1"/>
  <c r="B33" i="18" s="1"/>
  <c r="C33" i="18" s="1"/>
  <c r="D33" i="18" a="1"/>
  <c r="D33" i="18" s="1"/>
  <c r="F32" i="18" a="1"/>
  <c r="F32" i="18" s="1"/>
  <c r="E32" i="18" a="1"/>
  <c r="E32" i="18"/>
  <c r="B32" i="18" s="1"/>
  <c r="C32" i="18" s="1"/>
  <c r="D32" i="18" a="1"/>
  <c r="D32" i="18"/>
  <c r="F31" i="18" a="1"/>
  <c r="F31" i="18" s="1"/>
  <c r="E31" i="18" a="1"/>
  <c r="E31" i="18" s="1"/>
  <c r="B31" i="18" s="1"/>
  <c r="C31" i="18" s="1"/>
  <c r="D31" i="18" a="1"/>
  <c r="D31" i="18" s="1"/>
  <c r="F30" i="18" a="1"/>
  <c r="F30" i="18" s="1"/>
  <c r="E30" i="18" a="1"/>
  <c r="E30" i="18"/>
  <c r="B30" i="18" s="1"/>
  <c r="C30" i="18" s="1"/>
  <c r="D30" i="18" a="1"/>
  <c r="D30" i="18"/>
  <c r="F29" i="18" a="1"/>
  <c r="F29" i="18" s="1"/>
  <c r="E29" i="18" a="1"/>
  <c r="E29" i="18" s="1"/>
  <c r="B29" i="18" s="1"/>
  <c r="D29" i="18" a="1"/>
  <c r="D29" i="18" s="1"/>
  <c r="C29" i="18"/>
  <c r="F28" i="18" a="1"/>
  <c r="F28" i="18" s="1"/>
  <c r="E28" i="18" a="1"/>
  <c r="E28" i="18"/>
  <c r="D28" i="18" a="1"/>
  <c r="D28" i="18"/>
  <c r="B28" i="18"/>
  <c r="C28" i="18" s="1"/>
  <c r="F27" i="18" a="1"/>
  <c r="F27" i="18" s="1"/>
  <c r="E27" i="18" a="1"/>
  <c r="E27" i="18" s="1"/>
  <c r="B27" i="18" s="1"/>
  <c r="C27" i="18" s="1"/>
  <c r="D27" i="18" a="1"/>
  <c r="D27" i="18"/>
  <c r="F26" i="18" a="1"/>
  <c r="F26" i="18" s="1"/>
  <c r="E26" i="18" a="1"/>
  <c r="E26" i="18" s="1"/>
  <c r="B26" i="18" s="1"/>
  <c r="C26" i="18" s="1"/>
  <c r="D26" i="18" a="1"/>
  <c r="D26" i="18"/>
  <c r="F25" i="18" a="1"/>
  <c r="F25" i="18" s="1"/>
  <c r="E25" i="18" a="1"/>
  <c r="E25" i="18" s="1"/>
  <c r="D25" i="18" a="1"/>
  <c r="D25" i="18" s="1"/>
  <c r="B25" i="18"/>
  <c r="C25" i="18" s="1"/>
  <c r="F24" i="18" a="1"/>
  <c r="F24" i="18" s="1"/>
  <c r="E24" i="18" a="1"/>
  <c r="E24" i="18" s="1"/>
  <c r="B24" i="18" s="1"/>
  <c r="C24" i="18" s="1"/>
  <c r="D24" i="18" a="1"/>
  <c r="D24" i="18" s="1"/>
  <c r="F23" i="18" a="1"/>
  <c r="F23" i="18" s="1"/>
  <c r="E23" i="18" a="1"/>
  <c r="E23" i="18" s="1"/>
  <c r="B23" i="18" s="1"/>
  <c r="D23" i="18" a="1"/>
  <c r="D23" i="18" s="1"/>
  <c r="F19" i="18" a="1"/>
  <c r="F19" i="18" s="1"/>
  <c r="E19" i="18" a="1"/>
  <c r="E19" i="18" s="1"/>
  <c r="B19" i="18" s="1"/>
  <c r="C19" i="18" s="1"/>
  <c r="D19" i="18" a="1"/>
  <c r="D19" i="18" s="1"/>
  <c r="F18" i="18" a="1"/>
  <c r="F18" i="18"/>
  <c r="E18" i="18" a="1"/>
  <c r="E18" i="18" s="1"/>
  <c r="B18" i="18" s="1"/>
  <c r="C18" i="18" s="1"/>
  <c r="D18" i="18" a="1"/>
  <c r="D18" i="18" s="1"/>
  <c r="F17" i="18" a="1"/>
  <c r="F17" i="18"/>
  <c r="E17" i="18" a="1"/>
  <c r="E17" i="18" s="1"/>
  <c r="B17" i="18" s="1"/>
  <c r="C17" i="18" s="1"/>
  <c r="D17" i="18" a="1"/>
  <c r="D17" i="18" s="1"/>
  <c r="F16" i="18" a="1"/>
  <c r="F16" i="18" s="1"/>
  <c r="E16" i="18" a="1"/>
  <c r="E16" i="18"/>
  <c r="B16" i="18" s="1"/>
  <c r="C16" i="18" s="1"/>
  <c r="D16" i="18" a="1"/>
  <c r="D16" i="18"/>
  <c r="F15" i="18" a="1"/>
  <c r="F15" i="18" s="1"/>
  <c r="E15" i="18" a="1"/>
  <c r="E15" i="18"/>
  <c r="B15" i="18" s="1"/>
  <c r="D15" i="18" a="1"/>
  <c r="D15" i="18"/>
  <c r="C15" i="18"/>
  <c r="F14" i="18" a="1"/>
  <c r="F14" i="18" s="1"/>
  <c r="E14" i="18" a="1"/>
  <c r="E14" i="18" s="1"/>
  <c r="B14" i="18" s="1"/>
  <c r="C14" i="18" s="1"/>
  <c r="D14" i="18" a="1"/>
  <c r="D14" i="18"/>
  <c r="F13" i="18" a="1"/>
  <c r="F13" i="18"/>
  <c r="E13" i="18" a="1"/>
  <c r="E13" i="18" s="1"/>
  <c r="B13" i="18" s="1"/>
  <c r="D13" i="18" a="1"/>
  <c r="D13" i="18"/>
  <c r="C13" i="18"/>
  <c r="F12" i="18" a="1"/>
  <c r="F12" i="18" s="1"/>
  <c r="E12" i="18" a="1"/>
  <c r="E12" i="18" s="1"/>
  <c r="B12" i="18" s="1"/>
  <c r="C12" i="18" s="1"/>
  <c r="D12" i="18" a="1"/>
  <c r="D12" i="18" s="1"/>
  <c r="F11" i="18" a="1"/>
  <c r="F11" i="18" s="1"/>
  <c r="E11" i="18" a="1"/>
  <c r="E11" i="18" s="1"/>
  <c r="B11" i="18" s="1"/>
  <c r="C11" i="18" s="1"/>
  <c r="D11" i="18" a="1"/>
  <c r="D11" i="18" s="1"/>
  <c r="F10" i="18" a="1"/>
  <c r="F10" i="18" s="1"/>
  <c r="E10" i="18" a="1"/>
  <c r="E10" i="18"/>
  <c r="B10" i="18" s="1"/>
  <c r="C10" i="18" s="1"/>
  <c r="D10" i="18" a="1"/>
  <c r="D10" i="18" s="1"/>
  <c r="F9" i="18" a="1"/>
  <c r="F9" i="18"/>
  <c r="E9" i="18" a="1"/>
  <c r="E9" i="18"/>
  <c r="B9" i="18" s="1"/>
  <c r="C9" i="18" s="1"/>
  <c r="D9" i="18" a="1"/>
  <c r="D9" i="18" s="1"/>
  <c r="F8" i="18" a="1"/>
  <c r="F8" i="18" s="1"/>
  <c r="E8" i="18" a="1"/>
  <c r="E8" i="18"/>
  <c r="B8" i="18" s="1"/>
  <c r="D8" i="18" a="1"/>
  <c r="D8" i="18" s="1"/>
  <c r="C8" i="18"/>
  <c r="C20" i="18" s="1"/>
  <c r="C237" i="16"/>
  <c r="C236" i="16"/>
  <c r="C235" i="16"/>
  <c r="C234" i="16"/>
  <c r="C233" i="16"/>
  <c r="C232" i="16"/>
  <c r="C231" i="16"/>
  <c r="C230" i="16"/>
  <c r="C229" i="16"/>
  <c r="C228" i="16"/>
  <c r="C227" i="16"/>
  <c r="C226" i="16"/>
  <c r="C225" i="16"/>
  <c r="C224" i="16"/>
  <c r="C223" i="16"/>
  <c r="C222" i="16"/>
  <c r="C221" i="16"/>
  <c r="C220" i="16"/>
  <c r="C219" i="16"/>
  <c r="C218" i="16"/>
  <c r="C217" i="16"/>
  <c r="C216" i="16"/>
  <c r="C215" i="16"/>
  <c r="C214" i="16"/>
  <c r="C213" i="16"/>
  <c r="C212" i="16"/>
  <c r="C211" i="16"/>
  <c r="C210" i="16"/>
  <c r="J205" i="16"/>
  <c r="F207" i="20" s="1"/>
  <c r="E205" i="16"/>
  <c r="D205" i="16"/>
  <c r="L204" i="16"/>
  <c r="J204" i="16"/>
  <c r="F206" i="20" s="1"/>
  <c r="I204" i="16"/>
  <c r="K204" i="16" s="1"/>
  <c r="E204" i="16"/>
  <c r="M204" i="16" s="1"/>
  <c r="D204" i="16"/>
  <c r="H204" i="16" s="1"/>
  <c r="E206" i="20" s="1"/>
  <c r="J203" i="16"/>
  <c r="H203" i="16"/>
  <c r="E205" i="20" s="1"/>
  <c r="E203" i="16"/>
  <c r="D203" i="16"/>
  <c r="D205" i="20" s="1"/>
  <c r="O202" i="16"/>
  <c r="G204" i="20" s="1"/>
  <c r="J202" i="16"/>
  <c r="H202" i="16"/>
  <c r="E204" i="20" s="1"/>
  <c r="E202" i="16"/>
  <c r="L202" i="16" s="1"/>
  <c r="D202" i="16"/>
  <c r="D204" i="20" s="1"/>
  <c r="O201" i="16"/>
  <c r="G203" i="20" s="1"/>
  <c r="M201" i="16"/>
  <c r="J201" i="16"/>
  <c r="F203" i="20" s="1"/>
  <c r="I201" i="16"/>
  <c r="H201" i="16"/>
  <c r="E203" i="20" s="1"/>
  <c r="E201" i="16"/>
  <c r="D201" i="16"/>
  <c r="D203" i="20" s="1"/>
  <c r="J200" i="16"/>
  <c r="F202" i="20" s="1"/>
  <c r="E200" i="16"/>
  <c r="L200" i="16" s="1"/>
  <c r="D200" i="16"/>
  <c r="J199" i="16"/>
  <c r="F201" i="20" s="1"/>
  <c r="E199" i="16"/>
  <c r="D199" i="16"/>
  <c r="J198" i="16"/>
  <c r="E198" i="16"/>
  <c r="D198" i="16"/>
  <c r="J197" i="16"/>
  <c r="F199" i="20" s="1"/>
  <c r="I197" i="16"/>
  <c r="E197" i="16"/>
  <c r="D197" i="16"/>
  <c r="L196" i="16"/>
  <c r="J196" i="16"/>
  <c r="F198" i="20" s="1"/>
  <c r="E196" i="16"/>
  <c r="M196" i="16" s="1"/>
  <c r="D196" i="16"/>
  <c r="O195" i="16"/>
  <c r="G197" i="20" s="1"/>
  <c r="K195" i="16"/>
  <c r="J195" i="16"/>
  <c r="F197" i="20" s="1"/>
  <c r="I195" i="16"/>
  <c r="H195" i="16"/>
  <c r="E197" i="20" s="1"/>
  <c r="E195" i="16"/>
  <c r="M195" i="16" s="1"/>
  <c r="D195" i="16"/>
  <c r="D197" i="20" s="1"/>
  <c r="J194" i="16"/>
  <c r="F196" i="20" s="1"/>
  <c r="H194" i="16"/>
  <c r="E196" i="20" s="1"/>
  <c r="E194" i="16"/>
  <c r="L194" i="16" s="1"/>
  <c r="D194" i="16"/>
  <c r="D196" i="20" s="1"/>
  <c r="O193" i="16"/>
  <c r="G195" i="20" s="1"/>
  <c r="J193" i="16"/>
  <c r="F195" i="20" s="1"/>
  <c r="I193" i="16"/>
  <c r="H193" i="16"/>
  <c r="E195" i="20" s="1"/>
  <c r="E193" i="16"/>
  <c r="D193" i="16"/>
  <c r="D195" i="20" s="1"/>
  <c r="J192" i="16"/>
  <c r="F194" i="20" s="1"/>
  <c r="H192" i="16"/>
  <c r="E194" i="20" s="1"/>
  <c r="E192" i="16"/>
  <c r="D192" i="16"/>
  <c r="D194" i="20" s="1"/>
  <c r="M191" i="16"/>
  <c r="L191" i="16"/>
  <c r="J191" i="16"/>
  <c r="F193" i="20" s="1"/>
  <c r="E191" i="16"/>
  <c r="D191" i="16"/>
  <c r="J190" i="16"/>
  <c r="E190" i="16"/>
  <c r="D190" i="16"/>
  <c r="L189" i="16"/>
  <c r="J189" i="16"/>
  <c r="F191" i="20" s="1"/>
  <c r="E189" i="16"/>
  <c r="D189" i="16"/>
  <c r="J188" i="16"/>
  <c r="F190" i="20" s="1"/>
  <c r="H188" i="16"/>
  <c r="E190" i="20" s="1"/>
  <c r="E188" i="16"/>
  <c r="F228" i="16" s="1"/>
  <c r="D188" i="16"/>
  <c r="J187" i="16"/>
  <c r="H187" i="16"/>
  <c r="E189" i="20" s="1"/>
  <c r="E187" i="16"/>
  <c r="D187" i="16"/>
  <c r="D189" i="20" s="1"/>
  <c r="O186" i="16"/>
  <c r="G188" i="20" s="1"/>
  <c r="J186" i="16"/>
  <c r="H186" i="16"/>
  <c r="E188" i="20" s="1"/>
  <c r="E186" i="16"/>
  <c r="L186" i="16" s="1"/>
  <c r="D186" i="16"/>
  <c r="D188" i="20" s="1"/>
  <c r="O185" i="16"/>
  <c r="G187" i="20" s="1"/>
  <c r="M185" i="16"/>
  <c r="J185" i="16"/>
  <c r="F187" i="20" s="1"/>
  <c r="I185" i="16"/>
  <c r="H185" i="16"/>
  <c r="E187" i="20" s="1"/>
  <c r="E185" i="16"/>
  <c r="D185" i="16"/>
  <c r="D187" i="20" s="1"/>
  <c r="J184" i="16"/>
  <c r="I184" i="16" s="1"/>
  <c r="E184" i="16"/>
  <c r="D184" i="16"/>
  <c r="J183" i="16"/>
  <c r="F185" i="20" s="1"/>
  <c r="E183" i="16"/>
  <c r="D183" i="16"/>
  <c r="J182" i="16"/>
  <c r="E182" i="16"/>
  <c r="D182" i="16"/>
  <c r="L181" i="16"/>
  <c r="K181" i="16"/>
  <c r="J181" i="16"/>
  <c r="F183" i="20" s="1"/>
  <c r="I181" i="16"/>
  <c r="E181" i="16"/>
  <c r="M181" i="16" s="1"/>
  <c r="D181" i="16"/>
  <c r="L180" i="16"/>
  <c r="J180" i="16"/>
  <c r="F182" i="20" s="1"/>
  <c r="I180" i="16"/>
  <c r="K180" i="16" s="1"/>
  <c r="E180" i="16"/>
  <c r="M180" i="16" s="1"/>
  <c r="D180" i="16"/>
  <c r="J179" i="16"/>
  <c r="F181" i="20" s="1"/>
  <c r="I179" i="16"/>
  <c r="K179" i="16" s="1"/>
  <c r="O179" i="16" s="1"/>
  <c r="G181" i="20" s="1"/>
  <c r="H179" i="16"/>
  <c r="E181" i="20" s="1"/>
  <c r="E179" i="16"/>
  <c r="M179" i="16" s="1"/>
  <c r="D179" i="16"/>
  <c r="D181" i="20" s="1"/>
  <c r="O178" i="16"/>
  <c r="G180" i="20" s="1"/>
  <c r="J178" i="16"/>
  <c r="F180" i="20" s="1"/>
  <c r="H178" i="16"/>
  <c r="E180" i="20" s="1"/>
  <c r="E178" i="16"/>
  <c r="D178" i="16"/>
  <c r="D180" i="20" s="1"/>
  <c r="O177" i="16"/>
  <c r="G179" i="20" s="1"/>
  <c r="M177" i="16"/>
  <c r="L177" i="16"/>
  <c r="J177" i="16"/>
  <c r="F179" i="20" s="1"/>
  <c r="I177" i="16"/>
  <c r="E177" i="16"/>
  <c r="D177" i="16"/>
  <c r="D179" i="20" s="1"/>
  <c r="O176" i="16"/>
  <c r="G178" i="20" s="1"/>
  <c r="J176" i="16"/>
  <c r="F178" i="20" s="1"/>
  <c r="H176" i="16"/>
  <c r="E178" i="20" s="1"/>
  <c r="E176" i="16"/>
  <c r="D176" i="16"/>
  <c r="D178" i="20" s="1"/>
  <c r="J175" i="16"/>
  <c r="E175" i="16"/>
  <c r="D175" i="16"/>
  <c r="J174" i="16"/>
  <c r="E174" i="16"/>
  <c r="D174" i="16"/>
  <c r="M173" i="16"/>
  <c r="L173" i="16"/>
  <c r="J173" i="16"/>
  <c r="F175" i="20" s="1"/>
  <c r="E173" i="16"/>
  <c r="D173" i="16"/>
  <c r="K172" i="16"/>
  <c r="L172" i="16" s="1"/>
  <c r="J172" i="16"/>
  <c r="F174" i="20" s="1"/>
  <c r="I172" i="16"/>
  <c r="H172" i="16"/>
  <c r="E174" i="20" s="1"/>
  <c r="E172" i="16"/>
  <c r="D172" i="16"/>
  <c r="D174" i="20" s="1"/>
  <c r="O171" i="16"/>
  <c r="G173" i="20" s="1"/>
  <c r="J171" i="16"/>
  <c r="F173" i="20" s="1"/>
  <c r="I171" i="16"/>
  <c r="K171" i="16" s="1"/>
  <c r="H171" i="16"/>
  <c r="E173" i="20" s="1"/>
  <c r="E171" i="16"/>
  <c r="M171" i="16" s="1"/>
  <c r="D171" i="16"/>
  <c r="D173" i="20" s="1"/>
  <c r="O170" i="16"/>
  <c r="G172" i="20" s="1"/>
  <c r="J170" i="16"/>
  <c r="F172" i="20" s="1"/>
  <c r="H170" i="16"/>
  <c r="E172" i="20" s="1"/>
  <c r="E170" i="16"/>
  <c r="D170" i="16"/>
  <c r="D172" i="20" s="1"/>
  <c r="J169" i="16"/>
  <c r="F171" i="20" s="1"/>
  <c r="I169" i="16"/>
  <c r="M169" i="16" s="1"/>
  <c r="E169" i="16"/>
  <c r="D169" i="16"/>
  <c r="D171" i="20" s="1"/>
  <c r="J168" i="16"/>
  <c r="F170" i="20" s="1"/>
  <c r="E168" i="16"/>
  <c r="D168" i="16"/>
  <c r="D170" i="20" s="1"/>
  <c r="J167" i="16"/>
  <c r="E167" i="16"/>
  <c r="D167" i="16"/>
  <c r="M166" i="16"/>
  <c r="J166" i="16"/>
  <c r="E166" i="16"/>
  <c r="F230" i="16" s="1"/>
  <c r="D166" i="16"/>
  <c r="M165" i="16"/>
  <c r="L165" i="16"/>
  <c r="J165" i="16"/>
  <c r="F167" i="20" s="1"/>
  <c r="I165" i="16"/>
  <c r="K165" i="16" s="1"/>
  <c r="H165" i="16"/>
  <c r="E167" i="20" s="1"/>
  <c r="E165" i="16"/>
  <c r="D165" i="16"/>
  <c r="L164" i="16"/>
  <c r="J164" i="16"/>
  <c r="F166" i="20" s="1"/>
  <c r="I164" i="16"/>
  <c r="K164" i="16" s="1"/>
  <c r="H164" i="16"/>
  <c r="E166" i="20" s="1"/>
  <c r="E164" i="16"/>
  <c r="D164" i="16"/>
  <c r="D166" i="20" s="1"/>
  <c r="J163" i="16"/>
  <c r="F165" i="20" s="1"/>
  <c r="I163" i="16"/>
  <c r="K163" i="16" s="1"/>
  <c r="O163" i="16" s="1"/>
  <c r="G165" i="20" s="1"/>
  <c r="H163" i="16"/>
  <c r="E165" i="20" s="1"/>
  <c r="E163" i="16"/>
  <c r="M163" i="16" s="1"/>
  <c r="D163" i="16"/>
  <c r="D165" i="20" s="1"/>
  <c r="O162" i="16"/>
  <c r="G164" i="20" s="1"/>
  <c r="J162" i="16"/>
  <c r="H162" i="16"/>
  <c r="E164" i="20" s="1"/>
  <c r="E162" i="16"/>
  <c r="D162" i="16"/>
  <c r="D164" i="20" s="1"/>
  <c r="J161" i="16"/>
  <c r="F163" i="20" s="1"/>
  <c r="I161" i="16"/>
  <c r="E161" i="16"/>
  <c r="D161" i="16"/>
  <c r="D163" i="20" s="1"/>
  <c r="J160" i="16"/>
  <c r="F162" i="20" s="1"/>
  <c r="E160" i="16"/>
  <c r="D160" i="16"/>
  <c r="D162" i="20" s="1"/>
  <c r="O159" i="16"/>
  <c r="G161" i="20" s="1"/>
  <c r="J159" i="16"/>
  <c r="E159" i="16"/>
  <c r="D159" i="16"/>
  <c r="J158" i="16"/>
  <c r="E158" i="16"/>
  <c r="D158" i="16"/>
  <c r="M157" i="16"/>
  <c r="L157" i="16"/>
  <c r="J157" i="16"/>
  <c r="F159" i="20" s="1"/>
  <c r="I157" i="16"/>
  <c r="K157" i="16" s="1"/>
  <c r="H157" i="16"/>
  <c r="E159" i="20" s="1"/>
  <c r="E157" i="16"/>
  <c r="D157" i="16"/>
  <c r="J156" i="16"/>
  <c r="F158" i="20" s="1"/>
  <c r="I156" i="16"/>
  <c r="K156" i="16" s="1"/>
  <c r="L156" i="16" s="1"/>
  <c r="H156" i="16"/>
  <c r="E158" i="20" s="1"/>
  <c r="E156" i="16"/>
  <c r="D156" i="16"/>
  <c r="O155" i="16"/>
  <c r="G157" i="20" s="1"/>
  <c r="J155" i="16"/>
  <c r="F157" i="20" s="1"/>
  <c r="I155" i="16"/>
  <c r="K155" i="16" s="1"/>
  <c r="H155" i="16"/>
  <c r="E157" i="20" s="1"/>
  <c r="E155" i="16"/>
  <c r="M155" i="16" s="1"/>
  <c r="D155" i="16"/>
  <c r="D157" i="20" s="1"/>
  <c r="J154" i="16"/>
  <c r="F156" i="20" s="1"/>
  <c r="I154" i="16"/>
  <c r="E154" i="16"/>
  <c r="D154" i="16"/>
  <c r="D156" i="20" s="1"/>
  <c r="J153" i="16"/>
  <c r="F155" i="20" s="1"/>
  <c r="I153" i="16"/>
  <c r="M153" i="16" s="1"/>
  <c r="E153" i="16"/>
  <c r="D153" i="16"/>
  <c r="D155" i="20" s="1"/>
  <c r="O152" i="16"/>
  <c r="G154" i="20" s="1"/>
  <c r="L152" i="16"/>
  <c r="J152" i="16"/>
  <c r="F154" i="20" s="1"/>
  <c r="H152" i="16"/>
  <c r="E154" i="20" s="1"/>
  <c r="E152" i="16"/>
  <c r="D152" i="16"/>
  <c r="D154" i="20" s="1"/>
  <c r="J151" i="16"/>
  <c r="E151" i="16"/>
  <c r="D151" i="16"/>
  <c r="M150" i="16"/>
  <c r="J150" i="16"/>
  <c r="E150" i="16"/>
  <c r="L150" i="16" s="1"/>
  <c r="D150" i="16"/>
  <c r="J149" i="16"/>
  <c r="F151" i="20" s="1"/>
  <c r="E149" i="16"/>
  <c r="F223" i="16" s="1"/>
  <c r="D149" i="16"/>
  <c r="H149" i="16" s="1"/>
  <c r="E151" i="20" s="1"/>
  <c r="L148" i="16"/>
  <c r="J148" i="16"/>
  <c r="F150" i="20" s="1"/>
  <c r="E148" i="16"/>
  <c r="M148" i="16" s="1"/>
  <c r="D148" i="16"/>
  <c r="O147" i="16"/>
  <c r="G149" i="20" s="1"/>
  <c r="J147" i="16"/>
  <c r="F149" i="20" s="1"/>
  <c r="I147" i="16"/>
  <c r="K147" i="16" s="1"/>
  <c r="H147" i="16"/>
  <c r="E149" i="20" s="1"/>
  <c r="E147" i="16"/>
  <c r="M147" i="16" s="1"/>
  <c r="D147" i="16"/>
  <c r="D149" i="20" s="1"/>
  <c r="J146" i="16"/>
  <c r="F148" i="20" s="1"/>
  <c r="I146" i="16"/>
  <c r="E146" i="16"/>
  <c r="D146" i="16"/>
  <c r="D148" i="20" s="1"/>
  <c r="J145" i="16"/>
  <c r="F147" i="20" s="1"/>
  <c r="I145" i="16"/>
  <c r="M145" i="16" s="1"/>
  <c r="E145" i="16"/>
  <c r="D145" i="16"/>
  <c r="D147" i="20" s="1"/>
  <c r="O144" i="16"/>
  <c r="G146" i="20" s="1"/>
  <c r="J144" i="16"/>
  <c r="F146" i="20" s="1"/>
  <c r="H144" i="16"/>
  <c r="E146" i="20" s="1"/>
  <c r="E144" i="16"/>
  <c r="D144" i="16"/>
  <c r="O143" i="16"/>
  <c r="G145" i="20" s="1"/>
  <c r="J143" i="16"/>
  <c r="E143" i="16"/>
  <c r="D143" i="16"/>
  <c r="J142" i="16"/>
  <c r="E142" i="16"/>
  <c r="D142" i="16"/>
  <c r="J141" i="16"/>
  <c r="E141" i="16"/>
  <c r="D141" i="16"/>
  <c r="O140" i="16"/>
  <c r="G142" i="20" s="1"/>
  <c r="L140" i="16"/>
  <c r="K140" i="16"/>
  <c r="J140" i="16"/>
  <c r="F142" i="20" s="1"/>
  <c r="I140" i="16"/>
  <c r="H140" i="16"/>
  <c r="E142" i="20" s="1"/>
  <c r="E140" i="16"/>
  <c r="D140" i="16"/>
  <c r="D142" i="20" s="1"/>
  <c r="J139" i="16"/>
  <c r="F141" i="20" s="1"/>
  <c r="I139" i="16"/>
  <c r="K139" i="16" s="1"/>
  <c r="O139" i="16" s="1"/>
  <c r="G141" i="20" s="1"/>
  <c r="H139" i="16"/>
  <c r="E141" i="20" s="1"/>
  <c r="E139" i="16"/>
  <c r="M139" i="16" s="1"/>
  <c r="D139" i="16"/>
  <c r="D141" i="20" s="1"/>
  <c r="O138" i="16"/>
  <c r="G140" i="20" s="1"/>
  <c r="J138" i="16"/>
  <c r="H138" i="16"/>
  <c r="E140" i="20" s="1"/>
  <c r="E138" i="16"/>
  <c r="D138" i="16"/>
  <c r="D140" i="20" s="1"/>
  <c r="J137" i="16"/>
  <c r="F139" i="20" s="1"/>
  <c r="I137" i="16"/>
  <c r="M137" i="16" s="1"/>
  <c r="E137" i="16"/>
  <c r="D137" i="16"/>
  <c r="J136" i="16"/>
  <c r="F138" i="20" s="1"/>
  <c r="E136" i="16"/>
  <c r="H136" i="16" s="1"/>
  <c r="E138" i="20" s="1"/>
  <c r="D136" i="16"/>
  <c r="J135" i="16"/>
  <c r="E135" i="16"/>
  <c r="D135" i="16"/>
  <c r="J134" i="16"/>
  <c r="E134" i="16"/>
  <c r="D134" i="16"/>
  <c r="M133" i="16"/>
  <c r="J133" i="16"/>
  <c r="F135" i="20" s="1"/>
  <c r="I133" i="16"/>
  <c r="K133" i="16" s="1"/>
  <c r="L133" i="16" s="1"/>
  <c r="H133" i="16"/>
  <c r="E135" i="20" s="1"/>
  <c r="E133" i="16"/>
  <c r="D133" i="16"/>
  <c r="J132" i="16"/>
  <c r="F134" i="20" s="1"/>
  <c r="E132" i="16"/>
  <c r="D132" i="16"/>
  <c r="O131" i="16"/>
  <c r="G133" i="20" s="1"/>
  <c r="J131" i="16"/>
  <c r="F133" i="20" s="1"/>
  <c r="I131" i="16"/>
  <c r="K131" i="16" s="1"/>
  <c r="L131" i="16" s="1"/>
  <c r="H131" i="16"/>
  <c r="E133" i="20" s="1"/>
  <c r="E131" i="16"/>
  <c r="D131" i="16"/>
  <c r="D133" i="20" s="1"/>
  <c r="J130" i="16"/>
  <c r="E130" i="16"/>
  <c r="D130" i="16"/>
  <c r="D132" i="20" s="1"/>
  <c r="J129" i="16"/>
  <c r="F131" i="20" s="1"/>
  <c r="I129" i="16"/>
  <c r="M129" i="16" s="1"/>
  <c r="E129" i="16"/>
  <c r="D129" i="16"/>
  <c r="O128" i="16"/>
  <c r="G130" i="20" s="1"/>
  <c r="L128" i="16"/>
  <c r="J128" i="16"/>
  <c r="F130" i="20" s="1"/>
  <c r="H128" i="16"/>
  <c r="E130" i="20" s="1"/>
  <c r="E128" i="16"/>
  <c r="M128" i="16" s="1"/>
  <c r="D128" i="16"/>
  <c r="D130" i="20" s="1"/>
  <c r="J127" i="16"/>
  <c r="F129" i="20" s="1"/>
  <c r="E127" i="16"/>
  <c r="D127" i="16"/>
  <c r="J126" i="16"/>
  <c r="H126" i="16"/>
  <c r="E128" i="20" s="1"/>
  <c r="E126" i="16"/>
  <c r="D126" i="16"/>
  <c r="J125" i="16"/>
  <c r="E125" i="16"/>
  <c r="D125" i="16"/>
  <c r="J124" i="16"/>
  <c r="E124" i="16"/>
  <c r="D124" i="16"/>
  <c r="J123" i="16"/>
  <c r="H123" i="16"/>
  <c r="E125" i="20" s="1"/>
  <c r="E123" i="16"/>
  <c r="D123" i="16"/>
  <c r="D125" i="20" s="1"/>
  <c r="M122" i="16"/>
  <c r="L122" i="16"/>
  <c r="J122" i="16"/>
  <c r="F124" i="20" s="1"/>
  <c r="E122" i="16"/>
  <c r="D122" i="16"/>
  <c r="J121" i="16"/>
  <c r="F123" i="20" s="1"/>
  <c r="E121" i="16"/>
  <c r="D121" i="16"/>
  <c r="I121" i="16" s="1"/>
  <c r="K120" i="16"/>
  <c r="L120" i="16" s="1"/>
  <c r="J120" i="16"/>
  <c r="F122" i="20" s="1"/>
  <c r="I120" i="16"/>
  <c r="E120" i="16"/>
  <c r="D120" i="16"/>
  <c r="J119" i="16"/>
  <c r="E119" i="16"/>
  <c r="D119" i="16"/>
  <c r="L118" i="16"/>
  <c r="J118" i="16"/>
  <c r="F120" i="20" s="1"/>
  <c r="I118" i="16"/>
  <c r="K118" i="16" s="1"/>
  <c r="E118" i="16"/>
  <c r="M118" i="16" s="1"/>
  <c r="D118" i="16"/>
  <c r="O118" i="16" s="1"/>
  <c r="G120" i="20" s="1"/>
  <c r="J117" i="16"/>
  <c r="F119" i="20" s="1"/>
  <c r="I117" i="16"/>
  <c r="E117" i="16"/>
  <c r="D117" i="16"/>
  <c r="D119" i="20" s="1"/>
  <c r="J116" i="16"/>
  <c r="F118" i="20" s="1"/>
  <c r="I116" i="16"/>
  <c r="E116" i="16"/>
  <c r="D116" i="16"/>
  <c r="O115" i="16"/>
  <c r="G117" i="20" s="1"/>
  <c r="J115" i="16"/>
  <c r="F117" i="20" s="1"/>
  <c r="I115" i="16"/>
  <c r="K115" i="16" s="1"/>
  <c r="L115" i="16" s="1"/>
  <c r="E115" i="16"/>
  <c r="D115" i="16"/>
  <c r="D117" i="20" s="1"/>
  <c r="O114" i="16"/>
  <c r="G116" i="20" s="1"/>
  <c r="J114" i="16"/>
  <c r="H114" i="16"/>
  <c r="E116" i="20" s="1"/>
  <c r="E114" i="16"/>
  <c r="D114" i="16"/>
  <c r="J113" i="16"/>
  <c r="E113" i="16"/>
  <c r="D113" i="16"/>
  <c r="J112" i="16"/>
  <c r="F114" i="20" s="1"/>
  <c r="I112" i="16"/>
  <c r="H112" i="16"/>
  <c r="E114" i="20" s="1"/>
  <c r="E112" i="16"/>
  <c r="M112" i="16" s="1"/>
  <c r="D112" i="16"/>
  <c r="J111" i="16"/>
  <c r="E111" i="16"/>
  <c r="D111" i="16"/>
  <c r="J110" i="16"/>
  <c r="F112" i="20" s="1"/>
  <c r="E110" i="16"/>
  <c r="D110" i="16"/>
  <c r="J109" i="16"/>
  <c r="F111" i="20" s="1"/>
  <c r="I109" i="16"/>
  <c r="H109" i="16"/>
  <c r="E111" i="20" s="1"/>
  <c r="E109" i="16"/>
  <c r="D109" i="16"/>
  <c r="D111" i="20" s="1"/>
  <c r="J108" i="16"/>
  <c r="F110" i="20" s="1"/>
  <c r="E108" i="16"/>
  <c r="D108" i="16"/>
  <c r="J107" i="16"/>
  <c r="F109" i="20" s="1"/>
  <c r="I107" i="16"/>
  <c r="K107" i="16" s="1"/>
  <c r="L107" i="16" s="1"/>
  <c r="E107" i="16"/>
  <c r="D107" i="16"/>
  <c r="D109" i="20" s="1"/>
  <c r="O106" i="16"/>
  <c r="G108" i="20" s="1"/>
  <c r="J106" i="16"/>
  <c r="H106" i="16"/>
  <c r="E108" i="20" s="1"/>
  <c r="E106" i="16"/>
  <c r="L106" i="16" s="1"/>
  <c r="D106" i="16"/>
  <c r="D108" i="20" s="1"/>
  <c r="J105" i="16"/>
  <c r="E105" i="16"/>
  <c r="D105" i="16"/>
  <c r="L104" i="16"/>
  <c r="K104" i="16"/>
  <c r="J104" i="16"/>
  <c r="F106" i="20" s="1"/>
  <c r="I104" i="16"/>
  <c r="E104" i="16"/>
  <c r="D104" i="16"/>
  <c r="O103" i="16"/>
  <c r="G105" i="20" s="1"/>
  <c r="J103" i="16"/>
  <c r="E103" i="16"/>
  <c r="D103" i="16"/>
  <c r="O102" i="16"/>
  <c r="G104" i="20" s="1"/>
  <c r="L102" i="16"/>
  <c r="K102" i="16"/>
  <c r="J102" i="16"/>
  <c r="F104" i="20" s="1"/>
  <c r="I102" i="16"/>
  <c r="E102" i="16"/>
  <c r="M102" i="16" s="1"/>
  <c r="D102" i="16"/>
  <c r="J101" i="16"/>
  <c r="F103" i="20" s="1"/>
  <c r="I101" i="16"/>
  <c r="E101" i="16"/>
  <c r="D101" i="16"/>
  <c r="D103" i="20" s="1"/>
  <c r="J100" i="16"/>
  <c r="F102" i="20" s="1"/>
  <c r="I100" i="16"/>
  <c r="E100" i="16"/>
  <c r="D100" i="16"/>
  <c r="O99" i="16"/>
  <c r="G101" i="20" s="1"/>
  <c r="J99" i="16"/>
  <c r="F101" i="20" s="1"/>
  <c r="I99" i="16"/>
  <c r="K99" i="16" s="1"/>
  <c r="L99" i="16" s="1"/>
  <c r="E99" i="16"/>
  <c r="M99" i="16" s="1"/>
  <c r="D99" i="16"/>
  <c r="D101" i="20" s="1"/>
  <c r="O98" i="16"/>
  <c r="G100" i="20" s="1"/>
  <c r="M98" i="16"/>
  <c r="J98" i="16"/>
  <c r="H98" i="16"/>
  <c r="E100" i="20" s="1"/>
  <c r="E98" i="16"/>
  <c r="L98" i="16" s="1"/>
  <c r="D98" i="16"/>
  <c r="D100" i="20" s="1"/>
  <c r="J97" i="16"/>
  <c r="E97" i="16"/>
  <c r="D97" i="16"/>
  <c r="K96" i="16"/>
  <c r="J96" i="16"/>
  <c r="F98" i="20" s="1"/>
  <c r="I96" i="16"/>
  <c r="E96" i="16"/>
  <c r="M96" i="16" s="1"/>
  <c r="D96" i="16"/>
  <c r="J95" i="16"/>
  <c r="E95" i="16"/>
  <c r="D95" i="16"/>
  <c r="O94" i="16"/>
  <c r="G96" i="20" s="1"/>
  <c r="L94" i="16"/>
  <c r="K94" i="16"/>
  <c r="J94" i="16"/>
  <c r="F96" i="20" s="1"/>
  <c r="I94" i="16"/>
  <c r="E94" i="16"/>
  <c r="M94" i="16" s="1"/>
  <c r="D94" i="16"/>
  <c r="J93" i="16"/>
  <c r="H93" i="16"/>
  <c r="E95" i="20" s="1"/>
  <c r="E93" i="16"/>
  <c r="D93" i="16"/>
  <c r="D95" i="20" s="1"/>
  <c r="J92" i="16"/>
  <c r="F94" i="20" s="1"/>
  <c r="E92" i="16"/>
  <c r="D92" i="16"/>
  <c r="O91" i="16"/>
  <c r="G93" i="20" s="1"/>
  <c r="J91" i="16"/>
  <c r="F93" i="20" s="1"/>
  <c r="I91" i="16"/>
  <c r="K91" i="16" s="1"/>
  <c r="L91" i="16" s="1"/>
  <c r="E91" i="16"/>
  <c r="M91" i="16" s="1"/>
  <c r="D91" i="16"/>
  <c r="D93" i="20" s="1"/>
  <c r="J90" i="16"/>
  <c r="E90" i="16"/>
  <c r="D90" i="16"/>
  <c r="D92" i="20" s="1"/>
  <c r="J89" i="16"/>
  <c r="E89" i="16"/>
  <c r="D89" i="16"/>
  <c r="J88" i="16"/>
  <c r="F90" i="20" s="1"/>
  <c r="I88" i="16"/>
  <c r="E88" i="16"/>
  <c r="K88" i="16" s="1"/>
  <c r="D88" i="16"/>
  <c r="J87" i="16"/>
  <c r="E87" i="16"/>
  <c r="D87" i="16"/>
  <c r="O87" i="16" s="1"/>
  <c r="G89" i="20" s="1"/>
  <c r="O86" i="16"/>
  <c r="G88" i="20" s="1"/>
  <c r="L86" i="16"/>
  <c r="J86" i="16"/>
  <c r="F88" i="20" s="1"/>
  <c r="I86" i="16"/>
  <c r="K86" i="16" s="1"/>
  <c r="E86" i="16"/>
  <c r="M86" i="16" s="1"/>
  <c r="D86" i="16"/>
  <c r="J85" i="16"/>
  <c r="E85" i="16"/>
  <c r="D85" i="16"/>
  <c r="J84" i="16"/>
  <c r="F86" i="20" s="1"/>
  <c r="H84" i="16"/>
  <c r="E86" i="20" s="1"/>
  <c r="E84" i="16"/>
  <c r="D84" i="16"/>
  <c r="J83" i="16"/>
  <c r="F85" i="20" s="1"/>
  <c r="I83" i="16"/>
  <c r="K83" i="16" s="1"/>
  <c r="L83" i="16" s="1"/>
  <c r="E83" i="16"/>
  <c r="D83" i="16"/>
  <c r="O82" i="16"/>
  <c r="G84" i="20" s="1"/>
  <c r="J82" i="16"/>
  <c r="H82" i="16"/>
  <c r="E84" i="20" s="1"/>
  <c r="E82" i="16"/>
  <c r="L82" i="16" s="1"/>
  <c r="D82" i="16"/>
  <c r="D84" i="20" s="1"/>
  <c r="J81" i="16"/>
  <c r="F83" i="20" s="1"/>
  <c r="I81" i="16"/>
  <c r="E81" i="16"/>
  <c r="D81" i="16"/>
  <c r="D83" i="20" s="1"/>
  <c r="L80" i="16"/>
  <c r="J80" i="16"/>
  <c r="F82" i="20" s="1"/>
  <c r="E80" i="16"/>
  <c r="M80" i="16" s="1"/>
  <c r="D80" i="16"/>
  <c r="J79" i="16"/>
  <c r="E79" i="16"/>
  <c r="D79" i="16"/>
  <c r="J78" i="16"/>
  <c r="F80" i="20" s="1"/>
  <c r="I78" i="16"/>
  <c r="E78" i="16"/>
  <c r="D78" i="16"/>
  <c r="J77" i="16"/>
  <c r="E77" i="16"/>
  <c r="D77" i="16"/>
  <c r="J76" i="16"/>
  <c r="F78" i="20" s="1"/>
  <c r="I76" i="16"/>
  <c r="H76" i="16"/>
  <c r="E78" i="20" s="1"/>
  <c r="E76" i="16"/>
  <c r="M76" i="16" s="1"/>
  <c r="D76" i="16"/>
  <c r="L75" i="16"/>
  <c r="J75" i="16"/>
  <c r="F77" i="20" s="1"/>
  <c r="I75" i="16"/>
  <c r="K75" i="16" s="1"/>
  <c r="H75" i="16"/>
  <c r="E77" i="20" s="1"/>
  <c r="E75" i="16"/>
  <c r="D75" i="16"/>
  <c r="D77" i="20" s="1"/>
  <c r="J74" i="16"/>
  <c r="E74" i="16"/>
  <c r="D74" i="16"/>
  <c r="D76" i="20" s="1"/>
  <c r="J73" i="16"/>
  <c r="F75" i="20" s="1"/>
  <c r="E73" i="16"/>
  <c r="D73" i="16"/>
  <c r="O72" i="16"/>
  <c r="G74" i="20" s="1"/>
  <c r="K72" i="16"/>
  <c r="J72" i="16"/>
  <c r="F74" i="20" s="1"/>
  <c r="I72" i="16"/>
  <c r="H72" i="16"/>
  <c r="E74" i="20" s="1"/>
  <c r="E72" i="16"/>
  <c r="M72" i="16" s="1"/>
  <c r="D72" i="16"/>
  <c r="D74" i="20" s="1"/>
  <c r="J71" i="16"/>
  <c r="H71" i="16"/>
  <c r="E73" i="20" s="1"/>
  <c r="E71" i="16"/>
  <c r="D71" i="16"/>
  <c r="J70" i="16"/>
  <c r="F72" i="20" s="1"/>
  <c r="I70" i="16"/>
  <c r="E70" i="16"/>
  <c r="D70" i="16"/>
  <c r="J69" i="16"/>
  <c r="H69" i="16"/>
  <c r="E71" i="20" s="1"/>
  <c r="E69" i="16"/>
  <c r="D69" i="16"/>
  <c r="D234" i="16" s="1"/>
  <c r="J68" i="16"/>
  <c r="F70" i="20" s="1"/>
  <c r="E68" i="16"/>
  <c r="D68" i="16"/>
  <c r="J67" i="16"/>
  <c r="E67" i="16"/>
  <c r="D67" i="16"/>
  <c r="J66" i="16"/>
  <c r="H66" i="16"/>
  <c r="E68" i="20" s="1"/>
  <c r="E66" i="16"/>
  <c r="D66" i="16"/>
  <c r="D68" i="20" s="1"/>
  <c r="J65" i="16"/>
  <c r="F67" i="20" s="1"/>
  <c r="I65" i="16"/>
  <c r="H65" i="16"/>
  <c r="E67" i="20" s="1"/>
  <c r="E65" i="16"/>
  <c r="D65" i="16"/>
  <c r="D67" i="20" s="1"/>
  <c r="J64" i="16"/>
  <c r="F66" i="20" s="1"/>
  <c r="E64" i="16"/>
  <c r="D64" i="16"/>
  <c r="J63" i="16"/>
  <c r="E63" i="16"/>
  <c r="D63" i="16"/>
  <c r="J62" i="16"/>
  <c r="E62" i="16"/>
  <c r="D62" i="16"/>
  <c r="J61" i="16"/>
  <c r="E61" i="16"/>
  <c r="D61" i="16"/>
  <c r="L60" i="16"/>
  <c r="J60" i="16"/>
  <c r="F62" i="20" s="1"/>
  <c r="I60" i="16"/>
  <c r="K60" i="16" s="1"/>
  <c r="O60" i="16" s="1"/>
  <c r="G62" i="20" s="1"/>
  <c r="H60" i="16"/>
  <c r="E62" i="20" s="1"/>
  <c r="E60" i="16"/>
  <c r="D60" i="16"/>
  <c r="D62" i="20" s="1"/>
  <c r="J59" i="16"/>
  <c r="F61" i="20" s="1"/>
  <c r="H59" i="16"/>
  <c r="E61" i="20" s="1"/>
  <c r="E59" i="16"/>
  <c r="D59" i="16"/>
  <c r="D61" i="20" s="1"/>
  <c r="J58" i="16"/>
  <c r="E58" i="16"/>
  <c r="D58" i="16"/>
  <c r="D60" i="20" s="1"/>
  <c r="L57" i="16"/>
  <c r="J57" i="16"/>
  <c r="F59" i="20" s="1"/>
  <c r="E57" i="16"/>
  <c r="M57" i="16" s="1"/>
  <c r="D57" i="16"/>
  <c r="K56" i="16"/>
  <c r="O56" i="16" s="1"/>
  <c r="G58" i="20" s="1"/>
  <c r="J56" i="16"/>
  <c r="F58" i="20" s="1"/>
  <c r="I56" i="16"/>
  <c r="H56" i="16"/>
  <c r="E58" i="20" s="1"/>
  <c r="E56" i="16"/>
  <c r="M56" i="16" s="1"/>
  <c r="D56" i="16"/>
  <c r="D58" i="20" s="1"/>
  <c r="J55" i="16"/>
  <c r="E55" i="16"/>
  <c r="D55" i="16"/>
  <c r="K54" i="16"/>
  <c r="J54" i="16"/>
  <c r="F56" i="20" s="1"/>
  <c r="I54" i="16"/>
  <c r="E54" i="16"/>
  <c r="D54" i="16"/>
  <c r="W53" i="16"/>
  <c r="J53" i="16"/>
  <c r="E53" i="16"/>
  <c r="D53" i="16"/>
  <c r="W52" i="16"/>
  <c r="M52" i="16"/>
  <c r="J52" i="16"/>
  <c r="F54" i="20" s="1"/>
  <c r="I52" i="16"/>
  <c r="F52" i="16"/>
  <c r="H54" i="20" s="1"/>
  <c r="E52" i="16"/>
  <c r="D52" i="16"/>
  <c r="W51" i="16"/>
  <c r="J51" i="16"/>
  <c r="F53" i="20" s="1"/>
  <c r="E51" i="16"/>
  <c r="D51" i="16"/>
  <c r="W50" i="16"/>
  <c r="J50" i="16"/>
  <c r="E50" i="16"/>
  <c r="D50" i="16"/>
  <c r="W49" i="16"/>
  <c r="K49" i="16"/>
  <c r="O49" i="16" s="1"/>
  <c r="G51" i="20" s="1"/>
  <c r="J49" i="16"/>
  <c r="F51" i="20" s="1"/>
  <c r="I49" i="16"/>
  <c r="E49" i="16"/>
  <c r="M49" i="16" s="1"/>
  <c r="D49" i="16"/>
  <c r="W48" i="16"/>
  <c r="J48" i="16"/>
  <c r="F50" i="20" s="1"/>
  <c r="E48" i="16"/>
  <c r="D48" i="16"/>
  <c r="W47" i="16"/>
  <c r="M47" i="16"/>
  <c r="J47" i="16"/>
  <c r="F49" i="20" s="1"/>
  <c r="E47" i="16"/>
  <c r="L47" i="16" s="1"/>
  <c r="D47" i="16"/>
  <c r="W46" i="16"/>
  <c r="L46" i="16"/>
  <c r="J46" i="16"/>
  <c r="E46" i="16"/>
  <c r="M46" i="16" s="1"/>
  <c r="D46" i="16"/>
  <c r="W45" i="16"/>
  <c r="K45" i="16"/>
  <c r="O45" i="16" s="1"/>
  <c r="G47" i="20" s="1"/>
  <c r="J45" i="16"/>
  <c r="F47" i="20" s="1"/>
  <c r="I45" i="16"/>
  <c r="E45" i="16"/>
  <c r="D45" i="16"/>
  <c r="W44" i="16"/>
  <c r="J44" i="16"/>
  <c r="E44" i="16"/>
  <c r="D44" i="16"/>
  <c r="W43" i="16"/>
  <c r="J43" i="16"/>
  <c r="F45" i="20" s="1"/>
  <c r="E43" i="16"/>
  <c r="D43" i="16"/>
  <c r="W42" i="16"/>
  <c r="J42" i="16"/>
  <c r="E42" i="16"/>
  <c r="D42" i="16"/>
  <c r="W41" i="16"/>
  <c r="J41" i="16"/>
  <c r="F43" i="20" s="1"/>
  <c r="I41" i="16"/>
  <c r="K41" i="16" s="1"/>
  <c r="E41" i="16"/>
  <c r="M41" i="16" s="1"/>
  <c r="D41" i="16"/>
  <c r="W40" i="16"/>
  <c r="J40" i="16"/>
  <c r="F42" i="20" s="1"/>
  <c r="I40" i="16"/>
  <c r="E40" i="16"/>
  <c r="M40" i="16" s="1"/>
  <c r="D40" i="16"/>
  <c r="W39" i="16"/>
  <c r="J39" i="16"/>
  <c r="F41" i="20" s="1"/>
  <c r="E39" i="16"/>
  <c r="D39" i="16"/>
  <c r="W38" i="16"/>
  <c r="J38" i="16"/>
  <c r="F40" i="20" s="1"/>
  <c r="E38" i="16"/>
  <c r="D38" i="16"/>
  <c r="W37" i="16"/>
  <c r="J37" i="16"/>
  <c r="E37" i="16"/>
  <c r="D37" i="16"/>
  <c r="W36" i="16"/>
  <c r="J36" i="16"/>
  <c r="F38" i="20" s="1"/>
  <c r="E36" i="16"/>
  <c r="D36" i="16"/>
  <c r="W35" i="16"/>
  <c r="J35" i="16"/>
  <c r="F37" i="20" s="1"/>
  <c r="E35" i="16"/>
  <c r="D35" i="16"/>
  <c r="W34" i="16"/>
  <c r="J34" i="16"/>
  <c r="F36" i="20" s="1"/>
  <c r="I34" i="16"/>
  <c r="E34" i="16"/>
  <c r="D34" i="16"/>
  <c r="W33" i="16"/>
  <c r="J33" i="16"/>
  <c r="E33" i="16"/>
  <c r="D33" i="16"/>
  <c r="W32" i="16"/>
  <c r="J32" i="16"/>
  <c r="F34" i="20" s="1"/>
  <c r="I32" i="16"/>
  <c r="E32" i="16"/>
  <c r="D32" i="16"/>
  <c r="W31" i="16"/>
  <c r="M31" i="16"/>
  <c r="J31" i="16"/>
  <c r="E31" i="16"/>
  <c r="L31" i="16" s="1"/>
  <c r="D31" i="16"/>
  <c r="W30" i="16"/>
  <c r="L30" i="16"/>
  <c r="J30" i="16"/>
  <c r="F32" i="20" s="1"/>
  <c r="I30" i="16"/>
  <c r="K30" i="16" s="1"/>
  <c r="E30" i="16"/>
  <c r="M30" i="16" s="1"/>
  <c r="D30" i="16"/>
  <c r="W29" i="16"/>
  <c r="J29" i="16"/>
  <c r="E29" i="16"/>
  <c r="D29" i="16"/>
  <c r="W28" i="16"/>
  <c r="J28" i="16"/>
  <c r="E28" i="16"/>
  <c r="D28" i="16"/>
  <c r="W27" i="16"/>
  <c r="J27" i="16"/>
  <c r="E27" i="16"/>
  <c r="D27" i="16"/>
  <c r="W26" i="16"/>
  <c r="J26" i="16"/>
  <c r="F28" i="20" s="1"/>
  <c r="I26" i="16"/>
  <c r="K26" i="16" s="1"/>
  <c r="L26" i="16" s="1"/>
  <c r="E26" i="16"/>
  <c r="D26" i="16"/>
  <c r="W25" i="16"/>
  <c r="O25" i="16"/>
  <c r="G27" i="20" s="1"/>
  <c r="J25" i="16"/>
  <c r="F27" i="20" s="1"/>
  <c r="I25" i="16"/>
  <c r="E25" i="16"/>
  <c r="D25" i="16"/>
  <c r="W24" i="16"/>
  <c r="J24" i="16"/>
  <c r="F26" i="20" s="1"/>
  <c r="E24" i="16"/>
  <c r="D24" i="16"/>
  <c r="W23" i="16"/>
  <c r="J23" i="16"/>
  <c r="E23" i="16"/>
  <c r="D23" i="16"/>
  <c r="W22" i="16"/>
  <c r="J22" i="16"/>
  <c r="E22" i="16"/>
  <c r="D22" i="16"/>
  <c r="W21" i="16"/>
  <c r="J21" i="16"/>
  <c r="F23" i="20" s="1"/>
  <c r="I21" i="16"/>
  <c r="E21" i="16"/>
  <c r="D21" i="16"/>
  <c r="W20" i="16"/>
  <c r="J20" i="16"/>
  <c r="F22" i="20" s="1"/>
  <c r="E20" i="16"/>
  <c r="D20" i="16"/>
  <c r="I20" i="16" s="1"/>
  <c r="M20" i="16" s="1"/>
  <c r="W19" i="16"/>
  <c r="J19" i="16"/>
  <c r="E19" i="16"/>
  <c r="D19" i="16"/>
  <c r="W18" i="16"/>
  <c r="J18" i="16"/>
  <c r="E18" i="16"/>
  <c r="D18" i="16"/>
  <c r="W17" i="16"/>
  <c r="O17" i="16"/>
  <c r="G19" i="20" s="1"/>
  <c r="L17" i="16"/>
  <c r="J17" i="16"/>
  <c r="F19" i="20" s="1"/>
  <c r="I17" i="16"/>
  <c r="E17" i="16"/>
  <c r="K17" i="16" s="1"/>
  <c r="D17" i="16"/>
  <c r="W16" i="16"/>
  <c r="J16" i="16"/>
  <c r="F18" i="20" s="1"/>
  <c r="I16" i="16"/>
  <c r="E16" i="16"/>
  <c r="D16" i="16"/>
  <c r="W15" i="16"/>
  <c r="J15" i="16"/>
  <c r="E15" i="16"/>
  <c r="D15" i="16"/>
  <c r="W14" i="16"/>
  <c r="J14" i="16"/>
  <c r="E14" i="16"/>
  <c r="D14" i="16"/>
  <c r="W13" i="16"/>
  <c r="J13" i="16"/>
  <c r="E13" i="16"/>
  <c r="D13" i="16"/>
  <c r="W12" i="16"/>
  <c r="J12" i="16"/>
  <c r="E12" i="16"/>
  <c r="D12" i="16"/>
  <c r="W11" i="16"/>
  <c r="J11" i="16"/>
  <c r="E11" i="16"/>
  <c r="D11" i="16"/>
  <c r="W10" i="16"/>
  <c r="M10" i="16"/>
  <c r="J10" i="16"/>
  <c r="F12" i="20" s="1"/>
  <c r="I10" i="16"/>
  <c r="E10" i="16"/>
  <c r="F229" i="16" s="1"/>
  <c r="D10" i="16"/>
  <c r="W9" i="16"/>
  <c r="J9" i="16"/>
  <c r="F11" i="20" s="1"/>
  <c r="I9" i="16"/>
  <c r="E9" i="16"/>
  <c r="D9" i="16"/>
  <c r="W8" i="16"/>
  <c r="J8" i="16"/>
  <c r="F10" i="20" s="1"/>
  <c r="E8" i="16"/>
  <c r="D8" i="16"/>
  <c r="W7" i="16"/>
  <c r="J7" i="16"/>
  <c r="E7" i="16"/>
  <c r="D7" i="16"/>
  <c r="W6" i="16"/>
  <c r="J6" i="16"/>
  <c r="E6" i="16"/>
  <c r="G161" i="16" s="1"/>
  <c r="D6" i="16"/>
  <c r="F21" i="16" s="1"/>
  <c r="H23" i="20" s="1"/>
  <c r="W5" i="16"/>
  <c r="W4" i="16"/>
  <c r="W3" i="16"/>
  <c r="W2" i="16"/>
  <c r="H6660" i="15"/>
  <c r="G6660" i="15"/>
  <c r="J6659" i="15"/>
  <c r="I6659" i="15"/>
  <c r="H6659" i="15"/>
  <c r="G6659" i="15"/>
  <c r="J6658" i="15"/>
  <c r="H6658" i="15"/>
  <c r="G6658" i="15"/>
  <c r="I6658" i="15" s="1"/>
  <c r="J6657" i="15"/>
  <c r="I6657" i="15"/>
  <c r="H6657" i="15"/>
  <c r="G6657" i="15"/>
  <c r="J6656" i="15"/>
  <c r="H6656" i="15"/>
  <c r="G6656" i="15"/>
  <c r="I6656" i="15" s="1"/>
  <c r="J6655" i="15"/>
  <c r="I6655" i="15"/>
  <c r="H6655" i="15"/>
  <c r="G6655" i="15"/>
  <c r="H6654" i="15"/>
  <c r="G6654" i="15"/>
  <c r="J6653" i="15"/>
  <c r="I6653" i="15"/>
  <c r="H6653" i="15"/>
  <c r="G6653" i="15"/>
  <c r="J6652" i="15"/>
  <c r="H6652" i="15"/>
  <c r="G6652" i="15"/>
  <c r="I6652" i="15" s="1"/>
  <c r="J6651" i="15"/>
  <c r="I6651" i="15"/>
  <c r="H6651" i="15"/>
  <c r="G6651" i="15"/>
  <c r="H6650" i="15"/>
  <c r="G6650" i="15"/>
  <c r="J6649" i="15"/>
  <c r="I6649" i="15"/>
  <c r="H6649" i="15"/>
  <c r="G6649" i="15"/>
  <c r="H6648" i="15"/>
  <c r="G6648" i="15"/>
  <c r="J6647" i="15"/>
  <c r="I6647" i="15"/>
  <c r="H6647" i="15"/>
  <c r="G6647" i="15"/>
  <c r="J6646" i="15"/>
  <c r="H6646" i="15"/>
  <c r="G6646" i="15"/>
  <c r="I6646" i="15" s="1"/>
  <c r="J6645" i="15"/>
  <c r="I6645" i="15"/>
  <c r="H6645" i="15"/>
  <c r="G6645" i="15"/>
  <c r="H6644" i="15"/>
  <c r="G6644" i="15"/>
  <c r="J6643" i="15"/>
  <c r="I6643" i="15"/>
  <c r="H6643" i="15"/>
  <c r="G6643" i="15"/>
  <c r="H6642" i="15"/>
  <c r="G6642" i="15"/>
  <c r="J6641" i="15"/>
  <c r="I6641" i="15"/>
  <c r="H6641" i="15"/>
  <c r="G6641" i="15"/>
  <c r="J6640" i="15"/>
  <c r="H6640" i="15"/>
  <c r="G6640" i="15"/>
  <c r="I6640" i="15" s="1"/>
  <c r="J6639" i="15"/>
  <c r="I6639" i="15"/>
  <c r="H6639" i="15"/>
  <c r="G6639" i="15"/>
  <c r="J6638" i="15"/>
  <c r="H6638" i="15"/>
  <c r="G6638" i="15"/>
  <c r="I6638" i="15" s="1"/>
  <c r="J6637" i="15"/>
  <c r="I6637" i="15"/>
  <c r="H6637" i="15"/>
  <c r="G6637" i="15"/>
  <c r="H6636" i="15"/>
  <c r="G6636" i="15"/>
  <c r="J6635" i="15"/>
  <c r="I6635" i="15"/>
  <c r="H6635" i="15"/>
  <c r="G6635" i="15"/>
  <c r="H6634" i="15"/>
  <c r="G6634" i="15"/>
  <c r="J6633" i="15"/>
  <c r="I6633" i="15"/>
  <c r="H6633" i="15"/>
  <c r="G6633" i="15"/>
  <c r="J6632" i="15"/>
  <c r="H6632" i="15"/>
  <c r="G6632" i="15"/>
  <c r="I6632" i="15" s="1"/>
  <c r="J6631" i="15"/>
  <c r="I6631" i="15"/>
  <c r="H6631" i="15"/>
  <c r="G6631" i="15"/>
  <c r="J6630" i="15"/>
  <c r="H6630" i="15"/>
  <c r="G6630" i="15"/>
  <c r="I6630" i="15" s="1"/>
  <c r="J6629" i="15"/>
  <c r="I6629" i="15"/>
  <c r="H6629" i="15"/>
  <c r="G6629" i="15"/>
  <c r="H6628" i="15"/>
  <c r="G6628" i="15"/>
  <c r="J6627" i="15"/>
  <c r="I6627" i="15"/>
  <c r="H6627" i="15"/>
  <c r="G6627" i="15"/>
  <c r="J6626" i="15"/>
  <c r="H6626" i="15"/>
  <c r="G6626" i="15"/>
  <c r="I6626" i="15" s="1"/>
  <c r="J6625" i="15"/>
  <c r="I6625" i="15"/>
  <c r="H6625" i="15"/>
  <c r="G6625" i="15"/>
  <c r="J6624" i="15"/>
  <c r="H6624" i="15"/>
  <c r="G6624" i="15"/>
  <c r="I6624" i="15" s="1"/>
  <c r="J6623" i="15"/>
  <c r="I6623" i="15"/>
  <c r="H6623" i="15"/>
  <c r="G6623" i="15"/>
  <c r="H6622" i="15"/>
  <c r="G6622" i="15"/>
  <c r="J6621" i="15"/>
  <c r="I6621" i="15"/>
  <c r="H6621" i="15"/>
  <c r="G6621" i="15"/>
  <c r="H6620" i="15"/>
  <c r="G6620" i="15"/>
  <c r="J6619" i="15"/>
  <c r="I6619" i="15"/>
  <c r="H6619" i="15"/>
  <c r="G6619" i="15"/>
  <c r="J6618" i="15"/>
  <c r="H6618" i="15"/>
  <c r="G6618" i="15"/>
  <c r="I6618" i="15" s="1"/>
  <c r="J6617" i="15"/>
  <c r="I6617" i="15"/>
  <c r="H6617" i="15"/>
  <c r="G6617" i="15"/>
  <c r="J6616" i="15"/>
  <c r="H6616" i="15"/>
  <c r="G6616" i="15"/>
  <c r="I6616" i="15" s="1"/>
  <c r="J6615" i="15"/>
  <c r="I6615" i="15"/>
  <c r="H6615" i="15"/>
  <c r="G6615" i="15"/>
  <c r="J6614" i="15"/>
  <c r="H6614" i="15"/>
  <c r="G6614" i="15"/>
  <c r="I6614" i="15" s="1"/>
  <c r="J6613" i="15"/>
  <c r="I6613" i="15"/>
  <c r="H6613" i="15"/>
  <c r="G6613" i="15"/>
  <c r="H6612" i="15"/>
  <c r="G6612" i="15"/>
  <c r="J6611" i="15"/>
  <c r="I6611" i="15"/>
  <c r="H6611" i="15"/>
  <c r="G6611" i="15"/>
  <c r="J6610" i="15"/>
  <c r="H6610" i="15"/>
  <c r="G6610" i="15"/>
  <c r="I6610" i="15" s="1"/>
  <c r="J6609" i="15"/>
  <c r="I6609" i="15"/>
  <c r="H6609" i="15"/>
  <c r="G6609" i="15"/>
  <c r="J6608" i="15"/>
  <c r="H6608" i="15"/>
  <c r="G6608" i="15"/>
  <c r="I6608" i="15" s="1"/>
  <c r="J6607" i="15"/>
  <c r="I6607" i="15"/>
  <c r="H6607" i="15"/>
  <c r="G6607" i="15"/>
  <c r="H6606" i="15"/>
  <c r="G6606" i="15"/>
  <c r="J6605" i="15"/>
  <c r="I6605" i="15"/>
  <c r="H6605" i="15"/>
  <c r="G6605" i="15"/>
  <c r="J6604" i="15"/>
  <c r="H6604" i="15"/>
  <c r="G6604" i="15"/>
  <c r="I6604" i="15" s="1"/>
  <c r="J6603" i="15"/>
  <c r="I6603" i="15"/>
  <c r="H6603" i="15"/>
  <c r="G6603" i="15"/>
  <c r="J6602" i="15"/>
  <c r="H6602" i="15"/>
  <c r="G6602" i="15"/>
  <c r="I6602" i="15" s="1"/>
  <c r="J6601" i="15"/>
  <c r="I6601" i="15"/>
  <c r="H6601" i="15"/>
  <c r="G6601" i="15"/>
  <c r="J6600" i="15"/>
  <c r="H6600" i="15"/>
  <c r="G6600" i="15"/>
  <c r="I6600" i="15" s="1"/>
  <c r="J6599" i="15"/>
  <c r="I6599" i="15"/>
  <c r="H6599" i="15"/>
  <c r="G6599" i="15"/>
  <c r="H6598" i="15"/>
  <c r="G6598" i="15"/>
  <c r="J6597" i="15"/>
  <c r="I6597" i="15"/>
  <c r="H6597" i="15"/>
  <c r="G6597" i="15"/>
  <c r="H6596" i="15"/>
  <c r="G6596" i="15"/>
  <c r="J6595" i="15"/>
  <c r="I6595" i="15"/>
  <c r="H6595" i="15"/>
  <c r="G6595" i="15"/>
  <c r="H6594" i="15"/>
  <c r="G6594" i="15"/>
  <c r="J6593" i="15"/>
  <c r="I6593" i="15"/>
  <c r="H6593" i="15"/>
  <c r="G6593" i="15"/>
  <c r="J6592" i="15"/>
  <c r="H6592" i="15"/>
  <c r="G6592" i="15"/>
  <c r="I6592" i="15" s="1"/>
  <c r="J6591" i="15"/>
  <c r="I6591" i="15"/>
  <c r="H6591" i="15"/>
  <c r="G6591" i="15"/>
  <c r="J6590" i="15"/>
  <c r="H6590" i="15"/>
  <c r="G6590" i="15"/>
  <c r="I6590" i="15" s="1"/>
  <c r="J6589" i="15"/>
  <c r="I6589" i="15"/>
  <c r="H6589" i="15"/>
  <c r="G6589" i="15"/>
  <c r="J6588" i="15"/>
  <c r="H6588" i="15"/>
  <c r="G6588" i="15"/>
  <c r="I6588" i="15" s="1"/>
  <c r="J6587" i="15"/>
  <c r="I6587" i="15"/>
  <c r="H6587" i="15"/>
  <c r="G6587" i="15"/>
  <c r="H6586" i="15"/>
  <c r="G6586" i="15"/>
  <c r="J6585" i="15"/>
  <c r="I6585" i="15"/>
  <c r="H6585" i="15"/>
  <c r="G6585" i="15"/>
  <c r="H6584" i="15"/>
  <c r="G6584" i="15"/>
  <c r="J6583" i="15"/>
  <c r="I6583" i="15"/>
  <c r="H6583" i="15"/>
  <c r="G6583" i="15"/>
  <c r="H6582" i="15"/>
  <c r="G6582" i="15"/>
  <c r="J6581" i="15"/>
  <c r="I6581" i="15"/>
  <c r="H6581" i="15"/>
  <c r="G6581" i="15"/>
  <c r="H6580" i="15"/>
  <c r="G6580" i="15"/>
  <c r="J6579" i="15"/>
  <c r="I6579" i="15"/>
  <c r="H6579" i="15"/>
  <c r="G6579" i="15"/>
  <c r="H6578" i="15"/>
  <c r="G6578" i="15"/>
  <c r="J6577" i="15"/>
  <c r="I6577" i="15"/>
  <c r="H6577" i="15"/>
  <c r="G6577" i="15"/>
  <c r="J6576" i="15"/>
  <c r="H6576" i="15"/>
  <c r="G6576" i="15"/>
  <c r="I6576" i="15" s="1"/>
  <c r="J6575" i="15"/>
  <c r="I6575" i="15"/>
  <c r="H6575" i="15"/>
  <c r="G6575" i="15"/>
  <c r="J6574" i="15"/>
  <c r="H6574" i="15"/>
  <c r="G6574" i="15"/>
  <c r="I6574" i="15" s="1"/>
  <c r="J6573" i="15"/>
  <c r="I6573" i="15"/>
  <c r="H6573" i="15"/>
  <c r="G6573" i="15"/>
  <c r="J6572" i="15"/>
  <c r="H6572" i="15"/>
  <c r="G6572" i="15"/>
  <c r="I6572" i="15" s="1"/>
  <c r="J6571" i="15"/>
  <c r="I6571" i="15"/>
  <c r="H6571" i="15"/>
  <c r="G6571" i="15"/>
  <c r="H6570" i="15"/>
  <c r="G6570" i="15"/>
  <c r="J6569" i="15"/>
  <c r="I6569" i="15"/>
  <c r="H6569" i="15"/>
  <c r="G6569" i="15"/>
  <c r="J6568" i="15"/>
  <c r="H6568" i="15"/>
  <c r="G6568" i="15"/>
  <c r="I6568" i="15" s="1"/>
  <c r="J6567" i="15"/>
  <c r="I6567" i="15"/>
  <c r="H6567" i="15"/>
  <c r="G6567" i="15"/>
  <c r="J6566" i="15"/>
  <c r="H6566" i="15"/>
  <c r="G6566" i="15"/>
  <c r="I6566" i="15" s="1"/>
  <c r="J6565" i="15"/>
  <c r="I6565" i="15"/>
  <c r="H6565" i="15"/>
  <c r="G6565" i="15"/>
  <c r="H6564" i="15"/>
  <c r="G6564" i="15"/>
  <c r="J6563" i="15"/>
  <c r="I6563" i="15"/>
  <c r="H6563" i="15"/>
  <c r="G6563" i="15"/>
  <c r="J6562" i="15"/>
  <c r="H6562" i="15"/>
  <c r="G6562" i="15"/>
  <c r="I6562" i="15" s="1"/>
  <c r="J6561" i="15"/>
  <c r="I6561" i="15"/>
  <c r="H6561" i="15"/>
  <c r="G6561" i="15"/>
  <c r="J6560" i="15"/>
  <c r="H6560" i="15"/>
  <c r="G6560" i="15"/>
  <c r="I6560" i="15" s="1"/>
  <c r="J6559" i="15"/>
  <c r="I6559" i="15"/>
  <c r="H6559" i="15"/>
  <c r="G6559" i="15"/>
  <c r="H6558" i="15"/>
  <c r="G6558" i="15"/>
  <c r="J6557" i="15"/>
  <c r="I6557" i="15"/>
  <c r="H6557" i="15"/>
  <c r="G6557" i="15"/>
  <c r="H6556" i="15"/>
  <c r="G6556" i="15"/>
  <c r="J6555" i="15"/>
  <c r="I6555" i="15"/>
  <c r="H6555" i="15"/>
  <c r="G6555" i="15"/>
  <c r="J6554" i="15"/>
  <c r="H6554" i="15"/>
  <c r="G6554" i="15"/>
  <c r="I6554" i="15" s="1"/>
  <c r="J6553" i="15"/>
  <c r="I6553" i="15"/>
  <c r="H6553" i="15"/>
  <c r="G6553" i="15"/>
  <c r="J6552" i="15"/>
  <c r="H6552" i="15"/>
  <c r="G6552" i="15"/>
  <c r="I6552" i="15" s="1"/>
  <c r="J6551" i="15"/>
  <c r="I6551" i="15"/>
  <c r="H6551" i="15"/>
  <c r="G6551" i="15"/>
  <c r="H6550" i="15"/>
  <c r="G6550" i="15"/>
  <c r="J6549" i="15"/>
  <c r="I6549" i="15"/>
  <c r="H6549" i="15"/>
  <c r="G6549" i="15"/>
  <c r="H6548" i="15"/>
  <c r="G6548" i="15"/>
  <c r="J6547" i="15"/>
  <c r="I6547" i="15"/>
  <c r="H6547" i="15"/>
  <c r="G6547" i="15"/>
  <c r="H6546" i="15"/>
  <c r="G6546" i="15"/>
  <c r="J6545" i="15"/>
  <c r="I6545" i="15"/>
  <c r="H6545" i="15"/>
  <c r="G6545" i="15"/>
  <c r="J6544" i="15"/>
  <c r="H6544" i="15"/>
  <c r="G6544" i="15"/>
  <c r="I6544" i="15" s="1"/>
  <c r="J6543" i="15"/>
  <c r="I6543" i="15"/>
  <c r="H6543" i="15"/>
  <c r="G6543" i="15"/>
  <c r="H6542" i="15"/>
  <c r="G6542" i="15"/>
  <c r="J6541" i="15"/>
  <c r="I6541" i="15"/>
  <c r="H6541" i="15"/>
  <c r="G6541" i="15"/>
  <c r="H6540" i="15"/>
  <c r="G6540" i="15"/>
  <c r="J6539" i="15"/>
  <c r="I6539" i="15"/>
  <c r="H6539" i="15"/>
  <c r="G6539" i="15"/>
  <c r="J6538" i="15"/>
  <c r="H6538" i="15"/>
  <c r="G6538" i="15"/>
  <c r="I6538" i="15" s="1"/>
  <c r="J6537" i="15"/>
  <c r="I6537" i="15"/>
  <c r="H6537" i="15"/>
  <c r="G6537" i="15"/>
  <c r="J6536" i="15"/>
  <c r="H6536" i="15"/>
  <c r="G6536" i="15"/>
  <c r="I6536" i="15" s="1"/>
  <c r="J6535" i="15"/>
  <c r="I6535" i="15"/>
  <c r="H6535" i="15"/>
  <c r="G6535" i="15"/>
  <c r="J6534" i="15"/>
  <c r="H6534" i="15"/>
  <c r="G6534" i="15"/>
  <c r="I6534" i="15" s="1"/>
  <c r="J6533" i="15"/>
  <c r="I6533" i="15"/>
  <c r="H6533" i="15"/>
  <c r="G6533" i="15"/>
  <c r="H6532" i="15"/>
  <c r="G6532" i="15"/>
  <c r="J6531" i="15"/>
  <c r="I6531" i="15"/>
  <c r="H6531" i="15"/>
  <c r="G6531" i="15"/>
  <c r="J6530" i="15"/>
  <c r="H6530" i="15"/>
  <c r="G6530" i="15"/>
  <c r="I6530" i="15" s="1"/>
  <c r="J6529" i="15"/>
  <c r="I6529" i="15"/>
  <c r="H6529" i="15"/>
  <c r="G6529" i="15"/>
  <c r="J6528" i="15"/>
  <c r="H6528" i="15"/>
  <c r="G6528" i="15"/>
  <c r="I6528" i="15" s="1"/>
  <c r="J6527" i="15"/>
  <c r="I6527" i="15"/>
  <c r="H6527" i="15"/>
  <c r="G6527" i="15"/>
  <c r="H6526" i="15"/>
  <c r="G6526" i="15"/>
  <c r="J6525" i="15"/>
  <c r="I6525" i="15"/>
  <c r="H6525" i="15"/>
  <c r="G6525" i="15"/>
  <c r="J6524" i="15"/>
  <c r="H6524" i="15"/>
  <c r="G6524" i="15"/>
  <c r="I6524" i="15" s="1"/>
  <c r="J6523" i="15"/>
  <c r="I6523" i="15"/>
  <c r="H6523" i="15"/>
  <c r="G6523" i="15"/>
  <c r="J6522" i="15"/>
  <c r="H6522" i="15"/>
  <c r="G6522" i="15"/>
  <c r="I6522" i="15" s="1"/>
  <c r="J6521" i="15"/>
  <c r="I6521" i="15"/>
  <c r="H6521" i="15"/>
  <c r="G6521" i="15"/>
  <c r="J6520" i="15"/>
  <c r="H6520" i="15"/>
  <c r="G6520" i="15"/>
  <c r="I6520" i="15" s="1"/>
  <c r="J6519" i="15"/>
  <c r="I6519" i="15"/>
  <c r="H6519" i="15"/>
  <c r="G6519" i="15"/>
  <c r="H6518" i="15"/>
  <c r="G6518" i="15"/>
  <c r="J6517" i="15"/>
  <c r="I6517" i="15"/>
  <c r="H6517" i="15"/>
  <c r="G6517" i="15"/>
  <c r="H6516" i="15"/>
  <c r="G6516" i="15"/>
  <c r="J6515" i="15"/>
  <c r="I6515" i="15"/>
  <c r="H6515" i="15"/>
  <c r="G6515" i="15"/>
  <c r="H6514" i="15"/>
  <c r="G6514" i="15"/>
  <c r="J6513" i="15"/>
  <c r="I6513" i="15"/>
  <c r="H6513" i="15"/>
  <c r="G6513" i="15"/>
  <c r="J6512" i="15"/>
  <c r="H6512" i="15"/>
  <c r="G6512" i="15"/>
  <c r="I6512" i="15" s="1"/>
  <c r="J6511" i="15"/>
  <c r="I6511" i="15"/>
  <c r="H6511" i="15"/>
  <c r="G6511" i="15"/>
  <c r="J6510" i="15"/>
  <c r="H6510" i="15"/>
  <c r="G6510" i="15"/>
  <c r="I6510" i="15" s="1"/>
  <c r="J6509" i="15"/>
  <c r="I6509" i="15"/>
  <c r="H6509" i="15"/>
  <c r="G6509" i="15"/>
  <c r="J6508" i="15"/>
  <c r="H6508" i="15"/>
  <c r="G6508" i="15"/>
  <c r="I6508" i="15" s="1"/>
  <c r="J6507" i="15"/>
  <c r="I6507" i="15"/>
  <c r="H6507" i="15"/>
  <c r="G6507" i="15"/>
  <c r="H6506" i="15"/>
  <c r="G6506" i="15"/>
  <c r="J6505" i="15"/>
  <c r="I6505" i="15"/>
  <c r="H6505" i="15"/>
  <c r="G6505" i="15"/>
  <c r="H6504" i="15"/>
  <c r="G6504" i="15"/>
  <c r="J6503" i="15"/>
  <c r="I6503" i="15"/>
  <c r="H6503" i="15"/>
  <c r="G6503" i="15"/>
  <c r="J6502" i="15"/>
  <c r="H6502" i="15"/>
  <c r="G6502" i="15"/>
  <c r="I6502" i="15" s="1"/>
  <c r="J6501" i="15"/>
  <c r="I6501" i="15"/>
  <c r="H6501" i="15"/>
  <c r="G6501" i="15"/>
  <c r="H6500" i="15"/>
  <c r="G6500" i="15"/>
  <c r="J6499" i="15"/>
  <c r="I6499" i="15"/>
  <c r="H6499" i="15"/>
  <c r="G6499" i="15"/>
  <c r="H6498" i="15"/>
  <c r="G6498" i="15"/>
  <c r="J6497" i="15"/>
  <c r="I6497" i="15"/>
  <c r="H6497" i="15"/>
  <c r="G6497" i="15"/>
  <c r="J6496" i="15"/>
  <c r="H6496" i="15"/>
  <c r="G6496" i="15"/>
  <c r="I6496" i="15" s="1"/>
  <c r="J6495" i="15"/>
  <c r="I6495" i="15"/>
  <c r="H6495" i="15"/>
  <c r="G6495" i="15"/>
  <c r="J6494" i="15"/>
  <c r="H6494" i="15"/>
  <c r="G6494" i="15"/>
  <c r="I6494" i="15" s="1"/>
  <c r="J6493" i="15"/>
  <c r="I6493" i="15"/>
  <c r="H6493" i="15"/>
  <c r="G6493" i="15"/>
  <c r="H6492" i="15"/>
  <c r="G6492" i="15"/>
  <c r="J6491" i="15"/>
  <c r="I6491" i="15"/>
  <c r="H6491" i="15"/>
  <c r="G6491" i="15"/>
  <c r="H6490" i="15"/>
  <c r="G6490" i="15"/>
  <c r="J6489" i="15"/>
  <c r="I6489" i="15"/>
  <c r="H6489" i="15"/>
  <c r="G6489" i="15"/>
  <c r="J6488" i="15"/>
  <c r="H6488" i="15"/>
  <c r="G6488" i="15"/>
  <c r="I6488" i="15" s="1"/>
  <c r="J6487" i="15"/>
  <c r="I6487" i="15"/>
  <c r="H6487" i="15"/>
  <c r="G6487" i="15"/>
  <c r="J6486" i="15"/>
  <c r="H6486" i="15"/>
  <c r="G6486" i="15"/>
  <c r="I6486" i="15" s="1"/>
  <c r="J6485" i="15"/>
  <c r="I6485" i="15"/>
  <c r="H6485" i="15"/>
  <c r="G6485" i="15"/>
  <c r="H6484" i="15"/>
  <c r="G6484" i="15"/>
  <c r="J6483" i="15"/>
  <c r="I6483" i="15"/>
  <c r="H6483" i="15"/>
  <c r="G6483" i="15"/>
  <c r="J6482" i="15"/>
  <c r="H6482" i="15"/>
  <c r="G6482" i="15"/>
  <c r="I6482" i="15" s="1"/>
  <c r="J6481" i="15"/>
  <c r="I6481" i="15"/>
  <c r="H6481" i="15"/>
  <c r="G6481" i="15"/>
  <c r="J6480" i="15"/>
  <c r="H6480" i="15"/>
  <c r="G6480" i="15"/>
  <c r="I6480" i="15" s="1"/>
  <c r="J6479" i="15"/>
  <c r="I6479" i="15"/>
  <c r="H6479" i="15"/>
  <c r="G6479" i="15"/>
  <c r="H6478" i="15"/>
  <c r="G6478" i="15"/>
  <c r="J6477" i="15"/>
  <c r="I6477" i="15"/>
  <c r="H6477" i="15"/>
  <c r="G6477" i="15"/>
  <c r="H6476" i="15"/>
  <c r="G6476" i="15"/>
  <c r="J6475" i="15"/>
  <c r="I6475" i="15"/>
  <c r="H6475" i="15"/>
  <c r="G6475" i="15"/>
  <c r="J6474" i="15"/>
  <c r="H6474" i="15"/>
  <c r="G6474" i="15"/>
  <c r="I6474" i="15" s="1"/>
  <c r="J6473" i="15"/>
  <c r="I6473" i="15"/>
  <c r="H6473" i="15"/>
  <c r="G6473" i="15"/>
  <c r="J6472" i="15"/>
  <c r="H6472" i="15"/>
  <c r="G6472" i="15"/>
  <c r="I6472" i="15" s="1"/>
  <c r="J6471" i="15"/>
  <c r="I6471" i="15"/>
  <c r="H6471" i="15"/>
  <c r="G6471" i="15"/>
  <c r="H6470" i="15"/>
  <c r="G6470" i="15"/>
  <c r="J6469" i="15"/>
  <c r="I6469" i="15"/>
  <c r="H6469" i="15"/>
  <c r="G6469" i="15"/>
  <c r="H6468" i="15"/>
  <c r="G6468" i="15"/>
  <c r="J6467" i="15"/>
  <c r="I6467" i="15"/>
  <c r="H6467" i="15"/>
  <c r="G6467" i="15"/>
  <c r="H6466" i="15"/>
  <c r="G6466" i="15"/>
  <c r="J6465" i="15"/>
  <c r="I6465" i="15"/>
  <c r="H6465" i="15"/>
  <c r="G6465" i="15"/>
  <c r="J6464" i="15"/>
  <c r="H6464" i="15"/>
  <c r="G6464" i="15"/>
  <c r="I6464" i="15" s="1"/>
  <c r="J6463" i="15"/>
  <c r="I6463" i="15"/>
  <c r="H6463" i="15"/>
  <c r="G6463" i="15"/>
  <c r="J6462" i="15"/>
  <c r="H6462" i="15"/>
  <c r="G6462" i="15"/>
  <c r="I6462" i="15" s="1"/>
  <c r="J6461" i="15"/>
  <c r="I6461" i="15"/>
  <c r="H6461" i="15"/>
  <c r="G6461" i="15"/>
  <c r="J6460" i="15"/>
  <c r="H6460" i="15"/>
  <c r="G6460" i="15"/>
  <c r="I6460" i="15" s="1"/>
  <c r="J6459" i="15"/>
  <c r="I6459" i="15"/>
  <c r="H6459" i="15"/>
  <c r="G6459" i="15"/>
  <c r="H6458" i="15"/>
  <c r="G6458" i="15"/>
  <c r="J6457" i="15"/>
  <c r="I6457" i="15"/>
  <c r="H6457" i="15"/>
  <c r="G6457" i="15"/>
  <c r="H6456" i="15"/>
  <c r="G6456" i="15"/>
  <c r="J6455" i="15"/>
  <c r="I6455" i="15"/>
  <c r="H6455" i="15"/>
  <c r="G6455" i="15"/>
  <c r="J6454" i="15"/>
  <c r="H6454" i="15"/>
  <c r="G6454" i="15"/>
  <c r="I6454" i="15" s="1"/>
  <c r="J6453" i="15"/>
  <c r="I6453" i="15"/>
  <c r="H6453" i="15"/>
  <c r="G6453" i="15"/>
  <c r="H6452" i="15"/>
  <c r="G6452" i="15"/>
  <c r="J6451" i="15"/>
  <c r="I6451" i="15"/>
  <c r="H6451" i="15"/>
  <c r="G6451" i="15"/>
  <c r="J6450" i="15"/>
  <c r="H6450" i="15"/>
  <c r="G6450" i="15"/>
  <c r="I6450" i="15" s="1"/>
  <c r="J6449" i="15"/>
  <c r="I6449" i="15"/>
  <c r="H6449" i="15"/>
  <c r="G6449" i="15"/>
  <c r="J6448" i="15"/>
  <c r="H6448" i="15"/>
  <c r="G6448" i="15"/>
  <c r="I6448" i="15" s="1"/>
  <c r="J6447" i="15"/>
  <c r="I6447" i="15"/>
  <c r="H6447" i="15"/>
  <c r="G6447" i="15"/>
  <c r="H6446" i="15"/>
  <c r="G6446" i="15"/>
  <c r="J6445" i="15"/>
  <c r="I6445" i="15"/>
  <c r="H6445" i="15"/>
  <c r="G6445" i="15"/>
  <c r="H6444" i="15"/>
  <c r="G6444" i="15"/>
  <c r="J6443" i="15"/>
  <c r="I6443" i="15"/>
  <c r="H6443" i="15"/>
  <c r="G6443" i="15"/>
  <c r="I6442" i="15"/>
  <c r="H6442" i="15"/>
  <c r="G6442" i="15"/>
  <c r="J6442" i="15" s="1"/>
  <c r="J6441" i="15"/>
  <c r="I6441" i="15"/>
  <c r="H6441" i="15"/>
  <c r="G6441" i="15"/>
  <c r="I6440" i="15"/>
  <c r="H6440" i="15"/>
  <c r="G6440" i="15"/>
  <c r="J6440" i="15" s="1"/>
  <c r="J6439" i="15"/>
  <c r="I6439" i="15"/>
  <c r="H6439" i="15"/>
  <c r="G6439" i="15"/>
  <c r="H6438" i="15"/>
  <c r="G6438" i="15"/>
  <c r="J6437" i="15"/>
  <c r="I6437" i="15"/>
  <c r="H6437" i="15"/>
  <c r="G6437" i="15"/>
  <c r="H6436" i="15"/>
  <c r="G6436" i="15"/>
  <c r="J6435" i="15"/>
  <c r="I6435" i="15"/>
  <c r="H6435" i="15"/>
  <c r="G6435" i="15"/>
  <c r="I6434" i="15"/>
  <c r="H6434" i="15"/>
  <c r="G6434" i="15"/>
  <c r="J6434" i="15" s="1"/>
  <c r="J6433" i="15"/>
  <c r="I6433" i="15"/>
  <c r="H6433" i="15"/>
  <c r="G6433" i="15"/>
  <c r="I6432" i="15"/>
  <c r="H6432" i="15"/>
  <c r="G6432" i="15"/>
  <c r="J6432" i="15" s="1"/>
  <c r="J6431" i="15"/>
  <c r="I6431" i="15"/>
  <c r="H6431" i="15"/>
  <c r="G6431" i="15"/>
  <c r="H6430" i="15"/>
  <c r="G6430" i="15"/>
  <c r="J6429" i="15"/>
  <c r="I6429" i="15"/>
  <c r="H6429" i="15"/>
  <c r="G6429" i="15"/>
  <c r="H6428" i="15"/>
  <c r="G6428" i="15"/>
  <c r="J6427" i="15"/>
  <c r="I6427" i="15"/>
  <c r="H6427" i="15"/>
  <c r="G6427" i="15"/>
  <c r="I6426" i="15"/>
  <c r="H6426" i="15"/>
  <c r="G6426" i="15"/>
  <c r="J6426" i="15" s="1"/>
  <c r="J6425" i="15"/>
  <c r="I6425" i="15"/>
  <c r="H6425" i="15"/>
  <c r="G6425" i="15"/>
  <c r="I6424" i="15"/>
  <c r="H6424" i="15"/>
  <c r="G6424" i="15"/>
  <c r="J6424" i="15" s="1"/>
  <c r="J6423" i="15"/>
  <c r="I6423" i="15"/>
  <c r="H6423" i="15"/>
  <c r="G6423" i="15"/>
  <c r="H6422" i="15"/>
  <c r="G6422" i="15"/>
  <c r="J6421" i="15"/>
  <c r="I6421" i="15"/>
  <c r="H6421" i="15"/>
  <c r="G6421" i="15"/>
  <c r="H6420" i="15"/>
  <c r="G6420" i="15"/>
  <c r="J6419" i="15"/>
  <c r="I6419" i="15"/>
  <c r="H6419" i="15"/>
  <c r="G6419" i="15"/>
  <c r="I6418" i="15"/>
  <c r="H6418" i="15"/>
  <c r="G6418" i="15"/>
  <c r="J6418" i="15" s="1"/>
  <c r="J6417" i="15"/>
  <c r="I6417" i="15"/>
  <c r="H6417" i="15"/>
  <c r="G6417" i="15"/>
  <c r="I6416" i="15"/>
  <c r="H6416" i="15"/>
  <c r="G6416" i="15"/>
  <c r="J6416" i="15" s="1"/>
  <c r="J6415" i="15"/>
  <c r="I6415" i="15"/>
  <c r="H6415" i="15"/>
  <c r="G6415" i="15"/>
  <c r="I6414" i="15"/>
  <c r="H6414" i="15"/>
  <c r="G6414" i="15"/>
  <c r="J6414" i="15" s="1"/>
  <c r="J6413" i="15"/>
  <c r="I6413" i="15"/>
  <c r="H6413" i="15"/>
  <c r="G6413" i="15"/>
  <c r="H6412" i="15"/>
  <c r="G6412" i="15"/>
  <c r="J6411" i="15"/>
  <c r="I6411" i="15"/>
  <c r="H6411" i="15"/>
  <c r="G6411" i="15"/>
  <c r="H6410" i="15"/>
  <c r="G6410" i="15"/>
  <c r="J6409" i="15"/>
  <c r="I6409" i="15"/>
  <c r="H6409" i="15"/>
  <c r="G6409" i="15"/>
  <c r="I6408" i="15"/>
  <c r="H6408" i="15"/>
  <c r="G6408" i="15"/>
  <c r="J6408" i="15" s="1"/>
  <c r="J6407" i="15"/>
  <c r="I6407" i="15"/>
  <c r="H6407" i="15"/>
  <c r="G6407" i="15"/>
  <c r="H6406" i="15"/>
  <c r="G6406" i="15"/>
  <c r="J6405" i="15"/>
  <c r="I6405" i="15"/>
  <c r="H6405" i="15"/>
  <c r="G6405" i="15"/>
  <c r="H6404" i="15"/>
  <c r="G6404" i="15"/>
  <c r="J6403" i="15"/>
  <c r="I6403" i="15"/>
  <c r="H6403" i="15"/>
  <c r="G6403" i="15"/>
  <c r="I6402" i="15"/>
  <c r="H6402" i="15"/>
  <c r="G6402" i="15"/>
  <c r="J6402" i="15" s="1"/>
  <c r="J6401" i="15"/>
  <c r="I6401" i="15"/>
  <c r="H6401" i="15"/>
  <c r="G6401" i="15"/>
  <c r="I6400" i="15"/>
  <c r="H6400" i="15"/>
  <c r="G6400" i="15"/>
  <c r="J6400" i="15" s="1"/>
  <c r="J6399" i="15"/>
  <c r="I6399" i="15"/>
  <c r="H6399" i="15"/>
  <c r="G6399" i="15"/>
  <c r="H6398" i="15"/>
  <c r="G6398" i="15"/>
  <c r="J6397" i="15"/>
  <c r="I6397" i="15"/>
  <c r="H6397" i="15"/>
  <c r="G6397" i="15"/>
  <c r="H6396" i="15"/>
  <c r="G6396" i="15"/>
  <c r="J6395" i="15"/>
  <c r="I6395" i="15"/>
  <c r="H6395" i="15"/>
  <c r="G6395" i="15"/>
  <c r="I6394" i="15"/>
  <c r="H6394" i="15"/>
  <c r="G6394" i="15"/>
  <c r="J6394" i="15" s="1"/>
  <c r="J6393" i="15"/>
  <c r="I6393" i="15"/>
  <c r="H6393" i="15"/>
  <c r="G6393" i="15"/>
  <c r="I6392" i="15"/>
  <c r="H6392" i="15"/>
  <c r="G6392" i="15"/>
  <c r="J6392" i="15" s="1"/>
  <c r="J6391" i="15"/>
  <c r="I6391" i="15"/>
  <c r="H6391" i="15"/>
  <c r="G6391" i="15"/>
  <c r="H6390" i="15"/>
  <c r="G6390" i="15"/>
  <c r="J6389" i="15"/>
  <c r="I6389" i="15"/>
  <c r="H6389" i="15"/>
  <c r="G6389" i="15"/>
  <c r="H6388" i="15"/>
  <c r="G6388" i="15"/>
  <c r="J6387" i="15"/>
  <c r="I6387" i="15"/>
  <c r="H6387" i="15"/>
  <c r="G6387" i="15"/>
  <c r="I6386" i="15"/>
  <c r="H6386" i="15"/>
  <c r="G6386" i="15"/>
  <c r="J6386" i="15" s="1"/>
  <c r="J6385" i="15"/>
  <c r="I6385" i="15"/>
  <c r="H6385" i="15"/>
  <c r="G6385" i="15"/>
  <c r="I6384" i="15"/>
  <c r="H6384" i="15"/>
  <c r="G6384" i="15"/>
  <c r="J6384" i="15" s="1"/>
  <c r="J6383" i="15"/>
  <c r="I6383" i="15"/>
  <c r="H6383" i="15"/>
  <c r="G6383" i="15"/>
  <c r="I6382" i="15"/>
  <c r="H6382" i="15"/>
  <c r="G6382" i="15"/>
  <c r="J6382" i="15" s="1"/>
  <c r="J6381" i="15"/>
  <c r="I6381" i="15"/>
  <c r="H6381" i="15"/>
  <c r="G6381" i="15"/>
  <c r="H6380" i="15"/>
  <c r="G6380" i="15"/>
  <c r="J6379" i="15"/>
  <c r="I6379" i="15"/>
  <c r="H6379" i="15"/>
  <c r="G6379" i="15"/>
  <c r="I6378" i="15"/>
  <c r="H6378" i="15"/>
  <c r="G6378" i="15"/>
  <c r="J6378" i="15" s="1"/>
  <c r="J6377" i="15"/>
  <c r="I6377" i="15"/>
  <c r="H6377" i="15"/>
  <c r="G6377" i="15"/>
  <c r="I6376" i="15"/>
  <c r="H6376" i="15"/>
  <c r="G6376" i="15"/>
  <c r="J6376" i="15" s="1"/>
  <c r="J6375" i="15"/>
  <c r="I6375" i="15"/>
  <c r="H6375" i="15"/>
  <c r="G6375" i="15"/>
  <c r="H6374" i="15"/>
  <c r="G6374" i="15"/>
  <c r="J6373" i="15"/>
  <c r="I6373" i="15"/>
  <c r="H6373" i="15"/>
  <c r="G6373" i="15"/>
  <c r="H6372" i="15"/>
  <c r="G6372" i="15"/>
  <c r="J6371" i="15"/>
  <c r="I6371" i="15"/>
  <c r="H6371" i="15"/>
  <c r="G6371" i="15"/>
  <c r="I6370" i="15"/>
  <c r="H6370" i="15"/>
  <c r="G6370" i="15"/>
  <c r="J6370" i="15" s="1"/>
  <c r="J6369" i="15"/>
  <c r="I6369" i="15"/>
  <c r="H6369" i="15"/>
  <c r="G6369" i="15"/>
  <c r="I6368" i="15"/>
  <c r="H6368" i="15"/>
  <c r="G6368" i="15"/>
  <c r="J6368" i="15" s="1"/>
  <c r="J6367" i="15"/>
  <c r="I6367" i="15"/>
  <c r="H6367" i="15"/>
  <c r="G6367" i="15"/>
  <c r="I6366" i="15"/>
  <c r="H6366" i="15"/>
  <c r="G6366" i="15"/>
  <c r="J6366" i="15" s="1"/>
  <c r="J6365" i="15"/>
  <c r="I6365" i="15"/>
  <c r="H6365" i="15"/>
  <c r="G6365" i="15"/>
  <c r="H6364" i="15"/>
  <c r="G6364" i="15"/>
  <c r="J6363" i="15"/>
  <c r="I6363" i="15"/>
  <c r="H6363" i="15"/>
  <c r="G6363" i="15"/>
  <c r="H6362" i="15"/>
  <c r="G6362" i="15"/>
  <c r="J6361" i="15"/>
  <c r="I6361" i="15"/>
  <c r="H6361" i="15"/>
  <c r="G6361" i="15"/>
  <c r="I6360" i="15"/>
  <c r="H6360" i="15"/>
  <c r="G6360" i="15"/>
  <c r="J6360" i="15" s="1"/>
  <c r="J6359" i="15"/>
  <c r="I6359" i="15"/>
  <c r="H6359" i="15"/>
  <c r="G6359" i="15"/>
  <c r="H6358" i="15"/>
  <c r="G6358" i="15"/>
  <c r="J6357" i="15"/>
  <c r="I6357" i="15"/>
  <c r="H6357" i="15"/>
  <c r="G6357" i="15"/>
  <c r="H6356" i="15"/>
  <c r="G6356" i="15"/>
  <c r="J6355" i="15"/>
  <c r="I6355" i="15"/>
  <c r="H6355" i="15"/>
  <c r="G6355" i="15"/>
  <c r="I6354" i="15"/>
  <c r="H6354" i="15"/>
  <c r="G6354" i="15"/>
  <c r="J6354" i="15" s="1"/>
  <c r="J6353" i="15"/>
  <c r="I6353" i="15"/>
  <c r="H6353" i="15"/>
  <c r="G6353" i="15"/>
  <c r="I6352" i="15"/>
  <c r="H6352" i="15"/>
  <c r="G6352" i="15"/>
  <c r="J6352" i="15" s="1"/>
  <c r="J6351" i="15"/>
  <c r="I6351" i="15"/>
  <c r="H6351" i="15"/>
  <c r="G6351" i="15"/>
  <c r="H6350" i="15"/>
  <c r="G6350" i="15"/>
  <c r="J6349" i="15"/>
  <c r="I6349" i="15"/>
  <c r="H6349" i="15"/>
  <c r="G6349" i="15"/>
  <c r="H6348" i="15"/>
  <c r="G6348" i="15"/>
  <c r="J6347" i="15"/>
  <c r="I6347" i="15"/>
  <c r="H6347" i="15"/>
  <c r="G6347" i="15"/>
  <c r="I6346" i="15"/>
  <c r="H6346" i="15"/>
  <c r="G6346" i="15"/>
  <c r="J6346" i="15" s="1"/>
  <c r="J6345" i="15"/>
  <c r="I6345" i="15"/>
  <c r="H6345" i="15"/>
  <c r="G6345" i="15"/>
  <c r="I6344" i="15"/>
  <c r="H6344" i="15"/>
  <c r="G6344" i="15"/>
  <c r="J6344" i="15" s="1"/>
  <c r="J6343" i="15"/>
  <c r="I6343" i="15"/>
  <c r="H6343" i="15"/>
  <c r="G6343" i="15"/>
  <c r="H6342" i="15"/>
  <c r="G6342" i="15"/>
  <c r="J6341" i="15"/>
  <c r="I6341" i="15"/>
  <c r="H6341" i="15"/>
  <c r="G6341" i="15"/>
  <c r="H6340" i="15"/>
  <c r="G6340" i="15"/>
  <c r="J6339" i="15"/>
  <c r="I6339" i="15"/>
  <c r="H6339" i="15"/>
  <c r="G6339" i="15"/>
  <c r="I6338" i="15"/>
  <c r="H6338" i="15"/>
  <c r="G6338" i="15"/>
  <c r="J6338" i="15" s="1"/>
  <c r="J6337" i="15"/>
  <c r="I6337" i="15"/>
  <c r="H6337" i="15"/>
  <c r="G6337" i="15"/>
  <c r="I6336" i="15"/>
  <c r="H6336" i="15"/>
  <c r="G6336" i="15"/>
  <c r="J6336" i="15" s="1"/>
  <c r="J6335" i="15"/>
  <c r="I6335" i="15"/>
  <c r="H6335" i="15"/>
  <c r="G6335" i="15"/>
  <c r="I6334" i="15"/>
  <c r="H6334" i="15"/>
  <c r="G6334" i="15"/>
  <c r="J6334" i="15" s="1"/>
  <c r="J6333" i="15"/>
  <c r="I6333" i="15"/>
  <c r="H6333" i="15"/>
  <c r="G6333" i="15"/>
  <c r="H6332" i="15"/>
  <c r="G6332" i="15"/>
  <c r="J6331" i="15"/>
  <c r="I6331" i="15"/>
  <c r="H6331" i="15"/>
  <c r="G6331" i="15"/>
  <c r="I6330" i="15"/>
  <c r="H6330" i="15"/>
  <c r="G6330" i="15"/>
  <c r="J6330" i="15" s="1"/>
  <c r="J6329" i="15"/>
  <c r="I6329" i="15"/>
  <c r="H6329" i="15"/>
  <c r="G6329" i="15"/>
  <c r="I6328" i="15"/>
  <c r="H6328" i="15"/>
  <c r="G6328" i="15"/>
  <c r="J6328" i="15" s="1"/>
  <c r="J6327" i="15"/>
  <c r="I6327" i="15"/>
  <c r="H6327" i="15"/>
  <c r="G6327" i="15"/>
  <c r="H6326" i="15"/>
  <c r="G6326" i="15"/>
  <c r="J6325" i="15"/>
  <c r="I6325" i="15"/>
  <c r="H6325" i="15"/>
  <c r="G6325" i="15"/>
  <c r="H6324" i="15"/>
  <c r="G6324" i="15"/>
  <c r="J6323" i="15"/>
  <c r="I6323" i="15"/>
  <c r="H6323" i="15"/>
  <c r="G6323" i="15"/>
  <c r="I6322" i="15"/>
  <c r="H6322" i="15"/>
  <c r="G6322" i="15"/>
  <c r="J6322" i="15" s="1"/>
  <c r="J6321" i="15"/>
  <c r="I6321" i="15"/>
  <c r="H6321" i="15"/>
  <c r="G6321" i="15"/>
  <c r="I6320" i="15"/>
  <c r="H6320" i="15"/>
  <c r="G6320" i="15"/>
  <c r="J6320" i="15" s="1"/>
  <c r="J6319" i="15"/>
  <c r="I6319" i="15"/>
  <c r="H6319" i="15"/>
  <c r="G6319" i="15"/>
  <c r="I6318" i="15"/>
  <c r="H6318" i="15"/>
  <c r="G6318" i="15"/>
  <c r="J6318" i="15" s="1"/>
  <c r="J6317" i="15"/>
  <c r="I6317" i="15"/>
  <c r="H6317" i="15"/>
  <c r="G6317" i="15"/>
  <c r="H6316" i="15"/>
  <c r="G6316" i="15"/>
  <c r="J6315" i="15"/>
  <c r="I6315" i="15"/>
  <c r="H6315" i="15"/>
  <c r="G6315" i="15"/>
  <c r="I6314" i="15"/>
  <c r="H6314" i="15"/>
  <c r="G6314" i="15"/>
  <c r="J6314" i="15" s="1"/>
  <c r="J6313" i="15"/>
  <c r="I6313" i="15"/>
  <c r="H6313" i="15"/>
  <c r="G6313" i="15"/>
  <c r="I6312" i="15"/>
  <c r="H6312" i="15"/>
  <c r="G6312" i="15"/>
  <c r="J6312" i="15" s="1"/>
  <c r="J6311" i="15"/>
  <c r="I6311" i="15"/>
  <c r="H6311" i="15"/>
  <c r="G6311" i="15"/>
  <c r="H6310" i="15"/>
  <c r="G6310" i="15"/>
  <c r="J6309" i="15"/>
  <c r="I6309" i="15"/>
  <c r="H6309" i="15"/>
  <c r="G6309" i="15"/>
  <c r="H6308" i="15"/>
  <c r="G6308" i="15"/>
  <c r="J6307" i="15"/>
  <c r="I6307" i="15"/>
  <c r="H6307" i="15"/>
  <c r="G6307" i="15"/>
  <c r="I6306" i="15"/>
  <c r="H6306" i="15"/>
  <c r="G6306" i="15"/>
  <c r="J6306" i="15" s="1"/>
  <c r="J6305" i="15"/>
  <c r="I6305" i="15"/>
  <c r="H6305" i="15"/>
  <c r="G6305" i="15"/>
  <c r="I6304" i="15"/>
  <c r="H6304" i="15"/>
  <c r="G6304" i="15"/>
  <c r="J6304" i="15" s="1"/>
  <c r="J6303" i="15"/>
  <c r="I6303" i="15"/>
  <c r="H6303" i="15"/>
  <c r="G6303" i="15"/>
  <c r="I6302" i="15"/>
  <c r="H6302" i="15"/>
  <c r="G6302" i="15"/>
  <c r="J6302" i="15" s="1"/>
  <c r="J6301" i="15"/>
  <c r="I6301" i="15"/>
  <c r="H6301" i="15"/>
  <c r="G6301" i="15"/>
  <c r="H6300" i="15"/>
  <c r="G6300" i="15"/>
  <c r="J6299" i="15"/>
  <c r="I6299" i="15"/>
  <c r="H6299" i="15"/>
  <c r="G6299" i="15"/>
  <c r="I6298" i="15"/>
  <c r="H6298" i="15"/>
  <c r="G6298" i="15"/>
  <c r="J6298" i="15" s="1"/>
  <c r="J6297" i="15"/>
  <c r="I6297" i="15"/>
  <c r="H6297" i="15"/>
  <c r="G6297" i="15"/>
  <c r="I6296" i="15"/>
  <c r="H6296" i="15"/>
  <c r="G6296" i="15"/>
  <c r="J6296" i="15" s="1"/>
  <c r="J6295" i="15"/>
  <c r="I6295" i="15"/>
  <c r="H6295" i="15"/>
  <c r="G6295" i="15"/>
  <c r="H6294" i="15"/>
  <c r="G6294" i="15"/>
  <c r="J6293" i="15"/>
  <c r="I6293" i="15"/>
  <c r="H6293" i="15"/>
  <c r="G6293" i="15"/>
  <c r="H6292" i="15"/>
  <c r="G6292" i="15"/>
  <c r="J6291" i="15"/>
  <c r="I6291" i="15"/>
  <c r="H6291" i="15"/>
  <c r="G6291" i="15"/>
  <c r="I6290" i="15"/>
  <c r="H6290" i="15"/>
  <c r="G6290" i="15"/>
  <c r="J6290" i="15" s="1"/>
  <c r="J6289" i="15"/>
  <c r="I6289" i="15"/>
  <c r="H6289" i="15"/>
  <c r="G6289" i="15"/>
  <c r="I6288" i="15"/>
  <c r="H6288" i="15"/>
  <c r="G6288" i="15"/>
  <c r="J6288" i="15" s="1"/>
  <c r="J6287" i="15"/>
  <c r="I6287" i="15"/>
  <c r="H6287" i="15"/>
  <c r="G6287" i="15"/>
  <c r="I6286" i="15"/>
  <c r="H6286" i="15"/>
  <c r="G6286" i="15"/>
  <c r="J6286" i="15" s="1"/>
  <c r="J6285" i="15"/>
  <c r="I6285" i="15"/>
  <c r="H6285" i="15"/>
  <c r="G6285" i="15"/>
  <c r="H6284" i="15"/>
  <c r="G6284" i="15"/>
  <c r="J6283" i="15"/>
  <c r="I6283" i="15"/>
  <c r="H6283" i="15"/>
  <c r="G6283" i="15"/>
  <c r="H6282" i="15"/>
  <c r="G6282" i="15"/>
  <c r="J6281" i="15"/>
  <c r="I6281" i="15"/>
  <c r="H6281" i="15"/>
  <c r="G6281" i="15"/>
  <c r="I6280" i="15"/>
  <c r="H6280" i="15"/>
  <c r="G6280" i="15"/>
  <c r="J6280" i="15" s="1"/>
  <c r="J6279" i="15"/>
  <c r="I6279" i="15"/>
  <c r="H6279" i="15"/>
  <c r="G6279" i="15"/>
  <c r="H6278" i="15"/>
  <c r="G6278" i="15"/>
  <c r="J6277" i="15"/>
  <c r="I6277" i="15"/>
  <c r="H6277" i="15"/>
  <c r="G6277" i="15"/>
  <c r="H6276" i="15"/>
  <c r="G6276" i="15"/>
  <c r="J6275" i="15"/>
  <c r="I6275" i="15"/>
  <c r="H6275" i="15"/>
  <c r="G6275" i="15"/>
  <c r="I6274" i="15"/>
  <c r="H6274" i="15"/>
  <c r="G6274" i="15"/>
  <c r="J6274" i="15" s="1"/>
  <c r="J6273" i="15"/>
  <c r="I6273" i="15"/>
  <c r="H6273" i="15"/>
  <c r="G6273" i="15"/>
  <c r="I6272" i="15"/>
  <c r="H6272" i="15"/>
  <c r="G6272" i="15"/>
  <c r="J6272" i="15" s="1"/>
  <c r="J6271" i="15"/>
  <c r="I6271" i="15"/>
  <c r="H6271" i="15"/>
  <c r="G6271" i="15"/>
  <c r="H6270" i="15"/>
  <c r="G6270" i="15"/>
  <c r="J6269" i="15"/>
  <c r="I6269" i="15"/>
  <c r="H6269" i="15"/>
  <c r="G6269" i="15"/>
  <c r="H6268" i="15"/>
  <c r="G6268" i="15"/>
  <c r="J6267" i="15"/>
  <c r="I6267" i="15"/>
  <c r="H6267" i="15"/>
  <c r="G6267" i="15"/>
  <c r="I6266" i="15"/>
  <c r="H6266" i="15"/>
  <c r="G6266" i="15"/>
  <c r="J6266" i="15" s="1"/>
  <c r="J6265" i="15"/>
  <c r="I6265" i="15"/>
  <c r="H6265" i="15"/>
  <c r="G6265" i="15"/>
  <c r="I6264" i="15"/>
  <c r="H6264" i="15"/>
  <c r="G6264" i="15"/>
  <c r="J6264" i="15" s="1"/>
  <c r="J6263" i="15"/>
  <c r="I6263" i="15"/>
  <c r="H6263" i="15"/>
  <c r="G6263" i="15"/>
  <c r="H6262" i="15"/>
  <c r="G6262" i="15"/>
  <c r="J6261" i="15"/>
  <c r="I6261" i="15"/>
  <c r="H6261" i="15"/>
  <c r="G6261" i="15"/>
  <c r="H6260" i="15"/>
  <c r="G6260" i="15"/>
  <c r="J6259" i="15"/>
  <c r="I6259" i="15"/>
  <c r="H6259" i="15"/>
  <c r="G6259" i="15"/>
  <c r="I6258" i="15"/>
  <c r="H6258" i="15"/>
  <c r="G6258" i="15"/>
  <c r="J6258" i="15" s="1"/>
  <c r="J6257" i="15"/>
  <c r="I6257" i="15"/>
  <c r="H6257" i="15"/>
  <c r="G6257" i="15"/>
  <c r="I6256" i="15"/>
  <c r="H6256" i="15"/>
  <c r="G6256" i="15"/>
  <c r="J6256" i="15" s="1"/>
  <c r="J6255" i="15"/>
  <c r="I6255" i="15"/>
  <c r="H6255" i="15"/>
  <c r="G6255" i="15"/>
  <c r="I6254" i="15"/>
  <c r="H6254" i="15"/>
  <c r="G6254" i="15"/>
  <c r="J6254" i="15" s="1"/>
  <c r="J6253" i="15"/>
  <c r="I6253" i="15"/>
  <c r="H6253" i="15"/>
  <c r="G6253" i="15"/>
  <c r="H6252" i="15"/>
  <c r="G6252" i="15"/>
  <c r="J6251" i="15"/>
  <c r="I6251" i="15"/>
  <c r="H6251" i="15"/>
  <c r="G6251" i="15"/>
  <c r="I6250" i="15"/>
  <c r="H6250" i="15"/>
  <c r="G6250" i="15"/>
  <c r="J6250" i="15" s="1"/>
  <c r="J6249" i="15"/>
  <c r="I6249" i="15"/>
  <c r="H6249" i="15"/>
  <c r="G6249" i="15"/>
  <c r="I6248" i="15"/>
  <c r="H6248" i="15"/>
  <c r="G6248" i="15"/>
  <c r="J6248" i="15" s="1"/>
  <c r="J6247" i="15"/>
  <c r="I6247" i="15"/>
  <c r="H6247" i="15"/>
  <c r="G6247" i="15"/>
  <c r="H6246" i="15"/>
  <c r="G6246" i="15"/>
  <c r="J6245" i="15"/>
  <c r="I6245" i="15"/>
  <c r="H6245" i="15"/>
  <c r="G6245" i="15"/>
  <c r="H6244" i="15"/>
  <c r="G6244" i="15"/>
  <c r="J6243" i="15"/>
  <c r="I6243" i="15"/>
  <c r="H6243" i="15"/>
  <c r="G6243" i="15"/>
  <c r="I6242" i="15"/>
  <c r="H6242" i="15"/>
  <c r="G6242" i="15"/>
  <c r="J6242" i="15" s="1"/>
  <c r="J6241" i="15"/>
  <c r="I6241" i="15"/>
  <c r="H6241" i="15"/>
  <c r="G6241" i="15"/>
  <c r="I6240" i="15"/>
  <c r="H6240" i="15"/>
  <c r="G6240" i="15"/>
  <c r="J6240" i="15" s="1"/>
  <c r="J6239" i="15"/>
  <c r="I6239" i="15"/>
  <c r="H6239" i="15"/>
  <c r="G6239" i="15"/>
  <c r="I6238" i="15"/>
  <c r="H6238" i="15"/>
  <c r="G6238" i="15"/>
  <c r="J6238" i="15" s="1"/>
  <c r="J6237" i="15"/>
  <c r="I6237" i="15"/>
  <c r="H6237" i="15"/>
  <c r="G6237" i="15"/>
  <c r="H6236" i="15"/>
  <c r="G6236" i="15"/>
  <c r="J6235" i="15"/>
  <c r="I6235" i="15"/>
  <c r="H6235" i="15"/>
  <c r="G6235" i="15"/>
  <c r="H6234" i="15"/>
  <c r="G6234" i="15"/>
  <c r="J6233" i="15"/>
  <c r="I6233" i="15"/>
  <c r="H6233" i="15"/>
  <c r="G6233" i="15"/>
  <c r="I6232" i="15"/>
  <c r="H6232" i="15"/>
  <c r="G6232" i="15"/>
  <c r="J6232" i="15" s="1"/>
  <c r="J6231" i="15"/>
  <c r="I6231" i="15"/>
  <c r="H6231" i="15"/>
  <c r="G6231" i="15"/>
  <c r="H6230" i="15"/>
  <c r="G6230" i="15"/>
  <c r="J6229" i="15"/>
  <c r="I6229" i="15"/>
  <c r="H6229" i="15"/>
  <c r="G6229" i="15"/>
  <c r="H6228" i="15"/>
  <c r="G6228" i="15"/>
  <c r="J6227" i="15"/>
  <c r="I6227" i="15"/>
  <c r="H6227" i="15"/>
  <c r="G6227" i="15"/>
  <c r="I6226" i="15"/>
  <c r="H6226" i="15"/>
  <c r="G6226" i="15"/>
  <c r="J6226" i="15" s="1"/>
  <c r="J6225" i="15"/>
  <c r="I6225" i="15"/>
  <c r="H6225" i="15"/>
  <c r="G6225" i="15"/>
  <c r="I6224" i="15"/>
  <c r="H6224" i="15"/>
  <c r="G6224" i="15"/>
  <c r="J6224" i="15" s="1"/>
  <c r="J6223" i="15"/>
  <c r="I6223" i="15"/>
  <c r="H6223" i="15"/>
  <c r="G6223" i="15"/>
  <c r="H6222" i="15"/>
  <c r="G6222" i="15"/>
  <c r="J6221" i="15"/>
  <c r="I6221" i="15"/>
  <c r="H6221" i="15"/>
  <c r="G6221" i="15"/>
  <c r="H6220" i="15"/>
  <c r="G6220" i="15"/>
  <c r="J6219" i="15"/>
  <c r="I6219" i="15"/>
  <c r="H6219" i="15"/>
  <c r="G6219" i="15"/>
  <c r="I6218" i="15"/>
  <c r="H6218" i="15"/>
  <c r="G6218" i="15"/>
  <c r="J6218" i="15" s="1"/>
  <c r="J6217" i="15"/>
  <c r="I6217" i="15"/>
  <c r="H6217" i="15"/>
  <c r="G6217" i="15"/>
  <c r="I6216" i="15"/>
  <c r="H6216" i="15"/>
  <c r="G6216" i="15"/>
  <c r="J6216" i="15" s="1"/>
  <c r="J6215" i="15"/>
  <c r="I6215" i="15"/>
  <c r="H6215" i="15"/>
  <c r="G6215" i="15"/>
  <c r="H6214" i="15"/>
  <c r="G6214" i="15"/>
  <c r="J6213" i="15"/>
  <c r="I6213" i="15"/>
  <c r="H6213" i="15"/>
  <c r="G6213" i="15"/>
  <c r="H6212" i="15"/>
  <c r="G6212" i="15"/>
  <c r="J6211" i="15"/>
  <c r="I6211" i="15"/>
  <c r="H6211" i="15"/>
  <c r="G6211" i="15"/>
  <c r="I6210" i="15"/>
  <c r="H6210" i="15"/>
  <c r="G6210" i="15"/>
  <c r="J6210" i="15" s="1"/>
  <c r="J6209" i="15"/>
  <c r="I6209" i="15"/>
  <c r="H6209" i="15"/>
  <c r="G6209" i="15"/>
  <c r="I6208" i="15"/>
  <c r="H6208" i="15"/>
  <c r="G6208" i="15"/>
  <c r="J6208" i="15" s="1"/>
  <c r="J6207" i="15"/>
  <c r="I6207" i="15"/>
  <c r="H6207" i="15"/>
  <c r="G6207" i="15"/>
  <c r="I6206" i="15"/>
  <c r="H6206" i="15"/>
  <c r="G6206" i="15"/>
  <c r="J6206" i="15" s="1"/>
  <c r="J6205" i="15"/>
  <c r="I6205" i="15"/>
  <c r="H6205" i="15"/>
  <c r="G6205" i="15"/>
  <c r="H6204" i="15"/>
  <c r="G6204" i="15"/>
  <c r="J6203" i="15"/>
  <c r="I6203" i="15"/>
  <c r="H6203" i="15"/>
  <c r="G6203" i="15"/>
  <c r="I6202" i="15"/>
  <c r="H6202" i="15"/>
  <c r="G6202" i="15"/>
  <c r="J6202" i="15" s="1"/>
  <c r="J6201" i="15"/>
  <c r="I6201" i="15"/>
  <c r="H6201" i="15"/>
  <c r="G6201" i="15"/>
  <c r="I6200" i="15"/>
  <c r="H6200" i="15"/>
  <c r="G6200" i="15"/>
  <c r="J6200" i="15" s="1"/>
  <c r="J6199" i="15"/>
  <c r="I6199" i="15"/>
  <c r="H6199" i="15"/>
  <c r="G6199" i="15"/>
  <c r="H6198" i="15"/>
  <c r="G6198" i="15"/>
  <c r="J6197" i="15"/>
  <c r="I6197" i="15"/>
  <c r="H6197" i="15"/>
  <c r="G6197" i="15"/>
  <c r="H6196" i="15"/>
  <c r="G6196" i="15"/>
  <c r="J6195" i="15"/>
  <c r="I6195" i="15"/>
  <c r="H6195" i="15"/>
  <c r="G6195" i="15"/>
  <c r="I6194" i="15"/>
  <c r="H6194" i="15"/>
  <c r="G6194" i="15"/>
  <c r="J6194" i="15" s="1"/>
  <c r="J6193" i="15"/>
  <c r="I6193" i="15"/>
  <c r="H6193" i="15"/>
  <c r="G6193" i="15"/>
  <c r="I6192" i="15"/>
  <c r="H6192" i="15"/>
  <c r="G6192" i="15"/>
  <c r="J6192" i="15" s="1"/>
  <c r="J6191" i="15"/>
  <c r="I6191" i="15"/>
  <c r="H6191" i="15"/>
  <c r="G6191" i="15"/>
  <c r="I6190" i="15"/>
  <c r="H6190" i="15"/>
  <c r="G6190" i="15"/>
  <c r="J6190" i="15" s="1"/>
  <c r="J6189" i="15"/>
  <c r="I6189" i="15"/>
  <c r="H6189" i="15"/>
  <c r="G6189" i="15"/>
  <c r="H6188" i="15"/>
  <c r="G6188" i="15"/>
  <c r="J6187" i="15"/>
  <c r="I6187" i="15"/>
  <c r="H6187" i="15"/>
  <c r="G6187" i="15"/>
  <c r="I6186" i="15"/>
  <c r="H6186" i="15"/>
  <c r="G6186" i="15"/>
  <c r="J6186" i="15" s="1"/>
  <c r="J6185" i="15"/>
  <c r="I6185" i="15"/>
  <c r="H6185" i="15"/>
  <c r="G6185" i="15"/>
  <c r="I6184" i="15"/>
  <c r="H6184" i="15"/>
  <c r="G6184" i="15"/>
  <c r="J6184" i="15" s="1"/>
  <c r="J6183" i="15"/>
  <c r="I6183" i="15"/>
  <c r="H6183" i="15"/>
  <c r="G6183" i="15"/>
  <c r="H6182" i="15"/>
  <c r="G6182" i="15"/>
  <c r="J6181" i="15"/>
  <c r="I6181" i="15"/>
  <c r="H6181" i="15"/>
  <c r="G6181" i="15"/>
  <c r="H6180" i="15"/>
  <c r="G6180" i="15"/>
  <c r="J6179" i="15"/>
  <c r="I6179" i="15"/>
  <c r="H6179" i="15"/>
  <c r="G6179" i="15"/>
  <c r="I6178" i="15"/>
  <c r="H6178" i="15"/>
  <c r="G6178" i="15"/>
  <c r="J6178" i="15" s="1"/>
  <c r="J6177" i="15"/>
  <c r="I6177" i="15"/>
  <c r="H6177" i="15"/>
  <c r="G6177" i="15"/>
  <c r="I6176" i="15"/>
  <c r="H6176" i="15"/>
  <c r="G6176" i="15"/>
  <c r="J6176" i="15" s="1"/>
  <c r="J6175" i="15"/>
  <c r="I6175" i="15"/>
  <c r="H6175" i="15"/>
  <c r="G6175" i="15"/>
  <c r="I6174" i="15"/>
  <c r="H6174" i="15"/>
  <c r="G6174" i="15"/>
  <c r="J6174" i="15" s="1"/>
  <c r="J6173" i="15"/>
  <c r="I6173" i="15"/>
  <c r="H6173" i="15"/>
  <c r="G6173" i="15"/>
  <c r="H6172" i="15"/>
  <c r="G6172" i="15"/>
  <c r="J6171" i="15"/>
  <c r="I6171" i="15"/>
  <c r="H6171" i="15"/>
  <c r="G6171" i="15"/>
  <c r="I6170" i="15"/>
  <c r="H6170" i="15"/>
  <c r="G6170" i="15"/>
  <c r="J6170" i="15" s="1"/>
  <c r="J6169" i="15"/>
  <c r="I6169" i="15"/>
  <c r="H6169" i="15"/>
  <c r="G6169" i="15"/>
  <c r="I6168" i="15"/>
  <c r="H6168" i="15"/>
  <c r="G6168" i="15"/>
  <c r="J6168" i="15" s="1"/>
  <c r="J6167" i="15"/>
  <c r="I6167" i="15"/>
  <c r="H6167" i="15"/>
  <c r="G6167" i="15"/>
  <c r="H6166" i="15"/>
  <c r="G6166" i="15"/>
  <c r="J6165" i="15"/>
  <c r="I6165" i="15"/>
  <c r="H6165" i="15"/>
  <c r="G6165" i="15"/>
  <c r="H6164" i="15"/>
  <c r="G6164" i="15"/>
  <c r="J6163" i="15"/>
  <c r="I6163" i="15"/>
  <c r="H6163" i="15"/>
  <c r="G6163" i="15"/>
  <c r="I6162" i="15"/>
  <c r="H6162" i="15"/>
  <c r="G6162" i="15"/>
  <c r="J6162" i="15" s="1"/>
  <c r="J6161" i="15"/>
  <c r="I6161" i="15"/>
  <c r="H6161" i="15"/>
  <c r="G6161" i="15"/>
  <c r="I6160" i="15"/>
  <c r="H6160" i="15"/>
  <c r="G6160" i="15"/>
  <c r="J6160" i="15" s="1"/>
  <c r="J6159" i="15"/>
  <c r="I6159" i="15"/>
  <c r="H6159" i="15"/>
  <c r="G6159" i="15"/>
  <c r="I6158" i="15"/>
  <c r="H6158" i="15"/>
  <c r="G6158" i="15"/>
  <c r="J6158" i="15" s="1"/>
  <c r="J6157" i="15"/>
  <c r="I6157" i="15"/>
  <c r="H6157" i="15"/>
  <c r="G6157" i="15"/>
  <c r="H6156" i="15"/>
  <c r="G6156" i="15"/>
  <c r="J6155" i="15"/>
  <c r="I6155" i="15"/>
  <c r="H6155" i="15"/>
  <c r="G6155" i="15"/>
  <c r="H6154" i="15"/>
  <c r="G6154" i="15"/>
  <c r="J6153" i="15"/>
  <c r="I6153" i="15"/>
  <c r="H6153" i="15"/>
  <c r="G6153" i="15"/>
  <c r="I6152" i="15"/>
  <c r="H6152" i="15"/>
  <c r="G6152" i="15"/>
  <c r="J6152" i="15" s="1"/>
  <c r="J6151" i="15"/>
  <c r="I6151" i="15"/>
  <c r="H6151" i="15"/>
  <c r="G6151" i="15"/>
  <c r="H6150" i="15"/>
  <c r="G6150" i="15"/>
  <c r="J6149" i="15"/>
  <c r="I6149" i="15"/>
  <c r="H6149" i="15"/>
  <c r="G6149" i="15"/>
  <c r="H6148" i="15"/>
  <c r="G6148" i="15"/>
  <c r="J6147" i="15"/>
  <c r="I6147" i="15"/>
  <c r="H6147" i="15"/>
  <c r="G6147" i="15"/>
  <c r="I6146" i="15"/>
  <c r="H6146" i="15"/>
  <c r="G6146" i="15"/>
  <c r="J6146" i="15" s="1"/>
  <c r="J6145" i="15"/>
  <c r="I6145" i="15"/>
  <c r="H6145" i="15"/>
  <c r="G6145" i="15"/>
  <c r="I6144" i="15"/>
  <c r="H6144" i="15"/>
  <c r="G6144" i="15"/>
  <c r="J6144" i="15" s="1"/>
  <c r="J6143" i="15"/>
  <c r="I6143" i="15"/>
  <c r="H6143" i="15"/>
  <c r="G6143" i="15"/>
  <c r="H6142" i="15"/>
  <c r="G6142" i="15"/>
  <c r="J6141" i="15"/>
  <c r="I6141" i="15"/>
  <c r="H6141" i="15"/>
  <c r="G6141" i="15"/>
  <c r="H6140" i="15"/>
  <c r="G6140" i="15"/>
  <c r="J6139" i="15"/>
  <c r="I6139" i="15"/>
  <c r="H6139" i="15"/>
  <c r="G6139" i="15"/>
  <c r="I6138" i="15"/>
  <c r="H6138" i="15"/>
  <c r="G6138" i="15"/>
  <c r="J6138" i="15" s="1"/>
  <c r="J6137" i="15"/>
  <c r="I6137" i="15"/>
  <c r="H6137" i="15"/>
  <c r="G6137" i="15"/>
  <c r="I6136" i="15"/>
  <c r="H6136" i="15"/>
  <c r="G6136" i="15"/>
  <c r="J6136" i="15" s="1"/>
  <c r="J6135" i="15"/>
  <c r="I6135" i="15"/>
  <c r="H6135" i="15"/>
  <c r="G6135" i="15"/>
  <c r="H6134" i="15"/>
  <c r="G6134" i="15"/>
  <c r="J6133" i="15"/>
  <c r="I6133" i="15"/>
  <c r="H6133" i="15"/>
  <c r="G6133" i="15"/>
  <c r="H6132" i="15"/>
  <c r="G6132" i="15"/>
  <c r="J6131" i="15"/>
  <c r="I6131" i="15"/>
  <c r="H6131" i="15"/>
  <c r="G6131" i="15"/>
  <c r="I6130" i="15"/>
  <c r="H6130" i="15"/>
  <c r="G6130" i="15"/>
  <c r="J6130" i="15" s="1"/>
  <c r="J6129" i="15"/>
  <c r="I6129" i="15"/>
  <c r="H6129" i="15"/>
  <c r="G6129" i="15"/>
  <c r="I6128" i="15"/>
  <c r="H6128" i="15"/>
  <c r="G6128" i="15"/>
  <c r="J6128" i="15" s="1"/>
  <c r="J6127" i="15"/>
  <c r="I6127" i="15"/>
  <c r="H6127" i="15"/>
  <c r="G6127" i="15"/>
  <c r="I6126" i="15"/>
  <c r="H6126" i="15"/>
  <c r="G6126" i="15"/>
  <c r="J6126" i="15" s="1"/>
  <c r="J6125" i="15"/>
  <c r="I6125" i="15"/>
  <c r="H6125" i="15"/>
  <c r="G6125" i="15"/>
  <c r="H6124" i="15"/>
  <c r="G6124" i="15"/>
  <c r="J6123" i="15"/>
  <c r="I6123" i="15"/>
  <c r="H6123" i="15"/>
  <c r="G6123" i="15"/>
  <c r="I6122" i="15"/>
  <c r="H6122" i="15"/>
  <c r="G6122" i="15"/>
  <c r="J6122" i="15" s="1"/>
  <c r="J6121" i="15"/>
  <c r="I6121" i="15"/>
  <c r="H6121" i="15"/>
  <c r="G6121" i="15"/>
  <c r="I6120" i="15"/>
  <c r="H6120" i="15"/>
  <c r="G6120" i="15"/>
  <c r="J6120" i="15" s="1"/>
  <c r="J6119" i="15"/>
  <c r="I6119" i="15"/>
  <c r="H6119" i="15"/>
  <c r="G6119" i="15"/>
  <c r="H6118" i="15"/>
  <c r="G6118" i="15"/>
  <c r="J6117" i="15"/>
  <c r="I6117" i="15"/>
  <c r="H6117" i="15"/>
  <c r="G6117" i="15"/>
  <c r="H6116" i="15"/>
  <c r="G6116" i="15"/>
  <c r="J6115" i="15"/>
  <c r="I6115" i="15"/>
  <c r="H6115" i="15"/>
  <c r="G6115" i="15"/>
  <c r="I6114" i="15"/>
  <c r="H6114" i="15"/>
  <c r="G6114" i="15"/>
  <c r="J6114" i="15" s="1"/>
  <c r="J6113" i="15"/>
  <c r="I6113" i="15"/>
  <c r="H6113" i="15"/>
  <c r="G6113" i="15"/>
  <c r="I6112" i="15"/>
  <c r="H6112" i="15"/>
  <c r="G6112" i="15"/>
  <c r="J6112" i="15" s="1"/>
  <c r="J6111" i="15"/>
  <c r="I6111" i="15"/>
  <c r="H6111" i="15"/>
  <c r="G6111" i="15"/>
  <c r="I6110" i="15"/>
  <c r="H6110" i="15"/>
  <c r="G6110" i="15"/>
  <c r="J6110" i="15" s="1"/>
  <c r="J6109" i="15"/>
  <c r="I6109" i="15"/>
  <c r="H6109" i="15"/>
  <c r="G6109" i="15"/>
  <c r="H6108" i="15"/>
  <c r="G6108" i="15"/>
  <c r="J6107" i="15"/>
  <c r="I6107" i="15"/>
  <c r="H6107" i="15"/>
  <c r="G6107" i="15"/>
  <c r="H6106" i="15"/>
  <c r="G6106" i="15"/>
  <c r="J6105" i="15"/>
  <c r="I6105" i="15"/>
  <c r="H6105" i="15"/>
  <c r="G6105" i="15"/>
  <c r="I6104" i="15"/>
  <c r="H6104" i="15"/>
  <c r="G6104" i="15"/>
  <c r="J6104" i="15" s="1"/>
  <c r="J6103" i="15"/>
  <c r="I6103" i="15"/>
  <c r="H6103" i="15"/>
  <c r="G6103" i="15"/>
  <c r="H6102" i="15"/>
  <c r="G6102" i="15"/>
  <c r="J6101" i="15"/>
  <c r="I6101" i="15"/>
  <c r="H6101" i="15"/>
  <c r="G6101" i="15"/>
  <c r="H6100" i="15"/>
  <c r="G6100" i="15"/>
  <c r="J6099" i="15"/>
  <c r="I6099" i="15"/>
  <c r="H6099" i="15"/>
  <c r="G6099" i="15"/>
  <c r="I6098" i="15"/>
  <c r="H6098" i="15"/>
  <c r="G6098" i="15"/>
  <c r="J6098" i="15" s="1"/>
  <c r="J6097" i="15"/>
  <c r="I6097" i="15"/>
  <c r="H6097" i="15"/>
  <c r="G6097" i="15"/>
  <c r="I6096" i="15"/>
  <c r="H6096" i="15"/>
  <c r="G6096" i="15"/>
  <c r="J6096" i="15" s="1"/>
  <c r="J6095" i="15"/>
  <c r="I6095" i="15"/>
  <c r="H6095" i="15"/>
  <c r="G6095" i="15"/>
  <c r="H6094" i="15"/>
  <c r="G6094" i="15"/>
  <c r="J6093" i="15"/>
  <c r="I6093" i="15"/>
  <c r="H6093" i="15"/>
  <c r="G6093" i="15"/>
  <c r="H6092" i="15"/>
  <c r="G6092" i="15"/>
  <c r="J6091" i="15"/>
  <c r="I6091" i="15"/>
  <c r="H6091" i="15"/>
  <c r="G6091" i="15"/>
  <c r="I6090" i="15"/>
  <c r="H6090" i="15"/>
  <c r="G6090" i="15"/>
  <c r="J6090" i="15" s="1"/>
  <c r="J6089" i="15"/>
  <c r="I6089" i="15"/>
  <c r="H6089" i="15"/>
  <c r="G6089" i="15"/>
  <c r="I6088" i="15"/>
  <c r="H6088" i="15"/>
  <c r="G6088" i="15"/>
  <c r="J6088" i="15" s="1"/>
  <c r="J6087" i="15"/>
  <c r="I6087" i="15"/>
  <c r="H6087" i="15"/>
  <c r="G6087" i="15"/>
  <c r="H6086" i="15"/>
  <c r="G6086" i="15"/>
  <c r="J6085" i="15"/>
  <c r="I6085" i="15"/>
  <c r="H6085" i="15"/>
  <c r="G6085" i="15"/>
  <c r="H6084" i="15"/>
  <c r="G6084" i="15"/>
  <c r="J6083" i="15"/>
  <c r="I6083" i="15"/>
  <c r="H6083" i="15"/>
  <c r="G6083" i="15"/>
  <c r="I6082" i="15"/>
  <c r="H6082" i="15"/>
  <c r="G6082" i="15"/>
  <c r="J6082" i="15" s="1"/>
  <c r="J6081" i="15"/>
  <c r="I6081" i="15"/>
  <c r="H6081" i="15"/>
  <c r="G6081" i="15"/>
  <c r="I6080" i="15"/>
  <c r="H6080" i="15"/>
  <c r="G6080" i="15"/>
  <c r="J6080" i="15" s="1"/>
  <c r="J6079" i="15"/>
  <c r="I6079" i="15"/>
  <c r="H6079" i="15"/>
  <c r="G6079" i="15"/>
  <c r="I6078" i="15"/>
  <c r="H6078" i="15"/>
  <c r="G6078" i="15"/>
  <c r="J6078" i="15" s="1"/>
  <c r="J6077" i="15"/>
  <c r="I6077" i="15"/>
  <c r="H6077" i="15"/>
  <c r="G6077" i="15"/>
  <c r="H6076" i="15"/>
  <c r="G6076" i="15"/>
  <c r="J6075" i="15"/>
  <c r="I6075" i="15"/>
  <c r="H6075" i="15"/>
  <c r="G6075" i="15"/>
  <c r="I6074" i="15"/>
  <c r="H6074" i="15"/>
  <c r="G6074" i="15"/>
  <c r="J6074" i="15" s="1"/>
  <c r="J6073" i="15"/>
  <c r="I6073" i="15"/>
  <c r="H6073" i="15"/>
  <c r="G6073" i="15"/>
  <c r="I6072" i="15"/>
  <c r="H6072" i="15"/>
  <c r="G6072" i="15"/>
  <c r="J6072" i="15" s="1"/>
  <c r="J6071" i="15"/>
  <c r="I6071" i="15"/>
  <c r="H6071" i="15"/>
  <c r="G6071" i="15"/>
  <c r="H6070" i="15"/>
  <c r="G6070" i="15"/>
  <c r="J6069" i="15"/>
  <c r="I6069" i="15"/>
  <c r="H6069" i="15"/>
  <c r="G6069" i="15"/>
  <c r="H6068" i="15"/>
  <c r="G6068" i="15"/>
  <c r="J6067" i="15"/>
  <c r="I6067" i="15"/>
  <c r="H6067" i="15"/>
  <c r="G6067" i="15"/>
  <c r="I6066" i="15"/>
  <c r="H6066" i="15"/>
  <c r="G6066" i="15"/>
  <c r="J6066" i="15" s="1"/>
  <c r="J6065" i="15"/>
  <c r="I6065" i="15"/>
  <c r="H6065" i="15"/>
  <c r="G6065" i="15"/>
  <c r="I6064" i="15"/>
  <c r="H6064" i="15"/>
  <c r="G6064" i="15"/>
  <c r="J6064" i="15" s="1"/>
  <c r="J6063" i="15"/>
  <c r="I6063" i="15"/>
  <c r="H6063" i="15"/>
  <c r="G6063" i="15"/>
  <c r="I6062" i="15"/>
  <c r="H6062" i="15"/>
  <c r="G6062" i="15"/>
  <c r="J6062" i="15" s="1"/>
  <c r="J6061" i="15"/>
  <c r="I6061" i="15"/>
  <c r="H6061" i="15"/>
  <c r="G6061" i="15"/>
  <c r="H6060" i="15"/>
  <c r="G6060" i="15"/>
  <c r="J6059" i="15"/>
  <c r="I6059" i="15"/>
  <c r="H6059" i="15"/>
  <c r="G6059" i="15"/>
  <c r="I6058" i="15"/>
  <c r="H6058" i="15"/>
  <c r="G6058" i="15"/>
  <c r="J6058" i="15" s="1"/>
  <c r="J6057" i="15"/>
  <c r="I6057" i="15"/>
  <c r="H6057" i="15"/>
  <c r="G6057" i="15"/>
  <c r="I6056" i="15"/>
  <c r="H6056" i="15"/>
  <c r="G6056" i="15"/>
  <c r="J6056" i="15" s="1"/>
  <c r="J6055" i="15"/>
  <c r="I6055" i="15"/>
  <c r="H6055" i="15"/>
  <c r="G6055" i="15"/>
  <c r="H6054" i="15"/>
  <c r="G6054" i="15"/>
  <c r="J6053" i="15"/>
  <c r="I6053" i="15"/>
  <c r="H6053" i="15"/>
  <c r="G6053" i="15"/>
  <c r="H6052" i="15"/>
  <c r="G6052" i="15"/>
  <c r="J6051" i="15"/>
  <c r="I6051" i="15"/>
  <c r="H6051" i="15"/>
  <c r="G6051" i="15"/>
  <c r="I6050" i="15"/>
  <c r="H6050" i="15"/>
  <c r="G6050" i="15"/>
  <c r="J6050" i="15" s="1"/>
  <c r="J6049" i="15"/>
  <c r="I6049" i="15"/>
  <c r="H6049" i="15"/>
  <c r="G6049" i="15"/>
  <c r="I6048" i="15"/>
  <c r="H6048" i="15"/>
  <c r="G6048" i="15"/>
  <c r="J6048" i="15" s="1"/>
  <c r="J6047" i="15"/>
  <c r="I6047" i="15"/>
  <c r="H6047" i="15"/>
  <c r="G6047" i="15"/>
  <c r="I6046" i="15"/>
  <c r="H6046" i="15"/>
  <c r="G6046" i="15"/>
  <c r="J6046" i="15" s="1"/>
  <c r="J6045" i="15"/>
  <c r="I6045" i="15"/>
  <c r="H6045" i="15"/>
  <c r="G6045" i="15"/>
  <c r="H6044" i="15"/>
  <c r="G6044" i="15"/>
  <c r="J6043" i="15"/>
  <c r="I6043" i="15"/>
  <c r="H6043" i="15"/>
  <c r="G6043" i="15"/>
  <c r="I6042" i="15"/>
  <c r="H6042" i="15"/>
  <c r="G6042" i="15"/>
  <c r="J6042" i="15" s="1"/>
  <c r="J6041" i="15"/>
  <c r="I6041" i="15"/>
  <c r="H6041" i="15"/>
  <c r="G6041" i="15"/>
  <c r="I6040" i="15"/>
  <c r="H6040" i="15"/>
  <c r="G6040" i="15"/>
  <c r="J6040" i="15" s="1"/>
  <c r="J6039" i="15"/>
  <c r="I6039" i="15"/>
  <c r="H6039" i="15"/>
  <c r="G6039" i="15"/>
  <c r="H6038" i="15"/>
  <c r="G6038" i="15"/>
  <c r="J6037" i="15"/>
  <c r="I6037" i="15"/>
  <c r="H6037" i="15"/>
  <c r="G6037" i="15"/>
  <c r="H6036" i="15"/>
  <c r="G6036" i="15"/>
  <c r="J6035" i="15"/>
  <c r="I6035" i="15"/>
  <c r="H6035" i="15"/>
  <c r="G6035" i="15"/>
  <c r="I6034" i="15"/>
  <c r="H6034" i="15"/>
  <c r="G6034" i="15"/>
  <c r="J6034" i="15" s="1"/>
  <c r="J6033" i="15"/>
  <c r="I6033" i="15"/>
  <c r="H6033" i="15"/>
  <c r="G6033" i="15"/>
  <c r="I6032" i="15"/>
  <c r="H6032" i="15"/>
  <c r="G6032" i="15"/>
  <c r="J6032" i="15" s="1"/>
  <c r="J6031" i="15"/>
  <c r="I6031" i="15"/>
  <c r="H6031" i="15"/>
  <c r="G6031" i="15"/>
  <c r="I6030" i="15"/>
  <c r="H6030" i="15"/>
  <c r="G6030" i="15"/>
  <c r="J6030" i="15" s="1"/>
  <c r="J6029" i="15"/>
  <c r="I6029" i="15"/>
  <c r="H6029" i="15"/>
  <c r="G6029" i="15"/>
  <c r="H6028" i="15"/>
  <c r="G6028" i="15"/>
  <c r="J6027" i="15"/>
  <c r="I6027" i="15"/>
  <c r="H6027" i="15"/>
  <c r="G6027" i="15"/>
  <c r="H6026" i="15"/>
  <c r="G6026" i="15"/>
  <c r="J6025" i="15"/>
  <c r="I6025" i="15"/>
  <c r="H6025" i="15"/>
  <c r="G6025" i="15"/>
  <c r="I6024" i="15"/>
  <c r="H6024" i="15"/>
  <c r="G6024" i="15"/>
  <c r="J6024" i="15" s="1"/>
  <c r="J6023" i="15"/>
  <c r="I6023" i="15"/>
  <c r="H6023" i="15"/>
  <c r="G6023" i="15"/>
  <c r="H6022" i="15"/>
  <c r="G6022" i="15"/>
  <c r="J6021" i="15"/>
  <c r="I6021" i="15"/>
  <c r="H6021" i="15"/>
  <c r="G6021" i="15"/>
  <c r="H6020" i="15"/>
  <c r="G6020" i="15"/>
  <c r="J6019" i="15"/>
  <c r="I6019" i="15"/>
  <c r="H6019" i="15"/>
  <c r="G6019" i="15"/>
  <c r="I6018" i="15"/>
  <c r="H6018" i="15"/>
  <c r="G6018" i="15"/>
  <c r="J6018" i="15" s="1"/>
  <c r="J6017" i="15"/>
  <c r="I6017" i="15"/>
  <c r="H6017" i="15"/>
  <c r="G6017" i="15"/>
  <c r="I6016" i="15"/>
  <c r="H6016" i="15"/>
  <c r="G6016" i="15"/>
  <c r="J6016" i="15" s="1"/>
  <c r="J6015" i="15"/>
  <c r="I6015" i="15"/>
  <c r="H6015" i="15"/>
  <c r="G6015" i="15"/>
  <c r="H6014" i="15"/>
  <c r="G6014" i="15"/>
  <c r="J6013" i="15"/>
  <c r="I6013" i="15"/>
  <c r="H6013" i="15"/>
  <c r="G6013" i="15"/>
  <c r="H6012" i="15"/>
  <c r="G6012" i="15"/>
  <c r="J6011" i="15"/>
  <c r="I6011" i="15"/>
  <c r="H6011" i="15"/>
  <c r="G6011" i="15"/>
  <c r="I6010" i="15"/>
  <c r="H6010" i="15"/>
  <c r="G6010" i="15"/>
  <c r="J6010" i="15" s="1"/>
  <c r="J6009" i="15"/>
  <c r="I6009" i="15"/>
  <c r="H6009" i="15"/>
  <c r="G6009" i="15"/>
  <c r="I6008" i="15"/>
  <c r="H6008" i="15"/>
  <c r="G6008" i="15"/>
  <c r="J6008" i="15" s="1"/>
  <c r="J6007" i="15"/>
  <c r="I6007" i="15"/>
  <c r="H6007" i="15"/>
  <c r="G6007" i="15"/>
  <c r="H6006" i="15"/>
  <c r="G6006" i="15"/>
  <c r="J6005" i="15"/>
  <c r="I6005" i="15"/>
  <c r="H6005" i="15"/>
  <c r="G6005" i="15"/>
  <c r="H6004" i="15"/>
  <c r="G6004" i="15"/>
  <c r="J6003" i="15"/>
  <c r="I6003" i="15"/>
  <c r="H6003" i="15"/>
  <c r="G6003" i="15"/>
  <c r="I6002" i="15"/>
  <c r="H6002" i="15"/>
  <c r="G6002" i="15"/>
  <c r="J6002" i="15" s="1"/>
  <c r="J6001" i="15"/>
  <c r="I6001" i="15"/>
  <c r="H6001" i="15"/>
  <c r="G6001" i="15"/>
  <c r="I6000" i="15"/>
  <c r="H6000" i="15"/>
  <c r="G6000" i="15"/>
  <c r="J6000" i="15" s="1"/>
  <c r="J5999" i="15"/>
  <c r="I5999" i="15"/>
  <c r="H5999" i="15"/>
  <c r="G5999" i="15"/>
  <c r="I5998" i="15"/>
  <c r="H5998" i="15"/>
  <c r="G5998" i="15"/>
  <c r="J5998" i="15" s="1"/>
  <c r="J5997" i="15"/>
  <c r="I5997" i="15"/>
  <c r="H5997" i="15"/>
  <c r="G5997" i="15"/>
  <c r="H5996" i="15"/>
  <c r="G5996" i="15"/>
  <c r="J5995" i="15"/>
  <c r="I5995" i="15"/>
  <c r="H5995" i="15"/>
  <c r="G5995" i="15"/>
  <c r="I5994" i="15"/>
  <c r="H5994" i="15"/>
  <c r="G5994" i="15"/>
  <c r="J5994" i="15" s="1"/>
  <c r="J5993" i="15"/>
  <c r="I5993" i="15"/>
  <c r="H5993" i="15"/>
  <c r="G5993" i="15"/>
  <c r="I5992" i="15"/>
  <c r="H5992" i="15"/>
  <c r="G5992" i="15"/>
  <c r="J5992" i="15" s="1"/>
  <c r="J5991" i="15"/>
  <c r="I5991" i="15"/>
  <c r="H5991" i="15"/>
  <c r="G5991" i="15"/>
  <c r="H5990" i="15"/>
  <c r="G5990" i="15"/>
  <c r="J5989" i="15"/>
  <c r="I5989" i="15"/>
  <c r="H5989" i="15"/>
  <c r="G5989" i="15"/>
  <c r="H5988" i="15"/>
  <c r="G5988" i="15"/>
  <c r="J5987" i="15"/>
  <c r="I5987" i="15"/>
  <c r="H5987" i="15"/>
  <c r="G5987" i="15"/>
  <c r="I5986" i="15"/>
  <c r="H5986" i="15"/>
  <c r="G5986" i="15"/>
  <c r="J5986" i="15" s="1"/>
  <c r="J5985" i="15"/>
  <c r="I5985" i="15"/>
  <c r="H5985" i="15"/>
  <c r="G5985" i="15"/>
  <c r="I5984" i="15"/>
  <c r="H5984" i="15"/>
  <c r="G5984" i="15"/>
  <c r="J5984" i="15" s="1"/>
  <c r="J5983" i="15"/>
  <c r="I5983" i="15"/>
  <c r="H5983" i="15"/>
  <c r="G5983" i="15"/>
  <c r="J5982" i="15"/>
  <c r="I5982" i="15"/>
  <c r="H5982" i="15"/>
  <c r="G5982" i="15"/>
  <c r="J5981" i="15"/>
  <c r="I5981" i="15"/>
  <c r="H5981" i="15"/>
  <c r="G5981" i="15"/>
  <c r="J5980" i="15"/>
  <c r="I5980" i="15"/>
  <c r="H5980" i="15"/>
  <c r="G5980" i="15"/>
  <c r="J5979" i="15"/>
  <c r="I5979" i="15"/>
  <c r="H5979" i="15"/>
  <c r="G5979" i="15"/>
  <c r="J5978" i="15"/>
  <c r="I5978" i="15"/>
  <c r="H5978" i="15"/>
  <c r="G5978" i="15"/>
  <c r="J5977" i="15"/>
  <c r="I5977" i="15"/>
  <c r="H5977" i="15"/>
  <c r="G5977" i="15"/>
  <c r="J5976" i="15"/>
  <c r="I5976" i="15"/>
  <c r="H5976" i="15"/>
  <c r="G5976" i="15"/>
  <c r="J5975" i="15"/>
  <c r="I5975" i="15"/>
  <c r="H5975" i="15"/>
  <c r="G5975" i="15"/>
  <c r="J5974" i="15"/>
  <c r="I5974" i="15"/>
  <c r="H5974" i="15"/>
  <c r="G5974" i="15"/>
  <c r="J5973" i="15"/>
  <c r="I5973" i="15"/>
  <c r="H5973" i="15"/>
  <c r="G5973" i="15"/>
  <c r="J5972" i="15"/>
  <c r="I5972" i="15"/>
  <c r="H5972" i="15"/>
  <c r="G5972" i="15"/>
  <c r="J5971" i="15"/>
  <c r="I5971" i="15"/>
  <c r="H5971" i="15"/>
  <c r="G5971" i="15"/>
  <c r="J5970" i="15"/>
  <c r="I5970" i="15"/>
  <c r="H5970" i="15"/>
  <c r="G5970" i="15"/>
  <c r="J5969" i="15"/>
  <c r="I5969" i="15"/>
  <c r="H5969" i="15"/>
  <c r="G5969" i="15"/>
  <c r="J5968" i="15"/>
  <c r="I5968" i="15"/>
  <c r="H5968" i="15"/>
  <c r="G5968" i="15"/>
  <c r="J5967" i="15"/>
  <c r="I5967" i="15"/>
  <c r="H5967" i="15"/>
  <c r="G5967" i="15"/>
  <c r="J5966" i="15"/>
  <c r="I5966" i="15"/>
  <c r="H5966" i="15"/>
  <c r="G5966" i="15"/>
  <c r="J5965" i="15"/>
  <c r="I5965" i="15"/>
  <c r="H5965" i="15"/>
  <c r="G5965" i="15"/>
  <c r="J5964" i="15"/>
  <c r="I5964" i="15"/>
  <c r="H5964" i="15"/>
  <c r="G5964" i="15"/>
  <c r="J5963" i="15"/>
  <c r="I5963" i="15"/>
  <c r="H5963" i="15"/>
  <c r="G5963" i="15"/>
  <c r="J5962" i="15"/>
  <c r="I5962" i="15"/>
  <c r="H5962" i="15"/>
  <c r="G5962" i="15"/>
  <c r="J5961" i="15"/>
  <c r="I5961" i="15"/>
  <c r="H5961" i="15"/>
  <c r="G5961" i="15"/>
  <c r="J5960" i="15"/>
  <c r="I5960" i="15"/>
  <c r="H5960" i="15"/>
  <c r="G5960" i="15"/>
  <c r="J5959" i="15"/>
  <c r="I5959" i="15"/>
  <c r="H5959" i="15"/>
  <c r="G5959" i="15"/>
  <c r="J5958" i="15"/>
  <c r="I5958" i="15"/>
  <c r="H5958" i="15"/>
  <c r="G5958" i="15"/>
  <c r="J5957" i="15"/>
  <c r="I5957" i="15"/>
  <c r="H5957" i="15"/>
  <c r="G5957" i="15"/>
  <c r="J5956" i="15"/>
  <c r="I5956" i="15"/>
  <c r="H5956" i="15"/>
  <c r="G5956" i="15"/>
  <c r="J5955" i="15"/>
  <c r="I5955" i="15"/>
  <c r="H5955" i="15"/>
  <c r="G5955" i="15"/>
  <c r="J5954" i="15"/>
  <c r="I5954" i="15"/>
  <c r="H5954" i="15"/>
  <c r="G5954" i="15"/>
  <c r="J5953" i="15"/>
  <c r="I5953" i="15"/>
  <c r="H5953" i="15"/>
  <c r="G5953" i="15"/>
  <c r="J5952" i="15"/>
  <c r="I5952" i="15"/>
  <c r="H5952" i="15"/>
  <c r="G5952" i="15"/>
  <c r="J5951" i="15"/>
  <c r="I5951" i="15"/>
  <c r="H5951" i="15"/>
  <c r="G5951" i="15"/>
  <c r="J5950" i="15"/>
  <c r="I5950" i="15"/>
  <c r="H5950" i="15"/>
  <c r="G5950" i="15"/>
  <c r="J5949" i="15"/>
  <c r="I5949" i="15"/>
  <c r="H5949" i="15"/>
  <c r="G5949" i="15"/>
  <c r="J5948" i="15"/>
  <c r="I5948" i="15"/>
  <c r="H5948" i="15"/>
  <c r="G5948" i="15"/>
  <c r="J5947" i="15"/>
  <c r="I5947" i="15"/>
  <c r="H5947" i="15"/>
  <c r="G5947" i="15"/>
  <c r="J5946" i="15"/>
  <c r="I5946" i="15"/>
  <c r="H5946" i="15"/>
  <c r="G5946" i="15"/>
  <c r="J5945" i="15"/>
  <c r="I5945" i="15"/>
  <c r="H5945" i="15"/>
  <c r="G5945" i="15"/>
  <c r="J5944" i="15"/>
  <c r="I5944" i="15"/>
  <c r="H5944" i="15"/>
  <c r="G5944" i="15"/>
  <c r="J5943" i="15"/>
  <c r="I5943" i="15"/>
  <c r="H5943" i="15"/>
  <c r="G5943" i="15"/>
  <c r="J5942" i="15"/>
  <c r="I5942" i="15"/>
  <c r="H5942" i="15"/>
  <c r="G5942" i="15"/>
  <c r="J5941" i="15"/>
  <c r="I5941" i="15"/>
  <c r="H5941" i="15"/>
  <c r="G5941" i="15"/>
  <c r="J5940" i="15"/>
  <c r="I5940" i="15"/>
  <c r="H5940" i="15"/>
  <c r="G5940" i="15"/>
  <c r="J5939" i="15"/>
  <c r="I5939" i="15"/>
  <c r="H5939" i="15"/>
  <c r="G5939" i="15"/>
  <c r="J5938" i="15"/>
  <c r="I5938" i="15"/>
  <c r="H5938" i="15"/>
  <c r="G5938" i="15"/>
  <c r="J5937" i="15"/>
  <c r="I5937" i="15"/>
  <c r="H5937" i="15"/>
  <c r="G5937" i="15"/>
  <c r="J5936" i="15"/>
  <c r="I5936" i="15"/>
  <c r="H5936" i="15"/>
  <c r="G5936" i="15"/>
  <c r="J5935" i="15"/>
  <c r="I5935" i="15"/>
  <c r="H5935" i="15"/>
  <c r="G5935" i="15"/>
  <c r="J5934" i="15"/>
  <c r="I5934" i="15"/>
  <c r="H5934" i="15"/>
  <c r="G5934" i="15"/>
  <c r="J5933" i="15"/>
  <c r="I5933" i="15"/>
  <c r="H5933" i="15"/>
  <c r="G5933" i="15"/>
  <c r="J5932" i="15"/>
  <c r="I5932" i="15"/>
  <c r="H5932" i="15"/>
  <c r="G5932" i="15"/>
  <c r="J5931" i="15"/>
  <c r="I5931" i="15"/>
  <c r="H5931" i="15"/>
  <c r="G5931" i="15"/>
  <c r="J5930" i="15"/>
  <c r="I5930" i="15"/>
  <c r="H5930" i="15"/>
  <c r="G5930" i="15"/>
  <c r="J5929" i="15"/>
  <c r="I5929" i="15"/>
  <c r="H5929" i="15"/>
  <c r="G5929" i="15"/>
  <c r="J5928" i="15"/>
  <c r="I5928" i="15"/>
  <c r="H5928" i="15"/>
  <c r="G5928" i="15"/>
  <c r="J5927" i="15"/>
  <c r="I5927" i="15"/>
  <c r="H5927" i="15"/>
  <c r="G5927" i="15"/>
  <c r="J5926" i="15"/>
  <c r="I5926" i="15"/>
  <c r="H5926" i="15"/>
  <c r="G5926" i="15"/>
  <c r="J5925" i="15"/>
  <c r="I5925" i="15"/>
  <c r="H5925" i="15"/>
  <c r="G5925" i="15"/>
  <c r="J5924" i="15"/>
  <c r="I5924" i="15"/>
  <c r="H5924" i="15"/>
  <c r="G5924" i="15"/>
  <c r="J5923" i="15"/>
  <c r="I5923" i="15"/>
  <c r="H5923" i="15"/>
  <c r="G5923" i="15"/>
  <c r="J5922" i="15"/>
  <c r="I5922" i="15"/>
  <c r="H5922" i="15"/>
  <c r="G5922" i="15"/>
  <c r="J5921" i="15"/>
  <c r="I5921" i="15"/>
  <c r="H5921" i="15"/>
  <c r="G5921" i="15"/>
  <c r="J5920" i="15"/>
  <c r="I5920" i="15"/>
  <c r="H5920" i="15"/>
  <c r="G5920" i="15"/>
  <c r="J5919" i="15"/>
  <c r="I5919" i="15"/>
  <c r="H5919" i="15"/>
  <c r="G5919" i="15"/>
  <c r="J5918" i="15"/>
  <c r="I5918" i="15"/>
  <c r="H5918" i="15"/>
  <c r="G5918" i="15"/>
  <c r="J5917" i="15"/>
  <c r="I5917" i="15"/>
  <c r="H5917" i="15"/>
  <c r="G5917" i="15"/>
  <c r="J5916" i="15"/>
  <c r="I5916" i="15"/>
  <c r="H5916" i="15"/>
  <c r="G5916" i="15"/>
  <c r="J5915" i="15"/>
  <c r="I5915" i="15"/>
  <c r="H5915" i="15"/>
  <c r="G5915" i="15"/>
  <c r="J5914" i="15"/>
  <c r="I5914" i="15"/>
  <c r="H5914" i="15"/>
  <c r="G5914" i="15"/>
  <c r="J5913" i="15"/>
  <c r="I5913" i="15"/>
  <c r="H5913" i="15"/>
  <c r="G5913" i="15"/>
  <c r="J5912" i="15"/>
  <c r="I5912" i="15"/>
  <c r="H5912" i="15"/>
  <c r="G5912" i="15"/>
  <c r="J5911" i="15"/>
  <c r="I5911" i="15"/>
  <c r="H5911" i="15"/>
  <c r="G5911" i="15"/>
  <c r="J5910" i="15"/>
  <c r="I5910" i="15"/>
  <c r="H5910" i="15"/>
  <c r="G5910" i="15"/>
  <c r="J5909" i="15"/>
  <c r="I5909" i="15"/>
  <c r="H5909" i="15"/>
  <c r="G5909" i="15"/>
  <c r="J5908" i="15"/>
  <c r="I5908" i="15"/>
  <c r="H5908" i="15"/>
  <c r="G5908" i="15"/>
  <c r="J5907" i="15"/>
  <c r="I5907" i="15"/>
  <c r="H5907" i="15"/>
  <c r="G5907" i="15"/>
  <c r="J5906" i="15"/>
  <c r="I5906" i="15"/>
  <c r="H5906" i="15"/>
  <c r="G5906" i="15"/>
  <c r="J5905" i="15"/>
  <c r="I5905" i="15"/>
  <c r="H5905" i="15"/>
  <c r="G5905" i="15"/>
  <c r="J5904" i="15"/>
  <c r="I5904" i="15"/>
  <c r="H5904" i="15"/>
  <c r="G5904" i="15"/>
  <c r="J5903" i="15"/>
  <c r="I5903" i="15"/>
  <c r="H5903" i="15"/>
  <c r="G5903" i="15"/>
  <c r="J5902" i="15"/>
  <c r="I5902" i="15"/>
  <c r="H5902" i="15"/>
  <c r="G5902" i="15"/>
  <c r="J5901" i="15"/>
  <c r="I5901" i="15"/>
  <c r="H5901" i="15"/>
  <c r="G5901" i="15"/>
  <c r="J5900" i="15"/>
  <c r="I5900" i="15"/>
  <c r="H5900" i="15"/>
  <c r="G5900" i="15"/>
  <c r="J5899" i="15"/>
  <c r="I5899" i="15"/>
  <c r="H5899" i="15"/>
  <c r="G5899" i="15"/>
  <c r="J5898" i="15"/>
  <c r="I5898" i="15"/>
  <c r="H5898" i="15"/>
  <c r="G5898" i="15"/>
  <c r="J5897" i="15"/>
  <c r="I5897" i="15"/>
  <c r="H5897" i="15"/>
  <c r="G5897" i="15"/>
  <c r="J5896" i="15"/>
  <c r="I5896" i="15"/>
  <c r="H5896" i="15"/>
  <c r="G5896" i="15"/>
  <c r="J5895" i="15"/>
  <c r="I5895" i="15"/>
  <c r="H5895" i="15"/>
  <c r="G5895" i="15"/>
  <c r="J5894" i="15"/>
  <c r="I5894" i="15"/>
  <c r="H5894" i="15"/>
  <c r="G5894" i="15"/>
  <c r="J5893" i="15"/>
  <c r="I5893" i="15"/>
  <c r="H5893" i="15"/>
  <c r="G5893" i="15"/>
  <c r="J5892" i="15"/>
  <c r="I5892" i="15"/>
  <c r="H5892" i="15"/>
  <c r="G5892" i="15"/>
  <c r="J5891" i="15"/>
  <c r="I5891" i="15"/>
  <c r="H5891" i="15"/>
  <c r="G5891" i="15"/>
  <c r="J5890" i="15"/>
  <c r="I5890" i="15"/>
  <c r="H5890" i="15"/>
  <c r="G5890" i="15"/>
  <c r="J5889" i="15"/>
  <c r="I5889" i="15"/>
  <c r="H5889" i="15"/>
  <c r="G5889" i="15"/>
  <c r="J5888" i="15"/>
  <c r="I5888" i="15"/>
  <c r="H5888" i="15"/>
  <c r="G5888" i="15"/>
  <c r="J5887" i="15"/>
  <c r="I5887" i="15"/>
  <c r="H5887" i="15"/>
  <c r="G5887" i="15"/>
  <c r="J5886" i="15"/>
  <c r="I5886" i="15"/>
  <c r="H5886" i="15"/>
  <c r="G5886" i="15"/>
  <c r="J5885" i="15"/>
  <c r="I5885" i="15"/>
  <c r="H5885" i="15"/>
  <c r="G5885" i="15"/>
  <c r="J5884" i="15"/>
  <c r="I5884" i="15"/>
  <c r="H5884" i="15"/>
  <c r="G5884" i="15"/>
  <c r="J5883" i="15"/>
  <c r="I5883" i="15"/>
  <c r="H5883" i="15"/>
  <c r="G5883" i="15"/>
  <c r="J5882" i="15"/>
  <c r="I5882" i="15"/>
  <c r="H5882" i="15"/>
  <c r="G5882" i="15"/>
  <c r="J5881" i="15"/>
  <c r="I5881" i="15"/>
  <c r="H5881" i="15"/>
  <c r="G5881" i="15"/>
  <c r="J5880" i="15"/>
  <c r="I5880" i="15"/>
  <c r="H5880" i="15"/>
  <c r="G5880" i="15"/>
  <c r="J5879" i="15"/>
  <c r="I5879" i="15"/>
  <c r="H5879" i="15"/>
  <c r="G5879" i="15"/>
  <c r="J5878" i="15"/>
  <c r="I5878" i="15"/>
  <c r="H5878" i="15"/>
  <c r="G5878" i="15"/>
  <c r="J5877" i="15"/>
  <c r="I5877" i="15"/>
  <c r="H5877" i="15"/>
  <c r="G5877" i="15"/>
  <c r="J5876" i="15"/>
  <c r="I5876" i="15"/>
  <c r="H5876" i="15"/>
  <c r="G5876" i="15"/>
  <c r="J5875" i="15"/>
  <c r="I5875" i="15"/>
  <c r="H5875" i="15"/>
  <c r="G5875" i="15"/>
  <c r="J5874" i="15"/>
  <c r="I5874" i="15"/>
  <c r="H5874" i="15"/>
  <c r="G5874" i="15"/>
  <c r="J5873" i="15"/>
  <c r="I5873" i="15"/>
  <c r="H5873" i="15"/>
  <c r="G5873" i="15"/>
  <c r="J5872" i="15"/>
  <c r="I5872" i="15"/>
  <c r="H5872" i="15"/>
  <c r="G5872" i="15"/>
  <c r="J5871" i="15"/>
  <c r="I5871" i="15"/>
  <c r="H5871" i="15"/>
  <c r="G5871" i="15"/>
  <c r="J5870" i="15"/>
  <c r="I5870" i="15"/>
  <c r="H5870" i="15"/>
  <c r="G5870" i="15"/>
  <c r="J5869" i="15"/>
  <c r="I5869" i="15"/>
  <c r="H5869" i="15"/>
  <c r="G5869" i="15"/>
  <c r="J5868" i="15"/>
  <c r="I5868" i="15"/>
  <c r="H5868" i="15"/>
  <c r="G5868" i="15"/>
  <c r="J5867" i="15"/>
  <c r="I5867" i="15"/>
  <c r="H5867" i="15"/>
  <c r="G5867" i="15"/>
  <c r="J5866" i="15"/>
  <c r="I5866" i="15"/>
  <c r="H5866" i="15"/>
  <c r="G5866" i="15"/>
  <c r="J5865" i="15"/>
  <c r="I5865" i="15"/>
  <c r="H5865" i="15"/>
  <c r="G5865" i="15"/>
  <c r="J5864" i="15"/>
  <c r="I5864" i="15"/>
  <c r="H5864" i="15"/>
  <c r="G5864" i="15"/>
  <c r="J5863" i="15"/>
  <c r="I5863" i="15"/>
  <c r="H5863" i="15"/>
  <c r="G5863" i="15"/>
  <c r="J5862" i="15"/>
  <c r="I5862" i="15"/>
  <c r="H5862" i="15"/>
  <c r="G5862" i="15"/>
  <c r="J5861" i="15"/>
  <c r="I5861" i="15"/>
  <c r="H5861" i="15"/>
  <c r="G5861" i="15"/>
  <c r="J5860" i="15"/>
  <c r="I5860" i="15"/>
  <c r="H5860" i="15"/>
  <c r="G5860" i="15"/>
  <c r="J5859" i="15"/>
  <c r="I5859" i="15"/>
  <c r="H5859" i="15"/>
  <c r="G5859" i="15"/>
  <c r="J5858" i="15"/>
  <c r="I5858" i="15"/>
  <c r="H5858" i="15"/>
  <c r="G5858" i="15"/>
  <c r="J5857" i="15"/>
  <c r="I5857" i="15"/>
  <c r="H5857" i="15"/>
  <c r="G5857" i="15"/>
  <c r="J5856" i="15"/>
  <c r="I5856" i="15"/>
  <c r="H5856" i="15"/>
  <c r="G5856" i="15"/>
  <c r="J5855" i="15"/>
  <c r="I5855" i="15"/>
  <c r="H5855" i="15"/>
  <c r="G5855" i="15"/>
  <c r="J5854" i="15"/>
  <c r="I5854" i="15"/>
  <c r="H5854" i="15"/>
  <c r="G5854" i="15"/>
  <c r="J5853" i="15"/>
  <c r="I5853" i="15"/>
  <c r="H5853" i="15"/>
  <c r="G5853" i="15"/>
  <c r="J5852" i="15"/>
  <c r="I5852" i="15"/>
  <c r="H5852" i="15"/>
  <c r="G5852" i="15"/>
  <c r="J5851" i="15"/>
  <c r="I5851" i="15"/>
  <c r="H5851" i="15"/>
  <c r="G5851" i="15"/>
  <c r="J5850" i="15"/>
  <c r="I5850" i="15"/>
  <c r="H5850" i="15"/>
  <c r="G5850" i="15"/>
  <c r="J5849" i="15"/>
  <c r="I5849" i="15"/>
  <c r="H5849" i="15"/>
  <c r="G5849" i="15"/>
  <c r="J5848" i="15"/>
  <c r="I5848" i="15"/>
  <c r="H5848" i="15"/>
  <c r="G5848" i="15"/>
  <c r="J5847" i="15"/>
  <c r="I5847" i="15"/>
  <c r="H5847" i="15"/>
  <c r="G5847" i="15"/>
  <c r="J5846" i="15"/>
  <c r="I5846" i="15"/>
  <c r="H5846" i="15"/>
  <c r="G5846" i="15"/>
  <c r="J5845" i="15"/>
  <c r="I5845" i="15"/>
  <c r="H5845" i="15"/>
  <c r="G5845" i="15"/>
  <c r="J5844" i="15"/>
  <c r="I5844" i="15"/>
  <c r="H5844" i="15"/>
  <c r="G5844" i="15"/>
  <c r="J5843" i="15"/>
  <c r="I5843" i="15"/>
  <c r="H5843" i="15"/>
  <c r="G5843" i="15"/>
  <c r="J5842" i="15"/>
  <c r="I5842" i="15"/>
  <c r="H5842" i="15"/>
  <c r="G5842" i="15"/>
  <c r="J5841" i="15"/>
  <c r="I5841" i="15"/>
  <c r="H5841" i="15"/>
  <c r="G5841" i="15"/>
  <c r="J5840" i="15"/>
  <c r="I5840" i="15"/>
  <c r="H5840" i="15"/>
  <c r="G5840" i="15"/>
  <c r="J5839" i="15"/>
  <c r="I5839" i="15"/>
  <c r="H5839" i="15"/>
  <c r="G5839" i="15"/>
  <c r="J5838" i="15"/>
  <c r="I5838" i="15"/>
  <c r="H5838" i="15"/>
  <c r="G5838" i="15"/>
  <c r="J5837" i="15"/>
  <c r="I5837" i="15"/>
  <c r="H5837" i="15"/>
  <c r="G5837" i="15"/>
  <c r="J5836" i="15"/>
  <c r="I5836" i="15"/>
  <c r="H5836" i="15"/>
  <c r="G5836" i="15"/>
  <c r="J5835" i="15"/>
  <c r="I5835" i="15"/>
  <c r="H5835" i="15"/>
  <c r="G5835" i="15"/>
  <c r="J5834" i="15"/>
  <c r="I5834" i="15"/>
  <c r="H5834" i="15"/>
  <c r="G5834" i="15"/>
  <c r="J5833" i="15"/>
  <c r="I5833" i="15"/>
  <c r="H5833" i="15"/>
  <c r="G5833" i="15"/>
  <c r="J5832" i="15"/>
  <c r="I5832" i="15"/>
  <c r="H5832" i="15"/>
  <c r="G5832" i="15"/>
  <c r="J5831" i="15"/>
  <c r="I5831" i="15"/>
  <c r="H5831" i="15"/>
  <c r="G5831" i="15"/>
  <c r="J5830" i="15"/>
  <c r="I5830" i="15"/>
  <c r="H5830" i="15"/>
  <c r="G5830" i="15"/>
  <c r="J5829" i="15"/>
  <c r="I5829" i="15"/>
  <c r="H5829" i="15"/>
  <c r="G5829" i="15"/>
  <c r="J5828" i="15"/>
  <c r="I5828" i="15"/>
  <c r="H5828" i="15"/>
  <c r="G5828" i="15"/>
  <c r="J5827" i="15"/>
  <c r="I5827" i="15"/>
  <c r="H5827" i="15"/>
  <c r="G5827" i="15"/>
  <c r="J5826" i="15"/>
  <c r="I5826" i="15"/>
  <c r="H5826" i="15"/>
  <c r="G5826" i="15"/>
  <c r="J5825" i="15"/>
  <c r="I5825" i="15"/>
  <c r="H5825" i="15"/>
  <c r="G5825" i="15"/>
  <c r="J5824" i="15"/>
  <c r="I5824" i="15"/>
  <c r="H5824" i="15"/>
  <c r="G5824" i="15"/>
  <c r="J5823" i="15"/>
  <c r="I5823" i="15"/>
  <c r="H5823" i="15"/>
  <c r="G5823" i="15"/>
  <c r="J5822" i="15"/>
  <c r="I5822" i="15"/>
  <c r="H5822" i="15"/>
  <c r="G5822" i="15"/>
  <c r="J5821" i="15"/>
  <c r="I5821" i="15"/>
  <c r="H5821" i="15"/>
  <c r="G5821" i="15"/>
  <c r="J5820" i="15"/>
  <c r="I5820" i="15"/>
  <c r="H5820" i="15"/>
  <c r="G5820" i="15"/>
  <c r="J5819" i="15"/>
  <c r="I5819" i="15"/>
  <c r="H5819" i="15"/>
  <c r="G5819" i="15"/>
  <c r="J5818" i="15"/>
  <c r="I5818" i="15"/>
  <c r="H5818" i="15"/>
  <c r="G5818" i="15"/>
  <c r="J5817" i="15"/>
  <c r="I5817" i="15"/>
  <c r="H5817" i="15"/>
  <c r="G5817" i="15"/>
  <c r="J5816" i="15"/>
  <c r="I5816" i="15"/>
  <c r="H5816" i="15"/>
  <c r="G5816" i="15"/>
  <c r="J5815" i="15"/>
  <c r="I5815" i="15"/>
  <c r="H5815" i="15"/>
  <c r="G5815" i="15"/>
  <c r="J5814" i="15"/>
  <c r="I5814" i="15"/>
  <c r="H5814" i="15"/>
  <c r="G5814" i="15"/>
  <c r="J5813" i="15"/>
  <c r="I5813" i="15"/>
  <c r="H5813" i="15"/>
  <c r="G5813" i="15"/>
  <c r="J5812" i="15"/>
  <c r="I5812" i="15"/>
  <c r="H5812" i="15"/>
  <c r="G5812" i="15"/>
  <c r="J5811" i="15"/>
  <c r="I5811" i="15"/>
  <c r="H5811" i="15"/>
  <c r="G5811" i="15"/>
  <c r="J5810" i="15"/>
  <c r="I5810" i="15"/>
  <c r="H5810" i="15"/>
  <c r="G5810" i="15"/>
  <c r="J5809" i="15"/>
  <c r="I5809" i="15"/>
  <c r="H5809" i="15"/>
  <c r="G5809" i="15"/>
  <c r="J5808" i="15"/>
  <c r="I5808" i="15"/>
  <c r="H5808" i="15"/>
  <c r="G5808" i="15"/>
  <c r="J5807" i="15"/>
  <c r="I5807" i="15"/>
  <c r="H5807" i="15"/>
  <c r="G5807" i="15"/>
  <c r="J5806" i="15"/>
  <c r="I5806" i="15"/>
  <c r="H5806" i="15"/>
  <c r="G5806" i="15"/>
  <c r="J5805" i="15"/>
  <c r="I5805" i="15"/>
  <c r="H5805" i="15"/>
  <c r="G5805" i="15"/>
  <c r="J5804" i="15"/>
  <c r="I5804" i="15"/>
  <c r="H5804" i="15"/>
  <c r="G5804" i="15"/>
  <c r="J5803" i="15"/>
  <c r="I5803" i="15"/>
  <c r="H5803" i="15"/>
  <c r="G5803" i="15"/>
  <c r="J5802" i="15"/>
  <c r="I5802" i="15"/>
  <c r="H5802" i="15"/>
  <c r="G5802" i="15"/>
  <c r="J5801" i="15"/>
  <c r="I5801" i="15"/>
  <c r="H5801" i="15"/>
  <c r="G5801" i="15"/>
  <c r="J5800" i="15"/>
  <c r="I5800" i="15"/>
  <c r="H5800" i="15"/>
  <c r="G5800" i="15"/>
  <c r="J5799" i="15"/>
  <c r="I5799" i="15"/>
  <c r="H5799" i="15"/>
  <c r="G5799" i="15"/>
  <c r="J5798" i="15"/>
  <c r="I5798" i="15"/>
  <c r="H5798" i="15"/>
  <c r="G5798" i="15"/>
  <c r="J5797" i="15"/>
  <c r="I5797" i="15"/>
  <c r="H5797" i="15"/>
  <c r="G5797" i="15"/>
  <c r="J5796" i="15"/>
  <c r="I5796" i="15"/>
  <c r="H5796" i="15"/>
  <c r="G5796" i="15"/>
  <c r="J5795" i="15"/>
  <c r="I5795" i="15"/>
  <c r="H5795" i="15"/>
  <c r="G5795" i="15"/>
  <c r="J5794" i="15"/>
  <c r="I5794" i="15"/>
  <c r="H5794" i="15"/>
  <c r="G5794" i="15"/>
  <c r="J5793" i="15"/>
  <c r="I5793" i="15"/>
  <c r="H5793" i="15"/>
  <c r="G5793" i="15"/>
  <c r="J5792" i="15"/>
  <c r="I5792" i="15"/>
  <c r="H5792" i="15"/>
  <c r="G5792" i="15"/>
  <c r="J5791" i="15"/>
  <c r="I5791" i="15"/>
  <c r="H5791" i="15"/>
  <c r="G5791" i="15"/>
  <c r="J5790" i="15"/>
  <c r="I5790" i="15"/>
  <c r="H5790" i="15"/>
  <c r="G5790" i="15"/>
  <c r="J5789" i="15"/>
  <c r="I5789" i="15"/>
  <c r="H5789" i="15"/>
  <c r="G5789" i="15"/>
  <c r="J5788" i="15"/>
  <c r="I5788" i="15"/>
  <c r="H5788" i="15"/>
  <c r="G5788" i="15"/>
  <c r="J5787" i="15"/>
  <c r="I5787" i="15"/>
  <c r="H5787" i="15"/>
  <c r="G5787" i="15"/>
  <c r="J5786" i="15"/>
  <c r="I5786" i="15"/>
  <c r="H5786" i="15"/>
  <c r="G5786" i="15"/>
  <c r="J5785" i="15"/>
  <c r="I5785" i="15"/>
  <c r="H5785" i="15"/>
  <c r="G5785" i="15"/>
  <c r="J5784" i="15"/>
  <c r="I5784" i="15"/>
  <c r="H5784" i="15"/>
  <c r="G5784" i="15"/>
  <c r="J5783" i="15"/>
  <c r="I5783" i="15"/>
  <c r="H5783" i="15"/>
  <c r="G5783" i="15"/>
  <c r="J5782" i="15"/>
  <c r="I5782" i="15"/>
  <c r="H5782" i="15"/>
  <c r="G5782" i="15"/>
  <c r="J5781" i="15"/>
  <c r="I5781" i="15"/>
  <c r="H5781" i="15"/>
  <c r="G5781" i="15"/>
  <c r="J5780" i="15"/>
  <c r="I5780" i="15"/>
  <c r="H5780" i="15"/>
  <c r="G5780" i="15"/>
  <c r="J5779" i="15"/>
  <c r="I5779" i="15"/>
  <c r="H5779" i="15"/>
  <c r="G5779" i="15"/>
  <c r="J5778" i="15"/>
  <c r="I5778" i="15"/>
  <c r="H5778" i="15"/>
  <c r="G5778" i="15"/>
  <c r="J5777" i="15"/>
  <c r="I5777" i="15"/>
  <c r="H5777" i="15"/>
  <c r="G5777" i="15"/>
  <c r="J5776" i="15"/>
  <c r="I5776" i="15"/>
  <c r="H5776" i="15"/>
  <c r="G5776" i="15"/>
  <c r="J5775" i="15"/>
  <c r="I5775" i="15"/>
  <c r="H5775" i="15"/>
  <c r="G5775" i="15"/>
  <c r="J5774" i="15"/>
  <c r="I5774" i="15"/>
  <c r="H5774" i="15"/>
  <c r="G5774" i="15"/>
  <c r="J5773" i="15"/>
  <c r="I5773" i="15"/>
  <c r="H5773" i="15"/>
  <c r="G5773" i="15"/>
  <c r="J5772" i="15"/>
  <c r="I5772" i="15"/>
  <c r="H5772" i="15"/>
  <c r="G5772" i="15"/>
  <c r="J5771" i="15"/>
  <c r="I5771" i="15"/>
  <c r="H5771" i="15"/>
  <c r="G5771" i="15"/>
  <c r="J5770" i="15"/>
  <c r="I5770" i="15"/>
  <c r="H5770" i="15"/>
  <c r="G5770" i="15"/>
  <c r="J5769" i="15"/>
  <c r="I5769" i="15"/>
  <c r="H5769" i="15"/>
  <c r="G5769" i="15"/>
  <c r="J5768" i="15"/>
  <c r="I5768" i="15"/>
  <c r="H5768" i="15"/>
  <c r="G5768" i="15"/>
  <c r="J5767" i="15"/>
  <c r="I5767" i="15"/>
  <c r="H5767" i="15"/>
  <c r="G5767" i="15"/>
  <c r="J5766" i="15"/>
  <c r="I5766" i="15"/>
  <c r="H5766" i="15"/>
  <c r="G5766" i="15"/>
  <c r="J5765" i="15"/>
  <c r="I5765" i="15"/>
  <c r="H5765" i="15"/>
  <c r="G5765" i="15"/>
  <c r="J5764" i="15"/>
  <c r="I5764" i="15"/>
  <c r="H5764" i="15"/>
  <c r="G5764" i="15"/>
  <c r="J5763" i="15"/>
  <c r="I5763" i="15"/>
  <c r="H5763" i="15"/>
  <c r="G5763" i="15"/>
  <c r="J5762" i="15"/>
  <c r="I5762" i="15"/>
  <c r="H5762" i="15"/>
  <c r="G5762" i="15"/>
  <c r="J5761" i="15"/>
  <c r="I5761" i="15"/>
  <c r="H5761" i="15"/>
  <c r="G5761" i="15"/>
  <c r="J5760" i="15"/>
  <c r="I5760" i="15"/>
  <c r="H5760" i="15"/>
  <c r="G5760" i="15"/>
  <c r="J5759" i="15"/>
  <c r="I5759" i="15"/>
  <c r="H5759" i="15"/>
  <c r="G5759" i="15"/>
  <c r="J5758" i="15"/>
  <c r="I5758" i="15"/>
  <c r="H5758" i="15"/>
  <c r="G5758" i="15"/>
  <c r="J5757" i="15"/>
  <c r="I5757" i="15"/>
  <c r="H5757" i="15"/>
  <c r="G5757" i="15"/>
  <c r="J5756" i="15"/>
  <c r="I5756" i="15"/>
  <c r="H5756" i="15"/>
  <c r="G5756" i="15"/>
  <c r="J5755" i="15"/>
  <c r="I5755" i="15"/>
  <c r="H5755" i="15"/>
  <c r="G5755" i="15"/>
  <c r="J5754" i="15"/>
  <c r="I5754" i="15"/>
  <c r="H5754" i="15"/>
  <c r="G5754" i="15"/>
  <c r="J5753" i="15"/>
  <c r="I5753" i="15"/>
  <c r="H5753" i="15"/>
  <c r="G5753" i="15"/>
  <c r="J5752" i="15"/>
  <c r="I5752" i="15"/>
  <c r="H5752" i="15"/>
  <c r="G5752" i="15"/>
  <c r="J5751" i="15"/>
  <c r="I5751" i="15"/>
  <c r="H5751" i="15"/>
  <c r="G5751" i="15"/>
  <c r="J5750" i="15"/>
  <c r="I5750" i="15"/>
  <c r="H5750" i="15"/>
  <c r="G5750" i="15"/>
  <c r="J5749" i="15"/>
  <c r="I5749" i="15"/>
  <c r="H5749" i="15"/>
  <c r="G5749" i="15"/>
  <c r="J5748" i="15"/>
  <c r="I5748" i="15"/>
  <c r="H5748" i="15"/>
  <c r="G5748" i="15"/>
  <c r="J5747" i="15"/>
  <c r="I5747" i="15"/>
  <c r="H5747" i="15"/>
  <c r="G5747" i="15"/>
  <c r="J5746" i="15"/>
  <c r="I5746" i="15"/>
  <c r="H5746" i="15"/>
  <c r="G5746" i="15"/>
  <c r="J5745" i="15"/>
  <c r="I5745" i="15"/>
  <c r="H5745" i="15"/>
  <c r="G5745" i="15"/>
  <c r="J5744" i="15"/>
  <c r="I5744" i="15"/>
  <c r="H5744" i="15"/>
  <c r="G5744" i="15"/>
  <c r="J5743" i="15"/>
  <c r="I5743" i="15"/>
  <c r="H5743" i="15"/>
  <c r="G5743" i="15"/>
  <c r="J5742" i="15"/>
  <c r="I5742" i="15"/>
  <c r="H5742" i="15"/>
  <c r="G5742" i="15"/>
  <c r="J5741" i="15"/>
  <c r="I5741" i="15"/>
  <c r="H5741" i="15"/>
  <c r="G5741" i="15"/>
  <c r="J5740" i="15"/>
  <c r="I5740" i="15"/>
  <c r="H5740" i="15"/>
  <c r="G5740" i="15"/>
  <c r="J5739" i="15"/>
  <c r="I5739" i="15"/>
  <c r="H5739" i="15"/>
  <c r="G5739" i="15"/>
  <c r="J5738" i="15"/>
  <c r="I5738" i="15"/>
  <c r="H5738" i="15"/>
  <c r="G5738" i="15"/>
  <c r="J5737" i="15"/>
  <c r="I5737" i="15"/>
  <c r="H5737" i="15"/>
  <c r="G5737" i="15"/>
  <c r="J5736" i="15"/>
  <c r="I5736" i="15"/>
  <c r="H5736" i="15"/>
  <c r="G5736" i="15"/>
  <c r="J5735" i="15"/>
  <c r="I5735" i="15"/>
  <c r="H5735" i="15"/>
  <c r="G5735" i="15"/>
  <c r="J5734" i="15"/>
  <c r="I5734" i="15"/>
  <c r="H5734" i="15"/>
  <c r="G5734" i="15"/>
  <c r="J5733" i="15"/>
  <c r="I5733" i="15"/>
  <c r="H5733" i="15"/>
  <c r="G5733" i="15"/>
  <c r="J5732" i="15"/>
  <c r="I5732" i="15"/>
  <c r="H5732" i="15"/>
  <c r="G5732" i="15"/>
  <c r="J5731" i="15"/>
  <c r="I5731" i="15"/>
  <c r="H5731" i="15"/>
  <c r="G5731" i="15"/>
  <c r="J5730" i="15"/>
  <c r="I5730" i="15"/>
  <c r="H5730" i="15"/>
  <c r="G5730" i="15"/>
  <c r="J5729" i="15"/>
  <c r="I5729" i="15"/>
  <c r="H5729" i="15"/>
  <c r="G5729" i="15"/>
  <c r="J5728" i="15"/>
  <c r="I5728" i="15"/>
  <c r="H5728" i="15"/>
  <c r="G5728" i="15"/>
  <c r="J5727" i="15"/>
  <c r="I5727" i="15"/>
  <c r="H5727" i="15"/>
  <c r="G5727" i="15"/>
  <c r="J5726" i="15"/>
  <c r="I5726" i="15"/>
  <c r="H5726" i="15"/>
  <c r="G5726" i="15"/>
  <c r="J5725" i="15"/>
  <c r="I5725" i="15"/>
  <c r="H5725" i="15"/>
  <c r="G5725" i="15"/>
  <c r="J5724" i="15"/>
  <c r="I5724" i="15"/>
  <c r="H5724" i="15"/>
  <c r="G5724" i="15"/>
  <c r="J5723" i="15"/>
  <c r="I5723" i="15"/>
  <c r="H5723" i="15"/>
  <c r="G5723" i="15"/>
  <c r="J5722" i="15"/>
  <c r="I5722" i="15"/>
  <c r="H5722" i="15"/>
  <c r="G5722" i="15"/>
  <c r="J5721" i="15"/>
  <c r="I5721" i="15"/>
  <c r="H5721" i="15"/>
  <c r="G5721" i="15"/>
  <c r="J5720" i="15"/>
  <c r="I5720" i="15"/>
  <c r="H5720" i="15"/>
  <c r="G5720" i="15"/>
  <c r="J5719" i="15"/>
  <c r="I5719" i="15"/>
  <c r="H5719" i="15"/>
  <c r="G5719" i="15"/>
  <c r="J5718" i="15"/>
  <c r="I5718" i="15"/>
  <c r="H5718" i="15"/>
  <c r="G5718" i="15"/>
  <c r="J5717" i="15"/>
  <c r="I5717" i="15"/>
  <c r="H5717" i="15"/>
  <c r="G5717" i="15"/>
  <c r="J5716" i="15"/>
  <c r="I5716" i="15"/>
  <c r="H5716" i="15"/>
  <c r="G5716" i="15"/>
  <c r="J5715" i="15"/>
  <c r="I5715" i="15"/>
  <c r="H5715" i="15"/>
  <c r="G5715" i="15"/>
  <c r="J5714" i="15"/>
  <c r="I5714" i="15"/>
  <c r="H5714" i="15"/>
  <c r="G5714" i="15"/>
  <c r="J5713" i="15"/>
  <c r="I5713" i="15"/>
  <c r="H5713" i="15"/>
  <c r="G5713" i="15"/>
  <c r="J5712" i="15"/>
  <c r="I5712" i="15"/>
  <c r="H5712" i="15"/>
  <c r="G5712" i="15"/>
  <c r="J5711" i="15"/>
  <c r="I5711" i="15"/>
  <c r="H5711" i="15"/>
  <c r="G5711" i="15"/>
  <c r="J5710" i="15"/>
  <c r="I5710" i="15"/>
  <c r="H5710" i="15"/>
  <c r="G5710" i="15"/>
  <c r="J5709" i="15"/>
  <c r="I5709" i="15"/>
  <c r="H5709" i="15"/>
  <c r="G5709" i="15"/>
  <c r="J5708" i="15"/>
  <c r="I5708" i="15"/>
  <c r="H5708" i="15"/>
  <c r="G5708" i="15"/>
  <c r="J5707" i="15"/>
  <c r="I5707" i="15"/>
  <c r="H5707" i="15"/>
  <c r="G5707" i="15"/>
  <c r="J5706" i="15"/>
  <c r="I5706" i="15"/>
  <c r="H5706" i="15"/>
  <c r="G5706" i="15"/>
  <c r="J5705" i="15"/>
  <c r="I5705" i="15"/>
  <c r="H5705" i="15"/>
  <c r="G5705" i="15"/>
  <c r="J5704" i="15"/>
  <c r="I5704" i="15"/>
  <c r="H5704" i="15"/>
  <c r="G5704" i="15"/>
  <c r="J5703" i="15"/>
  <c r="I5703" i="15"/>
  <c r="H5703" i="15"/>
  <c r="G5703" i="15"/>
  <c r="J5702" i="15"/>
  <c r="I5702" i="15"/>
  <c r="H5702" i="15"/>
  <c r="G5702" i="15"/>
  <c r="J5701" i="15"/>
  <c r="I5701" i="15"/>
  <c r="H5701" i="15"/>
  <c r="G5701" i="15"/>
  <c r="J5700" i="15"/>
  <c r="I5700" i="15"/>
  <c r="H5700" i="15"/>
  <c r="G5700" i="15"/>
  <c r="J5699" i="15"/>
  <c r="I5699" i="15"/>
  <c r="H5699" i="15"/>
  <c r="G5699" i="15"/>
  <c r="J5698" i="15"/>
  <c r="I5698" i="15"/>
  <c r="H5698" i="15"/>
  <c r="G5698" i="15"/>
  <c r="J5697" i="15"/>
  <c r="I5697" i="15"/>
  <c r="H5697" i="15"/>
  <c r="G5697" i="15"/>
  <c r="J5696" i="15"/>
  <c r="I5696" i="15"/>
  <c r="H5696" i="15"/>
  <c r="G5696" i="15"/>
  <c r="J5695" i="15"/>
  <c r="I5695" i="15"/>
  <c r="H5695" i="15"/>
  <c r="G5695" i="15"/>
  <c r="J5694" i="15"/>
  <c r="I5694" i="15"/>
  <c r="H5694" i="15"/>
  <c r="G5694" i="15"/>
  <c r="J5693" i="15"/>
  <c r="I5693" i="15"/>
  <c r="H5693" i="15"/>
  <c r="G5693" i="15"/>
  <c r="J5692" i="15"/>
  <c r="I5692" i="15"/>
  <c r="H5692" i="15"/>
  <c r="G5692" i="15"/>
  <c r="J5691" i="15"/>
  <c r="I5691" i="15"/>
  <c r="H5691" i="15"/>
  <c r="G5691" i="15"/>
  <c r="J5690" i="15"/>
  <c r="I5690" i="15"/>
  <c r="H5690" i="15"/>
  <c r="G5690" i="15"/>
  <c r="J5689" i="15"/>
  <c r="I5689" i="15"/>
  <c r="H5689" i="15"/>
  <c r="G5689" i="15"/>
  <c r="J5688" i="15"/>
  <c r="I5688" i="15"/>
  <c r="H5688" i="15"/>
  <c r="G5688" i="15"/>
  <c r="J5687" i="15"/>
  <c r="I5687" i="15"/>
  <c r="H5687" i="15"/>
  <c r="G5687" i="15"/>
  <c r="J5686" i="15"/>
  <c r="I5686" i="15"/>
  <c r="H5686" i="15"/>
  <c r="G5686" i="15"/>
  <c r="J5685" i="15"/>
  <c r="I5685" i="15"/>
  <c r="H5685" i="15"/>
  <c r="G5685" i="15"/>
  <c r="J5684" i="15"/>
  <c r="I5684" i="15"/>
  <c r="H5684" i="15"/>
  <c r="G5684" i="15"/>
  <c r="J5683" i="15"/>
  <c r="I5683" i="15"/>
  <c r="H5683" i="15"/>
  <c r="G5683" i="15"/>
  <c r="J5682" i="15"/>
  <c r="I5682" i="15"/>
  <c r="H5682" i="15"/>
  <c r="G5682" i="15"/>
  <c r="J5681" i="15"/>
  <c r="I5681" i="15"/>
  <c r="H5681" i="15"/>
  <c r="G5681" i="15"/>
  <c r="J5680" i="15"/>
  <c r="I5680" i="15"/>
  <c r="H5680" i="15"/>
  <c r="G5680" i="15"/>
  <c r="J5679" i="15"/>
  <c r="I5679" i="15"/>
  <c r="H5679" i="15"/>
  <c r="G5679" i="15"/>
  <c r="J5678" i="15"/>
  <c r="I5678" i="15"/>
  <c r="H5678" i="15"/>
  <c r="G5678" i="15"/>
  <c r="J5677" i="15"/>
  <c r="I5677" i="15"/>
  <c r="H5677" i="15"/>
  <c r="G5677" i="15"/>
  <c r="J5676" i="15"/>
  <c r="I5676" i="15"/>
  <c r="H5676" i="15"/>
  <c r="G5676" i="15"/>
  <c r="J5675" i="15"/>
  <c r="I5675" i="15"/>
  <c r="H5675" i="15"/>
  <c r="G5675" i="15"/>
  <c r="J5674" i="15"/>
  <c r="I5674" i="15"/>
  <c r="H5674" i="15"/>
  <c r="G5674" i="15"/>
  <c r="J5673" i="15"/>
  <c r="I5673" i="15"/>
  <c r="H5673" i="15"/>
  <c r="G5673" i="15"/>
  <c r="J5672" i="15"/>
  <c r="I5672" i="15"/>
  <c r="H5672" i="15"/>
  <c r="G5672" i="15"/>
  <c r="J5671" i="15"/>
  <c r="I5671" i="15"/>
  <c r="H5671" i="15"/>
  <c r="G5671" i="15"/>
  <c r="J5670" i="15"/>
  <c r="I5670" i="15"/>
  <c r="H5670" i="15"/>
  <c r="G5670" i="15"/>
  <c r="J5669" i="15"/>
  <c r="I5669" i="15"/>
  <c r="H5669" i="15"/>
  <c r="G5669" i="15"/>
  <c r="J5668" i="15"/>
  <c r="I5668" i="15"/>
  <c r="H5668" i="15"/>
  <c r="G5668" i="15"/>
  <c r="J5667" i="15"/>
  <c r="I5667" i="15"/>
  <c r="H5667" i="15"/>
  <c r="G5667" i="15"/>
  <c r="J5666" i="15"/>
  <c r="I5666" i="15"/>
  <c r="H5666" i="15"/>
  <c r="G5666" i="15"/>
  <c r="J5665" i="15"/>
  <c r="I5665" i="15"/>
  <c r="H5665" i="15"/>
  <c r="G5665" i="15"/>
  <c r="J5664" i="15"/>
  <c r="I5664" i="15"/>
  <c r="H5664" i="15"/>
  <c r="G5664" i="15"/>
  <c r="J5663" i="15"/>
  <c r="I5663" i="15"/>
  <c r="H5663" i="15"/>
  <c r="G5663" i="15"/>
  <c r="J5662" i="15"/>
  <c r="I5662" i="15"/>
  <c r="H5662" i="15"/>
  <c r="G5662" i="15"/>
  <c r="J5661" i="15"/>
  <c r="I5661" i="15"/>
  <c r="H5661" i="15"/>
  <c r="G5661" i="15"/>
  <c r="J5660" i="15"/>
  <c r="I5660" i="15"/>
  <c r="H5660" i="15"/>
  <c r="G5660" i="15"/>
  <c r="J5659" i="15"/>
  <c r="I5659" i="15"/>
  <c r="H5659" i="15"/>
  <c r="G5659" i="15"/>
  <c r="J5658" i="15"/>
  <c r="I5658" i="15"/>
  <c r="H5658" i="15"/>
  <c r="G5658" i="15"/>
  <c r="J5657" i="15"/>
  <c r="I5657" i="15"/>
  <c r="H5657" i="15"/>
  <c r="G5657" i="15"/>
  <c r="J5656" i="15"/>
  <c r="I5656" i="15"/>
  <c r="H5656" i="15"/>
  <c r="G5656" i="15"/>
  <c r="J5655" i="15"/>
  <c r="I5655" i="15"/>
  <c r="H5655" i="15"/>
  <c r="G5655" i="15"/>
  <c r="J5654" i="15"/>
  <c r="I5654" i="15"/>
  <c r="H5654" i="15"/>
  <c r="G5654" i="15"/>
  <c r="J5653" i="15"/>
  <c r="I5653" i="15"/>
  <c r="H5653" i="15"/>
  <c r="G5653" i="15"/>
  <c r="J5652" i="15"/>
  <c r="I5652" i="15"/>
  <c r="H5652" i="15"/>
  <c r="G5652" i="15"/>
  <c r="J5651" i="15"/>
  <c r="I5651" i="15"/>
  <c r="H5651" i="15"/>
  <c r="G5651" i="15"/>
  <c r="J5650" i="15"/>
  <c r="I5650" i="15"/>
  <c r="H5650" i="15"/>
  <c r="G5650" i="15"/>
  <c r="J5649" i="15"/>
  <c r="I5649" i="15"/>
  <c r="H5649" i="15"/>
  <c r="G5649" i="15"/>
  <c r="J5648" i="15"/>
  <c r="I5648" i="15"/>
  <c r="H5648" i="15"/>
  <c r="G5648" i="15"/>
  <c r="J5647" i="15"/>
  <c r="I5647" i="15"/>
  <c r="H5647" i="15"/>
  <c r="G5647" i="15"/>
  <c r="J5646" i="15"/>
  <c r="I5646" i="15"/>
  <c r="H5646" i="15"/>
  <c r="G5646" i="15"/>
  <c r="J5645" i="15"/>
  <c r="I5645" i="15"/>
  <c r="H5645" i="15"/>
  <c r="G5645" i="15"/>
  <c r="J5644" i="15"/>
  <c r="I5644" i="15"/>
  <c r="H5644" i="15"/>
  <c r="G5644" i="15"/>
  <c r="J5643" i="15"/>
  <c r="I5643" i="15"/>
  <c r="H5643" i="15"/>
  <c r="G5643" i="15"/>
  <c r="J5642" i="15"/>
  <c r="I5642" i="15"/>
  <c r="H5642" i="15"/>
  <c r="G5642" i="15"/>
  <c r="J5641" i="15"/>
  <c r="I5641" i="15"/>
  <c r="H5641" i="15"/>
  <c r="G5641" i="15"/>
  <c r="J5640" i="15"/>
  <c r="I5640" i="15"/>
  <c r="H5640" i="15"/>
  <c r="G5640" i="15"/>
  <c r="J5639" i="15"/>
  <c r="I5639" i="15"/>
  <c r="H5639" i="15"/>
  <c r="G5639" i="15"/>
  <c r="J5638" i="15"/>
  <c r="I5638" i="15"/>
  <c r="H5638" i="15"/>
  <c r="G5638" i="15"/>
  <c r="J5637" i="15"/>
  <c r="I5637" i="15"/>
  <c r="H5637" i="15"/>
  <c r="G5637" i="15"/>
  <c r="J5636" i="15"/>
  <c r="I5636" i="15"/>
  <c r="H5636" i="15"/>
  <c r="G5636" i="15"/>
  <c r="J5635" i="15"/>
  <c r="I5635" i="15"/>
  <c r="H5635" i="15"/>
  <c r="G5635" i="15"/>
  <c r="J5634" i="15"/>
  <c r="I5634" i="15"/>
  <c r="H5634" i="15"/>
  <c r="G5634" i="15"/>
  <c r="J5633" i="15"/>
  <c r="I5633" i="15"/>
  <c r="H5633" i="15"/>
  <c r="G5633" i="15"/>
  <c r="J5632" i="15"/>
  <c r="I5632" i="15"/>
  <c r="H5632" i="15"/>
  <c r="G5632" i="15"/>
  <c r="J5631" i="15"/>
  <c r="I5631" i="15"/>
  <c r="H5631" i="15"/>
  <c r="G5631" i="15"/>
  <c r="J5630" i="15"/>
  <c r="I5630" i="15"/>
  <c r="H5630" i="15"/>
  <c r="G5630" i="15"/>
  <c r="J5629" i="15"/>
  <c r="I5629" i="15"/>
  <c r="H5629" i="15"/>
  <c r="G5629" i="15"/>
  <c r="J5628" i="15"/>
  <c r="I5628" i="15"/>
  <c r="H5628" i="15"/>
  <c r="G5628" i="15"/>
  <c r="J5627" i="15"/>
  <c r="I5627" i="15"/>
  <c r="H5627" i="15"/>
  <c r="G5627" i="15"/>
  <c r="J5626" i="15"/>
  <c r="I5626" i="15"/>
  <c r="H5626" i="15"/>
  <c r="G5626" i="15"/>
  <c r="J5625" i="15"/>
  <c r="I5625" i="15"/>
  <c r="H5625" i="15"/>
  <c r="G5625" i="15"/>
  <c r="J5624" i="15"/>
  <c r="I5624" i="15"/>
  <c r="H5624" i="15"/>
  <c r="G5624" i="15"/>
  <c r="J5623" i="15"/>
  <c r="I5623" i="15"/>
  <c r="H5623" i="15"/>
  <c r="G5623" i="15"/>
  <c r="J5622" i="15"/>
  <c r="I5622" i="15"/>
  <c r="H5622" i="15"/>
  <c r="G5622" i="15"/>
  <c r="J5621" i="15"/>
  <c r="I5621" i="15"/>
  <c r="H5621" i="15"/>
  <c r="G5621" i="15"/>
  <c r="J5620" i="15"/>
  <c r="I5620" i="15"/>
  <c r="H5620" i="15"/>
  <c r="G5620" i="15"/>
  <c r="J5619" i="15"/>
  <c r="I5619" i="15"/>
  <c r="H5619" i="15"/>
  <c r="G5619" i="15"/>
  <c r="J5618" i="15"/>
  <c r="I5618" i="15"/>
  <c r="H5618" i="15"/>
  <c r="G5618" i="15"/>
  <c r="J5617" i="15"/>
  <c r="I5617" i="15"/>
  <c r="H5617" i="15"/>
  <c r="G5617" i="15"/>
  <c r="J5616" i="15"/>
  <c r="I5616" i="15"/>
  <c r="H5616" i="15"/>
  <c r="G5616" i="15"/>
  <c r="J5615" i="15"/>
  <c r="I5615" i="15"/>
  <c r="H5615" i="15"/>
  <c r="G5615" i="15"/>
  <c r="J5614" i="15"/>
  <c r="I5614" i="15"/>
  <c r="H5614" i="15"/>
  <c r="G5614" i="15"/>
  <c r="J5613" i="15"/>
  <c r="I5613" i="15"/>
  <c r="H5613" i="15"/>
  <c r="G5613" i="15"/>
  <c r="J5612" i="15"/>
  <c r="I5612" i="15"/>
  <c r="H5612" i="15"/>
  <c r="G5612" i="15"/>
  <c r="J5611" i="15"/>
  <c r="I5611" i="15"/>
  <c r="H5611" i="15"/>
  <c r="G5611" i="15"/>
  <c r="J5610" i="15"/>
  <c r="I5610" i="15"/>
  <c r="H5610" i="15"/>
  <c r="G5610" i="15"/>
  <c r="J5609" i="15"/>
  <c r="I5609" i="15"/>
  <c r="H5609" i="15"/>
  <c r="G5609" i="15"/>
  <c r="J5608" i="15"/>
  <c r="I5608" i="15"/>
  <c r="H5608" i="15"/>
  <c r="G5608" i="15"/>
  <c r="J5607" i="15"/>
  <c r="I5607" i="15"/>
  <c r="H5607" i="15"/>
  <c r="G5607" i="15"/>
  <c r="J5606" i="15"/>
  <c r="I5606" i="15"/>
  <c r="H5606" i="15"/>
  <c r="G5606" i="15"/>
  <c r="J5605" i="15"/>
  <c r="I5605" i="15"/>
  <c r="H5605" i="15"/>
  <c r="G5605" i="15"/>
  <c r="J5604" i="15"/>
  <c r="I5604" i="15"/>
  <c r="H5604" i="15"/>
  <c r="G5604" i="15"/>
  <c r="J5603" i="15"/>
  <c r="I5603" i="15"/>
  <c r="H5603" i="15"/>
  <c r="G5603" i="15"/>
  <c r="J5602" i="15"/>
  <c r="I5602" i="15"/>
  <c r="H5602" i="15"/>
  <c r="G5602" i="15"/>
  <c r="J5601" i="15"/>
  <c r="I5601" i="15"/>
  <c r="H5601" i="15"/>
  <c r="G5601" i="15"/>
  <c r="J5600" i="15"/>
  <c r="I5600" i="15"/>
  <c r="H5600" i="15"/>
  <c r="G5600" i="15"/>
  <c r="J5599" i="15"/>
  <c r="I5599" i="15"/>
  <c r="H5599" i="15"/>
  <c r="G5599" i="15"/>
  <c r="J5598" i="15"/>
  <c r="I5598" i="15"/>
  <c r="H5598" i="15"/>
  <c r="G5598" i="15"/>
  <c r="J5597" i="15"/>
  <c r="I5597" i="15"/>
  <c r="H5597" i="15"/>
  <c r="G5597" i="15"/>
  <c r="J5596" i="15"/>
  <c r="I5596" i="15"/>
  <c r="H5596" i="15"/>
  <c r="G5596" i="15"/>
  <c r="J5595" i="15"/>
  <c r="I5595" i="15"/>
  <c r="H5595" i="15"/>
  <c r="G5595" i="15"/>
  <c r="J5594" i="15"/>
  <c r="I5594" i="15"/>
  <c r="H5594" i="15"/>
  <c r="G5594" i="15"/>
  <c r="J5593" i="15"/>
  <c r="I5593" i="15"/>
  <c r="H5593" i="15"/>
  <c r="G5593" i="15"/>
  <c r="J5592" i="15"/>
  <c r="I5592" i="15"/>
  <c r="H5592" i="15"/>
  <c r="G5592" i="15"/>
  <c r="J5591" i="15"/>
  <c r="I5591" i="15"/>
  <c r="H5591" i="15"/>
  <c r="G5591" i="15"/>
  <c r="J5590" i="15"/>
  <c r="I5590" i="15"/>
  <c r="H5590" i="15"/>
  <c r="G5590" i="15"/>
  <c r="J5589" i="15"/>
  <c r="I5589" i="15"/>
  <c r="H5589" i="15"/>
  <c r="G5589" i="15"/>
  <c r="J5588" i="15"/>
  <c r="I5588" i="15"/>
  <c r="H5588" i="15"/>
  <c r="G5588" i="15"/>
  <c r="J5587" i="15"/>
  <c r="I5587" i="15"/>
  <c r="H5587" i="15"/>
  <c r="G5587" i="15"/>
  <c r="J5586" i="15"/>
  <c r="I5586" i="15"/>
  <c r="H5586" i="15"/>
  <c r="G5586" i="15"/>
  <c r="J5585" i="15"/>
  <c r="I5585" i="15"/>
  <c r="H5585" i="15"/>
  <c r="G5585" i="15"/>
  <c r="J5584" i="15"/>
  <c r="I5584" i="15"/>
  <c r="H5584" i="15"/>
  <c r="G5584" i="15"/>
  <c r="J5583" i="15"/>
  <c r="I5583" i="15"/>
  <c r="H5583" i="15"/>
  <c r="G5583" i="15"/>
  <c r="J5582" i="15"/>
  <c r="I5582" i="15"/>
  <c r="H5582" i="15"/>
  <c r="G5582" i="15"/>
  <c r="J5581" i="15"/>
  <c r="I5581" i="15"/>
  <c r="H5581" i="15"/>
  <c r="G5581" i="15"/>
  <c r="J5580" i="15"/>
  <c r="I5580" i="15"/>
  <c r="H5580" i="15"/>
  <c r="G5580" i="15"/>
  <c r="J5579" i="15"/>
  <c r="I5579" i="15"/>
  <c r="H5579" i="15"/>
  <c r="G5579" i="15"/>
  <c r="J5578" i="15"/>
  <c r="I5578" i="15"/>
  <c r="H5578" i="15"/>
  <c r="G5578" i="15"/>
  <c r="J5577" i="15"/>
  <c r="I5577" i="15"/>
  <c r="H5577" i="15"/>
  <c r="G5577" i="15"/>
  <c r="J5576" i="15"/>
  <c r="I5576" i="15"/>
  <c r="H5576" i="15"/>
  <c r="G5576" i="15"/>
  <c r="J5575" i="15"/>
  <c r="I5575" i="15"/>
  <c r="H5575" i="15"/>
  <c r="G5575" i="15"/>
  <c r="J5574" i="15"/>
  <c r="I5574" i="15"/>
  <c r="H5574" i="15"/>
  <c r="G5574" i="15"/>
  <c r="J5573" i="15"/>
  <c r="I5573" i="15"/>
  <c r="H5573" i="15"/>
  <c r="G5573" i="15"/>
  <c r="J5572" i="15"/>
  <c r="I5572" i="15"/>
  <c r="H5572" i="15"/>
  <c r="G5572" i="15"/>
  <c r="J5571" i="15"/>
  <c r="I5571" i="15"/>
  <c r="H5571" i="15"/>
  <c r="G5571" i="15"/>
  <c r="J5570" i="15"/>
  <c r="I5570" i="15"/>
  <c r="H5570" i="15"/>
  <c r="G5570" i="15"/>
  <c r="J5569" i="15"/>
  <c r="I5569" i="15"/>
  <c r="H5569" i="15"/>
  <c r="G5569" i="15"/>
  <c r="J5568" i="15"/>
  <c r="I5568" i="15"/>
  <c r="H5568" i="15"/>
  <c r="G5568" i="15"/>
  <c r="J5567" i="15"/>
  <c r="I5567" i="15"/>
  <c r="H5567" i="15"/>
  <c r="G5567" i="15"/>
  <c r="J5566" i="15"/>
  <c r="I5566" i="15"/>
  <c r="H5566" i="15"/>
  <c r="G5566" i="15"/>
  <c r="J5565" i="15"/>
  <c r="I5565" i="15"/>
  <c r="H5565" i="15"/>
  <c r="G5565" i="15"/>
  <c r="J5564" i="15"/>
  <c r="I5564" i="15"/>
  <c r="H5564" i="15"/>
  <c r="G5564" i="15"/>
  <c r="J5563" i="15"/>
  <c r="I5563" i="15"/>
  <c r="H5563" i="15"/>
  <c r="G5563" i="15"/>
  <c r="J5562" i="15"/>
  <c r="I5562" i="15"/>
  <c r="H5562" i="15"/>
  <c r="G5562" i="15"/>
  <c r="J5561" i="15"/>
  <c r="I5561" i="15"/>
  <c r="H5561" i="15"/>
  <c r="G5561" i="15"/>
  <c r="J5560" i="15"/>
  <c r="I5560" i="15"/>
  <c r="H5560" i="15"/>
  <c r="G5560" i="15"/>
  <c r="J5559" i="15"/>
  <c r="I5559" i="15"/>
  <c r="H5559" i="15"/>
  <c r="G5559" i="15"/>
  <c r="J5558" i="15"/>
  <c r="I5558" i="15"/>
  <c r="H5558" i="15"/>
  <c r="G5558" i="15"/>
  <c r="J5557" i="15"/>
  <c r="I5557" i="15"/>
  <c r="H5557" i="15"/>
  <c r="G5557" i="15"/>
  <c r="J5556" i="15"/>
  <c r="I5556" i="15"/>
  <c r="H5556" i="15"/>
  <c r="G5556" i="15"/>
  <c r="J5555" i="15"/>
  <c r="I5555" i="15"/>
  <c r="H5555" i="15"/>
  <c r="G5555" i="15"/>
  <c r="J5554" i="15"/>
  <c r="I5554" i="15"/>
  <c r="H5554" i="15"/>
  <c r="G5554" i="15"/>
  <c r="J5553" i="15"/>
  <c r="I5553" i="15"/>
  <c r="H5553" i="15"/>
  <c r="G5553" i="15"/>
  <c r="J5552" i="15"/>
  <c r="I5552" i="15"/>
  <c r="H5552" i="15"/>
  <c r="G5552" i="15"/>
  <c r="J5551" i="15"/>
  <c r="I5551" i="15"/>
  <c r="H5551" i="15"/>
  <c r="G5551" i="15"/>
  <c r="J5550" i="15"/>
  <c r="I5550" i="15"/>
  <c r="H5550" i="15"/>
  <c r="G5550" i="15"/>
  <c r="J5549" i="15"/>
  <c r="I5549" i="15"/>
  <c r="H5549" i="15"/>
  <c r="G5549" i="15"/>
  <c r="J5548" i="15"/>
  <c r="I5548" i="15"/>
  <c r="H5548" i="15"/>
  <c r="G5548" i="15"/>
  <c r="J5547" i="15"/>
  <c r="I5547" i="15"/>
  <c r="H5547" i="15"/>
  <c r="G5547" i="15"/>
  <c r="J5546" i="15"/>
  <c r="I5546" i="15"/>
  <c r="H5546" i="15"/>
  <c r="G5546" i="15"/>
  <c r="J5545" i="15"/>
  <c r="I5545" i="15"/>
  <c r="H5545" i="15"/>
  <c r="G5545" i="15"/>
  <c r="J5544" i="15"/>
  <c r="I5544" i="15"/>
  <c r="H5544" i="15"/>
  <c r="G5544" i="15"/>
  <c r="J5543" i="15"/>
  <c r="I5543" i="15"/>
  <c r="H5543" i="15"/>
  <c r="G5543" i="15"/>
  <c r="J5542" i="15"/>
  <c r="I5542" i="15"/>
  <c r="H5542" i="15"/>
  <c r="G5542" i="15"/>
  <c r="J5541" i="15"/>
  <c r="I5541" i="15"/>
  <c r="H5541" i="15"/>
  <c r="G5541" i="15"/>
  <c r="J5540" i="15"/>
  <c r="I5540" i="15"/>
  <c r="H5540" i="15"/>
  <c r="G5540" i="15"/>
  <c r="J5539" i="15"/>
  <c r="I5539" i="15"/>
  <c r="H5539" i="15"/>
  <c r="G5539" i="15"/>
  <c r="J5538" i="15"/>
  <c r="I5538" i="15"/>
  <c r="H5538" i="15"/>
  <c r="G5538" i="15"/>
  <c r="J5537" i="15"/>
  <c r="I5537" i="15"/>
  <c r="H5537" i="15"/>
  <c r="G5537" i="15"/>
  <c r="J5536" i="15"/>
  <c r="I5536" i="15"/>
  <c r="H5536" i="15"/>
  <c r="G5536" i="15"/>
  <c r="J5535" i="15"/>
  <c r="I5535" i="15"/>
  <c r="H5535" i="15"/>
  <c r="G5535" i="15"/>
  <c r="J5534" i="15"/>
  <c r="I5534" i="15"/>
  <c r="H5534" i="15"/>
  <c r="G5534" i="15"/>
  <c r="J5533" i="15"/>
  <c r="I5533" i="15"/>
  <c r="H5533" i="15"/>
  <c r="G5533" i="15"/>
  <c r="J5532" i="15"/>
  <c r="I5532" i="15"/>
  <c r="H5532" i="15"/>
  <c r="G5532" i="15"/>
  <c r="J5531" i="15"/>
  <c r="I5531" i="15"/>
  <c r="H5531" i="15"/>
  <c r="G5531" i="15"/>
  <c r="J5530" i="15"/>
  <c r="I5530" i="15"/>
  <c r="H5530" i="15"/>
  <c r="G5530" i="15"/>
  <c r="J5529" i="15"/>
  <c r="I5529" i="15"/>
  <c r="H5529" i="15"/>
  <c r="G5529" i="15"/>
  <c r="J5528" i="15"/>
  <c r="I5528" i="15"/>
  <c r="H5528" i="15"/>
  <c r="G5528" i="15"/>
  <c r="J5527" i="15"/>
  <c r="I5527" i="15"/>
  <c r="H5527" i="15"/>
  <c r="G5527" i="15"/>
  <c r="J5526" i="15"/>
  <c r="I5526" i="15"/>
  <c r="H5526" i="15"/>
  <c r="G5526" i="15"/>
  <c r="J5525" i="15"/>
  <c r="I5525" i="15"/>
  <c r="H5525" i="15"/>
  <c r="G5525" i="15"/>
  <c r="J5524" i="15"/>
  <c r="I5524" i="15"/>
  <c r="H5524" i="15"/>
  <c r="G5524" i="15"/>
  <c r="J5523" i="15"/>
  <c r="I5523" i="15"/>
  <c r="H5523" i="15"/>
  <c r="G5523" i="15"/>
  <c r="J5522" i="15"/>
  <c r="I5522" i="15"/>
  <c r="H5522" i="15"/>
  <c r="G5522" i="15"/>
  <c r="J5521" i="15"/>
  <c r="I5521" i="15"/>
  <c r="H5521" i="15"/>
  <c r="G5521" i="15"/>
  <c r="J5520" i="15"/>
  <c r="I5520" i="15"/>
  <c r="H5520" i="15"/>
  <c r="G5520" i="15"/>
  <c r="J5519" i="15"/>
  <c r="I5519" i="15"/>
  <c r="H5519" i="15"/>
  <c r="G5519" i="15"/>
  <c r="J5518" i="15"/>
  <c r="I5518" i="15"/>
  <c r="H5518" i="15"/>
  <c r="G5518" i="15"/>
  <c r="J5517" i="15"/>
  <c r="I5517" i="15"/>
  <c r="H5517" i="15"/>
  <c r="G5517" i="15"/>
  <c r="J5516" i="15"/>
  <c r="I5516" i="15"/>
  <c r="H5516" i="15"/>
  <c r="G5516" i="15"/>
  <c r="J5515" i="15"/>
  <c r="I5515" i="15"/>
  <c r="H5515" i="15"/>
  <c r="G5515" i="15"/>
  <c r="J5514" i="15"/>
  <c r="I5514" i="15"/>
  <c r="H5514" i="15"/>
  <c r="G5514" i="15"/>
  <c r="J5513" i="15"/>
  <c r="I5513" i="15"/>
  <c r="H5513" i="15"/>
  <c r="G5513" i="15"/>
  <c r="J5512" i="15"/>
  <c r="I5512" i="15"/>
  <c r="H5512" i="15"/>
  <c r="G5512" i="15"/>
  <c r="J5511" i="15"/>
  <c r="I5511" i="15"/>
  <c r="H5511" i="15"/>
  <c r="G5511" i="15"/>
  <c r="J5510" i="15"/>
  <c r="I5510" i="15"/>
  <c r="H5510" i="15"/>
  <c r="G5510" i="15"/>
  <c r="J5509" i="15"/>
  <c r="I5509" i="15"/>
  <c r="H5509" i="15"/>
  <c r="G5509" i="15"/>
  <c r="J5508" i="15"/>
  <c r="I5508" i="15"/>
  <c r="H5508" i="15"/>
  <c r="G5508" i="15"/>
  <c r="J5507" i="15"/>
  <c r="I5507" i="15"/>
  <c r="H5507" i="15"/>
  <c r="G5507" i="15"/>
  <c r="J5506" i="15"/>
  <c r="I5506" i="15"/>
  <c r="H5506" i="15"/>
  <c r="G5506" i="15"/>
  <c r="J5505" i="15"/>
  <c r="I5505" i="15"/>
  <c r="H5505" i="15"/>
  <c r="G5505" i="15"/>
  <c r="J5504" i="15"/>
  <c r="I5504" i="15"/>
  <c r="H5504" i="15"/>
  <c r="G5504" i="15"/>
  <c r="J5503" i="15"/>
  <c r="I5503" i="15"/>
  <c r="H5503" i="15"/>
  <c r="G5503" i="15"/>
  <c r="J5502" i="15"/>
  <c r="I5502" i="15"/>
  <c r="H5502" i="15"/>
  <c r="G5502" i="15"/>
  <c r="J5501" i="15"/>
  <c r="I5501" i="15"/>
  <c r="H5501" i="15"/>
  <c r="G5501" i="15"/>
  <c r="J5500" i="15"/>
  <c r="I5500" i="15"/>
  <c r="H5500" i="15"/>
  <c r="G5500" i="15"/>
  <c r="J5499" i="15"/>
  <c r="I5499" i="15"/>
  <c r="H5499" i="15"/>
  <c r="G5499" i="15"/>
  <c r="J5498" i="15"/>
  <c r="I5498" i="15"/>
  <c r="H5498" i="15"/>
  <c r="G5498" i="15"/>
  <c r="J5497" i="15"/>
  <c r="I5497" i="15"/>
  <c r="H5497" i="15"/>
  <c r="G5497" i="15"/>
  <c r="J5496" i="15"/>
  <c r="I5496" i="15"/>
  <c r="H5496" i="15"/>
  <c r="G5496" i="15"/>
  <c r="J5495" i="15"/>
  <c r="I5495" i="15"/>
  <c r="H5495" i="15"/>
  <c r="G5495" i="15"/>
  <c r="J5494" i="15"/>
  <c r="I5494" i="15"/>
  <c r="H5494" i="15"/>
  <c r="G5494" i="15"/>
  <c r="J5493" i="15"/>
  <c r="I5493" i="15"/>
  <c r="H5493" i="15"/>
  <c r="G5493" i="15"/>
  <c r="J5492" i="15"/>
  <c r="I5492" i="15"/>
  <c r="H5492" i="15"/>
  <c r="G5492" i="15"/>
  <c r="J5491" i="15"/>
  <c r="I5491" i="15"/>
  <c r="H5491" i="15"/>
  <c r="G5491" i="15"/>
  <c r="J5490" i="15"/>
  <c r="I5490" i="15"/>
  <c r="H5490" i="15"/>
  <c r="G5490" i="15"/>
  <c r="J5489" i="15"/>
  <c r="I5489" i="15"/>
  <c r="H5489" i="15"/>
  <c r="G5489" i="15"/>
  <c r="J5488" i="15"/>
  <c r="I5488" i="15"/>
  <c r="H5488" i="15"/>
  <c r="G5488" i="15"/>
  <c r="J5487" i="15"/>
  <c r="I5487" i="15"/>
  <c r="H5487" i="15"/>
  <c r="G5487" i="15"/>
  <c r="J5486" i="15"/>
  <c r="I5486" i="15"/>
  <c r="H5486" i="15"/>
  <c r="G5486" i="15"/>
  <c r="J5485" i="15"/>
  <c r="I5485" i="15"/>
  <c r="H5485" i="15"/>
  <c r="G5485" i="15"/>
  <c r="J5484" i="15"/>
  <c r="I5484" i="15"/>
  <c r="H5484" i="15"/>
  <c r="G5484" i="15"/>
  <c r="J5483" i="15"/>
  <c r="I5483" i="15"/>
  <c r="H5483" i="15"/>
  <c r="G5483" i="15"/>
  <c r="J5482" i="15"/>
  <c r="I5482" i="15"/>
  <c r="H5482" i="15"/>
  <c r="G5482" i="15"/>
  <c r="J5481" i="15"/>
  <c r="I5481" i="15"/>
  <c r="H5481" i="15"/>
  <c r="G5481" i="15"/>
  <c r="J5480" i="15"/>
  <c r="I5480" i="15"/>
  <c r="H5480" i="15"/>
  <c r="G5480" i="15"/>
  <c r="J5479" i="15"/>
  <c r="I5479" i="15"/>
  <c r="H5479" i="15"/>
  <c r="G5479" i="15"/>
  <c r="J5478" i="15"/>
  <c r="I5478" i="15"/>
  <c r="H5478" i="15"/>
  <c r="G5478" i="15"/>
  <c r="J5477" i="15"/>
  <c r="I5477" i="15"/>
  <c r="H5477" i="15"/>
  <c r="G5477" i="15"/>
  <c r="J5476" i="15"/>
  <c r="I5476" i="15"/>
  <c r="H5476" i="15"/>
  <c r="G5476" i="15"/>
  <c r="J5475" i="15"/>
  <c r="I5475" i="15"/>
  <c r="H5475" i="15"/>
  <c r="G5475" i="15"/>
  <c r="J5474" i="15"/>
  <c r="I5474" i="15"/>
  <c r="H5474" i="15"/>
  <c r="G5474" i="15"/>
  <c r="J5473" i="15"/>
  <c r="I5473" i="15"/>
  <c r="H5473" i="15"/>
  <c r="G5473" i="15"/>
  <c r="J5472" i="15"/>
  <c r="I5472" i="15"/>
  <c r="H5472" i="15"/>
  <c r="G5472" i="15"/>
  <c r="J5471" i="15"/>
  <c r="I5471" i="15"/>
  <c r="H5471" i="15"/>
  <c r="G5471" i="15"/>
  <c r="J5470" i="15"/>
  <c r="I5470" i="15"/>
  <c r="H5470" i="15"/>
  <c r="G5470" i="15"/>
  <c r="J5469" i="15"/>
  <c r="I5469" i="15"/>
  <c r="H5469" i="15"/>
  <c r="G5469" i="15"/>
  <c r="J5468" i="15"/>
  <c r="I5468" i="15"/>
  <c r="H5468" i="15"/>
  <c r="G5468" i="15"/>
  <c r="J5467" i="15"/>
  <c r="I5467" i="15"/>
  <c r="H5467" i="15"/>
  <c r="G5467" i="15"/>
  <c r="J5466" i="15"/>
  <c r="I5466" i="15"/>
  <c r="H5466" i="15"/>
  <c r="G5466" i="15"/>
  <c r="J5465" i="15"/>
  <c r="I5465" i="15"/>
  <c r="H5465" i="15"/>
  <c r="G5465" i="15"/>
  <c r="J5464" i="15"/>
  <c r="I5464" i="15"/>
  <c r="H5464" i="15"/>
  <c r="G5464" i="15"/>
  <c r="J5463" i="15"/>
  <c r="I5463" i="15"/>
  <c r="H5463" i="15"/>
  <c r="G5463" i="15"/>
  <c r="J5462" i="15"/>
  <c r="I5462" i="15"/>
  <c r="H5462" i="15"/>
  <c r="G5462" i="15"/>
  <c r="J5461" i="15"/>
  <c r="I5461" i="15"/>
  <c r="H5461" i="15"/>
  <c r="G5461" i="15"/>
  <c r="J5460" i="15"/>
  <c r="I5460" i="15"/>
  <c r="H5460" i="15"/>
  <c r="G5460" i="15"/>
  <c r="J5459" i="15"/>
  <c r="I5459" i="15"/>
  <c r="H5459" i="15"/>
  <c r="G5459" i="15"/>
  <c r="J5458" i="15"/>
  <c r="I5458" i="15"/>
  <c r="H5458" i="15"/>
  <c r="G5458" i="15"/>
  <c r="J5457" i="15"/>
  <c r="I5457" i="15"/>
  <c r="H5457" i="15"/>
  <c r="G5457" i="15"/>
  <c r="J5456" i="15"/>
  <c r="I5456" i="15"/>
  <c r="H5456" i="15"/>
  <c r="G5456" i="15"/>
  <c r="J5455" i="15"/>
  <c r="I5455" i="15"/>
  <c r="H5455" i="15"/>
  <c r="G5455" i="15"/>
  <c r="J5454" i="15"/>
  <c r="I5454" i="15"/>
  <c r="H5454" i="15"/>
  <c r="G5454" i="15"/>
  <c r="J5453" i="15"/>
  <c r="I5453" i="15"/>
  <c r="H5453" i="15"/>
  <c r="G5453" i="15"/>
  <c r="J5452" i="15"/>
  <c r="I5452" i="15"/>
  <c r="H5452" i="15"/>
  <c r="G5452" i="15"/>
  <c r="J5451" i="15"/>
  <c r="I5451" i="15"/>
  <c r="H5451" i="15"/>
  <c r="G5451" i="15"/>
  <c r="J5450" i="15"/>
  <c r="I5450" i="15"/>
  <c r="H5450" i="15"/>
  <c r="G5450" i="15"/>
  <c r="J5449" i="15"/>
  <c r="I5449" i="15"/>
  <c r="H5449" i="15"/>
  <c r="G5449" i="15"/>
  <c r="J5448" i="15"/>
  <c r="I5448" i="15"/>
  <c r="H5448" i="15"/>
  <c r="G5448" i="15"/>
  <c r="J5447" i="15"/>
  <c r="I5447" i="15"/>
  <c r="H5447" i="15"/>
  <c r="G5447" i="15"/>
  <c r="J5446" i="15"/>
  <c r="I5446" i="15"/>
  <c r="H5446" i="15"/>
  <c r="G5446" i="15"/>
  <c r="J5445" i="15"/>
  <c r="I5445" i="15"/>
  <c r="H5445" i="15"/>
  <c r="G5445" i="15"/>
  <c r="J5444" i="15"/>
  <c r="I5444" i="15"/>
  <c r="H5444" i="15"/>
  <c r="G5444" i="15"/>
  <c r="J5443" i="15"/>
  <c r="I5443" i="15"/>
  <c r="H5443" i="15"/>
  <c r="G5443" i="15"/>
  <c r="J5442" i="15"/>
  <c r="I5442" i="15"/>
  <c r="H5442" i="15"/>
  <c r="G5442" i="15"/>
  <c r="J5441" i="15"/>
  <c r="I5441" i="15"/>
  <c r="H5441" i="15"/>
  <c r="G5441" i="15"/>
  <c r="J5440" i="15"/>
  <c r="I5440" i="15"/>
  <c r="H5440" i="15"/>
  <c r="G5440" i="15"/>
  <c r="J5439" i="15"/>
  <c r="I5439" i="15"/>
  <c r="H5439" i="15"/>
  <c r="G5439" i="15"/>
  <c r="J5438" i="15"/>
  <c r="I5438" i="15"/>
  <c r="H5438" i="15"/>
  <c r="G5438" i="15"/>
  <c r="J5437" i="15"/>
  <c r="I5437" i="15"/>
  <c r="H5437" i="15"/>
  <c r="G5437" i="15"/>
  <c r="J5436" i="15"/>
  <c r="I5436" i="15"/>
  <c r="H5436" i="15"/>
  <c r="G5436" i="15"/>
  <c r="J5435" i="15"/>
  <c r="I5435" i="15"/>
  <c r="H5435" i="15"/>
  <c r="G5435" i="15"/>
  <c r="J5434" i="15"/>
  <c r="I5434" i="15"/>
  <c r="H5434" i="15"/>
  <c r="G5434" i="15"/>
  <c r="J5433" i="15"/>
  <c r="I5433" i="15"/>
  <c r="H5433" i="15"/>
  <c r="G5433" i="15"/>
  <c r="J5432" i="15"/>
  <c r="I5432" i="15"/>
  <c r="H5432" i="15"/>
  <c r="G5432" i="15"/>
  <c r="J5431" i="15"/>
  <c r="I5431" i="15"/>
  <c r="H5431" i="15"/>
  <c r="G5431" i="15"/>
  <c r="J5430" i="15"/>
  <c r="I5430" i="15"/>
  <c r="H5430" i="15"/>
  <c r="G5430" i="15"/>
  <c r="J5429" i="15"/>
  <c r="I5429" i="15"/>
  <c r="H5429" i="15"/>
  <c r="G5429" i="15"/>
  <c r="J5428" i="15"/>
  <c r="I5428" i="15"/>
  <c r="H5428" i="15"/>
  <c r="G5428" i="15"/>
  <c r="J5427" i="15"/>
  <c r="I5427" i="15"/>
  <c r="H5427" i="15"/>
  <c r="G5427" i="15"/>
  <c r="J5426" i="15"/>
  <c r="I5426" i="15"/>
  <c r="H5426" i="15"/>
  <c r="G5426" i="15"/>
  <c r="J5425" i="15"/>
  <c r="I5425" i="15"/>
  <c r="H5425" i="15"/>
  <c r="G5425" i="15"/>
  <c r="J5424" i="15"/>
  <c r="I5424" i="15"/>
  <c r="H5424" i="15"/>
  <c r="G5424" i="15"/>
  <c r="J5423" i="15"/>
  <c r="I5423" i="15"/>
  <c r="H5423" i="15"/>
  <c r="G5423" i="15"/>
  <c r="J5422" i="15"/>
  <c r="I5422" i="15"/>
  <c r="H5422" i="15"/>
  <c r="G5422" i="15"/>
  <c r="J5421" i="15"/>
  <c r="I5421" i="15"/>
  <c r="H5421" i="15"/>
  <c r="G5421" i="15"/>
  <c r="J5420" i="15"/>
  <c r="I5420" i="15"/>
  <c r="H5420" i="15"/>
  <c r="G5420" i="15"/>
  <c r="J5419" i="15"/>
  <c r="I5419" i="15"/>
  <c r="H5419" i="15"/>
  <c r="G5419" i="15"/>
  <c r="J5418" i="15"/>
  <c r="I5418" i="15"/>
  <c r="H5418" i="15"/>
  <c r="G5418" i="15"/>
  <c r="J5417" i="15"/>
  <c r="I5417" i="15"/>
  <c r="H5417" i="15"/>
  <c r="G5417" i="15"/>
  <c r="J5416" i="15"/>
  <c r="I5416" i="15"/>
  <c r="H5416" i="15"/>
  <c r="G5416" i="15"/>
  <c r="J5415" i="15"/>
  <c r="I5415" i="15"/>
  <c r="H5415" i="15"/>
  <c r="G5415" i="15"/>
  <c r="J5414" i="15"/>
  <c r="I5414" i="15"/>
  <c r="H5414" i="15"/>
  <c r="G5414" i="15"/>
  <c r="J5413" i="15"/>
  <c r="I5413" i="15"/>
  <c r="H5413" i="15"/>
  <c r="G5413" i="15"/>
  <c r="J5412" i="15"/>
  <c r="I5412" i="15"/>
  <c r="H5412" i="15"/>
  <c r="G5412" i="15"/>
  <c r="J5411" i="15"/>
  <c r="I5411" i="15"/>
  <c r="H5411" i="15"/>
  <c r="G5411" i="15"/>
  <c r="J5410" i="15"/>
  <c r="I5410" i="15"/>
  <c r="H5410" i="15"/>
  <c r="G5410" i="15"/>
  <c r="J5409" i="15"/>
  <c r="I5409" i="15"/>
  <c r="H5409" i="15"/>
  <c r="G5409" i="15"/>
  <c r="J5408" i="15"/>
  <c r="I5408" i="15"/>
  <c r="H5408" i="15"/>
  <c r="G5408" i="15"/>
  <c r="J5407" i="15"/>
  <c r="I5407" i="15"/>
  <c r="H5407" i="15"/>
  <c r="G5407" i="15"/>
  <c r="J5406" i="15"/>
  <c r="I5406" i="15"/>
  <c r="H5406" i="15"/>
  <c r="G5406" i="15"/>
  <c r="J5405" i="15"/>
  <c r="I5405" i="15"/>
  <c r="H5405" i="15"/>
  <c r="G5405" i="15"/>
  <c r="J5404" i="15"/>
  <c r="I5404" i="15"/>
  <c r="H5404" i="15"/>
  <c r="G5404" i="15"/>
  <c r="J5403" i="15"/>
  <c r="I5403" i="15"/>
  <c r="H5403" i="15"/>
  <c r="G5403" i="15"/>
  <c r="J5402" i="15"/>
  <c r="I5402" i="15"/>
  <c r="H5402" i="15"/>
  <c r="G5402" i="15"/>
  <c r="J5401" i="15"/>
  <c r="I5401" i="15"/>
  <c r="H5401" i="15"/>
  <c r="G5401" i="15"/>
  <c r="J5400" i="15"/>
  <c r="I5400" i="15"/>
  <c r="H5400" i="15"/>
  <c r="G5400" i="15"/>
  <c r="J5399" i="15"/>
  <c r="I5399" i="15"/>
  <c r="H5399" i="15"/>
  <c r="G5399" i="15"/>
  <c r="J5398" i="15"/>
  <c r="I5398" i="15"/>
  <c r="H5398" i="15"/>
  <c r="G5398" i="15"/>
  <c r="J5397" i="15"/>
  <c r="I5397" i="15"/>
  <c r="H5397" i="15"/>
  <c r="G5397" i="15"/>
  <c r="J5396" i="15"/>
  <c r="I5396" i="15"/>
  <c r="H5396" i="15"/>
  <c r="G5396" i="15"/>
  <c r="J5395" i="15"/>
  <c r="I5395" i="15"/>
  <c r="H5395" i="15"/>
  <c r="G5395" i="15"/>
  <c r="J5394" i="15"/>
  <c r="I5394" i="15"/>
  <c r="H5394" i="15"/>
  <c r="G5394" i="15"/>
  <c r="J5393" i="15"/>
  <c r="I5393" i="15"/>
  <c r="H5393" i="15"/>
  <c r="G5393" i="15"/>
  <c r="J5392" i="15"/>
  <c r="I5392" i="15"/>
  <c r="H5392" i="15"/>
  <c r="G5392" i="15"/>
  <c r="J5391" i="15"/>
  <c r="I5391" i="15"/>
  <c r="H5391" i="15"/>
  <c r="G5391" i="15"/>
  <c r="J5390" i="15"/>
  <c r="I5390" i="15"/>
  <c r="H5390" i="15"/>
  <c r="G5390" i="15"/>
  <c r="J5389" i="15"/>
  <c r="I5389" i="15"/>
  <c r="H5389" i="15"/>
  <c r="G5389" i="15"/>
  <c r="J5388" i="15"/>
  <c r="I5388" i="15"/>
  <c r="H5388" i="15"/>
  <c r="G5388" i="15"/>
  <c r="J5387" i="15"/>
  <c r="I5387" i="15"/>
  <c r="H5387" i="15"/>
  <c r="G5387" i="15"/>
  <c r="J5386" i="15"/>
  <c r="I5386" i="15"/>
  <c r="H5386" i="15"/>
  <c r="G5386" i="15"/>
  <c r="J5385" i="15"/>
  <c r="I5385" i="15"/>
  <c r="H5385" i="15"/>
  <c r="G5385" i="15"/>
  <c r="J5384" i="15"/>
  <c r="I5384" i="15"/>
  <c r="H5384" i="15"/>
  <c r="G5384" i="15"/>
  <c r="J5383" i="15"/>
  <c r="I5383" i="15"/>
  <c r="H5383" i="15"/>
  <c r="G5383" i="15"/>
  <c r="J5382" i="15"/>
  <c r="I5382" i="15"/>
  <c r="H5382" i="15"/>
  <c r="G5382" i="15"/>
  <c r="J5381" i="15"/>
  <c r="I5381" i="15"/>
  <c r="H5381" i="15"/>
  <c r="G5381" i="15"/>
  <c r="J5380" i="15"/>
  <c r="I5380" i="15"/>
  <c r="H5380" i="15"/>
  <c r="G5380" i="15"/>
  <c r="J5379" i="15"/>
  <c r="I5379" i="15"/>
  <c r="H5379" i="15"/>
  <c r="G5379" i="15"/>
  <c r="J5378" i="15"/>
  <c r="I5378" i="15"/>
  <c r="H5378" i="15"/>
  <c r="G5378" i="15"/>
  <c r="J5377" i="15"/>
  <c r="I5377" i="15"/>
  <c r="H5377" i="15"/>
  <c r="G5377" i="15"/>
  <c r="J5376" i="15"/>
  <c r="I5376" i="15"/>
  <c r="H5376" i="15"/>
  <c r="G5376" i="15"/>
  <c r="J5375" i="15"/>
  <c r="I5375" i="15"/>
  <c r="H5375" i="15"/>
  <c r="G5375" i="15"/>
  <c r="J5374" i="15"/>
  <c r="I5374" i="15"/>
  <c r="H5374" i="15"/>
  <c r="G5374" i="15"/>
  <c r="J5373" i="15"/>
  <c r="I5373" i="15"/>
  <c r="H5373" i="15"/>
  <c r="G5373" i="15"/>
  <c r="J5372" i="15"/>
  <c r="I5372" i="15"/>
  <c r="H5372" i="15"/>
  <c r="G5372" i="15"/>
  <c r="J5371" i="15"/>
  <c r="I5371" i="15"/>
  <c r="H5371" i="15"/>
  <c r="G5371" i="15"/>
  <c r="J5370" i="15"/>
  <c r="I5370" i="15"/>
  <c r="H5370" i="15"/>
  <c r="G5370" i="15"/>
  <c r="J5369" i="15"/>
  <c r="I5369" i="15"/>
  <c r="H5369" i="15"/>
  <c r="G5369" i="15"/>
  <c r="J5368" i="15"/>
  <c r="I5368" i="15"/>
  <c r="H5368" i="15"/>
  <c r="G5368" i="15"/>
  <c r="J5367" i="15"/>
  <c r="I5367" i="15"/>
  <c r="H5367" i="15"/>
  <c r="G5367" i="15"/>
  <c r="J5366" i="15"/>
  <c r="I5366" i="15"/>
  <c r="H5366" i="15"/>
  <c r="G5366" i="15"/>
  <c r="J5365" i="15"/>
  <c r="I5365" i="15"/>
  <c r="H5365" i="15"/>
  <c r="G5365" i="15"/>
  <c r="J5364" i="15"/>
  <c r="I5364" i="15"/>
  <c r="H5364" i="15"/>
  <c r="G5364" i="15"/>
  <c r="J5363" i="15"/>
  <c r="I5363" i="15"/>
  <c r="H5363" i="15"/>
  <c r="G5363" i="15"/>
  <c r="J5362" i="15"/>
  <c r="I5362" i="15"/>
  <c r="H5362" i="15"/>
  <c r="G5362" i="15"/>
  <c r="J5361" i="15"/>
  <c r="I5361" i="15"/>
  <c r="H5361" i="15"/>
  <c r="G5361" i="15"/>
  <c r="J5360" i="15"/>
  <c r="I5360" i="15"/>
  <c r="H5360" i="15"/>
  <c r="G5360" i="15"/>
  <c r="J5359" i="15"/>
  <c r="I5359" i="15"/>
  <c r="H5359" i="15"/>
  <c r="G5359" i="15"/>
  <c r="J5358" i="15"/>
  <c r="I5358" i="15"/>
  <c r="H5358" i="15"/>
  <c r="G5358" i="15"/>
  <c r="J5357" i="15"/>
  <c r="I5357" i="15"/>
  <c r="H5357" i="15"/>
  <c r="G5357" i="15"/>
  <c r="J5356" i="15"/>
  <c r="I5356" i="15"/>
  <c r="H5356" i="15"/>
  <c r="G5356" i="15"/>
  <c r="J5355" i="15"/>
  <c r="I5355" i="15"/>
  <c r="H5355" i="15"/>
  <c r="G5355" i="15"/>
  <c r="J5354" i="15"/>
  <c r="I5354" i="15"/>
  <c r="H5354" i="15"/>
  <c r="G5354" i="15"/>
  <c r="J5353" i="15"/>
  <c r="I5353" i="15"/>
  <c r="H5353" i="15"/>
  <c r="G5353" i="15"/>
  <c r="J5352" i="15"/>
  <c r="I5352" i="15"/>
  <c r="H5352" i="15"/>
  <c r="G5352" i="15"/>
  <c r="J5351" i="15"/>
  <c r="I5351" i="15"/>
  <c r="H5351" i="15"/>
  <c r="G5351" i="15"/>
  <c r="J5350" i="15"/>
  <c r="I5350" i="15"/>
  <c r="H5350" i="15"/>
  <c r="G5350" i="15"/>
  <c r="J5349" i="15"/>
  <c r="I5349" i="15"/>
  <c r="H5349" i="15"/>
  <c r="G5349" i="15"/>
  <c r="J5348" i="15"/>
  <c r="I5348" i="15"/>
  <c r="H5348" i="15"/>
  <c r="G5348" i="15"/>
  <c r="J5347" i="15"/>
  <c r="I5347" i="15"/>
  <c r="H5347" i="15"/>
  <c r="G5347" i="15"/>
  <c r="J5346" i="15"/>
  <c r="I5346" i="15"/>
  <c r="H5346" i="15"/>
  <c r="G5346" i="15"/>
  <c r="J5345" i="15"/>
  <c r="I5345" i="15"/>
  <c r="H5345" i="15"/>
  <c r="G5345" i="15"/>
  <c r="J5344" i="15"/>
  <c r="I5344" i="15"/>
  <c r="H5344" i="15"/>
  <c r="G5344" i="15"/>
  <c r="J5343" i="15"/>
  <c r="I5343" i="15"/>
  <c r="H5343" i="15"/>
  <c r="G5343" i="15"/>
  <c r="J5342" i="15"/>
  <c r="I5342" i="15"/>
  <c r="H5342" i="15"/>
  <c r="G5342" i="15"/>
  <c r="J5341" i="15"/>
  <c r="I5341" i="15"/>
  <c r="H5341" i="15"/>
  <c r="G5341" i="15"/>
  <c r="J5340" i="15"/>
  <c r="I5340" i="15"/>
  <c r="H5340" i="15"/>
  <c r="G5340" i="15"/>
  <c r="J5339" i="15"/>
  <c r="I5339" i="15"/>
  <c r="H5339" i="15"/>
  <c r="G5339" i="15"/>
  <c r="J5338" i="15"/>
  <c r="I5338" i="15"/>
  <c r="H5338" i="15"/>
  <c r="G5338" i="15"/>
  <c r="J5337" i="15"/>
  <c r="I5337" i="15"/>
  <c r="H5337" i="15"/>
  <c r="G5337" i="15"/>
  <c r="J5336" i="15"/>
  <c r="I5336" i="15"/>
  <c r="H5336" i="15"/>
  <c r="G5336" i="15"/>
  <c r="J5335" i="15"/>
  <c r="I5335" i="15"/>
  <c r="H5335" i="15"/>
  <c r="G5335" i="15"/>
  <c r="J5334" i="15"/>
  <c r="I5334" i="15"/>
  <c r="H5334" i="15"/>
  <c r="G5334" i="15"/>
  <c r="J5333" i="15"/>
  <c r="I5333" i="15"/>
  <c r="H5333" i="15"/>
  <c r="G5333" i="15"/>
  <c r="J5332" i="15"/>
  <c r="I5332" i="15"/>
  <c r="H5332" i="15"/>
  <c r="G5332" i="15"/>
  <c r="J5331" i="15"/>
  <c r="I5331" i="15"/>
  <c r="H5331" i="15"/>
  <c r="G5331" i="15"/>
  <c r="J5330" i="15"/>
  <c r="I5330" i="15"/>
  <c r="H5330" i="15"/>
  <c r="G5330" i="15"/>
  <c r="J5329" i="15"/>
  <c r="I5329" i="15"/>
  <c r="H5329" i="15"/>
  <c r="G5329" i="15"/>
  <c r="J5328" i="15"/>
  <c r="I5328" i="15"/>
  <c r="H5328" i="15"/>
  <c r="G5328" i="15"/>
  <c r="J5327" i="15"/>
  <c r="I5327" i="15"/>
  <c r="H5327" i="15"/>
  <c r="G5327" i="15"/>
  <c r="J5326" i="15"/>
  <c r="I5326" i="15"/>
  <c r="H5326" i="15"/>
  <c r="G5326" i="15"/>
  <c r="J5325" i="15"/>
  <c r="I5325" i="15"/>
  <c r="H5325" i="15"/>
  <c r="G5325" i="15"/>
  <c r="J5324" i="15"/>
  <c r="I5324" i="15"/>
  <c r="H5324" i="15"/>
  <c r="G5324" i="15"/>
  <c r="J5323" i="15"/>
  <c r="I5323" i="15"/>
  <c r="H5323" i="15"/>
  <c r="G5323" i="15"/>
  <c r="J5322" i="15"/>
  <c r="I5322" i="15"/>
  <c r="H5322" i="15"/>
  <c r="G5322" i="15"/>
  <c r="J5321" i="15"/>
  <c r="I5321" i="15"/>
  <c r="H5321" i="15"/>
  <c r="G5321" i="15"/>
  <c r="J5320" i="15"/>
  <c r="I5320" i="15"/>
  <c r="H5320" i="15"/>
  <c r="G5320" i="15"/>
  <c r="J5319" i="15"/>
  <c r="I5319" i="15"/>
  <c r="H5319" i="15"/>
  <c r="G5319" i="15"/>
  <c r="J5318" i="15"/>
  <c r="I5318" i="15"/>
  <c r="H5318" i="15"/>
  <c r="G5318" i="15"/>
  <c r="J5317" i="15"/>
  <c r="I5317" i="15"/>
  <c r="H5317" i="15"/>
  <c r="G5317" i="15"/>
  <c r="J5316" i="15"/>
  <c r="I5316" i="15"/>
  <c r="H5316" i="15"/>
  <c r="G5316" i="15"/>
  <c r="J5315" i="15"/>
  <c r="I5315" i="15"/>
  <c r="H5315" i="15"/>
  <c r="G5315" i="15"/>
  <c r="J5314" i="15"/>
  <c r="I5314" i="15"/>
  <c r="H5314" i="15"/>
  <c r="G5314" i="15"/>
  <c r="J5313" i="15"/>
  <c r="I5313" i="15"/>
  <c r="H5313" i="15"/>
  <c r="G5313" i="15"/>
  <c r="J5312" i="15"/>
  <c r="I5312" i="15"/>
  <c r="H5312" i="15"/>
  <c r="G5312" i="15"/>
  <c r="J5311" i="15"/>
  <c r="I5311" i="15"/>
  <c r="H5311" i="15"/>
  <c r="G5311" i="15"/>
  <c r="J5310" i="15"/>
  <c r="I5310" i="15"/>
  <c r="H5310" i="15"/>
  <c r="G5310" i="15"/>
  <c r="J5309" i="15"/>
  <c r="I5309" i="15"/>
  <c r="H5309" i="15"/>
  <c r="G5309" i="15"/>
  <c r="J5308" i="15"/>
  <c r="I5308" i="15"/>
  <c r="H5308" i="15"/>
  <c r="G5308" i="15"/>
  <c r="J5307" i="15"/>
  <c r="I5307" i="15"/>
  <c r="H5307" i="15"/>
  <c r="G5307" i="15"/>
  <c r="J5306" i="15"/>
  <c r="I5306" i="15"/>
  <c r="H5306" i="15"/>
  <c r="G5306" i="15"/>
  <c r="J5305" i="15"/>
  <c r="I5305" i="15"/>
  <c r="H5305" i="15"/>
  <c r="G5305" i="15"/>
  <c r="J5304" i="15"/>
  <c r="I5304" i="15"/>
  <c r="H5304" i="15"/>
  <c r="G5304" i="15"/>
  <c r="J5303" i="15"/>
  <c r="I5303" i="15"/>
  <c r="H5303" i="15"/>
  <c r="G5303" i="15"/>
  <c r="J5302" i="15"/>
  <c r="I5302" i="15"/>
  <c r="H5302" i="15"/>
  <c r="G5302" i="15"/>
  <c r="J5301" i="15"/>
  <c r="I5301" i="15"/>
  <c r="H5301" i="15"/>
  <c r="G5301" i="15"/>
  <c r="J5300" i="15"/>
  <c r="I5300" i="15"/>
  <c r="H5300" i="15"/>
  <c r="G5300" i="15"/>
  <c r="J5299" i="15"/>
  <c r="I5299" i="15"/>
  <c r="H5299" i="15"/>
  <c r="G5299" i="15"/>
  <c r="J5298" i="15"/>
  <c r="I5298" i="15"/>
  <c r="H5298" i="15"/>
  <c r="G5298" i="15"/>
  <c r="J5297" i="15"/>
  <c r="I5297" i="15"/>
  <c r="H5297" i="15"/>
  <c r="G5297" i="15"/>
  <c r="J5296" i="15"/>
  <c r="I5296" i="15"/>
  <c r="H5296" i="15"/>
  <c r="G5296" i="15"/>
  <c r="J5295" i="15"/>
  <c r="I5295" i="15"/>
  <c r="H5295" i="15"/>
  <c r="G5295" i="15"/>
  <c r="J5294" i="15"/>
  <c r="I5294" i="15"/>
  <c r="H5294" i="15"/>
  <c r="G5294" i="15"/>
  <c r="J5293" i="15"/>
  <c r="I5293" i="15"/>
  <c r="H5293" i="15"/>
  <c r="G5293" i="15"/>
  <c r="J5292" i="15"/>
  <c r="I5292" i="15"/>
  <c r="H5292" i="15"/>
  <c r="G5292" i="15"/>
  <c r="J5291" i="15"/>
  <c r="I5291" i="15"/>
  <c r="H5291" i="15"/>
  <c r="G5291" i="15"/>
  <c r="J5290" i="15"/>
  <c r="I5290" i="15"/>
  <c r="H5290" i="15"/>
  <c r="G5290" i="15"/>
  <c r="J5289" i="15"/>
  <c r="I5289" i="15"/>
  <c r="H5289" i="15"/>
  <c r="G5289" i="15"/>
  <c r="J5288" i="15"/>
  <c r="I5288" i="15"/>
  <c r="H5288" i="15"/>
  <c r="G5288" i="15"/>
  <c r="J5287" i="15"/>
  <c r="I5287" i="15"/>
  <c r="H5287" i="15"/>
  <c r="G5287" i="15"/>
  <c r="J5286" i="15"/>
  <c r="I5286" i="15"/>
  <c r="H5286" i="15"/>
  <c r="G5286" i="15"/>
  <c r="J5285" i="15"/>
  <c r="I5285" i="15"/>
  <c r="H5285" i="15"/>
  <c r="G5285" i="15"/>
  <c r="J5284" i="15"/>
  <c r="I5284" i="15"/>
  <c r="H5284" i="15"/>
  <c r="G5284" i="15"/>
  <c r="J5283" i="15"/>
  <c r="I5283" i="15"/>
  <c r="H5283" i="15"/>
  <c r="G5283" i="15"/>
  <c r="J5282" i="15"/>
  <c r="I5282" i="15"/>
  <c r="H5282" i="15"/>
  <c r="G5282" i="15"/>
  <c r="J5281" i="15"/>
  <c r="I5281" i="15"/>
  <c r="H5281" i="15"/>
  <c r="G5281" i="15"/>
  <c r="J5280" i="15"/>
  <c r="I5280" i="15"/>
  <c r="H5280" i="15"/>
  <c r="G5280" i="15"/>
  <c r="J5279" i="15"/>
  <c r="I5279" i="15"/>
  <c r="H5279" i="15"/>
  <c r="G5279" i="15"/>
  <c r="J5278" i="15"/>
  <c r="I5278" i="15"/>
  <c r="H5278" i="15"/>
  <c r="G5278" i="15"/>
  <c r="J5277" i="15"/>
  <c r="I5277" i="15"/>
  <c r="H5277" i="15"/>
  <c r="G5277" i="15"/>
  <c r="J5276" i="15"/>
  <c r="I5276" i="15"/>
  <c r="H5276" i="15"/>
  <c r="G5276" i="15"/>
  <c r="J5275" i="15"/>
  <c r="I5275" i="15"/>
  <c r="H5275" i="15"/>
  <c r="G5275" i="15"/>
  <c r="J5274" i="15"/>
  <c r="I5274" i="15"/>
  <c r="H5274" i="15"/>
  <c r="G5274" i="15"/>
  <c r="J5273" i="15"/>
  <c r="I5273" i="15"/>
  <c r="H5273" i="15"/>
  <c r="G5273" i="15"/>
  <c r="J5272" i="15"/>
  <c r="I5272" i="15"/>
  <c r="H5272" i="15"/>
  <c r="G5272" i="15"/>
  <c r="J5271" i="15"/>
  <c r="I5271" i="15"/>
  <c r="H5271" i="15"/>
  <c r="G5271" i="15"/>
  <c r="J5270" i="15"/>
  <c r="I5270" i="15"/>
  <c r="H5270" i="15"/>
  <c r="G5270" i="15"/>
  <c r="J5269" i="15"/>
  <c r="I5269" i="15"/>
  <c r="H5269" i="15"/>
  <c r="G5269" i="15"/>
  <c r="J5268" i="15"/>
  <c r="I5268" i="15"/>
  <c r="H5268" i="15"/>
  <c r="G5268" i="15"/>
  <c r="J5267" i="15"/>
  <c r="I5267" i="15"/>
  <c r="H5267" i="15"/>
  <c r="G5267" i="15"/>
  <c r="J5266" i="15"/>
  <c r="I5266" i="15"/>
  <c r="H5266" i="15"/>
  <c r="G5266" i="15"/>
  <c r="J5265" i="15"/>
  <c r="I5265" i="15"/>
  <c r="H5265" i="15"/>
  <c r="G5265" i="15"/>
  <c r="J5264" i="15"/>
  <c r="I5264" i="15"/>
  <c r="H5264" i="15"/>
  <c r="G5264" i="15"/>
  <c r="J5263" i="15"/>
  <c r="I5263" i="15"/>
  <c r="H5263" i="15"/>
  <c r="G5263" i="15"/>
  <c r="J5262" i="15"/>
  <c r="I5262" i="15"/>
  <c r="H5262" i="15"/>
  <c r="G5262" i="15"/>
  <c r="J5261" i="15"/>
  <c r="I5261" i="15"/>
  <c r="H5261" i="15"/>
  <c r="G5261" i="15"/>
  <c r="J5260" i="15"/>
  <c r="I5260" i="15"/>
  <c r="H5260" i="15"/>
  <c r="G5260" i="15"/>
  <c r="J5259" i="15"/>
  <c r="I5259" i="15"/>
  <c r="H5259" i="15"/>
  <c r="G5259" i="15"/>
  <c r="J5258" i="15"/>
  <c r="I5258" i="15"/>
  <c r="H5258" i="15"/>
  <c r="G5258" i="15"/>
  <c r="J5257" i="15"/>
  <c r="I5257" i="15"/>
  <c r="H5257" i="15"/>
  <c r="G5257" i="15"/>
  <c r="J5256" i="15"/>
  <c r="I5256" i="15"/>
  <c r="H5256" i="15"/>
  <c r="G5256" i="15"/>
  <c r="J5255" i="15"/>
  <c r="I5255" i="15"/>
  <c r="H5255" i="15"/>
  <c r="G5255" i="15"/>
  <c r="J5254" i="15"/>
  <c r="I5254" i="15"/>
  <c r="H5254" i="15"/>
  <c r="G5254" i="15"/>
  <c r="J5253" i="15"/>
  <c r="I5253" i="15"/>
  <c r="H5253" i="15"/>
  <c r="G5253" i="15"/>
  <c r="J5252" i="15"/>
  <c r="I5252" i="15"/>
  <c r="H5252" i="15"/>
  <c r="G5252" i="15"/>
  <c r="J5251" i="15"/>
  <c r="I5251" i="15"/>
  <c r="H5251" i="15"/>
  <c r="G5251" i="15"/>
  <c r="J5250" i="15"/>
  <c r="I5250" i="15"/>
  <c r="H5250" i="15"/>
  <c r="G5250" i="15"/>
  <c r="J5249" i="15"/>
  <c r="I5249" i="15"/>
  <c r="H5249" i="15"/>
  <c r="G5249" i="15"/>
  <c r="J5248" i="15"/>
  <c r="I5248" i="15"/>
  <c r="H5248" i="15"/>
  <c r="G5248" i="15"/>
  <c r="J5247" i="15"/>
  <c r="I5247" i="15"/>
  <c r="H5247" i="15"/>
  <c r="G5247" i="15"/>
  <c r="J5246" i="15"/>
  <c r="I5246" i="15"/>
  <c r="H5246" i="15"/>
  <c r="G5246" i="15"/>
  <c r="J5245" i="15"/>
  <c r="I5245" i="15"/>
  <c r="H5245" i="15"/>
  <c r="G5245" i="15"/>
  <c r="J5244" i="15"/>
  <c r="I5244" i="15"/>
  <c r="H5244" i="15"/>
  <c r="G5244" i="15"/>
  <c r="J5243" i="15"/>
  <c r="I5243" i="15"/>
  <c r="H5243" i="15"/>
  <c r="G5243" i="15"/>
  <c r="J5242" i="15"/>
  <c r="I5242" i="15"/>
  <c r="H5242" i="15"/>
  <c r="G5242" i="15"/>
  <c r="J5241" i="15"/>
  <c r="I5241" i="15"/>
  <c r="H5241" i="15"/>
  <c r="G5241" i="15"/>
  <c r="J5240" i="15"/>
  <c r="I5240" i="15"/>
  <c r="H5240" i="15"/>
  <c r="G5240" i="15"/>
  <c r="J5239" i="15"/>
  <c r="I5239" i="15"/>
  <c r="H5239" i="15"/>
  <c r="G5239" i="15"/>
  <c r="J5238" i="15"/>
  <c r="I5238" i="15"/>
  <c r="H5238" i="15"/>
  <c r="G5238" i="15"/>
  <c r="J5237" i="15"/>
  <c r="I5237" i="15"/>
  <c r="H5237" i="15"/>
  <c r="G5237" i="15"/>
  <c r="J5236" i="15"/>
  <c r="I5236" i="15"/>
  <c r="H5236" i="15"/>
  <c r="G5236" i="15"/>
  <c r="J5235" i="15"/>
  <c r="I5235" i="15"/>
  <c r="H5235" i="15"/>
  <c r="G5235" i="15"/>
  <c r="J5234" i="15"/>
  <c r="I5234" i="15"/>
  <c r="H5234" i="15"/>
  <c r="G5234" i="15"/>
  <c r="J5233" i="15"/>
  <c r="I5233" i="15"/>
  <c r="H5233" i="15"/>
  <c r="G5233" i="15"/>
  <c r="J5232" i="15"/>
  <c r="I5232" i="15"/>
  <c r="H5232" i="15"/>
  <c r="G5232" i="15"/>
  <c r="J5231" i="15"/>
  <c r="I5231" i="15"/>
  <c r="H5231" i="15"/>
  <c r="G5231" i="15"/>
  <c r="J5230" i="15"/>
  <c r="I5230" i="15"/>
  <c r="H5230" i="15"/>
  <c r="G5230" i="15"/>
  <c r="J5229" i="15"/>
  <c r="I5229" i="15"/>
  <c r="H5229" i="15"/>
  <c r="G5229" i="15"/>
  <c r="J5228" i="15"/>
  <c r="I5228" i="15"/>
  <c r="H5228" i="15"/>
  <c r="G5228" i="15"/>
  <c r="J5227" i="15"/>
  <c r="I5227" i="15"/>
  <c r="H5227" i="15"/>
  <c r="G5227" i="15"/>
  <c r="J5226" i="15"/>
  <c r="I5226" i="15"/>
  <c r="H5226" i="15"/>
  <c r="G5226" i="15"/>
  <c r="J5225" i="15"/>
  <c r="I5225" i="15"/>
  <c r="H5225" i="15"/>
  <c r="G5225" i="15"/>
  <c r="J5224" i="15"/>
  <c r="I5224" i="15"/>
  <c r="H5224" i="15"/>
  <c r="G5224" i="15"/>
  <c r="J5223" i="15"/>
  <c r="I5223" i="15"/>
  <c r="H5223" i="15"/>
  <c r="G5223" i="15"/>
  <c r="J5222" i="15"/>
  <c r="I5222" i="15"/>
  <c r="H5222" i="15"/>
  <c r="G5222" i="15"/>
  <c r="J5221" i="15"/>
  <c r="I5221" i="15"/>
  <c r="H5221" i="15"/>
  <c r="G5221" i="15"/>
  <c r="J5220" i="15"/>
  <c r="I5220" i="15"/>
  <c r="H5220" i="15"/>
  <c r="G5220" i="15"/>
  <c r="J5219" i="15"/>
  <c r="I5219" i="15"/>
  <c r="H5219" i="15"/>
  <c r="G5219" i="15"/>
  <c r="J5218" i="15"/>
  <c r="I5218" i="15"/>
  <c r="H5218" i="15"/>
  <c r="G5218" i="15"/>
  <c r="J5217" i="15"/>
  <c r="I5217" i="15"/>
  <c r="H5217" i="15"/>
  <c r="G5217" i="15"/>
  <c r="J5216" i="15"/>
  <c r="I5216" i="15"/>
  <c r="H5216" i="15"/>
  <c r="G5216" i="15"/>
  <c r="J5215" i="15"/>
  <c r="I5215" i="15"/>
  <c r="H5215" i="15"/>
  <c r="G5215" i="15"/>
  <c r="J5214" i="15"/>
  <c r="I5214" i="15"/>
  <c r="H5214" i="15"/>
  <c r="G5214" i="15"/>
  <c r="J5213" i="15"/>
  <c r="I5213" i="15"/>
  <c r="H5213" i="15"/>
  <c r="G5213" i="15"/>
  <c r="J5212" i="15"/>
  <c r="I5212" i="15"/>
  <c r="H5212" i="15"/>
  <c r="G5212" i="15"/>
  <c r="J5211" i="15"/>
  <c r="I5211" i="15"/>
  <c r="H5211" i="15"/>
  <c r="G5211" i="15"/>
  <c r="J5210" i="15"/>
  <c r="I5210" i="15"/>
  <c r="H5210" i="15"/>
  <c r="G5210" i="15"/>
  <c r="J5209" i="15"/>
  <c r="I5209" i="15"/>
  <c r="H5209" i="15"/>
  <c r="G5209" i="15"/>
  <c r="J5208" i="15"/>
  <c r="I5208" i="15"/>
  <c r="H5208" i="15"/>
  <c r="G5208" i="15"/>
  <c r="J5207" i="15"/>
  <c r="I5207" i="15"/>
  <c r="H5207" i="15"/>
  <c r="G5207" i="15"/>
  <c r="J5206" i="15"/>
  <c r="I5206" i="15"/>
  <c r="H5206" i="15"/>
  <c r="G5206" i="15"/>
  <c r="J5205" i="15"/>
  <c r="I5205" i="15"/>
  <c r="H5205" i="15"/>
  <c r="G5205" i="15"/>
  <c r="J5204" i="15"/>
  <c r="I5204" i="15"/>
  <c r="H5204" i="15"/>
  <c r="G5204" i="15"/>
  <c r="J5203" i="15"/>
  <c r="I5203" i="15"/>
  <c r="H5203" i="15"/>
  <c r="G5203" i="15"/>
  <c r="J5202" i="15"/>
  <c r="I5202" i="15"/>
  <c r="H5202" i="15"/>
  <c r="G5202" i="15"/>
  <c r="J5201" i="15"/>
  <c r="I5201" i="15"/>
  <c r="H5201" i="15"/>
  <c r="G5201" i="15"/>
  <c r="J5200" i="15"/>
  <c r="I5200" i="15"/>
  <c r="H5200" i="15"/>
  <c r="G5200" i="15"/>
  <c r="J5199" i="15"/>
  <c r="I5199" i="15"/>
  <c r="H5199" i="15"/>
  <c r="G5199" i="15"/>
  <c r="J5198" i="15"/>
  <c r="I5198" i="15"/>
  <c r="H5198" i="15"/>
  <c r="G5198" i="15"/>
  <c r="J5197" i="15"/>
  <c r="I5197" i="15"/>
  <c r="H5197" i="15"/>
  <c r="G5197" i="15"/>
  <c r="J5196" i="15"/>
  <c r="I5196" i="15"/>
  <c r="H5196" i="15"/>
  <c r="G5196" i="15"/>
  <c r="J5195" i="15"/>
  <c r="I5195" i="15"/>
  <c r="H5195" i="15"/>
  <c r="G5195" i="15"/>
  <c r="J5194" i="15"/>
  <c r="I5194" i="15"/>
  <c r="H5194" i="15"/>
  <c r="G5194" i="15"/>
  <c r="J5193" i="15"/>
  <c r="I5193" i="15"/>
  <c r="H5193" i="15"/>
  <c r="G5193" i="15"/>
  <c r="J5192" i="15"/>
  <c r="I5192" i="15"/>
  <c r="H5192" i="15"/>
  <c r="G5192" i="15"/>
  <c r="J5191" i="15"/>
  <c r="I5191" i="15"/>
  <c r="H5191" i="15"/>
  <c r="G5191" i="15"/>
  <c r="J5190" i="15"/>
  <c r="I5190" i="15"/>
  <c r="H5190" i="15"/>
  <c r="G5190" i="15"/>
  <c r="J5189" i="15"/>
  <c r="I5189" i="15"/>
  <c r="H5189" i="15"/>
  <c r="G5189" i="15"/>
  <c r="J5188" i="15"/>
  <c r="I5188" i="15"/>
  <c r="H5188" i="15"/>
  <c r="G5188" i="15"/>
  <c r="J5187" i="15"/>
  <c r="I5187" i="15"/>
  <c r="H5187" i="15"/>
  <c r="G5187" i="15"/>
  <c r="J5186" i="15"/>
  <c r="H5186" i="15"/>
  <c r="G5186" i="15"/>
  <c r="I5186" i="15" s="1"/>
  <c r="J5185" i="15"/>
  <c r="I5185" i="15"/>
  <c r="H5185" i="15"/>
  <c r="G5185" i="15"/>
  <c r="J5184" i="15"/>
  <c r="H5184" i="15"/>
  <c r="G5184" i="15"/>
  <c r="I5184" i="15" s="1"/>
  <c r="J5183" i="15"/>
  <c r="I5183" i="15"/>
  <c r="H5183" i="15"/>
  <c r="G5183" i="15"/>
  <c r="J5182" i="15"/>
  <c r="H5182" i="15"/>
  <c r="G5182" i="15"/>
  <c r="I5182" i="15" s="1"/>
  <c r="J5181" i="15"/>
  <c r="I5181" i="15"/>
  <c r="H5181" i="15"/>
  <c r="G5181" i="15"/>
  <c r="J5180" i="15"/>
  <c r="H5180" i="15"/>
  <c r="G5180" i="15"/>
  <c r="I5180" i="15" s="1"/>
  <c r="J5179" i="15"/>
  <c r="I5179" i="15"/>
  <c r="H5179" i="15"/>
  <c r="G5179" i="15"/>
  <c r="J5178" i="15"/>
  <c r="H5178" i="15"/>
  <c r="G5178" i="15"/>
  <c r="I5178" i="15" s="1"/>
  <c r="J5177" i="15"/>
  <c r="I5177" i="15"/>
  <c r="H5177" i="15"/>
  <c r="G5177" i="15"/>
  <c r="J5176" i="15"/>
  <c r="H5176" i="15"/>
  <c r="G5176" i="15"/>
  <c r="I5176" i="15" s="1"/>
  <c r="J5175" i="15"/>
  <c r="I5175" i="15"/>
  <c r="H5175" i="15"/>
  <c r="G5175" i="15"/>
  <c r="J5174" i="15"/>
  <c r="H5174" i="15"/>
  <c r="G5174" i="15"/>
  <c r="I5174" i="15" s="1"/>
  <c r="J5173" i="15"/>
  <c r="I5173" i="15"/>
  <c r="H5173" i="15"/>
  <c r="G5173" i="15"/>
  <c r="J5172" i="15"/>
  <c r="H5172" i="15"/>
  <c r="G5172" i="15"/>
  <c r="I5172" i="15" s="1"/>
  <c r="J5171" i="15"/>
  <c r="I5171" i="15"/>
  <c r="H5171" i="15"/>
  <c r="G5171" i="15"/>
  <c r="J5170" i="15"/>
  <c r="H5170" i="15"/>
  <c r="G5170" i="15"/>
  <c r="I5170" i="15" s="1"/>
  <c r="J5169" i="15"/>
  <c r="I5169" i="15"/>
  <c r="H5169" i="15"/>
  <c r="G5169" i="15"/>
  <c r="J5168" i="15"/>
  <c r="H5168" i="15"/>
  <c r="G5168" i="15"/>
  <c r="I5168" i="15" s="1"/>
  <c r="J5167" i="15"/>
  <c r="I5167" i="15"/>
  <c r="H5167" i="15"/>
  <c r="G5167" i="15"/>
  <c r="J5166" i="15"/>
  <c r="H5166" i="15"/>
  <c r="G5166" i="15"/>
  <c r="I5166" i="15" s="1"/>
  <c r="J5165" i="15"/>
  <c r="I5165" i="15"/>
  <c r="H5165" i="15"/>
  <c r="G5165" i="15"/>
  <c r="J5164" i="15"/>
  <c r="H5164" i="15"/>
  <c r="G5164" i="15"/>
  <c r="I5164" i="15" s="1"/>
  <c r="J5163" i="15"/>
  <c r="I5163" i="15"/>
  <c r="H5163" i="15"/>
  <c r="G5163" i="15"/>
  <c r="J5162" i="15"/>
  <c r="H5162" i="15"/>
  <c r="G5162" i="15"/>
  <c r="I5162" i="15" s="1"/>
  <c r="J5161" i="15"/>
  <c r="I5161" i="15"/>
  <c r="H5161" i="15"/>
  <c r="G5161" i="15"/>
  <c r="J5160" i="15"/>
  <c r="H5160" i="15"/>
  <c r="G5160" i="15"/>
  <c r="I5160" i="15" s="1"/>
  <c r="J5159" i="15"/>
  <c r="I5159" i="15"/>
  <c r="H5159" i="15"/>
  <c r="G5159" i="15"/>
  <c r="J5158" i="15"/>
  <c r="H5158" i="15"/>
  <c r="G5158" i="15"/>
  <c r="I5158" i="15" s="1"/>
  <c r="J5157" i="15"/>
  <c r="I5157" i="15"/>
  <c r="H5157" i="15"/>
  <c r="G5157" i="15"/>
  <c r="J5156" i="15"/>
  <c r="H5156" i="15"/>
  <c r="G5156" i="15"/>
  <c r="I5156" i="15" s="1"/>
  <c r="J5155" i="15"/>
  <c r="I5155" i="15"/>
  <c r="H5155" i="15"/>
  <c r="G5155" i="15"/>
  <c r="J5154" i="15"/>
  <c r="H5154" i="15"/>
  <c r="G5154" i="15"/>
  <c r="I5154" i="15" s="1"/>
  <c r="J5153" i="15"/>
  <c r="I5153" i="15"/>
  <c r="H5153" i="15"/>
  <c r="G5153" i="15"/>
  <c r="J5152" i="15"/>
  <c r="H5152" i="15"/>
  <c r="G5152" i="15"/>
  <c r="I5152" i="15" s="1"/>
  <c r="J5151" i="15"/>
  <c r="I5151" i="15"/>
  <c r="H5151" i="15"/>
  <c r="G5151" i="15"/>
  <c r="J5150" i="15"/>
  <c r="H5150" i="15"/>
  <c r="G5150" i="15"/>
  <c r="I5150" i="15" s="1"/>
  <c r="J5149" i="15"/>
  <c r="I5149" i="15"/>
  <c r="H5149" i="15"/>
  <c r="G5149" i="15"/>
  <c r="J5148" i="15"/>
  <c r="H5148" i="15"/>
  <c r="G5148" i="15"/>
  <c r="I5148" i="15" s="1"/>
  <c r="J5147" i="15"/>
  <c r="I5147" i="15"/>
  <c r="H5147" i="15"/>
  <c r="G5147" i="15"/>
  <c r="J5146" i="15"/>
  <c r="H5146" i="15"/>
  <c r="G5146" i="15"/>
  <c r="I5146" i="15" s="1"/>
  <c r="J5145" i="15"/>
  <c r="I5145" i="15"/>
  <c r="H5145" i="15"/>
  <c r="G5145" i="15"/>
  <c r="J5144" i="15"/>
  <c r="H5144" i="15"/>
  <c r="G5144" i="15"/>
  <c r="I5144" i="15" s="1"/>
  <c r="J5143" i="15"/>
  <c r="I5143" i="15"/>
  <c r="H5143" i="15"/>
  <c r="G5143" i="15"/>
  <c r="J5142" i="15"/>
  <c r="H5142" i="15"/>
  <c r="G5142" i="15"/>
  <c r="I5142" i="15" s="1"/>
  <c r="J5141" i="15"/>
  <c r="I5141" i="15"/>
  <c r="H5141" i="15"/>
  <c r="G5141" i="15"/>
  <c r="J5140" i="15"/>
  <c r="H5140" i="15"/>
  <c r="G5140" i="15"/>
  <c r="I5140" i="15" s="1"/>
  <c r="J5139" i="15"/>
  <c r="I5139" i="15"/>
  <c r="H5139" i="15"/>
  <c r="G5139" i="15"/>
  <c r="J5138" i="15"/>
  <c r="H5138" i="15"/>
  <c r="G5138" i="15"/>
  <c r="I5138" i="15" s="1"/>
  <c r="J5137" i="15"/>
  <c r="I5137" i="15"/>
  <c r="H5137" i="15"/>
  <c r="G5137" i="15"/>
  <c r="J5136" i="15"/>
  <c r="H5136" i="15"/>
  <c r="G5136" i="15"/>
  <c r="I5136" i="15" s="1"/>
  <c r="J5135" i="15"/>
  <c r="I5135" i="15"/>
  <c r="H5135" i="15"/>
  <c r="G5135" i="15"/>
  <c r="J5134" i="15"/>
  <c r="H5134" i="15"/>
  <c r="G5134" i="15"/>
  <c r="I5134" i="15" s="1"/>
  <c r="J5133" i="15"/>
  <c r="I5133" i="15"/>
  <c r="H5133" i="15"/>
  <c r="G5133" i="15"/>
  <c r="J5132" i="15"/>
  <c r="H5132" i="15"/>
  <c r="G5132" i="15"/>
  <c r="I5132" i="15" s="1"/>
  <c r="J5131" i="15"/>
  <c r="I5131" i="15"/>
  <c r="H5131" i="15"/>
  <c r="G5131" i="15"/>
  <c r="J5130" i="15"/>
  <c r="H5130" i="15"/>
  <c r="G5130" i="15"/>
  <c r="I5130" i="15" s="1"/>
  <c r="J5129" i="15"/>
  <c r="I5129" i="15"/>
  <c r="H5129" i="15"/>
  <c r="G5129" i="15"/>
  <c r="J5128" i="15"/>
  <c r="H5128" i="15"/>
  <c r="G5128" i="15"/>
  <c r="I5128" i="15" s="1"/>
  <c r="J5127" i="15"/>
  <c r="I5127" i="15"/>
  <c r="H5127" i="15"/>
  <c r="G5127" i="15"/>
  <c r="J5126" i="15"/>
  <c r="H5126" i="15"/>
  <c r="G5126" i="15"/>
  <c r="I5126" i="15" s="1"/>
  <c r="J5125" i="15"/>
  <c r="I5125" i="15"/>
  <c r="H5125" i="15"/>
  <c r="G5125" i="15"/>
  <c r="J5124" i="15"/>
  <c r="H5124" i="15"/>
  <c r="G5124" i="15"/>
  <c r="I5124" i="15" s="1"/>
  <c r="J5123" i="15"/>
  <c r="I5123" i="15"/>
  <c r="H5123" i="15"/>
  <c r="G5123" i="15"/>
  <c r="J5122" i="15"/>
  <c r="H5122" i="15"/>
  <c r="G5122" i="15"/>
  <c r="I5122" i="15" s="1"/>
  <c r="J5121" i="15"/>
  <c r="I5121" i="15"/>
  <c r="H5121" i="15"/>
  <c r="G5121" i="15"/>
  <c r="J5120" i="15"/>
  <c r="H5120" i="15"/>
  <c r="G5120" i="15"/>
  <c r="I5120" i="15" s="1"/>
  <c r="J5119" i="15"/>
  <c r="I5119" i="15"/>
  <c r="H5119" i="15"/>
  <c r="G5119" i="15"/>
  <c r="J5118" i="15"/>
  <c r="H5118" i="15"/>
  <c r="G5118" i="15"/>
  <c r="I5118" i="15" s="1"/>
  <c r="J5117" i="15"/>
  <c r="I5117" i="15"/>
  <c r="H5117" i="15"/>
  <c r="G5117" i="15"/>
  <c r="J5116" i="15"/>
  <c r="H5116" i="15"/>
  <c r="G5116" i="15"/>
  <c r="I5116" i="15" s="1"/>
  <c r="J5115" i="15"/>
  <c r="I5115" i="15"/>
  <c r="H5115" i="15"/>
  <c r="G5115" i="15"/>
  <c r="J5114" i="15"/>
  <c r="H5114" i="15"/>
  <c r="G5114" i="15"/>
  <c r="I5114" i="15" s="1"/>
  <c r="J5113" i="15"/>
  <c r="I5113" i="15"/>
  <c r="H5113" i="15"/>
  <c r="G5113" i="15"/>
  <c r="J5112" i="15"/>
  <c r="H5112" i="15"/>
  <c r="G5112" i="15"/>
  <c r="I5112" i="15" s="1"/>
  <c r="J5111" i="15"/>
  <c r="I5111" i="15"/>
  <c r="H5111" i="15"/>
  <c r="G5111" i="15"/>
  <c r="J5110" i="15"/>
  <c r="H5110" i="15"/>
  <c r="G5110" i="15"/>
  <c r="I5110" i="15" s="1"/>
  <c r="J5109" i="15"/>
  <c r="I5109" i="15"/>
  <c r="H5109" i="15"/>
  <c r="G5109" i="15"/>
  <c r="J5108" i="15"/>
  <c r="H5108" i="15"/>
  <c r="G5108" i="15"/>
  <c r="I5108" i="15" s="1"/>
  <c r="J5107" i="15"/>
  <c r="I5107" i="15"/>
  <c r="H5107" i="15"/>
  <c r="G5107" i="15"/>
  <c r="J5106" i="15"/>
  <c r="H5106" i="15"/>
  <c r="G5106" i="15"/>
  <c r="I5106" i="15" s="1"/>
  <c r="J5105" i="15"/>
  <c r="I5105" i="15"/>
  <c r="H5105" i="15"/>
  <c r="G5105" i="15"/>
  <c r="J5104" i="15"/>
  <c r="H5104" i="15"/>
  <c r="G5104" i="15"/>
  <c r="I5104" i="15" s="1"/>
  <c r="J5103" i="15"/>
  <c r="I5103" i="15"/>
  <c r="H5103" i="15"/>
  <c r="G5103" i="15"/>
  <c r="J5102" i="15"/>
  <c r="H5102" i="15"/>
  <c r="G5102" i="15"/>
  <c r="I5102" i="15" s="1"/>
  <c r="J5101" i="15"/>
  <c r="I5101" i="15"/>
  <c r="H5101" i="15"/>
  <c r="G5101" i="15"/>
  <c r="J5100" i="15"/>
  <c r="H5100" i="15"/>
  <c r="G5100" i="15"/>
  <c r="I5100" i="15" s="1"/>
  <c r="J5099" i="15"/>
  <c r="I5099" i="15"/>
  <c r="H5099" i="15"/>
  <c r="G5099" i="15"/>
  <c r="J5098" i="15"/>
  <c r="H5098" i="15"/>
  <c r="G5098" i="15"/>
  <c r="I5098" i="15" s="1"/>
  <c r="J5097" i="15"/>
  <c r="I5097" i="15"/>
  <c r="H5097" i="15"/>
  <c r="G5097" i="15"/>
  <c r="J5096" i="15"/>
  <c r="H5096" i="15"/>
  <c r="G5096" i="15"/>
  <c r="I5096" i="15" s="1"/>
  <c r="J5095" i="15"/>
  <c r="I5095" i="15"/>
  <c r="H5095" i="15"/>
  <c r="G5095" i="15"/>
  <c r="J5094" i="15"/>
  <c r="H5094" i="15"/>
  <c r="G5094" i="15"/>
  <c r="I5094" i="15" s="1"/>
  <c r="J5093" i="15"/>
  <c r="I5093" i="15"/>
  <c r="H5093" i="15"/>
  <c r="G5093" i="15"/>
  <c r="J5092" i="15"/>
  <c r="H5092" i="15"/>
  <c r="G5092" i="15"/>
  <c r="I5092" i="15" s="1"/>
  <c r="J5091" i="15"/>
  <c r="I5091" i="15"/>
  <c r="H5091" i="15"/>
  <c r="G5091" i="15"/>
  <c r="J5090" i="15"/>
  <c r="H5090" i="15"/>
  <c r="G5090" i="15"/>
  <c r="I5090" i="15" s="1"/>
  <c r="J5089" i="15"/>
  <c r="I5089" i="15"/>
  <c r="H5089" i="15"/>
  <c r="G5089" i="15"/>
  <c r="J5088" i="15"/>
  <c r="H5088" i="15"/>
  <c r="G5088" i="15"/>
  <c r="I5088" i="15" s="1"/>
  <c r="J5087" i="15"/>
  <c r="I5087" i="15"/>
  <c r="H5087" i="15"/>
  <c r="G5087" i="15"/>
  <c r="J5086" i="15"/>
  <c r="H5086" i="15"/>
  <c r="G5086" i="15"/>
  <c r="I5086" i="15" s="1"/>
  <c r="J5085" i="15"/>
  <c r="I5085" i="15"/>
  <c r="H5085" i="15"/>
  <c r="G5085" i="15"/>
  <c r="J5084" i="15"/>
  <c r="H5084" i="15"/>
  <c r="G5084" i="15"/>
  <c r="I5084" i="15" s="1"/>
  <c r="J5083" i="15"/>
  <c r="I5083" i="15"/>
  <c r="H5083" i="15"/>
  <c r="G5083" i="15"/>
  <c r="J5082" i="15"/>
  <c r="H5082" i="15"/>
  <c r="G5082" i="15"/>
  <c r="I5082" i="15" s="1"/>
  <c r="J5081" i="15"/>
  <c r="I5081" i="15"/>
  <c r="H5081" i="15"/>
  <c r="G5081" i="15"/>
  <c r="J5080" i="15"/>
  <c r="H5080" i="15"/>
  <c r="G5080" i="15"/>
  <c r="I5080" i="15" s="1"/>
  <c r="J5079" i="15"/>
  <c r="I5079" i="15"/>
  <c r="H5079" i="15"/>
  <c r="G5079" i="15"/>
  <c r="J5078" i="15"/>
  <c r="H5078" i="15"/>
  <c r="G5078" i="15"/>
  <c r="I5078" i="15" s="1"/>
  <c r="J5077" i="15"/>
  <c r="I5077" i="15"/>
  <c r="H5077" i="15"/>
  <c r="G5077" i="15"/>
  <c r="J5076" i="15"/>
  <c r="H5076" i="15"/>
  <c r="G5076" i="15"/>
  <c r="I5076" i="15" s="1"/>
  <c r="J5075" i="15"/>
  <c r="I5075" i="15"/>
  <c r="H5075" i="15"/>
  <c r="G5075" i="15"/>
  <c r="J5074" i="15"/>
  <c r="H5074" i="15"/>
  <c r="G5074" i="15"/>
  <c r="I5074" i="15" s="1"/>
  <c r="J5073" i="15"/>
  <c r="I5073" i="15"/>
  <c r="H5073" i="15"/>
  <c r="G5073" i="15"/>
  <c r="J5072" i="15"/>
  <c r="H5072" i="15"/>
  <c r="G5072" i="15"/>
  <c r="I5072" i="15" s="1"/>
  <c r="J5071" i="15"/>
  <c r="I5071" i="15"/>
  <c r="H5071" i="15"/>
  <c r="G5071" i="15"/>
  <c r="J5070" i="15"/>
  <c r="H5070" i="15"/>
  <c r="G5070" i="15"/>
  <c r="I5070" i="15" s="1"/>
  <c r="J5069" i="15"/>
  <c r="I5069" i="15"/>
  <c r="H5069" i="15"/>
  <c r="G5069" i="15"/>
  <c r="J5068" i="15"/>
  <c r="H5068" i="15"/>
  <c r="G5068" i="15"/>
  <c r="I5068" i="15" s="1"/>
  <c r="J5067" i="15"/>
  <c r="I5067" i="15"/>
  <c r="H5067" i="15"/>
  <c r="G5067" i="15"/>
  <c r="J5066" i="15"/>
  <c r="H5066" i="15"/>
  <c r="G5066" i="15"/>
  <c r="I5066" i="15" s="1"/>
  <c r="J5065" i="15"/>
  <c r="I5065" i="15"/>
  <c r="H5065" i="15"/>
  <c r="G5065" i="15"/>
  <c r="J5064" i="15"/>
  <c r="H5064" i="15"/>
  <c r="G5064" i="15"/>
  <c r="I5064" i="15" s="1"/>
  <c r="J5063" i="15"/>
  <c r="I5063" i="15"/>
  <c r="H5063" i="15"/>
  <c r="G5063" i="15"/>
  <c r="J5062" i="15"/>
  <c r="H5062" i="15"/>
  <c r="G5062" i="15"/>
  <c r="I5062" i="15" s="1"/>
  <c r="J5061" i="15"/>
  <c r="I5061" i="15"/>
  <c r="H5061" i="15"/>
  <c r="G5061" i="15"/>
  <c r="J5060" i="15"/>
  <c r="H5060" i="15"/>
  <c r="G5060" i="15"/>
  <c r="I5060" i="15" s="1"/>
  <c r="J5059" i="15"/>
  <c r="I5059" i="15"/>
  <c r="H5059" i="15"/>
  <c r="G5059" i="15"/>
  <c r="J5058" i="15"/>
  <c r="H5058" i="15"/>
  <c r="G5058" i="15"/>
  <c r="I5058" i="15" s="1"/>
  <c r="J5057" i="15"/>
  <c r="I5057" i="15"/>
  <c r="H5057" i="15"/>
  <c r="G5057" i="15"/>
  <c r="J5056" i="15"/>
  <c r="H5056" i="15"/>
  <c r="G5056" i="15"/>
  <c r="I5056" i="15" s="1"/>
  <c r="J5055" i="15"/>
  <c r="I5055" i="15"/>
  <c r="H5055" i="15"/>
  <c r="G5055" i="15"/>
  <c r="J5054" i="15"/>
  <c r="H5054" i="15"/>
  <c r="G5054" i="15"/>
  <c r="I5054" i="15" s="1"/>
  <c r="J5053" i="15"/>
  <c r="I5053" i="15"/>
  <c r="H5053" i="15"/>
  <c r="G5053" i="15"/>
  <c r="J5052" i="15"/>
  <c r="H5052" i="15"/>
  <c r="G5052" i="15"/>
  <c r="I5052" i="15" s="1"/>
  <c r="J5051" i="15"/>
  <c r="I5051" i="15"/>
  <c r="H5051" i="15"/>
  <c r="G5051" i="15"/>
  <c r="J5050" i="15"/>
  <c r="H5050" i="15"/>
  <c r="G5050" i="15"/>
  <c r="I5050" i="15" s="1"/>
  <c r="J5049" i="15"/>
  <c r="I5049" i="15"/>
  <c r="H5049" i="15"/>
  <c r="G5049" i="15"/>
  <c r="J5048" i="15"/>
  <c r="H5048" i="15"/>
  <c r="G5048" i="15"/>
  <c r="I5048" i="15" s="1"/>
  <c r="J5047" i="15"/>
  <c r="I5047" i="15"/>
  <c r="H5047" i="15"/>
  <c r="G5047" i="15"/>
  <c r="J5046" i="15"/>
  <c r="H5046" i="15"/>
  <c r="G5046" i="15"/>
  <c r="I5046" i="15" s="1"/>
  <c r="J5045" i="15"/>
  <c r="I5045" i="15"/>
  <c r="H5045" i="15"/>
  <c r="G5045" i="15"/>
  <c r="J5044" i="15"/>
  <c r="H5044" i="15"/>
  <c r="G5044" i="15"/>
  <c r="I5044" i="15" s="1"/>
  <c r="J5043" i="15"/>
  <c r="I5043" i="15"/>
  <c r="H5043" i="15"/>
  <c r="G5043" i="15"/>
  <c r="J5042" i="15"/>
  <c r="H5042" i="15"/>
  <c r="G5042" i="15"/>
  <c r="I5042" i="15" s="1"/>
  <c r="J5041" i="15"/>
  <c r="I5041" i="15"/>
  <c r="H5041" i="15"/>
  <c r="G5041" i="15"/>
  <c r="J5040" i="15"/>
  <c r="H5040" i="15"/>
  <c r="G5040" i="15"/>
  <c r="I5040" i="15" s="1"/>
  <c r="J5039" i="15"/>
  <c r="I5039" i="15"/>
  <c r="H5039" i="15"/>
  <c r="G5039" i="15"/>
  <c r="J5038" i="15"/>
  <c r="H5038" i="15"/>
  <c r="G5038" i="15"/>
  <c r="I5038" i="15" s="1"/>
  <c r="J5037" i="15"/>
  <c r="I5037" i="15"/>
  <c r="H5037" i="15"/>
  <c r="G5037" i="15"/>
  <c r="J5036" i="15"/>
  <c r="H5036" i="15"/>
  <c r="G5036" i="15"/>
  <c r="I5036" i="15" s="1"/>
  <c r="J5035" i="15"/>
  <c r="I5035" i="15"/>
  <c r="H5035" i="15"/>
  <c r="G5035" i="15"/>
  <c r="J5034" i="15"/>
  <c r="H5034" i="15"/>
  <c r="G5034" i="15"/>
  <c r="I5034" i="15" s="1"/>
  <c r="J5033" i="15"/>
  <c r="I5033" i="15"/>
  <c r="H5033" i="15"/>
  <c r="G5033" i="15"/>
  <c r="J5032" i="15"/>
  <c r="H5032" i="15"/>
  <c r="G5032" i="15"/>
  <c r="I5032" i="15" s="1"/>
  <c r="J5031" i="15"/>
  <c r="I5031" i="15"/>
  <c r="H5031" i="15"/>
  <c r="G5031" i="15"/>
  <c r="J5030" i="15"/>
  <c r="H5030" i="15"/>
  <c r="G5030" i="15"/>
  <c r="I5030" i="15" s="1"/>
  <c r="J5029" i="15"/>
  <c r="I5029" i="15"/>
  <c r="H5029" i="15"/>
  <c r="G5029" i="15"/>
  <c r="J5028" i="15"/>
  <c r="H5028" i="15"/>
  <c r="G5028" i="15"/>
  <c r="I5028" i="15" s="1"/>
  <c r="J5027" i="15"/>
  <c r="I5027" i="15"/>
  <c r="H5027" i="15"/>
  <c r="G5027" i="15"/>
  <c r="J5026" i="15"/>
  <c r="H5026" i="15"/>
  <c r="G5026" i="15"/>
  <c r="I5026" i="15" s="1"/>
  <c r="J5025" i="15"/>
  <c r="I5025" i="15"/>
  <c r="H5025" i="15"/>
  <c r="G5025" i="15"/>
  <c r="J5024" i="15"/>
  <c r="H5024" i="15"/>
  <c r="G5024" i="15"/>
  <c r="I5024" i="15" s="1"/>
  <c r="J5023" i="15"/>
  <c r="I5023" i="15"/>
  <c r="H5023" i="15"/>
  <c r="G5023" i="15"/>
  <c r="J5022" i="15"/>
  <c r="H5022" i="15"/>
  <c r="G5022" i="15"/>
  <c r="I5022" i="15" s="1"/>
  <c r="J5021" i="15"/>
  <c r="I5021" i="15"/>
  <c r="H5021" i="15"/>
  <c r="G5021" i="15"/>
  <c r="J5020" i="15"/>
  <c r="H5020" i="15"/>
  <c r="G5020" i="15"/>
  <c r="I5020" i="15" s="1"/>
  <c r="J5019" i="15"/>
  <c r="I5019" i="15"/>
  <c r="H5019" i="15"/>
  <c r="G5019" i="15"/>
  <c r="J5018" i="15"/>
  <c r="H5018" i="15"/>
  <c r="G5018" i="15"/>
  <c r="I5018" i="15" s="1"/>
  <c r="J5017" i="15"/>
  <c r="I5017" i="15"/>
  <c r="H5017" i="15"/>
  <c r="G5017" i="15"/>
  <c r="J5016" i="15"/>
  <c r="H5016" i="15"/>
  <c r="G5016" i="15"/>
  <c r="I5016" i="15" s="1"/>
  <c r="J5015" i="15"/>
  <c r="I5015" i="15"/>
  <c r="H5015" i="15"/>
  <c r="G5015" i="15"/>
  <c r="J5014" i="15"/>
  <c r="H5014" i="15"/>
  <c r="G5014" i="15"/>
  <c r="I5014" i="15" s="1"/>
  <c r="J5013" i="15"/>
  <c r="I5013" i="15"/>
  <c r="H5013" i="15"/>
  <c r="G5013" i="15"/>
  <c r="J5012" i="15"/>
  <c r="H5012" i="15"/>
  <c r="G5012" i="15"/>
  <c r="I5012" i="15" s="1"/>
  <c r="J5011" i="15"/>
  <c r="I5011" i="15"/>
  <c r="H5011" i="15"/>
  <c r="G5011" i="15"/>
  <c r="J5010" i="15"/>
  <c r="H5010" i="15"/>
  <c r="G5010" i="15"/>
  <c r="I5010" i="15" s="1"/>
  <c r="J5009" i="15"/>
  <c r="I5009" i="15"/>
  <c r="H5009" i="15"/>
  <c r="G5009" i="15"/>
  <c r="J5008" i="15"/>
  <c r="H5008" i="15"/>
  <c r="G5008" i="15"/>
  <c r="I5008" i="15" s="1"/>
  <c r="J5007" i="15"/>
  <c r="I5007" i="15"/>
  <c r="H5007" i="15"/>
  <c r="G5007" i="15"/>
  <c r="J5006" i="15"/>
  <c r="H5006" i="15"/>
  <c r="G5006" i="15"/>
  <c r="I5006" i="15" s="1"/>
  <c r="J5005" i="15"/>
  <c r="I5005" i="15"/>
  <c r="H5005" i="15"/>
  <c r="G5005" i="15"/>
  <c r="J5004" i="15"/>
  <c r="H5004" i="15"/>
  <c r="G5004" i="15"/>
  <c r="I5004" i="15" s="1"/>
  <c r="J5003" i="15"/>
  <c r="I5003" i="15"/>
  <c r="H5003" i="15"/>
  <c r="G5003" i="15"/>
  <c r="J5002" i="15"/>
  <c r="H5002" i="15"/>
  <c r="G5002" i="15"/>
  <c r="I5002" i="15" s="1"/>
  <c r="J5001" i="15"/>
  <c r="I5001" i="15"/>
  <c r="H5001" i="15"/>
  <c r="G5001" i="15"/>
  <c r="J5000" i="15"/>
  <c r="H5000" i="15"/>
  <c r="G5000" i="15"/>
  <c r="I5000" i="15" s="1"/>
  <c r="J4999" i="15"/>
  <c r="I4999" i="15"/>
  <c r="H4999" i="15"/>
  <c r="G4999" i="15"/>
  <c r="J4998" i="15"/>
  <c r="H4998" i="15"/>
  <c r="G4998" i="15"/>
  <c r="I4998" i="15" s="1"/>
  <c r="J4997" i="15"/>
  <c r="I4997" i="15"/>
  <c r="H4997" i="15"/>
  <c r="G4997" i="15"/>
  <c r="J4996" i="15"/>
  <c r="H4996" i="15"/>
  <c r="G4996" i="15"/>
  <c r="I4996" i="15" s="1"/>
  <c r="J4995" i="15"/>
  <c r="I4995" i="15"/>
  <c r="H4995" i="15"/>
  <c r="G4995" i="15"/>
  <c r="J4994" i="15"/>
  <c r="H4994" i="15"/>
  <c r="G4994" i="15"/>
  <c r="I4994" i="15" s="1"/>
  <c r="J4993" i="15"/>
  <c r="I4993" i="15"/>
  <c r="H4993" i="15"/>
  <c r="G4993" i="15"/>
  <c r="J4992" i="15"/>
  <c r="H4992" i="15"/>
  <c r="G4992" i="15"/>
  <c r="I4992" i="15" s="1"/>
  <c r="J4991" i="15"/>
  <c r="I4991" i="15"/>
  <c r="H4991" i="15"/>
  <c r="G4991" i="15"/>
  <c r="J4990" i="15"/>
  <c r="H4990" i="15"/>
  <c r="G4990" i="15"/>
  <c r="I4990" i="15" s="1"/>
  <c r="J4989" i="15"/>
  <c r="I4989" i="15"/>
  <c r="H4989" i="15"/>
  <c r="G4989" i="15"/>
  <c r="J4988" i="15"/>
  <c r="H4988" i="15"/>
  <c r="G4988" i="15"/>
  <c r="I4988" i="15" s="1"/>
  <c r="J4987" i="15"/>
  <c r="I4987" i="15"/>
  <c r="H4987" i="15"/>
  <c r="G4987" i="15"/>
  <c r="J4986" i="15"/>
  <c r="H4986" i="15"/>
  <c r="G4986" i="15"/>
  <c r="I4986" i="15" s="1"/>
  <c r="J4985" i="15"/>
  <c r="I4985" i="15"/>
  <c r="H4985" i="15"/>
  <c r="G4985" i="15"/>
  <c r="J4984" i="15"/>
  <c r="H4984" i="15"/>
  <c r="G4984" i="15"/>
  <c r="I4984" i="15" s="1"/>
  <c r="J4983" i="15"/>
  <c r="I4983" i="15"/>
  <c r="H4983" i="15"/>
  <c r="G4983" i="15"/>
  <c r="J4982" i="15"/>
  <c r="H4982" i="15"/>
  <c r="G4982" i="15"/>
  <c r="I4982" i="15" s="1"/>
  <c r="J4981" i="15"/>
  <c r="I4981" i="15"/>
  <c r="H4981" i="15"/>
  <c r="G4981" i="15"/>
  <c r="J4980" i="15"/>
  <c r="H4980" i="15"/>
  <c r="G4980" i="15"/>
  <c r="I4980" i="15" s="1"/>
  <c r="J4979" i="15"/>
  <c r="I4979" i="15"/>
  <c r="H4979" i="15"/>
  <c r="G4979" i="15"/>
  <c r="J4978" i="15"/>
  <c r="H4978" i="15"/>
  <c r="G4978" i="15"/>
  <c r="I4978" i="15" s="1"/>
  <c r="J4977" i="15"/>
  <c r="I4977" i="15"/>
  <c r="H4977" i="15"/>
  <c r="G4977" i="15"/>
  <c r="J4976" i="15"/>
  <c r="H4976" i="15"/>
  <c r="G4976" i="15"/>
  <c r="I4976" i="15" s="1"/>
  <c r="J4975" i="15"/>
  <c r="I4975" i="15"/>
  <c r="H4975" i="15"/>
  <c r="G4975" i="15"/>
  <c r="J4974" i="15"/>
  <c r="H4974" i="15"/>
  <c r="G4974" i="15"/>
  <c r="I4974" i="15" s="1"/>
  <c r="J4973" i="15"/>
  <c r="I4973" i="15"/>
  <c r="H4973" i="15"/>
  <c r="G4973" i="15"/>
  <c r="J4972" i="15"/>
  <c r="H4972" i="15"/>
  <c r="G4972" i="15"/>
  <c r="I4972" i="15" s="1"/>
  <c r="J4971" i="15"/>
  <c r="I4971" i="15"/>
  <c r="H4971" i="15"/>
  <c r="G4971" i="15"/>
  <c r="J4970" i="15"/>
  <c r="H4970" i="15"/>
  <c r="G4970" i="15"/>
  <c r="I4970" i="15" s="1"/>
  <c r="J4969" i="15"/>
  <c r="I4969" i="15"/>
  <c r="H4969" i="15"/>
  <c r="G4969" i="15"/>
  <c r="J4968" i="15"/>
  <c r="H4968" i="15"/>
  <c r="G4968" i="15"/>
  <c r="I4968" i="15" s="1"/>
  <c r="J4967" i="15"/>
  <c r="I4967" i="15"/>
  <c r="H4967" i="15"/>
  <c r="G4967" i="15"/>
  <c r="J4966" i="15"/>
  <c r="H4966" i="15"/>
  <c r="G4966" i="15"/>
  <c r="I4966" i="15" s="1"/>
  <c r="J4965" i="15"/>
  <c r="I4965" i="15"/>
  <c r="H4965" i="15"/>
  <c r="G4965" i="15"/>
  <c r="J4964" i="15"/>
  <c r="H4964" i="15"/>
  <c r="G4964" i="15"/>
  <c r="I4964" i="15" s="1"/>
  <c r="J4963" i="15"/>
  <c r="I4963" i="15"/>
  <c r="H4963" i="15"/>
  <c r="G4963" i="15"/>
  <c r="J4962" i="15"/>
  <c r="H4962" i="15"/>
  <c r="G4962" i="15"/>
  <c r="I4962" i="15" s="1"/>
  <c r="J4961" i="15"/>
  <c r="I4961" i="15"/>
  <c r="H4961" i="15"/>
  <c r="G4961" i="15"/>
  <c r="J4960" i="15"/>
  <c r="H4960" i="15"/>
  <c r="G4960" i="15"/>
  <c r="I4960" i="15" s="1"/>
  <c r="J4959" i="15"/>
  <c r="I4959" i="15"/>
  <c r="H4959" i="15"/>
  <c r="G4959" i="15"/>
  <c r="J4958" i="15"/>
  <c r="H4958" i="15"/>
  <c r="G4958" i="15"/>
  <c r="I4958" i="15" s="1"/>
  <c r="J4957" i="15"/>
  <c r="I4957" i="15"/>
  <c r="H4957" i="15"/>
  <c r="G4957" i="15"/>
  <c r="J4956" i="15"/>
  <c r="H4956" i="15"/>
  <c r="G4956" i="15"/>
  <c r="I4956" i="15" s="1"/>
  <c r="J4955" i="15"/>
  <c r="I4955" i="15"/>
  <c r="H4955" i="15"/>
  <c r="G4955" i="15"/>
  <c r="J4954" i="15"/>
  <c r="H4954" i="15"/>
  <c r="G4954" i="15"/>
  <c r="I4954" i="15" s="1"/>
  <c r="J4953" i="15"/>
  <c r="I4953" i="15"/>
  <c r="H4953" i="15"/>
  <c r="G4953" i="15"/>
  <c r="J4952" i="15"/>
  <c r="H4952" i="15"/>
  <c r="G4952" i="15"/>
  <c r="I4952" i="15" s="1"/>
  <c r="J4951" i="15"/>
  <c r="I4951" i="15"/>
  <c r="H4951" i="15"/>
  <c r="G4951" i="15"/>
  <c r="J4950" i="15"/>
  <c r="H4950" i="15"/>
  <c r="G4950" i="15"/>
  <c r="I4950" i="15" s="1"/>
  <c r="J4949" i="15"/>
  <c r="I4949" i="15"/>
  <c r="H4949" i="15"/>
  <c r="G4949" i="15"/>
  <c r="J4948" i="15"/>
  <c r="H4948" i="15"/>
  <c r="G4948" i="15"/>
  <c r="I4948" i="15" s="1"/>
  <c r="J4947" i="15"/>
  <c r="I4947" i="15"/>
  <c r="H4947" i="15"/>
  <c r="G4947" i="15"/>
  <c r="J4946" i="15"/>
  <c r="H4946" i="15"/>
  <c r="G4946" i="15"/>
  <c r="I4946" i="15" s="1"/>
  <c r="J4945" i="15"/>
  <c r="I4945" i="15"/>
  <c r="H4945" i="15"/>
  <c r="G4945" i="15"/>
  <c r="J4944" i="15"/>
  <c r="H4944" i="15"/>
  <c r="G4944" i="15"/>
  <c r="I4944" i="15" s="1"/>
  <c r="J4943" i="15"/>
  <c r="I4943" i="15"/>
  <c r="H4943" i="15"/>
  <c r="G4943" i="15"/>
  <c r="J4942" i="15"/>
  <c r="H4942" i="15"/>
  <c r="G4942" i="15"/>
  <c r="I4942" i="15" s="1"/>
  <c r="J4941" i="15"/>
  <c r="I4941" i="15"/>
  <c r="H4941" i="15"/>
  <c r="G4941" i="15"/>
  <c r="J4940" i="15"/>
  <c r="H4940" i="15"/>
  <c r="G4940" i="15"/>
  <c r="I4940" i="15" s="1"/>
  <c r="J4939" i="15"/>
  <c r="I4939" i="15"/>
  <c r="H4939" i="15"/>
  <c r="G4939" i="15"/>
  <c r="J4938" i="15"/>
  <c r="H4938" i="15"/>
  <c r="G4938" i="15"/>
  <c r="I4938" i="15" s="1"/>
  <c r="J4937" i="15"/>
  <c r="I4937" i="15"/>
  <c r="H4937" i="15"/>
  <c r="G4937" i="15"/>
  <c r="J4936" i="15"/>
  <c r="H4936" i="15"/>
  <c r="G4936" i="15"/>
  <c r="I4936" i="15" s="1"/>
  <c r="J4935" i="15"/>
  <c r="I4935" i="15"/>
  <c r="H4935" i="15"/>
  <c r="G4935" i="15"/>
  <c r="J4934" i="15"/>
  <c r="H4934" i="15"/>
  <c r="G4934" i="15"/>
  <c r="I4934" i="15" s="1"/>
  <c r="J4933" i="15"/>
  <c r="I4933" i="15"/>
  <c r="H4933" i="15"/>
  <c r="G4933" i="15"/>
  <c r="J4932" i="15"/>
  <c r="H4932" i="15"/>
  <c r="G4932" i="15"/>
  <c r="I4932" i="15" s="1"/>
  <c r="J4931" i="15"/>
  <c r="I4931" i="15"/>
  <c r="H4931" i="15"/>
  <c r="G4931" i="15"/>
  <c r="J4930" i="15"/>
  <c r="H4930" i="15"/>
  <c r="G4930" i="15"/>
  <c r="I4930" i="15" s="1"/>
  <c r="J4929" i="15"/>
  <c r="I4929" i="15"/>
  <c r="H4929" i="15"/>
  <c r="G4929" i="15"/>
  <c r="J4928" i="15"/>
  <c r="H4928" i="15"/>
  <c r="G4928" i="15"/>
  <c r="I4928" i="15" s="1"/>
  <c r="J4927" i="15"/>
  <c r="I4927" i="15"/>
  <c r="H4927" i="15"/>
  <c r="G4927" i="15"/>
  <c r="J4926" i="15"/>
  <c r="H4926" i="15"/>
  <c r="G4926" i="15"/>
  <c r="I4926" i="15" s="1"/>
  <c r="J4925" i="15"/>
  <c r="I4925" i="15"/>
  <c r="H4925" i="15"/>
  <c r="G4925" i="15"/>
  <c r="J4924" i="15"/>
  <c r="H4924" i="15"/>
  <c r="G4924" i="15"/>
  <c r="I4924" i="15" s="1"/>
  <c r="J4923" i="15"/>
  <c r="I4923" i="15"/>
  <c r="H4923" i="15"/>
  <c r="G4923" i="15"/>
  <c r="J4922" i="15"/>
  <c r="H4922" i="15"/>
  <c r="G4922" i="15"/>
  <c r="I4922" i="15" s="1"/>
  <c r="J4921" i="15"/>
  <c r="I4921" i="15"/>
  <c r="H4921" i="15"/>
  <c r="G4921" i="15"/>
  <c r="J4920" i="15"/>
  <c r="H4920" i="15"/>
  <c r="G4920" i="15"/>
  <c r="I4920" i="15" s="1"/>
  <c r="J4919" i="15"/>
  <c r="I4919" i="15"/>
  <c r="H4919" i="15"/>
  <c r="G4919" i="15"/>
  <c r="J4918" i="15"/>
  <c r="H4918" i="15"/>
  <c r="G4918" i="15"/>
  <c r="I4918" i="15" s="1"/>
  <c r="J4917" i="15"/>
  <c r="I4917" i="15"/>
  <c r="H4917" i="15"/>
  <c r="G4917" i="15"/>
  <c r="J4916" i="15"/>
  <c r="H4916" i="15"/>
  <c r="G4916" i="15"/>
  <c r="I4916" i="15" s="1"/>
  <c r="J4915" i="15"/>
  <c r="I4915" i="15"/>
  <c r="H4915" i="15"/>
  <c r="G4915" i="15"/>
  <c r="J4914" i="15"/>
  <c r="H4914" i="15"/>
  <c r="G4914" i="15"/>
  <c r="I4914" i="15" s="1"/>
  <c r="J4913" i="15"/>
  <c r="I4913" i="15"/>
  <c r="H4913" i="15"/>
  <c r="G4913" i="15"/>
  <c r="J4912" i="15"/>
  <c r="H4912" i="15"/>
  <c r="G4912" i="15"/>
  <c r="I4912" i="15" s="1"/>
  <c r="J4911" i="15"/>
  <c r="I4911" i="15"/>
  <c r="H4911" i="15"/>
  <c r="G4911" i="15"/>
  <c r="J4910" i="15"/>
  <c r="H4910" i="15"/>
  <c r="G4910" i="15"/>
  <c r="I4910" i="15" s="1"/>
  <c r="J4909" i="15"/>
  <c r="I4909" i="15"/>
  <c r="H4909" i="15"/>
  <c r="G4909" i="15"/>
  <c r="J4908" i="15"/>
  <c r="H4908" i="15"/>
  <c r="G4908" i="15"/>
  <c r="I4908" i="15" s="1"/>
  <c r="J4907" i="15"/>
  <c r="I4907" i="15"/>
  <c r="H4907" i="15"/>
  <c r="G4907" i="15"/>
  <c r="J4906" i="15"/>
  <c r="H4906" i="15"/>
  <c r="G4906" i="15"/>
  <c r="I4906" i="15" s="1"/>
  <c r="J4905" i="15"/>
  <c r="I4905" i="15"/>
  <c r="H4905" i="15"/>
  <c r="G4905" i="15"/>
  <c r="J4904" i="15"/>
  <c r="H4904" i="15"/>
  <c r="G4904" i="15"/>
  <c r="I4904" i="15" s="1"/>
  <c r="J4903" i="15"/>
  <c r="I4903" i="15"/>
  <c r="H4903" i="15"/>
  <c r="G4903" i="15"/>
  <c r="J4902" i="15"/>
  <c r="H4902" i="15"/>
  <c r="G4902" i="15"/>
  <c r="I4902" i="15" s="1"/>
  <c r="J4901" i="15"/>
  <c r="I4901" i="15"/>
  <c r="H4901" i="15"/>
  <c r="G4901" i="15"/>
  <c r="J4900" i="15"/>
  <c r="H4900" i="15"/>
  <c r="G4900" i="15"/>
  <c r="I4900" i="15" s="1"/>
  <c r="J4899" i="15"/>
  <c r="I4899" i="15"/>
  <c r="H4899" i="15"/>
  <c r="G4899" i="15"/>
  <c r="J4898" i="15"/>
  <c r="H4898" i="15"/>
  <c r="G4898" i="15"/>
  <c r="I4898" i="15" s="1"/>
  <c r="J4897" i="15"/>
  <c r="I4897" i="15"/>
  <c r="H4897" i="15"/>
  <c r="G4897" i="15"/>
  <c r="J4896" i="15"/>
  <c r="H4896" i="15"/>
  <c r="G4896" i="15"/>
  <c r="I4896" i="15" s="1"/>
  <c r="J4895" i="15"/>
  <c r="I4895" i="15"/>
  <c r="H4895" i="15"/>
  <c r="G4895" i="15"/>
  <c r="J4894" i="15"/>
  <c r="H4894" i="15"/>
  <c r="G4894" i="15"/>
  <c r="I4894" i="15" s="1"/>
  <c r="J4893" i="15"/>
  <c r="I4893" i="15"/>
  <c r="H4893" i="15"/>
  <c r="G4893" i="15"/>
  <c r="J4892" i="15"/>
  <c r="H4892" i="15"/>
  <c r="G4892" i="15"/>
  <c r="I4892" i="15" s="1"/>
  <c r="J4891" i="15"/>
  <c r="I4891" i="15"/>
  <c r="H4891" i="15"/>
  <c r="G4891" i="15"/>
  <c r="J4890" i="15"/>
  <c r="H4890" i="15"/>
  <c r="G4890" i="15"/>
  <c r="I4890" i="15" s="1"/>
  <c r="J4889" i="15"/>
  <c r="I4889" i="15"/>
  <c r="H4889" i="15"/>
  <c r="G4889" i="15"/>
  <c r="J4888" i="15"/>
  <c r="H4888" i="15"/>
  <c r="G4888" i="15"/>
  <c r="I4888" i="15" s="1"/>
  <c r="J4887" i="15"/>
  <c r="I4887" i="15"/>
  <c r="H4887" i="15"/>
  <c r="G4887" i="15"/>
  <c r="J4886" i="15"/>
  <c r="H4886" i="15"/>
  <c r="G4886" i="15"/>
  <c r="I4886" i="15" s="1"/>
  <c r="J4885" i="15"/>
  <c r="I4885" i="15"/>
  <c r="H4885" i="15"/>
  <c r="G4885" i="15"/>
  <c r="J4884" i="15"/>
  <c r="H4884" i="15"/>
  <c r="G4884" i="15"/>
  <c r="I4884" i="15" s="1"/>
  <c r="J4883" i="15"/>
  <c r="I4883" i="15"/>
  <c r="H4883" i="15"/>
  <c r="G4883" i="15"/>
  <c r="J4882" i="15"/>
  <c r="H4882" i="15"/>
  <c r="G4882" i="15"/>
  <c r="I4882" i="15" s="1"/>
  <c r="J4881" i="15"/>
  <c r="I4881" i="15"/>
  <c r="H4881" i="15"/>
  <c r="G4881" i="15"/>
  <c r="J4880" i="15"/>
  <c r="H4880" i="15"/>
  <c r="G4880" i="15"/>
  <c r="I4880" i="15" s="1"/>
  <c r="H4879" i="15"/>
  <c r="G4879" i="15"/>
  <c r="H4878" i="15"/>
  <c r="G4878" i="15"/>
  <c r="H4877" i="15"/>
  <c r="G4877" i="15"/>
  <c r="I4877" i="15" s="1"/>
  <c r="H4876" i="15"/>
  <c r="G4876" i="15"/>
  <c r="I4876" i="15" s="1"/>
  <c r="J4875" i="15"/>
  <c r="H4875" i="15"/>
  <c r="G4875" i="15"/>
  <c r="I4875" i="15" s="1"/>
  <c r="J4874" i="15"/>
  <c r="I4874" i="15"/>
  <c r="H4874" i="15"/>
  <c r="G4874" i="15"/>
  <c r="H4873" i="15"/>
  <c r="G4873" i="15"/>
  <c r="J4872" i="15"/>
  <c r="I4872" i="15"/>
  <c r="H4872" i="15"/>
  <c r="G4872" i="15"/>
  <c r="H4871" i="15"/>
  <c r="G4871" i="15"/>
  <c r="J4870" i="15"/>
  <c r="H4870" i="15"/>
  <c r="G4870" i="15"/>
  <c r="I4870" i="15" s="1"/>
  <c r="H4869" i="15"/>
  <c r="G4869" i="15"/>
  <c r="H4868" i="15"/>
  <c r="G4868" i="15"/>
  <c r="H4867" i="15"/>
  <c r="G4867" i="15"/>
  <c r="I4867" i="15" s="1"/>
  <c r="J4866" i="15"/>
  <c r="I4866" i="15"/>
  <c r="H4866" i="15"/>
  <c r="G4866" i="15"/>
  <c r="J4865" i="15"/>
  <c r="H4865" i="15"/>
  <c r="G4865" i="15"/>
  <c r="I4865" i="15" s="1"/>
  <c r="H4864" i="15"/>
  <c r="G4864" i="15"/>
  <c r="J4864" i="15" s="1"/>
  <c r="H4863" i="15"/>
  <c r="G4863" i="15"/>
  <c r="H4862" i="15"/>
  <c r="G4862" i="15"/>
  <c r="J4862" i="15" s="1"/>
  <c r="H4861" i="15"/>
  <c r="G4861" i="15"/>
  <c r="I4861" i="15" s="1"/>
  <c r="J4860" i="15"/>
  <c r="H4860" i="15"/>
  <c r="G4860" i="15"/>
  <c r="I4860" i="15" s="1"/>
  <c r="J4859" i="15"/>
  <c r="H4859" i="15"/>
  <c r="G4859" i="15"/>
  <c r="I4859" i="15" s="1"/>
  <c r="H4858" i="15"/>
  <c r="G4858" i="15"/>
  <c r="H4857" i="15"/>
  <c r="G4857" i="15"/>
  <c r="I4857" i="15" s="1"/>
  <c r="J4856" i="15"/>
  <c r="I4856" i="15"/>
  <c r="H4856" i="15"/>
  <c r="G4856" i="15"/>
  <c r="H4855" i="15"/>
  <c r="G4855" i="15"/>
  <c r="J4854" i="15"/>
  <c r="H4854" i="15"/>
  <c r="G4854" i="15"/>
  <c r="I4854" i="15" s="1"/>
  <c r="H4853" i="15"/>
  <c r="G4853" i="15"/>
  <c r="J4852" i="15"/>
  <c r="H4852" i="15"/>
  <c r="G4852" i="15"/>
  <c r="I4852" i="15" s="1"/>
  <c r="H4851" i="15"/>
  <c r="G4851" i="15"/>
  <c r="I4851" i="15" s="1"/>
  <c r="J4850" i="15"/>
  <c r="I4850" i="15"/>
  <c r="H4850" i="15"/>
  <c r="G4850" i="15"/>
  <c r="J4849" i="15"/>
  <c r="H4849" i="15"/>
  <c r="G4849" i="15"/>
  <c r="I4849" i="15" s="1"/>
  <c r="J4848" i="15"/>
  <c r="I4848" i="15"/>
  <c r="H4848" i="15"/>
  <c r="G4848" i="15"/>
  <c r="H4847" i="15"/>
  <c r="G4847" i="15"/>
  <c r="H4846" i="15"/>
  <c r="G4846" i="15"/>
  <c r="J4846" i="15" s="1"/>
  <c r="J4845" i="15"/>
  <c r="H4845" i="15"/>
  <c r="G4845" i="15"/>
  <c r="I4845" i="15" s="1"/>
  <c r="J4844" i="15"/>
  <c r="H4844" i="15"/>
  <c r="G4844" i="15"/>
  <c r="I4844" i="15" s="1"/>
  <c r="J4843" i="15"/>
  <c r="H4843" i="15"/>
  <c r="G4843" i="15"/>
  <c r="I4843" i="15" s="1"/>
  <c r="J4842" i="15"/>
  <c r="H4842" i="15"/>
  <c r="G4842" i="15"/>
  <c r="I4842" i="15" s="1"/>
  <c r="H4841" i="15"/>
  <c r="G4841" i="15"/>
  <c r="I4841" i="15" s="1"/>
  <c r="J4840" i="15"/>
  <c r="I4840" i="15"/>
  <c r="H4840" i="15"/>
  <c r="G4840" i="15"/>
  <c r="J4839" i="15"/>
  <c r="H4839" i="15"/>
  <c r="G4839" i="15"/>
  <c r="I4839" i="15" s="1"/>
  <c r="H4838" i="15"/>
  <c r="G4838" i="15"/>
  <c r="H4837" i="15"/>
  <c r="G4837" i="15"/>
  <c r="H4836" i="15"/>
  <c r="G4836" i="15"/>
  <c r="J4836" i="15" s="1"/>
  <c r="J4835" i="15"/>
  <c r="H4835" i="15"/>
  <c r="G4835" i="15"/>
  <c r="I4835" i="15" s="1"/>
  <c r="J4834" i="15"/>
  <c r="I4834" i="15"/>
  <c r="H4834" i="15"/>
  <c r="G4834" i="15"/>
  <c r="J4833" i="15"/>
  <c r="H4833" i="15"/>
  <c r="G4833" i="15"/>
  <c r="I4833" i="15" s="1"/>
  <c r="J4832" i="15"/>
  <c r="I4832" i="15"/>
  <c r="H4832" i="15"/>
  <c r="G4832" i="15"/>
  <c r="H4831" i="15"/>
  <c r="G4831" i="15"/>
  <c r="I4830" i="15"/>
  <c r="H4830" i="15"/>
  <c r="G4830" i="15"/>
  <c r="J4830" i="15" s="1"/>
  <c r="J4829" i="15"/>
  <c r="H4829" i="15"/>
  <c r="G4829" i="15"/>
  <c r="I4829" i="15" s="1"/>
  <c r="H4828" i="15"/>
  <c r="G4828" i="15"/>
  <c r="J4827" i="15"/>
  <c r="H4827" i="15"/>
  <c r="G4827" i="15"/>
  <c r="I4827" i="15" s="1"/>
  <c r="H4826" i="15"/>
  <c r="G4826" i="15"/>
  <c r="J4826" i="15" s="1"/>
  <c r="J4825" i="15"/>
  <c r="H4825" i="15"/>
  <c r="G4825" i="15"/>
  <c r="I4825" i="15" s="1"/>
  <c r="J4824" i="15"/>
  <c r="I4824" i="15"/>
  <c r="H4824" i="15"/>
  <c r="G4824" i="15"/>
  <c r="H4823" i="15"/>
  <c r="G4823" i="15"/>
  <c r="H4822" i="15"/>
  <c r="G4822" i="15"/>
  <c r="I4822" i="15" s="1"/>
  <c r="H4821" i="15"/>
  <c r="G4821" i="15"/>
  <c r="J4820" i="15"/>
  <c r="I4820" i="15"/>
  <c r="H4820" i="15"/>
  <c r="G4820" i="15"/>
  <c r="J4819" i="15"/>
  <c r="H4819" i="15"/>
  <c r="G4819" i="15"/>
  <c r="I4819" i="15" s="1"/>
  <c r="J4818" i="15"/>
  <c r="I4818" i="15"/>
  <c r="H4818" i="15"/>
  <c r="G4818" i="15"/>
  <c r="J4817" i="15"/>
  <c r="H4817" i="15"/>
  <c r="G4817" i="15"/>
  <c r="I4817" i="15" s="1"/>
  <c r="H4816" i="15"/>
  <c r="G4816" i="15"/>
  <c r="H4815" i="15"/>
  <c r="G4815" i="15"/>
  <c r="I4814" i="15"/>
  <c r="H4814" i="15"/>
  <c r="G4814" i="15"/>
  <c r="J4814" i="15" s="1"/>
  <c r="H4813" i="15"/>
  <c r="G4813" i="15"/>
  <c r="H4812" i="15"/>
  <c r="G4812" i="15"/>
  <c r="J4811" i="15"/>
  <c r="H4811" i="15"/>
  <c r="G4811" i="15"/>
  <c r="I4811" i="15" s="1"/>
  <c r="J4810" i="15"/>
  <c r="I4810" i="15"/>
  <c r="H4810" i="15"/>
  <c r="G4810" i="15"/>
  <c r="J4809" i="15"/>
  <c r="H4809" i="15"/>
  <c r="G4809" i="15"/>
  <c r="I4809" i="15" s="1"/>
  <c r="J4808" i="15"/>
  <c r="I4808" i="15"/>
  <c r="H4808" i="15"/>
  <c r="G4808" i="15"/>
  <c r="H4807" i="15"/>
  <c r="G4807" i="15"/>
  <c r="I4807" i="15" s="1"/>
  <c r="H4806" i="15"/>
  <c r="G4806" i="15"/>
  <c r="I4806" i="15" s="1"/>
  <c r="H4805" i="15"/>
  <c r="G4805" i="15"/>
  <c r="J4804" i="15"/>
  <c r="I4804" i="15"/>
  <c r="H4804" i="15"/>
  <c r="G4804" i="15"/>
  <c r="H4803" i="15"/>
  <c r="G4803" i="15"/>
  <c r="J4802" i="15"/>
  <c r="I4802" i="15"/>
  <c r="H4802" i="15"/>
  <c r="G4802" i="15"/>
  <c r="J4801" i="15"/>
  <c r="H4801" i="15"/>
  <c r="G4801" i="15"/>
  <c r="I4801" i="15" s="1"/>
  <c r="I4800" i="15"/>
  <c r="H4800" i="15"/>
  <c r="G4800" i="15"/>
  <c r="J4800" i="15" s="1"/>
  <c r="H4799" i="15"/>
  <c r="G4799" i="15"/>
  <c r="H4798" i="15"/>
  <c r="G4798" i="15"/>
  <c r="H4797" i="15"/>
  <c r="G4797" i="15"/>
  <c r="I4797" i="15" s="1"/>
  <c r="J4796" i="15"/>
  <c r="H4796" i="15"/>
  <c r="G4796" i="15"/>
  <c r="I4796" i="15" s="1"/>
  <c r="J4795" i="15"/>
  <c r="H4795" i="15"/>
  <c r="G4795" i="15"/>
  <c r="I4795" i="15" s="1"/>
  <c r="J4794" i="15"/>
  <c r="I4794" i="15"/>
  <c r="H4794" i="15"/>
  <c r="G4794" i="15"/>
  <c r="H4793" i="15"/>
  <c r="G4793" i="15"/>
  <c r="J4792" i="15"/>
  <c r="I4792" i="15"/>
  <c r="H4792" i="15"/>
  <c r="G4792" i="15"/>
  <c r="H4791" i="15"/>
  <c r="G4791" i="15"/>
  <c r="I4791" i="15" s="1"/>
  <c r="J4790" i="15"/>
  <c r="H4790" i="15"/>
  <c r="G4790" i="15"/>
  <c r="I4790" i="15" s="1"/>
  <c r="H4789" i="15"/>
  <c r="G4789" i="15"/>
  <c r="H4788" i="15"/>
  <c r="G4788" i="15"/>
  <c r="H4787" i="15"/>
  <c r="G4787" i="15"/>
  <c r="J4786" i="15"/>
  <c r="I4786" i="15"/>
  <c r="H4786" i="15"/>
  <c r="G4786" i="15"/>
  <c r="J4785" i="15"/>
  <c r="H4785" i="15"/>
  <c r="G4785" i="15"/>
  <c r="I4785" i="15" s="1"/>
  <c r="J4784" i="15"/>
  <c r="I4784" i="15"/>
  <c r="H4784" i="15"/>
  <c r="G4784" i="15"/>
  <c r="H4783" i="15"/>
  <c r="G4783" i="15"/>
  <c r="H4782" i="15"/>
  <c r="G4782" i="15"/>
  <c r="J4781" i="15"/>
  <c r="H4781" i="15"/>
  <c r="G4781" i="15"/>
  <c r="I4781" i="15" s="1"/>
  <c r="H4780" i="15"/>
  <c r="G4780" i="15"/>
  <c r="J4779" i="15"/>
  <c r="H4779" i="15"/>
  <c r="G4779" i="15"/>
  <c r="I4779" i="15" s="1"/>
  <c r="H4778" i="15"/>
  <c r="G4778" i="15"/>
  <c r="J4777" i="15"/>
  <c r="H4777" i="15"/>
  <c r="G4777" i="15"/>
  <c r="I4777" i="15" s="1"/>
  <c r="J4776" i="15"/>
  <c r="I4776" i="15"/>
  <c r="H4776" i="15"/>
  <c r="G4776" i="15"/>
  <c r="J4775" i="15"/>
  <c r="H4775" i="15"/>
  <c r="G4775" i="15"/>
  <c r="I4775" i="15" s="1"/>
  <c r="J4774" i="15"/>
  <c r="H4774" i="15"/>
  <c r="G4774" i="15"/>
  <c r="I4774" i="15" s="1"/>
  <c r="H4773" i="15"/>
  <c r="G4773" i="15"/>
  <c r="I4772" i="15"/>
  <c r="H4772" i="15"/>
  <c r="G4772" i="15"/>
  <c r="J4772" i="15" s="1"/>
  <c r="J4771" i="15"/>
  <c r="H4771" i="15"/>
  <c r="G4771" i="15"/>
  <c r="I4771" i="15" s="1"/>
  <c r="J4770" i="15"/>
  <c r="I4770" i="15"/>
  <c r="H4770" i="15"/>
  <c r="G4770" i="15"/>
  <c r="J4769" i="15"/>
  <c r="H4769" i="15"/>
  <c r="G4769" i="15"/>
  <c r="I4769" i="15" s="1"/>
  <c r="H4768" i="15"/>
  <c r="G4768" i="15"/>
  <c r="H4767" i="15"/>
  <c r="G4767" i="15"/>
  <c r="I4766" i="15"/>
  <c r="H4766" i="15"/>
  <c r="G4766" i="15"/>
  <c r="J4766" i="15" s="1"/>
  <c r="H4765" i="15"/>
  <c r="G4765" i="15"/>
  <c r="H4764" i="15"/>
  <c r="G4764" i="15"/>
  <c r="I4764" i="15" s="1"/>
  <c r="J4763" i="15"/>
  <c r="H4763" i="15"/>
  <c r="G4763" i="15"/>
  <c r="I4763" i="15" s="1"/>
  <c r="I4762" i="15"/>
  <c r="H4762" i="15"/>
  <c r="G4762" i="15"/>
  <c r="J4762" i="15" s="1"/>
  <c r="J4761" i="15"/>
  <c r="H4761" i="15"/>
  <c r="G4761" i="15"/>
  <c r="I4761" i="15" s="1"/>
  <c r="J4760" i="15"/>
  <c r="I4760" i="15"/>
  <c r="H4760" i="15"/>
  <c r="G4760" i="15"/>
  <c r="J4759" i="15"/>
  <c r="H4759" i="15"/>
  <c r="G4759" i="15"/>
  <c r="I4759" i="15" s="1"/>
  <c r="H4758" i="15"/>
  <c r="G4758" i="15"/>
  <c r="H4757" i="15"/>
  <c r="G4757" i="15"/>
  <c r="J4756" i="15"/>
  <c r="I4756" i="15"/>
  <c r="H4756" i="15"/>
  <c r="G4756" i="15"/>
  <c r="H4755" i="15"/>
  <c r="G4755" i="15"/>
  <c r="J4754" i="15"/>
  <c r="I4754" i="15"/>
  <c r="H4754" i="15"/>
  <c r="G4754" i="15"/>
  <c r="J4753" i="15"/>
  <c r="H4753" i="15"/>
  <c r="G4753" i="15"/>
  <c r="I4753" i="15" s="1"/>
  <c r="J4752" i="15"/>
  <c r="H4752" i="15"/>
  <c r="G4752" i="15"/>
  <c r="I4752" i="15" s="1"/>
  <c r="H4751" i="15"/>
  <c r="G4751" i="15"/>
  <c r="H4750" i="15"/>
  <c r="G4750" i="15"/>
  <c r="H4749" i="15"/>
  <c r="G4749" i="15"/>
  <c r="I4749" i="15" s="1"/>
  <c r="H4748" i="15"/>
  <c r="G4748" i="15"/>
  <c r="I4748" i="15" s="1"/>
  <c r="J4747" i="15"/>
  <c r="H4747" i="15"/>
  <c r="G4747" i="15"/>
  <c r="I4747" i="15" s="1"/>
  <c r="J4746" i="15"/>
  <c r="I4746" i="15"/>
  <c r="H4746" i="15"/>
  <c r="G4746" i="15"/>
  <c r="H4745" i="15"/>
  <c r="G4745" i="15"/>
  <c r="J4744" i="15"/>
  <c r="I4744" i="15"/>
  <c r="H4744" i="15"/>
  <c r="G4744" i="15"/>
  <c r="H4743" i="15"/>
  <c r="G4743" i="15"/>
  <c r="J4742" i="15"/>
  <c r="H4742" i="15"/>
  <c r="G4742" i="15"/>
  <c r="I4742" i="15" s="1"/>
  <c r="H4741" i="15"/>
  <c r="G4741" i="15"/>
  <c r="H4740" i="15"/>
  <c r="G4740" i="15"/>
  <c r="H4739" i="15"/>
  <c r="G4739" i="15"/>
  <c r="I4739" i="15" s="1"/>
  <c r="J4738" i="15"/>
  <c r="I4738" i="15"/>
  <c r="H4738" i="15"/>
  <c r="G4738" i="15"/>
  <c r="J4737" i="15"/>
  <c r="H4737" i="15"/>
  <c r="G4737" i="15"/>
  <c r="I4737" i="15" s="1"/>
  <c r="H4736" i="15"/>
  <c r="G4736" i="15"/>
  <c r="J4736" i="15" s="1"/>
  <c r="H4735" i="15"/>
  <c r="G4735" i="15"/>
  <c r="H4734" i="15"/>
  <c r="G4734" i="15"/>
  <c r="J4734" i="15" s="1"/>
  <c r="H4733" i="15"/>
  <c r="G4733" i="15"/>
  <c r="I4733" i="15" s="1"/>
  <c r="J4732" i="15"/>
  <c r="H4732" i="15"/>
  <c r="G4732" i="15"/>
  <c r="I4732" i="15" s="1"/>
  <c r="J4731" i="15"/>
  <c r="H4731" i="15"/>
  <c r="G4731" i="15"/>
  <c r="I4731" i="15" s="1"/>
  <c r="H4730" i="15"/>
  <c r="G4730" i="15"/>
  <c r="H4729" i="15"/>
  <c r="G4729" i="15"/>
  <c r="I4729" i="15" s="1"/>
  <c r="J4728" i="15"/>
  <c r="I4728" i="15"/>
  <c r="H4728" i="15"/>
  <c r="G4728" i="15"/>
  <c r="H4727" i="15"/>
  <c r="G4727" i="15"/>
  <c r="J4726" i="15"/>
  <c r="H4726" i="15"/>
  <c r="G4726" i="15"/>
  <c r="I4726" i="15" s="1"/>
  <c r="H4725" i="15"/>
  <c r="G4725" i="15"/>
  <c r="J4724" i="15"/>
  <c r="H4724" i="15"/>
  <c r="G4724" i="15"/>
  <c r="I4724" i="15" s="1"/>
  <c r="H4723" i="15"/>
  <c r="G4723" i="15"/>
  <c r="I4723" i="15" s="1"/>
  <c r="J4722" i="15"/>
  <c r="I4722" i="15"/>
  <c r="H4722" i="15"/>
  <c r="G4722" i="15"/>
  <c r="J4721" i="15"/>
  <c r="H4721" i="15"/>
  <c r="G4721" i="15"/>
  <c r="I4721" i="15" s="1"/>
  <c r="J4720" i="15"/>
  <c r="I4720" i="15"/>
  <c r="H4720" i="15"/>
  <c r="G4720" i="15"/>
  <c r="H4719" i="15"/>
  <c r="G4719" i="15"/>
  <c r="H4718" i="15"/>
  <c r="G4718" i="15"/>
  <c r="J4718" i="15" s="1"/>
  <c r="J4717" i="15"/>
  <c r="H4717" i="15"/>
  <c r="G4717" i="15"/>
  <c r="I4717" i="15" s="1"/>
  <c r="J4716" i="15"/>
  <c r="H4716" i="15"/>
  <c r="G4716" i="15"/>
  <c r="I4716" i="15" s="1"/>
  <c r="J4715" i="15"/>
  <c r="H4715" i="15"/>
  <c r="G4715" i="15"/>
  <c r="I4715" i="15" s="1"/>
  <c r="J4714" i="15"/>
  <c r="H4714" i="15"/>
  <c r="G4714" i="15"/>
  <c r="I4714" i="15" s="1"/>
  <c r="H4713" i="15"/>
  <c r="G4713" i="15"/>
  <c r="I4713" i="15" s="1"/>
  <c r="J4712" i="15"/>
  <c r="I4712" i="15"/>
  <c r="H4712" i="15"/>
  <c r="G4712" i="15"/>
  <c r="J4711" i="15"/>
  <c r="H4711" i="15"/>
  <c r="G4711" i="15"/>
  <c r="I4711" i="15" s="1"/>
  <c r="H4710" i="15"/>
  <c r="G4710" i="15"/>
  <c r="H4709" i="15"/>
  <c r="G4709" i="15"/>
  <c r="H4708" i="15"/>
  <c r="G4708" i="15"/>
  <c r="J4708" i="15" s="1"/>
  <c r="J4707" i="15"/>
  <c r="H4707" i="15"/>
  <c r="G4707" i="15"/>
  <c r="I4707" i="15" s="1"/>
  <c r="J4706" i="15"/>
  <c r="I4706" i="15"/>
  <c r="H4706" i="15"/>
  <c r="G4706" i="15"/>
  <c r="J4705" i="15"/>
  <c r="H4705" i="15"/>
  <c r="G4705" i="15"/>
  <c r="I4705" i="15" s="1"/>
  <c r="J4704" i="15"/>
  <c r="I4704" i="15"/>
  <c r="H4704" i="15"/>
  <c r="G4704" i="15"/>
  <c r="H4703" i="15"/>
  <c r="G4703" i="15"/>
  <c r="I4702" i="15"/>
  <c r="H4702" i="15"/>
  <c r="G4702" i="15"/>
  <c r="J4702" i="15" s="1"/>
  <c r="J4701" i="15"/>
  <c r="H4701" i="15"/>
  <c r="G4701" i="15"/>
  <c r="I4701" i="15" s="1"/>
  <c r="H4700" i="15"/>
  <c r="G4700" i="15"/>
  <c r="J4699" i="15"/>
  <c r="H4699" i="15"/>
  <c r="G4699" i="15"/>
  <c r="I4699" i="15" s="1"/>
  <c r="H4698" i="15"/>
  <c r="G4698" i="15"/>
  <c r="J4698" i="15" s="1"/>
  <c r="J4697" i="15"/>
  <c r="H4697" i="15"/>
  <c r="G4697" i="15"/>
  <c r="I4697" i="15" s="1"/>
  <c r="J4696" i="15"/>
  <c r="I4696" i="15"/>
  <c r="H4696" i="15"/>
  <c r="G4696" i="15"/>
  <c r="H4695" i="15"/>
  <c r="G4695" i="15"/>
  <c r="H4694" i="15"/>
  <c r="G4694" i="15"/>
  <c r="I4694" i="15" s="1"/>
  <c r="H4693" i="15"/>
  <c r="G4693" i="15"/>
  <c r="J4692" i="15"/>
  <c r="I4692" i="15"/>
  <c r="H4692" i="15"/>
  <c r="G4692" i="15"/>
  <c r="J4691" i="15"/>
  <c r="H4691" i="15"/>
  <c r="G4691" i="15"/>
  <c r="I4691" i="15" s="1"/>
  <c r="J4690" i="15"/>
  <c r="I4690" i="15"/>
  <c r="H4690" i="15"/>
  <c r="G4690" i="15"/>
  <c r="J4689" i="15"/>
  <c r="H4689" i="15"/>
  <c r="G4689" i="15"/>
  <c r="I4689" i="15" s="1"/>
  <c r="H4688" i="15"/>
  <c r="G4688" i="15"/>
  <c r="H4687" i="15"/>
  <c r="G4687" i="15"/>
  <c r="I4686" i="15"/>
  <c r="H4686" i="15"/>
  <c r="G4686" i="15"/>
  <c r="J4686" i="15" s="1"/>
  <c r="H4685" i="15"/>
  <c r="G4685" i="15"/>
  <c r="H4684" i="15"/>
  <c r="G4684" i="15"/>
  <c r="J4683" i="15"/>
  <c r="H4683" i="15"/>
  <c r="G4683" i="15"/>
  <c r="I4683" i="15" s="1"/>
  <c r="J4682" i="15"/>
  <c r="I4682" i="15"/>
  <c r="H4682" i="15"/>
  <c r="G4682" i="15"/>
  <c r="J4681" i="15"/>
  <c r="H4681" i="15"/>
  <c r="G4681" i="15"/>
  <c r="I4681" i="15" s="1"/>
  <c r="J4680" i="15"/>
  <c r="I4680" i="15"/>
  <c r="H4680" i="15"/>
  <c r="G4680" i="15"/>
  <c r="H4679" i="15"/>
  <c r="G4679" i="15"/>
  <c r="I4679" i="15" s="1"/>
  <c r="H4678" i="15"/>
  <c r="G4678" i="15"/>
  <c r="I4678" i="15" s="1"/>
  <c r="H4677" i="15"/>
  <c r="G4677" i="15"/>
  <c r="J4676" i="15"/>
  <c r="I4676" i="15"/>
  <c r="H4676" i="15"/>
  <c r="G4676" i="15"/>
  <c r="H4675" i="15"/>
  <c r="G4675" i="15"/>
  <c r="J4674" i="15"/>
  <c r="I4674" i="15"/>
  <c r="H4674" i="15"/>
  <c r="G4674" i="15"/>
  <c r="J4673" i="15"/>
  <c r="H4673" i="15"/>
  <c r="G4673" i="15"/>
  <c r="I4673" i="15" s="1"/>
  <c r="J4672" i="15"/>
  <c r="H4672" i="15"/>
  <c r="G4672" i="15"/>
  <c r="I4672" i="15" s="1"/>
  <c r="H4671" i="15"/>
  <c r="G4671" i="15"/>
  <c r="H4670" i="15"/>
  <c r="G4670" i="15"/>
  <c r="H4669" i="15"/>
  <c r="G4669" i="15"/>
  <c r="I4669" i="15" s="1"/>
  <c r="J4668" i="15"/>
  <c r="H4668" i="15"/>
  <c r="G4668" i="15"/>
  <c r="I4668" i="15" s="1"/>
  <c r="J4667" i="15"/>
  <c r="H4667" i="15"/>
  <c r="G4667" i="15"/>
  <c r="I4667" i="15" s="1"/>
  <c r="J4666" i="15"/>
  <c r="I4666" i="15"/>
  <c r="H4666" i="15"/>
  <c r="G4666" i="15"/>
  <c r="H4665" i="15"/>
  <c r="G4665" i="15"/>
  <c r="J4664" i="15"/>
  <c r="I4664" i="15"/>
  <c r="H4664" i="15"/>
  <c r="G4664" i="15"/>
  <c r="H4663" i="15"/>
  <c r="G4663" i="15"/>
  <c r="I4663" i="15" s="1"/>
  <c r="J4662" i="15"/>
  <c r="H4662" i="15"/>
  <c r="G4662" i="15"/>
  <c r="I4662" i="15" s="1"/>
  <c r="H4661" i="15"/>
  <c r="G4661" i="15"/>
  <c r="H4660" i="15"/>
  <c r="G4660" i="15"/>
  <c r="H4659" i="15"/>
  <c r="G4659" i="15"/>
  <c r="J4658" i="15"/>
  <c r="I4658" i="15"/>
  <c r="H4658" i="15"/>
  <c r="G4658" i="15"/>
  <c r="J4657" i="15"/>
  <c r="H4657" i="15"/>
  <c r="G4657" i="15"/>
  <c r="I4657" i="15" s="1"/>
  <c r="J4656" i="15"/>
  <c r="I4656" i="15"/>
  <c r="H4656" i="15"/>
  <c r="G4656" i="15"/>
  <c r="H4655" i="15"/>
  <c r="G4655" i="15"/>
  <c r="H4654" i="15"/>
  <c r="G4654" i="15"/>
  <c r="J4653" i="15"/>
  <c r="H4653" i="15"/>
  <c r="G4653" i="15"/>
  <c r="I4653" i="15" s="1"/>
  <c r="H4652" i="15"/>
  <c r="G4652" i="15"/>
  <c r="J4651" i="15"/>
  <c r="H4651" i="15"/>
  <c r="G4651" i="15"/>
  <c r="I4651" i="15" s="1"/>
  <c r="H4650" i="15"/>
  <c r="G4650" i="15"/>
  <c r="H4649" i="15"/>
  <c r="G4649" i="15"/>
  <c r="I4649" i="15" s="1"/>
  <c r="J4648" i="15"/>
  <c r="I4648" i="15"/>
  <c r="H4648" i="15"/>
  <c r="G4648" i="15"/>
  <c r="J4647" i="15"/>
  <c r="H4647" i="15"/>
  <c r="G4647" i="15"/>
  <c r="I4647" i="15" s="1"/>
  <c r="J4646" i="15"/>
  <c r="H4646" i="15"/>
  <c r="G4646" i="15"/>
  <c r="I4646" i="15" s="1"/>
  <c r="H4645" i="15"/>
  <c r="G4645" i="15"/>
  <c r="J4644" i="15"/>
  <c r="H4644" i="15"/>
  <c r="G4644" i="15"/>
  <c r="I4644" i="15" s="1"/>
  <c r="J4643" i="15"/>
  <c r="H4643" i="15"/>
  <c r="G4643" i="15"/>
  <c r="I4643" i="15" s="1"/>
  <c r="J4642" i="15"/>
  <c r="I4642" i="15"/>
  <c r="H4642" i="15"/>
  <c r="G4642" i="15"/>
  <c r="J4641" i="15"/>
  <c r="H4641" i="15"/>
  <c r="G4641" i="15"/>
  <c r="I4641" i="15" s="1"/>
  <c r="H4640" i="15"/>
  <c r="G4640" i="15"/>
  <c r="H4639" i="15"/>
  <c r="G4639" i="15"/>
  <c r="I4638" i="15"/>
  <c r="H4638" i="15"/>
  <c r="G4638" i="15"/>
  <c r="J4638" i="15" s="1"/>
  <c r="H4637" i="15"/>
  <c r="G4637" i="15"/>
  <c r="H4636" i="15"/>
  <c r="G4636" i="15"/>
  <c r="I4636" i="15" s="1"/>
  <c r="J4635" i="15"/>
  <c r="H4635" i="15"/>
  <c r="G4635" i="15"/>
  <c r="I4635" i="15" s="1"/>
  <c r="H4634" i="15"/>
  <c r="G4634" i="15"/>
  <c r="J4633" i="15"/>
  <c r="H4633" i="15"/>
  <c r="G4633" i="15"/>
  <c r="I4633" i="15" s="1"/>
  <c r="J4632" i="15"/>
  <c r="I4632" i="15"/>
  <c r="H4632" i="15"/>
  <c r="G4632" i="15"/>
  <c r="J4631" i="15"/>
  <c r="H4631" i="15"/>
  <c r="G4631" i="15"/>
  <c r="I4631" i="15" s="1"/>
  <c r="H4630" i="15"/>
  <c r="G4630" i="15"/>
  <c r="H4629" i="15"/>
  <c r="G4629" i="15"/>
  <c r="J4628" i="15"/>
  <c r="I4628" i="15"/>
  <c r="H4628" i="15"/>
  <c r="G4628" i="15"/>
  <c r="H4627" i="15"/>
  <c r="G4627" i="15"/>
  <c r="J4626" i="15"/>
  <c r="I4626" i="15"/>
  <c r="H4626" i="15"/>
  <c r="G4626" i="15"/>
  <c r="J4625" i="15"/>
  <c r="H4625" i="15"/>
  <c r="G4625" i="15"/>
  <c r="I4625" i="15" s="1"/>
  <c r="J4624" i="15"/>
  <c r="H4624" i="15"/>
  <c r="G4624" i="15"/>
  <c r="I4624" i="15" s="1"/>
  <c r="H4623" i="15"/>
  <c r="G4623" i="15"/>
  <c r="H4622" i="15"/>
  <c r="G4622" i="15"/>
  <c r="H4621" i="15"/>
  <c r="G4621" i="15"/>
  <c r="I4621" i="15" s="1"/>
  <c r="H4620" i="15"/>
  <c r="G4620" i="15"/>
  <c r="I4620" i="15" s="1"/>
  <c r="J4619" i="15"/>
  <c r="H4619" i="15"/>
  <c r="G4619" i="15"/>
  <c r="I4619" i="15" s="1"/>
  <c r="J4618" i="15"/>
  <c r="I4618" i="15"/>
  <c r="H4618" i="15"/>
  <c r="G4618" i="15"/>
  <c r="H4617" i="15"/>
  <c r="G4617" i="15"/>
  <c r="J4616" i="15"/>
  <c r="I4616" i="15"/>
  <c r="H4616" i="15"/>
  <c r="G4616" i="15"/>
  <c r="H4615" i="15"/>
  <c r="G4615" i="15"/>
  <c r="H4614" i="15"/>
  <c r="G4614" i="15"/>
  <c r="H4613" i="15"/>
  <c r="G4613" i="15"/>
  <c r="H4612" i="15"/>
  <c r="G4612" i="15"/>
  <c r="H4611" i="15"/>
  <c r="G4611" i="15"/>
  <c r="I4611" i="15" s="1"/>
  <c r="J4610" i="15"/>
  <c r="I4610" i="15"/>
  <c r="H4610" i="15"/>
  <c r="G4610" i="15"/>
  <c r="J4609" i="15"/>
  <c r="H4609" i="15"/>
  <c r="G4609" i="15"/>
  <c r="I4609" i="15" s="1"/>
  <c r="H4608" i="15"/>
  <c r="G4608" i="15"/>
  <c r="J4608" i="15" s="1"/>
  <c r="H4607" i="15"/>
  <c r="G4607" i="15"/>
  <c r="H4606" i="15"/>
  <c r="G4606" i="15"/>
  <c r="J4606" i="15" s="1"/>
  <c r="H4605" i="15"/>
  <c r="G4605" i="15"/>
  <c r="I4605" i="15" s="1"/>
  <c r="J4604" i="15"/>
  <c r="H4604" i="15"/>
  <c r="G4604" i="15"/>
  <c r="I4604" i="15" s="1"/>
  <c r="J4603" i="15"/>
  <c r="H4603" i="15"/>
  <c r="G4603" i="15"/>
  <c r="I4603" i="15" s="1"/>
  <c r="H4602" i="15"/>
  <c r="G4602" i="15"/>
  <c r="H4601" i="15"/>
  <c r="G4601" i="15"/>
  <c r="I4601" i="15" s="1"/>
  <c r="J4600" i="15"/>
  <c r="I4600" i="15"/>
  <c r="H4600" i="15"/>
  <c r="G4600" i="15"/>
  <c r="H4599" i="15"/>
  <c r="G4599" i="15"/>
  <c r="I4599" i="15" s="1"/>
  <c r="J4598" i="15"/>
  <c r="H4598" i="15"/>
  <c r="G4598" i="15"/>
  <c r="I4598" i="15" s="1"/>
  <c r="H4597" i="15"/>
  <c r="G4597" i="15"/>
  <c r="J4596" i="15"/>
  <c r="H4596" i="15"/>
  <c r="G4596" i="15"/>
  <c r="I4596" i="15" s="1"/>
  <c r="H4595" i="15"/>
  <c r="G4595" i="15"/>
  <c r="I4595" i="15" s="1"/>
  <c r="J4594" i="15"/>
  <c r="I4594" i="15"/>
  <c r="H4594" i="15"/>
  <c r="G4594" i="15"/>
  <c r="J4593" i="15"/>
  <c r="H4593" i="15"/>
  <c r="G4593" i="15"/>
  <c r="I4593" i="15" s="1"/>
  <c r="J4592" i="15"/>
  <c r="I4592" i="15"/>
  <c r="H4592" i="15"/>
  <c r="G4592" i="15"/>
  <c r="H4591" i="15"/>
  <c r="G4591" i="15"/>
  <c r="H4590" i="15"/>
  <c r="G4590" i="15"/>
  <c r="J4590" i="15" s="1"/>
  <c r="J4589" i="15"/>
  <c r="H4589" i="15"/>
  <c r="G4589" i="15"/>
  <c r="I4589" i="15" s="1"/>
  <c r="J4588" i="15"/>
  <c r="H4588" i="15"/>
  <c r="G4588" i="15"/>
  <c r="I4588" i="15" s="1"/>
  <c r="J4587" i="15"/>
  <c r="H4587" i="15"/>
  <c r="G4587" i="15"/>
  <c r="I4587" i="15" s="1"/>
  <c r="J4586" i="15"/>
  <c r="H4586" i="15"/>
  <c r="G4586" i="15"/>
  <c r="I4586" i="15" s="1"/>
  <c r="H4585" i="15"/>
  <c r="G4585" i="15"/>
  <c r="I4585" i="15" s="1"/>
  <c r="J4584" i="15"/>
  <c r="I4584" i="15"/>
  <c r="H4584" i="15"/>
  <c r="G4584" i="15"/>
  <c r="J4583" i="15"/>
  <c r="H4583" i="15"/>
  <c r="G4583" i="15"/>
  <c r="I4583" i="15" s="1"/>
  <c r="H4582" i="15"/>
  <c r="G4582" i="15"/>
  <c r="H4581" i="15"/>
  <c r="G4581" i="15"/>
  <c r="H4580" i="15"/>
  <c r="G4580" i="15"/>
  <c r="J4580" i="15" s="1"/>
  <c r="J4579" i="15"/>
  <c r="H4579" i="15"/>
  <c r="G4579" i="15"/>
  <c r="I4579" i="15" s="1"/>
  <c r="J4578" i="15"/>
  <c r="I4578" i="15"/>
  <c r="H4578" i="15"/>
  <c r="G4578" i="15"/>
  <c r="J4577" i="15"/>
  <c r="H4577" i="15"/>
  <c r="G4577" i="15"/>
  <c r="I4577" i="15" s="1"/>
  <c r="J4576" i="15"/>
  <c r="I4576" i="15"/>
  <c r="H4576" i="15"/>
  <c r="G4576" i="15"/>
  <c r="H4575" i="15"/>
  <c r="G4575" i="15"/>
  <c r="I4574" i="15"/>
  <c r="H4574" i="15"/>
  <c r="G4574" i="15"/>
  <c r="J4574" i="15" s="1"/>
  <c r="J4573" i="15"/>
  <c r="H4573" i="15"/>
  <c r="G4573" i="15"/>
  <c r="I4573" i="15" s="1"/>
  <c r="H4572" i="15"/>
  <c r="G4572" i="15"/>
  <c r="J4571" i="15"/>
  <c r="H4571" i="15"/>
  <c r="G4571" i="15"/>
  <c r="I4571" i="15" s="1"/>
  <c r="H4570" i="15"/>
  <c r="G4570" i="15"/>
  <c r="J4570" i="15" s="1"/>
  <c r="J4569" i="15"/>
  <c r="H4569" i="15"/>
  <c r="G4569" i="15"/>
  <c r="I4569" i="15" s="1"/>
  <c r="J4568" i="15"/>
  <c r="I4568" i="15"/>
  <c r="H4568" i="15"/>
  <c r="G4568" i="15"/>
  <c r="H4567" i="15"/>
  <c r="G4567" i="15"/>
  <c r="H4566" i="15"/>
  <c r="G4566" i="15"/>
  <c r="I4566" i="15" s="1"/>
  <c r="H4565" i="15"/>
  <c r="G4565" i="15"/>
  <c r="J4564" i="15"/>
  <c r="I4564" i="15"/>
  <c r="H4564" i="15"/>
  <c r="G4564" i="15"/>
  <c r="J4563" i="15"/>
  <c r="H4563" i="15"/>
  <c r="G4563" i="15"/>
  <c r="I4563" i="15" s="1"/>
  <c r="J4562" i="15"/>
  <c r="I4562" i="15"/>
  <c r="H4562" i="15"/>
  <c r="G4562" i="15"/>
  <c r="J4561" i="15"/>
  <c r="H4561" i="15"/>
  <c r="G4561" i="15"/>
  <c r="I4561" i="15" s="1"/>
  <c r="H4560" i="15"/>
  <c r="G4560" i="15"/>
  <c r="H4559" i="15"/>
  <c r="G4559" i="15"/>
  <c r="I4558" i="15"/>
  <c r="H4558" i="15"/>
  <c r="G4558" i="15"/>
  <c r="J4558" i="15" s="1"/>
  <c r="H4557" i="15"/>
  <c r="G4557" i="15"/>
  <c r="H4556" i="15"/>
  <c r="G4556" i="15"/>
  <c r="I4556" i="15" s="1"/>
  <c r="J4555" i="15"/>
  <c r="H4555" i="15"/>
  <c r="G4555" i="15"/>
  <c r="I4555" i="15" s="1"/>
  <c r="J4554" i="15"/>
  <c r="I4554" i="15"/>
  <c r="H4554" i="15"/>
  <c r="G4554" i="15"/>
  <c r="J4553" i="15"/>
  <c r="H4553" i="15"/>
  <c r="G4553" i="15"/>
  <c r="I4553" i="15" s="1"/>
  <c r="J4552" i="15"/>
  <c r="I4552" i="15"/>
  <c r="H4552" i="15"/>
  <c r="G4552" i="15"/>
  <c r="H4551" i="15"/>
  <c r="G4551" i="15"/>
  <c r="I4551" i="15" s="1"/>
  <c r="H4550" i="15"/>
  <c r="G4550" i="15"/>
  <c r="I4550" i="15" s="1"/>
  <c r="H4549" i="15"/>
  <c r="G4549" i="15"/>
  <c r="J4548" i="15"/>
  <c r="I4548" i="15"/>
  <c r="H4548" i="15"/>
  <c r="G4548" i="15"/>
  <c r="H4547" i="15"/>
  <c r="G4547" i="15"/>
  <c r="J4546" i="15"/>
  <c r="I4546" i="15"/>
  <c r="H4546" i="15"/>
  <c r="G4546" i="15"/>
  <c r="J4545" i="15"/>
  <c r="H4545" i="15"/>
  <c r="G4545" i="15"/>
  <c r="I4545" i="15" s="1"/>
  <c r="J4544" i="15"/>
  <c r="I4544" i="15"/>
  <c r="H4544" i="15"/>
  <c r="G4544" i="15"/>
  <c r="H4543" i="15"/>
  <c r="G4543" i="15"/>
  <c r="H4542" i="15"/>
  <c r="G4542" i="15"/>
  <c r="J4541" i="15"/>
  <c r="H4541" i="15"/>
  <c r="G4541" i="15"/>
  <c r="I4541" i="15" s="1"/>
  <c r="J4540" i="15"/>
  <c r="H4540" i="15"/>
  <c r="G4540" i="15"/>
  <c r="I4540" i="15" s="1"/>
  <c r="J4539" i="15"/>
  <c r="H4539" i="15"/>
  <c r="G4539" i="15"/>
  <c r="I4539" i="15" s="1"/>
  <c r="J4538" i="15"/>
  <c r="I4538" i="15"/>
  <c r="H4538" i="15"/>
  <c r="G4538" i="15"/>
  <c r="H4537" i="15"/>
  <c r="G4537" i="15"/>
  <c r="J4536" i="15"/>
  <c r="I4536" i="15"/>
  <c r="H4536" i="15"/>
  <c r="G4536" i="15"/>
  <c r="H4535" i="15"/>
  <c r="G4535" i="15"/>
  <c r="I4535" i="15" s="1"/>
  <c r="J4534" i="15"/>
  <c r="H4534" i="15"/>
  <c r="G4534" i="15"/>
  <c r="I4534" i="15" s="1"/>
  <c r="H4533" i="15"/>
  <c r="G4533" i="15"/>
  <c r="H4532" i="15"/>
  <c r="G4532" i="15"/>
  <c r="H4531" i="15"/>
  <c r="G4531" i="15"/>
  <c r="I4531" i="15" s="1"/>
  <c r="J4530" i="15"/>
  <c r="I4530" i="15"/>
  <c r="H4530" i="15"/>
  <c r="G4530" i="15"/>
  <c r="J4529" i="15"/>
  <c r="H4529" i="15"/>
  <c r="G4529" i="15"/>
  <c r="I4529" i="15" s="1"/>
  <c r="J4528" i="15"/>
  <c r="I4528" i="15"/>
  <c r="H4528" i="15"/>
  <c r="G4528" i="15"/>
  <c r="H4527" i="15"/>
  <c r="G4527" i="15"/>
  <c r="H4526" i="15"/>
  <c r="G4526" i="15"/>
  <c r="J4526" i="15" s="1"/>
  <c r="J4525" i="15"/>
  <c r="H4525" i="15"/>
  <c r="G4525" i="15"/>
  <c r="I4525" i="15" s="1"/>
  <c r="H4524" i="15"/>
  <c r="G4524" i="15"/>
  <c r="J4523" i="15"/>
  <c r="H4523" i="15"/>
  <c r="G4523" i="15"/>
  <c r="I4523" i="15" s="1"/>
  <c r="H4522" i="15"/>
  <c r="G4522" i="15"/>
  <c r="J4521" i="15"/>
  <c r="H4521" i="15"/>
  <c r="G4521" i="15"/>
  <c r="I4521" i="15" s="1"/>
  <c r="J4520" i="15"/>
  <c r="I4520" i="15"/>
  <c r="H4520" i="15"/>
  <c r="G4520" i="15"/>
  <c r="J4519" i="15"/>
  <c r="H4519" i="15"/>
  <c r="G4519" i="15"/>
  <c r="I4519" i="15" s="1"/>
  <c r="J4518" i="15"/>
  <c r="H4518" i="15"/>
  <c r="G4518" i="15"/>
  <c r="I4518" i="15" s="1"/>
  <c r="H4517" i="15"/>
  <c r="G4517" i="15"/>
  <c r="I4516" i="15"/>
  <c r="H4516" i="15"/>
  <c r="G4516" i="15"/>
  <c r="J4516" i="15" s="1"/>
  <c r="J4515" i="15"/>
  <c r="H4515" i="15"/>
  <c r="G4515" i="15"/>
  <c r="I4515" i="15" s="1"/>
  <c r="J4514" i="15"/>
  <c r="I4514" i="15"/>
  <c r="H4514" i="15"/>
  <c r="G4514" i="15"/>
  <c r="J4513" i="15"/>
  <c r="H4513" i="15"/>
  <c r="G4513" i="15"/>
  <c r="I4513" i="15" s="1"/>
  <c r="H4512" i="15"/>
  <c r="G4512" i="15"/>
  <c r="H4511" i="15"/>
  <c r="G4511" i="15"/>
  <c r="I4510" i="15"/>
  <c r="H4510" i="15"/>
  <c r="G4510" i="15"/>
  <c r="J4510" i="15" s="1"/>
  <c r="H4509" i="15"/>
  <c r="G4509" i="15"/>
  <c r="H4508" i="15"/>
  <c r="G4508" i="15"/>
  <c r="I4508" i="15" s="1"/>
  <c r="J4507" i="15"/>
  <c r="H4507" i="15"/>
  <c r="G4507" i="15"/>
  <c r="I4507" i="15" s="1"/>
  <c r="H4506" i="15"/>
  <c r="G4506" i="15"/>
  <c r="J4505" i="15"/>
  <c r="H4505" i="15"/>
  <c r="G4505" i="15"/>
  <c r="I4505" i="15" s="1"/>
  <c r="J4504" i="15"/>
  <c r="I4504" i="15"/>
  <c r="H4504" i="15"/>
  <c r="G4504" i="15"/>
  <c r="J4503" i="15"/>
  <c r="H4503" i="15"/>
  <c r="G4503" i="15"/>
  <c r="I4503" i="15" s="1"/>
  <c r="H4502" i="15"/>
  <c r="G4502" i="15"/>
  <c r="H4501" i="15"/>
  <c r="G4501" i="15"/>
  <c r="J4500" i="15"/>
  <c r="I4500" i="15"/>
  <c r="H4500" i="15"/>
  <c r="G4500" i="15"/>
  <c r="H4499" i="15"/>
  <c r="G4499" i="15"/>
  <c r="J4498" i="15"/>
  <c r="I4498" i="15"/>
  <c r="H4498" i="15"/>
  <c r="G4498" i="15"/>
  <c r="J4497" i="15"/>
  <c r="H4497" i="15"/>
  <c r="G4497" i="15"/>
  <c r="I4497" i="15" s="1"/>
  <c r="J4496" i="15"/>
  <c r="H4496" i="15"/>
  <c r="G4496" i="15"/>
  <c r="I4496" i="15" s="1"/>
  <c r="H4495" i="15"/>
  <c r="G4495" i="15"/>
  <c r="H4494" i="15"/>
  <c r="G4494" i="15"/>
  <c r="H4493" i="15"/>
  <c r="G4493" i="15"/>
  <c r="I4493" i="15" s="1"/>
  <c r="H4492" i="15"/>
  <c r="G4492" i="15"/>
  <c r="I4492" i="15" s="1"/>
  <c r="J4491" i="15"/>
  <c r="H4491" i="15"/>
  <c r="G4491" i="15"/>
  <c r="I4491" i="15" s="1"/>
  <c r="J4490" i="15"/>
  <c r="I4490" i="15"/>
  <c r="H4490" i="15"/>
  <c r="G4490" i="15"/>
  <c r="H4489" i="15"/>
  <c r="G4489" i="15"/>
  <c r="J4488" i="15"/>
  <c r="I4488" i="15"/>
  <c r="H4488" i="15"/>
  <c r="G4488" i="15"/>
  <c r="H4487" i="15"/>
  <c r="G4487" i="15"/>
  <c r="J4486" i="15"/>
  <c r="H4486" i="15"/>
  <c r="G4486" i="15"/>
  <c r="I4486" i="15" s="1"/>
  <c r="H4485" i="15"/>
  <c r="G4485" i="15"/>
  <c r="J4484" i="15"/>
  <c r="I4484" i="15"/>
  <c r="H4484" i="15"/>
  <c r="G4484" i="15"/>
  <c r="J4483" i="15"/>
  <c r="H4483" i="15"/>
  <c r="G4483" i="15"/>
  <c r="I4483" i="15" s="1"/>
  <c r="H4482" i="15"/>
  <c r="G4482" i="15"/>
  <c r="J4481" i="15"/>
  <c r="H4481" i="15"/>
  <c r="G4481" i="15"/>
  <c r="I4481" i="15" s="1"/>
  <c r="H4480" i="15"/>
  <c r="G4480" i="15"/>
  <c r="J4479" i="15"/>
  <c r="H4479" i="15"/>
  <c r="G4479" i="15"/>
  <c r="I4479" i="15" s="1"/>
  <c r="I4478" i="15"/>
  <c r="H4478" i="15"/>
  <c r="G4478" i="15"/>
  <c r="J4478" i="15" s="1"/>
  <c r="H4477" i="15"/>
  <c r="G4477" i="15"/>
  <c r="H4476" i="15"/>
  <c r="G4476" i="15"/>
  <c r="I4476" i="15" s="1"/>
  <c r="H4475" i="15"/>
  <c r="G4475" i="15"/>
  <c r="I4475" i="15" s="1"/>
  <c r="I4474" i="15"/>
  <c r="H4474" i="15"/>
  <c r="G4474" i="15"/>
  <c r="J4474" i="15" s="1"/>
  <c r="J4473" i="15"/>
  <c r="H4473" i="15"/>
  <c r="G4473" i="15"/>
  <c r="I4473" i="15" s="1"/>
  <c r="J4472" i="15"/>
  <c r="I4472" i="15"/>
  <c r="H4472" i="15"/>
  <c r="G4472" i="15"/>
  <c r="J4471" i="15"/>
  <c r="H4471" i="15"/>
  <c r="G4471" i="15"/>
  <c r="I4471" i="15" s="1"/>
  <c r="H4470" i="15"/>
  <c r="G4470" i="15"/>
  <c r="H4469" i="15"/>
  <c r="G4469" i="15"/>
  <c r="H4468" i="15"/>
  <c r="G4468" i="15"/>
  <c r="J4468" i="15" s="1"/>
  <c r="J4467" i="15"/>
  <c r="H4467" i="15"/>
  <c r="G4467" i="15"/>
  <c r="I4467" i="15" s="1"/>
  <c r="J4466" i="15"/>
  <c r="I4466" i="15"/>
  <c r="H4466" i="15"/>
  <c r="G4466" i="15"/>
  <c r="J4465" i="15"/>
  <c r="H4465" i="15"/>
  <c r="G4465" i="15"/>
  <c r="I4465" i="15" s="1"/>
  <c r="J4464" i="15"/>
  <c r="I4464" i="15"/>
  <c r="H4464" i="15"/>
  <c r="G4464" i="15"/>
  <c r="H4463" i="15"/>
  <c r="G4463" i="15"/>
  <c r="I4462" i="15"/>
  <c r="H4462" i="15"/>
  <c r="G4462" i="15"/>
  <c r="J4462" i="15" s="1"/>
  <c r="J4461" i="15"/>
  <c r="H4461" i="15"/>
  <c r="G4461" i="15"/>
  <c r="I4461" i="15" s="1"/>
  <c r="H4460" i="15"/>
  <c r="G4460" i="15"/>
  <c r="H4459" i="15"/>
  <c r="G4459" i="15"/>
  <c r="I4459" i="15" s="1"/>
  <c r="H4458" i="15"/>
  <c r="G4458" i="15"/>
  <c r="H4457" i="15"/>
  <c r="G4457" i="15"/>
  <c r="J4456" i="15"/>
  <c r="I4456" i="15"/>
  <c r="H4456" i="15"/>
  <c r="G4456" i="15"/>
  <c r="J4455" i="15"/>
  <c r="H4455" i="15"/>
  <c r="G4455" i="15"/>
  <c r="I4455" i="15" s="1"/>
  <c r="J4454" i="15"/>
  <c r="I4454" i="15"/>
  <c r="H4454" i="15"/>
  <c r="G4454" i="15"/>
  <c r="H4453" i="15"/>
  <c r="G4453" i="15"/>
  <c r="J4452" i="15"/>
  <c r="H4452" i="15"/>
  <c r="G4452" i="15"/>
  <c r="I4452" i="15" s="1"/>
  <c r="H4451" i="15"/>
  <c r="G4451" i="15"/>
  <c r="I4451" i="15" s="1"/>
  <c r="J4450" i="15"/>
  <c r="H4450" i="15"/>
  <c r="G4450" i="15"/>
  <c r="I4450" i="15" s="1"/>
  <c r="J4449" i="15"/>
  <c r="H4449" i="15"/>
  <c r="G4449" i="15"/>
  <c r="I4449" i="15" s="1"/>
  <c r="J4448" i="15"/>
  <c r="I4448" i="15"/>
  <c r="H4448" i="15"/>
  <c r="G4448" i="15"/>
  <c r="J4447" i="15"/>
  <c r="H4447" i="15"/>
  <c r="G4447" i="15"/>
  <c r="I4447" i="15" s="1"/>
  <c r="H4446" i="15"/>
  <c r="G4446" i="15"/>
  <c r="H4445" i="15"/>
  <c r="G4445" i="15"/>
  <c r="I4445" i="15" s="1"/>
  <c r="J4444" i="15"/>
  <c r="H4444" i="15"/>
  <c r="G4444" i="15"/>
  <c r="I4444" i="15" s="1"/>
  <c r="H4443" i="15"/>
  <c r="G4443" i="15"/>
  <c r="J4442" i="15"/>
  <c r="I4442" i="15"/>
  <c r="H4442" i="15"/>
  <c r="G4442" i="15"/>
  <c r="H4441" i="15"/>
  <c r="G4441" i="15"/>
  <c r="J4440" i="15"/>
  <c r="I4440" i="15"/>
  <c r="H4440" i="15"/>
  <c r="G4440" i="15"/>
  <c r="H4439" i="15"/>
  <c r="G4439" i="15"/>
  <c r="I4439" i="15" s="1"/>
  <c r="I4438" i="15"/>
  <c r="H4438" i="15"/>
  <c r="G4438" i="15"/>
  <c r="J4438" i="15" s="1"/>
  <c r="H4437" i="15"/>
  <c r="G4437" i="15"/>
  <c r="H4436" i="15"/>
  <c r="G4436" i="15"/>
  <c r="H4435" i="15"/>
  <c r="G4435" i="15"/>
  <c r="I4435" i="15" s="1"/>
  <c r="H4434" i="15"/>
  <c r="G4434" i="15"/>
  <c r="J4433" i="15"/>
  <c r="H4433" i="15"/>
  <c r="G4433" i="15"/>
  <c r="I4433" i="15" s="1"/>
  <c r="H4432" i="15"/>
  <c r="G4432" i="15"/>
  <c r="J4432" i="15" s="1"/>
  <c r="J4431" i="15"/>
  <c r="H4431" i="15"/>
  <c r="G4431" i="15"/>
  <c r="I4431" i="15" s="1"/>
  <c r="I4430" i="15"/>
  <c r="H4430" i="15"/>
  <c r="G4430" i="15"/>
  <c r="J4430" i="15" s="1"/>
  <c r="H4429" i="15"/>
  <c r="G4429" i="15"/>
  <c r="J4428" i="15"/>
  <c r="H4428" i="15"/>
  <c r="G4428" i="15"/>
  <c r="I4428" i="15" s="1"/>
  <c r="J4427" i="15"/>
  <c r="H4427" i="15"/>
  <c r="G4427" i="15"/>
  <c r="I4427" i="15" s="1"/>
  <c r="J4426" i="15"/>
  <c r="I4426" i="15"/>
  <c r="H4426" i="15"/>
  <c r="G4426" i="15"/>
  <c r="J4425" i="15"/>
  <c r="H4425" i="15"/>
  <c r="G4425" i="15"/>
  <c r="I4425" i="15" s="1"/>
  <c r="J4424" i="15"/>
  <c r="I4424" i="15"/>
  <c r="H4424" i="15"/>
  <c r="G4424" i="15"/>
  <c r="H4423" i="15"/>
  <c r="G4423" i="15"/>
  <c r="I4423" i="15" s="1"/>
  <c r="H4422" i="15"/>
  <c r="G4422" i="15"/>
  <c r="H4421" i="15"/>
  <c r="G4421" i="15"/>
  <c r="J4420" i="15"/>
  <c r="I4420" i="15"/>
  <c r="H4420" i="15"/>
  <c r="G4420" i="15"/>
  <c r="H4419" i="15"/>
  <c r="G4419" i="15"/>
  <c r="J4418" i="15"/>
  <c r="I4418" i="15"/>
  <c r="H4418" i="15"/>
  <c r="G4418" i="15"/>
  <c r="J4417" i="15"/>
  <c r="H4417" i="15"/>
  <c r="G4417" i="15"/>
  <c r="I4417" i="15" s="1"/>
  <c r="J4416" i="15"/>
  <c r="H4416" i="15"/>
  <c r="G4416" i="15"/>
  <c r="I4416" i="15" s="1"/>
  <c r="H4415" i="15"/>
  <c r="G4415" i="15"/>
  <c r="I4415" i="15" s="1"/>
  <c r="I4414" i="15"/>
  <c r="H4414" i="15"/>
  <c r="G4414" i="15"/>
  <c r="J4414" i="15" s="1"/>
  <c r="J4413" i="15"/>
  <c r="H4413" i="15"/>
  <c r="G4413" i="15"/>
  <c r="I4413" i="15" s="1"/>
  <c r="H4412" i="15"/>
  <c r="G4412" i="15"/>
  <c r="J4411" i="15"/>
  <c r="H4411" i="15"/>
  <c r="G4411" i="15"/>
  <c r="I4411" i="15" s="1"/>
  <c r="H4410" i="15"/>
  <c r="G4410" i="15"/>
  <c r="J4410" i="15" s="1"/>
  <c r="J4409" i="15"/>
  <c r="H4409" i="15"/>
  <c r="G4409" i="15"/>
  <c r="I4409" i="15" s="1"/>
  <c r="J4408" i="15"/>
  <c r="I4408" i="15"/>
  <c r="H4408" i="15"/>
  <c r="G4408" i="15"/>
  <c r="H4407" i="15"/>
  <c r="G4407" i="15"/>
  <c r="J4406" i="15"/>
  <c r="I4406" i="15"/>
  <c r="H4406" i="15"/>
  <c r="G4406" i="15"/>
  <c r="H4405" i="15"/>
  <c r="G4405" i="15"/>
  <c r="J4404" i="15"/>
  <c r="H4404" i="15"/>
  <c r="G4404" i="15"/>
  <c r="I4404" i="15" s="1"/>
  <c r="J4403" i="15"/>
  <c r="H4403" i="15"/>
  <c r="G4403" i="15"/>
  <c r="I4403" i="15" s="1"/>
  <c r="J4402" i="15"/>
  <c r="I4402" i="15"/>
  <c r="H4402" i="15"/>
  <c r="G4402" i="15"/>
  <c r="J4401" i="15"/>
  <c r="H4401" i="15"/>
  <c r="G4401" i="15"/>
  <c r="I4401" i="15" s="1"/>
  <c r="H4400" i="15"/>
  <c r="G4400" i="15"/>
  <c r="H4399" i="15"/>
  <c r="G4399" i="15"/>
  <c r="I4399" i="15" s="1"/>
  <c r="H4398" i="15"/>
  <c r="G4398" i="15"/>
  <c r="J4398" i="15" s="1"/>
  <c r="J4397" i="15"/>
  <c r="H4397" i="15"/>
  <c r="G4397" i="15"/>
  <c r="I4397" i="15" s="1"/>
  <c r="J4396" i="15"/>
  <c r="H4396" i="15"/>
  <c r="G4396" i="15"/>
  <c r="I4396" i="15" s="1"/>
  <c r="H4395" i="15"/>
  <c r="G4395" i="15"/>
  <c r="J4394" i="15"/>
  <c r="H4394" i="15"/>
  <c r="G4394" i="15"/>
  <c r="I4394" i="15" s="1"/>
  <c r="H4393" i="15"/>
  <c r="G4393" i="15"/>
  <c r="I4393" i="15" s="1"/>
  <c r="J4392" i="15"/>
  <c r="I4392" i="15"/>
  <c r="H4392" i="15"/>
  <c r="G4392" i="15"/>
  <c r="J4391" i="15"/>
  <c r="H4391" i="15"/>
  <c r="G4391" i="15"/>
  <c r="I4391" i="15" s="1"/>
  <c r="J4390" i="15"/>
  <c r="I4390" i="15"/>
  <c r="H4390" i="15"/>
  <c r="G4390" i="15"/>
  <c r="H4389" i="15"/>
  <c r="G4389" i="15"/>
  <c r="H4388" i="15"/>
  <c r="G4388" i="15"/>
  <c r="H4387" i="15"/>
  <c r="G4387" i="15"/>
  <c r="H4386" i="15"/>
  <c r="G4386" i="15"/>
  <c r="J4386" i="15" s="1"/>
  <c r="J4385" i="15"/>
  <c r="H4385" i="15"/>
  <c r="G4385" i="15"/>
  <c r="I4385" i="15" s="1"/>
  <c r="J4384" i="15"/>
  <c r="I4384" i="15"/>
  <c r="H4384" i="15"/>
  <c r="G4384" i="15"/>
  <c r="H4383" i="15"/>
  <c r="G4383" i="15"/>
  <c r="H4382" i="15"/>
  <c r="G4382" i="15"/>
  <c r="J4382" i="15" s="1"/>
  <c r="H4381" i="15"/>
  <c r="G4381" i="15"/>
  <c r="I4381" i="15" s="1"/>
  <c r="J4380" i="15"/>
  <c r="H4380" i="15"/>
  <c r="G4380" i="15"/>
  <c r="I4380" i="15" s="1"/>
  <c r="J4379" i="15"/>
  <c r="H4379" i="15"/>
  <c r="G4379" i="15"/>
  <c r="I4379" i="15" s="1"/>
  <c r="H4378" i="15"/>
  <c r="G4378" i="15"/>
  <c r="H4377" i="15"/>
  <c r="G4377" i="15"/>
  <c r="I4377" i="15" s="1"/>
  <c r="J4376" i="15"/>
  <c r="I4376" i="15"/>
  <c r="H4376" i="15"/>
  <c r="G4376" i="15"/>
  <c r="H4375" i="15"/>
  <c r="G4375" i="15"/>
  <c r="H4374" i="15"/>
  <c r="G4374" i="15"/>
  <c r="J4374" i="15" s="1"/>
  <c r="H4373" i="15"/>
  <c r="G4373" i="15"/>
  <c r="J4372" i="15"/>
  <c r="I4372" i="15"/>
  <c r="H4372" i="15"/>
  <c r="G4372" i="15"/>
  <c r="H4371" i="15"/>
  <c r="G4371" i="15"/>
  <c r="J4370" i="15"/>
  <c r="H4370" i="15"/>
  <c r="G4370" i="15"/>
  <c r="I4370" i="15" s="1"/>
  <c r="J4369" i="15"/>
  <c r="H4369" i="15"/>
  <c r="G4369" i="15"/>
  <c r="I4369" i="15" s="1"/>
  <c r="I4368" i="15"/>
  <c r="H4368" i="15"/>
  <c r="G4368" i="15"/>
  <c r="J4368" i="15" s="1"/>
  <c r="J4367" i="15"/>
  <c r="H4367" i="15"/>
  <c r="G4367" i="15"/>
  <c r="I4367" i="15" s="1"/>
  <c r="H4366" i="15"/>
  <c r="G4366" i="15"/>
  <c r="H4365" i="15"/>
  <c r="G4365" i="15"/>
  <c r="I4365" i="15" s="1"/>
  <c r="H4364" i="15"/>
  <c r="G4364" i="15"/>
  <c r="I4364" i="15" s="1"/>
  <c r="J4363" i="15"/>
  <c r="H4363" i="15"/>
  <c r="G4363" i="15"/>
  <c r="I4363" i="15" s="1"/>
  <c r="J4362" i="15"/>
  <c r="I4362" i="15"/>
  <c r="H4362" i="15"/>
  <c r="G4362" i="15"/>
  <c r="H4361" i="15"/>
  <c r="G4361" i="15"/>
  <c r="J4360" i="15"/>
  <c r="I4360" i="15"/>
  <c r="H4360" i="15"/>
  <c r="G4360" i="15"/>
  <c r="H4359" i="15"/>
  <c r="G4359" i="15"/>
  <c r="J4358" i="15"/>
  <c r="H4358" i="15"/>
  <c r="G4358" i="15"/>
  <c r="I4358" i="15" s="1"/>
  <c r="H4357" i="15"/>
  <c r="G4357" i="15"/>
  <c r="J4356" i="15"/>
  <c r="I4356" i="15"/>
  <c r="H4356" i="15"/>
  <c r="G4356" i="15"/>
  <c r="J4355" i="15"/>
  <c r="H4355" i="15"/>
  <c r="G4355" i="15"/>
  <c r="I4355" i="15" s="1"/>
  <c r="H4354" i="15"/>
  <c r="G4354" i="15"/>
  <c r="J4353" i="15"/>
  <c r="H4353" i="15"/>
  <c r="G4353" i="15"/>
  <c r="I4353" i="15" s="1"/>
  <c r="H4352" i="15"/>
  <c r="G4352" i="15"/>
  <c r="J4351" i="15"/>
  <c r="H4351" i="15"/>
  <c r="G4351" i="15"/>
  <c r="I4351" i="15" s="1"/>
  <c r="I4350" i="15"/>
  <c r="H4350" i="15"/>
  <c r="G4350" i="15"/>
  <c r="J4350" i="15" s="1"/>
  <c r="H4349" i="15"/>
  <c r="G4349" i="15"/>
  <c r="H4348" i="15"/>
  <c r="G4348" i="15"/>
  <c r="I4348" i="15" s="1"/>
  <c r="H4347" i="15"/>
  <c r="G4347" i="15"/>
  <c r="I4347" i="15" s="1"/>
  <c r="J4346" i="15"/>
  <c r="H4346" i="15"/>
  <c r="G4346" i="15"/>
  <c r="I4346" i="15" s="1"/>
  <c r="J4345" i="15"/>
  <c r="H4345" i="15"/>
  <c r="G4345" i="15"/>
  <c r="I4345" i="15" s="1"/>
  <c r="J4344" i="15"/>
  <c r="I4344" i="15"/>
  <c r="H4344" i="15"/>
  <c r="G4344" i="15"/>
  <c r="J4343" i="15"/>
  <c r="H4343" i="15"/>
  <c r="G4343" i="15"/>
  <c r="I4343" i="15" s="1"/>
  <c r="H4342" i="15"/>
  <c r="G4342" i="15"/>
  <c r="H4341" i="15"/>
  <c r="G4341" i="15"/>
  <c r="H4340" i="15"/>
  <c r="G4340" i="15"/>
  <c r="J4340" i="15" s="1"/>
  <c r="J4339" i="15"/>
  <c r="H4339" i="15"/>
  <c r="G4339" i="15"/>
  <c r="I4339" i="15" s="1"/>
  <c r="J4338" i="15"/>
  <c r="I4338" i="15"/>
  <c r="H4338" i="15"/>
  <c r="G4338" i="15"/>
  <c r="J4337" i="15"/>
  <c r="H4337" i="15"/>
  <c r="G4337" i="15"/>
  <c r="I4337" i="15" s="1"/>
  <c r="J4336" i="15"/>
  <c r="I4336" i="15"/>
  <c r="H4336" i="15"/>
  <c r="G4336" i="15"/>
  <c r="H4335" i="15"/>
  <c r="G4335" i="15"/>
  <c r="I4334" i="15"/>
  <c r="H4334" i="15"/>
  <c r="G4334" i="15"/>
  <c r="J4334" i="15" s="1"/>
  <c r="J4333" i="15"/>
  <c r="H4333" i="15"/>
  <c r="G4333" i="15"/>
  <c r="I4333" i="15" s="1"/>
  <c r="H4332" i="15"/>
  <c r="G4332" i="15"/>
  <c r="H4331" i="15"/>
  <c r="G4331" i="15"/>
  <c r="I4331" i="15" s="1"/>
  <c r="H4330" i="15"/>
  <c r="G4330" i="15"/>
  <c r="J4329" i="15"/>
  <c r="H4329" i="15"/>
  <c r="G4329" i="15"/>
  <c r="I4329" i="15" s="1"/>
  <c r="J4328" i="15"/>
  <c r="I4328" i="15"/>
  <c r="H4328" i="15"/>
  <c r="G4328" i="15"/>
  <c r="J4327" i="15"/>
  <c r="H4327" i="15"/>
  <c r="G4327" i="15"/>
  <c r="I4327" i="15" s="1"/>
  <c r="J4326" i="15"/>
  <c r="I4326" i="15"/>
  <c r="H4326" i="15"/>
  <c r="G4326" i="15"/>
  <c r="H4325" i="15"/>
  <c r="G4325" i="15"/>
  <c r="J4324" i="15"/>
  <c r="H4324" i="15"/>
  <c r="G4324" i="15"/>
  <c r="I4324" i="15" s="1"/>
  <c r="H4323" i="15"/>
  <c r="G4323" i="15"/>
  <c r="I4323" i="15" s="1"/>
  <c r="J4322" i="15"/>
  <c r="H4322" i="15"/>
  <c r="G4322" i="15"/>
  <c r="I4322" i="15" s="1"/>
  <c r="J4321" i="15"/>
  <c r="H4321" i="15"/>
  <c r="G4321" i="15"/>
  <c r="I4321" i="15" s="1"/>
  <c r="J4320" i="15"/>
  <c r="I4320" i="15"/>
  <c r="H4320" i="15"/>
  <c r="G4320" i="15"/>
  <c r="J4319" i="15"/>
  <c r="H4319" i="15"/>
  <c r="G4319" i="15"/>
  <c r="I4319" i="15" s="1"/>
  <c r="H4318" i="15"/>
  <c r="G4318" i="15"/>
  <c r="H4317" i="15"/>
  <c r="G4317" i="15"/>
  <c r="I4317" i="15" s="1"/>
  <c r="H4316" i="15"/>
  <c r="G4316" i="15"/>
  <c r="H4315" i="15"/>
  <c r="G4315" i="15"/>
  <c r="I4315" i="15" s="1"/>
  <c r="H4314" i="15"/>
  <c r="G4314" i="15"/>
  <c r="J4314" i="15" s="1"/>
  <c r="J4313" i="15"/>
  <c r="H4313" i="15"/>
  <c r="G4313" i="15"/>
  <c r="I4313" i="15" s="1"/>
  <c r="J4312" i="15"/>
  <c r="I4312" i="15"/>
  <c r="H4312" i="15"/>
  <c r="G4312" i="15"/>
  <c r="H4311" i="15"/>
  <c r="G4311" i="15"/>
  <c r="J4310" i="15"/>
  <c r="I4310" i="15"/>
  <c r="H4310" i="15"/>
  <c r="G4310" i="15"/>
  <c r="H4309" i="15"/>
  <c r="G4309" i="15"/>
  <c r="J4308" i="15"/>
  <c r="H4308" i="15"/>
  <c r="G4308" i="15"/>
  <c r="I4308" i="15" s="1"/>
  <c r="H4307" i="15"/>
  <c r="G4307" i="15"/>
  <c r="I4307" i="15" s="1"/>
  <c r="J4306" i="15"/>
  <c r="H4306" i="15"/>
  <c r="G4306" i="15"/>
  <c r="I4306" i="15" s="1"/>
  <c r="J4305" i="15"/>
  <c r="H4305" i="15"/>
  <c r="G4305" i="15"/>
  <c r="I4305" i="15" s="1"/>
  <c r="J4304" i="15"/>
  <c r="I4304" i="15"/>
  <c r="H4304" i="15"/>
  <c r="G4304" i="15"/>
  <c r="J4303" i="15"/>
  <c r="H4303" i="15"/>
  <c r="G4303" i="15"/>
  <c r="I4303" i="15" s="1"/>
  <c r="H4302" i="15"/>
  <c r="G4302" i="15"/>
  <c r="H4301" i="15"/>
  <c r="G4301" i="15"/>
  <c r="I4301" i="15" s="1"/>
  <c r="H4300" i="15"/>
  <c r="G4300" i="15"/>
  <c r="J4299" i="15"/>
  <c r="H4299" i="15"/>
  <c r="G4299" i="15"/>
  <c r="I4299" i="15" s="1"/>
  <c r="H4298" i="15"/>
  <c r="G4298" i="15"/>
  <c r="J4298" i="15" s="1"/>
  <c r="J4297" i="15"/>
  <c r="H4297" i="15"/>
  <c r="G4297" i="15"/>
  <c r="I4297" i="15" s="1"/>
  <c r="J4296" i="15"/>
  <c r="I4296" i="15"/>
  <c r="H4296" i="15"/>
  <c r="G4296" i="15"/>
  <c r="H4295" i="15"/>
  <c r="G4295" i="15"/>
  <c r="J4294" i="15"/>
  <c r="I4294" i="15"/>
  <c r="H4294" i="15"/>
  <c r="G4294" i="15"/>
  <c r="H4293" i="15"/>
  <c r="G4293" i="15"/>
  <c r="J4292" i="15"/>
  <c r="H4292" i="15"/>
  <c r="G4292" i="15"/>
  <c r="I4292" i="15" s="1"/>
  <c r="H4291" i="15"/>
  <c r="G4291" i="15"/>
  <c r="I4291" i="15" s="1"/>
  <c r="J4290" i="15"/>
  <c r="H4290" i="15"/>
  <c r="G4290" i="15"/>
  <c r="I4290" i="15" s="1"/>
  <c r="J4289" i="15"/>
  <c r="H4289" i="15"/>
  <c r="G4289" i="15"/>
  <c r="I4289" i="15" s="1"/>
  <c r="J4288" i="15"/>
  <c r="I4288" i="15"/>
  <c r="H4288" i="15"/>
  <c r="G4288" i="15"/>
  <c r="J4287" i="15"/>
  <c r="H4287" i="15"/>
  <c r="G4287" i="15"/>
  <c r="I4287" i="15" s="1"/>
  <c r="H4286" i="15"/>
  <c r="G4286" i="15"/>
  <c r="H4285" i="15"/>
  <c r="G4285" i="15"/>
  <c r="I4285" i="15" s="1"/>
  <c r="H4284" i="15"/>
  <c r="G4284" i="15"/>
  <c r="H4283" i="15"/>
  <c r="G4283" i="15"/>
  <c r="H4282" i="15"/>
  <c r="G4282" i="15"/>
  <c r="J4282" i="15" s="1"/>
  <c r="J4281" i="15"/>
  <c r="H4281" i="15"/>
  <c r="G4281" i="15"/>
  <c r="I4281" i="15" s="1"/>
  <c r="J4280" i="15"/>
  <c r="I4280" i="15"/>
  <c r="H4280" i="15"/>
  <c r="G4280" i="15"/>
  <c r="H4279" i="15"/>
  <c r="G4279" i="15"/>
  <c r="J4278" i="15"/>
  <c r="I4278" i="15"/>
  <c r="H4278" i="15"/>
  <c r="G4278" i="15"/>
  <c r="H4277" i="15"/>
  <c r="G4277" i="15"/>
  <c r="J4276" i="15"/>
  <c r="H4276" i="15"/>
  <c r="G4276" i="15"/>
  <c r="I4276" i="15" s="1"/>
  <c r="H4275" i="15"/>
  <c r="G4275" i="15"/>
  <c r="I4275" i="15" s="1"/>
  <c r="H4274" i="15"/>
  <c r="G4274" i="15"/>
  <c r="I4274" i="15" s="1"/>
  <c r="J4273" i="15"/>
  <c r="H4273" i="15"/>
  <c r="G4273" i="15"/>
  <c r="I4273" i="15" s="1"/>
  <c r="J4272" i="15"/>
  <c r="I4272" i="15"/>
  <c r="H4272" i="15"/>
  <c r="G4272" i="15"/>
  <c r="J4271" i="15"/>
  <c r="H4271" i="15"/>
  <c r="G4271" i="15"/>
  <c r="I4271" i="15" s="1"/>
  <c r="H4270" i="15"/>
  <c r="G4270" i="15"/>
  <c r="H4269" i="15"/>
  <c r="G4269" i="15"/>
  <c r="I4269" i="15" s="1"/>
  <c r="H4268" i="15"/>
  <c r="G4268" i="15"/>
  <c r="J4267" i="15"/>
  <c r="H4267" i="15"/>
  <c r="G4267" i="15"/>
  <c r="I4267" i="15" s="1"/>
  <c r="H4266" i="15"/>
  <c r="G4266" i="15"/>
  <c r="J4266" i="15" s="1"/>
  <c r="J4265" i="15"/>
  <c r="H4265" i="15"/>
  <c r="G4265" i="15"/>
  <c r="I4265" i="15" s="1"/>
  <c r="J4264" i="15"/>
  <c r="I4264" i="15"/>
  <c r="H4264" i="15"/>
  <c r="G4264" i="15"/>
  <c r="H4263" i="15"/>
  <c r="G4263" i="15"/>
  <c r="J4262" i="15"/>
  <c r="I4262" i="15"/>
  <c r="H4262" i="15"/>
  <c r="G4262" i="15"/>
  <c r="H4261" i="15"/>
  <c r="G4261" i="15"/>
  <c r="J4260" i="15"/>
  <c r="H4260" i="15"/>
  <c r="G4260" i="15"/>
  <c r="I4260" i="15" s="1"/>
  <c r="H4259" i="15"/>
  <c r="G4259" i="15"/>
  <c r="I4259" i="15" s="1"/>
  <c r="H4258" i="15"/>
  <c r="G4258" i="15"/>
  <c r="J4258" i="15" s="1"/>
  <c r="J4257" i="15"/>
  <c r="H4257" i="15"/>
  <c r="G4257" i="15"/>
  <c r="I4257" i="15" s="1"/>
  <c r="J4256" i="15"/>
  <c r="I4256" i="15"/>
  <c r="H4256" i="15"/>
  <c r="G4256" i="15"/>
  <c r="J4255" i="15"/>
  <c r="H4255" i="15"/>
  <c r="G4255" i="15"/>
  <c r="I4255" i="15" s="1"/>
  <c r="H4254" i="15"/>
  <c r="G4254" i="15"/>
  <c r="H4253" i="15"/>
  <c r="G4253" i="15"/>
  <c r="I4253" i="15" s="1"/>
  <c r="H4252" i="15"/>
  <c r="G4252" i="15"/>
  <c r="J4251" i="15"/>
  <c r="H4251" i="15"/>
  <c r="G4251" i="15"/>
  <c r="I4251" i="15" s="1"/>
  <c r="H4250" i="15"/>
  <c r="G4250" i="15"/>
  <c r="J4250" i="15" s="1"/>
  <c r="J4249" i="15"/>
  <c r="H4249" i="15"/>
  <c r="G4249" i="15"/>
  <c r="I4249" i="15" s="1"/>
  <c r="J4248" i="15"/>
  <c r="I4248" i="15"/>
  <c r="H4248" i="15"/>
  <c r="G4248" i="15"/>
  <c r="H4247" i="15"/>
  <c r="G4247" i="15"/>
  <c r="J4246" i="15"/>
  <c r="I4246" i="15"/>
  <c r="H4246" i="15"/>
  <c r="G4246" i="15"/>
  <c r="H4245" i="15"/>
  <c r="G4245" i="15"/>
  <c r="J4244" i="15"/>
  <c r="H4244" i="15"/>
  <c r="G4244" i="15"/>
  <c r="I4244" i="15" s="1"/>
  <c r="H4243" i="15"/>
  <c r="G4243" i="15"/>
  <c r="I4243" i="15" s="1"/>
  <c r="J4242" i="15"/>
  <c r="I4242" i="15"/>
  <c r="H4242" i="15"/>
  <c r="G4242" i="15"/>
  <c r="J4241" i="15"/>
  <c r="H4241" i="15"/>
  <c r="G4241" i="15"/>
  <c r="I4241" i="15" s="1"/>
  <c r="J4240" i="15"/>
  <c r="I4240" i="15"/>
  <c r="H4240" i="15"/>
  <c r="G4240" i="15"/>
  <c r="J4239" i="15"/>
  <c r="H4239" i="15"/>
  <c r="G4239" i="15"/>
  <c r="I4239" i="15" s="1"/>
  <c r="H4238" i="15"/>
  <c r="G4238" i="15"/>
  <c r="H4237" i="15"/>
  <c r="G4237" i="15"/>
  <c r="I4237" i="15" s="1"/>
  <c r="H4236" i="15"/>
  <c r="G4236" i="15"/>
  <c r="H4235" i="15"/>
  <c r="G4235" i="15"/>
  <c r="I4235" i="15" s="1"/>
  <c r="H4234" i="15"/>
  <c r="G4234" i="15"/>
  <c r="J4234" i="15" s="1"/>
  <c r="J4233" i="15"/>
  <c r="H4233" i="15"/>
  <c r="G4233" i="15"/>
  <c r="I4233" i="15" s="1"/>
  <c r="J4232" i="15"/>
  <c r="I4232" i="15"/>
  <c r="H4232" i="15"/>
  <c r="G4232" i="15"/>
  <c r="H4231" i="15"/>
  <c r="G4231" i="15"/>
  <c r="J4230" i="15"/>
  <c r="I4230" i="15"/>
  <c r="H4230" i="15"/>
  <c r="G4230" i="15"/>
  <c r="H4229" i="15"/>
  <c r="G4229" i="15"/>
  <c r="J4228" i="15"/>
  <c r="H4228" i="15"/>
  <c r="G4228" i="15"/>
  <c r="I4228" i="15" s="1"/>
  <c r="H4227" i="15"/>
  <c r="G4227" i="15"/>
  <c r="I4227" i="15" s="1"/>
  <c r="I4226" i="15"/>
  <c r="H4226" i="15"/>
  <c r="G4226" i="15"/>
  <c r="J4226" i="15" s="1"/>
  <c r="J4225" i="15"/>
  <c r="H4225" i="15"/>
  <c r="G4225" i="15"/>
  <c r="I4225" i="15" s="1"/>
  <c r="J4224" i="15"/>
  <c r="I4224" i="15"/>
  <c r="H4224" i="15"/>
  <c r="G4224" i="15"/>
  <c r="J4223" i="15"/>
  <c r="H4223" i="15"/>
  <c r="G4223" i="15"/>
  <c r="I4223" i="15" s="1"/>
  <c r="H4222" i="15"/>
  <c r="G4222" i="15"/>
  <c r="H4221" i="15"/>
  <c r="G4221" i="15"/>
  <c r="I4221" i="15" s="1"/>
  <c r="H4220" i="15"/>
  <c r="G4220" i="15"/>
  <c r="J4219" i="15"/>
  <c r="H4219" i="15"/>
  <c r="G4219" i="15"/>
  <c r="I4219" i="15" s="1"/>
  <c r="H4218" i="15"/>
  <c r="G4218" i="15"/>
  <c r="J4218" i="15" s="1"/>
  <c r="J4217" i="15"/>
  <c r="H4217" i="15"/>
  <c r="G4217" i="15"/>
  <c r="I4217" i="15" s="1"/>
  <c r="J4216" i="15"/>
  <c r="I4216" i="15"/>
  <c r="H4216" i="15"/>
  <c r="G4216" i="15"/>
  <c r="H4215" i="15"/>
  <c r="G4215" i="15"/>
  <c r="J4214" i="15"/>
  <c r="I4214" i="15"/>
  <c r="H4214" i="15"/>
  <c r="G4214" i="15"/>
  <c r="H4213" i="15"/>
  <c r="G4213" i="15"/>
  <c r="J4212" i="15"/>
  <c r="H4212" i="15"/>
  <c r="G4212" i="15"/>
  <c r="I4212" i="15" s="1"/>
  <c r="H4211" i="15"/>
  <c r="G4211" i="15"/>
  <c r="I4211" i="15" s="1"/>
  <c r="J4210" i="15"/>
  <c r="H4210" i="15"/>
  <c r="G4210" i="15"/>
  <c r="I4210" i="15" s="1"/>
  <c r="J4209" i="15"/>
  <c r="H4209" i="15"/>
  <c r="G4209" i="15"/>
  <c r="I4209" i="15" s="1"/>
  <c r="J4208" i="15"/>
  <c r="I4208" i="15"/>
  <c r="H4208" i="15"/>
  <c r="G4208" i="15"/>
  <c r="J4207" i="15"/>
  <c r="H4207" i="15"/>
  <c r="G4207" i="15"/>
  <c r="I4207" i="15" s="1"/>
  <c r="H4206" i="15"/>
  <c r="G4206" i="15"/>
  <c r="H4205" i="15"/>
  <c r="G4205" i="15"/>
  <c r="I4205" i="15" s="1"/>
  <c r="H4204" i="15"/>
  <c r="G4204" i="15"/>
  <c r="H4203" i="15"/>
  <c r="G4203" i="15"/>
  <c r="I4203" i="15" s="1"/>
  <c r="H4202" i="15"/>
  <c r="G4202" i="15"/>
  <c r="J4202" i="15" s="1"/>
  <c r="J4201" i="15"/>
  <c r="H4201" i="15"/>
  <c r="G4201" i="15"/>
  <c r="I4201" i="15" s="1"/>
  <c r="J4200" i="15"/>
  <c r="I4200" i="15"/>
  <c r="H4200" i="15"/>
  <c r="G4200" i="15"/>
  <c r="H4199" i="15"/>
  <c r="G4199" i="15"/>
  <c r="J4198" i="15"/>
  <c r="I4198" i="15"/>
  <c r="H4198" i="15"/>
  <c r="G4198" i="15"/>
  <c r="H4197" i="15"/>
  <c r="G4197" i="15"/>
  <c r="J4196" i="15"/>
  <c r="I4196" i="15"/>
  <c r="H4196" i="15"/>
  <c r="G4196" i="15"/>
  <c r="H4195" i="15"/>
  <c r="G4195" i="15"/>
  <c r="I4195" i="15" s="1"/>
  <c r="J4194" i="15"/>
  <c r="I4194" i="15"/>
  <c r="H4194" i="15"/>
  <c r="G4194" i="15"/>
  <c r="J4193" i="15"/>
  <c r="H4193" i="15"/>
  <c r="G4193" i="15"/>
  <c r="I4193" i="15" s="1"/>
  <c r="I4192" i="15"/>
  <c r="H4192" i="15"/>
  <c r="G4192" i="15"/>
  <c r="J4192" i="15" s="1"/>
  <c r="J4191" i="15"/>
  <c r="H4191" i="15"/>
  <c r="G4191" i="15"/>
  <c r="I4191" i="15" s="1"/>
  <c r="H4190" i="15"/>
  <c r="G4190" i="15"/>
  <c r="J4189" i="15"/>
  <c r="H4189" i="15"/>
  <c r="G4189" i="15"/>
  <c r="I4189" i="15" s="1"/>
  <c r="H4188" i="15"/>
  <c r="G4188" i="15"/>
  <c r="J4187" i="15"/>
  <c r="H4187" i="15"/>
  <c r="G4187" i="15"/>
  <c r="I4187" i="15" s="1"/>
  <c r="H4186" i="15"/>
  <c r="G4186" i="15"/>
  <c r="J4186" i="15" s="1"/>
  <c r="J4185" i="15"/>
  <c r="H4185" i="15"/>
  <c r="G4185" i="15"/>
  <c r="I4185" i="15" s="1"/>
  <c r="J4184" i="15"/>
  <c r="I4184" i="15"/>
  <c r="H4184" i="15"/>
  <c r="G4184" i="15"/>
  <c r="H4183" i="15"/>
  <c r="G4183" i="15"/>
  <c r="J4182" i="15"/>
  <c r="I4182" i="15"/>
  <c r="H4182" i="15"/>
  <c r="G4182" i="15"/>
  <c r="H4181" i="15"/>
  <c r="G4181" i="15"/>
  <c r="J4180" i="15"/>
  <c r="I4180" i="15"/>
  <c r="H4180" i="15"/>
  <c r="G4180" i="15"/>
  <c r="H4179" i="15"/>
  <c r="G4179" i="15"/>
  <c r="I4179" i="15" s="1"/>
  <c r="I4178" i="15"/>
  <c r="H4178" i="15"/>
  <c r="G4178" i="15"/>
  <c r="J4178" i="15" s="1"/>
  <c r="J4177" i="15"/>
  <c r="H4177" i="15"/>
  <c r="G4177" i="15"/>
  <c r="I4177" i="15" s="1"/>
  <c r="H4176" i="15"/>
  <c r="G4176" i="15"/>
  <c r="J4175" i="15"/>
  <c r="H4175" i="15"/>
  <c r="G4175" i="15"/>
  <c r="I4175" i="15" s="1"/>
  <c r="H4174" i="15"/>
  <c r="G4174" i="15"/>
  <c r="J4173" i="15"/>
  <c r="H4173" i="15"/>
  <c r="G4173" i="15"/>
  <c r="I4173" i="15" s="1"/>
  <c r="H4172" i="15"/>
  <c r="G4172" i="15"/>
  <c r="J4171" i="15"/>
  <c r="H4171" i="15"/>
  <c r="G4171" i="15"/>
  <c r="I4171" i="15" s="1"/>
  <c r="H4170" i="15"/>
  <c r="G4170" i="15"/>
  <c r="J4170" i="15" s="1"/>
  <c r="H4169" i="15"/>
  <c r="G4169" i="15"/>
  <c r="I4169" i="15" s="1"/>
  <c r="J4168" i="15"/>
  <c r="I4168" i="15"/>
  <c r="H4168" i="15"/>
  <c r="G4168" i="15"/>
  <c r="H4167" i="15"/>
  <c r="G4167" i="15"/>
  <c r="J4166" i="15"/>
  <c r="I4166" i="15"/>
  <c r="H4166" i="15"/>
  <c r="G4166" i="15"/>
  <c r="H4165" i="15"/>
  <c r="G4165" i="15"/>
  <c r="J4164" i="15"/>
  <c r="I4164" i="15"/>
  <c r="H4164" i="15"/>
  <c r="G4164" i="15"/>
  <c r="H4163" i="15"/>
  <c r="G4163" i="15"/>
  <c r="I4163" i="15" s="1"/>
  <c r="H4162" i="15"/>
  <c r="G4162" i="15"/>
  <c r="J4161" i="15"/>
  <c r="H4161" i="15"/>
  <c r="G4161" i="15"/>
  <c r="I4161" i="15" s="1"/>
  <c r="I4160" i="15"/>
  <c r="H4160" i="15"/>
  <c r="G4160" i="15"/>
  <c r="J4160" i="15" s="1"/>
  <c r="J4159" i="15"/>
  <c r="H4159" i="15"/>
  <c r="G4159" i="15"/>
  <c r="I4159" i="15" s="1"/>
  <c r="I4158" i="15"/>
  <c r="H4158" i="15"/>
  <c r="G4158" i="15"/>
  <c r="J4158" i="15" s="1"/>
  <c r="J4157" i="15"/>
  <c r="H4157" i="15"/>
  <c r="G4157" i="15"/>
  <c r="I4157" i="15" s="1"/>
  <c r="H4156" i="15"/>
  <c r="G4156" i="15"/>
  <c r="J4155" i="15"/>
  <c r="H4155" i="15"/>
  <c r="G4155" i="15"/>
  <c r="I4155" i="15" s="1"/>
  <c r="H4154" i="15"/>
  <c r="G4154" i="15"/>
  <c r="J4153" i="15"/>
  <c r="H4153" i="15"/>
  <c r="G4153" i="15"/>
  <c r="I4153" i="15" s="1"/>
  <c r="J4152" i="15"/>
  <c r="I4152" i="15"/>
  <c r="H4152" i="15"/>
  <c r="G4152" i="15"/>
  <c r="H4151" i="15"/>
  <c r="G4151" i="15"/>
  <c r="J4150" i="15"/>
  <c r="I4150" i="15"/>
  <c r="H4150" i="15"/>
  <c r="G4150" i="15"/>
  <c r="H4149" i="15"/>
  <c r="G4149" i="15"/>
  <c r="J4148" i="15"/>
  <c r="I4148" i="15"/>
  <c r="H4148" i="15"/>
  <c r="G4148" i="15"/>
  <c r="H4147" i="15"/>
  <c r="G4147" i="15"/>
  <c r="H4146" i="15"/>
  <c r="G4146" i="15"/>
  <c r="J4146" i="15" s="1"/>
  <c r="J4145" i="15"/>
  <c r="H4145" i="15"/>
  <c r="G4145" i="15"/>
  <c r="I4145" i="15" s="1"/>
  <c r="J4144" i="15"/>
  <c r="H4144" i="15"/>
  <c r="G4144" i="15"/>
  <c r="I4144" i="15" s="1"/>
  <c r="J4143" i="15"/>
  <c r="H4143" i="15"/>
  <c r="G4143" i="15"/>
  <c r="I4143" i="15" s="1"/>
  <c r="H4142" i="15"/>
  <c r="G4142" i="15"/>
  <c r="J4142" i="15" s="1"/>
  <c r="J4141" i="15"/>
  <c r="H4141" i="15"/>
  <c r="G4141" i="15"/>
  <c r="I4141" i="15" s="1"/>
  <c r="H4140" i="15"/>
  <c r="G4140" i="15"/>
  <c r="H4139" i="15"/>
  <c r="G4139" i="15"/>
  <c r="I4139" i="15" s="1"/>
  <c r="H4138" i="15"/>
  <c r="G4138" i="15"/>
  <c r="J4137" i="15"/>
  <c r="H4137" i="15"/>
  <c r="G4137" i="15"/>
  <c r="I4137" i="15" s="1"/>
  <c r="J4136" i="15"/>
  <c r="I4136" i="15"/>
  <c r="H4136" i="15"/>
  <c r="G4136" i="15"/>
  <c r="J4135" i="15"/>
  <c r="H4135" i="15"/>
  <c r="G4135" i="15"/>
  <c r="I4135" i="15" s="1"/>
  <c r="J4134" i="15"/>
  <c r="I4134" i="15"/>
  <c r="H4134" i="15"/>
  <c r="G4134" i="15"/>
  <c r="H4133" i="15"/>
  <c r="G4133" i="15"/>
  <c r="J4132" i="15"/>
  <c r="I4132" i="15"/>
  <c r="H4132" i="15"/>
  <c r="G4132" i="15"/>
  <c r="H4131" i="15"/>
  <c r="G4131" i="15"/>
  <c r="J4130" i="15"/>
  <c r="I4130" i="15"/>
  <c r="H4130" i="15"/>
  <c r="G4130" i="15"/>
  <c r="J4129" i="15"/>
  <c r="H4129" i="15"/>
  <c r="G4129" i="15"/>
  <c r="I4129" i="15" s="1"/>
  <c r="H4128" i="15"/>
  <c r="G4128" i="15"/>
  <c r="J4128" i="15" s="1"/>
  <c r="J4127" i="15"/>
  <c r="H4127" i="15"/>
  <c r="G4127" i="15"/>
  <c r="I4127" i="15" s="1"/>
  <c r="I4126" i="15"/>
  <c r="H4126" i="15"/>
  <c r="G4126" i="15"/>
  <c r="J4126" i="15" s="1"/>
  <c r="J4125" i="15"/>
  <c r="H4125" i="15"/>
  <c r="G4125" i="15"/>
  <c r="I4125" i="15" s="1"/>
  <c r="H4124" i="15"/>
  <c r="G4124" i="15"/>
  <c r="J4123" i="15"/>
  <c r="H4123" i="15"/>
  <c r="G4123" i="15"/>
  <c r="I4123" i="15" s="1"/>
  <c r="H4122" i="15"/>
  <c r="G4122" i="15"/>
  <c r="J4121" i="15"/>
  <c r="H4121" i="15"/>
  <c r="G4121" i="15"/>
  <c r="I4121" i="15" s="1"/>
  <c r="J4120" i="15"/>
  <c r="I4120" i="15"/>
  <c r="H4120" i="15"/>
  <c r="G4120" i="15"/>
  <c r="J4119" i="15"/>
  <c r="H4119" i="15"/>
  <c r="G4119" i="15"/>
  <c r="I4119" i="15" s="1"/>
  <c r="J4118" i="15"/>
  <c r="I4118" i="15"/>
  <c r="H4118" i="15"/>
  <c r="G4118" i="15"/>
  <c r="H4117" i="15"/>
  <c r="G4117" i="15"/>
  <c r="J4116" i="15"/>
  <c r="I4116" i="15"/>
  <c r="H4116" i="15"/>
  <c r="G4116" i="15"/>
  <c r="H4115" i="15"/>
  <c r="G4115" i="15"/>
  <c r="J4114" i="15"/>
  <c r="I4114" i="15"/>
  <c r="H4114" i="15"/>
  <c r="G4114" i="15"/>
  <c r="J4113" i="15"/>
  <c r="H4113" i="15"/>
  <c r="G4113" i="15"/>
  <c r="I4113" i="15" s="1"/>
  <c r="I4112" i="15"/>
  <c r="H4112" i="15"/>
  <c r="G4112" i="15"/>
  <c r="J4112" i="15" s="1"/>
  <c r="J4111" i="15"/>
  <c r="H4111" i="15"/>
  <c r="G4111" i="15"/>
  <c r="I4111" i="15" s="1"/>
  <c r="H4110" i="15"/>
  <c r="G4110" i="15"/>
  <c r="J4109" i="15"/>
  <c r="H4109" i="15"/>
  <c r="G4109" i="15"/>
  <c r="I4109" i="15" s="1"/>
  <c r="H4108" i="15"/>
  <c r="G4108" i="15"/>
  <c r="H4107" i="15"/>
  <c r="G4107" i="15"/>
  <c r="H4106" i="15"/>
  <c r="G4106" i="15"/>
  <c r="J4105" i="15"/>
  <c r="H4105" i="15"/>
  <c r="G4105" i="15"/>
  <c r="I4105" i="15" s="1"/>
  <c r="J4104" i="15"/>
  <c r="I4104" i="15"/>
  <c r="H4104" i="15"/>
  <c r="G4104" i="15"/>
  <c r="J4103" i="15"/>
  <c r="H4103" i="15"/>
  <c r="G4103" i="15"/>
  <c r="I4103" i="15" s="1"/>
  <c r="J4102" i="15"/>
  <c r="I4102" i="15"/>
  <c r="H4102" i="15"/>
  <c r="G4102" i="15"/>
  <c r="H4101" i="15"/>
  <c r="G4101" i="15"/>
  <c r="J4100" i="15"/>
  <c r="I4100" i="15"/>
  <c r="H4100" i="15"/>
  <c r="G4100" i="15"/>
  <c r="H4099" i="15"/>
  <c r="G4099" i="15"/>
  <c r="J4098" i="15"/>
  <c r="I4098" i="15"/>
  <c r="H4098" i="15"/>
  <c r="G4098" i="15"/>
  <c r="J4097" i="15"/>
  <c r="H4097" i="15"/>
  <c r="G4097" i="15"/>
  <c r="I4097" i="15" s="1"/>
  <c r="J4096" i="15"/>
  <c r="H4096" i="15"/>
  <c r="G4096" i="15"/>
  <c r="I4096" i="15" s="1"/>
  <c r="J4095" i="15"/>
  <c r="H4095" i="15"/>
  <c r="G4095" i="15"/>
  <c r="I4095" i="15" s="1"/>
  <c r="I4094" i="15"/>
  <c r="H4094" i="15"/>
  <c r="G4094" i="15"/>
  <c r="J4094" i="15" s="1"/>
  <c r="J4093" i="15"/>
  <c r="H4093" i="15"/>
  <c r="G4093" i="15"/>
  <c r="I4093" i="15" s="1"/>
  <c r="H4092" i="15"/>
  <c r="G4092" i="15"/>
  <c r="J4091" i="15"/>
  <c r="H4091" i="15"/>
  <c r="G4091" i="15"/>
  <c r="I4091" i="15" s="1"/>
  <c r="H4090" i="15"/>
  <c r="G4090" i="15"/>
  <c r="H4089" i="15"/>
  <c r="G4089" i="15"/>
  <c r="I4089" i="15" s="1"/>
  <c r="J4088" i="15"/>
  <c r="I4088" i="15"/>
  <c r="H4088" i="15"/>
  <c r="G4088" i="15"/>
  <c r="J4087" i="15"/>
  <c r="H4087" i="15"/>
  <c r="G4087" i="15"/>
  <c r="I4087" i="15" s="1"/>
  <c r="J4086" i="15"/>
  <c r="I4086" i="15"/>
  <c r="H4086" i="15"/>
  <c r="G4086" i="15"/>
  <c r="H4085" i="15"/>
  <c r="G4085" i="15"/>
  <c r="J4084" i="15"/>
  <c r="I4084" i="15"/>
  <c r="H4084" i="15"/>
  <c r="G4084" i="15"/>
  <c r="H4083" i="15"/>
  <c r="G4083" i="15"/>
  <c r="I4082" i="15"/>
  <c r="H4082" i="15"/>
  <c r="G4082" i="15"/>
  <c r="J4082" i="15" s="1"/>
  <c r="J4081" i="15"/>
  <c r="H4081" i="15"/>
  <c r="G4081" i="15"/>
  <c r="I4081" i="15" s="1"/>
  <c r="J4080" i="15"/>
  <c r="I4080" i="15"/>
  <c r="H4080" i="15"/>
  <c r="G4080" i="15"/>
  <c r="J4079" i="15"/>
  <c r="H4079" i="15"/>
  <c r="G4079" i="15"/>
  <c r="I4079" i="15" s="1"/>
  <c r="I4078" i="15"/>
  <c r="H4078" i="15"/>
  <c r="G4078" i="15"/>
  <c r="J4078" i="15" s="1"/>
  <c r="J4077" i="15"/>
  <c r="H4077" i="15"/>
  <c r="G4077" i="15"/>
  <c r="I4077" i="15" s="1"/>
  <c r="H4076" i="15"/>
  <c r="G4076" i="15"/>
  <c r="J4075" i="15"/>
  <c r="H4075" i="15"/>
  <c r="G4075" i="15"/>
  <c r="I4075" i="15" s="1"/>
  <c r="H4074" i="15"/>
  <c r="G4074" i="15"/>
  <c r="J4073" i="15"/>
  <c r="H4073" i="15"/>
  <c r="G4073" i="15"/>
  <c r="I4073" i="15" s="1"/>
  <c r="J4072" i="15"/>
  <c r="I4072" i="15"/>
  <c r="H4072" i="15"/>
  <c r="G4072" i="15"/>
  <c r="H4071" i="15"/>
  <c r="G4071" i="15"/>
  <c r="I4071" i="15" s="1"/>
  <c r="J4070" i="15"/>
  <c r="I4070" i="15"/>
  <c r="H4070" i="15"/>
  <c r="G4070" i="15"/>
  <c r="H4069" i="15"/>
  <c r="G4069" i="15"/>
  <c r="J4068" i="15"/>
  <c r="I4068" i="15"/>
  <c r="H4068" i="15"/>
  <c r="G4068" i="15"/>
  <c r="H4067" i="15"/>
  <c r="G4067" i="15"/>
  <c r="J4066" i="15"/>
  <c r="H4066" i="15"/>
  <c r="G4066" i="15"/>
  <c r="I4066" i="15" s="1"/>
  <c r="J4065" i="15"/>
  <c r="H4065" i="15"/>
  <c r="G4065" i="15"/>
  <c r="I4065" i="15" s="1"/>
  <c r="H4064" i="15"/>
  <c r="G4064" i="15"/>
  <c r="J4064" i="15" s="1"/>
  <c r="J4063" i="15"/>
  <c r="H4063" i="15"/>
  <c r="G4063" i="15"/>
  <c r="I4063" i="15" s="1"/>
  <c r="H4062" i="15"/>
  <c r="G4062" i="15"/>
  <c r="J4061" i="15"/>
  <c r="H4061" i="15"/>
  <c r="G4061" i="15"/>
  <c r="I4061" i="15" s="1"/>
  <c r="H4060" i="15"/>
  <c r="G4060" i="15"/>
  <c r="H4059" i="15"/>
  <c r="G4059" i="15"/>
  <c r="H4058" i="15"/>
  <c r="G4058" i="15"/>
  <c r="H4057" i="15"/>
  <c r="G4057" i="15"/>
  <c r="J4056" i="15"/>
  <c r="I4056" i="15"/>
  <c r="H4056" i="15"/>
  <c r="G4056" i="15"/>
  <c r="H4055" i="15"/>
  <c r="G4055" i="15"/>
  <c r="I4055" i="15" s="1"/>
  <c r="J4054" i="15"/>
  <c r="I4054" i="15"/>
  <c r="H4054" i="15"/>
  <c r="G4054" i="15"/>
  <c r="H4053" i="15"/>
  <c r="G4053" i="15"/>
  <c r="J4052" i="15"/>
  <c r="I4052" i="15"/>
  <c r="H4052" i="15"/>
  <c r="G4052" i="15"/>
  <c r="H4051" i="15"/>
  <c r="G4051" i="15"/>
  <c r="I4050" i="15"/>
  <c r="H4050" i="15"/>
  <c r="G4050" i="15"/>
  <c r="J4050" i="15" s="1"/>
  <c r="J4049" i="15"/>
  <c r="H4049" i="15"/>
  <c r="G4049" i="15"/>
  <c r="I4049" i="15" s="1"/>
  <c r="J4048" i="15"/>
  <c r="H4048" i="15"/>
  <c r="G4048" i="15"/>
  <c r="I4048" i="15" s="1"/>
  <c r="J4047" i="15"/>
  <c r="H4047" i="15"/>
  <c r="G4047" i="15"/>
  <c r="I4047" i="15" s="1"/>
  <c r="I4046" i="15"/>
  <c r="H4046" i="15"/>
  <c r="G4046" i="15"/>
  <c r="J4046" i="15" s="1"/>
  <c r="J4045" i="15"/>
  <c r="H4045" i="15"/>
  <c r="G4045" i="15"/>
  <c r="I4045" i="15" s="1"/>
  <c r="H4044" i="15"/>
  <c r="G4044" i="15"/>
  <c r="J4043" i="15"/>
  <c r="H4043" i="15"/>
  <c r="G4043" i="15"/>
  <c r="I4043" i="15" s="1"/>
  <c r="H4042" i="15"/>
  <c r="G4042" i="15"/>
  <c r="H4041" i="15"/>
  <c r="G4041" i="15"/>
  <c r="I4041" i="15" s="1"/>
  <c r="J4040" i="15"/>
  <c r="I4040" i="15"/>
  <c r="H4040" i="15"/>
  <c r="G4040" i="15"/>
  <c r="H4039" i="15"/>
  <c r="G4039" i="15"/>
  <c r="J4038" i="15"/>
  <c r="I4038" i="15"/>
  <c r="H4038" i="15"/>
  <c r="G4038" i="15"/>
  <c r="H4037" i="15"/>
  <c r="G4037" i="15"/>
  <c r="J4036" i="15"/>
  <c r="I4036" i="15"/>
  <c r="H4036" i="15"/>
  <c r="G4036" i="15"/>
  <c r="H4035" i="15"/>
  <c r="G4035" i="15"/>
  <c r="H4034" i="15"/>
  <c r="G4034" i="15"/>
  <c r="J4033" i="15"/>
  <c r="H4033" i="15"/>
  <c r="G4033" i="15"/>
  <c r="I4033" i="15" s="1"/>
  <c r="I4032" i="15"/>
  <c r="H4032" i="15"/>
  <c r="G4032" i="15"/>
  <c r="J4032" i="15" s="1"/>
  <c r="J4031" i="15"/>
  <c r="H4031" i="15"/>
  <c r="G4031" i="15"/>
  <c r="I4031" i="15" s="1"/>
  <c r="I4030" i="15"/>
  <c r="H4030" i="15"/>
  <c r="G4030" i="15"/>
  <c r="J4030" i="15" s="1"/>
  <c r="J4029" i="15"/>
  <c r="H4029" i="15"/>
  <c r="G4029" i="15"/>
  <c r="I4029" i="15" s="1"/>
  <c r="H4028" i="15"/>
  <c r="G4028" i="15"/>
  <c r="J4027" i="15"/>
  <c r="H4027" i="15"/>
  <c r="G4027" i="15"/>
  <c r="I4027" i="15" s="1"/>
  <c r="H4026" i="15"/>
  <c r="G4026" i="15"/>
  <c r="J4025" i="15"/>
  <c r="H4025" i="15"/>
  <c r="G4025" i="15"/>
  <c r="I4025" i="15" s="1"/>
  <c r="J4024" i="15"/>
  <c r="I4024" i="15"/>
  <c r="H4024" i="15"/>
  <c r="G4024" i="15"/>
  <c r="H4023" i="15"/>
  <c r="G4023" i="15"/>
  <c r="J4022" i="15"/>
  <c r="I4022" i="15"/>
  <c r="H4022" i="15"/>
  <c r="G4022" i="15"/>
  <c r="H4021" i="15"/>
  <c r="G4021" i="15"/>
  <c r="J4020" i="15"/>
  <c r="I4020" i="15"/>
  <c r="H4020" i="15"/>
  <c r="G4020" i="15"/>
  <c r="H4019" i="15"/>
  <c r="G4019" i="15"/>
  <c r="H4018" i="15"/>
  <c r="G4018" i="15"/>
  <c r="J4018" i="15" s="1"/>
  <c r="J4017" i="15"/>
  <c r="H4017" i="15"/>
  <c r="G4017" i="15"/>
  <c r="I4017" i="15" s="1"/>
  <c r="J4016" i="15"/>
  <c r="H4016" i="15"/>
  <c r="G4016" i="15"/>
  <c r="I4016" i="15" s="1"/>
  <c r="J4015" i="15"/>
  <c r="H4015" i="15"/>
  <c r="G4015" i="15"/>
  <c r="I4015" i="15" s="1"/>
  <c r="H4014" i="15"/>
  <c r="G4014" i="15"/>
  <c r="J4014" i="15" s="1"/>
  <c r="J4013" i="15"/>
  <c r="H4013" i="15"/>
  <c r="G4013" i="15"/>
  <c r="I4013" i="15" s="1"/>
  <c r="H4012" i="15"/>
  <c r="G4012" i="15"/>
  <c r="H4011" i="15"/>
  <c r="G4011" i="15"/>
  <c r="I4011" i="15" s="1"/>
  <c r="H4010" i="15"/>
  <c r="G4010" i="15"/>
  <c r="J4009" i="15"/>
  <c r="H4009" i="15"/>
  <c r="G4009" i="15"/>
  <c r="I4009" i="15" s="1"/>
  <c r="J4008" i="15"/>
  <c r="I4008" i="15"/>
  <c r="H4008" i="15"/>
  <c r="G4008" i="15"/>
  <c r="J4007" i="15"/>
  <c r="H4007" i="15"/>
  <c r="G4007" i="15"/>
  <c r="I4007" i="15" s="1"/>
  <c r="J4006" i="15"/>
  <c r="I4006" i="15"/>
  <c r="H4006" i="15"/>
  <c r="G4006" i="15"/>
  <c r="H4005" i="15"/>
  <c r="G4005" i="15"/>
  <c r="J4004" i="15"/>
  <c r="I4004" i="15"/>
  <c r="H4004" i="15"/>
  <c r="G4004" i="15"/>
  <c r="H4003" i="15"/>
  <c r="G4003" i="15"/>
  <c r="J4002" i="15"/>
  <c r="I4002" i="15"/>
  <c r="H4002" i="15"/>
  <c r="G4002" i="15"/>
  <c r="J4001" i="15"/>
  <c r="H4001" i="15"/>
  <c r="G4001" i="15"/>
  <c r="I4001" i="15" s="1"/>
  <c r="H4000" i="15"/>
  <c r="G4000" i="15"/>
  <c r="J4000" i="15" s="1"/>
  <c r="J3999" i="15"/>
  <c r="H3999" i="15"/>
  <c r="G3999" i="15"/>
  <c r="I3999" i="15" s="1"/>
  <c r="I3998" i="15"/>
  <c r="H3998" i="15"/>
  <c r="G3998" i="15"/>
  <c r="J3998" i="15" s="1"/>
  <c r="J3997" i="15"/>
  <c r="H3997" i="15"/>
  <c r="G3997" i="15"/>
  <c r="I3997" i="15" s="1"/>
  <c r="H3996" i="15"/>
  <c r="G3996" i="15"/>
  <c r="J3995" i="15"/>
  <c r="H3995" i="15"/>
  <c r="G3995" i="15"/>
  <c r="I3995" i="15" s="1"/>
  <c r="H3994" i="15"/>
  <c r="G3994" i="15"/>
  <c r="J3993" i="15"/>
  <c r="H3993" i="15"/>
  <c r="G3993" i="15"/>
  <c r="I3993" i="15" s="1"/>
  <c r="J3992" i="15"/>
  <c r="I3992" i="15"/>
  <c r="H3992" i="15"/>
  <c r="G3992" i="15"/>
  <c r="J3991" i="15"/>
  <c r="H3991" i="15"/>
  <c r="G3991" i="15"/>
  <c r="I3991" i="15" s="1"/>
  <c r="J3990" i="15"/>
  <c r="I3990" i="15"/>
  <c r="H3990" i="15"/>
  <c r="G3990" i="15"/>
  <c r="H3989" i="15"/>
  <c r="G3989" i="15"/>
  <c r="J3988" i="15"/>
  <c r="I3988" i="15"/>
  <c r="H3988" i="15"/>
  <c r="G3988" i="15"/>
  <c r="H3987" i="15"/>
  <c r="G3987" i="15"/>
  <c r="J3986" i="15"/>
  <c r="I3986" i="15"/>
  <c r="H3986" i="15"/>
  <c r="G3986" i="15"/>
  <c r="J3985" i="15"/>
  <c r="H3985" i="15"/>
  <c r="G3985" i="15"/>
  <c r="I3985" i="15" s="1"/>
  <c r="I3984" i="15"/>
  <c r="H3984" i="15"/>
  <c r="G3984" i="15"/>
  <c r="J3984" i="15" s="1"/>
  <c r="J3983" i="15"/>
  <c r="H3983" i="15"/>
  <c r="G3983" i="15"/>
  <c r="I3983" i="15" s="1"/>
  <c r="H3982" i="15"/>
  <c r="G3982" i="15"/>
  <c r="J3981" i="15"/>
  <c r="H3981" i="15"/>
  <c r="G3981" i="15"/>
  <c r="I3981" i="15" s="1"/>
  <c r="H3980" i="15"/>
  <c r="G3980" i="15"/>
  <c r="I3980" i="15" s="1"/>
  <c r="J3979" i="15"/>
  <c r="H3979" i="15"/>
  <c r="G3979" i="15"/>
  <c r="I3979" i="15" s="1"/>
  <c r="I3978" i="15"/>
  <c r="H3978" i="15"/>
  <c r="G3978" i="15"/>
  <c r="J3978" i="15" s="1"/>
  <c r="H3977" i="15"/>
  <c r="G3977" i="15"/>
  <c r="I3977" i="15" s="1"/>
  <c r="J3976" i="15"/>
  <c r="I3976" i="15"/>
  <c r="H3976" i="15"/>
  <c r="G3976" i="15"/>
  <c r="H3975" i="15"/>
  <c r="G3975" i="15"/>
  <c r="I3975" i="15" s="1"/>
  <c r="J3974" i="15"/>
  <c r="I3974" i="15"/>
  <c r="H3974" i="15"/>
  <c r="G3974" i="15"/>
  <c r="H3973" i="15"/>
  <c r="G3973" i="15"/>
  <c r="J3972" i="15"/>
  <c r="I3972" i="15"/>
  <c r="H3972" i="15"/>
  <c r="G3972" i="15"/>
  <c r="J3971" i="15"/>
  <c r="H3971" i="15"/>
  <c r="G3971" i="15"/>
  <c r="I3971" i="15" s="1"/>
  <c r="I3970" i="15"/>
  <c r="H3970" i="15"/>
  <c r="G3970" i="15"/>
  <c r="J3970" i="15" s="1"/>
  <c r="J3969" i="15"/>
  <c r="H3969" i="15"/>
  <c r="G3969" i="15"/>
  <c r="I3969" i="15" s="1"/>
  <c r="J3968" i="15"/>
  <c r="H3968" i="15"/>
  <c r="G3968" i="15"/>
  <c r="I3968" i="15" s="1"/>
  <c r="J3967" i="15"/>
  <c r="H3967" i="15"/>
  <c r="G3967" i="15"/>
  <c r="I3967" i="15" s="1"/>
  <c r="I3966" i="15"/>
  <c r="H3966" i="15"/>
  <c r="G3966" i="15"/>
  <c r="J3966" i="15" s="1"/>
  <c r="J3965" i="15"/>
  <c r="H3965" i="15"/>
  <c r="G3965" i="15"/>
  <c r="I3965" i="15" s="1"/>
  <c r="H3964" i="15"/>
  <c r="G3964" i="15"/>
  <c r="I3964" i="15" s="1"/>
  <c r="J3963" i="15"/>
  <c r="H3963" i="15"/>
  <c r="G3963" i="15"/>
  <c r="I3963" i="15" s="1"/>
  <c r="H3962" i="15"/>
  <c r="G3962" i="15"/>
  <c r="H3961" i="15"/>
  <c r="G3961" i="15"/>
  <c r="I3961" i="15" s="1"/>
  <c r="J3960" i="15"/>
  <c r="I3960" i="15"/>
  <c r="H3960" i="15"/>
  <c r="G3960" i="15"/>
  <c r="J3959" i="15"/>
  <c r="H3959" i="15"/>
  <c r="G3959" i="15"/>
  <c r="I3959" i="15" s="1"/>
  <c r="J3958" i="15"/>
  <c r="H3958" i="15"/>
  <c r="G3958" i="15"/>
  <c r="I3958" i="15" s="1"/>
  <c r="H3957" i="15"/>
  <c r="G3957" i="15"/>
  <c r="J3956" i="15"/>
  <c r="I3956" i="15"/>
  <c r="H3956" i="15"/>
  <c r="G3956" i="15"/>
  <c r="H3955" i="15"/>
  <c r="G3955" i="15"/>
  <c r="I3955" i="15" s="1"/>
  <c r="J3954" i="15"/>
  <c r="I3954" i="15"/>
  <c r="H3954" i="15"/>
  <c r="G3954" i="15"/>
  <c r="J3953" i="15"/>
  <c r="H3953" i="15"/>
  <c r="G3953" i="15"/>
  <c r="I3953" i="15" s="1"/>
  <c r="J3952" i="15"/>
  <c r="I3952" i="15"/>
  <c r="H3952" i="15"/>
  <c r="G3952" i="15"/>
  <c r="H3951" i="15"/>
  <c r="G3951" i="15"/>
  <c r="H3950" i="15"/>
  <c r="G3950" i="15"/>
  <c r="J3949" i="15"/>
  <c r="H3949" i="15"/>
  <c r="G3949" i="15"/>
  <c r="I3949" i="15" s="1"/>
  <c r="H3948" i="15"/>
  <c r="G3948" i="15"/>
  <c r="I3948" i="15" s="1"/>
  <c r="J3947" i="15"/>
  <c r="H3947" i="15"/>
  <c r="G3947" i="15"/>
  <c r="I3947" i="15" s="1"/>
  <c r="I3946" i="15"/>
  <c r="H3946" i="15"/>
  <c r="G3946" i="15"/>
  <c r="J3946" i="15" s="1"/>
  <c r="H3945" i="15"/>
  <c r="G3945" i="15"/>
  <c r="J3944" i="15"/>
  <c r="I3944" i="15"/>
  <c r="H3944" i="15"/>
  <c r="G3944" i="15"/>
  <c r="H3943" i="15"/>
  <c r="G3943" i="15"/>
  <c r="I3943" i="15" s="1"/>
  <c r="H3942" i="15"/>
  <c r="G3942" i="15"/>
  <c r="J3942" i="15" s="1"/>
  <c r="H3941" i="15"/>
  <c r="G3941" i="15"/>
  <c r="J3940" i="15"/>
  <c r="I3940" i="15"/>
  <c r="H3940" i="15"/>
  <c r="G3940" i="15"/>
  <c r="H3939" i="15"/>
  <c r="G3939" i="15"/>
  <c r="I3939" i="15" s="1"/>
  <c r="I3938" i="15"/>
  <c r="H3938" i="15"/>
  <c r="G3938" i="15"/>
  <c r="J3938" i="15" s="1"/>
  <c r="J3937" i="15"/>
  <c r="H3937" i="15"/>
  <c r="G3937" i="15"/>
  <c r="I3937" i="15" s="1"/>
  <c r="J3936" i="15"/>
  <c r="H3936" i="15"/>
  <c r="G3936" i="15"/>
  <c r="I3936" i="15" s="1"/>
  <c r="H3935" i="15"/>
  <c r="G3935" i="15"/>
  <c r="I3935" i="15" s="1"/>
  <c r="I3934" i="15"/>
  <c r="H3934" i="15"/>
  <c r="G3934" i="15"/>
  <c r="J3934" i="15" s="1"/>
  <c r="J3933" i="15"/>
  <c r="H3933" i="15"/>
  <c r="G3933" i="15"/>
  <c r="I3933" i="15" s="1"/>
  <c r="H3932" i="15"/>
  <c r="G3932" i="15"/>
  <c r="H3931" i="15"/>
  <c r="G3931" i="15"/>
  <c r="I3931" i="15" s="1"/>
  <c r="H3930" i="15"/>
  <c r="G3930" i="15"/>
  <c r="H3929" i="15"/>
  <c r="G3929" i="15"/>
  <c r="J3928" i="15"/>
  <c r="I3928" i="15"/>
  <c r="H3928" i="15"/>
  <c r="G3928" i="15"/>
  <c r="H3927" i="15"/>
  <c r="G3927" i="15"/>
  <c r="I3927" i="15" s="1"/>
  <c r="J3926" i="15"/>
  <c r="H3926" i="15"/>
  <c r="G3926" i="15"/>
  <c r="I3926" i="15" s="1"/>
  <c r="H3925" i="15"/>
  <c r="G3925" i="15"/>
  <c r="J3924" i="15"/>
  <c r="I3924" i="15"/>
  <c r="H3924" i="15"/>
  <c r="G3924" i="15"/>
  <c r="H3923" i="15"/>
  <c r="G3923" i="15"/>
  <c r="I3923" i="15" s="1"/>
  <c r="H3922" i="15"/>
  <c r="G3922" i="15"/>
  <c r="I3922" i="15" s="1"/>
  <c r="J3921" i="15"/>
  <c r="H3921" i="15"/>
  <c r="G3921" i="15"/>
  <c r="I3921" i="15" s="1"/>
  <c r="J3920" i="15"/>
  <c r="I3920" i="15"/>
  <c r="H3920" i="15"/>
  <c r="G3920" i="15"/>
  <c r="J3919" i="15"/>
  <c r="H3919" i="15"/>
  <c r="G3919" i="15"/>
  <c r="I3919" i="15" s="1"/>
  <c r="H3918" i="15"/>
  <c r="G3918" i="15"/>
  <c r="J3917" i="15"/>
  <c r="H3917" i="15"/>
  <c r="G3917" i="15"/>
  <c r="I3917" i="15" s="1"/>
  <c r="H3916" i="15"/>
  <c r="G3916" i="15"/>
  <c r="I3916" i="15" s="1"/>
  <c r="H3915" i="15"/>
  <c r="G3915" i="15"/>
  <c r="I3915" i="15" s="1"/>
  <c r="I3914" i="15"/>
  <c r="H3914" i="15"/>
  <c r="G3914" i="15"/>
  <c r="J3914" i="15" s="1"/>
  <c r="J3913" i="15"/>
  <c r="H3913" i="15"/>
  <c r="G3913" i="15"/>
  <c r="I3913" i="15" s="1"/>
  <c r="J3912" i="15"/>
  <c r="I3912" i="15"/>
  <c r="H3912" i="15"/>
  <c r="G3912" i="15"/>
  <c r="H3911" i="15"/>
  <c r="G3911" i="15"/>
  <c r="I3911" i="15" s="1"/>
  <c r="J3910" i="15"/>
  <c r="H3910" i="15"/>
  <c r="G3910" i="15"/>
  <c r="I3910" i="15" s="1"/>
  <c r="H3909" i="15"/>
  <c r="G3909" i="15"/>
  <c r="J3908" i="15"/>
  <c r="I3908" i="15"/>
  <c r="H3908" i="15"/>
  <c r="G3908" i="15"/>
  <c r="J3907" i="15"/>
  <c r="H3907" i="15"/>
  <c r="G3907" i="15"/>
  <c r="I3907" i="15" s="1"/>
  <c r="H3906" i="15"/>
  <c r="G3906" i="15"/>
  <c r="J3906" i="15" s="1"/>
  <c r="J3905" i="15"/>
  <c r="H3905" i="15"/>
  <c r="G3905" i="15"/>
  <c r="I3905" i="15" s="1"/>
  <c r="J3904" i="15"/>
  <c r="H3904" i="15"/>
  <c r="G3904" i="15"/>
  <c r="I3904" i="15" s="1"/>
  <c r="H3903" i="15"/>
  <c r="G3903" i="15"/>
  <c r="I3902" i="15"/>
  <c r="H3902" i="15"/>
  <c r="G3902" i="15"/>
  <c r="J3902" i="15" s="1"/>
  <c r="J3901" i="15"/>
  <c r="H3901" i="15"/>
  <c r="G3901" i="15"/>
  <c r="I3901" i="15" s="1"/>
  <c r="J3900" i="15"/>
  <c r="H3900" i="15"/>
  <c r="G3900" i="15"/>
  <c r="I3900" i="15" s="1"/>
  <c r="J3899" i="15"/>
  <c r="H3899" i="15"/>
  <c r="G3899" i="15"/>
  <c r="I3899" i="15" s="1"/>
  <c r="H3898" i="15"/>
  <c r="G3898" i="15"/>
  <c r="J3897" i="15"/>
  <c r="H3897" i="15"/>
  <c r="G3897" i="15"/>
  <c r="I3897" i="15" s="1"/>
  <c r="J3896" i="15"/>
  <c r="I3896" i="15"/>
  <c r="H3896" i="15"/>
  <c r="G3896" i="15"/>
  <c r="H3895" i="15"/>
  <c r="G3895" i="15"/>
  <c r="J3894" i="15"/>
  <c r="H3894" i="15"/>
  <c r="G3894" i="15"/>
  <c r="I3894" i="15" s="1"/>
  <c r="H3893" i="15"/>
  <c r="G3893" i="15"/>
  <c r="J3892" i="15"/>
  <c r="I3892" i="15"/>
  <c r="H3892" i="15"/>
  <c r="G3892" i="15"/>
  <c r="J3891" i="15"/>
  <c r="H3891" i="15"/>
  <c r="G3891" i="15"/>
  <c r="I3891" i="15" s="1"/>
  <c r="H3890" i="15"/>
  <c r="G3890" i="15"/>
  <c r="J3889" i="15"/>
  <c r="H3889" i="15"/>
  <c r="G3889" i="15"/>
  <c r="I3889" i="15" s="1"/>
  <c r="H3888" i="15"/>
  <c r="G3888" i="15"/>
  <c r="I3888" i="15" s="1"/>
  <c r="H3887" i="15"/>
  <c r="G3887" i="15"/>
  <c r="H3886" i="15"/>
  <c r="G3886" i="15"/>
  <c r="J3885" i="15"/>
  <c r="H3885" i="15"/>
  <c r="G3885" i="15"/>
  <c r="I3885" i="15" s="1"/>
  <c r="H3884" i="15"/>
  <c r="G3884" i="15"/>
  <c r="I3884" i="15" s="1"/>
  <c r="J3883" i="15"/>
  <c r="H3883" i="15"/>
  <c r="G3883" i="15"/>
  <c r="I3883" i="15" s="1"/>
  <c r="I3882" i="15"/>
  <c r="H3882" i="15"/>
  <c r="G3882" i="15"/>
  <c r="J3882" i="15" s="1"/>
  <c r="H3881" i="15"/>
  <c r="G3881" i="15"/>
  <c r="J3880" i="15"/>
  <c r="I3880" i="15"/>
  <c r="H3880" i="15"/>
  <c r="G3880" i="15"/>
  <c r="H3879" i="15"/>
  <c r="G3879" i="15"/>
  <c r="I3879" i="15" s="1"/>
  <c r="I3878" i="15"/>
  <c r="H3878" i="15"/>
  <c r="G3878" i="15"/>
  <c r="J3878" i="15" s="1"/>
  <c r="H3877" i="15"/>
  <c r="G3877" i="15"/>
  <c r="J3876" i="15"/>
  <c r="I3876" i="15"/>
  <c r="H3876" i="15"/>
  <c r="G3876" i="15"/>
  <c r="J3875" i="15"/>
  <c r="H3875" i="15"/>
  <c r="G3875" i="15"/>
  <c r="I3875" i="15" s="1"/>
  <c r="H3874" i="15"/>
  <c r="G3874" i="15"/>
  <c r="J3873" i="15"/>
  <c r="H3873" i="15"/>
  <c r="G3873" i="15"/>
  <c r="I3873" i="15" s="1"/>
  <c r="J3872" i="15"/>
  <c r="H3872" i="15"/>
  <c r="G3872" i="15"/>
  <c r="I3872" i="15" s="1"/>
  <c r="J3871" i="15"/>
  <c r="H3871" i="15"/>
  <c r="G3871" i="15"/>
  <c r="I3871" i="15" s="1"/>
  <c r="I3870" i="15"/>
  <c r="H3870" i="15"/>
  <c r="G3870" i="15"/>
  <c r="J3870" i="15" s="1"/>
  <c r="J3869" i="15"/>
  <c r="H3869" i="15"/>
  <c r="G3869" i="15"/>
  <c r="I3869" i="15" s="1"/>
  <c r="J3868" i="15"/>
  <c r="H3868" i="15"/>
  <c r="G3868" i="15"/>
  <c r="I3868" i="15" s="1"/>
  <c r="J3867" i="15"/>
  <c r="H3867" i="15"/>
  <c r="G3867" i="15"/>
  <c r="I3867" i="15" s="1"/>
  <c r="H3866" i="15"/>
  <c r="G3866" i="15"/>
  <c r="J3865" i="15"/>
  <c r="H3865" i="15"/>
  <c r="G3865" i="15"/>
  <c r="I3865" i="15" s="1"/>
  <c r="J3864" i="15"/>
  <c r="I3864" i="15"/>
  <c r="H3864" i="15"/>
  <c r="G3864" i="15"/>
  <c r="J3863" i="15"/>
  <c r="H3863" i="15"/>
  <c r="G3863" i="15"/>
  <c r="I3863" i="15" s="1"/>
  <c r="J3862" i="15"/>
  <c r="H3862" i="15"/>
  <c r="G3862" i="15"/>
  <c r="I3862" i="15" s="1"/>
  <c r="H3861" i="15"/>
  <c r="G3861" i="15"/>
  <c r="J3860" i="15"/>
  <c r="I3860" i="15"/>
  <c r="H3860" i="15"/>
  <c r="G3860" i="15"/>
  <c r="J3859" i="15"/>
  <c r="H3859" i="15"/>
  <c r="G3859" i="15"/>
  <c r="I3859" i="15" s="1"/>
  <c r="J3858" i="15"/>
  <c r="I3858" i="15"/>
  <c r="H3858" i="15"/>
  <c r="G3858" i="15"/>
  <c r="J3857" i="15"/>
  <c r="H3857" i="15"/>
  <c r="G3857" i="15"/>
  <c r="I3857" i="15" s="1"/>
  <c r="H3856" i="15"/>
  <c r="G3856" i="15"/>
  <c r="H3855" i="15"/>
  <c r="G3855" i="15"/>
  <c r="I3855" i="15" s="1"/>
  <c r="H3854" i="15"/>
  <c r="G3854" i="15"/>
  <c r="J3853" i="15"/>
  <c r="H3853" i="15"/>
  <c r="G3853" i="15"/>
  <c r="I3853" i="15" s="1"/>
  <c r="H3852" i="15"/>
  <c r="G3852" i="15"/>
  <c r="I3852" i="15" s="1"/>
  <c r="J3851" i="15"/>
  <c r="H3851" i="15"/>
  <c r="G3851" i="15"/>
  <c r="I3851" i="15" s="1"/>
  <c r="I3850" i="15"/>
  <c r="H3850" i="15"/>
  <c r="G3850" i="15"/>
  <c r="J3850" i="15" s="1"/>
  <c r="H3849" i="15"/>
  <c r="G3849" i="15"/>
  <c r="I3849" i="15" s="1"/>
  <c r="J3848" i="15"/>
  <c r="I3848" i="15"/>
  <c r="H3848" i="15"/>
  <c r="G3848" i="15"/>
  <c r="H3847" i="15"/>
  <c r="G3847" i="15"/>
  <c r="I3847" i="15" s="1"/>
  <c r="J3846" i="15"/>
  <c r="I3846" i="15"/>
  <c r="H3846" i="15"/>
  <c r="G3846" i="15"/>
  <c r="H3845" i="15"/>
  <c r="G3845" i="15"/>
  <c r="J3844" i="15"/>
  <c r="I3844" i="15"/>
  <c r="H3844" i="15"/>
  <c r="G3844" i="15"/>
  <c r="J3843" i="15"/>
  <c r="H3843" i="15"/>
  <c r="G3843" i="15"/>
  <c r="I3843" i="15" s="1"/>
  <c r="I3842" i="15"/>
  <c r="H3842" i="15"/>
  <c r="G3842" i="15"/>
  <c r="J3842" i="15" s="1"/>
  <c r="J3841" i="15"/>
  <c r="H3841" i="15"/>
  <c r="G3841" i="15"/>
  <c r="I3841" i="15" s="1"/>
  <c r="J3840" i="15"/>
  <c r="H3840" i="15"/>
  <c r="G3840" i="15"/>
  <c r="I3840" i="15" s="1"/>
  <c r="J3839" i="15"/>
  <c r="H3839" i="15"/>
  <c r="G3839" i="15"/>
  <c r="I3839" i="15" s="1"/>
  <c r="I3838" i="15"/>
  <c r="H3838" i="15"/>
  <c r="G3838" i="15"/>
  <c r="J3838" i="15" s="1"/>
  <c r="J3837" i="15"/>
  <c r="H3837" i="15"/>
  <c r="G3837" i="15"/>
  <c r="I3837" i="15" s="1"/>
  <c r="H3836" i="15"/>
  <c r="G3836" i="15"/>
  <c r="I3836" i="15" s="1"/>
  <c r="J3835" i="15"/>
  <c r="H3835" i="15"/>
  <c r="G3835" i="15"/>
  <c r="I3835" i="15" s="1"/>
  <c r="H3834" i="15"/>
  <c r="G3834" i="15"/>
  <c r="H3833" i="15"/>
  <c r="G3833" i="15"/>
  <c r="I3833" i="15" s="1"/>
  <c r="J3832" i="15"/>
  <c r="I3832" i="15"/>
  <c r="H3832" i="15"/>
  <c r="G3832" i="15"/>
  <c r="H3831" i="15"/>
  <c r="G3831" i="15"/>
  <c r="J3830" i="15"/>
  <c r="H3830" i="15"/>
  <c r="G3830" i="15"/>
  <c r="I3830" i="15" s="1"/>
  <c r="H3829" i="15"/>
  <c r="G3829" i="15"/>
  <c r="J3828" i="15"/>
  <c r="I3828" i="15"/>
  <c r="H3828" i="15"/>
  <c r="G3828" i="15"/>
  <c r="J3827" i="15"/>
  <c r="H3827" i="15"/>
  <c r="G3827" i="15"/>
  <c r="I3827" i="15" s="1"/>
  <c r="I3826" i="15"/>
  <c r="H3826" i="15"/>
  <c r="G3826" i="15"/>
  <c r="J3826" i="15" s="1"/>
  <c r="J3825" i="15"/>
  <c r="H3825" i="15"/>
  <c r="G3825" i="15"/>
  <c r="I3825" i="15" s="1"/>
  <c r="J3824" i="15"/>
  <c r="I3824" i="15"/>
  <c r="H3824" i="15"/>
  <c r="G3824" i="15"/>
  <c r="J3823" i="15"/>
  <c r="I3823" i="15"/>
  <c r="H3823" i="15"/>
  <c r="G3823" i="15"/>
  <c r="J3822" i="15"/>
  <c r="I3822" i="15"/>
  <c r="H3822" i="15"/>
  <c r="G3822" i="15"/>
  <c r="J3821" i="15"/>
  <c r="I3821" i="15"/>
  <c r="H3821" i="15"/>
  <c r="G3821" i="15"/>
  <c r="J3820" i="15"/>
  <c r="I3820" i="15"/>
  <c r="H3820" i="15"/>
  <c r="G3820" i="15"/>
  <c r="J3819" i="15"/>
  <c r="I3819" i="15"/>
  <c r="H3819" i="15"/>
  <c r="G3819" i="15"/>
  <c r="J3818" i="15"/>
  <c r="I3818" i="15"/>
  <c r="H3818" i="15"/>
  <c r="G3818" i="15"/>
  <c r="J3817" i="15"/>
  <c r="I3817" i="15"/>
  <c r="H3817" i="15"/>
  <c r="G3817" i="15"/>
  <c r="J3816" i="15"/>
  <c r="I3816" i="15"/>
  <c r="H3816" i="15"/>
  <c r="G3816" i="15"/>
  <c r="J3815" i="15"/>
  <c r="I3815" i="15"/>
  <c r="H3815" i="15"/>
  <c r="G3815" i="15"/>
  <c r="J3814" i="15"/>
  <c r="I3814" i="15"/>
  <c r="H3814" i="15"/>
  <c r="G3814" i="15"/>
  <c r="J3813" i="15"/>
  <c r="I3813" i="15"/>
  <c r="H3813" i="15"/>
  <c r="G3813" i="15"/>
  <c r="J3812" i="15"/>
  <c r="I3812" i="15"/>
  <c r="H3812" i="15"/>
  <c r="G3812" i="15"/>
  <c r="J3811" i="15"/>
  <c r="I3811" i="15"/>
  <c r="H3811" i="15"/>
  <c r="G3811" i="15"/>
  <c r="J3810" i="15"/>
  <c r="I3810" i="15"/>
  <c r="H3810" i="15"/>
  <c r="G3810" i="15"/>
  <c r="J3809" i="15"/>
  <c r="I3809" i="15"/>
  <c r="H3809" i="15"/>
  <c r="G3809" i="15"/>
  <c r="J3808" i="15"/>
  <c r="I3808" i="15"/>
  <c r="H3808" i="15"/>
  <c r="G3808" i="15"/>
  <c r="J3807" i="15"/>
  <c r="I3807" i="15"/>
  <c r="H3807" i="15"/>
  <c r="G3807" i="15"/>
  <c r="J3806" i="15"/>
  <c r="I3806" i="15"/>
  <c r="H3806" i="15"/>
  <c r="G3806" i="15"/>
  <c r="J3805" i="15"/>
  <c r="I3805" i="15"/>
  <c r="H3805" i="15"/>
  <c r="G3805" i="15"/>
  <c r="J3804" i="15"/>
  <c r="I3804" i="15"/>
  <c r="H3804" i="15"/>
  <c r="G3804" i="15"/>
  <c r="J3803" i="15"/>
  <c r="I3803" i="15"/>
  <c r="H3803" i="15"/>
  <c r="G3803" i="15"/>
  <c r="J3802" i="15"/>
  <c r="I3802" i="15"/>
  <c r="H3802" i="15"/>
  <c r="G3802" i="15"/>
  <c r="J3801" i="15"/>
  <c r="I3801" i="15"/>
  <c r="H3801" i="15"/>
  <c r="G3801" i="15"/>
  <c r="J3800" i="15"/>
  <c r="I3800" i="15"/>
  <c r="H3800" i="15"/>
  <c r="G3800" i="15"/>
  <c r="J3799" i="15"/>
  <c r="I3799" i="15"/>
  <c r="H3799" i="15"/>
  <c r="G3799" i="15"/>
  <c r="J3798" i="15"/>
  <c r="I3798" i="15"/>
  <c r="H3798" i="15"/>
  <c r="G3798" i="15"/>
  <c r="J3797" i="15"/>
  <c r="I3797" i="15"/>
  <c r="H3797" i="15"/>
  <c r="G3797" i="15"/>
  <c r="J3796" i="15"/>
  <c r="I3796" i="15"/>
  <c r="H3796" i="15"/>
  <c r="G3796" i="15"/>
  <c r="J3795" i="15"/>
  <c r="I3795" i="15"/>
  <c r="H3795" i="15"/>
  <c r="G3795" i="15"/>
  <c r="J3794" i="15"/>
  <c r="I3794" i="15"/>
  <c r="H3794" i="15"/>
  <c r="G3794" i="15"/>
  <c r="J3793" i="15"/>
  <c r="I3793" i="15"/>
  <c r="H3793" i="15"/>
  <c r="G3793" i="15"/>
  <c r="J3792" i="15"/>
  <c r="I3792" i="15"/>
  <c r="H3792" i="15"/>
  <c r="G3792" i="15"/>
  <c r="J3791" i="15"/>
  <c r="I3791" i="15"/>
  <c r="H3791" i="15"/>
  <c r="G3791" i="15"/>
  <c r="J3790" i="15"/>
  <c r="I3790" i="15"/>
  <c r="H3790" i="15"/>
  <c r="G3790" i="15"/>
  <c r="J3789" i="15"/>
  <c r="I3789" i="15"/>
  <c r="H3789" i="15"/>
  <c r="G3789" i="15"/>
  <c r="J3788" i="15"/>
  <c r="I3788" i="15"/>
  <c r="H3788" i="15"/>
  <c r="G3788" i="15"/>
  <c r="J3787" i="15"/>
  <c r="I3787" i="15"/>
  <c r="H3787" i="15"/>
  <c r="G3787" i="15"/>
  <c r="J3786" i="15"/>
  <c r="I3786" i="15"/>
  <c r="H3786" i="15"/>
  <c r="G3786" i="15"/>
  <c r="J3785" i="15"/>
  <c r="I3785" i="15"/>
  <c r="H3785" i="15"/>
  <c r="G3785" i="15"/>
  <c r="J3784" i="15"/>
  <c r="I3784" i="15"/>
  <c r="H3784" i="15"/>
  <c r="G3784" i="15"/>
  <c r="J3783" i="15"/>
  <c r="I3783" i="15"/>
  <c r="H3783" i="15"/>
  <c r="G3783" i="15"/>
  <c r="J3782" i="15"/>
  <c r="I3782" i="15"/>
  <c r="H3782" i="15"/>
  <c r="G3782" i="15"/>
  <c r="J3781" i="15"/>
  <c r="I3781" i="15"/>
  <c r="H3781" i="15"/>
  <c r="G3781" i="15"/>
  <c r="J3780" i="15"/>
  <c r="I3780" i="15"/>
  <c r="H3780" i="15"/>
  <c r="G3780" i="15"/>
  <c r="J3779" i="15"/>
  <c r="I3779" i="15"/>
  <c r="H3779" i="15"/>
  <c r="G3779" i="15"/>
  <c r="J3778" i="15"/>
  <c r="I3778" i="15"/>
  <c r="H3778" i="15"/>
  <c r="G3778" i="15"/>
  <c r="J3777" i="15"/>
  <c r="I3777" i="15"/>
  <c r="H3777" i="15"/>
  <c r="G3777" i="15"/>
  <c r="J3776" i="15"/>
  <c r="I3776" i="15"/>
  <c r="H3776" i="15"/>
  <c r="G3776" i="15"/>
  <c r="J3775" i="15"/>
  <c r="I3775" i="15"/>
  <c r="H3775" i="15"/>
  <c r="G3775" i="15"/>
  <c r="J3774" i="15"/>
  <c r="I3774" i="15"/>
  <c r="H3774" i="15"/>
  <c r="G3774" i="15"/>
  <c r="J3773" i="15"/>
  <c r="I3773" i="15"/>
  <c r="H3773" i="15"/>
  <c r="G3773" i="15"/>
  <c r="J3772" i="15"/>
  <c r="I3772" i="15"/>
  <c r="H3772" i="15"/>
  <c r="G3772" i="15"/>
  <c r="J3771" i="15"/>
  <c r="I3771" i="15"/>
  <c r="H3771" i="15"/>
  <c r="G3771" i="15"/>
  <c r="J3770" i="15"/>
  <c r="I3770" i="15"/>
  <c r="H3770" i="15"/>
  <c r="G3770" i="15"/>
  <c r="J3769" i="15"/>
  <c r="I3769" i="15"/>
  <c r="H3769" i="15"/>
  <c r="G3769" i="15"/>
  <c r="J3768" i="15"/>
  <c r="I3768" i="15"/>
  <c r="H3768" i="15"/>
  <c r="G3768" i="15"/>
  <c r="J3767" i="15"/>
  <c r="I3767" i="15"/>
  <c r="H3767" i="15"/>
  <c r="G3767" i="15"/>
  <c r="J3766" i="15"/>
  <c r="I3766" i="15"/>
  <c r="H3766" i="15"/>
  <c r="G3766" i="15"/>
  <c r="J3765" i="15"/>
  <c r="I3765" i="15"/>
  <c r="H3765" i="15"/>
  <c r="G3765" i="15"/>
  <c r="J3764" i="15"/>
  <c r="I3764" i="15"/>
  <c r="H3764" i="15"/>
  <c r="G3764" i="15"/>
  <c r="J3763" i="15"/>
  <c r="I3763" i="15"/>
  <c r="H3763" i="15"/>
  <c r="G3763" i="15"/>
  <c r="J3762" i="15"/>
  <c r="I3762" i="15"/>
  <c r="H3762" i="15"/>
  <c r="G3762" i="15"/>
  <c r="J3761" i="15"/>
  <c r="I3761" i="15"/>
  <c r="H3761" i="15"/>
  <c r="G3761" i="15"/>
  <c r="J3760" i="15"/>
  <c r="I3760" i="15"/>
  <c r="H3760" i="15"/>
  <c r="G3760" i="15"/>
  <c r="J3759" i="15"/>
  <c r="I3759" i="15"/>
  <c r="H3759" i="15"/>
  <c r="G3759" i="15"/>
  <c r="J3758" i="15"/>
  <c r="I3758" i="15"/>
  <c r="H3758" i="15"/>
  <c r="G3758" i="15"/>
  <c r="J3757" i="15"/>
  <c r="I3757" i="15"/>
  <c r="H3757" i="15"/>
  <c r="G3757" i="15"/>
  <c r="J3756" i="15"/>
  <c r="I3756" i="15"/>
  <c r="H3756" i="15"/>
  <c r="G3756" i="15"/>
  <c r="J3755" i="15"/>
  <c r="I3755" i="15"/>
  <c r="H3755" i="15"/>
  <c r="G3755" i="15"/>
  <c r="J3754" i="15"/>
  <c r="I3754" i="15"/>
  <c r="H3754" i="15"/>
  <c r="G3754" i="15"/>
  <c r="J3753" i="15"/>
  <c r="I3753" i="15"/>
  <c r="H3753" i="15"/>
  <c r="G3753" i="15"/>
  <c r="J3752" i="15"/>
  <c r="I3752" i="15"/>
  <c r="H3752" i="15"/>
  <c r="G3752" i="15"/>
  <c r="J3751" i="15"/>
  <c r="I3751" i="15"/>
  <c r="H3751" i="15"/>
  <c r="G3751" i="15"/>
  <c r="J3750" i="15"/>
  <c r="I3750" i="15"/>
  <c r="H3750" i="15"/>
  <c r="G3750" i="15"/>
  <c r="J3749" i="15"/>
  <c r="I3749" i="15"/>
  <c r="H3749" i="15"/>
  <c r="G3749" i="15"/>
  <c r="J3748" i="15"/>
  <c r="I3748" i="15"/>
  <c r="H3748" i="15"/>
  <c r="G3748" i="15"/>
  <c r="J3747" i="15"/>
  <c r="I3747" i="15"/>
  <c r="H3747" i="15"/>
  <c r="G3747" i="15"/>
  <c r="J3746" i="15"/>
  <c r="I3746" i="15"/>
  <c r="H3746" i="15"/>
  <c r="G3746" i="15"/>
  <c r="J3745" i="15"/>
  <c r="I3745" i="15"/>
  <c r="H3745" i="15"/>
  <c r="G3745" i="15"/>
  <c r="J3744" i="15"/>
  <c r="I3744" i="15"/>
  <c r="H3744" i="15"/>
  <c r="G3744" i="15"/>
  <c r="J3743" i="15"/>
  <c r="I3743" i="15"/>
  <c r="H3743" i="15"/>
  <c r="G3743" i="15"/>
  <c r="J3742" i="15"/>
  <c r="I3742" i="15"/>
  <c r="H3742" i="15"/>
  <c r="G3742" i="15"/>
  <c r="J3741" i="15"/>
  <c r="I3741" i="15"/>
  <c r="H3741" i="15"/>
  <c r="G3741" i="15"/>
  <c r="J3740" i="15"/>
  <c r="I3740" i="15"/>
  <c r="H3740" i="15"/>
  <c r="G3740" i="15"/>
  <c r="J3739" i="15"/>
  <c r="I3739" i="15"/>
  <c r="H3739" i="15"/>
  <c r="G3739" i="15"/>
  <c r="J3738" i="15"/>
  <c r="I3738" i="15"/>
  <c r="H3738" i="15"/>
  <c r="G3738" i="15"/>
  <c r="J3737" i="15"/>
  <c r="I3737" i="15"/>
  <c r="H3737" i="15"/>
  <c r="G3737" i="15"/>
  <c r="J3736" i="15"/>
  <c r="I3736" i="15"/>
  <c r="H3736" i="15"/>
  <c r="G3736" i="15"/>
  <c r="J3735" i="15"/>
  <c r="I3735" i="15"/>
  <c r="H3735" i="15"/>
  <c r="G3735" i="15"/>
  <c r="J3734" i="15"/>
  <c r="I3734" i="15"/>
  <c r="H3734" i="15"/>
  <c r="G3734" i="15"/>
  <c r="J3733" i="15"/>
  <c r="I3733" i="15"/>
  <c r="H3733" i="15"/>
  <c r="G3733" i="15"/>
  <c r="J3732" i="15"/>
  <c r="I3732" i="15"/>
  <c r="H3732" i="15"/>
  <c r="G3732" i="15"/>
  <c r="J3731" i="15"/>
  <c r="I3731" i="15"/>
  <c r="H3731" i="15"/>
  <c r="G3731" i="15"/>
  <c r="J3730" i="15"/>
  <c r="I3730" i="15"/>
  <c r="H3730" i="15"/>
  <c r="G3730" i="15"/>
  <c r="J3729" i="15"/>
  <c r="I3729" i="15"/>
  <c r="H3729" i="15"/>
  <c r="G3729" i="15"/>
  <c r="J3728" i="15"/>
  <c r="I3728" i="15"/>
  <c r="H3728" i="15"/>
  <c r="G3728" i="15"/>
  <c r="J3727" i="15"/>
  <c r="I3727" i="15"/>
  <c r="H3727" i="15"/>
  <c r="G3727" i="15"/>
  <c r="J3726" i="15"/>
  <c r="I3726" i="15"/>
  <c r="H3726" i="15"/>
  <c r="G3726" i="15"/>
  <c r="J3725" i="15"/>
  <c r="I3725" i="15"/>
  <c r="H3725" i="15"/>
  <c r="G3725" i="15"/>
  <c r="J3724" i="15"/>
  <c r="I3724" i="15"/>
  <c r="H3724" i="15"/>
  <c r="G3724" i="15"/>
  <c r="J3723" i="15"/>
  <c r="I3723" i="15"/>
  <c r="H3723" i="15"/>
  <c r="G3723" i="15"/>
  <c r="J3722" i="15"/>
  <c r="I3722" i="15"/>
  <c r="H3722" i="15"/>
  <c r="G3722" i="15"/>
  <c r="J3721" i="15"/>
  <c r="I3721" i="15"/>
  <c r="H3721" i="15"/>
  <c r="G3721" i="15"/>
  <c r="J3720" i="15"/>
  <c r="I3720" i="15"/>
  <c r="H3720" i="15"/>
  <c r="G3720" i="15"/>
  <c r="J3719" i="15"/>
  <c r="I3719" i="15"/>
  <c r="H3719" i="15"/>
  <c r="G3719" i="15"/>
  <c r="J3718" i="15"/>
  <c r="I3718" i="15"/>
  <c r="H3718" i="15"/>
  <c r="G3718" i="15"/>
  <c r="J3717" i="15"/>
  <c r="I3717" i="15"/>
  <c r="H3717" i="15"/>
  <c r="G3717" i="15"/>
  <c r="J3716" i="15"/>
  <c r="I3716" i="15"/>
  <c r="H3716" i="15"/>
  <c r="G3716" i="15"/>
  <c r="J3715" i="15"/>
  <c r="I3715" i="15"/>
  <c r="H3715" i="15"/>
  <c r="G3715" i="15"/>
  <c r="J3714" i="15"/>
  <c r="I3714" i="15"/>
  <c r="H3714" i="15"/>
  <c r="G3714" i="15"/>
  <c r="J3713" i="15"/>
  <c r="I3713" i="15"/>
  <c r="H3713" i="15"/>
  <c r="G3713" i="15"/>
  <c r="J3712" i="15"/>
  <c r="I3712" i="15"/>
  <c r="H3712" i="15"/>
  <c r="G3712" i="15"/>
  <c r="J3711" i="15"/>
  <c r="I3711" i="15"/>
  <c r="H3711" i="15"/>
  <c r="G3711" i="15"/>
  <c r="J3710" i="15"/>
  <c r="I3710" i="15"/>
  <c r="H3710" i="15"/>
  <c r="G3710" i="15"/>
  <c r="J3709" i="15"/>
  <c r="I3709" i="15"/>
  <c r="H3709" i="15"/>
  <c r="G3709" i="15"/>
  <c r="J3708" i="15"/>
  <c r="I3708" i="15"/>
  <c r="H3708" i="15"/>
  <c r="G3708" i="15"/>
  <c r="J3707" i="15"/>
  <c r="I3707" i="15"/>
  <c r="H3707" i="15"/>
  <c r="G3707" i="15"/>
  <c r="J3706" i="15"/>
  <c r="I3706" i="15"/>
  <c r="H3706" i="15"/>
  <c r="G3706" i="15"/>
  <c r="J3705" i="15"/>
  <c r="I3705" i="15"/>
  <c r="H3705" i="15"/>
  <c r="G3705" i="15"/>
  <c r="J3704" i="15"/>
  <c r="I3704" i="15"/>
  <c r="H3704" i="15"/>
  <c r="G3704" i="15"/>
  <c r="J3703" i="15"/>
  <c r="I3703" i="15"/>
  <c r="H3703" i="15"/>
  <c r="G3703" i="15"/>
  <c r="J3702" i="15"/>
  <c r="I3702" i="15"/>
  <c r="H3702" i="15"/>
  <c r="G3702" i="15"/>
  <c r="J3701" i="15"/>
  <c r="I3701" i="15"/>
  <c r="H3701" i="15"/>
  <c r="G3701" i="15"/>
  <c r="J3700" i="15"/>
  <c r="I3700" i="15"/>
  <c r="H3700" i="15"/>
  <c r="G3700" i="15"/>
  <c r="J3699" i="15"/>
  <c r="I3699" i="15"/>
  <c r="H3699" i="15"/>
  <c r="G3699" i="15"/>
  <c r="J3698" i="15"/>
  <c r="I3698" i="15"/>
  <c r="H3698" i="15"/>
  <c r="G3698" i="15"/>
  <c r="J3697" i="15"/>
  <c r="I3697" i="15"/>
  <c r="H3697" i="15"/>
  <c r="G3697" i="15"/>
  <c r="J3696" i="15"/>
  <c r="I3696" i="15"/>
  <c r="H3696" i="15"/>
  <c r="G3696" i="15"/>
  <c r="J3695" i="15"/>
  <c r="I3695" i="15"/>
  <c r="H3695" i="15"/>
  <c r="G3695" i="15"/>
  <c r="J3694" i="15"/>
  <c r="I3694" i="15"/>
  <c r="H3694" i="15"/>
  <c r="G3694" i="15"/>
  <c r="J3693" i="15"/>
  <c r="I3693" i="15"/>
  <c r="H3693" i="15"/>
  <c r="G3693" i="15"/>
  <c r="J3692" i="15"/>
  <c r="I3692" i="15"/>
  <c r="H3692" i="15"/>
  <c r="G3692" i="15"/>
  <c r="J3691" i="15"/>
  <c r="I3691" i="15"/>
  <c r="H3691" i="15"/>
  <c r="G3691" i="15"/>
  <c r="J3690" i="15"/>
  <c r="I3690" i="15"/>
  <c r="H3690" i="15"/>
  <c r="G3690" i="15"/>
  <c r="J3689" i="15"/>
  <c r="I3689" i="15"/>
  <c r="H3689" i="15"/>
  <c r="G3689" i="15"/>
  <c r="J3688" i="15"/>
  <c r="I3688" i="15"/>
  <c r="H3688" i="15"/>
  <c r="G3688" i="15"/>
  <c r="J3687" i="15"/>
  <c r="I3687" i="15"/>
  <c r="H3687" i="15"/>
  <c r="G3687" i="15"/>
  <c r="J3686" i="15"/>
  <c r="I3686" i="15"/>
  <c r="H3686" i="15"/>
  <c r="G3686" i="15"/>
  <c r="J3685" i="15"/>
  <c r="I3685" i="15"/>
  <c r="H3685" i="15"/>
  <c r="G3685" i="15"/>
  <c r="I3684" i="15"/>
  <c r="H3684" i="15"/>
  <c r="G3684" i="15"/>
  <c r="J3684" i="15" s="1"/>
  <c r="J3683" i="15"/>
  <c r="I3683" i="15"/>
  <c r="H3683" i="15"/>
  <c r="G3683" i="15"/>
  <c r="I3682" i="15"/>
  <c r="H3682" i="15"/>
  <c r="G3682" i="15"/>
  <c r="J3682" i="15" s="1"/>
  <c r="J3681" i="15"/>
  <c r="I3681" i="15"/>
  <c r="H3681" i="15"/>
  <c r="G3681" i="15"/>
  <c r="I3680" i="15"/>
  <c r="H3680" i="15"/>
  <c r="G3680" i="15"/>
  <c r="J3680" i="15" s="1"/>
  <c r="J3679" i="15"/>
  <c r="I3679" i="15"/>
  <c r="H3679" i="15"/>
  <c r="G3679" i="15"/>
  <c r="I3678" i="15"/>
  <c r="H3678" i="15"/>
  <c r="G3678" i="15"/>
  <c r="J3678" i="15" s="1"/>
  <c r="J3677" i="15"/>
  <c r="I3677" i="15"/>
  <c r="H3677" i="15"/>
  <c r="G3677" i="15"/>
  <c r="I3676" i="15"/>
  <c r="H3676" i="15"/>
  <c r="G3676" i="15"/>
  <c r="J3676" i="15" s="1"/>
  <c r="J3675" i="15"/>
  <c r="I3675" i="15"/>
  <c r="H3675" i="15"/>
  <c r="G3675" i="15"/>
  <c r="I3674" i="15"/>
  <c r="H3674" i="15"/>
  <c r="G3674" i="15"/>
  <c r="J3674" i="15" s="1"/>
  <c r="J3673" i="15"/>
  <c r="I3673" i="15"/>
  <c r="H3673" i="15"/>
  <c r="G3673" i="15"/>
  <c r="I3672" i="15"/>
  <c r="H3672" i="15"/>
  <c r="G3672" i="15"/>
  <c r="J3672" i="15" s="1"/>
  <c r="J3671" i="15"/>
  <c r="I3671" i="15"/>
  <c r="H3671" i="15"/>
  <c r="G3671" i="15"/>
  <c r="I3670" i="15"/>
  <c r="H3670" i="15"/>
  <c r="G3670" i="15"/>
  <c r="J3670" i="15" s="1"/>
  <c r="J3669" i="15"/>
  <c r="I3669" i="15"/>
  <c r="H3669" i="15"/>
  <c r="G3669" i="15"/>
  <c r="I3668" i="15"/>
  <c r="H3668" i="15"/>
  <c r="G3668" i="15"/>
  <c r="J3668" i="15" s="1"/>
  <c r="J3667" i="15"/>
  <c r="I3667" i="15"/>
  <c r="H3667" i="15"/>
  <c r="G3667" i="15"/>
  <c r="I3666" i="15"/>
  <c r="H3666" i="15"/>
  <c r="G3666" i="15"/>
  <c r="J3666" i="15" s="1"/>
  <c r="J3665" i="15"/>
  <c r="I3665" i="15"/>
  <c r="H3665" i="15"/>
  <c r="G3665" i="15"/>
  <c r="I3664" i="15"/>
  <c r="H3664" i="15"/>
  <c r="G3664" i="15"/>
  <c r="J3664" i="15" s="1"/>
  <c r="J3663" i="15"/>
  <c r="I3663" i="15"/>
  <c r="H3663" i="15"/>
  <c r="G3663" i="15"/>
  <c r="I3662" i="15"/>
  <c r="H3662" i="15"/>
  <c r="G3662" i="15"/>
  <c r="J3662" i="15" s="1"/>
  <c r="J3661" i="15"/>
  <c r="I3661" i="15"/>
  <c r="H3661" i="15"/>
  <c r="G3661" i="15"/>
  <c r="I3660" i="15"/>
  <c r="H3660" i="15"/>
  <c r="G3660" i="15"/>
  <c r="J3660" i="15" s="1"/>
  <c r="J3659" i="15"/>
  <c r="I3659" i="15"/>
  <c r="H3659" i="15"/>
  <c r="G3659" i="15"/>
  <c r="I3658" i="15"/>
  <c r="H3658" i="15"/>
  <c r="G3658" i="15"/>
  <c r="J3658" i="15" s="1"/>
  <c r="J3657" i="15"/>
  <c r="I3657" i="15"/>
  <c r="H3657" i="15"/>
  <c r="G3657" i="15"/>
  <c r="I3656" i="15"/>
  <c r="H3656" i="15"/>
  <c r="G3656" i="15"/>
  <c r="J3656" i="15" s="1"/>
  <c r="J3655" i="15"/>
  <c r="I3655" i="15"/>
  <c r="H3655" i="15"/>
  <c r="G3655" i="15"/>
  <c r="I3654" i="15"/>
  <c r="H3654" i="15"/>
  <c r="G3654" i="15"/>
  <c r="J3654" i="15" s="1"/>
  <c r="J3653" i="15"/>
  <c r="I3653" i="15"/>
  <c r="H3653" i="15"/>
  <c r="G3653" i="15"/>
  <c r="I3652" i="15"/>
  <c r="H3652" i="15"/>
  <c r="G3652" i="15"/>
  <c r="J3652" i="15" s="1"/>
  <c r="J3651" i="15"/>
  <c r="I3651" i="15"/>
  <c r="H3651" i="15"/>
  <c r="G3651" i="15"/>
  <c r="I3650" i="15"/>
  <c r="H3650" i="15"/>
  <c r="G3650" i="15"/>
  <c r="J3650" i="15" s="1"/>
  <c r="J3649" i="15"/>
  <c r="I3649" i="15"/>
  <c r="H3649" i="15"/>
  <c r="G3649" i="15"/>
  <c r="I3648" i="15"/>
  <c r="H3648" i="15"/>
  <c r="G3648" i="15"/>
  <c r="J3648" i="15" s="1"/>
  <c r="J3647" i="15"/>
  <c r="I3647" i="15"/>
  <c r="H3647" i="15"/>
  <c r="G3647" i="15"/>
  <c r="I3646" i="15"/>
  <c r="H3646" i="15"/>
  <c r="G3646" i="15"/>
  <c r="J3646" i="15" s="1"/>
  <c r="J3645" i="15"/>
  <c r="I3645" i="15"/>
  <c r="H3645" i="15"/>
  <c r="G3645" i="15"/>
  <c r="I3644" i="15"/>
  <c r="H3644" i="15"/>
  <c r="G3644" i="15"/>
  <c r="J3644" i="15" s="1"/>
  <c r="J3643" i="15"/>
  <c r="I3643" i="15"/>
  <c r="H3643" i="15"/>
  <c r="G3643" i="15"/>
  <c r="I3642" i="15"/>
  <c r="H3642" i="15"/>
  <c r="G3642" i="15"/>
  <c r="J3642" i="15" s="1"/>
  <c r="J3641" i="15"/>
  <c r="I3641" i="15"/>
  <c r="H3641" i="15"/>
  <c r="G3641" i="15"/>
  <c r="I3640" i="15"/>
  <c r="H3640" i="15"/>
  <c r="G3640" i="15"/>
  <c r="J3640" i="15" s="1"/>
  <c r="J3639" i="15"/>
  <c r="I3639" i="15"/>
  <c r="H3639" i="15"/>
  <c r="G3639" i="15"/>
  <c r="I3638" i="15"/>
  <c r="H3638" i="15"/>
  <c r="G3638" i="15"/>
  <c r="J3638" i="15" s="1"/>
  <c r="J3637" i="15"/>
  <c r="I3637" i="15"/>
  <c r="H3637" i="15"/>
  <c r="G3637" i="15"/>
  <c r="I3636" i="15"/>
  <c r="H3636" i="15"/>
  <c r="G3636" i="15"/>
  <c r="J3636" i="15" s="1"/>
  <c r="J3635" i="15"/>
  <c r="I3635" i="15"/>
  <c r="H3635" i="15"/>
  <c r="G3635" i="15"/>
  <c r="I3634" i="15"/>
  <c r="H3634" i="15"/>
  <c r="G3634" i="15"/>
  <c r="J3634" i="15" s="1"/>
  <c r="J3633" i="15"/>
  <c r="I3633" i="15"/>
  <c r="H3633" i="15"/>
  <c r="G3633" i="15"/>
  <c r="I3632" i="15"/>
  <c r="H3632" i="15"/>
  <c r="G3632" i="15"/>
  <c r="J3632" i="15" s="1"/>
  <c r="J3631" i="15"/>
  <c r="I3631" i="15"/>
  <c r="H3631" i="15"/>
  <c r="G3631" i="15"/>
  <c r="I3630" i="15"/>
  <c r="H3630" i="15"/>
  <c r="G3630" i="15"/>
  <c r="J3630" i="15" s="1"/>
  <c r="J3629" i="15"/>
  <c r="I3629" i="15"/>
  <c r="H3629" i="15"/>
  <c r="G3629" i="15"/>
  <c r="I3628" i="15"/>
  <c r="H3628" i="15"/>
  <c r="G3628" i="15"/>
  <c r="J3628" i="15" s="1"/>
  <c r="J3627" i="15"/>
  <c r="I3627" i="15"/>
  <c r="H3627" i="15"/>
  <c r="G3627" i="15"/>
  <c r="I3626" i="15"/>
  <c r="H3626" i="15"/>
  <c r="G3626" i="15"/>
  <c r="J3626" i="15" s="1"/>
  <c r="J3625" i="15"/>
  <c r="I3625" i="15"/>
  <c r="H3625" i="15"/>
  <c r="G3625" i="15"/>
  <c r="I3624" i="15"/>
  <c r="H3624" i="15"/>
  <c r="G3624" i="15"/>
  <c r="J3624" i="15" s="1"/>
  <c r="J3623" i="15"/>
  <c r="I3623" i="15"/>
  <c r="H3623" i="15"/>
  <c r="G3623" i="15"/>
  <c r="I3622" i="15"/>
  <c r="H3622" i="15"/>
  <c r="G3622" i="15"/>
  <c r="J3622" i="15" s="1"/>
  <c r="J3621" i="15"/>
  <c r="I3621" i="15"/>
  <c r="H3621" i="15"/>
  <c r="G3621" i="15"/>
  <c r="I3620" i="15"/>
  <c r="H3620" i="15"/>
  <c r="G3620" i="15"/>
  <c r="J3620" i="15" s="1"/>
  <c r="J3619" i="15"/>
  <c r="I3619" i="15"/>
  <c r="H3619" i="15"/>
  <c r="G3619" i="15"/>
  <c r="I3618" i="15"/>
  <c r="H3618" i="15"/>
  <c r="G3618" i="15"/>
  <c r="J3618" i="15" s="1"/>
  <c r="J3617" i="15"/>
  <c r="I3617" i="15"/>
  <c r="H3617" i="15"/>
  <c r="G3617" i="15"/>
  <c r="I3616" i="15"/>
  <c r="H3616" i="15"/>
  <c r="G3616" i="15"/>
  <c r="J3616" i="15" s="1"/>
  <c r="J3615" i="15"/>
  <c r="I3615" i="15"/>
  <c r="H3615" i="15"/>
  <c r="G3615" i="15"/>
  <c r="I3614" i="15"/>
  <c r="H3614" i="15"/>
  <c r="G3614" i="15"/>
  <c r="J3614" i="15" s="1"/>
  <c r="J3613" i="15"/>
  <c r="I3613" i="15"/>
  <c r="H3613" i="15"/>
  <c r="G3613" i="15"/>
  <c r="I3612" i="15"/>
  <c r="H3612" i="15"/>
  <c r="G3612" i="15"/>
  <c r="J3612" i="15" s="1"/>
  <c r="J3611" i="15"/>
  <c r="I3611" i="15"/>
  <c r="H3611" i="15"/>
  <c r="G3611" i="15"/>
  <c r="I3610" i="15"/>
  <c r="H3610" i="15"/>
  <c r="G3610" i="15"/>
  <c r="J3610" i="15" s="1"/>
  <c r="J3609" i="15"/>
  <c r="I3609" i="15"/>
  <c r="H3609" i="15"/>
  <c r="G3609" i="15"/>
  <c r="I3608" i="15"/>
  <c r="H3608" i="15"/>
  <c r="G3608" i="15"/>
  <c r="J3608" i="15" s="1"/>
  <c r="J3607" i="15"/>
  <c r="I3607" i="15"/>
  <c r="H3607" i="15"/>
  <c r="G3607" i="15"/>
  <c r="I3606" i="15"/>
  <c r="H3606" i="15"/>
  <c r="G3606" i="15"/>
  <c r="J3606" i="15" s="1"/>
  <c r="J3605" i="15"/>
  <c r="I3605" i="15"/>
  <c r="H3605" i="15"/>
  <c r="G3605" i="15"/>
  <c r="I3604" i="15"/>
  <c r="H3604" i="15"/>
  <c r="G3604" i="15"/>
  <c r="J3604" i="15" s="1"/>
  <c r="J3603" i="15"/>
  <c r="I3603" i="15"/>
  <c r="H3603" i="15"/>
  <c r="G3603" i="15"/>
  <c r="I3602" i="15"/>
  <c r="H3602" i="15"/>
  <c r="G3602" i="15"/>
  <c r="J3602" i="15" s="1"/>
  <c r="J3601" i="15"/>
  <c r="I3601" i="15"/>
  <c r="H3601" i="15"/>
  <c r="G3601" i="15"/>
  <c r="I3600" i="15"/>
  <c r="H3600" i="15"/>
  <c r="G3600" i="15"/>
  <c r="J3600" i="15" s="1"/>
  <c r="J3599" i="15"/>
  <c r="I3599" i="15"/>
  <c r="H3599" i="15"/>
  <c r="G3599" i="15"/>
  <c r="I3598" i="15"/>
  <c r="H3598" i="15"/>
  <c r="G3598" i="15"/>
  <c r="J3598" i="15" s="1"/>
  <c r="J3597" i="15"/>
  <c r="I3597" i="15"/>
  <c r="H3597" i="15"/>
  <c r="G3597" i="15"/>
  <c r="I3596" i="15"/>
  <c r="H3596" i="15"/>
  <c r="G3596" i="15"/>
  <c r="J3596" i="15" s="1"/>
  <c r="J3595" i="15"/>
  <c r="I3595" i="15"/>
  <c r="H3595" i="15"/>
  <c r="G3595" i="15"/>
  <c r="I3594" i="15"/>
  <c r="H3594" i="15"/>
  <c r="G3594" i="15"/>
  <c r="J3594" i="15" s="1"/>
  <c r="J3593" i="15"/>
  <c r="I3593" i="15"/>
  <c r="H3593" i="15"/>
  <c r="G3593" i="15"/>
  <c r="I3592" i="15"/>
  <c r="H3592" i="15"/>
  <c r="G3592" i="15"/>
  <c r="J3592" i="15" s="1"/>
  <c r="J3591" i="15"/>
  <c r="I3591" i="15"/>
  <c r="H3591" i="15"/>
  <c r="G3591" i="15"/>
  <c r="I3590" i="15"/>
  <c r="H3590" i="15"/>
  <c r="G3590" i="15"/>
  <c r="J3590" i="15" s="1"/>
  <c r="J3589" i="15"/>
  <c r="I3589" i="15"/>
  <c r="H3589" i="15"/>
  <c r="G3589" i="15"/>
  <c r="I3588" i="15"/>
  <c r="H3588" i="15"/>
  <c r="G3588" i="15"/>
  <c r="J3588" i="15" s="1"/>
  <c r="J3587" i="15"/>
  <c r="I3587" i="15"/>
  <c r="H3587" i="15"/>
  <c r="G3587" i="15"/>
  <c r="I3586" i="15"/>
  <c r="H3586" i="15"/>
  <c r="G3586" i="15"/>
  <c r="J3586" i="15" s="1"/>
  <c r="J3585" i="15"/>
  <c r="I3585" i="15"/>
  <c r="H3585" i="15"/>
  <c r="G3585" i="15"/>
  <c r="I3584" i="15"/>
  <c r="H3584" i="15"/>
  <c r="G3584" i="15"/>
  <c r="J3584" i="15" s="1"/>
  <c r="J3583" i="15"/>
  <c r="I3583" i="15"/>
  <c r="H3583" i="15"/>
  <c r="G3583" i="15"/>
  <c r="I3582" i="15"/>
  <c r="H3582" i="15"/>
  <c r="G3582" i="15"/>
  <c r="J3582" i="15" s="1"/>
  <c r="J3581" i="15"/>
  <c r="I3581" i="15"/>
  <c r="H3581" i="15"/>
  <c r="G3581" i="15"/>
  <c r="I3580" i="15"/>
  <c r="H3580" i="15"/>
  <c r="G3580" i="15"/>
  <c r="J3580" i="15" s="1"/>
  <c r="J3579" i="15"/>
  <c r="I3579" i="15"/>
  <c r="H3579" i="15"/>
  <c r="G3579" i="15"/>
  <c r="I3578" i="15"/>
  <c r="H3578" i="15"/>
  <c r="G3578" i="15"/>
  <c r="J3578" i="15" s="1"/>
  <c r="J3577" i="15"/>
  <c r="I3577" i="15"/>
  <c r="H3577" i="15"/>
  <c r="G3577" i="15"/>
  <c r="I3576" i="15"/>
  <c r="H3576" i="15"/>
  <c r="G3576" i="15"/>
  <c r="J3576" i="15" s="1"/>
  <c r="J3575" i="15"/>
  <c r="I3575" i="15"/>
  <c r="H3575" i="15"/>
  <c r="G3575" i="15"/>
  <c r="I3574" i="15"/>
  <c r="H3574" i="15"/>
  <c r="G3574" i="15"/>
  <c r="J3574" i="15" s="1"/>
  <c r="J3573" i="15"/>
  <c r="I3573" i="15"/>
  <c r="H3573" i="15"/>
  <c r="G3573" i="15"/>
  <c r="I3572" i="15"/>
  <c r="H3572" i="15"/>
  <c r="G3572" i="15"/>
  <c r="J3572" i="15" s="1"/>
  <c r="J3571" i="15"/>
  <c r="I3571" i="15"/>
  <c r="H3571" i="15"/>
  <c r="G3571" i="15"/>
  <c r="I3570" i="15"/>
  <c r="H3570" i="15"/>
  <c r="G3570" i="15"/>
  <c r="J3570" i="15" s="1"/>
  <c r="J3569" i="15"/>
  <c r="I3569" i="15"/>
  <c r="H3569" i="15"/>
  <c r="G3569" i="15"/>
  <c r="I3568" i="15"/>
  <c r="H3568" i="15"/>
  <c r="G3568" i="15"/>
  <c r="J3568" i="15" s="1"/>
  <c r="J3567" i="15"/>
  <c r="I3567" i="15"/>
  <c r="H3567" i="15"/>
  <c r="G3567" i="15"/>
  <c r="I3566" i="15"/>
  <c r="H3566" i="15"/>
  <c r="G3566" i="15"/>
  <c r="J3566" i="15" s="1"/>
  <c r="J3565" i="15"/>
  <c r="I3565" i="15"/>
  <c r="H3565" i="15"/>
  <c r="G3565" i="15"/>
  <c r="I3564" i="15"/>
  <c r="H3564" i="15"/>
  <c r="G3564" i="15"/>
  <c r="J3564" i="15" s="1"/>
  <c r="J3563" i="15"/>
  <c r="I3563" i="15"/>
  <c r="H3563" i="15"/>
  <c r="G3563" i="15"/>
  <c r="I3562" i="15"/>
  <c r="H3562" i="15"/>
  <c r="G3562" i="15"/>
  <c r="J3562" i="15" s="1"/>
  <c r="J3561" i="15"/>
  <c r="I3561" i="15"/>
  <c r="H3561" i="15"/>
  <c r="G3561" i="15"/>
  <c r="I3560" i="15"/>
  <c r="H3560" i="15"/>
  <c r="G3560" i="15"/>
  <c r="J3560" i="15" s="1"/>
  <c r="J3559" i="15"/>
  <c r="I3559" i="15"/>
  <c r="H3559" i="15"/>
  <c r="G3559" i="15"/>
  <c r="I3558" i="15"/>
  <c r="H3558" i="15"/>
  <c r="G3558" i="15"/>
  <c r="J3558" i="15" s="1"/>
  <c r="J3557" i="15"/>
  <c r="I3557" i="15"/>
  <c r="H3557" i="15"/>
  <c r="G3557" i="15"/>
  <c r="I3556" i="15"/>
  <c r="H3556" i="15"/>
  <c r="G3556" i="15"/>
  <c r="J3556" i="15" s="1"/>
  <c r="J3555" i="15"/>
  <c r="I3555" i="15"/>
  <c r="H3555" i="15"/>
  <c r="G3555" i="15"/>
  <c r="I3554" i="15"/>
  <c r="H3554" i="15"/>
  <c r="G3554" i="15"/>
  <c r="J3554" i="15" s="1"/>
  <c r="J3553" i="15"/>
  <c r="I3553" i="15"/>
  <c r="H3553" i="15"/>
  <c r="G3553" i="15"/>
  <c r="I3552" i="15"/>
  <c r="H3552" i="15"/>
  <c r="G3552" i="15"/>
  <c r="J3552" i="15" s="1"/>
  <c r="J3551" i="15"/>
  <c r="I3551" i="15"/>
  <c r="H3551" i="15"/>
  <c r="G3551" i="15"/>
  <c r="I3550" i="15"/>
  <c r="H3550" i="15"/>
  <c r="G3550" i="15"/>
  <c r="J3550" i="15" s="1"/>
  <c r="J3549" i="15"/>
  <c r="I3549" i="15"/>
  <c r="H3549" i="15"/>
  <c r="G3549" i="15"/>
  <c r="I3548" i="15"/>
  <c r="H3548" i="15"/>
  <c r="G3548" i="15"/>
  <c r="J3548" i="15" s="1"/>
  <c r="J3547" i="15"/>
  <c r="I3547" i="15"/>
  <c r="H3547" i="15"/>
  <c r="G3547" i="15"/>
  <c r="I3546" i="15"/>
  <c r="H3546" i="15"/>
  <c r="G3546" i="15"/>
  <c r="J3546" i="15" s="1"/>
  <c r="J3545" i="15"/>
  <c r="I3545" i="15"/>
  <c r="H3545" i="15"/>
  <c r="G3545" i="15"/>
  <c r="I3544" i="15"/>
  <c r="H3544" i="15"/>
  <c r="G3544" i="15"/>
  <c r="J3544" i="15" s="1"/>
  <c r="J3543" i="15"/>
  <c r="I3543" i="15"/>
  <c r="H3543" i="15"/>
  <c r="G3543" i="15"/>
  <c r="I3542" i="15"/>
  <c r="H3542" i="15"/>
  <c r="G3542" i="15"/>
  <c r="J3542" i="15" s="1"/>
  <c r="J3541" i="15"/>
  <c r="I3541" i="15"/>
  <c r="H3541" i="15"/>
  <c r="G3541" i="15"/>
  <c r="I3540" i="15"/>
  <c r="H3540" i="15"/>
  <c r="G3540" i="15"/>
  <c r="J3540" i="15" s="1"/>
  <c r="J3539" i="15"/>
  <c r="I3539" i="15"/>
  <c r="H3539" i="15"/>
  <c r="G3539" i="15"/>
  <c r="I3538" i="15"/>
  <c r="H3538" i="15"/>
  <c r="G3538" i="15"/>
  <c r="J3538" i="15" s="1"/>
  <c r="J3537" i="15"/>
  <c r="I3537" i="15"/>
  <c r="H3537" i="15"/>
  <c r="G3537" i="15"/>
  <c r="I3536" i="15"/>
  <c r="H3536" i="15"/>
  <c r="G3536" i="15"/>
  <c r="J3536" i="15" s="1"/>
  <c r="J3535" i="15"/>
  <c r="I3535" i="15"/>
  <c r="H3535" i="15"/>
  <c r="G3535" i="15"/>
  <c r="I3534" i="15"/>
  <c r="H3534" i="15"/>
  <c r="G3534" i="15"/>
  <c r="J3534" i="15" s="1"/>
  <c r="J3533" i="15"/>
  <c r="I3533" i="15"/>
  <c r="H3533" i="15"/>
  <c r="G3533" i="15"/>
  <c r="I3532" i="15"/>
  <c r="H3532" i="15"/>
  <c r="G3532" i="15"/>
  <c r="J3532" i="15" s="1"/>
  <c r="J3531" i="15"/>
  <c r="I3531" i="15"/>
  <c r="H3531" i="15"/>
  <c r="G3531" i="15"/>
  <c r="I3530" i="15"/>
  <c r="H3530" i="15"/>
  <c r="G3530" i="15"/>
  <c r="J3530" i="15" s="1"/>
  <c r="J3529" i="15"/>
  <c r="I3529" i="15"/>
  <c r="H3529" i="15"/>
  <c r="G3529" i="15"/>
  <c r="I3528" i="15"/>
  <c r="H3528" i="15"/>
  <c r="G3528" i="15"/>
  <c r="J3528" i="15" s="1"/>
  <c r="J3527" i="15"/>
  <c r="I3527" i="15"/>
  <c r="H3527" i="15"/>
  <c r="G3527" i="15"/>
  <c r="I3526" i="15"/>
  <c r="H3526" i="15"/>
  <c r="G3526" i="15"/>
  <c r="J3526" i="15" s="1"/>
  <c r="J3525" i="15"/>
  <c r="I3525" i="15"/>
  <c r="H3525" i="15"/>
  <c r="G3525" i="15"/>
  <c r="I3524" i="15"/>
  <c r="H3524" i="15"/>
  <c r="G3524" i="15"/>
  <c r="J3524" i="15" s="1"/>
  <c r="J3523" i="15"/>
  <c r="I3523" i="15"/>
  <c r="H3523" i="15"/>
  <c r="G3523" i="15"/>
  <c r="I3522" i="15"/>
  <c r="H3522" i="15"/>
  <c r="G3522" i="15"/>
  <c r="J3522" i="15" s="1"/>
  <c r="J3521" i="15"/>
  <c r="I3521" i="15"/>
  <c r="H3521" i="15"/>
  <c r="G3521" i="15"/>
  <c r="I3520" i="15"/>
  <c r="H3520" i="15"/>
  <c r="G3520" i="15"/>
  <c r="J3520" i="15" s="1"/>
  <c r="J3519" i="15"/>
  <c r="I3519" i="15"/>
  <c r="H3519" i="15"/>
  <c r="G3519" i="15"/>
  <c r="I3518" i="15"/>
  <c r="H3518" i="15"/>
  <c r="G3518" i="15"/>
  <c r="J3518" i="15" s="1"/>
  <c r="J3517" i="15"/>
  <c r="I3517" i="15"/>
  <c r="H3517" i="15"/>
  <c r="G3517" i="15"/>
  <c r="I3516" i="15"/>
  <c r="H3516" i="15"/>
  <c r="G3516" i="15"/>
  <c r="J3516" i="15" s="1"/>
  <c r="J3515" i="15"/>
  <c r="I3515" i="15"/>
  <c r="H3515" i="15"/>
  <c r="G3515" i="15"/>
  <c r="I3514" i="15"/>
  <c r="H3514" i="15"/>
  <c r="G3514" i="15"/>
  <c r="J3514" i="15" s="1"/>
  <c r="J3513" i="15"/>
  <c r="I3513" i="15"/>
  <c r="H3513" i="15"/>
  <c r="G3513" i="15"/>
  <c r="I3512" i="15"/>
  <c r="H3512" i="15"/>
  <c r="G3512" i="15"/>
  <c r="J3512" i="15" s="1"/>
  <c r="J3511" i="15"/>
  <c r="I3511" i="15"/>
  <c r="H3511" i="15"/>
  <c r="G3511" i="15"/>
  <c r="I3510" i="15"/>
  <c r="H3510" i="15"/>
  <c r="G3510" i="15"/>
  <c r="J3510" i="15" s="1"/>
  <c r="J3509" i="15"/>
  <c r="I3509" i="15"/>
  <c r="H3509" i="15"/>
  <c r="G3509" i="15"/>
  <c r="I3508" i="15"/>
  <c r="H3508" i="15"/>
  <c r="G3508" i="15"/>
  <c r="J3508" i="15" s="1"/>
  <c r="J3507" i="15"/>
  <c r="I3507" i="15"/>
  <c r="H3507" i="15"/>
  <c r="G3507" i="15"/>
  <c r="I3506" i="15"/>
  <c r="H3506" i="15"/>
  <c r="G3506" i="15"/>
  <c r="J3506" i="15" s="1"/>
  <c r="J3505" i="15"/>
  <c r="I3505" i="15"/>
  <c r="H3505" i="15"/>
  <c r="G3505" i="15"/>
  <c r="I3504" i="15"/>
  <c r="H3504" i="15"/>
  <c r="G3504" i="15"/>
  <c r="J3504" i="15" s="1"/>
  <c r="J3503" i="15"/>
  <c r="I3503" i="15"/>
  <c r="H3503" i="15"/>
  <c r="G3503" i="15"/>
  <c r="I3502" i="15"/>
  <c r="H3502" i="15"/>
  <c r="G3502" i="15"/>
  <c r="J3502" i="15" s="1"/>
  <c r="J3501" i="15"/>
  <c r="I3501" i="15"/>
  <c r="H3501" i="15"/>
  <c r="G3501" i="15"/>
  <c r="I3500" i="15"/>
  <c r="H3500" i="15"/>
  <c r="G3500" i="15"/>
  <c r="J3500" i="15" s="1"/>
  <c r="J3499" i="15"/>
  <c r="I3499" i="15"/>
  <c r="H3499" i="15"/>
  <c r="G3499" i="15"/>
  <c r="I3498" i="15"/>
  <c r="H3498" i="15"/>
  <c r="G3498" i="15"/>
  <c r="J3498" i="15" s="1"/>
  <c r="J3497" i="15"/>
  <c r="I3497" i="15"/>
  <c r="H3497" i="15"/>
  <c r="G3497" i="15"/>
  <c r="I3496" i="15"/>
  <c r="H3496" i="15"/>
  <c r="G3496" i="15"/>
  <c r="J3496" i="15" s="1"/>
  <c r="J3495" i="15"/>
  <c r="I3495" i="15"/>
  <c r="H3495" i="15"/>
  <c r="G3495" i="15"/>
  <c r="I3494" i="15"/>
  <c r="H3494" i="15"/>
  <c r="G3494" i="15"/>
  <c r="J3494" i="15" s="1"/>
  <c r="J3493" i="15"/>
  <c r="I3493" i="15"/>
  <c r="H3493" i="15"/>
  <c r="G3493" i="15"/>
  <c r="I3492" i="15"/>
  <c r="H3492" i="15"/>
  <c r="G3492" i="15"/>
  <c r="J3492" i="15" s="1"/>
  <c r="J3491" i="15"/>
  <c r="I3491" i="15"/>
  <c r="H3491" i="15"/>
  <c r="G3491" i="15"/>
  <c r="I3490" i="15"/>
  <c r="H3490" i="15"/>
  <c r="G3490" i="15"/>
  <c r="J3490" i="15" s="1"/>
  <c r="J3489" i="15"/>
  <c r="I3489" i="15"/>
  <c r="H3489" i="15"/>
  <c r="G3489" i="15"/>
  <c r="I3488" i="15"/>
  <c r="H3488" i="15"/>
  <c r="G3488" i="15"/>
  <c r="J3488" i="15" s="1"/>
  <c r="J3487" i="15"/>
  <c r="I3487" i="15"/>
  <c r="H3487" i="15"/>
  <c r="G3487" i="15"/>
  <c r="I3486" i="15"/>
  <c r="H3486" i="15"/>
  <c r="G3486" i="15"/>
  <c r="J3486" i="15" s="1"/>
  <c r="J3485" i="15"/>
  <c r="I3485" i="15"/>
  <c r="H3485" i="15"/>
  <c r="G3485" i="15"/>
  <c r="I3484" i="15"/>
  <c r="H3484" i="15"/>
  <c r="G3484" i="15"/>
  <c r="J3484" i="15" s="1"/>
  <c r="J3483" i="15"/>
  <c r="I3483" i="15"/>
  <c r="H3483" i="15"/>
  <c r="G3483" i="15"/>
  <c r="I3482" i="15"/>
  <c r="H3482" i="15"/>
  <c r="G3482" i="15"/>
  <c r="J3482" i="15" s="1"/>
  <c r="J3481" i="15"/>
  <c r="I3481" i="15"/>
  <c r="H3481" i="15"/>
  <c r="G3481" i="15"/>
  <c r="I3480" i="15"/>
  <c r="H3480" i="15"/>
  <c r="G3480" i="15"/>
  <c r="J3480" i="15" s="1"/>
  <c r="J3479" i="15"/>
  <c r="I3479" i="15"/>
  <c r="H3479" i="15"/>
  <c r="G3479" i="15"/>
  <c r="I3478" i="15"/>
  <c r="H3478" i="15"/>
  <c r="G3478" i="15"/>
  <c r="J3478" i="15" s="1"/>
  <c r="J3477" i="15"/>
  <c r="I3477" i="15"/>
  <c r="H3477" i="15"/>
  <c r="G3477" i="15"/>
  <c r="I3476" i="15"/>
  <c r="H3476" i="15"/>
  <c r="G3476" i="15"/>
  <c r="J3476" i="15" s="1"/>
  <c r="J3475" i="15"/>
  <c r="I3475" i="15"/>
  <c r="H3475" i="15"/>
  <c r="G3475" i="15"/>
  <c r="I3474" i="15"/>
  <c r="H3474" i="15"/>
  <c r="G3474" i="15"/>
  <c r="J3474" i="15" s="1"/>
  <c r="J3473" i="15"/>
  <c r="I3473" i="15"/>
  <c r="H3473" i="15"/>
  <c r="G3473" i="15"/>
  <c r="I3472" i="15"/>
  <c r="H3472" i="15"/>
  <c r="G3472" i="15"/>
  <c r="J3472" i="15" s="1"/>
  <c r="J3471" i="15"/>
  <c r="I3471" i="15"/>
  <c r="H3471" i="15"/>
  <c r="G3471" i="15"/>
  <c r="I3470" i="15"/>
  <c r="H3470" i="15"/>
  <c r="G3470" i="15"/>
  <c r="J3470" i="15" s="1"/>
  <c r="J3469" i="15"/>
  <c r="I3469" i="15"/>
  <c r="H3469" i="15"/>
  <c r="G3469" i="15"/>
  <c r="I3468" i="15"/>
  <c r="H3468" i="15"/>
  <c r="G3468" i="15"/>
  <c r="J3468" i="15" s="1"/>
  <c r="J3467" i="15"/>
  <c r="I3467" i="15"/>
  <c r="H3467" i="15"/>
  <c r="G3467" i="15"/>
  <c r="I3466" i="15"/>
  <c r="H3466" i="15"/>
  <c r="G3466" i="15"/>
  <c r="J3466" i="15" s="1"/>
  <c r="J3465" i="15"/>
  <c r="I3465" i="15"/>
  <c r="H3465" i="15"/>
  <c r="G3465" i="15"/>
  <c r="I3464" i="15"/>
  <c r="H3464" i="15"/>
  <c r="G3464" i="15"/>
  <c r="J3464" i="15" s="1"/>
  <c r="J3463" i="15"/>
  <c r="I3463" i="15"/>
  <c r="H3463" i="15"/>
  <c r="G3463" i="15"/>
  <c r="I3462" i="15"/>
  <c r="H3462" i="15"/>
  <c r="G3462" i="15"/>
  <c r="J3462" i="15" s="1"/>
  <c r="J3461" i="15"/>
  <c r="I3461" i="15"/>
  <c r="H3461" i="15"/>
  <c r="G3461" i="15"/>
  <c r="I3460" i="15"/>
  <c r="H3460" i="15"/>
  <c r="G3460" i="15"/>
  <c r="J3460" i="15" s="1"/>
  <c r="J3459" i="15"/>
  <c r="I3459" i="15"/>
  <c r="H3459" i="15"/>
  <c r="G3459" i="15"/>
  <c r="I3458" i="15"/>
  <c r="H3458" i="15"/>
  <c r="G3458" i="15"/>
  <c r="J3458" i="15" s="1"/>
  <c r="J3457" i="15"/>
  <c r="I3457" i="15"/>
  <c r="H3457" i="15"/>
  <c r="G3457" i="15"/>
  <c r="I3456" i="15"/>
  <c r="H3456" i="15"/>
  <c r="G3456" i="15"/>
  <c r="J3456" i="15" s="1"/>
  <c r="J3455" i="15"/>
  <c r="I3455" i="15"/>
  <c r="H3455" i="15"/>
  <c r="G3455" i="15"/>
  <c r="I3454" i="15"/>
  <c r="H3454" i="15"/>
  <c r="G3454" i="15"/>
  <c r="J3454" i="15" s="1"/>
  <c r="J3453" i="15"/>
  <c r="I3453" i="15"/>
  <c r="H3453" i="15"/>
  <c r="G3453" i="15"/>
  <c r="I3452" i="15"/>
  <c r="H3452" i="15"/>
  <c r="G3452" i="15"/>
  <c r="J3452" i="15" s="1"/>
  <c r="J3451" i="15"/>
  <c r="I3451" i="15"/>
  <c r="H3451" i="15"/>
  <c r="G3451" i="15"/>
  <c r="I3450" i="15"/>
  <c r="H3450" i="15"/>
  <c r="G3450" i="15"/>
  <c r="J3450" i="15" s="1"/>
  <c r="J3449" i="15"/>
  <c r="I3449" i="15"/>
  <c r="H3449" i="15"/>
  <c r="G3449" i="15"/>
  <c r="I3448" i="15"/>
  <c r="H3448" i="15"/>
  <c r="G3448" i="15"/>
  <c r="J3448" i="15" s="1"/>
  <c r="J3447" i="15"/>
  <c r="I3447" i="15"/>
  <c r="H3447" i="15"/>
  <c r="G3447" i="15"/>
  <c r="I3446" i="15"/>
  <c r="H3446" i="15"/>
  <c r="G3446" i="15"/>
  <c r="J3446" i="15" s="1"/>
  <c r="J3445" i="15"/>
  <c r="I3445" i="15"/>
  <c r="H3445" i="15"/>
  <c r="G3445" i="15"/>
  <c r="I3444" i="15"/>
  <c r="H3444" i="15"/>
  <c r="G3444" i="15"/>
  <c r="J3444" i="15" s="1"/>
  <c r="J3443" i="15"/>
  <c r="I3443" i="15"/>
  <c r="H3443" i="15"/>
  <c r="G3443" i="15"/>
  <c r="I3442" i="15"/>
  <c r="H3442" i="15"/>
  <c r="G3442" i="15"/>
  <c r="J3442" i="15" s="1"/>
  <c r="J3441" i="15"/>
  <c r="I3441" i="15"/>
  <c r="H3441" i="15"/>
  <c r="G3441" i="15"/>
  <c r="I3440" i="15"/>
  <c r="H3440" i="15"/>
  <c r="G3440" i="15"/>
  <c r="J3440" i="15" s="1"/>
  <c r="J3439" i="15"/>
  <c r="I3439" i="15"/>
  <c r="H3439" i="15"/>
  <c r="G3439" i="15"/>
  <c r="I3438" i="15"/>
  <c r="H3438" i="15"/>
  <c r="G3438" i="15"/>
  <c r="J3438" i="15" s="1"/>
  <c r="J3437" i="15"/>
  <c r="I3437" i="15"/>
  <c r="H3437" i="15"/>
  <c r="G3437" i="15"/>
  <c r="I3436" i="15"/>
  <c r="H3436" i="15"/>
  <c r="G3436" i="15"/>
  <c r="J3436" i="15" s="1"/>
  <c r="J3435" i="15"/>
  <c r="I3435" i="15"/>
  <c r="H3435" i="15"/>
  <c r="G3435" i="15"/>
  <c r="I3434" i="15"/>
  <c r="H3434" i="15"/>
  <c r="G3434" i="15"/>
  <c r="J3434" i="15" s="1"/>
  <c r="J3433" i="15"/>
  <c r="I3433" i="15"/>
  <c r="H3433" i="15"/>
  <c r="G3433" i="15"/>
  <c r="I3432" i="15"/>
  <c r="H3432" i="15"/>
  <c r="G3432" i="15"/>
  <c r="J3432" i="15" s="1"/>
  <c r="J3431" i="15"/>
  <c r="I3431" i="15"/>
  <c r="H3431" i="15"/>
  <c r="G3431" i="15"/>
  <c r="I3430" i="15"/>
  <c r="H3430" i="15"/>
  <c r="G3430" i="15"/>
  <c r="J3430" i="15" s="1"/>
  <c r="J3429" i="15"/>
  <c r="I3429" i="15"/>
  <c r="H3429" i="15"/>
  <c r="G3429" i="15"/>
  <c r="I3428" i="15"/>
  <c r="H3428" i="15"/>
  <c r="G3428" i="15"/>
  <c r="J3428" i="15" s="1"/>
  <c r="J3427" i="15"/>
  <c r="I3427" i="15"/>
  <c r="H3427" i="15"/>
  <c r="G3427" i="15"/>
  <c r="I3426" i="15"/>
  <c r="H3426" i="15"/>
  <c r="G3426" i="15"/>
  <c r="J3426" i="15" s="1"/>
  <c r="J3425" i="15"/>
  <c r="I3425" i="15"/>
  <c r="H3425" i="15"/>
  <c r="G3425" i="15"/>
  <c r="I3424" i="15"/>
  <c r="H3424" i="15"/>
  <c r="G3424" i="15"/>
  <c r="J3424" i="15" s="1"/>
  <c r="J3423" i="15"/>
  <c r="I3423" i="15"/>
  <c r="H3423" i="15"/>
  <c r="G3423" i="15"/>
  <c r="I3422" i="15"/>
  <c r="H3422" i="15"/>
  <c r="G3422" i="15"/>
  <c r="J3422" i="15" s="1"/>
  <c r="J3421" i="15"/>
  <c r="I3421" i="15"/>
  <c r="H3421" i="15"/>
  <c r="G3421" i="15"/>
  <c r="I3420" i="15"/>
  <c r="H3420" i="15"/>
  <c r="G3420" i="15"/>
  <c r="J3420" i="15" s="1"/>
  <c r="J3419" i="15"/>
  <c r="I3419" i="15"/>
  <c r="H3419" i="15"/>
  <c r="G3419" i="15"/>
  <c r="I3418" i="15"/>
  <c r="H3418" i="15"/>
  <c r="G3418" i="15"/>
  <c r="J3418" i="15" s="1"/>
  <c r="J3417" i="15"/>
  <c r="I3417" i="15"/>
  <c r="H3417" i="15"/>
  <c r="G3417" i="15"/>
  <c r="I3416" i="15"/>
  <c r="H3416" i="15"/>
  <c r="G3416" i="15"/>
  <c r="J3416" i="15" s="1"/>
  <c r="J3415" i="15"/>
  <c r="I3415" i="15"/>
  <c r="H3415" i="15"/>
  <c r="G3415" i="15"/>
  <c r="I3414" i="15"/>
  <c r="H3414" i="15"/>
  <c r="G3414" i="15"/>
  <c r="J3414" i="15" s="1"/>
  <c r="J3413" i="15"/>
  <c r="I3413" i="15"/>
  <c r="H3413" i="15"/>
  <c r="G3413" i="15"/>
  <c r="I3412" i="15"/>
  <c r="H3412" i="15"/>
  <c r="G3412" i="15"/>
  <c r="J3412" i="15" s="1"/>
  <c r="J3411" i="15"/>
  <c r="I3411" i="15"/>
  <c r="H3411" i="15"/>
  <c r="G3411" i="15"/>
  <c r="I3410" i="15"/>
  <c r="H3410" i="15"/>
  <c r="G3410" i="15"/>
  <c r="J3410" i="15" s="1"/>
  <c r="J3409" i="15"/>
  <c r="I3409" i="15"/>
  <c r="H3409" i="15"/>
  <c r="G3409" i="15"/>
  <c r="I3408" i="15"/>
  <c r="H3408" i="15"/>
  <c r="G3408" i="15"/>
  <c r="J3408" i="15" s="1"/>
  <c r="J3407" i="15"/>
  <c r="I3407" i="15"/>
  <c r="H3407" i="15"/>
  <c r="G3407" i="15"/>
  <c r="I3406" i="15"/>
  <c r="H3406" i="15"/>
  <c r="G3406" i="15"/>
  <c r="J3406" i="15" s="1"/>
  <c r="J3405" i="15"/>
  <c r="I3405" i="15"/>
  <c r="H3405" i="15"/>
  <c r="G3405" i="15"/>
  <c r="I3404" i="15"/>
  <c r="H3404" i="15"/>
  <c r="G3404" i="15"/>
  <c r="J3404" i="15" s="1"/>
  <c r="J3403" i="15"/>
  <c r="I3403" i="15"/>
  <c r="H3403" i="15"/>
  <c r="G3403" i="15"/>
  <c r="I3402" i="15"/>
  <c r="H3402" i="15"/>
  <c r="G3402" i="15"/>
  <c r="J3402" i="15" s="1"/>
  <c r="J3401" i="15"/>
  <c r="I3401" i="15"/>
  <c r="H3401" i="15"/>
  <c r="G3401" i="15"/>
  <c r="I3400" i="15"/>
  <c r="H3400" i="15"/>
  <c r="G3400" i="15"/>
  <c r="J3400" i="15" s="1"/>
  <c r="J3399" i="15"/>
  <c r="I3399" i="15"/>
  <c r="H3399" i="15"/>
  <c r="G3399" i="15"/>
  <c r="I3398" i="15"/>
  <c r="H3398" i="15"/>
  <c r="G3398" i="15"/>
  <c r="J3398" i="15" s="1"/>
  <c r="J3397" i="15"/>
  <c r="I3397" i="15"/>
  <c r="H3397" i="15"/>
  <c r="G3397" i="15"/>
  <c r="I3396" i="15"/>
  <c r="H3396" i="15"/>
  <c r="G3396" i="15"/>
  <c r="J3396" i="15" s="1"/>
  <c r="J3395" i="15"/>
  <c r="I3395" i="15"/>
  <c r="H3395" i="15"/>
  <c r="G3395" i="15"/>
  <c r="I3394" i="15"/>
  <c r="H3394" i="15"/>
  <c r="G3394" i="15"/>
  <c r="J3394" i="15" s="1"/>
  <c r="J3393" i="15"/>
  <c r="I3393" i="15"/>
  <c r="H3393" i="15"/>
  <c r="G3393" i="15"/>
  <c r="I3392" i="15"/>
  <c r="H3392" i="15"/>
  <c r="G3392" i="15"/>
  <c r="J3392" i="15" s="1"/>
  <c r="J3391" i="15"/>
  <c r="I3391" i="15"/>
  <c r="H3391" i="15"/>
  <c r="G3391" i="15"/>
  <c r="I3390" i="15"/>
  <c r="H3390" i="15"/>
  <c r="G3390" i="15"/>
  <c r="J3390" i="15" s="1"/>
  <c r="J3389" i="15"/>
  <c r="I3389" i="15"/>
  <c r="H3389" i="15"/>
  <c r="G3389" i="15"/>
  <c r="I3388" i="15"/>
  <c r="H3388" i="15"/>
  <c r="G3388" i="15"/>
  <c r="J3388" i="15" s="1"/>
  <c r="J3387" i="15"/>
  <c r="I3387" i="15"/>
  <c r="H3387" i="15"/>
  <c r="G3387" i="15"/>
  <c r="I3386" i="15"/>
  <c r="H3386" i="15"/>
  <c r="G3386" i="15"/>
  <c r="J3386" i="15" s="1"/>
  <c r="J3385" i="15"/>
  <c r="I3385" i="15"/>
  <c r="H3385" i="15"/>
  <c r="G3385" i="15"/>
  <c r="I3384" i="15"/>
  <c r="H3384" i="15"/>
  <c r="G3384" i="15"/>
  <c r="J3384" i="15" s="1"/>
  <c r="J3383" i="15"/>
  <c r="I3383" i="15"/>
  <c r="H3383" i="15"/>
  <c r="G3383" i="15"/>
  <c r="I3382" i="15"/>
  <c r="H3382" i="15"/>
  <c r="G3382" i="15"/>
  <c r="J3382" i="15" s="1"/>
  <c r="J3381" i="15"/>
  <c r="I3381" i="15"/>
  <c r="H3381" i="15"/>
  <c r="G3381" i="15"/>
  <c r="I3380" i="15"/>
  <c r="H3380" i="15"/>
  <c r="G3380" i="15"/>
  <c r="J3380" i="15" s="1"/>
  <c r="J3379" i="15"/>
  <c r="I3379" i="15"/>
  <c r="H3379" i="15"/>
  <c r="G3379" i="15"/>
  <c r="I3378" i="15"/>
  <c r="H3378" i="15"/>
  <c r="G3378" i="15"/>
  <c r="J3378" i="15" s="1"/>
  <c r="J3377" i="15"/>
  <c r="I3377" i="15"/>
  <c r="H3377" i="15"/>
  <c r="G3377" i="15"/>
  <c r="I3376" i="15"/>
  <c r="H3376" i="15"/>
  <c r="G3376" i="15"/>
  <c r="J3376" i="15" s="1"/>
  <c r="J3375" i="15"/>
  <c r="I3375" i="15"/>
  <c r="H3375" i="15"/>
  <c r="G3375" i="15"/>
  <c r="I3374" i="15"/>
  <c r="H3374" i="15"/>
  <c r="G3374" i="15"/>
  <c r="J3374" i="15" s="1"/>
  <c r="J3373" i="15"/>
  <c r="I3373" i="15"/>
  <c r="H3373" i="15"/>
  <c r="G3373" i="15"/>
  <c r="I3372" i="15"/>
  <c r="H3372" i="15"/>
  <c r="G3372" i="15"/>
  <c r="J3372" i="15" s="1"/>
  <c r="J3371" i="15"/>
  <c r="I3371" i="15"/>
  <c r="H3371" i="15"/>
  <c r="G3371" i="15"/>
  <c r="I3370" i="15"/>
  <c r="H3370" i="15"/>
  <c r="G3370" i="15"/>
  <c r="J3370" i="15" s="1"/>
  <c r="J3369" i="15"/>
  <c r="I3369" i="15"/>
  <c r="H3369" i="15"/>
  <c r="G3369" i="15"/>
  <c r="I3368" i="15"/>
  <c r="H3368" i="15"/>
  <c r="G3368" i="15"/>
  <c r="J3368" i="15" s="1"/>
  <c r="J3367" i="15"/>
  <c r="I3367" i="15"/>
  <c r="H3367" i="15"/>
  <c r="G3367" i="15"/>
  <c r="I3366" i="15"/>
  <c r="H3366" i="15"/>
  <c r="G3366" i="15"/>
  <c r="J3366" i="15" s="1"/>
  <c r="J3365" i="15"/>
  <c r="I3365" i="15"/>
  <c r="H3365" i="15"/>
  <c r="G3365" i="15"/>
  <c r="I3364" i="15"/>
  <c r="H3364" i="15"/>
  <c r="G3364" i="15"/>
  <c r="J3364" i="15" s="1"/>
  <c r="J3363" i="15"/>
  <c r="I3363" i="15"/>
  <c r="H3363" i="15"/>
  <c r="G3363" i="15"/>
  <c r="I3362" i="15"/>
  <c r="H3362" i="15"/>
  <c r="G3362" i="15"/>
  <c r="J3362" i="15" s="1"/>
  <c r="J3361" i="15"/>
  <c r="I3361" i="15"/>
  <c r="H3361" i="15"/>
  <c r="G3361" i="15"/>
  <c r="I3360" i="15"/>
  <c r="H3360" i="15"/>
  <c r="G3360" i="15"/>
  <c r="J3360" i="15" s="1"/>
  <c r="J3359" i="15"/>
  <c r="I3359" i="15"/>
  <c r="H3359" i="15"/>
  <c r="G3359" i="15"/>
  <c r="I3358" i="15"/>
  <c r="H3358" i="15"/>
  <c r="G3358" i="15"/>
  <c r="J3358" i="15" s="1"/>
  <c r="J3357" i="15"/>
  <c r="I3357" i="15"/>
  <c r="H3357" i="15"/>
  <c r="G3357" i="15"/>
  <c r="I3356" i="15"/>
  <c r="H3356" i="15"/>
  <c r="G3356" i="15"/>
  <c r="J3356" i="15" s="1"/>
  <c r="J3355" i="15"/>
  <c r="I3355" i="15"/>
  <c r="H3355" i="15"/>
  <c r="G3355" i="15"/>
  <c r="I3354" i="15"/>
  <c r="H3354" i="15"/>
  <c r="G3354" i="15"/>
  <c r="J3354" i="15" s="1"/>
  <c r="J3353" i="15"/>
  <c r="I3353" i="15"/>
  <c r="H3353" i="15"/>
  <c r="G3353" i="15"/>
  <c r="I3352" i="15"/>
  <c r="H3352" i="15"/>
  <c r="G3352" i="15"/>
  <c r="J3352" i="15" s="1"/>
  <c r="J3351" i="15"/>
  <c r="I3351" i="15"/>
  <c r="H3351" i="15"/>
  <c r="G3351" i="15"/>
  <c r="I3350" i="15"/>
  <c r="H3350" i="15"/>
  <c r="G3350" i="15"/>
  <c r="J3350" i="15" s="1"/>
  <c r="J3349" i="15"/>
  <c r="I3349" i="15"/>
  <c r="H3349" i="15"/>
  <c r="G3349" i="15"/>
  <c r="I3348" i="15"/>
  <c r="H3348" i="15"/>
  <c r="G3348" i="15"/>
  <c r="J3348" i="15" s="1"/>
  <c r="J3347" i="15"/>
  <c r="I3347" i="15"/>
  <c r="H3347" i="15"/>
  <c r="G3347" i="15"/>
  <c r="I3346" i="15"/>
  <c r="H3346" i="15"/>
  <c r="G3346" i="15"/>
  <c r="J3346" i="15" s="1"/>
  <c r="J3345" i="15"/>
  <c r="I3345" i="15"/>
  <c r="H3345" i="15"/>
  <c r="G3345" i="15"/>
  <c r="I3344" i="15"/>
  <c r="H3344" i="15"/>
  <c r="G3344" i="15"/>
  <c r="J3344" i="15" s="1"/>
  <c r="J3343" i="15"/>
  <c r="I3343" i="15"/>
  <c r="H3343" i="15"/>
  <c r="G3343" i="15"/>
  <c r="I3342" i="15"/>
  <c r="H3342" i="15"/>
  <c r="G3342" i="15"/>
  <c r="J3342" i="15" s="1"/>
  <c r="J3341" i="15"/>
  <c r="I3341" i="15"/>
  <c r="H3341" i="15"/>
  <c r="G3341" i="15"/>
  <c r="I3340" i="15"/>
  <c r="H3340" i="15"/>
  <c r="G3340" i="15"/>
  <c r="J3340" i="15" s="1"/>
  <c r="J3339" i="15"/>
  <c r="I3339" i="15"/>
  <c r="H3339" i="15"/>
  <c r="G3339" i="15"/>
  <c r="I3338" i="15"/>
  <c r="H3338" i="15"/>
  <c r="G3338" i="15"/>
  <c r="J3338" i="15" s="1"/>
  <c r="J3337" i="15"/>
  <c r="I3337" i="15"/>
  <c r="H3337" i="15"/>
  <c r="G3337" i="15"/>
  <c r="I3336" i="15"/>
  <c r="H3336" i="15"/>
  <c r="G3336" i="15"/>
  <c r="J3336" i="15" s="1"/>
  <c r="J3335" i="15"/>
  <c r="I3335" i="15"/>
  <c r="H3335" i="15"/>
  <c r="G3335" i="15"/>
  <c r="I3334" i="15"/>
  <c r="H3334" i="15"/>
  <c r="G3334" i="15"/>
  <c r="J3334" i="15" s="1"/>
  <c r="J3333" i="15"/>
  <c r="I3333" i="15"/>
  <c r="H3333" i="15"/>
  <c r="G3333" i="15"/>
  <c r="I3332" i="15"/>
  <c r="H3332" i="15"/>
  <c r="G3332" i="15"/>
  <c r="J3332" i="15" s="1"/>
  <c r="J3331" i="15"/>
  <c r="I3331" i="15"/>
  <c r="H3331" i="15"/>
  <c r="G3331" i="15"/>
  <c r="I3330" i="15"/>
  <c r="H3330" i="15"/>
  <c r="G3330" i="15"/>
  <c r="J3330" i="15" s="1"/>
  <c r="J3329" i="15"/>
  <c r="I3329" i="15"/>
  <c r="H3329" i="15"/>
  <c r="G3329" i="15"/>
  <c r="I3328" i="15"/>
  <c r="H3328" i="15"/>
  <c r="G3328" i="15"/>
  <c r="J3328" i="15" s="1"/>
  <c r="J3327" i="15"/>
  <c r="I3327" i="15"/>
  <c r="H3327" i="15"/>
  <c r="G3327" i="15"/>
  <c r="I3326" i="15"/>
  <c r="H3326" i="15"/>
  <c r="G3326" i="15"/>
  <c r="J3326" i="15" s="1"/>
  <c r="J3325" i="15"/>
  <c r="I3325" i="15"/>
  <c r="H3325" i="15"/>
  <c r="G3325" i="15"/>
  <c r="I3324" i="15"/>
  <c r="H3324" i="15"/>
  <c r="G3324" i="15"/>
  <c r="J3324" i="15" s="1"/>
  <c r="J3323" i="15"/>
  <c r="I3323" i="15"/>
  <c r="H3323" i="15"/>
  <c r="G3323" i="15"/>
  <c r="I3322" i="15"/>
  <c r="H3322" i="15"/>
  <c r="G3322" i="15"/>
  <c r="J3322" i="15" s="1"/>
  <c r="J3321" i="15"/>
  <c r="I3321" i="15"/>
  <c r="H3321" i="15"/>
  <c r="G3321" i="15"/>
  <c r="I3320" i="15"/>
  <c r="H3320" i="15"/>
  <c r="G3320" i="15"/>
  <c r="J3320" i="15" s="1"/>
  <c r="J3319" i="15"/>
  <c r="I3319" i="15"/>
  <c r="H3319" i="15"/>
  <c r="G3319" i="15"/>
  <c r="I3318" i="15"/>
  <c r="H3318" i="15"/>
  <c r="G3318" i="15"/>
  <c r="J3318" i="15" s="1"/>
  <c r="J3317" i="15"/>
  <c r="I3317" i="15"/>
  <c r="H3317" i="15"/>
  <c r="G3317" i="15"/>
  <c r="I3316" i="15"/>
  <c r="H3316" i="15"/>
  <c r="G3316" i="15"/>
  <c r="J3316" i="15" s="1"/>
  <c r="J3315" i="15"/>
  <c r="I3315" i="15"/>
  <c r="H3315" i="15"/>
  <c r="G3315" i="15"/>
  <c r="I3314" i="15"/>
  <c r="H3314" i="15"/>
  <c r="G3314" i="15"/>
  <c r="J3314" i="15" s="1"/>
  <c r="J3313" i="15"/>
  <c r="I3313" i="15"/>
  <c r="H3313" i="15"/>
  <c r="G3313" i="15"/>
  <c r="I3312" i="15"/>
  <c r="H3312" i="15"/>
  <c r="G3312" i="15"/>
  <c r="J3312" i="15" s="1"/>
  <c r="J3311" i="15"/>
  <c r="I3311" i="15"/>
  <c r="H3311" i="15"/>
  <c r="G3311" i="15"/>
  <c r="I3310" i="15"/>
  <c r="H3310" i="15"/>
  <c r="G3310" i="15"/>
  <c r="J3310" i="15" s="1"/>
  <c r="J3309" i="15"/>
  <c r="I3309" i="15"/>
  <c r="H3309" i="15"/>
  <c r="G3309" i="15"/>
  <c r="I3308" i="15"/>
  <c r="H3308" i="15"/>
  <c r="G3308" i="15"/>
  <c r="J3308" i="15" s="1"/>
  <c r="J3307" i="15"/>
  <c r="I3307" i="15"/>
  <c r="H3307" i="15"/>
  <c r="G3307" i="15"/>
  <c r="I3306" i="15"/>
  <c r="H3306" i="15"/>
  <c r="G3306" i="15"/>
  <c r="J3306" i="15" s="1"/>
  <c r="J3305" i="15"/>
  <c r="I3305" i="15"/>
  <c r="H3305" i="15"/>
  <c r="G3305" i="15"/>
  <c r="I3304" i="15"/>
  <c r="H3304" i="15"/>
  <c r="G3304" i="15"/>
  <c r="J3304" i="15" s="1"/>
  <c r="J3303" i="15"/>
  <c r="I3303" i="15"/>
  <c r="H3303" i="15"/>
  <c r="G3303" i="15"/>
  <c r="I3302" i="15"/>
  <c r="H3302" i="15"/>
  <c r="G3302" i="15"/>
  <c r="J3302" i="15" s="1"/>
  <c r="J3301" i="15"/>
  <c r="I3301" i="15"/>
  <c r="H3301" i="15"/>
  <c r="G3301" i="15"/>
  <c r="I3300" i="15"/>
  <c r="H3300" i="15"/>
  <c r="G3300" i="15"/>
  <c r="J3300" i="15" s="1"/>
  <c r="J3299" i="15"/>
  <c r="I3299" i="15"/>
  <c r="H3299" i="15"/>
  <c r="G3299" i="15"/>
  <c r="I3298" i="15"/>
  <c r="H3298" i="15"/>
  <c r="G3298" i="15"/>
  <c r="J3298" i="15" s="1"/>
  <c r="J3297" i="15"/>
  <c r="I3297" i="15"/>
  <c r="H3297" i="15"/>
  <c r="G3297" i="15"/>
  <c r="I3296" i="15"/>
  <c r="H3296" i="15"/>
  <c r="G3296" i="15"/>
  <c r="J3296" i="15" s="1"/>
  <c r="J3295" i="15"/>
  <c r="I3295" i="15"/>
  <c r="H3295" i="15"/>
  <c r="G3295" i="15"/>
  <c r="I3294" i="15"/>
  <c r="H3294" i="15"/>
  <c r="G3294" i="15"/>
  <c r="J3294" i="15" s="1"/>
  <c r="J3293" i="15"/>
  <c r="I3293" i="15"/>
  <c r="H3293" i="15"/>
  <c r="G3293" i="15"/>
  <c r="I3292" i="15"/>
  <c r="H3292" i="15"/>
  <c r="G3292" i="15"/>
  <c r="J3292" i="15" s="1"/>
  <c r="J3291" i="15"/>
  <c r="I3291" i="15"/>
  <c r="H3291" i="15"/>
  <c r="G3291" i="15"/>
  <c r="I3290" i="15"/>
  <c r="H3290" i="15"/>
  <c r="G3290" i="15"/>
  <c r="J3290" i="15" s="1"/>
  <c r="J3289" i="15"/>
  <c r="I3289" i="15"/>
  <c r="H3289" i="15"/>
  <c r="G3289" i="15"/>
  <c r="I3288" i="15"/>
  <c r="H3288" i="15"/>
  <c r="G3288" i="15"/>
  <c r="J3288" i="15" s="1"/>
  <c r="J3287" i="15"/>
  <c r="I3287" i="15"/>
  <c r="H3287" i="15"/>
  <c r="G3287" i="15"/>
  <c r="I3286" i="15"/>
  <c r="H3286" i="15"/>
  <c r="G3286" i="15"/>
  <c r="J3286" i="15" s="1"/>
  <c r="J3285" i="15"/>
  <c r="I3285" i="15"/>
  <c r="H3285" i="15"/>
  <c r="G3285" i="15"/>
  <c r="I3284" i="15"/>
  <c r="H3284" i="15"/>
  <c r="G3284" i="15"/>
  <c r="J3284" i="15" s="1"/>
  <c r="J3283" i="15"/>
  <c r="I3283" i="15"/>
  <c r="H3283" i="15"/>
  <c r="G3283" i="15"/>
  <c r="I3282" i="15"/>
  <c r="H3282" i="15"/>
  <c r="G3282" i="15"/>
  <c r="J3282" i="15" s="1"/>
  <c r="J3281" i="15"/>
  <c r="I3281" i="15"/>
  <c r="H3281" i="15"/>
  <c r="G3281" i="15"/>
  <c r="I3280" i="15"/>
  <c r="H3280" i="15"/>
  <c r="G3280" i="15"/>
  <c r="J3280" i="15" s="1"/>
  <c r="J3279" i="15"/>
  <c r="I3279" i="15"/>
  <c r="H3279" i="15"/>
  <c r="G3279" i="15"/>
  <c r="I3278" i="15"/>
  <c r="H3278" i="15"/>
  <c r="G3278" i="15"/>
  <c r="J3278" i="15" s="1"/>
  <c r="J3277" i="15"/>
  <c r="I3277" i="15"/>
  <c r="H3277" i="15"/>
  <c r="G3277" i="15"/>
  <c r="I3276" i="15"/>
  <c r="H3276" i="15"/>
  <c r="G3276" i="15"/>
  <c r="J3276" i="15" s="1"/>
  <c r="J3275" i="15"/>
  <c r="I3275" i="15"/>
  <c r="H3275" i="15"/>
  <c r="G3275" i="15"/>
  <c r="I3274" i="15"/>
  <c r="H3274" i="15"/>
  <c r="G3274" i="15"/>
  <c r="J3274" i="15" s="1"/>
  <c r="J3273" i="15"/>
  <c r="I3273" i="15"/>
  <c r="H3273" i="15"/>
  <c r="G3273" i="15"/>
  <c r="I3272" i="15"/>
  <c r="H3272" i="15"/>
  <c r="G3272" i="15"/>
  <c r="J3272" i="15" s="1"/>
  <c r="J3271" i="15"/>
  <c r="I3271" i="15"/>
  <c r="H3271" i="15"/>
  <c r="G3271" i="15"/>
  <c r="I3270" i="15"/>
  <c r="H3270" i="15"/>
  <c r="G3270" i="15"/>
  <c r="J3270" i="15" s="1"/>
  <c r="J3269" i="15"/>
  <c r="I3269" i="15"/>
  <c r="H3269" i="15"/>
  <c r="G3269" i="15"/>
  <c r="I3268" i="15"/>
  <c r="H3268" i="15"/>
  <c r="G3268" i="15"/>
  <c r="J3268" i="15" s="1"/>
  <c r="J3267" i="15"/>
  <c r="I3267" i="15"/>
  <c r="H3267" i="15"/>
  <c r="G3267" i="15"/>
  <c r="I3266" i="15"/>
  <c r="H3266" i="15"/>
  <c r="G3266" i="15"/>
  <c r="J3266" i="15" s="1"/>
  <c r="J3265" i="15"/>
  <c r="I3265" i="15"/>
  <c r="H3265" i="15"/>
  <c r="G3265" i="15"/>
  <c r="I3264" i="15"/>
  <c r="H3264" i="15"/>
  <c r="G3264" i="15"/>
  <c r="J3264" i="15" s="1"/>
  <c r="J3263" i="15"/>
  <c r="I3263" i="15"/>
  <c r="H3263" i="15"/>
  <c r="G3263" i="15"/>
  <c r="I3262" i="15"/>
  <c r="H3262" i="15"/>
  <c r="G3262" i="15"/>
  <c r="J3262" i="15" s="1"/>
  <c r="J3261" i="15"/>
  <c r="I3261" i="15"/>
  <c r="H3261" i="15"/>
  <c r="G3261" i="15"/>
  <c r="I3260" i="15"/>
  <c r="H3260" i="15"/>
  <c r="G3260" i="15"/>
  <c r="J3260" i="15" s="1"/>
  <c r="J3259" i="15"/>
  <c r="I3259" i="15"/>
  <c r="H3259" i="15"/>
  <c r="G3259" i="15"/>
  <c r="I3258" i="15"/>
  <c r="H3258" i="15"/>
  <c r="G3258" i="15"/>
  <c r="J3258" i="15" s="1"/>
  <c r="J3257" i="15"/>
  <c r="I3257" i="15"/>
  <c r="H3257" i="15"/>
  <c r="G3257" i="15"/>
  <c r="I3256" i="15"/>
  <c r="H3256" i="15"/>
  <c r="G3256" i="15"/>
  <c r="J3256" i="15" s="1"/>
  <c r="J3255" i="15"/>
  <c r="I3255" i="15"/>
  <c r="H3255" i="15"/>
  <c r="G3255" i="15"/>
  <c r="I3254" i="15"/>
  <c r="H3254" i="15"/>
  <c r="G3254" i="15"/>
  <c r="J3254" i="15" s="1"/>
  <c r="J3253" i="15"/>
  <c r="I3253" i="15"/>
  <c r="H3253" i="15"/>
  <c r="G3253" i="15"/>
  <c r="I3252" i="15"/>
  <c r="H3252" i="15"/>
  <c r="G3252" i="15"/>
  <c r="J3252" i="15" s="1"/>
  <c r="J3251" i="15"/>
  <c r="I3251" i="15"/>
  <c r="H3251" i="15"/>
  <c r="G3251" i="15"/>
  <c r="I3250" i="15"/>
  <c r="H3250" i="15"/>
  <c r="G3250" i="15"/>
  <c r="J3250" i="15" s="1"/>
  <c r="J3249" i="15"/>
  <c r="I3249" i="15"/>
  <c r="H3249" i="15"/>
  <c r="G3249" i="15"/>
  <c r="I3248" i="15"/>
  <c r="H3248" i="15"/>
  <c r="G3248" i="15"/>
  <c r="J3248" i="15" s="1"/>
  <c r="J3247" i="15"/>
  <c r="I3247" i="15"/>
  <c r="H3247" i="15"/>
  <c r="G3247" i="15"/>
  <c r="I3246" i="15"/>
  <c r="H3246" i="15"/>
  <c r="G3246" i="15"/>
  <c r="J3246" i="15" s="1"/>
  <c r="J3245" i="15"/>
  <c r="I3245" i="15"/>
  <c r="H3245" i="15"/>
  <c r="G3245" i="15"/>
  <c r="I3244" i="15"/>
  <c r="H3244" i="15"/>
  <c r="G3244" i="15"/>
  <c r="J3244" i="15" s="1"/>
  <c r="J3243" i="15"/>
  <c r="I3243" i="15"/>
  <c r="H3243" i="15"/>
  <c r="G3243" i="15"/>
  <c r="I3242" i="15"/>
  <c r="H3242" i="15"/>
  <c r="G3242" i="15"/>
  <c r="J3242" i="15" s="1"/>
  <c r="J3241" i="15"/>
  <c r="I3241" i="15"/>
  <c r="H3241" i="15"/>
  <c r="G3241" i="15"/>
  <c r="I3240" i="15"/>
  <c r="H3240" i="15"/>
  <c r="G3240" i="15"/>
  <c r="J3240" i="15" s="1"/>
  <c r="J3239" i="15"/>
  <c r="I3239" i="15"/>
  <c r="H3239" i="15"/>
  <c r="G3239" i="15"/>
  <c r="I3238" i="15"/>
  <c r="H3238" i="15"/>
  <c r="G3238" i="15"/>
  <c r="J3238" i="15" s="1"/>
  <c r="J3237" i="15"/>
  <c r="I3237" i="15"/>
  <c r="H3237" i="15"/>
  <c r="G3237" i="15"/>
  <c r="I3236" i="15"/>
  <c r="H3236" i="15"/>
  <c r="G3236" i="15"/>
  <c r="J3236" i="15" s="1"/>
  <c r="J3235" i="15"/>
  <c r="I3235" i="15"/>
  <c r="H3235" i="15"/>
  <c r="G3235" i="15"/>
  <c r="I3234" i="15"/>
  <c r="H3234" i="15"/>
  <c r="G3234" i="15"/>
  <c r="J3234" i="15" s="1"/>
  <c r="J3233" i="15"/>
  <c r="I3233" i="15"/>
  <c r="H3233" i="15"/>
  <c r="G3233" i="15"/>
  <c r="I3232" i="15"/>
  <c r="H3232" i="15"/>
  <c r="G3232" i="15"/>
  <c r="J3232" i="15" s="1"/>
  <c r="J3231" i="15"/>
  <c r="I3231" i="15"/>
  <c r="H3231" i="15"/>
  <c r="G3231" i="15"/>
  <c r="I3230" i="15"/>
  <c r="H3230" i="15"/>
  <c r="G3230" i="15"/>
  <c r="J3230" i="15" s="1"/>
  <c r="J3229" i="15"/>
  <c r="I3229" i="15"/>
  <c r="H3229" i="15"/>
  <c r="G3229" i="15"/>
  <c r="I3228" i="15"/>
  <c r="H3228" i="15"/>
  <c r="G3228" i="15"/>
  <c r="J3228" i="15" s="1"/>
  <c r="J3227" i="15"/>
  <c r="I3227" i="15"/>
  <c r="H3227" i="15"/>
  <c r="G3227" i="15"/>
  <c r="I3226" i="15"/>
  <c r="H3226" i="15"/>
  <c r="G3226" i="15"/>
  <c r="J3226" i="15" s="1"/>
  <c r="J3225" i="15"/>
  <c r="I3225" i="15"/>
  <c r="H3225" i="15"/>
  <c r="G3225" i="15"/>
  <c r="I3224" i="15"/>
  <c r="H3224" i="15"/>
  <c r="G3224" i="15"/>
  <c r="J3224" i="15" s="1"/>
  <c r="J3223" i="15"/>
  <c r="I3223" i="15"/>
  <c r="H3223" i="15"/>
  <c r="G3223" i="15"/>
  <c r="I3222" i="15"/>
  <c r="H3222" i="15"/>
  <c r="G3222" i="15"/>
  <c r="J3222" i="15" s="1"/>
  <c r="J3221" i="15"/>
  <c r="I3221" i="15"/>
  <c r="H3221" i="15"/>
  <c r="G3221" i="15"/>
  <c r="I3220" i="15"/>
  <c r="H3220" i="15"/>
  <c r="G3220" i="15"/>
  <c r="J3220" i="15" s="1"/>
  <c r="J3219" i="15"/>
  <c r="I3219" i="15"/>
  <c r="H3219" i="15"/>
  <c r="G3219" i="15"/>
  <c r="I3218" i="15"/>
  <c r="H3218" i="15"/>
  <c r="G3218" i="15"/>
  <c r="J3218" i="15" s="1"/>
  <c r="J3217" i="15"/>
  <c r="I3217" i="15"/>
  <c r="H3217" i="15"/>
  <c r="G3217" i="15"/>
  <c r="I3216" i="15"/>
  <c r="H3216" i="15"/>
  <c r="G3216" i="15"/>
  <c r="J3216" i="15" s="1"/>
  <c r="J3215" i="15"/>
  <c r="I3215" i="15"/>
  <c r="H3215" i="15"/>
  <c r="G3215" i="15"/>
  <c r="I3214" i="15"/>
  <c r="H3214" i="15"/>
  <c r="G3214" i="15"/>
  <c r="J3214" i="15" s="1"/>
  <c r="J3213" i="15"/>
  <c r="I3213" i="15"/>
  <c r="H3213" i="15"/>
  <c r="G3213" i="15"/>
  <c r="I3212" i="15"/>
  <c r="H3212" i="15"/>
  <c r="G3212" i="15"/>
  <c r="J3212" i="15" s="1"/>
  <c r="J3211" i="15"/>
  <c r="I3211" i="15"/>
  <c r="H3211" i="15"/>
  <c r="G3211" i="15"/>
  <c r="H3210" i="15"/>
  <c r="G3210" i="15"/>
  <c r="J3210" i="15" s="1"/>
  <c r="J3209" i="15"/>
  <c r="I3209" i="15"/>
  <c r="H3209" i="15"/>
  <c r="G3209" i="15"/>
  <c r="H3208" i="15"/>
  <c r="G3208" i="15"/>
  <c r="J3208" i="15" s="1"/>
  <c r="J3207" i="15"/>
  <c r="I3207" i="15"/>
  <c r="H3207" i="15"/>
  <c r="G3207" i="15"/>
  <c r="H3206" i="15"/>
  <c r="G3206" i="15"/>
  <c r="J3206" i="15" s="1"/>
  <c r="J3205" i="15"/>
  <c r="I3205" i="15"/>
  <c r="H3205" i="15"/>
  <c r="G3205" i="15"/>
  <c r="H3204" i="15"/>
  <c r="G3204" i="15"/>
  <c r="J3204" i="15" s="1"/>
  <c r="J3203" i="15"/>
  <c r="I3203" i="15"/>
  <c r="H3203" i="15"/>
  <c r="G3203" i="15"/>
  <c r="H3202" i="15"/>
  <c r="G3202" i="15"/>
  <c r="J3202" i="15" s="1"/>
  <c r="J3201" i="15"/>
  <c r="I3201" i="15"/>
  <c r="H3201" i="15"/>
  <c r="G3201" i="15"/>
  <c r="H3200" i="15"/>
  <c r="G3200" i="15"/>
  <c r="J3200" i="15" s="1"/>
  <c r="J3199" i="15"/>
  <c r="I3199" i="15"/>
  <c r="H3199" i="15"/>
  <c r="G3199" i="15"/>
  <c r="H3198" i="15"/>
  <c r="G3198" i="15"/>
  <c r="J3198" i="15" s="1"/>
  <c r="J3197" i="15"/>
  <c r="I3197" i="15"/>
  <c r="H3197" i="15"/>
  <c r="G3197" i="15"/>
  <c r="H3196" i="15"/>
  <c r="G3196" i="15"/>
  <c r="J3196" i="15" s="1"/>
  <c r="J3195" i="15"/>
  <c r="I3195" i="15"/>
  <c r="H3195" i="15"/>
  <c r="G3195" i="15"/>
  <c r="H3194" i="15"/>
  <c r="G3194" i="15"/>
  <c r="J3194" i="15" s="1"/>
  <c r="J3193" i="15"/>
  <c r="I3193" i="15"/>
  <c r="H3193" i="15"/>
  <c r="G3193" i="15"/>
  <c r="H3192" i="15"/>
  <c r="G3192" i="15"/>
  <c r="J3192" i="15" s="1"/>
  <c r="J3191" i="15"/>
  <c r="I3191" i="15"/>
  <c r="H3191" i="15"/>
  <c r="G3191" i="15"/>
  <c r="H3190" i="15"/>
  <c r="G3190" i="15"/>
  <c r="J3190" i="15" s="1"/>
  <c r="J3189" i="15"/>
  <c r="I3189" i="15"/>
  <c r="H3189" i="15"/>
  <c r="G3189" i="15"/>
  <c r="H3188" i="15"/>
  <c r="G3188" i="15"/>
  <c r="J3188" i="15" s="1"/>
  <c r="J3187" i="15"/>
  <c r="I3187" i="15"/>
  <c r="H3187" i="15"/>
  <c r="G3187" i="15"/>
  <c r="H3186" i="15"/>
  <c r="G3186" i="15"/>
  <c r="J3186" i="15" s="1"/>
  <c r="J3185" i="15"/>
  <c r="I3185" i="15"/>
  <c r="H3185" i="15"/>
  <c r="G3185" i="15"/>
  <c r="H3184" i="15"/>
  <c r="G3184" i="15"/>
  <c r="J3184" i="15" s="1"/>
  <c r="J3183" i="15"/>
  <c r="I3183" i="15"/>
  <c r="H3183" i="15"/>
  <c r="G3183" i="15"/>
  <c r="H3182" i="15"/>
  <c r="G3182" i="15"/>
  <c r="J3182" i="15" s="1"/>
  <c r="J3181" i="15"/>
  <c r="I3181" i="15"/>
  <c r="H3181" i="15"/>
  <c r="G3181" i="15"/>
  <c r="H3180" i="15"/>
  <c r="G3180" i="15"/>
  <c r="J3180" i="15" s="1"/>
  <c r="J3179" i="15"/>
  <c r="I3179" i="15"/>
  <c r="H3179" i="15"/>
  <c r="G3179" i="15"/>
  <c r="H3178" i="15"/>
  <c r="G3178" i="15"/>
  <c r="J3178" i="15" s="1"/>
  <c r="J3177" i="15"/>
  <c r="I3177" i="15"/>
  <c r="H3177" i="15"/>
  <c r="G3177" i="15"/>
  <c r="H3176" i="15"/>
  <c r="G3176" i="15"/>
  <c r="J3176" i="15" s="1"/>
  <c r="J3175" i="15"/>
  <c r="I3175" i="15"/>
  <c r="H3175" i="15"/>
  <c r="G3175" i="15"/>
  <c r="H3174" i="15"/>
  <c r="G3174" i="15"/>
  <c r="J3174" i="15" s="1"/>
  <c r="J3173" i="15"/>
  <c r="I3173" i="15"/>
  <c r="H3173" i="15"/>
  <c r="G3173" i="15"/>
  <c r="H3172" i="15"/>
  <c r="G3172" i="15"/>
  <c r="J3172" i="15" s="1"/>
  <c r="J3171" i="15"/>
  <c r="I3171" i="15"/>
  <c r="H3171" i="15"/>
  <c r="G3171" i="15"/>
  <c r="H3170" i="15"/>
  <c r="G3170" i="15"/>
  <c r="J3170" i="15" s="1"/>
  <c r="J3169" i="15"/>
  <c r="I3169" i="15"/>
  <c r="H3169" i="15"/>
  <c r="G3169" i="15"/>
  <c r="H3168" i="15"/>
  <c r="G3168" i="15"/>
  <c r="J3168" i="15" s="1"/>
  <c r="J3167" i="15"/>
  <c r="I3167" i="15"/>
  <c r="H3167" i="15"/>
  <c r="G3167" i="15"/>
  <c r="H3166" i="15"/>
  <c r="G3166" i="15"/>
  <c r="J3166" i="15" s="1"/>
  <c r="J3165" i="15"/>
  <c r="I3165" i="15"/>
  <c r="H3165" i="15"/>
  <c r="G3165" i="15"/>
  <c r="H3164" i="15"/>
  <c r="G3164" i="15"/>
  <c r="J3164" i="15" s="1"/>
  <c r="J3163" i="15"/>
  <c r="I3163" i="15"/>
  <c r="H3163" i="15"/>
  <c r="G3163" i="15"/>
  <c r="H3162" i="15"/>
  <c r="G3162" i="15"/>
  <c r="J3162" i="15" s="1"/>
  <c r="J3161" i="15"/>
  <c r="I3161" i="15"/>
  <c r="H3161" i="15"/>
  <c r="G3161" i="15"/>
  <c r="H3160" i="15"/>
  <c r="G3160" i="15"/>
  <c r="J3160" i="15" s="1"/>
  <c r="J3159" i="15"/>
  <c r="I3159" i="15"/>
  <c r="H3159" i="15"/>
  <c r="G3159" i="15"/>
  <c r="H3158" i="15"/>
  <c r="G3158" i="15"/>
  <c r="J3158" i="15" s="1"/>
  <c r="J3157" i="15"/>
  <c r="I3157" i="15"/>
  <c r="H3157" i="15"/>
  <c r="G3157" i="15"/>
  <c r="H3156" i="15"/>
  <c r="G3156" i="15"/>
  <c r="J3156" i="15" s="1"/>
  <c r="J3155" i="15"/>
  <c r="I3155" i="15"/>
  <c r="H3155" i="15"/>
  <c r="G3155" i="15"/>
  <c r="H3154" i="15"/>
  <c r="G3154" i="15"/>
  <c r="J3154" i="15" s="1"/>
  <c r="J3153" i="15"/>
  <c r="I3153" i="15"/>
  <c r="H3153" i="15"/>
  <c r="G3153" i="15"/>
  <c r="H3152" i="15"/>
  <c r="G3152" i="15"/>
  <c r="J3152" i="15" s="1"/>
  <c r="J3151" i="15"/>
  <c r="I3151" i="15"/>
  <c r="H3151" i="15"/>
  <c r="G3151" i="15"/>
  <c r="H3150" i="15"/>
  <c r="G3150" i="15"/>
  <c r="J3150" i="15" s="1"/>
  <c r="J3149" i="15"/>
  <c r="I3149" i="15"/>
  <c r="H3149" i="15"/>
  <c r="G3149" i="15"/>
  <c r="H3148" i="15"/>
  <c r="G3148" i="15"/>
  <c r="J3148" i="15" s="1"/>
  <c r="J3147" i="15"/>
  <c r="I3147" i="15"/>
  <c r="H3147" i="15"/>
  <c r="G3147" i="15"/>
  <c r="H3146" i="15"/>
  <c r="G3146" i="15"/>
  <c r="J3146" i="15" s="1"/>
  <c r="J3145" i="15"/>
  <c r="I3145" i="15"/>
  <c r="H3145" i="15"/>
  <c r="G3145" i="15"/>
  <c r="H3144" i="15"/>
  <c r="G3144" i="15"/>
  <c r="J3144" i="15" s="1"/>
  <c r="J3143" i="15"/>
  <c r="I3143" i="15"/>
  <c r="H3143" i="15"/>
  <c r="G3143" i="15"/>
  <c r="H3142" i="15"/>
  <c r="G3142" i="15"/>
  <c r="J3142" i="15" s="1"/>
  <c r="J3141" i="15"/>
  <c r="I3141" i="15"/>
  <c r="H3141" i="15"/>
  <c r="G3141" i="15"/>
  <c r="H3140" i="15"/>
  <c r="G3140" i="15"/>
  <c r="J3140" i="15" s="1"/>
  <c r="J3139" i="15"/>
  <c r="I3139" i="15"/>
  <c r="H3139" i="15"/>
  <c r="G3139" i="15"/>
  <c r="H3138" i="15"/>
  <c r="G3138" i="15"/>
  <c r="J3138" i="15" s="1"/>
  <c r="J3137" i="15"/>
  <c r="I3137" i="15"/>
  <c r="H3137" i="15"/>
  <c r="G3137" i="15"/>
  <c r="H3136" i="15"/>
  <c r="G3136" i="15"/>
  <c r="J3136" i="15" s="1"/>
  <c r="J3135" i="15"/>
  <c r="I3135" i="15"/>
  <c r="H3135" i="15"/>
  <c r="G3135" i="15"/>
  <c r="H3134" i="15"/>
  <c r="G3134" i="15"/>
  <c r="J3134" i="15" s="1"/>
  <c r="J3133" i="15"/>
  <c r="I3133" i="15"/>
  <c r="H3133" i="15"/>
  <c r="G3133" i="15"/>
  <c r="H3132" i="15"/>
  <c r="G3132" i="15"/>
  <c r="J3132" i="15" s="1"/>
  <c r="J3131" i="15"/>
  <c r="I3131" i="15"/>
  <c r="H3131" i="15"/>
  <c r="G3131" i="15"/>
  <c r="H3130" i="15"/>
  <c r="G3130" i="15"/>
  <c r="J3130" i="15" s="1"/>
  <c r="J3129" i="15"/>
  <c r="I3129" i="15"/>
  <c r="H3129" i="15"/>
  <c r="G3129" i="15"/>
  <c r="H3128" i="15"/>
  <c r="G3128" i="15"/>
  <c r="J3128" i="15" s="1"/>
  <c r="J3127" i="15"/>
  <c r="I3127" i="15"/>
  <c r="H3127" i="15"/>
  <c r="G3127" i="15"/>
  <c r="H3126" i="15"/>
  <c r="G3126" i="15"/>
  <c r="J3126" i="15" s="1"/>
  <c r="J3125" i="15"/>
  <c r="I3125" i="15"/>
  <c r="H3125" i="15"/>
  <c r="G3125" i="15"/>
  <c r="H3124" i="15"/>
  <c r="G3124" i="15"/>
  <c r="J3124" i="15" s="1"/>
  <c r="J3123" i="15"/>
  <c r="I3123" i="15"/>
  <c r="H3123" i="15"/>
  <c r="G3123" i="15"/>
  <c r="H3122" i="15"/>
  <c r="G3122" i="15"/>
  <c r="J3122" i="15" s="1"/>
  <c r="J3121" i="15"/>
  <c r="I3121" i="15"/>
  <c r="H3121" i="15"/>
  <c r="G3121" i="15"/>
  <c r="H3120" i="15"/>
  <c r="G3120" i="15"/>
  <c r="J3120" i="15" s="1"/>
  <c r="J3119" i="15"/>
  <c r="I3119" i="15"/>
  <c r="H3119" i="15"/>
  <c r="G3119" i="15"/>
  <c r="H3118" i="15"/>
  <c r="G3118" i="15"/>
  <c r="J3118" i="15" s="1"/>
  <c r="J3117" i="15"/>
  <c r="I3117" i="15"/>
  <c r="H3117" i="15"/>
  <c r="G3117" i="15"/>
  <c r="H3116" i="15"/>
  <c r="G3116" i="15"/>
  <c r="J3116" i="15" s="1"/>
  <c r="J3115" i="15"/>
  <c r="I3115" i="15"/>
  <c r="H3115" i="15"/>
  <c r="G3115" i="15"/>
  <c r="H3114" i="15"/>
  <c r="G3114" i="15"/>
  <c r="J3114" i="15" s="1"/>
  <c r="J3113" i="15"/>
  <c r="I3113" i="15"/>
  <c r="H3113" i="15"/>
  <c r="G3113" i="15"/>
  <c r="H3112" i="15"/>
  <c r="G3112" i="15"/>
  <c r="J3112" i="15" s="1"/>
  <c r="J3111" i="15"/>
  <c r="I3111" i="15"/>
  <c r="H3111" i="15"/>
  <c r="G3111" i="15"/>
  <c r="H3110" i="15"/>
  <c r="G3110" i="15"/>
  <c r="J3110" i="15" s="1"/>
  <c r="J3109" i="15"/>
  <c r="I3109" i="15"/>
  <c r="H3109" i="15"/>
  <c r="G3109" i="15"/>
  <c r="H3108" i="15"/>
  <c r="G3108" i="15"/>
  <c r="J3108" i="15" s="1"/>
  <c r="J3107" i="15"/>
  <c r="I3107" i="15"/>
  <c r="H3107" i="15"/>
  <c r="G3107" i="15"/>
  <c r="H3106" i="15"/>
  <c r="G3106" i="15"/>
  <c r="J3106" i="15" s="1"/>
  <c r="J3105" i="15"/>
  <c r="I3105" i="15"/>
  <c r="H3105" i="15"/>
  <c r="G3105" i="15"/>
  <c r="H3104" i="15"/>
  <c r="G3104" i="15"/>
  <c r="J3104" i="15" s="1"/>
  <c r="J3103" i="15"/>
  <c r="I3103" i="15"/>
  <c r="H3103" i="15"/>
  <c r="G3103" i="15"/>
  <c r="H3102" i="15"/>
  <c r="G3102" i="15"/>
  <c r="J3102" i="15" s="1"/>
  <c r="J3101" i="15"/>
  <c r="I3101" i="15"/>
  <c r="H3101" i="15"/>
  <c r="G3101" i="15"/>
  <c r="H3100" i="15"/>
  <c r="G3100" i="15"/>
  <c r="J3100" i="15" s="1"/>
  <c r="J3099" i="15"/>
  <c r="I3099" i="15"/>
  <c r="H3099" i="15"/>
  <c r="G3099" i="15"/>
  <c r="H3098" i="15"/>
  <c r="G3098" i="15"/>
  <c r="J3098" i="15" s="1"/>
  <c r="J3097" i="15"/>
  <c r="I3097" i="15"/>
  <c r="H3097" i="15"/>
  <c r="G3097" i="15"/>
  <c r="H3096" i="15"/>
  <c r="G3096" i="15"/>
  <c r="J3096" i="15" s="1"/>
  <c r="J3095" i="15"/>
  <c r="I3095" i="15"/>
  <c r="H3095" i="15"/>
  <c r="G3095" i="15"/>
  <c r="H3094" i="15"/>
  <c r="G3094" i="15"/>
  <c r="J3094" i="15" s="1"/>
  <c r="J3093" i="15"/>
  <c r="I3093" i="15"/>
  <c r="H3093" i="15"/>
  <c r="G3093" i="15"/>
  <c r="H3092" i="15"/>
  <c r="G3092" i="15"/>
  <c r="J3092" i="15" s="1"/>
  <c r="J3091" i="15"/>
  <c r="I3091" i="15"/>
  <c r="H3091" i="15"/>
  <c r="G3091" i="15"/>
  <c r="H3090" i="15"/>
  <c r="G3090" i="15"/>
  <c r="J3090" i="15" s="1"/>
  <c r="J3089" i="15"/>
  <c r="I3089" i="15"/>
  <c r="H3089" i="15"/>
  <c r="G3089" i="15"/>
  <c r="H3088" i="15"/>
  <c r="G3088" i="15"/>
  <c r="J3088" i="15" s="1"/>
  <c r="J3087" i="15"/>
  <c r="I3087" i="15"/>
  <c r="H3087" i="15"/>
  <c r="G3087" i="15"/>
  <c r="H3086" i="15"/>
  <c r="G3086" i="15"/>
  <c r="J3086" i="15" s="1"/>
  <c r="J3085" i="15"/>
  <c r="I3085" i="15"/>
  <c r="H3085" i="15"/>
  <c r="G3085" i="15"/>
  <c r="H3084" i="15"/>
  <c r="G3084" i="15"/>
  <c r="J3084" i="15" s="1"/>
  <c r="J3083" i="15"/>
  <c r="I3083" i="15"/>
  <c r="H3083" i="15"/>
  <c r="G3083" i="15"/>
  <c r="H3082" i="15"/>
  <c r="G3082" i="15"/>
  <c r="J3082" i="15" s="1"/>
  <c r="J3081" i="15"/>
  <c r="I3081" i="15"/>
  <c r="H3081" i="15"/>
  <c r="G3081" i="15"/>
  <c r="H3080" i="15"/>
  <c r="G3080" i="15"/>
  <c r="J3080" i="15" s="1"/>
  <c r="J3079" i="15"/>
  <c r="I3079" i="15"/>
  <c r="H3079" i="15"/>
  <c r="G3079" i="15"/>
  <c r="H3078" i="15"/>
  <c r="G3078" i="15"/>
  <c r="J3078" i="15" s="1"/>
  <c r="J3077" i="15"/>
  <c r="I3077" i="15"/>
  <c r="H3077" i="15"/>
  <c r="G3077" i="15"/>
  <c r="H3076" i="15"/>
  <c r="G3076" i="15"/>
  <c r="J3076" i="15" s="1"/>
  <c r="J3075" i="15"/>
  <c r="I3075" i="15"/>
  <c r="H3075" i="15"/>
  <c r="G3075" i="15"/>
  <c r="H3074" i="15"/>
  <c r="G3074" i="15"/>
  <c r="J3074" i="15" s="1"/>
  <c r="J3073" i="15"/>
  <c r="I3073" i="15"/>
  <c r="H3073" i="15"/>
  <c r="G3073" i="15"/>
  <c r="H3072" i="15"/>
  <c r="G3072" i="15"/>
  <c r="J3072" i="15" s="1"/>
  <c r="J3071" i="15"/>
  <c r="I3071" i="15"/>
  <c r="H3071" i="15"/>
  <c r="G3071" i="15"/>
  <c r="H3070" i="15"/>
  <c r="G3070" i="15"/>
  <c r="J3070" i="15" s="1"/>
  <c r="J3069" i="15"/>
  <c r="I3069" i="15"/>
  <c r="H3069" i="15"/>
  <c r="G3069" i="15"/>
  <c r="H3068" i="15"/>
  <c r="G3068" i="15"/>
  <c r="J3068" i="15" s="1"/>
  <c r="J3067" i="15"/>
  <c r="I3067" i="15"/>
  <c r="H3067" i="15"/>
  <c r="G3067" i="15"/>
  <c r="H3066" i="15"/>
  <c r="G3066" i="15"/>
  <c r="J3066" i="15" s="1"/>
  <c r="J3065" i="15"/>
  <c r="I3065" i="15"/>
  <c r="H3065" i="15"/>
  <c r="G3065" i="15"/>
  <c r="H3064" i="15"/>
  <c r="G3064" i="15"/>
  <c r="J3063" i="15"/>
  <c r="I3063" i="15"/>
  <c r="H3063" i="15"/>
  <c r="G3063" i="15"/>
  <c r="H3062" i="15"/>
  <c r="G3062" i="15"/>
  <c r="J3061" i="15"/>
  <c r="I3061" i="15"/>
  <c r="H3061" i="15"/>
  <c r="G3061" i="15"/>
  <c r="H3060" i="15"/>
  <c r="G3060" i="15"/>
  <c r="J3059" i="15"/>
  <c r="I3059" i="15"/>
  <c r="H3059" i="15"/>
  <c r="G3059" i="15"/>
  <c r="H3058" i="15"/>
  <c r="G3058" i="15"/>
  <c r="J3057" i="15"/>
  <c r="I3057" i="15"/>
  <c r="H3057" i="15"/>
  <c r="G3057" i="15"/>
  <c r="H3056" i="15"/>
  <c r="G3056" i="15"/>
  <c r="J3055" i="15"/>
  <c r="I3055" i="15"/>
  <c r="H3055" i="15"/>
  <c r="G3055" i="15"/>
  <c r="H3054" i="15"/>
  <c r="G3054" i="15"/>
  <c r="J3053" i="15"/>
  <c r="I3053" i="15"/>
  <c r="H3053" i="15"/>
  <c r="G3053" i="15"/>
  <c r="H3052" i="15"/>
  <c r="G3052" i="15"/>
  <c r="J3051" i="15"/>
  <c r="I3051" i="15"/>
  <c r="H3051" i="15"/>
  <c r="G3051" i="15"/>
  <c r="H3050" i="15"/>
  <c r="G3050" i="15"/>
  <c r="J3049" i="15"/>
  <c r="I3049" i="15"/>
  <c r="H3049" i="15"/>
  <c r="G3049" i="15"/>
  <c r="H3048" i="15"/>
  <c r="G3048" i="15"/>
  <c r="J3047" i="15"/>
  <c r="I3047" i="15"/>
  <c r="H3047" i="15"/>
  <c r="G3047" i="15"/>
  <c r="H3046" i="15"/>
  <c r="G3046" i="15"/>
  <c r="J3045" i="15"/>
  <c r="I3045" i="15"/>
  <c r="H3045" i="15"/>
  <c r="G3045" i="15"/>
  <c r="H3044" i="15"/>
  <c r="G3044" i="15"/>
  <c r="J3043" i="15"/>
  <c r="I3043" i="15"/>
  <c r="H3043" i="15"/>
  <c r="G3043" i="15"/>
  <c r="H3042" i="15"/>
  <c r="G3042" i="15"/>
  <c r="J3041" i="15"/>
  <c r="I3041" i="15"/>
  <c r="H3041" i="15"/>
  <c r="G3041" i="15"/>
  <c r="H3040" i="15"/>
  <c r="G3040" i="15"/>
  <c r="J3039" i="15"/>
  <c r="I3039" i="15"/>
  <c r="H3039" i="15"/>
  <c r="G3039" i="15"/>
  <c r="H3038" i="15"/>
  <c r="G3038" i="15"/>
  <c r="J3037" i="15"/>
  <c r="I3037" i="15"/>
  <c r="H3037" i="15"/>
  <c r="G3037" i="15"/>
  <c r="H3036" i="15"/>
  <c r="G3036" i="15"/>
  <c r="J3035" i="15"/>
  <c r="I3035" i="15"/>
  <c r="H3035" i="15"/>
  <c r="G3035" i="15"/>
  <c r="H3034" i="15"/>
  <c r="G3034" i="15"/>
  <c r="J3033" i="15"/>
  <c r="I3033" i="15"/>
  <c r="H3033" i="15"/>
  <c r="G3033" i="15"/>
  <c r="H3032" i="15"/>
  <c r="G3032" i="15"/>
  <c r="J3031" i="15"/>
  <c r="I3031" i="15"/>
  <c r="H3031" i="15"/>
  <c r="G3031" i="15"/>
  <c r="H3030" i="15"/>
  <c r="G3030" i="15"/>
  <c r="J3029" i="15"/>
  <c r="I3029" i="15"/>
  <c r="H3029" i="15"/>
  <c r="G3029" i="15"/>
  <c r="H3028" i="15"/>
  <c r="G3028" i="15"/>
  <c r="J3027" i="15"/>
  <c r="I3027" i="15"/>
  <c r="H3027" i="15"/>
  <c r="G3027" i="15"/>
  <c r="H3026" i="15"/>
  <c r="G3026" i="15"/>
  <c r="J3025" i="15"/>
  <c r="I3025" i="15"/>
  <c r="H3025" i="15"/>
  <c r="G3025" i="15"/>
  <c r="H3024" i="15"/>
  <c r="G3024" i="15"/>
  <c r="J3023" i="15"/>
  <c r="I3023" i="15"/>
  <c r="H3023" i="15"/>
  <c r="G3023" i="15"/>
  <c r="H3022" i="15"/>
  <c r="G3022" i="15"/>
  <c r="J3021" i="15"/>
  <c r="I3021" i="15"/>
  <c r="H3021" i="15"/>
  <c r="G3021" i="15"/>
  <c r="H3020" i="15"/>
  <c r="G3020" i="15"/>
  <c r="J3019" i="15"/>
  <c r="I3019" i="15"/>
  <c r="H3019" i="15"/>
  <c r="G3019" i="15"/>
  <c r="H3018" i="15"/>
  <c r="G3018" i="15"/>
  <c r="J3017" i="15"/>
  <c r="I3017" i="15"/>
  <c r="H3017" i="15"/>
  <c r="G3017" i="15"/>
  <c r="H3016" i="15"/>
  <c r="G3016" i="15"/>
  <c r="J3015" i="15"/>
  <c r="I3015" i="15"/>
  <c r="H3015" i="15"/>
  <c r="G3015" i="15"/>
  <c r="H3014" i="15"/>
  <c r="G3014" i="15"/>
  <c r="J3013" i="15"/>
  <c r="I3013" i="15"/>
  <c r="H3013" i="15"/>
  <c r="G3013" i="15"/>
  <c r="H3012" i="15"/>
  <c r="G3012" i="15"/>
  <c r="J3011" i="15"/>
  <c r="I3011" i="15"/>
  <c r="H3011" i="15"/>
  <c r="G3011" i="15"/>
  <c r="H3010" i="15"/>
  <c r="G3010" i="15"/>
  <c r="J3009" i="15"/>
  <c r="I3009" i="15"/>
  <c r="H3009" i="15"/>
  <c r="G3009" i="15"/>
  <c r="H3008" i="15"/>
  <c r="G3008" i="15"/>
  <c r="J3007" i="15"/>
  <c r="I3007" i="15"/>
  <c r="H3007" i="15"/>
  <c r="G3007" i="15"/>
  <c r="H3006" i="15"/>
  <c r="G3006" i="15"/>
  <c r="J3005" i="15"/>
  <c r="I3005" i="15"/>
  <c r="H3005" i="15"/>
  <c r="G3005" i="15"/>
  <c r="H3004" i="15"/>
  <c r="G3004" i="15"/>
  <c r="J3003" i="15"/>
  <c r="I3003" i="15"/>
  <c r="H3003" i="15"/>
  <c r="G3003" i="15"/>
  <c r="H3002" i="15"/>
  <c r="G3002" i="15"/>
  <c r="J3001" i="15"/>
  <c r="I3001" i="15"/>
  <c r="H3001" i="15"/>
  <c r="G3001" i="15"/>
  <c r="H3000" i="15"/>
  <c r="G3000" i="15"/>
  <c r="J2999" i="15"/>
  <c r="I2999" i="15"/>
  <c r="H2999" i="15"/>
  <c r="G2999" i="15"/>
  <c r="H2998" i="15"/>
  <c r="G2998" i="15"/>
  <c r="J2997" i="15"/>
  <c r="I2997" i="15"/>
  <c r="H2997" i="15"/>
  <c r="G2997" i="15"/>
  <c r="H2996" i="15"/>
  <c r="G2996" i="15"/>
  <c r="J2995" i="15"/>
  <c r="I2995" i="15"/>
  <c r="H2995" i="15"/>
  <c r="G2995" i="15"/>
  <c r="H2994" i="15"/>
  <c r="G2994" i="15"/>
  <c r="J2993" i="15"/>
  <c r="I2993" i="15"/>
  <c r="H2993" i="15"/>
  <c r="G2993" i="15"/>
  <c r="H2992" i="15"/>
  <c r="G2992" i="15"/>
  <c r="J2991" i="15"/>
  <c r="I2991" i="15"/>
  <c r="H2991" i="15"/>
  <c r="G2991" i="15"/>
  <c r="H2990" i="15"/>
  <c r="G2990" i="15"/>
  <c r="J2989" i="15"/>
  <c r="I2989" i="15"/>
  <c r="H2989" i="15"/>
  <c r="G2989" i="15"/>
  <c r="H2988" i="15"/>
  <c r="G2988" i="15"/>
  <c r="J2987" i="15"/>
  <c r="I2987" i="15"/>
  <c r="H2987" i="15"/>
  <c r="G2987" i="15"/>
  <c r="H2986" i="15"/>
  <c r="G2986" i="15"/>
  <c r="J2985" i="15"/>
  <c r="I2985" i="15"/>
  <c r="H2985" i="15"/>
  <c r="G2985" i="15"/>
  <c r="H2984" i="15"/>
  <c r="G2984" i="15"/>
  <c r="J2983" i="15"/>
  <c r="I2983" i="15"/>
  <c r="H2983" i="15"/>
  <c r="G2983" i="15"/>
  <c r="H2982" i="15"/>
  <c r="G2982" i="15"/>
  <c r="J2981" i="15"/>
  <c r="I2981" i="15"/>
  <c r="H2981" i="15"/>
  <c r="G2981" i="15"/>
  <c r="H2980" i="15"/>
  <c r="G2980" i="15"/>
  <c r="J2979" i="15"/>
  <c r="I2979" i="15"/>
  <c r="H2979" i="15"/>
  <c r="G2979" i="15"/>
  <c r="H2978" i="15"/>
  <c r="G2978" i="15"/>
  <c r="J2977" i="15"/>
  <c r="I2977" i="15"/>
  <c r="H2977" i="15"/>
  <c r="G2977" i="15"/>
  <c r="H2976" i="15"/>
  <c r="G2976" i="15"/>
  <c r="J2975" i="15"/>
  <c r="I2975" i="15"/>
  <c r="H2975" i="15"/>
  <c r="G2975" i="15"/>
  <c r="H2974" i="15"/>
  <c r="G2974" i="15"/>
  <c r="J2973" i="15"/>
  <c r="I2973" i="15"/>
  <c r="H2973" i="15"/>
  <c r="G2973" i="15"/>
  <c r="H2972" i="15"/>
  <c r="G2972" i="15"/>
  <c r="J2971" i="15"/>
  <c r="I2971" i="15"/>
  <c r="H2971" i="15"/>
  <c r="G2971" i="15"/>
  <c r="H2970" i="15"/>
  <c r="G2970" i="15"/>
  <c r="J2969" i="15"/>
  <c r="I2969" i="15"/>
  <c r="H2969" i="15"/>
  <c r="G2969" i="15"/>
  <c r="H2968" i="15"/>
  <c r="G2968" i="15"/>
  <c r="J2967" i="15"/>
  <c r="I2967" i="15"/>
  <c r="H2967" i="15"/>
  <c r="G2967" i="15"/>
  <c r="H2966" i="15"/>
  <c r="G2966" i="15"/>
  <c r="J2965" i="15"/>
  <c r="I2965" i="15"/>
  <c r="H2965" i="15"/>
  <c r="G2965" i="15"/>
  <c r="H2964" i="15"/>
  <c r="G2964" i="15"/>
  <c r="J2963" i="15"/>
  <c r="I2963" i="15"/>
  <c r="H2963" i="15"/>
  <c r="G2963" i="15"/>
  <c r="H2962" i="15"/>
  <c r="G2962" i="15"/>
  <c r="J2961" i="15"/>
  <c r="I2961" i="15"/>
  <c r="H2961" i="15"/>
  <c r="G2961" i="15"/>
  <c r="H2960" i="15"/>
  <c r="G2960" i="15"/>
  <c r="J2959" i="15"/>
  <c r="I2959" i="15"/>
  <c r="H2959" i="15"/>
  <c r="G2959" i="15"/>
  <c r="H2958" i="15"/>
  <c r="G2958" i="15"/>
  <c r="J2957" i="15"/>
  <c r="I2957" i="15"/>
  <c r="H2957" i="15"/>
  <c r="G2957" i="15"/>
  <c r="H2956" i="15"/>
  <c r="G2956" i="15"/>
  <c r="J2955" i="15"/>
  <c r="I2955" i="15"/>
  <c r="H2955" i="15"/>
  <c r="G2955" i="15"/>
  <c r="H2954" i="15"/>
  <c r="G2954" i="15"/>
  <c r="J2953" i="15"/>
  <c r="I2953" i="15"/>
  <c r="H2953" i="15"/>
  <c r="G2953" i="15"/>
  <c r="H2952" i="15"/>
  <c r="G2952" i="15"/>
  <c r="J2951" i="15"/>
  <c r="I2951" i="15"/>
  <c r="H2951" i="15"/>
  <c r="G2951" i="15"/>
  <c r="H2950" i="15"/>
  <c r="G2950" i="15"/>
  <c r="J2949" i="15"/>
  <c r="I2949" i="15"/>
  <c r="H2949" i="15"/>
  <c r="G2949" i="15"/>
  <c r="H2948" i="15"/>
  <c r="G2948" i="15"/>
  <c r="J2947" i="15"/>
  <c r="I2947" i="15"/>
  <c r="H2947" i="15"/>
  <c r="G2947" i="15"/>
  <c r="H2946" i="15"/>
  <c r="G2946" i="15"/>
  <c r="J2945" i="15"/>
  <c r="I2945" i="15"/>
  <c r="H2945" i="15"/>
  <c r="G2945" i="15"/>
  <c r="H2944" i="15"/>
  <c r="G2944" i="15"/>
  <c r="J2943" i="15"/>
  <c r="I2943" i="15"/>
  <c r="H2943" i="15"/>
  <c r="G2943" i="15"/>
  <c r="H2942" i="15"/>
  <c r="G2942" i="15"/>
  <c r="J2941" i="15"/>
  <c r="I2941" i="15"/>
  <c r="H2941" i="15"/>
  <c r="G2941" i="15"/>
  <c r="H2940" i="15"/>
  <c r="G2940" i="15"/>
  <c r="J2939" i="15"/>
  <c r="I2939" i="15"/>
  <c r="H2939" i="15"/>
  <c r="G2939" i="15"/>
  <c r="H2938" i="15"/>
  <c r="G2938" i="15"/>
  <c r="J2937" i="15"/>
  <c r="H2937" i="15"/>
  <c r="G2937" i="15"/>
  <c r="I2937" i="15" s="1"/>
  <c r="H2936" i="15"/>
  <c r="G2936" i="15"/>
  <c r="J2935" i="15"/>
  <c r="H2935" i="15"/>
  <c r="G2935" i="15"/>
  <c r="I2935" i="15" s="1"/>
  <c r="J2934" i="15"/>
  <c r="H2934" i="15"/>
  <c r="G2934" i="15"/>
  <c r="I2934" i="15" s="1"/>
  <c r="H2933" i="15"/>
  <c r="G2933" i="15"/>
  <c r="I2933" i="15" s="1"/>
  <c r="I2932" i="15"/>
  <c r="H2932" i="15"/>
  <c r="G2932" i="15"/>
  <c r="J2932" i="15" s="1"/>
  <c r="H2931" i="15"/>
  <c r="G2931" i="15"/>
  <c r="J2930" i="15"/>
  <c r="H2930" i="15"/>
  <c r="G2930" i="15"/>
  <c r="I2930" i="15" s="1"/>
  <c r="J2929" i="15"/>
  <c r="H2929" i="15"/>
  <c r="G2929" i="15"/>
  <c r="I2929" i="15" s="1"/>
  <c r="I2928" i="15"/>
  <c r="H2928" i="15"/>
  <c r="G2928" i="15"/>
  <c r="J2928" i="15" s="1"/>
  <c r="J2927" i="15"/>
  <c r="H2927" i="15"/>
  <c r="G2927" i="15"/>
  <c r="I2927" i="15" s="1"/>
  <c r="J2926" i="15"/>
  <c r="I2926" i="15"/>
  <c r="H2926" i="15"/>
  <c r="G2926" i="15"/>
  <c r="H2925" i="15"/>
  <c r="G2925" i="15"/>
  <c r="I2925" i="15" s="1"/>
  <c r="H2924" i="15"/>
  <c r="G2924" i="15"/>
  <c r="H2923" i="15"/>
  <c r="G2923" i="15"/>
  <c r="J2922" i="15"/>
  <c r="I2922" i="15"/>
  <c r="H2922" i="15"/>
  <c r="G2922" i="15"/>
  <c r="H2921" i="15"/>
  <c r="G2921" i="15"/>
  <c r="J2920" i="15"/>
  <c r="I2920" i="15"/>
  <c r="H2920" i="15"/>
  <c r="G2920" i="15"/>
  <c r="J2919" i="15"/>
  <c r="H2919" i="15"/>
  <c r="G2919" i="15"/>
  <c r="I2919" i="15" s="1"/>
  <c r="I2918" i="15"/>
  <c r="H2918" i="15"/>
  <c r="G2918" i="15"/>
  <c r="J2918" i="15" s="1"/>
  <c r="H2917" i="15"/>
  <c r="G2917" i="15"/>
  <c r="I2917" i="15" s="1"/>
  <c r="I2916" i="15"/>
  <c r="H2916" i="15"/>
  <c r="G2916" i="15"/>
  <c r="J2916" i="15" s="1"/>
  <c r="J2915" i="15"/>
  <c r="H2915" i="15"/>
  <c r="G2915" i="15"/>
  <c r="I2915" i="15" s="1"/>
  <c r="H2914" i="15"/>
  <c r="G2914" i="15"/>
  <c r="J2913" i="15"/>
  <c r="H2913" i="15"/>
  <c r="G2913" i="15"/>
  <c r="I2913" i="15" s="1"/>
  <c r="J2912" i="15"/>
  <c r="H2912" i="15"/>
  <c r="G2912" i="15"/>
  <c r="I2912" i="15" s="1"/>
  <c r="H2911" i="15"/>
  <c r="G2911" i="15"/>
  <c r="I2911" i="15" s="1"/>
  <c r="J2910" i="15"/>
  <c r="I2910" i="15"/>
  <c r="H2910" i="15"/>
  <c r="G2910" i="15"/>
  <c r="H2909" i="15"/>
  <c r="G2909" i="15"/>
  <c r="J2908" i="15"/>
  <c r="I2908" i="15"/>
  <c r="H2908" i="15"/>
  <c r="G2908" i="15"/>
  <c r="H2907" i="15"/>
  <c r="G2907" i="15"/>
  <c r="J2906" i="15"/>
  <c r="I2906" i="15"/>
  <c r="H2906" i="15"/>
  <c r="G2906" i="15"/>
  <c r="J2905" i="15"/>
  <c r="H2905" i="15"/>
  <c r="G2905" i="15"/>
  <c r="I2905" i="15" s="1"/>
  <c r="I2904" i="15"/>
  <c r="H2904" i="15"/>
  <c r="G2904" i="15"/>
  <c r="J2904" i="15" s="1"/>
  <c r="J2903" i="15"/>
  <c r="H2903" i="15"/>
  <c r="G2903" i="15"/>
  <c r="I2903" i="15" s="1"/>
  <c r="H2902" i="15"/>
  <c r="G2902" i="15"/>
  <c r="J2901" i="15"/>
  <c r="H2901" i="15"/>
  <c r="G2901" i="15"/>
  <c r="I2901" i="15" s="1"/>
  <c r="H2900" i="15"/>
  <c r="G2900" i="15"/>
  <c r="J2900" i="15" s="1"/>
  <c r="H2899" i="15"/>
  <c r="G2899" i="15"/>
  <c r="J2898" i="15"/>
  <c r="H2898" i="15"/>
  <c r="G2898" i="15"/>
  <c r="I2898" i="15" s="1"/>
  <c r="H2897" i="15"/>
  <c r="G2897" i="15"/>
  <c r="H2896" i="15"/>
  <c r="G2896" i="15"/>
  <c r="J2896" i="15" s="1"/>
  <c r="H2895" i="15"/>
  <c r="G2895" i="15"/>
  <c r="I2895" i="15" s="1"/>
  <c r="J2894" i="15"/>
  <c r="I2894" i="15"/>
  <c r="H2894" i="15"/>
  <c r="G2894" i="15"/>
  <c r="J2893" i="15"/>
  <c r="H2893" i="15"/>
  <c r="G2893" i="15"/>
  <c r="I2893" i="15" s="1"/>
  <c r="H2892" i="15"/>
  <c r="G2892" i="15"/>
  <c r="J2892" i="15" s="1"/>
  <c r="I2891" i="15"/>
  <c r="H2891" i="15"/>
  <c r="G2891" i="15"/>
  <c r="J2891" i="15" s="1"/>
  <c r="H2890" i="15"/>
  <c r="G2890" i="15"/>
  <c r="H2889" i="15"/>
  <c r="G2889" i="15"/>
  <c r="J2889" i="15" s="1"/>
  <c r="H2888" i="15"/>
  <c r="G2888" i="15"/>
  <c r="I2887" i="15"/>
  <c r="H2887" i="15"/>
  <c r="G2887" i="15"/>
  <c r="J2887" i="15" s="1"/>
  <c r="J2886" i="15"/>
  <c r="H2886" i="15"/>
  <c r="G2886" i="15"/>
  <c r="I2886" i="15" s="1"/>
  <c r="H2885" i="15"/>
  <c r="G2885" i="15"/>
  <c r="J2884" i="15"/>
  <c r="I2884" i="15"/>
  <c r="H2884" i="15"/>
  <c r="G2884" i="15"/>
  <c r="H2883" i="15"/>
  <c r="G2883" i="15"/>
  <c r="J2882" i="15"/>
  <c r="I2882" i="15"/>
  <c r="H2882" i="15"/>
  <c r="G2882" i="15"/>
  <c r="H2881" i="15"/>
  <c r="G2881" i="15"/>
  <c r="H2880" i="15"/>
  <c r="G2880" i="15"/>
  <c r="H2879" i="15"/>
  <c r="G2879" i="15"/>
  <c r="J2879" i="15" s="1"/>
  <c r="J2878" i="15"/>
  <c r="I2878" i="15"/>
  <c r="H2878" i="15"/>
  <c r="G2878" i="15"/>
  <c r="I2877" i="15"/>
  <c r="H2877" i="15"/>
  <c r="G2877" i="15"/>
  <c r="J2877" i="15" s="1"/>
  <c r="I2876" i="15"/>
  <c r="H2876" i="15"/>
  <c r="G2876" i="15"/>
  <c r="J2876" i="15" s="1"/>
  <c r="I2875" i="15"/>
  <c r="H2875" i="15"/>
  <c r="G2875" i="15"/>
  <c r="J2875" i="15" s="1"/>
  <c r="H2874" i="15"/>
  <c r="G2874" i="15"/>
  <c r="I2873" i="15"/>
  <c r="H2873" i="15"/>
  <c r="G2873" i="15"/>
  <c r="J2873" i="15" s="1"/>
  <c r="H2872" i="15"/>
  <c r="G2872" i="15"/>
  <c r="I2871" i="15"/>
  <c r="H2871" i="15"/>
  <c r="G2871" i="15"/>
  <c r="J2871" i="15" s="1"/>
  <c r="J2870" i="15"/>
  <c r="H2870" i="15"/>
  <c r="G2870" i="15"/>
  <c r="I2870" i="15" s="1"/>
  <c r="I2869" i="15"/>
  <c r="H2869" i="15"/>
  <c r="G2869" i="15"/>
  <c r="J2869" i="15" s="1"/>
  <c r="J2868" i="15"/>
  <c r="I2868" i="15"/>
  <c r="H2868" i="15"/>
  <c r="G2868" i="15"/>
  <c r="H2867" i="15"/>
  <c r="G2867" i="15"/>
  <c r="J2866" i="15"/>
  <c r="I2866" i="15"/>
  <c r="H2866" i="15"/>
  <c r="G2866" i="15"/>
  <c r="H2865" i="15"/>
  <c r="G2865" i="15"/>
  <c r="J2864" i="15"/>
  <c r="I2864" i="15"/>
  <c r="H2864" i="15"/>
  <c r="G2864" i="15"/>
  <c r="H2863" i="15"/>
  <c r="G2863" i="15"/>
  <c r="J2863" i="15" s="1"/>
  <c r="J2862" i="15"/>
  <c r="I2862" i="15"/>
  <c r="H2862" i="15"/>
  <c r="G2862" i="15"/>
  <c r="I2861" i="15"/>
  <c r="H2861" i="15"/>
  <c r="G2861" i="15"/>
  <c r="J2861" i="15" s="1"/>
  <c r="I2860" i="15"/>
  <c r="H2860" i="15"/>
  <c r="G2860" i="15"/>
  <c r="J2860" i="15" s="1"/>
  <c r="I2859" i="15"/>
  <c r="H2859" i="15"/>
  <c r="G2859" i="15"/>
  <c r="J2859" i="15" s="1"/>
  <c r="H2858" i="15"/>
  <c r="G2858" i="15"/>
  <c r="I2857" i="15"/>
  <c r="H2857" i="15"/>
  <c r="G2857" i="15"/>
  <c r="J2857" i="15" s="1"/>
  <c r="H2856" i="15"/>
  <c r="G2856" i="15"/>
  <c r="I2855" i="15"/>
  <c r="H2855" i="15"/>
  <c r="G2855" i="15"/>
  <c r="J2855" i="15" s="1"/>
  <c r="J2854" i="15"/>
  <c r="H2854" i="15"/>
  <c r="G2854" i="15"/>
  <c r="I2854" i="15" s="1"/>
  <c r="I2853" i="15"/>
  <c r="H2853" i="15"/>
  <c r="G2853" i="15"/>
  <c r="J2853" i="15" s="1"/>
  <c r="J2852" i="15"/>
  <c r="I2852" i="15"/>
  <c r="H2852" i="15"/>
  <c r="G2852" i="15"/>
  <c r="H2851" i="15"/>
  <c r="G2851" i="15"/>
  <c r="J2850" i="15"/>
  <c r="I2850" i="15"/>
  <c r="H2850" i="15"/>
  <c r="G2850" i="15"/>
  <c r="H2849" i="15"/>
  <c r="G2849" i="15"/>
  <c r="I2848" i="15"/>
  <c r="H2848" i="15"/>
  <c r="G2848" i="15"/>
  <c r="J2848" i="15" s="1"/>
  <c r="H2847" i="15"/>
  <c r="G2847" i="15"/>
  <c r="J2847" i="15" s="1"/>
  <c r="J2846" i="15"/>
  <c r="I2846" i="15"/>
  <c r="H2846" i="15"/>
  <c r="G2846" i="15"/>
  <c r="I2845" i="15"/>
  <c r="H2845" i="15"/>
  <c r="G2845" i="15"/>
  <c r="J2845" i="15" s="1"/>
  <c r="H2844" i="15"/>
  <c r="G2844" i="15"/>
  <c r="J2844" i="15" s="1"/>
  <c r="I2843" i="15"/>
  <c r="H2843" i="15"/>
  <c r="G2843" i="15"/>
  <c r="J2843" i="15" s="1"/>
  <c r="H2842" i="15"/>
  <c r="G2842" i="15"/>
  <c r="H2841" i="15"/>
  <c r="G2841" i="15"/>
  <c r="J2841" i="15" s="1"/>
  <c r="H2840" i="15"/>
  <c r="G2840" i="15"/>
  <c r="I2839" i="15"/>
  <c r="H2839" i="15"/>
  <c r="G2839" i="15"/>
  <c r="J2839" i="15" s="1"/>
  <c r="J2838" i="15"/>
  <c r="H2838" i="15"/>
  <c r="G2838" i="15"/>
  <c r="I2838" i="15" s="1"/>
  <c r="H2837" i="15"/>
  <c r="G2837" i="15"/>
  <c r="J2837" i="15" s="1"/>
  <c r="J2836" i="15"/>
  <c r="I2836" i="15"/>
  <c r="H2836" i="15"/>
  <c r="G2836" i="15"/>
  <c r="H2835" i="15"/>
  <c r="G2835" i="15"/>
  <c r="J2834" i="15"/>
  <c r="I2834" i="15"/>
  <c r="H2834" i="15"/>
  <c r="G2834" i="15"/>
  <c r="H2833" i="15"/>
  <c r="G2833" i="15"/>
  <c r="J2832" i="15"/>
  <c r="H2832" i="15"/>
  <c r="G2832" i="15"/>
  <c r="I2832" i="15" s="1"/>
  <c r="H2831" i="15"/>
  <c r="G2831" i="15"/>
  <c r="J2831" i="15" s="1"/>
  <c r="J2830" i="15"/>
  <c r="I2830" i="15"/>
  <c r="H2830" i="15"/>
  <c r="G2830" i="15"/>
  <c r="I2829" i="15"/>
  <c r="H2829" i="15"/>
  <c r="G2829" i="15"/>
  <c r="J2829" i="15" s="1"/>
  <c r="H2828" i="15"/>
  <c r="G2828" i="15"/>
  <c r="J2828" i="15" s="1"/>
  <c r="I2827" i="15"/>
  <c r="H2827" i="15"/>
  <c r="G2827" i="15"/>
  <c r="J2827" i="15" s="1"/>
  <c r="H2826" i="15"/>
  <c r="G2826" i="15"/>
  <c r="H2825" i="15"/>
  <c r="G2825" i="15"/>
  <c r="J2825" i="15" s="1"/>
  <c r="H2824" i="15"/>
  <c r="G2824" i="15"/>
  <c r="I2823" i="15"/>
  <c r="H2823" i="15"/>
  <c r="G2823" i="15"/>
  <c r="J2823" i="15" s="1"/>
  <c r="J2822" i="15"/>
  <c r="H2822" i="15"/>
  <c r="G2822" i="15"/>
  <c r="I2822" i="15" s="1"/>
  <c r="I2821" i="15"/>
  <c r="H2821" i="15"/>
  <c r="G2821" i="15"/>
  <c r="J2821" i="15" s="1"/>
  <c r="J2820" i="15"/>
  <c r="I2820" i="15"/>
  <c r="H2820" i="15"/>
  <c r="G2820" i="15"/>
  <c r="H2819" i="15"/>
  <c r="G2819" i="15"/>
  <c r="J2818" i="15"/>
  <c r="I2818" i="15"/>
  <c r="H2818" i="15"/>
  <c r="G2818" i="15"/>
  <c r="H2817" i="15"/>
  <c r="G2817" i="15"/>
  <c r="I2816" i="15"/>
  <c r="H2816" i="15"/>
  <c r="G2816" i="15"/>
  <c r="J2816" i="15" s="1"/>
  <c r="H2815" i="15"/>
  <c r="G2815" i="15"/>
  <c r="J2815" i="15" s="1"/>
  <c r="J2814" i="15"/>
  <c r="I2814" i="15"/>
  <c r="H2814" i="15"/>
  <c r="G2814" i="15"/>
  <c r="I2813" i="15"/>
  <c r="H2813" i="15"/>
  <c r="G2813" i="15"/>
  <c r="J2813" i="15" s="1"/>
  <c r="H2812" i="15"/>
  <c r="G2812" i="15"/>
  <c r="I2811" i="15"/>
  <c r="H2811" i="15"/>
  <c r="G2811" i="15"/>
  <c r="J2811" i="15" s="1"/>
  <c r="H2810" i="15"/>
  <c r="G2810" i="15"/>
  <c r="H2809" i="15"/>
  <c r="G2809" i="15"/>
  <c r="H2808" i="15"/>
  <c r="G2808" i="15"/>
  <c r="I2807" i="15"/>
  <c r="H2807" i="15"/>
  <c r="G2807" i="15"/>
  <c r="J2807" i="15" s="1"/>
  <c r="H2806" i="15"/>
  <c r="G2806" i="15"/>
  <c r="I2805" i="15"/>
  <c r="H2805" i="15"/>
  <c r="G2805" i="15"/>
  <c r="J2805" i="15" s="1"/>
  <c r="J2804" i="15"/>
  <c r="I2804" i="15"/>
  <c r="H2804" i="15"/>
  <c r="G2804" i="15"/>
  <c r="H2803" i="15"/>
  <c r="G2803" i="15"/>
  <c r="J2803" i="15" s="1"/>
  <c r="J2802" i="15"/>
  <c r="I2802" i="15"/>
  <c r="H2802" i="15"/>
  <c r="G2802" i="15"/>
  <c r="H2801" i="15"/>
  <c r="G2801" i="15"/>
  <c r="I2800" i="15"/>
  <c r="H2800" i="15"/>
  <c r="G2800" i="15"/>
  <c r="J2800" i="15" s="1"/>
  <c r="H2799" i="15"/>
  <c r="G2799" i="15"/>
  <c r="J2798" i="15"/>
  <c r="I2798" i="15"/>
  <c r="H2798" i="15"/>
  <c r="G2798" i="15"/>
  <c r="I2797" i="15"/>
  <c r="H2797" i="15"/>
  <c r="G2797" i="15"/>
  <c r="J2797" i="15" s="1"/>
  <c r="H2796" i="15"/>
  <c r="G2796" i="15"/>
  <c r="J2796" i="15" s="1"/>
  <c r="I2795" i="15"/>
  <c r="H2795" i="15"/>
  <c r="G2795" i="15"/>
  <c r="J2795" i="15" s="1"/>
  <c r="I2794" i="15"/>
  <c r="H2794" i="15"/>
  <c r="G2794" i="15"/>
  <c r="J2794" i="15" s="1"/>
  <c r="H2793" i="15"/>
  <c r="G2793" i="15"/>
  <c r="H2792" i="15"/>
  <c r="G2792" i="15"/>
  <c r="I2791" i="15"/>
  <c r="H2791" i="15"/>
  <c r="G2791" i="15"/>
  <c r="J2791" i="15" s="1"/>
  <c r="H2790" i="15"/>
  <c r="G2790" i="15"/>
  <c r="H2789" i="15"/>
  <c r="G2789" i="15"/>
  <c r="J2789" i="15" s="1"/>
  <c r="J2788" i="15"/>
  <c r="I2788" i="15"/>
  <c r="H2788" i="15"/>
  <c r="G2788" i="15"/>
  <c r="I2787" i="15"/>
  <c r="H2787" i="15"/>
  <c r="G2787" i="15"/>
  <c r="J2787" i="15" s="1"/>
  <c r="J2786" i="15"/>
  <c r="I2786" i="15"/>
  <c r="H2786" i="15"/>
  <c r="G2786" i="15"/>
  <c r="H2785" i="15"/>
  <c r="G2785" i="15"/>
  <c r="I2784" i="15"/>
  <c r="H2784" i="15"/>
  <c r="G2784" i="15"/>
  <c r="J2784" i="15" s="1"/>
  <c r="H2783" i="15"/>
  <c r="G2783" i="15"/>
  <c r="J2782" i="15"/>
  <c r="I2782" i="15"/>
  <c r="H2782" i="15"/>
  <c r="G2782" i="15"/>
  <c r="I2781" i="15"/>
  <c r="H2781" i="15"/>
  <c r="G2781" i="15"/>
  <c r="J2781" i="15" s="1"/>
  <c r="J2780" i="15"/>
  <c r="I2780" i="15"/>
  <c r="H2780" i="15"/>
  <c r="G2780" i="15"/>
  <c r="I2779" i="15"/>
  <c r="H2779" i="15"/>
  <c r="G2779" i="15"/>
  <c r="J2779" i="15" s="1"/>
  <c r="H2778" i="15"/>
  <c r="G2778" i="15"/>
  <c r="J2778" i="15" s="1"/>
  <c r="I2777" i="15"/>
  <c r="H2777" i="15"/>
  <c r="G2777" i="15"/>
  <c r="J2777" i="15" s="1"/>
  <c r="H2776" i="15"/>
  <c r="G2776" i="15"/>
  <c r="I2775" i="15"/>
  <c r="H2775" i="15"/>
  <c r="G2775" i="15"/>
  <c r="J2775" i="15" s="1"/>
  <c r="J2774" i="15"/>
  <c r="H2774" i="15"/>
  <c r="G2774" i="15"/>
  <c r="I2774" i="15" s="1"/>
  <c r="I2773" i="15"/>
  <c r="H2773" i="15"/>
  <c r="G2773" i="15"/>
  <c r="J2773" i="15" s="1"/>
  <c r="J2772" i="15"/>
  <c r="I2772" i="15"/>
  <c r="H2772" i="15"/>
  <c r="G2772" i="15"/>
  <c r="I2771" i="15"/>
  <c r="H2771" i="15"/>
  <c r="G2771" i="15"/>
  <c r="J2771" i="15" s="1"/>
  <c r="J2770" i="15"/>
  <c r="I2770" i="15"/>
  <c r="H2770" i="15"/>
  <c r="G2770" i="15"/>
  <c r="H2769" i="15"/>
  <c r="G2769" i="15"/>
  <c r="H2768" i="15"/>
  <c r="G2768" i="15"/>
  <c r="H2767" i="15"/>
  <c r="G2767" i="15"/>
  <c r="J2766" i="15"/>
  <c r="I2766" i="15"/>
  <c r="H2766" i="15"/>
  <c r="G2766" i="15"/>
  <c r="I2765" i="15"/>
  <c r="H2765" i="15"/>
  <c r="G2765" i="15"/>
  <c r="J2765" i="15" s="1"/>
  <c r="J2764" i="15"/>
  <c r="H2764" i="15"/>
  <c r="G2764" i="15"/>
  <c r="I2764" i="15" s="1"/>
  <c r="I2763" i="15"/>
  <c r="H2763" i="15"/>
  <c r="G2763" i="15"/>
  <c r="J2763" i="15" s="1"/>
  <c r="I2762" i="15"/>
  <c r="H2762" i="15"/>
  <c r="G2762" i="15"/>
  <c r="J2762" i="15" s="1"/>
  <c r="I2761" i="15"/>
  <c r="H2761" i="15"/>
  <c r="G2761" i="15"/>
  <c r="J2761" i="15" s="1"/>
  <c r="H2760" i="15"/>
  <c r="G2760" i="15"/>
  <c r="I2759" i="15"/>
  <c r="H2759" i="15"/>
  <c r="G2759" i="15"/>
  <c r="J2759" i="15" s="1"/>
  <c r="J2758" i="15"/>
  <c r="H2758" i="15"/>
  <c r="G2758" i="15"/>
  <c r="I2758" i="15" s="1"/>
  <c r="H2757" i="15"/>
  <c r="G2757" i="15"/>
  <c r="J2757" i="15" s="1"/>
  <c r="J2756" i="15"/>
  <c r="I2756" i="15"/>
  <c r="H2756" i="15"/>
  <c r="G2756" i="15"/>
  <c r="H2755" i="15"/>
  <c r="G2755" i="15"/>
  <c r="J2754" i="15"/>
  <c r="I2754" i="15"/>
  <c r="H2754" i="15"/>
  <c r="G2754" i="15"/>
  <c r="H2753" i="15"/>
  <c r="G2753" i="15"/>
  <c r="H2752" i="15"/>
  <c r="G2752" i="15"/>
  <c r="H2751" i="15"/>
  <c r="G2751" i="15"/>
  <c r="J2750" i="15"/>
  <c r="I2750" i="15"/>
  <c r="H2750" i="15"/>
  <c r="G2750" i="15"/>
  <c r="I2749" i="15"/>
  <c r="H2749" i="15"/>
  <c r="G2749" i="15"/>
  <c r="J2749" i="15" s="1"/>
  <c r="J2748" i="15"/>
  <c r="I2748" i="15"/>
  <c r="H2748" i="15"/>
  <c r="G2748" i="15"/>
  <c r="I2747" i="15"/>
  <c r="H2747" i="15"/>
  <c r="G2747" i="15"/>
  <c r="J2747" i="15" s="1"/>
  <c r="H2746" i="15"/>
  <c r="G2746" i="15"/>
  <c r="J2746" i="15" s="1"/>
  <c r="H2745" i="15"/>
  <c r="G2745" i="15"/>
  <c r="H2744" i="15"/>
  <c r="G2744" i="15"/>
  <c r="I2743" i="15"/>
  <c r="H2743" i="15"/>
  <c r="G2743" i="15"/>
  <c r="J2743" i="15" s="1"/>
  <c r="H2742" i="15"/>
  <c r="G2742" i="15"/>
  <c r="I2741" i="15"/>
  <c r="H2741" i="15"/>
  <c r="G2741" i="15"/>
  <c r="J2741" i="15" s="1"/>
  <c r="J2740" i="15"/>
  <c r="I2740" i="15"/>
  <c r="H2740" i="15"/>
  <c r="G2740" i="15"/>
  <c r="H2739" i="15"/>
  <c r="G2739" i="15"/>
  <c r="J2739" i="15" s="1"/>
  <c r="J2738" i="15"/>
  <c r="I2738" i="15"/>
  <c r="H2738" i="15"/>
  <c r="G2738" i="15"/>
  <c r="H2737" i="15"/>
  <c r="G2737" i="15"/>
  <c r="I2736" i="15"/>
  <c r="H2736" i="15"/>
  <c r="G2736" i="15"/>
  <c r="J2736" i="15" s="1"/>
  <c r="H2735" i="15"/>
  <c r="G2735" i="15"/>
  <c r="J2734" i="15"/>
  <c r="I2734" i="15"/>
  <c r="H2734" i="15"/>
  <c r="G2734" i="15"/>
  <c r="I2733" i="15"/>
  <c r="H2733" i="15"/>
  <c r="G2733" i="15"/>
  <c r="J2733" i="15" s="1"/>
  <c r="H2732" i="15"/>
  <c r="G2732" i="15"/>
  <c r="J2732" i="15" s="1"/>
  <c r="I2731" i="15"/>
  <c r="H2731" i="15"/>
  <c r="G2731" i="15"/>
  <c r="J2731" i="15" s="1"/>
  <c r="I2730" i="15"/>
  <c r="H2730" i="15"/>
  <c r="G2730" i="15"/>
  <c r="J2730" i="15" s="1"/>
  <c r="I2729" i="15"/>
  <c r="H2729" i="15"/>
  <c r="G2729" i="15"/>
  <c r="J2729" i="15" s="1"/>
  <c r="H2728" i="15"/>
  <c r="G2728" i="15"/>
  <c r="I2727" i="15"/>
  <c r="H2727" i="15"/>
  <c r="G2727" i="15"/>
  <c r="J2727" i="15" s="1"/>
  <c r="J2726" i="15"/>
  <c r="H2726" i="15"/>
  <c r="G2726" i="15"/>
  <c r="I2726" i="15" s="1"/>
  <c r="H2725" i="15"/>
  <c r="G2725" i="15"/>
  <c r="J2725" i="15" s="1"/>
  <c r="J2724" i="15"/>
  <c r="I2724" i="15"/>
  <c r="H2724" i="15"/>
  <c r="G2724" i="15"/>
  <c r="I2723" i="15"/>
  <c r="H2723" i="15"/>
  <c r="G2723" i="15"/>
  <c r="J2723" i="15" s="1"/>
  <c r="J2722" i="15"/>
  <c r="I2722" i="15"/>
  <c r="H2722" i="15"/>
  <c r="G2722" i="15"/>
  <c r="H2721" i="15"/>
  <c r="G2721" i="15"/>
  <c r="I2720" i="15"/>
  <c r="H2720" i="15"/>
  <c r="G2720" i="15"/>
  <c r="J2720" i="15" s="1"/>
  <c r="H2719" i="15"/>
  <c r="G2719" i="15"/>
  <c r="J2718" i="15"/>
  <c r="I2718" i="15"/>
  <c r="H2718" i="15"/>
  <c r="G2718" i="15"/>
  <c r="I2717" i="15"/>
  <c r="H2717" i="15"/>
  <c r="G2717" i="15"/>
  <c r="J2717" i="15" s="1"/>
  <c r="J2716" i="15"/>
  <c r="I2716" i="15"/>
  <c r="H2716" i="15"/>
  <c r="G2716" i="15"/>
  <c r="I2715" i="15"/>
  <c r="H2715" i="15"/>
  <c r="G2715" i="15"/>
  <c r="J2715" i="15" s="1"/>
  <c r="H2714" i="15"/>
  <c r="G2714" i="15"/>
  <c r="J2714" i="15" s="1"/>
  <c r="I2713" i="15"/>
  <c r="H2713" i="15"/>
  <c r="G2713" i="15"/>
  <c r="J2713" i="15" s="1"/>
  <c r="H2712" i="15"/>
  <c r="G2712" i="15"/>
  <c r="I2711" i="15"/>
  <c r="H2711" i="15"/>
  <c r="G2711" i="15"/>
  <c r="J2711" i="15" s="1"/>
  <c r="J2710" i="15"/>
  <c r="H2710" i="15"/>
  <c r="G2710" i="15"/>
  <c r="I2710" i="15" s="1"/>
  <c r="I2709" i="15"/>
  <c r="H2709" i="15"/>
  <c r="G2709" i="15"/>
  <c r="J2709" i="15" s="1"/>
  <c r="J2708" i="15"/>
  <c r="I2708" i="15"/>
  <c r="H2708" i="15"/>
  <c r="G2708" i="15"/>
  <c r="I2707" i="15"/>
  <c r="H2707" i="15"/>
  <c r="G2707" i="15"/>
  <c r="J2707" i="15" s="1"/>
  <c r="J2706" i="15"/>
  <c r="I2706" i="15"/>
  <c r="H2706" i="15"/>
  <c r="G2706" i="15"/>
  <c r="H2705" i="15"/>
  <c r="G2705" i="15"/>
  <c r="H2704" i="15"/>
  <c r="G2704" i="15"/>
  <c r="H2703" i="15"/>
  <c r="G2703" i="15"/>
  <c r="J2702" i="15"/>
  <c r="I2702" i="15"/>
  <c r="H2702" i="15"/>
  <c r="G2702" i="15"/>
  <c r="I2701" i="15"/>
  <c r="H2701" i="15"/>
  <c r="G2701" i="15"/>
  <c r="J2701" i="15" s="1"/>
  <c r="J2700" i="15"/>
  <c r="H2700" i="15"/>
  <c r="G2700" i="15"/>
  <c r="I2700" i="15" s="1"/>
  <c r="I2699" i="15"/>
  <c r="H2699" i="15"/>
  <c r="G2699" i="15"/>
  <c r="J2699" i="15" s="1"/>
  <c r="I2698" i="15"/>
  <c r="H2698" i="15"/>
  <c r="G2698" i="15"/>
  <c r="J2698" i="15" s="1"/>
  <c r="I2697" i="15"/>
  <c r="H2697" i="15"/>
  <c r="G2697" i="15"/>
  <c r="J2697" i="15" s="1"/>
  <c r="H2696" i="15"/>
  <c r="G2696" i="15"/>
  <c r="I2695" i="15"/>
  <c r="H2695" i="15"/>
  <c r="G2695" i="15"/>
  <c r="J2695" i="15" s="1"/>
  <c r="J2694" i="15"/>
  <c r="H2694" i="15"/>
  <c r="G2694" i="15"/>
  <c r="I2694" i="15" s="1"/>
  <c r="H2693" i="15"/>
  <c r="G2693" i="15"/>
  <c r="J2693" i="15" s="1"/>
  <c r="J2692" i="15"/>
  <c r="I2692" i="15"/>
  <c r="H2692" i="15"/>
  <c r="G2692" i="15"/>
  <c r="H2691" i="15"/>
  <c r="G2691" i="15"/>
  <c r="J2690" i="15"/>
  <c r="I2690" i="15"/>
  <c r="H2690" i="15"/>
  <c r="G2690" i="15"/>
  <c r="H2689" i="15"/>
  <c r="G2689" i="15"/>
  <c r="H2688" i="15"/>
  <c r="G2688" i="15"/>
  <c r="H2687" i="15"/>
  <c r="G2687" i="15"/>
  <c r="J2686" i="15"/>
  <c r="I2686" i="15"/>
  <c r="H2686" i="15"/>
  <c r="G2686" i="15"/>
  <c r="I2685" i="15"/>
  <c r="H2685" i="15"/>
  <c r="G2685" i="15"/>
  <c r="J2685" i="15" s="1"/>
  <c r="J2684" i="15"/>
  <c r="I2684" i="15"/>
  <c r="H2684" i="15"/>
  <c r="G2684" i="15"/>
  <c r="I2683" i="15"/>
  <c r="H2683" i="15"/>
  <c r="G2683" i="15"/>
  <c r="J2683" i="15" s="1"/>
  <c r="H2682" i="15"/>
  <c r="G2682" i="15"/>
  <c r="J2682" i="15" s="1"/>
  <c r="H2681" i="15"/>
  <c r="G2681" i="15"/>
  <c r="H2680" i="15"/>
  <c r="G2680" i="15"/>
  <c r="I2679" i="15"/>
  <c r="H2679" i="15"/>
  <c r="G2679" i="15"/>
  <c r="J2679" i="15" s="1"/>
  <c r="H2678" i="15"/>
  <c r="G2678" i="15"/>
  <c r="I2677" i="15"/>
  <c r="H2677" i="15"/>
  <c r="G2677" i="15"/>
  <c r="J2677" i="15" s="1"/>
  <c r="J2676" i="15"/>
  <c r="I2676" i="15"/>
  <c r="H2676" i="15"/>
  <c r="G2676" i="15"/>
  <c r="I2675" i="15"/>
  <c r="H2675" i="15"/>
  <c r="G2675" i="15"/>
  <c r="J2675" i="15" s="1"/>
  <c r="J2674" i="15"/>
  <c r="I2674" i="15"/>
  <c r="H2674" i="15"/>
  <c r="G2674" i="15"/>
  <c r="H2673" i="15"/>
  <c r="G2673" i="15"/>
  <c r="I2672" i="15"/>
  <c r="H2672" i="15"/>
  <c r="G2672" i="15"/>
  <c r="J2672" i="15" s="1"/>
  <c r="H2671" i="15"/>
  <c r="G2671" i="15"/>
  <c r="J2670" i="15"/>
  <c r="I2670" i="15"/>
  <c r="H2670" i="15"/>
  <c r="G2670" i="15"/>
  <c r="I2669" i="15"/>
  <c r="H2669" i="15"/>
  <c r="G2669" i="15"/>
  <c r="J2669" i="15" s="1"/>
  <c r="H2668" i="15"/>
  <c r="G2668" i="15"/>
  <c r="J2668" i="15" s="1"/>
  <c r="I2667" i="15"/>
  <c r="H2667" i="15"/>
  <c r="G2667" i="15"/>
  <c r="J2667" i="15" s="1"/>
  <c r="I2666" i="15"/>
  <c r="H2666" i="15"/>
  <c r="G2666" i="15"/>
  <c r="J2666" i="15" s="1"/>
  <c r="I2665" i="15"/>
  <c r="H2665" i="15"/>
  <c r="G2665" i="15"/>
  <c r="J2665" i="15" s="1"/>
  <c r="H2664" i="15"/>
  <c r="G2664" i="15"/>
  <c r="I2663" i="15"/>
  <c r="H2663" i="15"/>
  <c r="G2663" i="15"/>
  <c r="J2663" i="15" s="1"/>
  <c r="J2662" i="15"/>
  <c r="H2662" i="15"/>
  <c r="G2662" i="15"/>
  <c r="I2662" i="15" s="1"/>
  <c r="H2661" i="15"/>
  <c r="G2661" i="15"/>
  <c r="J2661" i="15" s="1"/>
  <c r="J2660" i="15"/>
  <c r="I2660" i="15"/>
  <c r="H2660" i="15"/>
  <c r="G2660" i="15"/>
  <c r="I2659" i="15"/>
  <c r="H2659" i="15"/>
  <c r="G2659" i="15"/>
  <c r="J2659" i="15" s="1"/>
  <c r="J2658" i="15"/>
  <c r="I2658" i="15"/>
  <c r="H2658" i="15"/>
  <c r="G2658" i="15"/>
  <c r="H2657" i="15"/>
  <c r="G2657" i="15"/>
  <c r="I2656" i="15"/>
  <c r="H2656" i="15"/>
  <c r="G2656" i="15"/>
  <c r="J2656" i="15" s="1"/>
  <c r="H2655" i="15"/>
  <c r="G2655" i="15"/>
  <c r="J2654" i="15"/>
  <c r="I2654" i="15"/>
  <c r="H2654" i="15"/>
  <c r="G2654" i="15"/>
  <c r="I2653" i="15"/>
  <c r="H2653" i="15"/>
  <c r="G2653" i="15"/>
  <c r="J2653" i="15" s="1"/>
  <c r="J2652" i="15"/>
  <c r="I2652" i="15"/>
  <c r="H2652" i="15"/>
  <c r="G2652" i="15"/>
  <c r="I2651" i="15"/>
  <c r="H2651" i="15"/>
  <c r="G2651" i="15"/>
  <c r="J2651" i="15" s="1"/>
  <c r="H2650" i="15"/>
  <c r="G2650" i="15"/>
  <c r="J2650" i="15" s="1"/>
  <c r="I2649" i="15"/>
  <c r="H2649" i="15"/>
  <c r="G2649" i="15"/>
  <c r="J2649" i="15" s="1"/>
  <c r="H2648" i="15"/>
  <c r="G2648" i="15"/>
  <c r="I2647" i="15"/>
  <c r="H2647" i="15"/>
  <c r="G2647" i="15"/>
  <c r="J2647" i="15" s="1"/>
  <c r="J2646" i="15"/>
  <c r="H2646" i="15"/>
  <c r="G2646" i="15"/>
  <c r="I2646" i="15" s="1"/>
  <c r="I2645" i="15"/>
  <c r="H2645" i="15"/>
  <c r="G2645" i="15"/>
  <c r="J2645" i="15" s="1"/>
  <c r="J2644" i="15"/>
  <c r="I2644" i="15"/>
  <c r="H2644" i="15"/>
  <c r="G2644" i="15"/>
  <c r="I2643" i="15"/>
  <c r="H2643" i="15"/>
  <c r="G2643" i="15"/>
  <c r="J2643" i="15" s="1"/>
  <c r="J2642" i="15"/>
  <c r="I2642" i="15"/>
  <c r="H2642" i="15"/>
  <c r="G2642" i="15"/>
  <c r="H2641" i="15"/>
  <c r="G2641" i="15"/>
  <c r="H2640" i="15"/>
  <c r="G2640" i="15"/>
  <c r="I2640" i="15" s="1"/>
  <c r="H2639" i="15"/>
  <c r="G2639" i="15"/>
  <c r="J2638" i="15"/>
  <c r="I2638" i="15"/>
  <c r="H2638" i="15"/>
  <c r="G2638" i="15"/>
  <c r="I2637" i="15"/>
  <c r="H2637" i="15"/>
  <c r="G2637" i="15"/>
  <c r="J2637" i="15" s="1"/>
  <c r="H2636" i="15"/>
  <c r="G2636" i="15"/>
  <c r="I2635" i="15"/>
  <c r="H2635" i="15"/>
  <c r="G2635" i="15"/>
  <c r="J2635" i="15" s="1"/>
  <c r="I2634" i="15"/>
  <c r="H2634" i="15"/>
  <c r="G2634" i="15"/>
  <c r="J2634" i="15" s="1"/>
  <c r="I2633" i="15"/>
  <c r="H2633" i="15"/>
  <c r="G2633" i="15"/>
  <c r="J2633" i="15" s="1"/>
  <c r="H2632" i="15"/>
  <c r="G2632" i="15"/>
  <c r="I2631" i="15"/>
  <c r="H2631" i="15"/>
  <c r="G2631" i="15"/>
  <c r="J2631" i="15" s="1"/>
  <c r="J2630" i="15"/>
  <c r="H2630" i="15"/>
  <c r="G2630" i="15"/>
  <c r="I2630" i="15" s="1"/>
  <c r="H2629" i="15"/>
  <c r="G2629" i="15"/>
  <c r="J2629" i="15" s="1"/>
  <c r="J2628" i="15"/>
  <c r="I2628" i="15"/>
  <c r="H2628" i="15"/>
  <c r="G2628" i="15"/>
  <c r="H2627" i="15"/>
  <c r="G2627" i="15"/>
  <c r="J2626" i="15"/>
  <c r="I2626" i="15"/>
  <c r="H2626" i="15"/>
  <c r="G2626" i="15"/>
  <c r="H2625" i="15"/>
  <c r="G2625" i="15"/>
  <c r="I2624" i="15"/>
  <c r="H2624" i="15"/>
  <c r="G2624" i="15"/>
  <c r="J2624" i="15" s="1"/>
  <c r="H2623" i="15"/>
  <c r="G2623" i="15"/>
  <c r="J2622" i="15"/>
  <c r="I2622" i="15"/>
  <c r="H2622" i="15"/>
  <c r="G2622" i="15"/>
  <c r="I2621" i="15"/>
  <c r="H2621" i="15"/>
  <c r="G2621" i="15"/>
  <c r="J2621" i="15" s="1"/>
  <c r="J2620" i="15"/>
  <c r="I2620" i="15"/>
  <c r="H2620" i="15"/>
  <c r="G2620" i="15"/>
  <c r="I2619" i="15"/>
  <c r="H2619" i="15"/>
  <c r="G2619" i="15"/>
  <c r="J2619" i="15" s="1"/>
  <c r="H2618" i="15"/>
  <c r="G2618" i="15"/>
  <c r="H2617" i="15"/>
  <c r="G2617" i="15"/>
  <c r="H2616" i="15"/>
  <c r="G2616" i="15"/>
  <c r="I2615" i="15"/>
  <c r="H2615" i="15"/>
  <c r="G2615" i="15"/>
  <c r="J2615" i="15" s="1"/>
  <c r="H2614" i="15"/>
  <c r="G2614" i="15"/>
  <c r="I2613" i="15"/>
  <c r="H2613" i="15"/>
  <c r="G2613" i="15"/>
  <c r="J2613" i="15" s="1"/>
  <c r="J2612" i="15"/>
  <c r="I2612" i="15"/>
  <c r="H2612" i="15"/>
  <c r="G2612" i="15"/>
  <c r="H2611" i="15"/>
  <c r="G2611" i="15"/>
  <c r="J2610" i="15"/>
  <c r="I2610" i="15"/>
  <c r="H2610" i="15"/>
  <c r="G2610" i="15"/>
  <c r="H2609" i="15"/>
  <c r="G2609" i="15"/>
  <c r="H2608" i="15"/>
  <c r="G2608" i="15"/>
  <c r="H2607" i="15"/>
  <c r="G2607" i="15"/>
  <c r="J2606" i="15"/>
  <c r="I2606" i="15"/>
  <c r="H2606" i="15"/>
  <c r="G2606" i="15"/>
  <c r="I2605" i="15"/>
  <c r="H2605" i="15"/>
  <c r="G2605" i="15"/>
  <c r="J2605" i="15" s="1"/>
  <c r="H2604" i="15"/>
  <c r="G2604" i="15"/>
  <c r="J2604" i="15" s="1"/>
  <c r="I2603" i="15"/>
  <c r="H2603" i="15"/>
  <c r="G2603" i="15"/>
  <c r="J2603" i="15" s="1"/>
  <c r="I2602" i="15"/>
  <c r="H2602" i="15"/>
  <c r="G2602" i="15"/>
  <c r="J2602" i="15" s="1"/>
  <c r="H2601" i="15"/>
  <c r="G2601" i="15"/>
  <c r="J2601" i="15" s="1"/>
  <c r="H2600" i="15"/>
  <c r="G2600" i="15"/>
  <c r="I2599" i="15"/>
  <c r="H2599" i="15"/>
  <c r="G2599" i="15"/>
  <c r="J2599" i="15" s="1"/>
  <c r="H2598" i="15"/>
  <c r="G2598" i="15"/>
  <c r="I2598" i="15" s="1"/>
  <c r="H2597" i="15"/>
  <c r="G2597" i="15"/>
  <c r="J2596" i="15"/>
  <c r="I2596" i="15"/>
  <c r="H2596" i="15"/>
  <c r="G2596" i="15"/>
  <c r="I2595" i="15"/>
  <c r="H2595" i="15"/>
  <c r="G2595" i="15"/>
  <c r="J2595" i="15" s="1"/>
  <c r="J2594" i="15"/>
  <c r="I2594" i="15"/>
  <c r="H2594" i="15"/>
  <c r="G2594" i="15"/>
  <c r="H2593" i="15"/>
  <c r="G2593" i="15"/>
  <c r="I2592" i="15"/>
  <c r="H2592" i="15"/>
  <c r="G2592" i="15"/>
  <c r="J2592" i="15" s="1"/>
  <c r="H2591" i="15"/>
  <c r="G2591" i="15"/>
  <c r="J2590" i="15"/>
  <c r="I2590" i="15"/>
  <c r="H2590" i="15"/>
  <c r="G2590" i="15"/>
  <c r="I2589" i="15"/>
  <c r="H2589" i="15"/>
  <c r="G2589" i="15"/>
  <c r="J2589" i="15" s="1"/>
  <c r="J2588" i="15"/>
  <c r="I2588" i="15"/>
  <c r="H2588" i="15"/>
  <c r="G2588" i="15"/>
  <c r="I2587" i="15"/>
  <c r="H2587" i="15"/>
  <c r="G2587" i="15"/>
  <c r="J2587" i="15" s="1"/>
  <c r="H2586" i="15"/>
  <c r="G2586" i="15"/>
  <c r="J2586" i="15" s="1"/>
  <c r="H2585" i="15"/>
  <c r="G2585" i="15"/>
  <c r="J2585" i="15" s="1"/>
  <c r="H2584" i="15"/>
  <c r="G2584" i="15"/>
  <c r="I2583" i="15"/>
  <c r="H2583" i="15"/>
  <c r="G2583" i="15"/>
  <c r="J2583" i="15" s="1"/>
  <c r="H2582" i="15"/>
  <c r="G2582" i="15"/>
  <c r="I2582" i="15" s="1"/>
  <c r="I2581" i="15"/>
  <c r="H2581" i="15"/>
  <c r="G2581" i="15"/>
  <c r="J2581" i="15" s="1"/>
  <c r="J2580" i="15"/>
  <c r="I2580" i="15"/>
  <c r="H2580" i="15"/>
  <c r="G2580" i="15"/>
  <c r="I2579" i="15"/>
  <c r="H2579" i="15"/>
  <c r="G2579" i="15"/>
  <c r="J2579" i="15" s="1"/>
  <c r="J2578" i="15"/>
  <c r="I2578" i="15"/>
  <c r="H2578" i="15"/>
  <c r="G2578" i="15"/>
  <c r="H2577" i="15"/>
  <c r="G2577" i="15"/>
  <c r="H2576" i="15"/>
  <c r="G2576" i="15"/>
  <c r="I2576" i="15" s="1"/>
  <c r="H2575" i="15"/>
  <c r="G2575" i="15"/>
  <c r="J2574" i="15"/>
  <c r="I2574" i="15"/>
  <c r="H2574" i="15"/>
  <c r="G2574" i="15"/>
  <c r="I2573" i="15"/>
  <c r="H2573" i="15"/>
  <c r="G2573" i="15"/>
  <c r="J2573" i="15" s="1"/>
  <c r="J2572" i="15"/>
  <c r="H2572" i="15"/>
  <c r="G2572" i="15"/>
  <c r="I2572" i="15" s="1"/>
  <c r="I2571" i="15"/>
  <c r="H2571" i="15"/>
  <c r="G2571" i="15"/>
  <c r="J2571" i="15" s="1"/>
  <c r="I2570" i="15"/>
  <c r="H2570" i="15"/>
  <c r="G2570" i="15"/>
  <c r="J2570" i="15" s="1"/>
  <c r="I2569" i="15"/>
  <c r="H2569" i="15"/>
  <c r="G2569" i="15"/>
  <c r="J2569" i="15" s="1"/>
  <c r="H2568" i="15"/>
  <c r="G2568" i="15"/>
  <c r="I2567" i="15"/>
  <c r="H2567" i="15"/>
  <c r="G2567" i="15"/>
  <c r="J2567" i="15" s="1"/>
  <c r="J2566" i="15"/>
  <c r="H2566" i="15"/>
  <c r="G2566" i="15"/>
  <c r="I2566" i="15" s="1"/>
  <c r="H2565" i="15"/>
  <c r="G2565" i="15"/>
  <c r="J2565" i="15" s="1"/>
  <c r="J2564" i="15"/>
  <c r="I2564" i="15"/>
  <c r="H2564" i="15"/>
  <c r="G2564" i="15"/>
  <c r="H2563" i="15"/>
  <c r="G2563" i="15"/>
  <c r="J2562" i="15"/>
  <c r="I2562" i="15"/>
  <c r="H2562" i="15"/>
  <c r="G2562" i="15"/>
  <c r="H2561" i="15"/>
  <c r="G2561" i="15"/>
  <c r="H2560" i="15"/>
  <c r="G2560" i="15"/>
  <c r="J2560" i="15" s="1"/>
  <c r="H2559" i="15"/>
  <c r="G2559" i="15"/>
  <c r="J2558" i="15"/>
  <c r="H2558" i="15"/>
  <c r="G2558" i="15"/>
  <c r="I2558" i="15" s="1"/>
  <c r="I2557" i="15"/>
  <c r="H2557" i="15"/>
  <c r="G2557" i="15"/>
  <c r="J2557" i="15" s="1"/>
  <c r="J2556" i="15"/>
  <c r="I2556" i="15"/>
  <c r="H2556" i="15"/>
  <c r="G2556" i="15"/>
  <c r="I2555" i="15"/>
  <c r="H2555" i="15"/>
  <c r="G2555" i="15"/>
  <c r="J2555" i="15" s="1"/>
  <c r="H2554" i="15"/>
  <c r="G2554" i="15"/>
  <c r="H2553" i="15"/>
  <c r="G2553" i="15"/>
  <c r="H2552" i="15"/>
  <c r="G2552" i="15"/>
  <c r="H2551" i="15"/>
  <c r="G2551" i="15"/>
  <c r="H2550" i="15"/>
  <c r="G2550" i="15"/>
  <c r="I2549" i="15"/>
  <c r="H2549" i="15"/>
  <c r="G2549" i="15"/>
  <c r="J2549" i="15" s="1"/>
  <c r="J2548" i="15"/>
  <c r="I2548" i="15"/>
  <c r="H2548" i="15"/>
  <c r="G2548" i="15"/>
  <c r="H2547" i="15"/>
  <c r="G2547" i="15"/>
  <c r="J2546" i="15"/>
  <c r="I2546" i="15"/>
  <c r="H2546" i="15"/>
  <c r="G2546" i="15"/>
  <c r="H2545" i="15"/>
  <c r="G2545" i="15"/>
  <c r="H2544" i="15"/>
  <c r="G2544" i="15"/>
  <c r="H2543" i="15"/>
  <c r="G2543" i="15"/>
  <c r="I2542" i="15"/>
  <c r="H2542" i="15"/>
  <c r="G2542" i="15"/>
  <c r="J2542" i="15" s="1"/>
  <c r="I2541" i="15"/>
  <c r="H2541" i="15"/>
  <c r="G2541" i="15"/>
  <c r="J2541" i="15" s="1"/>
  <c r="H2540" i="15"/>
  <c r="G2540" i="15"/>
  <c r="J2540" i="15" s="1"/>
  <c r="I2539" i="15"/>
  <c r="H2539" i="15"/>
  <c r="G2539" i="15"/>
  <c r="J2539" i="15" s="1"/>
  <c r="I2538" i="15"/>
  <c r="H2538" i="15"/>
  <c r="G2538" i="15"/>
  <c r="J2538" i="15" s="1"/>
  <c r="H2537" i="15"/>
  <c r="G2537" i="15"/>
  <c r="J2537" i="15" s="1"/>
  <c r="H2536" i="15"/>
  <c r="G2536" i="15"/>
  <c r="I2535" i="15"/>
  <c r="H2535" i="15"/>
  <c r="G2535" i="15"/>
  <c r="J2535" i="15" s="1"/>
  <c r="H2534" i="15"/>
  <c r="G2534" i="15"/>
  <c r="I2534" i="15" s="1"/>
  <c r="H2533" i="15"/>
  <c r="G2533" i="15"/>
  <c r="J2532" i="15"/>
  <c r="I2532" i="15"/>
  <c r="H2532" i="15"/>
  <c r="G2532" i="15"/>
  <c r="H2531" i="15"/>
  <c r="G2531" i="15"/>
  <c r="J2531" i="15" s="1"/>
  <c r="J2530" i="15"/>
  <c r="I2530" i="15"/>
  <c r="H2530" i="15"/>
  <c r="G2530" i="15"/>
  <c r="H2529" i="15"/>
  <c r="G2529" i="15"/>
  <c r="I2528" i="15"/>
  <c r="H2528" i="15"/>
  <c r="G2528" i="15"/>
  <c r="J2528" i="15" s="1"/>
  <c r="H2527" i="15"/>
  <c r="G2527" i="15"/>
  <c r="I2526" i="15"/>
  <c r="H2526" i="15"/>
  <c r="G2526" i="15"/>
  <c r="J2526" i="15" s="1"/>
  <c r="I2525" i="15"/>
  <c r="H2525" i="15"/>
  <c r="G2525" i="15"/>
  <c r="J2525" i="15" s="1"/>
  <c r="J2524" i="15"/>
  <c r="I2524" i="15"/>
  <c r="H2524" i="15"/>
  <c r="G2524" i="15"/>
  <c r="I2523" i="15"/>
  <c r="H2523" i="15"/>
  <c r="G2523" i="15"/>
  <c r="J2523" i="15" s="1"/>
  <c r="H2522" i="15"/>
  <c r="G2522" i="15"/>
  <c r="J2522" i="15" s="1"/>
  <c r="I2521" i="15"/>
  <c r="H2521" i="15"/>
  <c r="G2521" i="15"/>
  <c r="J2521" i="15" s="1"/>
  <c r="H2520" i="15"/>
  <c r="G2520" i="15"/>
  <c r="H2519" i="15"/>
  <c r="G2519" i="15"/>
  <c r="J2519" i="15" s="1"/>
  <c r="H2518" i="15"/>
  <c r="G2518" i="15"/>
  <c r="I2517" i="15"/>
  <c r="H2517" i="15"/>
  <c r="G2517" i="15"/>
  <c r="J2517" i="15" s="1"/>
  <c r="J2516" i="15"/>
  <c r="I2516" i="15"/>
  <c r="H2516" i="15"/>
  <c r="G2516" i="15"/>
  <c r="I2515" i="15"/>
  <c r="H2515" i="15"/>
  <c r="G2515" i="15"/>
  <c r="J2515" i="15" s="1"/>
  <c r="J2514" i="15"/>
  <c r="I2514" i="15"/>
  <c r="H2514" i="15"/>
  <c r="G2514" i="15"/>
  <c r="H2513" i="15"/>
  <c r="G2513" i="15"/>
  <c r="H2512" i="15"/>
  <c r="G2512" i="15"/>
  <c r="I2512" i="15" s="1"/>
  <c r="H2511" i="15"/>
  <c r="G2511" i="15"/>
  <c r="I2510" i="15"/>
  <c r="H2510" i="15"/>
  <c r="G2510" i="15"/>
  <c r="J2510" i="15" s="1"/>
  <c r="I2509" i="15"/>
  <c r="H2509" i="15"/>
  <c r="G2509" i="15"/>
  <c r="J2509" i="15" s="1"/>
  <c r="H2508" i="15"/>
  <c r="G2508" i="15"/>
  <c r="I2508" i="15" s="1"/>
  <c r="I2507" i="15"/>
  <c r="H2507" i="15"/>
  <c r="G2507" i="15"/>
  <c r="J2507" i="15" s="1"/>
  <c r="I2506" i="15"/>
  <c r="H2506" i="15"/>
  <c r="G2506" i="15"/>
  <c r="J2506" i="15" s="1"/>
  <c r="I2505" i="15"/>
  <c r="H2505" i="15"/>
  <c r="G2505" i="15"/>
  <c r="J2505" i="15" s="1"/>
  <c r="H2504" i="15"/>
  <c r="G2504" i="15"/>
  <c r="I2503" i="15"/>
  <c r="H2503" i="15"/>
  <c r="G2503" i="15"/>
  <c r="J2503" i="15" s="1"/>
  <c r="J2502" i="15"/>
  <c r="H2502" i="15"/>
  <c r="G2502" i="15"/>
  <c r="I2502" i="15" s="1"/>
  <c r="H2501" i="15"/>
  <c r="G2501" i="15"/>
  <c r="J2500" i="15"/>
  <c r="I2500" i="15"/>
  <c r="H2500" i="15"/>
  <c r="G2500" i="15"/>
  <c r="H2499" i="15"/>
  <c r="G2499" i="15"/>
  <c r="J2498" i="15"/>
  <c r="I2498" i="15"/>
  <c r="H2498" i="15"/>
  <c r="G2498" i="15"/>
  <c r="H2497" i="15"/>
  <c r="G2497" i="15"/>
  <c r="H2496" i="15"/>
  <c r="G2496" i="15"/>
  <c r="H2495" i="15"/>
  <c r="G2495" i="15"/>
  <c r="J2494" i="15"/>
  <c r="H2494" i="15"/>
  <c r="G2494" i="15"/>
  <c r="I2494" i="15" s="1"/>
  <c r="I2493" i="15"/>
  <c r="H2493" i="15"/>
  <c r="G2493" i="15"/>
  <c r="J2493" i="15" s="1"/>
  <c r="J2492" i="15"/>
  <c r="I2492" i="15"/>
  <c r="H2492" i="15"/>
  <c r="G2492" i="15"/>
  <c r="I2491" i="15"/>
  <c r="H2491" i="15"/>
  <c r="G2491" i="15"/>
  <c r="J2491" i="15" s="1"/>
  <c r="H2490" i="15"/>
  <c r="G2490" i="15"/>
  <c r="H2489" i="15"/>
  <c r="G2489" i="15"/>
  <c r="H2488" i="15"/>
  <c r="G2488" i="15"/>
  <c r="H2487" i="15"/>
  <c r="G2487" i="15"/>
  <c r="H2486" i="15"/>
  <c r="G2486" i="15"/>
  <c r="I2485" i="15"/>
  <c r="H2485" i="15"/>
  <c r="G2485" i="15"/>
  <c r="J2485" i="15" s="1"/>
  <c r="J2484" i="15"/>
  <c r="I2484" i="15"/>
  <c r="H2484" i="15"/>
  <c r="G2484" i="15"/>
  <c r="H2483" i="15"/>
  <c r="G2483" i="15"/>
  <c r="J2483" i="15" s="1"/>
  <c r="J2482" i="15"/>
  <c r="I2482" i="15"/>
  <c r="H2482" i="15"/>
  <c r="G2482" i="15"/>
  <c r="H2481" i="15"/>
  <c r="G2481" i="15"/>
  <c r="I2480" i="15"/>
  <c r="H2480" i="15"/>
  <c r="G2480" i="15"/>
  <c r="J2480" i="15" s="1"/>
  <c r="H2479" i="15"/>
  <c r="G2479" i="15"/>
  <c r="I2478" i="15"/>
  <c r="H2478" i="15"/>
  <c r="G2478" i="15"/>
  <c r="J2478" i="15" s="1"/>
  <c r="I2477" i="15"/>
  <c r="H2477" i="15"/>
  <c r="G2477" i="15"/>
  <c r="J2477" i="15" s="1"/>
  <c r="H2476" i="15"/>
  <c r="G2476" i="15"/>
  <c r="I2475" i="15"/>
  <c r="H2475" i="15"/>
  <c r="G2475" i="15"/>
  <c r="J2475" i="15" s="1"/>
  <c r="I2474" i="15"/>
  <c r="H2474" i="15"/>
  <c r="G2474" i="15"/>
  <c r="J2474" i="15" s="1"/>
  <c r="H2473" i="15"/>
  <c r="G2473" i="15"/>
  <c r="H2472" i="15"/>
  <c r="G2472" i="15"/>
  <c r="I2471" i="15"/>
  <c r="H2471" i="15"/>
  <c r="G2471" i="15"/>
  <c r="J2471" i="15" s="1"/>
  <c r="H2470" i="15"/>
  <c r="G2470" i="15"/>
  <c r="H2469" i="15"/>
  <c r="G2469" i="15"/>
  <c r="J2468" i="15"/>
  <c r="I2468" i="15"/>
  <c r="H2468" i="15"/>
  <c r="G2468" i="15"/>
  <c r="I2467" i="15"/>
  <c r="H2467" i="15"/>
  <c r="G2467" i="15"/>
  <c r="J2467" i="15" s="1"/>
  <c r="J2466" i="15"/>
  <c r="I2466" i="15"/>
  <c r="H2466" i="15"/>
  <c r="G2466" i="15"/>
  <c r="H2465" i="15"/>
  <c r="G2465" i="15"/>
  <c r="I2464" i="15"/>
  <c r="H2464" i="15"/>
  <c r="G2464" i="15"/>
  <c r="J2464" i="15" s="1"/>
  <c r="H2463" i="15"/>
  <c r="G2463" i="15"/>
  <c r="H2462" i="15"/>
  <c r="G2462" i="15"/>
  <c r="I2461" i="15"/>
  <c r="H2461" i="15"/>
  <c r="G2461" i="15"/>
  <c r="J2461" i="15" s="1"/>
  <c r="J2460" i="15"/>
  <c r="I2460" i="15"/>
  <c r="H2460" i="15"/>
  <c r="G2460" i="15"/>
  <c r="I2459" i="15"/>
  <c r="H2459" i="15"/>
  <c r="G2459" i="15"/>
  <c r="J2459" i="15" s="1"/>
  <c r="H2458" i="15"/>
  <c r="G2458" i="15"/>
  <c r="H2457" i="15"/>
  <c r="G2457" i="15"/>
  <c r="H2456" i="15"/>
  <c r="G2456" i="15"/>
  <c r="H2455" i="15"/>
  <c r="G2455" i="15"/>
  <c r="H2454" i="15"/>
  <c r="G2454" i="15"/>
  <c r="I2454" i="15" s="1"/>
  <c r="I2453" i="15"/>
  <c r="H2453" i="15"/>
  <c r="G2453" i="15"/>
  <c r="J2453" i="15" s="1"/>
  <c r="J2452" i="15"/>
  <c r="I2452" i="15"/>
  <c r="H2452" i="15"/>
  <c r="G2452" i="15"/>
  <c r="I2451" i="15"/>
  <c r="H2451" i="15"/>
  <c r="G2451" i="15"/>
  <c r="J2451" i="15" s="1"/>
  <c r="J2450" i="15"/>
  <c r="I2450" i="15"/>
  <c r="H2450" i="15"/>
  <c r="G2450" i="15"/>
  <c r="H2449" i="15"/>
  <c r="G2449" i="15"/>
  <c r="J2448" i="15"/>
  <c r="H2448" i="15"/>
  <c r="G2448" i="15"/>
  <c r="I2448" i="15" s="1"/>
  <c r="H2447" i="15"/>
  <c r="G2447" i="15"/>
  <c r="I2446" i="15"/>
  <c r="H2446" i="15"/>
  <c r="G2446" i="15"/>
  <c r="J2446" i="15" s="1"/>
  <c r="I2445" i="15"/>
  <c r="H2445" i="15"/>
  <c r="G2445" i="15"/>
  <c r="J2445" i="15" s="1"/>
  <c r="H2444" i="15"/>
  <c r="G2444" i="15"/>
  <c r="I2444" i="15" s="1"/>
  <c r="I2443" i="15"/>
  <c r="H2443" i="15"/>
  <c r="G2443" i="15"/>
  <c r="J2443" i="15" s="1"/>
  <c r="I2442" i="15"/>
  <c r="H2442" i="15"/>
  <c r="G2442" i="15"/>
  <c r="J2442" i="15" s="1"/>
  <c r="I2441" i="15"/>
  <c r="H2441" i="15"/>
  <c r="G2441" i="15"/>
  <c r="J2441" i="15" s="1"/>
  <c r="H2440" i="15"/>
  <c r="G2440" i="15"/>
  <c r="I2439" i="15"/>
  <c r="H2439" i="15"/>
  <c r="G2439" i="15"/>
  <c r="J2439" i="15" s="1"/>
  <c r="J2438" i="15"/>
  <c r="H2438" i="15"/>
  <c r="G2438" i="15"/>
  <c r="I2438" i="15" s="1"/>
  <c r="H2437" i="15"/>
  <c r="G2437" i="15"/>
  <c r="J2436" i="15"/>
  <c r="I2436" i="15"/>
  <c r="H2436" i="15"/>
  <c r="G2436" i="15"/>
  <c r="H2435" i="15"/>
  <c r="G2435" i="15"/>
  <c r="J2434" i="15"/>
  <c r="I2434" i="15"/>
  <c r="H2434" i="15"/>
  <c r="G2434" i="15"/>
  <c r="H2433" i="15"/>
  <c r="G2433" i="15"/>
  <c r="H2432" i="15"/>
  <c r="G2432" i="15"/>
  <c r="J2432" i="15" s="1"/>
  <c r="H2431" i="15"/>
  <c r="G2431" i="15"/>
  <c r="H2430" i="15"/>
  <c r="G2430" i="15"/>
  <c r="I2430" i="15" s="1"/>
  <c r="I2429" i="15"/>
  <c r="H2429" i="15"/>
  <c r="G2429" i="15"/>
  <c r="J2429" i="15" s="1"/>
  <c r="J2428" i="15"/>
  <c r="I2428" i="15"/>
  <c r="H2428" i="15"/>
  <c r="G2428" i="15"/>
  <c r="I2427" i="15"/>
  <c r="H2427" i="15"/>
  <c r="G2427" i="15"/>
  <c r="J2427" i="15" s="1"/>
  <c r="H2426" i="15"/>
  <c r="G2426" i="15"/>
  <c r="H2425" i="15"/>
  <c r="G2425" i="15"/>
  <c r="H2424" i="15"/>
  <c r="G2424" i="15"/>
  <c r="H2423" i="15"/>
  <c r="G2423" i="15"/>
  <c r="H2422" i="15"/>
  <c r="G2422" i="15"/>
  <c r="I2421" i="15"/>
  <c r="H2421" i="15"/>
  <c r="G2421" i="15"/>
  <c r="J2421" i="15" s="1"/>
  <c r="J2420" i="15"/>
  <c r="I2420" i="15"/>
  <c r="H2420" i="15"/>
  <c r="G2420" i="15"/>
  <c r="I2419" i="15"/>
  <c r="H2419" i="15"/>
  <c r="G2419" i="15"/>
  <c r="J2419" i="15" s="1"/>
  <c r="J2418" i="15"/>
  <c r="I2418" i="15"/>
  <c r="H2418" i="15"/>
  <c r="G2418" i="15"/>
  <c r="H2417" i="15"/>
  <c r="G2417" i="15"/>
  <c r="J2416" i="15"/>
  <c r="H2416" i="15"/>
  <c r="G2416" i="15"/>
  <c r="I2416" i="15" s="1"/>
  <c r="H2415" i="15"/>
  <c r="G2415" i="15"/>
  <c r="H2414" i="15"/>
  <c r="G2414" i="15"/>
  <c r="I2413" i="15"/>
  <c r="H2413" i="15"/>
  <c r="G2413" i="15"/>
  <c r="J2413" i="15" s="1"/>
  <c r="H2412" i="15"/>
  <c r="G2412" i="15"/>
  <c r="I2411" i="15"/>
  <c r="H2411" i="15"/>
  <c r="G2411" i="15"/>
  <c r="J2411" i="15" s="1"/>
  <c r="I2410" i="15"/>
  <c r="H2410" i="15"/>
  <c r="G2410" i="15"/>
  <c r="J2410" i="15" s="1"/>
  <c r="H2409" i="15"/>
  <c r="G2409" i="15"/>
  <c r="J2409" i="15" s="1"/>
  <c r="H2408" i="15"/>
  <c r="G2408" i="15"/>
  <c r="I2407" i="15"/>
  <c r="H2407" i="15"/>
  <c r="G2407" i="15"/>
  <c r="J2407" i="15" s="1"/>
  <c r="H2406" i="15"/>
  <c r="G2406" i="15"/>
  <c r="I2406" i="15" s="1"/>
  <c r="H2405" i="15"/>
  <c r="G2405" i="15"/>
  <c r="J2404" i="15"/>
  <c r="I2404" i="15"/>
  <c r="H2404" i="15"/>
  <c r="G2404" i="15"/>
  <c r="H2403" i="15"/>
  <c r="G2403" i="15"/>
  <c r="J2402" i="15"/>
  <c r="I2402" i="15"/>
  <c r="H2402" i="15"/>
  <c r="G2402" i="15"/>
  <c r="H2401" i="15"/>
  <c r="G2401" i="15"/>
  <c r="I2400" i="15"/>
  <c r="H2400" i="15"/>
  <c r="G2400" i="15"/>
  <c r="J2400" i="15" s="1"/>
  <c r="H2399" i="15"/>
  <c r="G2399" i="15"/>
  <c r="H2398" i="15"/>
  <c r="G2398" i="15"/>
  <c r="J2398" i="15" s="1"/>
  <c r="I2397" i="15"/>
  <c r="H2397" i="15"/>
  <c r="G2397" i="15"/>
  <c r="J2397" i="15" s="1"/>
  <c r="J2396" i="15"/>
  <c r="I2396" i="15"/>
  <c r="H2396" i="15"/>
  <c r="G2396" i="15"/>
  <c r="I2395" i="15"/>
  <c r="H2395" i="15"/>
  <c r="G2395" i="15"/>
  <c r="J2395" i="15" s="1"/>
  <c r="H2394" i="15"/>
  <c r="G2394" i="15"/>
  <c r="I2393" i="15"/>
  <c r="H2393" i="15"/>
  <c r="G2393" i="15"/>
  <c r="J2393" i="15" s="1"/>
  <c r="H2392" i="15"/>
  <c r="G2392" i="15"/>
  <c r="H2391" i="15"/>
  <c r="G2391" i="15"/>
  <c r="H2390" i="15"/>
  <c r="G2390" i="15"/>
  <c r="I2390" i="15" s="1"/>
  <c r="I2389" i="15"/>
  <c r="H2389" i="15"/>
  <c r="G2389" i="15"/>
  <c r="J2389" i="15" s="1"/>
  <c r="J2388" i="15"/>
  <c r="I2388" i="15"/>
  <c r="H2388" i="15"/>
  <c r="G2388" i="15"/>
  <c r="I2387" i="15"/>
  <c r="H2387" i="15"/>
  <c r="G2387" i="15"/>
  <c r="J2387" i="15" s="1"/>
  <c r="J2386" i="15"/>
  <c r="I2386" i="15"/>
  <c r="H2386" i="15"/>
  <c r="G2386" i="15"/>
  <c r="H2385" i="15"/>
  <c r="G2385" i="15"/>
  <c r="H2384" i="15"/>
  <c r="G2384" i="15"/>
  <c r="H2383" i="15"/>
  <c r="G2383" i="15"/>
  <c r="I2382" i="15"/>
  <c r="H2382" i="15"/>
  <c r="G2382" i="15"/>
  <c r="J2382" i="15" s="1"/>
  <c r="I2381" i="15"/>
  <c r="H2381" i="15"/>
  <c r="G2381" i="15"/>
  <c r="J2381" i="15" s="1"/>
  <c r="J2380" i="15"/>
  <c r="H2380" i="15"/>
  <c r="G2380" i="15"/>
  <c r="I2380" i="15" s="1"/>
  <c r="I2379" i="15"/>
  <c r="H2379" i="15"/>
  <c r="G2379" i="15"/>
  <c r="J2379" i="15" s="1"/>
  <c r="I2378" i="15"/>
  <c r="H2378" i="15"/>
  <c r="G2378" i="15"/>
  <c r="J2378" i="15" s="1"/>
  <c r="I2377" i="15"/>
  <c r="H2377" i="15"/>
  <c r="G2377" i="15"/>
  <c r="J2377" i="15" s="1"/>
  <c r="H2376" i="15"/>
  <c r="G2376" i="15"/>
  <c r="I2375" i="15"/>
  <c r="H2375" i="15"/>
  <c r="G2375" i="15"/>
  <c r="J2375" i="15" s="1"/>
  <c r="J2374" i="15"/>
  <c r="H2374" i="15"/>
  <c r="G2374" i="15"/>
  <c r="I2374" i="15" s="1"/>
  <c r="H2373" i="15"/>
  <c r="G2373" i="15"/>
  <c r="J2372" i="15"/>
  <c r="I2372" i="15"/>
  <c r="H2372" i="15"/>
  <c r="G2372" i="15"/>
  <c r="H2371" i="15"/>
  <c r="G2371" i="15"/>
  <c r="J2370" i="15"/>
  <c r="I2370" i="15"/>
  <c r="H2370" i="15"/>
  <c r="G2370" i="15"/>
  <c r="H2369" i="15"/>
  <c r="G2369" i="15"/>
  <c r="H2368" i="15"/>
  <c r="G2368" i="15"/>
  <c r="J2368" i="15" s="1"/>
  <c r="H2367" i="15"/>
  <c r="G2367" i="15"/>
  <c r="J2366" i="15"/>
  <c r="H2366" i="15"/>
  <c r="G2366" i="15"/>
  <c r="I2366" i="15" s="1"/>
  <c r="I2365" i="15"/>
  <c r="H2365" i="15"/>
  <c r="G2365" i="15"/>
  <c r="J2365" i="15" s="1"/>
  <c r="J2364" i="15"/>
  <c r="I2364" i="15"/>
  <c r="H2364" i="15"/>
  <c r="G2364" i="15"/>
  <c r="I2363" i="15"/>
  <c r="H2363" i="15"/>
  <c r="G2363" i="15"/>
  <c r="J2363" i="15" s="1"/>
  <c r="H2362" i="15"/>
  <c r="G2362" i="15"/>
  <c r="H2361" i="15"/>
  <c r="G2361" i="15"/>
  <c r="H2360" i="15"/>
  <c r="G2360" i="15"/>
  <c r="H2359" i="15"/>
  <c r="G2359" i="15"/>
  <c r="H2358" i="15"/>
  <c r="G2358" i="15"/>
  <c r="I2357" i="15"/>
  <c r="H2357" i="15"/>
  <c r="G2357" i="15"/>
  <c r="J2357" i="15" s="1"/>
  <c r="J2356" i="15"/>
  <c r="I2356" i="15"/>
  <c r="H2356" i="15"/>
  <c r="G2356" i="15"/>
  <c r="H2355" i="15"/>
  <c r="G2355" i="15"/>
  <c r="J2354" i="15"/>
  <c r="I2354" i="15"/>
  <c r="H2354" i="15"/>
  <c r="G2354" i="15"/>
  <c r="H2353" i="15"/>
  <c r="G2353" i="15"/>
  <c r="J2352" i="15"/>
  <c r="I2352" i="15"/>
  <c r="H2352" i="15"/>
  <c r="G2352" i="15"/>
  <c r="H2351" i="15"/>
  <c r="G2351" i="15"/>
  <c r="H2350" i="15"/>
  <c r="G2350" i="15"/>
  <c r="J2350" i="15" s="1"/>
  <c r="I2349" i="15"/>
  <c r="H2349" i="15"/>
  <c r="G2349" i="15"/>
  <c r="J2349" i="15" s="1"/>
  <c r="H2348" i="15"/>
  <c r="G2348" i="15"/>
  <c r="I2347" i="15"/>
  <c r="H2347" i="15"/>
  <c r="G2347" i="15"/>
  <c r="J2347" i="15" s="1"/>
  <c r="I2346" i="15"/>
  <c r="H2346" i="15"/>
  <c r="G2346" i="15"/>
  <c r="J2346" i="15" s="1"/>
  <c r="H2345" i="15"/>
  <c r="G2345" i="15"/>
  <c r="J2345" i="15" s="1"/>
  <c r="H2344" i="15"/>
  <c r="G2344" i="15"/>
  <c r="I2343" i="15"/>
  <c r="H2343" i="15"/>
  <c r="G2343" i="15"/>
  <c r="J2343" i="15" s="1"/>
  <c r="H2342" i="15"/>
  <c r="G2342" i="15"/>
  <c r="I2342" i="15" s="1"/>
  <c r="H2341" i="15"/>
  <c r="G2341" i="15"/>
  <c r="J2340" i="15"/>
  <c r="I2340" i="15"/>
  <c r="H2340" i="15"/>
  <c r="G2340" i="15"/>
  <c r="I2339" i="15"/>
  <c r="H2339" i="15"/>
  <c r="G2339" i="15"/>
  <c r="J2339" i="15" s="1"/>
  <c r="J2338" i="15"/>
  <c r="I2338" i="15"/>
  <c r="H2338" i="15"/>
  <c r="G2338" i="15"/>
  <c r="H2337" i="15"/>
  <c r="G2337" i="15"/>
  <c r="I2336" i="15"/>
  <c r="H2336" i="15"/>
  <c r="G2336" i="15"/>
  <c r="J2336" i="15" s="1"/>
  <c r="H2335" i="15"/>
  <c r="G2335" i="15"/>
  <c r="H2334" i="15"/>
  <c r="G2334" i="15"/>
  <c r="J2334" i="15" s="1"/>
  <c r="I2333" i="15"/>
  <c r="H2333" i="15"/>
  <c r="G2333" i="15"/>
  <c r="J2333" i="15" s="1"/>
  <c r="J2332" i="15"/>
  <c r="I2332" i="15"/>
  <c r="H2332" i="15"/>
  <c r="G2332" i="15"/>
  <c r="I2331" i="15"/>
  <c r="H2331" i="15"/>
  <c r="G2331" i="15"/>
  <c r="J2331" i="15" s="1"/>
  <c r="H2330" i="15"/>
  <c r="G2330" i="15"/>
  <c r="H2329" i="15"/>
  <c r="G2329" i="15"/>
  <c r="J2329" i="15" s="1"/>
  <c r="H2328" i="15"/>
  <c r="G2328" i="15"/>
  <c r="H2327" i="15"/>
  <c r="G2327" i="15"/>
  <c r="J2326" i="15"/>
  <c r="H2326" i="15"/>
  <c r="G2326" i="15"/>
  <c r="I2326" i="15" s="1"/>
  <c r="I2325" i="15"/>
  <c r="H2325" i="15"/>
  <c r="G2325" i="15"/>
  <c r="J2325" i="15" s="1"/>
  <c r="J2324" i="15"/>
  <c r="I2324" i="15"/>
  <c r="H2324" i="15"/>
  <c r="G2324" i="15"/>
  <c r="I2323" i="15"/>
  <c r="H2323" i="15"/>
  <c r="G2323" i="15"/>
  <c r="J2323" i="15" s="1"/>
  <c r="J2322" i="15"/>
  <c r="I2322" i="15"/>
  <c r="H2322" i="15"/>
  <c r="G2322" i="15"/>
  <c r="H2321" i="15"/>
  <c r="G2321" i="15"/>
  <c r="J2320" i="15"/>
  <c r="H2320" i="15"/>
  <c r="G2320" i="15"/>
  <c r="I2320" i="15" s="1"/>
  <c r="H2319" i="15"/>
  <c r="G2319" i="15"/>
  <c r="I2318" i="15"/>
  <c r="H2318" i="15"/>
  <c r="G2318" i="15"/>
  <c r="J2318" i="15" s="1"/>
  <c r="I2317" i="15"/>
  <c r="H2317" i="15"/>
  <c r="G2317" i="15"/>
  <c r="J2317" i="15" s="1"/>
  <c r="H2316" i="15"/>
  <c r="G2316" i="15"/>
  <c r="I2315" i="15"/>
  <c r="H2315" i="15"/>
  <c r="G2315" i="15"/>
  <c r="J2315" i="15" s="1"/>
  <c r="I2314" i="15"/>
  <c r="H2314" i="15"/>
  <c r="G2314" i="15"/>
  <c r="J2314" i="15" s="1"/>
  <c r="I2313" i="15"/>
  <c r="H2313" i="15"/>
  <c r="G2313" i="15"/>
  <c r="J2313" i="15" s="1"/>
  <c r="H2312" i="15"/>
  <c r="G2312" i="15"/>
  <c r="I2311" i="15"/>
  <c r="H2311" i="15"/>
  <c r="G2311" i="15"/>
  <c r="J2311" i="15" s="1"/>
  <c r="J2310" i="15"/>
  <c r="H2310" i="15"/>
  <c r="G2310" i="15"/>
  <c r="I2310" i="15" s="1"/>
  <c r="H2309" i="15"/>
  <c r="G2309" i="15"/>
  <c r="J2308" i="15"/>
  <c r="I2308" i="15"/>
  <c r="H2308" i="15"/>
  <c r="G2308" i="15"/>
  <c r="H2307" i="15"/>
  <c r="G2307" i="15"/>
  <c r="J2306" i="15"/>
  <c r="I2306" i="15"/>
  <c r="H2306" i="15"/>
  <c r="G2306" i="15"/>
  <c r="H2305" i="15"/>
  <c r="G2305" i="15"/>
  <c r="I2304" i="15"/>
  <c r="H2304" i="15"/>
  <c r="G2304" i="15"/>
  <c r="J2304" i="15" s="1"/>
  <c r="H2303" i="15"/>
  <c r="G2303" i="15"/>
  <c r="H2302" i="15"/>
  <c r="G2302" i="15"/>
  <c r="I2301" i="15"/>
  <c r="H2301" i="15"/>
  <c r="G2301" i="15"/>
  <c r="J2301" i="15" s="1"/>
  <c r="J2300" i="15"/>
  <c r="I2300" i="15"/>
  <c r="H2300" i="15"/>
  <c r="G2300" i="15"/>
  <c r="I2299" i="15"/>
  <c r="H2299" i="15"/>
  <c r="G2299" i="15"/>
  <c r="J2299" i="15" s="1"/>
  <c r="H2298" i="15"/>
  <c r="G2298" i="15"/>
  <c r="H2297" i="15"/>
  <c r="G2297" i="15"/>
  <c r="H2296" i="15"/>
  <c r="G2296" i="15"/>
  <c r="H2295" i="15"/>
  <c r="G2295" i="15"/>
  <c r="H2294" i="15"/>
  <c r="G2294" i="15"/>
  <c r="I2293" i="15"/>
  <c r="H2293" i="15"/>
  <c r="G2293" i="15"/>
  <c r="J2293" i="15" s="1"/>
  <c r="J2292" i="15"/>
  <c r="I2292" i="15"/>
  <c r="H2292" i="15"/>
  <c r="G2292" i="15"/>
  <c r="I2291" i="15"/>
  <c r="H2291" i="15"/>
  <c r="G2291" i="15"/>
  <c r="J2291" i="15" s="1"/>
  <c r="J2290" i="15"/>
  <c r="I2290" i="15"/>
  <c r="H2290" i="15"/>
  <c r="G2290" i="15"/>
  <c r="H2289" i="15"/>
  <c r="G2289" i="15"/>
  <c r="H2288" i="15"/>
  <c r="G2288" i="15"/>
  <c r="H2287" i="15"/>
  <c r="G2287" i="15"/>
  <c r="H2286" i="15"/>
  <c r="G2286" i="15"/>
  <c r="J2286" i="15" s="1"/>
  <c r="I2285" i="15"/>
  <c r="H2285" i="15"/>
  <c r="G2285" i="15"/>
  <c r="J2285" i="15" s="1"/>
  <c r="H2284" i="15"/>
  <c r="G2284" i="15"/>
  <c r="I2283" i="15"/>
  <c r="H2283" i="15"/>
  <c r="G2283" i="15"/>
  <c r="J2283" i="15" s="1"/>
  <c r="I2282" i="15"/>
  <c r="H2282" i="15"/>
  <c r="G2282" i="15"/>
  <c r="J2282" i="15" s="1"/>
  <c r="I2281" i="15"/>
  <c r="H2281" i="15"/>
  <c r="G2281" i="15"/>
  <c r="J2281" i="15" s="1"/>
  <c r="H2280" i="15"/>
  <c r="G2280" i="15"/>
  <c r="I2279" i="15"/>
  <c r="H2279" i="15"/>
  <c r="G2279" i="15"/>
  <c r="J2279" i="15" s="1"/>
  <c r="J2278" i="15"/>
  <c r="H2278" i="15"/>
  <c r="G2278" i="15"/>
  <c r="I2278" i="15" s="1"/>
  <c r="H2277" i="15"/>
  <c r="G2277" i="15"/>
  <c r="J2276" i="15"/>
  <c r="I2276" i="15"/>
  <c r="H2276" i="15"/>
  <c r="G2276" i="15"/>
  <c r="H2275" i="15"/>
  <c r="G2275" i="15"/>
  <c r="J2275" i="15" s="1"/>
  <c r="J2274" i="15"/>
  <c r="I2274" i="15"/>
  <c r="H2274" i="15"/>
  <c r="G2274" i="15"/>
  <c r="H2273" i="15"/>
  <c r="G2273" i="15"/>
  <c r="I2272" i="15"/>
  <c r="H2272" i="15"/>
  <c r="G2272" i="15"/>
  <c r="J2272" i="15" s="1"/>
  <c r="H2271" i="15"/>
  <c r="G2271" i="15"/>
  <c r="J2270" i="15"/>
  <c r="I2270" i="15"/>
  <c r="H2270" i="15"/>
  <c r="G2270" i="15"/>
  <c r="I2269" i="15"/>
  <c r="H2269" i="15"/>
  <c r="G2269" i="15"/>
  <c r="J2269" i="15" s="1"/>
  <c r="J2268" i="15"/>
  <c r="I2268" i="15"/>
  <c r="H2268" i="15"/>
  <c r="G2268" i="15"/>
  <c r="I2267" i="15"/>
  <c r="H2267" i="15"/>
  <c r="G2267" i="15"/>
  <c r="J2267" i="15" s="1"/>
  <c r="H2266" i="15"/>
  <c r="G2266" i="15"/>
  <c r="I2265" i="15"/>
  <c r="H2265" i="15"/>
  <c r="G2265" i="15"/>
  <c r="J2265" i="15" s="1"/>
  <c r="H2264" i="15"/>
  <c r="G2264" i="15"/>
  <c r="H2263" i="15"/>
  <c r="G2263" i="15"/>
  <c r="H2262" i="15"/>
  <c r="G2262" i="15"/>
  <c r="I2261" i="15"/>
  <c r="H2261" i="15"/>
  <c r="G2261" i="15"/>
  <c r="J2261" i="15" s="1"/>
  <c r="J2260" i="15"/>
  <c r="I2260" i="15"/>
  <c r="H2260" i="15"/>
  <c r="G2260" i="15"/>
  <c r="I2259" i="15"/>
  <c r="H2259" i="15"/>
  <c r="G2259" i="15"/>
  <c r="J2259" i="15" s="1"/>
  <c r="J2258" i="15"/>
  <c r="I2258" i="15"/>
  <c r="H2258" i="15"/>
  <c r="G2258" i="15"/>
  <c r="H2257" i="15"/>
  <c r="G2257" i="15"/>
  <c r="H2256" i="15"/>
  <c r="G2256" i="15"/>
  <c r="I2256" i="15" s="1"/>
  <c r="H2255" i="15"/>
  <c r="G2255" i="15"/>
  <c r="I2254" i="15"/>
  <c r="H2254" i="15"/>
  <c r="G2254" i="15"/>
  <c r="J2254" i="15" s="1"/>
  <c r="I2253" i="15"/>
  <c r="H2253" i="15"/>
  <c r="G2253" i="15"/>
  <c r="J2253" i="15" s="1"/>
  <c r="H2252" i="15"/>
  <c r="G2252" i="15"/>
  <c r="I2252" i="15" s="1"/>
  <c r="I2251" i="15"/>
  <c r="H2251" i="15"/>
  <c r="G2251" i="15"/>
  <c r="J2251" i="15" s="1"/>
  <c r="I2250" i="15"/>
  <c r="H2250" i="15"/>
  <c r="G2250" i="15"/>
  <c r="J2250" i="15" s="1"/>
  <c r="I2249" i="15"/>
  <c r="H2249" i="15"/>
  <c r="G2249" i="15"/>
  <c r="J2249" i="15" s="1"/>
  <c r="H2248" i="15"/>
  <c r="G2248" i="15"/>
  <c r="I2247" i="15"/>
  <c r="H2247" i="15"/>
  <c r="G2247" i="15"/>
  <c r="J2247" i="15" s="1"/>
  <c r="J2246" i="15"/>
  <c r="H2246" i="15"/>
  <c r="G2246" i="15"/>
  <c r="I2246" i="15" s="1"/>
  <c r="H2245" i="15"/>
  <c r="G2245" i="15"/>
  <c r="J2244" i="15"/>
  <c r="I2244" i="15"/>
  <c r="H2244" i="15"/>
  <c r="G2244" i="15"/>
  <c r="H2243" i="15"/>
  <c r="G2243" i="15"/>
  <c r="J2242" i="15"/>
  <c r="I2242" i="15"/>
  <c r="H2242" i="15"/>
  <c r="G2242" i="15"/>
  <c r="H2241" i="15"/>
  <c r="G2241" i="15"/>
  <c r="H2240" i="15"/>
  <c r="G2240" i="15"/>
  <c r="H2239" i="15"/>
  <c r="G2239" i="15"/>
  <c r="J2238" i="15"/>
  <c r="H2238" i="15"/>
  <c r="G2238" i="15"/>
  <c r="I2238" i="15" s="1"/>
  <c r="I2237" i="15"/>
  <c r="H2237" i="15"/>
  <c r="G2237" i="15"/>
  <c r="J2237" i="15" s="1"/>
  <c r="J2236" i="15"/>
  <c r="I2236" i="15"/>
  <c r="H2236" i="15"/>
  <c r="G2236" i="15"/>
  <c r="I2235" i="15"/>
  <c r="H2235" i="15"/>
  <c r="G2235" i="15"/>
  <c r="J2235" i="15" s="1"/>
  <c r="H2234" i="15"/>
  <c r="G2234" i="15"/>
  <c r="H2233" i="15"/>
  <c r="G2233" i="15"/>
  <c r="H2232" i="15"/>
  <c r="G2232" i="15"/>
  <c r="H2231" i="15"/>
  <c r="G2231" i="15"/>
  <c r="H2230" i="15"/>
  <c r="G2230" i="15"/>
  <c r="I2229" i="15"/>
  <c r="H2229" i="15"/>
  <c r="G2229" i="15"/>
  <c r="J2229" i="15" s="1"/>
  <c r="J2228" i="15"/>
  <c r="I2228" i="15"/>
  <c r="H2228" i="15"/>
  <c r="G2228" i="15"/>
  <c r="H2227" i="15"/>
  <c r="G2227" i="15"/>
  <c r="J2227" i="15" s="1"/>
  <c r="J2226" i="15"/>
  <c r="I2226" i="15"/>
  <c r="H2226" i="15"/>
  <c r="G2226" i="15"/>
  <c r="H2225" i="15"/>
  <c r="G2225" i="15"/>
  <c r="I2224" i="15"/>
  <c r="H2224" i="15"/>
  <c r="G2224" i="15"/>
  <c r="J2224" i="15" s="1"/>
  <c r="H2223" i="15"/>
  <c r="G2223" i="15"/>
  <c r="I2222" i="15"/>
  <c r="H2222" i="15"/>
  <c r="G2222" i="15"/>
  <c r="J2222" i="15" s="1"/>
  <c r="I2221" i="15"/>
  <c r="H2221" i="15"/>
  <c r="G2221" i="15"/>
  <c r="J2221" i="15" s="1"/>
  <c r="H2220" i="15"/>
  <c r="G2220" i="15"/>
  <c r="I2219" i="15"/>
  <c r="H2219" i="15"/>
  <c r="G2219" i="15"/>
  <c r="J2219" i="15" s="1"/>
  <c r="I2218" i="15"/>
  <c r="H2218" i="15"/>
  <c r="G2218" i="15"/>
  <c r="J2218" i="15" s="1"/>
  <c r="H2217" i="15"/>
  <c r="G2217" i="15"/>
  <c r="H2216" i="15"/>
  <c r="G2216" i="15"/>
  <c r="I2215" i="15"/>
  <c r="H2215" i="15"/>
  <c r="G2215" i="15"/>
  <c r="J2215" i="15" s="1"/>
  <c r="H2214" i="15"/>
  <c r="G2214" i="15"/>
  <c r="H2213" i="15"/>
  <c r="G2213" i="15"/>
  <c r="J2212" i="15"/>
  <c r="I2212" i="15"/>
  <c r="H2212" i="15"/>
  <c r="G2212" i="15"/>
  <c r="I2211" i="15"/>
  <c r="H2211" i="15"/>
  <c r="G2211" i="15"/>
  <c r="J2211" i="15" s="1"/>
  <c r="J2210" i="15"/>
  <c r="I2210" i="15"/>
  <c r="H2210" i="15"/>
  <c r="G2210" i="15"/>
  <c r="H2209" i="15"/>
  <c r="G2209" i="15"/>
  <c r="I2208" i="15"/>
  <c r="H2208" i="15"/>
  <c r="G2208" i="15"/>
  <c r="J2208" i="15" s="1"/>
  <c r="H2207" i="15"/>
  <c r="G2207" i="15"/>
  <c r="H2206" i="15"/>
  <c r="G2206" i="15"/>
  <c r="I2205" i="15"/>
  <c r="H2205" i="15"/>
  <c r="G2205" i="15"/>
  <c r="J2205" i="15" s="1"/>
  <c r="J2204" i="15"/>
  <c r="I2204" i="15"/>
  <c r="H2204" i="15"/>
  <c r="G2204" i="15"/>
  <c r="I2203" i="15"/>
  <c r="H2203" i="15"/>
  <c r="G2203" i="15"/>
  <c r="J2203" i="15" s="1"/>
  <c r="H2202" i="15"/>
  <c r="G2202" i="15"/>
  <c r="H2201" i="15"/>
  <c r="G2201" i="15"/>
  <c r="H2200" i="15"/>
  <c r="G2200" i="15"/>
  <c r="H2199" i="15"/>
  <c r="G2199" i="15"/>
  <c r="H2198" i="15"/>
  <c r="G2198" i="15"/>
  <c r="I2198" i="15" s="1"/>
  <c r="I2197" i="15"/>
  <c r="H2197" i="15"/>
  <c r="G2197" i="15"/>
  <c r="J2197" i="15" s="1"/>
  <c r="J2196" i="15"/>
  <c r="I2196" i="15"/>
  <c r="H2196" i="15"/>
  <c r="G2196" i="15"/>
  <c r="I2195" i="15"/>
  <c r="H2195" i="15"/>
  <c r="G2195" i="15"/>
  <c r="J2195" i="15" s="1"/>
  <c r="J2194" i="15"/>
  <c r="I2194" i="15"/>
  <c r="H2194" i="15"/>
  <c r="G2194" i="15"/>
  <c r="H2193" i="15"/>
  <c r="G2193" i="15"/>
  <c r="J2192" i="15"/>
  <c r="H2192" i="15"/>
  <c r="G2192" i="15"/>
  <c r="I2192" i="15" s="1"/>
  <c r="H2191" i="15"/>
  <c r="G2191" i="15"/>
  <c r="I2190" i="15"/>
  <c r="H2190" i="15"/>
  <c r="G2190" i="15"/>
  <c r="J2190" i="15" s="1"/>
  <c r="I2189" i="15"/>
  <c r="H2189" i="15"/>
  <c r="G2189" i="15"/>
  <c r="J2189" i="15" s="1"/>
  <c r="H2188" i="15"/>
  <c r="G2188" i="15"/>
  <c r="I2188" i="15" s="1"/>
  <c r="I2187" i="15"/>
  <c r="H2187" i="15"/>
  <c r="G2187" i="15"/>
  <c r="J2187" i="15" s="1"/>
  <c r="I2186" i="15"/>
  <c r="H2186" i="15"/>
  <c r="G2186" i="15"/>
  <c r="J2186" i="15" s="1"/>
  <c r="I2185" i="15"/>
  <c r="H2185" i="15"/>
  <c r="G2185" i="15"/>
  <c r="J2185" i="15" s="1"/>
  <c r="H2184" i="15"/>
  <c r="G2184" i="15"/>
  <c r="I2183" i="15"/>
  <c r="H2183" i="15"/>
  <c r="G2183" i="15"/>
  <c r="J2183" i="15" s="1"/>
  <c r="J2182" i="15"/>
  <c r="H2182" i="15"/>
  <c r="G2182" i="15"/>
  <c r="I2182" i="15" s="1"/>
  <c r="H2181" i="15"/>
  <c r="G2181" i="15"/>
  <c r="J2180" i="15"/>
  <c r="I2180" i="15"/>
  <c r="H2180" i="15"/>
  <c r="G2180" i="15"/>
  <c r="H2179" i="15"/>
  <c r="G2179" i="15"/>
  <c r="J2178" i="15"/>
  <c r="I2178" i="15"/>
  <c r="H2178" i="15"/>
  <c r="G2178" i="15"/>
  <c r="H2177" i="15"/>
  <c r="G2177" i="15"/>
  <c r="H2176" i="15"/>
  <c r="G2176" i="15"/>
  <c r="J2176" i="15" s="1"/>
  <c r="H2175" i="15"/>
  <c r="G2175" i="15"/>
  <c r="H2174" i="15"/>
  <c r="G2174" i="15"/>
  <c r="I2174" i="15" s="1"/>
  <c r="I2173" i="15"/>
  <c r="H2173" i="15"/>
  <c r="G2173" i="15"/>
  <c r="J2173" i="15" s="1"/>
  <c r="J2172" i="15"/>
  <c r="I2172" i="15"/>
  <c r="H2172" i="15"/>
  <c r="G2172" i="15"/>
  <c r="I2171" i="15"/>
  <c r="H2171" i="15"/>
  <c r="G2171" i="15"/>
  <c r="J2171" i="15" s="1"/>
  <c r="H2170" i="15"/>
  <c r="G2170" i="15"/>
  <c r="H2169" i="15"/>
  <c r="G2169" i="15"/>
  <c r="H2168" i="15"/>
  <c r="G2168" i="15"/>
  <c r="H2167" i="15"/>
  <c r="G2167" i="15"/>
  <c r="H2166" i="15"/>
  <c r="G2166" i="15"/>
  <c r="I2165" i="15"/>
  <c r="H2165" i="15"/>
  <c r="G2165" i="15"/>
  <c r="J2165" i="15" s="1"/>
  <c r="J2164" i="15"/>
  <c r="I2164" i="15"/>
  <c r="H2164" i="15"/>
  <c r="G2164" i="15"/>
  <c r="I2163" i="15"/>
  <c r="H2163" i="15"/>
  <c r="G2163" i="15"/>
  <c r="J2163" i="15" s="1"/>
  <c r="J2162" i="15"/>
  <c r="I2162" i="15"/>
  <c r="H2162" i="15"/>
  <c r="G2162" i="15"/>
  <c r="H2161" i="15"/>
  <c r="G2161" i="15"/>
  <c r="J2160" i="15"/>
  <c r="H2160" i="15"/>
  <c r="G2160" i="15"/>
  <c r="I2160" i="15" s="1"/>
  <c r="H2159" i="15"/>
  <c r="G2159" i="15"/>
  <c r="H2158" i="15"/>
  <c r="G2158" i="15"/>
  <c r="I2157" i="15"/>
  <c r="H2157" i="15"/>
  <c r="G2157" i="15"/>
  <c r="J2157" i="15" s="1"/>
  <c r="H2156" i="15"/>
  <c r="G2156" i="15"/>
  <c r="I2155" i="15"/>
  <c r="H2155" i="15"/>
  <c r="G2155" i="15"/>
  <c r="J2155" i="15" s="1"/>
  <c r="I2154" i="15"/>
  <c r="H2154" i="15"/>
  <c r="G2154" i="15"/>
  <c r="J2154" i="15" s="1"/>
  <c r="H2153" i="15"/>
  <c r="G2153" i="15"/>
  <c r="J2153" i="15" s="1"/>
  <c r="H2152" i="15"/>
  <c r="G2152" i="15"/>
  <c r="I2151" i="15"/>
  <c r="H2151" i="15"/>
  <c r="G2151" i="15"/>
  <c r="J2151" i="15" s="1"/>
  <c r="H2150" i="15"/>
  <c r="G2150" i="15"/>
  <c r="I2150" i="15" s="1"/>
  <c r="H2149" i="15"/>
  <c r="G2149" i="15"/>
  <c r="J2148" i="15"/>
  <c r="I2148" i="15"/>
  <c r="H2148" i="15"/>
  <c r="G2148" i="15"/>
  <c r="H2147" i="15"/>
  <c r="G2147" i="15"/>
  <c r="J2146" i="15"/>
  <c r="I2146" i="15"/>
  <c r="H2146" i="15"/>
  <c r="G2146" i="15"/>
  <c r="H2145" i="15"/>
  <c r="G2145" i="15"/>
  <c r="I2144" i="15"/>
  <c r="H2144" i="15"/>
  <c r="G2144" i="15"/>
  <c r="J2144" i="15" s="1"/>
  <c r="H2143" i="15"/>
  <c r="G2143" i="15"/>
  <c r="H2142" i="15"/>
  <c r="G2142" i="15"/>
  <c r="J2142" i="15" s="1"/>
  <c r="I2141" i="15"/>
  <c r="H2141" i="15"/>
  <c r="G2141" i="15"/>
  <c r="J2141" i="15" s="1"/>
  <c r="J2140" i="15"/>
  <c r="I2140" i="15"/>
  <c r="H2140" i="15"/>
  <c r="G2140" i="15"/>
  <c r="I2139" i="15"/>
  <c r="H2139" i="15"/>
  <c r="G2139" i="15"/>
  <c r="J2139" i="15" s="1"/>
  <c r="H2138" i="15"/>
  <c r="G2138" i="15"/>
  <c r="I2137" i="15"/>
  <c r="H2137" i="15"/>
  <c r="G2137" i="15"/>
  <c r="J2137" i="15" s="1"/>
  <c r="H2136" i="15"/>
  <c r="G2136" i="15"/>
  <c r="H2135" i="15"/>
  <c r="G2135" i="15"/>
  <c r="H2134" i="15"/>
  <c r="G2134" i="15"/>
  <c r="I2134" i="15" s="1"/>
  <c r="I2133" i="15"/>
  <c r="H2133" i="15"/>
  <c r="G2133" i="15"/>
  <c r="J2133" i="15" s="1"/>
  <c r="J2132" i="15"/>
  <c r="I2132" i="15"/>
  <c r="H2132" i="15"/>
  <c r="G2132" i="15"/>
  <c r="I2131" i="15"/>
  <c r="H2131" i="15"/>
  <c r="G2131" i="15"/>
  <c r="J2131" i="15" s="1"/>
  <c r="J2130" i="15"/>
  <c r="I2130" i="15"/>
  <c r="H2130" i="15"/>
  <c r="G2130" i="15"/>
  <c r="H2129" i="15"/>
  <c r="G2129" i="15"/>
  <c r="H2128" i="15"/>
  <c r="G2128" i="15"/>
  <c r="H2127" i="15"/>
  <c r="G2127" i="15"/>
  <c r="I2126" i="15"/>
  <c r="H2126" i="15"/>
  <c r="G2126" i="15"/>
  <c r="J2126" i="15" s="1"/>
  <c r="I2125" i="15"/>
  <c r="H2125" i="15"/>
  <c r="G2125" i="15"/>
  <c r="J2125" i="15" s="1"/>
  <c r="J2124" i="15"/>
  <c r="H2124" i="15"/>
  <c r="G2124" i="15"/>
  <c r="I2124" i="15" s="1"/>
  <c r="I2123" i="15"/>
  <c r="H2123" i="15"/>
  <c r="G2123" i="15"/>
  <c r="J2123" i="15" s="1"/>
  <c r="I2122" i="15"/>
  <c r="H2122" i="15"/>
  <c r="G2122" i="15"/>
  <c r="J2122" i="15" s="1"/>
  <c r="I2121" i="15"/>
  <c r="H2121" i="15"/>
  <c r="G2121" i="15"/>
  <c r="J2121" i="15" s="1"/>
  <c r="H2120" i="15"/>
  <c r="G2120" i="15"/>
  <c r="I2119" i="15"/>
  <c r="H2119" i="15"/>
  <c r="G2119" i="15"/>
  <c r="J2119" i="15" s="1"/>
  <c r="J2118" i="15"/>
  <c r="H2118" i="15"/>
  <c r="G2118" i="15"/>
  <c r="I2118" i="15" s="1"/>
  <c r="H2117" i="15"/>
  <c r="G2117" i="15"/>
  <c r="J2116" i="15"/>
  <c r="I2116" i="15"/>
  <c r="H2116" i="15"/>
  <c r="G2116" i="15"/>
  <c r="H2115" i="15"/>
  <c r="G2115" i="15"/>
  <c r="J2114" i="15"/>
  <c r="I2114" i="15"/>
  <c r="H2114" i="15"/>
  <c r="G2114" i="15"/>
  <c r="H2113" i="15"/>
  <c r="G2113" i="15"/>
  <c r="H2112" i="15"/>
  <c r="G2112" i="15"/>
  <c r="J2112" i="15" s="1"/>
  <c r="H2111" i="15"/>
  <c r="G2111" i="15"/>
  <c r="J2110" i="15"/>
  <c r="H2110" i="15"/>
  <c r="G2110" i="15"/>
  <c r="I2110" i="15" s="1"/>
  <c r="I2109" i="15"/>
  <c r="H2109" i="15"/>
  <c r="G2109" i="15"/>
  <c r="J2109" i="15" s="1"/>
  <c r="J2108" i="15"/>
  <c r="I2108" i="15"/>
  <c r="H2108" i="15"/>
  <c r="G2108" i="15"/>
  <c r="I2107" i="15"/>
  <c r="H2107" i="15"/>
  <c r="G2107" i="15"/>
  <c r="J2107" i="15" s="1"/>
  <c r="H2106" i="15"/>
  <c r="G2106" i="15"/>
  <c r="H2105" i="15"/>
  <c r="G2105" i="15"/>
  <c r="H2104" i="15"/>
  <c r="G2104" i="15"/>
  <c r="H2103" i="15"/>
  <c r="G2103" i="15"/>
  <c r="H2102" i="15"/>
  <c r="G2102" i="15"/>
  <c r="I2101" i="15"/>
  <c r="H2101" i="15"/>
  <c r="G2101" i="15"/>
  <c r="J2101" i="15" s="1"/>
  <c r="J2100" i="15"/>
  <c r="I2100" i="15"/>
  <c r="H2100" i="15"/>
  <c r="G2100" i="15"/>
  <c r="H2099" i="15"/>
  <c r="G2099" i="15"/>
  <c r="J2098" i="15"/>
  <c r="I2098" i="15"/>
  <c r="H2098" i="15"/>
  <c r="G2098" i="15"/>
  <c r="H2097" i="15"/>
  <c r="G2097" i="15"/>
  <c r="J2096" i="15"/>
  <c r="I2096" i="15"/>
  <c r="H2096" i="15"/>
  <c r="G2096" i="15"/>
  <c r="H2095" i="15"/>
  <c r="G2095" i="15"/>
  <c r="H2094" i="15"/>
  <c r="G2094" i="15"/>
  <c r="J2094" i="15" s="1"/>
  <c r="I2093" i="15"/>
  <c r="H2093" i="15"/>
  <c r="G2093" i="15"/>
  <c r="J2093" i="15" s="1"/>
  <c r="H2092" i="15"/>
  <c r="G2092" i="15"/>
  <c r="I2091" i="15"/>
  <c r="H2091" i="15"/>
  <c r="G2091" i="15"/>
  <c r="J2091" i="15" s="1"/>
  <c r="I2090" i="15"/>
  <c r="H2090" i="15"/>
  <c r="G2090" i="15"/>
  <c r="J2090" i="15" s="1"/>
  <c r="H2089" i="15"/>
  <c r="G2089" i="15"/>
  <c r="J2089" i="15" s="1"/>
  <c r="H2088" i="15"/>
  <c r="G2088" i="15"/>
  <c r="I2087" i="15"/>
  <c r="H2087" i="15"/>
  <c r="G2087" i="15"/>
  <c r="J2087" i="15" s="1"/>
  <c r="H2086" i="15"/>
  <c r="G2086" i="15"/>
  <c r="I2086" i="15" s="1"/>
  <c r="H2085" i="15"/>
  <c r="G2085" i="15"/>
  <c r="J2084" i="15"/>
  <c r="I2084" i="15"/>
  <c r="H2084" i="15"/>
  <c r="G2084" i="15"/>
  <c r="I2083" i="15"/>
  <c r="H2083" i="15"/>
  <c r="G2083" i="15"/>
  <c r="J2083" i="15" s="1"/>
  <c r="J2082" i="15"/>
  <c r="I2082" i="15"/>
  <c r="H2082" i="15"/>
  <c r="G2082" i="15"/>
  <c r="H2081" i="15"/>
  <c r="G2081" i="15"/>
  <c r="I2080" i="15"/>
  <c r="H2080" i="15"/>
  <c r="G2080" i="15"/>
  <c r="J2080" i="15" s="1"/>
  <c r="H2079" i="15"/>
  <c r="G2079" i="15"/>
  <c r="H2078" i="15"/>
  <c r="G2078" i="15"/>
  <c r="J2078" i="15" s="1"/>
  <c r="I2077" i="15"/>
  <c r="H2077" i="15"/>
  <c r="G2077" i="15"/>
  <c r="J2077" i="15" s="1"/>
  <c r="J2076" i="15"/>
  <c r="I2076" i="15"/>
  <c r="H2076" i="15"/>
  <c r="G2076" i="15"/>
  <c r="I2075" i="15"/>
  <c r="H2075" i="15"/>
  <c r="G2075" i="15"/>
  <c r="J2075" i="15" s="1"/>
  <c r="H2074" i="15"/>
  <c r="G2074" i="15"/>
  <c r="H2073" i="15"/>
  <c r="G2073" i="15"/>
  <c r="J2073" i="15" s="1"/>
  <c r="H2072" i="15"/>
  <c r="G2072" i="15"/>
  <c r="H2071" i="15"/>
  <c r="G2071" i="15"/>
  <c r="J2070" i="15"/>
  <c r="H2070" i="15"/>
  <c r="G2070" i="15"/>
  <c r="I2070" i="15" s="1"/>
  <c r="I2069" i="15"/>
  <c r="H2069" i="15"/>
  <c r="G2069" i="15"/>
  <c r="J2069" i="15" s="1"/>
  <c r="J2068" i="15"/>
  <c r="I2068" i="15"/>
  <c r="H2068" i="15"/>
  <c r="G2068" i="15"/>
  <c r="I2067" i="15"/>
  <c r="H2067" i="15"/>
  <c r="G2067" i="15"/>
  <c r="J2067" i="15" s="1"/>
  <c r="J2066" i="15"/>
  <c r="I2066" i="15"/>
  <c r="H2066" i="15"/>
  <c r="G2066" i="15"/>
  <c r="H2065" i="15"/>
  <c r="G2065" i="15"/>
  <c r="J2064" i="15"/>
  <c r="H2064" i="15"/>
  <c r="G2064" i="15"/>
  <c r="I2064" i="15" s="1"/>
  <c r="H2063" i="15"/>
  <c r="G2063" i="15"/>
  <c r="I2062" i="15"/>
  <c r="H2062" i="15"/>
  <c r="G2062" i="15"/>
  <c r="J2062" i="15" s="1"/>
  <c r="I2061" i="15"/>
  <c r="H2061" i="15"/>
  <c r="G2061" i="15"/>
  <c r="J2061" i="15" s="1"/>
  <c r="H2060" i="15"/>
  <c r="G2060" i="15"/>
  <c r="I2059" i="15"/>
  <c r="H2059" i="15"/>
  <c r="G2059" i="15"/>
  <c r="J2059" i="15" s="1"/>
  <c r="I2058" i="15"/>
  <c r="H2058" i="15"/>
  <c r="G2058" i="15"/>
  <c r="J2058" i="15" s="1"/>
  <c r="I2057" i="15"/>
  <c r="H2057" i="15"/>
  <c r="G2057" i="15"/>
  <c r="J2057" i="15" s="1"/>
  <c r="H2056" i="15"/>
  <c r="G2056" i="15"/>
  <c r="I2055" i="15"/>
  <c r="H2055" i="15"/>
  <c r="G2055" i="15"/>
  <c r="J2055" i="15" s="1"/>
  <c r="J2054" i="15"/>
  <c r="H2054" i="15"/>
  <c r="G2054" i="15"/>
  <c r="I2054" i="15" s="1"/>
  <c r="H2053" i="15"/>
  <c r="G2053" i="15"/>
  <c r="J2052" i="15"/>
  <c r="I2052" i="15"/>
  <c r="H2052" i="15"/>
  <c r="G2052" i="15"/>
  <c r="H2051" i="15"/>
  <c r="G2051" i="15"/>
  <c r="J2050" i="15"/>
  <c r="I2050" i="15"/>
  <c r="H2050" i="15"/>
  <c r="G2050" i="15"/>
  <c r="H2049" i="15"/>
  <c r="G2049" i="15"/>
  <c r="I2048" i="15"/>
  <c r="H2048" i="15"/>
  <c r="G2048" i="15"/>
  <c r="J2048" i="15" s="1"/>
  <c r="H2047" i="15"/>
  <c r="G2047" i="15"/>
  <c r="H2046" i="15"/>
  <c r="G2046" i="15"/>
  <c r="I2045" i="15"/>
  <c r="H2045" i="15"/>
  <c r="G2045" i="15"/>
  <c r="J2045" i="15" s="1"/>
  <c r="J2044" i="15"/>
  <c r="I2044" i="15"/>
  <c r="H2044" i="15"/>
  <c r="G2044" i="15"/>
  <c r="I2043" i="15"/>
  <c r="H2043" i="15"/>
  <c r="G2043" i="15"/>
  <c r="J2043" i="15" s="1"/>
  <c r="H2042" i="15"/>
  <c r="G2042" i="15"/>
  <c r="H2041" i="15"/>
  <c r="G2041" i="15"/>
  <c r="H2040" i="15"/>
  <c r="G2040" i="15"/>
  <c r="H2039" i="15"/>
  <c r="G2039" i="15"/>
  <c r="H2038" i="15"/>
  <c r="G2038" i="15"/>
  <c r="I2037" i="15"/>
  <c r="H2037" i="15"/>
  <c r="G2037" i="15"/>
  <c r="J2037" i="15" s="1"/>
  <c r="J2036" i="15"/>
  <c r="I2036" i="15"/>
  <c r="H2036" i="15"/>
  <c r="G2036" i="15"/>
  <c r="I2035" i="15"/>
  <c r="H2035" i="15"/>
  <c r="G2035" i="15"/>
  <c r="J2035" i="15" s="1"/>
  <c r="J2034" i="15"/>
  <c r="I2034" i="15"/>
  <c r="H2034" i="15"/>
  <c r="G2034" i="15"/>
  <c r="H2033" i="15"/>
  <c r="G2033" i="15"/>
  <c r="H2032" i="15"/>
  <c r="G2032" i="15"/>
  <c r="H2031" i="15"/>
  <c r="G2031" i="15"/>
  <c r="H2030" i="15"/>
  <c r="G2030" i="15"/>
  <c r="J2030" i="15" s="1"/>
  <c r="I2029" i="15"/>
  <c r="H2029" i="15"/>
  <c r="G2029" i="15"/>
  <c r="J2029" i="15" s="1"/>
  <c r="H2028" i="15"/>
  <c r="G2028" i="15"/>
  <c r="I2027" i="15"/>
  <c r="H2027" i="15"/>
  <c r="G2027" i="15"/>
  <c r="J2027" i="15" s="1"/>
  <c r="I2026" i="15"/>
  <c r="H2026" i="15"/>
  <c r="G2026" i="15"/>
  <c r="J2026" i="15" s="1"/>
  <c r="I2025" i="15"/>
  <c r="H2025" i="15"/>
  <c r="G2025" i="15"/>
  <c r="J2025" i="15" s="1"/>
  <c r="H2024" i="15"/>
  <c r="G2024" i="15"/>
  <c r="I2023" i="15"/>
  <c r="H2023" i="15"/>
  <c r="G2023" i="15"/>
  <c r="J2023" i="15" s="1"/>
  <c r="J2022" i="15"/>
  <c r="H2022" i="15"/>
  <c r="G2022" i="15"/>
  <c r="I2022" i="15" s="1"/>
  <c r="H2021" i="15"/>
  <c r="G2021" i="15"/>
  <c r="J2020" i="15"/>
  <c r="I2020" i="15"/>
  <c r="H2020" i="15"/>
  <c r="G2020" i="15"/>
  <c r="H2019" i="15"/>
  <c r="G2019" i="15"/>
  <c r="J2019" i="15" s="1"/>
  <c r="J2018" i="15"/>
  <c r="I2018" i="15"/>
  <c r="H2018" i="15"/>
  <c r="G2018" i="15"/>
  <c r="H2017" i="15"/>
  <c r="G2017" i="15"/>
  <c r="I2016" i="15"/>
  <c r="H2016" i="15"/>
  <c r="G2016" i="15"/>
  <c r="J2016" i="15" s="1"/>
  <c r="H2015" i="15"/>
  <c r="G2015" i="15"/>
  <c r="J2014" i="15"/>
  <c r="I2014" i="15"/>
  <c r="H2014" i="15"/>
  <c r="G2014" i="15"/>
  <c r="I2013" i="15"/>
  <c r="H2013" i="15"/>
  <c r="G2013" i="15"/>
  <c r="J2013" i="15" s="1"/>
  <c r="J2012" i="15"/>
  <c r="I2012" i="15"/>
  <c r="H2012" i="15"/>
  <c r="G2012" i="15"/>
  <c r="I2011" i="15"/>
  <c r="H2011" i="15"/>
  <c r="G2011" i="15"/>
  <c r="J2011" i="15" s="1"/>
  <c r="H2010" i="15"/>
  <c r="G2010" i="15"/>
  <c r="I2009" i="15"/>
  <c r="H2009" i="15"/>
  <c r="G2009" i="15"/>
  <c r="J2009" i="15" s="1"/>
  <c r="H2008" i="15"/>
  <c r="G2008" i="15"/>
  <c r="H2007" i="15"/>
  <c r="G2007" i="15"/>
  <c r="H2006" i="15"/>
  <c r="G2006" i="15"/>
  <c r="I2005" i="15"/>
  <c r="H2005" i="15"/>
  <c r="G2005" i="15"/>
  <c r="J2005" i="15" s="1"/>
  <c r="J2004" i="15"/>
  <c r="I2004" i="15"/>
  <c r="H2004" i="15"/>
  <c r="G2004" i="15"/>
  <c r="I2003" i="15"/>
  <c r="H2003" i="15"/>
  <c r="G2003" i="15"/>
  <c r="J2003" i="15" s="1"/>
  <c r="J2002" i="15"/>
  <c r="I2002" i="15"/>
  <c r="H2002" i="15"/>
  <c r="G2002" i="15"/>
  <c r="H2001" i="15"/>
  <c r="G2001" i="15"/>
  <c r="H2000" i="15"/>
  <c r="G2000" i="15"/>
  <c r="I2000" i="15" s="1"/>
  <c r="H1999" i="15"/>
  <c r="G1999" i="15"/>
  <c r="I1998" i="15"/>
  <c r="H1998" i="15"/>
  <c r="G1998" i="15"/>
  <c r="J1998" i="15" s="1"/>
  <c r="I1997" i="15"/>
  <c r="H1997" i="15"/>
  <c r="G1997" i="15"/>
  <c r="J1997" i="15" s="1"/>
  <c r="H1996" i="15"/>
  <c r="G1996" i="15"/>
  <c r="I1996" i="15" s="1"/>
  <c r="I1995" i="15"/>
  <c r="H1995" i="15"/>
  <c r="G1995" i="15"/>
  <c r="J1995" i="15" s="1"/>
  <c r="I1994" i="15"/>
  <c r="H1994" i="15"/>
  <c r="G1994" i="15"/>
  <c r="J1994" i="15" s="1"/>
  <c r="I1993" i="15"/>
  <c r="H1993" i="15"/>
  <c r="G1993" i="15"/>
  <c r="J1993" i="15" s="1"/>
  <c r="H1992" i="15"/>
  <c r="G1992" i="15"/>
  <c r="I1991" i="15"/>
  <c r="H1991" i="15"/>
  <c r="G1991" i="15"/>
  <c r="J1991" i="15" s="1"/>
  <c r="J1990" i="15"/>
  <c r="H1990" i="15"/>
  <c r="G1990" i="15"/>
  <c r="I1990" i="15" s="1"/>
  <c r="H1989" i="15"/>
  <c r="G1989" i="15"/>
  <c r="J1988" i="15"/>
  <c r="I1988" i="15"/>
  <c r="H1988" i="15"/>
  <c r="G1988" i="15"/>
  <c r="H1987" i="15"/>
  <c r="G1987" i="15"/>
  <c r="J1986" i="15"/>
  <c r="I1986" i="15"/>
  <c r="H1986" i="15"/>
  <c r="G1986" i="15"/>
  <c r="H1985" i="15"/>
  <c r="G1985" i="15"/>
  <c r="H1984" i="15"/>
  <c r="G1984" i="15"/>
  <c r="H1983" i="15"/>
  <c r="G1983" i="15"/>
  <c r="J1982" i="15"/>
  <c r="H1982" i="15"/>
  <c r="G1982" i="15"/>
  <c r="I1982" i="15" s="1"/>
  <c r="I1981" i="15"/>
  <c r="H1981" i="15"/>
  <c r="G1981" i="15"/>
  <c r="J1981" i="15" s="1"/>
  <c r="J1980" i="15"/>
  <c r="I1980" i="15"/>
  <c r="H1980" i="15"/>
  <c r="G1980" i="15"/>
  <c r="I1979" i="15"/>
  <c r="H1979" i="15"/>
  <c r="G1979" i="15"/>
  <c r="J1979" i="15" s="1"/>
  <c r="H1978" i="15"/>
  <c r="G1978" i="15"/>
  <c r="H1977" i="15"/>
  <c r="G1977" i="15"/>
  <c r="H1976" i="15"/>
  <c r="G1976" i="15"/>
  <c r="H1975" i="15"/>
  <c r="G1975" i="15"/>
  <c r="H1974" i="15"/>
  <c r="G1974" i="15"/>
  <c r="I1973" i="15"/>
  <c r="H1973" i="15"/>
  <c r="G1973" i="15"/>
  <c r="J1973" i="15" s="1"/>
  <c r="J1972" i="15"/>
  <c r="I1972" i="15"/>
  <c r="H1972" i="15"/>
  <c r="G1972" i="15"/>
  <c r="H1971" i="15"/>
  <c r="G1971" i="15"/>
  <c r="J1971" i="15" s="1"/>
  <c r="J1970" i="15"/>
  <c r="I1970" i="15"/>
  <c r="H1970" i="15"/>
  <c r="G1970" i="15"/>
  <c r="H1969" i="15"/>
  <c r="G1969" i="15"/>
  <c r="I1968" i="15"/>
  <c r="H1968" i="15"/>
  <c r="G1968" i="15"/>
  <c r="J1968" i="15" s="1"/>
  <c r="H1967" i="15"/>
  <c r="G1967" i="15"/>
  <c r="I1966" i="15"/>
  <c r="H1966" i="15"/>
  <c r="G1966" i="15"/>
  <c r="J1966" i="15" s="1"/>
  <c r="I1965" i="15"/>
  <c r="H1965" i="15"/>
  <c r="G1965" i="15"/>
  <c r="J1965" i="15" s="1"/>
  <c r="H1964" i="15"/>
  <c r="G1964" i="15"/>
  <c r="I1963" i="15"/>
  <c r="H1963" i="15"/>
  <c r="G1963" i="15"/>
  <c r="J1963" i="15" s="1"/>
  <c r="I1962" i="15"/>
  <c r="H1962" i="15"/>
  <c r="G1962" i="15"/>
  <c r="J1962" i="15" s="1"/>
  <c r="H1961" i="15"/>
  <c r="G1961" i="15"/>
  <c r="H1960" i="15"/>
  <c r="G1960" i="15"/>
  <c r="I1959" i="15"/>
  <c r="H1959" i="15"/>
  <c r="G1959" i="15"/>
  <c r="J1959" i="15" s="1"/>
  <c r="H1958" i="15"/>
  <c r="G1958" i="15"/>
  <c r="H1957" i="15"/>
  <c r="G1957" i="15"/>
  <c r="J1956" i="15"/>
  <c r="I1956" i="15"/>
  <c r="H1956" i="15"/>
  <c r="G1956" i="15"/>
  <c r="I1955" i="15"/>
  <c r="H1955" i="15"/>
  <c r="G1955" i="15"/>
  <c r="J1955" i="15" s="1"/>
  <c r="J1954" i="15"/>
  <c r="I1954" i="15"/>
  <c r="H1954" i="15"/>
  <c r="G1954" i="15"/>
  <c r="H1953" i="15"/>
  <c r="G1953" i="15"/>
  <c r="I1952" i="15"/>
  <c r="H1952" i="15"/>
  <c r="G1952" i="15"/>
  <c r="J1952" i="15" s="1"/>
  <c r="H1951" i="15"/>
  <c r="G1951" i="15"/>
  <c r="H1950" i="15"/>
  <c r="G1950" i="15"/>
  <c r="I1949" i="15"/>
  <c r="H1949" i="15"/>
  <c r="G1949" i="15"/>
  <c r="J1949" i="15" s="1"/>
  <c r="J1948" i="15"/>
  <c r="I1948" i="15"/>
  <c r="H1948" i="15"/>
  <c r="G1948" i="15"/>
  <c r="I1947" i="15"/>
  <c r="H1947" i="15"/>
  <c r="G1947" i="15"/>
  <c r="J1947" i="15" s="1"/>
  <c r="H1946" i="15"/>
  <c r="G1946" i="15"/>
  <c r="H1945" i="15"/>
  <c r="G1945" i="15"/>
  <c r="H1944" i="15"/>
  <c r="G1944" i="15"/>
  <c r="H1943" i="15"/>
  <c r="G1943" i="15"/>
  <c r="H1942" i="15"/>
  <c r="G1942" i="15"/>
  <c r="I1942" i="15" s="1"/>
  <c r="I1941" i="15"/>
  <c r="H1941" i="15"/>
  <c r="G1941" i="15"/>
  <c r="J1941" i="15" s="1"/>
  <c r="J1940" i="15"/>
  <c r="I1940" i="15"/>
  <c r="H1940" i="15"/>
  <c r="G1940" i="15"/>
  <c r="I1939" i="15"/>
  <c r="H1939" i="15"/>
  <c r="G1939" i="15"/>
  <c r="J1939" i="15" s="1"/>
  <c r="J1938" i="15"/>
  <c r="I1938" i="15"/>
  <c r="H1938" i="15"/>
  <c r="G1938" i="15"/>
  <c r="H1937" i="15"/>
  <c r="G1937" i="15"/>
  <c r="J1936" i="15"/>
  <c r="H1936" i="15"/>
  <c r="G1936" i="15"/>
  <c r="I1936" i="15" s="1"/>
  <c r="H1935" i="15"/>
  <c r="G1935" i="15"/>
  <c r="I1934" i="15"/>
  <c r="H1934" i="15"/>
  <c r="G1934" i="15"/>
  <c r="J1934" i="15" s="1"/>
  <c r="I1933" i="15"/>
  <c r="H1933" i="15"/>
  <c r="G1933" i="15"/>
  <c r="J1933" i="15" s="1"/>
  <c r="H1932" i="15"/>
  <c r="G1932" i="15"/>
  <c r="I1932" i="15" s="1"/>
  <c r="I1931" i="15"/>
  <c r="H1931" i="15"/>
  <c r="G1931" i="15"/>
  <c r="J1931" i="15" s="1"/>
  <c r="I1930" i="15"/>
  <c r="H1930" i="15"/>
  <c r="G1930" i="15"/>
  <c r="J1930" i="15" s="1"/>
  <c r="I1929" i="15"/>
  <c r="H1929" i="15"/>
  <c r="G1929" i="15"/>
  <c r="J1929" i="15" s="1"/>
  <c r="H1928" i="15"/>
  <c r="G1928" i="15"/>
  <c r="I1927" i="15"/>
  <c r="H1927" i="15"/>
  <c r="G1927" i="15"/>
  <c r="J1927" i="15" s="1"/>
  <c r="J1926" i="15"/>
  <c r="H1926" i="15"/>
  <c r="G1926" i="15"/>
  <c r="I1926" i="15" s="1"/>
  <c r="H1925" i="15"/>
  <c r="G1925" i="15"/>
  <c r="J1924" i="15"/>
  <c r="I1924" i="15"/>
  <c r="H1924" i="15"/>
  <c r="G1924" i="15"/>
  <c r="H1923" i="15"/>
  <c r="G1923" i="15"/>
  <c r="J1922" i="15"/>
  <c r="I1922" i="15"/>
  <c r="H1922" i="15"/>
  <c r="G1922" i="15"/>
  <c r="H1921" i="15"/>
  <c r="G1921" i="15"/>
  <c r="H1920" i="15"/>
  <c r="G1920" i="15"/>
  <c r="J1920" i="15" s="1"/>
  <c r="H1919" i="15"/>
  <c r="G1919" i="15"/>
  <c r="H1918" i="15"/>
  <c r="G1918" i="15"/>
  <c r="I1918" i="15" s="1"/>
  <c r="I1917" i="15"/>
  <c r="H1917" i="15"/>
  <c r="G1917" i="15"/>
  <c r="J1917" i="15" s="1"/>
  <c r="J1916" i="15"/>
  <c r="I1916" i="15"/>
  <c r="H1916" i="15"/>
  <c r="G1916" i="15"/>
  <c r="I1915" i="15"/>
  <c r="H1915" i="15"/>
  <c r="G1915" i="15"/>
  <c r="J1915" i="15" s="1"/>
  <c r="H1914" i="15"/>
  <c r="G1914" i="15"/>
  <c r="H1913" i="15"/>
  <c r="G1913" i="15"/>
  <c r="H1912" i="15"/>
  <c r="G1912" i="15"/>
  <c r="H1911" i="15"/>
  <c r="G1911" i="15"/>
  <c r="H1910" i="15"/>
  <c r="G1910" i="15"/>
  <c r="I1909" i="15"/>
  <c r="H1909" i="15"/>
  <c r="G1909" i="15"/>
  <c r="J1909" i="15" s="1"/>
  <c r="J1908" i="15"/>
  <c r="I1908" i="15"/>
  <c r="H1908" i="15"/>
  <c r="G1908" i="15"/>
  <c r="I1907" i="15"/>
  <c r="H1907" i="15"/>
  <c r="G1907" i="15"/>
  <c r="J1907" i="15" s="1"/>
  <c r="J1906" i="15"/>
  <c r="I1906" i="15"/>
  <c r="H1906" i="15"/>
  <c r="G1906" i="15"/>
  <c r="H1905" i="15"/>
  <c r="G1905" i="15"/>
  <c r="J1904" i="15"/>
  <c r="H1904" i="15"/>
  <c r="G1904" i="15"/>
  <c r="I1904" i="15" s="1"/>
  <c r="H1903" i="15"/>
  <c r="G1903" i="15"/>
  <c r="H1902" i="15"/>
  <c r="G1902" i="15"/>
  <c r="I1901" i="15"/>
  <c r="H1901" i="15"/>
  <c r="G1901" i="15"/>
  <c r="J1901" i="15" s="1"/>
  <c r="H1900" i="15"/>
  <c r="G1900" i="15"/>
  <c r="I1899" i="15"/>
  <c r="H1899" i="15"/>
  <c r="G1899" i="15"/>
  <c r="J1899" i="15" s="1"/>
  <c r="I1898" i="15"/>
  <c r="H1898" i="15"/>
  <c r="G1898" i="15"/>
  <c r="J1898" i="15" s="1"/>
  <c r="H1897" i="15"/>
  <c r="G1897" i="15"/>
  <c r="J1897" i="15" s="1"/>
  <c r="H1896" i="15"/>
  <c r="G1896" i="15"/>
  <c r="I1895" i="15"/>
  <c r="H1895" i="15"/>
  <c r="G1895" i="15"/>
  <c r="J1895" i="15" s="1"/>
  <c r="H1894" i="15"/>
  <c r="G1894" i="15"/>
  <c r="I1894" i="15" s="1"/>
  <c r="H1893" i="15"/>
  <c r="G1893" i="15"/>
  <c r="J1892" i="15"/>
  <c r="I1892" i="15"/>
  <c r="H1892" i="15"/>
  <c r="G1892" i="15"/>
  <c r="H1891" i="15"/>
  <c r="G1891" i="15"/>
  <c r="J1890" i="15"/>
  <c r="I1890" i="15"/>
  <c r="H1890" i="15"/>
  <c r="G1890" i="15"/>
  <c r="H1889" i="15"/>
  <c r="G1889" i="15"/>
  <c r="I1888" i="15"/>
  <c r="H1888" i="15"/>
  <c r="G1888" i="15"/>
  <c r="J1888" i="15" s="1"/>
  <c r="H1887" i="15"/>
  <c r="G1887" i="15"/>
  <c r="H1886" i="15"/>
  <c r="G1886" i="15"/>
  <c r="J1886" i="15" s="1"/>
  <c r="I1885" i="15"/>
  <c r="H1885" i="15"/>
  <c r="G1885" i="15"/>
  <c r="J1885" i="15" s="1"/>
  <c r="J1884" i="15"/>
  <c r="I1884" i="15"/>
  <c r="H1884" i="15"/>
  <c r="G1884" i="15"/>
  <c r="I1883" i="15"/>
  <c r="H1883" i="15"/>
  <c r="G1883" i="15"/>
  <c r="J1883" i="15" s="1"/>
  <c r="H1882" i="15"/>
  <c r="G1882" i="15"/>
  <c r="I1881" i="15"/>
  <c r="H1881" i="15"/>
  <c r="G1881" i="15"/>
  <c r="J1881" i="15" s="1"/>
  <c r="H1880" i="15"/>
  <c r="G1880" i="15"/>
  <c r="H1879" i="15"/>
  <c r="G1879" i="15"/>
  <c r="H1878" i="15"/>
  <c r="G1878" i="15"/>
  <c r="I1878" i="15" s="1"/>
  <c r="I1877" i="15"/>
  <c r="H1877" i="15"/>
  <c r="G1877" i="15"/>
  <c r="J1877" i="15" s="1"/>
  <c r="J1876" i="15"/>
  <c r="I1876" i="15"/>
  <c r="H1876" i="15"/>
  <c r="G1876" i="15"/>
  <c r="I1875" i="15"/>
  <c r="H1875" i="15"/>
  <c r="G1875" i="15"/>
  <c r="J1875" i="15" s="1"/>
  <c r="J1874" i="15"/>
  <c r="I1874" i="15"/>
  <c r="H1874" i="15"/>
  <c r="G1874" i="15"/>
  <c r="H1873" i="15"/>
  <c r="G1873" i="15"/>
  <c r="H1872" i="15"/>
  <c r="G1872" i="15"/>
  <c r="H1871" i="15"/>
  <c r="G1871" i="15"/>
  <c r="I1870" i="15"/>
  <c r="H1870" i="15"/>
  <c r="G1870" i="15"/>
  <c r="J1870" i="15" s="1"/>
  <c r="I1869" i="15"/>
  <c r="H1869" i="15"/>
  <c r="G1869" i="15"/>
  <c r="J1869" i="15" s="1"/>
  <c r="J1868" i="15"/>
  <c r="H1868" i="15"/>
  <c r="G1868" i="15"/>
  <c r="I1868" i="15" s="1"/>
  <c r="I1867" i="15"/>
  <c r="H1867" i="15"/>
  <c r="G1867" i="15"/>
  <c r="J1867" i="15" s="1"/>
  <c r="I1866" i="15"/>
  <c r="H1866" i="15"/>
  <c r="G1866" i="15"/>
  <c r="J1866" i="15" s="1"/>
  <c r="I1865" i="15"/>
  <c r="H1865" i="15"/>
  <c r="G1865" i="15"/>
  <c r="J1865" i="15" s="1"/>
  <c r="H1864" i="15"/>
  <c r="G1864" i="15"/>
  <c r="I1863" i="15"/>
  <c r="H1863" i="15"/>
  <c r="G1863" i="15"/>
  <c r="J1863" i="15" s="1"/>
  <c r="J1862" i="15"/>
  <c r="H1862" i="15"/>
  <c r="G1862" i="15"/>
  <c r="I1862" i="15" s="1"/>
  <c r="H1861" i="15"/>
  <c r="G1861" i="15"/>
  <c r="J1860" i="15"/>
  <c r="I1860" i="15"/>
  <c r="H1860" i="15"/>
  <c r="G1860" i="15"/>
  <c r="H1859" i="15"/>
  <c r="G1859" i="15"/>
  <c r="J1858" i="15"/>
  <c r="I1858" i="15"/>
  <c r="H1858" i="15"/>
  <c r="G1858" i="15"/>
  <c r="H1857" i="15"/>
  <c r="G1857" i="15"/>
  <c r="H1856" i="15"/>
  <c r="G1856" i="15"/>
  <c r="J1856" i="15" s="1"/>
  <c r="H1855" i="15"/>
  <c r="G1855" i="15"/>
  <c r="J1854" i="15"/>
  <c r="H1854" i="15"/>
  <c r="G1854" i="15"/>
  <c r="I1854" i="15" s="1"/>
  <c r="I1853" i="15"/>
  <c r="H1853" i="15"/>
  <c r="G1853" i="15"/>
  <c r="J1853" i="15" s="1"/>
  <c r="J1852" i="15"/>
  <c r="I1852" i="15"/>
  <c r="H1852" i="15"/>
  <c r="G1852" i="15"/>
  <c r="I1851" i="15"/>
  <c r="H1851" i="15"/>
  <c r="G1851" i="15"/>
  <c r="J1851" i="15" s="1"/>
  <c r="H1850" i="15"/>
  <c r="G1850" i="15"/>
  <c r="H1849" i="15"/>
  <c r="G1849" i="15"/>
  <c r="H1848" i="15"/>
  <c r="G1848" i="15"/>
  <c r="H1847" i="15"/>
  <c r="G1847" i="15"/>
  <c r="H1846" i="15"/>
  <c r="G1846" i="15"/>
  <c r="I1845" i="15"/>
  <c r="H1845" i="15"/>
  <c r="G1845" i="15"/>
  <c r="J1845" i="15" s="1"/>
  <c r="J1844" i="15"/>
  <c r="I1844" i="15"/>
  <c r="H1844" i="15"/>
  <c r="G1844" i="15"/>
  <c r="H1843" i="15"/>
  <c r="G1843" i="15"/>
  <c r="J1842" i="15"/>
  <c r="I1842" i="15"/>
  <c r="H1842" i="15"/>
  <c r="G1842" i="15"/>
  <c r="H1841" i="15"/>
  <c r="G1841" i="15"/>
  <c r="J1840" i="15"/>
  <c r="I1840" i="15"/>
  <c r="H1840" i="15"/>
  <c r="G1840" i="15"/>
  <c r="H1839" i="15"/>
  <c r="G1839" i="15"/>
  <c r="H1838" i="15"/>
  <c r="G1838" i="15"/>
  <c r="I1837" i="15"/>
  <c r="H1837" i="15"/>
  <c r="G1837" i="15"/>
  <c r="J1837" i="15" s="1"/>
  <c r="H1836" i="15"/>
  <c r="G1836" i="15"/>
  <c r="I1835" i="15"/>
  <c r="H1835" i="15"/>
  <c r="G1835" i="15"/>
  <c r="J1835" i="15" s="1"/>
  <c r="I1834" i="15"/>
  <c r="H1834" i="15"/>
  <c r="G1834" i="15"/>
  <c r="J1834" i="15" s="1"/>
  <c r="H1833" i="15"/>
  <c r="G1833" i="15"/>
  <c r="J1833" i="15" s="1"/>
  <c r="H1832" i="15"/>
  <c r="G1832" i="15"/>
  <c r="I1831" i="15"/>
  <c r="H1831" i="15"/>
  <c r="G1831" i="15"/>
  <c r="J1831" i="15" s="1"/>
  <c r="H1830" i="15"/>
  <c r="G1830" i="15"/>
  <c r="I1830" i="15" s="1"/>
  <c r="H1829" i="15"/>
  <c r="G1829" i="15"/>
  <c r="J1828" i="15"/>
  <c r="I1828" i="15"/>
  <c r="H1828" i="15"/>
  <c r="G1828" i="15"/>
  <c r="I1827" i="15"/>
  <c r="H1827" i="15"/>
  <c r="G1827" i="15"/>
  <c r="J1827" i="15" s="1"/>
  <c r="J1826" i="15"/>
  <c r="I1826" i="15"/>
  <c r="H1826" i="15"/>
  <c r="G1826" i="15"/>
  <c r="H1825" i="15"/>
  <c r="G1825" i="15"/>
  <c r="I1824" i="15"/>
  <c r="H1824" i="15"/>
  <c r="G1824" i="15"/>
  <c r="J1824" i="15" s="1"/>
  <c r="H1823" i="15"/>
  <c r="G1823" i="15"/>
  <c r="H1822" i="15"/>
  <c r="G1822" i="15"/>
  <c r="J1822" i="15" s="1"/>
  <c r="I1821" i="15"/>
  <c r="H1821" i="15"/>
  <c r="G1821" i="15"/>
  <c r="J1821" i="15" s="1"/>
  <c r="J1820" i="15"/>
  <c r="I1820" i="15"/>
  <c r="H1820" i="15"/>
  <c r="G1820" i="15"/>
  <c r="I1819" i="15"/>
  <c r="H1819" i="15"/>
  <c r="G1819" i="15"/>
  <c r="J1819" i="15" s="1"/>
  <c r="H1818" i="15"/>
  <c r="G1818" i="15"/>
  <c r="H1817" i="15"/>
  <c r="G1817" i="15"/>
  <c r="J1817" i="15" s="1"/>
  <c r="H1816" i="15"/>
  <c r="G1816" i="15"/>
  <c r="H1815" i="15"/>
  <c r="G1815" i="15"/>
  <c r="J1814" i="15"/>
  <c r="H1814" i="15"/>
  <c r="G1814" i="15"/>
  <c r="I1814" i="15" s="1"/>
  <c r="I1813" i="15"/>
  <c r="H1813" i="15"/>
  <c r="G1813" i="15"/>
  <c r="J1813" i="15" s="1"/>
  <c r="J1812" i="15"/>
  <c r="I1812" i="15"/>
  <c r="H1812" i="15"/>
  <c r="G1812" i="15"/>
  <c r="I1811" i="15"/>
  <c r="H1811" i="15"/>
  <c r="G1811" i="15"/>
  <c r="J1811" i="15" s="1"/>
  <c r="J1810" i="15"/>
  <c r="I1810" i="15"/>
  <c r="H1810" i="15"/>
  <c r="G1810" i="15"/>
  <c r="H1809" i="15"/>
  <c r="G1809" i="15"/>
  <c r="J1808" i="15"/>
  <c r="H1808" i="15"/>
  <c r="G1808" i="15"/>
  <c r="I1808" i="15" s="1"/>
  <c r="H1807" i="15"/>
  <c r="G1807" i="15"/>
  <c r="I1806" i="15"/>
  <c r="H1806" i="15"/>
  <c r="G1806" i="15"/>
  <c r="J1806" i="15" s="1"/>
  <c r="I1805" i="15"/>
  <c r="H1805" i="15"/>
  <c r="G1805" i="15"/>
  <c r="J1805" i="15" s="1"/>
  <c r="H1804" i="15"/>
  <c r="G1804" i="15"/>
  <c r="I1804" i="15" s="1"/>
  <c r="I1803" i="15"/>
  <c r="H1803" i="15"/>
  <c r="G1803" i="15"/>
  <c r="J1803" i="15" s="1"/>
  <c r="I1802" i="15"/>
  <c r="H1802" i="15"/>
  <c r="G1802" i="15"/>
  <c r="J1802" i="15" s="1"/>
  <c r="I1801" i="15"/>
  <c r="H1801" i="15"/>
  <c r="G1801" i="15"/>
  <c r="J1801" i="15" s="1"/>
  <c r="H1800" i="15"/>
  <c r="G1800" i="15"/>
  <c r="I1799" i="15"/>
  <c r="H1799" i="15"/>
  <c r="G1799" i="15"/>
  <c r="J1799" i="15" s="1"/>
  <c r="J1798" i="15"/>
  <c r="H1798" i="15"/>
  <c r="G1798" i="15"/>
  <c r="I1798" i="15" s="1"/>
  <c r="H1797" i="15"/>
  <c r="G1797" i="15"/>
  <c r="J1796" i="15"/>
  <c r="I1796" i="15"/>
  <c r="H1796" i="15"/>
  <c r="G1796" i="15"/>
  <c r="H1795" i="15"/>
  <c r="G1795" i="15"/>
  <c r="J1794" i="15"/>
  <c r="I1794" i="15"/>
  <c r="H1794" i="15"/>
  <c r="G1794" i="15"/>
  <c r="H1793" i="15"/>
  <c r="G1793" i="15"/>
  <c r="I1792" i="15"/>
  <c r="H1792" i="15"/>
  <c r="G1792" i="15"/>
  <c r="J1792" i="15" s="1"/>
  <c r="H1791" i="15"/>
  <c r="G1791" i="15"/>
  <c r="H1790" i="15"/>
  <c r="G1790" i="15"/>
  <c r="I1789" i="15"/>
  <c r="H1789" i="15"/>
  <c r="G1789" i="15"/>
  <c r="J1789" i="15" s="1"/>
  <c r="J1788" i="15"/>
  <c r="I1788" i="15"/>
  <c r="H1788" i="15"/>
  <c r="G1788" i="15"/>
  <c r="I1787" i="15"/>
  <c r="H1787" i="15"/>
  <c r="G1787" i="15"/>
  <c r="J1787" i="15" s="1"/>
  <c r="H1786" i="15"/>
  <c r="G1786" i="15"/>
  <c r="H1785" i="15"/>
  <c r="G1785" i="15"/>
  <c r="H1784" i="15"/>
  <c r="G1784" i="15"/>
  <c r="H1783" i="15"/>
  <c r="G1783" i="15"/>
  <c r="H1782" i="15"/>
  <c r="G1782" i="15"/>
  <c r="I1781" i="15"/>
  <c r="H1781" i="15"/>
  <c r="G1781" i="15"/>
  <c r="J1781" i="15" s="1"/>
  <c r="J1780" i="15"/>
  <c r="I1780" i="15"/>
  <c r="H1780" i="15"/>
  <c r="G1780" i="15"/>
  <c r="I1779" i="15"/>
  <c r="H1779" i="15"/>
  <c r="G1779" i="15"/>
  <c r="J1779" i="15" s="1"/>
  <c r="J1778" i="15"/>
  <c r="I1778" i="15"/>
  <c r="H1778" i="15"/>
  <c r="G1778" i="15"/>
  <c r="H1777" i="15"/>
  <c r="G1777" i="15"/>
  <c r="H1776" i="15"/>
  <c r="G1776" i="15"/>
  <c r="H1775" i="15"/>
  <c r="G1775" i="15"/>
  <c r="H1774" i="15"/>
  <c r="G1774" i="15"/>
  <c r="J1774" i="15" s="1"/>
  <c r="I1773" i="15"/>
  <c r="H1773" i="15"/>
  <c r="G1773" i="15"/>
  <c r="J1773" i="15" s="1"/>
  <c r="H1772" i="15"/>
  <c r="G1772" i="15"/>
  <c r="I1771" i="15"/>
  <c r="H1771" i="15"/>
  <c r="G1771" i="15"/>
  <c r="J1771" i="15" s="1"/>
  <c r="I1770" i="15"/>
  <c r="H1770" i="15"/>
  <c r="G1770" i="15"/>
  <c r="J1770" i="15" s="1"/>
  <c r="I1769" i="15"/>
  <c r="H1769" i="15"/>
  <c r="G1769" i="15"/>
  <c r="J1769" i="15" s="1"/>
  <c r="H1768" i="15"/>
  <c r="G1768" i="15"/>
  <c r="I1767" i="15"/>
  <c r="H1767" i="15"/>
  <c r="G1767" i="15"/>
  <c r="J1767" i="15" s="1"/>
  <c r="J1766" i="15"/>
  <c r="H1766" i="15"/>
  <c r="G1766" i="15"/>
  <c r="I1766" i="15" s="1"/>
  <c r="H1765" i="15"/>
  <c r="G1765" i="15"/>
  <c r="J1764" i="15"/>
  <c r="I1764" i="15"/>
  <c r="H1764" i="15"/>
  <c r="G1764" i="15"/>
  <c r="H1763" i="15"/>
  <c r="G1763" i="15"/>
  <c r="J1763" i="15" s="1"/>
  <c r="J1762" i="15"/>
  <c r="I1762" i="15"/>
  <c r="H1762" i="15"/>
  <c r="G1762" i="15"/>
  <c r="H1761" i="15"/>
  <c r="G1761" i="15"/>
  <c r="I1760" i="15"/>
  <c r="H1760" i="15"/>
  <c r="G1760" i="15"/>
  <c r="J1760" i="15" s="1"/>
  <c r="H1759" i="15"/>
  <c r="G1759" i="15"/>
  <c r="J1758" i="15"/>
  <c r="I1758" i="15"/>
  <c r="H1758" i="15"/>
  <c r="G1758" i="15"/>
  <c r="I1757" i="15"/>
  <c r="H1757" i="15"/>
  <c r="G1757" i="15"/>
  <c r="J1757" i="15" s="1"/>
  <c r="J1756" i="15"/>
  <c r="I1756" i="15"/>
  <c r="H1756" i="15"/>
  <c r="G1756" i="15"/>
  <c r="I1755" i="15"/>
  <c r="H1755" i="15"/>
  <c r="G1755" i="15"/>
  <c r="J1755" i="15" s="1"/>
  <c r="H1754" i="15"/>
  <c r="G1754" i="15"/>
  <c r="I1753" i="15"/>
  <c r="H1753" i="15"/>
  <c r="G1753" i="15"/>
  <c r="J1753" i="15" s="1"/>
  <c r="H1752" i="15"/>
  <c r="G1752" i="15"/>
  <c r="H1751" i="15"/>
  <c r="G1751" i="15"/>
  <c r="H1750" i="15"/>
  <c r="G1750" i="15"/>
  <c r="I1750" i="15" s="1"/>
  <c r="I1749" i="15"/>
  <c r="H1749" i="15"/>
  <c r="G1749" i="15"/>
  <c r="J1749" i="15" s="1"/>
  <c r="J1748" i="15"/>
  <c r="I1748" i="15"/>
  <c r="H1748" i="15"/>
  <c r="G1748" i="15"/>
  <c r="I1747" i="15"/>
  <c r="H1747" i="15"/>
  <c r="G1747" i="15"/>
  <c r="J1747" i="15" s="1"/>
  <c r="J1746" i="15"/>
  <c r="I1746" i="15"/>
  <c r="H1746" i="15"/>
  <c r="G1746" i="15"/>
  <c r="H1745" i="15"/>
  <c r="G1745" i="15"/>
  <c r="H1744" i="15"/>
  <c r="G1744" i="15"/>
  <c r="H1743" i="15"/>
  <c r="G1743" i="15"/>
  <c r="J1742" i="15"/>
  <c r="I1742" i="15"/>
  <c r="H1742" i="15"/>
  <c r="G1742" i="15"/>
  <c r="H1741" i="15"/>
  <c r="G1741" i="15"/>
  <c r="J1741" i="15" s="1"/>
  <c r="I1740" i="15"/>
  <c r="H1740" i="15"/>
  <c r="G1740" i="15"/>
  <c r="J1740" i="15" s="1"/>
  <c r="I1739" i="15"/>
  <c r="H1739" i="15"/>
  <c r="G1739" i="15"/>
  <c r="J1739" i="15" s="1"/>
  <c r="H1738" i="15"/>
  <c r="G1738" i="15"/>
  <c r="I1738" i="15" s="1"/>
  <c r="H1737" i="15"/>
  <c r="G1737" i="15"/>
  <c r="I1736" i="15"/>
  <c r="H1736" i="15"/>
  <c r="G1736" i="15"/>
  <c r="J1736" i="15" s="1"/>
  <c r="I1735" i="15"/>
  <c r="H1735" i="15"/>
  <c r="G1735" i="15"/>
  <c r="J1735" i="15" s="1"/>
  <c r="H1734" i="15"/>
  <c r="G1734" i="15"/>
  <c r="I1733" i="15"/>
  <c r="H1733" i="15"/>
  <c r="G1733" i="15"/>
  <c r="J1733" i="15" s="1"/>
  <c r="H1732" i="15"/>
  <c r="G1732" i="15"/>
  <c r="I1732" i="15" s="1"/>
  <c r="I1731" i="15"/>
  <c r="H1731" i="15"/>
  <c r="G1731" i="15"/>
  <c r="J1731" i="15" s="1"/>
  <c r="J1730" i="15"/>
  <c r="I1730" i="15"/>
  <c r="H1730" i="15"/>
  <c r="G1730" i="15"/>
  <c r="H1729" i="15"/>
  <c r="G1729" i="15"/>
  <c r="I1728" i="15"/>
  <c r="H1728" i="15"/>
  <c r="G1728" i="15"/>
  <c r="J1728" i="15" s="1"/>
  <c r="H1727" i="15"/>
  <c r="G1727" i="15"/>
  <c r="H1726" i="15"/>
  <c r="G1726" i="15"/>
  <c r="I1725" i="15"/>
  <c r="H1725" i="15"/>
  <c r="G1725" i="15"/>
  <c r="J1725" i="15" s="1"/>
  <c r="J1724" i="15"/>
  <c r="I1724" i="15"/>
  <c r="H1724" i="15"/>
  <c r="G1724" i="15"/>
  <c r="I1723" i="15"/>
  <c r="H1723" i="15"/>
  <c r="G1723" i="15"/>
  <c r="J1723" i="15" s="1"/>
  <c r="H1722" i="15"/>
  <c r="G1722" i="15"/>
  <c r="J1722" i="15" s="1"/>
  <c r="H1721" i="15"/>
  <c r="G1721" i="15"/>
  <c r="H1720" i="15"/>
  <c r="G1720" i="15"/>
  <c r="I1719" i="15"/>
  <c r="H1719" i="15"/>
  <c r="G1719" i="15"/>
  <c r="J1719" i="15" s="1"/>
  <c r="J1718" i="15"/>
  <c r="H1718" i="15"/>
  <c r="G1718" i="15"/>
  <c r="I1718" i="15" s="1"/>
  <c r="H1717" i="15"/>
  <c r="G1717" i="15"/>
  <c r="H1716" i="15"/>
  <c r="G1716" i="15"/>
  <c r="I1716" i="15" s="1"/>
  <c r="H1715" i="15"/>
  <c r="G1715" i="15"/>
  <c r="J1714" i="15"/>
  <c r="I1714" i="15"/>
  <c r="H1714" i="15"/>
  <c r="G1714" i="15"/>
  <c r="I1713" i="15"/>
  <c r="H1713" i="15"/>
  <c r="G1713" i="15"/>
  <c r="J1713" i="15" s="1"/>
  <c r="J1712" i="15"/>
  <c r="I1712" i="15"/>
  <c r="H1712" i="15"/>
  <c r="G1712" i="15"/>
  <c r="H1711" i="15"/>
  <c r="G1711" i="15"/>
  <c r="H1710" i="15"/>
  <c r="G1710" i="15"/>
  <c r="H1709" i="15"/>
  <c r="G1709" i="15"/>
  <c r="J1708" i="15"/>
  <c r="H1708" i="15"/>
  <c r="G1708" i="15"/>
  <c r="I1708" i="15" s="1"/>
  <c r="I1707" i="15"/>
  <c r="H1707" i="15"/>
  <c r="G1707" i="15"/>
  <c r="J1707" i="15" s="1"/>
  <c r="J1706" i="15"/>
  <c r="I1706" i="15"/>
  <c r="H1706" i="15"/>
  <c r="G1706" i="15"/>
  <c r="H1705" i="15"/>
  <c r="G1705" i="15"/>
  <c r="J1705" i="15" s="1"/>
  <c r="H1704" i="15"/>
  <c r="G1704" i="15"/>
  <c r="H1703" i="15"/>
  <c r="G1703" i="15"/>
  <c r="J1702" i="15"/>
  <c r="H1702" i="15"/>
  <c r="G1702" i="15"/>
  <c r="I1702" i="15" s="1"/>
  <c r="I1701" i="15"/>
  <c r="H1701" i="15"/>
  <c r="G1701" i="15"/>
  <c r="J1701" i="15" s="1"/>
  <c r="I1700" i="15"/>
  <c r="H1700" i="15"/>
  <c r="G1700" i="15"/>
  <c r="J1700" i="15" s="1"/>
  <c r="H1699" i="15"/>
  <c r="G1699" i="15"/>
  <c r="J1698" i="15"/>
  <c r="I1698" i="15"/>
  <c r="H1698" i="15"/>
  <c r="G1698" i="15"/>
  <c r="I1697" i="15"/>
  <c r="H1697" i="15"/>
  <c r="G1697" i="15"/>
  <c r="J1697" i="15" s="1"/>
  <c r="J1696" i="15"/>
  <c r="H1696" i="15"/>
  <c r="G1696" i="15"/>
  <c r="I1696" i="15" s="1"/>
  <c r="H1695" i="15"/>
  <c r="G1695" i="15"/>
  <c r="I1694" i="15"/>
  <c r="H1694" i="15"/>
  <c r="G1694" i="15"/>
  <c r="J1694" i="15" s="1"/>
  <c r="H1693" i="15"/>
  <c r="G1693" i="15"/>
  <c r="H1692" i="15"/>
  <c r="G1692" i="15"/>
  <c r="I1691" i="15"/>
  <c r="H1691" i="15"/>
  <c r="G1691" i="15"/>
  <c r="J1691" i="15" s="1"/>
  <c r="H1690" i="15"/>
  <c r="G1690" i="15"/>
  <c r="I1689" i="15"/>
  <c r="H1689" i="15"/>
  <c r="G1689" i="15"/>
  <c r="J1689" i="15" s="1"/>
  <c r="H1688" i="15"/>
  <c r="G1688" i="15"/>
  <c r="J1688" i="15" s="1"/>
  <c r="H1687" i="15"/>
  <c r="G1687" i="15"/>
  <c r="H1686" i="15"/>
  <c r="G1686" i="15"/>
  <c r="I1685" i="15"/>
  <c r="H1685" i="15"/>
  <c r="G1685" i="15"/>
  <c r="J1685" i="15" s="1"/>
  <c r="J1684" i="15"/>
  <c r="I1684" i="15"/>
  <c r="H1684" i="15"/>
  <c r="G1684" i="15"/>
  <c r="I1683" i="15"/>
  <c r="H1683" i="15"/>
  <c r="G1683" i="15"/>
  <c r="J1683" i="15" s="1"/>
  <c r="J1682" i="15"/>
  <c r="I1682" i="15"/>
  <c r="H1682" i="15"/>
  <c r="G1682" i="15"/>
  <c r="H1681" i="15"/>
  <c r="G1681" i="15"/>
  <c r="H1680" i="15"/>
  <c r="G1680" i="15"/>
  <c r="H1679" i="15"/>
  <c r="G1679" i="15"/>
  <c r="J1678" i="15"/>
  <c r="I1678" i="15"/>
  <c r="H1678" i="15"/>
  <c r="G1678" i="15"/>
  <c r="I1677" i="15"/>
  <c r="H1677" i="15"/>
  <c r="G1677" i="15"/>
  <c r="J1677" i="15" s="1"/>
  <c r="H1676" i="15"/>
  <c r="G1676" i="15"/>
  <c r="I1675" i="15"/>
  <c r="H1675" i="15"/>
  <c r="G1675" i="15"/>
  <c r="J1675" i="15" s="1"/>
  <c r="H1674" i="15"/>
  <c r="G1674" i="15"/>
  <c r="H1673" i="15"/>
  <c r="G1673" i="15"/>
  <c r="I1672" i="15"/>
  <c r="H1672" i="15"/>
  <c r="G1672" i="15"/>
  <c r="J1672" i="15" s="1"/>
  <c r="I1671" i="15"/>
  <c r="H1671" i="15"/>
  <c r="G1671" i="15"/>
  <c r="J1671" i="15" s="1"/>
  <c r="H1670" i="15"/>
  <c r="G1670" i="15"/>
  <c r="H1669" i="15"/>
  <c r="G1669" i="15"/>
  <c r="I1668" i="15"/>
  <c r="H1668" i="15"/>
  <c r="G1668" i="15"/>
  <c r="J1668" i="15" s="1"/>
  <c r="I1667" i="15"/>
  <c r="H1667" i="15"/>
  <c r="G1667" i="15"/>
  <c r="J1667" i="15" s="1"/>
  <c r="J1666" i="15"/>
  <c r="I1666" i="15"/>
  <c r="H1666" i="15"/>
  <c r="G1666" i="15"/>
  <c r="I1665" i="15"/>
  <c r="H1665" i="15"/>
  <c r="G1665" i="15"/>
  <c r="J1665" i="15" s="1"/>
  <c r="I1664" i="15"/>
  <c r="H1664" i="15"/>
  <c r="G1664" i="15"/>
  <c r="J1664" i="15" s="1"/>
  <c r="H1663" i="15"/>
  <c r="G1663" i="15"/>
  <c r="H1662" i="15"/>
  <c r="G1662" i="15"/>
  <c r="I1661" i="15"/>
  <c r="H1661" i="15"/>
  <c r="G1661" i="15"/>
  <c r="J1661" i="15" s="1"/>
  <c r="J1660" i="15"/>
  <c r="I1660" i="15"/>
  <c r="H1660" i="15"/>
  <c r="G1660" i="15"/>
  <c r="I1659" i="15"/>
  <c r="H1659" i="15"/>
  <c r="G1659" i="15"/>
  <c r="J1659" i="15" s="1"/>
  <c r="I1658" i="15"/>
  <c r="H1658" i="15"/>
  <c r="G1658" i="15"/>
  <c r="J1658" i="15" s="1"/>
  <c r="H1657" i="15"/>
  <c r="G1657" i="15"/>
  <c r="I1656" i="15"/>
  <c r="H1656" i="15"/>
  <c r="G1656" i="15"/>
  <c r="J1656" i="15" s="1"/>
  <c r="I1655" i="15"/>
  <c r="H1655" i="15"/>
  <c r="G1655" i="15"/>
  <c r="J1655" i="15" s="1"/>
  <c r="H1654" i="15"/>
  <c r="G1654" i="15"/>
  <c r="H1653" i="15"/>
  <c r="G1653" i="15"/>
  <c r="H1652" i="15"/>
  <c r="G1652" i="15"/>
  <c r="H1651" i="15"/>
  <c r="G1651" i="15"/>
  <c r="J1650" i="15"/>
  <c r="I1650" i="15"/>
  <c r="H1650" i="15"/>
  <c r="G1650" i="15"/>
  <c r="I1649" i="15"/>
  <c r="H1649" i="15"/>
  <c r="G1649" i="15"/>
  <c r="J1649" i="15" s="1"/>
  <c r="J1648" i="15"/>
  <c r="I1648" i="15"/>
  <c r="H1648" i="15"/>
  <c r="G1648" i="15"/>
  <c r="H1647" i="15"/>
  <c r="G1647" i="15"/>
  <c r="H1646" i="15"/>
  <c r="G1646" i="15"/>
  <c r="H1645" i="15"/>
  <c r="G1645" i="15"/>
  <c r="H1644" i="15"/>
  <c r="G1644" i="15"/>
  <c r="J1644" i="15" s="1"/>
  <c r="I1643" i="15"/>
  <c r="H1643" i="15"/>
  <c r="G1643" i="15"/>
  <c r="J1643" i="15" s="1"/>
  <c r="J1642" i="15"/>
  <c r="I1642" i="15"/>
  <c r="H1642" i="15"/>
  <c r="G1642" i="15"/>
  <c r="I1641" i="15"/>
  <c r="H1641" i="15"/>
  <c r="G1641" i="15"/>
  <c r="J1641" i="15" s="1"/>
  <c r="H1640" i="15"/>
  <c r="G1640" i="15"/>
  <c r="H1639" i="15"/>
  <c r="G1639" i="15"/>
  <c r="J1638" i="15"/>
  <c r="H1638" i="15"/>
  <c r="G1638" i="15"/>
  <c r="I1638" i="15" s="1"/>
  <c r="I1637" i="15"/>
  <c r="H1637" i="15"/>
  <c r="G1637" i="15"/>
  <c r="J1637" i="15" s="1"/>
  <c r="I1636" i="15"/>
  <c r="H1636" i="15"/>
  <c r="G1636" i="15"/>
  <c r="J1636" i="15" s="1"/>
  <c r="H1635" i="15"/>
  <c r="G1635" i="15"/>
  <c r="J1634" i="15"/>
  <c r="I1634" i="15"/>
  <c r="H1634" i="15"/>
  <c r="G1634" i="15"/>
  <c r="H1633" i="15"/>
  <c r="G1633" i="15"/>
  <c r="I1632" i="15"/>
  <c r="H1632" i="15"/>
  <c r="G1632" i="15"/>
  <c r="J1632" i="15" s="1"/>
  <c r="H1631" i="15"/>
  <c r="G1631" i="15"/>
  <c r="I1630" i="15"/>
  <c r="H1630" i="15"/>
  <c r="G1630" i="15"/>
  <c r="J1630" i="15" s="1"/>
  <c r="H1629" i="15"/>
  <c r="G1629" i="15"/>
  <c r="H1628" i="15"/>
  <c r="G1628" i="15"/>
  <c r="I1627" i="15"/>
  <c r="H1627" i="15"/>
  <c r="G1627" i="15"/>
  <c r="J1627" i="15" s="1"/>
  <c r="H1626" i="15"/>
  <c r="G1626" i="15"/>
  <c r="I1625" i="15"/>
  <c r="H1625" i="15"/>
  <c r="G1625" i="15"/>
  <c r="J1625" i="15" s="1"/>
  <c r="I1624" i="15"/>
  <c r="H1624" i="15"/>
  <c r="G1624" i="15"/>
  <c r="J1624" i="15" s="1"/>
  <c r="H1623" i="15"/>
  <c r="G1623" i="15"/>
  <c r="J1622" i="15"/>
  <c r="H1622" i="15"/>
  <c r="G1622" i="15"/>
  <c r="I1622" i="15" s="1"/>
  <c r="I1621" i="15"/>
  <c r="H1621" i="15"/>
  <c r="G1621" i="15"/>
  <c r="J1621" i="15" s="1"/>
  <c r="J1620" i="15"/>
  <c r="I1620" i="15"/>
  <c r="H1620" i="15"/>
  <c r="G1620" i="15"/>
  <c r="I1619" i="15"/>
  <c r="H1619" i="15"/>
  <c r="G1619" i="15"/>
  <c r="J1619" i="15" s="1"/>
  <c r="J1618" i="15"/>
  <c r="I1618" i="15"/>
  <c r="H1618" i="15"/>
  <c r="G1618" i="15"/>
  <c r="H1617" i="15"/>
  <c r="G1617" i="15"/>
  <c r="H1616" i="15"/>
  <c r="G1616" i="15"/>
  <c r="H1615" i="15"/>
  <c r="G1615" i="15"/>
  <c r="J1614" i="15"/>
  <c r="I1614" i="15"/>
  <c r="H1614" i="15"/>
  <c r="G1614" i="15"/>
  <c r="I1613" i="15"/>
  <c r="H1613" i="15"/>
  <c r="G1613" i="15"/>
  <c r="J1613" i="15" s="1"/>
  <c r="I1612" i="15"/>
  <c r="H1612" i="15"/>
  <c r="G1612" i="15"/>
  <c r="J1612" i="15" s="1"/>
  <c r="I1611" i="15"/>
  <c r="H1611" i="15"/>
  <c r="G1611" i="15"/>
  <c r="J1611" i="15" s="1"/>
  <c r="H1610" i="15"/>
  <c r="G1610" i="15"/>
  <c r="H1609" i="15"/>
  <c r="G1609" i="15"/>
  <c r="I1608" i="15"/>
  <c r="H1608" i="15"/>
  <c r="G1608" i="15"/>
  <c r="J1608" i="15" s="1"/>
  <c r="I1607" i="15"/>
  <c r="H1607" i="15"/>
  <c r="G1607" i="15"/>
  <c r="J1607" i="15" s="1"/>
  <c r="H1606" i="15"/>
  <c r="G1606" i="15"/>
  <c r="H1605" i="15"/>
  <c r="G1605" i="15"/>
  <c r="H1604" i="15"/>
  <c r="G1604" i="15"/>
  <c r="I1603" i="15"/>
  <c r="H1603" i="15"/>
  <c r="G1603" i="15"/>
  <c r="J1603" i="15" s="1"/>
  <c r="J1602" i="15"/>
  <c r="I1602" i="15"/>
  <c r="H1602" i="15"/>
  <c r="G1602" i="15"/>
  <c r="I1601" i="15"/>
  <c r="H1601" i="15"/>
  <c r="G1601" i="15"/>
  <c r="J1601" i="15" s="1"/>
  <c r="H1600" i="15"/>
  <c r="G1600" i="15"/>
  <c r="J1600" i="15" s="1"/>
  <c r="H1599" i="15"/>
  <c r="G1599" i="15"/>
  <c r="J1598" i="15"/>
  <c r="I1598" i="15"/>
  <c r="H1598" i="15"/>
  <c r="G1598" i="15"/>
  <c r="I1597" i="15"/>
  <c r="H1597" i="15"/>
  <c r="G1597" i="15"/>
  <c r="J1597" i="15" s="1"/>
  <c r="J1596" i="15"/>
  <c r="I1596" i="15"/>
  <c r="H1596" i="15"/>
  <c r="G1596" i="15"/>
  <c r="I1595" i="15"/>
  <c r="H1595" i="15"/>
  <c r="G1595" i="15"/>
  <c r="J1595" i="15" s="1"/>
  <c r="H1594" i="15"/>
  <c r="G1594" i="15"/>
  <c r="H1593" i="15"/>
  <c r="G1593" i="15"/>
  <c r="H1592" i="15"/>
  <c r="G1592" i="15"/>
  <c r="J1592" i="15" s="1"/>
  <c r="I1591" i="15"/>
  <c r="H1591" i="15"/>
  <c r="G1591" i="15"/>
  <c r="J1591" i="15" s="1"/>
  <c r="J1590" i="15"/>
  <c r="H1590" i="15"/>
  <c r="G1590" i="15"/>
  <c r="I1590" i="15" s="1"/>
  <c r="H1589" i="15"/>
  <c r="G1589" i="15"/>
  <c r="H1588" i="15"/>
  <c r="G1588" i="15"/>
  <c r="I1587" i="15"/>
  <c r="H1587" i="15"/>
  <c r="G1587" i="15"/>
  <c r="J1587" i="15" s="1"/>
  <c r="J1586" i="15"/>
  <c r="I1586" i="15"/>
  <c r="H1586" i="15"/>
  <c r="G1586" i="15"/>
  <c r="I1585" i="15"/>
  <c r="H1585" i="15"/>
  <c r="G1585" i="15"/>
  <c r="J1585" i="15" s="1"/>
  <c r="J1584" i="15"/>
  <c r="I1584" i="15"/>
  <c r="H1584" i="15"/>
  <c r="G1584" i="15"/>
  <c r="H1583" i="15"/>
  <c r="G1583" i="15"/>
  <c r="J1582" i="15"/>
  <c r="H1582" i="15"/>
  <c r="G1582" i="15"/>
  <c r="I1582" i="15" s="1"/>
  <c r="I1581" i="15"/>
  <c r="H1581" i="15"/>
  <c r="G1581" i="15"/>
  <c r="J1581" i="15" s="1"/>
  <c r="J1580" i="15"/>
  <c r="I1580" i="15"/>
  <c r="H1580" i="15"/>
  <c r="G1580" i="15"/>
  <c r="I1579" i="15"/>
  <c r="H1579" i="15"/>
  <c r="G1579" i="15"/>
  <c r="J1579" i="15" s="1"/>
  <c r="J1578" i="15"/>
  <c r="I1578" i="15"/>
  <c r="H1578" i="15"/>
  <c r="G1578" i="15"/>
  <c r="H1577" i="15"/>
  <c r="G1577" i="15"/>
  <c r="H1576" i="15"/>
  <c r="G1576" i="15"/>
  <c r="H1575" i="15"/>
  <c r="G1575" i="15"/>
  <c r="J1575" i="15" s="1"/>
  <c r="J1574" i="15"/>
  <c r="H1574" i="15"/>
  <c r="G1574" i="15"/>
  <c r="I1574" i="15" s="1"/>
  <c r="H1573" i="15"/>
  <c r="G1573" i="15"/>
  <c r="I1572" i="15"/>
  <c r="H1572" i="15"/>
  <c r="G1572" i="15"/>
  <c r="J1572" i="15" s="1"/>
  <c r="H1571" i="15"/>
  <c r="G1571" i="15"/>
  <c r="J1570" i="15"/>
  <c r="I1570" i="15"/>
  <c r="H1570" i="15"/>
  <c r="G1570" i="15"/>
  <c r="I1569" i="15"/>
  <c r="H1569" i="15"/>
  <c r="G1569" i="15"/>
  <c r="J1569" i="15" s="1"/>
  <c r="H1568" i="15"/>
  <c r="G1568" i="15"/>
  <c r="I1568" i="15" s="1"/>
  <c r="H1567" i="15"/>
  <c r="G1567" i="15"/>
  <c r="H1566" i="15"/>
  <c r="G1566" i="15"/>
  <c r="H1565" i="15"/>
  <c r="G1565" i="15"/>
  <c r="H1564" i="15"/>
  <c r="G1564" i="15"/>
  <c r="I1563" i="15"/>
  <c r="H1563" i="15"/>
  <c r="G1563" i="15"/>
  <c r="J1563" i="15" s="1"/>
  <c r="H1562" i="15"/>
  <c r="G1562" i="15"/>
  <c r="I1561" i="15"/>
  <c r="H1561" i="15"/>
  <c r="G1561" i="15"/>
  <c r="J1561" i="15" s="1"/>
  <c r="I1560" i="15"/>
  <c r="H1560" i="15"/>
  <c r="G1560" i="15"/>
  <c r="J1560" i="15" s="1"/>
  <c r="H1559" i="15"/>
  <c r="G1559" i="15"/>
  <c r="J1558" i="15"/>
  <c r="H1558" i="15"/>
  <c r="G1558" i="15"/>
  <c r="I1558" i="15" s="1"/>
  <c r="I1557" i="15"/>
  <c r="H1557" i="15"/>
  <c r="G1557" i="15"/>
  <c r="J1557" i="15" s="1"/>
  <c r="J1556" i="15"/>
  <c r="I1556" i="15"/>
  <c r="H1556" i="15"/>
  <c r="G1556" i="15"/>
  <c r="H1555" i="15"/>
  <c r="G1555" i="15"/>
  <c r="J1555" i="15" s="1"/>
  <c r="J1554" i="15"/>
  <c r="I1554" i="15"/>
  <c r="H1554" i="15"/>
  <c r="G1554" i="15"/>
  <c r="H1553" i="15"/>
  <c r="G1553" i="15"/>
  <c r="J1552" i="15"/>
  <c r="H1552" i="15"/>
  <c r="G1552" i="15"/>
  <c r="I1552" i="15" s="1"/>
  <c r="H1551" i="15"/>
  <c r="G1551" i="15"/>
  <c r="J1550" i="15"/>
  <c r="I1550" i="15"/>
  <c r="H1550" i="15"/>
  <c r="G1550" i="15"/>
  <c r="H1549" i="15"/>
  <c r="G1549" i="15"/>
  <c r="I1548" i="15"/>
  <c r="H1548" i="15"/>
  <c r="G1548" i="15"/>
  <c r="J1548" i="15" s="1"/>
  <c r="I1547" i="15"/>
  <c r="H1547" i="15"/>
  <c r="G1547" i="15"/>
  <c r="J1547" i="15" s="1"/>
  <c r="H1546" i="15"/>
  <c r="G1546" i="15"/>
  <c r="I1545" i="15"/>
  <c r="H1545" i="15"/>
  <c r="G1545" i="15"/>
  <c r="J1545" i="15" s="1"/>
  <c r="I1544" i="15"/>
  <c r="H1544" i="15"/>
  <c r="G1544" i="15"/>
  <c r="J1544" i="15" s="1"/>
  <c r="H1543" i="15"/>
  <c r="G1543" i="15"/>
  <c r="J1543" i="15" s="1"/>
  <c r="H1542" i="15"/>
  <c r="G1542" i="15"/>
  <c r="I1541" i="15"/>
  <c r="H1541" i="15"/>
  <c r="G1541" i="15"/>
  <c r="J1541" i="15" s="1"/>
  <c r="J1540" i="15"/>
  <c r="I1540" i="15"/>
  <c r="H1540" i="15"/>
  <c r="G1540" i="15"/>
  <c r="I1539" i="15"/>
  <c r="H1539" i="15"/>
  <c r="G1539" i="15"/>
  <c r="J1539" i="15" s="1"/>
  <c r="J1538" i="15"/>
  <c r="I1538" i="15"/>
  <c r="H1538" i="15"/>
  <c r="G1538" i="15"/>
  <c r="H1537" i="15"/>
  <c r="G1537" i="15"/>
  <c r="H1536" i="15"/>
  <c r="G1536" i="15"/>
  <c r="H1535" i="15"/>
  <c r="G1535" i="15"/>
  <c r="H1534" i="15"/>
  <c r="G1534" i="15"/>
  <c r="J1534" i="15" s="1"/>
  <c r="I1533" i="15"/>
  <c r="H1533" i="15"/>
  <c r="G1533" i="15"/>
  <c r="J1533" i="15" s="1"/>
  <c r="J1532" i="15"/>
  <c r="I1532" i="15"/>
  <c r="H1532" i="15"/>
  <c r="G1532" i="15"/>
  <c r="I1531" i="15"/>
  <c r="H1531" i="15"/>
  <c r="G1531" i="15"/>
  <c r="J1531" i="15" s="1"/>
  <c r="I1530" i="15"/>
  <c r="H1530" i="15"/>
  <c r="G1530" i="15"/>
  <c r="J1530" i="15" s="1"/>
  <c r="H1529" i="15"/>
  <c r="G1529" i="15"/>
  <c r="H1528" i="15"/>
  <c r="G1528" i="15"/>
  <c r="I1527" i="15"/>
  <c r="H1527" i="15"/>
  <c r="G1527" i="15"/>
  <c r="J1527" i="15" s="1"/>
  <c r="H1526" i="15"/>
  <c r="G1526" i="15"/>
  <c r="I1526" i="15" s="1"/>
  <c r="H1525" i="15"/>
  <c r="G1525" i="15"/>
  <c r="J1524" i="15"/>
  <c r="H1524" i="15"/>
  <c r="G1524" i="15"/>
  <c r="I1524" i="15" s="1"/>
  <c r="H1523" i="15"/>
  <c r="G1523" i="15"/>
  <c r="J1523" i="15" s="1"/>
  <c r="J1522" i="15"/>
  <c r="I1522" i="15"/>
  <c r="H1522" i="15"/>
  <c r="G1522" i="15"/>
  <c r="I1521" i="15"/>
  <c r="H1521" i="15"/>
  <c r="G1521" i="15"/>
  <c r="J1521" i="15" s="1"/>
  <c r="J1520" i="15"/>
  <c r="I1520" i="15"/>
  <c r="H1520" i="15"/>
  <c r="G1520" i="15"/>
  <c r="H1519" i="15"/>
  <c r="G1519" i="15"/>
  <c r="H1518" i="15"/>
  <c r="G1518" i="15"/>
  <c r="I1518" i="15" s="1"/>
  <c r="H1517" i="15"/>
  <c r="G1517" i="15"/>
  <c r="H1516" i="15"/>
  <c r="G1516" i="15"/>
  <c r="I1516" i="15" s="1"/>
  <c r="I1515" i="15"/>
  <c r="H1515" i="15"/>
  <c r="G1515" i="15"/>
  <c r="J1515" i="15" s="1"/>
  <c r="J1514" i="15"/>
  <c r="I1514" i="15"/>
  <c r="H1514" i="15"/>
  <c r="G1514" i="15"/>
  <c r="I1513" i="15"/>
  <c r="H1513" i="15"/>
  <c r="G1513" i="15"/>
  <c r="J1513" i="15" s="1"/>
  <c r="H1512" i="15"/>
  <c r="G1512" i="15"/>
  <c r="I1511" i="15"/>
  <c r="H1511" i="15"/>
  <c r="G1511" i="15"/>
  <c r="J1511" i="15" s="1"/>
  <c r="J1510" i="15"/>
  <c r="H1510" i="15"/>
  <c r="G1510" i="15"/>
  <c r="I1510" i="15" s="1"/>
  <c r="I1509" i="15"/>
  <c r="H1509" i="15"/>
  <c r="G1509" i="15"/>
  <c r="J1509" i="15" s="1"/>
  <c r="H1508" i="15"/>
  <c r="G1508" i="15"/>
  <c r="H1507" i="15"/>
  <c r="G1507" i="15"/>
  <c r="J1506" i="15"/>
  <c r="I1506" i="15"/>
  <c r="H1506" i="15"/>
  <c r="G1506" i="15"/>
  <c r="H1505" i="15"/>
  <c r="G1505" i="15"/>
  <c r="J1505" i="15" s="1"/>
  <c r="I1504" i="15"/>
  <c r="H1504" i="15"/>
  <c r="G1504" i="15"/>
  <c r="J1504" i="15" s="1"/>
  <c r="I1503" i="15"/>
  <c r="H1503" i="15"/>
  <c r="G1503" i="15"/>
  <c r="J1503" i="15" s="1"/>
  <c r="J1502" i="15"/>
  <c r="I1502" i="15"/>
  <c r="H1502" i="15"/>
  <c r="G1502" i="15"/>
  <c r="I1501" i="15"/>
  <c r="H1501" i="15"/>
  <c r="G1501" i="15"/>
  <c r="J1501" i="15" s="1"/>
  <c r="I1500" i="15"/>
  <c r="H1500" i="15"/>
  <c r="G1500" i="15"/>
  <c r="J1500" i="15" s="1"/>
  <c r="H1499" i="15"/>
  <c r="G1499" i="15"/>
  <c r="J1498" i="15"/>
  <c r="H1498" i="15"/>
  <c r="G1498" i="15"/>
  <c r="I1498" i="15" s="1"/>
  <c r="I1497" i="15"/>
  <c r="H1497" i="15"/>
  <c r="G1497" i="15"/>
  <c r="J1497" i="15" s="1"/>
  <c r="J1496" i="15"/>
  <c r="I1496" i="15"/>
  <c r="H1496" i="15"/>
  <c r="G1496" i="15"/>
  <c r="I1495" i="15"/>
  <c r="H1495" i="15"/>
  <c r="G1495" i="15"/>
  <c r="J1495" i="15" s="1"/>
  <c r="J1494" i="15"/>
  <c r="I1494" i="15"/>
  <c r="H1494" i="15"/>
  <c r="G1494" i="15"/>
  <c r="H1493" i="15"/>
  <c r="G1493" i="15"/>
  <c r="H1492" i="15"/>
  <c r="G1492" i="15"/>
  <c r="H1491" i="15"/>
  <c r="G1491" i="15"/>
  <c r="H1490" i="15"/>
  <c r="G1490" i="15"/>
  <c r="H1489" i="15"/>
  <c r="G1489" i="15"/>
  <c r="J1488" i="15"/>
  <c r="I1488" i="15"/>
  <c r="H1488" i="15"/>
  <c r="G1488" i="15"/>
  <c r="I1487" i="15"/>
  <c r="H1487" i="15"/>
  <c r="G1487" i="15"/>
  <c r="J1487" i="15" s="1"/>
  <c r="J1486" i="15"/>
  <c r="I1486" i="15"/>
  <c r="H1486" i="15"/>
  <c r="G1486" i="15"/>
  <c r="H1485" i="15"/>
  <c r="G1485" i="15"/>
  <c r="J1485" i="15" s="1"/>
  <c r="H1484" i="15"/>
  <c r="G1484" i="15"/>
  <c r="H1483" i="15"/>
  <c r="G1483" i="15"/>
  <c r="H1482" i="15"/>
  <c r="G1482" i="15"/>
  <c r="I1482" i="15" s="1"/>
  <c r="H1481" i="15"/>
  <c r="G1481" i="15"/>
  <c r="H1480" i="15"/>
  <c r="G1480" i="15"/>
  <c r="I1479" i="15"/>
  <c r="H1479" i="15"/>
  <c r="G1479" i="15"/>
  <c r="J1479" i="15" s="1"/>
  <c r="J1478" i="15"/>
  <c r="I1478" i="15"/>
  <c r="H1478" i="15"/>
  <c r="G1478" i="15"/>
  <c r="I1477" i="15"/>
  <c r="H1477" i="15"/>
  <c r="G1477" i="15"/>
  <c r="J1477" i="15" s="1"/>
  <c r="I1476" i="15"/>
  <c r="H1476" i="15"/>
  <c r="G1476" i="15"/>
  <c r="J1476" i="15" s="1"/>
  <c r="H1475" i="15"/>
  <c r="G1475" i="15"/>
  <c r="J1474" i="15"/>
  <c r="H1474" i="15"/>
  <c r="G1474" i="15"/>
  <c r="I1474" i="15" s="1"/>
  <c r="I1473" i="15"/>
  <c r="H1473" i="15"/>
  <c r="G1473" i="15"/>
  <c r="J1473" i="15" s="1"/>
  <c r="H1472" i="15"/>
  <c r="G1472" i="15"/>
  <c r="J1472" i="15" s="1"/>
  <c r="I1471" i="15"/>
  <c r="H1471" i="15"/>
  <c r="G1471" i="15"/>
  <c r="J1471" i="15" s="1"/>
  <c r="J1470" i="15"/>
  <c r="I1470" i="15"/>
  <c r="H1470" i="15"/>
  <c r="G1470" i="15"/>
  <c r="H1469" i="15"/>
  <c r="G1469" i="15"/>
  <c r="I1468" i="15"/>
  <c r="H1468" i="15"/>
  <c r="G1468" i="15"/>
  <c r="J1468" i="15" s="1"/>
  <c r="H1467" i="15"/>
  <c r="G1467" i="15"/>
  <c r="H1466" i="15"/>
  <c r="G1466" i="15"/>
  <c r="I1465" i="15"/>
  <c r="H1465" i="15"/>
  <c r="G1465" i="15"/>
  <c r="J1465" i="15" s="1"/>
  <c r="I1464" i="15"/>
  <c r="H1464" i="15"/>
  <c r="G1464" i="15"/>
  <c r="J1464" i="15" s="1"/>
  <c r="I1463" i="15"/>
  <c r="H1463" i="15"/>
  <c r="G1463" i="15"/>
  <c r="J1463" i="15" s="1"/>
  <c r="J1462" i="15"/>
  <c r="I1462" i="15"/>
  <c r="H1462" i="15"/>
  <c r="G1462" i="15"/>
  <c r="H1461" i="15"/>
  <c r="G1461" i="15"/>
  <c r="I1460" i="15"/>
  <c r="H1460" i="15"/>
  <c r="G1460" i="15"/>
  <c r="J1460" i="15" s="1"/>
  <c r="H1459" i="15"/>
  <c r="G1459" i="15"/>
  <c r="H1458" i="15"/>
  <c r="G1458" i="15"/>
  <c r="I1457" i="15"/>
  <c r="H1457" i="15"/>
  <c r="G1457" i="15"/>
  <c r="J1457" i="15" s="1"/>
  <c r="H1456" i="15"/>
  <c r="G1456" i="15"/>
  <c r="I1456" i="15" s="1"/>
  <c r="I1455" i="15"/>
  <c r="H1455" i="15"/>
  <c r="G1455" i="15"/>
  <c r="J1455" i="15" s="1"/>
  <c r="J1454" i="15"/>
  <c r="I1454" i="15"/>
  <c r="H1454" i="15"/>
  <c r="G1454" i="15"/>
  <c r="I1453" i="15"/>
  <c r="H1453" i="15"/>
  <c r="G1453" i="15"/>
  <c r="J1453" i="15" s="1"/>
  <c r="H1452" i="15"/>
  <c r="G1452" i="15"/>
  <c r="H1451" i="15"/>
  <c r="G1451" i="15"/>
  <c r="H1450" i="15"/>
  <c r="G1450" i="15"/>
  <c r="I1450" i="15" s="1"/>
  <c r="H1449" i="15"/>
  <c r="G1449" i="15"/>
  <c r="H1448" i="15"/>
  <c r="G1448" i="15"/>
  <c r="I1447" i="15"/>
  <c r="H1447" i="15"/>
  <c r="G1447" i="15"/>
  <c r="J1447" i="15" s="1"/>
  <c r="J1446" i="15"/>
  <c r="I1446" i="15"/>
  <c r="H1446" i="15"/>
  <c r="G1446" i="15"/>
  <c r="I1445" i="15"/>
  <c r="H1445" i="15"/>
  <c r="G1445" i="15"/>
  <c r="J1445" i="15" s="1"/>
  <c r="H1444" i="15"/>
  <c r="G1444" i="15"/>
  <c r="J1444" i="15" s="1"/>
  <c r="H1443" i="15"/>
  <c r="G1443" i="15"/>
  <c r="J1442" i="15"/>
  <c r="H1442" i="15"/>
  <c r="G1442" i="15"/>
  <c r="I1442" i="15" s="1"/>
  <c r="H1441" i="15"/>
  <c r="G1441" i="15"/>
  <c r="J1441" i="15" s="1"/>
  <c r="I1440" i="15"/>
  <c r="H1440" i="15"/>
  <c r="G1440" i="15"/>
  <c r="J1440" i="15" s="1"/>
  <c r="I1439" i="15"/>
  <c r="H1439" i="15"/>
  <c r="G1439" i="15"/>
  <c r="J1439" i="15" s="1"/>
  <c r="J1438" i="15"/>
  <c r="I1438" i="15"/>
  <c r="H1438" i="15"/>
  <c r="G1438" i="15"/>
  <c r="I1437" i="15"/>
  <c r="H1437" i="15"/>
  <c r="G1437" i="15"/>
  <c r="J1437" i="15" s="1"/>
  <c r="I1436" i="15"/>
  <c r="H1436" i="15"/>
  <c r="G1436" i="15"/>
  <c r="J1436" i="15" s="1"/>
  <c r="H1435" i="15"/>
  <c r="G1435" i="15"/>
  <c r="J1434" i="15"/>
  <c r="H1434" i="15"/>
  <c r="G1434" i="15"/>
  <c r="I1434" i="15" s="1"/>
  <c r="I1433" i="15"/>
  <c r="H1433" i="15"/>
  <c r="G1433" i="15"/>
  <c r="J1433" i="15" s="1"/>
  <c r="J1432" i="15"/>
  <c r="I1432" i="15"/>
  <c r="H1432" i="15"/>
  <c r="G1432" i="15"/>
  <c r="I1431" i="15"/>
  <c r="H1431" i="15"/>
  <c r="G1431" i="15"/>
  <c r="J1431" i="15" s="1"/>
  <c r="J1430" i="15"/>
  <c r="I1430" i="15"/>
  <c r="H1430" i="15"/>
  <c r="G1430" i="15"/>
  <c r="H1429" i="15"/>
  <c r="G1429" i="15"/>
  <c r="H1428" i="15"/>
  <c r="G1428" i="15"/>
  <c r="H1427" i="15"/>
  <c r="G1427" i="15"/>
  <c r="H1426" i="15"/>
  <c r="G1426" i="15"/>
  <c r="H1425" i="15"/>
  <c r="G1425" i="15"/>
  <c r="J1424" i="15"/>
  <c r="I1424" i="15"/>
  <c r="H1424" i="15"/>
  <c r="G1424" i="15"/>
  <c r="I1423" i="15"/>
  <c r="H1423" i="15"/>
  <c r="G1423" i="15"/>
  <c r="J1423" i="15" s="1"/>
  <c r="J1422" i="15"/>
  <c r="I1422" i="15"/>
  <c r="H1422" i="15"/>
  <c r="G1422" i="15"/>
  <c r="H1421" i="15"/>
  <c r="G1421" i="15"/>
  <c r="J1421" i="15" s="1"/>
  <c r="H1420" i="15"/>
  <c r="G1420" i="15"/>
  <c r="H1419" i="15"/>
  <c r="G1419" i="15"/>
  <c r="H1418" i="15"/>
  <c r="G1418" i="15"/>
  <c r="I1418" i="15" s="1"/>
  <c r="H1417" i="15"/>
  <c r="G1417" i="15"/>
  <c r="H1416" i="15"/>
  <c r="G1416" i="15"/>
  <c r="I1415" i="15"/>
  <c r="H1415" i="15"/>
  <c r="G1415" i="15"/>
  <c r="J1415" i="15" s="1"/>
  <c r="J1414" i="15"/>
  <c r="I1414" i="15"/>
  <c r="H1414" i="15"/>
  <c r="G1414" i="15"/>
  <c r="I1413" i="15"/>
  <c r="H1413" i="15"/>
  <c r="G1413" i="15"/>
  <c r="J1413" i="15" s="1"/>
  <c r="I1412" i="15"/>
  <c r="H1412" i="15"/>
  <c r="G1412" i="15"/>
  <c r="J1412" i="15" s="1"/>
  <c r="H1411" i="15"/>
  <c r="G1411" i="15"/>
  <c r="J1410" i="15"/>
  <c r="H1410" i="15"/>
  <c r="G1410" i="15"/>
  <c r="I1410" i="15" s="1"/>
  <c r="I1409" i="15"/>
  <c r="H1409" i="15"/>
  <c r="G1409" i="15"/>
  <c r="J1409" i="15" s="1"/>
  <c r="H1408" i="15"/>
  <c r="G1408" i="15"/>
  <c r="J1408" i="15" s="1"/>
  <c r="I1407" i="15"/>
  <c r="H1407" i="15"/>
  <c r="G1407" i="15"/>
  <c r="J1407" i="15" s="1"/>
  <c r="J1406" i="15"/>
  <c r="I1406" i="15"/>
  <c r="H1406" i="15"/>
  <c r="G1406" i="15"/>
  <c r="H1405" i="15"/>
  <c r="G1405" i="15"/>
  <c r="I1404" i="15"/>
  <c r="H1404" i="15"/>
  <c r="G1404" i="15"/>
  <c r="J1404" i="15" s="1"/>
  <c r="H1403" i="15"/>
  <c r="G1403" i="15"/>
  <c r="H1402" i="15"/>
  <c r="G1402" i="15"/>
  <c r="I1401" i="15"/>
  <c r="H1401" i="15"/>
  <c r="G1401" i="15"/>
  <c r="J1401" i="15" s="1"/>
  <c r="I1400" i="15"/>
  <c r="H1400" i="15"/>
  <c r="G1400" i="15"/>
  <c r="J1400" i="15" s="1"/>
  <c r="I1399" i="15"/>
  <c r="H1399" i="15"/>
  <c r="G1399" i="15"/>
  <c r="J1399" i="15" s="1"/>
  <c r="J1398" i="15"/>
  <c r="I1398" i="15"/>
  <c r="H1398" i="15"/>
  <c r="G1398" i="15"/>
  <c r="H1397" i="15"/>
  <c r="G1397" i="15"/>
  <c r="I1396" i="15"/>
  <c r="H1396" i="15"/>
  <c r="G1396" i="15"/>
  <c r="J1396" i="15" s="1"/>
  <c r="H1395" i="15"/>
  <c r="G1395" i="15"/>
  <c r="H1394" i="15"/>
  <c r="G1394" i="15"/>
  <c r="I1393" i="15"/>
  <c r="H1393" i="15"/>
  <c r="G1393" i="15"/>
  <c r="J1393" i="15" s="1"/>
  <c r="H1392" i="15"/>
  <c r="G1392" i="15"/>
  <c r="I1392" i="15" s="1"/>
  <c r="I1391" i="15"/>
  <c r="H1391" i="15"/>
  <c r="G1391" i="15"/>
  <c r="J1391" i="15" s="1"/>
  <c r="J1390" i="15"/>
  <c r="I1390" i="15"/>
  <c r="H1390" i="15"/>
  <c r="G1390" i="15"/>
  <c r="I1389" i="15"/>
  <c r="H1389" i="15"/>
  <c r="G1389" i="15"/>
  <c r="J1389" i="15" s="1"/>
  <c r="H1388" i="15"/>
  <c r="G1388" i="15"/>
  <c r="H1387" i="15"/>
  <c r="G1387" i="15"/>
  <c r="H1386" i="15"/>
  <c r="G1386" i="15"/>
  <c r="I1386" i="15" s="1"/>
  <c r="H1385" i="15"/>
  <c r="G1385" i="15"/>
  <c r="H1384" i="15"/>
  <c r="G1384" i="15"/>
  <c r="I1383" i="15"/>
  <c r="H1383" i="15"/>
  <c r="G1383" i="15"/>
  <c r="J1383" i="15" s="1"/>
  <c r="J1382" i="15"/>
  <c r="I1382" i="15"/>
  <c r="H1382" i="15"/>
  <c r="G1382" i="15"/>
  <c r="I1381" i="15"/>
  <c r="H1381" i="15"/>
  <c r="G1381" i="15"/>
  <c r="J1381" i="15" s="1"/>
  <c r="H1380" i="15"/>
  <c r="G1380" i="15"/>
  <c r="J1380" i="15" s="1"/>
  <c r="H1379" i="15"/>
  <c r="G1379" i="15"/>
  <c r="J1378" i="15"/>
  <c r="H1378" i="15"/>
  <c r="G1378" i="15"/>
  <c r="I1378" i="15" s="1"/>
  <c r="H1377" i="15"/>
  <c r="G1377" i="15"/>
  <c r="J1377" i="15" s="1"/>
  <c r="I1376" i="15"/>
  <c r="H1376" i="15"/>
  <c r="G1376" i="15"/>
  <c r="J1376" i="15" s="1"/>
  <c r="I1375" i="15"/>
  <c r="H1375" i="15"/>
  <c r="G1375" i="15"/>
  <c r="J1375" i="15" s="1"/>
  <c r="J1374" i="15"/>
  <c r="I1374" i="15"/>
  <c r="H1374" i="15"/>
  <c r="G1374" i="15"/>
  <c r="I1373" i="15"/>
  <c r="H1373" i="15"/>
  <c r="G1373" i="15"/>
  <c r="J1373" i="15" s="1"/>
  <c r="I1372" i="15"/>
  <c r="H1372" i="15"/>
  <c r="G1372" i="15"/>
  <c r="J1372" i="15" s="1"/>
  <c r="H1371" i="15"/>
  <c r="G1371" i="15"/>
  <c r="J1370" i="15"/>
  <c r="H1370" i="15"/>
  <c r="G1370" i="15"/>
  <c r="I1370" i="15" s="1"/>
  <c r="I1369" i="15"/>
  <c r="H1369" i="15"/>
  <c r="G1369" i="15"/>
  <c r="J1369" i="15" s="1"/>
  <c r="J1368" i="15"/>
  <c r="I1368" i="15"/>
  <c r="H1368" i="15"/>
  <c r="G1368" i="15"/>
  <c r="I1367" i="15"/>
  <c r="H1367" i="15"/>
  <c r="G1367" i="15"/>
  <c r="J1367" i="15" s="1"/>
  <c r="J1366" i="15"/>
  <c r="I1366" i="15"/>
  <c r="H1366" i="15"/>
  <c r="G1366" i="15"/>
  <c r="H1365" i="15"/>
  <c r="G1365" i="15"/>
  <c r="H1364" i="15"/>
  <c r="G1364" i="15"/>
  <c r="H1363" i="15"/>
  <c r="G1363" i="15"/>
  <c r="H1362" i="15"/>
  <c r="G1362" i="15"/>
  <c r="J1362" i="15" s="1"/>
  <c r="H1361" i="15"/>
  <c r="G1361" i="15"/>
  <c r="H1360" i="15"/>
  <c r="G1360" i="15"/>
  <c r="I1360" i="15" s="1"/>
  <c r="I1359" i="15"/>
  <c r="H1359" i="15"/>
  <c r="G1359" i="15"/>
  <c r="J1359" i="15" s="1"/>
  <c r="J1358" i="15"/>
  <c r="I1358" i="15"/>
  <c r="H1358" i="15"/>
  <c r="G1358" i="15"/>
  <c r="I1357" i="15"/>
  <c r="H1357" i="15"/>
  <c r="G1357" i="15"/>
  <c r="J1357" i="15" s="1"/>
  <c r="H1356" i="15"/>
  <c r="G1356" i="15"/>
  <c r="H1355" i="15"/>
  <c r="G1355" i="15"/>
  <c r="H1354" i="15"/>
  <c r="G1354" i="15"/>
  <c r="I1353" i="15"/>
  <c r="H1353" i="15"/>
  <c r="G1353" i="15"/>
  <c r="J1353" i="15" s="1"/>
  <c r="I1352" i="15"/>
  <c r="H1352" i="15"/>
  <c r="G1352" i="15"/>
  <c r="J1352" i="15" s="1"/>
  <c r="I1351" i="15"/>
  <c r="H1351" i="15"/>
  <c r="G1351" i="15"/>
  <c r="J1351" i="15" s="1"/>
  <c r="J1350" i="15"/>
  <c r="I1350" i="15"/>
  <c r="H1350" i="15"/>
  <c r="G1350" i="15"/>
  <c r="H1349" i="15"/>
  <c r="G1349" i="15"/>
  <c r="J1348" i="15"/>
  <c r="H1348" i="15"/>
  <c r="G1348" i="15"/>
  <c r="I1348" i="15" s="1"/>
  <c r="H1347" i="15"/>
  <c r="G1347" i="15"/>
  <c r="J1346" i="15"/>
  <c r="I1346" i="15"/>
  <c r="H1346" i="15"/>
  <c r="G1346" i="15"/>
  <c r="H1345" i="15"/>
  <c r="G1345" i="15"/>
  <c r="J1345" i="15" s="1"/>
  <c r="I1344" i="15"/>
  <c r="H1344" i="15"/>
  <c r="G1344" i="15"/>
  <c r="J1344" i="15" s="1"/>
  <c r="I1343" i="15"/>
  <c r="H1343" i="15"/>
  <c r="G1343" i="15"/>
  <c r="J1343" i="15" s="1"/>
  <c r="H1342" i="15"/>
  <c r="G1342" i="15"/>
  <c r="I1341" i="15"/>
  <c r="H1341" i="15"/>
  <c r="G1341" i="15"/>
  <c r="J1341" i="15" s="1"/>
  <c r="H1340" i="15"/>
  <c r="G1340" i="15"/>
  <c r="I1340" i="15" s="1"/>
  <c r="I1339" i="15"/>
  <c r="H1339" i="15"/>
  <c r="G1339" i="15"/>
  <c r="J1339" i="15" s="1"/>
  <c r="I1338" i="15"/>
  <c r="H1338" i="15"/>
  <c r="G1338" i="15"/>
  <c r="J1338" i="15" s="1"/>
  <c r="I1337" i="15"/>
  <c r="H1337" i="15"/>
  <c r="G1337" i="15"/>
  <c r="J1337" i="15" s="1"/>
  <c r="H1336" i="15"/>
  <c r="G1336" i="15"/>
  <c r="J1336" i="15" s="1"/>
  <c r="H1335" i="15"/>
  <c r="G1335" i="15"/>
  <c r="H1334" i="15"/>
  <c r="G1334" i="15"/>
  <c r="I1334" i="15" s="1"/>
  <c r="H1333" i="15"/>
  <c r="G1333" i="15"/>
  <c r="J1332" i="15"/>
  <c r="I1332" i="15"/>
  <c r="H1332" i="15"/>
  <c r="G1332" i="15"/>
  <c r="I1331" i="15"/>
  <c r="H1331" i="15"/>
  <c r="G1331" i="15"/>
  <c r="J1331" i="15" s="1"/>
  <c r="J1330" i="15"/>
  <c r="I1330" i="15"/>
  <c r="H1330" i="15"/>
  <c r="G1330" i="15"/>
  <c r="H1329" i="15"/>
  <c r="G1329" i="15"/>
  <c r="J1329" i="15" s="1"/>
  <c r="I1328" i="15"/>
  <c r="H1328" i="15"/>
  <c r="G1328" i="15"/>
  <c r="J1328" i="15" s="1"/>
  <c r="H1327" i="15"/>
  <c r="G1327" i="15"/>
  <c r="H1326" i="15"/>
  <c r="G1326" i="15"/>
  <c r="I1325" i="15"/>
  <c r="H1325" i="15"/>
  <c r="G1325" i="15"/>
  <c r="J1325" i="15" s="1"/>
  <c r="H1324" i="15"/>
  <c r="G1324" i="15"/>
  <c r="I1323" i="15"/>
  <c r="H1323" i="15"/>
  <c r="G1323" i="15"/>
  <c r="J1323" i="15" s="1"/>
  <c r="I1322" i="15"/>
  <c r="H1322" i="15"/>
  <c r="G1322" i="15"/>
  <c r="J1322" i="15" s="1"/>
  <c r="I1321" i="15"/>
  <c r="H1321" i="15"/>
  <c r="G1321" i="15"/>
  <c r="J1321" i="15" s="1"/>
  <c r="H1320" i="15"/>
  <c r="G1320" i="15"/>
  <c r="J1320" i="15" s="1"/>
  <c r="H1319" i="15"/>
  <c r="G1319" i="15"/>
  <c r="H1318" i="15"/>
  <c r="G1318" i="15"/>
  <c r="H1317" i="15"/>
  <c r="G1317" i="15"/>
  <c r="J1316" i="15"/>
  <c r="I1316" i="15"/>
  <c r="H1316" i="15"/>
  <c r="G1316" i="15"/>
  <c r="I1315" i="15"/>
  <c r="H1315" i="15"/>
  <c r="G1315" i="15"/>
  <c r="J1315" i="15" s="1"/>
  <c r="J1314" i="15"/>
  <c r="I1314" i="15"/>
  <c r="H1314" i="15"/>
  <c r="G1314" i="15"/>
  <c r="H1313" i="15"/>
  <c r="G1313" i="15"/>
  <c r="J1313" i="15" s="1"/>
  <c r="I1312" i="15"/>
  <c r="H1312" i="15"/>
  <c r="G1312" i="15"/>
  <c r="J1312" i="15" s="1"/>
  <c r="H1311" i="15"/>
  <c r="G1311" i="15"/>
  <c r="H1310" i="15"/>
  <c r="G1310" i="15"/>
  <c r="I1309" i="15"/>
  <c r="H1309" i="15"/>
  <c r="G1309" i="15"/>
  <c r="J1309" i="15" s="1"/>
  <c r="H1308" i="15"/>
  <c r="G1308" i="15"/>
  <c r="I1308" i="15" s="1"/>
  <c r="I1307" i="15"/>
  <c r="H1307" i="15"/>
  <c r="G1307" i="15"/>
  <c r="J1307" i="15" s="1"/>
  <c r="I1306" i="15"/>
  <c r="H1306" i="15"/>
  <c r="G1306" i="15"/>
  <c r="J1306" i="15" s="1"/>
  <c r="I1305" i="15"/>
  <c r="H1305" i="15"/>
  <c r="G1305" i="15"/>
  <c r="J1305" i="15" s="1"/>
  <c r="H1304" i="15"/>
  <c r="G1304" i="15"/>
  <c r="H1303" i="15"/>
  <c r="G1303" i="15"/>
  <c r="H1302" i="15"/>
  <c r="G1302" i="15"/>
  <c r="I1302" i="15" s="1"/>
  <c r="H1301" i="15"/>
  <c r="G1301" i="15"/>
  <c r="J1301" i="15" s="1"/>
  <c r="J1300" i="15"/>
  <c r="I1300" i="15"/>
  <c r="H1300" i="15"/>
  <c r="G1300" i="15"/>
  <c r="I1299" i="15"/>
  <c r="H1299" i="15"/>
  <c r="G1299" i="15"/>
  <c r="J1299" i="15" s="1"/>
  <c r="J1298" i="15"/>
  <c r="I1298" i="15"/>
  <c r="H1298" i="15"/>
  <c r="G1298" i="15"/>
  <c r="H1297" i="15"/>
  <c r="G1297" i="15"/>
  <c r="H1296" i="15"/>
  <c r="G1296" i="15"/>
  <c r="J1296" i="15" s="1"/>
  <c r="H1295" i="15"/>
  <c r="G1295" i="15"/>
  <c r="H1294" i="15"/>
  <c r="G1294" i="15"/>
  <c r="I1294" i="15" s="1"/>
  <c r="I1293" i="15"/>
  <c r="H1293" i="15"/>
  <c r="G1293" i="15"/>
  <c r="J1293" i="15" s="1"/>
  <c r="J1292" i="15"/>
  <c r="H1292" i="15"/>
  <c r="G1292" i="15"/>
  <c r="I1292" i="15" s="1"/>
  <c r="I1291" i="15"/>
  <c r="H1291" i="15"/>
  <c r="G1291" i="15"/>
  <c r="J1291" i="15" s="1"/>
  <c r="I1290" i="15"/>
  <c r="H1290" i="15"/>
  <c r="G1290" i="15"/>
  <c r="J1290" i="15" s="1"/>
  <c r="H1289" i="15"/>
  <c r="G1289" i="15"/>
  <c r="J1289" i="15" s="1"/>
  <c r="H1288" i="15"/>
  <c r="G1288" i="15"/>
  <c r="H1287" i="15"/>
  <c r="G1287" i="15"/>
  <c r="H1286" i="15"/>
  <c r="G1286" i="15"/>
  <c r="I1286" i="15" s="1"/>
  <c r="I1285" i="15"/>
  <c r="H1285" i="15"/>
  <c r="G1285" i="15"/>
  <c r="J1285" i="15" s="1"/>
  <c r="J1284" i="15"/>
  <c r="I1284" i="15"/>
  <c r="H1284" i="15"/>
  <c r="G1284" i="15"/>
  <c r="I1283" i="15"/>
  <c r="H1283" i="15"/>
  <c r="G1283" i="15"/>
  <c r="J1283" i="15" s="1"/>
  <c r="J1282" i="15"/>
  <c r="I1282" i="15"/>
  <c r="H1282" i="15"/>
  <c r="G1282" i="15"/>
  <c r="H1281" i="15"/>
  <c r="G1281" i="15"/>
  <c r="I1280" i="15"/>
  <c r="H1280" i="15"/>
  <c r="G1280" i="15"/>
  <c r="J1280" i="15" s="1"/>
  <c r="H1279" i="15"/>
  <c r="G1279" i="15"/>
  <c r="H1278" i="15"/>
  <c r="G1278" i="15"/>
  <c r="I1278" i="15" s="1"/>
  <c r="I1277" i="15"/>
  <c r="H1277" i="15"/>
  <c r="G1277" i="15"/>
  <c r="J1277" i="15" s="1"/>
  <c r="J1276" i="15"/>
  <c r="I1276" i="15"/>
  <c r="H1276" i="15"/>
  <c r="G1276" i="15"/>
  <c r="I1275" i="15"/>
  <c r="H1275" i="15"/>
  <c r="G1275" i="15"/>
  <c r="J1275" i="15" s="1"/>
  <c r="I1274" i="15"/>
  <c r="H1274" i="15"/>
  <c r="G1274" i="15"/>
  <c r="J1274" i="15" s="1"/>
  <c r="H1273" i="15"/>
  <c r="G1273" i="15"/>
  <c r="J1273" i="15" s="1"/>
  <c r="H1272" i="15"/>
  <c r="G1272" i="15"/>
  <c r="H1271" i="15"/>
  <c r="G1271" i="15"/>
  <c r="J1270" i="15"/>
  <c r="H1270" i="15"/>
  <c r="G1270" i="15"/>
  <c r="I1270" i="15" s="1"/>
  <c r="I1269" i="15"/>
  <c r="H1269" i="15"/>
  <c r="G1269" i="15"/>
  <c r="J1269" i="15" s="1"/>
  <c r="J1268" i="15"/>
  <c r="I1268" i="15"/>
  <c r="H1268" i="15"/>
  <c r="G1268" i="15"/>
  <c r="I1267" i="15"/>
  <c r="H1267" i="15"/>
  <c r="G1267" i="15"/>
  <c r="J1267" i="15" s="1"/>
  <c r="J1266" i="15"/>
  <c r="I1266" i="15"/>
  <c r="H1266" i="15"/>
  <c r="G1266" i="15"/>
  <c r="H1265" i="15"/>
  <c r="G1265" i="15"/>
  <c r="I1264" i="15"/>
  <c r="H1264" i="15"/>
  <c r="G1264" i="15"/>
  <c r="J1264" i="15" s="1"/>
  <c r="H1263" i="15"/>
  <c r="G1263" i="15"/>
  <c r="J1262" i="15"/>
  <c r="H1262" i="15"/>
  <c r="G1262" i="15"/>
  <c r="I1262" i="15" s="1"/>
  <c r="I1261" i="15"/>
  <c r="H1261" i="15"/>
  <c r="G1261" i="15"/>
  <c r="J1261" i="15" s="1"/>
  <c r="J1260" i="15"/>
  <c r="I1260" i="15"/>
  <c r="H1260" i="15"/>
  <c r="G1260" i="15"/>
  <c r="I1259" i="15"/>
  <c r="H1259" i="15"/>
  <c r="G1259" i="15"/>
  <c r="J1259" i="15" s="1"/>
  <c r="I1258" i="15"/>
  <c r="H1258" i="15"/>
  <c r="G1258" i="15"/>
  <c r="J1258" i="15" s="1"/>
  <c r="I1257" i="15"/>
  <c r="H1257" i="15"/>
  <c r="G1257" i="15"/>
  <c r="J1257" i="15" s="1"/>
  <c r="H1256" i="15"/>
  <c r="G1256" i="15"/>
  <c r="H1255" i="15"/>
  <c r="G1255" i="15"/>
  <c r="J1254" i="15"/>
  <c r="H1254" i="15"/>
  <c r="G1254" i="15"/>
  <c r="I1254" i="15" s="1"/>
  <c r="H1253" i="15"/>
  <c r="G1253" i="15"/>
  <c r="J1253" i="15" s="1"/>
  <c r="J1252" i="15"/>
  <c r="I1252" i="15"/>
  <c r="H1252" i="15"/>
  <c r="G1252" i="15"/>
  <c r="I1251" i="15"/>
  <c r="H1251" i="15"/>
  <c r="G1251" i="15"/>
  <c r="J1251" i="15" s="1"/>
  <c r="J1250" i="15"/>
  <c r="I1250" i="15"/>
  <c r="H1250" i="15"/>
  <c r="G1250" i="15"/>
  <c r="H1249" i="15"/>
  <c r="G1249" i="15"/>
  <c r="H1248" i="15"/>
  <c r="G1248" i="15"/>
  <c r="J1248" i="15" s="1"/>
  <c r="H1247" i="15"/>
  <c r="G1247" i="15"/>
  <c r="J1246" i="15"/>
  <c r="H1246" i="15"/>
  <c r="G1246" i="15"/>
  <c r="I1246" i="15" s="1"/>
  <c r="I1245" i="15"/>
  <c r="H1245" i="15"/>
  <c r="G1245" i="15"/>
  <c r="J1245" i="15" s="1"/>
  <c r="H1244" i="15"/>
  <c r="G1244" i="15"/>
  <c r="I1243" i="15"/>
  <c r="H1243" i="15"/>
  <c r="G1243" i="15"/>
  <c r="J1243" i="15" s="1"/>
  <c r="I1242" i="15"/>
  <c r="H1242" i="15"/>
  <c r="G1242" i="15"/>
  <c r="J1242" i="15" s="1"/>
  <c r="I1241" i="15"/>
  <c r="H1241" i="15"/>
  <c r="G1241" i="15"/>
  <c r="J1241" i="15" s="1"/>
  <c r="H1240" i="15"/>
  <c r="G1240" i="15"/>
  <c r="H1239" i="15"/>
  <c r="G1239" i="15"/>
  <c r="H1238" i="15"/>
  <c r="G1238" i="15"/>
  <c r="H1237" i="15"/>
  <c r="G1237" i="15"/>
  <c r="J1237" i="15" s="1"/>
  <c r="J1236" i="15"/>
  <c r="I1236" i="15"/>
  <c r="H1236" i="15"/>
  <c r="G1236" i="15"/>
  <c r="I1235" i="15"/>
  <c r="H1235" i="15"/>
  <c r="G1235" i="15"/>
  <c r="J1235" i="15" s="1"/>
  <c r="J1234" i="15"/>
  <c r="I1234" i="15"/>
  <c r="H1234" i="15"/>
  <c r="G1234" i="15"/>
  <c r="H1233" i="15"/>
  <c r="G1233" i="15"/>
  <c r="H1232" i="15"/>
  <c r="G1232" i="15"/>
  <c r="J1232" i="15" s="1"/>
  <c r="H1231" i="15"/>
  <c r="G1231" i="15"/>
  <c r="H1230" i="15"/>
  <c r="G1230" i="15"/>
  <c r="I1229" i="15"/>
  <c r="H1229" i="15"/>
  <c r="G1229" i="15"/>
  <c r="J1229" i="15" s="1"/>
  <c r="H1228" i="15"/>
  <c r="G1228" i="15"/>
  <c r="J1228" i="15" s="1"/>
  <c r="I1227" i="15"/>
  <c r="H1227" i="15"/>
  <c r="G1227" i="15"/>
  <c r="J1227" i="15" s="1"/>
  <c r="I1226" i="15"/>
  <c r="H1226" i="15"/>
  <c r="G1226" i="15"/>
  <c r="J1226" i="15" s="1"/>
  <c r="H1225" i="15"/>
  <c r="G1225" i="15"/>
  <c r="H1224" i="15"/>
  <c r="G1224" i="15"/>
  <c r="H1223" i="15"/>
  <c r="G1223" i="15"/>
  <c r="H1222" i="15"/>
  <c r="G1222" i="15"/>
  <c r="I1222" i="15" s="1"/>
  <c r="I1221" i="15"/>
  <c r="H1221" i="15"/>
  <c r="G1221" i="15"/>
  <c r="J1221" i="15" s="1"/>
  <c r="J1220" i="15"/>
  <c r="I1220" i="15"/>
  <c r="H1220" i="15"/>
  <c r="G1220" i="15"/>
  <c r="I1219" i="15"/>
  <c r="H1219" i="15"/>
  <c r="G1219" i="15"/>
  <c r="J1219" i="15" s="1"/>
  <c r="J1218" i="15"/>
  <c r="I1218" i="15"/>
  <c r="H1218" i="15"/>
  <c r="G1218" i="15"/>
  <c r="H1217" i="15"/>
  <c r="G1217" i="15"/>
  <c r="I1216" i="15"/>
  <c r="H1216" i="15"/>
  <c r="G1216" i="15"/>
  <c r="J1216" i="15" s="1"/>
  <c r="H1215" i="15"/>
  <c r="G1215" i="15"/>
  <c r="H1214" i="15"/>
  <c r="G1214" i="15"/>
  <c r="I1214" i="15" s="1"/>
  <c r="I1213" i="15"/>
  <c r="H1213" i="15"/>
  <c r="G1213" i="15"/>
  <c r="J1213" i="15" s="1"/>
  <c r="J1212" i="15"/>
  <c r="I1212" i="15"/>
  <c r="H1212" i="15"/>
  <c r="G1212" i="15"/>
  <c r="I1211" i="15"/>
  <c r="H1211" i="15"/>
  <c r="G1211" i="15"/>
  <c r="J1211" i="15" s="1"/>
  <c r="I1210" i="15"/>
  <c r="H1210" i="15"/>
  <c r="G1210" i="15"/>
  <c r="J1210" i="15" s="1"/>
  <c r="H1209" i="15"/>
  <c r="G1209" i="15"/>
  <c r="J1209" i="15" s="1"/>
  <c r="H1208" i="15"/>
  <c r="G1208" i="15"/>
  <c r="H1207" i="15"/>
  <c r="G1207" i="15"/>
  <c r="J1206" i="15"/>
  <c r="H1206" i="15"/>
  <c r="G1206" i="15"/>
  <c r="I1206" i="15" s="1"/>
  <c r="I1205" i="15"/>
  <c r="H1205" i="15"/>
  <c r="G1205" i="15"/>
  <c r="J1205" i="15" s="1"/>
  <c r="J1204" i="15"/>
  <c r="I1204" i="15"/>
  <c r="H1204" i="15"/>
  <c r="G1204" i="15"/>
  <c r="I1203" i="15"/>
  <c r="H1203" i="15"/>
  <c r="G1203" i="15"/>
  <c r="J1203" i="15" s="1"/>
  <c r="J1202" i="15"/>
  <c r="I1202" i="15"/>
  <c r="H1202" i="15"/>
  <c r="G1202" i="15"/>
  <c r="H1201" i="15"/>
  <c r="G1201" i="15"/>
  <c r="I1200" i="15"/>
  <c r="H1200" i="15"/>
  <c r="G1200" i="15"/>
  <c r="J1200" i="15" s="1"/>
  <c r="H1199" i="15"/>
  <c r="G1199" i="15"/>
  <c r="J1198" i="15"/>
  <c r="H1198" i="15"/>
  <c r="G1198" i="15"/>
  <c r="I1198" i="15" s="1"/>
  <c r="I1197" i="15"/>
  <c r="H1197" i="15"/>
  <c r="G1197" i="15"/>
  <c r="J1197" i="15" s="1"/>
  <c r="I1196" i="15"/>
  <c r="H1196" i="15"/>
  <c r="G1196" i="15"/>
  <c r="J1196" i="15" s="1"/>
  <c r="I1195" i="15"/>
  <c r="H1195" i="15"/>
  <c r="G1195" i="15"/>
  <c r="J1195" i="15" s="1"/>
  <c r="I1194" i="15"/>
  <c r="H1194" i="15"/>
  <c r="G1194" i="15"/>
  <c r="J1194" i="15" s="1"/>
  <c r="I1193" i="15"/>
  <c r="H1193" i="15"/>
  <c r="G1193" i="15"/>
  <c r="J1193" i="15" s="1"/>
  <c r="H1192" i="15"/>
  <c r="G1192" i="15"/>
  <c r="H1191" i="15"/>
  <c r="G1191" i="15"/>
  <c r="J1190" i="15"/>
  <c r="H1190" i="15"/>
  <c r="G1190" i="15"/>
  <c r="I1190" i="15" s="1"/>
  <c r="H1189" i="15"/>
  <c r="G1189" i="15"/>
  <c r="J1188" i="15"/>
  <c r="I1188" i="15"/>
  <c r="H1188" i="15"/>
  <c r="G1188" i="15"/>
  <c r="I1187" i="15"/>
  <c r="H1187" i="15"/>
  <c r="G1187" i="15"/>
  <c r="J1187" i="15" s="1"/>
  <c r="J1186" i="15"/>
  <c r="I1186" i="15"/>
  <c r="H1186" i="15"/>
  <c r="G1186" i="15"/>
  <c r="H1185" i="15"/>
  <c r="G1185" i="15"/>
  <c r="H1184" i="15"/>
  <c r="G1184" i="15"/>
  <c r="H1183" i="15"/>
  <c r="G1183" i="15"/>
  <c r="J1182" i="15"/>
  <c r="H1182" i="15"/>
  <c r="G1182" i="15"/>
  <c r="I1182" i="15" s="1"/>
  <c r="I1181" i="15"/>
  <c r="H1181" i="15"/>
  <c r="G1181" i="15"/>
  <c r="J1181" i="15" s="1"/>
  <c r="H1180" i="15"/>
  <c r="G1180" i="15"/>
  <c r="J1180" i="15" s="1"/>
  <c r="I1179" i="15"/>
  <c r="H1179" i="15"/>
  <c r="G1179" i="15"/>
  <c r="J1179" i="15" s="1"/>
  <c r="I1178" i="15"/>
  <c r="H1178" i="15"/>
  <c r="G1178" i="15"/>
  <c r="J1178" i="15" s="1"/>
  <c r="I1177" i="15"/>
  <c r="H1177" i="15"/>
  <c r="G1177" i="15"/>
  <c r="J1177" i="15" s="1"/>
  <c r="H1176" i="15"/>
  <c r="G1176" i="15"/>
  <c r="H1175" i="15"/>
  <c r="G1175" i="15"/>
  <c r="H1174" i="15"/>
  <c r="G1174" i="15"/>
  <c r="I1174" i="15" s="1"/>
  <c r="H1173" i="15"/>
  <c r="G1173" i="15"/>
  <c r="J1173" i="15" s="1"/>
  <c r="J1172" i="15"/>
  <c r="I1172" i="15"/>
  <c r="H1172" i="15"/>
  <c r="G1172" i="15"/>
  <c r="I1171" i="15"/>
  <c r="H1171" i="15"/>
  <c r="G1171" i="15"/>
  <c r="J1171" i="15" s="1"/>
  <c r="J1170" i="15"/>
  <c r="I1170" i="15"/>
  <c r="H1170" i="15"/>
  <c r="G1170" i="15"/>
  <c r="H1169" i="15"/>
  <c r="G1169" i="15"/>
  <c r="H1168" i="15"/>
  <c r="G1168" i="15"/>
  <c r="J1168" i="15" s="1"/>
  <c r="H1167" i="15"/>
  <c r="G1167" i="15"/>
  <c r="H1166" i="15"/>
  <c r="G1166" i="15"/>
  <c r="I1166" i="15" s="1"/>
  <c r="I1165" i="15"/>
  <c r="H1165" i="15"/>
  <c r="G1165" i="15"/>
  <c r="J1165" i="15" s="1"/>
  <c r="J1164" i="15"/>
  <c r="H1164" i="15"/>
  <c r="G1164" i="15"/>
  <c r="I1164" i="15" s="1"/>
  <c r="I1163" i="15"/>
  <c r="H1163" i="15"/>
  <c r="G1163" i="15"/>
  <c r="J1163" i="15" s="1"/>
  <c r="I1162" i="15"/>
  <c r="H1162" i="15"/>
  <c r="G1162" i="15"/>
  <c r="J1162" i="15" s="1"/>
  <c r="H1161" i="15"/>
  <c r="G1161" i="15"/>
  <c r="J1161" i="15" s="1"/>
  <c r="H1160" i="15"/>
  <c r="G1160" i="15"/>
  <c r="H1159" i="15"/>
  <c r="G1159" i="15"/>
  <c r="H1158" i="15"/>
  <c r="G1158" i="15"/>
  <c r="I1157" i="15"/>
  <c r="H1157" i="15"/>
  <c r="G1157" i="15"/>
  <c r="J1157" i="15" s="1"/>
  <c r="J1156" i="15"/>
  <c r="I1156" i="15"/>
  <c r="H1156" i="15"/>
  <c r="G1156" i="15"/>
  <c r="I1155" i="15"/>
  <c r="H1155" i="15"/>
  <c r="G1155" i="15"/>
  <c r="J1155" i="15" s="1"/>
  <c r="J1154" i="15"/>
  <c r="I1154" i="15"/>
  <c r="H1154" i="15"/>
  <c r="G1154" i="15"/>
  <c r="H1153" i="15"/>
  <c r="G1153" i="15"/>
  <c r="I1152" i="15"/>
  <c r="H1152" i="15"/>
  <c r="G1152" i="15"/>
  <c r="J1152" i="15" s="1"/>
  <c r="H1151" i="15"/>
  <c r="G1151" i="15"/>
  <c r="H1150" i="15"/>
  <c r="G1150" i="15"/>
  <c r="I1149" i="15"/>
  <c r="H1149" i="15"/>
  <c r="G1149" i="15"/>
  <c r="J1149" i="15" s="1"/>
  <c r="J1148" i="15"/>
  <c r="I1148" i="15"/>
  <c r="H1148" i="15"/>
  <c r="G1148" i="15"/>
  <c r="I1147" i="15"/>
  <c r="H1147" i="15"/>
  <c r="G1147" i="15"/>
  <c r="J1147" i="15" s="1"/>
  <c r="I1146" i="15"/>
  <c r="H1146" i="15"/>
  <c r="G1146" i="15"/>
  <c r="J1146" i="15" s="1"/>
  <c r="H1145" i="15"/>
  <c r="G1145" i="15"/>
  <c r="H1144" i="15"/>
  <c r="G1144" i="15"/>
  <c r="H1143" i="15"/>
  <c r="G1143" i="15"/>
  <c r="J1142" i="15"/>
  <c r="H1142" i="15"/>
  <c r="G1142" i="15"/>
  <c r="I1142" i="15" s="1"/>
  <c r="I1141" i="15"/>
  <c r="H1141" i="15"/>
  <c r="G1141" i="15"/>
  <c r="J1141" i="15" s="1"/>
  <c r="J1140" i="15"/>
  <c r="I1140" i="15"/>
  <c r="H1140" i="15"/>
  <c r="G1140" i="15"/>
  <c r="I1139" i="15"/>
  <c r="H1139" i="15"/>
  <c r="G1139" i="15"/>
  <c r="J1139" i="15" s="1"/>
  <c r="J1138" i="15"/>
  <c r="I1138" i="15"/>
  <c r="H1138" i="15"/>
  <c r="G1138" i="15"/>
  <c r="H1137" i="15"/>
  <c r="G1137" i="15"/>
  <c r="I1136" i="15"/>
  <c r="H1136" i="15"/>
  <c r="G1136" i="15"/>
  <c r="J1136" i="15" s="1"/>
  <c r="H1135" i="15"/>
  <c r="G1135" i="15"/>
  <c r="J1134" i="15"/>
  <c r="H1134" i="15"/>
  <c r="G1134" i="15"/>
  <c r="I1134" i="15" s="1"/>
  <c r="I1133" i="15"/>
  <c r="H1133" i="15"/>
  <c r="G1133" i="15"/>
  <c r="J1133" i="15" s="1"/>
  <c r="J1132" i="15"/>
  <c r="I1132" i="15"/>
  <c r="H1132" i="15"/>
  <c r="G1132" i="15"/>
  <c r="I1131" i="15"/>
  <c r="H1131" i="15"/>
  <c r="G1131" i="15"/>
  <c r="J1131" i="15" s="1"/>
  <c r="I1130" i="15"/>
  <c r="H1130" i="15"/>
  <c r="G1130" i="15"/>
  <c r="J1130" i="15" s="1"/>
  <c r="I1129" i="15"/>
  <c r="H1129" i="15"/>
  <c r="G1129" i="15"/>
  <c r="J1129" i="15" s="1"/>
  <c r="H1128" i="15"/>
  <c r="G1128" i="15"/>
  <c r="H1127" i="15"/>
  <c r="G1127" i="15"/>
  <c r="J1126" i="15"/>
  <c r="H1126" i="15"/>
  <c r="G1126" i="15"/>
  <c r="I1126" i="15" s="1"/>
  <c r="H1125" i="15"/>
  <c r="G1125" i="15"/>
  <c r="J1125" i="15" s="1"/>
  <c r="J1124" i="15"/>
  <c r="I1124" i="15"/>
  <c r="H1124" i="15"/>
  <c r="G1124" i="15"/>
  <c r="I1123" i="15"/>
  <c r="H1123" i="15"/>
  <c r="G1123" i="15"/>
  <c r="J1123" i="15" s="1"/>
  <c r="J1122" i="15"/>
  <c r="I1122" i="15"/>
  <c r="H1122" i="15"/>
  <c r="G1122" i="15"/>
  <c r="H1121" i="15"/>
  <c r="G1121" i="15"/>
  <c r="H1120" i="15"/>
  <c r="G1120" i="15"/>
  <c r="J1120" i="15" s="1"/>
  <c r="H1119" i="15"/>
  <c r="G1119" i="15"/>
  <c r="J1118" i="15"/>
  <c r="H1118" i="15"/>
  <c r="G1118" i="15"/>
  <c r="I1118" i="15" s="1"/>
  <c r="I1117" i="15"/>
  <c r="H1117" i="15"/>
  <c r="G1117" i="15"/>
  <c r="J1117" i="15" s="1"/>
  <c r="H1116" i="15"/>
  <c r="G1116" i="15"/>
  <c r="I1115" i="15"/>
  <c r="H1115" i="15"/>
  <c r="G1115" i="15"/>
  <c r="J1115" i="15" s="1"/>
  <c r="I1114" i="15"/>
  <c r="H1114" i="15"/>
  <c r="G1114" i="15"/>
  <c r="J1114" i="15" s="1"/>
  <c r="I1113" i="15"/>
  <c r="H1113" i="15"/>
  <c r="G1113" i="15"/>
  <c r="J1113" i="15" s="1"/>
  <c r="H1112" i="15"/>
  <c r="G1112" i="15"/>
  <c r="H1111" i="15"/>
  <c r="G1111" i="15"/>
  <c r="H1110" i="15"/>
  <c r="G1110" i="15"/>
  <c r="H1109" i="15"/>
  <c r="G1109" i="15"/>
  <c r="J1108" i="15"/>
  <c r="I1108" i="15"/>
  <c r="H1108" i="15"/>
  <c r="G1108" i="15"/>
  <c r="I1107" i="15"/>
  <c r="H1107" i="15"/>
  <c r="G1107" i="15"/>
  <c r="J1107" i="15" s="1"/>
  <c r="J1106" i="15"/>
  <c r="I1106" i="15"/>
  <c r="H1106" i="15"/>
  <c r="G1106" i="15"/>
  <c r="H1105" i="15"/>
  <c r="G1105" i="15"/>
  <c r="H1104" i="15"/>
  <c r="G1104" i="15"/>
  <c r="H1103" i="15"/>
  <c r="G1103" i="15"/>
  <c r="H1102" i="15"/>
  <c r="G1102" i="15"/>
  <c r="I1101" i="15"/>
  <c r="H1101" i="15"/>
  <c r="G1101" i="15"/>
  <c r="J1101" i="15" s="1"/>
  <c r="H1100" i="15"/>
  <c r="G1100" i="15"/>
  <c r="J1100" i="15" s="1"/>
  <c r="I1099" i="15"/>
  <c r="H1099" i="15"/>
  <c r="G1099" i="15"/>
  <c r="J1099" i="15" s="1"/>
  <c r="I1098" i="15"/>
  <c r="H1098" i="15"/>
  <c r="G1098" i="15"/>
  <c r="J1098" i="15" s="1"/>
  <c r="H1097" i="15"/>
  <c r="G1097" i="15"/>
  <c r="H1096" i="15"/>
  <c r="G1096" i="15"/>
  <c r="H1095" i="15"/>
  <c r="G1095" i="15"/>
  <c r="H1094" i="15"/>
  <c r="G1094" i="15"/>
  <c r="I1094" i="15" s="1"/>
  <c r="I1093" i="15"/>
  <c r="H1093" i="15"/>
  <c r="G1093" i="15"/>
  <c r="J1093" i="15" s="1"/>
  <c r="J1092" i="15"/>
  <c r="I1092" i="15"/>
  <c r="H1092" i="15"/>
  <c r="G1092" i="15"/>
  <c r="I1091" i="15"/>
  <c r="H1091" i="15"/>
  <c r="G1091" i="15"/>
  <c r="J1091" i="15" s="1"/>
  <c r="J1090" i="15"/>
  <c r="I1090" i="15"/>
  <c r="H1090" i="15"/>
  <c r="G1090" i="15"/>
  <c r="H1089" i="15"/>
  <c r="G1089" i="15"/>
  <c r="I1088" i="15"/>
  <c r="H1088" i="15"/>
  <c r="G1088" i="15"/>
  <c r="J1088" i="15" s="1"/>
  <c r="H1087" i="15"/>
  <c r="G1087" i="15"/>
  <c r="H1086" i="15"/>
  <c r="G1086" i="15"/>
  <c r="I1086" i="15" s="1"/>
  <c r="I1085" i="15"/>
  <c r="H1085" i="15"/>
  <c r="G1085" i="15"/>
  <c r="J1085" i="15" s="1"/>
  <c r="J1084" i="15"/>
  <c r="I1084" i="15"/>
  <c r="H1084" i="15"/>
  <c r="G1084" i="15"/>
  <c r="I1083" i="15"/>
  <c r="H1083" i="15"/>
  <c r="G1083" i="15"/>
  <c r="J1083" i="15" s="1"/>
  <c r="I1082" i="15"/>
  <c r="H1082" i="15"/>
  <c r="G1082" i="15"/>
  <c r="J1082" i="15" s="1"/>
  <c r="H1081" i="15"/>
  <c r="G1081" i="15"/>
  <c r="J1081" i="15" s="1"/>
  <c r="H1080" i="15"/>
  <c r="G1080" i="15"/>
  <c r="H1079" i="15"/>
  <c r="G1079" i="15"/>
  <c r="J1078" i="15"/>
  <c r="H1078" i="15"/>
  <c r="G1078" i="15"/>
  <c r="I1078" i="15" s="1"/>
  <c r="I1077" i="15"/>
  <c r="H1077" i="15"/>
  <c r="G1077" i="15"/>
  <c r="J1077" i="15" s="1"/>
  <c r="J1076" i="15"/>
  <c r="I1076" i="15"/>
  <c r="H1076" i="15"/>
  <c r="G1076" i="15"/>
  <c r="I1075" i="15"/>
  <c r="H1075" i="15"/>
  <c r="G1075" i="15"/>
  <c r="J1075" i="15" s="1"/>
  <c r="J1074" i="15"/>
  <c r="I1074" i="15"/>
  <c r="H1074" i="15"/>
  <c r="G1074" i="15"/>
  <c r="H1073" i="15"/>
  <c r="G1073" i="15"/>
  <c r="I1072" i="15"/>
  <c r="H1072" i="15"/>
  <c r="G1072" i="15"/>
  <c r="J1072" i="15" s="1"/>
  <c r="H1071" i="15"/>
  <c r="G1071" i="15"/>
  <c r="J1070" i="15"/>
  <c r="H1070" i="15"/>
  <c r="G1070" i="15"/>
  <c r="I1070" i="15" s="1"/>
  <c r="I1069" i="15"/>
  <c r="H1069" i="15"/>
  <c r="G1069" i="15"/>
  <c r="J1069" i="15" s="1"/>
  <c r="I1068" i="15"/>
  <c r="H1068" i="15"/>
  <c r="G1068" i="15"/>
  <c r="J1068" i="15" s="1"/>
  <c r="I1067" i="15"/>
  <c r="H1067" i="15"/>
  <c r="G1067" i="15"/>
  <c r="J1067" i="15" s="1"/>
  <c r="I1066" i="15"/>
  <c r="H1066" i="15"/>
  <c r="G1066" i="15"/>
  <c r="J1066" i="15" s="1"/>
  <c r="I1065" i="15"/>
  <c r="H1065" i="15"/>
  <c r="G1065" i="15"/>
  <c r="J1065" i="15" s="1"/>
  <c r="H1064" i="15"/>
  <c r="G1064" i="15"/>
  <c r="H1063" i="15"/>
  <c r="G1063" i="15"/>
  <c r="J1062" i="15"/>
  <c r="H1062" i="15"/>
  <c r="G1062" i="15"/>
  <c r="I1062" i="15" s="1"/>
  <c r="H1061" i="15"/>
  <c r="G1061" i="15"/>
  <c r="J1060" i="15"/>
  <c r="I1060" i="15"/>
  <c r="H1060" i="15"/>
  <c r="G1060" i="15"/>
  <c r="I1059" i="15"/>
  <c r="H1059" i="15"/>
  <c r="G1059" i="15"/>
  <c r="J1059" i="15" s="1"/>
  <c r="J1058" i="15"/>
  <c r="I1058" i="15"/>
  <c r="H1058" i="15"/>
  <c r="G1058" i="15"/>
  <c r="H1057" i="15"/>
  <c r="G1057" i="15"/>
  <c r="H1056" i="15"/>
  <c r="G1056" i="15"/>
  <c r="H1055" i="15"/>
  <c r="G1055" i="15"/>
  <c r="J1054" i="15"/>
  <c r="H1054" i="15"/>
  <c r="G1054" i="15"/>
  <c r="I1054" i="15" s="1"/>
  <c r="I1053" i="15"/>
  <c r="H1053" i="15"/>
  <c r="G1053" i="15"/>
  <c r="J1053" i="15" s="1"/>
  <c r="H1052" i="15"/>
  <c r="G1052" i="15"/>
  <c r="J1052" i="15" s="1"/>
  <c r="I1051" i="15"/>
  <c r="H1051" i="15"/>
  <c r="G1051" i="15"/>
  <c r="J1051" i="15" s="1"/>
  <c r="I1050" i="15"/>
  <c r="H1050" i="15"/>
  <c r="G1050" i="15"/>
  <c r="J1050" i="15" s="1"/>
  <c r="I1049" i="15"/>
  <c r="H1049" i="15"/>
  <c r="G1049" i="15"/>
  <c r="J1049" i="15" s="1"/>
  <c r="H1048" i="15"/>
  <c r="G1048" i="15"/>
  <c r="H1047" i="15"/>
  <c r="G1047" i="15"/>
  <c r="H1046" i="15"/>
  <c r="G1046" i="15"/>
  <c r="I1046" i="15" s="1"/>
  <c r="H1045" i="15"/>
  <c r="G1045" i="15"/>
  <c r="J1045" i="15" s="1"/>
  <c r="J1044" i="15"/>
  <c r="I1044" i="15"/>
  <c r="H1044" i="15"/>
  <c r="G1044" i="15"/>
  <c r="I1043" i="15"/>
  <c r="H1043" i="15"/>
  <c r="G1043" i="15"/>
  <c r="J1043" i="15" s="1"/>
  <c r="J1042" i="15"/>
  <c r="I1042" i="15"/>
  <c r="H1042" i="15"/>
  <c r="G1042" i="15"/>
  <c r="H1041" i="15"/>
  <c r="G1041" i="15"/>
  <c r="H1040" i="15"/>
  <c r="G1040" i="15"/>
  <c r="J1040" i="15" s="1"/>
  <c r="H1039" i="15"/>
  <c r="G1039" i="15"/>
  <c r="H1038" i="15"/>
  <c r="G1038" i="15"/>
  <c r="I1038" i="15" s="1"/>
  <c r="I1037" i="15"/>
  <c r="H1037" i="15"/>
  <c r="G1037" i="15"/>
  <c r="J1037" i="15" s="1"/>
  <c r="J1036" i="15"/>
  <c r="H1036" i="15"/>
  <c r="G1036" i="15"/>
  <c r="I1036" i="15" s="1"/>
  <c r="I1035" i="15"/>
  <c r="H1035" i="15"/>
  <c r="G1035" i="15"/>
  <c r="J1035" i="15" s="1"/>
  <c r="I1034" i="15"/>
  <c r="H1034" i="15"/>
  <c r="G1034" i="15"/>
  <c r="J1034" i="15" s="1"/>
  <c r="H1033" i="15"/>
  <c r="G1033" i="15"/>
  <c r="J1033" i="15" s="1"/>
  <c r="H1032" i="15"/>
  <c r="G1032" i="15"/>
  <c r="H1031" i="15"/>
  <c r="G1031" i="15"/>
  <c r="H1030" i="15"/>
  <c r="G1030" i="15"/>
  <c r="I1029" i="15"/>
  <c r="H1029" i="15"/>
  <c r="G1029" i="15"/>
  <c r="J1029" i="15" s="1"/>
  <c r="J1028" i="15"/>
  <c r="I1028" i="15"/>
  <c r="H1028" i="15"/>
  <c r="G1028" i="15"/>
  <c r="I1027" i="15"/>
  <c r="H1027" i="15"/>
  <c r="G1027" i="15"/>
  <c r="J1027" i="15" s="1"/>
  <c r="J1026" i="15"/>
  <c r="I1026" i="15"/>
  <c r="H1026" i="15"/>
  <c r="G1026" i="15"/>
  <c r="H1025" i="15"/>
  <c r="G1025" i="15"/>
  <c r="I1024" i="15"/>
  <c r="H1024" i="15"/>
  <c r="G1024" i="15"/>
  <c r="J1024" i="15" s="1"/>
  <c r="H1023" i="15"/>
  <c r="G1023" i="15"/>
  <c r="H1022" i="15"/>
  <c r="G1022" i="15"/>
  <c r="I1021" i="15"/>
  <c r="H1021" i="15"/>
  <c r="G1021" i="15"/>
  <c r="J1021" i="15" s="1"/>
  <c r="J1020" i="15"/>
  <c r="I1020" i="15"/>
  <c r="H1020" i="15"/>
  <c r="G1020" i="15"/>
  <c r="I1019" i="15"/>
  <c r="H1019" i="15"/>
  <c r="G1019" i="15"/>
  <c r="J1019" i="15" s="1"/>
  <c r="I1018" i="15"/>
  <c r="H1018" i="15"/>
  <c r="G1018" i="15"/>
  <c r="J1018" i="15" s="1"/>
  <c r="H1017" i="15"/>
  <c r="G1017" i="15"/>
  <c r="H1016" i="15"/>
  <c r="G1016" i="15"/>
  <c r="H1015" i="15"/>
  <c r="G1015" i="15"/>
  <c r="J1014" i="15"/>
  <c r="H1014" i="15"/>
  <c r="G1014" i="15"/>
  <c r="I1014" i="15" s="1"/>
  <c r="I1013" i="15"/>
  <c r="H1013" i="15"/>
  <c r="G1013" i="15"/>
  <c r="J1013" i="15" s="1"/>
  <c r="J1012" i="15"/>
  <c r="I1012" i="15"/>
  <c r="H1012" i="15"/>
  <c r="G1012" i="15"/>
  <c r="I1011" i="15"/>
  <c r="H1011" i="15"/>
  <c r="G1011" i="15"/>
  <c r="J1011" i="15" s="1"/>
  <c r="J1010" i="15"/>
  <c r="I1010" i="15"/>
  <c r="H1010" i="15"/>
  <c r="G1010" i="15"/>
  <c r="H1009" i="15"/>
  <c r="G1009" i="15"/>
  <c r="I1008" i="15"/>
  <c r="H1008" i="15"/>
  <c r="G1008" i="15"/>
  <c r="J1008" i="15" s="1"/>
  <c r="H1007" i="15"/>
  <c r="G1007" i="15"/>
  <c r="J1006" i="15"/>
  <c r="H1006" i="15"/>
  <c r="G1006" i="15"/>
  <c r="I1006" i="15" s="1"/>
  <c r="I1005" i="15"/>
  <c r="H1005" i="15"/>
  <c r="G1005" i="15"/>
  <c r="J1005" i="15" s="1"/>
  <c r="J1004" i="15"/>
  <c r="I1004" i="15"/>
  <c r="H1004" i="15"/>
  <c r="G1004" i="15"/>
  <c r="I1003" i="15"/>
  <c r="H1003" i="15"/>
  <c r="G1003" i="15"/>
  <c r="J1003" i="15" s="1"/>
  <c r="I1002" i="15"/>
  <c r="H1002" i="15"/>
  <c r="G1002" i="15"/>
  <c r="J1002" i="15" s="1"/>
  <c r="I1001" i="15"/>
  <c r="H1001" i="15"/>
  <c r="G1001" i="15"/>
  <c r="J1001" i="15" s="1"/>
  <c r="H1000" i="15"/>
  <c r="G1000" i="15"/>
  <c r="H999" i="15"/>
  <c r="G999" i="15"/>
  <c r="J998" i="15"/>
  <c r="H998" i="15"/>
  <c r="G998" i="15"/>
  <c r="I998" i="15" s="1"/>
  <c r="H997" i="15"/>
  <c r="G997" i="15"/>
  <c r="J997" i="15" s="1"/>
  <c r="J996" i="15"/>
  <c r="I996" i="15"/>
  <c r="H996" i="15"/>
  <c r="G996" i="15"/>
  <c r="I995" i="15"/>
  <c r="H995" i="15"/>
  <c r="G995" i="15"/>
  <c r="J995" i="15" s="1"/>
  <c r="J994" i="15"/>
  <c r="I994" i="15"/>
  <c r="H994" i="15"/>
  <c r="G994" i="15"/>
  <c r="H993" i="15"/>
  <c r="G993" i="15"/>
  <c r="H992" i="15"/>
  <c r="G992" i="15"/>
  <c r="J992" i="15" s="1"/>
  <c r="H991" i="15"/>
  <c r="G991" i="15"/>
  <c r="J990" i="15"/>
  <c r="H990" i="15"/>
  <c r="G990" i="15"/>
  <c r="I990" i="15" s="1"/>
  <c r="I989" i="15"/>
  <c r="H989" i="15"/>
  <c r="G989" i="15"/>
  <c r="J989" i="15" s="1"/>
  <c r="H988" i="15"/>
  <c r="G988" i="15"/>
  <c r="I987" i="15"/>
  <c r="H987" i="15"/>
  <c r="G987" i="15"/>
  <c r="J987" i="15" s="1"/>
  <c r="I986" i="15"/>
  <c r="H986" i="15"/>
  <c r="G986" i="15"/>
  <c r="J986" i="15" s="1"/>
  <c r="I985" i="15"/>
  <c r="H985" i="15"/>
  <c r="G985" i="15"/>
  <c r="J985" i="15" s="1"/>
  <c r="H984" i="15"/>
  <c r="G984" i="15"/>
  <c r="H983" i="15"/>
  <c r="G983" i="15"/>
  <c r="H982" i="15"/>
  <c r="G982" i="15"/>
  <c r="H981" i="15"/>
  <c r="G981" i="15"/>
  <c r="J980" i="15"/>
  <c r="I980" i="15"/>
  <c r="H980" i="15"/>
  <c r="G980" i="15"/>
  <c r="I979" i="15"/>
  <c r="H979" i="15"/>
  <c r="G979" i="15"/>
  <c r="J979" i="15" s="1"/>
  <c r="J978" i="15"/>
  <c r="I978" i="15"/>
  <c r="H978" i="15"/>
  <c r="G978" i="15"/>
  <c r="H977" i="15"/>
  <c r="G977" i="15"/>
  <c r="H976" i="15"/>
  <c r="G976" i="15"/>
  <c r="H975" i="15"/>
  <c r="G975" i="15"/>
  <c r="H974" i="15"/>
  <c r="G974" i="15"/>
  <c r="I973" i="15"/>
  <c r="H973" i="15"/>
  <c r="G973" i="15"/>
  <c r="J973" i="15" s="1"/>
  <c r="H972" i="15"/>
  <c r="G972" i="15"/>
  <c r="J972" i="15" s="1"/>
  <c r="I971" i="15"/>
  <c r="H971" i="15"/>
  <c r="G971" i="15"/>
  <c r="J971" i="15" s="1"/>
  <c r="I970" i="15"/>
  <c r="H970" i="15"/>
  <c r="G970" i="15"/>
  <c r="J970" i="15" s="1"/>
  <c r="H969" i="15"/>
  <c r="G969" i="15"/>
  <c r="H968" i="15"/>
  <c r="G968" i="15"/>
  <c r="H967" i="15"/>
  <c r="G967" i="15"/>
  <c r="H966" i="15"/>
  <c r="G966" i="15"/>
  <c r="I966" i="15" s="1"/>
  <c r="I965" i="15"/>
  <c r="H965" i="15"/>
  <c r="G965" i="15"/>
  <c r="J965" i="15" s="1"/>
  <c r="J964" i="15"/>
  <c r="I964" i="15"/>
  <c r="H964" i="15"/>
  <c r="G964" i="15"/>
  <c r="I963" i="15"/>
  <c r="H963" i="15"/>
  <c r="G963" i="15"/>
  <c r="J963" i="15" s="1"/>
  <c r="J962" i="15"/>
  <c r="I962" i="15"/>
  <c r="H962" i="15"/>
  <c r="G962" i="15"/>
  <c r="H961" i="15"/>
  <c r="G961" i="15"/>
  <c r="I960" i="15"/>
  <c r="H960" i="15"/>
  <c r="G960" i="15"/>
  <c r="J960" i="15" s="1"/>
  <c r="H959" i="15"/>
  <c r="G959" i="15"/>
  <c r="H958" i="15"/>
  <c r="G958" i="15"/>
  <c r="I958" i="15" s="1"/>
  <c r="I957" i="15"/>
  <c r="H957" i="15"/>
  <c r="G957" i="15"/>
  <c r="J957" i="15" s="1"/>
  <c r="J956" i="15"/>
  <c r="I956" i="15"/>
  <c r="H956" i="15"/>
  <c r="G956" i="15"/>
  <c r="I955" i="15"/>
  <c r="H955" i="15"/>
  <c r="G955" i="15"/>
  <c r="J955" i="15" s="1"/>
  <c r="I954" i="15"/>
  <c r="H954" i="15"/>
  <c r="G954" i="15"/>
  <c r="J954" i="15" s="1"/>
  <c r="H953" i="15"/>
  <c r="G953" i="15"/>
  <c r="J953" i="15" s="1"/>
  <c r="H952" i="15"/>
  <c r="G952" i="15"/>
  <c r="H951" i="15"/>
  <c r="G951" i="15"/>
  <c r="J950" i="15"/>
  <c r="H950" i="15"/>
  <c r="G950" i="15"/>
  <c r="I950" i="15" s="1"/>
  <c r="I949" i="15"/>
  <c r="H949" i="15"/>
  <c r="G949" i="15"/>
  <c r="J949" i="15" s="1"/>
  <c r="J948" i="15"/>
  <c r="I948" i="15"/>
  <c r="H948" i="15"/>
  <c r="G948" i="15"/>
  <c r="I947" i="15"/>
  <c r="H947" i="15"/>
  <c r="G947" i="15"/>
  <c r="J947" i="15" s="1"/>
  <c r="J946" i="15"/>
  <c r="I946" i="15"/>
  <c r="H946" i="15"/>
  <c r="G946" i="15"/>
  <c r="H945" i="15"/>
  <c r="G945" i="15"/>
  <c r="I944" i="15"/>
  <c r="H944" i="15"/>
  <c r="G944" i="15"/>
  <c r="J944" i="15" s="1"/>
  <c r="H943" i="15"/>
  <c r="G943" i="15"/>
  <c r="J942" i="15"/>
  <c r="H942" i="15"/>
  <c r="G942" i="15"/>
  <c r="I942" i="15" s="1"/>
  <c r="I941" i="15"/>
  <c r="H941" i="15"/>
  <c r="G941" i="15"/>
  <c r="J941" i="15" s="1"/>
  <c r="I940" i="15"/>
  <c r="H940" i="15"/>
  <c r="G940" i="15"/>
  <c r="J940" i="15" s="1"/>
  <c r="I939" i="15"/>
  <c r="H939" i="15"/>
  <c r="G939" i="15"/>
  <c r="J939" i="15" s="1"/>
  <c r="I938" i="15"/>
  <c r="H938" i="15"/>
  <c r="G938" i="15"/>
  <c r="J938" i="15" s="1"/>
  <c r="I937" i="15"/>
  <c r="H937" i="15"/>
  <c r="G937" i="15"/>
  <c r="J937" i="15" s="1"/>
  <c r="H936" i="15"/>
  <c r="G936" i="15"/>
  <c r="H935" i="15"/>
  <c r="G935" i="15"/>
  <c r="J934" i="15"/>
  <c r="H934" i="15"/>
  <c r="G934" i="15"/>
  <c r="I934" i="15" s="1"/>
  <c r="H933" i="15"/>
  <c r="G933" i="15"/>
  <c r="J932" i="15"/>
  <c r="I932" i="15"/>
  <c r="H932" i="15"/>
  <c r="G932" i="15"/>
  <c r="I931" i="15"/>
  <c r="H931" i="15"/>
  <c r="G931" i="15"/>
  <c r="J931" i="15" s="1"/>
  <c r="J930" i="15"/>
  <c r="I930" i="15"/>
  <c r="H930" i="15"/>
  <c r="G930" i="15"/>
  <c r="H929" i="15"/>
  <c r="G929" i="15"/>
  <c r="H928" i="15"/>
  <c r="G928" i="15"/>
  <c r="H927" i="15"/>
  <c r="G927" i="15"/>
  <c r="J926" i="15"/>
  <c r="H926" i="15"/>
  <c r="G926" i="15"/>
  <c r="I926" i="15" s="1"/>
  <c r="I925" i="15"/>
  <c r="H925" i="15"/>
  <c r="G925" i="15"/>
  <c r="J925" i="15" s="1"/>
  <c r="H924" i="15"/>
  <c r="G924" i="15"/>
  <c r="J924" i="15" s="1"/>
  <c r="I923" i="15"/>
  <c r="H923" i="15"/>
  <c r="G923" i="15"/>
  <c r="J923" i="15" s="1"/>
  <c r="I922" i="15"/>
  <c r="H922" i="15"/>
  <c r="G922" i="15"/>
  <c r="J922" i="15" s="1"/>
  <c r="I921" i="15"/>
  <c r="H921" i="15"/>
  <c r="G921" i="15"/>
  <c r="J921" i="15" s="1"/>
  <c r="H920" i="15"/>
  <c r="G920" i="15"/>
  <c r="H919" i="15"/>
  <c r="G919" i="15"/>
  <c r="H918" i="15"/>
  <c r="G918" i="15"/>
  <c r="I918" i="15" s="1"/>
  <c r="H917" i="15"/>
  <c r="G917" i="15"/>
  <c r="J917" i="15" s="1"/>
  <c r="J916" i="15"/>
  <c r="I916" i="15"/>
  <c r="H916" i="15"/>
  <c r="G916" i="15"/>
  <c r="I915" i="15"/>
  <c r="H915" i="15"/>
  <c r="G915" i="15"/>
  <c r="J915" i="15" s="1"/>
  <c r="J914" i="15"/>
  <c r="I914" i="15"/>
  <c r="H914" i="15"/>
  <c r="G914" i="15"/>
  <c r="H913" i="15"/>
  <c r="G913" i="15"/>
  <c r="H912" i="15"/>
  <c r="G912" i="15"/>
  <c r="J912" i="15" s="1"/>
  <c r="H911" i="15"/>
  <c r="G911" i="15"/>
  <c r="H910" i="15"/>
  <c r="G910" i="15"/>
  <c r="I910" i="15" s="1"/>
  <c r="I909" i="15"/>
  <c r="H909" i="15"/>
  <c r="G909" i="15"/>
  <c r="J909" i="15" s="1"/>
  <c r="J908" i="15"/>
  <c r="H908" i="15"/>
  <c r="G908" i="15"/>
  <c r="I908" i="15" s="1"/>
  <c r="I907" i="15"/>
  <c r="H907" i="15"/>
  <c r="G907" i="15"/>
  <c r="J907" i="15" s="1"/>
  <c r="I906" i="15"/>
  <c r="H906" i="15"/>
  <c r="G906" i="15"/>
  <c r="J906" i="15" s="1"/>
  <c r="H905" i="15"/>
  <c r="G905" i="15"/>
  <c r="J905" i="15" s="1"/>
  <c r="H904" i="15"/>
  <c r="G904" i="15"/>
  <c r="H903" i="15"/>
  <c r="G903" i="15"/>
  <c r="H902" i="15"/>
  <c r="G902" i="15"/>
  <c r="I901" i="15"/>
  <c r="H901" i="15"/>
  <c r="G901" i="15"/>
  <c r="J901" i="15" s="1"/>
  <c r="J900" i="15"/>
  <c r="I900" i="15"/>
  <c r="H900" i="15"/>
  <c r="G900" i="15"/>
  <c r="I899" i="15"/>
  <c r="H899" i="15"/>
  <c r="G899" i="15"/>
  <c r="J899" i="15" s="1"/>
  <c r="J898" i="15"/>
  <c r="I898" i="15"/>
  <c r="H898" i="15"/>
  <c r="G898" i="15"/>
  <c r="H897" i="15"/>
  <c r="G897" i="15"/>
  <c r="I896" i="15"/>
  <c r="H896" i="15"/>
  <c r="G896" i="15"/>
  <c r="J896" i="15" s="1"/>
  <c r="H895" i="15"/>
  <c r="G895" i="15"/>
  <c r="H894" i="15"/>
  <c r="G894" i="15"/>
  <c r="I893" i="15"/>
  <c r="H893" i="15"/>
  <c r="G893" i="15"/>
  <c r="J893" i="15" s="1"/>
  <c r="J892" i="15"/>
  <c r="I892" i="15"/>
  <c r="H892" i="15"/>
  <c r="G892" i="15"/>
  <c r="I891" i="15"/>
  <c r="H891" i="15"/>
  <c r="G891" i="15"/>
  <c r="J891" i="15" s="1"/>
  <c r="I890" i="15"/>
  <c r="H890" i="15"/>
  <c r="G890" i="15"/>
  <c r="J890" i="15" s="1"/>
  <c r="H889" i="15"/>
  <c r="G889" i="15"/>
  <c r="H888" i="15"/>
  <c r="G888" i="15"/>
  <c r="H887" i="15"/>
  <c r="G887" i="15"/>
  <c r="J886" i="15"/>
  <c r="H886" i="15"/>
  <c r="G886" i="15"/>
  <c r="I886" i="15" s="1"/>
  <c r="I885" i="15"/>
  <c r="H885" i="15"/>
  <c r="G885" i="15"/>
  <c r="J885" i="15" s="1"/>
  <c r="J884" i="15"/>
  <c r="I884" i="15"/>
  <c r="H884" i="15"/>
  <c r="G884" i="15"/>
  <c r="I883" i="15"/>
  <c r="H883" i="15"/>
  <c r="G883" i="15"/>
  <c r="J883" i="15" s="1"/>
  <c r="J882" i="15"/>
  <c r="I882" i="15"/>
  <c r="H882" i="15"/>
  <c r="G882" i="15"/>
  <c r="H881" i="15"/>
  <c r="G881" i="15"/>
  <c r="I880" i="15"/>
  <c r="H880" i="15"/>
  <c r="G880" i="15"/>
  <c r="J880" i="15" s="1"/>
  <c r="H879" i="15"/>
  <c r="G879" i="15"/>
  <c r="J878" i="15"/>
  <c r="H878" i="15"/>
  <c r="G878" i="15"/>
  <c r="I878" i="15" s="1"/>
  <c r="I877" i="15"/>
  <c r="H877" i="15"/>
  <c r="G877" i="15"/>
  <c r="J877" i="15" s="1"/>
  <c r="J876" i="15"/>
  <c r="I876" i="15"/>
  <c r="H876" i="15"/>
  <c r="G876" i="15"/>
  <c r="I875" i="15"/>
  <c r="H875" i="15"/>
  <c r="G875" i="15"/>
  <c r="J875" i="15" s="1"/>
  <c r="I874" i="15"/>
  <c r="H874" i="15"/>
  <c r="G874" i="15"/>
  <c r="J874" i="15" s="1"/>
  <c r="I873" i="15"/>
  <c r="H873" i="15"/>
  <c r="G873" i="15"/>
  <c r="J873" i="15" s="1"/>
  <c r="H872" i="15"/>
  <c r="G872" i="15"/>
  <c r="H871" i="15"/>
  <c r="G871" i="15"/>
  <c r="J870" i="15"/>
  <c r="H870" i="15"/>
  <c r="G870" i="15"/>
  <c r="I870" i="15" s="1"/>
  <c r="H869" i="15"/>
  <c r="G869" i="15"/>
  <c r="J869" i="15" s="1"/>
  <c r="J868" i="15"/>
  <c r="I868" i="15"/>
  <c r="H868" i="15"/>
  <c r="G868" i="15"/>
  <c r="I867" i="15"/>
  <c r="H867" i="15"/>
  <c r="G867" i="15"/>
  <c r="J867" i="15" s="1"/>
  <c r="J866" i="15"/>
  <c r="I866" i="15"/>
  <c r="H866" i="15"/>
  <c r="G866" i="15"/>
  <c r="H865" i="15"/>
  <c r="G865" i="15"/>
  <c r="H864" i="15"/>
  <c r="G864" i="15"/>
  <c r="J864" i="15" s="1"/>
  <c r="H863" i="15"/>
  <c r="G863" i="15"/>
  <c r="J862" i="15"/>
  <c r="H862" i="15"/>
  <c r="G862" i="15"/>
  <c r="I862" i="15" s="1"/>
  <c r="I861" i="15"/>
  <c r="H861" i="15"/>
  <c r="G861" i="15"/>
  <c r="J861" i="15" s="1"/>
  <c r="H860" i="15"/>
  <c r="G860" i="15"/>
  <c r="I859" i="15"/>
  <c r="H859" i="15"/>
  <c r="G859" i="15"/>
  <c r="J859" i="15" s="1"/>
  <c r="I858" i="15"/>
  <c r="H858" i="15"/>
  <c r="G858" i="15"/>
  <c r="J858" i="15" s="1"/>
  <c r="I857" i="15"/>
  <c r="H857" i="15"/>
  <c r="G857" i="15"/>
  <c r="J857" i="15" s="1"/>
  <c r="H856" i="15"/>
  <c r="G856" i="15"/>
  <c r="H855" i="15"/>
  <c r="G855" i="15"/>
  <c r="H854" i="15"/>
  <c r="G854" i="15"/>
  <c r="H853" i="15"/>
  <c r="G853" i="15"/>
  <c r="J852" i="15"/>
  <c r="I852" i="15"/>
  <c r="H852" i="15"/>
  <c r="G852" i="15"/>
  <c r="I851" i="15"/>
  <c r="H851" i="15"/>
  <c r="G851" i="15"/>
  <c r="J851" i="15" s="1"/>
  <c r="J850" i="15"/>
  <c r="I850" i="15"/>
  <c r="H850" i="15"/>
  <c r="G850" i="15"/>
  <c r="H849" i="15"/>
  <c r="G849" i="15"/>
  <c r="H848" i="15"/>
  <c r="G848" i="15"/>
  <c r="H847" i="15"/>
  <c r="G847" i="15"/>
  <c r="H846" i="15"/>
  <c r="G846" i="15"/>
  <c r="I845" i="15"/>
  <c r="H845" i="15"/>
  <c r="G845" i="15"/>
  <c r="J845" i="15" s="1"/>
  <c r="H844" i="15"/>
  <c r="G844" i="15"/>
  <c r="J844" i="15" s="1"/>
  <c r="I843" i="15"/>
  <c r="H843" i="15"/>
  <c r="G843" i="15"/>
  <c r="J843" i="15" s="1"/>
  <c r="I842" i="15"/>
  <c r="H842" i="15"/>
  <c r="G842" i="15"/>
  <c r="J842" i="15" s="1"/>
  <c r="H841" i="15"/>
  <c r="G841" i="15"/>
  <c r="H840" i="15"/>
  <c r="G840" i="15"/>
  <c r="H839" i="15"/>
  <c r="G839" i="15"/>
  <c r="H838" i="15"/>
  <c r="G838" i="15"/>
  <c r="I838" i="15" s="1"/>
  <c r="I837" i="15"/>
  <c r="H837" i="15"/>
  <c r="G837" i="15"/>
  <c r="J837" i="15" s="1"/>
  <c r="J836" i="15"/>
  <c r="I836" i="15"/>
  <c r="H836" i="15"/>
  <c r="G836" i="15"/>
  <c r="I835" i="15"/>
  <c r="H835" i="15"/>
  <c r="G835" i="15"/>
  <c r="J835" i="15" s="1"/>
  <c r="J834" i="15"/>
  <c r="I834" i="15"/>
  <c r="H834" i="15"/>
  <c r="G834" i="15"/>
  <c r="H833" i="15"/>
  <c r="G833" i="15"/>
  <c r="I832" i="15"/>
  <c r="H832" i="15"/>
  <c r="G832" i="15"/>
  <c r="J832" i="15" s="1"/>
  <c r="H831" i="15"/>
  <c r="G831" i="15"/>
  <c r="H830" i="15"/>
  <c r="G830" i="15"/>
  <c r="I830" i="15" s="1"/>
  <c r="I829" i="15"/>
  <c r="H829" i="15"/>
  <c r="G829" i="15"/>
  <c r="J829" i="15" s="1"/>
  <c r="J828" i="15"/>
  <c r="I828" i="15"/>
  <c r="H828" i="15"/>
  <c r="G828" i="15"/>
  <c r="I827" i="15"/>
  <c r="H827" i="15"/>
  <c r="G827" i="15"/>
  <c r="J827" i="15" s="1"/>
  <c r="I826" i="15"/>
  <c r="H826" i="15"/>
  <c r="G826" i="15"/>
  <c r="J826" i="15" s="1"/>
  <c r="H825" i="15"/>
  <c r="G825" i="15"/>
  <c r="J825" i="15" s="1"/>
  <c r="H824" i="15"/>
  <c r="G824" i="15"/>
  <c r="H823" i="15"/>
  <c r="G823" i="15"/>
  <c r="J822" i="15"/>
  <c r="H822" i="15"/>
  <c r="G822" i="15"/>
  <c r="I822" i="15" s="1"/>
  <c r="I821" i="15"/>
  <c r="H821" i="15"/>
  <c r="G821" i="15"/>
  <c r="J821" i="15" s="1"/>
  <c r="J820" i="15"/>
  <c r="I820" i="15"/>
  <c r="H820" i="15"/>
  <c r="G820" i="15"/>
  <c r="I819" i="15"/>
  <c r="H819" i="15"/>
  <c r="G819" i="15"/>
  <c r="J819" i="15" s="1"/>
  <c r="J818" i="15"/>
  <c r="I818" i="15"/>
  <c r="H818" i="15"/>
  <c r="G818" i="15"/>
  <c r="H817" i="15"/>
  <c r="G817" i="15"/>
  <c r="I816" i="15"/>
  <c r="H816" i="15"/>
  <c r="G816" i="15"/>
  <c r="J816" i="15" s="1"/>
  <c r="H815" i="15"/>
  <c r="G815" i="15"/>
  <c r="J814" i="15"/>
  <c r="H814" i="15"/>
  <c r="G814" i="15"/>
  <c r="I814" i="15" s="1"/>
  <c r="I813" i="15"/>
  <c r="H813" i="15"/>
  <c r="G813" i="15"/>
  <c r="J813" i="15" s="1"/>
  <c r="I812" i="15"/>
  <c r="H812" i="15"/>
  <c r="G812" i="15"/>
  <c r="J812" i="15" s="1"/>
  <c r="I811" i="15"/>
  <c r="H811" i="15"/>
  <c r="G811" i="15"/>
  <c r="J811" i="15" s="1"/>
  <c r="I810" i="15"/>
  <c r="H810" i="15"/>
  <c r="G810" i="15"/>
  <c r="J810" i="15" s="1"/>
  <c r="I809" i="15"/>
  <c r="H809" i="15"/>
  <c r="G809" i="15"/>
  <c r="J809" i="15" s="1"/>
  <c r="H808" i="15"/>
  <c r="G808" i="15"/>
  <c r="H807" i="15"/>
  <c r="G807" i="15"/>
  <c r="J806" i="15"/>
  <c r="H806" i="15"/>
  <c r="G806" i="15"/>
  <c r="I806" i="15" s="1"/>
  <c r="H805" i="15"/>
  <c r="G805" i="15"/>
  <c r="J804" i="15"/>
  <c r="I804" i="15"/>
  <c r="H804" i="15"/>
  <c r="G804" i="15"/>
  <c r="I803" i="15"/>
  <c r="H803" i="15"/>
  <c r="G803" i="15"/>
  <c r="J803" i="15" s="1"/>
  <c r="J802" i="15"/>
  <c r="I802" i="15"/>
  <c r="H802" i="15"/>
  <c r="G802" i="15"/>
  <c r="H801" i="15"/>
  <c r="G801" i="15"/>
  <c r="H800" i="15"/>
  <c r="G800" i="15"/>
  <c r="H799" i="15"/>
  <c r="G799" i="15"/>
  <c r="J798" i="15"/>
  <c r="H798" i="15"/>
  <c r="G798" i="15"/>
  <c r="I798" i="15" s="1"/>
  <c r="I797" i="15"/>
  <c r="H797" i="15"/>
  <c r="G797" i="15"/>
  <c r="J797" i="15" s="1"/>
  <c r="H796" i="15"/>
  <c r="G796" i="15"/>
  <c r="J796" i="15" s="1"/>
  <c r="I795" i="15"/>
  <c r="H795" i="15"/>
  <c r="G795" i="15"/>
  <c r="J795" i="15" s="1"/>
  <c r="I794" i="15"/>
  <c r="H794" i="15"/>
  <c r="G794" i="15"/>
  <c r="J794" i="15" s="1"/>
  <c r="I793" i="15"/>
  <c r="H793" i="15"/>
  <c r="G793" i="15"/>
  <c r="J793" i="15" s="1"/>
  <c r="H792" i="15"/>
  <c r="G792" i="15"/>
  <c r="H791" i="15"/>
  <c r="G791" i="15"/>
  <c r="H790" i="15"/>
  <c r="G790" i="15"/>
  <c r="I790" i="15" s="1"/>
  <c r="H789" i="15"/>
  <c r="G789" i="15"/>
  <c r="J789" i="15" s="1"/>
  <c r="J788" i="15"/>
  <c r="I788" i="15"/>
  <c r="H788" i="15"/>
  <c r="G788" i="15"/>
  <c r="I787" i="15"/>
  <c r="H787" i="15"/>
  <c r="G787" i="15"/>
  <c r="J787" i="15" s="1"/>
  <c r="J786" i="15"/>
  <c r="I786" i="15"/>
  <c r="H786" i="15"/>
  <c r="G786" i="15"/>
  <c r="H785" i="15"/>
  <c r="G785" i="15"/>
  <c r="H784" i="15"/>
  <c r="G784" i="15"/>
  <c r="J784" i="15" s="1"/>
  <c r="H783" i="15"/>
  <c r="G783" i="15"/>
  <c r="H782" i="15"/>
  <c r="G782" i="15"/>
  <c r="I782" i="15" s="1"/>
  <c r="I781" i="15"/>
  <c r="H781" i="15"/>
  <c r="G781" i="15"/>
  <c r="J781" i="15" s="1"/>
  <c r="J780" i="15"/>
  <c r="H780" i="15"/>
  <c r="G780" i="15"/>
  <c r="I780" i="15" s="1"/>
  <c r="I779" i="15"/>
  <c r="H779" i="15"/>
  <c r="G779" i="15"/>
  <c r="J779" i="15" s="1"/>
  <c r="I778" i="15"/>
  <c r="H778" i="15"/>
  <c r="G778" i="15"/>
  <c r="J778" i="15" s="1"/>
  <c r="H777" i="15"/>
  <c r="G777" i="15"/>
  <c r="J777" i="15" s="1"/>
  <c r="H776" i="15"/>
  <c r="G776" i="15"/>
  <c r="H775" i="15"/>
  <c r="G775" i="15"/>
  <c r="H774" i="15"/>
  <c r="G774" i="15"/>
  <c r="I773" i="15"/>
  <c r="H773" i="15"/>
  <c r="G773" i="15"/>
  <c r="J773" i="15" s="1"/>
  <c r="J772" i="15"/>
  <c r="I772" i="15"/>
  <c r="H772" i="15"/>
  <c r="G772" i="15"/>
  <c r="I771" i="15"/>
  <c r="H771" i="15"/>
  <c r="G771" i="15"/>
  <c r="J771" i="15" s="1"/>
  <c r="J770" i="15"/>
  <c r="I770" i="15"/>
  <c r="H770" i="15"/>
  <c r="G770" i="15"/>
  <c r="H769" i="15"/>
  <c r="G769" i="15"/>
  <c r="I768" i="15"/>
  <c r="H768" i="15"/>
  <c r="G768" i="15"/>
  <c r="J768" i="15" s="1"/>
  <c r="H767" i="15"/>
  <c r="G767" i="15"/>
  <c r="H766" i="15"/>
  <c r="G766" i="15"/>
  <c r="I765" i="15"/>
  <c r="H765" i="15"/>
  <c r="G765" i="15"/>
  <c r="J765" i="15" s="1"/>
  <c r="J764" i="15"/>
  <c r="I764" i="15"/>
  <c r="H764" i="15"/>
  <c r="G764" i="15"/>
  <c r="I763" i="15"/>
  <c r="H763" i="15"/>
  <c r="G763" i="15"/>
  <c r="J763" i="15" s="1"/>
  <c r="I762" i="15"/>
  <c r="H762" i="15"/>
  <c r="G762" i="15"/>
  <c r="J762" i="15" s="1"/>
  <c r="H761" i="15"/>
  <c r="G761" i="15"/>
  <c r="H760" i="15"/>
  <c r="G760" i="15"/>
  <c r="H759" i="15"/>
  <c r="G759" i="15"/>
  <c r="J758" i="15"/>
  <c r="H758" i="15"/>
  <c r="G758" i="15"/>
  <c r="I758" i="15" s="1"/>
  <c r="I757" i="15"/>
  <c r="H757" i="15"/>
  <c r="G757" i="15"/>
  <c r="J757" i="15" s="1"/>
  <c r="J756" i="15"/>
  <c r="I756" i="15"/>
  <c r="H756" i="15"/>
  <c r="G756" i="15"/>
  <c r="I755" i="15"/>
  <c r="H755" i="15"/>
  <c r="G755" i="15"/>
  <c r="J755" i="15" s="1"/>
  <c r="J754" i="15"/>
  <c r="I754" i="15"/>
  <c r="H754" i="15"/>
  <c r="G754" i="15"/>
  <c r="H753" i="15"/>
  <c r="G753" i="15"/>
  <c r="I752" i="15"/>
  <c r="H752" i="15"/>
  <c r="G752" i="15"/>
  <c r="J752" i="15" s="1"/>
  <c r="H751" i="15"/>
  <c r="G751" i="15"/>
  <c r="J750" i="15"/>
  <c r="H750" i="15"/>
  <c r="G750" i="15"/>
  <c r="I750" i="15" s="1"/>
  <c r="I749" i="15"/>
  <c r="H749" i="15"/>
  <c r="G749" i="15"/>
  <c r="J749" i="15" s="1"/>
  <c r="J748" i="15"/>
  <c r="I748" i="15"/>
  <c r="H748" i="15"/>
  <c r="G748" i="15"/>
  <c r="I747" i="15"/>
  <c r="H747" i="15"/>
  <c r="G747" i="15"/>
  <c r="J747" i="15" s="1"/>
  <c r="I746" i="15"/>
  <c r="H746" i="15"/>
  <c r="G746" i="15"/>
  <c r="J746" i="15" s="1"/>
  <c r="I745" i="15"/>
  <c r="H745" i="15"/>
  <c r="G745" i="15"/>
  <c r="J745" i="15" s="1"/>
  <c r="H744" i="15"/>
  <c r="G744" i="15"/>
  <c r="H743" i="15"/>
  <c r="G743" i="15"/>
  <c r="J742" i="15"/>
  <c r="H742" i="15"/>
  <c r="G742" i="15"/>
  <c r="I742" i="15" s="1"/>
  <c r="H741" i="15"/>
  <c r="G741" i="15"/>
  <c r="J741" i="15" s="1"/>
  <c r="J740" i="15"/>
  <c r="I740" i="15"/>
  <c r="H740" i="15"/>
  <c r="G740" i="15"/>
  <c r="I739" i="15"/>
  <c r="H739" i="15"/>
  <c r="G739" i="15"/>
  <c r="J739" i="15" s="1"/>
  <c r="J738" i="15"/>
  <c r="I738" i="15"/>
  <c r="H738" i="15"/>
  <c r="G738" i="15"/>
  <c r="H737" i="15"/>
  <c r="G737" i="15"/>
  <c r="H736" i="15"/>
  <c r="G736" i="15"/>
  <c r="J736" i="15" s="1"/>
  <c r="H735" i="15"/>
  <c r="G735" i="15"/>
  <c r="J734" i="15"/>
  <c r="H734" i="15"/>
  <c r="G734" i="15"/>
  <c r="I734" i="15" s="1"/>
  <c r="I733" i="15"/>
  <c r="H733" i="15"/>
  <c r="G733" i="15"/>
  <c r="J733" i="15" s="1"/>
  <c r="H732" i="15"/>
  <c r="G732" i="15"/>
  <c r="I731" i="15"/>
  <c r="H731" i="15"/>
  <c r="G731" i="15"/>
  <c r="J731" i="15" s="1"/>
  <c r="I730" i="15"/>
  <c r="H730" i="15"/>
  <c r="G730" i="15"/>
  <c r="J730" i="15" s="1"/>
  <c r="I729" i="15"/>
  <c r="H729" i="15"/>
  <c r="G729" i="15"/>
  <c r="J729" i="15" s="1"/>
  <c r="H728" i="15"/>
  <c r="G728" i="15"/>
  <c r="H727" i="15"/>
  <c r="G727" i="15"/>
  <c r="H726" i="15"/>
  <c r="G726" i="15"/>
  <c r="H725" i="15"/>
  <c r="G725" i="15"/>
  <c r="J724" i="15"/>
  <c r="I724" i="15"/>
  <c r="H724" i="15"/>
  <c r="G724" i="15"/>
  <c r="I723" i="15"/>
  <c r="H723" i="15"/>
  <c r="G723" i="15"/>
  <c r="J723" i="15" s="1"/>
  <c r="J722" i="15"/>
  <c r="I722" i="15"/>
  <c r="H722" i="15"/>
  <c r="G722" i="15"/>
  <c r="H721" i="15"/>
  <c r="G721" i="15"/>
  <c r="H720" i="15"/>
  <c r="G720" i="15"/>
  <c r="H719" i="15"/>
  <c r="G719" i="15"/>
  <c r="H718" i="15"/>
  <c r="G718" i="15"/>
  <c r="I717" i="15"/>
  <c r="H717" i="15"/>
  <c r="G717" i="15"/>
  <c r="J717" i="15" s="1"/>
  <c r="H716" i="15"/>
  <c r="G716" i="15"/>
  <c r="J716" i="15" s="1"/>
  <c r="I715" i="15"/>
  <c r="H715" i="15"/>
  <c r="G715" i="15"/>
  <c r="J715" i="15" s="1"/>
  <c r="I714" i="15"/>
  <c r="H714" i="15"/>
  <c r="G714" i="15"/>
  <c r="J714" i="15" s="1"/>
  <c r="H713" i="15"/>
  <c r="G713" i="15"/>
  <c r="H712" i="15"/>
  <c r="G712" i="15"/>
  <c r="H711" i="15"/>
  <c r="G711" i="15"/>
  <c r="H710" i="15"/>
  <c r="G710" i="15"/>
  <c r="I710" i="15" s="1"/>
  <c r="I709" i="15"/>
  <c r="H709" i="15"/>
  <c r="G709" i="15"/>
  <c r="J709" i="15" s="1"/>
  <c r="J708" i="15"/>
  <c r="I708" i="15"/>
  <c r="H708" i="15"/>
  <c r="G708" i="15"/>
  <c r="I707" i="15"/>
  <c r="H707" i="15"/>
  <c r="G707" i="15"/>
  <c r="J707" i="15" s="1"/>
  <c r="J706" i="15"/>
  <c r="I706" i="15"/>
  <c r="H706" i="15"/>
  <c r="G706" i="15"/>
  <c r="H705" i="15"/>
  <c r="G705" i="15"/>
  <c r="I704" i="15"/>
  <c r="H704" i="15"/>
  <c r="G704" i="15"/>
  <c r="J704" i="15" s="1"/>
  <c r="H703" i="15"/>
  <c r="G703" i="15"/>
  <c r="H702" i="15"/>
  <c r="G702" i="15"/>
  <c r="I702" i="15" s="1"/>
  <c r="I701" i="15"/>
  <c r="H701" i="15"/>
  <c r="G701" i="15"/>
  <c r="J701" i="15" s="1"/>
  <c r="J700" i="15"/>
  <c r="I700" i="15"/>
  <c r="H700" i="15"/>
  <c r="G700" i="15"/>
  <c r="I699" i="15"/>
  <c r="H699" i="15"/>
  <c r="G699" i="15"/>
  <c r="J699" i="15" s="1"/>
  <c r="I698" i="15"/>
  <c r="H698" i="15"/>
  <c r="G698" i="15"/>
  <c r="J698" i="15" s="1"/>
  <c r="H697" i="15"/>
  <c r="G697" i="15"/>
  <c r="J697" i="15" s="1"/>
  <c r="H696" i="15"/>
  <c r="G696" i="15"/>
  <c r="H695" i="15"/>
  <c r="G695" i="15"/>
  <c r="J694" i="15"/>
  <c r="H694" i="15"/>
  <c r="G694" i="15"/>
  <c r="I694" i="15" s="1"/>
  <c r="I693" i="15"/>
  <c r="H693" i="15"/>
  <c r="G693" i="15"/>
  <c r="J693" i="15" s="1"/>
  <c r="J692" i="15"/>
  <c r="I692" i="15"/>
  <c r="H692" i="15"/>
  <c r="G692" i="15"/>
  <c r="I691" i="15"/>
  <c r="H691" i="15"/>
  <c r="G691" i="15"/>
  <c r="J691" i="15" s="1"/>
  <c r="J690" i="15"/>
  <c r="I690" i="15"/>
  <c r="H690" i="15"/>
  <c r="G690" i="15"/>
  <c r="H689" i="15"/>
  <c r="G689" i="15"/>
  <c r="I688" i="15"/>
  <c r="H688" i="15"/>
  <c r="G688" i="15"/>
  <c r="J688" i="15" s="1"/>
  <c r="H687" i="15"/>
  <c r="G687" i="15"/>
  <c r="J686" i="15"/>
  <c r="H686" i="15"/>
  <c r="G686" i="15"/>
  <c r="I686" i="15" s="1"/>
  <c r="I685" i="15"/>
  <c r="H685" i="15"/>
  <c r="G685" i="15"/>
  <c r="J685" i="15" s="1"/>
  <c r="I684" i="15"/>
  <c r="H684" i="15"/>
  <c r="G684" i="15"/>
  <c r="J684" i="15" s="1"/>
  <c r="I683" i="15"/>
  <c r="H683" i="15"/>
  <c r="G683" i="15"/>
  <c r="J683" i="15" s="1"/>
  <c r="I682" i="15"/>
  <c r="H682" i="15"/>
  <c r="G682" i="15"/>
  <c r="J682" i="15" s="1"/>
  <c r="I681" i="15"/>
  <c r="H681" i="15"/>
  <c r="G681" i="15"/>
  <c r="J681" i="15" s="1"/>
  <c r="H680" i="15"/>
  <c r="G680" i="15"/>
  <c r="H679" i="15"/>
  <c r="G679" i="15"/>
  <c r="J678" i="15"/>
  <c r="H678" i="15"/>
  <c r="G678" i="15"/>
  <c r="I678" i="15" s="1"/>
  <c r="H677" i="15"/>
  <c r="G677" i="15"/>
  <c r="J676" i="15"/>
  <c r="I676" i="15"/>
  <c r="H676" i="15"/>
  <c r="G676" i="15"/>
  <c r="I675" i="15"/>
  <c r="H675" i="15"/>
  <c r="G675" i="15"/>
  <c r="J675" i="15" s="1"/>
  <c r="J674" i="15"/>
  <c r="I674" i="15"/>
  <c r="H674" i="15"/>
  <c r="G674" i="15"/>
  <c r="H673" i="15"/>
  <c r="G673" i="15"/>
  <c r="H672" i="15"/>
  <c r="G672" i="15"/>
  <c r="H671" i="15"/>
  <c r="G671" i="15"/>
  <c r="J670" i="15"/>
  <c r="H670" i="15"/>
  <c r="G670" i="15"/>
  <c r="I670" i="15" s="1"/>
  <c r="I669" i="15"/>
  <c r="H669" i="15"/>
  <c r="G669" i="15"/>
  <c r="J669" i="15" s="1"/>
  <c r="H668" i="15"/>
  <c r="G668" i="15"/>
  <c r="J668" i="15" s="1"/>
  <c r="I667" i="15"/>
  <c r="H667" i="15"/>
  <c r="G667" i="15"/>
  <c r="J667" i="15" s="1"/>
  <c r="I666" i="15"/>
  <c r="H666" i="15"/>
  <c r="G666" i="15"/>
  <c r="J666" i="15" s="1"/>
  <c r="I665" i="15"/>
  <c r="H665" i="15"/>
  <c r="G665" i="15"/>
  <c r="J665" i="15" s="1"/>
  <c r="H664" i="15"/>
  <c r="G664" i="15"/>
  <c r="H663" i="15"/>
  <c r="G663" i="15"/>
  <c r="H662" i="15"/>
  <c r="G662" i="15"/>
  <c r="I662" i="15" s="1"/>
  <c r="H661" i="15"/>
  <c r="G661" i="15"/>
  <c r="J661" i="15" s="1"/>
  <c r="J660" i="15"/>
  <c r="I660" i="15"/>
  <c r="H660" i="15"/>
  <c r="G660" i="15"/>
  <c r="I659" i="15"/>
  <c r="H659" i="15"/>
  <c r="G659" i="15"/>
  <c r="J659" i="15" s="1"/>
  <c r="J658" i="15"/>
  <c r="I658" i="15"/>
  <c r="H658" i="15"/>
  <c r="G658" i="15"/>
  <c r="H657" i="15"/>
  <c r="G657" i="15"/>
  <c r="H656" i="15"/>
  <c r="G656" i="15"/>
  <c r="J656" i="15" s="1"/>
  <c r="H655" i="15"/>
  <c r="G655" i="15"/>
  <c r="H654" i="15"/>
  <c r="G654" i="15"/>
  <c r="I654" i="15" s="1"/>
  <c r="I653" i="15"/>
  <c r="H653" i="15"/>
  <c r="G653" i="15"/>
  <c r="J653" i="15" s="1"/>
  <c r="J652" i="15"/>
  <c r="H652" i="15"/>
  <c r="G652" i="15"/>
  <c r="I652" i="15" s="1"/>
  <c r="I651" i="15"/>
  <c r="H651" i="15"/>
  <c r="G651" i="15"/>
  <c r="J651" i="15" s="1"/>
  <c r="I650" i="15"/>
  <c r="H650" i="15"/>
  <c r="G650" i="15"/>
  <c r="J650" i="15" s="1"/>
  <c r="H649" i="15"/>
  <c r="G649" i="15"/>
  <c r="J649" i="15" s="1"/>
  <c r="H648" i="15"/>
  <c r="G648" i="15"/>
  <c r="H647" i="15"/>
  <c r="G647" i="15"/>
  <c r="H646" i="15"/>
  <c r="G646" i="15"/>
  <c r="I645" i="15"/>
  <c r="H645" i="15"/>
  <c r="G645" i="15"/>
  <c r="J645" i="15" s="1"/>
  <c r="J644" i="15"/>
  <c r="I644" i="15"/>
  <c r="H644" i="15"/>
  <c r="G644" i="15"/>
  <c r="I643" i="15"/>
  <c r="H643" i="15"/>
  <c r="G643" i="15"/>
  <c r="J643" i="15" s="1"/>
  <c r="J642" i="15"/>
  <c r="I642" i="15"/>
  <c r="H642" i="15"/>
  <c r="G642" i="15"/>
  <c r="H641" i="15"/>
  <c r="G641" i="15"/>
  <c r="I640" i="15"/>
  <c r="H640" i="15"/>
  <c r="G640" i="15"/>
  <c r="J640" i="15" s="1"/>
  <c r="H639" i="15"/>
  <c r="G639" i="15"/>
  <c r="H638" i="15"/>
  <c r="G638" i="15"/>
  <c r="I637" i="15"/>
  <c r="H637" i="15"/>
  <c r="G637" i="15"/>
  <c r="J637" i="15" s="1"/>
  <c r="J636" i="15"/>
  <c r="I636" i="15"/>
  <c r="H636" i="15"/>
  <c r="G636" i="15"/>
  <c r="I635" i="15"/>
  <c r="H635" i="15"/>
  <c r="G635" i="15"/>
  <c r="J635" i="15" s="1"/>
  <c r="I634" i="15"/>
  <c r="H634" i="15"/>
  <c r="G634" i="15"/>
  <c r="J634" i="15" s="1"/>
  <c r="H633" i="15"/>
  <c r="G633" i="15"/>
  <c r="H632" i="15"/>
  <c r="G632" i="15"/>
  <c r="H631" i="15"/>
  <c r="G631" i="15"/>
  <c r="J630" i="15"/>
  <c r="H630" i="15"/>
  <c r="G630" i="15"/>
  <c r="I630" i="15" s="1"/>
  <c r="I629" i="15"/>
  <c r="H629" i="15"/>
  <c r="G629" i="15"/>
  <c r="J629" i="15" s="1"/>
  <c r="J628" i="15"/>
  <c r="I628" i="15"/>
  <c r="H628" i="15"/>
  <c r="G628" i="15"/>
  <c r="I627" i="15"/>
  <c r="H627" i="15"/>
  <c r="G627" i="15"/>
  <c r="J627" i="15" s="1"/>
  <c r="J626" i="15"/>
  <c r="I626" i="15"/>
  <c r="H626" i="15"/>
  <c r="G626" i="15"/>
  <c r="H625" i="15"/>
  <c r="G625" i="15"/>
  <c r="I624" i="15"/>
  <c r="H624" i="15"/>
  <c r="G624" i="15"/>
  <c r="J624" i="15" s="1"/>
  <c r="H623" i="15"/>
  <c r="G623" i="15"/>
  <c r="J622" i="15"/>
  <c r="H622" i="15"/>
  <c r="G622" i="15"/>
  <c r="I622" i="15" s="1"/>
  <c r="I621" i="15"/>
  <c r="H621" i="15"/>
  <c r="G621" i="15"/>
  <c r="J621" i="15" s="1"/>
  <c r="J620" i="15"/>
  <c r="I620" i="15"/>
  <c r="H620" i="15"/>
  <c r="G620" i="15"/>
  <c r="I619" i="15"/>
  <c r="H619" i="15"/>
  <c r="G619" i="15"/>
  <c r="J619" i="15" s="1"/>
  <c r="I618" i="15"/>
  <c r="H618" i="15"/>
  <c r="G618" i="15"/>
  <c r="J618" i="15" s="1"/>
  <c r="I617" i="15"/>
  <c r="H617" i="15"/>
  <c r="G617" i="15"/>
  <c r="J617" i="15" s="1"/>
  <c r="H616" i="15"/>
  <c r="G616" i="15"/>
  <c r="H615" i="15"/>
  <c r="G615" i="15"/>
  <c r="J614" i="15"/>
  <c r="H614" i="15"/>
  <c r="G614" i="15"/>
  <c r="I614" i="15" s="1"/>
  <c r="H613" i="15"/>
  <c r="G613" i="15"/>
  <c r="J613" i="15" s="1"/>
  <c r="J612" i="15"/>
  <c r="I612" i="15"/>
  <c r="H612" i="15"/>
  <c r="G612" i="15"/>
  <c r="I611" i="15"/>
  <c r="H611" i="15"/>
  <c r="G611" i="15"/>
  <c r="J611" i="15" s="1"/>
  <c r="J610" i="15"/>
  <c r="I610" i="15"/>
  <c r="H610" i="15"/>
  <c r="G610" i="15"/>
  <c r="H609" i="15"/>
  <c r="G609" i="15"/>
  <c r="H608" i="15"/>
  <c r="G608" i="15"/>
  <c r="J608" i="15" s="1"/>
  <c r="H607" i="15"/>
  <c r="G607" i="15"/>
  <c r="J606" i="15"/>
  <c r="H606" i="15"/>
  <c r="G606" i="15"/>
  <c r="I606" i="15" s="1"/>
  <c r="I605" i="15"/>
  <c r="H605" i="15"/>
  <c r="G605" i="15"/>
  <c r="J605" i="15" s="1"/>
  <c r="H604" i="15"/>
  <c r="G604" i="15"/>
  <c r="I603" i="15"/>
  <c r="H603" i="15"/>
  <c r="G603" i="15"/>
  <c r="J603" i="15" s="1"/>
  <c r="I602" i="15"/>
  <c r="H602" i="15"/>
  <c r="G602" i="15"/>
  <c r="J602" i="15" s="1"/>
  <c r="I601" i="15"/>
  <c r="H601" i="15"/>
  <c r="G601" i="15"/>
  <c r="J601" i="15" s="1"/>
  <c r="H600" i="15"/>
  <c r="G600" i="15"/>
  <c r="H599" i="15"/>
  <c r="G599" i="15"/>
  <c r="H598" i="15"/>
  <c r="G598" i="15"/>
  <c r="H597" i="15"/>
  <c r="G597" i="15"/>
  <c r="J596" i="15"/>
  <c r="I596" i="15"/>
  <c r="H596" i="15"/>
  <c r="G596" i="15"/>
  <c r="I595" i="15"/>
  <c r="H595" i="15"/>
  <c r="G595" i="15"/>
  <c r="J595" i="15" s="1"/>
  <c r="J594" i="15"/>
  <c r="I594" i="15"/>
  <c r="H594" i="15"/>
  <c r="G594" i="15"/>
  <c r="H593" i="15"/>
  <c r="G593" i="15"/>
  <c r="H592" i="15"/>
  <c r="G592" i="15"/>
  <c r="H591" i="15"/>
  <c r="G591" i="15"/>
  <c r="H590" i="15"/>
  <c r="G590" i="15"/>
  <c r="I589" i="15"/>
  <c r="H589" i="15"/>
  <c r="G589" i="15"/>
  <c r="J589" i="15" s="1"/>
  <c r="H588" i="15"/>
  <c r="G588" i="15"/>
  <c r="J588" i="15" s="1"/>
  <c r="I587" i="15"/>
  <c r="H587" i="15"/>
  <c r="G587" i="15"/>
  <c r="J587" i="15" s="1"/>
  <c r="I586" i="15"/>
  <c r="H586" i="15"/>
  <c r="G586" i="15"/>
  <c r="J586" i="15" s="1"/>
  <c r="H585" i="15"/>
  <c r="G585" i="15"/>
  <c r="H584" i="15"/>
  <c r="G584" i="15"/>
  <c r="H583" i="15"/>
  <c r="G583" i="15"/>
  <c r="H582" i="15"/>
  <c r="G582" i="15"/>
  <c r="I582" i="15" s="1"/>
  <c r="I581" i="15"/>
  <c r="H581" i="15"/>
  <c r="G581" i="15"/>
  <c r="J581" i="15" s="1"/>
  <c r="J580" i="15"/>
  <c r="I580" i="15"/>
  <c r="H580" i="15"/>
  <c r="G580" i="15"/>
  <c r="I579" i="15"/>
  <c r="H579" i="15"/>
  <c r="G579" i="15"/>
  <c r="J579" i="15" s="1"/>
  <c r="J578" i="15"/>
  <c r="I578" i="15"/>
  <c r="H578" i="15"/>
  <c r="G578" i="15"/>
  <c r="H577" i="15"/>
  <c r="G577" i="15"/>
  <c r="I576" i="15"/>
  <c r="H576" i="15"/>
  <c r="G576" i="15"/>
  <c r="J576" i="15" s="1"/>
  <c r="H575" i="15"/>
  <c r="G575" i="15"/>
  <c r="H574" i="15"/>
  <c r="G574" i="15"/>
  <c r="I574" i="15" s="1"/>
  <c r="I573" i="15"/>
  <c r="H573" i="15"/>
  <c r="G573" i="15"/>
  <c r="J573" i="15" s="1"/>
  <c r="J572" i="15"/>
  <c r="I572" i="15"/>
  <c r="H572" i="15"/>
  <c r="G572" i="15"/>
  <c r="I571" i="15"/>
  <c r="H571" i="15"/>
  <c r="G571" i="15"/>
  <c r="J571" i="15" s="1"/>
  <c r="I570" i="15"/>
  <c r="H570" i="15"/>
  <c r="G570" i="15"/>
  <c r="J570" i="15" s="1"/>
  <c r="H569" i="15"/>
  <c r="G569" i="15"/>
  <c r="J569" i="15" s="1"/>
  <c r="H568" i="15"/>
  <c r="G568" i="15"/>
  <c r="H567" i="15"/>
  <c r="G567" i="15"/>
  <c r="J566" i="15"/>
  <c r="H566" i="15"/>
  <c r="G566" i="15"/>
  <c r="I566" i="15" s="1"/>
  <c r="I565" i="15"/>
  <c r="H565" i="15"/>
  <c r="G565" i="15"/>
  <c r="J565" i="15" s="1"/>
  <c r="J564" i="15"/>
  <c r="I564" i="15"/>
  <c r="H564" i="15"/>
  <c r="G564" i="15"/>
  <c r="I563" i="15"/>
  <c r="H563" i="15"/>
  <c r="G563" i="15"/>
  <c r="J563" i="15" s="1"/>
  <c r="J562" i="15"/>
  <c r="I562" i="15"/>
  <c r="H562" i="15"/>
  <c r="G562" i="15"/>
  <c r="H561" i="15"/>
  <c r="G561" i="15"/>
  <c r="I560" i="15"/>
  <c r="H560" i="15"/>
  <c r="G560" i="15"/>
  <c r="J560" i="15" s="1"/>
  <c r="H559" i="15"/>
  <c r="G559" i="15"/>
  <c r="J558" i="15"/>
  <c r="H558" i="15"/>
  <c r="G558" i="15"/>
  <c r="I558" i="15" s="1"/>
  <c r="I557" i="15"/>
  <c r="H557" i="15"/>
  <c r="G557" i="15"/>
  <c r="J557" i="15" s="1"/>
  <c r="I556" i="15"/>
  <c r="H556" i="15"/>
  <c r="G556" i="15"/>
  <c r="J556" i="15" s="1"/>
  <c r="I555" i="15"/>
  <c r="H555" i="15"/>
  <c r="G555" i="15"/>
  <c r="J555" i="15" s="1"/>
  <c r="I554" i="15"/>
  <c r="H554" i="15"/>
  <c r="G554" i="15"/>
  <c r="J554" i="15" s="1"/>
  <c r="I553" i="15"/>
  <c r="H553" i="15"/>
  <c r="G553" i="15"/>
  <c r="J553" i="15" s="1"/>
  <c r="H552" i="15"/>
  <c r="G552" i="15"/>
  <c r="H551" i="15"/>
  <c r="G551" i="15"/>
  <c r="J550" i="15"/>
  <c r="H550" i="15"/>
  <c r="G550" i="15"/>
  <c r="I550" i="15" s="1"/>
  <c r="H549" i="15"/>
  <c r="G549" i="15"/>
  <c r="J548" i="15"/>
  <c r="I548" i="15"/>
  <c r="H548" i="15"/>
  <c r="G548" i="15"/>
  <c r="I547" i="15"/>
  <c r="H547" i="15"/>
  <c r="G547" i="15"/>
  <c r="J547" i="15" s="1"/>
  <c r="J546" i="15"/>
  <c r="I546" i="15"/>
  <c r="H546" i="15"/>
  <c r="G546" i="15"/>
  <c r="H545" i="15"/>
  <c r="G545" i="15"/>
  <c r="H544" i="15"/>
  <c r="G544" i="15"/>
  <c r="H543" i="15"/>
  <c r="G543" i="15"/>
  <c r="J542" i="15"/>
  <c r="H542" i="15"/>
  <c r="G542" i="15"/>
  <c r="I542" i="15" s="1"/>
  <c r="I541" i="15"/>
  <c r="H541" i="15"/>
  <c r="G541" i="15"/>
  <c r="J541" i="15" s="1"/>
  <c r="H540" i="15"/>
  <c r="G540" i="15"/>
  <c r="J540" i="15" s="1"/>
  <c r="I539" i="15"/>
  <c r="H539" i="15"/>
  <c r="G539" i="15"/>
  <c r="J539" i="15" s="1"/>
  <c r="I538" i="15"/>
  <c r="H538" i="15"/>
  <c r="G538" i="15"/>
  <c r="J538" i="15" s="1"/>
  <c r="I537" i="15"/>
  <c r="H537" i="15"/>
  <c r="G537" i="15"/>
  <c r="J537" i="15" s="1"/>
  <c r="H536" i="15"/>
  <c r="G536" i="15"/>
  <c r="H535" i="15"/>
  <c r="G535" i="15"/>
  <c r="H534" i="15"/>
  <c r="G534" i="15"/>
  <c r="I534" i="15" s="1"/>
  <c r="H533" i="15"/>
  <c r="G533" i="15"/>
  <c r="J533" i="15" s="1"/>
  <c r="J532" i="15"/>
  <c r="I532" i="15"/>
  <c r="H532" i="15"/>
  <c r="G532" i="15"/>
  <c r="I531" i="15"/>
  <c r="H531" i="15"/>
  <c r="G531" i="15"/>
  <c r="J531" i="15" s="1"/>
  <c r="J530" i="15"/>
  <c r="I530" i="15"/>
  <c r="H530" i="15"/>
  <c r="G530" i="15"/>
  <c r="H529" i="15"/>
  <c r="G529" i="15"/>
  <c r="H528" i="15"/>
  <c r="G528" i="15"/>
  <c r="J528" i="15" s="1"/>
  <c r="H527" i="15"/>
  <c r="G527" i="15"/>
  <c r="H526" i="15"/>
  <c r="G526" i="15"/>
  <c r="I526" i="15" s="1"/>
  <c r="I525" i="15"/>
  <c r="H525" i="15"/>
  <c r="G525" i="15"/>
  <c r="J525" i="15" s="1"/>
  <c r="J524" i="15"/>
  <c r="H524" i="15"/>
  <c r="G524" i="15"/>
  <c r="I524" i="15" s="1"/>
  <c r="I523" i="15"/>
  <c r="H523" i="15"/>
  <c r="G523" i="15"/>
  <c r="J523" i="15" s="1"/>
  <c r="I522" i="15"/>
  <c r="H522" i="15"/>
  <c r="G522" i="15"/>
  <c r="J522" i="15" s="1"/>
  <c r="H521" i="15"/>
  <c r="G521" i="15"/>
  <c r="J521" i="15" s="1"/>
  <c r="H520" i="15"/>
  <c r="G520" i="15"/>
  <c r="H519" i="15"/>
  <c r="G519" i="15"/>
  <c r="H518" i="15"/>
  <c r="G518" i="15"/>
  <c r="I517" i="15"/>
  <c r="H517" i="15"/>
  <c r="G517" i="15"/>
  <c r="J517" i="15" s="1"/>
  <c r="J516" i="15"/>
  <c r="I516" i="15"/>
  <c r="H516" i="15"/>
  <c r="G516" i="15"/>
  <c r="I515" i="15"/>
  <c r="H515" i="15"/>
  <c r="G515" i="15"/>
  <c r="J515" i="15" s="1"/>
  <c r="J514" i="15"/>
  <c r="I514" i="15"/>
  <c r="H514" i="15"/>
  <c r="G514" i="15"/>
  <c r="H513" i="15"/>
  <c r="G513" i="15"/>
  <c r="I512" i="15"/>
  <c r="H512" i="15"/>
  <c r="G512" i="15"/>
  <c r="J512" i="15" s="1"/>
  <c r="H511" i="15"/>
  <c r="G511" i="15"/>
  <c r="H510" i="15"/>
  <c r="G510" i="15"/>
  <c r="I509" i="15"/>
  <c r="H509" i="15"/>
  <c r="G509" i="15"/>
  <c r="J509" i="15" s="1"/>
  <c r="J508" i="15"/>
  <c r="I508" i="15"/>
  <c r="H508" i="15"/>
  <c r="G508" i="15"/>
  <c r="I507" i="15"/>
  <c r="H507" i="15"/>
  <c r="G507" i="15"/>
  <c r="J507" i="15" s="1"/>
  <c r="I506" i="15"/>
  <c r="H506" i="15"/>
  <c r="G506" i="15"/>
  <c r="J506" i="15" s="1"/>
  <c r="H505" i="15"/>
  <c r="G505" i="15"/>
  <c r="H504" i="15"/>
  <c r="G504" i="15"/>
  <c r="H503" i="15"/>
  <c r="G503" i="15"/>
  <c r="J502" i="15"/>
  <c r="H502" i="15"/>
  <c r="G502" i="15"/>
  <c r="I502" i="15" s="1"/>
  <c r="I501" i="15"/>
  <c r="H501" i="15"/>
  <c r="G501" i="15"/>
  <c r="J501" i="15" s="1"/>
  <c r="J500" i="15"/>
  <c r="I500" i="15"/>
  <c r="H500" i="15"/>
  <c r="G500" i="15"/>
  <c r="I499" i="15"/>
  <c r="H499" i="15"/>
  <c r="G499" i="15"/>
  <c r="J499" i="15" s="1"/>
  <c r="J498" i="15"/>
  <c r="I498" i="15"/>
  <c r="H498" i="15"/>
  <c r="G498" i="15"/>
  <c r="H497" i="15"/>
  <c r="G497" i="15"/>
  <c r="I496" i="15"/>
  <c r="H496" i="15"/>
  <c r="G496" i="15"/>
  <c r="J496" i="15" s="1"/>
  <c r="H495" i="15"/>
  <c r="G495" i="15"/>
  <c r="J494" i="15"/>
  <c r="H494" i="15"/>
  <c r="G494" i="15"/>
  <c r="I494" i="15" s="1"/>
  <c r="I493" i="15"/>
  <c r="H493" i="15"/>
  <c r="G493" i="15"/>
  <c r="J493" i="15" s="1"/>
  <c r="J492" i="15"/>
  <c r="I492" i="15"/>
  <c r="H492" i="15"/>
  <c r="G492" i="15"/>
  <c r="I491" i="15"/>
  <c r="H491" i="15"/>
  <c r="G491" i="15"/>
  <c r="J491" i="15" s="1"/>
  <c r="I490" i="15"/>
  <c r="H490" i="15"/>
  <c r="G490" i="15"/>
  <c r="J490" i="15" s="1"/>
  <c r="I489" i="15"/>
  <c r="H489" i="15"/>
  <c r="G489" i="15"/>
  <c r="J489" i="15" s="1"/>
  <c r="H488" i="15"/>
  <c r="G488" i="15"/>
  <c r="H487" i="15"/>
  <c r="G487" i="15"/>
  <c r="J486" i="15"/>
  <c r="H486" i="15"/>
  <c r="G486" i="15"/>
  <c r="I486" i="15" s="1"/>
  <c r="H485" i="15"/>
  <c r="G485" i="15"/>
  <c r="J485" i="15" s="1"/>
  <c r="J484" i="15"/>
  <c r="I484" i="15"/>
  <c r="H484" i="15"/>
  <c r="G484" i="15"/>
  <c r="I483" i="15"/>
  <c r="H483" i="15"/>
  <c r="G483" i="15"/>
  <c r="J483" i="15" s="1"/>
  <c r="J482" i="15"/>
  <c r="I482" i="15"/>
  <c r="H482" i="15"/>
  <c r="G482" i="15"/>
  <c r="H481" i="15"/>
  <c r="G481" i="15"/>
  <c r="H480" i="15"/>
  <c r="G480" i="15"/>
  <c r="J480" i="15" s="1"/>
  <c r="H479" i="15"/>
  <c r="G479" i="15"/>
  <c r="J478" i="15"/>
  <c r="H478" i="15"/>
  <c r="G478" i="15"/>
  <c r="I478" i="15" s="1"/>
  <c r="I477" i="15"/>
  <c r="H477" i="15"/>
  <c r="G477" i="15"/>
  <c r="J477" i="15" s="1"/>
  <c r="H476" i="15"/>
  <c r="G476" i="15"/>
  <c r="I475" i="15"/>
  <c r="H475" i="15"/>
  <c r="G475" i="15"/>
  <c r="J475" i="15" s="1"/>
  <c r="I474" i="15"/>
  <c r="H474" i="15"/>
  <c r="G474" i="15"/>
  <c r="J474" i="15" s="1"/>
  <c r="I473" i="15"/>
  <c r="H473" i="15"/>
  <c r="G473" i="15"/>
  <c r="J473" i="15" s="1"/>
  <c r="H472" i="15"/>
  <c r="G472" i="15"/>
  <c r="H471" i="15"/>
  <c r="G471" i="15"/>
  <c r="H470" i="15"/>
  <c r="G470" i="15"/>
  <c r="H469" i="15"/>
  <c r="G469" i="15"/>
  <c r="J468" i="15"/>
  <c r="I468" i="15"/>
  <c r="H468" i="15"/>
  <c r="G468" i="15"/>
  <c r="I467" i="15"/>
  <c r="H467" i="15"/>
  <c r="G467" i="15"/>
  <c r="J467" i="15" s="1"/>
  <c r="J466" i="15"/>
  <c r="I466" i="15"/>
  <c r="H466" i="15"/>
  <c r="G466" i="15"/>
  <c r="H465" i="15"/>
  <c r="G465" i="15"/>
  <c r="H464" i="15"/>
  <c r="G464" i="15"/>
  <c r="H463" i="15"/>
  <c r="G463" i="15"/>
  <c r="H462" i="15"/>
  <c r="G462" i="15"/>
  <c r="I461" i="15"/>
  <c r="H461" i="15"/>
  <c r="G461" i="15"/>
  <c r="J461" i="15" s="1"/>
  <c r="H460" i="15"/>
  <c r="G460" i="15"/>
  <c r="J460" i="15" s="1"/>
  <c r="I459" i="15"/>
  <c r="H459" i="15"/>
  <c r="G459" i="15"/>
  <c r="J459" i="15" s="1"/>
  <c r="I458" i="15"/>
  <c r="H458" i="15"/>
  <c r="G458" i="15"/>
  <c r="J458" i="15" s="1"/>
  <c r="H457" i="15"/>
  <c r="G457" i="15"/>
  <c r="H456" i="15"/>
  <c r="G456" i="15"/>
  <c r="H455" i="15"/>
  <c r="G455" i="15"/>
  <c r="H454" i="15"/>
  <c r="G454" i="15"/>
  <c r="I454" i="15" s="1"/>
  <c r="I453" i="15"/>
  <c r="H453" i="15"/>
  <c r="G453" i="15"/>
  <c r="J453" i="15" s="1"/>
  <c r="J452" i="15"/>
  <c r="I452" i="15"/>
  <c r="H452" i="15"/>
  <c r="G452" i="15"/>
  <c r="I451" i="15"/>
  <c r="H451" i="15"/>
  <c r="G451" i="15"/>
  <c r="J451" i="15" s="1"/>
  <c r="J450" i="15"/>
  <c r="I450" i="15"/>
  <c r="H450" i="15"/>
  <c r="G450" i="15"/>
  <c r="H449" i="15"/>
  <c r="G449" i="15"/>
  <c r="I448" i="15"/>
  <c r="H448" i="15"/>
  <c r="G448" i="15"/>
  <c r="J448" i="15" s="1"/>
  <c r="H447" i="15"/>
  <c r="G447" i="15"/>
  <c r="H446" i="15"/>
  <c r="G446" i="15"/>
  <c r="I446" i="15" s="1"/>
  <c r="I445" i="15"/>
  <c r="H445" i="15"/>
  <c r="G445" i="15"/>
  <c r="J445" i="15" s="1"/>
  <c r="J444" i="15"/>
  <c r="I444" i="15"/>
  <c r="H444" i="15"/>
  <c r="G444" i="15"/>
  <c r="I443" i="15"/>
  <c r="H443" i="15"/>
  <c r="G443" i="15"/>
  <c r="J443" i="15" s="1"/>
  <c r="I442" i="15"/>
  <c r="H442" i="15"/>
  <c r="G442" i="15"/>
  <c r="J442" i="15" s="1"/>
  <c r="H441" i="15"/>
  <c r="G441" i="15"/>
  <c r="J441" i="15" s="1"/>
  <c r="H440" i="15"/>
  <c r="G440" i="15"/>
  <c r="H439" i="15"/>
  <c r="G439" i="15"/>
  <c r="J438" i="15"/>
  <c r="H438" i="15"/>
  <c r="G438" i="15"/>
  <c r="I438" i="15" s="1"/>
  <c r="I437" i="15"/>
  <c r="H437" i="15"/>
  <c r="G437" i="15"/>
  <c r="J437" i="15" s="1"/>
  <c r="J436" i="15"/>
  <c r="I436" i="15"/>
  <c r="H436" i="15"/>
  <c r="G436" i="15"/>
  <c r="I435" i="15"/>
  <c r="H435" i="15"/>
  <c r="G435" i="15"/>
  <c r="J435" i="15" s="1"/>
  <c r="J434" i="15"/>
  <c r="I434" i="15"/>
  <c r="H434" i="15"/>
  <c r="G434" i="15"/>
  <c r="H433" i="15"/>
  <c r="G433" i="15"/>
  <c r="I432" i="15"/>
  <c r="H432" i="15"/>
  <c r="G432" i="15"/>
  <c r="J432" i="15" s="1"/>
  <c r="H431" i="15"/>
  <c r="G431" i="15"/>
  <c r="J430" i="15"/>
  <c r="H430" i="15"/>
  <c r="G430" i="15"/>
  <c r="I430" i="15" s="1"/>
  <c r="I429" i="15"/>
  <c r="H429" i="15"/>
  <c r="G429" i="15"/>
  <c r="J429" i="15" s="1"/>
  <c r="I428" i="15"/>
  <c r="H428" i="15"/>
  <c r="G428" i="15"/>
  <c r="J428" i="15" s="1"/>
  <c r="I427" i="15"/>
  <c r="H427" i="15"/>
  <c r="G427" i="15"/>
  <c r="J427" i="15" s="1"/>
  <c r="I426" i="15"/>
  <c r="H426" i="15"/>
  <c r="G426" i="15"/>
  <c r="J426" i="15" s="1"/>
  <c r="I425" i="15"/>
  <c r="H425" i="15"/>
  <c r="G425" i="15"/>
  <c r="J425" i="15" s="1"/>
  <c r="H424" i="15"/>
  <c r="G424" i="15"/>
  <c r="H423" i="15"/>
  <c r="G423" i="15"/>
  <c r="J422" i="15"/>
  <c r="H422" i="15"/>
  <c r="G422" i="15"/>
  <c r="I422" i="15" s="1"/>
  <c r="H421" i="15"/>
  <c r="G421" i="15"/>
  <c r="J420" i="15"/>
  <c r="I420" i="15"/>
  <c r="H420" i="15"/>
  <c r="G420" i="15"/>
  <c r="I419" i="15"/>
  <c r="H419" i="15"/>
  <c r="G419" i="15"/>
  <c r="J419" i="15" s="1"/>
  <c r="J418" i="15"/>
  <c r="I418" i="15"/>
  <c r="H418" i="15"/>
  <c r="G418" i="15"/>
  <c r="H417" i="15"/>
  <c r="G417" i="15"/>
  <c r="H416" i="15"/>
  <c r="G416" i="15"/>
  <c r="H415" i="15"/>
  <c r="G415" i="15"/>
  <c r="J414" i="15"/>
  <c r="H414" i="15"/>
  <c r="G414" i="15"/>
  <c r="I414" i="15" s="1"/>
  <c r="I413" i="15"/>
  <c r="H413" i="15"/>
  <c r="G413" i="15"/>
  <c r="J413" i="15" s="1"/>
  <c r="H412" i="15"/>
  <c r="G412" i="15"/>
  <c r="J412" i="15" s="1"/>
  <c r="I411" i="15"/>
  <c r="H411" i="15"/>
  <c r="G411" i="15"/>
  <c r="J411" i="15" s="1"/>
  <c r="I410" i="15"/>
  <c r="H410" i="15"/>
  <c r="G410" i="15"/>
  <c r="J410" i="15" s="1"/>
  <c r="I409" i="15"/>
  <c r="H409" i="15"/>
  <c r="G409" i="15"/>
  <c r="J409" i="15" s="1"/>
  <c r="H408" i="15"/>
  <c r="G408" i="15"/>
  <c r="H407" i="15"/>
  <c r="G407" i="15"/>
  <c r="H406" i="15"/>
  <c r="G406" i="15"/>
  <c r="I406" i="15" s="1"/>
  <c r="H405" i="15"/>
  <c r="G405" i="15"/>
  <c r="J405" i="15" s="1"/>
  <c r="J404" i="15"/>
  <c r="I404" i="15"/>
  <c r="H404" i="15"/>
  <c r="G404" i="15"/>
  <c r="I403" i="15"/>
  <c r="H403" i="15"/>
  <c r="G403" i="15"/>
  <c r="J403" i="15" s="1"/>
  <c r="J402" i="15"/>
  <c r="I402" i="15"/>
  <c r="H402" i="15"/>
  <c r="G402" i="15"/>
  <c r="H401" i="15"/>
  <c r="G401" i="15"/>
  <c r="H400" i="15"/>
  <c r="G400" i="15"/>
  <c r="J400" i="15" s="1"/>
  <c r="H399" i="15"/>
  <c r="G399" i="15"/>
  <c r="H398" i="15"/>
  <c r="G398" i="15"/>
  <c r="I398" i="15" s="1"/>
  <c r="I397" i="15"/>
  <c r="H397" i="15"/>
  <c r="G397" i="15"/>
  <c r="J397" i="15" s="1"/>
  <c r="J396" i="15"/>
  <c r="H396" i="15"/>
  <c r="G396" i="15"/>
  <c r="I396" i="15" s="1"/>
  <c r="I395" i="15"/>
  <c r="H395" i="15"/>
  <c r="G395" i="15"/>
  <c r="J395" i="15" s="1"/>
  <c r="I394" i="15"/>
  <c r="H394" i="15"/>
  <c r="G394" i="15"/>
  <c r="J394" i="15" s="1"/>
  <c r="H393" i="15"/>
  <c r="G393" i="15"/>
  <c r="J393" i="15" s="1"/>
  <c r="H392" i="15"/>
  <c r="G392" i="15"/>
  <c r="H391" i="15"/>
  <c r="G391" i="15"/>
  <c r="H390" i="15"/>
  <c r="G390" i="15"/>
  <c r="I389" i="15"/>
  <c r="H389" i="15"/>
  <c r="G389" i="15"/>
  <c r="J389" i="15" s="1"/>
  <c r="J388" i="15"/>
  <c r="I388" i="15"/>
  <c r="H388" i="15"/>
  <c r="G388" i="15"/>
  <c r="I387" i="15"/>
  <c r="H387" i="15"/>
  <c r="G387" i="15"/>
  <c r="J387" i="15" s="1"/>
  <c r="J386" i="15"/>
  <c r="I386" i="15"/>
  <c r="H386" i="15"/>
  <c r="G386" i="15"/>
  <c r="H385" i="15"/>
  <c r="G385" i="15"/>
  <c r="I384" i="15"/>
  <c r="H384" i="15"/>
  <c r="G384" i="15"/>
  <c r="J384" i="15" s="1"/>
  <c r="H383" i="15"/>
  <c r="G383" i="15"/>
  <c r="H382" i="15"/>
  <c r="G382" i="15"/>
  <c r="I381" i="15"/>
  <c r="H381" i="15"/>
  <c r="G381" i="15"/>
  <c r="J381" i="15" s="1"/>
  <c r="J380" i="15"/>
  <c r="I380" i="15"/>
  <c r="H380" i="15"/>
  <c r="G380" i="15"/>
  <c r="I379" i="15"/>
  <c r="H379" i="15"/>
  <c r="G379" i="15"/>
  <c r="J379" i="15" s="1"/>
  <c r="I378" i="15"/>
  <c r="H378" i="15"/>
  <c r="G378" i="15"/>
  <c r="J378" i="15" s="1"/>
  <c r="H377" i="15"/>
  <c r="G377" i="15"/>
  <c r="H376" i="15"/>
  <c r="G376" i="15"/>
  <c r="H375" i="15"/>
  <c r="G375" i="15"/>
  <c r="J374" i="15"/>
  <c r="H374" i="15"/>
  <c r="G374" i="15"/>
  <c r="I374" i="15" s="1"/>
  <c r="I373" i="15"/>
  <c r="H373" i="15"/>
  <c r="G373" i="15"/>
  <c r="J373" i="15" s="1"/>
  <c r="J372" i="15"/>
  <c r="I372" i="15"/>
  <c r="H372" i="15"/>
  <c r="G372" i="15"/>
  <c r="I371" i="15"/>
  <c r="H371" i="15"/>
  <c r="G371" i="15"/>
  <c r="J371" i="15" s="1"/>
  <c r="J370" i="15"/>
  <c r="I370" i="15"/>
  <c r="H370" i="15"/>
  <c r="G370" i="15"/>
  <c r="H369" i="15"/>
  <c r="G369" i="15"/>
  <c r="I368" i="15"/>
  <c r="H368" i="15"/>
  <c r="G368" i="15"/>
  <c r="J368" i="15" s="1"/>
  <c r="H367" i="15"/>
  <c r="G367" i="15"/>
  <c r="J366" i="15"/>
  <c r="H366" i="15"/>
  <c r="G366" i="15"/>
  <c r="I366" i="15" s="1"/>
  <c r="I365" i="15"/>
  <c r="H365" i="15"/>
  <c r="G365" i="15"/>
  <c r="J365" i="15" s="1"/>
  <c r="J364" i="15"/>
  <c r="I364" i="15"/>
  <c r="H364" i="15"/>
  <c r="G364" i="15"/>
  <c r="I363" i="15"/>
  <c r="H363" i="15"/>
  <c r="G363" i="15"/>
  <c r="J363" i="15" s="1"/>
  <c r="I362" i="15"/>
  <c r="H362" i="15"/>
  <c r="G362" i="15"/>
  <c r="J362" i="15" s="1"/>
  <c r="I361" i="15"/>
  <c r="H361" i="15"/>
  <c r="G361" i="15"/>
  <c r="J361" i="15" s="1"/>
  <c r="H360" i="15"/>
  <c r="G360" i="15"/>
  <c r="H359" i="15"/>
  <c r="G359" i="15"/>
  <c r="J358" i="15"/>
  <c r="H358" i="15"/>
  <c r="G358" i="15"/>
  <c r="I358" i="15" s="1"/>
  <c r="H357" i="15"/>
  <c r="G357" i="15"/>
  <c r="J357" i="15" s="1"/>
  <c r="J356" i="15"/>
  <c r="I356" i="15"/>
  <c r="H356" i="15"/>
  <c r="G356" i="15"/>
  <c r="I355" i="15"/>
  <c r="H355" i="15"/>
  <c r="G355" i="15"/>
  <c r="J355" i="15" s="1"/>
  <c r="J354" i="15"/>
  <c r="I354" i="15"/>
  <c r="H354" i="15"/>
  <c r="G354" i="15"/>
  <c r="H353" i="15"/>
  <c r="G353" i="15"/>
  <c r="H352" i="15"/>
  <c r="G352" i="15"/>
  <c r="J352" i="15" s="1"/>
  <c r="H351" i="15"/>
  <c r="G351" i="15"/>
  <c r="J350" i="15"/>
  <c r="H350" i="15"/>
  <c r="G350" i="15"/>
  <c r="I350" i="15" s="1"/>
  <c r="I349" i="15"/>
  <c r="H349" i="15"/>
  <c r="G349" i="15"/>
  <c r="J349" i="15" s="1"/>
  <c r="H348" i="15"/>
  <c r="G348" i="15"/>
  <c r="I347" i="15"/>
  <c r="H347" i="15"/>
  <c r="G347" i="15"/>
  <c r="J347" i="15" s="1"/>
  <c r="I346" i="15"/>
  <c r="H346" i="15"/>
  <c r="G346" i="15"/>
  <c r="J346" i="15" s="1"/>
  <c r="I345" i="15"/>
  <c r="H345" i="15"/>
  <c r="G345" i="15"/>
  <c r="J345" i="15" s="1"/>
  <c r="H344" i="15"/>
  <c r="G344" i="15"/>
  <c r="H343" i="15"/>
  <c r="G343" i="15"/>
  <c r="H342" i="15"/>
  <c r="G342" i="15"/>
  <c r="H341" i="15"/>
  <c r="G341" i="15"/>
  <c r="J340" i="15"/>
  <c r="I340" i="15"/>
  <c r="H340" i="15"/>
  <c r="G340" i="15"/>
  <c r="I339" i="15"/>
  <c r="H339" i="15"/>
  <c r="G339" i="15"/>
  <c r="J339" i="15" s="1"/>
  <c r="J338" i="15"/>
  <c r="I338" i="15"/>
  <c r="H338" i="15"/>
  <c r="G338" i="15"/>
  <c r="H337" i="15"/>
  <c r="G337" i="15"/>
  <c r="H336" i="15"/>
  <c r="G336" i="15"/>
  <c r="H335" i="15"/>
  <c r="G335" i="15"/>
  <c r="H334" i="15"/>
  <c r="G334" i="15"/>
  <c r="I333" i="15"/>
  <c r="H333" i="15"/>
  <c r="G333" i="15"/>
  <c r="J333" i="15" s="1"/>
  <c r="H332" i="15"/>
  <c r="G332" i="15"/>
  <c r="J332" i="15" s="1"/>
  <c r="I331" i="15"/>
  <c r="H331" i="15"/>
  <c r="G331" i="15"/>
  <c r="J331" i="15" s="1"/>
  <c r="I330" i="15"/>
  <c r="H330" i="15"/>
  <c r="G330" i="15"/>
  <c r="J330" i="15" s="1"/>
  <c r="H329" i="15"/>
  <c r="G329" i="15"/>
  <c r="H328" i="15"/>
  <c r="G328" i="15"/>
  <c r="H327" i="15"/>
  <c r="G327" i="15"/>
  <c r="H326" i="15"/>
  <c r="G326" i="15"/>
  <c r="I326" i="15" s="1"/>
  <c r="I325" i="15"/>
  <c r="H325" i="15"/>
  <c r="G325" i="15"/>
  <c r="J325" i="15" s="1"/>
  <c r="J324" i="15"/>
  <c r="I324" i="15"/>
  <c r="H324" i="15"/>
  <c r="G324" i="15"/>
  <c r="I323" i="15"/>
  <c r="H323" i="15"/>
  <c r="G323" i="15"/>
  <c r="J323" i="15" s="1"/>
  <c r="J322" i="15"/>
  <c r="I322" i="15"/>
  <c r="H322" i="15"/>
  <c r="G322" i="15"/>
  <c r="H321" i="15"/>
  <c r="G321" i="15"/>
  <c r="I320" i="15"/>
  <c r="H320" i="15"/>
  <c r="G320" i="15"/>
  <c r="J320" i="15" s="1"/>
  <c r="H319" i="15"/>
  <c r="G319" i="15"/>
  <c r="H318" i="15"/>
  <c r="G318" i="15"/>
  <c r="I318" i="15" s="1"/>
  <c r="I317" i="15"/>
  <c r="H317" i="15"/>
  <c r="G317" i="15"/>
  <c r="J317" i="15" s="1"/>
  <c r="J316" i="15"/>
  <c r="I316" i="15"/>
  <c r="H316" i="15"/>
  <c r="G316" i="15"/>
  <c r="I315" i="15"/>
  <c r="H315" i="15"/>
  <c r="G315" i="15"/>
  <c r="J315" i="15" s="1"/>
  <c r="I314" i="15"/>
  <c r="H314" i="15"/>
  <c r="G314" i="15"/>
  <c r="J314" i="15" s="1"/>
  <c r="H313" i="15"/>
  <c r="G313" i="15"/>
  <c r="J313" i="15" s="1"/>
  <c r="H312" i="15"/>
  <c r="G312" i="15"/>
  <c r="H311" i="15"/>
  <c r="G311" i="15"/>
  <c r="J310" i="15"/>
  <c r="H310" i="15"/>
  <c r="G310" i="15"/>
  <c r="I310" i="15" s="1"/>
  <c r="I309" i="15"/>
  <c r="H309" i="15"/>
  <c r="G309" i="15"/>
  <c r="J309" i="15" s="1"/>
  <c r="J308" i="15"/>
  <c r="I308" i="15"/>
  <c r="H308" i="15"/>
  <c r="G308" i="15"/>
  <c r="I307" i="15"/>
  <c r="H307" i="15"/>
  <c r="G307" i="15"/>
  <c r="J307" i="15" s="1"/>
  <c r="J306" i="15"/>
  <c r="I306" i="15"/>
  <c r="H306" i="15"/>
  <c r="G306" i="15"/>
  <c r="H305" i="15"/>
  <c r="G305" i="15"/>
  <c r="I304" i="15"/>
  <c r="H304" i="15"/>
  <c r="G304" i="15"/>
  <c r="J304" i="15" s="1"/>
  <c r="H303" i="15"/>
  <c r="G303" i="15"/>
  <c r="J302" i="15"/>
  <c r="H302" i="15"/>
  <c r="G302" i="15"/>
  <c r="I302" i="15" s="1"/>
  <c r="I301" i="15"/>
  <c r="H301" i="15"/>
  <c r="G301" i="15"/>
  <c r="J301" i="15" s="1"/>
  <c r="I300" i="15"/>
  <c r="H300" i="15"/>
  <c r="G300" i="15"/>
  <c r="J300" i="15" s="1"/>
  <c r="I299" i="15"/>
  <c r="H299" i="15"/>
  <c r="G299" i="15"/>
  <c r="J299" i="15" s="1"/>
  <c r="I298" i="15"/>
  <c r="H298" i="15"/>
  <c r="G298" i="15"/>
  <c r="J298" i="15" s="1"/>
  <c r="I297" i="15"/>
  <c r="H297" i="15"/>
  <c r="G297" i="15"/>
  <c r="J297" i="15" s="1"/>
  <c r="H296" i="15"/>
  <c r="G296" i="15"/>
  <c r="H295" i="15"/>
  <c r="G295" i="15"/>
  <c r="H294" i="15"/>
  <c r="G294" i="15"/>
  <c r="H293" i="15"/>
  <c r="G293" i="15"/>
  <c r="H292" i="15"/>
  <c r="G292" i="15"/>
  <c r="I291" i="15"/>
  <c r="H291" i="15"/>
  <c r="G291" i="15"/>
  <c r="J291" i="15" s="1"/>
  <c r="H290" i="15"/>
  <c r="G290" i="15"/>
  <c r="I289" i="15"/>
  <c r="H289" i="15"/>
  <c r="G289" i="15"/>
  <c r="J289" i="15" s="1"/>
  <c r="H288" i="15"/>
  <c r="G288" i="15"/>
  <c r="H287" i="15"/>
  <c r="G287" i="15"/>
  <c r="J287" i="15" s="1"/>
  <c r="H286" i="15"/>
  <c r="G286" i="15"/>
  <c r="H285" i="15"/>
  <c r="G285" i="15"/>
  <c r="J285" i="15" s="1"/>
  <c r="H284" i="15"/>
  <c r="G284" i="15"/>
  <c r="I283" i="15"/>
  <c r="H283" i="15"/>
  <c r="G283" i="15"/>
  <c r="J283" i="15" s="1"/>
  <c r="H282" i="15"/>
  <c r="G282" i="15"/>
  <c r="I281" i="15"/>
  <c r="H281" i="15"/>
  <c r="G281" i="15"/>
  <c r="J281" i="15" s="1"/>
  <c r="H280" i="15"/>
  <c r="G280" i="15"/>
  <c r="H279" i="15"/>
  <c r="G279" i="15"/>
  <c r="H278" i="15"/>
  <c r="G278" i="15"/>
  <c r="H277" i="15"/>
  <c r="G277" i="15"/>
  <c r="H276" i="15"/>
  <c r="G276" i="15"/>
  <c r="I275" i="15"/>
  <c r="H275" i="15"/>
  <c r="G275" i="15"/>
  <c r="J275" i="15" s="1"/>
  <c r="H274" i="15"/>
  <c r="G274" i="15"/>
  <c r="I273" i="15"/>
  <c r="H273" i="15"/>
  <c r="G273" i="15"/>
  <c r="J273" i="15" s="1"/>
  <c r="H272" i="15"/>
  <c r="G272" i="15"/>
  <c r="H271" i="15"/>
  <c r="G271" i="15"/>
  <c r="J271" i="15" s="1"/>
  <c r="H270" i="15"/>
  <c r="G270" i="15"/>
  <c r="H269" i="15"/>
  <c r="G269" i="15"/>
  <c r="J269" i="15" s="1"/>
  <c r="H268" i="15"/>
  <c r="G268" i="15"/>
  <c r="I267" i="15"/>
  <c r="H267" i="15"/>
  <c r="G267" i="15"/>
  <c r="J267" i="15" s="1"/>
  <c r="H266" i="15"/>
  <c r="G266" i="15"/>
  <c r="I265" i="15"/>
  <c r="H265" i="15"/>
  <c r="G265" i="15"/>
  <c r="J265" i="15" s="1"/>
  <c r="H264" i="15"/>
  <c r="G264" i="15"/>
  <c r="H263" i="15"/>
  <c r="G263" i="15"/>
  <c r="H262" i="15"/>
  <c r="G262" i="15"/>
  <c r="H261" i="15"/>
  <c r="G261" i="15"/>
  <c r="H260" i="15"/>
  <c r="G260" i="15"/>
  <c r="I259" i="15"/>
  <c r="H259" i="15"/>
  <c r="G259" i="15"/>
  <c r="J259" i="15" s="1"/>
  <c r="H258" i="15"/>
  <c r="G258" i="15"/>
  <c r="I257" i="15"/>
  <c r="H257" i="15"/>
  <c r="G257" i="15"/>
  <c r="J257" i="15" s="1"/>
  <c r="H256" i="15"/>
  <c r="G256" i="15"/>
  <c r="H255" i="15"/>
  <c r="G255" i="15"/>
  <c r="J255" i="15" s="1"/>
  <c r="H254" i="15"/>
  <c r="G254" i="15"/>
  <c r="H253" i="15"/>
  <c r="G253" i="15"/>
  <c r="J253" i="15" s="1"/>
  <c r="H252" i="15"/>
  <c r="G252" i="15"/>
  <c r="I251" i="15"/>
  <c r="H251" i="15"/>
  <c r="G251" i="15"/>
  <c r="J251" i="15" s="1"/>
  <c r="H250" i="15"/>
  <c r="G250" i="15"/>
  <c r="I249" i="15"/>
  <c r="H249" i="15"/>
  <c r="G249" i="15"/>
  <c r="J249" i="15" s="1"/>
  <c r="H248" i="15"/>
  <c r="G248" i="15"/>
  <c r="H247" i="15"/>
  <c r="G247" i="15"/>
  <c r="H246" i="15"/>
  <c r="G246" i="15"/>
  <c r="H245" i="15"/>
  <c r="G245" i="15"/>
  <c r="H244" i="15"/>
  <c r="G244" i="15"/>
  <c r="I243" i="15"/>
  <c r="H243" i="15"/>
  <c r="G243" i="15"/>
  <c r="J243" i="15" s="1"/>
  <c r="H242" i="15"/>
  <c r="G242" i="15"/>
  <c r="I241" i="15"/>
  <c r="H241" i="15"/>
  <c r="G241" i="15"/>
  <c r="J241" i="15" s="1"/>
  <c r="H240" i="15"/>
  <c r="G240" i="15"/>
  <c r="H239" i="15"/>
  <c r="G239" i="15"/>
  <c r="J239" i="15" s="1"/>
  <c r="H238" i="15"/>
  <c r="G238" i="15"/>
  <c r="H237" i="15"/>
  <c r="G237" i="15"/>
  <c r="J237" i="15" s="1"/>
  <c r="H236" i="15"/>
  <c r="G236" i="15"/>
  <c r="I235" i="15"/>
  <c r="H235" i="15"/>
  <c r="G235" i="15"/>
  <c r="J235" i="15" s="1"/>
  <c r="H234" i="15"/>
  <c r="G234" i="15"/>
  <c r="I233" i="15"/>
  <c r="H233" i="15"/>
  <c r="G233" i="15"/>
  <c r="J233" i="15" s="1"/>
  <c r="H232" i="15"/>
  <c r="G232" i="15"/>
  <c r="H231" i="15"/>
  <c r="G231" i="15"/>
  <c r="H230" i="15"/>
  <c r="G230" i="15"/>
  <c r="H229" i="15"/>
  <c r="G229" i="15"/>
  <c r="H228" i="15"/>
  <c r="G228" i="15"/>
  <c r="I227" i="15"/>
  <c r="H227" i="15"/>
  <c r="G227" i="15"/>
  <c r="J227" i="15" s="1"/>
  <c r="H226" i="15"/>
  <c r="G226" i="15"/>
  <c r="I225" i="15"/>
  <c r="H225" i="15"/>
  <c r="G225" i="15"/>
  <c r="J225" i="15" s="1"/>
  <c r="H224" i="15"/>
  <c r="G224" i="15"/>
  <c r="H223" i="15"/>
  <c r="G223" i="15"/>
  <c r="J223" i="15" s="1"/>
  <c r="H222" i="15"/>
  <c r="G222" i="15"/>
  <c r="H221" i="15"/>
  <c r="G221" i="15"/>
  <c r="J221" i="15" s="1"/>
  <c r="H220" i="15"/>
  <c r="G220" i="15"/>
  <c r="I219" i="15"/>
  <c r="H219" i="15"/>
  <c r="G219" i="15"/>
  <c r="J219" i="15" s="1"/>
  <c r="H218" i="15"/>
  <c r="G218" i="15"/>
  <c r="I217" i="15"/>
  <c r="H217" i="15"/>
  <c r="G217" i="15"/>
  <c r="J217" i="15" s="1"/>
  <c r="H216" i="15"/>
  <c r="G216" i="15"/>
  <c r="H215" i="15"/>
  <c r="G215" i="15"/>
  <c r="H214" i="15"/>
  <c r="G214" i="15"/>
  <c r="H213" i="15"/>
  <c r="G213" i="15"/>
  <c r="H212" i="15"/>
  <c r="G212" i="15"/>
  <c r="I211" i="15"/>
  <c r="H211" i="15"/>
  <c r="G211" i="15"/>
  <c r="J211" i="15" s="1"/>
  <c r="H210" i="15"/>
  <c r="G210" i="15"/>
  <c r="I209" i="15"/>
  <c r="H209" i="15"/>
  <c r="G209" i="15"/>
  <c r="J209" i="15" s="1"/>
  <c r="H208" i="15"/>
  <c r="G208" i="15"/>
  <c r="H207" i="15"/>
  <c r="G207" i="15"/>
  <c r="J207" i="15" s="1"/>
  <c r="H206" i="15"/>
  <c r="G206" i="15"/>
  <c r="H205" i="15"/>
  <c r="G205" i="15"/>
  <c r="J205" i="15" s="1"/>
  <c r="H204" i="15"/>
  <c r="G204" i="15"/>
  <c r="I203" i="15"/>
  <c r="H203" i="15"/>
  <c r="G203" i="15"/>
  <c r="J203" i="15" s="1"/>
  <c r="H202" i="15"/>
  <c r="G202" i="15"/>
  <c r="I201" i="15"/>
  <c r="H201" i="15"/>
  <c r="G201" i="15"/>
  <c r="J201" i="15" s="1"/>
  <c r="H200" i="15"/>
  <c r="G200" i="15"/>
  <c r="H199" i="15"/>
  <c r="G199" i="15"/>
  <c r="H198" i="15"/>
  <c r="G198" i="15"/>
  <c r="H197" i="15"/>
  <c r="G197" i="15"/>
  <c r="H196" i="15"/>
  <c r="G196" i="15"/>
  <c r="I195" i="15"/>
  <c r="H195" i="15"/>
  <c r="G195" i="15"/>
  <c r="J195" i="15" s="1"/>
  <c r="H194" i="15"/>
  <c r="G194" i="15"/>
  <c r="I193" i="15"/>
  <c r="H193" i="15"/>
  <c r="G193" i="15"/>
  <c r="J193" i="15" s="1"/>
  <c r="H192" i="15"/>
  <c r="G192" i="15"/>
  <c r="H191" i="15"/>
  <c r="G191" i="15"/>
  <c r="J191" i="15" s="1"/>
  <c r="H190" i="15"/>
  <c r="G190" i="15"/>
  <c r="H189" i="15"/>
  <c r="G189" i="15"/>
  <c r="J189" i="15" s="1"/>
  <c r="H188" i="15"/>
  <c r="G188" i="15"/>
  <c r="I187" i="15"/>
  <c r="H187" i="15"/>
  <c r="G187" i="15"/>
  <c r="J187" i="15" s="1"/>
  <c r="H186" i="15"/>
  <c r="G186" i="15"/>
  <c r="I185" i="15"/>
  <c r="H185" i="15"/>
  <c r="G185" i="15"/>
  <c r="J185" i="15" s="1"/>
  <c r="H184" i="15"/>
  <c r="G184" i="15"/>
  <c r="H183" i="15"/>
  <c r="G183" i="15"/>
  <c r="H182" i="15"/>
  <c r="G182" i="15"/>
  <c r="H181" i="15"/>
  <c r="G181" i="15"/>
  <c r="H180" i="15"/>
  <c r="G180" i="15"/>
  <c r="I179" i="15"/>
  <c r="H179" i="15"/>
  <c r="G179" i="15"/>
  <c r="J179" i="15" s="1"/>
  <c r="H178" i="15"/>
  <c r="G178" i="15"/>
  <c r="I177" i="15"/>
  <c r="H177" i="15"/>
  <c r="G177" i="15"/>
  <c r="J177" i="15" s="1"/>
  <c r="H176" i="15"/>
  <c r="G176" i="15"/>
  <c r="H175" i="15"/>
  <c r="G175" i="15"/>
  <c r="J175" i="15" s="1"/>
  <c r="H174" i="15"/>
  <c r="G174" i="15"/>
  <c r="H173" i="15"/>
  <c r="G173" i="15"/>
  <c r="J173" i="15" s="1"/>
  <c r="H172" i="15"/>
  <c r="G172" i="15"/>
  <c r="I171" i="15"/>
  <c r="H171" i="15"/>
  <c r="G171" i="15"/>
  <c r="J171" i="15" s="1"/>
  <c r="H170" i="15"/>
  <c r="G170" i="15"/>
  <c r="I169" i="15"/>
  <c r="H169" i="15"/>
  <c r="G169" i="15"/>
  <c r="J169" i="15" s="1"/>
  <c r="H168" i="15"/>
  <c r="G168" i="15"/>
  <c r="H167" i="15"/>
  <c r="G167" i="15"/>
  <c r="H166" i="15"/>
  <c r="G166" i="15"/>
  <c r="H165" i="15"/>
  <c r="G165" i="15"/>
  <c r="H164" i="15"/>
  <c r="G164" i="15"/>
  <c r="I163" i="15"/>
  <c r="H163" i="15"/>
  <c r="G163" i="15"/>
  <c r="J163" i="15" s="1"/>
  <c r="H162" i="15"/>
  <c r="G162" i="15"/>
  <c r="I161" i="15"/>
  <c r="H161" i="15"/>
  <c r="G161" i="15"/>
  <c r="J161" i="15" s="1"/>
  <c r="H160" i="15"/>
  <c r="G160" i="15"/>
  <c r="H159" i="15"/>
  <c r="G159" i="15"/>
  <c r="H158" i="15"/>
  <c r="G158" i="15"/>
  <c r="J157" i="15"/>
  <c r="I157" i="15"/>
  <c r="H157" i="15"/>
  <c r="G157" i="15"/>
  <c r="H156" i="15"/>
  <c r="G156" i="15"/>
  <c r="H155" i="15"/>
  <c r="G155" i="15"/>
  <c r="J155" i="15" s="1"/>
  <c r="H154" i="15"/>
  <c r="G154" i="15"/>
  <c r="J153" i="15"/>
  <c r="I153" i="15"/>
  <c r="H153" i="15"/>
  <c r="G153" i="15"/>
  <c r="H152" i="15"/>
  <c r="G152" i="15"/>
  <c r="H151" i="15"/>
  <c r="G151" i="15"/>
  <c r="H150" i="15"/>
  <c r="G150" i="15"/>
  <c r="J149" i="15"/>
  <c r="I149" i="15"/>
  <c r="H149" i="15"/>
  <c r="G149" i="15"/>
  <c r="H148" i="15"/>
  <c r="G148" i="15"/>
  <c r="H147" i="15"/>
  <c r="G147" i="15"/>
  <c r="J147" i="15" s="1"/>
  <c r="H146" i="15"/>
  <c r="G146" i="15"/>
  <c r="J145" i="15"/>
  <c r="I145" i="15"/>
  <c r="H145" i="15"/>
  <c r="G145" i="15"/>
  <c r="H144" i="15"/>
  <c r="G144" i="15"/>
  <c r="H143" i="15"/>
  <c r="G143" i="15"/>
  <c r="H142" i="15"/>
  <c r="G142" i="15"/>
  <c r="J141" i="15"/>
  <c r="I141" i="15"/>
  <c r="H141" i="15"/>
  <c r="G141" i="15"/>
  <c r="H140" i="15"/>
  <c r="G140" i="15"/>
  <c r="H139" i="15"/>
  <c r="G139" i="15"/>
  <c r="J139" i="15" s="1"/>
  <c r="H138" i="15"/>
  <c r="G138" i="15"/>
  <c r="J137" i="15"/>
  <c r="I137" i="15"/>
  <c r="H137" i="15"/>
  <c r="G137" i="15"/>
  <c r="H136" i="15"/>
  <c r="G136" i="15"/>
  <c r="H135" i="15"/>
  <c r="G135" i="15"/>
  <c r="H134" i="15"/>
  <c r="G134" i="15"/>
  <c r="J133" i="15"/>
  <c r="I133" i="15"/>
  <c r="H133" i="15"/>
  <c r="G133" i="15"/>
  <c r="H132" i="15"/>
  <c r="G132" i="15"/>
  <c r="H131" i="15"/>
  <c r="G131" i="15"/>
  <c r="J131" i="15" s="1"/>
  <c r="H130" i="15"/>
  <c r="G130" i="15"/>
  <c r="J129" i="15"/>
  <c r="I129" i="15"/>
  <c r="H129" i="15"/>
  <c r="G129" i="15"/>
  <c r="H128" i="15"/>
  <c r="G128" i="15"/>
  <c r="H127" i="15"/>
  <c r="G127" i="15"/>
  <c r="H126" i="15"/>
  <c r="G126" i="15"/>
  <c r="J125" i="15"/>
  <c r="I125" i="15"/>
  <c r="H125" i="15"/>
  <c r="G125" i="15"/>
  <c r="H124" i="15"/>
  <c r="G124" i="15"/>
  <c r="H123" i="15"/>
  <c r="G123" i="15"/>
  <c r="J123" i="15" s="1"/>
  <c r="H122" i="15"/>
  <c r="G122" i="15"/>
  <c r="J121" i="15"/>
  <c r="I121" i="15"/>
  <c r="H121" i="15"/>
  <c r="G121" i="15"/>
  <c r="H120" i="15"/>
  <c r="G120" i="15"/>
  <c r="H119" i="15"/>
  <c r="G119" i="15"/>
  <c r="H118" i="15"/>
  <c r="G118" i="15"/>
  <c r="J117" i="15"/>
  <c r="I117" i="15"/>
  <c r="H117" i="15"/>
  <c r="G117" i="15"/>
  <c r="H116" i="15"/>
  <c r="G116" i="15"/>
  <c r="H115" i="15"/>
  <c r="G115" i="15"/>
  <c r="J115" i="15" s="1"/>
  <c r="H114" i="15"/>
  <c r="G114" i="15"/>
  <c r="J113" i="15"/>
  <c r="I113" i="15"/>
  <c r="H113" i="15"/>
  <c r="G113" i="15"/>
  <c r="H112" i="15"/>
  <c r="G112" i="15"/>
  <c r="H111" i="15"/>
  <c r="G111" i="15"/>
  <c r="H110" i="15"/>
  <c r="G110" i="15"/>
  <c r="J109" i="15"/>
  <c r="I109" i="15"/>
  <c r="H109" i="15"/>
  <c r="G109" i="15"/>
  <c r="H108" i="15"/>
  <c r="G108" i="15"/>
  <c r="H107" i="15"/>
  <c r="G107" i="15"/>
  <c r="J107" i="15" s="1"/>
  <c r="H106" i="15"/>
  <c r="G106" i="15"/>
  <c r="J105" i="15"/>
  <c r="I105" i="15"/>
  <c r="H105" i="15"/>
  <c r="G105" i="15"/>
  <c r="H104" i="15"/>
  <c r="G104" i="15"/>
  <c r="H103" i="15"/>
  <c r="G103" i="15"/>
  <c r="H102" i="15"/>
  <c r="G102" i="15"/>
  <c r="J101" i="15"/>
  <c r="I101" i="15"/>
  <c r="H101" i="15"/>
  <c r="G101" i="15"/>
  <c r="H100" i="15"/>
  <c r="G100" i="15"/>
  <c r="H99" i="15"/>
  <c r="G99" i="15"/>
  <c r="J99" i="15" s="1"/>
  <c r="H98" i="15"/>
  <c r="G98" i="15"/>
  <c r="J97" i="15"/>
  <c r="I97" i="15"/>
  <c r="H97" i="15"/>
  <c r="G97" i="15"/>
  <c r="H96" i="15"/>
  <c r="G96" i="15"/>
  <c r="H95" i="15"/>
  <c r="G95" i="15"/>
  <c r="H94" i="15"/>
  <c r="G94" i="15"/>
  <c r="J93" i="15"/>
  <c r="I93" i="15"/>
  <c r="H93" i="15"/>
  <c r="G93" i="15"/>
  <c r="H92" i="15"/>
  <c r="G92" i="15"/>
  <c r="H91" i="15"/>
  <c r="G91" i="15"/>
  <c r="J91" i="15" s="1"/>
  <c r="H90" i="15"/>
  <c r="G90" i="15"/>
  <c r="J89" i="15"/>
  <c r="I89" i="15"/>
  <c r="H89" i="15"/>
  <c r="G89" i="15"/>
  <c r="H88" i="15"/>
  <c r="G88" i="15"/>
  <c r="H87" i="15"/>
  <c r="G87" i="15"/>
  <c r="H86" i="15"/>
  <c r="G86" i="15"/>
  <c r="J85" i="15"/>
  <c r="I85" i="15"/>
  <c r="H85" i="15"/>
  <c r="G85" i="15"/>
  <c r="H84" i="15"/>
  <c r="G84" i="15"/>
  <c r="H83" i="15"/>
  <c r="G83" i="15"/>
  <c r="J83" i="15" s="1"/>
  <c r="H82" i="15"/>
  <c r="G82" i="15"/>
  <c r="J81" i="15"/>
  <c r="I81" i="15"/>
  <c r="H81" i="15"/>
  <c r="G81" i="15"/>
  <c r="H80" i="15"/>
  <c r="G80" i="15"/>
  <c r="H79" i="15"/>
  <c r="G79" i="15"/>
  <c r="H78" i="15"/>
  <c r="G78" i="15"/>
  <c r="J77" i="15"/>
  <c r="I77" i="15"/>
  <c r="H77" i="15"/>
  <c r="G77" i="15"/>
  <c r="H76" i="15"/>
  <c r="G76" i="15"/>
  <c r="H75" i="15"/>
  <c r="G75" i="15"/>
  <c r="J75" i="15" s="1"/>
  <c r="H74" i="15"/>
  <c r="G74" i="15"/>
  <c r="J73" i="15"/>
  <c r="I73" i="15"/>
  <c r="H73" i="15"/>
  <c r="G73" i="15"/>
  <c r="H72" i="15"/>
  <c r="G72" i="15"/>
  <c r="H71" i="15"/>
  <c r="G71" i="15"/>
  <c r="H70" i="15"/>
  <c r="G70" i="15"/>
  <c r="J69" i="15"/>
  <c r="I69" i="15"/>
  <c r="H69" i="15"/>
  <c r="G69" i="15"/>
  <c r="H68" i="15"/>
  <c r="G68" i="15"/>
  <c r="H67" i="15"/>
  <c r="G67" i="15"/>
  <c r="J67" i="15" s="1"/>
  <c r="H66" i="15"/>
  <c r="G66" i="15"/>
  <c r="J65" i="15"/>
  <c r="I65" i="15"/>
  <c r="H65" i="15"/>
  <c r="G65" i="15"/>
  <c r="H64" i="15"/>
  <c r="G64" i="15"/>
  <c r="H63" i="15"/>
  <c r="G63" i="15"/>
  <c r="H62" i="15"/>
  <c r="G62" i="15"/>
  <c r="J61" i="15"/>
  <c r="I61" i="15"/>
  <c r="H61" i="15"/>
  <c r="G61" i="15"/>
  <c r="H60" i="15"/>
  <c r="G60" i="15"/>
  <c r="H59" i="15"/>
  <c r="G59" i="15"/>
  <c r="J59" i="15" s="1"/>
  <c r="H58" i="15"/>
  <c r="G58" i="15"/>
  <c r="J57" i="15"/>
  <c r="I57" i="15"/>
  <c r="H57" i="15"/>
  <c r="G57" i="15"/>
  <c r="H56" i="15"/>
  <c r="G56" i="15"/>
  <c r="H55" i="15"/>
  <c r="G55" i="15"/>
  <c r="H54" i="15"/>
  <c r="G54" i="15"/>
  <c r="J53" i="15"/>
  <c r="I53" i="15"/>
  <c r="H53" i="15"/>
  <c r="G53" i="15"/>
  <c r="H52" i="15"/>
  <c r="G52" i="15"/>
  <c r="H51" i="15"/>
  <c r="G51" i="15"/>
  <c r="J51" i="15" s="1"/>
  <c r="H50" i="15"/>
  <c r="G50" i="15"/>
  <c r="J49" i="15"/>
  <c r="I49" i="15"/>
  <c r="H49" i="15"/>
  <c r="G49" i="15"/>
  <c r="H48" i="15"/>
  <c r="G48" i="15"/>
  <c r="H47" i="15"/>
  <c r="G47" i="15"/>
  <c r="H46" i="15"/>
  <c r="G46" i="15"/>
  <c r="J45" i="15"/>
  <c r="I45" i="15"/>
  <c r="H45" i="15"/>
  <c r="G45" i="15"/>
  <c r="H44" i="15"/>
  <c r="G44" i="15"/>
  <c r="H43" i="15"/>
  <c r="G43" i="15"/>
  <c r="J43" i="15" s="1"/>
  <c r="H42" i="15"/>
  <c r="G42" i="15"/>
  <c r="J41" i="15"/>
  <c r="I41" i="15"/>
  <c r="H41" i="15"/>
  <c r="G41" i="15"/>
  <c r="H40" i="15"/>
  <c r="G40" i="15"/>
  <c r="H39" i="15"/>
  <c r="G39" i="15"/>
  <c r="H38" i="15"/>
  <c r="G38" i="15"/>
  <c r="J37" i="15"/>
  <c r="I37" i="15"/>
  <c r="H37" i="15"/>
  <c r="G37" i="15"/>
  <c r="H36" i="15"/>
  <c r="G36" i="15"/>
  <c r="H35" i="15"/>
  <c r="G35" i="15"/>
  <c r="J35" i="15" s="1"/>
  <c r="H34" i="15"/>
  <c r="G34" i="15"/>
  <c r="J33" i="15"/>
  <c r="I33" i="15"/>
  <c r="H33" i="15"/>
  <c r="G33" i="15"/>
  <c r="H32" i="15"/>
  <c r="G32" i="15"/>
  <c r="H31" i="15"/>
  <c r="G31" i="15"/>
  <c r="H30" i="15"/>
  <c r="G30" i="15"/>
  <c r="J29" i="15"/>
  <c r="I29" i="15"/>
  <c r="H29" i="15"/>
  <c r="G29" i="15"/>
  <c r="H28" i="15"/>
  <c r="G28" i="15"/>
  <c r="H27" i="15"/>
  <c r="G27" i="15"/>
  <c r="J27" i="15" s="1"/>
  <c r="H26" i="15"/>
  <c r="G26" i="15"/>
  <c r="J25" i="15"/>
  <c r="I25" i="15"/>
  <c r="H25" i="15"/>
  <c r="G25" i="15"/>
  <c r="H24" i="15"/>
  <c r="G24" i="15"/>
  <c r="H23" i="15"/>
  <c r="G23" i="15"/>
  <c r="H22" i="15"/>
  <c r="G22" i="15"/>
  <c r="J21" i="15"/>
  <c r="I21" i="15"/>
  <c r="H21" i="15"/>
  <c r="G21" i="15"/>
  <c r="H20" i="15"/>
  <c r="G20" i="15"/>
  <c r="H19" i="15"/>
  <c r="G19" i="15"/>
  <c r="J19" i="15" s="1"/>
  <c r="H18" i="15"/>
  <c r="G18" i="15"/>
  <c r="J17" i="15"/>
  <c r="I17" i="15"/>
  <c r="H17" i="15"/>
  <c r="G17" i="15"/>
  <c r="H16" i="15"/>
  <c r="G16" i="15"/>
  <c r="H15" i="15"/>
  <c r="G15" i="15"/>
  <c r="H14" i="15"/>
  <c r="G14" i="15"/>
  <c r="J13" i="15"/>
  <c r="I13" i="15"/>
  <c r="H13" i="15"/>
  <c r="G13" i="15"/>
  <c r="H12" i="15"/>
  <c r="G12" i="15"/>
  <c r="H11" i="15"/>
  <c r="G11" i="15"/>
  <c r="J11" i="15" s="1"/>
  <c r="H10" i="15"/>
  <c r="G10" i="15"/>
  <c r="J9" i="15"/>
  <c r="I9" i="15"/>
  <c r="H9" i="15"/>
  <c r="G9" i="15"/>
  <c r="H8" i="15"/>
  <c r="G8" i="15"/>
  <c r="H7" i="15"/>
  <c r="G7" i="15"/>
  <c r="H6" i="15"/>
  <c r="G6" i="15"/>
  <c r="J5" i="15"/>
  <c r="I5" i="15"/>
  <c r="H5" i="15"/>
  <c r="G5" i="15"/>
  <c r="H4" i="15"/>
  <c r="G4" i="15"/>
  <c r="H3" i="15"/>
  <c r="G3" i="15"/>
  <c r="J3" i="15" s="1"/>
  <c r="H2" i="15"/>
  <c r="G2" i="15"/>
  <c r="H23" i="14"/>
  <c r="I23" i="14" s="1"/>
  <c r="H22" i="14"/>
  <c r="I22" i="14" s="1"/>
  <c r="H21" i="14"/>
  <c r="I21" i="14" s="1"/>
  <c r="H20" i="14"/>
  <c r="I20" i="14" s="1"/>
  <c r="H19" i="14"/>
  <c r="I19" i="14" s="1"/>
  <c r="I18" i="14"/>
  <c r="H18" i="14"/>
  <c r="H17" i="14"/>
  <c r="I17" i="14" s="1"/>
  <c r="I16" i="14"/>
  <c r="H16" i="14"/>
  <c r="I15" i="14"/>
  <c r="H15" i="14"/>
  <c r="H14" i="14"/>
  <c r="I14" i="14" s="1"/>
  <c r="H13" i="14"/>
  <c r="I13" i="14" s="1"/>
  <c r="H12" i="14"/>
  <c r="I12" i="14" s="1"/>
  <c r="H11" i="14"/>
  <c r="I11" i="14" s="1"/>
  <c r="H9" i="14"/>
  <c r="I9" i="14" s="1"/>
  <c r="B9" i="14"/>
  <c r="H8" i="14"/>
  <c r="I8" i="14" s="1"/>
  <c r="H7" i="14"/>
  <c r="I7" i="14" s="1"/>
  <c r="H6" i="14"/>
  <c r="I6" i="14" s="1"/>
  <c r="I5" i="14"/>
  <c r="H5" i="14"/>
  <c r="H4" i="14"/>
  <c r="I4" i="14" s="1"/>
  <c r="G5646" i="13"/>
  <c r="G5645" i="13"/>
  <c r="H5645" i="13" s="1"/>
  <c r="G5644" i="13"/>
  <c r="H5643" i="13"/>
  <c r="G5643" i="13"/>
  <c r="G5642" i="13"/>
  <c r="H5641" i="13"/>
  <c r="G5641" i="13"/>
  <c r="G5640" i="13"/>
  <c r="H5639" i="13"/>
  <c r="G5639" i="13"/>
  <c r="G5638" i="13"/>
  <c r="G5637" i="13"/>
  <c r="H5637" i="13" s="1"/>
  <c r="G5636" i="13"/>
  <c r="H5635" i="13"/>
  <c r="G5635" i="13"/>
  <c r="G5634" i="13"/>
  <c r="H5634" i="13" s="1"/>
  <c r="H5633" i="13"/>
  <c r="G5633" i="13"/>
  <c r="G5632" i="13"/>
  <c r="H5632" i="13" s="1"/>
  <c r="G5631" i="13"/>
  <c r="H5631" i="13" s="1"/>
  <c r="G5630" i="13"/>
  <c r="H5630" i="13" s="1"/>
  <c r="H5629" i="13"/>
  <c r="G5629" i="13"/>
  <c r="G5628" i="13"/>
  <c r="H5628" i="13" s="1"/>
  <c r="G5627" i="13"/>
  <c r="H5627" i="13" s="1"/>
  <c r="H5626" i="13"/>
  <c r="G5626" i="13"/>
  <c r="H5625" i="13"/>
  <c r="G5625" i="13"/>
  <c r="G5624" i="13"/>
  <c r="H5624" i="13" s="1"/>
  <c r="H5623" i="13"/>
  <c r="G5623" i="13"/>
  <c r="G5622" i="13"/>
  <c r="H5622" i="13" s="1"/>
  <c r="H5621" i="13"/>
  <c r="G5621" i="13"/>
  <c r="G5620" i="13"/>
  <c r="H5620" i="13" s="1"/>
  <c r="G5619" i="13"/>
  <c r="H5619" i="13" s="1"/>
  <c r="G5618" i="13"/>
  <c r="H5618" i="13" s="1"/>
  <c r="H5617" i="13"/>
  <c r="G5617" i="13"/>
  <c r="G5616" i="13"/>
  <c r="H5616" i="13" s="1"/>
  <c r="H5615" i="13"/>
  <c r="G5615" i="13"/>
  <c r="H5614" i="13"/>
  <c r="G5614" i="13"/>
  <c r="H5613" i="13"/>
  <c r="G5613" i="13"/>
  <c r="G5612" i="13"/>
  <c r="H5612" i="13" s="1"/>
  <c r="G5611" i="13"/>
  <c r="H5611" i="13" s="1"/>
  <c r="G5610" i="13"/>
  <c r="H5610" i="13" s="1"/>
  <c r="H5609" i="13"/>
  <c r="G5609" i="13"/>
  <c r="G5608" i="13"/>
  <c r="H5608" i="13" s="1"/>
  <c r="G5607" i="13"/>
  <c r="H5607" i="13" s="1"/>
  <c r="H5606" i="13"/>
  <c r="G5606" i="13"/>
  <c r="H5605" i="13"/>
  <c r="G5605" i="13"/>
  <c r="G5604" i="13"/>
  <c r="H5604" i="13" s="1"/>
  <c r="H5603" i="13"/>
  <c r="G5603" i="13"/>
  <c r="G5602" i="13"/>
  <c r="H5602" i="13" s="1"/>
  <c r="H5601" i="13"/>
  <c r="G5601" i="13"/>
  <c r="G5600" i="13"/>
  <c r="H5600" i="13" s="1"/>
  <c r="G5599" i="13"/>
  <c r="H5599" i="13" s="1"/>
  <c r="G5598" i="13"/>
  <c r="H5598" i="13" s="1"/>
  <c r="H5597" i="13"/>
  <c r="G5597" i="13"/>
  <c r="G5596" i="13"/>
  <c r="H5596" i="13" s="1"/>
  <c r="G5595" i="13"/>
  <c r="H5595" i="13" s="1"/>
  <c r="H5594" i="13"/>
  <c r="G5594" i="13"/>
  <c r="H5593" i="13"/>
  <c r="G5593" i="13"/>
  <c r="H5592" i="13"/>
  <c r="H5591" i="13"/>
  <c r="H5590" i="13"/>
  <c r="H5589" i="13"/>
  <c r="H5588" i="13"/>
  <c r="H5587" i="13"/>
  <c r="H5586" i="13"/>
  <c r="H5585" i="13"/>
  <c r="H5584" i="13"/>
  <c r="H5583" i="13"/>
  <c r="H5582" i="13"/>
  <c r="H5581" i="13"/>
  <c r="H5580" i="13"/>
  <c r="H5579" i="13"/>
  <c r="H5578" i="13"/>
  <c r="H5577" i="13"/>
  <c r="H5576" i="13"/>
  <c r="H5575" i="13"/>
  <c r="H5574" i="13"/>
  <c r="H5573" i="13"/>
  <c r="H5572" i="13"/>
  <c r="H5571" i="13"/>
  <c r="H5570" i="13"/>
  <c r="H5569" i="13"/>
  <c r="H5568" i="13"/>
  <c r="H5567" i="13"/>
  <c r="H5566" i="13"/>
  <c r="H5565" i="13"/>
  <c r="H5564" i="13"/>
  <c r="H5563" i="13"/>
  <c r="H5562" i="13"/>
  <c r="H5561" i="13"/>
  <c r="H5560" i="13"/>
  <c r="H5559" i="13"/>
  <c r="H5443" i="13"/>
  <c r="H5442" i="13"/>
  <c r="H5441" i="13"/>
  <c r="H5440" i="13"/>
  <c r="H5439" i="13"/>
  <c r="H5438" i="13"/>
  <c r="H5437" i="13"/>
  <c r="H5436" i="13"/>
  <c r="H5435" i="13"/>
  <c r="H5434" i="13"/>
  <c r="H5433" i="13"/>
  <c r="H5432" i="13"/>
  <c r="H5431" i="13"/>
  <c r="H5430" i="13"/>
  <c r="H5429" i="13"/>
  <c r="H5428" i="13"/>
  <c r="H5427" i="13"/>
  <c r="H5426" i="13"/>
  <c r="H5425" i="13"/>
  <c r="H5424" i="13"/>
  <c r="H5423" i="13"/>
  <c r="H5422" i="13"/>
  <c r="H5421" i="13"/>
  <c r="H5420" i="13"/>
  <c r="H5419" i="13"/>
  <c r="H5418" i="13"/>
  <c r="H5417" i="13"/>
  <c r="H5416" i="13"/>
  <c r="H5415" i="13"/>
  <c r="H5414" i="13"/>
  <c r="H5413" i="13"/>
  <c r="H5412" i="13"/>
  <c r="H5411" i="13"/>
  <c r="H5410" i="13"/>
  <c r="H5409" i="13"/>
  <c r="H5408" i="13"/>
  <c r="H5407" i="13"/>
  <c r="H5406" i="13"/>
  <c r="H5405" i="13"/>
  <c r="H5404" i="13"/>
  <c r="H5403" i="13"/>
  <c r="H5402" i="13"/>
  <c r="H5401" i="13"/>
  <c r="H5400" i="13"/>
  <c r="H5399" i="13"/>
  <c r="H5398" i="13"/>
  <c r="H5397" i="13"/>
  <c r="H5396" i="13"/>
  <c r="H5395" i="13"/>
  <c r="H5394" i="13"/>
  <c r="H5393" i="13"/>
  <c r="H5392" i="13"/>
  <c r="H5391" i="13"/>
  <c r="H5390" i="13"/>
  <c r="H5389" i="13"/>
  <c r="H5388" i="13"/>
  <c r="H5387" i="13"/>
  <c r="H5386" i="13"/>
  <c r="H5385" i="13"/>
  <c r="H5384" i="13"/>
  <c r="H5383" i="13"/>
  <c r="H5382" i="13"/>
  <c r="H5381" i="13"/>
  <c r="H5380" i="13"/>
  <c r="H5379" i="13"/>
  <c r="H5378" i="13"/>
  <c r="H5377" i="13"/>
  <c r="H5376" i="13"/>
  <c r="H5375" i="13"/>
  <c r="H5374" i="13"/>
  <c r="H5373" i="13"/>
  <c r="H5372" i="13"/>
  <c r="H5371" i="13"/>
  <c r="H5370" i="13"/>
  <c r="H5369" i="13"/>
  <c r="H5368" i="13"/>
  <c r="H5367" i="13"/>
  <c r="H5366" i="13"/>
  <c r="H5365" i="13"/>
  <c r="H5364" i="13"/>
  <c r="H5363" i="13"/>
  <c r="H5362" i="13"/>
  <c r="H5361" i="13"/>
  <c r="H5360" i="13"/>
  <c r="H5359" i="13"/>
  <c r="H5358" i="13"/>
  <c r="H5357" i="13"/>
  <c r="H5356" i="13"/>
  <c r="H5355" i="13"/>
  <c r="H5354" i="13"/>
  <c r="H5353" i="13"/>
  <c r="H5352" i="13"/>
  <c r="H5351" i="13"/>
  <c r="H5350" i="13"/>
  <c r="H5349" i="13"/>
  <c r="H5348" i="13"/>
  <c r="H5347" i="13"/>
  <c r="H5346" i="13"/>
  <c r="H5345" i="13"/>
  <c r="H5344" i="13"/>
  <c r="H5343" i="13"/>
  <c r="H5342" i="13"/>
  <c r="H5341" i="13"/>
  <c r="H5340" i="13"/>
  <c r="H5339" i="13"/>
  <c r="H5338" i="13"/>
  <c r="H5337" i="13"/>
  <c r="H5336" i="13"/>
  <c r="H5335" i="13"/>
  <c r="H5334" i="13"/>
  <c r="H5333" i="13"/>
  <c r="H5332" i="13"/>
  <c r="H5331" i="13"/>
  <c r="H5330" i="13"/>
  <c r="H5329" i="13"/>
  <c r="H5328" i="13"/>
  <c r="H5327" i="13"/>
  <c r="H5326" i="13"/>
  <c r="H5325" i="13"/>
  <c r="H5324" i="13"/>
  <c r="H5323" i="13"/>
  <c r="H5322" i="13"/>
  <c r="H5321" i="13"/>
  <c r="H5320" i="13"/>
  <c r="H5319" i="13"/>
  <c r="H5318" i="13"/>
  <c r="H5317" i="13"/>
  <c r="H5316" i="13"/>
  <c r="H5315" i="13"/>
  <c r="H5314" i="13"/>
  <c r="H5313" i="13"/>
  <c r="H5312" i="13"/>
  <c r="H5311" i="13"/>
  <c r="H5310" i="13"/>
  <c r="H5309" i="13"/>
  <c r="H5308" i="13"/>
  <c r="H5307" i="13"/>
  <c r="H5306" i="13"/>
  <c r="H5305" i="13"/>
  <c r="H5304" i="13"/>
  <c r="H5303" i="13"/>
  <c r="H5302" i="13"/>
  <c r="H5301" i="13"/>
  <c r="H5300" i="13"/>
  <c r="H5299" i="13"/>
  <c r="H5298" i="13"/>
  <c r="H5297" i="13"/>
  <c r="H5296" i="13"/>
  <c r="H5295" i="13"/>
  <c r="H5294" i="13"/>
  <c r="H5293" i="13"/>
  <c r="H5292" i="13"/>
  <c r="H5291" i="13"/>
  <c r="H5290" i="13"/>
  <c r="H5289" i="13"/>
  <c r="H5288" i="13"/>
  <c r="H5287" i="13"/>
  <c r="H5286" i="13"/>
  <c r="H5285" i="13"/>
  <c r="H5284" i="13"/>
  <c r="H5283" i="13"/>
  <c r="H5282" i="13"/>
  <c r="H5281" i="13"/>
  <c r="H5280" i="13"/>
  <c r="H5279" i="13"/>
  <c r="H5278" i="13"/>
  <c r="H5277" i="13"/>
  <c r="H5276" i="13"/>
  <c r="H5275" i="13"/>
  <c r="H5274" i="13"/>
  <c r="H5273" i="13"/>
  <c r="H5272" i="13"/>
  <c r="H5271" i="13"/>
  <c r="H5270" i="13"/>
  <c r="H5269" i="13"/>
  <c r="H5268" i="13"/>
  <c r="H5267" i="13"/>
  <c r="H5266" i="13"/>
  <c r="H5265" i="13"/>
  <c r="H5264" i="13"/>
  <c r="H5263" i="13"/>
  <c r="H5262" i="13"/>
  <c r="H5261" i="13"/>
  <c r="H5260" i="13"/>
  <c r="H5259" i="13"/>
  <c r="H5258" i="13"/>
  <c r="H5257" i="13"/>
  <c r="H5256" i="13"/>
  <c r="H5255" i="13"/>
  <c r="H5254" i="13"/>
  <c r="H5253" i="13"/>
  <c r="H5252" i="13"/>
  <c r="H5251" i="13"/>
  <c r="H5250" i="13"/>
  <c r="H5249" i="13"/>
  <c r="H5248" i="13"/>
  <c r="H5247" i="13"/>
  <c r="H5246" i="13"/>
  <c r="H5245" i="13"/>
  <c r="H5244" i="13"/>
  <c r="H5243" i="13"/>
  <c r="H5242" i="13"/>
  <c r="H5241" i="13"/>
  <c r="H5240" i="13"/>
  <c r="H5239" i="13"/>
  <c r="H5238" i="13"/>
  <c r="H5237" i="13"/>
  <c r="H5236" i="13"/>
  <c r="H5235" i="13"/>
  <c r="H5234" i="13"/>
  <c r="H5233" i="13"/>
  <c r="H5232" i="13"/>
  <c r="H5231" i="13"/>
  <c r="H5230" i="13"/>
  <c r="H5229" i="13"/>
  <c r="H5228" i="13"/>
  <c r="H5227" i="13"/>
  <c r="H5226" i="13"/>
  <c r="H5225" i="13"/>
  <c r="H5224" i="13"/>
  <c r="H5223" i="13"/>
  <c r="H5222" i="13"/>
  <c r="H5221" i="13"/>
  <c r="H5220" i="13"/>
  <c r="H5219" i="13"/>
  <c r="H5218" i="13"/>
  <c r="H5217" i="13"/>
  <c r="H5216" i="13"/>
  <c r="H5215" i="13"/>
  <c r="H5214" i="13"/>
  <c r="H5213" i="13"/>
  <c r="H5212" i="13"/>
  <c r="H5211" i="13"/>
  <c r="H5210" i="13"/>
  <c r="H5209" i="13"/>
  <c r="H5208" i="13"/>
  <c r="H5207" i="13"/>
  <c r="H5206" i="13"/>
  <c r="H5205" i="13"/>
  <c r="H5204" i="13"/>
  <c r="H5203" i="13"/>
  <c r="H5202" i="13"/>
  <c r="H5201" i="13"/>
  <c r="H5200" i="13"/>
  <c r="H5199" i="13"/>
  <c r="H5198" i="13"/>
  <c r="H5197" i="13"/>
  <c r="H5196" i="13"/>
  <c r="H5195" i="13"/>
  <c r="H5194" i="13"/>
  <c r="H5193" i="13"/>
  <c r="H5192" i="13"/>
  <c r="H5191" i="13"/>
  <c r="H5190" i="13"/>
  <c r="H5189" i="13"/>
  <c r="H5188" i="13"/>
  <c r="H5187" i="13"/>
  <c r="H5186" i="13"/>
  <c r="H5185" i="13"/>
  <c r="H5184" i="13"/>
  <c r="H5183" i="13"/>
  <c r="H5182" i="13"/>
  <c r="H5181" i="13"/>
  <c r="H5180" i="13"/>
  <c r="H5179" i="13"/>
  <c r="H5178" i="13"/>
  <c r="H5177" i="13"/>
  <c r="H5176" i="13"/>
  <c r="H5175" i="13"/>
  <c r="H5174" i="13"/>
  <c r="H5173" i="13"/>
  <c r="H5172" i="13"/>
  <c r="H5171" i="13"/>
  <c r="H5170" i="13"/>
  <c r="H5169" i="13"/>
  <c r="H5168" i="13"/>
  <c r="H5167" i="13"/>
  <c r="H5166" i="13"/>
  <c r="H5165" i="13"/>
  <c r="H5164" i="13"/>
  <c r="H5163" i="13"/>
  <c r="H5162" i="13"/>
  <c r="H5161" i="13"/>
  <c r="H5160" i="13"/>
  <c r="H5159" i="13"/>
  <c r="H5158" i="13"/>
  <c r="H5157" i="13"/>
  <c r="H5156" i="13"/>
  <c r="H5155" i="13"/>
  <c r="H5154" i="13"/>
  <c r="H5153" i="13"/>
  <c r="H5152" i="13"/>
  <c r="H5151" i="13"/>
  <c r="H5150" i="13"/>
  <c r="H5149" i="13"/>
  <c r="H5148" i="13"/>
  <c r="H5147" i="13"/>
  <c r="H5146" i="13"/>
  <c r="H5145" i="13"/>
  <c r="H5144" i="13"/>
  <c r="H5143" i="13"/>
  <c r="H5142" i="13"/>
  <c r="H5141" i="13"/>
  <c r="H5140" i="13"/>
  <c r="H5139" i="13"/>
  <c r="H5138" i="13"/>
  <c r="H5137" i="13"/>
  <c r="H5136" i="13"/>
  <c r="H5135" i="13"/>
  <c r="H5134" i="13"/>
  <c r="H5133" i="13"/>
  <c r="H5132" i="13"/>
  <c r="H5131" i="13"/>
  <c r="H5130" i="13"/>
  <c r="H5129" i="13"/>
  <c r="H5128" i="13"/>
  <c r="H5127" i="13"/>
  <c r="H5126" i="13"/>
  <c r="H5125" i="13"/>
  <c r="H5124" i="13"/>
  <c r="H5123" i="13"/>
  <c r="H5122" i="13"/>
  <c r="H5121" i="13"/>
  <c r="H5120" i="13"/>
  <c r="H5119" i="13"/>
  <c r="H5118" i="13"/>
  <c r="H5117" i="13"/>
  <c r="H5116" i="13"/>
  <c r="H5115" i="13"/>
  <c r="H5114" i="13"/>
  <c r="H5113" i="13"/>
  <c r="H5112" i="13"/>
  <c r="H5111" i="13"/>
  <c r="H5110" i="13"/>
  <c r="H5109" i="13"/>
  <c r="H5108" i="13"/>
  <c r="H5107" i="13"/>
  <c r="H5106" i="13"/>
  <c r="H5105" i="13"/>
  <c r="H5104" i="13"/>
  <c r="H5103" i="13"/>
  <c r="H5102" i="13"/>
  <c r="H5101" i="13"/>
  <c r="H5100" i="13"/>
  <c r="H5099" i="13"/>
  <c r="H5098" i="13"/>
  <c r="H5097" i="13"/>
  <c r="H5096" i="13"/>
  <c r="H5095" i="13"/>
  <c r="H5094" i="13"/>
  <c r="H5093" i="13"/>
  <c r="H5092" i="13"/>
  <c r="H5091" i="13"/>
  <c r="H5090" i="13"/>
  <c r="H5089" i="13"/>
  <c r="H5088" i="13"/>
  <c r="H5087" i="13"/>
  <c r="H5086" i="13"/>
  <c r="H5085" i="13"/>
  <c r="H5084" i="13"/>
  <c r="H5083" i="13"/>
  <c r="H5082" i="13"/>
  <c r="H5081" i="13"/>
  <c r="H5080" i="13"/>
  <c r="H5079" i="13"/>
  <c r="H5078" i="13"/>
  <c r="H5077" i="13"/>
  <c r="H5076" i="13"/>
  <c r="H5075" i="13"/>
  <c r="H5074" i="13"/>
  <c r="H5073" i="13"/>
  <c r="H5072" i="13"/>
  <c r="H5071" i="13"/>
  <c r="H5070" i="13"/>
  <c r="H5069" i="13"/>
  <c r="H5068" i="13"/>
  <c r="H5067" i="13"/>
  <c r="H5066" i="13"/>
  <c r="H5065" i="13"/>
  <c r="H5064" i="13"/>
  <c r="H5063" i="13"/>
  <c r="H5062" i="13"/>
  <c r="H5061" i="13"/>
  <c r="H5060" i="13"/>
  <c r="H5059" i="13"/>
  <c r="H5058" i="13"/>
  <c r="H5057" i="13"/>
  <c r="H5056" i="13"/>
  <c r="H5055" i="13"/>
  <c r="H5054" i="13"/>
  <c r="H5053" i="13"/>
  <c r="H5052" i="13"/>
  <c r="H5051" i="13"/>
  <c r="H5050" i="13"/>
  <c r="H5049" i="13"/>
  <c r="H5048" i="13"/>
  <c r="H5047" i="13"/>
  <c r="H5046" i="13"/>
  <c r="H5045" i="13"/>
  <c r="H5044" i="13"/>
  <c r="H5043" i="13"/>
  <c r="H5042" i="13"/>
  <c r="J5041" i="13"/>
  <c r="K5041" i="13" s="1"/>
  <c r="I5041" i="13"/>
  <c r="H5041" i="13"/>
  <c r="J5040" i="13"/>
  <c r="K5040" i="13" s="1"/>
  <c r="I5040" i="13"/>
  <c r="H5040" i="13"/>
  <c r="J5039" i="13"/>
  <c r="K5039" i="13" s="1"/>
  <c r="I5039" i="13"/>
  <c r="G5039" i="13"/>
  <c r="H5039" i="13" s="1"/>
  <c r="J5038" i="13"/>
  <c r="K5038" i="13" s="1"/>
  <c r="I5038" i="13"/>
  <c r="G5038" i="13"/>
  <c r="H5038" i="13" s="1"/>
  <c r="J5037" i="13"/>
  <c r="K5037" i="13" s="1"/>
  <c r="I5037" i="13"/>
  <c r="G5037" i="13"/>
  <c r="H5037" i="13" s="1"/>
  <c r="J5036" i="13"/>
  <c r="K5036" i="13" s="1"/>
  <c r="I5036" i="13"/>
  <c r="G5036" i="13"/>
  <c r="H5036" i="13" s="1"/>
  <c r="J5035" i="13"/>
  <c r="K5035" i="13" s="1"/>
  <c r="I5035" i="13"/>
  <c r="G5035" i="13"/>
  <c r="H5035" i="13" s="1"/>
  <c r="J5034" i="13"/>
  <c r="K5034" i="13" s="1"/>
  <c r="I5034" i="13"/>
  <c r="G5034" i="13"/>
  <c r="H5034" i="13" s="1"/>
  <c r="J5033" i="13"/>
  <c r="K5033" i="13" s="1"/>
  <c r="I5033" i="13"/>
  <c r="G5033" i="13"/>
  <c r="H5033" i="13" s="1"/>
  <c r="J5032" i="13"/>
  <c r="K5032" i="13" s="1"/>
  <c r="I5032" i="13"/>
  <c r="G5032" i="13"/>
  <c r="H5032" i="13" s="1"/>
  <c r="J5031" i="13"/>
  <c r="K5031" i="13" s="1"/>
  <c r="I5031" i="13"/>
  <c r="G5031" i="13"/>
  <c r="H5031" i="13" s="1"/>
  <c r="J5030" i="13"/>
  <c r="K5030" i="13" s="1"/>
  <c r="I5030" i="13"/>
  <c r="G5030" i="13"/>
  <c r="H5030" i="13" s="1"/>
  <c r="J5029" i="13"/>
  <c r="K5029" i="13" s="1"/>
  <c r="I5029" i="13"/>
  <c r="G5029" i="13"/>
  <c r="H5029" i="13" s="1"/>
  <c r="J5028" i="13"/>
  <c r="K5028" i="13" s="1"/>
  <c r="I5028" i="13"/>
  <c r="G5028" i="13"/>
  <c r="H5028" i="13" s="1"/>
  <c r="J5027" i="13"/>
  <c r="K5027" i="13" s="1"/>
  <c r="I5027" i="13"/>
  <c r="G5027" i="13"/>
  <c r="H5027" i="13" s="1"/>
  <c r="J5026" i="13"/>
  <c r="K5026" i="13" s="1"/>
  <c r="I5026" i="13"/>
  <c r="G5026" i="13"/>
  <c r="H5026" i="13" s="1"/>
  <c r="J5025" i="13"/>
  <c r="K5025" i="13" s="1"/>
  <c r="I5025" i="13"/>
  <c r="G5025" i="13"/>
  <c r="H5025" i="13" s="1"/>
  <c r="J5024" i="13"/>
  <c r="K5024" i="13" s="1"/>
  <c r="I5024" i="13"/>
  <c r="G5024" i="13"/>
  <c r="H5024" i="13" s="1"/>
  <c r="J5023" i="13"/>
  <c r="K5023" i="13" s="1"/>
  <c r="I5023" i="13"/>
  <c r="G5023" i="13"/>
  <c r="H5023" i="13" s="1"/>
  <c r="J5022" i="13"/>
  <c r="K5022" i="13" s="1"/>
  <c r="I5022" i="13"/>
  <c r="G5022" i="13"/>
  <c r="H5022" i="13" s="1"/>
  <c r="H5021" i="13"/>
  <c r="H5020" i="13"/>
  <c r="H5019" i="13"/>
  <c r="H5018" i="13"/>
  <c r="H5017" i="13"/>
  <c r="H5016" i="13"/>
  <c r="H5015" i="13"/>
  <c r="H5014" i="13"/>
  <c r="H5013" i="13"/>
  <c r="H5012" i="13"/>
  <c r="H5011" i="13"/>
  <c r="H5010" i="13"/>
  <c r="H5009" i="13"/>
  <c r="H5008" i="13"/>
  <c r="H5007" i="13"/>
  <c r="H5006" i="13"/>
  <c r="H5005" i="13"/>
  <c r="H5004" i="13"/>
  <c r="H5003" i="13"/>
  <c r="H5002" i="13"/>
  <c r="H5001" i="13"/>
  <c r="H5000" i="13"/>
  <c r="H4999" i="13"/>
  <c r="H4998" i="13"/>
  <c r="H4997" i="13"/>
  <c r="H4996" i="13"/>
  <c r="H4995" i="13"/>
  <c r="H4994" i="13"/>
  <c r="H4993" i="13"/>
  <c r="H4992" i="13"/>
  <c r="H4991" i="13"/>
  <c r="H4990" i="13"/>
  <c r="H4989" i="13"/>
  <c r="H4988" i="13"/>
  <c r="H4987" i="13"/>
  <c r="H4986" i="13"/>
  <c r="H4985" i="13"/>
  <c r="H4984" i="13"/>
  <c r="H4983" i="13"/>
  <c r="H4982" i="13"/>
  <c r="H4981" i="13"/>
  <c r="H4980" i="13"/>
  <c r="H4979" i="13"/>
  <c r="H4978" i="13"/>
  <c r="H4977" i="13"/>
  <c r="H4976" i="13"/>
  <c r="H4975" i="13"/>
  <c r="H4974" i="13"/>
  <c r="H4973" i="13"/>
  <c r="H4972" i="13"/>
  <c r="H4971" i="13"/>
  <c r="H4970" i="13"/>
  <c r="J4969" i="13"/>
  <c r="K4969" i="13" s="1"/>
  <c r="I4969" i="13"/>
  <c r="H4969" i="13"/>
  <c r="J4968" i="13"/>
  <c r="K4968" i="13" s="1"/>
  <c r="I4968" i="13"/>
  <c r="H4968" i="13"/>
  <c r="J4967" i="13"/>
  <c r="K4967" i="13" s="1"/>
  <c r="I4967" i="13"/>
  <c r="H4967" i="13"/>
  <c r="J4966" i="13"/>
  <c r="K4966" i="13" s="1"/>
  <c r="I4966" i="13"/>
  <c r="H4966" i="13"/>
  <c r="J4965" i="13"/>
  <c r="K4965" i="13" s="1"/>
  <c r="I4965" i="13"/>
  <c r="H4965" i="13"/>
  <c r="J4964" i="13"/>
  <c r="K4964" i="13" s="1"/>
  <c r="I4964" i="13"/>
  <c r="H4964" i="13"/>
  <c r="J4963" i="13"/>
  <c r="K4963" i="13" s="1"/>
  <c r="I4963" i="13"/>
  <c r="H4963" i="13"/>
  <c r="J4962" i="13"/>
  <c r="K4962" i="13" s="1"/>
  <c r="I4962" i="13"/>
  <c r="H4962" i="13"/>
  <c r="J4961" i="13"/>
  <c r="K4961" i="13" s="1"/>
  <c r="I4961" i="13"/>
  <c r="H4961" i="13"/>
  <c r="J4960" i="13"/>
  <c r="K4960" i="13" s="1"/>
  <c r="I4960" i="13"/>
  <c r="H4960" i="13"/>
  <c r="J4959" i="13"/>
  <c r="K4959" i="13" s="1"/>
  <c r="I4959" i="13"/>
  <c r="H4959" i="13"/>
  <c r="J4958" i="13"/>
  <c r="K4958" i="13" s="1"/>
  <c r="I4958" i="13"/>
  <c r="H4958" i="13"/>
  <c r="J4957" i="13"/>
  <c r="K4957" i="13" s="1"/>
  <c r="I4957" i="13"/>
  <c r="H4957" i="13"/>
  <c r="J4956" i="13"/>
  <c r="K4956" i="13" s="1"/>
  <c r="I4956" i="13"/>
  <c r="H4956" i="13"/>
  <c r="J4955" i="13"/>
  <c r="K4955" i="13" s="1"/>
  <c r="I4955" i="13"/>
  <c r="H4955" i="13"/>
  <c r="J4954" i="13"/>
  <c r="K4954" i="13" s="1"/>
  <c r="I4954" i="13"/>
  <c r="H4954" i="13"/>
  <c r="J4953" i="13"/>
  <c r="K4953" i="13" s="1"/>
  <c r="I4953" i="13"/>
  <c r="H4953" i="13"/>
  <c r="J4952" i="13"/>
  <c r="K4952" i="13" s="1"/>
  <c r="I4952" i="13"/>
  <c r="H4952" i="13"/>
  <c r="J4951" i="13"/>
  <c r="K4951" i="13" s="1"/>
  <c r="I4951" i="13"/>
  <c r="H4951" i="13"/>
  <c r="J4950" i="13"/>
  <c r="K4950" i="13" s="1"/>
  <c r="I4950" i="13"/>
  <c r="H4950" i="13"/>
  <c r="J4949" i="13"/>
  <c r="K4949" i="13" s="1"/>
  <c r="I4949" i="13"/>
  <c r="H4949" i="13"/>
  <c r="J4948" i="13"/>
  <c r="K4948" i="13" s="1"/>
  <c r="I4948" i="13"/>
  <c r="H4948" i="13"/>
  <c r="J4947" i="13"/>
  <c r="K4947" i="13" s="1"/>
  <c r="I4947" i="13"/>
  <c r="H4947" i="13"/>
  <c r="J4946" i="13"/>
  <c r="K4946" i="13" s="1"/>
  <c r="I4946" i="13"/>
  <c r="H4946" i="13"/>
  <c r="J4945" i="13"/>
  <c r="K4945" i="13" s="1"/>
  <c r="I4945" i="13"/>
  <c r="H4945" i="13"/>
  <c r="J4944" i="13"/>
  <c r="K4944" i="13" s="1"/>
  <c r="I4944" i="13"/>
  <c r="H4944" i="13"/>
  <c r="J4943" i="13"/>
  <c r="K4943" i="13" s="1"/>
  <c r="I4943" i="13"/>
  <c r="H4943" i="13"/>
  <c r="J4942" i="13"/>
  <c r="K4942" i="13" s="1"/>
  <c r="I4942" i="13"/>
  <c r="H4942" i="13"/>
  <c r="J4941" i="13"/>
  <c r="K4941" i="13" s="1"/>
  <c r="I4941" i="13"/>
  <c r="H4941" i="13"/>
  <c r="J4940" i="13"/>
  <c r="K4940" i="13" s="1"/>
  <c r="I4940" i="13"/>
  <c r="H4940" i="13"/>
  <c r="H4939" i="13"/>
  <c r="K4938" i="13"/>
  <c r="J4938" i="13"/>
  <c r="I4938" i="13"/>
  <c r="H4938" i="13"/>
  <c r="J4937" i="13"/>
  <c r="K4937" i="13" s="1"/>
  <c r="I4937" i="13"/>
  <c r="H4937" i="13"/>
  <c r="J4936" i="13"/>
  <c r="K4936" i="13" s="1"/>
  <c r="I4936" i="13"/>
  <c r="H4936" i="13"/>
  <c r="J4935" i="13"/>
  <c r="K4935" i="13" s="1"/>
  <c r="I4935" i="13"/>
  <c r="H4935" i="13"/>
  <c r="J4934" i="13"/>
  <c r="K4934" i="13" s="1"/>
  <c r="I4934" i="13"/>
  <c r="H4934" i="13"/>
  <c r="J4933" i="13"/>
  <c r="K4933" i="13" s="1"/>
  <c r="I4933" i="13"/>
  <c r="H4933" i="13"/>
  <c r="J4932" i="13"/>
  <c r="K4932" i="13" s="1"/>
  <c r="I4932" i="13"/>
  <c r="H4932" i="13"/>
  <c r="J4931" i="13"/>
  <c r="K4931" i="13" s="1"/>
  <c r="I4931" i="13"/>
  <c r="H4931" i="13"/>
  <c r="J4930" i="13"/>
  <c r="K4930" i="13" s="1"/>
  <c r="I4930" i="13"/>
  <c r="H4930" i="13"/>
  <c r="J4929" i="13"/>
  <c r="K4929" i="13" s="1"/>
  <c r="I4929" i="13"/>
  <c r="H4929" i="13"/>
  <c r="J4928" i="13"/>
  <c r="K4928" i="13" s="1"/>
  <c r="I4928" i="13"/>
  <c r="H4928" i="13"/>
  <c r="H4927" i="13"/>
  <c r="H4926" i="13"/>
  <c r="H4925" i="13"/>
  <c r="J4924" i="13"/>
  <c r="K4924" i="13" s="1"/>
  <c r="I4924" i="13"/>
  <c r="H4924" i="13"/>
  <c r="J4923" i="13"/>
  <c r="K4923" i="13" s="1"/>
  <c r="I4923" i="13"/>
  <c r="H4923" i="13"/>
  <c r="J4922" i="13"/>
  <c r="K4922" i="13" s="1"/>
  <c r="I4922" i="13"/>
  <c r="H4922" i="13"/>
  <c r="J4921" i="13"/>
  <c r="K4921" i="13" s="1"/>
  <c r="I4921" i="13"/>
  <c r="H4921" i="13"/>
  <c r="J4920" i="13"/>
  <c r="K4920" i="13" s="1"/>
  <c r="I4920" i="13"/>
  <c r="H4920" i="13"/>
  <c r="J4919" i="13"/>
  <c r="K4919" i="13" s="1"/>
  <c r="I4919" i="13"/>
  <c r="H4919" i="13"/>
  <c r="J4918" i="13"/>
  <c r="K4918" i="13" s="1"/>
  <c r="I4918" i="13"/>
  <c r="H4918" i="13"/>
  <c r="J4917" i="13"/>
  <c r="K4917" i="13" s="1"/>
  <c r="I4917" i="13"/>
  <c r="H4917" i="13"/>
  <c r="J4916" i="13"/>
  <c r="K4916" i="13" s="1"/>
  <c r="I4916" i="13"/>
  <c r="H4916" i="13"/>
  <c r="J4915" i="13"/>
  <c r="K4915" i="13" s="1"/>
  <c r="I4915" i="13"/>
  <c r="H4915" i="13"/>
  <c r="J4914" i="13"/>
  <c r="K4914" i="13" s="1"/>
  <c r="I4914" i="13"/>
  <c r="H4914" i="13"/>
  <c r="J4913" i="13"/>
  <c r="K4913" i="13" s="1"/>
  <c r="I4913" i="13"/>
  <c r="H4913" i="13"/>
  <c r="J4912" i="13"/>
  <c r="K4912" i="13" s="1"/>
  <c r="I4912" i="13"/>
  <c r="H4912" i="13"/>
  <c r="J4911" i="13"/>
  <c r="K4911" i="13" s="1"/>
  <c r="I4911" i="13"/>
  <c r="H4911" i="13"/>
  <c r="J4910" i="13"/>
  <c r="K4910" i="13" s="1"/>
  <c r="I4910" i="13"/>
  <c r="H4910" i="13"/>
  <c r="J4909" i="13"/>
  <c r="K4909" i="13" s="1"/>
  <c r="I4909" i="13"/>
  <c r="H4909" i="13"/>
  <c r="J4908" i="13"/>
  <c r="K4908" i="13" s="1"/>
  <c r="I4908" i="13"/>
  <c r="H4908" i="13"/>
  <c r="J4907" i="13"/>
  <c r="K4907" i="13" s="1"/>
  <c r="I4907" i="13"/>
  <c r="H4907" i="13"/>
  <c r="J4906" i="13"/>
  <c r="K4906" i="13" s="1"/>
  <c r="I4906" i="13"/>
  <c r="H4906" i="13"/>
  <c r="J4905" i="13"/>
  <c r="K4905" i="13" s="1"/>
  <c r="I4905" i="13"/>
  <c r="H4905" i="13"/>
  <c r="J4904" i="13"/>
  <c r="K4904" i="13" s="1"/>
  <c r="I4904" i="13"/>
  <c r="H4904" i="13"/>
  <c r="J4903" i="13"/>
  <c r="K4903" i="13" s="1"/>
  <c r="I4903" i="13"/>
  <c r="H4903" i="13"/>
  <c r="J4902" i="13"/>
  <c r="K4902" i="13" s="1"/>
  <c r="I4902" i="13"/>
  <c r="H4902" i="13"/>
  <c r="J4901" i="13"/>
  <c r="K4901" i="13" s="1"/>
  <c r="I4901" i="13"/>
  <c r="H4901" i="13"/>
  <c r="J4900" i="13"/>
  <c r="K4900" i="13" s="1"/>
  <c r="I4900" i="13"/>
  <c r="H4900" i="13"/>
  <c r="J4899" i="13"/>
  <c r="K4899" i="13" s="1"/>
  <c r="I4899" i="13"/>
  <c r="H4899" i="13"/>
  <c r="J4898" i="13"/>
  <c r="K4898" i="13" s="1"/>
  <c r="I4898" i="13"/>
  <c r="H4898" i="13"/>
  <c r="J4897" i="13"/>
  <c r="K4897" i="13" s="1"/>
  <c r="I4897" i="13"/>
  <c r="H4897" i="13"/>
  <c r="J4896" i="13"/>
  <c r="K4896" i="13" s="1"/>
  <c r="I4896" i="13"/>
  <c r="H4896" i="13"/>
  <c r="J4895" i="13"/>
  <c r="K4895" i="13" s="1"/>
  <c r="I4895" i="13"/>
  <c r="H4895" i="13"/>
  <c r="J4894" i="13"/>
  <c r="K4894" i="13" s="1"/>
  <c r="I4894" i="13"/>
  <c r="H4894" i="13"/>
  <c r="J4893" i="13"/>
  <c r="K4893" i="13" s="1"/>
  <c r="I4893" i="13"/>
  <c r="H4893" i="13"/>
  <c r="J4892" i="13"/>
  <c r="K4892" i="13" s="1"/>
  <c r="I4892" i="13"/>
  <c r="H4892" i="13"/>
  <c r="J4891" i="13"/>
  <c r="K4891" i="13" s="1"/>
  <c r="I4891" i="13"/>
  <c r="H4891" i="13"/>
  <c r="J4890" i="13"/>
  <c r="K4890" i="13" s="1"/>
  <c r="I4890" i="13"/>
  <c r="H4890" i="13"/>
  <c r="J4889" i="13"/>
  <c r="K4889" i="13" s="1"/>
  <c r="I4889" i="13"/>
  <c r="H4889" i="13"/>
  <c r="J4888" i="13"/>
  <c r="K4888" i="13" s="1"/>
  <c r="I4888" i="13"/>
  <c r="H4888" i="13"/>
  <c r="J4887" i="13"/>
  <c r="K4887" i="13" s="1"/>
  <c r="I4887" i="13"/>
  <c r="H4887" i="13"/>
  <c r="J4886" i="13"/>
  <c r="K4886" i="13" s="1"/>
  <c r="I4886" i="13"/>
  <c r="H4886" i="13"/>
  <c r="J4885" i="13"/>
  <c r="K4885" i="13" s="1"/>
  <c r="I4885" i="13"/>
  <c r="H4885" i="13"/>
  <c r="J4884" i="13"/>
  <c r="K4884" i="13" s="1"/>
  <c r="I4884" i="13"/>
  <c r="H4884" i="13"/>
  <c r="J4883" i="13"/>
  <c r="K4883" i="13" s="1"/>
  <c r="I4883" i="13"/>
  <c r="H4883" i="13"/>
  <c r="J4882" i="13"/>
  <c r="K4882" i="13" s="1"/>
  <c r="I4882" i="13"/>
  <c r="H4882" i="13"/>
  <c r="J4881" i="13"/>
  <c r="K4881" i="13" s="1"/>
  <c r="I4881" i="13"/>
  <c r="H4881" i="13"/>
  <c r="J4880" i="13"/>
  <c r="K4880" i="13" s="1"/>
  <c r="I4880" i="13"/>
  <c r="H4880" i="13"/>
  <c r="J4879" i="13"/>
  <c r="K4879" i="13" s="1"/>
  <c r="I4879" i="13"/>
  <c r="H4879" i="13"/>
  <c r="J4878" i="13"/>
  <c r="K4878" i="13" s="1"/>
  <c r="I4878" i="13"/>
  <c r="H4878" i="13"/>
  <c r="J4877" i="13"/>
  <c r="K4877" i="13" s="1"/>
  <c r="I4877" i="13"/>
  <c r="H4877" i="13"/>
  <c r="J4876" i="13"/>
  <c r="K4876" i="13" s="1"/>
  <c r="I4876" i="13"/>
  <c r="H4876" i="13"/>
  <c r="J4875" i="13"/>
  <c r="K4875" i="13" s="1"/>
  <c r="I4875" i="13"/>
  <c r="H4875" i="13"/>
  <c r="J4874" i="13"/>
  <c r="K4874" i="13" s="1"/>
  <c r="I4874" i="13"/>
  <c r="H4874" i="13"/>
  <c r="J4873" i="13"/>
  <c r="K4873" i="13" s="1"/>
  <c r="I4873" i="13"/>
  <c r="H4873" i="13"/>
  <c r="J4872" i="13"/>
  <c r="K4872" i="13" s="1"/>
  <c r="I4872" i="13"/>
  <c r="H4872" i="13"/>
  <c r="J4871" i="13"/>
  <c r="K4871" i="13" s="1"/>
  <c r="I4871" i="13"/>
  <c r="H4871" i="13"/>
  <c r="J4870" i="13"/>
  <c r="K4870" i="13" s="1"/>
  <c r="I4870" i="13"/>
  <c r="H4870" i="13"/>
  <c r="J4869" i="13"/>
  <c r="K4869" i="13" s="1"/>
  <c r="I4869" i="13"/>
  <c r="H4869" i="13"/>
  <c r="J4868" i="13"/>
  <c r="K4868" i="13" s="1"/>
  <c r="I4868" i="13"/>
  <c r="H4868" i="13"/>
  <c r="J4867" i="13"/>
  <c r="K4867" i="13" s="1"/>
  <c r="I4867" i="13"/>
  <c r="H4867" i="13"/>
  <c r="J4866" i="13"/>
  <c r="K4866" i="13" s="1"/>
  <c r="I4866" i="13"/>
  <c r="H4866" i="13"/>
  <c r="H4865" i="13"/>
  <c r="H4864" i="13"/>
  <c r="H4863" i="13"/>
  <c r="H4862" i="13"/>
  <c r="H4861" i="13"/>
  <c r="H4860" i="13"/>
  <c r="H4859" i="13"/>
  <c r="H4858" i="13"/>
  <c r="H4857" i="13"/>
  <c r="H4856" i="13"/>
  <c r="H4855" i="13"/>
  <c r="H4854" i="13"/>
  <c r="H4853" i="13"/>
  <c r="H4852" i="13"/>
  <c r="H4851" i="13"/>
  <c r="H4850" i="13"/>
  <c r="H4849" i="13"/>
  <c r="J4848" i="13"/>
  <c r="K4848" i="13" s="1"/>
  <c r="I4848" i="13"/>
  <c r="H4848" i="13"/>
  <c r="J4847" i="13"/>
  <c r="K4847" i="13" s="1"/>
  <c r="I4847" i="13"/>
  <c r="H4847" i="13"/>
  <c r="J4846" i="13"/>
  <c r="K4846" i="13" s="1"/>
  <c r="I4846" i="13"/>
  <c r="H4846" i="13"/>
  <c r="J4845" i="13"/>
  <c r="K4845" i="13" s="1"/>
  <c r="I4845" i="13"/>
  <c r="H4845" i="13"/>
  <c r="J4844" i="13"/>
  <c r="K4844" i="13" s="1"/>
  <c r="I4844" i="13"/>
  <c r="H4844" i="13"/>
  <c r="J4843" i="13"/>
  <c r="K4843" i="13" s="1"/>
  <c r="I4843" i="13"/>
  <c r="H4843" i="13"/>
  <c r="J4842" i="13"/>
  <c r="K4842" i="13" s="1"/>
  <c r="I4842" i="13"/>
  <c r="H4842" i="13"/>
  <c r="J4841" i="13"/>
  <c r="K4841" i="13" s="1"/>
  <c r="I4841" i="13"/>
  <c r="H4841" i="13"/>
  <c r="J4840" i="13"/>
  <c r="K4840" i="13" s="1"/>
  <c r="I4840" i="13"/>
  <c r="H4840" i="13"/>
  <c r="J4839" i="13"/>
  <c r="K4839" i="13" s="1"/>
  <c r="I4839" i="13"/>
  <c r="H4839" i="13"/>
  <c r="J4838" i="13"/>
  <c r="K4838" i="13" s="1"/>
  <c r="I4838" i="13"/>
  <c r="H4838" i="13"/>
  <c r="J4837" i="13"/>
  <c r="K4837" i="13" s="1"/>
  <c r="I4837" i="13"/>
  <c r="H4837" i="13"/>
  <c r="J4836" i="13"/>
  <c r="K4836" i="13" s="1"/>
  <c r="I4836" i="13"/>
  <c r="H4836" i="13"/>
  <c r="J4835" i="13"/>
  <c r="K4835" i="13" s="1"/>
  <c r="I4835" i="13"/>
  <c r="H4835" i="13"/>
  <c r="J4834" i="13"/>
  <c r="K4834" i="13" s="1"/>
  <c r="I4834" i="13"/>
  <c r="H4834" i="13"/>
  <c r="J4833" i="13"/>
  <c r="K4833" i="13" s="1"/>
  <c r="I4833" i="13"/>
  <c r="H4833" i="13"/>
  <c r="J4832" i="13"/>
  <c r="K4832" i="13" s="1"/>
  <c r="I4832" i="13"/>
  <c r="H4832" i="13"/>
  <c r="J4831" i="13"/>
  <c r="K4831" i="13" s="1"/>
  <c r="I4831" i="13"/>
  <c r="H4831" i="13"/>
  <c r="J4830" i="13"/>
  <c r="K4830" i="13" s="1"/>
  <c r="I4830" i="13"/>
  <c r="H4830" i="13"/>
  <c r="K4829" i="13"/>
  <c r="J4829" i="13"/>
  <c r="I4829" i="13"/>
  <c r="H4829" i="13"/>
  <c r="J4828" i="13"/>
  <c r="K4828" i="13" s="1"/>
  <c r="I4828" i="13"/>
  <c r="H4828" i="13"/>
  <c r="J4827" i="13"/>
  <c r="K4827" i="13" s="1"/>
  <c r="I4827" i="13"/>
  <c r="H4827" i="13"/>
  <c r="J4826" i="13"/>
  <c r="K4826" i="13" s="1"/>
  <c r="I4826" i="13"/>
  <c r="H4826" i="13"/>
  <c r="J4825" i="13"/>
  <c r="K4825" i="13" s="1"/>
  <c r="I4825" i="13"/>
  <c r="H4825" i="13"/>
  <c r="J4824" i="13"/>
  <c r="K4824" i="13" s="1"/>
  <c r="I4824" i="13"/>
  <c r="H4824" i="13"/>
  <c r="J4823" i="13"/>
  <c r="K4823" i="13" s="1"/>
  <c r="I4823" i="13"/>
  <c r="H4823" i="13"/>
  <c r="J4822" i="13"/>
  <c r="K4822" i="13" s="1"/>
  <c r="I4822" i="13"/>
  <c r="H4822" i="13"/>
  <c r="J4821" i="13"/>
  <c r="K4821" i="13" s="1"/>
  <c r="I4821" i="13"/>
  <c r="H4821" i="13"/>
  <c r="J4820" i="13"/>
  <c r="K4820" i="13" s="1"/>
  <c r="I4820" i="13"/>
  <c r="H4820" i="13"/>
  <c r="J4819" i="13"/>
  <c r="K4819" i="13" s="1"/>
  <c r="I4819" i="13"/>
  <c r="H4819" i="13"/>
  <c r="J4818" i="13"/>
  <c r="K4818" i="13" s="1"/>
  <c r="I4818" i="13"/>
  <c r="H4818" i="13"/>
  <c r="J4817" i="13"/>
  <c r="K4817" i="13" s="1"/>
  <c r="I4817" i="13"/>
  <c r="H4817" i="13"/>
  <c r="J4816" i="13"/>
  <c r="K4816" i="13" s="1"/>
  <c r="I4816" i="13"/>
  <c r="H4816" i="13"/>
  <c r="J4815" i="13"/>
  <c r="K4815" i="13" s="1"/>
  <c r="I4815" i="13"/>
  <c r="H4815" i="13"/>
  <c r="J4814" i="13"/>
  <c r="K4814" i="13" s="1"/>
  <c r="I4814" i="13"/>
  <c r="H4814" i="13"/>
  <c r="J4813" i="13"/>
  <c r="K4813" i="13" s="1"/>
  <c r="I4813" i="13"/>
  <c r="H4813" i="13"/>
  <c r="J4812" i="13"/>
  <c r="K4812" i="13" s="1"/>
  <c r="I4812" i="13"/>
  <c r="H4812" i="13"/>
  <c r="J4811" i="13"/>
  <c r="K4811" i="13" s="1"/>
  <c r="I4811" i="13"/>
  <c r="H4811" i="13"/>
  <c r="J4810" i="13"/>
  <c r="K4810" i="13" s="1"/>
  <c r="I4810" i="13"/>
  <c r="H4810" i="13"/>
  <c r="J4809" i="13"/>
  <c r="K4809" i="13" s="1"/>
  <c r="I4809" i="13"/>
  <c r="H4809" i="13"/>
  <c r="J4808" i="13"/>
  <c r="K4808" i="13" s="1"/>
  <c r="I4808" i="13"/>
  <c r="H4808" i="13"/>
  <c r="J4807" i="13"/>
  <c r="K4807" i="13" s="1"/>
  <c r="I4807" i="13"/>
  <c r="H4807" i="13"/>
  <c r="J4806" i="13"/>
  <c r="K4806" i="13" s="1"/>
  <c r="I4806" i="13"/>
  <c r="H4806" i="13"/>
  <c r="J4805" i="13"/>
  <c r="K4805" i="13" s="1"/>
  <c r="I4805" i="13"/>
  <c r="H4805" i="13"/>
  <c r="J4804" i="13"/>
  <c r="K4804" i="13" s="1"/>
  <c r="I4804" i="13"/>
  <c r="H4804" i="13"/>
  <c r="J4803" i="13"/>
  <c r="K4803" i="13" s="1"/>
  <c r="I4803" i="13"/>
  <c r="H4803" i="13"/>
  <c r="J4802" i="13"/>
  <c r="K4802" i="13" s="1"/>
  <c r="I4802" i="13"/>
  <c r="H4802" i="13"/>
  <c r="J4801" i="13"/>
  <c r="K4801" i="13" s="1"/>
  <c r="I4801" i="13"/>
  <c r="H4801" i="13"/>
  <c r="J4800" i="13"/>
  <c r="K4800" i="13" s="1"/>
  <c r="I4800" i="13"/>
  <c r="H4800" i="13"/>
  <c r="J4799" i="13"/>
  <c r="K4799" i="13" s="1"/>
  <c r="I4799" i="13"/>
  <c r="H4799" i="13"/>
  <c r="J4798" i="13"/>
  <c r="K4798" i="13" s="1"/>
  <c r="I4798" i="13"/>
  <c r="H4798" i="13"/>
  <c r="J4797" i="13"/>
  <c r="K4797" i="13" s="1"/>
  <c r="I4797" i="13"/>
  <c r="G4797" i="13"/>
  <c r="H4797" i="13" s="1"/>
  <c r="J4796" i="13"/>
  <c r="K4796" i="13" s="1"/>
  <c r="I4796" i="13"/>
  <c r="G4796" i="13"/>
  <c r="H4796" i="13" s="1"/>
  <c r="J4795" i="13"/>
  <c r="K4795" i="13" s="1"/>
  <c r="I4795" i="13"/>
  <c r="G4795" i="13"/>
  <c r="H4795" i="13" s="1"/>
  <c r="J4794" i="13"/>
  <c r="K4794" i="13" s="1"/>
  <c r="I4794" i="13"/>
  <c r="G4794" i="13"/>
  <c r="H4794" i="13" s="1"/>
  <c r="J4793" i="13"/>
  <c r="K4793" i="13" s="1"/>
  <c r="I4793" i="13"/>
  <c r="G4793" i="13"/>
  <c r="H4793" i="13" s="1"/>
  <c r="J4792" i="13"/>
  <c r="K4792" i="13" s="1"/>
  <c r="I4792" i="13"/>
  <c r="G4792" i="13"/>
  <c r="H4792" i="13" s="1"/>
  <c r="J4791" i="13"/>
  <c r="K4791" i="13" s="1"/>
  <c r="I4791" i="13"/>
  <c r="G4791" i="13"/>
  <c r="H4791" i="13" s="1"/>
  <c r="J4790" i="13"/>
  <c r="K4790" i="13" s="1"/>
  <c r="I4790" i="13"/>
  <c r="G4790" i="13"/>
  <c r="H4790" i="13" s="1"/>
  <c r="J4789" i="13"/>
  <c r="K4789" i="13" s="1"/>
  <c r="I4789" i="13"/>
  <c r="G4789" i="13"/>
  <c r="H4789" i="13" s="1"/>
  <c r="J4788" i="13"/>
  <c r="K4788" i="13" s="1"/>
  <c r="I4788" i="13"/>
  <c r="G4788" i="13"/>
  <c r="H4788" i="13" s="1"/>
  <c r="J4787" i="13"/>
  <c r="K4787" i="13" s="1"/>
  <c r="I4787" i="13"/>
  <c r="G4787" i="13"/>
  <c r="H4787" i="13" s="1"/>
  <c r="J4786" i="13"/>
  <c r="K4786" i="13" s="1"/>
  <c r="I4786" i="13"/>
  <c r="G4786" i="13"/>
  <c r="H4786" i="13" s="1"/>
  <c r="J4785" i="13"/>
  <c r="K4785" i="13" s="1"/>
  <c r="I4785" i="13"/>
  <c r="G4785" i="13"/>
  <c r="H4785" i="13" s="1"/>
  <c r="J4784" i="13"/>
  <c r="K4784" i="13" s="1"/>
  <c r="I4784" i="13"/>
  <c r="G4784" i="13"/>
  <c r="H4784" i="13" s="1"/>
  <c r="J4783" i="13"/>
  <c r="K4783" i="13" s="1"/>
  <c r="I4783" i="13"/>
  <c r="G4783" i="13"/>
  <c r="H4783" i="13" s="1"/>
  <c r="J4782" i="13"/>
  <c r="K4782" i="13" s="1"/>
  <c r="I4782" i="13"/>
  <c r="G4782" i="13"/>
  <c r="H4782" i="13" s="1"/>
  <c r="J4781" i="13"/>
  <c r="K4781" i="13" s="1"/>
  <c r="I4781" i="13"/>
  <c r="H4781" i="13"/>
  <c r="J4780" i="13"/>
  <c r="K4780" i="13" s="1"/>
  <c r="I4780" i="13"/>
  <c r="H4780" i="13"/>
  <c r="J4779" i="13"/>
  <c r="K4779" i="13" s="1"/>
  <c r="I4779" i="13"/>
  <c r="H4779" i="13"/>
  <c r="J4778" i="13"/>
  <c r="K4778" i="13" s="1"/>
  <c r="I4778" i="13"/>
  <c r="H4778" i="13"/>
  <c r="J4777" i="13"/>
  <c r="K4777" i="13" s="1"/>
  <c r="I4777" i="13"/>
  <c r="H4777" i="13"/>
  <c r="J4776" i="13"/>
  <c r="K4776" i="13" s="1"/>
  <c r="I4776" i="13"/>
  <c r="H4776" i="13"/>
  <c r="J4775" i="13"/>
  <c r="K4775" i="13" s="1"/>
  <c r="I4775" i="13"/>
  <c r="H4775" i="13"/>
  <c r="J4774" i="13"/>
  <c r="K4774" i="13" s="1"/>
  <c r="I4774" i="13"/>
  <c r="H4774" i="13"/>
  <c r="J4773" i="13"/>
  <c r="K4773" i="13" s="1"/>
  <c r="I4773" i="13"/>
  <c r="H4773" i="13"/>
  <c r="J4772" i="13"/>
  <c r="K4772" i="13" s="1"/>
  <c r="I4772" i="13"/>
  <c r="H4772" i="13"/>
  <c r="J4771" i="13"/>
  <c r="K4771" i="13" s="1"/>
  <c r="I4771" i="13"/>
  <c r="H4771" i="13"/>
  <c r="J4770" i="13"/>
  <c r="K4770" i="13" s="1"/>
  <c r="I4770" i="13"/>
  <c r="H4770" i="13"/>
  <c r="J4769" i="13"/>
  <c r="K4769" i="13" s="1"/>
  <c r="I4769" i="13"/>
  <c r="H4769" i="13"/>
  <c r="J4768" i="13"/>
  <c r="K4768" i="13" s="1"/>
  <c r="I4768" i="13"/>
  <c r="H4768" i="13"/>
  <c r="J4767" i="13"/>
  <c r="K4767" i="13" s="1"/>
  <c r="I4767" i="13"/>
  <c r="H4767" i="13"/>
  <c r="J4766" i="13"/>
  <c r="K4766" i="13" s="1"/>
  <c r="I4766" i="13"/>
  <c r="H4766" i="13"/>
  <c r="J4765" i="13"/>
  <c r="K4765" i="13" s="1"/>
  <c r="I4765" i="13"/>
  <c r="H4765" i="13"/>
  <c r="J4764" i="13"/>
  <c r="K4764" i="13" s="1"/>
  <c r="I4764" i="13"/>
  <c r="H4764" i="13"/>
  <c r="H4763" i="13"/>
  <c r="H4762" i="13"/>
  <c r="H4761" i="13"/>
  <c r="H4760" i="13"/>
  <c r="H4759" i="13"/>
  <c r="H4758" i="13"/>
  <c r="H4757" i="13"/>
  <c r="J4756" i="13"/>
  <c r="K4756" i="13" s="1"/>
  <c r="I4756" i="13"/>
  <c r="H4756" i="13"/>
  <c r="J4755" i="13"/>
  <c r="K4755" i="13" s="1"/>
  <c r="I4755" i="13"/>
  <c r="H4755" i="13"/>
  <c r="J4754" i="13"/>
  <c r="K4754" i="13" s="1"/>
  <c r="I4754" i="13"/>
  <c r="H4754" i="13"/>
  <c r="J4753" i="13"/>
  <c r="K4753" i="13" s="1"/>
  <c r="I4753" i="13"/>
  <c r="H4753" i="13"/>
  <c r="J4752" i="13"/>
  <c r="K4752" i="13" s="1"/>
  <c r="I4752" i="13"/>
  <c r="H4752" i="13"/>
  <c r="J4751" i="13"/>
  <c r="K4751" i="13" s="1"/>
  <c r="I4751" i="13"/>
  <c r="H4751" i="13"/>
  <c r="J4750" i="13"/>
  <c r="K4750" i="13" s="1"/>
  <c r="I4750" i="13"/>
  <c r="H4750" i="13"/>
  <c r="J4749" i="13"/>
  <c r="K4749" i="13" s="1"/>
  <c r="I4749" i="13"/>
  <c r="H4749" i="13"/>
  <c r="J4748" i="13"/>
  <c r="K4748" i="13" s="1"/>
  <c r="I4748" i="13"/>
  <c r="H4748" i="13"/>
  <c r="J4747" i="13"/>
  <c r="K4747" i="13" s="1"/>
  <c r="I4747" i="13"/>
  <c r="H4747" i="13"/>
  <c r="J4746" i="13"/>
  <c r="K4746" i="13" s="1"/>
  <c r="I4746" i="13"/>
  <c r="H4746" i="13"/>
  <c r="K4745" i="13"/>
  <c r="J4745" i="13"/>
  <c r="I4745" i="13"/>
  <c r="H4745" i="13"/>
  <c r="J4744" i="13"/>
  <c r="K4744" i="13" s="1"/>
  <c r="I4744" i="13"/>
  <c r="H4744" i="13"/>
  <c r="J4743" i="13"/>
  <c r="K4743" i="13" s="1"/>
  <c r="I4743" i="13"/>
  <c r="H4743" i="13"/>
  <c r="J4742" i="13"/>
  <c r="K4742" i="13" s="1"/>
  <c r="I4742" i="13"/>
  <c r="H4742" i="13"/>
  <c r="J4741" i="13"/>
  <c r="K4741" i="13" s="1"/>
  <c r="I4741" i="13"/>
  <c r="H4741" i="13"/>
  <c r="H4740" i="13"/>
  <c r="H4739" i="13"/>
  <c r="H4738" i="13"/>
  <c r="H4737" i="13"/>
  <c r="H4736" i="13"/>
  <c r="H4735" i="13"/>
  <c r="H4734" i="13"/>
  <c r="H4733" i="13"/>
  <c r="H4732" i="13"/>
  <c r="H4731" i="13"/>
  <c r="H4730" i="13"/>
  <c r="H4729" i="13"/>
  <c r="H4728" i="13"/>
  <c r="H4727" i="13"/>
  <c r="H4726" i="13"/>
  <c r="H4725" i="13"/>
  <c r="H4724" i="13"/>
  <c r="H4723" i="13"/>
  <c r="H4722" i="13"/>
  <c r="H4721" i="13"/>
  <c r="H4720" i="13"/>
  <c r="H4719" i="13"/>
  <c r="H4718" i="13"/>
  <c r="H4717" i="13"/>
  <c r="H4716" i="13"/>
  <c r="H4715" i="13"/>
  <c r="H4714" i="13"/>
  <c r="H4713" i="13"/>
  <c r="H4712" i="13"/>
  <c r="H4711" i="13"/>
  <c r="H4710" i="13"/>
  <c r="H4709" i="13"/>
  <c r="H4708" i="13"/>
  <c r="H4707" i="13"/>
  <c r="H4706" i="13"/>
  <c r="H4705" i="13"/>
  <c r="H4704" i="13"/>
  <c r="H4703" i="13"/>
  <c r="H4702" i="13"/>
  <c r="H4701" i="13"/>
  <c r="H4700" i="13"/>
  <c r="H4699" i="13"/>
  <c r="H4698" i="13"/>
  <c r="H4697" i="13"/>
  <c r="H4696" i="13"/>
  <c r="H4695" i="13"/>
  <c r="H4694" i="13"/>
  <c r="H4693" i="13"/>
  <c r="H4692" i="13"/>
  <c r="H4691" i="13"/>
  <c r="H4690" i="13"/>
  <c r="H4689" i="13"/>
  <c r="H4688" i="13"/>
  <c r="H4687" i="13"/>
  <c r="H4686" i="13"/>
  <c r="H4685" i="13"/>
  <c r="H4684" i="13"/>
  <c r="H4683" i="13"/>
  <c r="H4682" i="13"/>
  <c r="H4681" i="13"/>
  <c r="H4680" i="13"/>
  <c r="H4679" i="13"/>
  <c r="H4678" i="13"/>
  <c r="H4677" i="13"/>
  <c r="H4676" i="13"/>
  <c r="H4675" i="13"/>
  <c r="H4674" i="13"/>
  <c r="H4673" i="13"/>
  <c r="H4672" i="13"/>
  <c r="H4671" i="13"/>
  <c r="H4670" i="13"/>
  <c r="H4669" i="13"/>
  <c r="H4668" i="13"/>
  <c r="H4667" i="13"/>
  <c r="H4666" i="13"/>
  <c r="H4665" i="13"/>
  <c r="H4664" i="13"/>
  <c r="H4663" i="13"/>
  <c r="H4662" i="13"/>
  <c r="H4661" i="13"/>
  <c r="H4660" i="13"/>
  <c r="H4659" i="13"/>
  <c r="H4658" i="13"/>
  <c r="H4657" i="13"/>
  <c r="H4656" i="13"/>
  <c r="H4655" i="13"/>
  <c r="H4654" i="13"/>
  <c r="H4653" i="13"/>
  <c r="H4652" i="13"/>
  <c r="H4651" i="13"/>
  <c r="H4650" i="13"/>
  <c r="H4649" i="13"/>
  <c r="H4648" i="13"/>
  <c r="H4647" i="13"/>
  <c r="H4646" i="13"/>
  <c r="H4645" i="13"/>
  <c r="H4644" i="13"/>
  <c r="H4643" i="13"/>
  <c r="H4642" i="13"/>
  <c r="H4641" i="13"/>
  <c r="H4640" i="13"/>
  <c r="H4639" i="13"/>
  <c r="H4638" i="13"/>
  <c r="H4637" i="13"/>
  <c r="H4636" i="13"/>
  <c r="H4635" i="13"/>
  <c r="H4634" i="13"/>
  <c r="H4633" i="13"/>
  <c r="H4632" i="13"/>
  <c r="H4631" i="13"/>
  <c r="H4630" i="13"/>
  <c r="H4629" i="13"/>
  <c r="H4628" i="13"/>
  <c r="H4627" i="13"/>
  <c r="H4626" i="13"/>
  <c r="H4625" i="13"/>
  <c r="H4624" i="13"/>
  <c r="H4623" i="13"/>
  <c r="H4622" i="13"/>
  <c r="H4621" i="13"/>
  <c r="H4620" i="13"/>
  <c r="H4619" i="13"/>
  <c r="H4618" i="13"/>
  <c r="H4617" i="13"/>
  <c r="H4616" i="13"/>
  <c r="H4615" i="13"/>
  <c r="H4614" i="13"/>
  <c r="H4613" i="13"/>
  <c r="H4612" i="13"/>
  <c r="H4611" i="13"/>
  <c r="H4610" i="13"/>
  <c r="H4609" i="13"/>
  <c r="H4608" i="13"/>
  <c r="H4607" i="13"/>
  <c r="H4606" i="13"/>
  <c r="H4605" i="13"/>
  <c r="H4604" i="13"/>
  <c r="H4603" i="13"/>
  <c r="H4602" i="13"/>
  <c r="H4601" i="13"/>
  <c r="H4600" i="13"/>
  <c r="H4599" i="13"/>
  <c r="H4598" i="13"/>
  <c r="H4597" i="13"/>
  <c r="H4596" i="13"/>
  <c r="H4595" i="13"/>
  <c r="H4594" i="13"/>
  <c r="H4593" i="13"/>
  <c r="H4592" i="13"/>
  <c r="H4591" i="13"/>
  <c r="H4590" i="13"/>
  <c r="H4589" i="13"/>
  <c r="H4588" i="13"/>
  <c r="H4587" i="13"/>
  <c r="H4586" i="13"/>
  <c r="H4585" i="13"/>
  <c r="H4584" i="13"/>
  <c r="H4583" i="13"/>
  <c r="H4582" i="13"/>
  <c r="H4581" i="13"/>
  <c r="H4580" i="13"/>
  <c r="H4579" i="13"/>
  <c r="H4578" i="13"/>
  <c r="H4577" i="13"/>
  <c r="H4576" i="13"/>
  <c r="H4575" i="13"/>
  <c r="H4574" i="13"/>
  <c r="H4573" i="13"/>
  <c r="H4572" i="13"/>
  <c r="H4571" i="13"/>
  <c r="H4570" i="13"/>
  <c r="H4569" i="13"/>
  <c r="H4568" i="13"/>
  <c r="H4567" i="13"/>
  <c r="H4566" i="13"/>
  <c r="H4565" i="13"/>
  <c r="H4564" i="13"/>
  <c r="H4563" i="13"/>
  <c r="H4562" i="13"/>
  <c r="H4561" i="13"/>
  <c r="H4560" i="13"/>
  <c r="H4559" i="13"/>
  <c r="H4558" i="13"/>
  <c r="H4557" i="13"/>
  <c r="H4556" i="13"/>
  <c r="H4555" i="13"/>
  <c r="H4554" i="13"/>
  <c r="H4553" i="13"/>
  <c r="H4552" i="13"/>
  <c r="H4551" i="13"/>
  <c r="H4550" i="13"/>
  <c r="H4549" i="13"/>
  <c r="H4548" i="13"/>
  <c r="H4547" i="13"/>
  <c r="H4546" i="13"/>
  <c r="H4545" i="13"/>
  <c r="H4544" i="13"/>
  <c r="H4543" i="13"/>
  <c r="H4542" i="13"/>
  <c r="H4541" i="13"/>
  <c r="H4540" i="13"/>
  <c r="H4539" i="13"/>
  <c r="H4538" i="13"/>
  <c r="H4537" i="13"/>
  <c r="H4536" i="13"/>
  <c r="H4535" i="13"/>
  <c r="H4534" i="13"/>
  <c r="H4533" i="13"/>
  <c r="H4532" i="13"/>
  <c r="H4531" i="13"/>
  <c r="H4530" i="13"/>
  <c r="H4529" i="13"/>
  <c r="H4528" i="13"/>
  <c r="H4527" i="13"/>
  <c r="H4526" i="13"/>
  <c r="H4525" i="13"/>
  <c r="H4524" i="13"/>
  <c r="H4523" i="13"/>
  <c r="H4522" i="13"/>
  <c r="H4521" i="13"/>
  <c r="H4520" i="13"/>
  <c r="H4519" i="13"/>
  <c r="H4518" i="13"/>
  <c r="H4517" i="13"/>
  <c r="H4516" i="13"/>
  <c r="H4515" i="13"/>
  <c r="H4514" i="13"/>
  <c r="H4513" i="13"/>
  <c r="H4512" i="13"/>
  <c r="H4511" i="13"/>
  <c r="H4510" i="13"/>
  <c r="H4509" i="13"/>
  <c r="H4508" i="13"/>
  <c r="H4507" i="13"/>
  <c r="H4506" i="13"/>
  <c r="H4505" i="13"/>
  <c r="H4504" i="13"/>
  <c r="H4503" i="13"/>
  <c r="H4502" i="13"/>
  <c r="H4501" i="13"/>
  <c r="H4500" i="13"/>
  <c r="H4499" i="13"/>
  <c r="H4498" i="13"/>
  <c r="H4497" i="13"/>
  <c r="H4496" i="13"/>
  <c r="H4495" i="13"/>
  <c r="H4494" i="13"/>
  <c r="H4493" i="13"/>
  <c r="H4492" i="13"/>
  <c r="H4491" i="13"/>
  <c r="H4490" i="13"/>
  <c r="H4489" i="13"/>
  <c r="H4488" i="13"/>
  <c r="H4487" i="13"/>
  <c r="H4486" i="13"/>
  <c r="H4485" i="13"/>
  <c r="H4484" i="13"/>
  <c r="H4483" i="13"/>
  <c r="H4482" i="13"/>
  <c r="H4481" i="13"/>
  <c r="H4480" i="13"/>
  <c r="H4479" i="13"/>
  <c r="H4478" i="13"/>
  <c r="H4477" i="13"/>
  <c r="H4476" i="13"/>
  <c r="H4475" i="13"/>
  <c r="H4474" i="13"/>
  <c r="H4473" i="13"/>
  <c r="H4472" i="13"/>
  <c r="H4471" i="13"/>
  <c r="H4470" i="13"/>
  <c r="H4469" i="13"/>
  <c r="H4468" i="13"/>
  <c r="H4467" i="13"/>
  <c r="H4466" i="13"/>
  <c r="H4465" i="13"/>
  <c r="H4464" i="13"/>
  <c r="H4463" i="13"/>
  <c r="H4462" i="13"/>
  <c r="H4461" i="13"/>
  <c r="H4460" i="13"/>
  <c r="H4459" i="13"/>
  <c r="H4458" i="13"/>
  <c r="H4457" i="13"/>
  <c r="H4456" i="13"/>
  <c r="H4455" i="13"/>
  <c r="H4454" i="13"/>
  <c r="H4453" i="13"/>
  <c r="H4452" i="13"/>
  <c r="H4451" i="13"/>
  <c r="H4450" i="13"/>
  <c r="H4449" i="13"/>
  <c r="H4448" i="13"/>
  <c r="H4447" i="13"/>
  <c r="H4446" i="13"/>
  <c r="H4445" i="13"/>
  <c r="H4444" i="13"/>
  <c r="H4443" i="13"/>
  <c r="H4442" i="13"/>
  <c r="H4441" i="13"/>
  <c r="H4440" i="13"/>
  <c r="H4439" i="13"/>
  <c r="H4438" i="13"/>
  <c r="H4437" i="13"/>
  <c r="H4436" i="13"/>
  <c r="H4435" i="13"/>
  <c r="H4434" i="13"/>
  <c r="H4433" i="13"/>
  <c r="H4432" i="13"/>
  <c r="H4431" i="13"/>
  <c r="H4430" i="13"/>
  <c r="H4429" i="13"/>
  <c r="H4428" i="13"/>
  <c r="H4427" i="13"/>
  <c r="H4426" i="13"/>
  <c r="H4425" i="13"/>
  <c r="H4424" i="13"/>
  <c r="H4423" i="13"/>
  <c r="H4422" i="13"/>
  <c r="H4421" i="13"/>
  <c r="H4420" i="13"/>
  <c r="H4419" i="13"/>
  <c r="H4418" i="13"/>
  <c r="H4417" i="13"/>
  <c r="H4416" i="13"/>
  <c r="H4415" i="13"/>
  <c r="H4414" i="13"/>
  <c r="H4413" i="13"/>
  <c r="H4412" i="13"/>
  <c r="H4411" i="13"/>
  <c r="H4410" i="13"/>
  <c r="H4409" i="13"/>
  <c r="H4408" i="13"/>
  <c r="H4407" i="13"/>
  <c r="H4406" i="13"/>
  <c r="H4405" i="13"/>
  <c r="H4404" i="13"/>
  <c r="H4403" i="13"/>
  <c r="H4402" i="13"/>
  <c r="H4401" i="13"/>
  <c r="H4400" i="13"/>
  <c r="H4399" i="13"/>
  <c r="H4398" i="13"/>
  <c r="H4397" i="13"/>
  <c r="H4396" i="13"/>
  <c r="H4395" i="13"/>
  <c r="H4394" i="13"/>
  <c r="H4393" i="13"/>
  <c r="H4392" i="13"/>
  <c r="H4391" i="13"/>
  <c r="H4390" i="13"/>
  <c r="H4389" i="13"/>
  <c r="H4388" i="13"/>
  <c r="H4387" i="13"/>
  <c r="H4386" i="13"/>
  <c r="H4385" i="13"/>
  <c r="H4384" i="13"/>
  <c r="H4383" i="13"/>
  <c r="H4382" i="13"/>
  <c r="H4381" i="13"/>
  <c r="H4380" i="13"/>
  <c r="H4379" i="13"/>
  <c r="H4378" i="13"/>
  <c r="H4377" i="13"/>
  <c r="H4376" i="13"/>
  <c r="H4375" i="13"/>
  <c r="H4374" i="13"/>
  <c r="H4373" i="13"/>
  <c r="H4372" i="13"/>
  <c r="H4371" i="13"/>
  <c r="H4370" i="13"/>
  <c r="H4369" i="13"/>
  <c r="H4368" i="13"/>
  <c r="H4367" i="13"/>
  <c r="H4366" i="13"/>
  <c r="H4365" i="13"/>
  <c r="H4364" i="13"/>
  <c r="H4363" i="13"/>
  <c r="H4362" i="13"/>
  <c r="H4361" i="13"/>
  <c r="H4360" i="13"/>
  <c r="H4359" i="13"/>
  <c r="H4358" i="13"/>
  <c r="H4357" i="13"/>
  <c r="H4356" i="13"/>
  <c r="H4355" i="13"/>
  <c r="H4354" i="13"/>
  <c r="H4353" i="13"/>
  <c r="H4352" i="13"/>
  <c r="H4351" i="13"/>
  <c r="H4350" i="13"/>
  <c r="H4349" i="13"/>
  <c r="H4348" i="13"/>
  <c r="H4347" i="13"/>
  <c r="H4346" i="13"/>
  <c r="H4345" i="13"/>
  <c r="H4344" i="13"/>
  <c r="H4343" i="13"/>
  <c r="H4342" i="13"/>
  <c r="H4341" i="13"/>
  <c r="H4340" i="13"/>
  <c r="H4339" i="13"/>
  <c r="H4338" i="13"/>
  <c r="H4337" i="13"/>
  <c r="H4336" i="13"/>
  <c r="H4335" i="13"/>
  <c r="H4334" i="13"/>
  <c r="H4333" i="13"/>
  <c r="H4332" i="13"/>
  <c r="H4331" i="13"/>
  <c r="H4330" i="13"/>
  <c r="H4329" i="13"/>
  <c r="H4328" i="13"/>
  <c r="H4327" i="13"/>
  <c r="H4326" i="13"/>
  <c r="H4325" i="13"/>
  <c r="H4324" i="13"/>
  <c r="H4323" i="13"/>
  <c r="H4322" i="13"/>
  <c r="H4321" i="13"/>
  <c r="H4320" i="13"/>
  <c r="H4319" i="13"/>
  <c r="H4318" i="13"/>
  <c r="H4317" i="13"/>
  <c r="H4316" i="13"/>
  <c r="H4315" i="13"/>
  <c r="H4314" i="13"/>
  <c r="H4313" i="13"/>
  <c r="H4312" i="13"/>
  <c r="H4311" i="13"/>
  <c r="H4310" i="13"/>
  <c r="H4309" i="13"/>
  <c r="H4308" i="13"/>
  <c r="H4307" i="13"/>
  <c r="H4306" i="13"/>
  <c r="H4305" i="13"/>
  <c r="H4304" i="13"/>
  <c r="H4303" i="13"/>
  <c r="H4302" i="13"/>
  <c r="H4301" i="13"/>
  <c r="H4300" i="13"/>
  <c r="H4299" i="13"/>
  <c r="H4298" i="13"/>
  <c r="H4297" i="13"/>
  <c r="H4296" i="13"/>
  <c r="H4295" i="13"/>
  <c r="H4294" i="13"/>
  <c r="H4293" i="13"/>
  <c r="H4292" i="13"/>
  <c r="H4291" i="13"/>
  <c r="H4290" i="13"/>
  <c r="H4289" i="13"/>
  <c r="H4288" i="13"/>
  <c r="H4287" i="13"/>
  <c r="H4286" i="13"/>
  <c r="H4285" i="13"/>
  <c r="H4284" i="13"/>
  <c r="H4283" i="13"/>
  <c r="H4282" i="13"/>
  <c r="H4281" i="13"/>
  <c r="H4280" i="13"/>
  <c r="H4279" i="13"/>
  <c r="H4278" i="13"/>
  <c r="H4277" i="13"/>
  <c r="H4276" i="13"/>
  <c r="H4275" i="13"/>
  <c r="H4274" i="13"/>
  <c r="H4273" i="13"/>
  <c r="H4272" i="13"/>
  <c r="H4271" i="13"/>
  <c r="H4270" i="13"/>
  <c r="H4269" i="13"/>
  <c r="H4268" i="13"/>
  <c r="H4267" i="13"/>
  <c r="H4266" i="13"/>
  <c r="H4265" i="13"/>
  <c r="H4264" i="13"/>
  <c r="H4263" i="13"/>
  <c r="H4262" i="13"/>
  <c r="H4261" i="13"/>
  <c r="H4260" i="13"/>
  <c r="H4259" i="13"/>
  <c r="H4258" i="13"/>
  <c r="H4257" i="13"/>
  <c r="H4256" i="13"/>
  <c r="H4255" i="13"/>
  <c r="H4254" i="13"/>
  <c r="H4253" i="13"/>
  <c r="H4252" i="13"/>
  <c r="H4251" i="13"/>
  <c r="H4250" i="13"/>
  <c r="H4249" i="13"/>
  <c r="H4248" i="13"/>
  <c r="H4247" i="13"/>
  <c r="H4246" i="13"/>
  <c r="H4245" i="13"/>
  <c r="H4244" i="13"/>
  <c r="H4243" i="13"/>
  <c r="H4242" i="13"/>
  <c r="H4241" i="13"/>
  <c r="H4240" i="13"/>
  <c r="H4239" i="13"/>
  <c r="H4238" i="13"/>
  <c r="H4237" i="13"/>
  <c r="H4236" i="13"/>
  <c r="H4235" i="13"/>
  <c r="H4234" i="13"/>
  <c r="H4233" i="13"/>
  <c r="H4232" i="13"/>
  <c r="H4231" i="13"/>
  <c r="H4230" i="13"/>
  <c r="H4229" i="13"/>
  <c r="H4228" i="13"/>
  <c r="H4227" i="13"/>
  <c r="H4226" i="13"/>
  <c r="H4225" i="13"/>
  <c r="H4224" i="13"/>
  <c r="H4223" i="13"/>
  <c r="H4222" i="13"/>
  <c r="H4221" i="13"/>
  <c r="H4220" i="13"/>
  <c r="H4219" i="13"/>
  <c r="H4218" i="13"/>
  <c r="H4217" i="13"/>
  <c r="H4216" i="13"/>
  <c r="H4215" i="13"/>
  <c r="H4214" i="13"/>
  <c r="H4213" i="13"/>
  <c r="H4212" i="13"/>
  <c r="H4211" i="13"/>
  <c r="H4210" i="13"/>
  <c r="H4209" i="13"/>
  <c r="H4208" i="13"/>
  <c r="H4207" i="13"/>
  <c r="H4206" i="13"/>
  <c r="H4205" i="13"/>
  <c r="H4204" i="13"/>
  <c r="H4203" i="13"/>
  <c r="H4202" i="13"/>
  <c r="H4201" i="13"/>
  <c r="H4200" i="13"/>
  <c r="H4199" i="13"/>
  <c r="H4198" i="13"/>
  <c r="H4197" i="13"/>
  <c r="H4196" i="13"/>
  <c r="H4195" i="13"/>
  <c r="H4194" i="13"/>
  <c r="H4193" i="13"/>
  <c r="H4192" i="13"/>
  <c r="H4191" i="13"/>
  <c r="H4190" i="13"/>
  <c r="H4189" i="13"/>
  <c r="H4188" i="13"/>
  <c r="H4187" i="13"/>
  <c r="H4186" i="13"/>
  <c r="H4185" i="13"/>
  <c r="H4184" i="13"/>
  <c r="H4183" i="13"/>
  <c r="H4182" i="13"/>
  <c r="H4181" i="13"/>
  <c r="H4180" i="13"/>
  <c r="H4179" i="13"/>
  <c r="H4178" i="13"/>
  <c r="H4177" i="13"/>
  <c r="H4176" i="13"/>
  <c r="H4175" i="13"/>
  <c r="H4174" i="13"/>
  <c r="H4173" i="13"/>
  <c r="H4172" i="13"/>
  <c r="H4171" i="13"/>
  <c r="H4170" i="13"/>
  <c r="H4169" i="13"/>
  <c r="H4168" i="13"/>
  <c r="H4167" i="13"/>
  <c r="H4166" i="13"/>
  <c r="H4165" i="13"/>
  <c r="H4164" i="13"/>
  <c r="H4163" i="13"/>
  <c r="H4162" i="13"/>
  <c r="H4161" i="13"/>
  <c r="H4160" i="13"/>
  <c r="H4159" i="13"/>
  <c r="H4158" i="13"/>
  <c r="H4157" i="13"/>
  <c r="H4156" i="13"/>
  <c r="H4155" i="13"/>
  <c r="H4154" i="13"/>
  <c r="H4153" i="13"/>
  <c r="H4152" i="13"/>
  <c r="H4151" i="13"/>
  <c r="H4150" i="13"/>
  <c r="H4149" i="13"/>
  <c r="H4148" i="13"/>
  <c r="H4147" i="13"/>
  <c r="H4146" i="13"/>
  <c r="H4145" i="13"/>
  <c r="H4144" i="13"/>
  <c r="H4143" i="13"/>
  <c r="H4142" i="13"/>
  <c r="H4141" i="13"/>
  <c r="H4140" i="13"/>
  <c r="H4139" i="13"/>
  <c r="H4138" i="13"/>
  <c r="H4137" i="13"/>
  <c r="H4136" i="13"/>
  <c r="H4135" i="13"/>
  <c r="H4134" i="13"/>
  <c r="H4133" i="13"/>
  <c r="H4132" i="13"/>
  <c r="H4131" i="13"/>
  <c r="H4130" i="13"/>
  <c r="H4129" i="13"/>
  <c r="H4128" i="13"/>
  <c r="H4127" i="13"/>
  <c r="H4126" i="13"/>
  <c r="H4125" i="13"/>
  <c r="H4124" i="13"/>
  <c r="H4123" i="13"/>
  <c r="H4122" i="13"/>
  <c r="H4121" i="13"/>
  <c r="H4120" i="13"/>
  <c r="H4119" i="13"/>
  <c r="H4118" i="13"/>
  <c r="H4117" i="13"/>
  <c r="H4116" i="13"/>
  <c r="H4115" i="13"/>
  <c r="H4114" i="13"/>
  <c r="H4113" i="13"/>
  <c r="H4112" i="13"/>
  <c r="H4111" i="13"/>
  <c r="H4110" i="13"/>
  <c r="H4109" i="13"/>
  <c r="H4108" i="13"/>
  <c r="H4107" i="13"/>
  <c r="H4106" i="13"/>
  <c r="H4105" i="13"/>
  <c r="H4104" i="13"/>
  <c r="H4103" i="13"/>
  <c r="H4102" i="13"/>
  <c r="H4101" i="13"/>
  <c r="H4100" i="13"/>
  <c r="H4099" i="13"/>
  <c r="H4098" i="13"/>
  <c r="H4097" i="13"/>
  <c r="H4096" i="13"/>
  <c r="H4095" i="13"/>
  <c r="H4094" i="13"/>
  <c r="H4093" i="13"/>
  <c r="H4092" i="13"/>
  <c r="H4091" i="13"/>
  <c r="H4090" i="13"/>
  <c r="H4089" i="13"/>
  <c r="H4088" i="13"/>
  <c r="H4087" i="13"/>
  <c r="H4086" i="13"/>
  <c r="H4085" i="13"/>
  <c r="H4084" i="13"/>
  <c r="H4083" i="13"/>
  <c r="H4082" i="13"/>
  <c r="H4081" i="13"/>
  <c r="H4080" i="13"/>
  <c r="H4079" i="13"/>
  <c r="H4078" i="13"/>
  <c r="H4077" i="13"/>
  <c r="H4076" i="13"/>
  <c r="H4075" i="13"/>
  <c r="H4074" i="13"/>
  <c r="H4073" i="13"/>
  <c r="H4072" i="13"/>
  <c r="H4071" i="13"/>
  <c r="H4070" i="13"/>
  <c r="H4069" i="13"/>
  <c r="H4068" i="13"/>
  <c r="H4067" i="13"/>
  <c r="H4066" i="13"/>
  <c r="H4065" i="13"/>
  <c r="H4064" i="13"/>
  <c r="H4063" i="13"/>
  <c r="H4062" i="13"/>
  <c r="H4061" i="13"/>
  <c r="H4060" i="13"/>
  <c r="H4059" i="13"/>
  <c r="H4058" i="13"/>
  <c r="H4057" i="13"/>
  <c r="H4056" i="13"/>
  <c r="H4055" i="13"/>
  <c r="H4054" i="13"/>
  <c r="H4053" i="13"/>
  <c r="H4052" i="13"/>
  <c r="H4051" i="13"/>
  <c r="H4050" i="13"/>
  <c r="H4049" i="13"/>
  <c r="H4048" i="13"/>
  <c r="H4047" i="13"/>
  <c r="H4046" i="13"/>
  <c r="H4045" i="13"/>
  <c r="H4044" i="13"/>
  <c r="H4043" i="13"/>
  <c r="H4042" i="13"/>
  <c r="H4041" i="13"/>
  <c r="H4040" i="13"/>
  <c r="H4039" i="13"/>
  <c r="H4038" i="13"/>
  <c r="H4037" i="13"/>
  <c r="H4036" i="13"/>
  <c r="H4035" i="13"/>
  <c r="H4034" i="13"/>
  <c r="H4033" i="13"/>
  <c r="H4032" i="13"/>
  <c r="H4031" i="13"/>
  <c r="H4030" i="13"/>
  <c r="H4029" i="13"/>
  <c r="H4028" i="13"/>
  <c r="H4027" i="13"/>
  <c r="H4026" i="13"/>
  <c r="H4025" i="13"/>
  <c r="H4024" i="13"/>
  <c r="H4023" i="13"/>
  <c r="H4022" i="13"/>
  <c r="H4021" i="13"/>
  <c r="H4020" i="13"/>
  <c r="H4019" i="13"/>
  <c r="H4018" i="13"/>
  <c r="H4017" i="13"/>
  <c r="H4016" i="13"/>
  <c r="H4015" i="13"/>
  <c r="H4014" i="13"/>
  <c r="H4013" i="13"/>
  <c r="H4012" i="13"/>
  <c r="H4011" i="13"/>
  <c r="H4010" i="13"/>
  <c r="H4009" i="13"/>
  <c r="H4008" i="13"/>
  <c r="H4007" i="13"/>
  <c r="H4006" i="13"/>
  <c r="H4005" i="13"/>
  <c r="H4004" i="13"/>
  <c r="H4003" i="13"/>
  <c r="H4002" i="13"/>
  <c r="H4001" i="13"/>
  <c r="H4000" i="13"/>
  <c r="H3999" i="13"/>
  <c r="H3998" i="13"/>
  <c r="H3997" i="13"/>
  <c r="H3996" i="13"/>
  <c r="H3995" i="13"/>
  <c r="H3994" i="13"/>
  <c r="H3993" i="13"/>
  <c r="H3992" i="13"/>
  <c r="H3991" i="13"/>
  <c r="H3990" i="13"/>
  <c r="H3989" i="13"/>
  <c r="H3988" i="13"/>
  <c r="H3987" i="13"/>
  <c r="H3986" i="13"/>
  <c r="H3985" i="13"/>
  <c r="H3984" i="13"/>
  <c r="H3983" i="13"/>
  <c r="H3982" i="13"/>
  <c r="H3981" i="13"/>
  <c r="H3980" i="13"/>
  <c r="H3979" i="13"/>
  <c r="H3978" i="13"/>
  <c r="H3977" i="13"/>
  <c r="H3976" i="13"/>
  <c r="H3975" i="13"/>
  <c r="H3974" i="13"/>
  <c r="H3973" i="13"/>
  <c r="H3972" i="13"/>
  <c r="H3971" i="13"/>
  <c r="H3970" i="13"/>
  <c r="H3969" i="13"/>
  <c r="H3968" i="13"/>
  <c r="H3967" i="13"/>
  <c r="H3966" i="13"/>
  <c r="H3965" i="13"/>
  <c r="H3964" i="13"/>
  <c r="H3963" i="13"/>
  <c r="H3962" i="13"/>
  <c r="H3961" i="13"/>
  <c r="H3960" i="13"/>
  <c r="H3959" i="13"/>
  <c r="H3958" i="13"/>
  <c r="H3957" i="13"/>
  <c r="H3956" i="13"/>
  <c r="H3955" i="13"/>
  <c r="H3954" i="13"/>
  <c r="H3953" i="13"/>
  <c r="H3952" i="13"/>
  <c r="H3951" i="13"/>
  <c r="H3950" i="13"/>
  <c r="H3949" i="13"/>
  <c r="H3948" i="13"/>
  <c r="H3947" i="13"/>
  <c r="H3946" i="13"/>
  <c r="H3945" i="13"/>
  <c r="H3944" i="13"/>
  <c r="H3943" i="13"/>
  <c r="H3942" i="13"/>
  <c r="H3941" i="13"/>
  <c r="H3940" i="13"/>
  <c r="H3939" i="13"/>
  <c r="H3938" i="13"/>
  <c r="H3937" i="13"/>
  <c r="H3936" i="13"/>
  <c r="H3935" i="13"/>
  <c r="H3934" i="13"/>
  <c r="H3933" i="13"/>
  <c r="H3932" i="13"/>
  <c r="H3931" i="13"/>
  <c r="H3930" i="13"/>
  <c r="H3929" i="13"/>
  <c r="H3928" i="13"/>
  <c r="H3927" i="13"/>
  <c r="H3926" i="13"/>
  <c r="H3925" i="13"/>
  <c r="H3924" i="13"/>
  <c r="H3923" i="13"/>
  <c r="H3922" i="13"/>
  <c r="H3921" i="13"/>
  <c r="H3920" i="13"/>
  <c r="H3919" i="13"/>
  <c r="H3918" i="13"/>
  <c r="H3917" i="13"/>
  <c r="H3916" i="13"/>
  <c r="H3915" i="13"/>
  <c r="H3914" i="13"/>
  <c r="H3913" i="13"/>
  <c r="H3912" i="13"/>
  <c r="H3911" i="13"/>
  <c r="H3910" i="13"/>
  <c r="H3909" i="13"/>
  <c r="H3908" i="13"/>
  <c r="H3907" i="13"/>
  <c r="H3906" i="13"/>
  <c r="H3905" i="13"/>
  <c r="H3904" i="13"/>
  <c r="H3903" i="13"/>
  <c r="H3902" i="13"/>
  <c r="H3901" i="13"/>
  <c r="H3900" i="13"/>
  <c r="H3899" i="13"/>
  <c r="H3898" i="13"/>
  <c r="H3897" i="13"/>
  <c r="H3896" i="13"/>
  <c r="H3895" i="13"/>
  <c r="H3894" i="13"/>
  <c r="H3893" i="13"/>
  <c r="H3892" i="13"/>
  <c r="H3891" i="13"/>
  <c r="H3890" i="13"/>
  <c r="H3889" i="13"/>
  <c r="H3888" i="13"/>
  <c r="H3887" i="13"/>
  <c r="H3886" i="13"/>
  <c r="H3885" i="13"/>
  <c r="H3884" i="13"/>
  <c r="H3883" i="13"/>
  <c r="H3882" i="13"/>
  <c r="H3881" i="13"/>
  <c r="H3880" i="13"/>
  <c r="H3879" i="13"/>
  <c r="H3878" i="13"/>
  <c r="H3877" i="13"/>
  <c r="H3876" i="13"/>
  <c r="H3875" i="13"/>
  <c r="H3874" i="13"/>
  <c r="H3873" i="13"/>
  <c r="H3872" i="13"/>
  <c r="H3871" i="13"/>
  <c r="H3870" i="13"/>
  <c r="H3869" i="13"/>
  <c r="H3868" i="13"/>
  <c r="H3867" i="13"/>
  <c r="H3866" i="13"/>
  <c r="H3865" i="13"/>
  <c r="H3864" i="13"/>
  <c r="H3863" i="13"/>
  <c r="H3862" i="13"/>
  <c r="H3861" i="13"/>
  <c r="H3860" i="13"/>
  <c r="H3859" i="13"/>
  <c r="H3858" i="13"/>
  <c r="H3857" i="13"/>
  <c r="H3856" i="13"/>
  <c r="H3855" i="13"/>
  <c r="H3854" i="13"/>
  <c r="H3853" i="13"/>
  <c r="H3852" i="13"/>
  <c r="H3851" i="13"/>
  <c r="H3850" i="13"/>
  <c r="H3849" i="13"/>
  <c r="H3848" i="13"/>
  <c r="H3847" i="13"/>
  <c r="H3846" i="13"/>
  <c r="H3845" i="13"/>
  <c r="H3844" i="13"/>
  <c r="H3843" i="13"/>
  <c r="H3842" i="13"/>
  <c r="H3841" i="13"/>
  <c r="H3840" i="13"/>
  <c r="H3839" i="13"/>
  <c r="H3838" i="13"/>
  <c r="H3837" i="13"/>
  <c r="H3836" i="13"/>
  <c r="H3835" i="13"/>
  <c r="H3834" i="13"/>
  <c r="H3833" i="13"/>
  <c r="H3832" i="13"/>
  <c r="H3831" i="13"/>
  <c r="H3830" i="13"/>
  <c r="H3829" i="13"/>
  <c r="H3828" i="13"/>
  <c r="H3827" i="13"/>
  <c r="H3826" i="13"/>
  <c r="H3825" i="13"/>
  <c r="H3824" i="13"/>
  <c r="H3823" i="13"/>
  <c r="H3822" i="13"/>
  <c r="H3821" i="13"/>
  <c r="H3820" i="13"/>
  <c r="H3819" i="13"/>
  <c r="H3818" i="13"/>
  <c r="H3817" i="13"/>
  <c r="H3816" i="13"/>
  <c r="H3815" i="13"/>
  <c r="H3814" i="13"/>
  <c r="H3813" i="13"/>
  <c r="H3812" i="13"/>
  <c r="H3811" i="13"/>
  <c r="H3810" i="13"/>
  <c r="H3809" i="13"/>
  <c r="H3808" i="13"/>
  <c r="H3807" i="13"/>
  <c r="H3806" i="13"/>
  <c r="H3805" i="13"/>
  <c r="H3804" i="13"/>
  <c r="H3803" i="13"/>
  <c r="H3802" i="13"/>
  <c r="H3801" i="13"/>
  <c r="H3800" i="13"/>
  <c r="H3799" i="13"/>
  <c r="H3798" i="13"/>
  <c r="H3797" i="13"/>
  <c r="H3796" i="13"/>
  <c r="H3795" i="13"/>
  <c r="H3794" i="13"/>
  <c r="H3793" i="13"/>
  <c r="H3792" i="13"/>
  <c r="H3791" i="13"/>
  <c r="H3790" i="13"/>
  <c r="H3789" i="13"/>
  <c r="H3788" i="13"/>
  <c r="H3787" i="13"/>
  <c r="H3786" i="13"/>
  <c r="H3785" i="13"/>
  <c r="H3784" i="13"/>
  <c r="H3783" i="13"/>
  <c r="H3782" i="13"/>
  <c r="H3781" i="13"/>
  <c r="H3780" i="13"/>
  <c r="H3779" i="13"/>
  <c r="H3778" i="13"/>
  <c r="H3777" i="13"/>
  <c r="H3776" i="13"/>
  <c r="H3775" i="13"/>
  <c r="H3774" i="13"/>
  <c r="H3773" i="13"/>
  <c r="H3772" i="13"/>
  <c r="H3771" i="13"/>
  <c r="H3770" i="13"/>
  <c r="H3769" i="13"/>
  <c r="H3768" i="13"/>
  <c r="H3767" i="13"/>
  <c r="H3766" i="13"/>
  <c r="H3765" i="13"/>
  <c r="H3764" i="13"/>
  <c r="H3763" i="13"/>
  <c r="H3762" i="13"/>
  <c r="H3761" i="13"/>
  <c r="H3760" i="13"/>
  <c r="H3759" i="13"/>
  <c r="H3758" i="13"/>
  <c r="H3757" i="13"/>
  <c r="H3756" i="13"/>
  <c r="H3755" i="13"/>
  <c r="H3754" i="13"/>
  <c r="H3753" i="13"/>
  <c r="H3752" i="13"/>
  <c r="H3751" i="13"/>
  <c r="H3750" i="13"/>
  <c r="H3749" i="13"/>
  <c r="H3748" i="13"/>
  <c r="H3747" i="13"/>
  <c r="H3746" i="13"/>
  <c r="H3745" i="13"/>
  <c r="H3744" i="13"/>
  <c r="H3743" i="13"/>
  <c r="H3742" i="13"/>
  <c r="H3741" i="13"/>
  <c r="H3740" i="13"/>
  <c r="H3739" i="13"/>
  <c r="H3738" i="13"/>
  <c r="H3737" i="13"/>
  <c r="H3736" i="13"/>
  <c r="H3735" i="13"/>
  <c r="H3734" i="13"/>
  <c r="H3733" i="13"/>
  <c r="H3732" i="13"/>
  <c r="H3731" i="13"/>
  <c r="H3730" i="13"/>
  <c r="H3729" i="13"/>
  <c r="H3728" i="13"/>
  <c r="H3727" i="13"/>
  <c r="H3726" i="13"/>
  <c r="H3725" i="13"/>
  <c r="H3724" i="13"/>
  <c r="H3723" i="13"/>
  <c r="H3722" i="13"/>
  <c r="H3721" i="13"/>
  <c r="H3720" i="13"/>
  <c r="H3719" i="13"/>
  <c r="H3718" i="13"/>
  <c r="H3717" i="13"/>
  <c r="H3716" i="13"/>
  <c r="H3715" i="13"/>
  <c r="H3714" i="13"/>
  <c r="H3713" i="13"/>
  <c r="H3712" i="13"/>
  <c r="H3711" i="13"/>
  <c r="H3710" i="13"/>
  <c r="H3709" i="13"/>
  <c r="H3708" i="13"/>
  <c r="H3707" i="13"/>
  <c r="H3706" i="13"/>
  <c r="H3705" i="13"/>
  <c r="H3704" i="13"/>
  <c r="H3703" i="13"/>
  <c r="H3702" i="13"/>
  <c r="H3701" i="13"/>
  <c r="H3700" i="13"/>
  <c r="H3699" i="13"/>
  <c r="H3698" i="13"/>
  <c r="H3697" i="13"/>
  <c r="H3696" i="13"/>
  <c r="H3695" i="13"/>
  <c r="H3694" i="13"/>
  <c r="H3693" i="13"/>
  <c r="H3692" i="13"/>
  <c r="H3691" i="13"/>
  <c r="H3690" i="13"/>
  <c r="H3689" i="13"/>
  <c r="H3688" i="13"/>
  <c r="H3687" i="13"/>
  <c r="H3686" i="13"/>
  <c r="H3685" i="13"/>
  <c r="H3684" i="13"/>
  <c r="H3683" i="13"/>
  <c r="H3682" i="13"/>
  <c r="H3681" i="13"/>
  <c r="H3680" i="13"/>
  <c r="H3679" i="13"/>
  <c r="H3678" i="13"/>
  <c r="H3677" i="13"/>
  <c r="H3676" i="13"/>
  <c r="H3675" i="13"/>
  <c r="H3674" i="13"/>
  <c r="H3673" i="13"/>
  <c r="H3672" i="13"/>
  <c r="H3671" i="13"/>
  <c r="H3670" i="13"/>
  <c r="H3669" i="13"/>
  <c r="H3668" i="13"/>
  <c r="H3667" i="13"/>
  <c r="H3666" i="13"/>
  <c r="H3665" i="13"/>
  <c r="H3664" i="13"/>
  <c r="H3663" i="13"/>
  <c r="H3662" i="13"/>
  <c r="H3661" i="13"/>
  <c r="H3660" i="13"/>
  <c r="H3659" i="13"/>
  <c r="H3658" i="13"/>
  <c r="H3657" i="13"/>
  <c r="H3656" i="13"/>
  <c r="H3655" i="13"/>
  <c r="H3654" i="13"/>
  <c r="H3653" i="13"/>
  <c r="H3652" i="13"/>
  <c r="H3651" i="13"/>
  <c r="H3650" i="13"/>
  <c r="H3649" i="13"/>
  <c r="H3648" i="13"/>
  <c r="H3647" i="13"/>
  <c r="H3646" i="13"/>
  <c r="H3645" i="13"/>
  <c r="H3644" i="13"/>
  <c r="H3643" i="13"/>
  <c r="H3642" i="13"/>
  <c r="H3641" i="13"/>
  <c r="H3640" i="13"/>
  <c r="H3639" i="13"/>
  <c r="H3638" i="13"/>
  <c r="H3637" i="13"/>
  <c r="H3636" i="13"/>
  <c r="H3635" i="13"/>
  <c r="H3634" i="13"/>
  <c r="H3633" i="13"/>
  <c r="H3632" i="13"/>
  <c r="H3631" i="13"/>
  <c r="H3630" i="13"/>
  <c r="H3629" i="13"/>
  <c r="H3628" i="13"/>
  <c r="H3627" i="13"/>
  <c r="H3626" i="13"/>
  <c r="H3625" i="13"/>
  <c r="H3624" i="13"/>
  <c r="H3623" i="13"/>
  <c r="H3622" i="13"/>
  <c r="H3621" i="13"/>
  <c r="H3620" i="13"/>
  <c r="H3619" i="13"/>
  <c r="H3618" i="13"/>
  <c r="H3617" i="13"/>
  <c r="H3616" i="13"/>
  <c r="H3615" i="13"/>
  <c r="H3614" i="13"/>
  <c r="H3613" i="13"/>
  <c r="H3612" i="13"/>
  <c r="H3611" i="13"/>
  <c r="H3610" i="13"/>
  <c r="H3609" i="13"/>
  <c r="H3608" i="13"/>
  <c r="H3607" i="13"/>
  <c r="H3606" i="13"/>
  <c r="H3605" i="13"/>
  <c r="H3604" i="13"/>
  <c r="H3603" i="13"/>
  <c r="H3602" i="13"/>
  <c r="H3601" i="13"/>
  <c r="H3600" i="13"/>
  <c r="H3599" i="13"/>
  <c r="H3598" i="13"/>
  <c r="H3597" i="13"/>
  <c r="H3596" i="13"/>
  <c r="H3595" i="13"/>
  <c r="H3594" i="13"/>
  <c r="H3593" i="13"/>
  <c r="H3592" i="13"/>
  <c r="H3591" i="13"/>
  <c r="H3590" i="13"/>
  <c r="H3589" i="13"/>
  <c r="H3588" i="13"/>
  <c r="H3587" i="13"/>
  <c r="H3586" i="13"/>
  <c r="H3585" i="13"/>
  <c r="H3584" i="13"/>
  <c r="H3583" i="13"/>
  <c r="H3582" i="13"/>
  <c r="H3581" i="13"/>
  <c r="H3580" i="13"/>
  <c r="H3579" i="13"/>
  <c r="H3578" i="13"/>
  <c r="H3577" i="13"/>
  <c r="H3576" i="13"/>
  <c r="H3575" i="13"/>
  <c r="H3574" i="13"/>
  <c r="H3573" i="13"/>
  <c r="H3572" i="13"/>
  <c r="H3571" i="13"/>
  <c r="H3570" i="13"/>
  <c r="H3569" i="13"/>
  <c r="H3568" i="13"/>
  <c r="H3567" i="13"/>
  <c r="H3566" i="13"/>
  <c r="H3565" i="13"/>
  <c r="H3564" i="13"/>
  <c r="H3563" i="13"/>
  <c r="H3562" i="13"/>
  <c r="H3561" i="13"/>
  <c r="H3560" i="13"/>
  <c r="H3559" i="13"/>
  <c r="H3558" i="13"/>
  <c r="H3557" i="13"/>
  <c r="H3556" i="13"/>
  <c r="H3555" i="13"/>
  <c r="H3554" i="13"/>
  <c r="H3553" i="13"/>
  <c r="H3552" i="13"/>
  <c r="H3551" i="13"/>
  <c r="H3550" i="13"/>
  <c r="H3549" i="13"/>
  <c r="H3548" i="13"/>
  <c r="H3547" i="13"/>
  <c r="H3546" i="13"/>
  <c r="H3545" i="13"/>
  <c r="H3544" i="13"/>
  <c r="H3543" i="13"/>
  <c r="H3542" i="13"/>
  <c r="H3541" i="13"/>
  <c r="H3540" i="13"/>
  <c r="H3539" i="13"/>
  <c r="H3538" i="13"/>
  <c r="H3537" i="13"/>
  <c r="H3536" i="13"/>
  <c r="H3535" i="13"/>
  <c r="H3534" i="13"/>
  <c r="H3533" i="13"/>
  <c r="H3532" i="13"/>
  <c r="H3531" i="13"/>
  <c r="H3530" i="13"/>
  <c r="H3529" i="13"/>
  <c r="H3528" i="13"/>
  <c r="H3527" i="13"/>
  <c r="H3526" i="13"/>
  <c r="H3525" i="13"/>
  <c r="H3524" i="13"/>
  <c r="H3523" i="13"/>
  <c r="H3522" i="13"/>
  <c r="H3521" i="13"/>
  <c r="H3520" i="13"/>
  <c r="H3519" i="13"/>
  <c r="H3518" i="13"/>
  <c r="H3517" i="13"/>
  <c r="H3516" i="13"/>
  <c r="H3515" i="13"/>
  <c r="H3514" i="13"/>
  <c r="H3513" i="13"/>
  <c r="H3512" i="13"/>
  <c r="H3511" i="13"/>
  <c r="H3510" i="13"/>
  <c r="H3509" i="13"/>
  <c r="H3508" i="13"/>
  <c r="H3507" i="13"/>
  <c r="H3506" i="13"/>
  <c r="H3505" i="13"/>
  <c r="H3504" i="13"/>
  <c r="H3503" i="13"/>
  <c r="H3502" i="13"/>
  <c r="H3501" i="13"/>
  <c r="H3500" i="13"/>
  <c r="H3499" i="13"/>
  <c r="H3498" i="13"/>
  <c r="H3497" i="13"/>
  <c r="H3496" i="13"/>
  <c r="H3495" i="13"/>
  <c r="H3494" i="13"/>
  <c r="H3493" i="13"/>
  <c r="H3492" i="13"/>
  <c r="H3491" i="13"/>
  <c r="H3490" i="13"/>
  <c r="H3489" i="13"/>
  <c r="H3488" i="13"/>
  <c r="H3487" i="13"/>
  <c r="H3486" i="13"/>
  <c r="H3485" i="13"/>
  <c r="H3484" i="13"/>
  <c r="H3483" i="13"/>
  <c r="H3482" i="13"/>
  <c r="H3481" i="13"/>
  <c r="H3480" i="13"/>
  <c r="H3479" i="13"/>
  <c r="H3478" i="13"/>
  <c r="H3477" i="13"/>
  <c r="H3476" i="13"/>
  <c r="H3475" i="13"/>
  <c r="H3474" i="13"/>
  <c r="H3473" i="13"/>
  <c r="H3472" i="13"/>
  <c r="H3471" i="13"/>
  <c r="H3470" i="13"/>
  <c r="H3469" i="13"/>
  <c r="H3468" i="13"/>
  <c r="H3467" i="13"/>
  <c r="H3466" i="13"/>
  <c r="H3465" i="13"/>
  <c r="H3464" i="13"/>
  <c r="H3463" i="13"/>
  <c r="H3462" i="13"/>
  <c r="H3461" i="13"/>
  <c r="H3460" i="13"/>
  <c r="H3459" i="13"/>
  <c r="H3458" i="13"/>
  <c r="H3457" i="13"/>
  <c r="H3456" i="13"/>
  <c r="H3455" i="13"/>
  <c r="H3454" i="13"/>
  <c r="H3453" i="13"/>
  <c r="H3452" i="13"/>
  <c r="H3451" i="13"/>
  <c r="H3450" i="13"/>
  <c r="H3449" i="13"/>
  <c r="H3448" i="13"/>
  <c r="H3447" i="13"/>
  <c r="H3446" i="13"/>
  <c r="H3445" i="13"/>
  <c r="H3444" i="13"/>
  <c r="H3443" i="13"/>
  <c r="H3442" i="13"/>
  <c r="H3441" i="13"/>
  <c r="H3440" i="13"/>
  <c r="H3439" i="13"/>
  <c r="H3438" i="13"/>
  <c r="H3437" i="13"/>
  <c r="H3436" i="13"/>
  <c r="H3435" i="13"/>
  <c r="H3434" i="13"/>
  <c r="H3433" i="13"/>
  <c r="H3432" i="13"/>
  <c r="H3431" i="13"/>
  <c r="H3430" i="13"/>
  <c r="H3429" i="13"/>
  <c r="H3428" i="13"/>
  <c r="H3427" i="13"/>
  <c r="H3426" i="13"/>
  <c r="H3425" i="13"/>
  <c r="H3424" i="13"/>
  <c r="H3423" i="13"/>
  <c r="H3422" i="13"/>
  <c r="H3421" i="13"/>
  <c r="H3420" i="13"/>
  <c r="H3419" i="13"/>
  <c r="H3418" i="13"/>
  <c r="H3417" i="13"/>
  <c r="H3416" i="13"/>
  <c r="H3415" i="13"/>
  <c r="H3414" i="13"/>
  <c r="H3413" i="13"/>
  <c r="H3412" i="13"/>
  <c r="H3411" i="13"/>
  <c r="H3410" i="13"/>
  <c r="H3409" i="13"/>
  <c r="H3408" i="13"/>
  <c r="H3407" i="13"/>
  <c r="H3406" i="13"/>
  <c r="H3405" i="13"/>
  <c r="H3404" i="13"/>
  <c r="H3403" i="13"/>
  <c r="H3402" i="13"/>
  <c r="H3401" i="13"/>
  <c r="H3400" i="13"/>
  <c r="H3399" i="13"/>
  <c r="H3398" i="13"/>
  <c r="H3397" i="13"/>
  <c r="H3396" i="13"/>
  <c r="H3395" i="13"/>
  <c r="H3394" i="13"/>
  <c r="H3393" i="13"/>
  <c r="H3392" i="13"/>
  <c r="H3391" i="13"/>
  <c r="H3390" i="13"/>
  <c r="H3389" i="13"/>
  <c r="H3388" i="13"/>
  <c r="H3387" i="13"/>
  <c r="H3386" i="13"/>
  <c r="H3385" i="13"/>
  <c r="H3384" i="13"/>
  <c r="H3383" i="13"/>
  <c r="H3382" i="13"/>
  <c r="H3381" i="13"/>
  <c r="H3380" i="13"/>
  <c r="H3379" i="13"/>
  <c r="H3378" i="13"/>
  <c r="H3377" i="13"/>
  <c r="H3376" i="13"/>
  <c r="H3375" i="13"/>
  <c r="H3374" i="13"/>
  <c r="H3373" i="13"/>
  <c r="H3372" i="13"/>
  <c r="H3371" i="13"/>
  <c r="H3370" i="13"/>
  <c r="H3369" i="13"/>
  <c r="H3368" i="13"/>
  <c r="H3367" i="13"/>
  <c r="H3366" i="13"/>
  <c r="H3365" i="13"/>
  <c r="H3364" i="13"/>
  <c r="H3363" i="13"/>
  <c r="H3362" i="13"/>
  <c r="H3361" i="13"/>
  <c r="H3360" i="13"/>
  <c r="H3359" i="13"/>
  <c r="H3358" i="13"/>
  <c r="H3357" i="13"/>
  <c r="H3356" i="13"/>
  <c r="H3355" i="13"/>
  <c r="H3354" i="13"/>
  <c r="H3353" i="13"/>
  <c r="H3352" i="13"/>
  <c r="H3351" i="13"/>
  <c r="H3350" i="13"/>
  <c r="H3349" i="13"/>
  <c r="H3348" i="13"/>
  <c r="H3347" i="13"/>
  <c r="H3346" i="13"/>
  <c r="H3345" i="13"/>
  <c r="H3344" i="13"/>
  <c r="H3343" i="13"/>
  <c r="H3342" i="13"/>
  <c r="H3341" i="13"/>
  <c r="H3340" i="13"/>
  <c r="H3339" i="13"/>
  <c r="H3338" i="13"/>
  <c r="H3337" i="13"/>
  <c r="H3336" i="13"/>
  <c r="H3335" i="13"/>
  <c r="H3334" i="13"/>
  <c r="H3333" i="13"/>
  <c r="H3332" i="13"/>
  <c r="H3331" i="13"/>
  <c r="H3330" i="13"/>
  <c r="H3329" i="13"/>
  <c r="H3328" i="13"/>
  <c r="H3327" i="13"/>
  <c r="H3326" i="13"/>
  <c r="H3325" i="13"/>
  <c r="H3324" i="13"/>
  <c r="H3323" i="13"/>
  <c r="H3322" i="13"/>
  <c r="H3321" i="13"/>
  <c r="H3320" i="13"/>
  <c r="H3319" i="13"/>
  <c r="H3318" i="13"/>
  <c r="H3317" i="13"/>
  <c r="H3316" i="13"/>
  <c r="H3315" i="13"/>
  <c r="H3314" i="13"/>
  <c r="H3313" i="13"/>
  <c r="H3312" i="13"/>
  <c r="H3311" i="13"/>
  <c r="H3310" i="13"/>
  <c r="H3309" i="13"/>
  <c r="H3308" i="13"/>
  <c r="H3307" i="13"/>
  <c r="H3306" i="13"/>
  <c r="H3305" i="13"/>
  <c r="H3304" i="13"/>
  <c r="H3303" i="13"/>
  <c r="H3302" i="13"/>
  <c r="H3301" i="13"/>
  <c r="H3300" i="13"/>
  <c r="H3299" i="13"/>
  <c r="H3298" i="13"/>
  <c r="H3297" i="13"/>
  <c r="H3296" i="13"/>
  <c r="H3295" i="13"/>
  <c r="H3294" i="13"/>
  <c r="H3293" i="13"/>
  <c r="H3292" i="13"/>
  <c r="H3291" i="13"/>
  <c r="H3290" i="13"/>
  <c r="H3289" i="13"/>
  <c r="H3288" i="13"/>
  <c r="H3287" i="13"/>
  <c r="H3286" i="13"/>
  <c r="H3285" i="13"/>
  <c r="H3284" i="13"/>
  <c r="H3283" i="13"/>
  <c r="H3282" i="13"/>
  <c r="H3281" i="13"/>
  <c r="H3280" i="13"/>
  <c r="H3279" i="13"/>
  <c r="H3278" i="13"/>
  <c r="H3277" i="13"/>
  <c r="H3276" i="13"/>
  <c r="H3275" i="13"/>
  <c r="H3274" i="13"/>
  <c r="H3273" i="13"/>
  <c r="H3272" i="13"/>
  <c r="H3271" i="13"/>
  <c r="H3270" i="13"/>
  <c r="H3269" i="13"/>
  <c r="H3268" i="13"/>
  <c r="H3267" i="13"/>
  <c r="H3266" i="13"/>
  <c r="H3265" i="13"/>
  <c r="H3264" i="13"/>
  <c r="H3263" i="13"/>
  <c r="H3262" i="13"/>
  <c r="H3261" i="13"/>
  <c r="H3260" i="13"/>
  <c r="H3259" i="13"/>
  <c r="H3258" i="13"/>
  <c r="H3257" i="13"/>
  <c r="H3256" i="13"/>
  <c r="H3255" i="13"/>
  <c r="H3254" i="13"/>
  <c r="H3253" i="13"/>
  <c r="H3252" i="13"/>
  <c r="H3251" i="13"/>
  <c r="H3250" i="13"/>
  <c r="H3249" i="13"/>
  <c r="H3248" i="13"/>
  <c r="H3247" i="13"/>
  <c r="H3246" i="13"/>
  <c r="H3245" i="13"/>
  <c r="H3244" i="13"/>
  <c r="H3243" i="13"/>
  <c r="H3242" i="13"/>
  <c r="H3241" i="13"/>
  <c r="H3240" i="13"/>
  <c r="H3239" i="13"/>
  <c r="H3238" i="13"/>
  <c r="H3237" i="13"/>
  <c r="H3236" i="13"/>
  <c r="H3235" i="13"/>
  <c r="H3234" i="13"/>
  <c r="H3233" i="13"/>
  <c r="H3232" i="13"/>
  <c r="H3231" i="13"/>
  <c r="H3230" i="13"/>
  <c r="H3229" i="13"/>
  <c r="H3228" i="13"/>
  <c r="H3227" i="13"/>
  <c r="H3226" i="13"/>
  <c r="H3225" i="13"/>
  <c r="H3224" i="13"/>
  <c r="H3223" i="13"/>
  <c r="H3222" i="13"/>
  <c r="H3221" i="13"/>
  <c r="H3220" i="13"/>
  <c r="H3219" i="13"/>
  <c r="H3218" i="13"/>
  <c r="H3217" i="13"/>
  <c r="H3216" i="13"/>
  <c r="H3215" i="13"/>
  <c r="H3214" i="13"/>
  <c r="H3213" i="13"/>
  <c r="H3212" i="13"/>
  <c r="H3211" i="13"/>
  <c r="H3210" i="13"/>
  <c r="H3209" i="13"/>
  <c r="H3208" i="13"/>
  <c r="H3207" i="13"/>
  <c r="H3206" i="13"/>
  <c r="H3205" i="13"/>
  <c r="H3204" i="13"/>
  <c r="H3203" i="13"/>
  <c r="H3202" i="13"/>
  <c r="H3201" i="13"/>
  <c r="H3200" i="13"/>
  <c r="H3199" i="13"/>
  <c r="H3198" i="13"/>
  <c r="H3197" i="13"/>
  <c r="H3196" i="13"/>
  <c r="H3195" i="13"/>
  <c r="H3194" i="13"/>
  <c r="H3193" i="13"/>
  <c r="H3192" i="13"/>
  <c r="H3191" i="13"/>
  <c r="H3190" i="13"/>
  <c r="H3189" i="13"/>
  <c r="H3188" i="13"/>
  <c r="H3187" i="13"/>
  <c r="H3186" i="13"/>
  <c r="H3185" i="13"/>
  <c r="H3184" i="13"/>
  <c r="H3183" i="13"/>
  <c r="H3182" i="13"/>
  <c r="H3181" i="13"/>
  <c r="H3180" i="13"/>
  <c r="H3179" i="13"/>
  <c r="H3178" i="13"/>
  <c r="H3177" i="13"/>
  <c r="H3176" i="13"/>
  <c r="H3175" i="13"/>
  <c r="H3174" i="13"/>
  <c r="H3173" i="13"/>
  <c r="H3172" i="13"/>
  <c r="H3171" i="13"/>
  <c r="H3170" i="13"/>
  <c r="H3169" i="13"/>
  <c r="H3168" i="13"/>
  <c r="H3167" i="13"/>
  <c r="H3166" i="13"/>
  <c r="H3165" i="13"/>
  <c r="H3164" i="13"/>
  <c r="H3163" i="13"/>
  <c r="H3162" i="13"/>
  <c r="H3161" i="13"/>
  <c r="H3160" i="13"/>
  <c r="H3159" i="13"/>
  <c r="H3158" i="13"/>
  <c r="H3157" i="13"/>
  <c r="H3156" i="13"/>
  <c r="H3155" i="13"/>
  <c r="H3154" i="13"/>
  <c r="H3153" i="13"/>
  <c r="H3152" i="13"/>
  <c r="H3151" i="13"/>
  <c r="H3150" i="13"/>
  <c r="H3149" i="13"/>
  <c r="H3148" i="13"/>
  <c r="H3147" i="13"/>
  <c r="H3146" i="13"/>
  <c r="H3145" i="13"/>
  <c r="H3144" i="13"/>
  <c r="H3143" i="13"/>
  <c r="H3142" i="13"/>
  <c r="H3141" i="13"/>
  <c r="H3140" i="13"/>
  <c r="H3139" i="13"/>
  <c r="H3138" i="13"/>
  <c r="H3137" i="13"/>
  <c r="H3136" i="13"/>
  <c r="H3135" i="13"/>
  <c r="H3134" i="13"/>
  <c r="H3133" i="13"/>
  <c r="H3132" i="13"/>
  <c r="H3131" i="13"/>
  <c r="H3130" i="13"/>
  <c r="H3129" i="13"/>
  <c r="H3128" i="13"/>
  <c r="H3127" i="13"/>
  <c r="H3126" i="13"/>
  <c r="H3125" i="13"/>
  <c r="H3124" i="13"/>
  <c r="H3123" i="13"/>
  <c r="H3122" i="13"/>
  <c r="H3121" i="13"/>
  <c r="H3120" i="13"/>
  <c r="H3119" i="13"/>
  <c r="H3118" i="13"/>
  <c r="H3117" i="13"/>
  <c r="H3116" i="13"/>
  <c r="H3115" i="13"/>
  <c r="H3114" i="13"/>
  <c r="H3113" i="13"/>
  <c r="H3112" i="13"/>
  <c r="H3111" i="13"/>
  <c r="H3110" i="13"/>
  <c r="H3109" i="13"/>
  <c r="H3108" i="13"/>
  <c r="H3107" i="13"/>
  <c r="H3106" i="13"/>
  <c r="H3105" i="13"/>
  <c r="H3104" i="13"/>
  <c r="H3103" i="13"/>
  <c r="H3102" i="13"/>
  <c r="H3101" i="13"/>
  <c r="H3100" i="13"/>
  <c r="H3099" i="13"/>
  <c r="H3098" i="13"/>
  <c r="H3097" i="13"/>
  <c r="H3096" i="13"/>
  <c r="H3095" i="13"/>
  <c r="H3094" i="13"/>
  <c r="H3093" i="13"/>
  <c r="H3092" i="13"/>
  <c r="H3091" i="13"/>
  <c r="H3090" i="13"/>
  <c r="H3089" i="13"/>
  <c r="H3088" i="13"/>
  <c r="H3087" i="13"/>
  <c r="H3086" i="13"/>
  <c r="H3085" i="13"/>
  <c r="H3084" i="13"/>
  <c r="H3083" i="13"/>
  <c r="H3082" i="13"/>
  <c r="H3081" i="13"/>
  <c r="H3080" i="13"/>
  <c r="H3079" i="13"/>
  <c r="H3078" i="13"/>
  <c r="H3077" i="13"/>
  <c r="H3076" i="13"/>
  <c r="H3075" i="13"/>
  <c r="H3074" i="13"/>
  <c r="H3073" i="13"/>
  <c r="H3072" i="13"/>
  <c r="H3071" i="13"/>
  <c r="H3070" i="13"/>
  <c r="H3069" i="13"/>
  <c r="H3068" i="13"/>
  <c r="H3067" i="13"/>
  <c r="H3066" i="13"/>
  <c r="H3065" i="13"/>
  <c r="H3064" i="13"/>
  <c r="H3063" i="13"/>
  <c r="H3062" i="13"/>
  <c r="H3061" i="13"/>
  <c r="H3060" i="13"/>
  <c r="H3059" i="13"/>
  <c r="H3058" i="13"/>
  <c r="H3057" i="13"/>
  <c r="H3056" i="13"/>
  <c r="H3055" i="13"/>
  <c r="H3054" i="13"/>
  <c r="H3053" i="13"/>
  <c r="H3052" i="13"/>
  <c r="H3051" i="13"/>
  <c r="H3050" i="13"/>
  <c r="H3049" i="13"/>
  <c r="H3048" i="13"/>
  <c r="H3047" i="13"/>
  <c r="H3046" i="13"/>
  <c r="H3045" i="13"/>
  <c r="H3044" i="13"/>
  <c r="H3043" i="13"/>
  <c r="H3042" i="13"/>
  <c r="H3041" i="13"/>
  <c r="H3040" i="13"/>
  <c r="H3039" i="13"/>
  <c r="H3038" i="13"/>
  <c r="H3037" i="13"/>
  <c r="H3036" i="13"/>
  <c r="H3035" i="13"/>
  <c r="H3034" i="13"/>
  <c r="H3033" i="13"/>
  <c r="H3032" i="13"/>
  <c r="H3031" i="13"/>
  <c r="H3030" i="13"/>
  <c r="H3029" i="13"/>
  <c r="H3028" i="13"/>
  <c r="H3027" i="13"/>
  <c r="H3026" i="13"/>
  <c r="H3025" i="13"/>
  <c r="H3024" i="13"/>
  <c r="H3023" i="13"/>
  <c r="H3022" i="13"/>
  <c r="H3021" i="13"/>
  <c r="H3020" i="13"/>
  <c r="H3019" i="13"/>
  <c r="H3018" i="13"/>
  <c r="H3017" i="13"/>
  <c r="H3016" i="13"/>
  <c r="H3015" i="13"/>
  <c r="H3014" i="13"/>
  <c r="H3013" i="13"/>
  <c r="H3012" i="13"/>
  <c r="H3011" i="13"/>
  <c r="H3010" i="13"/>
  <c r="H3009" i="13"/>
  <c r="H3008" i="13"/>
  <c r="H3007" i="13"/>
  <c r="H3006" i="13"/>
  <c r="H3005" i="13"/>
  <c r="H3004" i="13"/>
  <c r="H3003" i="13"/>
  <c r="H3002" i="13"/>
  <c r="H3001" i="13"/>
  <c r="H3000" i="13"/>
  <c r="H2999" i="13"/>
  <c r="H2998" i="13"/>
  <c r="H2997" i="13"/>
  <c r="H2996" i="13"/>
  <c r="H2995" i="13"/>
  <c r="H2994" i="13"/>
  <c r="H2993" i="13"/>
  <c r="H2992" i="13"/>
  <c r="H2991" i="13"/>
  <c r="H2990" i="13"/>
  <c r="H2989" i="13"/>
  <c r="H2988" i="13"/>
  <c r="H2987" i="13"/>
  <c r="H2986" i="13"/>
  <c r="H2985" i="13"/>
  <c r="H2984" i="13"/>
  <c r="H2983" i="13"/>
  <c r="H2982" i="13"/>
  <c r="H2981" i="13"/>
  <c r="H2980" i="13"/>
  <c r="H2979" i="13"/>
  <c r="H2978" i="13"/>
  <c r="H2977" i="13"/>
  <c r="H2976" i="13"/>
  <c r="H2975" i="13"/>
  <c r="H2974" i="13"/>
  <c r="H2973" i="13"/>
  <c r="H2972" i="13"/>
  <c r="H2971" i="13"/>
  <c r="H2970" i="13"/>
  <c r="H2969" i="13"/>
  <c r="H2968" i="13"/>
  <c r="H2967" i="13"/>
  <c r="H2966" i="13"/>
  <c r="H2965" i="13"/>
  <c r="H2964" i="13"/>
  <c r="H2963" i="13"/>
  <c r="H2962" i="13"/>
  <c r="H2961" i="13"/>
  <c r="H2960" i="13"/>
  <c r="H2959" i="13"/>
  <c r="H2958" i="13"/>
  <c r="H2957" i="13"/>
  <c r="H2956" i="13"/>
  <c r="H2955" i="13"/>
  <c r="H2954" i="13"/>
  <c r="H2953" i="13"/>
  <c r="H2952" i="13"/>
  <c r="H2951" i="13"/>
  <c r="H2950" i="13"/>
  <c r="H2949" i="13"/>
  <c r="H2948" i="13"/>
  <c r="H2947" i="13"/>
  <c r="H2946" i="13"/>
  <c r="H2945" i="13"/>
  <c r="H2944" i="13"/>
  <c r="H2943" i="13"/>
  <c r="H2942" i="13"/>
  <c r="H2941" i="13"/>
  <c r="H2940" i="13"/>
  <c r="H2939" i="13"/>
  <c r="H2938" i="13"/>
  <c r="H2937" i="13"/>
  <c r="H2936" i="13"/>
  <c r="H2935" i="13"/>
  <c r="H2934" i="13"/>
  <c r="H2933" i="13"/>
  <c r="H2932" i="13"/>
  <c r="H2931" i="13"/>
  <c r="H2930" i="13"/>
  <c r="H2929" i="13"/>
  <c r="H2928" i="13"/>
  <c r="H2927" i="13"/>
  <c r="H2926" i="13"/>
  <c r="H2925" i="13"/>
  <c r="H2924" i="13"/>
  <c r="H2923" i="13"/>
  <c r="H2922" i="13"/>
  <c r="H2921" i="13"/>
  <c r="H2920" i="13"/>
  <c r="H2919" i="13"/>
  <c r="H2918" i="13"/>
  <c r="H2917" i="13"/>
  <c r="H2916" i="13"/>
  <c r="H2915" i="13"/>
  <c r="H2914" i="13"/>
  <c r="H2913" i="13"/>
  <c r="H2912" i="13"/>
  <c r="H2911" i="13"/>
  <c r="H2910" i="13"/>
  <c r="H2909" i="13"/>
  <c r="H2908" i="13"/>
  <c r="H2907" i="13"/>
  <c r="H2906" i="13"/>
  <c r="H2905" i="13"/>
  <c r="H2904" i="13"/>
  <c r="H2903" i="13"/>
  <c r="H2902" i="13"/>
  <c r="H2901" i="13"/>
  <c r="H2900" i="13"/>
  <c r="H2899" i="13"/>
  <c r="H2898" i="13"/>
  <c r="H2897" i="13"/>
  <c r="H2896" i="13"/>
  <c r="H2895" i="13"/>
  <c r="H2894" i="13"/>
  <c r="H2893" i="13"/>
  <c r="H2892" i="13"/>
  <c r="H2891" i="13"/>
  <c r="H2890" i="13"/>
  <c r="H2889" i="13"/>
  <c r="H2888" i="13"/>
  <c r="H2887" i="13"/>
  <c r="H2886" i="13"/>
  <c r="H2885" i="13"/>
  <c r="H2884" i="13"/>
  <c r="H2883" i="13"/>
  <c r="H2882" i="13"/>
  <c r="H2881" i="13"/>
  <c r="H2880" i="13"/>
  <c r="H2879" i="13"/>
  <c r="H2878" i="13"/>
  <c r="H2877" i="13"/>
  <c r="H2876" i="13"/>
  <c r="H2875" i="13"/>
  <c r="H2874" i="13"/>
  <c r="H2873" i="13"/>
  <c r="H2872" i="13"/>
  <c r="H2871" i="13"/>
  <c r="H2870" i="13"/>
  <c r="H2869" i="13"/>
  <c r="H2868" i="13"/>
  <c r="H2867" i="13"/>
  <c r="H2866" i="13"/>
  <c r="H2865" i="13"/>
  <c r="H2864" i="13"/>
  <c r="H2863" i="13"/>
  <c r="H2862" i="13"/>
  <c r="H2861" i="13"/>
  <c r="H2860" i="13"/>
  <c r="H2859" i="13"/>
  <c r="H2858" i="13"/>
  <c r="H2857" i="13"/>
  <c r="H2856" i="13"/>
  <c r="H2855" i="13"/>
  <c r="H2854" i="13"/>
  <c r="H2853" i="13"/>
  <c r="H2852" i="13"/>
  <c r="H2851" i="13"/>
  <c r="H2850" i="13"/>
  <c r="H2849" i="13"/>
  <c r="H2848" i="13"/>
  <c r="H2847" i="13"/>
  <c r="H2846" i="13"/>
  <c r="H2845" i="13"/>
  <c r="H2844" i="13"/>
  <c r="H2843" i="13"/>
  <c r="H2842" i="13"/>
  <c r="H2841" i="13"/>
  <c r="H2840" i="13"/>
  <c r="H2839" i="13"/>
  <c r="H2838" i="13"/>
  <c r="H2837" i="13"/>
  <c r="H2836" i="13"/>
  <c r="H2835" i="13"/>
  <c r="H2834" i="13"/>
  <c r="H2833" i="13"/>
  <c r="H2832" i="13"/>
  <c r="H2831" i="13"/>
  <c r="H2830" i="13"/>
  <c r="H2829" i="13"/>
  <c r="H2828" i="13"/>
  <c r="H2827" i="13"/>
  <c r="H2826" i="13"/>
  <c r="H2825" i="13"/>
  <c r="H2824" i="13"/>
  <c r="H2823" i="13"/>
  <c r="H2822" i="13"/>
  <c r="H2821" i="13"/>
  <c r="H2820" i="13"/>
  <c r="H2819" i="13"/>
  <c r="H2818" i="13"/>
  <c r="H2817" i="13"/>
  <c r="H2816" i="13"/>
  <c r="H2815" i="13"/>
  <c r="H2814" i="13"/>
  <c r="H2813" i="13"/>
  <c r="H2812" i="13"/>
  <c r="H2811" i="13"/>
  <c r="H2810" i="13"/>
  <c r="H2809" i="13"/>
  <c r="H2808" i="13"/>
  <c r="H2807" i="13"/>
  <c r="H2806" i="13"/>
  <c r="H2805" i="13"/>
  <c r="H2804" i="13"/>
  <c r="H2803" i="13"/>
  <c r="H2802" i="13"/>
  <c r="H2801" i="13"/>
  <c r="H2800" i="13"/>
  <c r="H2799" i="13"/>
  <c r="H2798" i="13"/>
  <c r="H2797" i="13"/>
  <c r="H2796" i="13"/>
  <c r="H2795" i="13"/>
  <c r="H2794" i="13"/>
  <c r="H2793" i="13"/>
  <c r="H2792" i="13"/>
  <c r="H2791" i="13"/>
  <c r="H2790" i="13"/>
  <c r="H2789" i="13"/>
  <c r="H2788" i="13"/>
  <c r="H2787" i="13"/>
  <c r="H2786" i="13"/>
  <c r="H2785" i="13"/>
  <c r="H2784" i="13"/>
  <c r="H2783" i="13"/>
  <c r="H2782" i="13"/>
  <c r="H2781" i="13"/>
  <c r="H2780" i="13"/>
  <c r="H2779" i="13"/>
  <c r="H2778" i="13"/>
  <c r="H2777" i="13"/>
  <c r="H2776" i="13"/>
  <c r="H2775" i="13"/>
  <c r="H2774" i="13"/>
  <c r="H2773" i="13"/>
  <c r="H2772" i="13"/>
  <c r="H2771" i="13"/>
  <c r="H2770" i="13"/>
  <c r="H2769" i="13"/>
  <c r="H2768" i="13"/>
  <c r="H2767" i="13"/>
  <c r="H2766" i="13"/>
  <c r="H2765" i="13"/>
  <c r="H2764" i="13"/>
  <c r="H2763" i="13"/>
  <c r="H2762" i="13"/>
  <c r="H2761" i="13"/>
  <c r="H2760" i="13"/>
  <c r="H2759" i="13"/>
  <c r="H2758" i="13"/>
  <c r="H2757" i="13"/>
  <c r="H2756" i="13"/>
  <c r="H2755" i="13"/>
  <c r="H2754" i="13"/>
  <c r="H2753" i="13"/>
  <c r="H2752" i="13"/>
  <c r="H2751" i="13"/>
  <c r="H2750" i="13"/>
  <c r="H2749" i="13"/>
  <c r="H2748" i="13"/>
  <c r="H2747" i="13"/>
  <c r="H2746" i="13"/>
  <c r="H2745" i="13"/>
  <c r="H2744" i="13"/>
  <c r="H2743" i="13"/>
  <c r="H2742" i="13"/>
  <c r="H2741" i="13"/>
  <c r="H2740" i="13"/>
  <c r="H2739" i="13"/>
  <c r="H2738" i="13"/>
  <c r="H2737" i="13"/>
  <c r="H2736" i="13"/>
  <c r="H2735" i="13"/>
  <c r="H2734" i="13"/>
  <c r="H2733" i="13"/>
  <c r="H2732" i="13"/>
  <c r="H2731" i="13"/>
  <c r="H2730" i="13"/>
  <c r="H2729" i="13"/>
  <c r="H2728" i="13"/>
  <c r="H2727" i="13"/>
  <c r="H2726" i="13"/>
  <c r="H2725" i="13"/>
  <c r="H2724" i="13"/>
  <c r="H2723" i="13"/>
  <c r="H2722" i="13"/>
  <c r="H2721" i="13"/>
  <c r="H2720" i="13"/>
  <c r="H2719" i="13"/>
  <c r="H2718" i="13"/>
  <c r="H2717" i="13"/>
  <c r="H2716" i="13"/>
  <c r="H2715" i="13"/>
  <c r="H2714" i="13"/>
  <c r="H2713" i="13"/>
  <c r="H2712" i="13"/>
  <c r="H2711" i="13"/>
  <c r="H2710" i="13"/>
  <c r="H2709" i="13"/>
  <c r="H2708" i="13"/>
  <c r="H2707" i="13"/>
  <c r="H2706" i="13"/>
  <c r="H2705" i="13"/>
  <c r="H2704" i="13"/>
  <c r="H2703" i="13"/>
  <c r="H2702" i="13"/>
  <c r="H2701" i="13"/>
  <c r="H2700" i="13"/>
  <c r="H2699" i="13"/>
  <c r="H2698" i="13"/>
  <c r="H2697" i="13"/>
  <c r="H2696" i="13"/>
  <c r="H2695" i="13"/>
  <c r="H2694" i="13"/>
  <c r="H2693" i="13"/>
  <c r="H2692" i="13"/>
  <c r="H2691" i="13"/>
  <c r="H2690" i="13"/>
  <c r="H2689" i="13"/>
  <c r="H2688" i="13"/>
  <c r="H2687" i="13"/>
  <c r="H2686" i="13"/>
  <c r="H2685" i="13"/>
  <c r="H2684" i="13"/>
  <c r="H2683" i="13"/>
  <c r="H2682" i="13"/>
  <c r="H2681" i="13"/>
  <c r="H2680" i="13"/>
  <c r="H2679" i="13"/>
  <c r="H2678" i="13"/>
  <c r="H2677" i="13"/>
  <c r="H2676" i="13"/>
  <c r="H2675" i="13"/>
  <c r="H2674" i="13"/>
  <c r="H2673" i="13"/>
  <c r="H2672" i="13"/>
  <c r="H2671" i="13"/>
  <c r="H2670" i="13"/>
  <c r="H2669" i="13"/>
  <c r="H2668" i="13"/>
  <c r="H2667" i="13"/>
  <c r="H2666" i="13"/>
  <c r="H2665" i="13"/>
  <c r="H2664" i="13"/>
  <c r="H2663" i="13"/>
  <c r="H2662" i="13"/>
  <c r="H2661" i="13"/>
  <c r="H2660" i="13"/>
  <c r="H2659" i="13"/>
  <c r="H2658" i="13"/>
  <c r="H2657" i="13"/>
  <c r="H2656" i="13"/>
  <c r="H2655" i="13"/>
  <c r="H2654" i="13"/>
  <c r="H2653" i="13"/>
  <c r="H2652" i="13"/>
  <c r="H2651" i="13"/>
  <c r="H2650" i="13"/>
  <c r="H2649" i="13"/>
  <c r="H2648" i="13"/>
  <c r="H2647" i="13"/>
  <c r="H2646" i="13"/>
  <c r="H2645" i="13"/>
  <c r="H2644" i="13"/>
  <c r="H2643" i="13"/>
  <c r="H2642" i="13"/>
  <c r="H2641" i="13"/>
  <c r="H2640" i="13"/>
  <c r="H2639" i="13"/>
  <c r="H2638" i="13"/>
  <c r="H2637" i="13"/>
  <c r="H2636" i="13"/>
  <c r="H2635" i="13"/>
  <c r="H2634" i="13"/>
  <c r="H2633" i="13"/>
  <c r="H2632" i="13"/>
  <c r="H2631" i="13"/>
  <c r="H2630" i="13"/>
  <c r="H2629" i="13"/>
  <c r="H2628" i="13"/>
  <c r="H2627" i="13"/>
  <c r="H2626" i="13"/>
  <c r="H2625" i="13"/>
  <c r="H2624" i="13"/>
  <c r="H2623" i="13"/>
  <c r="H2622" i="13"/>
  <c r="H2621" i="13"/>
  <c r="H2620" i="13"/>
  <c r="H2619" i="13"/>
  <c r="H2618" i="13"/>
  <c r="H2617" i="13"/>
  <c r="H2616" i="13"/>
  <c r="H2615" i="13"/>
  <c r="H2614" i="13"/>
  <c r="H2613" i="13"/>
  <c r="H2612" i="13"/>
  <c r="H2611" i="13"/>
  <c r="H2610" i="13"/>
  <c r="H2609" i="13"/>
  <c r="H2608" i="13"/>
  <c r="H2607" i="13"/>
  <c r="H2606" i="13"/>
  <c r="H2605" i="13"/>
  <c r="H2604" i="13"/>
  <c r="H2603" i="13"/>
  <c r="H2602" i="13"/>
  <c r="H2601" i="13"/>
  <c r="H2600" i="13"/>
  <c r="H2599" i="13"/>
  <c r="H2598" i="13"/>
  <c r="H2597" i="13"/>
  <c r="H2596" i="13"/>
  <c r="H2595" i="13"/>
  <c r="H2594" i="13"/>
  <c r="H2593" i="13"/>
  <c r="H2592" i="13"/>
  <c r="H2591" i="13"/>
  <c r="H2590" i="13"/>
  <c r="H2589" i="13"/>
  <c r="H2588" i="13"/>
  <c r="H2587" i="13"/>
  <c r="H2586" i="13"/>
  <c r="H2585" i="13"/>
  <c r="H2584" i="13"/>
  <c r="H2583" i="13"/>
  <c r="H2582" i="13"/>
  <c r="H2581" i="13"/>
  <c r="H2580" i="13"/>
  <c r="H2579" i="13"/>
  <c r="H2578" i="13"/>
  <c r="H2577" i="13"/>
  <c r="H2576" i="13"/>
  <c r="H2575" i="13"/>
  <c r="H2574" i="13"/>
  <c r="H2573" i="13"/>
  <c r="H2572" i="13"/>
  <c r="H2571" i="13"/>
  <c r="H2570" i="13"/>
  <c r="H2569" i="13"/>
  <c r="H2568" i="13"/>
  <c r="H2567" i="13"/>
  <c r="H2566" i="13"/>
  <c r="H2565" i="13"/>
  <c r="H2564" i="13"/>
  <c r="H2563" i="13"/>
  <c r="H2562" i="13"/>
  <c r="H2561" i="13"/>
  <c r="H2560" i="13"/>
  <c r="H2559" i="13"/>
  <c r="H2558" i="13"/>
  <c r="H2557" i="13"/>
  <c r="H2556" i="13"/>
  <c r="H2555" i="13"/>
  <c r="H2554" i="13"/>
  <c r="H2553" i="13"/>
  <c r="H2552" i="13"/>
  <c r="H2551" i="13"/>
  <c r="H2550" i="13"/>
  <c r="H2549" i="13"/>
  <c r="H2548" i="13"/>
  <c r="H2547" i="13"/>
  <c r="H2546" i="13"/>
  <c r="H2545" i="13"/>
  <c r="H2544" i="13"/>
  <c r="H2543" i="13"/>
  <c r="H2542" i="13"/>
  <c r="H2541" i="13"/>
  <c r="H2540" i="13"/>
  <c r="H2539" i="13"/>
  <c r="H2538" i="13"/>
  <c r="H2537" i="13"/>
  <c r="H2536" i="13"/>
  <c r="H2535" i="13"/>
  <c r="H2534" i="13"/>
  <c r="H2533" i="13"/>
  <c r="H2532" i="13"/>
  <c r="H2531" i="13"/>
  <c r="H2530" i="13"/>
  <c r="H2529" i="13"/>
  <c r="H2528" i="13"/>
  <c r="H2527" i="13"/>
  <c r="H2526" i="13"/>
  <c r="H2525" i="13"/>
  <c r="H2524" i="13"/>
  <c r="H2523" i="13"/>
  <c r="H2522" i="13"/>
  <c r="H2521" i="13"/>
  <c r="H2520" i="13"/>
  <c r="H2519" i="13"/>
  <c r="H2518" i="13"/>
  <c r="H2517" i="13"/>
  <c r="H2516" i="13"/>
  <c r="H2515" i="13"/>
  <c r="H2514" i="13"/>
  <c r="H2513" i="13"/>
  <c r="H2512" i="13"/>
  <c r="H2511" i="13"/>
  <c r="H2510" i="13"/>
  <c r="H2509" i="13"/>
  <c r="H2508" i="13"/>
  <c r="H2507" i="13"/>
  <c r="H2506" i="13"/>
  <c r="H2505" i="13"/>
  <c r="H2504" i="13"/>
  <c r="H2503" i="13"/>
  <c r="H2502" i="13"/>
  <c r="H2501" i="13"/>
  <c r="H2500" i="13"/>
  <c r="H2499" i="13"/>
  <c r="H2498" i="13"/>
  <c r="H2497" i="13"/>
  <c r="H2496" i="13"/>
  <c r="H2495" i="13"/>
  <c r="H2494" i="13"/>
  <c r="H2493" i="13"/>
  <c r="H2492" i="13"/>
  <c r="H2491" i="13"/>
  <c r="H2490" i="13"/>
  <c r="H2489" i="13"/>
  <c r="H2488" i="13"/>
  <c r="H2487" i="13"/>
  <c r="H2486" i="13"/>
  <c r="H2485" i="13"/>
  <c r="H2484" i="13"/>
  <c r="H2483" i="13"/>
  <c r="H2482" i="13"/>
  <c r="H2481" i="13"/>
  <c r="H2480" i="13"/>
  <c r="H2479" i="13"/>
  <c r="H2478" i="13"/>
  <c r="H2477" i="13"/>
  <c r="H2476" i="13"/>
  <c r="H2475" i="13"/>
  <c r="H2474" i="13"/>
  <c r="H2473" i="13"/>
  <c r="H2472" i="13"/>
  <c r="H2471" i="13"/>
  <c r="H2470" i="13"/>
  <c r="H2469" i="13"/>
  <c r="H2468" i="13"/>
  <c r="H2467" i="13"/>
  <c r="H2466" i="13"/>
  <c r="H2465" i="13"/>
  <c r="H2464" i="13"/>
  <c r="H2463" i="13"/>
  <c r="H2462" i="13"/>
  <c r="H2461" i="13"/>
  <c r="H2460" i="13"/>
  <c r="H2459" i="13"/>
  <c r="H2458" i="13"/>
  <c r="H2457" i="13"/>
  <c r="H2456" i="13"/>
  <c r="H2455" i="13"/>
  <c r="H2454" i="13"/>
  <c r="H2453" i="13"/>
  <c r="H2452" i="13"/>
  <c r="H2451" i="13"/>
  <c r="H2450" i="13"/>
  <c r="H2449" i="13"/>
  <c r="H2448" i="13"/>
  <c r="H2447" i="13"/>
  <c r="H2446" i="13"/>
  <c r="H2445" i="13"/>
  <c r="H2444" i="13"/>
  <c r="H2443" i="13"/>
  <c r="H2442" i="13"/>
  <c r="H2441" i="13"/>
  <c r="H2440" i="13"/>
  <c r="H2439" i="13"/>
  <c r="H2438" i="13"/>
  <c r="H2437" i="13"/>
  <c r="H2436" i="13"/>
  <c r="H2435" i="13"/>
  <c r="H2434" i="13"/>
  <c r="H2433" i="13"/>
  <c r="H2432" i="13"/>
  <c r="H2431" i="13"/>
  <c r="H2430" i="13"/>
  <c r="H2429" i="13"/>
  <c r="H2428" i="13"/>
  <c r="H2427" i="13"/>
  <c r="H2426" i="13"/>
  <c r="H2425" i="13"/>
  <c r="H2424" i="13"/>
  <c r="H2423" i="13"/>
  <c r="H2422" i="13"/>
  <c r="H2421" i="13"/>
  <c r="H2420" i="13"/>
  <c r="H2419" i="13"/>
  <c r="H2418" i="13"/>
  <c r="H2417" i="13"/>
  <c r="H2416" i="13"/>
  <c r="H2415" i="13"/>
  <c r="H2414" i="13"/>
  <c r="H2413" i="13"/>
  <c r="H2412" i="13"/>
  <c r="H2411" i="13"/>
  <c r="H2410" i="13"/>
  <c r="H2409" i="13"/>
  <c r="H2408" i="13"/>
  <c r="H2407" i="13"/>
  <c r="H2406" i="13"/>
  <c r="H2405" i="13"/>
  <c r="H2404" i="13"/>
  <c r="H2403" i="13"/>
  <c r="H2402" i="13"/>
  <c r="H2401" i="13"/>
  <c r="H2400" i="13"/>
  <c r="H2399" i="13"/>
  <c r="H2398" i="13"/>
  <c r="H2397" i="13"/>
  <c r="H2396" i="13"/>
  <c r="H2395" i="13"/>
  <c r="H2394" i="13"/>
  <c r="H2393" i="13"/>
  <c r="H2392" i="13"/>
  <c r="H2391" i="13"/>
  <c r="H2390" i="13"/>
  <c r="H2389" i="13"/>
  <c r="H2388" i="13"/>
  <c r="H2387" i="13"/>
  <c r="H2386" i="13"/>
  <c r="H2385" i="13"/>
  <c r="H2384" i="13"/>
  <c r="H2383" i="13"/>
  <c r="H2382" i="13"/>
  <c r="H2381" i="13"/>
  <c r="H2380" i="13"/>
  <c r="H2379" i="13"/>
  <c r="H2378" i="13"/>
  <c r="H2377" i="13"/>
  <c r="H2376" i="13"/>
  <c r="H2375" i="13"/>
  <c r="H2374" i="13"/>
  <c r="H2373" i="13"/>
  <c r="H2372" i="13"/>
  <c r="H2371" i="13"/>
  <c r="H2370" i="13"/>
  <c r="H2369" i="13"/>
  <c r="H2368" i="13"/>
  <c r="H2367" i="13"/>
  <c r="H2366" i="13"/>
  <c r="H2365" i="13"/>
  <c r="H2364" i="13"/>
  <c r="H2363" i="13"/>
  <c r="H2362" i="13"/>
  <c r="H2361" i="13"/>
  <c r="H2360" i="13"/>
  <c r="H2359" i="13"/>
  <c r="H2358" i="13"/>
  <c r="H2357" i="13"/>
  <c r="H2356" i="13"/>
  <c r="H2355" i="13"/>
  <c r="H2354" i="13"/>
  <c r="H2353" i="13"/>
  <c r="H2352" i="13"/>
  <c r="H2351" i="13"/>
  <c r="H2350" i="13"/>
  <c r="H2349" i="13"/>
  <c r="H2348" i="13"/>
  <c r="H2347" i="13"/>
  <c r="H2346" i="13"/>
  <c r="H2345" i="13"/>
  <c r="H2344" i="13"/>
  <c r="H2343" i="13"/>
  <c r="H2342" i="13"/>
  <c r="H2341" i="13"/>
  <c r="H2340" i="13"/>
  <c r="H2339" i="13"/>
  <c r="H2338" i="13"/>
  <c r="H2337" i="13"/>
  <c r="H2336" i="13"/>
  <c r="H2335" i="13"/>
  <c r="H2334" i="13"/>
  <c r="H2333" i="13"/>
  <c r="H2332" i="13"/>
  <c r="H2331" i="13"/>
  <c r="H2330" i="13"/>
  <c r="H2329" i="13"/>
  <c r="H2328" i="13"/>
  <c r="H2327" i="13"/>
  <c r="H2326" i="13"/>
  <c r="H2325" i="13"/>
  <c r="H2324" i="13"/>
  <c r="H2323" i="13"/>
  <c r="H2322" i="13"/>
  <c r="H2321" i="13"/>
  <c r="H2320" i="13"/>
  <c r="H2319" i="13"/>
  <c r="H2318" i="13"/>
  <c r="H2317" i="13"/>
  <c r="H2316" i="13"/>
  <c r="H2315" i="13"/>
  <c r="H2314" i="13"/>
  <c r="H2313" i="13"/>
  <c r="H2312" i="13"/>
  <c r="H2311" i="13"/>
  <c r="H2310" i="13"/>
  <c r="H2309" i="13"/>
  <c r="H2308" i="13"/>
  <c r="H2307" i="13"/>
  <c r="H2306" i="13"/>
  <c r="H2305" i="13"/>
  <c r="H2304" i="13"/>
  <c r="H2303" i="13"/>
  <c r="H2302" i="13"/>
  <c r="H2301" i="13"/>
  <c r="H2300" i="13"/>
  <c r="H2299" i="13"/>
  <c r="H2298" i="13"/>
  <c r="H2297" i="13"/>
  <c r="H2296" i="13"/>
  <c r="H2295" i="13"/>
  <c r="H2294" i="13"/>
  <c r="H2293" i="13"/>
  <c r="H2292" i="13"/>
  <c r="H2291" i="13"/>
  <c r="H2290" i="13"/>
  <c r="H2289" i="13"/>
  <c r="H2288" i="13"/>
  <c r="H2287" i="13"/>
  <c r="H2286" i="13"/>
  <c r="H2285" i="13"/>
  <c r="H2284" i="13"/>
  <c r="H2283" i="13"/>
  <c r="H2282" i="13"/>
  <c r="H2281" i="13"/>
  <c r="H2280" i="13"/>
  <c r="H2279" i="13"/>
  <c r="H2278" i="13"/>
  <c r="H2277" i="13"/>
  <c r="H2276" i="13"/>
  <c r="H2275" i="13"/>
  <c r="H2274" i="13"/>
  <c r="H2273" i="13"/>
  <c r="H2272" i="13"/>
  <c r="H2271" i="13"/>
  <c r="H2270" i="13"/>
  <c r="H2269" i="13"/>
  <c r="H2268" i="13"/>
  <c r="H2267" i="13"/>
  <c r="H2266" i="13"/>
  <c r="H2265" i="13"/>
  <c r="H2264" i="13"/>
  <c r="H2263" i="13"/>
  <c r="H2262" i="13"/>
  <c r="H2261" i="13"/>
  <c r="H2260" i="13"/>
  <c r="H2259" i="13"/>
  <c r="H2258" i="13"/>
  <c r="H2257" i="13"/>
  <c r="H2256" i="13"/>
  <c r="H2255" i="13"/>
  <c r="H2254" i="13"/>
  <c r="H2253" i="13"/>
  <c r="H2252" i="13"/>
  <c r="H2251" i="13"/>
  <c r="H2250" i="13"/>
  <c r="H2249" i="13"/>
  <c r="H2248" i="13"/>
  <c r="H2247" i="13"/>
  <c r="H2246" i="13"/>
  <c r="H2245" i="13"/>
  <c r="H2244" i="13"/>
  <c r="H2243" i="13"/>
  <c r="H2242" i="13"/>
  <c r="H2241" i="13"/>
  <c r="H2240" i="13"/>
  <c r="H2239" i="13"/>
  <c r="H2238" i="13"/>
  <c r="H2237" i="13"/>
  <c r="H2236" i="13"/>
  <c r="H2235" i="13"/>
  <c r="H2234" i="13"/>
  <c r="H2233" i="13"/>
  <c r="H2232" i="13"/>
  <c r="H2231" i="13"/>
  <c r="H2230" i="13"/>
  <c r="H2229" i="13"/>
  <c r="H2228" i="13"/>
  <c r="H2227" i="13"/>
  <c r="H2226" i="13"/>
  <c r="H2225" i="13"/>
  <c r="H2224" i="13"/>
  <c r="H2223" i="13"/>
  <c r="H2222" i="13"/>
  <c r="H2221" i="13"/>
  <c r="H2220" i="13"/>
  <c r="H2219" i="13"/>
  <c r="H2218" i="13"/>
  <c r="H2217" i="13"/>
  <c r="H2216" i="13"/>
  <c r="H2215" i="13"/>
  <c r="H2214" i="13"/>
  <c r="H2213" i="13"/>
  <c r="H2212" i="13"/>
  <c r="H2211" i="13"/>
  <c r="H2210" i="13"/>
  <c r="H2209" i="13"/>
  <c r="H2208" i="13"/>
  <c r="H2207" i="13"/>
  <c r="H2206" i="13"/>
  <c r="H2205" i="13"/>
  <c r="H2204" i="13"/>
  <c r="H2203" i="13"/>
  <c r="H2202" i="13"/>
  <c r="H2201" i="13"/>
  <c r="H2200" i="13"/>
  <c r="H2199" i="13"/>
  <c r="H2198" i="13"/>
  <c r="H2197" i="13"/>
  <c r="H2196" i="13"/>
  <c r="H2195" i="13"/>
  <c r="H2194" i="13"/>
  <c r="H2193" i="13"/>
  <c r="H2192" i="13"/>
  <c r="H2191" i="13"/>
  <c r="H2190" i="13"/>
  <c r="H2189" i="13"/>
  <c r="H2188" i="13"/>
  <c r="H2187" i="13"/>
  <c r="H2186" i="13"/>
  <c r="H2185" i="13"/>
  <c r="H2184" i="13"/>
  <c r="H2183" i="13"/>
  <c r="H2182" i="13"/>
  <c r="H2181" i="13"/>
  <c r="H2180" i="13"/>
  <c r="H2179" i="13"/>
  <c r="H2178" i="13"/>
  <c r="H2177" i="13"/>
  <c r="H2176" i="13"/>
  <c r="H2175" i="13"/>
  <c r="H2174" i="13"/>
  <c r="H2173" i="13"/>
  <c r="H2172" i="13"/>
  <c r="H2171" i="13"/>
  <c r="H2170" i="13"/>
  <c r="H2169" i="13"/>
  <c r="H2168" i="13"/>
  <c r="H2167" i="13"/>
  <c r="H2166" i="13"/>
  <c r="H2165" i="13"/>
  <c r="H2164" i="13"/>
  <c r="H2163" i="13"/>
  <c r="H2162" i="13"/>
  <c r="H2161" i="13"/>
  <c r="H2160" i="13"/>
  <c r="H2159" i="13"/>
  <c r="H2158" i="13"/>
  <c r="H2157" i="13"/>
  <c r="H2156" i="13"/>
  <c r="H2155" i="13"/>
  <c r="H2154" i="13"/>
  <c r="H2153" i="13"/>
  <c r="H2152" i="13"/>
  <c r="H2151" i="13"/>
  <c r="H2150" i="13"/>
  <c r="H2149" i="13"/>
  <c r="H2148" i="13"/>
  <c r="H2147" i="13"/>
  <c r="H2146" i="13"/>
  <c r="H2145" i="13"/>
  <c r="H2144" i="13"/>
  <c r="H2143" i="13"/>
  <c r="H2142" i="13"/>
  <c r="H2141" i="13"/>
  <c r="H2140" i="13"/>
  <c r="H2139" i="13"/>
  <c r="H2138" i="13"/>
  <c r="H2137" i="13"/>
  <c r="H2136" i="13"/>
  <c r="H2135" i="13"/>
  <c r="H2134" i="13"/>
  <c r="H2133" i="13"/>
  <c r="H2132" i="13"/>
  <c r="H2131" i="13"/>
  <c r="H2130" i="13"/>
  <c r="H2129" i="13"/>
  <c r="H2128" i="13"/>
  <c r="H2127" i="13"/>
  <c r="H2126" i="13"/>
  <c r="H2125" i="13"/>
  <c r="H2124" i="13"/>
  <c r="H2123" i="13"/>
  <c r="H2122" i="13"/>
  <c r="H2121" i="13"/>
  <c r="H2120" i="13"/>
  <c r="H2119" i="13"/>
  <c r="H2118" i="13"/>
  <c r="H2117" i="13"/>
  <c r="H2116" i="13"/>
  <c r="H2115" i="13"/>
  <c r="H2114" i="13"/>
  <c r="H2113" i="13"/>
  <c r="H2112" i="13"/>
  <c r="H2111" i="13"/>
  <c r="H2110" i="13"/>
  <c r="H2109" i="13"/>
  <c r="H2108" i="13"/>
  <c r="H2107" i="13"/>
  <c r="H2106" i="13"/>
  <c r="H2105" i="13"/>
  <c r="H2104" i="13"/>
  <c r="H2103" i="13"/>
  <c r="H2102" i="13"/>
  <c r="H2101" i="13"/>
  <c r="H2100" i="13"/>
  <c r="H2099" i="13"/>
  <c r="H2098" i="13"/>
  <c r="H2097" i="13"/>
  <c r="H2096" i="13"/>
  <c r="H2095" i="13"/>
  <c r="H2094" i="13"/>
  <c r="H2093" i="13"/>
  <c r="H2092" i="13"/>
  <c r="H2091" i="13"/>
  <c r="H2090" i="13"/>
  <c r="H2089" i="13"/>
  <c r="H2088" i="13"/>
  <c r="H2087" i="13"/>
  <c r="H2086" i="13"/>
  <c r="H2085" i="13"/>
  <c r="H2084" i="13"/>
  <c r="H2083" i="13"/>
  <c r="H2082" i="13"/>
  <c r="H2081" i="13"/>
  <c r="H2080" i="13"/>
  <c r="H2079" i="13"/>
  <c r="H2078" i="13"/>
  <c r="H2077" i="13"/>
  <c r="H2076" i="13"/>
  <c r="H2075" i="13"/>
  <c r="H2074" i="13"/>
  <c r="H2073" i="13"/>
  <c r="H2072" i="13"/>
  <c r="H2071" i="13"/>
  <c r="H2070" i="13"/>
  <c r="H2069" i="13"/>
  <c r="H2068" i="13"/>
  <c r="H2067" i="13"/>
  <c r="H2066" i="13"/>
  <c r="H2065" i="13"/>
  <c r="H2064" i="13"/>
  <c r="H2063" i="13"/>
  <c r="H2062" i="13"/>
  <c r="H2061" i="13"/>
  <c r="H2060" i="13"/>
  <c r="H2059" i="13"/>
  <c r="H2058" i="13"/>
  <c r="H2057" i="13"/>
  <c r="H2056" i="13"/>
  <c r="H2055" i="13"/>
  <c r="H2054" i="13"/>
  <c r="H2053" i="13"/>
  <c r="H2052" i="13"/>
  <c r="H2051" i="13"/>
  <c r="H2050" i="13"/>
  <c r="H2049" i="13"/>
  <c r="H2048" i="13"/>
  <c r="H2047" i="13"/>
  <c r="H2046" i="13"/>
  <c r="H2045" i="13"/>
  <c r="H2044" i="13"/>
  <c r="H2043" i="13"/>
  <c r="H2042" i="13"/>
  <c r="H2041" i="13"/>
  <c r="H2040" i="13"/>
  <c r="H2039" i="13"/>
  <c r="H2038" i="13"/>
  <c r="H2037" i="13"/>
  <c r="H2036" i="13"/>
  <c r="H2035" i="13"/>
  <c r="H2034" i="13"/>
  <c r="H2033" i="13"/>
  <c r="H2032" i="13"/>
  <c r="H2031" i="13"/>
  <c r="H2030" i="13"/>
  <c r="H2029" i="13"/>
  <c r="H2028" i="13"/>
  <c r="H2027" i="13"/>
  <c r="H2026" i="13"/>
  <c r="H2025" i="13"/>
  <c r="H2024" i="13"/>
  <c r="H2023" i="13"/>
  <c r="H2022" i="13"/>
  <c r="H2021" i="13"/>
  <c r="H2020" i="13"/>
  <c r="H2019" i="13"/>
  <c r="H2018" i="13"/>
  <c r="H2017" i="13"/>
  <c r="H2016" i="13"/>
  <c r="H2015" i="13"/>
  <c r="H2014" i="13"/>
  <c r="H2013" i="13"/>
  <c r="H2012" i="13"/>
  <c r="H2011" i="13"/>
  <c r="H2010" i="13"/>
  <c r="H2009" i="13"/>
  <c r="H2008" i="13"/>
  <c r="H2007" i="13"/>
  <c r="H2006" i="13"/>
  <c r="H2005" i="13"/>
  <c r="H2004" i="13"/>
  <c r="H2003" i="13"/>
  <c r="H2002" i="13"/>
  <c r="H2001" i="13"/>
  <c r="H2000" i="13"/>
  <c r="H1999" i="13"/>
  <c r="H1998" i="13"/>
  <c r="H1997" i="13"/>
  <c r="H1996" i="13"/>
  <c r="H1995" i="13"/>
  <c r="H1994" i="13"/>
  <c r="H1993" i="13"/>
  <c r="H1992" i="13"/>
  <c r="H1991" i="13"/>
  <c r="H1990" i="13"/>
  <c r="H1989" i="13"/>
  <c r="H1988" i="13"/>
  <c r="H1987" i="13"/>
  <c r="H1986" i="13"/>
  <c r="H1985" i="13"/>
  <c r="H1984" i="13"/>
  <c r="H1983" i="13"/>
  <c r="H1982" i="13"/>
  <c r="H1981" i="13"/>
  <c r="H1980" i="13"/>
  <c r="H1979" i="13"/>
  <c r="H1978" i="13"/>
  <c r="H1977" i="13"/>
  <c r="H1976" i="13"/>
  <c r="H1975" i="13"/>
  <c r="H1974" i="13"/>
  <c r="H1973" i="13"/>
  <c r="H1972" i="13"/>
  <c r="H1971" i="13"/>
  <c r="H1970" i="13"/>
  <c r="H1969" i="13"/>
  <c r="H1968" i="13"/>
  <c r="H1967" i="13"/>
  <c r="H1966" i="13"/>
  <c r="H1965" i="13"/>
  <c r="H1964" i="13"/>
  <c r="H1963" i="13"/>
  <c r="H1962" i="13"/>
  <c r="H1961" i="13"/>
  <c r="H1960" i="13"/>
  <c r="H1959" i="13"/>
  <c r="H1958" i="13"/>
  <c r="H1957" i="13"/>
  <c r="H1956" i="13"/>
  <c r="H1955" i="13"/>
  <c r="H1954" i="13"/>
  <c r="H1953" i="13"/>
  <c r="H1952" i="13"/>
  <c r="H1951" i="13"/>
  <c r="H1950" i="13"/>
  <c r="H1949" i="13"/>
  <c r="H1948" i="13"/>
  <c r="H1947" i="13"/>
  <c r="H1946" i="13"/>
  <c r="H1945" i="13"/>
  <c r="H1944" i="13"/>
  <c r="H1943" i="13"/>
  <c r="H1942" i="13"/>
  <c r="H1941" i="13"/>
  <c r="H1940" i="13"/>
  <c r="H1939" i="13"/>
  <c r="H1938" i="13"/>
  <c r="H1937" i="13"/>
  <c r="H1936" i="13"/>
  <c r="H1935" i="13"/>
  <c r="H1934" i="13"/>
  <c r="H1933" i="13"/>
  <c r="H1932" i="13"/>
  <c r="H1931" i="13"/>
  <c r="H1930" i="13"/>
  <c r="H1929" i="13"/>
  <c r="H1928" i="13"/>
  <c r="H1927" i="13"/>
  <c r="H1926" i="13"/>
  <c r="H1925" i="13"/>
  <c r="H1924" i="13"/>
  <c r="H1923" i="13"/>
  <c r="H1922" i="13"/>
  <c r="H1921" i="13"/>
  <c r="H1920" i="13"/>
  <c r="H1919" i="13"/>
  <c r="H1918" i="13"/>
  <c r="H1917" i="13"/>
  <c r="H1916" i="13"/>
  <c r="H1915" i="13"/>
  <c r="H1914" i="13"/>
  <c r="H1913" i="13"/>
  <c r="H1912" i="13"/>
  <c r="H1911" i="13"/>
  <c r="H1910" i="13"/>
  <c r="H1909" i="13"/>
  <c r="H1908" i="13"/>
  <c r="H1907" i="13"/>
  <c r="H1906" i="13"/>
  <c r="H1905" i="13"/>
  <c r="H1904" i="13"/>
  <c r="H1903" i="13"/>
  <c r="H1902" i="13"/>
  <c r="H1901" i="13"/>
  <c r="H1900" i="13"/>
  <c r="H1899" i="13"/>
  <c r="H1898" i="13"/>
  <c r="H1897" i="13"/>
  <c r="H1896" i="13"/>
  <c r="H1895" i="13"/>
  <c r="H1894" i="13"/>
  <c r="H1893" i="13"/>
  <c r="H1892" i="13"/>
  <c r="H1891" i="13"/>
  <c r="H1890" i="13"/>
  <c r="H1889" i="13"/>
  <c r="H1888" i="13"/>
  <c r="H1887" i="13"/>
  <c r="H1886" i="13"/>
  <c r="H1885" i="13"/>
  <c r="H1884" i="13"/>
  <c r="H1883" i="13"/>
  <c r="H1882" i="13"/>
  <c r="H1881" i="13"/>
  <c r="H1880" i="13"/>
  <c r="H1879" i="13"/>
  <c r="H1878" i="13"/>
  <c r="H1877" i="13"/>
  <c r="H1876" i="13"/>
  <c r="H1875" i="13"/>
  <c r="H1874" i="13"/>
  <c r="H1873" i="13"/>
  <c r="H1872" i="13"/>
  <c r="H1871" i="13"/>
  <c r="H1870" i="13"/>
  <c r="H1869" i="13"/>
  <c r="H1868" i="13"/>
  <c r="H1867" i="13"/>
  <c r="H1866" i="13"/>
  <c r="H1865" i="13"/>
  <c r="H1864" i="13"/>
  <c r="H1863" i="13"/>
  <c r="H1862" i="13"/>
  <c r="H1861" i="13"/>
  <c r="H1860" i="13"/>
  <c r="H1859" i="13"/>
  <c r="H1858" i="13"/>
  <c r="H1857" i="13"/>
  <c r="H1856" i="13"/>
  <c r="H1855" i="13"/>
  <c r="H1854" i="13"/>
  <c r="H1853" i="13"/>
  <c r="H1852" i="13"/>
  <c r="H1851" i="13"/>
  <c r="H1850" i="13"/>
  <c r="H1849" i="13"/>
  <c r="H1848" i="13"/>
  <c r="H1847" i="13"/>
  <c r="H1846" i="13"/>
  <c r="H1845" i="13"/>
  <c r="H1844" i="13"/>
  <c r="H1843" i="13"/>
  <c r="H1842" i="13"/>
  <c r="H1841" i="13"/>
  <c r="H1840" i="13"/>
  <c r="H1839" i="13"/>
  <c r="H1838" i="13"/>
  <c r="H1837" i="13"/>
  <c r="H1836" i="13"/>
  <c r="H1835" i="13"/>
  <c r="H1834" i="13"/>
  <c r="H1833" i="13"/>
  <c r="H1832" i="13"/>
  <c r="H1831" i="13"/>
  <c r="H1830" i="13"/>
  <c r="H1829" i="13"/>
  <c r="H1828" i="13"/>
  <c r="H1827" i="13"/>
  <c r="H1826" i="13"/>
  <c r="H1825" i="13"/>
  <c r="H1824" i="13"/>
  <c r="H1823" i="13"/>
  <c r="H1822" i="13"/>
  <c r="H1821" i="13"/>
  <c r="H1820" i="13"/>
  <c r="H1819" i="13"/>
  <c r="H1818" i="13"/>
  <c r="H1817" i="13"/>
  <c r="H1816" i="13"/>
  <c r="H1815" i="13"/>
  <c r="H1814" i="13"/>
  <c r="H1813" i="13"/>
  <c r="H1812" i="13"/>
  <c r="H1811" i="13"/>
  <c r="H1810" i="13"/>
  <c r="H1809" i="13"/>
  <c r="H1808" i="13"/>
  <c r="H1807" i="13"/>
  <c r="H1806" i="13"/>
  <c r="H1805" i="13"/>
  <c r="H1804" i="13"/>
  <c r="H1803" i="13"/>
  <c r="H1802" i="13"/>
  <c r="H1801" i="13"/>
  <c r="H1800" i="13"/>
  <c r="H1799" i="13"/>
  <c r="H1798" i="13"/>
  <c r="H1797" i="13"/>
  <c r="H1796" i="13"/>
  <c r="H1795" i="13"/>
  <c r="H1794" i="13"/>
  <c r="H1793" i="13"/>
  <c r="H1792" i="13"/>
  <c r="H1791" i="13"/>
  <c r="H1790" i="13"/>
  <c r="H1789" i="13"/>
  <c r="H1788" i="13"/>
  <c r="H1787" i="13"/>
  <c r="H1786" i="13"/>
  <c r="H1785" i="13"/>
  <c r="H1784" i="13"/>
  <c r="H1783" i="13"/>
  <c r="H1782" i="13"/>
  <c r="H1781" i="13"/>
  <c r="H1780" i="13"/>
  <c r="H1779" i="13"/>
  <c r="H1778" i="13"/>
  <c r="H1777" i="13"/>
  <c r="H1776" i="13"/>
  <c r="H1775" i="13"/>
  <c r="H1774" i="13"/>
  <c r="H1773" i="13"/>
  <c r="H1772" i="13"/>
  <c r="H1771" i="13"/>
  <c r="H1770" i="13"/>
  <c r="H1769" i="13"/>
  <c r="H1768" i="13"/>
  <c r="H1767" i="13"/>
  <c r="H1766" i="13"/>
  <c r="H1765" i="13"/>
  <c r="H1764" i="13"/>
  <c r="H1763" i="13"/>
  <c r="H1762" i="13"/>
  <c r="H1761" i="13"/>
  <c r="H1760" i="13"/>
  <c r="H1759" i="13"/>
  <c r="H1758" i="13"/>
  <c r="H1757" i="13"/>
  <c r="H1756" i="13"/>
  <c r="H1755" i="13"/>
  <c r="H1754" i="13"/>
  <c r="H1753" i="13"/>
  <c r="H1752" i="13"/>
  <c r="H1751" i="13"/>
  <c r="H1750" i="13"/>
  <c r="H1749" i="13"/>
  <c r="H1748" i="13"/>
  <c r="H1747" i="13"/>
  <c r="H1746" i="13"/>
  <c r="H1745" i="13"/>
  <c r="H1744" i="13"/>
  <c r="H1743" i="13"/>
  <c r="H1742" i="13"/>
  <c r="H1741" i="13"/>
  <c r="H1740" i="13"/>
  <c r="H1739" i="13"/>
  <c r="H1738" i="13"/>
  <c r="H1737" i="13"/>
  <c r="H1736" i="13"/>
  <c r="H1735" i="13"/>
  <c r="H1734" i="13"/>
  <c r="H1733" i="13"/>
  <c r="H1732" i="13"/>
  <c r="H1731" i="13"/>
  <c r="H1730" i="13"/>
  <c r="H1729" i="13"/>
  <c r="H1728" i="13"/>
  <c r="H1727" i="13"/>
  <c r="H1726" i="13"/>
  <c r="H1725" i="13"/>
  <c r="H1724" i="13"/>
  <c r="H1723" i="13"/>
  <c r="H1722" i="13"/>
  <c r="H1721" i="13"/>
  <c r="H1720" i="13"/>
  <c r="H1719" i="13"/>
  <c r="H1718" i="13"/>
  <c r="H1717" i="13"/>
  <c r="H1716" i="13"/>
  <c r="H1715" i="13"/>
  <c r="H1714" i="13"/>
  <c r="H1713" i="13"/>
  <c r="H1712" i="13"/>
  <c r="H1711" i="13"/>
  <c r="H1710" i="13"/>
  <c r="H1709" i="13"/>
  <c r="H1708" i="13"/>
  <c r="H1707" i="13"/>
  <c r="H1706" i="13"/>
  <c r="H1705" i="13"/>
  <c r="H1704" i="13"/>
  <c r="H1703" i="13"/>
  <c r="H1702" i="13"/>
  <c r="H1701" i="13"/>
  <c r="H1700" i="13"/>
  <c r="H1699" i="13"/>
  <c r="H1698" i="13"/>
  <c r="H1697" i="13"/>
  <c r="H1696" i="13"/>
  <c r="H1695" i="13"/>
  <c r="H1694" i="13"/>
  <c r="H1693" i="13"/>
  <c r="H1692" i="13"/>
  <c r="H1691" i="13"/>
  <c r="H1690" i="13"/>
  <c r="H1689" i="13"/>
  <c r="H1688" i="13"/>
  <c r="H1687" i="13"/>
  <c r="H1686" i="13"/>
  <c r="H1685" i="13"/>
  <c r="H1684" i="13"/>
  <c r="H1683" i="13"/>
  <c r="H1682" i="13"/>
  <c r="H1681" i="13"/>
  <c r="H1680" i="13"/>
  <c r="H1679" i="13"/>
  <c r="H1678" i="13"/>
  <c r="H1677" i="13"/>
  <c r="H1676" i="13"/>
  <c r="H1675" i="13"/>
  <c r="H1674" i="13"/>
  <c r="H1673" i="13"/>
  <c r="H1672" i="13"/>
  <c r="H1671" i="13"/>
  <c r="H1670" i="13"/>
  <c r="H1669" i="13"/>
  <c r="H1668" i="13"/>
  <c r="H1667" i="13"/>
  <c r="H1666" i="13"/>
  <c r="H1665" i="13"/>
  <c r="H1664" i="13"/>
  <c r="H1663" i="13"/>
  <c r="H1662" i="13"/>
  <c r="H1661" i="13"/>
  <c r="H1660" i="13"/>
  <c r="H1659" i="13"/>
  <c r="H1658" i="13"/>
  <c r="H1657" i="13"/>
  <c r="H1656" i="13"/>
  <c r="H1655" i="13"/>
  <c r="H1654" i="13"/>
  <c r="H1653" i="13"/>
  <c r="H1652" i="13"/>
  <c r="H1651" i="13"/>
  <c r="H1650" i="13"/>
  <c r="H1649" i="13"/>
  <c r="H1648" i="13"/>
  <c r="H1647" i="13"/>
  <c r="H1646" i="13"/>
  <c r="H1645" i="13"/>
  <c r="H1644" i="13"/>
  <c r="H1643" i="13"/>
  <c r="H1642" i="13"/>
  <c r="H1641" i="13"/>
  <c r="H1640" i="13"/>
  <c r="H1639" i="13"/>
  <c r="H1638" i="13"/>
  <c r="H1637" i="13"/>
  <c r="H1636" i="13"/>
  <c r="H1635" i="13"/>
  <c r="H1634" i="13"/>
  <c r="H1633" i="13"/>
  <c r="H1632" i="13"/>
  <c r="H1631" i="13"/>
  <c r="H1630" i="13"/>
  <c r="H1629" i="13"/>
  <c r="H1628" i="13"/>
  <c r="H1627" i="13"/>
  <c r="H1626" i="13"/>
  <c r="H1625" i="13"/>
  <c r="H1624" i="13"/>
  <c r="H1623" i="13"/>
  <c r="H1622" i="13"/>
  <c r="H1621" i="13"/>
  <c r="H1620" i="13"/>
  <c r="H1619" i="13"/>
  <c r="H1618" i="13"/>
  <c r="H1617" i="13"/>
  <c r="H1616" i="13"/>
  <c r="H1615" i="13"/>
  <c r="H1614" i="13"/>
  <c r="H1613" i="13"/>
  <c r="H1612" i="13"/>
  <c r="H1611" i="13"/>
  <c r="H1610" i="13"/>
  <c r="H1609" i="13"/>
  <c r="H1608" i="13"/>
  <c r="H1607" i="13"/>
  <c r="H1606" i="13"/>
  <c r="H1605" i="13"/>
  <c r="H1604" i="13"/>
  <c r="H1603" i="13"/>
  <c r="H1602" i="13"/>
  <c r="H1601" i="13"/>
  <c r="H1600" i="13"/>
  <c r="H1599" i="13"/>
  <c r="H1598" i="13"/>
  <c r="H1597" i="13"/>
  <c r="H1596" i="13"/>
  <c r="H1595" i="13"/>
  <c r="H1594" i="13"/>
  <c r="H1593" i="13"/>
  <c r="H1592" i="13"/>
  <c r="H1591" i="13"/>
  <c r="H1590" i="13"/>
  <c r="H1589" i="13"/>
  <c r="H1588" i="13"/>
  <c r="H1587" i="13"/>
  <c r="H1586" i="13"/>
  <c r="H1585" i="13"/>
  <c r="H1584" i="13"/>
  <c r="H1583" i="13"/>
  <c r="H1582" i="13"/>
  <c r="H1581" i="13"/>
  <c r="H1580" i="13"/>
  <c r="H1579" i="13"/>
  <c r="H1578" i="13"/>
  <c r="H1577" i="13"/>
  <c r="H1576" i="13"/>
  <c r="H1575" i="13"/>
  <c r="H1574" i="13"/>
  <c r="H1573" i="13"/>
  <c r="H1572" i="13"/>
  <c r="H1571" i="13"/>
  <c r="H1570" i="13"/>
  <c r="H1569" i="13"/>
  <c r="H1568" i="13"/>
  <c r="H1567" i="13"/>
  <c r="H1566" i="13"/>
  <c r="H1565" i="13"/>
  <c r="H1564" i="13"/>
  <c r="H1563" i="13"/>
  <c r="H1562" i="13"/>
  <c r="H1561" i="13"/>
  <c r="H1560" i="13"/>
  <c r="H1559" i="13"/>
  <c r="H1558" i="13"/>
  <c r="H1557" i="13"/>
  <c r="H1556" i="13"/>
  <c r="H1555" i="13"/>
  <c r="H1554" i="13"/>
  <c r="H1553" i="13"/>
  <c r="H1552" i="13"/>
  <c r="H1551" i="13"/>
  <c r="H1550" i="13"/>
  <c r="H1549" i="13"/>
  <c r="H1548" i="13"/>
  <c r="H1547" i="13"/>
  <c r="H1546" i="13"/>
  <c r="H1545" i="13"/>
  <c r="H1544" i="13"/>
  <c r="H1543" i="13"/>
  <c r="H1542" i="13"/>
  <c r="H1541" i="13"/>
  <c r="H1540" i="13"/>
  <c r="H1539" i="13"/>
  <c r="H1538" i="13"/>
  <c r="H1537" i="13"/>
  <c r="H1536" i="13"/>
  <c r="H1535" i="13"/>
  <c r="H1534" i="13"/>
  <c r="H1533" i="13"/>
  <c r="H1532" i="13"/>
  <c r="H1531" i="13"/>
  <c r="H1530" i="13"/>
  <c r="H1529" i="13"/>
  <c r="H1528" i="13"/>
  <c r="H1527" i="13"/>
  <c r="H1526" i="13"/>
  <c r="H1525" i="13"/>
  <c r="H1524" i="13"/>
  <c r="H1523" i="13"/>
  <c r="H1522" i="13"/>
  <c r="H1521" i="13"/>
  <c r="H1520" i="13"/>
  <c r="H1519" i="13"/>
  <c r="H1518" i="13"/>
  <c r="H1517" i="13"/>
  <c r="H1516" i="13"/>
  <c r="H1515" i="13"/>
  <c r="H1514" i="13"/>
  <c r="H1513" i="13"/>
  <c r="H1512" i="13"/>
  <c r="H1511" i="13"/>
  <c r="H1510" i="13"/>
  <c r="H1509" i="13"/>
  <c r="H1508" i="13"/>
  <c r="H1507" i="13"/>
  <c r="H1506" i="13"/>
  <c r="H1505" i="13"/>
  <c r="H1504" i="13"/>
  <c r="H1503" i="13"/>
  <c r="H1502" i="13"/>
  <c r="H1501" i="13"/>
  <c r="H1500" i="13"/>
  <c r="H1499" i="13"/>
  <c r="H1498" i="13"/>
  <c r="H1497" i="13"/>
  <c r="H1496" i="13"/>
  <c r="H1495" i="13"/>
  <c r="H1494" i="13"/>
  <c r="H1493" i="13"/>
  <c r="H1492" i="13"/>
  <c r="H1491" i="13"/>
  <c r="H1490" i="13"/>
  <c r="H1489" i="13"/>
  <c r="H1488" i="13"/>
  <c r="H1487" i="13"/>
  <c r="H1486" i="13"/>
  <c r="H1485" i="13"/>
  <c r="H1484" i="13"/>
  <c r="H1483" i="13"/>
  <c r="H1482" i="13"/>
  <c r="H1481" i="13"/>
  <c r="H1480" i="13"/>
  <c r="H1479" i="13"/>
  <c r="H1478" i="13"/>
  <c r="H1477" i="13"/>
  <c r="H1476" i="13"/>
  <c r="H1475" i="13"/>
  <c r="H1474" i="13"/>
  <c r="H1473" i="13"/>
  <c r="H1472" i="13"/>
  <c r="H1471" i="13"/>
  <c r="H1470" i="13"/>
  <c r="H1469" i="13"/>
  <c r="H1468" i="13"/>
  <c r="H1467" i="13"/>
  <c r="H1466" i="13"/>
  <c r="H1465" i="13"/>
  <c r="H1464" i="13"/>
  <c r="H1463" i="13"/>
  <c r="H1462" i="13"/>
  <c r="H1461" i="13"/>
  <c r="H1460" i="13"/>
  <c r="H1459" i="13"/>
  <c r="H1458" i="13"/>
  <c r="H1457" i="13"/>
  <c r="H1456" i="13"/>
  <c r="H1455" i="13"/>
  <c r="H1454" i="13"/>
  <c r="H1453" i="13"/>
  <c r="H1452" i="13"/>
  <c r="H1451" i="13"/>
  <c r="H1450" i="13"/>
  <c r="H1449" i="13"/>
  <c r="H1448" i="13"/>
  <c r="H1447" i="13"/>
  <c r="H1446" i="13"/>
  <c r="H1445" i="13"/>
  <c r="H1444" i="13"/>
  <c r="H1443" i="13"/>
  <c r="H1442" i="13"/>
  <c r="H1441" i="13"/>
  <c r="H1440" i="13"/>
  <c r="H1439" i="13"/>
  <c r="H1438" i="13"/>
  <c r="H1437" i="13"/>
  <c r="H1436" i="13"/>
  <c r="H1435" i="13"/>
  <c r="H1434" i="13"/>
  <c r="H1433" i="13"/>
  <c r="H1432" i="13"/>
  <c r="H1431" i="13"/>
  <c r="H1430" i="13"/>
  <c r="H1429" i="13"/>
  <c r="H1428" i="13"/>
  <c r="H1427" i="13"/>
  <c r="H1426" i="13"/>
  <c r="H1425" i="13"/>
  <c r="H1424" i="13"/>
  <c r="H1423" i="13"/>
  <c r="H1422" i="13"/>
  <c r="H1421" i="13"/>
  <c r="H1420" i="13"/>
  <c r="H1419" i="13"/>
  <c r="H1418" i="13"/>
  <c r="H1417" i="13"/>
  <c r="H1416" i="13"/>
  <c r="H1415" i="13"/>
  <c r="H1414" i="13"/>
  <c r="H1413" i="13"/>
  <c r="H1412" i="13"/>
  <c r="H1411" i="13"/>
  <c r="H1410" i="13"/>
  <c r="H1409" i="13"/>
  <c r="H1408" i="13"/>
  <c r="H1407" i="13"/>
  <c r="H1406" i="13"/>
  <c r="H1405" i="13"/>
  <c r="H1404" i="13"/>
  <c r="H1403" i="13"/>
  <c r="H1402" i="13"/>
  <c r="H1401" i="13"/>
  <c r="H1400" i="13"/>
  <c r="H1399" i="13"/>
  <c r="H1398" i="13"/>
  <c r="H1397" i="13"/>
  <c r="H1396" i="13"/>
  <c r="H1395" i="13"/>
  <c r="H1394" i="13"/>
  <c r="H1393" i="13"/>
  <c r="H1392" i="13"/>
  <c r="H1391" i="13"/>
  <c r="H1390" i="13"/>
  <c r="H1389" i="13"/>
  <c r="H1388" i="13"/>
  <c r="H1387" i="13"/>
  <c r="H1386" i="13"/>
  <c r="H1385" i="13"/>
  <c r="H1384" i="13"/>
  <c r="H1383" i="13"/>
  <c r="H1382" i="13"/>
  <c r="H1381" i="13"/>
  <c r="H1380" i="13"/>
  <c r="H1379" i="13"/>
  <c r="H1378" i="13"/>
  <c r="H1377" i="13"/>
  <c r="H1376" i="13"/>
  <c r="H1375" i="13"/>
  <c r="H1374" i="13"/>
  <c r="H1373" i="13"/>
  <c r="H1372" i="13"/>
  <c r="H1371" i="13"/>
  <c r="H1370" i="13"/>
  <c r="H1369" i="13"/>
  <c r="H1368" i="13"/>
  <c r="H1367" i="13"/>
  <c r="H1366" i="13"/>
  <c r="H1365" i="13"/>
  <c r="H1364" i="13"/>
  <c r="H1363" i="13"/>
  <c r="H1362" i="13"/>
  <c r="H1361" i="13"/>
  <c r="H1360" i="13"/>
  <c r="H1359" i="13"/>
  <c r="H1358" i="13"/>
  <c r="H1357" i="13"/>
  <c r="H1356" i="13"/>
  <c r="H1355" i="13"/>
  <c r="H1354" i="13"/>
  <c r="H1353" i="13"/>
  <c r="H1352" i="13"/>
  <c r="H1351" i="13"/>
  <c r="H1350" i="13"/>
  <c r="H1349" i="13"/>
  <c r="H1348" i="13"/>
  <c r="H1347" i="13"/>
  <c r="H1346" i="13"/>
  <c r="H1345" i="13"/>
  <c r="H1344" i="13"/>
  <c r="H1343" i="13"/>
  <c r="H1342" i="13"/>
  <c r="H1341" i="13"/>
  <c r="H1340" i="13"/>
  <c r="H1339" i="13"/>
  <c r="H1338" i="13"/>
  <c r="H1337" i="13"/>
  <c r="H1336" i="13"/>
  <c r="H1335" i="13"/>
  <c r="H1334" i="13"/>
  <c r="H1333" i="13"/>
  <c r="H1332" i="13"/>
  <c r="H1331" i="13"/>
  <c r="H1330" i="13"/>
  <c r="H1329" i="13"/>
  <c r="H1328" i="13"/>
  <c r="H1327" i="13"/>
  <c r="H1326" i="13"/>
  <c r="H1325" i="13"/>
  <c r="H1324" i="13"/>
  <c r="H1323" i="13"/>
  <c r="H1322" i="13"/>
  <c r="H1321" i="13"/>
  <c r="H1320" i="13"/>
  <c r="H1319" i="13"/>
  <c r="H1318" i="13"/>
  <c r="H1317" i="13"/>
  <c r="H1316" i="13"/>
  <c r="H1315" i="13"/>
  <c r="H1314" i="13"/>
  <c r="H1313" i="13"/>
  <c r="H1312" i="13"/>
  <c r="H1311" i="13"/>
  <c r="H1310" i="13"/>
  <c r="H1309" i="13"/>
  <c r="H1308" i="13"/>
  <c r="H1307" i="13"/>
  <c r="H1306" i="13"/>
  <c r="H1305" i="13"/>
  <c r="H1304" i="13"/>
  <c r="H1303" i="13"/>
  <c r="H1302" i="13"/>
  <c r="H1301" i="13"/>
  <c r="H1300" i="13"/>
  <c r="H1299" i="13"/>
  <c r="H1298" i="13"/>
  <c r="H1297" i="13"/>
  <c r="H1296" i="13"/>
  <c r="H1295" i="13"/>
  <c r="H1294" i="13"/>
  <c r="H1293" i="13"/>
  <c r="H1292" i="13"/>
  <c r="H1291" i="13"/>
  <c r="H1290" i="13"/>
  <c r="H1289" i="13"/>
  <c r="H1288" i="13"/>
  <c r="H1287" i="13"/>
  <c r="H1286" i="13"/>
  <c r="H1285" i="13"/>
  <c r="H1284" i="13"/>
  <c r="H1283" i="13"/>
  <c r="H1282" i="13"/>
  <c r="H1281" i="13"/>
  <c r="H1280" i="13"/>
  <c r="H1279" i="13"/>
  <c r="H1278" i="13"/>
  <c r="H1277" i="13"/>
  <c r="H1276" i="13"/>
  <c r="H1275" i="13"/>
  <c r="H1274" i="13"/>
  <c r="H1273" i="13"/>
  <c r="H1272" i="13"/>
  <c r="H1271" i="13"/>
  <c r="H1270" i="13"/>
  <c r="H1269" i="13"/>
  <c r="H1268" i="13"/>
  <c r="H1267" i="13"/>
  <c r="H1266" i="13"/>
  <c r="H1265" i="13"/>
  <c r="H1264" i="13"/>
  <c r="H1263" i="13"/>
  <c r="H1262" i="13"/>
  <c r="H1261" i="13"/>
  <c r="H1260" i="13"/>
  <c r="H1259" i="13"/>
  <c r="H1258" i="13"/>
  <c r="H1257" i="13"/>
  <c r="H1256" i="13"/>
  <c r="H1255" i="13"/>
  <c r="H1254" i="13"/>
  <c r="H1253" i="13"/>
  <c r="H1252" i="13"/>
  <c r="H1251" i="13"/>
  <c r="H1250" i="13"/>
  <c r="H1249" i="13"/>
  <c r="H1248" i="13"/>
  <c r="H1247" i="13"/>
  <c r="H1246" i="13"/>
  <c r="H1245" i="13"/>
  <c r="H1244" i="13"/>
  <c r="H1243" i="13"/>
  <c r="H1242" i="13"/>
  <c r="H1241" i="13"/>
  <c r="H1240" i="13"/>
  <c r="H1239" i="13"/>
  <c r="H1238" i="13"/>
  <c r="H1237" i="13"/>
  <c r="H1236" i="13"/>
  <c r="H1235" i="13"/>
  <c r="H1234" i="13"/>
  <c r="H1233" i="13"/>
  <c r="H1232" i="13"/>
  <c r="H1231" i="13"/>
  <c r="H1230" i="13"/>
  <c r="H1229" i="13"/>
  <c r="H1228" i="13"/>
  <c r="H1227" i="13"/>
  <c r="H1226" i="13"/>
  <c r="H1225" i="13"/>
  <c r="H1224" i="13"/>
  <c r="H1223" i="13"/>
  <c r="H1222" i="13"/>
  <c r="H1221" i="13"/>
  <c r="H1220" i="13"/>
  <c r="H1219" i="13"/>
  <c r="H1218" i="13"/>
  <c r="H1217" i="13"/>
  <c r="H1216" i="13"/>
  <c r="H1215" i="13"/>
  <c r="H1214" i="13"/>
  <c r="H1213" i="13"/>
  <c r="H1212" i="13"/>
  <c r="H1211" i="13"/>
  <c r="H1210" i="13"/>
  <c r="H1209" i="13"/>
  <c r="H1208" i="13"/>
  <c r="H1207" i="13"/>
  <c r="H1206" i="13"/>
  <c r="H1205" i="13"/>
  <c r="H1204" i="13"/>
  <c r="H1203" i="13"/>
  <c r="H1202" i="13"/>
  <c r="H1201" i="13"/>
  <c r="H1200" i="13"/>
  <c r="H1199" i="13"/>
  <c r="H1198" i="13"/>
  <c r="H1197" i="13"/>
  <c r="H1196" i="13"/>
  <c r="H1195" i="13"/>
  <c r="H1194" i="13"/>
  <c r="H1193" i="13"/>
  <c r="H1192" i="13"/>
  <c r="H1191" i="13"/>
  <c r="H1190" i="13"/>
  <c r="H1189" i="13"/>
  <c r="H1188" i="13"/>
  <c r="H1187" i="13"/>
  <c r="H1186" i="13"/>
  <c r="H1185" i="13"/>
  <c r="H1184" i="13"/>
  <c r="H1183" i="13"/>
  <c r="H1182" i="13"/>
  <c r="H1181" i="13"/>
  <c r="H1180" i="13"/>
  <c r="H1179" i="13"/>
  <c r="H1178" i="13"/>
  <c r="H1177" i="13"/>
  <c r="H1176" i="13"/>
  <c r="H1175" i="13"/>
  <c r="H1174" i="13"/>
  <c r="H1173" i="13"/>
  <c r="H1172" i="13"/>
  <c r="H1171" i="13"/>
  <c r="H1170" i="13"/>
  <c r="H1169" i="13"/>
  <c r="H1168" i="13"/>
  <c r="H1167" i="13"/>
  <c r="H1166" i="13"/>
  <c r="H1165" i="13"/>
  <c r="H1164" i="13"/>
  <c r="H1163" i="13"/>
  <c r="H1162" i="13"/>
  <c r="H1161" i="13"/>
  <c r="H1160" i="13"/>
  <c r="H1159" i="13"/>
  <c r="H1158" i="13"/>
  <c r="H1157" i="13"/>
  <c r="H1156" i="13"/>
  <c r="H1155" i="13"/>
  <c r="H1154" i="13"/>
  <c r="H1153" i="13"/>
  <c r="H1152" i="13"/>
  <c r="H1151" i="13"/>
  <c r="H1150" i="13"/>
  <c r="H1149" i="13"/>
  <c r="H1148" i="13"/>
  <c r="H1147" i="13"/>
  <c r="H1146" i="13"/>
  <c r="H1145" i="13"/>
  <c r="H1144" i="13"/>
  <c r="H1143" i="13"/>
  <c r="H1142" i="13"/>
  <c r="H1141" i="13"/>
  <c r="H1140" i="13"/>
  <c r="H1139" i="13"/>
  <c r="H1138" i="13"/>
  <c r="H1137" i="13"/>
  <c r="H1136" i="13"/>
  <c r="H1135" i="13"/>
  <c r="H1134" i="13"/>
  <c r="H1133" i="13"/>
  <c r="H1132" i="13"/>
  <c r="H1131" i="13"/>
  <c r="H1130" i="13"/>
  <c r="H1129" i="13"/>
  <c r="H1128" i="13"/>
  <c r="H1127" i="13"/>
  <c r="H1126" i="13"/>
  <c r="H1125" i="13"/>
  <c r="H1124" i="13"/>
  <c r="H1123" i="13"/>
  <c r="H1122" i="13"/>
  <c r="H1121" i="13"/>
  <c r="H1120" i="13"/>
  <c r="H1119" i="13"/>
  <c r="H1118" i="13"/>
  <c r="H1117" i="13"/>
  <c r="H1116" i="13"/>
  <c r="H1115" i="13"/>
  <c r="H1114" i="13"/>
  <c r="H1113" i="13"/>
  <c r="H1112" i="13"/>
  <c r="H1111" i="13"/>
  <c r="H1110" i="13"/>
  <c r="H1109" i="13"/>
  <c r="H1108" i="13"/>
  <c r="H1107" i="13"/>
  <c r="H1106" i="13"/>
  <c r="H1105" i="13"/>
  <c r="H1104" i="13"/>
  <c r="H1103" i="13"/>
  <c r="H1102" i="13"/>
  <c r="H1101" i="13"/>
  <c r="H1100" i="13"/>
  <c r="H1099" i="13"/>
  <c r="H1098" i="13"/>
  <c r="H1097" i="13"/>
  <c r="H1096" i="13"/>
  <c r="H1095" i="13"/>
  <c r="H1094" i="13"/>
  <c r="H1093" i="13"/>
  <c r="H1092" i="13"/>
  <c r="H1091" i="13"/>
  <c r="H1090" i="13"/>
  <c r="H1089" i="13"/>
  <c r="H1088" i="13"/>
  <c r="H1087" i="13"/>
  <c r="H1086" i="13"/>
  <c r="H1085" i="13"/>
  <c r="H1084" i="13"/>
  <c r="H1083" i="13"/>
  <c r="H1082" i="13"/>
  <c r="H1081" i="13"/>
  <c r="H1080" i="13"/>
  <c r="H1079" i="13"/>
  <c r="H1078" i="13"/>
  <c r="H1077" i="13"/>
  <c r="H1076" i="13"/>
  <c r="H1075" i="13"/>
  <c r="H1074" i="13"/>
  <c r="H1073" i="13"/>
  <c r="H1072" i="13"/>
  <c r="H1071" i="13"/>
  <c r="H1070" i="13"/>
  <c r="H1069" i="13"/>
  <c r="H1068" i="13"/>
  <c r="H1067" i="13"/>
  <c r="H1066" i="13"/>
  <c r="H1065" i="13"/>
  <c r="H1064" i="13"/>
  <c r="H1063" i="13"/>
  <c r="H1062" i="13"/>
  <c r="H1061" i="13"/>
  <c r="H1060" i="13"/>
  <c r="H1059" i="13"/>
  <c r="H1058" i="13"/>
  <c r="H1057" i="13"/>
  <c r="H1056" i="13"/>
  <c r="H1055" i="13"/>
  <c r="H1054" i="13"/>
  <c r="H1053" i="13"/>
  <c r="H1052" i="13"/>
  <c r="H1051" i="13"/>
  <c r="H1050" i="13"/>
  <c r="H1049" i="13"/>
  <c r="H1048" i="13"/>
  <c r="H1047" i="13"/>
  <c r="H1046" i="13"/>
  <c r="H1045" i="13"/>
  <c r="H1044" i="13"/>
  <c r="H1043" i="13"/>
  <c r="H1042" i="13"/>
  <c r="H1041" i="13"/>
  <c r="H1040" i="13"/>
  <c r="H1039" i="13"/>
  <c r="H1038" i="13"/>
  <c r="H1037" i="13"/>
  <c r="H1036" i="13"/>
  <c r="H1035" i="13"/>
  <c r="H1034" i="13"/>
  <c r="H1033" i="13"/>
  <c r="H1032" i="13"/>
  <c r="H1031" i="13"/>
  <c r="H1030" i="13"/>
  <c r="H1029" i="13"/>
  <c r="H1028" i="13"/>
  <c r="H1027" i="13"/>
  <c r="H1026" i="13"/>
  <c r="H1025" i="13"/>
  <c r="H1024" i="13"/>
  <c r="H1023" i="13"/>
  <c r="H1022" i="13"/>
  <c r="H1021" i="13"/>
  <c r="H1020" i="13"/>
  <c r="H1019" i="13"/>
  <c r="H1018" i="13"/>
  <c r="H1017" i="13"/>
  <c r="H1016" i="13"/>
  <c r="H1015" i="13"/>
  <c r="H1014" i="13"/>
  <c r="H1013" i="13"/>
  <c r="H1012" i="13"/>
  <c r="H1011" i="13"/>
  <c r="H1010" i="13"/>
  <c r="H1009" i="13"/>
  <c r="H1008" i="13"/>
  <c r="H1007" i="13"/>
  <c r="H1006" i="13"/>
  <c r="H1005" i="13"/>
  <c r="H1004" i="13"/>
  <c r="H1003" i="13"/>
  <c r="H1002" i="13"/>
  <c r="H1001" i="13"/>
  <c r="H1000" i="13"/>
  <c r="H999" i="13"/>
  <c r="H998" i="13"/>
  <c r="H997" i="13"/>
  <c r="H996" i="13"/>
  <c r="H995" i="13"/>
  <c r="H994" i="13"/>
  <c r="H993" i="13"/>
  <c r="H992" i="13"/>
  <c r="H991" i="13"/>
  <c r="H990" i="13"/>
  <c r="H989" i="13"/>
  <c r="H988" i="13"/>
  <c r="H987" i="13"/>
  <c r="H986" i="13"/>
  <c r="H985" i="13"/>
  <c r="H984" i="13"/>
  <c r="H983" i="13"/>
  <c r="H982" i="13"/>
  <c r="H981" i="13"/>
  <c r="H980" i="13"/>
  <c r="H979" i="13"/>
  <c r="H978" i="13"/>
  <c r="H977" i="13"/>
  <c r="H976" i="13"/>
  <c r="H975" i="13"/>
  <c r="H974" i="13"/>
  <c r="H973" i="13"/>
  <c r="H972" i="13"/>
  <c r="H971" i="13"/>
  <c r="H970" i="13"/>
  <c r="H969" i="13"/>
  <c r="H968" i="13"/>
  <c r="H967" i="13"/>
  <c r="H966" i="13"/>
  <c r="H965" i="13"/>
  <c r="H964" i="13"/>
  <c r="H963" i="13"/>
  <c r="H962" i="13"/>
  <c r="H961" i="13"/>
  <c r="H960" i="13"/>
  <c r="H959" i="13"/>
  <c r="H958" i="13"/>
  <c r="H957" i="13"/>
  <c r="H956" i="13"/>
  <c r="H955" i="13"/>
  <c r="H954" i="13"/>
  <c r="H953" i="13"/>
  <c r="H952" i="13"/>
  <c r="H951" i="13"/>
  <c r="H950" i="13"/>
  <c r="H949" i="13"/>
  <c r="H948" i="13"/>
  <c r="H947" i="13"/>
  <c r="H946" i="13"/>
  <c r="H945" i="13"/>
  <c r="H944" i="13"/>
  <c r="H943" i="13"/>
  <c r="H942" i="13"/>
  <c r="H941" i="13"/>
  <c r="H940" i="13"/>
  <c r="H939" i="13"/>
  <c r="H938" i="13"/>
  <c r="H937" i="13"/>
  <c r="H936" i="13"/>
  <c r="H935" i="13"/>
  <c r="H934" i="13"/>
  <c r="H933" i="13"/>
  <c r="H932" i="13"/>
  <c r="H931" i="13"/>
  <c r="H930" i="13"/>
  <c r="H929" i="13"/>
  <c r="H928" i="13"/>
  <c r="H927" i="13"/>
  <c r="H926" i="13"/>
  <c r="H925" i="13"/>
  <c r="H924" i="13"/>
  <c r="H923" i="13"/>
  <c r="H922" i="13"/>
  <c r="H921" i="13"/>
  <c r="H920" i="13"/>
  <c r="H919" i="13"/>
  <c r="H918" i="13"/>
  <c r="H917" i="13"/>
  <c r="H916" i="13"/>
  <c r="H915" i="13"/>
  <c r="H914" i="13"/>
  <c r="H913" i="13"/>
  <c r="H912" i="13"/>
  <c r="H911" i="13"/>
  <c r="H910" i="13"/>
  <c r="H909" i="13"/>
  <c r="H908" i="13"/>
  <c r="H907" i="13"/>
  <c r="H906" i="13"/>
  <c r="H905" i="13"/>
  <c r="H904" i="13"/>
  <c r="H903" i="13"/>
  <c r="H902" i="13"/>
  <c r="H901" i="13"/>
  <c r="H900" i="13"/>
  <c r="H899" i="13"/>
  <c r="H898" i="13"/>
  <c r="H897" i="13"/>
  <c r="H896" i="13"/>
  <c r="H895" i="13"/>
  <c r="H894" i="13"/>
  <c r="H893" i="13"/>
  <c r="H892" i="13"/>
  <c r="H891" i="13"/>
  <c r="H890" i="13"/>
  <c r="H889" i="13"/>
  <c r="H888" i="13"/>
  <c r="H887" i="13"/>
  <c r="H886" i="13"/>
  <c r="H885" i="13"/>
  <c r="H884" i="13"/>
  <c r="H883" i="13"/>
  <c r="H882" i="13"/>
  <c r="H881" i="13"/>
  <c r="H880" i="13"/>
  <c r="H879" i="13"/>
  <c r="H878" i="13"/>
  <c r="H877" i="13"/>
  <c r="H876" i="13"/>
  <c r="H875" i="13"/>
  <c r="H874" i="13"/>
  <c r="H873" i="13"/>
  <c r="H872" i="13"/>
  <c r="H871" i="13"/>
  <c r="H870" i="13"/>
  <c r="H869" i="13"/>
  <c r="H868" i="13"/>
  <c r="H867" i="13"/>
  <c r="H866" i="13"/>
  <c r="H865" i="13"/>
  <c r="H864" i="13"/>
  <c r="H863" i="13"/>
  <c r="H862" i="13"/>
  <c r="H861" i="13"/>
  <c r="H860" i="13"/>
  <c r="H859" i="13"/>
  <c r="H858" i="13"/>
  <c r="H857" i="13"/>
  <c r="H856" i="13"/>
  <c r="H855" i="13"/>
  <c r="H854" i="13"/>
  <c r="H853" i="13"/>
  <c r="H852" i="13"/>
  <c r="H851" i="13"/>
  <c r="H850" i="13"/>
  <c r="H849" i="13"/>
  <c r="H848" i="13"/>
  <c r="H847" i="13"/>
  <c r="H846" i="13"/>
  <c r="H845" i="13"/>
  <c r="H844" i="13"/>
  <c r="H843" i="13"/>
  <c r="H842" i="13"/>
  <c r="H841" i="13"/>
  <c r="H840" i="13"/>
  <c r="H839" i="13"/>
  <c r="H838" i="13"/>
  <c r="H837" i="13"/>
  <c r="H836" i="13"/>
  <c r="H835" i="13"/>
  <c r="H834" i="13"/>
  <c r="H833" i="13"/>
  <c r="H832" i="13"/>
  <c r="H831" i="13"/>
  <c r="H830" i="13"/>
  <c r="H829" i="13"/>
  <c r="H828" i="13"/>
  <c r="H827" i="13"/>
  <c r="H826" i="13"/>
  <c r="H825" i="13"/>
  <c r="H824" i="13"/>
  <c r="H823" i="13"/>
  <c r="H822" i="13"/>
  <c r="H821" i="13"/>
  <c r="H820" i="13"/>
  <c r="H819" i="13"/>
  <c r="H818" i="13"/>
  <c r="H817" i="13"/>
  <c r="H816" i="13"/>
  <c r="H815" i="13"/>
  <c r="H814" i="13"/>
  <c r="H813" i="13"/>
  <c r="H812" i="13"/>
  <c r="H811" i="13"/>
  <c r="H810" i="13"/>
  <c r="H809" i="13"/>
  <c r="H808" i="13"/>
  <c r="H807" i="13"/>
  <c r="H806" i="13"/>
  <c r="H805" i="13"/>
  <c r="H804" i="13"/>
  <c r="H803" i="13"/>
  <c r="H802" i="13"/>
  <c r="H801" i="13"/>
  <c r="H800" i="13"/>
  <c r="H799" i="13"/>
  <c r="H798" i="13"/>
  <c r="H797" i="13"/>
  <c r="H796" i="13"/>
  <c r="H795" i="13"/>
  <c r="H794" i="13"/>
  <c r="H793" i="13"/>
  <c r="H792" i="13"/>
  <c r="H791" i="13"/>
  <c r="H790" i="13"/>
  <c r="H789" i="13"/>
  <c r="H788" i="13"/>
  <c r="H787" i="13"/>
  <c r="H786" i="13"/>
  <c r="H785" i="13"/>
  <c r="H784" i="13"/>
  <c r="H783" i="13"/>
  <c r="H782" i="13"/>
  <c r="H781" i="13"/>
  <c r="H780" i="13"/>
  <c r="H779" i="13"/>
  <c r="H778" i="13"/>
  <c r="H777" i="13"/>
  <c r="H776" i="13"/>
  <c r="H775" i="13"/>
  <c r="H774" i="13"/>
  <c r="H773" i="13"/>
  <c r="H772" i="13"/>
  <c r="H771" i="13"/>
  <c r="H770" i="13"/>
  <c r="H769" i="13"/>
  <c r="H768" i="13"/>
  <c r="H767" i="13"/>
  <c r="H766" i="13"/>
  <c r="H765" i="13"/>
  <c r="H764" i="13"/>
  <c r="H763" i="13"/>
  <c r="H762" i="13"/>
  <c r="H761" i="13"/>
  <c r="H760" i="13"/>
  <c r="H759" i="13"/>
  <c r="H758" i="13"/>
  <c r="H757" i="13"/>
  <c r="H756" i="13"/>
  <c r="H755" i="13"/>
  <c r="H754" i="13"/>
  <c r="H753" i="13"/>
  <c r="H752" i="13"/>
  <c r="H751" i="13"/>
  <c r="H750" i="13"/>
  <c r="H749" i="13"/>
  <c r="H748" i="13"/>
  <c r="H747" i="13"/>
  <c r="H746" i="13"/>
  <c r="H745" i="13"/>
  <c r="H744" i="13"/>
  <c r="H743" i="13"/>
  <c r="H742" i="13"/>
  <c r="H741" i="13"/>
  <c r="H740" i="13"/>
  <c r="H739" i="13"/>
  <c r="H738" i="13"/>
  <c r="H737" i="13"/>
  <c r="H736" i="13"/>
  <c r="H735" i="13"/>
  <c r="H734" i="13"/>
  <c r="H733" i="13"/>
  <c r="H732" i="13"/>
  <c r="H731" i="13"/>
  <c r="H730" i="13"/>
  <c r="H729" i="13"/>
  <c r="H728" i="13"/>
  <c r="H727" i="13"/>
  <c r="H726" i="13"/>
  <c r="H725" i="13"/>
  <c r="H724" i="13"/>
  <c r="H723" i="13"/>
  <c r="H722" i="13"/>
  <c r="H721" i="13"/>
  <c r="H720" i="13"/>
  <c r="H719" i="13"/>
  <c r="H718" i="13"/>
  <c r="H717" i="13"/>
  <c r="H716" i="13"/>
  <c r="H715" i="13"/>
  <c r="H714" i="13"/>
  <c r="H713" i="13"/>
  <c r="H712" i="13"/>
  <c r="H711" i="13"/>
  <c r="H710" i="13"/>
  <c r="H709" i="13"/>
  <c r="H708" i="13"/>
  <c r="H707" i="13"/>
  <c r="H706" i="13"/>
  <c r="H705" i="13"/>
  <c r="H704" i="13"/>
  <c r="H703" i="13"/>
  <c r="H702" i="13"/>
  <c r="H701" i="13"/>
  <c r="H700" i="13"/>
  <c r="H699" i="13"/>
  <c r="H698" i="13"/>
  <c r="H697" i="13"/>
  <c r="H696" i="13"/>
  <c r="H695" i="13"/>
  <c r="H694" i="13"/>
  <c r="H693" i="13"/>
  <c r="H692" i="13"/>
  <c r="H691" i="13"/>
  <c r="H690" i="13"/>
  <c r="H689" i="13"/>
  <c r="H688" i="13"/>
  <c r="H687" i="13"/>
  <c r="H686" i="13"/>
  <c r="H685" i="13"/>
  <c r="H684" i="13"/>
  <c r="H683" i="13"/>
  <c r="H682" i="13"/>
  <c r="H681" i="13"/>
  <c r="H680" i="13"/>
  <c r="H679" i="13"/>
  <c r="H678" i="13"/>
  <c r="H677" i="13"/>
  <c r="H676" i="13"/>
  <c r="H675" i="13"/>
  <c r="H674" i="13"/>
  <c r="H673" i="13"/>
  <c r="H672" i="13"/>
  <c r="H671" i="13"/>
  <c r="H670" i="13"/>
  <c r="H669" i="13"/>
  <c r="H668" i="13"/>
  <c r="H667" i="13"/>
  <c r="H666" i="13"/>
  <c r="H665" i="13"/>
  <c r="H664" i="13"/>
  <c r="H663" i="13"/>
  <c r="H662" i="13"/>
  <c r="H661" i="13"/>
  <c r="H660" i="13"/>
  <c r="H659" i="13"/>
  <c r="H658" i="13"/>
  <c r="H657" i="13"/>
  <c r="H656" i="13"/>
  <c r="H655" i="13"/>
  <c r="H654" i="13"/>
  <c r="H653" i="13"/>
  <c r="H652" i="13"/>
  <c r="H651" i="13"/>
  <c r="H650" i="13"/>
  <c r="H649" i="13"/>
  <c r="H648" i="13"/>
  <c r="H647" i="13"/>
  <c r="H646" i="13"/>
  <c r="H645" i="13"/>
  <c r="H644" i="13"/>
  <c r="H643" i="13"/>
  <c r="H642" i="13"/>
  <c r="H641" i="13"/>
  <c r="H640" i="13"/>
  <c r="H639" i="13"/>
  <c r="H638" i="13"/>
  <c r="H637" i="13"/>
  <c r="H636" i="13"/>
  <c r="H635" i="13"/>
  <c r="H634" i="13"/>
  <c r="H633" i="13"/>
  <c r="H632" i="13"/>
  <c r="H631" i="13"/>
  <c r="H630" i="13"/>
  <c r="H629" i="13"/>
  <c r="H628" i="13"/>
  <c r="H627" i="13"/>
  <c r="H626" i="13"/>
  <c r="H625" i="13"/>
  <c r="H624" i="13"/>
  <c r="H623" i="13"/>
  <c r="H622" i="13"/>
  <c r="H621" i="13"/>
  <c r="H620" i="13"/>
  <c r="H619" i="13"/>
  <c r="H618" i="13"/>
  <c r="H617" i="13"/>
  <c r="H616" i="13"/>
  <c r="H615" i="13"/>
  <c r="H614" i="13"/>
  <c r="H613" i="13"/>
  <c r="H612" i="13"/>
  <c r="H611" i="13"/>
  <c r="H610" i="13"/>
  <c r="H609" i="13"/>
  <c r="H608" i="13"/>
  <c r="H607" i="13"/>
  <c r="H606" i="13"/>
  <c r="H605" i="13"/>
  <c r="H604" i="13"/>
  <c r="H603" i="13"/>
  <c r="H602" i="13"/>
  <c r="H601" i="13"/>
  <c r="H600" i="13"/>
  <c r="H599" i="13"/>
  <c r="H598" i="13"/>
  <c r="H597" i="13"/>
  <c r="H596" i="13"/>
  <c r="H595" i="13"/>
  <c r="H594" i="13"/>
  <c r="H593" i="13"/>
  <c r="H592" i="13"/>
  <c r="H591" i="13"/>
  <c r="H590" i="13"/>
  <c r="H589" i="13"/>
  <c r="H588" i="13"/>
  <c r="H587" i="13"/>
  <c r="H586" i="13"/>
  <c r="H585" i="13"/>
  <c r="H584" i="13"/>
  <c r="H583" i="13"/>
  <c r="H582" i="13"/>
  <c r="H581" i="13"/>
  <c r="H580" i="13"/>
  <c r="H579" i="13"/>
  <c r="H578" i="13"/>
  <c r="H577" i="13"/>
  <c r="H576" i="13"/>
  <c r="H575" i="13"/>
  <c r="H574" i="13"/>
  <c r="H573" i="13"/>
  <c r="H572" i="13"/>
  <c r="H571" i="13"/>
  <c r="H570" i="13"/>
  <c r="H569" i="13"/>
  <c r="H568" i="13"/>
  <c r="H567" i="13"/>
  <c r="H566" i="13"/>
  <c r="H565" i="13"/>
  <c r="H564" i="13"/>
  <c r="H563" i="13"/>
  <c r="H562" i="13"/>
  <c r="H561" i="13"/>
  <c r="H560" i="13"/>
  <c r="H559" i="13"/>
  <c r="H558" i="13"/>
  <c r="H557" i="13"/>
  <c r="H556" i="13"/>
  <c r="H555" i="13"/>
  <c r="H554" i="13"/>
  <c r="H553" i="13"/>
  <c r="H552" i="13"/>
  <c r="H551" i="13"/>
  <c r="H550" i="13"/>
  <c r="H549" i="13"/>
  <c r="H548" i="13"/>
  <c r="H547" i="13"/>
  <c r="H546" i="13"/>
  <c r="H545" i="13"/>
  <c r="H544" i="13"/>
  <c r="H543" i="13"/>
  <c r="H542" i="13"/>
  <c r="H541" i="13"/>
  <c r="H540" i="13"/>
  <c r="H539" i="13"/>
  <c r="H538" i="13"/>
  <c r="H537" i="13"/>
  <c r="H536" i="13"/>
  <c r="H535" i="13"/>
  <c r="H534" i="13"/>
  <c r="H533" i="13"/>
  <c r="H532" i="13"/>
  <c r="H531" i="13"/>
  <c r="H530" i="13"/>
  <c r="H529" i="13"/>
  <c r="H528" i="13"/>
  <c r="H527" i="13"/>
  <c r="H526" i="13"/>
  <c r="H525" i="13"/>
  <c r="H524" i="13"/>
  <c r="H523" i="13"/>
  <c r="H522" i="13"/>
  <c r="H521" i="13"/>
  <c r="H520" i="13"/>
  <c r="H519" i="13"/>
  <c r="H518" i="13"/>
  <c r="H517" i="13"/>
  <c r="H516" i="13"/>
  <c r="H515" i="13"/>
  <c r="H514" i="13"/>
  <c r="H513" i="13"/>
  <c r="H512" i="13"/>
  <c r="H511" i="13"/>
  <c r="H510" i="13"/>
  <c r="H509" i="13"/>
  <c r="H508" i="13"/>
  <c r="H507" i="13"/>
  <c r="H506" i="13"/>
  <c r="H505" i="13"/>
  <c r="H504" i="13"/>
  <c r="H503" i="13"/>
  <c r="H502" i="13"/>
  <c r="H501" i="13"/>
  <c r="H500" i="13"/>
  <c r="H499" i="13"/>
  <c r="H498" i="13"/>
  <c r="H497" i="13"/>
  <c r="H496" i="13"/>
  <c r="H495" i="13"/>
  <c r="H494" i="13"/>
  <c r="H493" i="13"/>
  <c r="H492" i="13"/>
  <c r="H491" i="13"/>
  <c r="H490" i="13"/>
  <c r="H489" i="13"/>
  <c r="H488" i="13"/>
  <c r="H487" i="13"/>
  <c r="H486" i="13"/>
  <c r="H485" i="13"/>
  <c r="H484" i="13"/>
  <c r="H483" i="13"/>
  <c r="H482" i="13"/>
  <c r="H481" i="13"/>
  <c r="H480" i="13"/>
  <c r="H479" i="13"/>
  <c r="H478" i="13"/>
  <c r="H477" i="13"/>
  <c r="H476" i="13"/>
  <c r="H475" i="13"/>
  <c r="H474" i="13"/>
  <c r="H473" i="13"/>
  <c r="H472" i="13"/>
  <c r="H471" i="13"/>
  <c r="H470" i="13"/>
  <c r="H469" i="13"/>
  <c r="H468" i="13"/>
  <c r="H467" i="13"/>
  <c r="H466" i="13"/>
  <c r="H465" i="13"/>
  <c r="H464" i="13"/>
  <c r="H463" i="13"/>
  <c r="H462" i="13"/>
  <c r="H461" i="13"/>
  <c r="H460" i="13"/>
  <c r="H459" i="13"/>
  <c r="H458" i="13"/>
  <c r="H457" i="13"/>
  <c r="H456" i="13"/>
  <c r="H455" i="13"/>
  <c r="H454" i="13"/>
  <c r="H453" i="13"/>
  <c r="H452" i="13"/>
  <c r="H451" i="13"/>
  <c r="H450" i="13"/>
  <c r="H449" i="13"/>
  <c r="H448" i="13"/>
  <c r="H447" i="13"/>
  <c r="H446" i="13"/>
  <c r="H445" i="13"/>
  <c r="H444" i="13"/>
  <c r="H443" i="13"/>
  <c r="H442" i="13"/>
  <c r="H441" i="13"/>
  <c r="H440" i="13"/>
  <c r="H439" i="13"/>
  <c r="H438" i="13"/>
  <c r="H437" i="13"/>
  <c r="H436" i="13"/>
  <c r="H435" i="13"/>
  <c r="H434" i="13"/>
  <c r="H433" i="13"/>
  <c r="H432" i="13"/>
  <c r="H431" i="13"/>
  <c r="H430" i="13"/>
  <c r="H429" i="13"/>
  <c r="H428" i="13"/>
  <c r="H427" i="13"/>
  <c r="H426" i="13"/>
  <c r="H425" i="13"/>
  <c r="H424" i="13"/>
  <c r="H423" i="13"/>
  <c r="H422" i="13"/>
  <c r="H421" i="13"/>
  <c r="H420" i="13"/>
  <c r="H419" i="13"/>
  <c r="H418" i="13"/>
  <c r="H417" i="13"/>
  <c r="H416" i="13"/>
  <c r="H415" i="13"/>
  <c r="H414" i="13"/>
  <c r="H413" i="13"/>
  <c r="H412" i="13"/>
  <c r="H411" i="13"/>
  <c r="H410" i="13"/>
  <c r="H409" i="13"/>
  <c r="H408" i="13"/>
  <c r="H407" i="13"/>
  <c r="H406" i="13"/>
  <c r="H405" i="13"/>
  <c r="H404" i="13"/>
  <c r="H403" i="13"/>
  <c r="H402" i="13"/>
  <c r="H401" i="13"/>
  <c r="H400" i="13"/>
  <c r="H399" i="13"/>
  <c r="H398" i="13"/>
  <c r="H397" i="13"/>
  <c r="H396" i="13"/>
  <c r="H395" i="13"/>
  <c r="H394" i="13"/>
  <c r="H393" i="13"/>
  <c r="H392" i="13"/>
  <c r="H391" i="13"/>
  <c r="H390" i="13"/>
  <c r="H389" i="13"/>
  <c r="H388" i="13"/>
  <c r="H387" i="13"/>
  <c r="H386" i="13"/>
  <c r="H385" i="13"/>
  <c r="H384" i="13"/>
  <c r="H383" i="13"/>
  <c r="H382" i="13"/>
  <c r="H381" i="13"/>
  <c r="H380" i="13"/>
  <c r="H379" i="13"/>
  <c r="H378" i="13"/>
  <c r="H377" i="13"/>
  <c r="H376" i="13"/>
  <c r="H375" i="13"/>
  <c r="H374" i="13"/>
  <c r="H373" i="13"/>
  <c r="H372" i="13"/>
  <c r="H371" i="13"/>
  <c r="H370" i="13"/>
  <c r="H369" i="13"/>
  <c r="H368" i="13"/>
  <c r="H367" i="13"/>
  <c r="H366" i="13"/>
  <c r="H365" i="13"/>
  <c r="H364" i="13"/>
  <c r="H363" i="13"/>
  <c r="H362" i="13"/>
  <c r="H361" i="13"/>
  <c r="H360" i="13"/>
  <c r="H359" i="13"/>
  <c r="H358" i="13"/>
  <c r="H357" i="13"/>
  <c r="H356" i="13"/>
  <c r="H355" i="13"/>
  <c r="H354" i="13"/>
  <c r="H353" i="13"/>
  <c r="H352" i="13"/>
  <c r="H351" i="13"/>
  <c r="H350" i="13"/>
  <c r="H349" i="13"/>
  <c r="H348" i="13"/>
  <c r="H347" i="13"/>
  <c r="H346" i="13"/>
  <c r="H345" i="13"/>
  <c r="H344" i="13"/>
  <c r="H343" i="13"/>
  <c r="H342" i="13"/>
  <c r="H341" i="13"/>
  <c r="H340" i="13"/>
  <c r="H339" i="13"/>
  <c r="H338" i="13"/>
  <c r="H337" i="13"/>
  <c r="H336" i="13"/>
  <c r="H335" i="13"/>
  <c r="H334" i="13"/>
  <c r="H333" i="13"/>
  <c r="H332" i="13"/>
  <c r="H331" i="13"/>
  <c r="H330" i="13"/>
  <c r="H329" i="13"/>
  <c r="H328" i="13"/>
  <c r="H327" i="13"/>
  <c r="H326" i="13"/>
  <c r="H325" i="13"/>
  <c r="H324" i="13"/>
  <c r="H323" i="13"/>
  <c r="H322" i="13"/>
  <c r="H321" i="13"/>
  <c r="H320" i="13"/>
  <c r="H319" i="13"/>
  <c r="H318" i="13"/>
  <c r="H317" i="13"/>
  <c r="H316" i="13"/>
  <c r="H315" i="13"/>
  <c r="H314" i="13"/>
  <c r="H313" i="13"/>
  <c r="H312" i="13"/>
  <c r="H311" i="13"/>
  <c r="H310" i="13"/>
  <c r="H309" i="13"/>
  <c r="H308" i="13"/>
  <c r="H307" i="13"/>
  <c r="H306" i="13"/>
  <c r="H305" i="13"/>
  <c r="H304" i="13"/>
  <c r="H303" i="13"/>
  <c r="H302" i="13"/>
  <c r="H301" i="13"/>
  <c r="H300" i="13"/>
  <c r="H299" i="13"/>
  <c r="H298" i="13"/>
  <c r="H297" i="13"/>
  <c r="H296" i="13"/>
  <c r="H295" i="13"/>
  <c r="H294" i="13"/>
  <c r="H293" i="13"/>
  <c r="H292" i="13"/>
  <c r="H291" i="13"/>
  <c r="H290" i="13"/>
  <c r="H289" i="13"/>
  <c r="H288" i="13"/>
  <c r="H287" i="13"/>
  <c r="H286" i="13"/>
  <c r="H285" i="13"/>
  <c r="H284" i="13"/>
  <c r="H283" i="13"/>
  <c r="H282" i="13"/>
  <c r="H281" i="13"/>
  <c r="H280" i="13"/>
  <c r="H279" i="13"/>
  <c r="H278" i="13"/>
  <c r="H277" i="13"/>
  <c r="H276" i="13"/>
  <c r="H275" i="13"/>
  <c r="H274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61" i="13"/>
  <c r="H260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7" i="13"/>
  <c r="H246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3" i="13"/>
  <c r="H232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9" i="13"/>
  <c r="H218" i="13"/>
  <c r="H217" i="13"/>
  <c r="H216" i="13"/>
  <c r="H215" i="13"/>
  <c r="H214" i="13"/>
  <c r="H213" i="13"/>
  <c r="H212" i="13"/>
  <c r="H211" i="13"/>
  <c r="H210" i="13"/>
  <c r="H209" i="13"/>
  <c r="H208" i="13"/>
  <c r="H207" i="13"/>
  <c r="H206" i="13"/>
  <c r="H205" i="13"/>
  <c r="H204" i="13"/>
  <c r="H203" i="13"/>
  <c r="H202" i="13"/>
  <c r="H201" i="13"/>
  <c r="H200" i="13"/>
  <c r="H199" i="13"/>
  <c r="H198" i="13"/>
  <c r="H197" i="13"/>
  <c r="H196" i="13"/>
  <c r="H195" i="13"/>
  <c r="H194" i="13"/>
  <c r="H193" i="13"/>
  <c r="H192" i="13"/>
  <c r="H191" i="13"/>
  <c r="H190" i="13"/>
  <c r="H189" i="13"/>
  <c r="H188" i="13"/>
  <c r="H187" i="13"/>
  <c r="H186" i="13"/>
  <c r="H185" i="13"/>
  <c r="H184" i="13"/>
  <c r="H183" i="13"/>
  <c r="H182" i="13"/>
  <c r="H181" i="13"/>
  <c r="H180" i="13"/>
  <c r="H179" i="13"/>
  <c r="H178" i="13"/>
  <c r="H177" i="13"/>
  <c r="H176" i="13"/>
  <c r="H175" i="13"/>
  <c r="H174" i="13"/>
  <c r="H173" i="13"/>
  <c r="H172" i="13"/>
  <c r="H171" i="13"/>
  <c r="H170" i="13"/>
  <c r="H169" i="13"/>
  <c r="H168" i="13"/>
  <c r="H167" i="13"/>
  <c r="H166" i="13"/>
  <c r="H165" i="13"/>
  <c r="H164" i="13"/>
  <c r="H163" i="13"/>
  <c r="H162" i="13"/>
  <c r="H161" i="13"/>
  <c r="H160" i="13"/>
  <c r="H159" i="13"/>
  <c r="H158" i="13"/>
  <c r="H157" i="13"/>
  <c r="H156" i="13"/>
  <c r="H155" i="13"/>
  <c r="H154" i="13"/>
  <c r="H153" i="13"/>
  <c r="H152" i="13"/>
  <c r="H151" i="13"/>
  <c r="H150" i="13"/>
  <c r="H149" i="13"/>
  <c r="H148" i="13"/>
  <c r="H147" i="13"/>
  <c r="H146" i="13"/>
  <c r="H145" i="13"/>
  <c r="H144" i="13"/>
  <c r="H143" i="13"/>
  <c r="H142" i="13"/>
  <c r="H141" i="13"/>
  <c r="H140" i="13"/>
  <c r="H139" i="13"/>
  <c r="H138" i="13"/>
  <c r="H137" i="13"/>
  <c r="H136" i="13"/>
  <c r="H135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2" i="13"/>
  <c r="H121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L253" i="11" a="1"/>
  <c r="L253" i="11"/>
  <c r="B253" i="11"/>
  <c r="L252" i="11" a="1"/>
  <c r="L252" i="11"/>
  <c r="B252" i="11"/>
  <c r="L251" i="11" a="1"/>
  <c r="L251" i="11"/>
  <c r="B251" i="11"/>
  <c r="L250" i="11" a="1"/>
  <c r="L250" i="11" s="1"/>
  <c r="B250" i="11"/>
  <c r="L249" i="11" a="1"/>
  <c r="L249" i="11" s="1"/>
  <c r="B249" i="11"/>
  <c r="L248" i="11" a="1"/>
  <c r="L248" i="11" s="1"/>
  <c r="B248" i="11"/>
  <c r="L247" i="11" a="1"/>
  <c r="L247" i="11"/>
  <c r="B247" i="11"/>
  <c r="L246" i="11" a="1"/>
  <c r="L246" i="11"/>
  <c r="B246" i="11"/>
  <c r="L245" i="11" a="1"/>
  <c r="L245" i="11"/>
  <c r="B245" i="11"/>
  <c r="L244" i="11" a="1"/>
  <c r="L244" i="11" s="1"/>
  <c r="B244" i="11"/>
  <c r="L243" i="11" a="1"/>
  <c r="L243" i="11"/>
  <c r="B243" i="11"/>
  <c r="L242" i="11" a="1"/>
  <c r="L242" i="11" s="1"/>
  <c r="B242" i="11"/>
  <c r="L241" i="11" a="1"/>
  <c r="L241" i="11" s="1"/>
  <c r="B241" i="11"/>
  <c r="L240" i="11" a="1"/>
  <c r="L240" i="11" s="1"/>
  <c r="B240" i="11"/>
  <c r="L239" i="11" a="1"/>
  <c r="L239" i="11"/>
  <c r="B239" i="11"/>
  <c r="L238" i="11" a="1"/>
  <c r="L238" i="11"/>
  <c r="B238" i="11"/>
  <c r="L237" i="11" a="1"/>
  <c r="L237" i="11"/>
  <c r="B237" i="11"/>
  <c r="L236" i="11" a="1"/>
  <c r="L236" i="11" s="1"/>
  <c r="B236" i="11"/>
  <c r="L235" i="11" a="1"/>
  <c r="L235" i="11"/>
  <c r="B235" i="11"/>
  <c r="L234" i="11" a="1"/>
  <c r="L234" i="11" s="1"/>
  <c r="B234" i="11"/>
  <c r="L233" i="11" a="1"/>
  <c r="L233" i="11" s="1"/>
  <c r="B233" i="11"/>
  <c r="L232" i="11" a="1"/>
  <c r="L232" i="11" s="1"/>
  <c r="B232" i="11"/>
  <c r="L231" i="11" a="1"/>
  <c r="L231" i="11"/>
  <c r="B231" i="11"/>
  <c r="L230" i="11" a="1"/>
  <c r="L230" i="11" s="1"/>
  <c r="B230" i="11"/>
  <c r="L229" i="11" a="1"/>
  <c r="L229" i="11"/>
  <c r="B229" i="11"/>
  <c r="L228" i="11" a="1"/>
  <c r="L228" i="11" s="1"/>
  <c r="B228" i="11"/>
  <c r="L227" i="11" a="1"/>
  <c r="L227" i="11"/>
  <c r="B227" i="11"/>
  <c r="L226" i="11" a="1"/>
  <c r="L226" i="11" s="1"/>
  <c r="B226" i="11"/>
  <c r="L225" i="11" a="1"/>
  <c r="L225" i="11" s="1"/>
  <c r="B225" i="11"/>
  <c r="L224" i="11" a="1"/>
  <c r="L224" i="11" s="1"/>
  <c r="B224" i="11"/>
  <c r="L223" i="11" a="1"/>
  <c r="L223" i="11"/>
  <c r="B223" i="11"/>
  <c r="L222" i="11" a="1"/>
  <c r="L222" i="11"/>
  <c r="B222" i="11"/>
  <c r="L221" i="11" a="1"/>
  <c r="L221" i="11"/>
  <c r="B221" i="11"/>
  <c r="L220" i="11" a="1"/>
  <c r="L220" i="11" s="1"/>
  <c r="B220" i="11"/>
  <c r="L219" i="11" a="1"/>
  <c r="L219" i="11"/>
  <c r="B219" i="11"/>
  <c r="L218" i="11" a="1"/>
  <c r="L218" i="11" s="1"/>
  <c r="B218" i="11"/>
  <c r="L217" i="11" a="1"/>
  <c r="L217" i="11" s="1"/>
  <c r="B217" i="11"/>
  <c r="L216" i="11" a="1"/>
  <c r="L216" i="11" s="1"/>
  <c r="B216" i="11"/>
  <c r="L215" i="11" a="1"/>
  <c r="L215" i="11"/>
  <c r="B215" i="11"/>
  <c r="L214" i="11" a="1"/>
  <c r="L214" i="11" s="1"/>
  <c r="B214" i="11"/>
  <c r="L213" i="11" a="1"/>
  <c r="L213" i="11"/>
  <c r="B213" i="11"/>
  <c r="L212" i="11" a="1"/>
  <c r="L212" i="11" s="1"/>
  <c r="B212" i="11"/>
  <c r="L211" i="11" a="1"/>
  <c r="L211" i="11"/>
  <c r="B211" i="11"/>
  <c r="L210" i="11" a="1"/>
  <c r="L210" i="11" s="1"/>
  <c r="B210" i="11"/>
  <c r="L209" i="11" a="1"/>
  <c r="L209" i="11" s="1"/>
  <c r="B209" i="11"/>
  <c r="L208" i="11" a="1"/>
  <c r="L208" i="11" s="1"/>
  <c r="B208" i="11"/>
  <c r="L207" i="11" a="1"/>
  <c r="L207" i="11"/>
  <c r="B207" i="11"/>
  <c r="L206" i="11" a="1"/>
  <c r="L206" i="11"/>
  <c r="B206" i="11"/>
  <c r="L205" i="11" a="1"/>
  <c r="L205" i="11"/>
  <c r="B205" i="11"/>
  <c r="L204" i="11" a="1"/>
  <c r="L204" i="11" s="1"/>
  <c r="B204" i="11"/>
  <c r="L203" i="11" a="1"/>
  <c r="L203" i="11"/>
  <c r="B203" i="11"/>
  <c r="L202" i="11" a="1"/>
  <c r="L202" i="11" s="1"/>
  <c r="B202" i="11"/>
  <c r="L201" i="11" a="1"/>
  <c r="L201" i="11" s="1"/>
  <c r="B201" i="11"/>
  <c r="L200" i="11" a="1"/>
  <c r="L200" i="11" s="1"/>
  <c r="B200" i="11"/>
  <c r="L199" i="11" a="1"/>
  <c r="L199" i="11"/>
  <c r="B199" i="11"/>
  <c r="L198" i="11" a="1"/>
  <c r="L198" i="11" s="1"/>
  <c r="B198" i="11"/>
  <c r="L197" i="11" a="1"/>
  <c r="L197" i="11" s="1"/>
  <c r="B197" i="11"/>
  <c r="L196" i="11" a="1"/>
  <c r="L196" i="11" s="1"/>
  <c r="B196" i="11"/>
  <c r="L195" i="11" a="1"/>
  <c r="L195" i="11"/>
  <c r="B195" i="11"/>
  <c r="L194" i="11" a="1"/>
  <c r="L194" i="11"/>
  <c r="B194" i="11"/>
  <c r="L193" i="11" a="1"/>
  <c r="L193" i="11" s="1"/>
  <c r="B193" i="11"/>
  <c r="L192" i="11" a="1"/>
  <c r="L192" i="11" s="1"/>
  <c r="B192" i="11"/>
  <c r="L191" i="11" a="1"/>
  <c r="L191" i="11"/>
  <c r="B191" i="11"/>
  <c r="L190" i="11" a="1"/>
  <c r="L190" i="11"/>
  <c r="B190" i="11"/>
  <c r="L189" i="11" a="1"/>
  <c r="L189" i="11"/>
  <c r="B189" i="11"/>
  <c r="L188" i="11" a="1"/>
  <c r="L188" i="11" s="1"/>
  <c r="B188" i="11"/>
  <c r="L187" i="11" a="1"/>
  <c r="L187" i="11"/>
  <c r="B187" i="11"/>
  <c r="L186" i="11" a="1"/>
  <c r="L186" i="11"/>
  <c r="B186" i="11"/>
  <c r="L185" i="11" a="1"/>
  <c r="L185" i="11" s="1"/>
  <c r="B185" i="11"/>
  <c r="L184" i="11" a="1"/>
  <c r="L184" i="11" s="1"/>
  <c r="B184" i="11"/>
  <c r="L183" i="11" a="1"/>
  <c r="L183" i="11"/>
  <c r="B183" i="11"/>
  <c r="L182" i="11" a="1"/>
  <c r="L182" i="11"/>
  <c r="B182" i="11"/>
  <c r="L181" i="11" a="1"/>
  <c r="L181" i="11"/>
  <c r="B181" i="11"/>
  <c r="L180" i="11" a="1"/>
  <c r="L180" i="11" s="1"/>
  <c r="B180" i="11"/>
  <c r="L179" i="11" a="1"/>
  <c r="L179" i="11"/>
  <c r="B179" i="11"/>
  <c r="L178" i="11" a="1"/>
  <c r="L178" i="11" s="1"/>
  <c r="B178" i="11"/>
  <c r="L177" i="11" a="1"/>
  <c r="L177" i="11" s="1"/>
  <c r="B177" i="11"/>
  <c r="L176" i="11" a="1"/>
  <c r="L176" i="11" s="1"/>
  <c r="B176" i="11"/>
  <c r="L175" i="11" a="1"/>
  <c r="L175" i="11"/>
  <c r="B175" i="11"/>
  <c r="L174" i="11" a="1"/>
  <c r="L174" i="11" s="1"/>
  <c r="B174" i="11"/>
  <c r="L173" i="11" a="1"/>
  <c r="L173" i="11" s="1"/>
  <c r="B173" i="11"/>
  <c r="L172" i="11" a="1"/>
  <c r="L172" i="11" s="1"/>
  <c r="B172" i="11"/>
  <c r="L171" i="11" a="1"/>
  <c r="L171" i="11"/>
  <c r="B171" i="11"/>
  <c r="L170" i="11" a="1"/>
  <c r="L170" i="11" s="1"/>
  <c r="B170" i="11"/>
  <c r="L169" i="11" a="1"/>
  <c r="L169" i="11" s="1"/>
  <c r="B169" i="11"/>
  <c r="L168" i="11" a="1"/>
  <c r="L168" i="11" s="1"/>
  <c r="B168" i="11"/>
  <c r="L167" i="11" a="1"/>
  <c r="L167" i="11"/>
  <c r="B167" i="11"/>
  <c r="L166" i="11" a="1"/>
  <c r="L166" i="11"/>
  <c r="B166" i="11"/>
  <c r="L165" i="11" a="1"/>
  <c r="L165" i="11"/>
  <c r="B165" i="11"/>
  <c r="L164" i="11" a="1"/>
  <c r="L164" i="11" s="1"/>
  <c r="B164" i="11"/>
  <c r="L163" i="11" a="1"/>
  <c r="L163" i="11"/>
  <c r="B163" i="11"/>
  <c r="L162" i="11" a="1"/>
  <c r="L162" i="11"/>
  <c r="B162" i="11"/>
  <c r="L161" i="11" a="1"/>
  <c r="L161" i="11" s="1"/>
  <c r="B161" i="11"/>
  <c r="L160" i="11" a="1"/>
  <c r="L160" i="11" s="1"/>
  <c r="B160" i="11"/>
  <c r="L159" i="11" a="1"/>
  <c r="L159" i="11"/>
  <c r="B159" i="11"/>
  <c r="L158" i="11" a="1"/>
  <c r="L158" i="11"/>
  <c r="B158" i="11"/>
  <c r="L157" i="11" a="1"/>
  <c r="L157" i="11"/>
  <c r="B157" i="11"/>
  <c r="L156" i="11" a="1"/>
  <c r="L156" i="11" s="1"/>
  <c r="B156" i="11"/>
  <c r="L155" i="11" a="1"/>
  <c r="L155" i="11"/>
  <c r="B155" i="11"/>
  <c r="L154" i="11" a="1"/>
  <c r="L154" i="11"/>
  <c r="B154" i="11"/>
  <c r="L153" i="11" a="1"/>
  <c r="L153" i="11" s="1"/>
  <c r="B153" i="11"/>
  <c r="L152" i="11" a="1"/>
  <c r="L152" i="11" s="1"/>
  <c r="B152" i="11"/>
  <c r="L151" i="11" a="1"/>
  <c r="L151" i="11"/>
  <c r="B151" i="11"/>
  <c r="L150" i="11" a="1"/>
  <c r="L150" i="11"/>
  <c r="B150" i="11"/>
  <c r="L149" i="11" a="1"/>
  <c r="L149" i="11"/>
  <c r="B149" i="11"/>
  <c r="L148" i="11" a="1"/>
  <c r="L148" i="11" s="1"/>
  <c r="B148" i="11"/>
  <c r="L147" i="11" a="1"/>
  <c r="L147" i="11"/>
  <c r="B147" i="11"/>
  <c r="L146" i="11" a="1"/>
  <c r="L146" i="11" s="1"/>
  <c r="B146" i="11"/>
  <c r="L145" i="11" a="1"/>
  <c r="L145" i="11" s="1"/>
  <c r="B145" i="11"/>
  <c r="L144" i="11" a="1"/>
  <c r="L144" i="11" s="1"/>
  <c r="B144" i="11"/>
  <c r="L143" i="11" a="1"/>
  <c r="L143" i="11"/>
  <c r="B143" i="11"/>
  <c r="L142" i="11" a="1"/>
  <c r="L142" i="11" s="1"/>
  <c r="B142" i="11"/>
  <c r="L141" i="11" a="1"/>
  <c r="L141" i="11" s="1"/>
  <c r="B141" i="11"/>
  <c r="L140" i="11" a="1"/>
  <c r="L140" i="11" s="1"/>
  <c r="B140" i="11"/>
  <c r="L139" i="11" a="1"/>
  <c r="L139" i="11"/>
  <c r="B139" i="11"/>
  <c r="L138" i="11" a="1"/>
  <c r="L138" i="11"/>
  <c r="B138" i="11"/>
  <c r="L137" i="11" a="1"/>
  <c r="L137" i="11" s="1"/>
  <c r="B137" i="11"/>
  <c r="L136" i="11" a="1"/>
  <c r="L136" i="11" s="1"/>
  <c r="B136" i="11"/>
  <c r="L135" i="11" a="1"/>
  <c r="L135" i="11"/>
  <c r="B135" i="11"/>
  <c r="L134" i="11" a="1"/>
  <c r="L134" i="11" s="1"/>
  <c r="B134" i="11"/>
  <c r="L133" i="11" a="1"/>
  <c r="L133" i="11" s="1"/>
  <c r="B133" i="11"/>
  <c r="L132" i="11" a="1"/>
  <c r="L132" i="11" s="1"/>
  <c r="B132" i="11"/>
  <c r="L131" i="11" a="1"/>
  <c r="L131" i="11"/>
  <c r="B131" i="11"/>
  <c r="L130" i="11" a="1"/>
  <c r="L130" i="11"/>
  <c r="B130" i="11"/>
  <c r="L129" i="11" a="1"/>
  <c r="L129" i="11" s="1"/>
  <c r="B129" i="11"/>
  <c r="L128" i="11" a="1"/>
  <c r="L128" i="11" s="1"/>
  <c r="B128" i="11"/>
  <c r="L127" i="11" a="1"/>
  <c r="L127" i="11"/>
  <c r="B127" i="11"/>
  <c r="L126" i="11" a="1"/>
  <c r="L126" i="11"/>
  <c r="B126" i="11"/>
  <c r="L125" i="11" a="1"/>
  <c r="L125" i="11"/>
  <c r="G125" i="11"/>
  <c r="B125" i="11"/>
  <c r="L124" i="11" a="1"/>
  <c r="L124" i="11" s="1"/>
  <c r="B124" i="11"/>
  <c r="L123" i="11" a="1"/>
  <c r="L123" i="11"/>
  <c r="B123" i="11"/>
  <c r="L122" i="11" a="1"/>
  <c r="L122" i="11"/>
  <c r="B122" i="11"/>
  <c r="L121" i="11" a="1"/>
  <c r="L121" i="11" s="1"/>
  <c r="B121" i="11"/>
  <c r="L120" i="11" a="1"/>
  <c r="L120" i="11" s="1"/>
  <c r="B120" i="11"/>
  <c r="L119" i="11" a="1"/>
  <c r="L119" i="11"/>
  <c r="B119" i="11"/>
  <c r="L118" i="11" a="1"/>
  <c r="L118" i="11"/>
  <c r="B118" i="11"/>
  <c r="L117" i="11" a="1"/>
  <c r="L117" i="11"/>
  <c r="B117" i="11"/>
  <c r="L116" i="11" a="1"/>
  <c r="L116" i="11" s="1"/>
  <c r="B116" i="11"/>
  <c r="L115" i="11" a="1"/>
  <c r="L115" i="11"/>
  <c r="B115" i="11"/>
  <c r="L114" i="11" a="1"/>
  <c r="L114" i="11" s="1"/>
  <c r="B114" i="11"/>
  <c r="L113" i="11" a="1"/>
  <c r="L113" i="11" s="1"/>
  <c r="B113" i="11"/>
  <c r="L112" i="11" a="1"/>
  <c r="L112" i="11" s="1"/>
  <c r="B112" i="11"/>
  <c r="L111" i="11" a="1"/>
  <c r="L111" i="11"/>
  <c r="B111" i="11"/>
  <c r="L110" i="11" a="1"/>
  <c r="L110" i="11" s="1"/>
  <c r="B110" i="11"/>
  <c r="L109" i="11" a="1"/>
  <c r="L109" i="11" s="1"/>
  <c r="B109" i="11"/>
  <c r="L108" i="11" a="1"/>
  <c r="L108" i="11" s="1"/>
  <c r="B108" i="11"/>
  <c r="L107" i="11" a="1"/>
  <c r="L107" i="11"/>
  <c r="B107" i="11"/>
  <c r="L106" i="11" a="1"/>
  <c r="L106" i="11" s="1"/>
  <c r="B106" i="11"/>
  <c r="L105" i="11" a="1"/>
  <c r="L105" i="11" s="1"/>
  <c r="B105" i="11"/>
  <c r="L104" i="11" a="1"/>
  <c r="L104" i="11" s="1"/>
  <c r="B104" i="11"/>
  <c r="L103" i="11" a="1"/>
  <c r="L103" i="11"/>
  <c r="B103" i="11"/>
  <c r="L102" i="11" a="1"/>
  <c r="L102" i="11"/>
  <c r="B102" i="11"/>
  <c r="L101" i="11" a="1"/>
  <c r="L101" i="11"/>
  <c r="B101" i="11"/>
  <c r="L100" i="11" a="1"/>
  <c r="L100" i="11" s="1"/>
  <c r="B100" i="11"/>
  <c r="L99" i="11" a="1"/>
  <c r="L99" i="11"/>
  <c r="B99" i="11"/>
  <c r="L98" i="11" a="1"/>
  <c r="L98" i="11"/>
  <c r="B98" i="11"/>
  <c r="L97" i="11" a="1"/>
  <c r="L97" i="11" s="1"/>
  <c r="B97" i="11"/>
  <c r="L96" i="11" a="1"/>
  <c r="L96" i="11" s="1"/>
  <c r="B96" i="11"/>
  <c r="L95" i="11" a="1"/>
  <c r="L95" i="11"/>
  <c r="B95" i="11"/>
  <c r="L94" i="11" a="1"/>
  <c r="L94" i="11" s="1"/>
  <c r="B94" i="11"/>
  <c r="L93" i="11" a="1"/>
  <c r="L93" i="11" s="1"/>
  <c r="B93" i="11"/>
  <c r="L92" i="11" a="1"/>
  <c r="L92" i="11" s="1"/>
  <c r="B92" i="11"/>
  <c r="L91" i="11" a="1"/>
  <c r="L91" i="11"/>
  <c r="B91" i="11"/>
  <c r="L90" i="11" a="1"/>
  <c r="L90" i="11"/>
  <c r="B90" i="11"/>
  <c r="L89" i="11" a="1"/>
  <c r="L89" i="11"/>
  <c r="B89" i="11"/>
  <c r="L88" i="11" a="1"/>
  <c r="L88" i="11"/>
  <c r="B88" i="11"/>
  <c r="L87" i="11" a="1"/>
  <c r="L87" i="11"/>
  <c r="B87" i="11"/>
  <c r="L86" i="11" a="1"/>
  <c r="L86" i="11"/>
  <c r="B86" i="11"/>
  <c r="L85" i="11" a="1"/>
  <c r="L85" i="11" s="1"/>
  <c r="B85" i="11"/>
  <c r="L84" i="11" a="1"/>
  <c r="L84" i="11" s="1"/>
  <c r="B84" i="11"/>
  <c r="L83" i="11" a="1"/>
  <c r="L83" i="11"/>
  <c r="B83" i="11"/>
  <c r="L82" i="11" a="1"/>
  <c r="L82" i="11" s="1"/>
  <c r="B82" i="11"/>
  <c r="L81" i="11" a="1"/>
  <c r="L81" i="11"/>
  <c r="G81" i="11"/>
  <c r="B81" i="11"/>
  <c r="L80" i="11" a="1"/>
  <c r="L80" i="11"/>
  <c r="B80" i="11"/>
  <c r="L79" i="11" a="1"/>
  <c r="L79" i="11"/>
  <c r="G79" i="11"/>
  <c r="B79" i="11"/>
  <c r="L78" i="11" a="1"/>
  <c r="L78" i="11" s="1"/>
  <c r="B78" i="11"/>
  <c r="L77" i="11" a="1"/>
  <c r="L77" i="11" s="1"/>
  <c r="B77" i="11"/>
  <c r="L76" i="11" a="1"/>
  <c r="L76" i="11"/>
  <c r="B76" i="11"/>
  <c r="L75" i="11" a="1"/>
  <c r="L75" i="11"/>
  <c r="G75" i="11"/>
  <c r="B75" i="11"/>
  <c r="L74" i="11" a="1"/>
  <c r="L74" i="11"/>
  <c r="B74" i="11"/>
  <c r="G73" i="11"/>
  <c r="B73" i="11"/>
  <c r="L72" i="11" a="1"/>
  <c r="L72" i="11"/>
  <c r="B72" i="11"/>
  <c r="L71" i="11" a="1"/>
  <c r="L71" i="11"/>
  <c r="B71" i="11"/>
  <c r="L70" i="11" a="1"/>
  <c r="L70" i="11"/>
  <c r="B70" i="11"/>
  <c r="L69" i="11" a="1"/>
  <c r="L69" i="11"/>
  <c r="B69" i="11"/>
  <c r="L68" i="11" a="1"/>
  <c r="L68" i="11" s="1"/>
  <c r="B68" i="11"/>
  <c r="L67" i="11" a="1"/>
  <c r="L67" i="11" s="1"/>
  <c r="B67" i="11"/>
  <c r="L66" i="11" a="1"/>
  <c r="L66" i="11"/>
  <c r="B66" i="11"/>
  <c r="L65" i="11" a="1"/>
  <c r="L65" i="11"/>
  <c r="B65" i="11"/>
  <c r="L64" i="11" a="1"/>
  <c r="L64" i="11"/>
  <c r="B64" i="11"/>
  <c r="L63" i="11" a="1"/>
  <c r="L63" i="11"/>
  <c r="B63" i="11"/>
  <c r="L62" i="11" a="1"/>
  <c r="L62" i="11"/>
  <c r="B62" i="11"/>
  <c r="L61" i="11" a="1"/>
  <c r="L61" i="11"/>
  <c r="B61" i="11"/>
  <c r="L60" i="11" a="1"/>
  <c r="L60" i="11" s="1"/>
  <c r="B60" i="11"/>
  <c r="L59" i="11" a="1"/>
  <c r="L59" i="11" s="1"/>
  <c r="B59" i="11"/>
  <c r="L58" i="11" a="1"/>
  <c r="L58" i="11"/>
  <c r="B58" i="11"/>
  <c r="L57" i="11" a="1"/>
  <c r="L57" i="11"/>
  <c r="B57" i="11"/>
  <c r="L56" i="11" a="1"/>
  <c r="L56" i="11"/>
  <c r="B56" i="11"/>
  <c r="L55" i="11" a="1"/>
  <c r="L55" i="11"/>
  <c r="B55" i="11"/>
  <c r="L54" i="11" a="1"/>
  <c r="L54" i="11"/>
  <c r="B54" i="11"/>
  <c r="L53" i="11" a="1"/>
  <c r="L53" i="11"/>
  <c r="B53" i="11"/>
  <c r="L52" i="11" a="1"/>
  <c r="L52" i="11" s="1"/>
  <c r="B52" i="11"/>
  <c r="L51" i="11" a="1"/>
  <c r="L51" i="11" s="1"/>
  <c r="B51" i="11"/>
  <c r="L50" i="11" a="1"/>
  <c r="L50" i="11"/>
  <c r="B50" i="11"/>
  <c r="L49" i="11" a="1"/>
  <c r="L49" i="11" s="1"/>
  <c r="B49" i="11"/>
  <c r="L48" i="11" a="1"/>
  <c r="L48" i="11" s="1"/>
  <c r="B48" i="11"/>
  <c r="L47" i="11" a="1"/>
  <c r="L47" i="11"/>
  <c r="B47" i="11"/>
  <c r="L46" i="11" a="1"/>
  <c r="L46" i="11"/>
  <c r="B46" i="11"/>
  <c r="L45" i="11" a="1"/>
  <c r="L45" i="11"/>
  <c r="B45" i="11"/>
  <c r="L44" i="11" a="1"/>
  <c r="L44" i="11" s="1"/>
  <c r="B44" i="11"/>
  <c r="L43" i="11" a="1"/>
  <c r="L43" i="11" s="1"/>
  <c r="B43" i="11"/>
  <c r="L42" i="11" a="1"/>
  <c r="L42" i="11"/>
  <c r="B42" i="11"/>
  <c r="L41" i="11" a="1"/>
  <c r="L41" i="11" s="1"/>
  <c r="B41" i="11"/>
  <c r="L40" i="11" a="1"/>
  <c r="L40" i="11" s="1"/>
  <c r="B40" i="11"/>
  <c r="L39" i="11" a="1"/>
  <c r="L39" i="11"/>
  <c r="B39" i="11"/>
  <c r="L38" i="11" a="1"/>
  <c r="L38" i="11"/>
  <c r="B38" i="11"/>
  <c r="L37" i="11" a="1"/>
  <c r="L37" i="11"/>
  <c r="B37" i="11"/>
  <c r="L36" i="11" a="1"/>
  <c r="L36" i="11" s="1"/>
  <c r="B36" i="11"/>
  <c r="L35" i="11" a="1"/>
  <c r="L35" i="11" s="1"/>
  <c r="B35" i="11"/>
  <c r="L34" i="11" a="1"/>
  <c r="L34" i="11"/>
  <c r="B34" i="11"/>
  <c r="L33" i="11" a="1"/>
  <c r="L33" i="11" s="1"/>
  <c r="B33" i="11"/>
  <c r="L32" i="11" a="1"/>
  <c r="L32" i="11" s="1"/>
  <c r="B32" i="11"/>
  <c r="L31" i="11" a="1"/>
  <c r="L31" i="11"/>
  <c r="B31" i="11"/>
  <c r="L30" i="11" a="1"/>
  <c r="L30" i="11"/>
  <c r="B30" i="11"/>
  <c r="L29" i="11" a="1"/>
  <c r="L29" i="11"/>
  <c r="B29" i="11"/>
  <c r="L28" i="11" a="1"/>
  <c r="L28" i="11" s="1"/>
  <c r="B28" i="11"/>
  <c r="L27" i="11" a="1"/>
  <c r="L27" i="11" s="1"/>
  <c r="B27" i="11"/>
  <c r="L26" i="11" a="1"/>
  <c r="L26" i="11"/>
  <c r="B26" i="11"/>
  <c r="L25" i="11" a="1"/>
  <c r="L25" i="11" s="1"/>
  <c r="B25" i="11"/>
  <c r="L24" i="11" a="1"/>
  <c r="L24" i="11" s="1"/>
  <c r="B24" i="11"/>
  <c r="L23" i="11" a="1"/>
  <c r="L23" i="11" s="1"/>
  <c r="B23" i="11"/>
  <c r="L22" i="11" a="1"/>
  <c r="L22" i="11"/>
  <c r="B22" i="11"/>
  <c r="L21" i="11" a="1"/>
  <c r="L21" i="11"/>
  <c r="B21" i="11"/>
  <c r="L20" i="11" a="1"/>
  <c r="L20" i="11" s="1"/>
  <c r="B20" i="11"/>
  <c r="L19" i="11" a="1"/>
  <c r="L19" i="11" s="1"/>
  <c r="B19" i="11"/>
  <c r="L18" i="11" a="1"/>
  <c r="L18" i="11"/>
  <c r="B18" i="11"/>
  <c r="L17" i="11" a="1"/>
  <c r="L17" i="11"/>
  <c r="B17" i="11"/>
  <c r="T16" i="11"/>
  <c r="L16" i="11" a="1"/>
  <c r="L16" i="11"/>
  <c r="B16" i="11"/>
  <c r="L15" i="11" a="1"/>
  <c r="L15" i="11"/>
  <c r="B15" i="11"/>
  <c r="L14" i="11" a="1"/>
  <c r="L14" i="11" s="1"/>
  <c r="B14" i="11"/>
  <c r="L13" i="11" a="1"/>
  <c r="L13" i="11"/>
  <c r="B13" i="11"/>
  <c r="L12" i="11" a="1"/>
  <c r="L12" i="11" s="1"/>
  <c r="B12" i="11"/>
  <c r="L11" i="11" a="1"/>
  <c r="L11" i="11"/>
  <c r="B11" i="11"/>
  <c r="L10" i="11" a="1"/>
  <c r="L10" i="11"/>
  <c r="B10" i="11"/>
  <c r="L9" i="11" a="1"/>
  <c r="L9" i="11"/>
  <c r="B9" i="11"/>
  <c r="L8" i="11" a="1"/>
  <c r="L8" i="11"/>
  <c r="B8" i="11"/>
  <c r="L7" i="11" a="1"/>
  <c r="L7" i="11"/>
  <c r="B7" i="11"/>
  <c r="L6" i="11" a="1"/>
  <c r="L6" i="11" s="1"/>
  <c r="B6" i="11"/>
  <c r="L5" i="11" a="1"/>
  <c r="L5" i="11"/>
  <c r="B5" i="11"/>
  <c r="Z4" i="11"/>
  <c r="L4" i="11" a="1"/>
  <c r="L4" i="11" s="1"/>
  <c r="B4" i="11"/>
  <c r="Z3" i="11"/>
  <c r="Z1" i="11"/>
  <c r="Z999" i="10"/>
  <c r="D210" i="10" a="1"/>
  <c r="D210" i="10" s="1"/>
  <c r="C210" i="10" a="1"/>
  <c r="C210" i="10" s="1"/>
  <c r="D209" i="10" a="1"/>
  <c r="D209" i="10" s="1"/>
  <c r="C209" i="10" a="1"/>
  <c r="C209" i="10" s="1"/>
  <c r="D208" i="10" a="1"/>
  <c r="D208" i="10" s="1"/>
  <c r="C208" i="10" a="1"/>
  <c r="C208" i="10" s="1"/>
  <c r="D207" i="10" a="1"/>
  <c r="D207" i="10" s="1"/>
  <c r="C207" i="10" a="1"/>
  <c r="C207" i="10" s="1"/>
  <c r="D206" i="10" a="1"/>
  <c r="D206" i="10" s="1"/>
  <c r="C206" i="10" a="1"/>
  <c r="C206" i="10" s="1"/>
  <c r="R199" i="10"/>
  <c r="D205" i="10" a="1"/>
  <c r="D205" i="10" s="1"/>
  <c r="C205" i="10" a="1"/>
  <c r="C205" i="10" s="1"/>
  <c r="R198" i="10"/>
  <c r="D204" i="10" a="1"/>
  <c r="D204" i="10" s="1"/>
  <c r="C204" i="10" a="1"/>
  <c r="C204" i="10" s="1"/>
  <c r="A203" i="10"/>
  <c r="D203" i="10" s="1" a="1"/>
  <c r="D203" i="10" s="1"/>
  <c r="A202" i="10"/>
  <c r="R195" i="10"/>
  <c r="A201" i="10"/>
  <c r="R194" i="10"/>
  <c r="A200" i="10"/>
  <c r="R193" i="10"/>
  <c r="A199" i="10"/>
  <c r="R192" i="10"/>
  <c r="D192" i="10" a="1"/>
  <c r="D192" i="10" s="1"/>
  <c r="C192" i="10" a="1"/>
  <c r="C192" i="10" s="1"/>
  <c r="R191" i="10"/>
  <c r="D191" i="10" a="1"/>
  <c r="D191" i="10" s="1"/>
  <c r="C191" i="10" a="1"/>
  <c r="C191" i="10" s="1"/>
  <c r="R190" i="10"/>
  <c r="D190" i="10" a="1"/>
  <c r="D190" i="10" s="1"/>
  <c r="C190" i="10" a="1"/>
  <c r="C190" i="10" s="1"/>
  <c r="R189" i="10"/>
  <c r="D189" i="10" a="1"/>
  <c r="D189" i="10" s="1"/>
  <c r="C189" i="10" a="1"/>
  <c r="C189" i="10" s="1"/>
  <c r="R188" i="10"/>
  <c r="D188" i="10" a="1"/>
  <c r="D188" i="10" s="1"/>
  <c r="C188" i="10" a="1"/>
  <c r="C188" i="10" s="1"/>
  <c r="R187" i="10"/>
  <c r="D187" i="10" a="1"/>
  <c r="D187" i="10" s="1"/>
  <c r="C187" i="10" a="1"/>
  <c r="C187" i="10" s="1"/>
  <c r="R186" i="10"/>
  <c r="D186" i="10" a="1"/>
  <c r="D186" i="10" s="1"/>
  <c r="C186" i="10" a="1"/>
  <c r="C186" i="10" s="1"/>
  <c r="R185" i="10"/>
  <c r="D185" i="10" a="1"/>
  <c r="D185" i="10" s="1"/>
  <c r="C185" i="10" a="1"/>
  <c r="C185" i="10" s="1"/>
  <c r="R184" i="10"/>
  <c r="D184" i="10" a="1"/>
  <c r="D184" i="10" s="1"/>
  <c r="C184" i="10" a="1"/>
  <c r="C184" i="10" s="1"/>
  <c r="R183" i="10"/>
  <c r="D183" i="10" a="1"/>
  <c r="D183" i="10" s="1"/>
  <c r="C183" i="10" a="1"/>
  <c r="C183" i="10" s="1"/>
  <c r="R182" i="10"/>
  <c r="D182" i="10" a="1"/>
  <c r="D182" i="10" s="1"/>
  <c r="C182" i="10" a="1"/>
  <c r="C182" i="10" s="1"/>
  <c r="R181" i="10"/>
  <c r="D181" i="10" a="1"/>
  <c r="D181" i="10" s="1"/>
  <c r="C181" i="10" a="1"/>
  <c r="C181" i="10" s="1"/>
  <c r="R180" i="10"/>
  <c r="D180" i="10" a="1"/>
  <c r="D180" i="10" s="1"/>
  <c r="C180" i="10" a="1"/>
  <c r="C180" i="10" s="1"/>
  <c r="R179" i="10"/>
  <c r="D179" i="10" a="1"/>
  <c r="D179" i="10" s="1"/>
  <c r="C179" i="10" a="1"/>
  <c r="C179" i="10" s="1"/>
  <c r="R178" i="10"/>
  <c r="D178" i="10" a="1"/>
  <c r="D178" i="10" s="1"/>
  <c r="C178" i="10" a="1"/>
  <c r="C178" i="10" s="1"/>
  <c r="R177" i="10"/>
  <c r="D177" i="10" a="1"/>
  <c r="D177" i="10" s="1"/>
  <c r="C177" i="10" a="1"/>
  <c r="C177" i="10" s="1"/>
  <c r="R176" i="10"/>
  <c r="D176" i="10" a="1"/>
  <c r="D176" i="10" s="1"/>
  <c r="C176" i="10" a="1"/>
  <c r="C176" i="10" s="1"/>
  <c r="R175" i="10"/>
  <c r="D175" i="10" a="1"/>
  <c r="D175" i="10" s="1"/>
  <c r="C175" i="10" a="1"/>
  <c r="C175" i="10" s="1"/>
  <c r="R174" i="10"/>
  <c r="D174" i="10" a="1"/>
  <c r="D174" i="10" s="1"/>
  <c r="C174" i="10" a="1"/>
  <c r="C174" i="10" s="1"/>
  <c r="R173" i="10"/>
  <c r="D173" i="10" a="1"/>
  <c r="D173" i="10" s="1"/>
  <c r="C173" i="10" a="1"/>
  <c r="C173" i="10" s="1"/>
  <c r="R172" i="10"/>
  <c r="D172" i="10" a="1"/>
  <c r="D172" i="10" s="1"/>
  <c r="C172" i="10" a="1"/>
  <c r="C172" i="10" s="1"/>
  <c r="R171" i="10"/>
  <c r="D171" i="10" a="1"/>
  <c r="D171" i="10" s="1"/>
  <c r="C171" i="10" a="1"/>
  <c r="C171" i="10" s="1"/>
  <c r="R170" i="10"/>
  <c r="D170" i="10" a="1"/>
  <c r="D170" i="10" s="1"/>
  <c r="C170" i="10" a="1"/>
  <c r="C170" i="10" s="1"/>
  <c r="R169" i="10"/>
  <c r="D169" i="10" a="1"/>
  <c r="D169" i="10" s="1"/>
  <c r="C169" i="10" a="1"/>
  <c r="C169" i="10" s="1"/>
  <c r="R168" i="10"/>
  <c r="D168" i="10" a="1"/>
  <c r="D168" i="10" s="1"/>
  <c r="C168" i="10" a="1"/>
  <c r="C168" i="10" s="1"/>
  <c r="R167" i="10"/>
  <c r="D167" i="10" a="1"/>
  <c r="D167" i="10" s="1"/>
  <c r="C167" i="10" a="1"/>
  <c r="C167" i="10" s="1"/>
  <c r="R166" i="10"/>
  <c r="D166" i="10" a="1"/>
  <c r="D166" i="10" s="1"/>
  <c r="C166" i="10" a="1"/>
  <c r="C166" i="10" s="1"/>
  <c r="R165" i="10"/>
  <c r="D165" i="10" a="1"/>
  <c r="D165" i="10" s="1"/>
  <c r="C165" i="10" a="1"/>
  <c r="C165" i="10" s="1"/>
  <c r="R164" i="10"/>
  <c r="D164" i="10" a="1"/>
  <c r="D164" i="10" s="1"/>
  <c r="C164" i="10" a="1"/>
  <c r="C164" i="10" s="1"/>
  <c r="R163" i="10"/>
  <c r="D163" i="10" a="1"/>
  <c r="D163" i="10" s="1"/>
  <c r="C163" i="10" a="1"/>
  <c r="C163" i="10" s="1"/>
  <c r="R162" i="10"/>
  <c r="D162" i="10" a="1"/>
  <c r="D162" i="10" s="1"/>
  <c r="C162" i="10" a="1"/>
  <c r="C162" i="10" s="1"/>
  <c r="R161" i="10"/>
  <c r="D161" i="10" a="1"/>
  <c r="D161" i="10" s="1"/>
  <c r="C161" i="10" a="1"/>
  <c r="C161" i="10" s="1"/>
  <c r="R160" i="10"/>
  <c r="D160" i="10" a="1"/>
  <c r="D160" i="10" s="1"/>
  <c r="C160" i="10" a="1"/>
  <c r="C160" i="10" s="1"/>
  <c r="R159" i="10"/>
  <c r="D159" i="10" a="1"/>
  <c r="D159" i="10" s="1"/>
  <c r="C159" i="10" a="1"/>
  <c r="C159" i="10" s="1"/>
  <c r="R158" i="10"/>
  <c r="D158" i="10" a="1"/>
  <c r="D158" i="10" s="1"/>
  <c r="C158" i="10" a="1"/>
  <c r="C158" i="10" s="1"/>
  <c r="R157" i="10"/>
  <c r="D157" i="10" a="1"/>
  <c r="D157" i="10" s="1"/>
  <c r="C157" i="10" a="1"/>
  <c r="C157" i="10" s="1"/>
  <c r="R156" i="10"/>
  <c r="D156" i="10" a="1"/>
  <c r="D156" i="10" s="1"/>
  <c r="C156" i="10" a="1"/>
  <c r="C156" i="10" s="1"/>
  <c r="R155" i="10"/>
  <c r="D155" i="10" a="1"/>
  <c r="D155" i="10" s="1"/>
  <c r="C155" i="10" a="1"/>
  <c r="C155" i="10" s="1"/>
  <c r="R154" i="10"/>
  <c r="D154" i="10" a="1"/>
  <c r="D154" i="10" s="1"/>
  <c r="C154" i="10" a="1"/>
  <c r="C154" i="10" s="1"/>
  <c r="R153" i="10"/>
  <c r="D153" i="10" a="1"/>
  <c r="D153" i="10" s="1"/>
  <c r="C153" i="10" a="1"/>
  <c r="C153" i="10" s="1"/>
  <c r="R152" i="10"/>
  <c r="D152" i="10" a="1"/>
  <c r="D152" i="10" s="1"/>
  <c r="C152" i="10" a="1"/>
  <c r="C152" i="10" s="1"/>
  <c r="R151" i="10"/>
  <c r="D151" i="10" a="1"/>
  <c r="D151" i="10" s="1"/>
  <c r="C151" i="10" a="1"/>
  <c r="C151" i="10" s="1"/>
  <c r="R150" i="10"/>
  <c r="D150" i="10" a="1"/>
  <c r="D150" i="10" s="1"/>
  <c r="C150" i="10" a="1"/>
  <c r="C150" i="10" s="1"/>
  <c r="R149" i="10"/>
  <c r="D149" i="10" a="1"/>
  <c r="D149" i="10" s="1"/>
  <c r="C149" i="10" a="1"/>
  <c r="C149" i="10" s="1"/>
  <c r="R148" i="10"/>
  <c r="D148" i="10" a="1"/>
  <c r="D148" i="10" s="1"/>
  <c r="C148" i="10" a="1"/>
  <c r="C148" i="10" s="1"/>
  <c r="R147" i="10"/>
  <c r="D147" i="10" a="1"/>
  <c r="D147" i="10" s="1"/>
  <c r="C147" i="10" a="1"/>
  <c r="C147" i="10" s="1"/>
  <c r="R146" i="10"/>
  <c r="D146" i="10" a="1"/>
  <c r="D146" i="10" s="1"/>
  <c r="C146" i="10" a="1"/>
  <c r="C146" i="10" s="1"/>
  <c r="R145" i="10"/>
  <c r="D145" i="10" a="1"/>
  <c r="D145" i="10" s="1"/>
  <c r="C145" i="10" a="1"/>
  <c r="C145" i="10" s="1"/>
  <c r="R144" i="10"/>
  <c r="D144" i="10" a="1"/>
  <c r="D144" i="10" s="1"/>
  <c r="C144" i="10" a="1"/>
  <c r="C144" i="10" s="1"/>
  <c r="R143" i="10"/>
  <c r="D143" i="10" a="1"/>
  <c r="D143" i="10" s="1"/>
  <c r="C143" i="10" a="1"/>
  <c r="C143" i="10" s="1"/>
  <c r="R142" i="10"/>
  <c r="D142" i="10" a="1"/>
  <c r="D142" i="10" s="1"/>
  <c r="C142" i="10" a="1"/>
  <c r="C142" i="10" s="1"/>
  <c r="R141" i="10"/>
  <c r="D141" i="10" a="1"/>
  <c r="D141" i="10" s="1"/>
  <c r="C141" i="10" a="1"/>
  <c r="C141" i="10" s="1"/>
  <c r="R140" i="10"/>
  <c r="D140" i="10" a="1"/>
  <c r="D140" i="10" s="1"/>
  <c r="C140" i="10" a="1"/>
  <c r="C140" i="10" s="1"/>
  <c r="R139" i="10"/>
  <c r="D139" i="10" a="1"/>
  <c r="D139" i="10" s="1"/>
  <c r="C139" i="10" a="1"/>
  <c r="C139" i="10" s="1"/>
  <c r="R138" i="10"/>
  <c r="D138" i="10" a="1"/>
  <c r="D138" i="10" s="1"/>
  <c r="C138" i="10" a="1"/>
  <c r="C138" i="10" s="1"/>
  <c r="R137" i="10"/>
  <c r="D137" i="10" a="1"/>
  <c r="D137" i="10" s="1"/>
  <c r="C137" i="10" a="1"/>
  <c r="C137" i="10" s="1"/>
  <c r="R136" i="10"/>
  <c r="D136" i="10" a="1"/>
  <c r="D136" i="10" s="1"/>
  <c r="C136" i="10" a="1"/>
  <c r="C136" i="10" s="1"/>
  <c r="R135" i="10"/>
  <c r="D135" i="10" a="1"/>
  <c r="D135" i="10" s="1"/>
  <c r="C135" i="10" a="1"/>
  <c r="C135" i="10" s="1"/>
  <c r="R134" i="10"/>
  <c r="D134" i="10" a="1"/>
  <c r="D134" i="10" s="1"/>
  <c r="C134" i="10" a="1"/>
  <c r="C134" i="10" s="1"/>
  <c r="R133" i="10"/>
  <c r="D133" i="10" a="1"/>
  <c r="D133" i="10" s="1"/>
  <c r="C133" i="10" a="1"/>
  <c r="C133" i="10" s="1"/>
  <c r="R132" i="10"/>
  <c r="D132" i="10" a="1"/>
  <c r="D132" i="10" s="1"/>
  <c r="C132" i="10" a="1"/>
  <c r="C132" i="10" s="1"/>
  <c r="R131" i="10"/>
  <c r="D131" i="10" a="1"/>
  <c r="D131" i="10" s="1"/>
  <c r="C131" i="10" a="1"/>
  <c r="C131" i="10" s="1"/>
  <c r="R130" i="10"/>
  <c r="D130" i="10" a="1"/>
  <c r="D130" i="10" s="1"/>
  <c r="C130" i="10" a="1"/>
  <c r="C130" i="10" s="1"/>
  <c r="R129" i="10"/>
  <c r="D129" i="10" a="1"/>
  <c r="D129" i="10" s="1"/>
  <c r="C129" i="10" a="1"/>
  <c r="C129" i="10" s="1"/>
  <c r="R128" i="10"/>
  <c r="D128" i="10" a="1"/>
  <c r="D128" i="10" s="1"/>
  <c r="C128" i="10" a="1"/>
  <c r="C128" i="10" s="1"/>
  <c r="R127" i="10"/>
  <c r="D127" i="10" a="1"/>
  <c r="D127" i="10" s="1"/>
  <c r="C127" i="10" a="1"/>
  <c r="C127" i="10" s="1"/>
  <c r="R126" i="10"/>
  <c r="D126" i="10" a="1"/>
  <c r="D126" i="10" s="1"/>
  <c r="C126" i="10" a="1"/>
  <c r="C126" i="10" s="1"/>
  <c r="R125" i="10"/>
  <c r="D125" i="10" a="1"/>
  <c r="D125" i="10" s="1"/>
  <c r="C125" i="10" a="1"/>
  <c r="C125" i="10" s="1"/>
  <c r="R124" i="10"/>
  <c r="D124" i="10" a="1"/>
  <c r="D124" i="10" s="1"/>
  <c r="C124" i="10" a="1"/>
  <c r="C124" i="10" s="1"/>
  <c r="R123" i="10"/>
  <c r="D123" i="10" a="1"/>
  <c r="D123" i="10" s="1"/>
  <c r="C123" i="10" a="1"/>
  <c r="C123" i="10" s="1"/>
  <c r="R122" i="10"/>
  <c r="D122" i="10" a="1"/>
  <c r="D122" i="10" s="1"/>
  <c r="C122" i="10" a="1"/>
  <c r="C122" i="10" s="1"/>
  <c r="R121" i="10"/>
  <c r="D121" i="10" a="1"/>
  <c r="D121" i="10" s="1"/>
  <c r="C121" i="10" a="1"/>
  <c r="C121" i="10" s="1"/>
  <c r="R120" i="10"/>
  <c r="D120" i="10" a="1"/>
  <c r="D120" i="10" s="1"/>
  <c r="C120" i="10" a="1"/>
  <c r="C120" i="10" s="1"/>
  <c r="R119" i="10"/>
  <c r="D119" i="10" a="1"/>
  <c r="D119" i="10" s="1"/>
  <c r="C119" i="10" a="1"/>
  <c r="C119" i="10" s="1"/>
  <c r="R118" i="10"/>
  <c r="D118" i="10" a="1"/>
  <c r="D118" i="10" s="1"/>
  <c r="C118" i="10" a="1"/>
  <c r="C118" i="10" s="1"/>
  <c r="R117" i="10"/>
  <c r="D117" i="10" a="1"/>
  <c r="D117" i="10" s="1"/>
  <c r="C117" i="10" a="1"/>
  <c r="C117" i="10" s="1"/>
  <c r="R116" i="10"/>
  <c r="D116" i="10" a="1"/>
  <c r="D116" i="10" s="1"/>
  <c r="C116" i="10" a="1"/>
  <c r="C116" i="10" s="1"/>
  <c r="R115" i="10"/>
  <c r="D115" i="10" a="1"/>
  <c r="D115" i="10" s="1"/>
  <c r="C115" i="10" a="1"/>
  <c r="C115" i="10" s="1"/>
  <c r="R114" i="10"/>
  <c r="D114" i="10" a="1"/>
  <c r="D114" i="10" s="1"/>
  <c r="C114" i="10" a="1"/>
  <c r="C114" i="10" s="1"/>
  <c r="R113" i="10"/>
  <c r="D113" i="10" a="1"/>
  <c r="D113" i="10" s="1"/>
  <c r="C113" i="10" a="1"/>
  <c r="C113" i="10" s="1"/>
  <c r="R112" i="10"/>
  <c r="D112" i="10" a="1"/>
  <c r="D112" i="10" s="1"/>
  <c r="C112" i="10" a="1"/>
  <c r="C112" i="10" s="1"/>
  <c r="R111" i="10"/>
  <c r="D111" i="10" a="1"/>
  <c r="D111" i="10" s="1"/>
  <c r="C111" i="10" a="1"/>
  <c r="C111" i="10" s="1"/>
  <c r="R110" i="10"/>
  <c r="D110" i="10" a="1"/>
  <c r="D110" i="10" s="1"/>
  <c r="C110" i="10" a="1"/>
  <c r="C110" i="10" s="1"/>
  <c r="R109" i="10"/>
  <c r="D109" i="10" a="1"/>
  <c r="D109" i="10" s="1"/>
  <c r="C109" i="10" a="1"/>
  <c r="C109" i="10" s="1"/>
  <c r="R108" i="10"/>
  <c r="D108" i="10" a="1"/>
  <c r="D108" i="10" s="1"/>
  <c r="C108" i="10" a="1"/>
  <c r="C108" i="10" s="1"/>
  <c r="R107" i="10"/>
  <c r="D107" i="10" a="1"/>
  <c r="D107" i="10" s="1"/>
  <c r="C107" i="10" a="1"/>
  <c r="C107" i="10" s="1"/>
  <c r="R106" i="10"/>
  <c r="D106" i="10" a="1"/>
  <c r="D106" i="10" s="1"/>
  <c r="C106" i="10" a="1"/>
  <c r="C106" i="10" s="1"/>
  <c r="R105" i="10"/>
  <c r="D105" i="10" a="1"/>
  <c r="D105" i="10" s="1"/>
  <c r="C105" i="10" a="1"/>
  <c r="C105" i="10" s="1"/>
  <c r="R104" i="10"/>
  <c r="D104" i="10" a="1"/>
  <c r="D104" i="10" s="1"/>
  <c r="C104" i="10" a="1"/>
  <c r="C104" i="10" s="1"/>
  <c r="R103" i="10"/>
  <c r="D103" i="10" a="1"/>
  <c r="D103" i="10" s="1"/>
  <c r="C103" i="10" a="1"/>
  <c r="C103" i="10" s="1"/>
  <c r="R102" i="10"/>
  <c r="D102" i="10" a="1"/>
  <c r="D102" i="10" s="1"/>
  <c r="C102" i="10" a="1"/>
  <c r="C102" i="10" s="1"/>
  <c r="R101" i="10"/>
  <c r="D101" i="10" a="1"/>
  <c r="D101" i="10" s="1"/>
  <c r="C101" i="10" a="1"/>
  <c r="C101" i="10" s="1"/>
  <c r="R100" i="10"/>
  <c r="D100" i="10" a="1"/>
  <c r="D100" i="10" s="1"/>
  <c r="C100" i="10" a="1"/>
  <c r="C100" i="10" s="1"/>
  <c r="R99" i="10"/>
  <c r="D99" i="10" a="1"/>
  <c r="D99" i="10" s="1"/>
  <c r="C99" i="10" a="1"/>
  <c r="C99" i="10" s="1"/>
  <c r="R98" i="10"/>
  <c r="D98" i="10" a="1"/>
  <c r="D98" i="10" s="1"/>
  <c r="C98" i="10" a="1"/>
  <c r="C98" i="10" s="1"/>
  <c r="R97" i="10"/>
  <c r="D97" i="10" a="1"/>
  <c r="D97" i="10" s="1"/>
  <c r="C97" i="10" a="1"/>
  <c r="C97" i="10" s="1"/>
  <c r="R96" i="10"/>
  <c r="D96" i="10" a="1"/>
  <c r="D96" i="10" s="1"/>
  <c r="C96" i="10" a="1"/>
  <c r="C96" i="10" s="1"/>
  <c r="R95" i="10"/>
  <c r="D95" i="10" a="1"/>
  <c r="D95" i="10" s="1"/>
  <c r="C95" i="10" a="1"/>
  <c r="C95" i="10" s="1"/>
  <c r="R94" i="10"/>
  <c r="D94" i="10" a="1"/>
  <c r="D94" i="10" s="1"/>
  <c r="C94" i="10" a="1"/>
  <c r="C94" i="10" s="1"/>
  <c r="R93" i="10"/>
  <c r="D93" i="10" a="1"/>
  <c r="D93" i="10" s="1"/>
  <c r="C93" i="10" a="1"/>
  <c r="C93" i="10" s="1"/>
  <c r="R92" i="10"/>
  <c r="D92" i="10" a="1"/>
  <c r="D92" i="10" s="1"/>
  <c r="C92" i="10" a="1"/>
  <c r="C92" i="10" s="1"/>
  <c r="R91" i="10"/>
  <c r="D91" i="10" a="1"/>
  <c r="D91" i="10" s="1"/>
  <c r="C91" i="10" a="1"/>
  <c r="C91" i="10" s="1"/>
  <c r="R90" i="10"/>
  <c r="D90" i="10" a="1"/>
  <c r="D90" i="10" s="1"/>
  <c r="C90" i="10" a="1"/>
  <c r="C90" i="10" s="1"/>
  <c r="R89" i="10"/>
  <c r="D89" i="10" a="1"/>
  <c r="D89" i="10" s="1"/>
  <c r="C89" i="10" a="1"/>
  <c r="C89" i="10" s="1"/>
  <c r="R88" i="10"/>
  <c r="D88" i="10" a="1"/>
  <c r="D88" i="10" s="1"/>
  <c r="C88" i="10" a="1"/>
  <c r="C88" i="10" s="1"/>
  <c r="R87" i="10"/>
  <c r="D87" i="10" a="1"/>
  <c r="D87" i="10" s="1"/>
  <c r="C87" i="10" a="1"/>
  <c r="C87" i="10" s="1"/>
  <c r="R86" i="10"/>
  <c r="D86" i="10" a="1"/>
  <c r="D86" i="10" s="1"/>
  <c r="C86" i="10" a="1"/>
  <c r="C86" i="10" s="1"/>
  <c r="R85" i="10"/>
  <c r="D85" i="10" a="1"/>
  <c r="D85" i="10" s="1"/>
  <c r="C85" i="10" a="1"/>
  <c r="C85" i="10" s="1"/>
  <c r="R84" i="10"/>
  <c r="D84" i="10" a="1"/>
  <c r="D84" i="10" s="1"/>
  <c r="C84" i="10" a="1"/>
  <c r="C84" i="10" s="1"/>
  <c r="R83" i="10"/>
  <c r="D83" i="10" a="1"/>
  <c r="D83" i="10" s="1"/>
  <c r="C83" i="10" a="1"/>
  <c r="C83" i="10" s="1"/>
  <c r="R82" i="10"/>
  <c r="D82" i="10" a="1"/>
  <c r="D82" i="10" s="1"/>
  <c r="C82" i="10" a="1"/>
  <c r="C82" i="10" s="1"/>
  <c r="R81" i="10"/>
  <c r="D81" i="10" a="1"/>
  <c r="D81" i="10" s="1"/>
  <c r="C81" i="10" a="1"/>
  <c r="C81" i="10" s="1"/>
  <c r="R80" i="10"/>
  <c r="D80" i="10" a="1"/>
  <c r="D80" i="10" s="1"/>
  <c r="C80" i="10" a="1"/>
  <c r="C80" i="10" s="1"/>
  <c r="R79" i="10"/>
  <c r="D79" i="10" a="1"/>
  <c r="D79" i="10" s="1"/>
  <c r="C79" i="10" a="1"/>
  <c r="C79" i="10" s="1"/>
  <c r="R78" i="10"/>
  <c r="D78" i="10" a="1"/>
  <c r="D78" i="10" s="1"/>
  <c r="C78" i="10" a="1"/>
  <c r="C78" i="10" s="1"/>
  <c r="R77" i="10"/>
  <c r="D77" i="10" a="1"/>
  <c r="D77" i="10" s="1"/>
  <c r="C77" i="10" a="1"/>
  <c r="C77" i="10" s="1"/>
  <c r="R76" i="10"/>
  <c r="D76" i="10" a="1"/>
  <c r="D76" i="10" s="1"/>
  <c r="C76" i="10" a="1"/>
  <c r="C76" i="10" s="1"/>
  <c r="R75" i="10"/>
  <c r="D75" i="10" a="1"/>
  <c r="D75" i="10" s="1"/>
  <c r="C75" i="10" a="1"/>
  <c r="C75" i="10" s="1"/>
  <c r="R74" i="10"/>
  <c r="D74" i="10" a="1"/>
  <c r="D74" i="10" s="1"/>
  <c r="C74" i="10" a="1"/>
  <c r="C74" i="10" s="1"/>
  <c r="R73" i="10"/>
  <c r="D73" i="10" a="1"/>
  <c r="D73" i="10" s="1"/>
  <c r="C73" i="10" a="1"/>
  <c r="C73" i="10" s="1"/>
  <c r="R72" i="10"/>
  <c r="D72" i="10" a="1"/>
  <c r="D72" i="10" s="1"/>
  <c r="C72" i="10" a="1"/>
  <c r="C72" i="10" s="1"/>
  <c r="R71" i="10"/>
  <c r="D71" i="10" a="1"/>
  <c r="D71" i="10" s="1"/>
  <c r="C71" i="10" a="1"/>
  <c r="C71" i="10" s="1"/>
  <c r="R70" i="10"/>
  <c r="D70" i="10" a="1"/>
  <c r="D70" i="10" s="1"/>
  <c r="C70" i="10" a="1"/>
  <c r="C70" i="10" s="1"/>
  <c r="R69" i="10"/>
  <c r="D69" i="10" a="1"/>
  <c r="D69" i="10" s="1"/>
  <c r="C69" i="10" a="1"/>
  <c r="C69" i="10" s="1"/>
  <c r="R68" i="10"/>
  <c r="D68" i="10" a="1"/>
  <c r="D68" i="10" s="1"/>
  <c r="C68" i="10" a="1"/>
  <c r="C68" i="10" s="1"/>
  <c r="R67" i="10"/>
  <c r="D67" i="10" a="1"/>
  <c r="D67" i="10" s="1"/>
  <c r="C67" i="10" a="1"/>
  <c r="C67" i="10" s="1"/>
  <c r="R66" i="10"/>
  <c r="D66" i="10" a="1"/>
  <c r="D66" i="10" s="1"/>
  <c r="C66" i="10" a="1"/>
  <c r="C66" i="10" s="1"/>
  <c r="R65" i="10"/>
  <c r="D65" i="10" a="1"/>
  <c r="D65" i="10" s="1"/>
  <c r="C65" i="10" a="1"/>
  <c r="C65" i="10" s="1"/>
  <c r="R64" i="10"/>
  <c r="D64" i="10" a="1"/>
  <c r="D64" i="10" s="1"/>
  <c r="C64" i="10" a="1"/>
  <c r="C64" i="10" s="1"/>
  <c r="R63" i="10"/>
  <c r="D63" i="10" a="1"/>
  <c r="D63" i="10" s="1"/>
  <c r="C63" i="10" a="1"/>
  <c r="C63" i="10" s="1"/>
  <c r="R62" i="10"/>
  <c r="D62" i="10" a="1"/>
  <c r="D62" i="10" s="1"/>
  <c r="C62" i="10" a="1"/>
  <c r="C62" i="10" s="1"/>
  <c r="R61" i="10"/>
  <c r="D61" i="10" a="1"/>
  <c r="D61" i="10" s="1"/>
  <c r="C61" i="10" a="1"/>
  <c r="C61" i="10" s="1"/>
  <c r="R60" i="10"/>
  <c r="D60" i="10" a="1"/>
  <c r="D60" i="10" s="1"/>
  <c r="C60" i="10" a="1"/>
  <c r="C60" i="10" s="1"/>
  <c r="R59" i="10"/>
  <c r="D59" i="10" a="1"/>
  <c r="D59" i="10" s="1"/>
  <c r="C59" i="10" a="1"/>
  <c r="C59" i="10" s="1"/>
  <c r="R58" i="10"/>
  <c r="D58" i="10" a="1"/>
  <c r="D58" i="10" s="1"/>
  <c r="C58" i="10" a="1"/>
  <c r="C58" i="10" s="1"/>
  <c r="R57" i="10"/>
  <c r="D57" i="10" a="1"/>
  <c r="D57" i="10" s="1"/>
  <c r="C57" i="10" a="1"/>
  <c r="C57" i="10" s="1"/>
  <c r="R56" i="10"/>
  <c r="D56" i="10" a="1"/>
  <c r="D56" i="10" s="1"/>
  <c r="C56" i="10" a="1"/>
  <c r="C56" i="10" s="1"/>
  <c r="R55" i="10"/>
  <c r="D55" i="10" a="1"/>
  <c r="D55" i="10" s="1"/>
  <c r="C55" i="10" a="1"/>
  <c r="C55" i="10" s="1"/>
  <c r="R54" i="10"/>
  <c r="D54" i="10" a="1"/>
  <c r="D54" i="10" s="1"/>
  <c r="C54" i="10" a="1"/>
  <c r="C54" i="10" s="1"/>
  <c r="R53" i="10"/>
  <c r="D53" i="10" a="1"/>
  <c r="D53" i="10" s="1"/>
  <c r="C53" i="10" a="1"/>
  <c r="C53" i="10" s="1"/>
  <c r="R52" i="10"/>
  <c r="D52" i="10" a="1"/>
  <c r="D52" i="10" s="1"/>
  <c r="C52" i="10" a="1"/>
  <c r="C52" i="10" s="1"/>
  <c r="R51" i="10"/>
  <c r="D51" i="10" a="1"/>
  <c r="D51" i="10" s="1"/>
  <c r="C51" i="10" a="1"/>
  <c r="C51" i="10" s="1"/>
  <c r="R50" i="10"/>
  <c r="D50" i="10" a="1"/>
  <c r="D50" i="10" s="1"/>
  <c r="C50" i="10" a="1"/>
  <c r="C50" i="10" s="1"/>
  <c r="R49" i="10"/>
  <c r="D49" i="10" a="1"/>
  <c r="D49" i="10" s="1"/>
  <c r="C49" i="10" a="1"/>
  <c r="C49" i="10" s="1"/>
  <c r="R48" i="10"/>
  <c r="D48" i="10" a="1"/>
  <c r="D48" i="10" s="1"/>
  <c r="C48" i="10" a="1"/>
  <c r="C48" i="10" s="1"/>
  <c r="R47" i="10"/>
  <c r="D47" i="10" a="1"/>
  <c r="D47" i="10" s="1"/>
  <c r="C47" i="10" a="1"/>
  <c r="C47" i="10" s="1"/>
  <c r="R46" i="10"/>
  <c r="D46" i="10" a="1"/>
  <c r="D46" i="10" s="1"/>
  <c r="C46" i="10" a="1"/>
  <c r="C46" i="10" s="1"/>
  <c r="R45" i="10"/>
  <c r="D45" i="10" a="1"/>
  <c r="D45" i="10" s="1"/>
  <c r="C45" i="10" a="1"/>
  <c r="C45" i="10" s="1"/>
  <c r="R44" i="10"/>
  <c r="D44" i="10" a="1"/>
  <c r="D44" i="10" s="1"/>
  <c r="C44" i="10" a="1"/>
  <c r="C44" i="10" s="1"/>
  <c r="R43" i="10"/>
  <c r="D43" i="10" a="1"/>
  <c r="D43" i="10" s="1"/>
  <c r="C43" i="10" a="1"/>
  <c r="C43" i="10" s="1"/>
  <c r="R42" i="10"/>
  <c r="D42" i="10" a="1"/>
  <c r="D42" i="10" s="1"/>
  <c r="C42" i="10" a="1"/>
  <c r="C42" i="10" s="1"/>
  <c r="R41" i="10"/>
  <c r="D41" i="10" a="1"/>
  <c r="D41" i="10" s="1"/>
  <c r="C41" i="10" a="1"/>
  <c r="C41" i="10" s="1"/>
  <c r="R40" i="10"/>
  <c r="D40" i="10" a="1"/>
  <c r="D40" i="10" s="1"/>
  <c r="C40" i="10" a="1"/>
  <c r="C40" i="10" s="1"/>
  <c r="R39" i="10"/>
  <c r="D39" i="10" a="1"/>
  <c r="D39" i="10" s="1"/>
  <c r="C39" i="10" a="1"/>
  <c r="C39" i="10" s="1"/>
  <c r="R38" i="10"/>
  <c r="D38" i="10" a="1"/>
  <c r="D38" i="10" s="1"/>
  <c r="C38" i="10" a="1"/>
  <c r="C38" i="10" s="1"/>
  <c r="R37" i="10"/>
  <c r="D37" i="10" a="1"/>
  <c r="D37" i="10" s="1"/>
  <c r="C37" i="10" a="1"/>
  <c r="C37" i="10" s="1"/>
  <c r="R36" i="10"/>
  <c r="D36" i="10" a="1"/>
  <c r="D36" i="10" s="1"/>
  <c r="C36" i="10" a="1"/>
  <c r="C36" i="10" s="1"/>
  <c r="R35" i="10"/>
  <c r="D35" i="10" a="1"/>
  <c r="D35" i="10" s="1"/>
  <c r="C35" i="10" a="1"/>
  <c r="C35" i="10" s="1"/>
  <c r="R34" i="10"/>
  <c r="D34" i="10" a="1"/>
  <c r="D34" i="10" s="1"/>
  <c r="C34" i="10" a="1"/>
  <c r="C34" i="10" s="1"/>
  <c r="R33" i="10"/>
  <c r="D33" i="10" a="1"/>
  <c r="D33" i="10" s="1"/>
  <c r="C33" i="10" a="1"/>
  <c r="C33" i="10" s="1"/>
  <c r="R32" i="10"/>
  <c r="D32" i="10" a="1"/>
  <c r="D32" i="10" s="1"/>
  <c r="C32" i="10" a="1"/>
  <c r="C32" i="10" s="1"/>
  <c r="R31" i="10"/>
  <c r="D31" i="10" a="1"/>
  <c r="D31" i="10" s="1"/>
  <c r="C31" i="10" a="1"/>
  <c r="C31" i="10" s="1"/>
  <c r="R30" i="10"/>
  <c r="D30" i="10" a="1"/>
  <c r="D30" i="10" s="1"/>
  <c r="C30" i="10" a="1"/>
  <c r="C30" i="10" s="1"/>
  <c r="R29" i="10"/>
  <c r="D29" i="10" a="1"/>
  <c r="D29" i="10" s="1"/>
  <c r="C29" i="10" a="1"/>
  <c r="C29" i="10" s="1"/>
  <c r="R28" i="10"/>
  <c r="D28" i="10" a="1"/>
  <c r="D28" i="10" s="1"/>
  <c r="C28" i="10" a="1"/>
  <c r="C28" i="10" s="1"/>
  <c r="R27" i="10"/>
  <c r="D27" i="10" a="1"/>
  <c r="D27" i="10" s="1"/>
  <c r="C27" i="10" a="1"/>
  <c r="C27" i="10" s="1"/>
  <c r="R26" i="10"/>
  <c r="D26" i="10" a="1"/>
  <c r="D26" i="10" s="1"/>
  <c r="C26" i="10" a="1"/>
  <c r="C26" i="10" s="1"/>
  <c r="R25" i="10"/>
  <c r="D25" i="10" a="1"/>
  <c r="D25" i="10" s="1"/>
  <c r="C25" i="10" a="1"/>
  <c r="C25" i="10" s="1"/>
  <c r="R24" i="10"/>
  <c r="D24" i="10" a="1"/>
  <c r="D24" i="10" s="1"/>
  <c r="C24" i="10" a="1"/>
  <c r="C24" i="10" s="1"/>
  <c r="R23" i="10"/>
  <c r="D23" i="10" a="1"/>
  <c r="D23" i="10" s="1"/>
  <c r="C23" i="10" a="1"/>
  <c r="C23" i="10" s="1"/>
  <c r="R22" i="10"/>
  <c r="D22" i="10" a="1"/>
  <c r="D22" i="10" s="1"/>
  <c r="C22" i="10" a="1"/>
  <c r="C22" i="10" s="1"/>
  <c r="R21" i="10"/>
  <c r="D21" i="10" a="1"/>
  <c r="D21" i="10" s="1"/>
  <c r="C21" i="10" a="1"/>
  <c r="C21" i="10" s="1"/>
  <c r="R20" i="10"/>
  <c r="D20" i="10" a="1"/>
  <c r="D20" i="10" s="1"/>
  <c r="C20" i="10" a="1"/>
  <c r="C20" i="10" s="1"/>
  <c r="R19" i="10"/>
  <c r="D19" i="10" a="1"/>
  <c r="D19" i="10" s="1"/>
  <c r="C19" i="10" a="1"/>
  <c r="C19" i="10" s="1"/>
  <c r="R18" i="10"/>
  <c r="D18" i="10" a="1"/>
  <c r="D18" i="10" s="1"/>
  <c r="C18" i="10" a="1"/>
  <c r="C18" i="10" s="1"/>
  <c r="R17" i="10"/>
  <c r="D17" i="10" a="1"/>
  <c r="D17" i="10" s="1"/>
  <c r="C17" i="10" a="1"/>
  <c r="C17" i="10" s="1"/>
  <c r="R16" i="10"/>
  <c r="D16" i="10" a="1"/>
  <c r="D16" i="10" s="1"/>
  <c r="C16" i="10" a="1"/>
  <c r="C16" i="10" s="1"/>
  <c r="R15" i="10"/>
  <c r="D15" i="10" a="1"/>
  <c r="D15" i="10" s="1"/>
  <c r="C15" i="10" a="1"/>
  <c r="C15" i="10" s="1"/>
  <c r="R14" i="10"/>
  <c r="D14" i="10" a="1"/>
  <c r="D14" i="10" s="1"/>
  <c r="C14" i="10" a="1"/>
  <c r="C14" i="10" s="1"/>
  <c r="R13" i="10"/>
  <c r="D13" i="10" a="1"/>
  <c r="D13" i="10" s="1"/>
  <c r="C13" i="10" a="1"/>
  <c r="C13" i="10" s="1"/>
  <c r="R12" i="10"/>
  <c r="D12" i="10" a="1"/>
  <c r="D12" i="10" s="1"/>
  <c r="C12" i="10" a="1"/>
  <c r="C12" i="10" s="1"/>
  <c r="R11" i="10"/>
  <c r="D11" i="10" a="1"/>
  <c r="D11" i="10" s="1"/>
  <c r="C11" i="10" a="1"/>
  <c r="C11" i="10" s="1"/>
  <c r="R10" i="10"/>
  <c r="D10" i="10" a="1"/>
  <c r="D10" i="10" s="1"/>
  <c r="C10" i="10" a="1"/>
  <c r="C10" i="10" s="1"/>
  <c r="R9" i="10"/>
  <c r="D9" i="10" a="1"/>
  <c r="D9" i="10" s="1"/>
  <c r="C9" i="10" a="1"/>
  <c r="C9" i="10" s="1"/>
  <c r="R8" i="10"/>
  <c r="D8" i="10" a="1"/>
  <c r="D8" i="10" s="1"/>
  <c r="C8" i="10" a="1"/>
  <c r="C8" i="10" s="1"/>
  <c r="R7" i="10"/>
  <c r="D7" i="10" a="1"/>
  <c r="D7" i="10" s="1"/>
  <c r="C7" i="10" a="1"/>
  <c r="C7" i="10" s="1"/>
  <c r="R6" i="10"/>
  <c r="D6" i="10" a="1"/>
  <c r="D6" i="10" s="1"/>
  <c r="C6" i="10" a="1"/>
  <c r="C6" i="10" s="1"/>
  <c r="R5" i="10"/>
  <c r="D5" i="10" a="1"/>
  <c r="D5" i="10" s="1"/>
  <c r="C5" i="10" a="1"/>
  <c r="C5" i="10" s="1"/>
  <c r="R4" i="10"/>
  <c r="D4" i="10" a="1"/>
  <c r="D4" i="10" s="1"/>
  <c r="C4" i="10" a="1"/>
  <c r="C4" i="10" s="1"/>
  <c r="R3" i="10"/>
  <c r="D3" i="10" a="1"/>
  <c r="D3" i="10" s="1"/>
  <c r="C3" i="10" a="1"/>
  <c r="C3" i="10" s="1"/>
  <c r="F220" i="9"/>
  <c r="B220" i="9"/>
  <c r="F219" i="9"/>
  <c r="B219" i="9"/>
  <c r="F218" i="9"/>
  <c r="B218" i="9"/>
  <c r="F217" i="9"/>
  <c r="B217" i="9"/>
  <c r="F216" i="9"/>
  <c r="B216" i="9"/>
  <c r="F215" i="9"/>
  <c r="B215" i="9"/>
  <c r="F214" i="9"/>
  <c r="B214" i="9"/>
  <c r="F213" i="9"/>
  <c r="B213" i="9"/>
  <c r="F212" i="9"/>
  <c r="B212" i="9"/>
  <c r="F211" i="9"/>
  <c r="B211" i="9"/>
  <c r="F210" i="9"/>
  <c r="B210" i="9"/>
  <c r="F209" i="9"/>
  <c r="B209" i="9"/>
  <c r="F208" i="9"/>
  <c r="B208" i="9"/>
  <c r="F207" i="9"/>
  <c r="B207" i="9"/>
  <c r="F206" i="9"/>
  <c r="B206" i="9"/>
  <c r="F205" i="9"/>
  <c r="B205" i="9"/>
  <c r="F204" i="9"/>
  <c r="B204" i="9"/>
  <c r="F203" i="9"/>
  <c r="B203" i="9"/>
  <c r="F202" i="9"/>
  <c r="B202" i="9"/>
  <c r="F201" i="9"/>
  <c r="B201" i="9"/>
  <c r="F200" i="9"/>
  <c r="B200" i="9"/>
  <c r="F199" i="9"/>
  <c r="B199" i="9"/>
  <c r="F198" i="9"/>
  <c r="B198" i="9"/>
  <c r="F197" i="9"/>
  <c r="B197" i="9"/>
  <c r="F196" i="9"/>
  <c r="B196" i="9"/>
  <c r="F195" i="9"/>
  <c r="B195" i="9"/>
  <c r="F194" i="9"/>
  <c r="B194" i="9"/>
  <c r="F193" i="9"/>
  <c r="B193" i="9"/>
  <c r="F192" i="9"/>
  <c r="B192" i="9"/>
  <c r="F191" i="9"/>
  <c r="B191" i="9"/>
  <c r="F190" i="9"/>
  <c r="B190" i="9"/>
  <c r="F189" i="9"/>
  <c r="B189" i="9"/>
  <c r="F188" i="9"/>
  <c r="B188" i="9"/>
  <c r="F187" i="9"/>
  <c r="B187" i="9"/>
  <c r="F186" i="9"/>
  <c r="B186" i="9"/>
  <c r="F185" i="9"/>
  <c r="B185" i="9"/>
  <c r="F184" i="9"/>
  <c r="B184" i="9"/>
  <c r="F183" i="9"/>
  <c r="B183" i="9"/>
  <c r="F182" i="9"/>
  <c r="B182" i="9"/>
  <c r="F181" i="9"/>
  <c r="B181" i="9"/>
  <c r="F180" i="9"/>
  <c r="B180" i="9"/>
  <c r="F179" i="9"/>
  <c r="B179" i="9"/>
  <c r="F178" i="9"/>
  <c r="B178" i="9"/>
  <c r="F177" i="9"/>
  <c r="B177" i="9"/>
  <c r="F176" i="9"/>
  <c r="B176" i="9"/>
  <c r="F175" i="9"/>
  <c r="B175" i="9"/>
  <c r="F174" i="9"/>
  <c r="B174" i="9"/>
  <c r="F173" i="9"/>
  <c r="B173" i="9"/>
  <c r="F172" i="9"/>
  <c r="B172" i="9"/>
  <c r="F171" i="9"/>
  <c r="B171" i="9"/>
  <c r="F170" i="9"/>
  <c r="B170" i="9"/>
  <c r="F169" i="9"/>
  <c r="B169" i="9"/>
  <c r="F168" i="9"/>
  <c r="B168" i="9"/>
  <c r="F167" i="9"/>
  <c r="B167" i="9"/>
  <c r="F166" i="9"/>
  <c r="B166" i="9"/>
  <c r="F165" i="9"/>
  <c r="B165" i="9"/>
  <c r="F164" i="9"/>
  <c r="B164" i="9"/>
  <c r="F163" i="9"/>
  <c r="B163" i="9"/>
  <c r="F162" i="9"/>
  <c r="B162" i="9"/>
  <c r="F161" i="9"/>
  <c r="B161" i="9"/>
  <c r="F160" i="9"/>
  <c r="B160" i="9"/>
  <c r="F159" i="9"/>
  <c r="B159" i="9"/>
  <c r="F158" i="9"/>
  <c r="B158" i="9"/>
  <c r="F157" i="9"/>
  <c r="B157" i="9"/>
  <c r="F156" i="9"/>
  <c r="B156" i="9"/>
  <c r="F155" i="9"/>
  <c r="B155" i="9"/>
  <c r="F154" i="9"/>
  <c r="B154" i="9"/>
  <c r="F153" i="9"/>
  <c r="B153" i="9"/>
  <c r="F152" i="9"/>
  <c r="B152" i="9"/>
  <c r="F151" i="9"/>
  <c r="B151" i="9"/>
  <c r="F150" i="9"/>
  <c r="B150" i="9"/>
  <c r="F149" i="9"/>
  <c r="B149" i="9"/>
  <c r="F148" i="9"/>
  <c r="B148" i="9"/>
  <c r="F147" i="9"/>
  <c r="B147" i="9"/>
  <c r="F146" i="9"/>
  <c r="B146" i="9"/>
  <c r="F145" i="9"/>
  <c r="B145" i="9"/>
  <c r="F144" i="9"/>
  <c r="B144" i="9"/>
  <c r="F143" i="9"/>
  <c r="B143" i="9"/>
  <c r="F142" i="9"/>
  <c r="B142" i="9"/>
  <c r="F141" i="9"/>
  <c r="B141" i="9"/>
  <c r="F140" i="9"/>
  <c r="B140" i="9"/>
  <c r="F139" i="9"/>
  <c r="B139" i="9"/>
  <c r="F138" i="9"/>
  <c r="B138" i="9"/>
  <c r="F137" i="9"/>
  <c r="B137" i="9"/>
  <c r="F136" i="9"/>
  <c r="B136" i="9"/>
  <c r="F135" i="9"/>
  <c r="B135" i="9"/>
  <c r="F134" i="9"/>
  <c r="B134" i="9"/>
  <c r="F133" i="9"/>
  <c r="B133" i="9"/>
  <c r="F132" i="9"/>
  <c r="B132" i="9"/>
  <c r="F131" i="9"/>
  <c r="B131" i="9"/>
  <c r="F130" i="9"/>
  <c r="B130" i="9"/>
  <c r="F129" i="9"/>
  <c r="B129" i="9"/>
  <c r="F128" i="9"/>
  <c r="B128" i="9"/>
  <c r="F127" i="9"/>
  <c r="B127" i="9"/>
  <c r="F126" i="9"/>
  <c r="B126" i="9"/>
  <c r="F125" i="9"/>
  <c r="B125" i="9"/>
  <c r="F124" i="9"/>
  <c r="B124" i="9"/>
  <c r="F123" i="9"/>
  <c r="B123" i="9"/>
  <c r="F122" i="9"/>
  <c r="B122" i="9"/>
  <c r="F121" i="9"/>
  <c r="B121" i="9"/>
  <c r="F120" i="9"/>
  <c r="B120" i="9"/>
  <c r="F119" i="9"/>
  <c r="B119" i="9"/>
  <c r="F118" i="9"/>
  <c r="B118" i="9"/>
  <c r="F117" i="9"/>
  <c r="B117" i="9"/>
  <c r="F116" i="9"/>
  <c r="B116" i="9"/>
  <c r="F115" i="9"/>
  <c r="B115" i="9"/>
  <c r="F114" i="9"/>
  <c r="B114" i="9"/>
  <c r="F113" i="9"/>
  <c r="B113" i="9"/>
  <c r="F112" i="9"/>
  <c r="B112" i="9"/>
  <c r="F111" i="9"/>
  <c r="B111" i="9"/>
  <c r="F110" i="9"/>
  <c r="B110" i="9"/>
  <c r="F109" i="9"/>
  <c r="B109" i="9"/>
  <c r="F108" i="9"/>
  <c r="B108" i="9"/>
  <c r="F107" i="9"/>
  <c r="B107" i="9"/>
  <c r="F106" i="9"/>
  <c r="B106" i="9"/>
  <c r="F105" i="9"/>
  <c r="B105" i="9"/>
  <c r="F104" i="9"/>
  <c r="B104" i="9"/>
  <c r="F103" i="9"/>
  <c r="B103" i="9"/>
  <c r="F102" i="9"/>
  <c r="B102" i="9"/>
  <c r="F101" i="9"/>
  <c r="B101" i="9"/>
  <c r="F100" i="9"/>
  <c r="B100" i="9"/>
  <c r="F99" i="9"/>
  <c r="B99" i="9"/>
  <c r="F98" i="9"/>
  <c r="B98" i="9"/>
  <c r="F97" i="9"/>
  <c r="B97" i="9"/>
  <c r="F96" i="9"/>
  <c r="B96" i="9"/>
  <c r="F95" i="9"/>
  <c r="B95" i="9"/>
  <c r="F94" i="9"/>
  <c r="B94" i="9"/>
  <c r="F93" i="9"/>
  <c r="B93" i="9"/>
  <c r="F92" i="9"/>
  <c r="B92" i="9"/>
  <c r="F91" i="9"/>
  <c r="B91" i="9"/>
  <c r="F90" i="9"/>
  <c r="B90" i="9"/>
  <c r="F89" i="9"/>
  <c r="B89" i="9"/>
  <c r="F88" i="9"/>
  <c r="B88" i="9"/>
  <c r="F87" i="9"/>
  <c r="B87" i="9"/>
  <c r="F86" i="9"/>
  <c r="B86" i="9"/>
  <c r="F85" i="9"/>
  <c r="B85" i="9"/>
  <c r="F84" i="9"/>
  <c r="B84" i="9"/>
  <c r="F83" i="9"/>
  <c r="B83" i="9"/>
  <c r="F82" i="9"/>
  <c r="B82" i="9"/>
  <c r="F81" i="9"/>
  <c r="B81" i="9"/>
  <c r="F80" i="9"/>
  <c r="B80" i="9"/>
  <c r="F79" i="9"/>
  <c r="B79" i="9"/>
  <c r="F78" i="9"/>
  <c r="B78" i="9"/>
  <c r="F77" i="9"/>
  <c r="B77" i="9"/>
  <c r="F76" i="9"/>
  <c r="B76" i="9"/>
  <c r="F75" i="9"/>
  <c r="B75" i="9"/>
  <c r="F74" i="9"/>
  <c r="B74" i="9"/>
  <c r="F73" i="9"/>
  <c r="B73" i="9"/>
  <c r="F72" i="9"/>
  <c r="B72" i="9"/>
  <c r="F71" i="9"/>
  <c r="B71" i="9"/>
  <c r="F70" i="9"/>
  <c r="B70" i="9"/>
  <c r="F69" i="9"/>
  <c r="B69" i="9"/>
  <c r="F68" i="9"/>
  <c r="B68" i="9"/>
  <c r="F67" i="9"/>
  <c r="B67" i="9"/>
  <c r="F66" i="9"/>
  <c r="B66" i="9"/>
  <c r="F65" i="9"/>
  <c r="B65" i="9"/>
  <c r="F64" i="9"/>
  <c r="B64" i="9"/>
  <c r="F63" i="9"/>
  <c r="B63" i="9"/>
  <c r="F62" i="9"/>
  <c r="B62" i="9"/>
  <c r="F61" i="9"/>
  <c r="B61" i="9"/>
  <c r="F60" i="9"/>
  <c r="B60" i="9"/>
  <c r="F59" i="9"/>
  <c r="B59" i="9"/>
  <c r="F58" i="9"/>
  <c r="B58" i="9"/>
  <c r="F57" i="9"/>
  <c r="B57" i="9"/>
  <c r="F56" i="9"/>
  <c r="B56" i="9"/>
  <c r="F55" i="9"/>
  <c r="B55" i="9"/>
  <c r="F54" i="9"/>
  <c r="B54" i="9"/>
  <c r="F53" i="9"/>
  <c r="B53" i="9"/>
  <c r="F52" i="9"/>
  <c r="B52" i="9"/>
  <c r="F51" i="9"/>
  <c r="B51" i="9"/>
  <c r="F50" i="9"/>
  <c r="B50" i="9"/>
  <c r="F49" i="9"/>
  <c r="B49" i="9"/>
  <c r="F48" i="9"/>
  <c r="B48" i="9"/>
  <c r="F47" i="9"/>
  <c r="B47" i="9"/>
  <c r="F46" i="9"/>
  <c r="B46" i="9"/>
  <c r="F45" i="9"/>
  <c r="B45" i="9"/>
  <c r="F44" i="9"/>
  <c r="B44" i="9"/>
  <c r="F43" i="9"/>
  <c r="B43" i="9"/>
  <c r="F42" i="9"/>
  <c r="B42" i="9"/>
  <c r="F41" i="9"/>
  <c r="B41" i="9"/>
  <c r="F40" i="9"/>
  <c r="B40" i="9"/>
  <c r="F39" i="9"/>
  <c r="B39" i="9"/>
  <c r="F38" i="9"/>
  <c r="B38" i="9"/>
  <c r="F37" i="9"/>
  <c r="B37" i="9"/>
  <c r="F36" i="9"/>
  <c r="B36" i="9"/>
  <c r="F35" i="9"/>
  <c r="B35" i="9"/>
  <c r="F34" i="9"/>
  <c r="B34" i="9"/>
  <c r="F33" i="9"/>
  <c r="B33" i="9"/>
  <c r="F32" i="9"/>
  <c r="B32" i="9"/>
  <c r="F31" i="9"/>
  <c r="B31" i="9"/>
  <c r="F30" i="9"/>
  <c r="B30" i="9"/>
  <c r="F29" i="9"/>
  <c r="B29" i="9"/>
  <c r="F28" i="9"/>
  <c r="B28" i="9"/>
  <c r="F27" i="9"/>
  <c r="B27" i="9"/>
  <c r="F26" i="9"/>
  <c r="B26" i="9"/>
  <c r="F25" i="9"/>
  <c r="B25" i="9"/>
  <c r="F24" i="9"/>
  <c r="B24" i="9"/>
  <c r="F23" i="9"/>
  <c r="B23" i="9"/>
  <c r="F22" i="9"/>
  <c r="B22" i="9"/>
  <c r="F21" i="9"/>
  <c r="B21" i="9"/>
  <c r="F20" i="9"/>
  <c r="B20" i="9"/>
  <c r="F19" i="9"/>
  <c r="B19" i="9"/>
  <c r="F18" i="9"/>
  <c r="B18" i="9"/>
  <c r="M17" i="9"/>
  <c r="F17" i="9"/>
  <c r="B17" i="9"/>
  <c r="S16" i="9"/>
  <c r="R16" i="9"/>
  <c r="F16" i="9"/>
  <c r="B16" i="9"/>
  <c r="S15" i="9"/>
  <c r="R15" i="9"/>
  <c r="F15" i="9"/>
  <c r="B15" i="9"/>
  <c r="S14" i="9"/>
  <c r="R14" i="9"/>
  <c r="F14" i="9"/>
  <c r="B14" i="9"/>
  <c r="S13" i="9"/>
  <c r="R13" i="9"/>
  <c r="F13" i="9"/>
  <c r="B13" i="9"/>
  <c r="S12" i="9"/>
  <c r="R12" i="9"/>
  <c r="F12" i="9"/>
  <c r="B12" i="9"/>
  <c r="S11" i="9"/>
  <c r="R11" i="9"/>
  <c r="F11" i="9"/>
  <c r="B11" i="9"/>
  <c r="S10" i="9"/>
  <c r="R10" i="9"/>
  <c r="F10" i="9"/>
  <c r="B10" i="9"/>
  <c r="S9" i="9"/>
  <c r="R9" i="9"/>
  <c r="F9" i="9"/>
  <c r="B9" i="9"/>
  <c r="S8" i="9"/>
  <c r="R8" i="9"/>
  <c r="F8" i="9"/>
  <c r="B8" i="9"/>
  <c r="S7" i="9"/>
  <c r="R7" i="9"/>
  <c r="F7" i="9"/>
  <c r="B7" i="9"/>
  <c r="S6" i="9"/>
  <c r="R6" i="9"/>
  <c r="F6" i="9"/>
  <c r="B6" i="9"/>
  <c r="S5" i="9"/>
  <c r="R5" i="9"/>
  <c r="F5" i="9"/>
  <c r="B5" i="9"/>
  <c r="F4" i="9"/>
  <c r="B4" i="9"/>
  <c r="F48" i="8"/>
  <c r="E48" i="8"/>
  <c r="F47" i="8"/>
  <c r="H44" i="8"/>
  <c r="G44" i="8"/>
  <c r="F44" i="8"/>
  <c r="E44" i="8"/>
  <c r="P43" i="8"/>
  <c r="O43" i="8"/>
  <c r="N43" i="8"/>
  <c r="M43" i="8"/>
  <c r="L43" i="8"/>
  <c r="K43" i="8"/>
  <c r="J43" i="8"/>
  <c r="I43" i="8"/>
  <c r="H41" i="8"/>
  <c r="G41" i="8"/>
  <c r="F41" i="8"/>
  <c r="E41" i="8"/>
  <c r="P40" i="8"/>
  <c r="O40" i="8"/>
  <c r="N40" i="8"/>
  <c r="M40" i="8"/>
  <c r="L40" i="8"/>
  <c r="K40" i="8"/>
  <c r="C40" i="8" s="1"/>
  <c r="J40" i="8"/>
  <c r="I40" i="8"/>
  <c r="F38" i="8"/>
  <c r="E38" i="8"/>
  <c r="P37" i="8"/>
  <c r="O37" i="8"/>
  <c r="N37" i="8"/>
  <c r="M37" i="8"/>
  <c r="L37" i="8"/>
  <c r="K37" i="8"/>
  <c r="J37" i="8"/>
  <c r="I37" i="8"/>
  <c r="H37" i="8"/>
  <c r="H38" i="8" s="1"/>
  <c r="G37" i="8"/>
  <c r="F37" i="8"/>
  <c r="E37" i="8"/>
  <c r="E47" i="8" s="1"/>
  <c r="H35" i="8"/>
  <c r="G35" i="8"/>
  <c r="F35" i="8"/>
  <c r="E35" i="8"/>
  <c r="P34" i="8"/>
  <c r="O34" i="8"/>
  <c r="N34" i="8"/>
  <c r="M34" i="8"/>
  <c r="L34" i="8"/>
  <c r="K34" i="8"/>
  <c r="J34" i="8"/>
  <c r="I34" i="8"/>
  <c r="C34" i="8" s="1"/>
  <c r="H32" i="8"/>
  <c r="G32" i="8"/>
  <c r="F32" i="8"/>
  <c r="E32" i="8"/>
  <c r="P31" i="8"/>
  <c r="O31" i="8"/>
  <c r="N31" i="8"/>
  <c r="M31" i="8"/>
  <c r="L31" i="8"/>
  <c r="K31" i="8"/>
  <c r="J31" i="8"/>
  <c r="I31" i="8"/>
  <c r="C31" i="8" s="1"/>
  <c r="H29" i="8"/>
  <c r="G29" i="8"/>
  <c r="F29" i="8"/>
  <c r="E29" i="8"/>
  <c r="P28" i="8"/>
  <c r="O28" i="8"/>
  <c r="N28" i="8"/>
  <c r="C28" i="8" s="1"/>
  <c r="M28" i="8"/>
  <c r="L28" i="8"/>
  <c r="K28" i="8"/>
  <c r="J28" i="8"/>
  <c r="I28" i="8"/>
  <c r="H26" i="8"/>
  <c r="G26" i="8"/>
  <c r="F26" i="8"/>
  <c r="E26" i="8"/>
  <c r="P25" i="8"/>
  <c r="O25" i="8"/>
  <c r="N25" i="8"/>
  <c r="M25" i="8"/>
  <c r="L25" i="8"/>
  <c r="K25" i="8"/>
  <c r="J25" i="8"/>
  <c r="I25" i="8"/>
  <c r="H23" i="8"/>
  <c r="G23" i="8"/>
  <c r="F23" i="8"/>
  <c r="E23" i="8"/>
  <c r="P22" i="8"/>
  <c r="O22" i="8"/>
  <c r="N22" i="8"/>
  <c r="M22" i="8"/>
  <c r="L22" i="8"/>
  <c r="K22" i="8"/>
  <c r="J22" i="8"/>
  <c r="I22" i="8"/>
  <c r="H20" i="8"/>
  <c r="G20" i="8"/>
  <c r="F20" i="8"/>
  <c r="E20" i="8"/>
  <c r="P19" i="8"/>
  <c r="O19" i="8"/>
  <c r="N19" i="8"/>
  <c r="M19" i="8"/>
  <c r="L19" i="8"/>
  <c r="K19" i="8"/>
  <c r="J19" i="8"/>
  <c r="I19" i="8"/>
  <c r="H17" i="8"/>
  <c r="G17" i="8"/>
  <c r="F17" i="8"/>
  <c r="E17" i="8"/>
  <c r="P16" i="8"/>
  <c r="O16" i="8"/>
  <c r="N16" i="8"/>
  <c r="M16" i="8"/>
  <c r="L16" i="8"/>
  <c r="K16" i="8"/>
  <c r="C16" i="8" s="1"/>
  <c r="J16" i="8"/>
  <c r="I16" i="8"/>
  <c r="H14" i="8"/>
  <c r="G14" i="8"/>
  <c r="F14" i="8"/>
  <c r="E14" i="8"/>
  <c r="P13" i="8"/>
  <c r="O13" i="8"/>
  <c r="N13" i="8"/>
  <c r="M13" i="8"/>
  <c r="L13" i="8"/>
  <c r="K13" i="8"/>
  <c r="J13" i="8"/>
  <c r="I13" i="8"/>
  <c r="H11" i="8"/>
  <c r="G11" i="8"/>
  <c r="F11" i="8"/>
  <c r="E11" i="8"/>
  <c r="P10" i="8"/>
  <c r="O10" i="8"/>
  <c r="N10" i="8"/>
  <c r="M10" i="8"/>
  <c r="C10" i="8" s="1"/>
  <c r="L10" i="8"/>
  <c r="K10" i="8"/>
  <c r="J10" i="8"/>
  <c r="I10" i="8"/>
  <c r="H8" i="8"/>
  <c r="G8" i="8"/>
  <c r="F8" i="8"/>
  <c r="E8" i="8"/>
  <c r="B1" i="8"/>
  <c r="D25" i="8" s="1"/>
  <c r="V18" i="7"/>
  <c r="S18" i="7"/>
  <c r="R18" i="7"/>
  <c r="Q18" i="7"/>
  <c r="V9" i="7"/>
  <c r="S9" i="7"/>
  <c r="R9" i="7"/>
  <c r="T9" i="7" s="1"/>
  <c r="Q9" i="7"/>
  <c r="Y8" i="7"/>
  <c r="Y7" i="7"/>
  <c r="Y6" i="7"/>
  <c r="Y5" i="7"/>
  <c r="Y9" i="7" s="1"/>
  <c r="Y4" i="7"/>
  <c r="G1" i="7"/>
  <c r="N816" i="6"/>
  <c r="M816" i="6"/>
  <c r="I816" i="6"/>
  <c r="H816" i="6"/>
  <c r="G816" i="6"/>
  <c r="B816" i="6"/>
  <c r="N815" i="6"/>
  <c r="M815" i="6"/>
  <c r="K815" i="6"/>
  <c r="J815" i="6"/>
  <c r="I815" i="6"/>
  <c r="H815" i="6"/>
  <c r="G815" i="6"/>
  <c r="B815" i="6"/>
  <c r="N814" i="6"/>
  <c r="M814" i="6"/>
  <c r="K814" i="6"/>
  <c r="J814" i="6"/>
  <c r="L814" i="6" s="1"/>
  <c r="I814" i="6"/>
  <c r="H814" i="6"/>
  <c r="G814" i="6"/>
  <c r="B814" i="6"/>
  <c r="N813" i="6"/>
  <c r="H813" i="6"/>
  <c r="G813" i="6"/>
  <c r="M813" i="6" s="1"/>
  <c r="B813" i="6"/>
  <c r="N812" i="6"/>
  <c r="H812" i="6"/>
  <c r="G812" i="6"/>
  <c r="M812" i="6" s="1"/>
  <c r="B812" i="6"/>
  <c r="N811" i="6"/>
  <c r="J811" i="6"/>
  <c r="H811" i="6"/>
  <c r="G811" i="6"/>
  <c r="M811" i="6" s="1"/>
  <c r="B811" i="6"/>
  <c r="N810" i="6"/>
  <c r="K810" i="6"/>
  <c r="J810" i="6"/>
  <c r="H810" i="6"/>
  <c r="I810" i="6" s="1"/>
  <c r="G810" i="6"/>
  <c r="M810" i="6" s="1"/>
  <c r="B810" i="6"/>
  <c r="N809" i="6"/>
  <c r="K809" i="6"/>
  <c r="H809" i="6"/>
  <c r="I809" i="6" s="1"/>
  <c r="G809" i="6"/>
  <c r="M809" i="6" s="1"/>
  <c r="B809" i="6"/>
  <c r="N808" i="6"/>
  <c r="H808" i="6"/>
  <c r="G808" i="6"/>
  <c r="M808" i="6" s="1"/>
  <c r="B808" i="6"/>
  <c r="N807" i="6"/>
  <c r="M807" i="6"/>
  <c r="H807" i="6"/>
  <c r="G807" i="6"/>
  <c r="B807" i="6"/>
  <c r="N806" i="6"/>
  <c r="M806" i="6"/>
  <c r="K806" i="6"/>
  <c r="J806" i="6"/>
  <c r="I806" i="6"/>
  <c r="L806" i="6" s="1"/>
  <c r="H806" i="6"/>
  <c r="G806" i="6"/>
  <c r="B806" i="6"/>
  <c r="N805" i="6"/>
  <c r="H805" i="6"/>
  <c r="G805" i="6"/>
  <c r="M805" i="6" s="1"/>
  <c r="B805" i="6"/>
  <c r="N804" i="6"/>
  <c r="K804" i="6"/>
  <c r="H804" i="6"/>
  <c r="J804" i="6" s="1"/>
  <c r="G804" i="6"/>
  <c r="M804" i="6" s="1"/>
  <c r="B804" i="6"/>
  <c r="N803" i="6"/>
  <c r="J803" i="6"/>
  <c r="I803" i="6"/>
  <c r="L803" i="6" s="1"/>
  <c r="H803" i="6"/>
  <c r="K803" i="6" s="1"/>
  <c r="G803" i="6"/>
  <c r="M803" i="6" s="1"/>
  <c r="B803" i="6"/>
  <c r="N802" i="6"/>
  <c r="J802" i="6"/>
  <c r="H802" i="6"/>
  <c r="I802" i="6" s="1"/>
  <c r="G802" i="6"/>
  <c r="M802" i="6" s="1"/>
  <c r="B802" i="6"/>
  <c r="N801" i="6"/>
  <c r="K801" i="6"/>
  <c r="J801" i="6"/>
  <c r="I801" i="6"/>
  <c r="H801" i="6"/>
  <c r="G801" i="6"/>
  <c r="M801" i="6" s="1"/>
  <c r="B801" i="6"/>
  <c r="N800" i="6"/>
  <c r="L800" i="6"/>
  <c r="K800" i="6"/>
  <c r="J800" i="6"/>
  <c r="I800" i="6"/>
  <c r="H800" i="6"/>
  <c r="G800" i="6"/>
  <c r="M800" i="6" s="1"/>
  <c r="B800" i="6"/>
  <c r="N799" i="6"/>
  <c r="M799" i="6"/>
  <c r="L799" i="6"/>
  <c r="K799" i="6"/>
  <c r="J799" i="6"/>
  <c r="H799" i="6"/>
  <c r="I799" i="6" s="1"/>
  <c r="G799" i="6"/>
  <c r="B799" i="6"/>
  <c r="N798" i="6"/>
  <c r="M798" i="6"/>
  <c r="L798" i="6"/>
  <c r="K798" i="6"/>
  <c r="J798" i="6"/>
  <c r="I798" i="6"/>
  <c r="H798" i="6"/>
  <c r="G798" i="6"/>
  <c r="B798" i="6"/>
  <c r="N797" i="6"/>
  <c r="M797" i="6"/>
  <c r="J797" i="6"/>
  <c r="H797" i="6"/>
  <c r="G797" i="6"/>
  <c r="B797" i="6"/>
  <c r="N796" i="6"/>
  <c r="M796" i="6"/>
  <c r="H796" i="6"/>
  <c r="G796" i="6"/>
  <c r="B796" i="6"/>
  <c r="N795" i="6"/>
  <c r="M795" i="6"/>
  <c r="I795" i="6"/>
  <c r="H795" i="6"/>
  <c r="G795" i="6"/>
  <c r="B795" i="6"/>
  <c r="N794" i="6"/>
  <c r="M794" i="6"/>
  <c r="H794" i="6"/>
  <c r="G794" i="6"/>
  <c r="B794" i="6"/>
  <c r="N793" i="6"/>
  <c r="H793" i="6"/>
  <c r="G793" i="6"/>
  <c r="M793" i="6" s="1"/>
  <c r="B793" i="6"/>
  <c r="N792" i="6"/>
  <c r="K792" i="6"/>
  <c r="J792" i="6"/>
  <c r="I792" i="6"/>
  <c r="L792" i="6" s="1"/>
  <c r="H792" i="6"/>
  <c r="G792" i="6"/>
  <c r="M792" i="6" s="1"/>
  <c r="B792" i="6"/>
  <c r="N791" i="6"/>
  <c r="M791" i="6"/>
  <c r="H791" i="6"/>
  <c r="G791" i="6"/>
  <c r="B791" i="6"/>
  <c r="N790" i="6"/>
  <c r="K790" i="6"/>
  <c r="J790" i="6"/>
  <c r="I790" i="6"/>
  <c r="L790" i="6" s="1"/>
  <c r="H790" i="6"/>
  <c r="G790" i="6"/>
  <c r="M790" i="6" s="1"/>
  <c r="B790" i="6"/>
  <c r="N789" i="6"/>
  <c r="H789" i="6"/>
  <c r="G789" i="6"/>
  <c r="M789" i="6" s="1"/>
  <c r="B789" i="6"/>
  <c r="N788" i="6"/>
  <c r="M788" i="6"/>
  <c r="I788" i="6"/>
  <c r="H788" i="6"/>
  <c r="G788" i="6"/>
  <c r="B788" i="6"/>
  <c r="N774" i="6"/>
  <c r="M774" i="6"/>
  <c r="H774" i="6"/>
  <c r="G774" i="6"/>
  <c r="B774" i="6"/>
  <c r="N773" i="6"/>
  <c r="M773" i="6"/>
  <c r="K773" i="6"/>
  <c r="I773" i="6"/>
  <c r="L773" i="6" s="1"/>
  <c r="H773" i="6"/>
  <c r="J773" i="6" s="1"/>
  <c r="G773" i="6"/>
  <c r="B773" i="6"/>
  <c r="N772" i="6"/>
  <c r="K772" i="6"/>
  <c r="H772" i="6"/>
  <c r="J772" i="6" s="1"/>
  <c r="G772" i="6"/>
  <c r="M772" i="6" s="1"/>
  <c r="B772" i="6"/>
  <c r="N771" i="6"/>
  <c r="M771" i="6"/>
  <c r="J771" i="6"/>
  <c r="I771" i="6"/>
  <c r="L771" i="6" s="1"/>
  <c r="H771" i="6"/>
  <c r="K771" i="6" s="1"/>
  <c r="G771" i="6"/>
  <c r="B771" i="6"/>
  <c r="N770" i="6"/>
  <c r="M770" i="6"/>
  <c r="H770" i="6"/>
  <c r="K770" i="6" s="1"/>
  <c r="G770" i="6"/>
  <c r="B770" i="6"/>
  <c r="N769" i="6"/>
  <c r="K769" i="6"/>
  <c r="J769" i="6"/>
  <c r="I769" i="6"/>
  <c r="L769" i="6" s="1"/>
  <c r="H769" i="6"/>
  <c r="G769" i="6"/>
  <c r="M769" i="6" s="1"/>
  <c r="B769" i="6"/>
  <c r="N768" i="6"/>
  <c r="M768" i="6"/>
  <c r="K768" i="6"/>
  <c r="J768" i="6"/>
  <c r="L768" i="6" s="1"/>
  <c r="H768" i="6"/>
  <c r="I768" i="6" s="1"/>
  <c r="G768" i="6"/>
  <c r="B768" i="6"/>
  <c r="N767" i="6"/>
  <c r="M767" i="6"/>
  <c r="K767" i="6"/>
  <c r="I767" i="6"/>
  <c r="L767" i="6" s="1"/>
  <c r="H767" i="6"/>
  <c r="J767" i="6" s="1"/>
  <c r="G767" i="6"/>
  <c r="B767" i="6"/>
  <c r="N766" i="6"/>
  <c r="M766" i="6"/>
  <c r="J766" i="6"/>
  <c r="I766" i="6"/>
  <c r="L766" i="6" s="1"/>
  <c r="H766" i="6"/>
  <c r="K766" i="6" s="1"/>
  <c r="G766" i="6"/>
  <c r="B766" i="6"/>
  <c r="N765" i="6"/>
  <c r="M765" i="6"/>
  <c r="K765" i="6"/>
  <c r="J765" i="6"/>
  <c r="I765" i="6"/>
  <c r="L765" i="6" s="1"/>
  <c r="H765" i="6"/>
  <c r="G765" i="6"/>
  <c r="B765" i="6"/>
  <c r="N764" i="6"/>
  <c r="K764" i="6"/>
  <c r="J764" i="6"/>
  <c r="I764" i="6"/>
  <c r="H764" i="6"/>
  <c r="G764" i="6"/>
  <c r="M764" i="6" s="1"/>
  <c r="B764" i="6"/>
  <c r="N763" i="6"/>
  <c r="M763" i="6"/>
  <c r="H763" i="6"/>
  <c r="G763" i="6"/>
  <c r="B763" i="6"/>
  <c r="N762" i="6"/>
  <c r="M762" i="6"/>
  <c r="H762" i="6"/>
  <c r="G762" i="6"/>
  <c r="B762" i="6"/>
  <c r="N761" i="6"/>
  <c r="K761" i="6"/>
  <c r="J761" i="6"/>
  <c r="I761" i="6"/>
  <c r="L761" i="6" s="1"/>
  <c r="H761" i="6"/>
  <c r="G761" i="6"/>
  <c r="M761" i="6" s="1"/>
  <c r="B761" i="6"/>
  <c r="N760" i="6"/>
  <c r="M760" i="6"/>
  <c r="K760" i="6"/>
  <c r="J760" i="6"/>
  <c r="L760" i="6" s="1"/>
  <c r="H760" i="6"/>
  <c r="I760" i="6" s="1"/>
  <c r="G760" i="6"/>
  <c r="B760" i="6"/>
  <c r="N759" i="6"/>
  <c r="K759" i="6"/>
  <c r="I759" i="6"/>
  <c r="H759" i="6"/>
  <c r="J759" i="6" s="1"/>
  <c r="G759" i="6"/>
  <c r="M759" i="6" s="1"/>
  <c r="B759" i="6"/>
  <c r="N758" i="6"/>
  <c r="J758" i="6"/>
  <c r="I758" i="6"/>
  <c r="L758" i="6" s="1"/>
  <c r="H758" i="6"/>
  <c r="K758" i="6" s="1"/>
  <c r="G758" i="6"/>
  <c r="M758" i="6" s="1"/>
  <c r="B758" i="6"/>
  <c r="N757" i="6"/>
  <c r="M757" i="6"/>
  <c r="K757" i="6"/>
  <c r="J757" i="6"/>
  <c r="I757" i="6"/>
  <c r="L757" i="6" s="1"/>
  <c r="H757" i="6"/>
  <c r="G757" i="6"/>
  <c r="B757" i="6"/>
  <c r="N756" i="6"/>
  <c r="K756" i="6"/>
  <c r="J756" i="6"/>
  <c r="I756" i="6"/>
  <c r="L756" i="6" s="1"/>
  <c r="H756" i="6"/>
  <c r="G756" i="6"/>
  <c r="M756" i="6" s="1"/>
  <c r="B756" i="6"/>
  <c r="N755" i="6"/>
  <c r="H755" i="6"/>
  <c r="G755" i="6"/>
  <c r="M755" i="6" s="1"/>
  <c r="B755" i="6"/>
  <c r="N754" i="6"/>
  <c r="M754" i="6"/>
  <c r="H754" i="6"/>
  <c r="G754" i="6"/>
  <c r="B754" i="6"/>
  <c r="N753" i="6"/>
  <c r="L753" i="6"/>
  <c r="K753" i="6"/>
  <c r="J753" i="6"/>
  <c r="I753" i="6"/>
  <c r="H753" i="6"/>
  <c r="G753" i="6"/>
  <c r="M753" i="6" s="1"/>
  <c r="B753" i="6"/>
  <c r="N752" i="6"/>
  <c r="M752" i="6"/>
  <c r="H752" i="6"/>
  <c r="G752" i="6"/>
  <c r="B752" i="6"/>
  <c r="N751" i="6"/>
  <c r="J751" i="6"/>
  <c r="H751" i="6"/>
  <c r="G751" i="6"/>
  <c r="B751" i="6"/>
  <c r="N750" i="6"/>
  <c r="K750" i="6"/>
  <c r="H750" i="6"/>
  <c r="G750" i="6"/>
  <c r="B750" i="6"/>
  <c r="N749" i="6"/>
  <c r="K749" i="6"/>
  <c r="J749" i="6"/>
  <c r="H749" i="6"/>
  <c r="I749" i="6" s="1"/>
  <c r="G749" i="6"/>
  <c r="B749" i="6"/>
  <c r="N748" i="6"/>
  <c r="H748" i="6"/>
  <c r="G748" i="6"/>
  <c r="B748" i="6"/>
  <c r="N747" i="6"/>
  <c r="M747" i="6"/>
  <c r="H747" i="6"/>
  <c r="G747" i="6"/>
  <c r="B747" i="6"/>
  <c r="N746" i="6"/>
  <c r="M746" i="6"/>
  <c r="I746" i="6"/>
  <c r="H746" i="6"/>
  <c r="G746" i="6"/>
  <c r="B746" i="6"/>
  <c r="N745" i="6"/>
  <c r="M745" i="6"/>
  <c r="K745" i="6"/>
  <c r="H745" i="6"/>
  <c r="G745" i="6"/>
  <c r="B745" i="6"/>
  <c r="N744" i="6"/>
  <c r="K744" i="6"/>
  <c r="I744" i="6"/>
  <c r="L744" i="6" s="1"/>
  <c r="H744" i="6"/>
  <c r="J744" i="6" s="1"/>
  <c r="G744" i="6"/>
  <c r="M744" i="6" s="1"/>
  <c r="B744" i="6"/>
  <c r="N743" i="6"/>
  <c r="M743" i="6"/>
  <c r="K743" i="6"/>
  <c r="J743" i="6"/>
  <c r="L743" i="6" s="1"/>
  <c r="I743" i="6"/>
  <c r="H743" i="6"/>
  <c r="G743" i="6"/>
  <c r="B743" i="6"/>
  <c r="N742" i="6"/>
  <c r="M742" i="6"/>
  <c r="K742" i="6"/>
  <c r="J742" i="6"/>
  <c r="H742" i="6"/>
  <c r="I742" i="6" s="1"/>
  <c r="G742" i="6"/>
  <c r="B742" i="6"/>
  <c r="N741" i="6"/>
  <c r="K741" i="6"/>
  <c r="J741" i="6"/>
  <c r="I741" i="6"/>
  <c r="L741" i="6" s="1"/>
  <c r="H741" i="6"/>
  <c r="G741" i="6"/>
  <c r="M741" i="6" s="1"/>
  <c r="B741" i="6"/>
  <c r="N740" i="6"/>
  <c r="K740" i="6"/>
  <c r="J740" i="6"/>
  <c r="I740" i="6"/>
  <c r="L740" i="6" s="1"/>
  <c r="H740" i="6"/>
  <c r="G740" i="6"/>
  <c r="B740" i="6"/>
  <c r="N739" i="6"/>
  <c r="K739" i="6"/>
  <c r="J739" i="6"/>
  <c r="I739" i="6"/>
  <c r="L739" i="6" s="1"/>
  <c r="H739" i="6"/>
  <c r="G739" i="6"/>
  <c r="B739" i="6"/>
  <c r="N738" i="6"/>
  <c r="K738" i="6"/>
  <c r="J738" i="6"/>
  <c r="I738" i="6"/>
  <c r="L738" i="6" s="1"/>
  <c r="H738" i="6"/>
  <c r="G738" i="6"/>
  <c r="B738" i="6"/>
  <c r="N737" i="6"/>
  <c r="K737" i="6"/>
  <c r="J737" i="6"/>
  <c r="I737" i="6"/>
  <c r="L737" i="6" s="1"/>
  <c r="H737" i="6"/>
  <c r="G737" i="6"/>
  <c r="B737" i="6"/>
  <c r="N736" i="6"/>
  <c r="K736" i="6"/>
  <c r="J736" i="6"/>
  <c r="I736" i="6"/>
  <c r="L736" i="6" s="1"/>
  <c r="H736" i="6"/>
  <c r="G736" i="6"/>
  <c r="B736" i="6"/>
  <c r="N735" i="6"/>
  <c r="M735" i="6"/>
  <c r="H735" i="6"/>
  <c r="G735" i="6"/>
  <c r="B735" i="6"/>
  <c r="N734" i="6"/>
  <c r="H734" i="6"/>
  <c r="G734" i="6"/>
  <c r="B734" i="6"/>
  <c r="N733" i="6"/>
  <c r="I733" i="6"/>
  <c r="H733" i="6"/>
  <c r="G733" i="6"/>
  <c r="M733" i="6" s="1"/>
  <c r="B733" i="6"/>
  <c r="N732" i="6"/>
  <c r="H732" i="6"/>
  <c r="G732" i="6"/>
  <c r="M732" i="6" s="1"/>
  <c r="B732" i="6"/>
  <c r="N731" i="6"/>
  <c r="K731" i="6"/>
  <c r="H731" i="6"/>
  <c r="J731" i="6" s="1"/>
  <c r="G731" i="6"/>
  <c r="M731" i="6" s="1"/>
  <c r="B731" i="6"/>
  <c r="N730" i="6"/>
  <c r="M730" i="6"/>
  <c r="J730" i="6"/>
  <c r="H730" i="6"/>
  <c r="K730" i="6" s="1"/>
  <c r="G730" i="6"/>
  <c r="B730" i="6"/>
  <c r="N729" i="6"/>
  <c r="M729" i="6"/>
  <c r="J729" i="6"/>
  <c r="H729" i="6"/>
  <c r="K729" i="6" s="1"/>
  <c r="G729" i="6"/>
  <c r="B729" i="6"/>
  <c r="N728" i="6"/>
  <c r="K728" i="6"/>
  <c r="J728" i="6"/>
  <c r="L728" i="6" s="1"/>
  <c r="I728" i="6"/>
  <c r="H728" i="6"/>
  <c r="G728" i="6"/>
  <c r="M728" i="6" s="1"/>
  <c r="B728" i="6"/>
  <c r="N727" i="6"/>
  <c r="K727" i="6"/>
  <c r="L727" i="6" s="1"/>
  <c r="J727" i="6"/>
  <c r="H727" i="6"/>
  <c r="I727" i="6" s="1"/>
  <c r="G727" i="6"/>
  <c r="M727" i="6" s="1"/>
  <c r="B727" i="6"/>
  <c r="N726" i="6"/>
  <c r="K726" i="6"/>
  <c r="L726" i="6" s="1"/>
  <c r="I726" i="6"/>
  <c r="H726" i="6"/>
  <c r="J726" i="6" s="1"/>
  <c r="G726" i="6"/>
  <c r="M726" i="6" s="1"/>
  <c r="B726" i="6"/>
  <c r="N725" i="6"/>
  <c r="M725" i="6"/>
  <c r="J725" i="6"/>
  <c r="L725" i="6" s="1"/>
  <c r="I725" i="6"/>
  <c r="H725" i="6"/>
  <c r="K725" i="6" s="1"/>
  <c r="G725" i="6"/>
  <c r="B725" i="6"/>
  <c r="N724" i="6"/>
  <c r="M724" i="6"/>
  <c r="K724" i="6"/>
  <c r="J724" i="6"/>
  <c r="I724" i="6"/>
  <c r="H724" i="6"/>
  <c r="G724" i="6"/>
  <c r="B724" i="6"/>
  <c r="N723" i="6"/>
  <c r="L723" i="6"/>
  <c r="K723" i="6"/>
  <c r="J723" i="6"/>
  <c r="I723" i="6"/>
  <c r="H723" i="6"/>
  <c r="G723" i="6"/>
  <c r="M723" i="6" s="1"/>
  <c r="B723" i="6"/>
  <c r="N722" i="6"/>
  <c r="L722" i="6"/>
  <c r="K722" i="6"/>
  <c r="J722" i="6"/>
  <c r="I722" i="6"/>
  <c r="H722" i="6"/>
  <c r="G722" i="6"/>
  <c r="B722" i="6"/>
  <c r="N721" i="6"/>
  <c r="L721" i="6"/>
  <c r="K721" i="6"/>
  <c r="J721" i="6"/>
  <c r="I721" i="6"/>
  <c r="H721" i="6"/>
  <c r="G721" i="6"/>
  <c r="B721" i="6"/>
  <c r="N720" i="6"/>
  <c r="L720" i="6"/>
  <c r="K720" i="6"/>
  <c r="J720" i="6"/>
  <c r="I720" i="6"/>
  <c r="H720" i="6"/>
  <c r="G720" i="6"/>
  <c r="B720" i="6"/>
  <c r="N719" i="6"/>
  <c r="L719" i="6"/>
  <c r="K719" i="6"/>
  <c r="J719" i="6"/>
  <c r="I719" i="6"/>
  <c r="H719" i="6"/>
  <c r="G719" i="6"/>
  <c r="B719" i="6"/>
  <c r="N718" i="6"/>
  <c r="L718" i="6"/>
  <c r="K718" i="6"/>
  <c r="J718" i="6"/>
  <c r="I718" i="6"/>
  <c r="H718" i="6"/>
  <c r="G718" i="6"/>
  <c r="B718" i="6"/>
  <c r="N717" i="6"/>
  <c r="L717" i="6"/>
  <c r="K717" i="6"/>
  <c r="J717" i="6"/>
  <c r="I717" i="6"/>
  <c r="H717" i="6"/>
  <c r="G717" i="6"/>
  <c r="B717" i="6"/>
  <c r="N716" i="6"/>
  <c r="L716" i="6"/>
  <c r="K716" i="6"/>
  <c r="J716" i="6"/>
  <c r="I716" i="6"/>
  <c r="H716" i="6"/>
  <c r="G716" i="6"/>
  <c r="B716" i="6"/>
  <c r="N715" i="6"/>
  <c r="L715" i="6"/>
  <c r="K715" i="6"/>
  <c r="J715" i="6"/>
  <c r="I715" i="6"/>
  <c r="H715" i="6"/>
  <c r="G715" i="6"/>
  <c r="B715" i="6"/>
  <c r="N714" i="6"/>
  <c r="L714" i="6"/>
  <c r="K714" i="6"/>
  <c r="J714" i="6"/>
  <c r="I714" i="6"/>
  <c r="H714" i="6"/>
  <c r="G714" i="6"/>
  <c r="B714" i="6"/>
  <c r="N713" i="6"/>
  <c r="L713" i="6"/>
  <c r="K713" i="6"/>
  <c r="J713" i="6"/>
  <c r="I713" i="6"/>
  <c r="H713" i="6"/>
  <c r="G713" i="6"/>
  <c r="B713" i="6"/>
  <c r="N712" i="6"/>
  <c r="M712" i="6"/>
  <c r="K712" i="6"/>
  <c r="H712" i="6"/>
  <c r="I712" i="6" s="1"/>
  <c r="G712" i="6"/>
  <c r="B712" i="6"/>
  <c r="N711" i="6"/>
  <c r="M711" i="6"/>
  <c r="K711" i="6"/>
  <c r="H711" i="6"/>
  <c r="J711" i="6" s="1"/>
  <c r="G711" i="6"/>
  <c r="B711" i="6"/>
  <c r="N710" i="6"/>
  <c r="M710" i="6"/>
  <c r="K710" i="6"/>
  <c r="J710" i="6"/>
  <c r="I710" i="6"/>
  <c r="L710" i="6" s="1"/>
  <c r="H710" i="6"/>
  <c r="G710" i="6"/>
  <c r="B710" i="6"/>
  <c r="N709" i="6"/>
  <c r="K709" i="6"/>
  <c r="J709" i="6"/>
  <c r="H709" i="6"/>
  <c r="I709" i="6" s="1"/>
  <c r="G709" i="6"/>
  <c r="M709" i="6" s="1"/>
  <c r="B709" i="6"/>
  <c r="N708" i="6"/>
  <c r="M708" i="6"/>
  <c r="K708" i="6"/>
  <c r="I708" i="6"/>
  <c r="L708" i="6" s="1"/>
  <c r="H708" i="6"/>
  <c r="J708" i="6" s="1"/>
  <c r="G708" i="6"/>
  <c r="B708" i="6"/>
  <c r="N707" i="6"/>
  <c r="M707" i="6"/>
  <c r="J707" i="6"/>
  <c r="I707" i="6"/>
  <c r="H707" i="6"/>
  <c r="K707" i="6" s="1"/>
  <c r="G707" i="6"/>
  <c r="B707" i="6"/>
  <c r="N706" i="6"/>
  <c r="M706" i="6"/>
  <c r="K706" i="6"/>
  <c r="J706" i="6"/>
  <c r="I706" i="6"/>
  <c r="H706" i="6"/>
  <c r="G706" i="6"/>
  <c r="B706" i="6"/>
  <c r="N705" i="6"/>
  <c r="L705" i="6"/>
  <c r="K705" i="6"/>
  <c r="J705" i="6"/>
  <c r="I705" i="6"/>
  <c r="H705" i="6"/>
  <c r="G705" i="6"/>
  <c r="M705" i="6" s="1"/>
  <c r="B705" i="6"/>
  <c r="N704" i="6"/>
  <c r="M704" i="6"/>
  <c r="K704" i="6"/>
  <c r="J704" i="6"/>
  <c r="H704" i="6"/>
  <c r="I704" i="6" s="1"/>
  <c r="G704" i="6"/>
  <c r="B704" i="6"/>
  <c r="N703" i="6"/>
  <c r="M703" i="6"/>
  <c r="L703" i="6"/>
  <c r="K703" i="6"/>
  <c r="I703" i="6"/>
  <c r="H703" i="6"/>
  <c r="J703" i="6" s="1"/>
  <c r="G703" i="6"/>
  <c r="B703" i="6"/>
  <c r="N702" i="6"/>
  <c r="M702" i="6"/>
  <c r="L702" i="6"/>
  <c r="K702" i="6"/>
  <c r="J702" i="6"/>
  <c r="I702" i="6"/>
  <c r="H702" i="6"/>
  <c r="G702" i="6"/>
  <c r="B702" i="6"/>
  <c r="N701" i="6"/>
  <c r="M701" i="6"/>
  <c r="K701" i="6"/>
  <c r="J701" i="6"/>
  <c r="H701" i="6"/>
  <c r="I701" i="6" s="1"/>
  <c r="G701" i="6"/>
  <c r="B701" i="6"/>
  <c r="N700" i="6"/>
  <c r="M700" i="6"/>
  <c r="K700" i="6"/>
  <c r="I700" i="6"/>
  <c r="H700" i="6"/>
  <c r="J700" i="6" s="1"/>
  <c r="G700" i="6"/>
  <c r="B700" i="6"/>
  <c r="N699" i="6"/>
  <c r="J699" i="6"/>
  <c r="I699" i="6"/>
  <c r="L699" i="6" s="1"/>
  <c r="H699" i="6"/>
  <c r="K699" i="6" s="1"/>
  <c r="G699" i="6"/>
  <c r="M699" i="6" s="1"/>
  <c r="B699" i="6"/>
  <c r="N698" i="6"/>
  <c r="I698" i="6"/>
  <c r="H698" i="6"/>
  <c r="G698" i="6"/>
  <c r="M698" i="6" s="1"/>
  <c r="B698" i="6"/>
  <c r="N697" i="6"/>
  <c r="H697" i="6"/>
  <c r="G697" i="6"/>
  <c r="M697" i="6" s="1"/>
  <c r="B697" i="6"/>
  <c r="N696" i="6"/>
  <c r="M696" i="6"/>
  <c r="H696" i="6"/>
  <c r="G696" i="6"/>
  <c r="B696" i="6"/>
  <c r="N695" i="6"/>
  <c r="M695" i="6"/>
  <c r="K695" i="6"/>
  <c r="J695" i="6"/>
  <c r="I695" i="6"/>
  <c r="L695" i="6" s="1"/>
  <c r="H695" i="6"/>
  <c r="G695" i="6"/>
  <c r="B695" i="6"/>
  <c r="N694" i="6"/>
  <c r="M694" i="6"/>
  <c r="K694" i="6"/>
  <c r="J694" i="6"/>
  <c r="L694" i="6" s="1"/>
  <c r="I694" i="6"/>
  <c r="H694" i="6"/>
  <c r="G694" i="6"/>
  <c r="B694" i="6"/>
  <c r="N693" i="6"/>
  <c r="H693" i="6"/>
  <c r="G693" i="6"/>
  <c r="M693" i="6" s="1"/>
  <c r="B693" i="6"/>
  <c r="N692" i="6"/>
  <c r="H692" i="6"/>
  <c r="G692" i="6"/>
  <c r="M692" i="6" s="1"/>
  <c r="B692" i="6"/>
  <c r="N691" i="6"/>
  <c r="H691" i="6"/>
  <c r="G691" i="6"/>
  <c r="M691" i="6" s="1"/>
  <c r="B691" i="6"/>
  <c r="N690" i="6"/>
  <c r="M690" i="6"/>
  <c r="K690" i="6"/>
  <c r="J690" i="6"/>
  <c r="H690" i="6"/>
  <c r="I690" i="6" s="1"/>
  <c r="G690" i="6"/>
  <c r="B690" i="6"/>
  <c r="N689" i="6"/>
  <c r="K689" i="6"/>
  <c r="H689" i="6"/>
  <c r="G689" i="6"/>
  <c r="M689" i="6" s="1"/>
  <c r="B689" i="6"/>
  <c r="N688" i="6"/>
  <c r="M688" i="6"/>
  <c r="H688" i="6"/>
  <c r="G688" i="6"/>
  <c r="B688" i="6"/>
  <c r="N687" i="6"/>
  <c r="M687" i="6"/>
  <c r="K687" i="6"/>
  <c r="J687" i="6"/>
  <c r="I687" i="6"/>
  <c r="L687" i="6" s="1"/>
  <c r="H687" i="6"/>
  <c r="G687" i="6"/>
  <c r="B687" i="6"/>
  <c r="N686" i="6"/>
  <c r="M686" i="6"/>
  <c r="K686" i="6"/>
  <c r="J686" i="6"/>
  <c r="I686" i="6"/>
  <c r="H686" i="6"/>
  <c r="G686" i="6"/>
  <c r="B686" i="6"/>
  <c r="N685" i="6"/>
  <c r="K685" i="6"/>
  <c r="H685" i="6"/>
  <c r="G685" i="6"/>
  <c r="M685" i="6" s="1"/>
  <c r="B685" i="6"/>
  <c r="N684" i="6"/>
  <c r="K684" i="6"/>
  <c r="H684" i="6"/>
  <c r="G684" i="6"/>
  <c r="M684" i="6" s="1"/>
  <c r="B684" i="6"/>
  <c r="N683" i="6"/>
  <c r="H683" i="6"/>
  <c r="G683" i="6"/>
  <c r="M683" i="6" s="1"/>
  <c r="B683" i="6"/>
  <c r="N682" i="6"/>
  <c r="K682" i="6"/>
  <c r="J682" i="6"/>
  <c r="H682" i="6"/>
  <c r="I682" i="6" s="1"/>
  <c r="G682" i="6"/>
  <c r="M682" i="6" s="1"/>
  <c r="B682" i="6"/>
  <c r="N681" i="6"/>
  <c r="K681" i="6"/>
  <c r="J681" i="6"/>
  <c r="H681" i="6"/>
  <c r="I681" i="6" s="1"/>
  <c r="G681" i="6"/>
  <c r="M681" i="6" s="1"/>
  <c r="B681" i="6"/>
  <c r="N680" i="6"/>
  <c r="H680" i="6"/>
  <c r="G680" i="6"/>
  <c r="M680" i="6" s="1"/>
  <c r="B680" i="6"/>
  <c r="N679" i="6"/>
  <c r="M679" i="6"/>
  <c r="H679" i="6"/>
  <c r="G679" i="6"/>
  <c r="B679" i="6"/>
  <c r="N678" i="6"/>
  <c r="M678" i="6"/>
  <c r="K678" i="6"/>
  <c r="J678" i="6"/>
  <c r="I678" i="6"/>
  <c r="H678" i="6"/>
  <c r="G678" i="6"/>
  <c r="B678" i="6"/>
  <c r="N677" i="6"/>
  <c r="H677" i="6"/>
  <c r="G677" i="6"/>
  <c r="M677" i="6" s="1"/>
  <c r="B677" i="6"/>
  <c r="N676" i="6"/>
  <c r="H676" i="6"/>
  <c r="G676" i="6"/>
  <c r="M676" i="6" s="1"/>
  <c r="B676" i="6"/>
  <c r="N675" i="6"/>
  <c r="H675" i="6"/>
  <c r="G675" i="6"/>
  <c r="M675" i="6" s="1"/>
  <c r="B675" i="6"/>
  <c r="N674" i="6"/>
  <c r="J674" i="6"/>
  <c r="H674" i="6"/>
  <c r="K674" i="6" s="1"/>
  <c r="G674" i="6"/>
  <c r="M674" i="6" s="1"/>
  <c r="B674" i="6"/>
  <c r="N673" i="6"/>
  <c r="K673" i="6"/>
  <c r="J673" i="6"/>
  <c r="I673" i="6"/>
  <c r="H673" i="6"/>
  <c r="G673" i="6"/>
  <c r="M673" i="6" s="1"/>
  <c r="B673" i="6"/>
  <c r="N672" i="6"/>
  <c r="L672" i="6"/>
  <c r="K672" i="6"/>
  <c r="J672" i="6"/>
  <c r="I672" i="6"/>
  <c r="H672" i="6"/>
  <c r="G672" i="6"/>
  <c r="M672" i="6" s="1"/>
  <c r="B672" i="6"/>
  <c r="N671" i="6"/>
  <c r="M671" i="6"/>
  <c r="L671" i="6"/>
  <c r="K671" i="6"/>
  <c r="J671" i="6"/>
  <c r="H671" i="6"/>
  <c r="I671" i="6" s="1"/>
  <c r="G671" i="6"/>
  <c r="B671" i="6"/>
  <c r="N670" i="6"/>
  <c r="M670" i="6"/>
  <c r="L670" i="6"/>
  <c r="K670" i="6"/>
  <c r="J670" i="6"/>
  <c r="I670" i="6"/>
  <c r="H670" i="6"/>
  <c r="G670" i="6"/>
  <c r="B670" i="6"/>
  <c r="N669" i="6"/>
  <c r="M669" i="6"/>
  <c r="J669" i="6"/>
  <c r="H669" i="6"/>
  <c r="G669" i="6"/>
  <c r="B669" i="6"/>
  <c r="N668" i="6"/>
  <c r="M668" i="6"/>
  <c r="H668" i="6"/>
  <c r="G668" i="6"/>
  <c r="B668" i="6"/>
  <c r="N667" i="6"/>
  <c r="M667" i="6"/>
  <c r="I667" i="6"/>
  <c r="H667" i="6"/>
  <c r="G667" i="6"/>
  <c r="B667" i="6"/>
  <c r="N666" i="6"/>
  <c r="M666" i="6"/>
  <c r="I666" i="6"/>
  <c r="H666" i="6"/>
  <c r="G666" i="6"/>
  <c r="B666" i="6"/>
  <c r="N665" i="6"/>
  <c r="I665" i="6"/>
  <c r="H665" i="6"/>
  <c r="J665" i="6" s="1"/>
  <c r="G665" i="6"/>
  <c r="M665" i="6" s="1"/>
  <c r="B665" i="6"/>
  <c r="N664" i="6"/>
  <c r="K664" i="6"/>
  <c r="J664" i="6"/>
  <c r="I664" i="6"/>
  <c r="L664" i="6" s="1"/>
  <c r="H664" i="6"/>
  <c r="G664" i="6"/>
  <c r="M664" i="6" s="1"/>
  <c r="B664" i="6"/>
  <c r="N663" i="6"/>
  <c r="M663" i="6"/>
  <c r="K663" i="6"/>
  <c r="H663" i="6"/>
  <c r="I663" i="6" s="1"/>
  <c r="G663" i="6"/>
  <c r="B663" i="6"/>
  <c r="N662" i="6"/>
  <c r="K662" i="6"/>
  <c r="J662" i="6"/>
  <c r="I662" i="6"/>
  <c r="L662" i="6" s="1"/>
  <c r="H662" i="6"/>
  <c r="G662" i="6"/>
  <c r="M662" i="6" s="1"/>
  <c r="B662" i="6"/>
  <c r="N661" i="6"/>
  <c r="H661" i="6"/>
  <c r="G661" i="6"/>
  <c r="M661" i="6" s="1"/>
  <c r="B661" i="6"/>
  <c r="N660" i="6"/>
  <c r="H660" i="6"/>
  <c r="G660" i="6"/>
  <c r="M660" i="6" s="1"/>
  <c r="B660" i="6"/>
  <c r="N659" i="6"/>
  <c r="H659" i="6"/>
  <c r="G659" i="6"/>
  <c r="M659" i="6" s="1"/>
  <c r="B659" i="6"/>
  <c r="N658" i="6"/>
  <c r="M658" i="6"/>
  <c r="K658" i="6"/>
  <c r="I658" i="6"/>
  <c r="L658" i="6" s="1"/>
  <c r="H658" i="6"/>
  <c r="J658" i="6" s="1"/>
  <c r="G658" i="6"/>
  <c r="B658" i="6"/>
  <c r="N657" i="6"/>
  <c r="H657" i="6"/>
  <c r="G657" i="6"/>
  <c r="M657" i="6" s="1"/>
  <c r="B657" i="6"/>
  <c r="N656" i="6"/>
  <c r="M656" i="6"/>
  <c r="J656" i="6"/>
  <c r="H656" i="6"/>
  <c r="G656" i="6"/>
  <c r="B656" i="6"/>
  <c r="N655" i="6"/>
  <c r="M655" i="6"/>
  <c r="H655" i="6"/>
  <c r="I655" i="6" s="1"/>
  <c r="G655" i="6"/>
  <c r="B655" i="6"/>
  <c r="N654" i="6"/>
  <c r="L654" i="6"/>
  <c r="K654" i="6"/>
  <c r="J654" i="6"/>
  <c r="I654" i="6"/>
  <c r="H654" i="6"/>
  <c r="G654" i="6"/>
  <c r="M654" i="6" s="1"/>
  <c r="B654" i="6"/>
  <c r="N653" i="6"/>
  <c r="M653" i="6"/>
  <c r="L653" i="6"/>
  <c r="K653" i="6"/>
  <c r="J653" i="6"/>
  <c r="H653" i="6"/>
  <c r="I653" i="6" s="1"/>
  <c r="G653" i="6"/>
  <c r="B653" i="6"/>
  <c r="N652" i="6"/>
  <c r="M652" i="6"/>
  <c r="L652" i="6"/>
  <c r="K652" i="6"/>
  <c r="I652" i="6"/>
  <c r="H652" i="6"/>
  <c r="J652" i="6" s="1"/>
  <c r="G652" i="6"/>
  <c r="B652" i="6"/>
  <c r="N651" i="6"/>
  <c r="M651" i="6"/>
  <c r="L651" i="6"/>
  <c r="J651" i="6"/>
  <c r="I651" i="6"/>
  <c r="H651" i="6"/>
  <c r="K651" i="6" s="1"/>
  <c r="G651" i="6"/>
  <c r="N650" i="6"/>
  <c r="J650" i="6"/>
  <c r="L650" i="6" s="1"/>
  <c r="I650" i="6"/>
  <c r="H650" i="6"/>
  <c r="K650" i="6" s="1"/>
  <c r="G650" i="6"/>
  <c r="M650" i="6" s="1"/>
  <c r="N649" i="6"/>
  <c r="H649" i="6"/>
  <c r="G649" i="6"/>
  <c r="M649" i="6" s="1"/>
  <c r="N648" i="6"/>
  <c r="H648" i="6"/>
  <c r="G648" i="6"/>
  <c r="M648" i="6" s="1"/>
  <c r="N647" i="6"/>
  <c r="J647" i="6"/>
  <c r="H647" i="6"/>
  <c r="G647" i="6"/>
  <c r="M647" i="6" s="1"/>
  <c r="N646" i="6"/>
  <c r="J646" i="6"/>
  <c r="I646" i="6"/>
  <c r="L646" i="6" s="1"/>
  <c r="H646" i="6"/>
  <c r="K646" i="6" s="1"/>
  <c r="G646" i="6"/>
  <c r="M646" i="6" s="1"/>
  <c r="N645" i="6"/>
  <c r="M645" i="6"/>
  <c r="H645" i="6"/>
  <c r="G645" i="6"/>
  <c r="N644" i="6"/>
  <c r="M644" i="6"/>
  <c r="J644" i="6"/>
  <c r="H644" i="6"/>
  <c r="G644" i="6"/>
  <c r="N643" i="6"/>
  <c r="M643" i="6"/>
  <c r="L643" i="6"/>
  <c r="J643" i="6"/>
  <c r="I643" i="6"/>
  <c r="H643" i="6"/>
  <c r="K643" i="6" s="1"/>
  <c r="G643" i="6"/>
  <c r="N642" i="6"/>
  <c r="L642" i="6"/>
  <c r="J642" i="6"/>
  <c r="I642" i="6"/>
  <c r="H642" i="6"/>
  <c r="K642" i="6" s="1"/>
  <c r="G642" i="6"/>
  <c r="M642" i="6" s="1"/>
  <c r="N641" i="6"/>
  <c r="H641" i="6"/>
  <c r="G641" i="6"/>
  <c r="M641" i="6" s="1"/>
  <c r="B641" i="6"/>
  <c r="N640" i="6"/>
  <c r="H640" i="6"/>
  <c r="G640" i="6"/>
  <c r="M640" i="6" s="1"/>
  <c r="N639" i="6"/>
  <c r="M639" i="6"/>
  <c r="K639" i="6"/>
  <c r="I639" i="6"/>
  <c r="L639" i="6" s="1"/>
  <c r="H639" i="6"/>
  <c r="J639" i="6" s="1"/>
  <c r="G639" i="6"/>
  <c r="N638" i="6"/>
  <c r="H638" i="6"/>
  <c r="G638" i="6"/>
  <c r="M638" i="6" s="1"/>
  <c r="B638" i="6"/>
  <c r="N637" i="6"/>
  <c r="H637" i="6"/>
  <c r="G637" i="6"/>
  <c r="M637" i="6" s="1"/>
  <c r="B637" i="6"/>
  <c r="N636" i="6"/>
  <c r="H636" i="6"/>
  <c r="G636" i="6"/>
  <c r="M636" i="6" s="1"/>
  <c r="B636" i="6"/>
  <c r="N635" i="6"/>
  <c r="M635" i="6"/>
  <c r="H635" i="6"/>
  <c r="G635" i="6"/>
  <c r="B635" i="6"/>
  <c r="N634" i="6"/>
  <c r="M634" i="6"/>
  <c r="K634" i="6"/>
  <c r="J634" i="6"/>
  <c r="I634" i="6"/>
  <c r="H634" i="6"/>
  <c r="G634" i="6"/>
  <c r="B634" i="6"/>
  <c r="N633" i="6"/>
  <c r="K633" i="6"/>
  <c r="H633" i="6"/>
  <c r="I633" i="6" s="1"/>
  <c r="G633" i="6"/>
  <c r="M633" i="6" s="1"/>
  <c r="B633" i="6"/>
  <c r="N632" i="6"/>
  <c r="L632" i="6"/>
  <c r="K632" i="6"/>
  <c r="I632" i="6"/>
  <c r="H632" i="6"/>
  <c r="J632" i="6" s="1"/>
  <c r="G632" i="6"/>
  <c r="M632" i="6" s="1"/>
  <c r="N631" i="6"/>
  <c r="K631" i="6"/>
  <c r="I631" i="6"/>
  <c r="L631" i="6" s="1"/>
  <c r="H631" i="6"/>
  <c r="J631" i="6" s="1"/>
  <c r="G631" i="6"/>
  <c r="M631" i="6" s="1"/>
  <c r="N630" i="6"/>
  <c r="I630" i="6"/>
  <c r="H630" i="6"/>
  <c r="G630" i="6"/>
  <c r="M630" i="6" s="1"/>
  <c r="N629" i="6"/>
  <c r="H629" i="6"/>
  <c r="G629" i="6"/>
  <c r="M629" i="6" s="1"/>
  <c r="N628" i="6"/>
  <c r="M628" i="6"/>
  <c r="K628" i="6"/>
  <c r="I628" i="6"/>
  <c r="H628" i="6"/>
  <c r="J628" i="6" s="1"/>
  <c r="G628" i="6"/>
  <c r="N627" i="6"/>
  <c r="M627" i="6"/>
  <c r="I627" i="6"/>
  <c r="H627" i="6"/>
  <c r="G627" i="6"/>
  <c r="N626" i="6"/>
  <c r="K626" i="6"/>
  <c r="H626" i="6"/>
  <c r="G626" i="6"/>
  <c r="M626" i="6" s="1"/>
  <c r="N625" i="6"/>
  <c r="L625" i="6"/>
  <c r="K625" i="6"/>
  <c r="I625" i="6"/>
  <c r="H625" i="6"/>
  <c r="J625" i="6" s="1"/>
  <c r="G625" i="6"/>
  <c r="M625" i="6" s="1"/>
  <c r="N624" i="6"/>
  <c r="K624" i="6"/>
  <c r="I624" i="6"/>
  <c r="L624" i="6" s="1"/>
  <c r="H624" i="6"/>
  <c r="J624" i="6" s="1"/>
  <c r="G624" i="6"/>
  <c r="M624" i="6" s="1"/>
  <c r="N623" i="6"/>
  <c r="M623" i="6"/>
  <c r="K623" i="6"/>
  <c r="I623" i="6"/>
  <c r="H623" i="6"/>
  <c r="J623" i="6" s="1"/>
  <c r="G623" i="6"/>
  <c r="N622" i="6"/>
  <c r="I622" i="6"/>
  <c r="H622" i="6"/>
  <c r="G622" i="6"/>
  <c r="M622" i="6" s="1"/>
  <c r="N621" i="6"/>
  <c r="H621" i="6"/>
  <c r="G621" i="6"/>
  <c r="M621" i="6" s="1"/>
  <c r="N620" i="6"/>
  <c r="M620" i="6"/>
  <c r="K620" i="6"/>
  <c r="I620" i="6"/>
  <c r="H620" i="6"/>
  <c r="J620" i="6" s="1"/>
  <c r="G620" i="6"/>
  <c r="B620" i="6"/>
  <c r="N619" i="6"/>
  <c r="H619" i="6"/>
  <c r="G619" i="6"/>
  <c r="B619" i="6"/>
  <c r="N618" i="6"/>
  <c r="K618" i="6"/>
  <c r="H618" i="6"/>
  <c r="G618" i="6"/>
  <c r="B618" i="6"/>
  <c r="N617" i="6"/>
  <c r="L617" i="6"/>
  <c r="K617" i="6"/>
  <c r="I617" i="6"/>
  <c r="H617" i="6"/>
  <c r="J617" i="6" s="1"/>
  <c r="G617" i="6"/>
  <c r="B617" i="6"/>
  <c r="N616" i="6"/>
  <c r="K616" i="6"/>
  <c r="H616" i="6"/>
  <c r="J616" i="6" s="1"/>
  <c r="G616" i="6"/>
  <c r="B616" i="6"/>
  <c r="N615" i="6"/>
  <c r="H615" i="6"/>
  <c r="G615" i="6"/>
  <c r="B615" i="6"/>
  <c r="N614" i="6"/>
  <c r="H614" i="6"/>
  <c r="G614" i="6"/>
  <c r="B614" i="6"/>
  <c r="N613" i="6"/>
  <c r="K613" i="6"/>
  <c r="H613" i="6"/>
  <c r="G613" i="6"/>
  <c r="B613" i="6"/>
  <c r="N612" i="6"/>
  <c r="K612" i="6"/>
  <c r="I612" i="6"/>
  <c r="H612" i="6"/>
  <c r="J612" i="6" s="1"/>
  <c r="G612" i="6"/>
  <c r="B612" i="6"/>
  <c r="N611" i="6"/>
  <c r="H611" i="6"/>
  <c r="G611" i="6"/>
  <c r="B611" i="6"/>
  <c r="N610" i="6"/>
  <c r="K610" i="6"/>
  <c r="H610" i="6"/>
  <c r="G610" i="6"/>
  <c r="B610" i="6"/>
  <c r="N609" i="6"/>
  <c r="H609" i="6"/>
  <c r="G609" i="6"/>
  <c r="M609" i="6" s="1"/>
  <c r="B609" i="6"/>
  <c r="N608" i="6"/>
  <c r="J608" i="6"/>
  <c r="I608" i="6"/>
  <c r="L608" i="6" s="1"/>
  <c r="H608" i="6"/>
  <c r="K608" i="6" s="1"/>
  <c r="G608" i="6"/>
  <c r="B608" i="6"/>
  <c r="N607" i="6"/>
  <c r="K607" i="6"/>
  <c r="J607" i="6"/>
  <c r="I607" i="6"/>
  <c r="L607" i="6" s="1"/>
  <c r="H607" i="6"/>
  <c r="G607" i="6"/>
  <c r="M607" i="6" s="1"/>
  <c r="B607" i="6"/>
  <c r="N606" i="6"/>
  <c r="K606" i="6"/>
  <c r="J606" i="6"/>
  <c r="I606" i="6"/>
  <c r="L606" i="6" s="1"/>
  <c r="H606" i="6"/>
  <c r="G606" i="6"/>
  <c r="M606" i="6" s="1"/>
  <c r="B606" i="6"/>
  <c r="N605" i="6"/>
  <c r="H605" i="6"/>
  <c r="G605" i="6"/>
  <c r="M605" i="6" s="1"/>
  <c r="B605" i="6"/>
  <c r="N604" i="6"/>
  <c r="M604" i="6"/>
  <c r="I604" i="6"/>
  <c r="H604" i="6"/>
  <c r="G604" i="6"/>
  <c r="B604" i="6"/>
  <c r="N603" i="6"/>
  <c r="M603" i="6"/>
  <c r="K603" i="6"/>
  <c r="J603" i="6"/>
  <c r="I603" i="6"/>
  <c r="H603" i="6"/>
  <c r="G603" i="6"/>
  <c r="B603" i="6"/>
  <c r="N602" i="6"/>
  <c r="K602" i="6"/>
  <c r="J602" i="6"/>
  <c r="L602" i="6" s="1"/>
  <c r="H602" i="6"/>
  <c r="I602" i="6" s="1"/>
  <c r="G602" i="6"/>
  <c r="M602" i="6" s="1"/>
  <c r="B602" i="6"/>
  <c r="N601" i="6"/>
  <c r="K601" i="6"/>
  <c r="I601" i="6"/>
  <c r="L601" i="6" s="1"/>
  <c r="H601" i="6"/>
  <c r="J601" i="6" s="1"/>
  <c r="G601" i="6"/>
  <c r="M601" i="6" s="1"/>
  <c r="B601" i="6"/>
  <c r="N600" i="6"/>
  <c r="J600" i="6"/>
  <c r="I600" i="6"/>
  <c r="H600" i="6"/>
  <c r="K600" i="6" s="1"/>
  <c r="G600" i="6"/>
  <c r="M600" i="6" s="1"/>
  <c r="B600" i="6"/>
  <c r="N599" i="6"/>
  <c r="K599" i="6"/>
  <c r="J599" i="6"/>
  <c r="I599" i="6"/>
  <c r="H599" i="6"/>
  <c r="G599" i="6"/>
  <c r="M599" i="6" s="1"/>
  <c r="B599" i="6"/>
  <c r="N598" i="6"/>
  <c r="L598" i="6"/>
  <c r="K598" i="6"/>
  <c r="J598" i="6"/>
  <c r="I598" i="6"/>
  <c r="H598" i="6"/>
  <c r="G598" i="6"/>
  <c r="M598" i="6" s="1"/>
  <c r="B598" i="6"/>
  <c r="N597" i="6"/>
  <c r="M597" i="6"/>
  <c r="K597" i="6"/>
  <c r="J597" i="6"/>
  <c r="H597" i="6"/>
  <c r="I597" i="6" s="1"/>
  <c r="G597" i="6"/>
  <c r="B597" i="6"/>
  <c r="N596" i="6"/>
  <c r="M596" i="6"/>
  <c r="L596" i="6"/>
  <c r="K596" i="6"/>
  <c r="I596" i="6"/>
  <c r="H596" i="6"/>
  <c r="J596" i="6" s="1"/>
  <c r="G596" i="6"/>
  <c r="B596" i="6"/>
  <c r="N595" i="6"/>
  <c r="L595" i="6"/>
  <c r="K595" i="6"/>
  <c r="J595" i="6"/>
  <c r="I595" i="6"/>
  <c r="H595" i="6"/>
  <c r="G595" i="6"/>
  <c r="M595" i="6" s="1"/>
  <c r="B595" i="6"/>
  <c r="N594" i="6"/>
  <c r="M594" i="6"/>
  <c r="K594" i="6"/>
  <c r="J594" i="6"/>
  <c r="H594" i="6"/>
  <c r="I594" i="6" s="1"/>
  <c r="G594" i="6"/>
  <c r="B594" i="6"/>
  <c r="N593" i="6"/>
  <c r="M593" i="6"/>
  <c r="K593" i="6"/>
  <c r="H593" i="6"/>
  <c r="G593" i="6"/>
  <c r="B593" i="6"/>
  <c r="N592" i="6"/>
  <c r="M592" i="6"/>
  <c r="J592" i="6"/>
  <c r="I592" i="6"/>
  <c r="L592" i="6" s="1"/>
  <c r="H592" i="6"/>
  <c r="K592" i="6" s="1"/>
  <c r="G592" i="6"/>
  <c r="B592" i="6"/>
  <c r="N591" i="6"/>
  <c r="M591" i="6"/>
  <c r="J591" i="6"/>
  <c r="H591" i="6"/>
  <c r="K591" i="6" s="1"/>
  <c r="G591" i="6"/>
  <c r="B591" i="6"/>
  <c r="N590" i="6"/>
  <c r="H590" i="6"/>
  <c r="G590" i="6"/>
  <c r="M590" i="6" s="1"/>
  <c r="B590" i="6"/>
  <c r="N589" i="6"/>
  <c r="M589" i="6"/>
  <c r="I589" i="6"/>
  <c r="H589" i="6"/>
  <c r="K589" i="6" s="1"/>
  <c r="G589" i="6"/>
  <c r="B589" i="6"/>
  <c r="N588" i="6"/>
  <c r="M588" i="6"/>
  <c r="K588" i="6"/>
  <c r="J588" i="6"/>
  <c r="I588" i="6"/>
  <c r="L588" i="6" s="1"/>
  <c r="H588" i="6"/>
  <c r="G588" i="6"/>
  <c r="B588" i="6"/>
  <c r="N587" i="6"/>
  <c r="L587" i="6"/>
  <c r="K587" i="6"/>
  <c r="J587" i="6"/>
  <c r="I587" i="6"/>
  <c r="H587" i="6"/>
  <c r="G587" i="6"/>
  <c r="M587" i="6" s="1"/>
  <c r="B587" i="6"/>
  <c r="N586" i="6"/>
  <c r="M586" i="6"/>
  <c r="H586" i="6"/>
  <c r="G586" i="6"/>
  <c r="B586" i="6"/>
  <c r="N585" i="6"/>
  <c r="K585" i="6"/>
  <c r="H585" i="6"/>
  <c r="G585" i="6"/>
  <c r="M585" i="6" s="1"/>
  <c r="B585" i="6"/>
  <c r="N584" i="6"/>
  <c r="H584" i="6"/>
  <c r="G584" i="6"/>
  <c r="M584" i="6" s="1"/>
  <c r="B584" i="6"/>
  <c r="N583" i="6"/>
  <c r="M583" i="6"/>
  <c r="H583" i="6"/>
  <c r="G583" i="6"/>
  <c r="B583" i="6"/>
  <c r="N582" i="6"/>
  <c r="K582" i="6"/>
  <c r="H582" i="6"/>
  <c r="I582" i="6" s="1"/>
  <c r="G582" i="6"/>
  <c r="M582" i="6" s="1"/>
  <c r="B582" i="6"/>
  <c r="N581" i="6"/>
  <c r="M581" i="6"/>
  <c r="K581" i="6"/>
  <c r="H581" i="6"/>
  <c r="J581" i="6" s="1"/>
  <c r="G581" i="6"/>
  <c r="B581" i="6"/>
  <c r="N580" i="6"/>
  <c r="M580" i="6"/>
  <c r="K580" i="6"/>
  <c r="J580" i="6"/>
  <c r="I580" i="6"/>
  <c r="L580" i="6" s="1"/>
  <c r="H580" i="6"/>
  <c r="G580" i="6"/>
  <c r="B580" i="6"/>
  <c r="N579" i="6"/>
  <c r="K579" i="6"/>
  <c r="J579" i="6"/>
  <c r="I579" i="6"/>
  <c r="H579" i="6"/>
  <c r="G579" i="6"/>
  <c r="M579" i="6" s="1"/>
  <c r="B579" i="6"/>
  <c r="N578" i="6"/>
  <c r="K578" i="6"/>
  <c r="H578" i="6"/>
  <c r="G578" i="6"/>
  <c r="M578" i="6" s="1"/>
  <c r="B578" i="6"/>
  <c r="N577" i="6"/>
  <c r="K577" i="6"/>
  <c r="H577" i="6"/>
  <c r="G577" i="6"/>
  <c r="M577" i="6" s="1"/>
  <c r="B577" i="6"/>
  <c r="N576" i="6"/>
  <c r="H576" i="6"/>
  <c r="G576" i="6"/>
  <c r="M576" i="6" s="1"/>
  <c r="B576" i="6"/>
  <c r="N575" i="6"/>
  <c r="H575" i="6"/>
  <c r="G575" i="6"/>
  <c r="M575" i="6" s="1"/>
  <c r="B575" i="6"/>
  <c r="N574" i="6"/>
  <c r="K574" i="6"/>
  <c r="J574" i="6"/>
  <c r="H574" i="6"/>
  <c r="I574" i="6" s="1"/>
  <c r="G574" i="6"/>
  <c r="M574" i="6" s="1"/>
  <c r="B574" i="6"/>
  <c r="N573" i="6"/>
  <c r="H573" i="6"/>
  <c r="G573" i="6"/>
  <c r="M573" i="6" s="1"/>
  <c r="B573" i="6"/>
  <c r="N572" i="6"/>
  <c r="M572" i="6"/>
  <c r="H572" i="6"/>
  <c r="G572" i="6"/>
  <c r="B572" i="6"/>
  <c r="N571" i="6"/>
  <c r="M571" i="6"/>
  <c r="K571" i="6"/>
  <c r="J571" i="6"/>
  <c r="I571" i="6"/>
  <c r="H571" i="6"/>
  <c r="G571" i="6"/>
  <c r="B571" i="6"/>
  <c r="N570" i="6"/>
  <c r="K570" i="6"/>
  <c r="J570" i="6"/>
  <c r="L570" i="6" s="1"/>
  <c r="H570" i="6"/>
  <c r="I570" i="6" s="1"/>
  <c r="G570" i="6"/>
  <c r="M570" i="6" s="1"/>
  <c r="B570" i="6"/>
  <c r="N569" i="6"/>
  <c r="H569" i="6"/>
  <c r="J569" i="6" s="1"/>
  <c r="G569" i="6"/>
  <c r="M569" i="6" s="1"/>
  <c r="B569" i="6"/>
  <c r="N568" i="6"/>
  <c r="J568" i="6"/>
  <c r="I568" i="6"/>
  <c r="H568" i="6"/>
  <c r="K568" i="6" s="1"/>
  <c r="G568" i="6"/>
  <c r="M568" i="6" s="1"/>
  <c r="B568" i="6"/>
  <c r="N567" i="6"/>
  <c r="H567" i="6"/>
  <c r="G567" i="6"/>
  <c r="M567" i="6" s="1"/>
  <c r="B567" i="6"/>
  <c r="N566" i="6"/>
  <c r="H566" i="6"/>
  <c r="G566" i="6"/>
  <c r="M566" i="6" s="1"/>
  <c r="B566" i="6"/>
  <c r="N565" i="6"/>
  <c r="K565" i="6"/>
  <c r="J565" i="6"/>
  <c r="I565" i="6"/>
  <c r="H565" i="6"/>
  <c r="G565" i="6"/>
  <c r="M565" i="6" s="1"/>
  <c r="B565" i="6"/>
  <c r="N564" i="6"/>
  <c r="M564" i="6"/>
  <c r="H564" i="6"/>
  <c r="G564" i="6"/>
  <c r="B564" i="6"/>
  <c r="N563" i="6"/>
  <c r="M563" i="6"/>
  <c r="L563" i="6"/>
  <c r="K563" i="6"/>
  <c r="J563" i="6"/>
  <c r="I563" i="6"/>
  <c r="H563" i="6"/>
  <c r="G563" i="6"/>
  <c r="B563" i="6"/>
  <c r="N562" i="6"/>
  <c r="M562" i="6"/>
  <c r="H562" i="6"/>
  <c r="G562" i="6"/>
  <c r="B562" i="6"/>
  <c r="N561" i="6"/>
  <c r="M561" i="6"/>
  <c r="H561" i="6"/>
  <c r="G561" i="6"/>
  <c r="B561" i="6"/>
  <c r="N560" i="6"/>
  <c r="M560" i="6"/>
  <c r="I560" i="6"/>
  <c r="H560" i="6"/>
  <c r="G560" i="6"/>
  <c r="B560" i="6"/>
  <c r="N559" i="6"/>
  <c r="M559" i="6"/>
  <c r="K559" i="6"/>
  <c r="H559" i="6"/>
  <c r="G559" i="6"/>
  <c r="B559" i="6"/>
  <c r="N558" i="6"/>
  <c r="K558" i="6"/>
  <c r="I558" i="6"/>
  <c r="H558" i="6"/>
  <c r="J558" i="6" s="1"/>
  <c r="G558" i="6"/>
  <c r="M558" i="6" s="1"/>
  <c r="B558" i="6"/>
  <c r="N557" i="6"/>
  <c r="M557" i="6"/>
  <c r="K557" i="6"/>
  <c r="J557" i="6"/>
  <c r="L557" i="6" s="1"/>
  <c r="I557" i="6"/>
  <c r="H557" i="6"/>
  <c r="G557" i="6"/>
  <c r="B557" i="6"/>
  <c r="N556" i="6"/>
  <c r="M556" i="6"/>
  <c r="K556" i="6"/>
  <c r="J556" i="6"/>
  <c r="H556" i="6"/>
  <c r="I556" i="6" s="1"/>
  <c r="G556" i="6"/>
  <c r="B556" i="6"/>
  <c r="N555" i="6"/>
  <c r="K555" i="6"/>
  <c r="J555" i="6"/>
  <c r="I555" i="6"/>
  <c r="L555" i="6" s="1"/>
  <c r="H555" i="6"/>
  <c r="G555" i="6"/>
  <c r="M555" i="6" s="1"/>
  <c r="B555" i="6"/>
  <c r="N554" i="6"/>
  <c r="M554" i="6"/>
  <c r="H554" i="6"/>
  <c r="G554" i="6"/>
  <c r="B554" i="6"/>
  <c r="N553" i="6"/>
  <c r="I553" i="6"/>
  <c r="H553" i="6"/>
  <c r="G553" i="6"/>
  <c r="M553" i="6" s="1"/>
  <c r="B553" i="6"/>
  <c r="N552" i="6"/>
  <c r="I552" i="6"/>
  <c r="H552" i="6"/>
  <c r="G552" i="6"/>
  <c r="M552" i="6" s="1"/>
  <c r="B552" i="6"/>
  <c r="N551" i="6"/>
  <c r="M551" i="6"/>
  <c r="H551" i="6"/>
  <c r="G551" i="6"/>
  <c r="B551" i="6"/>
  <c r="N550" i="6"/>
  <c r="M550" i="6"/>
  <c r="H550" i="6"/>
  <c r="G550" i="6"/>
  <c r="B550" i="6"/>
  <c r="N549" i="6"/>
  <c r="K549" i="6"/>
  <c r="J549" i="6"/>
  <c r="I549" i="6"/>
  <c r="L549" i="6" s="1"/>
  <c r="H549" i="6"/>
  <c r="G549" i="6"/>
  <c r="M549" i="6" s="1"/>
  <c r="B549" i="6"/>
  <c r="N548" i="6"/>
  <c r="H548" i="6"/>
  <c r="G548" i="6"/>
  <c r="M548" i="6" s="1"/>
  <c r="B548" i="6"/>
  <c r="N547" i="6"/>
  <c r="M547" i="6"/>
  <c r="I547" i="6"/>
  <c r="H547" i="6"/>
  <c r="G547" i="6"/>
  <c r="B547" i="6"/>
  <c r="N546" i="6"/>
  <c r="M546" i="6"/>
  <c r="K546" i="6"/>
  <c r="J546" i="6"/>
  <c r="I546" i="6"/>
  <c r="H546" i="6"/>
  <c r="G546" i="6"/>
  <c r="B546" i="6"/>
  <c r="N545" i="6"/>
  <c r="J545" i="6"/>
  <c r="H545" i="6"/>
  <c r="G545" i="6"/>
  <c r="M545" i="6" s="1"/>
  <c r="B545" i="6"/>
  <c r="N544" i="6"/>
  <c r="H544" i="6"/>
  <c r="G544" i="6"/>
  <c r="M544" i="6" s="1"/>
  <c r="B544" i="6"/>
  <c r="N543" i="6"/>
  <c r="H543" i="6"/>
  <c r="G543" i="6"/>
  <c r="M543" i="6" s="1"/>
  <c r="B543" i="6"/>
  <c r="N542" i="6"/>
  <c r="M542" i="6"/>
  <c r="H542" i="6"/>
  <c r="G542" i="6"/>
  <c r="B542" i="6"/>
  <c r="N541" i="6"/>
  <c r="K541" i="6"/>
  <c r="J541" i="6"/>
  <c r="I541" i="6"/>
  <c r="H541" i="6"/>
  <c r="G541" i="6"/>
  <c r="M541" i="6" s="1"/>
  <c r="B541" i="6"/>
  <c r="N540" i="6"/>
  <c r="H540" i="6"/>
  <c r="G540" i="6"/>
  <c r="M540" i="6" s="1"/>
  <c r="B540" i="6"/>
  <c r="N539" i="6"/>
  <c r="M539" i="6"/>
  <c r="H539" i="6"/>
  <c r="G539" i="6"/>
  <c r="B539" i="6"/>
  <c r="N538" i="6"/>
  <c r="K538" i="6"/>
  <c r="J538" i="6"/>
  <c r="I538" i="6"/>
  <c r="L538" i="6" s="1"/>
  <c r="H538" i="6"/>
  <c r="G538" i="6"/>
  <c r="M538" i="6" s="1"/>
  <c r="B538" i="6"/>
  <c r="N537" i="6"/>
  <c r="H537" i="6"/>
  <c r="G537" i="6"/>
  <c r="M537" i="6" s="1"/>
  <c r="B537" i="6"/>
  <c r="N536" i="6"/>
  <c r="K536" i="6"/>
  <c r="H536" i="6"/>
  <c r="J536" i="6" s="1"/>
  <c r="G536" i="6"/>
  <c r="M536" i="6" s="1"/>
  <c r="B536" i="6"/>
  <c r="N535" i="6"/>
  <c r="M535" i="6"/>
  <c r="J535" i="6"/>
  <c r="H535" i="6"/>
  <c r="K535" i="6" s="1"/>
  <c r="G535" i="6"/>
  <c r="B535" i="6"/>
  <c r="N534" i="6"/>
  <c r="M534" i="6"/>
  <c r="J534" i="6"/>
  <c r="H534" i="6"/>
  <c r="K534" i="6" s="1"/>
  <c r="G534" i="6"/>
  <c r="B534" i="6"/>
  <c r="N533" i="6"/>
  <c r="L533" i="6"/>
  <c r="K533" i="6"/>
  <c r="J533" i="6"/>
  <c r="I533" i="6"/>
  <c r="H533" i="6"/>
  <c r="G533" i="6"/>
  <c r="M533" i="6" s="1"/>
  <c r="B533" i="6"/>
  <c r="N532" i="6"/>
  <c r="K532" i="6"/>
  <c r="H532" i="6"/>
  <c r="I532" i="6" s="1"/>
  <c r="G532" i="6"/>
  <c r="M532" i="6" s="1"/>
  <c r="B532" i="6"/>
  <c r="N531" i="6"/>
  <c r="M531" i="6"/>
  <c r="K531" i="6"/>
  <c r="H531" i="6"/>
  <c r="J531" i="6" s="1"/>
  <c r="G531" i="6"/>
  <c r="B531" i="6"/>
  <c r="N530" i="6"/>
  <c r="M530" i="6"/>
  <c r="K530" i="6"/>
  <c r="J530" i="6"/>
  <c r="I530" i="6"/>
  <c r="L530" i="6" s="1"/>
  <c r="H530" i="6"/>
  <c r="G530" i="6"/>
  <c r="B530" i="6"/>
  <c r="N529" i="6"/>
  <c r="K529" i="6"/>
  <c r="H529" i="6"/>
  <c r="I529" i="6" s="1"/>
  <c r="G529" i="6"/>
  <c r="M529" i="6" s="1"/>
  <c r="B529" i="6"/>
  <c r="N528" i="6"/>
  <c r="K528" i="6"/>
  <c r="I528" i="6"/>
  <c r="L528" i="6" s="1"/>
  <c r="H528" i="6"/>
  <c r="J528" i="6" s="1"/>
  <c r="G528" i="6"/>
  <c r="M528" i="6" s="1"/>
  <c r="B528" i="6"/>
  <c r="N527" i="6"/>
  <c r="M527" i="6"/>
  <c r="J527" i="6"/>
  <c r="I527" i="6"/>
  <c r="L527" i="6" s="1"/>
  <c r="H527" i="6"/>
  <c r="K527" i="6" s="1"/>
  <c r="G527" i="6"/>
  <c r="B527" i="6"/>
  <c r="N526" i="6"/>
  <c r="M526" i="6"/>
  <c r="K526" i="6"/>
  <c r="J526" i="6"/>
  <c r="I526" i="6"/>
  <c r="L526" i="6" s="1"/>
  <c r="H526" i="6"/>
  <c r="G526" i="6"/>
  <c r="B526" i="6"/>
  <c r="N525" i="6"/>
  <c r="K525" i="6"/>
  <c r="J525" i="6"/>
  <c r="I525" i="6"/>
  <c r="L525" i="6" s="1"/>
  <c r="H525" i="6"/>
  <c r="G525" i="6"/>
  <c r="M525" i="6" s="1"/>
  <c r="B525" i="6"/>
  <c r="N524" i="6"/>
  <c r="M524" i="6"/>
  <c r="K524" i="6"/>
  <c r="J524" i="6"/>
  <c r="L524" i="6" s="1"/>
  <c r="H524" i="6"/>
  <c r="I524" i="6" s="1"/>
  <c r="G524" i="6"/>
  <c r="B524" i="6"/>
  <c r="N523" i="6"/>
  <c r="M523" i="6"/>
  <c r="K523" i="6"/>
  <c r="I523" i="6"/>
  <c r="L523" i="6" s="1"/>
  <c r="H523" i="6"/>
  <c r="J523" i="6" s="1"/>
  <c r="G523" i="6"/>
  <c r="B523" i="6"/>
  <c r="N522" i="6"/>
  <c r="K522" i="6"/>
  <c r="J522" i="6"/>
  <c r="L522" i="6" s="1"/>
  <c r="I522" i="6"/>
  <c r="H522" i="6"/>
  <c r="G522" i="6"/>
  <c r="M522" i="6" s="1"/>
  <c r="B522" i="6"/>
  <c r="N521" i="6"/>
  <c r="M521" i="6"/>
  <c r="K521" i="6"/>
  <c r="J521" i="6"/>
  <c r="H521" i="6"/>
  <c r="I521" i="6" s="1"/>
  <c r="G521" i="6"/>
  <c r="B521" i="6"/>
  <c r="N520" i="6"/>
  <c r="K520" i="6"/>
  <c r="H520" i="6"/>
  <c r="G520" i="6"/>
  <c r="M520" i="6" s="1"/>
  <c r="B520" i="6"/>
  <c r="N519" i="6"/>
  <c r="M519" i="6"/>
  <c r="H519" i="6"/>
  <c r="G519" i="6"/>
  <c r="B519" i="6"/>
  <c r="N518" i="6"/>
  <c r="M518" i="6"/>
  <c r="K518" i="6"/>
  <c r="H518" i="6"/>
  <c r="I518" i="6" s="1"/>
  <c r="G518" i="6"/>
  <c r="B518" i="6"/>
  <c r="N517" i="6"/>
  <c r="K517" i="6"/>
  <c r="L517" i="6" s="1"/>
  <c r="J517" i="6"/>
  <c r="I517" i="6"/>
  <c r="H517" i="6"/>
  <c r="G517" i="6"/>
  <c r="M517" i="6" s="1"/>
  <c r="B517" i="6"/>
  <c r="N516" i="6"/>
  <c r="M516" i="6"/>
  <c r="K516" i="6"/>
  <c r="H516" i="6"/>
  <c r="G516" i="6"/>
  <c r="B516" i="6"/>
  <c r="N515" i="6"/>
  <c r="M515" i="6"/>
  <c r="K515" i="6"/>
  <c r="H515" i="6"/>
  <c r="G515" i="6"/>
  <c r="B515" i="6"/>
  <c r="N514" i="6"/>
  <c r="L514" i="6"/>
  <c r="K514" i="6"/>
  <c r="J514" i="6"/>
  <c r="I514" i="6"/>
  <c r="H514" i="6"/>
  <c r="G514" i="6"/>
  <c r="M514" i="6" s="1"/>
  <c r="B514" i="6"/>
  <c r="N513" i="6"/>
  <c r="M513" i="6"/>
  <c r="K513" i="6"/>
  <c r="H513" i="6"/>
  <c r="G513" i="6"/>
  <c r="B513" i="6"/>
  <c r="N512" i="6"/>
  <c r="K512" i="6"/>
  <c r="I512" i="6"/>
  <c r="L512" i="6" s="1"/>
  <c r="H512" i="6"/>
  <c r="J512" i="6" s="1"/>
  <c r="G512" i="6"/>
  <c r="M512" i="6" s="1"/>
  <c r="B512" i="6"/>
  <c r="N511" i="6"/>
  <c r="J511" i="6"/>
  <c r="I511" i="6"/>
  <c r="L511" i="6" s="1"/>
  <c r="H511" i="6"/>
  <c r="K511" i="6" s="1"/>
  <c r="G511" i="6"/>
  <c r="M511" i="6" s="1"/>
  <c r="B511" i="6"/>
  <c r="N510" i="6"/>
  <c r="M510" i="6"/>
  <c r="K510" i="6"/>
  <c r="J510" i="6"/>
  <c r="I510" i="6"/>
  <c r="L510" i="6" s="1"/>
  <c r="H510" i="6"/>
  <c r="G510" i="6"/>
  <c r="B510" i="6"/>
  <c r="N509" i="6"/>
  <c r="K509" i="6"/>
  <c r="J509" i="6"/>
  <c r="I509" i="6"/>
  <c r="L509" i="6" s="1"/>
  <c r="H509" i="6"/>
  <c r="G509" i="6"/>
  <c r="M509" i="6" s="1"/>
  <c r="B509" i="6"/>
  <c r="N508" i="6"/>
  <c r="K508" i="6"/>
  <c r="J508" i="6"/>
  <c r="L508" i="6" s="1"/>
  <c r="H508" i="6"/>
  <c r="I508" i="6" s="1"/>
  <c r="G508" i="6"/>
  <c r="M508" i="6" s="1"/>
  <c r="B508" i="6"/>
  <c r="N507" i="6"/>
  <c r="M507" i="6"/>
  <c r="K507" i="6"/>
  <c r="I507" i="6"/>
  <c r="L507" i="6" s="1"/>
  <c r="H507" i="6"/>
  <c r="J507" i="6" s="1"/>
  <c r="G507" i="6"/>
  <c r="B507" i="6"/>
  <c r="N506" i="6"/>
  <c r="M506" i="6"/>
  <c r="K506" i="6"/>
  <c r="J506" i="6"/>
  <c r="L506" i="6" s="1"/>
  <c r="I506" i="6"/>
  <c r="H506" i="6"/>
  <c r="G506" i="6"/>
  <c r="B506" i="6"/>
  <c r="N505" i="6"/>
  <c r="K505" i="6"/>
  <c r="J505" i="6"/>
  <c r="H505" i="6"/>
  <c r="I505" i="6" s="1"/>
  <c r="G505" i="6"/>
  <c r="M505" i="6" s="1"/>
  <c r="B505" i="6"/>
  <c r="N504" i="6"/>
  <c r="H504" i="6"/>
  <c r="G504" i="6"/>
  <c r="M504" i="6" s="1"/>
  <c r="B504" i="6"/>
  <c r="N503" i="6"/>
  <c r="M503" i="6"/>
  <c r="H503" i="6"/>
  <c r="G503" i="6"/>
  <c r="B503" i="6"/>
  <c r="N502" i="6"/>
  <c r="M502" i="6"/>
  <c r="H502" i="6"/>
  <c r="G502" i="6"/>
  <c r="B502" i="6"/>
  <c r="N501" i="6"/>
  <c r="K501" i="6"/>
  <c r="J501" i="6"/>
  <c r="I501" i="6"/>
  <c r="L501" i="6" s="1"/>
  <c r="H501" i="6"/>
  <c r="G501" i="6"/>
  <c r="M501" i="6" s="1"/>
  <c r="B501" i="6"/>
  <c r="N500" i="6"/>
  <c r="M500" i="6"/>
  <c r="H500" i="6"/>
  <c r="G500" i="6"/>
  <c r="B500" i="6"/>
  <c r="N499" i="6"/>
  <c r="M499" i="6"/>
  <c r="H499" i="6"/>
  <c r="G499" i="6"/>
  <c r="B499" i="6"/>
  <c r="N498" i="6"/>
  <c r="K498" i="6"/>
  <c r="J498" i="6"/>
  <c r="I498" i="6"/>
  <c r="L498" i="6" s="1"/>
  <c r="H498" i="6"/>
  <c r="G498" i="6"/>
  <c r="M498" i="6" s="1"/>
  <c r="B498" i="6"/>
  <c r="N497" i="6"/>
  <c r="M497" i="6"/>
  <c r="H497" i="6"/>
  <c r="G497" i="6"/>
  <c r="B497" i="6"/>
  <c r="N496" i="6"/>
  <c r="K496" i="6"/>
  <c r="I496" i="6"/>
  <c r="L496" i="6" s="1"/>
  <c r="H496" i="6"/>
  <c r="J496" i="6" s="1"/>
  <c r="G496" i="6"/>
  <c r="M496" i="6" s="1"/>
  <c r="B496" i="6"/>
  <c r="N495" i="6"/>
  <c r="H495" i="6"/>
  <c r="K495" i="6" s="1"/>
  <c r="G495" i="6"/>
  <c r="M495" i="6" s="1"/>
  <c r="B495" i="6"/>
  <c r="N494" i="6"/>
  <c r="M494" i="6"/>
  <c r="H494" i="6"/>
  <c r="K494" i="6" s="1"/>
  <c r="G494" i="6"/>
  <c r="B494" i="6"/>
  <c r="N493" i="6"/>
  <c r="K493" i="6"/>
  <c r="J493" i="6"/>
  <c r="I493" i="6"/>
  <c r="H493" i="6"/>
  <c r="G493" i="6"/>
  <c r="M493" i="6" s="1"/>
  <c r="B493" i="6"/>
  <c r="N492" i="6"/>
  <c r="L492" i="6"/>
  <c r="K492" i="6"/>
  <c r="J492" i="6"/>
  <c r="H492" i="6"/>
  <c r="I492" i="6" s="1"/>
  <c r="G492" i="6"/>
  <c r="M492" i="6" s="1"/>
  <c r="B492" i="6"/>
  <c r="N491" i="6"/>
  <c r="M491" i="6"/>
  <c r="L491" i="6"/>
  <c r="K491" i="6"/>
  <c r="I491" i="6"/>
  <c r="H491" i="6"/>
  <c r="J491" i="6" s="1"/>
  <c r="G491" i="6"/>
  <c r="B491" i="6"/>
  <c r="N490" i="6"/>
  <c r="L490" i="6"/>
  <c r="K490" i="6"/>
  <c r="J490" i="6"/>
  <c r="I490" i="6"/>
  <c r="H490" i="6"/>
  <c r="G490" i="6"/>
  <c r="M490" i="6" s="1"/>
  <c r="B490" i="6"/>
  <c r="N489" i="6"/>
  <c r="M489" i="6"/>
  <c r="K489" i="6"/>
  <c r="J489" i="6"/>
  <c r="H489" i="6"/>
  <c r="I489" i="6" s="1"/>
  <c r="G489" i="6"/>
  <c r="B489" i="6"/>
  <c r="N488" i="6"/>
  <c r="H488" i="6"/>
  <c r="G488" i="6"/>
  <c r="M488" i="6" s="1"/>
  <c r="B488" i="6"/>
  <c r="N487" i="6"/>
  <c r="H487" i="6"/>
  <c r="G487" i="6"/>
  <c r="M487" i="6" s="1"/>
  <c r="B487" i="6"/>
  <c r="N486" i="6"/>
  <c r="M486" i="6"/>
  <c r="J486" i="6"/>
  <c r="I486" i="6"/>
  <c r="L486" i="6" s="1"/>
  <c r="H486" i="6"/>
  <c r="K486" i="6" s="1"/>
  <c r="G486" i="6"/>
  <c r="B486" i="6"/>
  <c r="N485" i="6"/>
  <c r="K485" i="6"/>
  <c r="J485" i="6"/>
  <c r="I485" i="6"/>
  <c r="L485" i="6" s="1"/>
  <c r="H485" i="6"/>
  <c r="G485" i="6"/>
  <c r="M485" i="6" s="1"/>
  <c r="B485" i="6"/>
  <c r="N484" i="6"/>
  <c r="M484" i="6"/>
  <c r="H484" i="6"/>
  <c r="I484" i="6" s="1"/>
  <c r="G484" i="6"/>
  <c r="B484" i="6"/>
  <c r="N483" i="6"/>
  <c r="M483" i="6"/>
  <c r="K483" i="6"/>
  <c r="H483" i="6"/>
  <c r="J483" i="6" s="1"/>
  <c r="G483" i="6"/>
  <c r="B483" i="6"/>
  <c r="N482" i="6"/>
  <c r="M482" i="6"/>
  <c r="K482" i="6"/>
  <c r="J482" i="6"/>
  <c r="I482" i="6"/>
  <c r="H482" i="6"/>
  <c r="G482" i="6"/>
  <c r="B482" i="6"/>
  <c r="N481" i="6"/>
  <c r="K481" i="6"/>
  <c r="J481" i="6"/>
  <c r="H481" i="6"/>
  <c r="I481" i="6" s="1"/>
  <c r="G481" i="6"/>
  <c r="M481" i="6" s="1"/>
  <c r="B481" i="6"/>
  <c r="N480" i="6"/>
  <c r="H480" i="6"/>
  <c r="G480" i="6"/>
  <c r="M480" i="6" s="1"/>
  <c r="B480" i="6"/>
  <c r="N479" i="6"/>
  <c r="I479" i="6"/>
  <c r="H479" i="6"/>
  <c r="G479" i="6"/>
  <c r="M479" i="6" s="1"/>
  <c r="B479" i="6"/>
  <c r="N478" i="6"/>
  <c r="M478" i="6"/>
  <c r="H478" i="6"/>
  <c r="J478" i="6" s="1"/>
  <c r="G478" i="6"/>
  <c r="B478" i="6"/>
  <c r="N477" i="6"/>
  <c r="K477" i="6"/>
  <c r="J477" i="6"/>
  <c r="I477" i="6"/>
  <c r="H477" i="6"/>
  <c r="G477" i="6"/>
  <c r="M477" i="6" s="1"/>
  <c r="B477" i="6"/>
  <c r="N476" i="6"/>
  <c r="J476" i="6"/>
  <c r="H476" i="6"/>
  <c r="G476" i="6"/>
  <c r="M476" i="6" s="1"/>
  <c r="B476" i="6"/>
  <c r="N475" i="6"/>
  <c r="M475" i="6"/>
  <c r="I475" i="6"/>
  <c r="H475" i="6"/>
  <c r="G475" i="6"/>
  <c r="B475" i="6"/>
  <c r="N474" i="6"/>
  <c r="K474" i="6"/>
  <c r="J474" i="6"/>
  <c r="I474" i="6"/>
  <c r="H474" i="6"/>
  <c r="G474" i="6"/>
  <c r="M474" i="6" s="1"/>
  <c r="B474" i="6"/>
  <c r="N473" i="6"/>
  <c r="H473" i="6"/>
  <c r="G473" i="6"/>
  <c r="M473" i="6" s="1"/>
  <c r="B473" i="6"/>
  <c r="N472" i="6"/>
  <c r="H472" i="6"/>
  <c r="G472" i="6"/>
  <c r="M472" i="6" s="1"/>
  <c r="B472" i="6"/>
  <c r="N471" i="6"/>
  <c r="M471" i="6"/>
  <c r="J471" i="6"/>
  <c r="H471" i="6"/>
  <c r="G471" i="6"/>
  <c r="B471" i="6"/>
  <c r="N470" i="6"/>
  <c r="M470" i="6"/>
  <c r="H470" i="6"/>
  <c r="G470" i="6"/>
  <c r="B470" i="6"/>
  <c r="N469" i="6"/>
  <c r="L469" i="6"/>
  <c r="K469" i="6"/>
  <c r="J469" i="6"/>
  <c r="I469" i="6"/>
  <c r="H469" i="6"/>
  <c r="G469" i="6"/>
  <c r="M469" i="6" s="1"/>
  <c r="B469" i="6"/>
  <c r="N468" i="6"/>
  <c r="K468" i="6"/>
  <c r="H468" i="6"/>
  <c r="G468" i="6"/>
  <c r="M468" i="6" s="1"/>
  <c r="B468" i="6"/>
  <c r="N467" i="6"/>
  <c r="M467" i="6"/>
  <c r="H467" i="6"/>
  <c r="G467" i="6"/>
  <c r="B467" i="6"/>
  <c r="N466" i="6"/>
  <c r="M466" i="6"/>
  <c r="K466" i="6"/>
  <c r="J466" i="6"/>
  <c r="I466" i="6"/>
  <c r="L466" i="6" s="1"/>
  <c r="H466" i="6"/>
  <c r="G466" i="6"/>
  <c r="B466" i="6"/>
  <c r="N465" i="6"/>
  <c r="H465" i="6"/>
  <c r="G465" i="6"/>
  <c r="M465" i="6" s="1"/>
  <c r="B465" i="6"/>
  <c r="N464" i="6"/>
  <c r="K464" i="6"/>
  <c r="I464" i="6"/>
  <c r="L464" i="6" s="1"/>
  <c r="H464" i="6"/>
  <c r="J464" i="6" s="1"/>
  <c r="G464" i="6"/>
  <c r="M464" i="6" s="1"/>
  <c r="B464" i="6"/>
  <c r="N463" i="6"/>
  <c r="J463" i="6"/>
  <c r="I463" i="6"/>
  <c r="L463" i="6" s="1"/>
  <c r="H463" i="6"/>
  <c r="K463" i="6" s="1"/>
  <c r="G463" i="6"/>
  <c r="M463" i="6" s="1"/>
  <c r="B463" i="6"/>
  <c r="N462" i="6"/>
  <c r="M462" i="6"/>
  <c r="K462" i="6"/>
  <c r="J462" i="6"/>
  <c r="I462" i="6"/>
  <c r="L462" i="6" s="1"/>
  <c r="H462" i="6"/>
  <c r="G462" i="6"/>
  <c r="B462" i="6"/>
  <c r="N461" i="6"/>
  <c r="K461" i="6"/>
  <c r="J461" i="6"/>
  <c r="I461" i="6"/>
  <c r="L461" i="6" s="1"/>
  <c r="H461" i="6"/>
  <c r="G461" i="6"/>
  <c r="M461" i="6" s="1"/>
  <c r="B461" i="6"/>
  <c r="N460" i="6"/>
  <c r="K460" i="6"/>
  <c r="J460" i="6"/>
  <c r="L460" i="6" s="1"/>
  <c r="H460" i="6"/>
  <c r="I460" i="6" s="1"/>
  <c r="G460" i="6"/>
  <c r="M460" i="6" s="1"/>
  <c r="B460" i="6"/>
  <c r="N459" i="6"/>
  <c r="M459" i="6"/>
  <c r="K459" i="6"/>
  <c r="I459" i="6"/>
  <c r="L459" i="6" s="1"/>
  <c r="H459" i="6"/>
  <c r="J459" i="6" s="1"/>
  <c r="G459" i="6"/>
  <c r="B459" i="6"/>
  <c r="N458" i="6"/>
  <c r="K458" i="6"/>
  <c r="J458" i="6"/>
  <c r="L458" i="6" s="1"/>
  <c r="I458" i="6"/>
  <c r="H458" i="6"/>
  <c r="G458" i="6"/>
  <c r="M458" i="6" s="1"/>
  <c r="B458" i="6"/>
  <c r="N457" i="6"/>
  <c r="K457" i="6"/>
  <c r="J457" i="6"/>
  <c r="H457" i="6"/>
  <c r="I457" i="6" s="1"/>
  <c r="G457" i="6"/>
  <c r="M457" i="6" s="1"/>
  <c r="B457" i="6"/>
  <c r="N456" i="6"/>
  <c r="K456" i="6"/>
  <c r="H456" i="6"/>
  <c r="G456" i="6"/>
  <c r="M456" i="6" s="1"/>
  <c r="B456" i="6"/>
  <c r="N455" i="6"/>
  <c r="M455" i="6"/>
  <c r="H455" i="6"/>
  <c r="G455" i="6"/>
  <c r="B455" i="6"/>
  <c r="N454" i="6"/>
  <c r="M454" i="6"/>
  <c r="K454" i="6"/>
  <c r="H454" i="6"/>
  <c r="I454" i="6" s="1"/>
  <c r="G454" i="6"/>
  <c r="B454" i="6"/>
  <c r="N453" i="6"/>
  <c r="L453" i="6"/>
  <c r="K453" i="6"/>
  <c r="J453" i="6"/>
  <c r="I453" i="6"/>
  <c r="H453" i="6"/>
  <c r="G453" i="6"/>
  <c r="M453" i="6" s="1"/>
  <c r="B453" i="6"/>
  <c r="N452" i="6"/>
  <c r="M452" i="6"/>
  <c r="K452" i="6"/>
  <c r="H452" i="6"/>
  <c r="G452" i="6"/>
  <c r="B452" i="6"/>
  <c r="N451" i="6"/>
  <c r="M451" i="6"/>
  <c r="K451" i="6"/>
  <c r="H451" i="6"/>
  <c r="G451" i="6"/>
  <c r="B451" i="6"/>
  <c r="N450" i="6"/>
  <c r="L450" i="6"/>
  <c r="K450" i="6"/>
  <c r="J450" i="6"/>
  <c r="I450" i="6"/>
  <c r="H450" i="6"/>
  <c r="G450" i="6"/>
  <c r="M450" i="6" s="1"/>
  <c r="B450" i="6"/>
  <c r="N449" i="6"/>
  <c r="M449" i="6"/>
  <c r="H449" i="6"/>
  <c r="G449" i="6"/>
  <c r="B449" i="6"/>
  <c r="N448" i="6"/>
  <c r="K448" i="6"/>
  <c r="I448" i="6"/>
  <c r="L448" i="6" s="1"/>
  <c r="H448" i="6"/>
  <c r="J448" i="6" s="1"/>
  <c r="G448" i="6"/>
  <c r="M448" i="6" s="1"/>
  <c r="B448" i="6"/>
  <c r="N447" i="6"/>
  <c r="J447" i="6"/>
  <c r="I447" i="6"/>
  <c r="L447" i="6" s="1"/>
  <c r="H447" i="6"/>
  <c r="K447" i="6" s="1"/>
  <c r="G447" i="6"/>
  <c r="M447" i="6" s="1"/>
  <c r="B447" i="6"/>
  <c r="N446" i="6"/>
  <c r="M446" i="6"/>
  <c r="K446" i="6"/>
  <c r="J446" i="6"/>
  <c r="I446" i="6"/>
  <c r="L446" i="6" s="1"/>
  <c r="H446" i="6"/>
  <c r="G446" i="6"/>
  <c r="B446" i="6"/>
  <c r="N445" i="6"/>
  <c r="K445" i="6"/>
  <c r="J445" i="6"/>
  <c r="I445" i="6"/>
  <c r="L445" i="6" s="1"/>
  <c r="H445" i="6"/>
  <c r="G445" i="6"/>
  <c r="M445" i="6" s="1"/>
  <c r="B445" i="6"/>
  <c r="N444" i="6"/>
  <c r="K444" i="6"/>
  <c r="J444" i="6"/>
  <c r="L444" i="6" s="1"/>
  <c r="H444" i="6"/>
  <c r="I444" i="6" s="1"/>
  <c r="G444" i="6"/>
  <c r="M444" i="6" s="1"/>
  <c r="B444" i="6"/>
  <c r="N443" i="6"/>
  <c r="M443" i="6"/>
  <c r="K443" i="6"/>
  <c r="I443" i="6"/>
  <c r="L443" i="6" s="1"/>
  <c r="H443" i="6"/>
  <c r="J443" i="6" s="1"/>
  <c r="G443" i="6"/>
  <c r="B443" i="6"/>
  <c r="N442" i="6"/>
  <c r="M442" i="6"/>
  <c r="K442" i="6"/>
  <c r="J442" i="6"/>
  <c r="L442" i="6" s="1"/>
  <c r="I442" i="6"/>
  <c r="H442" i="6"/>
  <c r="G442" i="6"/>
  <c r="B442" i="6"/>
  <c r="N441" i="6"/>
  <c r="K441" i="6"/>
  <c r="J441" i="6"/>
  <c r="H441" i="6"/>
  <c r="I441" i="6" s="1"/>
  <c r="G441" i="6"/>
  <c r="M441" i="6" s="1"/>
  <c r="B441" i="6"/>
  <c r="N440" i="6"/>
  <c r="H440" i="6"/>
  <c r="G440" i="6"/>
  <c r="M440" i="6" s="1"/>
  <c r="B440" i="6"/>
  <c r="N439" i="6"/>
  <c r="M439" i="6"/>
  <c r="H439" i="6"/>
  <c r="G439" i="6"/>
  <c r="B439" i="6"/>
  <c r="N438" i="6"/>
  <c r="M438" i="6"/>
  <c r="H438" i="6"/>
  <c r="G438" i="6"/>
  <c r="B438" i="6"/>
  <c r="N437" i="6"/>
  <c r="K437" i="6"/>
  <c r="J437" i="6"/>
  <c r="I437" i="6"/>
  <c r="L437" i="6" s="1"/>
  <c r="H437" i="6"/>
  <c r="G437" i="6"/>
  <c r="M437" i="6" s="1"/>
  <c r="B437" i="6"/>
  <c r="N436" i="6"/>
  <c r="M436" i="6"/>
  <c r="H436" i="6"/>
  <c r="G436" i="6"/>
  <c r="B436" i="6"/>
  <c r="N435" i="6"/>
  <c r="M435" i="6"/>
  <c r="H435" i="6"/>
  <c r="G435" i="6"/>
  <c r="B435" i="6"/>
  <c r="N434" i="6"/>
  <c r="K434" i="6"/>
  <c r="J434" i="6"/>
  <c r="I434" i="6"/>
  <c r="L434" i="6" s="1"/>
  <c r="H434" i="6"/>
  <c r="G434" i="6"/>
  <c r="M434" i="6" s="1"/>
  <c r="B434" i="6"/>
  <c r="N433" i="6"/>
  <c r="M433" i="6"/>
  <c r="H433" i="6"/>
  <c r="G433" i="6"/>
  <c r="V15" i="7" s="1"/>
  <c r="B433" i="6"/>
  <c r="N432" i="6"/>
  <c r="K432" i="6"/>
  <c r="I432" i="6"/>
  <c r="L432" i="6" s="1"/>
  <c r="H432" i="6"/>
  <c r="J432" i="6" s="1"/>
  <c r="G432" i="6"/>
  <c r="M432" i="6" s="1"/>
  <c r="B432" i="6"/>
  <c r="N431" i="6"/>
  <c r="H431" i="6"/>
  <c r="K431" i="6" s="1"/>
  <c r="G431" i="6"/>
  <c r="M431" i="6" s="1"/>
  <c r="B431" i="6"/>
  <c r="N430" i="6"/>
  <c r="M430" i="6"/>
  <c r="H430" i="6"/>
  <c r="K430" i="6" s="1"/>
  <c r="G430" i="6"/>
  <c r="B430" i="6"/>
  <c r="N429" i="6"/>
  <c r="K429" i="6"/>
  <c r="J429" i="6"/>
  <c r="I429" i="6"/>
  <c r="H429" i="6"/>
  <c r="G429" i="6"/>
  <c r="M429" i="6" s="1"/>
  <c r="B429" i="6"/>
  <c r="N428" i="6"/>
  <c r="K428" i="6"/>
  <c r="L428" i="6" s="1"/>
  <c r="J428" i="6"/>
  <c r="H428" i="6"/>
  <c r="I428" i="6" s="1"/>
  <c r="G428" i="6"/>
  <c r="M428" i="6" s="1"/>
  <c r="B428" i="6"/>
  <c r="N427" i="6"/>
  <c r="M427" i="6"/>
  <c r="K427" i="6"/>
  <c r="S16" i="7" s="1"/>
  <c r="I427" i="6"/>
  <c r="Q16" i="7" s="1"/>
  <c r="H427" i="6"/>
  <c r="J427" i="6" s="1"/>
  <c r="R16" i="7" s="1"/>
  <c r="G427" i="6"/>
  <c r="V16" i="7" s="1"/>
  <c r="B427" i="6"/>
  <c r="N426" i="6"/>
  <c r="K426" i="6"/>
  <c r="J426" i="6"/>
  <c r="L426" i="6" s="1"/>
  <c r="I426" i="6"/>
  <c r="H426" i="6"/>
  <c r="G426" i="6"/>
  <c r="M426" i="6" s="1"/>
  <c r="B426" i="6"/>
  <c r="N425" i="6"/>
  <c r="M425" i="6"/>
  <c r="K425" i="6"/>
  <c r="J425" i="6"/>
  <c r="H425" i="6"/>
  <c r="I425" i="6" s="1"/>
  <c r="G425" i="6"/>
  <c r="B425" i="6"/>
  <c r="N424" i="6"/>
  <c r="H424" i="6"/>
  <c r="G424" i="6"/>
  <c r="M424" i="6" s="1"/>
  <c r="B424" i="6"/>
  <c r="N423" i="6"/>
  <c r="H423" i="6"/>
  <c r="G423" i="6"/>
  <c r="M423" i="6" s="1"/>
  <c r="B423" i="6"/>
  <c r="N422" i="6"/>
  <c r="M422" i="6"/>
  <c r="J422" i="6"/>
  <c r="I422" i="6"/>
  <c r="L422" i="6" s="1"/>
  <c r="H422" i="6"/>
  <c r="K422" i="6" s="1"/>
  <c r="G422" i="6"/>
  <c r="B422" i="6"/>
  <c r="N421" i="6"/>
  <c r="K421" i="6"/>
  <c r="J421" i="6"/>
  <c r="I421" i="6"/>
  <c r="L421" i="6" s="1"/>
  <c r="H421" i="6"/>
  <c r="G421" i="6"/>
  <c r="M421" i="6" s="1"/>
  <c r="B421" i="6"/>
  <c r="N420" i="6"/>
  <c r="M420" i="6"/>
  <c r="H420" i="6"/>
  <c r="I420" i="6" s="1"/>
  <c r="G420" i="6"/>
  <c r="B420" i="6"/>
  <c r="N419" i="6"/>
  <c r="M419" i="6"/>
  <c r="K419" i="6"/>
  <c r="H419" i="6"/>
  <c r="J419" i="6" s="1"/>
  <c r="G419" i="6"/>
  <c r="B419" i="6"/>
  <c r="N418" i="6"/>
  <c r="M418" i="6"/>
  <c r="K418" i="6"/>
  <c r="J418" i="6"/>
  <c r="I418" i="6"/>
  <c r="H418" i="6"/>
  <c r="G418" i="6"/>
  <c r="B418" i="6"/>
  <c r="N417" i="6"/>
  <c r="K417" i="6"/>
  <c r="J417" i="6"/>
  <c r="H417" i="6"/>
  <c r="I417" i="6" s="1"/>
  <c r="G417" i="6"/>
  <c r="M417" i="6" s="1"/>
  <c r="B417" i="6"/>
  <c r="N416" i="6"/>
  <c r="H416" i="6"/>
  <c r="G416" i="6"/>
  <c r="M416" i="6" s="1"/>
  <c r="B416" i="6"/>
  <c r="N415" i="6"/>
  <c r="I415" i="6"/>
  <c r="H415" i="6"/>
  <c r="G415" i="6"/>
  <c r="M415" i="6" s="1"/>
  <c r="B415" i="6"/>
  <c r="N414" i="6"/>
  <c r="M414" i="6"/>
  <c r="H414" i="6"/>
  <c r="J414" i="6" s="1"/>
  <c r="G414" i="6"/>
  <c r="B414" i="6"/>
  <c r="N413" i="6"/>
  <c r="K413" i="6"/>
  <c r="J413" i="6"/>
  <c r="I413" i="6"/>
  <c r="H413" i="6"/>
  <c r="G413" i="6"/>
  <c r="M413" i="6" s="1"/>
  <c r="B413" i="6"/>
  <c r="N412" i="6"/>
  <c r="J412" i="6"/>
  <c r="H412" i="6"/>
  <c r="G412" i="6"/>
  <c r="M412" i="6" s="1"/>
  <c r="B412" i="6"/>
  <c r="N411" i="6"/>
  <c r="M411" i="6"/>
  <c r="H411" i="6"/>
  <c r="G411" i="6"/>
  <c r="B411" i="6"/>
  <c r="N410" i="6"/>
  <c r="K410" i="6"/>
  <c r="J410" i="6"/>
  <c r="I410" i="6"/>
  <c r="L410" i="6" s="1"/>
  <c r="H410" i="6"/>
  <c r="G410" i="6"/>
  <c r="M410" i="6" s="1"/>
  <c r="B410" i="6"/>
  <c r="N409" i="6"/>
  <c r="H409" i="6"/>
  <c r="G409" i="6"/>
  <c r="M409" i="6" s="1"/>
  <c r="B409" i="6"/>
  <c r="N408" i="6"/>
  <c r="H408" i="6"/>
  <c r="G408" i="6"/>
  <c r="M408" i="6" s="1"/>
  <c r="B408" i="6"/>
  <c r="N407" i="6"/>
  <c r="M407" i="6"/>
  <c r="J407" i="6"/>
  <c r="H407" i="6"/>
  <c r="G407" i="6"/>
  <c r="B407" i="6"/>
  <c r="N406" i="6"/>
  <c r="M406" i="6"/>
  <c r="H406" i="6"/>
  <c r="G406" i="6"/>
  <c r="B406" i="6"/>
  <c r="N405" i="6"/>
  <c r="L405" i="6"/>
  <c r="K405" i="6"/>
  <c r="J405" i="6"/>
  <c r="I405" i="6"/>
  <c r="H405" i="6"/>
  <c r="G405" i="6"/>
  <c r="M405" i="6" s="1"/>
  <c r="B405" i="6"/>
  <c r="N404" i="6"/>
  <c r="K404" i="6"/>
  <c r="H404" i="6"/>
  <c r="G404" i="6"/>
  <c r="B404" i="6"/>
  <c r="N403" i="6"/>
  <c r="M403" i="6"/>
  <c r="H403" i="6"/>
  <c r="G403" i="6"/>
  <c r="B403" i="6"/>
  <c r="N402" i="6"/>
  <c r="M402" i="6"/>
  <c r="K402" i="6"/>
  <c r="J402" i="6"/>
  <c r="I402" i="6"/>
  <c r="L402" i="6" s="1"/>
  <c r="H402" i="6"/>
  <c r="G402" i="6"/>
  <c r="B402" i="6"/>
  <c r="N401" i="6"/>
  <c r="H401" i="6"/>
  <c r="G401" i="6"/>
  <c r="M401" i="6" s="1"/>
  <c r="B401" i="6"/>
  <c r="N400" i="6"/>
  <c r="K400" i="6"/>
  <c r="I400" i="6"/>
  <c r="L400" i="6" s="1"/>
  <c r="H400" i="6"/>
  <c r="J400" i="6" s="1"/>
  <c r="G400" i="6"/>
  <c r="M400" i="6" s="1"/>
  <c r="B400" i="6"/>
  <c r="N399" i="6"/>
  <c r="J399" i="6"/>
  <c r="I399" i="6"/>
  <c r="L399" i="6" s="1"/>
  <c r="H399" i="6"/>
  <c r="K399" i="6" s="1"/>
  <c r="G399" i="6"/>
  <c r="M399" i="6" s="1"/>
  <c r="B399" i="6"/>
  <c r="N398" i="6"/>
  <c r="M398" i="6"/>
  <c r="K398" i="6"/>
  <c r="J398" i="6"/>
  <c r="I398" i="6"/>
  <c r="L398" i="6" s="1"/>
  <c r="H398" i="6"/>
  <c r="G398" i="6"/>
  <c r="B398" i="6"/>
  <c r="N397" i="6"/>
  <c r="K397" i="6"/>
  <c r="J397" i="6"/>
  <c r="I397" i="6"/>
  <c r="L397" i="6" s="1"/>
  <c r="H397" i="6"/>
  <c r="G397" i="6"/>
  <c r="M397" i="6" s="1"/>
  <c r="B397" i="6"/>
  <c r="N396" i="6"/>
  <c r="K396" i="6"/>
  <c r="J396" i="6"/>
  <c r="L396" i="6" s="1"/>
  <c r="H396" i="6"/>
  <c r="I396" i="6" s="1"/>
  <c r="G396" i="6"/>
  <c r="M396" i="6" s="1"/>
  <c r="B396" i="6"/>
  <c r="N395" i="6"/>
  <c r="M395" i="6"/>
  <c r="K395" i="6"/>
  <c r="I395" i="6"/>
  <c r="L395" i="6" s="1"/>
  <c r="H395" i="6"/>
  <c r="J395" i="6" s="1"/>
  <c r="G395" i="6"/>
  <c r="B395" i="6"/>
  <c r="N394" i="6"/>
  <c r="K394" i="6"/>
  <c r="J394" i="6"/>
  <c r="L394" i="6" s="1"/>
  <c r="I394" i="6"/>
  <c r="H394" i="6"/>
  <c r="G394" i="6"/>
  <c r="M394" i="6" s="1"/>
  <c r="B394" i="6"/>
  <c r="N393" i="6"/>
  <c r="K393" i="6"/>
  <c r="J393" i="6"/>
  <c r="H393" i="6"/>
  <c r="I393" i="6" s="1"/>
  <c r="G393" i="6"/>
  <c r="M393" i="6" s="1"/>
  <c r="B393" i="6"/>
  <c r="N392" i="6"/>
  <c r="K392" i="6"/>
  <c r="H392" i="6"/>
  <c r="G392" i="6"/>
  <c r="M392" i="6" s="1"/>
  <c r="B392" i="6"/>
  <c r="N391" i="6"/>
  <c r="M391" i="6"/>
  <c r="H391" i="6"/>
  <c r="G391" i="6"/>
  <c r="B391" i="6"/>
  <c r="N390" i="6"/>
  <c r="M390" i="6"/>
  <c r="K390" i="6"/>
  <c r="H390" i="6"/>
  <c r="I390" i="6" s="1"/>
  <c r="G390" i="6"/>
  <c r="B390" i="6"/>
  <c r="N389" i="6"/>
  <c r="K389" i="6"/>
  <c r="L389" i="6" s="1"/>
  <c r="J389" i="6"/>
  <c r="I389" i="6"/>
  <c r="H389" i="6"/>
  <c r="G389" i="6"/>
  <c r="M389" i="6" s="1"/>
  <c r="B389" i="6"/>
  <c r="N388" i="6"/>
  <c r="M388" i="6"/>
  <c r="K388" i="6"/>
  <c r="H388" i="6"/>
  <c r="G388" i="6"/>
  <c r="B388" i="6"/>
  <c r="N387" i="6"/>
  <c r="M387" i="6"/>
  <c r="K387" i="6"/>
  <c r="H387" i="6"/>
  <c r="G387" i="6"/>
  <c r="B387" i="6"/>
  <c r="N386" i="6"/>
  <c r="L386" i="6"/>
  <c r="K386" i="6"/>
  <c r="J386" i="6"/>
  <c r="I386" i="6"/>
  <c r="H386" i="6"/>
  <c r="G386" i="6"/>
  <c r="M386" i="6" s="1"/>
  <c r="B386" i="6"/>
  <c r="N385" i="6"/>
  <c r="M385" i="6"/>
  <c r="K385" i="6"/>
  <c r="H385" i="6"/>
  <c r="G385" i="6"/>
  <c r="B385" i="6"/>
  <c r="N384" i="6"/>
  <c r="K384" i="6"/>
  <c r="I384" i="6"/>
  <c r="L384" i="6" s="1"/>
  <c r="H384" i="6"/>
  <c r="J384" i="6" s="1"/>
  <c r="G384" i="6"/>
  <c r="M384" i="6" s="1"/>
  <c r="B384" i="6"/>
  <c r="N383" i="6"/>
  <c r="J383" i="6"/>
  <c r="I383" i="6"/>
  <c r="L383" i="6" s="1"/>
  <c r="H383" i="6"/>
  <c r="K383" i="6" s="1"/>
  <c r="G383" i="6"/>
  <c r="M383" i="6" s="1"/>
  <c r="B383" i="6"/>
  <c r="N382" i="6"/>
  <c r="M382" i="6"/>
  <c r="K382" i="6"/>
  <c r="J382" i="6"/>
  <c r="I382" i="6"/>
  <c r="L382" i="6" s="1"/>
  <c r="H382" i="6"/>
  <c r="G382" i="6"/>
  <c r="B382" i="6"/>
  <c r="N381" i="6"/>
  <c r="K381" i="6"/>
  <c r="J381" i="6"/>
  <c r="I381" i="6"/>
  <c r="L381" i="6" s="1"/>
  <c r="H381" i="6"/>
  <c r="G381" i="6"/>
  <c r="M381" i="6" s="1"/>
  <c r="B381" i="6"/>
  <c r="N380" i="6"/>
  <c r="K380" i="6"/>
  <c r="J380" i="6"/>
  <c r="L380" i="6" s="1"/>
  <c r="H380" i="6"/>
  <c r="I380" i="6" s="1"/>
  <c r="G380" i="6"/>
  <c r="M380" i="6" s="1"/>
  <c r="B380" i="6"/>
  <c r="N379" i="6"/>
  <c r="M379" i="6"/>
  <c r="K379" i="6"/>
  <c r="I379" i="6"/>
  <c r="L379" i="6" s="1"/>
  <c r="H379" i="6"/>
  <c r="J379" i="6" s="1"/>
  <c r="G379" i="6"/>
  <c r="B379" i="6"/>
  <c r="N378" i="6"/>
  <c r="M378" i="6"/>
  <c r="K378" i="6"/>
  <c r="J378" i="6"/>
  <c r="L378" i="6" s="1"/>
  <c r="I378" i="6"/>
  <c r="H378" i="6"/>
  <c r="G378" i="6"/>
  <c r="B378" i="6"/>
  <c r="N377" i="6"/>
  <c r="K377" i="6"/>
  <c r="J377" i="6"/>
  <c r="H377" i="6"/>
  <c r="I377" i="6" s="1"/>
  <c r="G377" i="6"/>
  <c r="M377" i="6" s="1"/>
  <c r="B377" i="6"/>
  <c r="N376" i="6"/>
  <c r="H376" i="6"/>
  <c r="G376" i="6"/>
  <c r="M376" i="6" s="1"/>
  <c r="B376" i="6"/>
  <c r="N375" i="6"/>
  <c r="M375" i="6"/>
  <c r="H375" i="6"/>
  <c r="G375" i="6"/>
  <c r="B375" i="6"/>
  <c r="N374" i="6"/>
  <c r="M374" i="6"/>
  <c r="H374" i="6"/>
  <c r="G374" i="6"/>
  <c r="B374" i="6"/>
  <c r="N373" i="6"/>
  <c r="K373" i="6"/>
  <c r="J373" i="6"/>
  <c r="I373" i="6"/>
  <c r="L373" i="6" s="1"/>
  <c r="H373" i="6"/>
  <c r="G373" i="6"/>
  <c r="M373" i="6" s="1"/>
  <c r="B373" i="6"/>
  <c r="N372" i="6"/>
  <c r="M372" i="6"/>
  <c r="H372" i="6"/>
  <c r="G372" i="6"/>
  <c r="B372" i="6"/>
  <c r="N371" i="6"/>
  <c r="M371" i="6"/>
  <c r="H371" i="6"/>
  <c r="G371" i="6"/>
  <c r="B371" i="6"/>
  <c r="N370" i="6"/>
  <c r="K370" i="6"/>
  <c r="J370" i="6"/>
  <c r="I370" i="6"/>
  <c r="L370" i="6" s="1"/>
  <c r="H370" i="6"/>
  <c r="G370" i="6"/>
  <c r="M370" i="6" s="1"/>
  <c r="B370" i="6"/>
  <c r="N369" i="6"/>
  <c r="M369" i="6"/>
  <c r="H369" i="6"/>
  <c r="G369" i="6"/>
  <c r="B369" i="6"/>
  <c r="N368" i="6"/>
  <c r="K368" i="6"/>
  <c r="I368" i="6"/>
  <c r="L368" i="6" s="1"/>
  <c r="H368" i="6"/>
  <c r="J368" i="6" s="1"/>
  <c r="G368" i="6"/>
  <c r="M368" i="6" s="1"/>
  <c r="B368" i="6"/>
  <c r="N367" i="6"/>
  <c r="H367" i="6"/>
  <c r="K367" i="6" s="1"/>
  <c r="G367" i="6"/>
  <c r="M367" i="6" s="1"/>
  <c r="B367" i="6"/>
  <c r="N366" i="6"/>
  <c r="M366" i="6"/>
  <c r="H366" i="6"/>
  <c r="K366" i="6" s="1"/>
  <c r="G366" i="6"/>
  <c r="B366" i="6"/>
  <c r="N365" i="6"/>
  <c r="K365" i="6"/>
  <c r="J365" i="6"/>
  <c r="I365" i="6"/>
  <c r="H365" i="6"/>
  <c r="G365" i="6"/>
  <c r="M365" i="6" s="1"/>
  <c r="B365" i="6"/>
  <c r="N364" i="6"/>
  <c r="K364" i="6"/>
  <c r="L364" i="6" s="1"/>
  <c r="J364" i="6"/>
  <c r="H364" i="6"/>
  <c r="I364" i="6" s="1"/>
  <c r="G364" i="6"/>
  <c r="M364" i="6" s="1"/>
  <c r="B364" i="6"/>
  <c r="N363" i="6"/>
  <c r="M363" i="6"/>
  <c r="K363" i="6"/>
  <c r="L363" i="6" s="1"/>
  <c r="I363" i="6"/>
  <c r="H363" i="6"/>
  <c r="J363" i="6" s="1"/>
  <c r="G363" i="6"/>
  <c r="B363" i="6"/>
  <c r="N362" i="6"/>
  <c r="K362" i="6"/>
  <c r="J362" i="6"/>
  <c r="L362" i="6" s="1"/>
  <c r="I362" i="6"/>
  <c r="H362" i="6"/>
  <c r="G362" i="6"/>
  <c r="M362" i="6" s="1"/>
  <c r="B362" i="6"/>
  <c r="N361" i="6"/>
  <c r="M361" i="6"/>
  <c r="K361" i="6"/>
  <c r="J361" i="6"/>
  <c r="H361" i="6"/>
  <c r="I361" i="6" s="1"/>
  <c r="G361" i="6"/>
  <c r="B361" i="6"/>
  <c r="N360" i="6"/>
  <c r="I360" i="6"/>
  <c r="H360" i="6"/>
  <c r="G360" i="6"/>
  <c r="M360" i="6" s="1"/>
  <c r="B360" i="6"/>
  <c r="N359" i="6"/>
  <c r="H359" i="6"/>
  <c r="G359" i="6"/>
  <c r="M359" i="6" s="1"/>
  <c r="B359" i="6"/>
  <c r="N358" i="6"/>
  <c r="M358" i="6"/>
  <c r="J358" i="6"/>
  <c r="I358" i="6"/>
  <c r="L358" i="6" s="1"/>
  <c r="H358" i="6"/>
  <c r="K358" i="6" s="1"/>
  <c r="G358" i="6"/>
  <c r="B358" i="6"/>
  <c r="N357" i="6"/>
  <c r="K357" i="6"/>
  <c r="J357" i="6"/>
  <c r="I357" i="6"/>
  <c r="L357" i="6" s="1"/>
  <c r="H357" i="6"/>
  <c r="G357" i="6"/>
  <c r="M357" i="6" s="1"/>
  <c r="B357" i="6"/>
  <c r="N356" i="6"/>
  <c r="M356" i="6"/>
  <c r="H356" i="6"/>
  <c r="I356" i="6" s="1"/>
  <c r="G356" i="6"/>
  <c r="B356" i="6"/>
  <c r="N355" i="6"/>
  <c r="M355" i="6"/>
  <c r="K355" i="6"/>
  <c r="H355" i="6"/>
  <c r="J355" i="6" s="1"/>
  <c r="G355" i="6"/>
  <c r="B355" i="6"/>
  <c r="N354" i="6"/>
  <c r="M354" i="6"/>
  <c r="K354" i="6"/>
  <c r="J354" i="6"/>
  <c r="I354" i="6"/>
  <c r="H354" i="6"/>
  <c r="G354" i="6"/>
  <c r="B354" i="6"/>
  <c r="N353" i="6"/>
  <c r="K353" i="6"/>
  <c r="J353" i="6"/>
  <c r="H353" i="6"/>
  <c r="I353" i="6" s="1"/>
  <c r="G353" i="6"/>
  <c r="M353" i="6" s="1"/>
  <c r="B353" i="6"/>
  <c r="N352" i="6"/>
  <c r="I352" i="6"/>
  <c r="H352" i="6"/>
  <c r="G352" i="6"/>
  <c r="M352" i="6" s="1"/>
  <c r="B352" i="6"/>
  <c r="N351" i="6"/>
  <c r="I351" i="6"/>
  <c r="H351" i="6"/>
  <c r="G351" i="6"/>
  <c r="M351" i="6" s="1"/>
  <c r="B351" i="6"/>
  <c r="N350" i="6"/>
  <c r="M350" i="6"/>
  <c r="H350" i="6"/>
  <c r="J350" i="6" s="1"/>
  <c r="G350" i="6"/>
  <c r="B350" i="6"/>
  <c r="N349" i="6"/>
  <c r="K349" i="6"/>
  <c r="J349" i="6"/>
  <c r="I349" i="6"/>
  <c r="H349" i="6"/>
  <c r="G349" i="6"/>
  <c r="M349" i="6" s="1"/>
  <c r="B349" i="6"/>
  <c r="N348" i="6"/>
  <c r="J348" i="6"/>
  <c r="H348" i="6"/>
  <c r="G348" i="6"/>
  <c r="M348" i="6" s="1"/>
  <c r="B348" i="6"/>
  <c r="N347" i="6"/>
  <c r="M347" i="6"/>
  <c r="H347" i="6"/>
  <c r="G347" i="6"/>
  <c r="B347" i="6"/>
  <c r="N346" i="6"/>
  <c r="K346" i="6"/>
  <c r="J346" i="6"/>
  <c r="I346" i="6"/>
  <c r="H346" i="6"/>
  <c r="G346" i="6"/>
  <c r="M346" i="6" s="1"/>
  <c r="B346" i="6"/>
  <c r="N345" i="6"/>
  <c r="H345" i="6"/>
  <c r="G345" i="6"/>
  <c r="M345" i="6" s="1"/>
  <c r="B345" i="6"/>
  <c r="N344" i="6"/>
  <c r="H344" i="6"/>
  <c r="G344" i="6"/>
  <c r="M344" i="6" s="1"/>
  <c r="B344" i="6"/>
  <c r="N343" i="6"/>
  <c r="M343" i="6"/>
  <c r="J343" i="6"/>
  <c r="H343" i="6"/>
  <c r="G343" i="6"/>
  <c r="B343" i="6"/>
  <c r="N342" i="6"/>
  <c r="M342" i="6"/>
  <c r="H342" i="6"/>
  <c r="G342" i="6"/>
  <c r="B342" i="6"/>
  <c r="N341" i="6"/>
  <c r="L341" i="6"/>
  <c r="K341" i="6"/>
  <c r="J341" i="6"/>
  <c r="I341" i="6"/>
  <c r="H341" i="6"/>
  <c r="G341" i="6"/>
  <c r="M341" i="6" s="1"/>
  <c r="B341" i="6"/>
  <c r="N340" i="6"/>
  <c r="K340" i="6"/>
  <c r="H340" i="6"/>
  <c r="G340" i="6"/>
  <c r="M340" i="6" s="1"/>
  <c r="B340" i="6"/>
  <c r="N339" i="6"/>
  <c r="M339" i="6"/>
  <c r="H339" i="6"/>
  <c r="G339" i="6"/>
  <c r="B339" i="6"/>
  <c r="N338" i="6"/>
  <c r="M338" i="6"/>
  <c r="K338" i="6"/>
  <c r="J338" i="6"/>
  <c r="I338" i="6"/>
  <c r="L338" i="6" s="1"/>
  <c r="H338" i="6"/>
  <c r="G338" i="6"/>
  <c r="B338" i="6"/>
  <c r="N337" i="6"/>
  <c r="K337" i="6"/>
  <c r="H337" i="6"/>
  <c r="G337" i="6"/>
  <c r="M337" i="6" s="1"/>
  <c r="B337" i="6"/>
  <c r="N336" i="6"/>
  <c r="K336" i="6"/>
  <c r="I336" i="6"/>
  <c r="L336" i="6" s="1"/>
  <c r="H336" i="6"/>
  <c r="J336" i="6" s="1"/>
  <c r="G336" i="6"/>
  <c r="M336" i="6" s="1"/>
  <c r="B336" i="6"/>
  <c r="N335" i="6"/>
  <c r="J335" i="6"/>
  <c r="I335" i="6"/>
  <c r="L335" i="6" s="1"/>
  <c r="H335" i="6"/>
  <c r="K335" i="6" s="1"/>
  <c r="G335" i="6"/>
  <c r="M335" i="6" s="1"/>
  <c r="B335" i="6"/>
  <c r="N334" i="6"/>
  <c r="M334" i="6"/>
  <c r="K334" i="6"/>
  <c r="J334" i="6"/>
  <c r="I334" i="6"/>
  <c r="L334" i="6" s="1"/>
  <c r="H334" i="6"/>
  <c r="G334" i="6"/>
  <c r="B334" i="6"/>
  <c r="N333" i="6"/>
  <c r="K333" i="6"/>
  <c r="J333" i="6"/>
  <c r="I333" i="6"/>
  <c r="L333" i="6" s="1"/>
  <c r="H333" i="6"/>
  <c r="G333" i="6"/>
  <c r="M333" i="6" s="1"/>
  <c r="B333" i="6"/>
  <c r="N332" i="6"/>
  <c r="K332" i="6"/>
  <c r="S17" i="7" s="1"/>
  <c r="J332" i="6"/>
  <c r="H332" i="6"/>
  <c r="I332" i="6" s="1"/>
  <c r="Q17" i="7" s="1"/>
  <c r="G332" i="6"/>
  <c r="B332" i="6"/>
  <c r="N331" i="6"/>
  <c r="M331" i="6"/>
  <c r="K331" i="6"/>
  <c r="I331" i="6"/>
  <c r="L331" i="6" s="1"/>
  <c r="H331" i="6"/>
  <c r="J331" i="6" s="1"/>
  <c r="G331" i="6"/>
  <c r="B331" i="6"/>
  <c r="N330" i="6"/>
  <c r="K330" i="6"/>
  <c r="J330" i="6"/>
  <c r="L330" i="6" s="1"/>
  <c r="I330" i="6"/>
  <c r="H330" i="6"/>
  <c r="G330" i="6"/>
  <c r="M330" i="6" s="1"/>
  <c r="B330" i="6"/>
  <c r="N329" i="6"/>
  <c r="K329" i="6"/>
  <c r="J329" i="6"/>
  <c r="H329" i="6"/>
  <c r="I329" i="6" s="1"/>
  <c r="G329" i="6"/>
  <c r="M329" i="6" s="1"/>
  <c r="B329" i="6"/>
  <c r="N328" i="6"/>
  <c r="K328" i="6"/>
  <c r="H328" i="6"/>
  <c r="G328" i="6"/>
  <c r="M328" i="6" s="1"/>
  <c r="B328" i="6"/>
  <c r="N327" i="6"/>
  <c r="M327" i="6"/>
  <c r="H327" i="6"/>
  <c r="G327" i="6"/>
  <c r="B327" i="6"/>
  <c r="N326" i="6"/>
  <c r="M326" i="6"/>
  <c r="K326" i="6"/>
  <c r="H326" i="6"/>
  <c r="I326" i="6" s="1"/>
  <c r="G326" i="6"/>
  <c r="B326" i="6"/>
  <c r="N325" i="6"/>
  <c r="K325" i="6"/>
  <c r="L325" i="6" s="1"/>
  <c r="J325" i="6"/>
  <c r="I325" i="6"/>
  <c r="H325" i="6"/>
  <c r="G325" i="6"/>
  <c r="M325" i="6" s="1"/>
  <c r="B325" i="6"/>
  <c r="N324" i="6"/>
  <c r="M324" i="6"/>
  <c r="K324" i="6"/>
  <c r="H324" i="6"/>
  <c r="G324" i="6"/>
  <c r="B324" i="6"/>
  <c r="N323" i="6"/>
  <c r="M323" i="6"/>
  <c r="K323" i="6"/>
  <c r="H323" i="6"/>
  <c r="G323" i="6"/>
  <c r="B323" i="6"/>
  <c r="N322" i="6"/>
  <c r="L322" i="6"/>
  <c r="K322" i="6"/>
  <c r="J322" i="6"/>
  <c r="I322" i="6"/>
  <c r="H322" i="6"/>
  <c r="G322" i="6"/>
  <c r="M322" i="6" s="1"/>
  <c r="B322" i="6"/>
  <c r="N321" i="6"/>
  <c r="M321" i="6"/>
  <c r="H321" i="6"/>
  <c r="G321" i="6"/>
  <c r="B321" i="6"/>
  <c r="N320" i="6"/>
  <c r="K320" i="6"/>
  <c r="I320" i="6"/>
  <c r="L320" i="6" s="1"/>
  <c r="H320" i="6"/>
  <c r="J320" i="6" s="1"/>
  <c r="G320" i="6"/>
  <c r="M320" i="6" s="1"/>
  <c r="B320" i="6"/>
  <c r="N319" i="6"/>
  <c r="J319" i="6"/>
  <c r="I319" i="6"/>
  <c r="L319" i="6" s="1"/>
  <c r="H319" i="6"/>
  <c r="K319" i="6" s="1"/>
  <c r="G319" i="6"/>
  <c r="M319" i="6" s="1"/>
  <c r="B319" i="6"/>
  <c r="N318" i="6"/>
  <c r="M318" i="6"/>
  <c r="K318" i="6"/>
  <c r="J318" i="6"/>
  <c r="I318" i="6"/>
  <c r="L318" i="6" s="1"/>
  <c r="H318" i="6"/>
  <c r="G318" i="6"/>
  <c r="B318" i="6"/>
  <c r="N317" i="6"/>
  <c r="K317" i="6"/>
  <c r="J317" i="6"/>
  <c r="I317" i="6"/>
  <c r="L317" i="6" s="1"/>
  <c r="H317" i="6"/>
  <c r="G317" i="6"/>
  <c r="M317" i="6" s="1"/>
  <c r="B317" i="6"/>
  <c r="N316" i="6"/>
  <c r="K316" i="6"/>
  <c r="J316" i="6"/>
  <c r="L316" i="6" s="1"/>
  <c r="H316" i="6"/>
  <c r="I316" i="6" s="1"/>
  <c r="G316" i="6"/>
  <c r="M316" i="6" s="1"/>
  <c r="B316" i="6"/>
  <c r="N315" i="6"/>
  <c r="M315" i="6"/>
  <c r="K315" i="6"/>
  <c r="I315" i="6"/>
  <c r="L315" i="6" s="1"/>
  <c r="H315" i="6"/>
  <c r="J315" i="6" s="1"/>
  <c r="G315" i="6"/>
  <c r="B315" i="6"/>
  <c r="N314" i="6"/>
  <c r="M314" i="6"/>
  <c r="K314" i="6"/>
  <c r="J314" i="6"/>
  <c r="L314" i="6" s="1"/>
  <c r="I314" i="6"/>
  <c r="H314" i="6"/>
  <c r="G314" i="6"/>
  <c r="B314" i="6"/>
  <c r="N313" i="6"/>
  <c r="K313" i="6"/>
  <c r="J313" i="6"/>
  <c r="H313" i="6"/>
  <c r="I313" i="6" s="1"/>
  <c r="G313" i="6"/>
  <c r="M313" i="6" s="1"/>
  <c r="B313" i="6"/>
  <c r="N312" i="6"/>
  <c r="H312" i="6"/>
  <c r="G312" i="6"/>
  <c r="M312" i="6" s="1"/>
  <c r="B312" i="6"/>
  <c r="N311" i="6"/>
  <c r="M311" i="6"/>
  <c r="H311" i="6"/>
  <c r="G311" i="6"/>
  <c r="B311" i="6"/>
  <c r="N310" i="6"/>
  <c r="M310" i="6"/>
  <c r="H310" i="6"/>
  <c r="G310" i="6"/>
  <c r="B310" i="6"/>
  <c r="N309" i="6"/>
  <c r="K309" i="6"/>
  <c r="J309" i="6"/>
  <c r="I309" i="6"/>
  <c r="L309" i="6" s="1"/>
  <c r="H309" i="6"/>
  <c r="G309" i="6"/>
  <c r="M309" i="6" s="1"/>
  <c r="B309" i="6"/>
  <c r="N308" i="6"/>
  <c r="M308" i="6"/>
  <c r="H308" i="6"/>
  <c r="G308" i="6"/>
  <c r="B308" i="6"/>
  <c r="N307" i="6"/>
  <c r="M307" i="6"/>
  <c r="H307" i="6"/>
  <c r="G307" i="6"/>
  <c r="B307" i="6"/>
  <c r="N306" i="6"/>
  <c r="K306" i="6"/>
  <c r="J306" i="6"/>
  <c r="I306" i="6"/>
  <c r="L306" i="6" s="1"/>
  <c r="H306" i="6"/>
  <c r="G306" i="6"/>
  <c r="M306" i="6" s="1"/>
  <c r="B306" i="6"/>
  <c r="N305" i="6"/>
  <c r="M305" i="6"/>
  <c r="H305" i="6"/>
  <c r="G305" i="6"/>
  <c r="B305" i="6"/>
  <c r="N304" i="6"/>
  <c r="K304" i="6"/>
  <c r="I304" i="6"/>
  <c r="L304" i="6" s="1"/>
  <c r="H304" i="6"/>
  <c r="J304" i="6" s="1"/>
  <c r="G304" i="6"/>
  <c r="M304" i="6" s="1"/>
  <c r="B304" i="6"/>
  <c r="N303" i="6"/>
  <c r="H303" i="6"/>
  <c r="K303" i="6" s="1"/>
  <c r="G303" i="6"/>
  <c r="M303" i="6" s="1"/>
  <c r="B303" i="6"/>
  <c r="N302" i="6"/>
  <c r="M302" i="6"/>
  <c r="H302" i="6"/>
  <c r="K302" i="6" s="1"/>
  <c r="G302" i="6"/>
  <c r="B302" i="6"/>
  <c r="N301" i="6"/>
  <c r="K301" i="6"/>
  <c r="J301" i="6"/>
  <c r="I301" i="6"/>
  <c r="H301" i="6"/>
  <c r="G301" i="6"/>
  <c r="M301" i="6" s="1"/>
  <c r="B301" i="6"/>
  <c r="N300" i="6"/>
  <c r="K300" i="6"/>
  <c r="L300" i="6" s="1"/>
  <c r="J300" i="6"/>
  <c r="H300" i="6"/>
  <c r="I300" i="6" s="1"/>
  <c r="G300" i="6"/>
  <c r="M300" i="6" s="1"/>
  <c r="B300" i="6"/>
  <c r="N299" i="6"/>
  <c r="M299" i="6"/>
  <c r="K299" i="6"/>
  <c r="L299" i="6" s="1"/>
  <c r="I299" i="6"/>
  <c r="H299" i="6"/>
  <c r="J299" i="6" s="1"/>
  <c r="G299" i="6"/>
  <c r="B299" i="6"/>
  <c r="N298" i="6"/>
  <c r="K298" i="6"/>
  <c r="J298" i="6"/>
  <c r="L298" i="6" s="1"/>
  <c r="I298" i="6"/>
  <c r="H298" i="6"/>
  <c r="G298" i="6"/>
  <c r="M298" i="6" s="1"/>
  <c r="B298" i="6"/>
  <c r="N297" i="6"/>
  <c r="M297" i="6"/>
  <c r="K297" i="6"/>
  <c r="J297" i="6"/>
  <c r="H297" i="6"/>
  <c r="I297" i="6" s="1"/>
  <c r="G297" i="6"/>
  <c r="B297" i="6"/>
  <c r="N296" i="6"/>
  <c r="H296" i="6"/>
  <c r="G296" i="6"/>
  <c r="M296" i="6" s="1"/>
  <c r="B296" i="6"/>
  <c r="N295" i="6"/>
  <c r="H295" i="6"/>
  <c r="G295" i="6"/>
  <c r="M295" i="6" s="1"/>
  <c r="B295" i="6"/>
  <c r="N294" i="6"/>
  <c r="M294" i="6"/>
  <c r="J294" i="6"/>
  <c r="I294" i="6"/>
  <c r="L294" i="6" s="1"/>
  <c r="H294" i="6"/>
  <c r="K294" i="6" s="1"/>
  <c r="G294" i="6"/>
  <c r="B294" i="6"/>
  <c r="N293" i="6"/>
  <c r="K293" i="6"/>
  <c r="J293" i="6"/>
  <c r="I293" i="6"/>
  <c r="L293" i="6" s="1"/>
  <c r="H293" i="6"/>
  <c r="G293" i="6"/>
  <c r="M293" i="6" s="1"/>
  <c r="B293" i="6"/>
  <c r="N292" i="6"/>
  <c r="M292" i="6"/>
  <c r="H292" i="6"/>
  <c r="I292" i="6" s="1"/>
  <c r="G292" i="6"/>
  <c r="B292" i="6"/>
  <c r="N291" i="6"/>
  <c r="M291" i="6"/>
  <c r="K291" i="6"/>
  <c r="H291" i="6"/>
  <c r="J291" i="6" s="1"/>
  <c r="G291" i="6"/>
  <c r="B291" i="6"/>
  <c r="N290" i="6"/>
  <c r="M290" i="6"/>
  <c r="K290" i="6"/>
  <c r="J290" i="6"/>
  <c r="I290" i="6"/>
  <c r="H290" i="6"/>
  <c r="G290" i="6"/>
  <c r="B290" i="6"/>
  <c r="N289" i="6"/>
  <c r="K289" i="6"/>
  <c r="J289" i="6"/>
  <c r="H289" i="6"/>
  <c r="I289" i="6" s="1"/>
  <c r="G289" i="6"/>
  <c r="M289" i="6" s="1"/>
  <c r="B289" i="6"/>
  <c r="N288" i="6"/>
  <c r="H288" i="6"/>
  <c r="G288" i="6"/>
  <c r="M288" i="6" s="1"/>
  <c r="B288" i="6"/>
  <c r="N287" i="6"/>
  <c r="I287" i="6"/>
  <c r="H287" i="6"/>
  <c r="G287" i="6"/>
  <c r="M287" i="6" s="1"/>
  <c r="B287" i="6"/>
  <c r="N286" i="6"/>
  <c r="M286" i="6"/>
  <c r="H286" i="6"/>
  <c r="J286" i="6" s="1"/>
  <c r="G286" i="6"/>
  <c r="B286" i="6"/>
  <c r="N285" i="6"/>
  <c r="K285" i="6"/>
  <c r="J285" i="6"/>
  <c r="I285" i="6"/>
  <c r="H285" i="6"/>
  <c r="G285" i="6"/>
  <c r="M285" i="6" s="1"/>
  <c r="B285" i="6"/>
  <c r="N284" i="6"/>
  <c r="J284" i="6"/>
  <c r="H284" i="6"/>
  <c r="G284" i="6"/>
  <c r="M284" i="6" s="1"/>
  <c r="B284" i="6"/>
  <c r="N283" i="6"/>
  <c r="M283" i="6"/>
  <c r="H283" i="6"/>
  <c r="G283" i="6"/>
  <c r="B283" i="6"/>
  <c r="N282" i="6"/>
  <c r="K282" i="6"/>
  <c r="J282" i="6"/>
  <c r="I282" i="6"/>
  <c r="L282" i="6" s="1"/>
  <c r="H282" i="6"/>
  <c r="G282" i="6"/>
  <c r="M282" i="6" s="1"/>
  <c r="B282" i="6"/>
  <c r="N281" i="6"/>
  <c r="H281" i="6"/>
  <c r="G281" i="6"/>
  <c r="M281" i="6" s="1"/>
  <c r="B281" i="6"/>
  <c r="N280" i="6"/>
  <c r="H280" i="6"/>
  <c r="G280" i="6"/>
  <c r="M280" i="6" s="1"/>
  <c r="B280" i="6"/>
  <c r="N279" i="6"/>
  <c r="M279" i="6"/>
  <c r="J279" i="6"/>
  <c r="H279" i="6"/>
  <c r="G279" i="6"/>
  <c r="B279" i="6"/>
  <c r="N278" i="6"/>
  <c r="M278" i="6"/>
  <c r="J278" i="6"/>
  <c r="H278" i="6"/>
  <c r="G278" i="6"/>
  <c r="B278" i="6"/>
  <c r="N277" i="6"/>
  <c r="L277" i="6"/>
  <c r="K277" i="6"/>
  <c r="J277" i="6"/>
  <c r="I277" i="6"/>
  <c r="H277" i="6"/>
  <c r="G277" i="6"/>
  <c r="M277" i="6" s="1"/>
  <c r="B277" i="6"/>
  <c r="N276" i="6"/>
  <c r="K276" i="6"/>
  <c r="H276" i="6"/>
  <c r="G276" i="6"/>
  <c r="M276" i="6" s="1"/>
  <c r="B276" i="6"/>
  <c r="N275" i="6"/>
  <c r="M275" i="6"/>
  <c r="H275" i="6"/>
  <c r="G275" i="6"/>
  <c r="B275" i="6"/>
  <c r="N274" i="6"/>
  <c r="M274" i="6"/>
  <c r="K274" i="6"/>
  <c r="J274" i="6"/>
  <c r="I274" i="6"/>
  <c r="L274" i="6" s="1"/>
  <c r="H274" i="6"/>
  <c r="G274" i="6"/>
  <c r="B274" i="6"/>
  <c r="N273" i="6"/>
  <c r="H273" i="6"/>
  <c r="G273" i="6"/>
  <c r="M273" i="6" s="1"/>
  <c r="B273" i="6"/>
  <c r="N272" i="6"/>
  <c r="K272" i="6"/>
  <c r="I272" i="6"/>
  <c r="L272" i="6" s="1"/>
  <c r="H272" i="6"/>
  <c r="J272" i="6" s="1"/>
  <c r="G272" i="6"/>
  <c r="M272" i="6" s="1"/>
  <c r="B272" i="6"/>
  <c r="N271" i="6"/>
  <c r="J271" i="6"/>
  <c r="I271" i="6"/>
  <c r="L271" i="6" s="1"/>
  <c r="H271" i="6"/>
  <c r="K271" i="6" s="1"/>
  <c r="G271" i="6"/>
  <c r="M271" i="6" s="1"/>
  <c r="B271" i="6"/>
  <c r="N270" i="6"/>
  <c r="M270" i="6"/>
  <c r="K270" i="6"/>
  <c r="J270" i="6"/>
  <c r="I270" i="6"/>
  <c r="L270" i="6" s="1"/>
  <c r="H270" i="6"/>
  <c r="G270" i="6"/>
  <c r="B270" i="6"/>
  <c r="N269" i="6"/>
  <c r="K269" i="6"/>
  <c r="J269" i="6"/>
  <c r="I269" i="6"/>
  <c r="L269" i="6" s="1"/>
  <c r="H269" i="6"/>
  <c r="G269" i="6"/>
  <c r="M269" i="6" s="1"/>
  <c r="B269" i="6"/>
  <c r="N268" i="6"/>
  <c r="K268" i="6"/>
  <c r="J268" i="6"/>
  <c r="L268" i="6" s="1"/>
  <c r="H268" i="6"/>
  <c r="I268" i="6" s="1"/>
  <c r="G268" i="6"/>
  <c r="M268" i="6" s="1"/>
  <c r="B268" i="6"/>
  <c r="N267" i="6"/>
  <c r="M267" i="6"/>
  <c r="K267" i="6"/>
  <c r="I267" i="6"/>
  <c r="L267" i="6" s="1"/>
  <c r="H267" i="6"/>
  <c r="J267" i="6" s="1"/>
  <c r="G267" i="6"/>
  <c r="B267" i="6"/>
  <c r="N266" i="6"/>
  <c r="K266" i="6"/>
  <c r="J266" i="6"/>
  <c r="L266" i="6" s="1"/>
  <c r="I266" i="6"/>
  <c r="H266" i="6"/>
  <c r="G266" i="6"/>
  <c r="M266" i="6" s="1"/>
  <c r="B266" i="6"/>
  <c r="N265" i="6"/>
  <c r="K265" i="6"/>
  <c r="J265" i="6"/>
  <c r="H265" i="6"/>
  <c r="I265" i="6" s="1"/>
  <c r="G265" i="6"/>
  <c r="M265" i="6" s="1"/>
  <c r="B265" i="6"/>
  <c r="N264" i="6"/>
  <c r="K264" i="6"/>
  <c r="H264" i="6"/>
  <c r="G264" i="6"/>
  <c r="M264" i="6" s="1"/>
  <c r="B264" i="6"/>
  <c r="N263" i="6"/>
  <c r="M263" i="6"/>
  <c r="H263" i="6"/>
  <c r="G263" i="6"/>
  <c r="B263" i="6"/>
  <c r="N262" i="6"/>
  <c r="M262" i="6"/>
  <c r="K262" i="6"/>
  <c r="H262" i="6"/>
  <c r="I262" i="6" s="1"/>
  <c r="G262" i="6"/>
  <c r="B262" i="6"/>
  <c r="N261" i="6"/>
  <c r="K261" i="6"/>
  <c r="L261" i="6" s="1"/>
  <c r="J261" i="6"/>
  <c r="I261" i="6"/>
  <c r="H261" i="6"/>
  <c r="G261" i="6"/>
  <c r="M261" i="6" s="1"/>
  <c r="B261" i="6"/>
  <c r="N260" i="6"/>
  <c r="M260" i="6"/>
  <c r="K260" i="6"/>
  <c r="H260" i="6"/>
  <c r="G260" i="6"/>
  <c r="B260" i="6"/>
  <c r="N259" i="6"/>
  <c r="M259" i="6"/>
  <c r="K259" i="6"/>
  <c r="H259" i="6"/>
  <c r="G259" i="6"/>
  <c r="B259" i="6"/>
  <c r="N258" i="6"/>
  <c r="L258" i="6"/>
  <c r="K258" i="6"/>
  <c r="J258" i="6"/>
  <c r="I258" i="6"/>
  <c r="H258" i="6"/>
  <c r="G258" i="6"/>
  <c r="M258" i="6" s="1"/>
  <c r="B258" i="6"/>
  <c r="N257" i="6"/>
  <c r="M257" i="6"/>
  <c r="K257" i="6"/>
  <c r="H257" i="6"/>
  <c r="G257" i="6"/>
  <c r="B257" i="6"/>
  <c r="N256" i="6"/>
  <c r="K256" i="6"/>
  <c r="I256" i="6"/>
  <c r="L256" i="6" s="1"/>
  <c r="H256" i="6"/>
  <c r="J256" i="6" s="1"/>
  <c r="G256" i="6"/>
  <c r="M256" i="6" s="1"/>
  <c r="B256" i="6"/>
  <c r="N255" i="6"/>
  <c r="J255" i="6"/>
  <c r="I255" i="6"/>
  <c r="L255" i="6" s="1"/>
  <c r="H255" i="6"/>
  <c r="K255" i="6" s="1"/>
  <c r="G255" i="6"/>
  <c r="M255" i="6" s="1"/>
  <c r="B255" i="6"/>
  <c r="N254" i="6"/>
  <c r="M254" i="6"/>
  <c r="K254" i="6"/>
  <c r="J254" i="6"/>
  <c r="I254" i="6"/>
  <c r="L254" i="6" s="1"/>
  <c r="H254" i="6"/>
  <c r="G254" i="6"/>
  <c r="B254" i="6"/>
  <c r="N253" i="6"/>
  <c r="K253" i="6"/>
  <c r="J253" i="6"/>
  <c r="I253" i="6"/>
  <c r="L253" i="6" s="1"/>
  <c r="H253" i="6"/>
  <c r="G253" i="6"/>
  <c r="M253" i="6" s="1"/>
  <c r="B253" i="6"/>
  <c r="N252" i="6"/>
  <c r="K252" i="6"/>
  <c r="J252" i="6"/>
  <c r="L252" i="6" s="1"/>
  <c r="H252" i="6"/>
  <c r="I252" i="6" s="1"/>
  <c r="G252" i="6"/>
  <c r="M252" i="6" s="1"/>
  <c r="B252" i="6"/>
  <c r="N251" i="6"/>
  <c r="M251" i="6"/>
  <c r="K251" i="6"/>
  <c r="I251" i="6"/>
  <c r="H251" i="6"/>
  <c r="J251" i="6" s="1"/>
  <c r="G251" i="6"/>
  <c r="B251" i="6"/>
  <c r="N250" i="6"/>
  <c r="M250" i="6"/>
  <c r="K250" i="6"/>
  <c r="J250" i="6"/>
  <c r="L250" i="6" s="1"/>
  <c r="I250" i="6"/>
  <c r="H250" i="6"/>
  <c r="G250" i="6"/>
  <c r="B250" i="6"/>
  <c r="N249" i="6"/>
  <c r="K249" i="6"/>
  <c r="J249" i="6"/>
  <c r="H249" i="6"/>
  <c r="I249" i="6" s="1"/>
  <c r="G249" i="6"/>
  <c r="M249" i="6" s="1"/>
  <c r="B249" i="6"/>
  <c r="N248" i="6"/>
  <c r="H248" i="6"/>
  <c r="G248" i="6"/>
  <c r="M248" i="6" s="1"/>
  <c r="B248" i="6"/>
  <c r="N247" i="6"/>
  <c r="M247" i="6"/>
  <c r="H247" i="6"/>
  <c r="G247" i="6"/>
  <c r="B247" i="6"/>
  <c r="N246" i="6"/>
  <c r="M246" i="6"/>
  <c r="H246" i="6"/>
  <c r="G246" i="6"/>
  <c r="B246" i="6"/>
  <c r="N245" i="6"/>
  <c r="K245" i="6"/>
  <c r="J245" i="6"/>
  <c r="I245" i="6"/>
  <c r="L245" i="6" s="1"/>
  <c r="H245" i="6"/>
  <c r="G245" i="6"/>
  <c r="M245" i="6" s="1"/>
  <c r="B245" i="6"/>
  <c r="N244" i="6"/>
  <c r="M244" i="6"/>
  <c r="H244" i="6"/>
  <c r="G244" i="6"/>
  <c r="B244" i="6"/>
  <c r="N243" i="6"/>
  <c r="M243" i="6"/>
  <c r="H243" i="6"/>
  <c r="G243" i="6"/>
  <c r="B243" i="6"/>
  <c r="N242" i="6"/>
  <c r="K242" i="6"/>
  <c r="J242" i="6"/>
  <c r="I242" i="6"/>
  <c r="L242" i="6" s="1"/>
  <c r="H242" i="6"/>
  <c r="G242" i="6"/>
  <c r="M242" i="6" s="1"/>
  <c r="B242" i="6"/>
  <c r="N241" i="6"/>
  <c r="M241" i="6"/>
  <c r="H241" i="6"/>
  <c r="G241" i="6"/>
  <c r="B241" i="6"/>
  <c r="N240" i="6"/>
  <c r="K240" i="6"/>
  <c r="I240" i="6"/>
  <c r="L240" i="6" s="1"/>
  <c r="H240" i="6"/>
  <c r="J240" i="6" s="1"/>
  <c r="G240" i="6"/>
  <c r="M240" i="6" s="1"/>
  <c r="B240" i="6"/>
  <c r="N239" i="6"/>
  <c r="H239" i="6"/>
  <c r="K239" i="6" s="1"/>
  <c r="G239" i="6"/>
  <c r="M239" i="6" s="1"/>
  <c r="B239" i="6"/>
  <c r="N238" i="6"/>
  <c r="M238" i="6"/>
  <c r="H238" i="6"/>
  <c r="K238" i="6" s="1"/>
  <c r="G238" i="6"/>
  <c r="B238" i="6"/>
  <c r="N237" i="6"/>
  <c r="K237" i="6"/>
  <c r="J237" i="6"/>
  <c r="I237" i="6"/>
  <c r="H237" i="6"/>
  <c r="G237" i="6"/>
  <c r="M237" i="6" s="1"/>
  <c r="B237" i="6"/>
  <c r="N236" i="6"/>
  <c r="L236" i="6"/>
  <c r="K236" i="6"/>
  <c r="J236" i="6"/>
  <c r="H236" i="6"/>
  <c r="I236" i="6" s="1"/>
  <c r="G236" i="6"/>
  <c r="M236" i="6" s="1"/>
  <c r="B236" i="6"/>
  <c r="N235" i="6"/>
  <c r="M235" i="6"/>
  <c r="L235" i="6"/>
  <c r="K235" i="6"/>
  <c r="I235" i="6"/>
  <c r="H235" i="6"/>
  <c r="J235" i="6" s="1"/>
  <c r="G235" i="6"/>
  <c r="B235" i="6"/>
  <c r="N234" i="6"/>
  <c r="L234" i="6"/>
  <c r="K234" i="6"/>
  <c r="J234" i="6"/>
  <c r="I234" i="6"/>
  <c r="H234" i="6"/>
  <c r="G234" i="6"/>
  <c r="M234" i="6" s="1"/>
  <c r="B234" i="6"/>
  <c r="N233" i="6"/>
  <c r="M233" i="6"/>
  <c r="K233" i="6"/>
  <c r="J233" i="6"/>
  <c r="H233" i="6"/>
  <c r="I233" i="6" s="1"/>
  <c r="G233" i="6"/>
  <c r="B233" i="6"/>
  <c r="N232" i="6"/>
  <c r="H232" i="6"/>
  <c r="G232" i="6"/>
  <c r="M232" i="6" s="1"/>
  <c r="B232" i="6"/>
  <c r="N231" i="6"/>
  <c r="H231" i="6"/>
  <c r="G231" i="6"/>
  <c r="M231" i="6" s="1"/>
  <c r="B231" i="6"/>
  <c r="N230" i="6"/>
  <c r="M230" i="6"/>
  <c r="J230" i="6"/>
  <c r="I230" i="6"/>
  <c r="L230" i="6" s="1"/>
  <c r="H230" i="6"/>
  <c r="K230" i="6" s="1"/>
  <c r="G230" i="6"/>
  <c r="B230" i="6"/>
  <c r="N229" i="6"/>
  <c r="K229" i="6"/>
  <c r="J229" i="6"/>
  <c r="I229" i="6"/>
  <c r="L229" i="6" s="1"/>
  <c r="H229" i="6"/>
  <c r="G229" i="6"/>
  <c r="M229" i="6" s="1"/>
  <c r="B229" i="6"/>
  <c r="N228" i="6"/>
  <c r="M228" i="6"/>
  <c r="H228" i="6"/>
  <c r="I228" i="6" s="1"/>
  <c r="G228" i="6"/>
  <c r="B228" i="6"/>
  <c r="N227" i="6"/>
  <c r="M227" i="6"/>
  <c r="K227" i="6"/>
  <c r="H227" i="6"/>
  <c r="J227" i="6" s="1"/>
  <c r="G227" i="6"/>
  <c r="B227" i="6"/>
  <c r="N226" i="6"/>
  <c r="M226" i="6"/>
  <c r="K226" i="6"/>
  <c r="J226" i="6"/>
  <c r="I226" i="6"/>
  <c r="H226" i="6"/>
  <c r="G226" i="6"/>
  <c r="B226" i="6"/>
  <c r="N225" i="6"/>
  <c r="K225" i="6"/>
  <c r="J225" i="6"/>
  <c r="H225" i="6"/>
  <c r="I225" i="6" s="1"/>
  <c r="G225" i="6"/>
  <c r="M225" i="6" s="1"/>
  <c r="B225" i="6"/>
  <c r="N224" i="6"/>
  <c r="H224" i="6"/>
  <c r="G224" i="6"/>
  <c r="M224" i="6" s="1"/>
  <c r="B224" i="6"/>
  <c r="N223" i="6"/>
  <c r="I223" i="6"/>
  <c r="H223" i="6"/>
  <c r="G223" i="6"/>
  <c r="M223" i="6" s="1"/>
  <c r="B223" i="6"/>
  <c r="N222" i="6"/>
  <c r="M222" i="6"/>
  <c r="H222" i="6"/>
  <c r="J222" i="6" s="1"/>
  <c r="G222" i="6"/>
  <c r="B222" i="6"/>
  <c r="N221" i="6"/>
  <c r="K221" i="6"/>
  <c r="J221" i="6"/>
  <c r="I221" i="6"/>
  <c r="H221" i="6"/>
  <c r="G221" i="6"/>
  <c r="M221" i="6" s="1"/>
  <c r="B221" i="6"/>
  <c r="N220" i="6"/>
  <c r="J220" i="6"/>
  <c r="H220" i="6"/>
  <c r="G220" i="6"/>
  <c r="M220" i="6" s="1"/>
  <c r="B220" i="6"/>
  <c r="N219" i="6"/>
  <c r="M219" i="6"/>
  <c r="I219" i="6"/>
  <c r="H219" i="6"/>
  <c r="G219" i="6"/>
  <c r="B219" i="6"/>
  <c r="N218" i="6"/>
  <c r="K218" i="6"/>
  <c r="J218" i="6"/>
  <c r="I218" i="6"/>
  <c r="L218" i="6" s="1"/>
  <c r="H218" i="6"/>
  <c r="G218" i="6"/>
  <c r="M218" i="6" s="1"/>
  <c r="B218" i="6"/>
  <c r="N217" i="6"/>
  <c r="H217" i="6"/>
  <c r="G217" i="6"/>
  <c r="M217" i="6" s="1"/>
  <c r="B217" i="6"/>
  <c r="N216" i="6"/>
  <c r="H216" i="6"/>
  <c r="G216" i="6"/>
  <c r="M216" i="6" s="1"/>
  <c r="B216" i="6"/>
  <c r="N215" i="6"/>
  <c r="M215" i="6"/>
  <c r="J215" i="6"/>
  <c r="H215" i="6"/>
  <c r="G215" i="6"/>
  <c r="B215" i="6"/>
  <c r="N214" i="6"/>
  <c r="M214" i="6"/>
  <c r="H214" i="6"/>
  <c r="G214" i="6"/>
  <c r="B214" i="6"/>
  <c r="N213" i="6"/>
  <c r="L213" i="6"/>
  <c r="K213" i="6"/>
  <c r="J213" i="6"/>
  <c r="I213" i="6"/>
  <c r="H213" i="6"/>
  <c r="G213" i="6"/>
  <c r="M213" i="6" s="1"/>
  <c r="B213" i="6"/>
  <c r="N212" i="6"/>
  <c r="K212" i="6"/>
  <c r="H212" i="6"/>
  <c r="G212" i="6"/>
  <c r="M212" i="6" s="1"/>
  <c r="B212" i="6"/>
  <c r="N211" i="6"/>
  <c r="M211" i="6"/>
  <c r="H211" i="6"/>
  <c r="G211" i="6"/>
  <c r="B211" i="6"/>
  <c r="N210" i="6"/>
  <c r="M210" i="6"/>
  <c r="K210" i="6"/>
  <c r="J210" i="6"/>
  <c r="I210" i="6"/>
  <c r="L210" i="6" s="1"/>
  <c r="H210" i="6"/>
  <c r="G210" i="6"/>
  <c r="B210" i="6"/>
  <c r="N209" i="6"/>
  <c r="K209" i="6"/>
  <c r="H209" i="6"/>
  <c r="G209" i="6"/>
  <c r="M209" i="6" s="1"/>
  <c r="B209" i="6"/>
  <c r="N208" i="6"/>
  <c r="K208" i="6"/>
  <c r="I208" i="6"/>
  <c r="L208" i="6" s="1"/>
  <c r="H208" i="6"/>
  <c r="J208" i="6" s="1"/>
  <c r="G208" i="6"/>
  <c r="M208" i="6" s="1"/>
  <c r="B208" i="6"/>
  <c r="N207" i="6"/>
  <c r="J207" i="6"/>
  <c r="I207" i="6"/>
  <c r="L207" i="6" s="1"/>
  <c r="H207" i="6"/>
  <c r="K207" i="6" s="1"/>
  <c r="G207" i="6"/>
  <c r="M207" i="6" s="1"/>
  <c r="B207" i="6"/>
  <c r="N206" i="6"/>
  <c r="M206" i="6"/>
  <c r="K206" i="6"/>
  <c r="J206" i="6"/>
  <c r="I206" i="6"/>
  <c r="L206" i="6" s="1"/>
  <c r="H206" i="6"/>
  <c r="G206" i="6"/>
  <c r="B206" i="6"/>
  <c r="N205" i="6"/>
  <c r="K205" i="6"/>
  <c r="J205" i="6"/>
  <c r="I205" i="6"/>
  <c r="L205" i="6" s="1"/>
  <c r="H205" i="6"/>
  <c r="G205" i="6"/>
  <c r="M205" i="6" s="1"/>
  <c r="B205" i="6"/>
  <c r="N204" i="6"/>
  <c r="K204" i="6"/>
  <c r="J204" i="6"/>
  <c r="L204" i="6" s="1"/>
  <c r="H204" i="6"/>
  <c r="I204" i="6" s="1"/>
  <c r="G204" i="6"/>
  <c r="M204" i="6" s="1"/>
  <c r="B204" i="6"/>
  <c r="N203" i="6"/>
  <c r="M203" i="6"/>
  <c r="K203" i="6"/>
  <c r="I203" i="6"/>
  <c r="L203" i="6" s="1"/>
  <c r="H203" i="6"/>
  <c r="J203" i="6" s="1"/>
  <c r="G203" i="6"/>
  <c r="B203" i="6"/>
  <c r="N202" i="6"/>
  <c r="K202" i="6"/>
  <c r="J202" i="6"/>
  <c r="L202" i="6" s="1"/>
  <c r="I202" i="6"/>
  <c r="H202" i="6"/>
  <c r="G202" i="6"/>
  <c r="M202" i="6" s="1"/>
  <c r="B202" i="6"/>
  <c r="N201" i="6"/>
  <c r="K201" i="6"/>
  <c r="J201" i="6"/>
  <c r="H201" i="6"/>
  <c r="I201" i="6" s="1"/>
  <c r="G201" i="6"/>
  <c r="M201" i="6" s="1"/>
  <c r="B201" i="6"/>
  <c r="N200" i="6"/>
  <c r="K200" i="6"/>
  <c r="H200" i="6"/>
  <c r="G200" i="6"/>
  <c r="M200" i="6" s="1"/>
  <c r="B200" i="6"/>
  <c r="N199" i="6"/>
  <c r="M199" i="6"/>
  <c r="H199" i="6"/>
  <c r="G199" i="6"/>
  <c r="B199" i="6"/>
  <c r="N198" i="6"/>
  <c r="M198" i="6"/>
  <c r="K198" i="6"/>
  <c r="H198" i="6"/>
  <c r="I198" i="6" s="1"/>
  <c r="G198" i="6"/>
  <c r="B198" i="6"/>
  <c r="N197" i="6"/>
  <c r="L197" i="6"/>
  <c r="K197" i="6"/>
  <c r="J197" i="6"/>
  <c r="I197" i="6"/>
  <c r="H197" i="6"/>
  <c r="G197" i="6"/>
  <c r="M197" i="6" s="1"/>
  <c r="B197" i="6"/>
  <c r="N196" i="6"/>
  <c r="M196" i="6"/>
  <c r="K196" i="6"/>
  <c r="H196" i="6"/>
  <c r="G196" i="6"/>
  <c r="B196" i="6"/>
  <c r="N195" i="6"/>
  <c r="M195" i="6"/>
  <c r="K195" i="6"/>
  <c r="H195" i="6"/>
  <c r="G195" i="6"/>
  <c r="B195" i="6"/>
  <c r="N194" i="6"/>
  <c r="L194" i="6"/>
  <c r="K194" i="6"/>
  <c r="J194" i="6"/>
  <c r="I194" i="6"/>
  <c r="H194" i="6"/>
  <c r="G194" i="6"/>
  <c r="M194" i="6" s="1"/>
  <c r="B194" i="6"/>
  <c r="N193" i="6"/>
  <c r="M193" i="6"/>
  <c r="K193" i="6"/>
  <c r="H193" i="6"/>
  <c r="G193" i="6"/>
  <c r="B193" i="6"/>
  <c r="N192" i="6"/>
  <c r="K192" i="6"/>
  <c r="I192" i="6"/>
  <c r="L192" i="6" s="1"/>
  <c r="H192" i="6"/>
  <c r="J192" i="6" s="1"/>
  <c r="G192" i="6"/>
  <c r="M192" i="6" s="1"/>
  <c r="B192" i="6"/>
  <c r="N191" i="6"/>
  <c r="J191" i="6"/>
  <c r="I191" i="6"/>
  <c r="L191" i="6" s="1"/>
  <c r="H191" i="6"/>
  <c r="K191" i="6" s="1"/>
  <c r="G191" i="6"/>
  <c r="M191" i="6" s="1"/>
  <c r="B191" i="6"/>
  <c r="N190" i="6"/>
  <c r="M190" i="6"/>
  <c r="K190" i="6"/>
  <c r="J190" i="6"/>
  <c r="I190" i="6"/>
  <c r="L190" i="6" s="1"/>
  <c r="H190" i="6"/>
  <c r="G190" i="6"/>
  <c r="B190" i="6"/>
  <c r="N189" i="6"/>
  <c r="K189" i="6"/>
  <c r="J189" i="6"/>
  <c r="I189" i="6"/>
  <c r="L189" i="6" s="1"/>
  <c r="H189" i="6"/>
  <c r="G189" i="6"/>
  <c r="M189" i="6" s="1"/>
  <c r="B189" i="6"/>
  <c r="N188" i="6"/>
  <c r="K188" i="6"/>
  <c r="J188" i="6"/>
  <c r="L188" i="6" s="1"/>
  <c r="H188" i="6"/>
  <c r="I188" i="6" s="1"/>
  <c r="G188" i="6"/>
  <c r="M188" i="6" s="1"/>
  <c r="B188" i="6"/>
  <c r="N187" i="6"/>
  <c r="M187" i="6"/>
  <c r="K187" i="6"/>
  <c r="I187" i="6"/>
  <c r="L187" i="6" s="1"/>
  <c r="H187" i="6"/>
  <c r="J187" i="6" s="1"/>
  <c r="G187" i="6"/>
  <c r="B187" i="6"/>
  <c r="N186" i="6"/>
  <c r="M186" i="6"/>
  <c r="K186" i="6"/>
  <c r="J186" i="6"/>
  <c r="I186" i="6"/>
  <c r="H186" i="6"/>
  <c r="G186" i="6"/>
  <c r="B186" i="6"/>
  <c r="N185" i="6"/>
  <c r="K185" i="6"/>
  <c r="J185" i="6"/>
  <c r="H185" i="6"/>
  <c r="I185" i="6" s="1"/>
  <c r="G185" i="6"/>
  <c r="M185" i="6" s="1"/>
  <c r="B185" i="6"/>
  <c r="N184" i="6"/>
  <c r="H184" i="6"/>
  <c r="G184" i="6"/>
  <c r="M184" i="6" s="1"/>
  <c r="B184" i="6"/>
  <c r="N183" i="6"/>
  <c r="M183" i="6"/>
  <c r="H183" i="6"/>
  <c r="G183" i="6"/>
  <c r="B183" i="6"/>
  <c r="N182" i="6"/>
  <c r="M182" i="6"/>
  <c r="H182" i="6"/>
  <c r="G182" i="6"/>
  <c r="B182" i="6"/>
  <c r="N181" i="6"/>
  <c r="K181" i="6"/>
  <c r="J181" i="6"/>
  <c r="I181" i="6"/>
  <c r="L181" i="6" s="1"/>
  <c r="H181" i="6"/>
  <c r="G181" i="6"/>
  <c r="M181" i="6" s="1"/>
  <c r="B181" i="6"/>
  <c r="N180" i="6"/>
  <c r="M180" i="6"/>
  <c r="H180" i="6"/>
  <c r="G180" i="6"/>
  <c r="B180" i="6"/>
  <c r="N179" i="6"/>
  <c r="M179" i="6"/>
  <c r="H179" i="6"/>
  <c r="G179" i="6"/>
  <c r="B179" i="6"/>
  <c r="N178" i="6"/>
  <c r="K178" i="6"/>
  <c r="J178" i="6"/>
  <c r="I178" i="6"/>
  <c r="L178" i="6" s="1"/>
  <c r="H178" i="6"/>
  <c r="G178" i="6"/>
  <c r="M178" i="6" s="1"/>
  <c r="B178" i="6"/>
  <c r="N177" i="6"/>
  <c r="M177" i="6"/>
  <c r="H177" i="6"/>
  <c r="G177" i="6"/>
  <c r="B177" i="6"/>
  <c r="N176" i="6"/>
  <c r="K176" i="6"/>
  <c r="I176" i="6"/>
  <c r="L176" i="6" s="1"/>
  <c r="H176" i="6"/>
  <c r="J176" i="6" s="1"/>
  <c r="G176" i="6"/>
  <c r="M176" i="6" s="1"/>
  <c r="B176" i="6"/>
  <c r="N175" i="6"/>
  <c r="H175" i="6"/>
  <c r="K175" i="6" s="1"/>
  <c r="G175" i="6"/>
  <c r="M175" i="6" s="1"/>
  <c r="B175" i="6"/>
  <c r="N174" i="6"/>
  <c r="M174" i="6"/>
  <c r="H174" i="6"/>
  <c r="K174" i="6" s="1"/>
  <c r="G174" i="6"/>
  <c r="B174" i="6"/>
  <c r="N173" i="6"/>
  <c r="K173" i="6"/>
  <c r="J173" i="6"/>
  <c r="I173" i="6"/>
  <c r="H173" i="6"/>
  <c r="G173" i="6"/>
  <c r="M173" i="6" s="1"/>
  <c r="B173" i="6"/>
  <c r="N172" i="6"/>
  <c r="K172" i="6"/>
  <c r="L172" i="6" s="1"/>
  <c r="J172" i="6"/>
  <c r="H172" i="6"/>
  <c r="I172" i="6" s="1"/>
  <c r="G172" i="6"/>
  <c r="M172" i="6" s="1"/>
  <c r="B172" i="6"/>
  <c r="N171" i="6"/>
  <c r="M171" i="6"/>
  <c r="K171" i="6"/>
  <c r="L171" i="6" s="1"/>
  <c r="I171" i="6"/>
  <c r="H171" i="6"/>
  <c r="J171" i="6" s="1"/>
  <c r="G171" i="6"/>
  <c r="B171" i="6"/>
  <c r="N170" i="6"/>
  <c r="K170" i="6"/>
  <c r="J170" i="6"/>
  <c r="L170" i="6" s="1"/>
  <c r="I170" i="6"/>
  <c r="H170" i="6"/>
  <c r="G170" i="6"/>
  <c r="M170" i="6" s="1"/>
  <c r="B170" i="6"/>
  <c r="N169" i="6"/>
  <c r="M169" i="6"/>
  <c r="K169" i="6"/>
  <c r="J169" i="6"/>
  <c r="H169" i="6"/>
  <c r="I169" i="6" s="1"/>
  <c r="G169" i="6"/>
  <c r="B169" i="6"/>
  <c r="N168" i="6"/>
  <c r="H168" i="6"/>
  <c r="G168" i="6"/>
  <c r="M168" i="6" s="1"/>
  <c r="B168" i="6"/>
  <c r="N167" i="6"/>
  <c r="H167" i="6"/>
  <c r="G167" i="6"/>
  <c r="M167" i="6" s="1"/>
  <c r="B167" i="6"/>
  <c r="N166" i="6"/>
  <c r="M166" i="6"/>
  <c r="J166" i="6"/>
  <c r="I166" i="6"/>
  <c r="L166" i="6" s="1"/>
  <c r="H166" i="6"/>
  <c r="K166" i="6" s="1"/>
  <c r="G166" i="6"/>
  <c r="B166" i="6"/>
  <c r="N165" i="6"/>
  <c r="K165" i="6"/>
  <c r="J165" i="6"/>
  <c r="I165" i="6"/>
  <c r="L165" i="6" s="1"/>
  <c r="H165" i="6"/>
  <c r="G165" i="6"/>
  <c r="M165" i="6" s="1"/>
  <c r="B165" i="6"/>
  <c r="N164" i="6"/>
  <c r="M164" i="6"/>
  <c r="H164" i="6"/>
  <c r="I164" i="6" s="1"/>
  <c r="G164" i="6"/>
  <c r="B164" i="6"/>
  <c r="N163" i="6"/>
  <c r="M163" i="6"/>
  <c r="K163" i="6"/>
  <c r="H163" i="6"/>
  <c r="J163" i="6" s="1"/>
  <c r="G163" i="6"/>
  <c r="B163" i="6"/>
  <c r="N162" i="6"/>
  <c r="M162" i="6"/>
  <c r="K162" i="6"/>
  <c r="J162" i="6"/>
  <c r="I162" i="6"/>
  <c r="H162" i="6"/>
  <c r="G162" i="6"/>
  <c r="B162" i="6"/>
  <c r="N161" i="6"/>
  <c r="K161" i="6"/>
  <c r="J161" i="6"/>
  <c r="H161" i="6"/>
  <c r="I161" i="6" s="1"/>
  <c r="G161" i="6"/>
  <c r="M161" i="6" s="1"/>
  <c r="B161" i="6"/>
  <c r="N160" i="6"/>
  <c r="H160" i="6"/>
  <c r="G160" i="6"/>
  <c r="M160" i="6" s="1"/>
  <c r="B160" i="6"/>
  <c r="N159" i="6"/>
  <c r="I159" i="6"/>
  <c r="H159" i="6"/>
  <c r="G159" i="6"/>
  <c r="M159" i="6" s="1"/>
  <c r="B159" i="6"/>
  <c r="N158" i="6"/>
  <c r="M158" i="6"/>
  <c r="H158" i="6"/>
  <c r="J158" i="6" s="1"/>
  <c r="G158" i="6"/>
  <c r="B158" i="6"/>
  <c r="N157" i="6"/>
  <c r="K157" i="6"/>
  <c r="J157" i="6"/>
  <c r="I157" i="6"/>
  <c r="H157" i="6"/>
  <c r="G157" i="6"/>
  <c r="M157" i="6" s="1"/>
  <c r="B157" i="6"/>
  <c r="N156" i="6"/>
  <c r="J156" i="6"/>
  <c r="H156" i="6"/>
  <c r="G156" i="6"/>
  <c r="M156" i="6" s="1"/>
  <c r="B156" i="6"/>
  <c r="N155" i="6"/>
  <c r="M155" i="6"/>
  <c r="H155" i="6"/>
  <c r="G155" i="6"/>
  <c r="B155" i="6"/>
  <c r="N154" i="6"/>
  <c r="K154" i="6"/>
  <c r="J154" i="6"/>
  <c r="I154" i="6"/>
  <c r="L154" i="6" s="1"/>
  <c r="H154" i="6"/>
  <c r="G154" i="6"/>
  <c r="M154" i="6" s="1"/>
  <c r="B154" i="6"/>
  <c r="N153" i="6"/>
  <c r="H153" i="6"/>
  <c r="G153" i="6"/>
  <c r="M153" i="6" s="1"/>
  <c r="B153" i="6"/>
  <c r="N152" i="6"/>
  <c r="H152" i="6"/>
  <c r="G152" i="6"/>
  <c r="M152" i="6" s="1"/>
  <c r="B152" i="6"/>
  <c r="N151" i="6"/>
  <c r="M151" i="6"/>
  <c r="J151" i="6"/>
  <c r="H151" i="6"/>
  <c r="G151" i="6"/>
  <c r="B151" i="6"/>
  <c r="N150" i="6"/>
  <c r="M150" i="6"/>
  <c r="H150" i="6"/>
  <c r="G150" i="6"/>
  <c r="B150" i="6"/>
  <c r="N149" i="6"/>
  <c r="L149" i="6"/>
  <c r="K149" i="6"/>
  <c r="J149" i="6"/>
  <c r="I149" i="6"/>
  <c r="H149" i="6"/>
  <c r="G149" i="6"/>
  <c r="M149" i="6" s="1"/>
  <c r="B149" i="6"/>
  <c r="N148" i="6"/>
  <c r="K148" i="6"/>
  <c r="H148" i="6"/>
  <c r="G148" i="6"/>
  <c r="M148" i="6" s="1"/>
  <c r="B148" i="6"/>
  <c r="N147" i="6"/>
  <c r="M147" i="6"/>
  <c r="H147" i="6"/>
  <c r="G147" i="6"/>
  <c r="B147" i="6"/>
  <c r="N146" i="6"/>
  <c r="M146" i="6"/>
  <c r="K146" i="6"/>
  <c r="J146" i="6"/>
  <c r="I146" i="6"/>
  <c r="L146" i="6" s="1"/>
  <c r="H146" i="6"/>
  <c r="G146" i="6"/>
  <c r="B146" i="6"/>
  <c r="N145" i="6"/>
  <c r="H145" i="6"/>
  <c r="G145" i="6"/>
  <c r="M145" i="6" s="1"/>
  <c r="B145" i="6"/>
  <c r="N144" i="6"/>
  <c r="K144" i="6"/>
  <c r="I144" i="6"/>
  <c r="L144" i="6" s="1"/>
  <c r="H144" i="6"/>
  <c r="J144" i="6" s="1"/>
  <c r="G144" i="6"/>
  <c r="M144" i="6" s="1"/>
  <c r="B144" i="6"/>
  <c r="N143" i="6"/>
  <c r="J143" i="6"/>
  <c r="I143" i="6"/>
  <c r="L143" i="6" s="1"/>
  <c r="H143" i="6"/>
  <c r="K143" i="6" s="1"/>
  <c r="G143" i="6"/>
  <c r="M143" i="6" s="1"/>
  <c r="B143" i="6"/>
  <c r="N142" i="6"/>
  <c r="M142" i="6"/>
  <c r="K142" i="6"/>
  <c r="J142" i="6"/>
  <c r="I142" i="6"/>
  <c r="L142" i="6" s="1"/>
  <c r="H142" i="6"/>
  <c r="G142" i="6"/>
  <c r="B142" i="6"/>
  <c r="N141" i="6"/>
  <c r="K141" i="6"/>
  <c r="J141" i="6"/>
  <c r="I141" i="6"/>
  <c r="L141" i="6" s="1"/>
  <c r="H141" i="6"/>
  <c r="G141" i="6"/>
  <c r="M141" i="6" s="1"/>
  <c r="B141" i="6"/>
  <c r="N140" i="6"/>
  <c r="K140" i="6"/>
  <c r="J140" i="6"/>
  <c r="L140" i="6" s="1"/>
  <c r="H140" i="6"/>
  <c r="I140" i="6" s="1"/>
  <c r="G140" i="6"/>
  <c r="M140" i="6" s="1"/>
  <c r="B140" i="6"/>
  <c r="N139" i="6"/>
  <c r="M139" i="6"/>
  <c r="K139" i="6"/>
  <c r="I139" i="6"/>
  <c r="L139" i="6" s="1"/>
  <c r="H139" i="6"/>
  <c r="J139" i="6" s="1"/>
  <c r="G139" i="6"/>
  <c r="B139" i="6"/>
  <c r="N138" i="6"/>
  <c r="K138" i="6"/>
  <c r="J138" i="6"/>
  <c r="L138" i="6" s="1"/>
  <c r="I138" i="6"/>
  <c r="H138" i="6"/>
  <c r="G138" i="6"/>
  <c r="M138" i="6" s="1"/>
  <c r="B138" i="6"/>
  <c r="N137" i="6"/>
  <c r="K137" i="6"/>
  <c r="J137" i="6"/>
  <c r="H137" i="6"/>
  <c r="I137" i="6" s="1"/>
  <c r="G137" i="6"/>
  <c r="M137" i="6" s="1"/>
  <c r="B137" i="6"/>
  <c r="N136" i="6"/>
  <c r="K136" i="6"/>
  <c r="H136" i="6"/>
  <c r="G136" i="6"/>
  <c r="M136" i="6" s="1"/>
  <c r="B136" i="6"/>
  <c r="N135" i="6"/>
  <c r="M135" i="6"/>
  <c r="H135" i="6"/>
  <c r="G135" i="6"/>
  <c r="B135" i="6"/>
  <c r="N134" i="6"/>
  <c r="M134" i="6"/>
  <c r="K134" i="6"/>
  <c r="H134" i="6"/>
  <c r="I134" i="6" s="1"/>
  <c r="G134" i="6"/>
  <c r="B134" i="6"/>
  <c r="N133" i="6"/>
  <c r="K133" i="6"/>
  <c r="L133" i="6" s="1"/>
  <c r="J133" i="6"/>
  <c r="I133" i="6"/>
  <c r="H133" i="6"/>
  <c r="G133" i="6"/>
  <c r="M133" i="6" s="1"/>
  <c r="B133" i="6"/>
  <c r="N132" i="6"/>
  <c r="M132" i="6"/>
  <c r="K132" i="6"/>
  <c r="H132" i="6"/>
  <c r="G132" i="6"/>
  <c r="B132" i="6"/>
  <c r="N131" i="6"/>
  <c r="M131" i="6"/>
  <c r="K131" i="6"/>
  <c r="H131" i="6"/>
  <c r="G131" i="6"/>
  <c r="B131" i="6"/>
  <c r="N130" i="6"/>
  <c r="L130" i="6"/>
  <c r="K130" i="6"/>
  <c r="J130" i="6"/>
  <c r="I130" i="6"/>
  <c r="H130" i="6"/>
  <c r="G130" i="6"/>
  <c r="M130" i="6" s="1"/>
  <c r="B130" i="6"/>
  <c r="N129" i="6"/>
  <c r="M129" i="6"/>
  <c r="H129" i="6"/>
  <c r="G129" i="6"/>
  <c r="B129" i="6"/>
  <c r="N128" i="6"/>
  <c r="K128" i="6"/>
  <c r="I128" i="6"/>
  <c r="L128" i="6" s="1"/>
  <c r="H128" i="6"/>
  <c r="J128" i="6" s="1"/>
  <c r="G128" i="6"/>
  <c r="M128" i="6" s="1"/>
  <c r="B128" i="6"/>
  <c r="N127" i="6"/>
  <c r="J127" i="6"/>
  <c r="I127" i="6"/>
  <c r="L127" i="6" s="1"/>
  <c r="H127" i="6"/>
  <c r="K127" i="6" s="1"/>
  <c r="G127" i="6"/>
  <c r="M127" i="6" s="1"/>
  <c r="B127" i="6"/>
  <c r="N126" i="6"/>
  <c r="M126" i="6"/>
  <c r="K126" i="6"/>
  <c r="J126" i="6"/>
  <c r="I126" i="6"/>
  <c r="L126" i="6" s="1"/>
  <c r="H126" i="6"/>
  <c r="G126" i="6"/>
  <c r="B126" i="6"/>
  <c r="N125" i="6"/>
  <c r="K125" i="6"/>
  <c r="J125" i="6"/>
  <c r="I125" i="6"/>
  <c r="L125" i="6" s="1"/>
  <c r="H125" i="6"/>
  <c r="G125" i="6"/>
  <c r="M125" i="6" s="1"/>
  <c r="B125" i="6"/>
  <c r="N124" i="6"/>
  <c r="K124" i="6"/>
  <c r="J124" i="6"/>
  <c r="L124" i="6" s="1"/>
  <c r="H124" i="6"/>
  <c r="I124" i="6" s="1"/>
  <c r="G124" i="6"/>
  <c r="M124" i="6" s="1"/>
  <c r="B124" i="6"/>
  <c r="N123" i="6"/>
  <c r="M123" i="6"/>
  <c r="K123" i="6"/>
  <c r="I123" i="6"/>
  <c r="L123" i="6" s="1"/>
  <c r="H123" i="6"/>
  <c r="J123" i="6" s="1"/>
  <c r="G123" i="6"/>
  <c r="B123" i="6"/>
  <c r="N122" i="6"/>
  <c r="M122" i="6"/>
  <c r="K122" i="6"/>
  <c r="J122" i="6"/>
  <c r="L122" i="6" s="1"/>
  <c r="I122" i="6"/>
  <c r="H122" i="6"/>
  <c r="G122" i="6"/>
  <c r="B122" i="6"/>
  <c r="N121" i="6"/>
  <c r="K121" i="6"/>
  <c r="J121" i="6"/>
  <c r="H121" i="6"/>
  <c r="I121" i="6" s="1"/>
  <c r="G121" i="6"/>
  <c r="M121" i="6" s="1"/>
  <c r="B121" i="6"/>
  <c r="N120" i="6"/>
  <c r="H120" i="6"/>
  <c r="G120" i="6"/>
  <c r="M120" i="6" s="1"/>
  <c r="B120" i="6"/>
  <c r="N119" i="6"/>
  <c r="M119" i="6"/>
  <c r="H119" i="6"/>
  <c r="G119" i="6"/>
  <c r="B119" i="6"/>
  <c r="N118" i="6"/>
  <c r="M118" i="6"/>
  <c r="H118" i="6"/>
  <c r="G118" i="6"/>
  <c r="B118" i="6"/>
  <c r="N117" i="6"/>
  <c r="K117" i="6"/>
  <c r="J117" i="6"/>
  <c r="I117" i="6"/>
  <c r="L117" i="6" s="1"/>
  <c r="H117" i="6"/>
  <c r="G117" i="6"/>
  <c r="M117" i="6" s="1"/>
  <c r="B117" i="6"/>
  <c r="N116" i="6"/>
  <c r="M116" i="6"/>
  <c r="H116" i="6"/>
  <c r="G116" i="6"/>
  <c r="B116" i="6"/>
  <c r="N115" i="6"/>
  <c r="M115" i="6"/>
  <c r="H115" i="6"/>
  <c r="G115" i="6"/>
  <c r="B115" i="6"/>
  <c r="N114" i="6"/>
  <c r="K114" i="6"/>
  <c r="J114" i="6"/>
  <c r="I114" i="6"/>
  <c r="L114" i="6" s="1"/>
  <c r="H114" i="6"/>
  <c r="G114" i="6"/>
  <c r="M114" i="6" s="1"/>
  <c r="B114" i="6"/>
  <c r="N113" i="6"/>
  <c r="M113" i="6"/>
  <c r="H113" i="6"/>
  <c r="G113" i="6"/>
  <c r="B113" i="6"/>
  <c r="N112" i="6"/>
  <c r="K112" i="6"/>
  <c r="I112" i="6"/>
  <c r="L112" i="6" s="1"/>
  <c r="H112" i="6"/>
  <c r="J112" i="6" s="1"/>
  <c r="G112" i="6"/>
  <c r="M112" i="6" s="1"/>
  <c r="B112" i="6"/>
  <c r="N111" i="6"/>
  <c r="H111" i="6"/>
  <c r="K111" i="6" s="1"/>
  <c r="G111" i="6"/>
  <c r="M111" i="6" s="1"/>
  <c r="B111" i="6"/>
  <c r="N110" i="6"/>
  <c r="M110" i="6"/>
  <c r="H110" i="6"/>
  <c r="K110" i="6" s="1"/>
  <c r="G110" i="6"/>
  <c r="B110" i="6"/>
  <c r="N109" i="6"/>
  <c r="K109" i="6"/>
  <c r="J109" i="6"/>
  <c r="I109" i="6"/>
  <c r="H109" i="6"/>
  <c r="G109" i="6"/>
  <c r="M109" i="6" s="1"/>
  <c r="B109" i="6"/>
  <c r="N108" i="6"/>
  <c r="K108" i="6"/>
  <c r="L108" i="6" s="1"/>
  <c r="J108" i="6"/>
  <c r="H108" i="6"/>
  <c r="I108" i="6" s="1"/>
  <c r="G108" i="6"/>
  <c r="M108" i="6" s="1"/>
  <c r="B108" i="6"/>
  <c r="N107" i="6"/>
  <c r="M107" i="6"/>
  <c r="K107" i="6"/>
  <c r="L107" i="6" s="1"/>
  <c r="I107" i="6"/>
  <c r="H107" i="6"/>
  <c r="J107" i="6" s="1"/>
  <c r="G107" i="6"/>
  <c r="B107" i="6"/>
  <c r="N106" i="6"/>
  <c r="K106" i="6"/>
  <c r="J106" i="6"/>
  <c r="L106" i="6" s="1"/>
  <c r="I106" i="6"/>
  <c r="H106" i="6"/>
  <c r="G106" i="6"/>
  <c r="M106" i="6" s="1"/>
  <c r="B106" i="6"/>
  <c r="N105" i="6"/>
  <c r="M105" i="6"/>
  <c r="K105" i="6"/>
  <c r="J105" i="6"/>
  <c r="H105" i="6"/>
  <c r="I105" i="6" s="1"/>
  <c r="G105" i="6"/>
  <c r="B105" i="6"/>
  <c r="N104" i="6"/>
  <c r="I104" i="6"/>
  <c r="H104" i="6"/>
  <c r="G104" i="6"/>
  <c r="M104" i="6" s="1"/>
  <c r="B104" i="6"/>
  <c r="N103" i="6"/>
  <c r="H103" i="6"/>
  <c r="G103" i="6"/>
  <c r="M103" i="6" s="1"/>
  <c r="B103" i="6"/>
  <c r="N102" i="6"/>
  <c r="M102" i="6"/>
  <c r="J102" i="6"/>
  <c r="I102" i="6"/>
  <c r="L102" i="6" s="1"/>
  <c r="H102" i="6"/>
  <c r="K102" i="6" s="1"/>
  <c r="G102" i="6"/>
  <c r="B102" i="6"/>
  <c r="N101" i="6"/>
  <c r="K101" i="6"/>
  <c r="J101" i="6"/>
  <c r="I101" i="6"/>
  <c r="L101" i="6" s="1"/>
  <c r="H101" i="6"/>
  <c r="G101" i="6"/>
  <c r="M101" i="6" s="1"/>
  <c r="B101" i="6"/>
  <c r="N100" i="6"/>
  <c r="M100" i="6"/>
  <c r="H100" i="6"/>
  <c r="I100" i="6" s="1"/>
  <c r="G100" i="6"/>
  <c r="B100" i="6"/>
  <c r="N99" i="6"/>
  <c r="M99" i="6"/>
  <c r="K99" i="6"/>
  <c r="H99" i="6"/>
  <c r="J99" i="6" s="1"/>
  <c r="G99" i="6"/>
  <c r="B99" i="6"/>
  <c r="N98" i="6"/>
  <c r="M98" i="6"/>
  <c r="K98" i="6"/>
  <c r="J98" i="6"/>
  <c r="I98" i="6"/>
  <c r="H98" i="6"/>
  <c r="G98" i="6"/>
  <c r="B98" i="6"/>
  <c r="N97" i="6"/>
  <c r="K97" i="6"/>
  <c r="J97" i="6"/>
  <c r="H97" i="6"/>
  <c r="I97" i="6" s="1"/>
  <c r="G97" i="6"/>
  <c r="M97" i="6" s="1"/>
  <c r="B97" i="6"/>
  <c r="N96" i="6"/>
  <c r="I96" i="6"/>
  <c r="H96" i="6"/>
  <c r="G96" i="6"/>
  <c r="M96" i="6" s="1"/>
  <c r="B96" i="6"/>
  <c r="N95" i="6"/>
  <c r="I95" i="6"/>
  <c r="H95" i="6"/>
  <c r="G95" i="6"/>
  <c r="M95" i="6" s="1"/>
  <c r="B95" i="6"/>
  <c r="N94" i="6"/>
  <c r="M94" i="6"/>
  <c r="H94" i="6"/>
  <c r="J94" i="6" s="1"/>
  <c r="G94" i="6"/>
  <c r="B94" i="6"/>
  <c r="N93" i="6"/>
  <c r="K93" i="6"/>
  <c r="J93" i="6"/>
  <c r="I93" i="6"/>
  <c r="H93" i="6"/>
  <c r="G93" i="6"/>
  <c r="M93" i="6" s="1"/>
  <c r="B93" i="6"/>
  <c r="N92" i="6"/>
  <c r="J92" i="6"/>
  <c r="H92" i="6"/>
  <c r="G92" i="6"/>
  <c r="M92" i="6" s="1"/>
  <c r="B92" i="6"/>
  <c r="N91" i="6"/>
  <c r="M91" i="6"/>
  <c r="H91" i="6"/>
  <c r="G91" i="6"/>
  <c r="B91" i="6"/>
  <c r="N90" i="6"/>
  <c r="K90" i="6"/>
  <c r="J90" i="6"/>
  <c r="I90" i="6"/>
  <c r="H90" i="6"/>
  <c r="G90" i="6"/>
  <c r="M90" i="6" s="1"/>
  <c r="B90" i="6"/>
  <c r="N89" i="6"/>
  <c r="H89" i="6"/>
  <c r="G89" i="6"/>
  <c r="M89" i="6" s="1"/>
  <c r="B89" i="6"/>
  <c r="N88" i="6"/>
  <c r="H88" i="6"/>
  <c r="G88" i="6"/>
  <c r="M88" i="6" s="1"/>
  <c r="B88" i="6"/>
  <c r="N87" i="6"/>
  <c r="M87" i="6"/>
  <c r="J87" i="6"/>
  <c r="H87" i="6"/>
  <c r="G87" i="6"/>
  <c r="B87" i="6"/>
  <c r="N86" i="6"/>
  <c r="M86" i="6"/>
  <c r="H86" i="6"/>
  <c r="G86" i="6"/>
  <c r="B86" i="6"/>
  <c r="N85" i="6"/>
  <c r="L85" i="6"/>
  <c r="K85" i="6"/>
  <c r="J85" i="6"/>
  <c r="I85" i="6"/>
  <c r="H85" i="6"/>
  <c r="G85" i="6"/>
  <c r="M85" i="6" s="1"/>
  <c r="B85" i="6"/>
  <c r="N84" i="6"/>
  <c r="K84" i="6"/>
  <c r="H84" i="6"/>
  <c r="G84" i="6"/>
  <c r="M84" i="6" s="1"/>
  <c r="B84" i="6"/>
  <c r="N83" i="6"/>
  <c r="M83" i="6"/>
  <c r="H83" i="6"/>
  <c r="G83" i="6"/>
  <c r="B83" i="6"/>
  <c r="N82" i="6"/>
  <c r="M82" i="6"/>
  <c r="K82" i="6"/>
  <c r="J82" i="6"/>
  <c r="I82" i="6"/>
  <c r="L82" i="6" s="1"/>
  <c r="H82" i="6"/>
  <c r="G82" i="6"/>
  <c r="B82" i="6"/>
  <c r="N81" i="6"/>
  <c r="K81" i="6"/>
  <c r="H81" i="6"/>
  <c r="G81" i="6"/>
  <c r="M81" i="6" s="1"/>
  <c r="B81" i="6"/>
  <c r="N80" i="6"/>
  <c r="K80" i="6"/>
  <c r="I80" i="6"/>
  <c r="L80" i="6" s="1"/>
  <c r="H80" i="6"/>
  <c r="J80" i="6" s="1"/>
  <c r="G80" i="6"/>
  <c r="M80" i="6" s="1"/>
  <c r="B80" i="6"/>
  <c r="N79" i="6"/>
  <c r="J79" i="6"/>
  <c r="I79" i="6"/>
  <c r="L79" i="6" s="1"/>
  <c r="H79" i="6"/>
  <c r="K79" i="6" s="1"/>
  <c r="G79" i="6"/>
  <c r="M79" i="6" s="1"/>
  <c r="B79" i="6"/>
  <c r="N78" i="6"/>
  <c r="M78" i="6"/>
  <c r="K78" i="6"/>
  <c r="J78" i="6"/>
  <c r="I78" i="6"/>
  <c r="L78" i="6" s="1"/>
  <c r="H78" i="6"/>
  <c r="G78" i="6"/>
  <c r="B78" i="6"/>
  <c r="N77" i="6"/>
  <c r="K77" i="6"/>
  <c r="J77" i="6"/>
  <c r="I77" i="6"/>
  <c r="L77" i="6" s="1"/>
  <c r="H77" i="6"/>
  <c r="G77" i="6"/>
  <c r="M77" i="6" s="1"/>
  <c r="B77" i="6"/>
  <c r="N76" i="6"/>
  <c r="K76" i="6"/>
  <c r="J76" i="6"/>
  <c r="L76" i="6" s="1"/>
  <c r="H76" i="6"/>
  <c r="I76" i="6" s="1"/>
  <c r="G76" i="6"/>
  <c r="M76" i="6" s="1"/>
  <c r="B76" i="6"/>
  <c r="N75" i="6"/>
  <c r="M75" i="6"/>
  <c r="K75" i="6"/>
  <c r="I75" i="6"/>
  <c r="L75" i="6" s="1"/>
  <c r="H75" i="6"/>
  <c r="J75" i="6" s="1"/>
  <c r="G75" i="6"/>
  <c r="B75" i="6"/>
  <c r="N74" i="6"/>
  <c r="K74" i="6"/>
  <c r="J74" i="6"/>
  <c r="L74" i="6" s="1"/>
  <c r="I74" i="6"/>
  <c r="H74" i="6"/>
  <c r="G74" i="6"/>
  <c r="M74" i="6" s="1"/>
  <c r="B74" i="6"/>
  <c r="N73" i="6"/>
  <c r="K73" i="6"/>
  <c r="J73" i="6"/>
  <c r="H73" i="6"/>
  <c r="I73" i="6" s="1"/>
  <c r="G73" i="6"/>
  <c r="M73" i="6" s="1"/>
  <c r="B73" i="6"/>
  <c r="N72" i="6"/>
  <c r="K72" i="6"/>
  <c r="H72" i="6"/>
  <c r="G72" i="6"/>
  <c r="M72" i="6" s="1"/>
  <c r="B72" i="6"/>
  <c r="N71" i="6"/>
  <c r="M71" i="6"/>
  <c r="H71" i="6"/>
  <c r="G71" i="6"/>
  <c r="B71" i="6"/>
  <c r="N70" i="6"/>
  <c r="M70" i="6"/>
  <c r="K70" i="6"/>
  <c r="H70" i="6"/>
  <c r="I70" i="6" s="1"/>
  <c r="G70" i="6"/>
  <c r="B70" i="6"/>
  <c r="N69" i="6"/>
  <c r="K69" i="6"/>
  <c r="L69" i="6" s="1"/>
  <c r="J69" i="6"/>
  <c r="I69" i="6"/>
  <c r="H69" i="6"/>
  <c r="G69" i="6"/>
  <c r="M69" i="6" s="1"/>
  <c r="B69" i="6"/>
  <c r="N68" i="6"/>
  <c r="M68" i="6"/>
  <c r="K68" i="6"/>
  <c r="H68" i="6"/>
  <c r="G68" i="6"/>
  <c r="B68" i="6"/>
  <c r="N67" i="6"/>
  <c r="M67" i="6"/>
  <c r="K67" i="6"/>
  <c r="H67" i="6"/>
  <c r="G67" i="6"/>
  <c r="B67" i="6"/>
  <c r="N66" i="6"/>
  <c r="L66" i="6"/>
  <c r="K66" i="6"/>
  <c r="J66" i="6"/>
  <c r="I66" i="6"/>
  <c r="H66" i="6"/>
  <c r="G66" i="6"/>
  <c r="M66" i="6" s="1"/>
  <c r="B66" i="6"/>
  <c r="N65" i="6"/>
  <c r="M65" i="6"/>
  <c r="H65" i="6"/>
  <c r="G65" i="6"/>
  <c r="B65" i="6"/>
  <c r="N64" i="6"/>
  <c r="K64" i="6"/>
  <c r="I64" i="6"/>
  <c r="L64" i="6" s="1"/>
  <c r="H64" i="6"/>
  <c r="J64" i="6" s="1"/>
  <c r="G64" i="6"/>
  <c r="M64" i="6" s="1"/>
  <c r="B64" i="6"/>
  <c r="N63" i="6"/>
  <c r="J63" i="6"/>
  <c r="I63" i="6"/>
  <c r="L63" i="6" s="1"/>
  <c r="H63" i="6"/>
  <c r="K63" i="6" s="1"/>
  <c r="G63" i="6"/>
  <c r="M63" i="6" s="1"/>
  <c r="B63" i="6"/>
  <c r="N62" i="6"/>
  <c r="M62" i="6"/>
  <c r="K62" i="6"/>
  <c r="J62" i="6"/>
  <c r="I62" i="6"/>
  <c r="L62" i="6" s="1"/>
  <c r="H62" i="6"/>
  <c r="G62" i="6"/>
  <c r="B62" i="6"/>
  <c r="N61" i="6"/>
  <c r="K61" i="6"/>
  <c r="J61" i="6"/>
  <c r="I61" i="6"/>
  <c r="L61" i="6" s="1"/>
  <c r="H61" i="6"/>
  <c r="G61" i="6"/>
  <c r="M61" i="6" s="1"/>
  <c r="B61" i="6"/>
  <c r="N60" i="6"/>
  <c r="K60" i="6"/>
  <c r="J60" i="6"/>
  <c r="L60" i="6" s="1"/>
  <c r="H60" i="6"/>
  <c r="I60" i="6" s="1"/>
  <c r="G60" i="6"/>
  <c r="M60" i="6" s="1"/>
  <c r="B60" i="6"/>
  <c r="N59" i="6"/>
  <c r="M59" i="6"/>
  <c r="K59" i="6"/>
  <c r="I59" i="6"/>
  <c r="L59" i="6" s="1"/>
  <c r="H59" i="6"/>
  <c r="J59" i="6" s="1"/>
  <c r="G59" i="6"/>
  <c r="B59" i="6"/>
  <c r="N58" i="6"/>
  <c r="M58" i="6"/>
  <c r="K58" i="6"/>
  <c r="J58" i="6"/>
  <c r="L58" i="6" s="1"/>
  <c r="I58" i="6"/>
  <c r="H58" i="6"/>
  <c r="G58" i="6"/>
  <c r="B58" i="6"/>
  <c r="N57" i="6"/>
  <c r="K57" i="6"/>
  <c r="J57" i="6"/>
  <c r="H57" i="6"/>
  <c r="I57" i="6" s="1"/>
  <c r="G57" i="6"/>
  <c r="M57" i="6" s="1"/>
  <c r="B57" i="6"/>
  <c r="N56" i="6"/>
  <c r="H56" i="6"/>
  <c r="G56" i="6"/>
  <c r="M56" i="6" s="1"/>
  <c r="B56" i="6"/>
  <c r="N55" i="6"/>
  <c r="M55" i="6"/>
  <c r="H55" i="6"/>
  <c r="G55" i="6"/>
  <c r="B55" i="6"/>
  <c r="N54" i="6"/>
  <c r="M54" i="6"/>
  <c r="H54" i="6"/>
  <c r="G54" i="6"/>
  <c r="B54" i="6"/>
  <c r="N53" i="6"/>
  <c r="K53" i="6"/>
  <c r="J53" i="6"/>
  <c r="I53" i="6"/>
  <c r="L53" i="6" s="1"/>
  <c r="H53" i="6"/>
  <c r="G53" i="6"/>
  <c r="M53" i="6" s="1"/>
  <c r="B53" i="6"/>
  <c r="N52" i="6"/>
  <c r="M52" i="6"/>
  <c r="H52" i="6"/>
  <c r="G52" i="6"/>
  <c r="B52" i="6"/>
  <c r="N51" i="6"/>
  <c r="M51" i="6"/>
  <c r="H51" i="6"/>
  <c r="G51" i="6"/>
  <c r="B51" i="6"/>
  <c r="N50" i="6"/>
  <c r="K50" i="6"/>
  <c r="J50" i="6"/>
  <c r="I50" i="6"/>
  <c r="L50" i="6" s="1"/>
  <c r="H50" i="6"/>
  <c r="G50" i="6"/>
  <c r="M50" i="6" s="1"/>
  <c r="B50" i="6"/>
  <c r="N49" i="6"/>
  <c r="M49" i="6"/>
  <c r="H49" i="6"/>
  <c r="G49" i="6"/>
  <c r="B49" i="6"/>
  <c r="N48" i="6"/>
  <c r="K48" i="6"/>
  <c r="I48" i="6"/>
  <c r="L48" i="6" s="1"/>
  <c r="H48" i="6"/>
  <c r="J48" i="6" s="1"/>
  <c r="G48" i="6"/>
  <c r="M48" i="6" s="1"/>
  <c r="B48" i="6"/>
  <c r="N47" i="6"/>
  <c r="H47" i="6"/>
  <c r="K47" i="6" s="1"/>
  <c r="G47" i="6"/>
  <c r="M47" i="6" s="1"/>
  <c r="B47" i="6"/>
  <c r="N46" i="6"/>
  <c r="M46" i="6"/>
  <c r="H46" i="6"/>
  <c r="K46" i="6" s="1"/>
  <c r="G46" i="6"/>
  <c r="B46" i="6"/>
  <c r="N45" i="6"/>
  <c r="K45" i="6"/>
  <c r="J45" i="6"/>
  <c r="I45" i="6"/>
  <c r="H45" i="6"/>
  <c r="G45" i="6"/>
  <c r="M45" i="6" s="1"/>
  <c r="B45" i="6"/>
  <c r="N44" i="6"/>
  <c r="K44" i="6"/>
  <c r="L44" i="6" s="1"/>
  <c r="J44" i="6"/>
  <c r="H44" i="6"/>
  <c r="I44" i="6" s="1"/>
  <c r="G44" i="6"/>
  <c r="M44" i="6" s="1"/>
  <c r="B44" i="6"/>
  <c r="N43" i="6"/>
  <c r="M43" i="6"/>
  <c r="K43" i="6"/>
  <c r="L43" i="6" s="1"/>
  <c r="I43" i="6"/>
  <c r="H43" i="6"/>
  <c r="J43" i="6" s="1"/>
  <c r="G43" i="6"/>
  <c r="B43" i="6"/>
  <c r="N42" i="6"/>
  <c r="L42" i="6"/>
  <c r="K42" i="6"/>
  <c r="J42" i="6"/>
  <c r="I42" i="6"/>
  <c r="H42" i="6"/>
  <c r="G42" i="6"/>
  <c r="M42" i="6" s="1"/>
  <c r="B42" i="6"/>
  <c r="N41" i="6"/>
  <c r="M41" i="6"/>
  <c r="K41" i="6"/>
  <c r="J41" i="6"/>
  <c r="H41" i="6"/>
  <c r="I41" i="6" s="1"/>
  <c r="G41" i="6"/>
  <c r="B41" i="6"/>
  <c r="N40" i="6"/>
  <c r="I40" i="6"/>
  <c r="H40" i="6"/>
  <c r="G40" i="6"/>
  <c r="M40" i="6" s="1"/>
  <c r="B40" i="6"/>
  <c r="N39" i="6"/>
  <c r="H39" i="6"/>
  <c r="G39" i="6"/>
  <c r="M39" i="6" s="1"/>
  <c r="B39" i="6"/>
  <c r="N38" i="6"/>
  <c r="M38" i="6"/>
  <c r="J38" i="6"/>
  <c r="I38" i="6"/>
  <c r="L38" i="6" s="1"/>
  <c r="H38" i="6"/>
  <c r="K38" i="6" s="1"/>
  <c r="G38" i="6"/>
  <c r="B38" i="6"/>
  <c r="N37" i="6"/>
  <c r="K37" i="6"/>
  <c r="J37" i="6"/>
  <c r="I37" i="6"/>
  <c r="L37" i="6" s="1"/>
  <c r="H37" i="6"/>
  <c r="G37" i="6"/>
  <c r="M37" i="6" s="1"/>
  <c r="B37" i="6"/>
  <c r="N36" i="6"/>
  <c r="M36" i="6"/>
  <c r="H36" i="6"/>
  <c r="I36" i="6" s="1"/>
  <c r="G36" i="6"/>
  <c r="B36" i="6"/>
  <c r="N35" i="6"/>
  <c r="M35" i="6"/>
  <c r="K35" i="6"/>
  <c r="H35" i="6"/>
  <c r="J35" i="6" s="1"/>
  <c r="G35" i="6"/>
  <c r="B35" i="6"/>
  <c r="N34" i="6"/>
  <c r="M34" i="6"/>
  <c r="K34" i="6"/>
  <c r="J34" i="6"/>
  <c r="I34" i="6"/>
  <c r="H34" i="6"/>
  <c r="G34" i="6"/>
  <c r="B34" i="6"/>
  <c r="N33" i="6"/>
  <c r="K33" i="6"/>
  <c r="J33" i="6"/>
  <c r="H33" i="6"/>
  <c r="I33" i="6" s="1"/>
  <c r="G33" i="6"/>
  <c r="M33" i="6" s="1"/>
  <c r="B33" i="6"/>
  <c r="N32" i="6"/>
  <c r="I32" i="6"/>
  <c r="H32" i="6"/>
  <c r="G32" i="6"/>
  <c r="M32" i="6" s="1"/>
  <c r="B32" i="6"/>
  <c r="N31" i="6"/>
  <c r="I31" i="6"/>
  <c r="H31" i="6"/>
  <c r="G31" i="6"/>
  <c r="M31" i="6" s="1"/>
  <c r="B31" i="6"/>
  <c r="N30" i="6"/>
  <c r="M30" i="6"/>
  <c r="H30" i="6"/>
  <c r="J30" i="6" s="1"/>
  <c r="G30" i="6"/>
  <c r="B30" i="6"/>
  <c r="N29" i="6"/>
  <c r="K29" i="6"/>
  <c r="J29" i="6"/>
  <c r="I29" i="6"/>
  <c r="H29" i="6"/>
  <c r="G29" i="6"/>
  <c r="M29" i="6" s="1"/>
  <c r="B29" i="6"/>
  <c r="N28" i="6"/>
  <c r="J28" i="6"/>
  <c r="H28" i="6"/>
  <c r="G28" i="6"/>
  <c r="M28" i="6" s="1"/>
  <c r="B28" i="6"/>
  <c r="N27" i="6"/>
  <c r="M27" i="6"/>
  <c r="H27" i="6"/>
  <c r="G27" i="6"/>
  <c r="B27" i="6"/>
  <c r="N26" i="6"/>
  <c r="K26" i="6"/>
  <c r="J26" i="6"/>
  <c r="I26" i="6"/>
  <c r="L26" i="6" s="1"/>
  <c r="H26" i="6"/>
  <c r="G26" i="6"/>
  <c r="M26" i="6" s="1"/>
  <c r="B26" i="6"/>
  <c r="N25" i="6"/>
  <c r="H25" i="6"/>
  <c r="G25" i="6"/>
  <c r="M25" i="6" s="1"/>
  <c r="B25" i="6"/>
  <c r="N24" i="6"/>
  <c r="H24" i="6"/>
  <c r="G24" i="6"/>
  <c r="M24" i="6" s="1"/>
  <c r="B24" i="6"/>
  <c r="N23" i="6"/>
  <c r="M23" i="6"/>
  <c r="J23" i="6"/>
  <c r="H23" i="6"/>
  <c r="G23" i="6"/>
  <c r="B23" i="6"/>
  <c r="N22" i="6"/>
  <c r="M22" i="6"/>
  <c r="J22" i="6"/>
  <c r="H22" i="6"/>
  <c r="G22" i="6"/>
  <c r="B22" i="6"/>
  <c r="N21" i="6"/>
  <c r="L21" i="6"/>
  <c r="K21" i="6"/>
  <c r="J21" i="6"/>
  <c r="I21" i="6"/>
  <c r="H21" i="6"/>
  <c r="G21" i="6"/>
  <c r="B21" i="6"/>
  <c r="N20" i="6"/>
  <c r="K20" i="6"/>
  <c r="H20" i="6"/>
  <c r="G20" i="6"/>
  <c r="M20" i="6" s="1"/>
  <c r="B20" i="6"/>
  <c r="N19" i="6"/>
  <c r="M19" i="6"/>
  <c r="H19" i="6"/>
  <c r="G19" i="6"/>
  <c r="B19" i="6"/>
  <c r="N18" i="6"/>
  <c r="M18" i="6"/>
  <c r="K18" i="6"/>
  <c r="J18" i="6"/>
  <c r="I18" i="6"/>
  <c r="L18" i="6" s="1"/>
  <c r="H18" i="6"/>
  <c r="G18" i="6"/>
  <c r="B18" i="6"/>
  <c r="N17" i="6"/>
  <c r="H17" i="6"/>
  <c r="G17" i="6"/>
  <c r="M17" i="6" s="1"/>
  <c r="B17" i="6"/>
  <c r="N16" i="6"/>
  <c r="K16" i="6"/>
  <c r="I16" i="6"/>
  <c r="H16" i="6"/>
  <c r="J16" i="6" s="1"/>
  <c r="G16" i="6"/>
  <c r="B16" i="6"/>
  <c r="N15" i="6"/>
  <c r="J15" i="6"/>
  <c r="I15" i="6"/>
  <c r="L15" i="6" s="1"/>
  <c r="H15" i="6"/>
  <c r="K15" i="6" s="1"/>
  <c r="G15" i="6"/>
  <c r="M15" i="6" s="1"/>
  <c r="B15" i="6"/>
  <c r="N14" i="6"/>
  <c r="M14" i="6"/>
  <c r="K14" i="6"/>
  <c r="J14" i="6"/>
  <c r="I14" i="6"/>
  <c r="L14" i="6" s="1"/>
  <c r="H14" i="6"/>
  <c r="G14" i="6"/>
  <c r="B14" i="6"/>
  <c r="N13" i="6"/>
  <c r="K13" i="6"/>
  <c r="J13" i="6"/>
  <c r="I13" i="6"/>
  <c r="L13" i="6" s="1"/>
  <c r="H13" i="6"/>
  <c r="G13" i="6"/>
  <c r="M13" i="6" s="1"/>
  <c r="B13" i="6"/>
  <c r="N12" i="6"/>
  <c r="K12" i="6"/>
  <c r="J12" i="6"/>
  <c r="L12" i="6" s="1"/>
  <c r="H12" i="6"/>
  <c r="I12" i="6" s="1"/>
  <c r="G12" i="6"/>
  <c r="B12" i="6"/>
  <c r="N11" i="6"/>
  <c r="M11" i="6"/>
  <c r="K11" i="6"/>
  <c r="I11" i="6"/>
  <c r="L11" i="6" s="1"/>
  <c r="H11" i="6"/>
  <c r="J11" i="6" s="1"/>
  <c r="G11" i="6"/>
  <c r="B11" i="6"/>
  <c r="N10" i="6"/>
  <c r="K10" i="6"/>
  <c r="J10" i="6"/>
  <c r="L10" i="6" s="1"/>
  <c r="I10" i="6"/>
  <c r="H10" i="6"/>
  <c r="G10" i="6"/>
  <c r="M10" i="6" s="1"/>
  <c r="B10" i="6"/>
  <c r="N9" i="6"/>
  <c r="K9" i="6"/>
  <c r="J9" i="6"/>
  <c r="H9" i="6"/>
  <c r="I9" i="6" s="1"/>
  <c r="G9" i="6"/>
  <c r="B9" i="6"/>
  <c r="N8" i="6"/>
  <c r="K8" i="6"/>
  <c r="H8" i="6"/>
  <c r="G8" i="6"/>
  <c r="M8" i="6" s="1"/>
  <c r="B8" i="6"/>
  <c r="N7" i="6"/>
  <c r="M7" i="6"/>
  <c r="H7" i="6"/>
  <c r="G7" i="6"/>
  <c r="B7" i="6"/>
  <c r="N6" i="6"/>
  <c r="M6" i="6"/>
  <c r="K6" i="6"/>
  <c r="H6" i="6"/>
  <c r="I6" i="6" s="1"/>
  <c r="G6" i="6"/>
  <c r="B6" i="6"/>
  <c r="N5" i="6"/>
  <c r="K5" i="6"/>
  <c r="J5" i="6"/>
  <c r="I5" i="6"/>
  <c r="H5" i="6"/>
  <c r="G5" i="6"/>
  <c r="M5" i="6" s="1"/>
  <c r="B5" i="6"/>
  <c r="E204" i="5" a="1"/>
  <c r="E204" i="5" s="1"/>
  <c r="D204" i="5" a="1"/>
  <c r="D204" i="5" s="1"/>
  <c r="E203" i="5" a="1"/>
  <c r="E203" i="5" s="1"/>
  <c r="D203" i="5" a="1"/>
  <c r="D203" i="5" s="1"/>
  <c r="J202" i="5"/>
  <c r="E202" i="5" a="1"/>
  <c r="E202" i="5" s="1"/>
  <c r="D202" i="5" a="1"/>
  <c r="D202" i="5" s="1"/>
  <c r="J201" i="5"/>
  <c r="E201" i="5" a="1"/>
  <c r="E201" i="5" s="1"/>
  <c r="D201" i="5" a="1"/>
  <c r="D201" i="5" s="1"/>
  <c r="J200" i="5"/>
  <c r="E200" i="5" a="1"/>
  <c r="E200" i="5" s="1"/>
  <c r="D200" i="5" a="1"/>
  <c r="D200" i="5" s="1"/>
  <c r="E199" i="5" a="1"/>
  <c r="E199" i="5" s="1"/>
  <c r="A199" i="5"/>
  <c r="J198" i="5"/>
  <c r="E198" i="5" a="1"/>
  <c r="E198" i="5" s="1"/>
  <c r="B198" i="5"/>
  <c r="A198" i="5"/>
  <c r="D198" i="5" s="1" a="1"/>
  <c r="D198" i="5" s="1"/>
  <c r="E197" i="5" a="1"/>
  <c r="E197" i="5" s="1"/>
  <c r="B197" i="5"/>
  <c r="A197" i="5"/>
  <c r="J196" i="5"/>
  <c r="D196" i="5" a="1"/>
  <c r="D196" i="5" s="1"/>
  <c r="B196" i="5"/>
  <c r="A196" i="5"/>
  <c r="E196" i="5" s="1" a="1"/>
  <c r="E196" i="5" s="1"/>
  <c r="E195" i="5" a="1"/>
  <c r="E195" i="5" s="1"/>
  <c r="B195" i="5"/>
  <c r="A195" i="5"/>
  <c r="J194" i="5"/>
  <c r="E194" i="5" a="1"/>
  <c r="E194" i="5" s="1"/>
  <c r="D194" i="5" a="1"/>
  <c r="D194" i="5" s="1"/>
  <c r="B194" i="5"/>
  <c r="A194" i="5"/>
  <c r="E193" i="5" a="1"/>
  <c r="E193" i="5" s="1"/>
  <c r="B193" i="5"/>
  <c r="A193" i="5"/>
  <c r="E192" i="5" a="1"/>
  <c r="E192" i="5" s="1"/>
  <c r="D192" i="5" a="1"/>
  <c r="D192" i="5" s="1"/>
  <c r="B192" i="5"/>
  <c r="A192" i="5"/>
  <c r="J192" i="5" s="1"/>
  <c r="E191" i="5" a="1"/>
  <c r="E191" i="5" s="1"/>
  <c r="A191" i="5"/>
  <c r="J190" i="5"/>
  <c r="E190" i="5" a="1"/>
  <c r="E190" i="5" s="1"/>
  <c r="B190" i="5"/>
  <c r="A190" i="5"/>
  <c r="D190" i="5" s="1" a="1"/>
  <c r="D190" i="5" s="1"/>
  <c r="E189" i="5" a="1"/>
  <c r="E189" i="5" s="1"/>
  <c r="B189" i="5"/>
  <c r="A189" i="5"/>
  <c r="J188" i="5"/>
  <c r="D188" i="5" a="1"/>
  <c r="D188" i="5" s="1"/>
  <c r="B188" i="5"/>
  <c r="A188" i="5"/>
  <c r="E188" i="5" s="1" a="1"/>
  <c r="E188" i="5" s="1"/>
  <c r="E187" i="5" a="1"/>
  <c r="E187" i="5" s="1"/>
  <c r="B187" i="5"/>
  <c r="A187" i="5"/>
  <c r="J186" i="5"/>
  <c r="E186" i="5" a="1"/>
  <c r="E186" i="5" s="1"/>
  <c r="D186" i="5" a="1"/>
  <c r="D186" i="5" s="1"/>
  <c r="B186" i="5"/>
  <c r="A186" i="5"/>
  <c r="E185" i="5" a="1"/>
  <c r="E185" i="5" s="1"/>
  <c r="A185" i="5"/>
  <c r="E184" i="5" a="1"/>
  <c r="E184" i="5" s="1"/>
  <c r="A184" i="5"/>
  <c r="D184" i="5" s="1" a="1"/>
  <c r="D184" i="5" s="1"/>
  <c r="E183" i="5" a="1"/>
  <c r="E183" i="5" s="1"/>
  <c r="B183" i="5"/>
  <c r="A183" i="5"/>
  <c r="A182" i="5"/>
  <c r="B181" i="5"/>
  <c r="A181" i="5"/>
  <c r="D180" i="5" a="1"/>
  <c r="D180" i="5" s="1"/>
  <c r="B180" i="5"/>
  <c r="A180" i="5"/>
  <c r="B179" i="5"/>
  <c r="A179" i="5"/>
  <c r="E178" i="5" a="1"/>
  <c r="E178" i="5" s="1"/>
  <c r="D178" i="5" a="1"/>
  <c r="D178" i="5" s="1"/>
  <c r="B178" i="5"/>
  <c r="A178" i="5"/>
  <c r="J178" i="5" s="1"/>
  <c r="E177" i="5" a="1"/>
  <c r="E177" i="5" s="1"/>
  <c r="A177" i="5"/>
  <c r="E176" i="5" a="1"/>
  <c r="E176" i="5" s="1"/>
  <c r="A176" i="5"/>
  <c r="D176" i="5" s="1" a="1"/>
  <c r="D176" i="5" s="1"/>
  <c r="E175" i="5" a="1"/>
  <c r="E175" i="5" s="1"/>
  <c r="B175" i="5"/>
  <c r="A175" i="5"/>
  <c r="A174" i="5"/>
  <c r="A173" i="5"/>
  <c r="A172" i="5"/>
  <c r="B171" i="5"/>
  <c r="A171" i="5"/>
  <c r="E170" i="5" a="1"/>
  <c r="E170" i="5" s="1"/>
  <c r="D170" i="5" a="1"/>
  <c r="D170" i="5" s="1"/>
  <c r="B170" i="5"/>
  <c r="A170" i="5"/>
  <c r="J170" i="5" s="1"/>
  <c r="E169" i="5" a="1"/>
  <c r="E169" i="5" s="1"/>
  <c r="A169" i="5"/>
  <c r="E168" i="5" a="1"/>
  <c r="E168" i="5" s="1"/>
  <c r="A168" i="5"/>
  <c r="D168" i="5" s="1" a="1"/>
  <c r="D168" i="5" s="1"/>
  <c r="E167" i="5" a="1"/>
  <c r="E167" i="5" s="1"/>
  <c r="B167" i="5"/>
  <c r="A167" i="5"/>
  <c r="A166" i="5"/>
  <c r="A165" i="5"/>
  <c r="J164" i="5"/>
  <c r="E164" i="5" a="1"/>
  <c r="E164" i="5" s="1"/>
  <c r="D164" i="5" a="1"/>
  <c r="D164" i="5" s="1"/>
  <c r="J163" i="5"/>
  <c r="E163" i="5" a="1"/>
  <c r="E163" i="5" s="1"/>
  <c r="D163" i="5" a="1"/>
  <c r="D163" i="5" s="1"/>
  <c r="J162" i="5"/>
  <c r="E162" i="5" a="1"/>
  <c r="E162" i="5" s="1"/>
  <c r="D162" i="5" a="1"/>
  <c r="D162" i="5" s="1"/>
  <c r="J161" i="5"/>
  <c r="E161" i="5" a="1"/>
  <c r="E161" i="5" s="1"/>
  <c r="D161" i="5" a="1"/>
  <c r="D161" i="5" s="1"/>
  <c r="J160" i="5"/>
  <c r="E160" i="5" a="1"/>
  <c r="E160" i="5" s="1"/>
  <c r="D160" i="5" a="1"/>
  <c r="D160" i="5" s="1"/>
  <c r="J159" i="5"/>
  <c r="E159" i="5" a="1"/>
  <c r="E159" i="5" s="1"/>
  <c r="D159" i="5" a="1"/>
  <c r="D159" i="5" s="1"/>
  <c r="J158" i="5"/>
  <c r="E158" i="5" a="1"/>
  <c r="E158" i="5" s="1"/>
  <c r="D158" i="5" a="1"/>
  <c r="D158" i="5" s="1"/>
  <c r="J157" i="5"/>
  <c r="E157" i="5" a="1"/>
  <c r="E157" i="5" s="1"/>
  <c r="D157" i="5" a="1"/>
  <c r="D157" i="5" s="1"/>
  <c r="J156" i="5"/>
  <c r="E156" i="5" a="1"/>
  <c r="E156" i="5" s="1"/>
  <c r="D156" i="5" a="1"/>
  <c r="D156" i="5" s="1"/>
  <c r="J155" i="5"/>
  <c r="E155" i="5" a="1"/>
  <c r="E155" i="5" s="1"/>
  <c r="D155" i="5" a="1"/>
  <c r="D155" i="5" s="1"/>
  <c r="J154" i="5"/>
  <c r="E154" i="5" a="1"/>
  <c r="E154" i="5" s="1"/>
  <c r="D154" i="5" a="1"/>
  <c r="D154" i="5" s="1"/>
  <c r="J153" i="5"/>
  <c r="E153" i="5" a="1"/>
  <c r="E153" i="5" s="1"/>
  <c r="D153" i="5" a="1"/>
  <c r="D153" i="5" s="1"/>
  <c r="J152" i="5"/>
  <c r="E152" i="5" a="1"/>
  <c r="E152" i="5" s="1"/>
  <c r="D152" i="5" a="1"/>
  <c r="D152" i="5" s="1"/>
  <c r="J151" i="5"/>
  <c r="E151" i="5" a="1"/>
  <c r="E151" i="5" s="1"/>
  <c r="D151" i="5" a="1"/>
  <c r="D151" i="5" s="1"/>
  <c r="J150" i="5"/>
  <c r="E150" i="5" a="1"/>
  <c r="E150" i="5" s="1"/>
  <c r="D150" i="5" a="1"/>
  <c r="D150" i="5" s="1"/>
  <c r="J149" i="5"/>
  <c r="E149" i="5" a="1"/>
  <c r="E149" i="5" s="1"/>
  <c r="D149" i="5" a="1"/>
  <c r="D149" i="5" s="1"/>
  <c r="J148" i="5"/>
  <c r="E148" i="5" a="1"/>
  <c r="E148" i="5" s="1"/>
  <c r="D148" i="5" a="1"/>
  <c r="D148" i="5" s="1"/>
  <c r="J147" i="5"/>
  <c r="E147" i="5" a="1"/>
  <c r="E147" i="5" s="1"/>
  <c r="D147" i="5" a="1"/>
  <c r="D147" i="5" s="1"/>
  <c r="J146" i="5"/>
  <c r="E146" i="5" a="1"/>
  <c r="E146" i="5" s="1"/>
  <c r="D146" i="5" a="1"/>
  <c r="D146" i="5" s="1"/>
  <c r="J145" i="5"/>
  <c r="E145" i="5" a="1"/>
  <c r="E145" i="5" s="1"/>
  <c r="D145" i="5" a="1"/>
  <c r="D145" i="5" s="1"/>
  <c r="J144" i="5"/>
  <c r="E144" i="5" a="1"/>
  <c r="E144" i="5" s="1"/>
  <c r="D144" i="5" a="1"/>
  <c r="D144" i="5" s="1"/>
  <c r="J143" i="5"/>
  <c r="E143" i="5" a="1"/>
  <c r="E143" i="5" s="1"/>
  <c r="D143" i="5" a="1"/>
  <c r="D143" i="5" s="1"/>
  <c r="J142" i="5"/>
  <c r="E142" i="5" a="1"/>
  <c r="E142" i="5" s="1"/>
  <c r="D142" i="5" a="1"/>
  <c r="D142" i="5" s="1"/>
  <c r="J141" i="5"/>
  <c r="E141" i="5" a="1"/>
  <c r="E141" i="5" s="1"/>
  <c r="D141" i="5" a="1"/>
  <c r="D141" i="5" s="1"/>
  <c r="J140" i="5"/>
  <c r="E140" i="5" a="1"/>
  <c r="E140" i="5" s="1"/>
  <c r="D140" i="5" a="1"/>
  <c r="D140" i="5" s="1"/>
  <c r="J139" i="5"/>
  <c r="E139" i="5" a="1"/>
  <c r="E139" i="5" s="1"/>
  <c r="D139" i="5" a="1"/>
  <c r="D139" i="5" s="1"/>
  <c r="J138" i="5"/>
  <c r="E138" i="5" a="1"/>
  <c r="E138" i="5" s="1"/>
  <c r="D138" i="5" a="1"/>
  <c r="D138" i="5" s="1"/>
  <c r="J137" i="5"/>
  <c r="E137" i="5" a="1"/>
  <c r="E137" i="5" s="1"/>
  <c r="D137" i="5" a="1"/>
  <c r="D137" i="5" s="1"/>
  <c r="J136" i="5"/>
  <c r="E136" i="5" a="1"/>
  <c r="E136" i="5" s="1"/>
  <c r="D136" i="5" a="1"/>
  <c r="D136" i="5" s="1"/>
  <c r="J135" i="5"/>
  <c r="E135" i="5" a="1"/>
  <c r="E135" i="5" s="1"/>
  <c r="D135" i="5" a="1"/>
  <c r="D135" i="5" s="1"/>
  <c r="J134" i="5"/>
  <c r="E134" i="5" a="1"/>
  <c r="E134" i="5" s="1"/>
  <c r="D134" i="5" a="1"/>
  <c r="D134" i="5" s="1"/>
  <c r="J133" i="5"/>
  <c r="E133" i="5" a="1"/>
  <c r="E133" i="5" s="1"/>
  <c r="D133" i="5" a="1"/>
  <c r="D133" i="5" s="1"/>
  <c r="J132" i="5"/>
  <c r="E132" i="5" a="1"/>
  <c r="E132" i="5" s="1"/>
  <c r="D132" i="5" a="1"/>
  <c r="D132" i="5" s="1"/>
  <c r="J131" i="5"/>
  <c r="E131" i="5" a="1"/>
  <c r="E131" i="5" s="1"/>
  <c r="D131" i="5" a="1"/>
  <c r="D131" i="5" s="1"/>
  <c r="J130" i="5"/>
  <c r="E130" i="5" a="1"/>
  <c r="E130" i="5" s="1"/>
  <c r="D130" i="5" a="1"/>
  <c r="D130" i="5" s="1"/>
  <c r="J129" i="5"/>
  <c r="E129" i="5" a="1"/>
  <c r="E129" i="5" s="1"/>
  <c r="D129" i="5" a="1"/>
  <c r="D129" i="5" s="1"/>
  <c r="J128" i="5"/>
  <c r="E128" i="5" a="1"/>
  <c r="E128" i="5" s="1"/>
  <c r="D128" i="5" a="1"/>
  <c r="D128" i="5" s="1"/>
  <c r="J127" i="5"/>
  <c r="E127" i="5" a="1"/>
  <c r="E127" i="5" s="1"/>
  <c r="D127" i="5" a="1"/>
  <c r="D127" i="5" s="1"/>
  <c r="J126" i="5"/>
  <c r="E126" i="5" a="1"/>
  <c r="E126" i="5" s="1"/>
  <c r="D126" i="5" a="1"/>
  <c r="D126" i="5" s="1"/>
  <c r="J125" i="5"/>
  <c r="E125" i="5" a="1"/>
  <c r="E125" i="5" s="1"/>
  <c r="D125" i="5" a="1"/>
  <c r="D125" i="5" s="1"/>
  <c r="J124" i="5"/>
  <c r="E124" i="5" a="1"/>
  <c r="E124" i="5" s="1"/>
  <c r="D124" i="5" a="1"/>
  <c r="D124" i="5" s="1"/>
  <c r="J123" i="5"/>
  <c r="E123" i="5" a="1"/>
  <c r="E123" i="5" s="1"/>
  <c r="D123" i="5" a="1"/>
  <c r="D123" i="5" s="1"/>
  <c r="J122" i="5"/>
  <c r="E122" i="5" a="1"/>
  <c r="E122" i="5" s="1"/>
  <c r="D122" i="5" a="1"/>
  <c r="D122" i="5" s="1"/>
  <c r="J121" i="5"/>
  <c r="E121" i="5" a="1"/>
  <c r="E121" i="5" s="1"/>
  <c r="D121" i="5" a="1"/>
  <c r="D121" i="5" s="1"/>
  <c r="J120" i="5"/>
  <c r="E120" i="5" a="1"/>
  <c r="E120" i="5" s="1"/>
  <c r="D120" i="5" a="1"/>
  <c r="D120" i="5" s="1"/>
  <c r="J119" i="5"/>
  <c r="E119" i="5" a="1"/>
  <c r="E119" i="5" s="1"/>
  <c r="D119" i="5" a="1"/>
  <c r="D119" i="5" s="1"/>
  <c r="J118" i="5"/>
  <c r="E118" i="5" a="1"/>
  <c r="E118" i="5" s="1"/>
  <c r="D118" i="5" a="1"/>
  <c r="D118" i="5" s="1"/>
  <c r="J117" i="5"/>
  <c r="E117" i="5" a="1"/>
  <c r="E117" i="5" s="1"/>
  <c r="D117" i="5" a="1"/>
  <c r="D117" i="5" s="1"/>
  <c r="J116" i="5"/>
  <c r="E116" i="5" a="1"/>
  <c r="E116" i="5" s="1"/>
  <c r="D116" i="5" a="1"/>
  <c r="D116" i="5" s="1"/>
  <c r="J115" i="5"/>
  <c r="E115" i="5" a="1"/>
  <c r="E115" i="5" s="1"/>
  <c r="D115" i="5" a="1"/>
  <c r="D115" i="5" s="1"/>
  <c r="J114" i="5"/>
  <c r="E114" i="5" a="1"/>
  <c r="E114" i="5" s="1"/>
  <c r="D114" i="5" a="1"/>
  <c r="D114" i="5" s="1"/>
  <c r="J113" i="5"/>
  <c r="E113" i="5" a="1"/>
  <c r="E113" i="5" s="1"/>
  <c r="D113" i="5" a="1"/>
  <c r="D113" i="5" s="1"/>
  <c r="J112" i="5"/>
  <c r="E112" i="5" a="1"/>
  <c r="E112" i="5" s="1"/>
  <c r="D112" i="5" a="1"/>
  <c r="D112" i="5" s="1"/>
  <c r="J111" i="5"/>
  <c r="E111" i="5" a="1"/>
  <c r="E111" i="5" s="1"/>
  <c r="D111" i="5" a="1"/>
  <c r="D111" i="5" s="1"/>
  <c r="J110" i="5"/>
  <c r="E110" i="5" a="1"/>
  <c r="E110" i="5" s="1"/>
  <c r="D110" i="5" a="1"/>
  <c r="D110" i="5" s="1"/>
  <c r="J109" i="5"/>
  <c r="E109" i="5" a="1"/>
  <c r="E109" i="5" s="1"/>
  <c r="D109" i="5" a="1"/>
  <c r="D109" i="5" s="1"/>
  <c r="J108" i="5"/>
  <c r="E108" i="5" a="1"/>
  <c r="E108" i="5" s="1"/>
  <c r="D108" i="5" a="1"/>
  <c r="D108" i="5" s="1"/>
  <c r="J107" i="5"/>
  <c r="E107" i="5" a="1"/>
  <c r="E107" i="5" s="1"/>
  <c r="D107" i="5" a="1"/>
  <c r="D107" i="5" s="1"/>
  <c r="J106" i="5"/>
  <c r="E106" i="5" a="1"/>
  <c r="E106" i="5" s="1"/>
  <c r="D106" i="5" a="1"/>
  <c r="D106" i="5" s="1"/>
  <c r="J105" i="5"/>
  <c r="E105" i="5" a="1"/>
  <c r="E105" i="5" s="1"/>
  <c r="D105" i="5" a="1"/>
  <c r="D105" i="5" s="1"/>
  <c r="J104" i="5"/>
  <c r="E104" i="5" a="1"/>
  <c r="E104" i="5" s="1"/>
  <c r="D104" i="5" a="1"/>
  <c r="D104" i="5" s="1"/>
  <c r="J103" i="5"/>
  <c r="E103" i="5" a="1"/>
  <c r="E103" i="5" s="1"/>
  <c r="D103" i="5" a="1"/>
  <c r="D103" i="5" s="1"/>
  <c r="J102" i="5"/>
  <c r="E102" i="5" a="1"/>
  <c r="E102" i="5" s="1"/>
  <c r="D102" i="5" a="1"/>
  <c r="D102" i="5" s="1"/>
  <c r="J101" i="5"/>
  <c r="E101" i="5" a="1"/>
  <c r="E101" i="5" s="1"/>
  <c r="D101" i="5" a="1"/>
  <c r="D101" i="5" s="1"/>
  <c r="J100" i="5"/>
  <c r="E100" i="5" a="1"/>
  <c r="E100" i="5" s="1"/>
  <c r="D100" i="5" a="1"/>
  <c r="D100" i="5" s="1"/>
  <c r="J99" i="5"/>
  <c r="E99" i="5" a="1"/>
  <c r="E99" i="5" s="1"/>
  <c r="D99" i="5" a="1"/>
  <c r="D99" i="5" s="1"/>
  <c r="J98" i="5"/>
  <c r="E98" i="5" a="1"/>
  <c r="E98" i="5" s="1"/>
  <c r="D98" i="5" a="1"/>
  <c r="D98" i="5" s="1"/>
  <c r="J97" i="5"/>
  <c r="E97" i="5" a="1"/>
  <c r="E97" i="5" s="1"/>
  <c r="D97" i="5" a="1"/>
  <c r="D97" i="5" s="1"/>
  <c r="J96" i="5"/>
  <c r="E96" i="5" a="1"/>
  <c r="E96" i="5" s="1"/>
  <c r="D96" i="5" a="1"/>
  <c r="D96" i="5" s="1"/>
  <c r="J95" i="5"/>
  <c r="E95" i="5" a="1"/>
  <c r="E95" i="5" s="1"/>
  <c r="D95" i="5" a="1"/>
  <c r="D95" i="5" s="1"/>
  <c r="J94" i="5"/>
  <c r="E94" i="5" a="1"/>
  <c r="E94" i="5" s="1"/>
  <c r="D94" i="5" a="1"/>
  <c r="D94" i="5" s="1"/>
  <c r="J93" i="5"/>
  <c r="E93" i="5" a="1"/>
  <c r="E93" i="5" s="1"/>
  <c r="D93" i="5" a="1"/>
  <c r="D93" i="5" s="1"/>
  <c r="J92" i="5"/>
  <c r="E92" i="5" a="1"/>
  <c r="E92" i="5" s="1"/>
  <c r="D92" i="5" a="1"/>
  <c r="D92" i="5" s="1"/>
  <c r="J91" i="5"/>
  <c r="E91" i="5" a="1"/>
  <c r="E91" i="5" s="1"/>
  <c r="D91" i="5" a="1"/>
  <c r="D91" i="5" s="1"/>
  <c r="J90" i="5"/>
  <c r="E90" i="5" a="1"/>
  <c r="E90" i="5" s="1"/>
  <c r="D90" i="5" a="1"/>
  <c r="D90" i="5" s="1"/>
  <c r="J89" i="5"/>
  <c r="E89" i="5" a="1"/>
  <c r="E89" i="5" s="1"/>
  <c r="D89" i="5" a="1"/>
  <c r="D89" i="5" s="1"/>
  <c r="J88" i="5"/>
  <c r="E88" i="5" a="1"/>
  <c r="E88" i="5" s="1"/>
  <c r="D88" i="5" a="1"/>
  <c r="D88" i="5" s="1"/>
  <c r="J87" i="5"/>
  <c r="E87" i="5" a="1"/>
  <c r="E87" i="5" s="1"/>
  <c r="D87" i="5" a="1"/>
  <c r="D87" i="5" s="1"/>
  <c r="J86" i="5"/>
  <c r="E86" i="5" a="1"/>
  <c r="E86" i="5" s="1"/>
  <c r="D86" i="5" a="1"/>
  <c r="D86" i="5" s="1"/>
  <c r="J85" i="5"/>
  <c r="E85" i="5" a="1"/>
  <c r="E85" i="5" s="1"/>
  <c r="D85" i="5" a="1"/>
  <c r="D85" i="5" s="1"/>
  <c r="J84" i="5"/>
  <c r="E84" i="5" a="1"/>
  <c r="E84" i="5" s="1"/>
  <c r="D84" i="5" a="1"/>
  <c r="D84" i="5" s="1"/>
  <c r="J83" i="5"/>
  <c r="E83" i="5" a="1"/>
  <c r="E83" i="5" s="1"/>
  <c r="D83" i="5" a="1"/>
  <c r="D83" i="5" s="1"/>
  <c r="J82" i="5"/>
  <c r="E82" i="5" a="1"/>
  <c r="E82" i="5" s="1"/>
  <c r="D82" i="5" a="1"/>
  <c r="D82" i="5" s="1"/>
  <c r="J81" i="5"/>
  <c r="E81" i="5" a="1"/>
  <c r="E81" i="5" s="1"/>
  <c r="D81" i="5" a="1"/>
  <c r="D81" i="5" s="1"/>
  <c r="J80" i="5"/>
  <c r="E80" i="5" a="1"/>
  <c r="E80" i="5" s="1"/>
  <c r="D80" i="5" a="1"/>
  <c r="D80" i="5" s="1"/>
  <c r="J79" i="5"/>
  <c r="E79" i="5" a="1"/>
  <c r="E79" i="5" s="1"/>
  <c r="D79" i="5" a="1"/>
  <c r="D79" i="5" s="1"/>
  <c r="J78" i="5"/>
  <c r="E78" i="5" a="1"/>
  <c r="E78" i="5" s="1"/>
  <c r="D78" i="5" a="1"/>
  <c r="D78" i="5" s="1"/>
  <c r="J77" i="5"/>
  <c r="E77" i="5" a="1"/>
  <c r="E77" i="5" s="1"/>
  <c r="D77" i="5" a="1"/>
  <c r="D77" i="5" s="1"/>
  <c r="J76" i="5"/>
  <c r="E76" i="5" a="1"/>
  <c r="E76" i="5" s="1"/>
  <c r="D76" i="5" a="1"/>
  <c r="D76" i="5" s="1"/>
  <c r="J75" i="5"/>
  <c r="E75" i="5" a="1"/>
  <c r="E75" i="5" s="1"/>
  <c r="D75" i="5" a="1"/>
  <c r="D75" i="5" s="1"/>
  <c r="J74" i="5"/>
  <c r="E74" i="5" a="1"/>
  <c r="E74" i="5" s="1"/>
  <c r="D74" i="5" a="1"/>
  <c r="D74" i="5" s="1"/>
  <c r="J73" i="5"/>
  <c r="E73" i="5" a="1"/>
  <c r="E73" i="5" s="1"/>
  <c r="D73" i="5" a="1"/>
  <c r="D73" i="5" s="1"/>
  <c r="J72" i="5"/>
  <c r="E72" i="5" a="1"/>
  <c r="E72" i="5" s="1"/>
  <c r="D72" i="5" a="1"/>
  <c r="D72" i="5" s="1"/>
  <c r="J71" i="5"/>
  <c r="E71" i="5" a="1"/>
  <c r="E71" i="5" s="1"/>
  <c r="D71" i="5" a="1"/>
  <c r="D71" i="5" s="1"/>
  <c r="J70" i="5"/>
  <c r="E70" i="5" a="1"/>
  <c r="E70" i="5" s="1"/>
  <c r="D70" i="5" a="1"/>
  <c r="D70" i="5" s="1"/>
  <c r="J69" i="5"/>
  <c r="E69" i="5" a="1"/>
  <c r="E69" i="5" s="1"/>
  <c r="D69" i="5" a="1"/>
  <c r="D69" i="5" s="1"/>
  <c r="J68" i="5"/>
  <c r="E68" i="5" a="1"/>
  <c r="E68" i="5" s="1"/>
  <c r="D68" i="5" a="1"/>
  <c r="D68" i="5" s="1"/>
  <c r="J67" i="5"/>
  <c r="E67" i="5" a="1"/>
  <c r="E67" i="5" s="1"/>
  <c r="D67" i="5" a="1"/>
  <c r="D67" i="5" s="1"/>
  <c r="J66" i="5"/>
  <c r="E66" i="5" a="1"/>
  <c r="E66" i="5" s="1"/>
  <c r="D66" i="5" a="1"/>
  <c r="D66" i="5" s="1"/>
  <c r="J65" i="5"/>
  <c r="E65" i="5" a="1"/>
  <c r="E65" i="5" s="1"/>
  <c r="D65" i="5" a="1"/>
  <c r="D65" i="5" s="1"/>
  <c r="J64" i="5"/>
  <c r="E64" i="5" a="1"/>
  <c r="E64" i="5" s="1"/>
  <c r="D64" i="5" a="1"/>
  <c r="D64" i="5" s="1"/>
  <c r="J63" i="5"/>
  <c r="E63" i="5" a="1"/>
  <c r="E63" i="5" s="1"/>
  <c r="D63" i="5" a="1"/>
  <c r="D63" i="5" s="1"/>
  <c r="J62" i="5"/>
  <c r="E62" i="5" a="1"/>
  <c r="E62" i="5" s="1"/>
  <c r="D62" i="5" a="1"/>
  <c r="D62" i="5" s="1"/>
  <c r="J61" i="5"/>
  <c r="E61" i="5" a="1"/>
  <c r="E61" i="5" s="1"/>
  <c r="D61" i="5" a="1"/>
  <c r="D61" i="5" s="1"/>
  <c r="J60" i="5"/>
  <c r="E60" i="5" a="1"/>
  <c r="E60" i="5" s="1"/>
  <c r="D60" i="5" a="1"/>
  <c r="D60" i="5" s="1"/>
  <c r="J59" i="5"/>
  <c r="E59" i="5" a="1"/>
  <c r="E59" i="5" s="1"/>
  <c r="D59" i="5" a="1"/>
  <c r="D59" i="5" s="1"/>
  <c r="J58" i="5"/>
  <c r="E58" i="5" a="1"/>
  <c r="E58" i="5" s="1"/>
  <c r="D58" i="5" a="1"/>
  <c r="D58" i="5" s="1"/>
  <c r="J57" i="5"/>
  <c r="E57" i="5" a="1"/>
  <c r="E57" i="5" s="1"/>
  <c r="D57" i="5" a="1"/>
  <c r="D57" i="5" s="1"/>
  <c r="J56" i="5"/>
  <c r="E56" i="5" a="1"/>
  <c r="E56" i="5" s="1"/>
  <c r="D56" i="5" a="1"/>
  <c r="D56" i="5" s="1"/>
  <c r="J55" i="5"/>
  <c r="E55" i="5" a="1"/>
  <c r="E55" i="5" s="1"/>
  <c r="D55" i="5" a="1"/>
  <c r="D55" i="5" s="1"/>
  <c r="J54" i="5"/>
  <c r="E54" i="5" a="1"/>
  <c r="E54" i="5" s="1"/>
  <c r="D54" i="5" a="1"/>
  <c r="D54" i="5" s="1"/>
  <c r="J53" i="5"/>
  <c r="E53" i="5" a="1"/>
  <c r="E53" i="5" s="1"/>
  <c r="D53" i="5" a="1"/>
  <c r="D53" i="5" s="1"/>
  <c r="J52" i="5"/>
  <c r="E52" i="5" a="1"/>
  <c r="E52" i="5" s="1"/>
  <c r="D52" i="5" a="1"/>
  <c r="D52" i="5" s="1"/>
  <c r="J51" i="5"/>
  <c r="E51" i="5" a="1"/>
  <c r="E51" i="5" s="1"/>
  <c r="D51" i="5" a="1"/>
  <c r="D51" i="5" s="1"/>
  <c r="J50" i="5"/>
  <c r="E50" i="5" a="1"/>
  <c r="E50" i="5" s="1"/>
  <c r="D50" i="5" a="1"/>
  <c r="D50" i="5" s="1"/>
  <c r="J49" i="5"/>
  <c r="E49" i="5" a="1"/>
  <c r="E49" i="5" s="1"/>
  <c r="D49" i="5" a="1"/>
  <c r="D49" i="5" s="1"/>
  <c r="J48" i="5"/>
  <c r="E48" i="5" a="1"/>
  <c r="E48" i="5" s="1"/>
  <c r="D48" i="5" a="1"/>
  <c r="D48" i="5" s="1"/>
  <c r="J47" i="5"/>
  <c r="E47" i="5" a="1"/>
  <c r="E47" i="5" s="1"/>
  <c r="D47" i="5" a="1"/>
  <c r="D47" i="5" s="1"/>
  <c r="J46" i="5"/>
  <c r="E46" i="5" a="1"/>
  <c r="E46" i="5" s="1"/>
  <c r="D46" i="5" a="1"/>
  <c r="D46" i="5" s="1"/>
  <c r="J45" i="5"/>
  <c r="E45" i="5" a="1"/>
  <c r="E45" i="5" s="1"/>
  <c r="D45" i="5" a="1"/>
  <c r="D45" i="5" s="1"/>
  <c r="J44" i="5"/>
  <c r="E44" i="5" a="1"/>
  <c r="E44" i="5" s="1"/>
  <c r="D44" i="5" a="1"/>
  <c r="D44" i="5" s="1"/>
  <c r="J43" i="5"/>
  <c r="E43" i="5" a="1"/>
  <c r="E43" i="5" s="1"/>
  <c r="D43" i="5" a="1"/>
  <c r="D43" i="5" s="1"/>
  <c r="J42" i="5"/>
  <c r="E42" i="5" a="1"/>
  <c r="E42" i="5" s="1"/>
  <c r="D42" i="5" a="1"/>
  <c r="D42" i="5" s="1"/>
  <c r="J41" i="5"/>
  <c r="E41" i="5" a="1"/>
  <c r="E41" i="5" s="1"/>
  <c r="D41" i="5" a="1"/>
  <c r="D41" i="5" s="1"/>
  <c r="J40" i="5"/>
  <c r="E40" i="5" a="1"/>
  <c r="E40" i="5" s="1"/>
  <c r="D40" i="5" a="1"/>
  <c r="D40" i="5" s="1"/>
  <c r="J39" i="5"/>
  <c r="E39" i="5" a="1"/>
  <c r="E39" i="5" s="1"/>
  <c r="D39" i="5" a="1"/>
  <c r="D39" i="5" s="1"/>
  <c r="J38" i="5"/>
  <c r="E38" i="5" a="1"/>
  <c r="E38" i="5" s="1"/>
  <c r="D38" i="5" a="1"/>
  <c r="D38" i="5" s="1"/>
  <c r="J37" i="5"/>
  <c r="E37" i="5" a="1"/>
  <c r="E37" i="5" s="1"/>
  <c r="D37" i="5" a="1"/>
  <c r="D37" i="5" s="1"/>
  <c r="J36" i="5"/>
  <c r="E36" i="5" a="1"/>
  <c r="E36" i="5" s="1"/>
  <c r="D36" i="5" a="1"/>
  <c r="D36" i="5" s="1"/>
  <c r="J35" i="5"/>
  <c r="E35" i="5" a="1"/>
  <c r="E35" i="5" s="1"/>
  <c r="D35" i="5" a="1"/>
  <c r="D35" i="5" s="1"/>
  <c r="J34" i="5"/>
  <c r="E34" i="5" a="1"/>
  <c r="E34" i="5" s="1"/>
  <c r="D34" i="5" a="1"/>
  <c r="D34" i="5" s="1"/>
  <c r="J33" i="5"/>
  <c r="E33" i="5" a="1"/>
  <c r="E33" i="5" s="1"/>
  <c r="D33" i="5" a="1"/>
  <c r="D33" i="5" s="1"/>
  <c r="J32" i="5"/>
  <c r="E32" i="5" a="1"/>
  <c r="E32" i="5" s="1"/>
  <c r="D32" i="5" a="1"/>
  <c r="D32" i="5" s="1"/>
  <c r="J31" i="5"/>
  <c r="E31" i="5" a="1"/>
  <c r="E31" i="5" s="1"/>
  <c r="D31" i="5" a="1"/>
  <c r="D31" i="5" s="1"/>
  <c r="J30" i="5"/>
  <c r="E30" i="5" a="1"/>
  <c r="E30" i="5" s="1"/>
  <c r="D30" i="5" a="1"/>
  <c r="D30" i="5" s="1"/>
  <c r="J29" i="5"/>
  <c r="E29" i="5" a="1"/>
  <c r="E29" i="5" s="1"/>
  <c r="D29" i="5" a="1"/>
  <c r="D29" i="5" s="1"/>
  <c r="J28" i="5"/>
  <c r="E28" i="5" a="1"/>
  <c r="E28" i="5" s="1"/>
  <c r="D28" i="5" a="1"/>
  <c r="D28" i="5" s="1"/>
  <c r="J27" i="5"/>
  <c r="E27" i="5" a="1"/>
  <c r="E27" i="5" s="1"/>
  <c r="D27" i="5" a="1"/>
  <c r="D27" i="5" s="1"/>
  <c r="J26" i="5"/>
  <c r="E26" i="5" a="1"/>
  <c r="E26" i="5" s="1"/>
  <c r="D26" i="5" a="1"/>
  <c r="D26" i="5" s="1"/>
  <c r="J25" i="5"/>
  <c r="E25" i="5" a="1"/>
  <c r="E25" i="5" s="1"/>
  <c r="D25" i="5" a="1"/>
  <c r="D25" i="5" s="1"/>
  <c r="J24" i="5"/>
  <c r="E24" i="5" a="1"/>
  <c r="E24" i="5" s="1"/>
  <c r="D24" i="5" a="1"/>
  <c r="D24" i="5" s="1"/>
  <c r="J23" i="5"/>
  <c r="E23" i="5" a="1"/>
  <c r="E23" i="5" s="1"/>
  <c r="D23" i="5" a="1"/>
  <c r="D23" i="5" s="1"/>
  <c r="J22" i="5"/>
  <c r="E22" i="5" a="1"/>
  <c r="E22" i="5" s="1"/>
  <c r="D22" i="5" a="1"/>
  <c r="D22" i="5" s="1"/>
  <c r="J21" i="5"/>
  <c r="E21" i="5" a="1"/>
  <c r="E21" i="5" s="1"/>
  <c r="D21" i="5" a="1"/>
  <c r="D21" i="5" s="1"/>
  <c r="J20" i="5"/>
  <c r="E20" i="5" a="1"/>
  <c r="E20" i="5" s="1"/>
  <c r="D20" i="5" a="1"/>
  <c r="D20" i="5" s="1"/>
  <c r="J19" i="5"/>
  <c r="E19" i="5" a="1"/>
  <c r="E19" i="5" s="1"/>
  <c r="D19" i="5" a="1"/>
  <c r="D19" i="5" s="1"/>
  <c r="J18" i="5"/>
  <c r="E18" i="5" a="1"/>
  <c r="E18" i="5" s="1"/>
  <c r="D18" i="5" a="1"/>
  <c r="D18" i="5" s="1"/>
  <c r="J17" i="5"/>
  <c r="E17" i="5" a="1"/>
  <c r="E17" i="5" s="1"/>
  <c r="D17" i="5" a="1"/>
  <c r="D17" i="5" s="1"/>
  <c r="J16" i="5"/>
  <c r="E16" i="5" a="1"/>
  <c r="E16" i="5" s="1"/>
  <c r="D16" i="5" a="1"/>
  <c r="D16" i="5" s="1"/>
  <c r="J15" i="5"/>
  <c r="E15" i="5" a="1"/>
  <c r="E15" i="5" s="1"/>
  <c r="D15" i="5" a="1"/>
  <c r="D15" i="5" s="1"/>
  <c r="J14" i="5"/>
  <c r="E14" i="5" a="1"/>
  <c r="E14" i="5" s="1"/>
  <c r="D14" i="5" a="1"/>
  <c r="D14" i="5" s="1"/>
  <c r="J13" i="5"/>
  <c r="E13" i="5" a="1"/>
  <c r="E13" i="5" s="1"/>
  <c r="D13" i="5" a="1"/>
  <c r="D13" i="5" s="1"/>
  <c r="J12" i="5"/>
  <c r="E12" i="5" a="1"/>
  <c r="E12" i="5" s="1"/>
  <c r="D12" i="5" a="1"/>
  <c r="D12" i="5" s="1"/>
  <c r="J11" i="5"/>
  <c r="E11" i="5" a="1"/>
  <c r="E11" i="5" s="1"/>
  <c r="D11" i="5" a="1"/>
  <c r="D11" i="5" s="1"/>
  <c r="J10" i="5"/>
  <c r="E10" i="5" a="1"/>
  <c r="E10" i="5" s="1"/>
  <c r="D10" i="5" a="1"/>
  <c r="D10" i="5" s="1"/>
  <c r="J9" i="5"/>
  <c r="E9" i="5" a="1"/>
  <c r="E9" i="5" s="1"/>
  <c r="D9" i="5" a="1"/>
  <c r="D9" i="5" s="1"/>
  <c r="J8" i="5"/>
  <c r="E8" i="5" a="1"/>
  <c r="E8" i="5" s="1"/>
  <c r="D8" i="5" a="1"/>
  <c r="D8" i="5" s="1"/>
  <c r="J7" i="5"/>
  <c r="E7" i="5" a="1"/>
  <c r="E7" i="5" s="1"/>
  <c r="D7" i="5" a="1"/>
  <c r="D7" i="5" s="1"/>
  <c r="J6" i="5"/>
  <c r="E6" i="5" a="1"/>
  <c r="E6" i="5" s="1"/>
  <c r="D6" i="5" a="1"/>
  <c r="D6" i="5" s="1"/>
  <c r="J5" i="5"/>
  <c r="E5" i="5" a="1"/>
  <c r="E5" i="5" s="1"/>
  <c r="D5" i="5" a="1"/>
  <c r="D5" i="5" s="1"/>
  <c r="J4" i="5"/>
  <c r="E4" i="5" a="1"/>
  <c r="E4" i="5" s="1"/>
  <c r="D4" i="5" a="1"/>
  <c r="D4" i="5" s="1"/>
  <c r="J919" i="4"/>
  <c r="E919" i="4" a="1"/>
  <c r="E919" i="4" s="1"/>
  <c r="H919" i="4" s="1"/>
  <c r="D919" i="4" a="1"/>
  <c r="D919" i="4" s="1"/>
  <c r="B919" i="4"/>
  <c r="J918" i="4"/>
  <c r="E918" i="4" a="1"/>
  <c r="E918" i="4" s="1"/>
  <c r="H918" i="4" s="1"/>
  <c r="D918" i="4" a="1"/>
  <c r="D918" i="4" s="1"/>
  <c r="B918" i="4"/>
  <c r="J917" i="4"/>
  <c r="E917" i="4" a="1"/>
  <c r="E917" i="4" s="1"/>
  <c r="D917" i="4" a="1"/>
  <c r="D917" i="4" s="1"/>
  <c r="B917" i="4"/>
  <c r="J916" i="4"/>
  <c r="E916" i="4" a="1"/>
  <c r="E916" i="4" s="1"/>
  <c r="I916" i="4" s="1"/>
  <c r="D916" i="4" a="1"/>
  <c r="D916" i="4" s="1"/>
  <c r="B916" i="4"/>
  <c r="J915" i="4"/>
  <c r="E915" i="4" a="1"/>
  <c r="E915" i="4" s="1"/>
  <c r="D915" i="4" a="1"/>
  <c r="D915" i="4" s="1"/>
  <c r="B915" i="4"/>
  <c r="J914" i="4"/>
  <c r="E914" i="4" a="1"/>
  <c r="E914" i="4" s="1"/>
  <c r="D914" i="4" a="1"/>
  <c r="D914" i="4" s="1"/>
  <c r="B914" i="4"/>
  <c r="J913" i="4"/>
  <c r="E913" i="4" a="1"/>
  <c r="E913" i="4" s="1"/>
  <c r="H913" i="4" s="1"/>
  <c r="D913" i="4" a="1"/>
  <c r="D913" i="4" s="1"/>
  <c r="B913" i="4"/>
  <c r="J912" i="4"/>
  <c r="E912" i="4" a="1"/>
  <c r="E912" i="4" s="1"/>
  <c r="H912" i="4" s="1"/>
  <c r="D912" i="4" a="1"/>
  <c r="D912" i="4" s="1"/>
  <c r="B912" i="4"/>
  <c r="J911" i="4"/>
  <c r="E911" i="4" a="1"/>
  <c r="E911" i="4" s="1"/>
  <c r="I911" i="4" s="1"/>
  <c r="D911" i="4" a="1"/>
  <c r="D911" i="4" s="1"/>
  <c r="B911" i="4"/>
  <c r="J910" i="4"/>
  <c r="E910" i="4" a="1"/>
  <c r="E910" i="4" s="1"/>
  <c r="I910" i="4" s="1"/>
  <c r="D910" i="4" a="1"/>
  <c r="D910" i="4" s="1"/>
  <c r="B910" i="4"/>
  <c r="J909" i="4"/>
  <c r="E909" i="4" a="1"/>
  <c r="E909" i="4" s="1"/>
  <c r="G909" i="4" s="1" a="1"/>
  <c r="G909" i="4" s="1"/>
  <c r="D909" i="4" a="1"/>
  <c r="D909" i="4" s="1"/>
  <c r="B909" i="4"/>
  <c r="J908" i="4"/>
  <c r="E908" i="4" a="1"/>
  <c r="E908" i="4" s="1"/>
  <c r="D908" i="4" a="1"/>
  <c r="D908" i="4" s="1"/>
  <c r="B908" i="4"/>
  <c r="J907" i="4"/>
  <c r="E907" i="4" a="1"/>
  <c r="E907" i="4" s="1"/>
  <c r="H907" i="4" s="1"/>
  <c r="D907" i="4" a="1"/>
  <c r="D907" i="4" s="1"/>
  <c r="B907" i="4"/>
  <c r="J906" i="4"/>
  <c r="E906" i="4" a="1"/>
  <c r="E906" i="4" s="1"/>
  <c r="D906" i="4" a="1"/>
  <c r="D906" i="4" s="1"/>
  <c r="B906" i="4"/>
  <c r="J905" i="4"/>
  <c r="E905" i="4" a="1"/>
  <c r="E905" i="4" s="1"/>
  <c r="D905" i="4" a="1"/>
  <c r="D905" i="4" s="1"/>
  <c r="B905" i="4"/>
  <c r="J904" i="4"/>
  <c r="E904" i="4" a="1"/>
  <c r="E904" i="4" s="1"/>
  <c r="D904" i="4" a="1"/>
  <c r="D904" i="4" s="1"/>
  <c r="B904" i="4"/>
  <c r="J903" i="4"/>
  <c r="E903" i="4" a="1"/>
  <c r="E903" i="4" s="1"/>
  <c r="I903" i="4" s="1"/>
  <c r="D903" i="4" a="1"/>
  <c r="D903" i="4" s="1"/>
  <c r="B903" i="4"/>
  <c r="J902" i="4"/>
  <c r="E902" i="4" a="1"/>
  <c r="E902" i="4" s="1"/>
  <c r="H902" i="4" s="1"/>
  <c r="D902" i="4" a="1"/>
  <c r="D902" i="4" s="1"/>
  <c r="B902" i="4"/>
  <c r="J901" i="4"/>
  <c r="E901" i="4" a="1"/>
  <c r="E901" i="4" s="1"/>
  <c r="H901" i="4" s="1"/>
  <c r="D901" i="4" a="1"/>
  <c r="D901" i="4" s="1"/>
  <c r="B901" i="4"/>
  <c r="J900" i="4"/>
  <c r="E900" i="4" a="1"/>
  <c r="E900" i="4" s="1"/>
  <c r="D900" i="4" a="1"/>
  <c r="D900" i="4" s="1"/>
  <c r="B900" i="4"/>
  <c r="J899" i="4"/>
  <c r="E899" i="4" a="1"/>
  <c r="E899" i="4" s="1"/>
  <c r="D899" i="4" a="1"/>
  <c r="D899" i="4" s="1"/>
  <c r="B899" i="4"/>
  <c r="J898" i="4"/>
  <c r="E898" i="4" a="1"/>
  <c r="E898" i="4" s="1"/>
  <c r="I898" i="4" s="1"/>
  <c r="D898" i="4" a="1"/>
  <c r="D898" i="4" s="1"/>
  <c r="B898" i="4"/>
  <c r="J897" i="4"/>
  <c r="E897" i="4" a="1"/>
  <c r="E897" i="4" s="1"/>
  <c r="D897" i="4" a="1"/>
  <c r="D897" i="4" s="1"/>
  <c r="B897" i="4"/>
  <c r="J896" i="4"/>
  <c r="E896" i="4" a="1"/>
  <c r="E896" i="4" s="1"/>
  <c r="D896" i="4" a="1"/>
  <c r="D896" i="4" s="1"/>
  <c r="B896" i="4"/>
  <c r="J895" i="4"/>
  <c r="E895" i="4" a="1"/>
  <c r="E895" i="4" s="1"/>
  <c r="G895" i="4" s="1" a="1"/>
  <c r="G895" i="4" s="1"/>
  <c r="D895" i="4" a="1"/>
  <c r="D895" i="4" s="1"/>
  <c r="B895" i="4"/>
  <c r="J894" i="4"/>
  <c r="E894" i="4" a="1"/>
  <c r="E894" i="4" s="1"/>
  <c r="D894" i="4" a="1"/>
  <c r="D894" i="4" s="1"/>
  <c r="B894" i="4"/>
  <c r="J893" i="4"/>
  <c r="E893" i="4" a="1"/>
  <c r="E893" i="4" s="1"/>
  <c r="D893" i="4" a="1"/>
  <c r="D893" i="4" s="1"/>
  <c r="B893" i="4"/>
  <c r="J892" i="4"/>
  <c r="E892" i="4" a="1"/>
  <c r="E892" i="4" s="1"/>
  <c r="H892" i="4" s="1"/>
  <c r="D892" i="4" a="1"/>
  <c r="D892" i="4" s="1"/>
  <c r="B892" i="4"/>
  <c r="J891" i="4"/>
  <c r="E891" i="4" a="1"/>
  <c r="E891" i="4" s="1"/>
  <c r="D891" i="4" a="1"/>
  <c r="D891" i="4" s="1"/>
  <c r="B891" i="4"/>
  <c r="J890" i="4"/>
  <c r="E890" i="4" a="1"/>
  <c r="E890" i="4" s="1"/>
  <c r="G890" i="4" s="1" a="1"/>
  <c r="G890" i="4" s="1"/>
  <c r="D890" i="4" a="1"/>
  <c r="D890" i="4" s="1"/>
  <c r="B890" i="4"/>
  <c r="J889" i="4"/>
  <c r="E889" i="4" a="1"/>
  <c r="E889" i="4" s="1"/>
  <c r="I889" i="4" s="1"/>
  <c r="D889" i="4" a="1"/>
  <c r="D889" i="4" s="1"/>
  <c r="B889" i="4"/>
  <c r="J888" i="4"/>
  <c r="E888" i="4" a="1"/>
  <c r="E888" i="4" s="1"/>
  <c r="D888" i="4" a="1"/>
  <c r="D888" i="4" s="1"/>
  <c r="B888" i="4"/>
  <c r="J887" i="4"/>
  <c r="E887" i="4" a="1"/>
  <c r="E887" i="4" s="1"/>
  <c r="I887" i="4" s="1"/>
  <c r="D887" i="4" a="1"/>
  <c r="D887" i="4" s="1"/>
  <c r="B887" i="4"/>
  <c r="J886" i="4"/>
  <c r="E886" i="4" a="1"/>
  <c r="E886" i="4" s="1"/>
  <c r="D886" i="4" a="1"/>
  <c r="D886" i="4" s="1"/>
  <c r="B886" i="4"/>
  <c r="J885" i="4"/>
  <c r="E885" i="4" a="1"/>
  <c r="E885" i="4" s="1"/>
  <c r="D885" i="4" a="1"/>
  <c r="D885" i="4" s="1"/>
  <c r="B885" i="4"/>
  <c r="J884" i="4"/>
  <c r="E884" i="4" a="1"/>
  <c r="E884" i="4" s="1"/>
  <c r="I884" i="4" s="1"/>
  <c r="D884" i="4" a="1"/>
  <c r="D884" i="4" s="1"/>
  <c r="B884" i="4"/>
  <c r="J883" i="4"/>
  <c r="E883" i="4" a="1"/>
  <c r="E883" i="4" s="1"/>
  <c r="D883" i="4" a="1"/>
  <c r="D883" i="4" s="1"/>
  <c r="B883" i="4"/>
  <c r="J882" i="4"/>
  <c r="E882" i="4" a="1"/>
  <c r="E882" i="4" s="1"/>
  <c r="I882" i="4" s="1"/>
  <c r="D882" i="4" a="1"/>
  <c r="D882" i="4" s="1"/>
  <c r="B882" i="4"/>
  <c r="J881" i="4"/>
  <c r="E881" i="4" a="1"/>
  <c r="E881" i="4" s="1"/>
  <c r="D881" i="4" a="1"/>
  <c r="D881" i="4" s="1"/>
  <c r="B881" i="4"/>
  <c r="J880" i="4"/>
  <c r="E880" i="4" a="1"/>
  <c r="E880" i="4" s="1"/>
  <c r="H880" i="4" s="1"/>
  <c r="D880" i="4" a="1"/>
  <c r="D880" i="4" s="1"/>
  <c r="B880" i="4"/>
  <c r="J879" i="4"/>
  <c r="E879" i="4" a="1"/>
  <c r="E879" i="4" s="1"/>
  <c r="D879" i="4" a="1"/>
  <c r="D879" i="4" s="1"/>
  <c r="B879" i="4"/>
  <c r="J878" i="4"/>
  <c r="E878" i="4" a="1"/>
  <c r="E878" i="4" s="1"/>
  <c r="D878" i="4" a="1"/>
  <c r="D878" i="4" s="1"/>
  <c r="B878" i="4"/>
  <c r="J877" i="4"/>
  <c r="E877" i="4" a="1"/>
  <c r="E877" i="4" s="1"/>
  <c r="G877" i="4" s="1" a="1"/>
  <c r="G877" i="4" s="1"/>
  <c r="D877" i="4" a="1"/>
  <c r="D877" i="4" s="1"/>
  <c r="B877" i="4"/>
  <c r="J876" i="4"/>
  <c r="E876" i="4" a="1"/>
  <c r="E876" i="4" s="1"/>
  <c r="D876" i="4" a="1"/>
  <c r="D876" i="4" s="1"/>
  <c r="B876" i="4"/>
  <c r="J875" i="4"/>
  <c r="E875" i="4" a="1"/>
  <c r="E875" i="4" s="1"/>
  <c r="G875" i="4" s="1" a="1"/>
  <c r="G875" i="4" s="1"/>
  <c r="D875" i="4" a="1"/>
  <c r="D875" i="4" s="1"/>
  <c r="B875" i="4"/>
  <c r="J874" i="4"/>
  <c r="E874" i="4" a="1"/>
  <c r="E874" i="4" s="1"/>
  <c r="D874" i="4" a="1"/>
  <c r="D874" i="4" s="1"/>
  <c r="B874" i="4"/>
  <c r="J873" i="4"/>
  <c r="E873" i="4" a="1"/>
  <c r="E873" i="4" s="1"/>
  <c r="D873" i="4" a="1"/>
  <c r="D873" i="4" s="1"/>
  <c r="B873" i="4"/>
  <c r="J872" i="4"/>
  <c r="E872" i="4" a="1"/>
  <c r="E872" i="4" s="1"/>
  <c r="D872" i="4" a="1"/>
  <c r="D872" i="4" s="1"/>
  <c r="B872" i="4"/>
  <c r="J871" i="4"/>
  <c r="E871" i="4" a="1"/>
  <c r="E871" i="4" s="1"/>
  <c r="D871" i="4" a="1"/>
  <c r="D871" i="4" s="1"/>
  <c r="B871" i="4"/>
  <c r="J870" i="4"/>
  <c r="E870" i="4" a="1"/>
  <c r="E870" i="4" s="1"/>
  <c r="D870" i="4" a="1"/>
  <c r="D870" i="4" s="1"/>
  <c r="B870" i="4"/>
  <c r="J869" i="4"/>
  <c r="E869" i="4" a="1"/>
  <c r="E869" i="4" s="1"/>
  <c r="D869" i="4" a="1"/>
  <c r="D869" i="4" s="1"/>
  <c r="B869" i="4"/>
  <c r="J868" i="4"/>
  <c r="E868" i="4" a="1"/>
  <c r="E868" i="4" s="1"/>
  <c r="G868" i="4" s="1" a="1"/>
  <c r="G868" i="4" s="1"/>
  <c r="D868" i="4" a="1"/>
  <c r="D868" i="4" s="1"/>
  <c r="B868" i="4"/>
  <c r="J867" i="4"/>
  <c r="E867" i="4" a="1"/>
  <c r="E867" i="4" s="1"/>
  <c r="D867" i="4" a="1"/>
  <c r="D867" i="4" s="1"/>
  <c r="B867" i="4"/>
  <c r="J866" i="4"/>
  <c r="E866" i="4" a="1"/>
  <c r="E866" i="4" s="1"/>
  <c r="D866" i="4" a="1"/>
  <c r="D866" i="4" s="1"/>
  <c r="B866" i="4"/>
  <c r="J865" i="4"/>
  <c r="E865" i="4" a="1"/>
  <c r="E865" i="4" s="1"/>
  <c r="I865" i="4" s="1"/>
  <c r="D865" i="4" a="1"/>
  <c r="D865" i="4" s="1"/>
  <c r="B865" i="4"/>
  <c r="J864" i="4"/>
  <c r="E864" i="4" a="1"/>
  <c r="E864" i="4" s="1"/>
  <c r="H864" i="4" s="1"/>
  <c r="D864" i="4" a="1"/>
  <c r="D864" i="4" s="1"/>
  <c r="B864" i="4"/>
  <c r="J863" i="4"/>
  <c r="E863" i="4" a="1"/>
  <c r="E863" i="4" s="1"/>
  <c r="G863" i="4" s="1" a="1"/>
  <c r="G863" i="4" s="1"/>
  <c r="D863" i="4" a="1"/>
  <c r="D863" i="4" s="1"/>
  <c r="B863" i="4"/>
  <c r="J862" i="4"/>
  <c r="E862" i="4" a="1"/>
  <c r="E862" i="4" s="1"/>
  <c r="D862" i="4" a="1"/>
  <c r="D862" i="4" s="1"/>
  <c r="B862" i="4"/>
  <c r="J861" i="4"/>
  <c r="E861" i="4" a="1"/>
  <c r="E861" i="4" s="1"/>
  <c r="D861" i="4" a="1"/>
  <c r="D861" i="4" s="1"/>
  <c r="B861" i="4"/>
  <c r="J860" i="4"/>
  <c r="E860" i="4" a="1"/>
  <c r="E860" i="4" s="1"/>
  <c r="D860" i="4" a="1"/>
  <c r="D860" i="4" s="1"/>
  <c r="B860" i="4"/>
  <c r="J859" i="4"/>
  <c r="E859" i="4" a="1"/>
  <c r="E859" i="4" s="1"/>
  <c r="D859" i="4" a="1"/>
  <c r="D859" i="4" s="1"/>
  <c r="B859" i="4"/>
  <c r="J858" i="4"/>
  <c r="E858" i="4" a="1"/>
  <c r="E858" i="4" s="1"/>
  <c r="D858" i="4" a="1"/>
  <c r="D858" i="4" s="1"/>
  <c r="B858" i="4"/>
  <c r="J857" i="4"/>
  <c r="E857" i="4" a="1"/>
  <c r="E857" i="4" s="1"/>
  <c r="G857" i="4" s="1" a="1"/>
  <c r="G857" i="4" s="1"/>
  <c r="D857" i="4" a="1"/>
  <c r="D857" i="4" s="1"/>
  <c r="B857" i="4"/>
  <c r="J856" i="4"/>
  <c r="E856" i="4" a="1"/>
  <c r="E856" i="4" s="1"/>
  <c r="D856" i="4" a="1"/>
  <c r="D856" i="4" s="1"/>
  <c r="B856" i="4"/>
  <c r="J855" i="4"/>
  <c r="E855" i="4" a="1"/>
  <c r="E855" i="4" s="1"/>
  <c r="D855" i="4" a="1"/>
  <c r="D855" i="4" s="1"/>
  <c r="B855" i="4"/>
  <c r="J854" i="4"/>
  <c r="E854" i="4" a="1"/>
  <c r="E854" i="4" s="1"/>
  <c r="D854" i="4" a="1"/>
  <c r="D854" i="4" s="1"/>
  <c r="B854" i="4"/>
  <c r="J853" i="4"/>
  <c r="E853" i="4" a="1"/>
  <c r="E853" i="4" s="1"/>
  <c r="I853" i="4" s="1"/>
  <c r="D853" i="4" a="1"/>
  <c r="D853" i="4" s="1"/>
  <c r="B853" i="4"/>
  <c r="J852" i="4"/>
  <c r="E852" i="4" a="1"/>
  <c r="E852" i="4" s="1"/>
  <c r="D852" i="4" a="1"/>
  <c r="D852" i="4" s="1"/>
  <c r="B852" i="4"/>
  <c r="J851" i="4"/>
  <c r="E851" i="4" a="1"/>
  <c r="E851" i="4" s="1"/>
  <c r="D851" i="4" a="1"/>
  <c r="D851" i="4" s="1"/>
  <c r="B851" i="4"/>
  <c r="J850" i="4"/>
  <c r="E850" i="4" a="1"/>
  <c r="E850" i="4" s="1"/>
  <c r="D850" i="4" a="1"/>
  <c r="D850" i="4" s="1"/>
  <c r="B850" i="4"/>
  <c r="J849" i="4"/>
  <c r="E849" i="4" a="1"/>
  <c r="E849" i="4" s="1"/>
  <c r="H849" i="4" s="1"/>
  <c r="D849" i="4" a="1"/>
  <c r="D849" i="4" s="1"/>
  <c r="B849" i="4"/>
  <c r="J848" i="4"/>
  <c r="E848" i="4" a="1"/>
  <c r="E848" i="4" s="1"/>
  <c r="H848" i="4" s="1"/>
  <c r="D848" i="4" a="1"/>
  <c r="D848" i="4" s="1"/>
  <c r="B848" i="4"/>
  <c r="J847" i="4"/>
  <c r="E847" i="4" a="1"/>
  <c r="E847" i="4" s="1"/>
  <c r="D847" i="4" a="1"/>
  <c r="D847" i="4" s="1"/>
  <c r="B847" i="4"/>
  <c r="J846" i="4"/>
  <c r="E846" i="4" a="1"/>
  <c r="E846" i="4" s="1"/>
  <c r="D846" i="4" a="1"/>
  <c r="D846" i="4" s="1"/>
  <c r="B846" i="4"/>
  <c r="J845" i="4"/>
  <c r="E845" i="4" a="1"/>
  <c r="E845" i="4" s="1"/>
  <c r="D845" i="4" a="1"/>
  <c r="D845" i="4" s="1"/>
  <c r="B845" i="4"/>
  <c r="J844" i="4"/>
  <c r="E844" i="4" a="1"/>
  <c r="E844" i="4" s="1"/>
  <c r="D844" i="4" a="1"/>
  <c r="D844" i="4" s="1"/>
  <c r="B844" i="4"/>
  <c r="J843" i="4"/>
  <c r="E843" i="4" a="1"/>
  <c r="E843" i="4" s="1"/>
  <c r="H843" i="4" s="1"/>
  <c r="D843" i="4" a="1"/>
  <c r="D843" i="4" s="1"/>
  <c r="B843" i="4"/>
  <c r="J842" i="4"/>
  <c r="E842" i="4" a="1"/>
  <c r="E842" i="4" s="1"/>
  <c r="D842" i="4" a="1"/>
  <c r="D842" i="4" s="1"/>
  <c r="B842" i="4"/>
  <c r="J841" i="4"/>
  <c r="E841" i="4" a="1"/>
  <c r="E841" i="4" s="1"/>
  <c r="D841" i="4" a="1"/>
  <c r="D841" i="4" s="1"/>
  <c r="B841" i="4"/>
  <c r="J840" i="4"/>
  <c r="E840" i="4" a="1"/>
  <c r="E840" i="4" s="1"/>
  <c r="D840" i="4" a="1"/>
  <c r="D840" i="4" s="1"/>
  <c r="B840" i="4"/>
  <c r="J839" i="4"/>
  <c r="E839" i="4" a="1"/>
  <c r="E839" i="4" s="1"/>
  <c r="I839" i="4" s="1"/>
  <c r="D839" i="4" a="1"/>
  <c r="D839" i="4" s="1"/>
  <c r="B839" i="4"/>
  <c r="J838" i="4"/>
  <c r="E838" i="4" a="1"/>
  <c r="E838" i="4" s="1"/>
  <c r="D838" i="4" a="1"/>
  <c r="D838" i="4" s="1"/>
  <c r="B838" i="4"/>
  <c r="J837" i="4"/>
  <c r="E837" i="4" a="1"/>
  <c r="E837" i="4" s="1"/>
  <c r="D837" i="4" a="1"/>
  <c r="D837" i="4" s="1"/>
  <c r="B837" i="4"/>
  <c r="J836" i="4"/>
  <c r="E836" i="4" a="1"/>
  <c r="E836" i="4" s="1"/>
  <c r="D836" i="4" a="1"/>
  <c r="D836" i="4" s="1"/>
  <c r="B836" i="4"/>
  <c r="J835" i="4"/>
  <c r="E835" i="4" a="1"/>
  <c r="E835" i="4" s="1"/>
  <c r="D835" i="4" a="1"/>
  <c r="D835" i="4" s="1"/>
  <c r="B835" i="4"/>
  <c r="J834" i="4"/>
  <c r="E834" i="4" a="1"/>
  <c r="E834" i="4" s="1"/>
  <c r="I834" i="4" s="1"/>
  <c r="D834" i="4" a="1"/>
  <c r="D834" i="4" s="1"/>
  <c r="B834" i="4"/>
  <c r="J833" i="4"/>
  <c r="E833" i="4" a="1"/>
  <c r="E833" i="4" s="1"/>
  <c r="D833" i="4" a="1"/>
  <c r="D833" i="4" s="1"/>
  <c r="B833" i="4"/>
  <c r="J832" i="4"/>
  <c r="E832" i="4" a="1"/>
  <c r="E832" i="4" s="1"/>
  <c r="G832" i="4" s="1" a="1"/>
  <c r="G832" i="4" s="1"/>
  <c r="D832" i="4" a="1"/>
  <c r="D832" i="4" s="1"/>
  <c r="B832" i="4"/>
  <c r="J831" i="4"/>
  <c r="E831" i="4" a="1"/>
  <c r="E831" i="4" s="1"/>
  <c r="G831" i="4" s="1" a="1"/>
  <c r="G831" i="4" s="1"/>
  <c r="D831" i="4" a="1"/>
  <c r="D831" i="4" s="1"/>
  <c r="B831" i="4"/>
  <c r="J830" i="4"/>
  <c r="E830" i="4" a="1"/>
  <c r="E830" i="4" s="1"/>
  <c r="D830" i="4" a="1"/>
  <c r="D830" i="4" s="1"/>
  <c r="B830" i="4"/>
  <c r="J829" i="4"/>
  <c r="E829" i="4" a="1"/>
  <c r="E829" i="4" s="1"/>
  <c r="I829" i="4" s="1"/>
  <c r="D829" i="4" a="1"/>
  <c r="D829" i="4" s="1"/>
  <c r="B829" i="4"/>
  <c r="J828" i="4"/>
  <c r="E828" i="4" a="1"/>
  <c r="E828" i="4" s="1"/>
  <c r="H828" i="4" s="1"/>
  <c r="D828" i="4" a="1"/>
  <c r="D828" i="4" s="1"/>
  <c r="B828" i="4"/>
  <c r="J827" i="4"/>
  <c r="E827" i="4" a="1"/>
  <c r="E827" i="4" s="1"/>
  <c r="D827" i="4" a="1"/>
  <c r="D827" i="4" s="1"/>
  <c r="B827" i="4"/>
  <c r="J826" i="4"/>
  <c r="E826" i="4" a="1"/>
  <c r="E826" i="4" s="1"/>
  <c r="D826" i="4" a="1"/>
  <c r="D826" i="4" s="1"/>
  <c r="B826" i="4"/>
  <c r="J825" i="4"/>
  <c r="E825" i="4" a="1"/>
  <c r="E825" i="4" s="1"/>
  <c r="D825" i="4" a="1"/>
  <c r="D825" i="4" s="1"/>
  <c r="B825" i="4"/>
  <c r="J824" i="4"/>
  <c r="E824" i="4" a="1"/>
  <c r="E824" i="4" s="1"/>
  <c r="H824" i="4" s="1"/>
  <c r="D824" i="4" a="1"/>
  <c r="D824" i="4" s="1"/>
  <c r="B824" i="4"/>
  <c r="J823" i="4"/>
  <c r="E823" i="4" a="1"/>
  <c r="E823" i="4" s="1"/>
  <c r="H823" i="4" s="1"/>
  <c r="D823" i="4" a="1"/>
  <c r="D823" i="4" s="1"/>
  <c r="B823" i="4"/>
  <c r="J822" i="4"/>
  <c r="E822" i="4" a="1"/>
  <c r="E822" i="4" s="1"/>
  <c r="D822" i="4" a="1"/>
  <c r="D822" i="4" s="1"/>
  <c r="B822" i="4"/>
  <c r="J821" i="4"/>
  <c r="E821" i="4" a="1"/>
  <c r="E821" i="4" s="1"/>
  <c r="D821" i="4" a="1"/>
  <c r="D821" i="4" s="1"/>
  <c r="B821" i="4"/>
  <c r="J820" i="4"/>
  <c r="E820" i="4" a="1"/>
  <c r="E820" i="4" s="1"/>
  <c r="D820" i="4" a="1"/>
  <c r="D820" i="4" s="1"/>
  <c r="B820" i="4"/>
  <c r="J819" i="4"/>
  <c r="E819" i="4" a="1"/>
  <c r="E819" i="4" s="1"/>
  <c r="D819" i="4" a="1"/>
  <c r="D819" i="4" s="1"/>
  <c r="B819" i="4"/>
  <c r="J818" i="4"/>
  <c r="E818" i="4" a="1"/>
  <c r="E818" i="4" s="1"/>
  <c r="H818" i="4" s="1"/>
  <c r="D818" i="4" a="1"/>
  <c r="D818" i="4" s="1"/>
  <c r="B818" i="4"/>
  <c r="J817" i="4"/>
  <c r="E817" i="4" a="1"/>
  <c r="E817" i="4" s="1"/>
  <c r="D817" i="4" a="1"/>
  <c r="D817" i="4" s="1"/>
  <c r="B817" i="4"/>
  <c r="J816" i="4"/>
  <c r="E816" i="4" a="1"/>
  <c r="E816" i="4" s="1"/>
  <c r="D816" i="4" a="1"/>
  <c r="D816" i="4" s="1"/>
  <c r="B816" i="4"/>
  <c r="J815" i="4"/>
  <c r="E815" i="4" a="1"/>
  <c r="E815" i="4" s="1"/>
  <c r="G815" i="4" s="1" a="1"/>
  <c r="G815" i="4" s="1"/>
  <c r="D815" i="4" a="1"/>
  <c r="D815" i="4" s="1"/>
  <c r="B815" i="4"/>
  <c r="J814" i="4"/>
  <c r="E814" i="4" a="1"/>
  <c r="E814" i="4" s="1"/>
  <c r="D814" i="4" a="1"/>
  <c r="D814" i="4" s="1"/>
  <c r="B814" i="4"/>
  <c r="J813" i="4"/>
  <c r="E813" i="4" a="1"/>
  <c r="E813" i="4" s="1"/>
  <c r="G813" i="4" s="1" a="1"/>
  <c r="G813" i="4" s="1"/>
  <c r="D813" i="4" a="1"/>
  <c r="D813" i="4" s="1"/>
  <c r="B813" i="4"/>
  <c r="J812" i="4"/>
  <c r="E812" i="4" a="1"/>
  <c r="E812" i="4" s="1"/>
  <c r="D812" i="4" a="1"/>
  <c r="D812" i="4" s="1"/>
  <c r="B812" i="4"/>
  <c r="J811" i="4"/>
  <c r="E811" i="4" a="1"/>
  <c r="E811" i="4" s="1"/>
  <c r="G811" i="4" s="1" a="1"/>
  <c r="G811" i="4" s="1"/>
  <c r="D811" i="4" a="1"/>
  <c r="D811" i="4" s="1"/>
  <c r="B811" i="4"/>
  <c r="J810" i="4"/>
  <c r="E810" i="4" a="1"/>
  <c r="E810" i="4" s="1"/>
  <c r="D810" i="4" a="1"/>
  <c r="D810" i="4" s="1"/>
  <c r="B810" i="4"/>
  <c r="J809" i="4"/>
  <c r="E809" i="4" a="1"/>
  <c r="E809" i="4" s="1"/>
  <c r="H809" i="4" s="1"/>
  <c r="D809" i="4" a="1"/>
  <c r="D809" i="4" s="1"/>
  <c r="B809" i="4"/>
  <c r="J808" i="4"/>
  <c r="E808" i="4" a="1"/>
  <c r="E808" i="4" s="1"/>
  <c r="G808" i="4" s="1" a="1"/>
  <c r="G808" i="4" s="1"/>
  <c r="D808" i="4" a="1"/>
  <c r="D808" i="4" s="1"/>
  <c r="B808" i="4"/>
  <c r="J807" i="4"/>
  <c r="E807" i="4" a="1"/>
  <c r="E807" i="4" s="1"/>
  <c r="D807" i="4" a="1"/>
  <c r="D807" i="4" s="1"/>
  <c r="B807" i="4"/>
  <c r="J806" i="4"/>
  <c r="E806" i="4" a="1"/>
  <c r="E806" i="4" s="1"/>
  <c r="H806" i="4" s="1"/>
  <c r="D806" i="4" a="1"/>
  <c r="D806" i="4" s="1"/>
  <c r="B806" i="4"/>
  <c r="J805" i="4"/>
  <c r="E805" i="4" a="1"/>
  <c r="E805" i="4" s="1"/>
  <c r="I805" i="4" s="1"/>
  <c r="D805" i="4" a="1"/>
  <c r="D805" i="4" s="1"/>
  <c r="B805" i="4"/>
  <c r="J804" i="4"/>
  <c r="E804" i="4" a="1"/>
  <c r="E804" i="4" s="1"/>
  <c r="D804" i="4" a="1"/>
  <c r="D804" i="4" s="1"/>
  <c r="B804" i="4"/>
  <c r="J803" i="4"/>
  <c r="E803" i="4" a="1"/>
  <c r="E803" i="4" s="1"/>
  <c r="D803" i="4" a="1"/>
  <c r="D803" i="4" s="1"/>
  <c r="B803" i="4"/>
  <c r="J802" i="4"/>
  <c r="E802" i="4" a="1"/>
  <c r="E802" i="4" s="1"/>
  <c r="D802" i="4" a="1"/>
  <c r="D802" i="4" s="1"/>
  <c r="B802" i="4"/>
  <c r="J801" i="4"/>
  <c r="E801" i="4" a="1"/>
  <c r="E801" i="4" s="1"/>
  <c r="D801" i="4" a="1"/>
  <c r="D801" i="4" s="1"/>
  <c r="B801" i="4"/>
  <c r="J800" i="4"/>
  <c r="E800" i="4" a="1"/>
  <c r="E800" i="4" s="1"/>
  <c r="H800" i="4" s="1"/>
  <c r="D800" i="4" a="1"/>
  <c r="D800" i="4" s="1"/>
  <c r="B800" i="4"/>
  <c r="J799" i="4"/>
  <c r="E799" i="4" a="1"/>
  <c r="E799" i="4" s="1"/>
  <c r="G799" i="4" s="1" a="1"/>
  <c r="G799" i="4" s="1"/>
  <c r="D799" i="4" a="1"/>
  <c r="D799" i="4" s="1"/>
  <c r="B799" i="4"/>
  <c r="J798" i="4"/>
  <c r="E798" i="4" a="1"/>
  <c r="E798" i="4" s="1"/>
  <c r="D798" i="4" a="1"/>
  <c r="D798" i="4" s="1"/>
  <c r="B798" i="4"/>
  <c r="J797" i="4"/>
  <c r="E797" i="4" a="1"/>
  <c r="E797" i="4" s="1"/>
  <c r="D797" i="4" a="1"/>
  <c r="D797" i="4" s="1"/>
  <c r="B797" i="4"/>
  <c r="J796" i="4"/>
  <c r="E796" i="4" a="1"/>
  <c r="E796" i="4" s="1"/>
  <c r="D796" i="4" a="1"/>
  <c r="D796" i="4" s="1"/>
  <c r="B796" i="4"/>
  <c r="J795" i="4"/>
  <c r="E795" i="4" a="1"/>
  <c r="E795" i="4" s="1"/>
  <c r="G795" i="4" s="1" a="1"/>
  <c r="G795" i="4" s="1"/>
  <c r="D795" i="4" a="1"/>
  <c r="D795" i="4" s="1"/>
  <c r="B795" i="4"/>
  <c r="J794" i="4"/>
  <c r="E794" i="4" a="1"/>
  <c r="E794" i="4" s="1"/>
  <c r="D794" i="4" a="1"/>
  <c r="D794" i="4" s="1"/>
  <c r="B794" i="4"/>
  <c r="J793" i="4"/>
  <c r="E793" i="4" a="1"/>
  <c r="E793" i="4" s="1"/>
  <c r="G793" i="4" s="1" a="1"/>
  <c r="G793" i="4" s="1"/>
  <c r="D793" i="4" a="1"/>
  <c r="D793" i="4" s="1"/>
  <c r="B793" i="4"/>
  <c r="J792" i="4"/>
  <c r="E792" i="4" a="1"/>
  <c r="E792" i="4" s="1"/>
  <c r="D792" i="4" a="1"/>
  <c r="D792" i="4" s="1"/>
  <c r="B792" i="4"/>
  <c r="J791" i="4"/>
  <c r="E791" i="4" a="1"/>
  <c r="E791" i="4" s="1"/>
  <c r="D791" i="4" a="1"/>
  <c r="D791" i="4" s="1"/>
  <c r="B791" i="4"/>
  <c r="J790" i="4"/>
  <c r="E790" i="4" a="1"/>
  <c r="E790" i="4" s="1"/>
  <c r="D790" i="4" a="1"/>
  <c r="D790" i="4" s="1"/>
  <c r="B790" i="4"/>
  <c r="J789" i="4"/>
  <c r="E789" i="4" a="1"/>
  <c r="E789" i="4" s="1"/>
  <c r="D789" i="4" a="1"/>
  <c r="D789" i="4" s="1"/>
  <c r="B789" i="4"/>
  <c r="J788" i="4"/>
  <c r="E788" i="4" a="1"/>
  <c r="E788" i="4" s="1"/>
  <c r="D788" i="4" a="1"/>
  <c r="D788" i="4" s="1"/>
  <c r="B788" i="4"/>
  <c r="J787" i="4"/>
  <c r="E787" i="4" a="1"/>
  <c r="E787" i="4" s="1"/>
  <c r="D787" i="4" a="1"/>
  <c r="D787" i="4" s="1"/>
  <c r="B787" i="4"/>
  <c r="J786" i="4"/>
  <c r="E786" i="4" a="1"/>
  <c r="E786" i="4" s="1"/>
  <c r="D786" i="4" a="1"/>
  <c r="D786" i="4" s="1"/>
  <c r="B786" i="4"/>
  <c r="J785" i="4"/>
  <c r="E785" i="4" a="1"/>
  <c r="E785" i="4" s="1"/>
  <c r="I785" i="4" s="1"/>
  <c r="D785" i="4" a="1"/>
  <c r="D785" i="4" s="1"/>
  <c r="B785" i="4"/>
  <c r="J784" i="4"/>
  <c r="E784" i="4" a="1"/>
  <c r="E784" i="4" s="1"/>
  <c r="D784" i="4" a="1"/>
  <c r="D784" i="4" s="1"/>
  <c r="B784" i="4"/>
  <c r="J783" i="4"/>
  <c r="E783" i="4" a="1"/>
  <c r="E783" i="4" s="1"/>
  <c r="I783" i="4" s="1"/>
  <c r="D783" i="4" a="1"/>
  <c r="D783" i="4" s="1"/>
  <c r="B783" i="4"/>
  <c r="J782" i="4"/>
  <c r="E782" i="4" a="1"/>
  <c r="E782" i="4" s="1"/>
  <c r="D782" i="4" a="1"/>
  <c r="D782" i="4" s="1"/>
  <c r="B782" i="4"/>
  <c r="J781" i="4"/>
  <c r="E781" i="4" a="1"/>
  <c r="E781" i="4" s="1"/>
  <c r="D781" i="4" a="1"/>
  <c r="D781" i="4" s="1"/>
  <c r="B781" i="4"/>
  <c r="J780" i="4"/>
  <c r="E780" i="4" a="1"/>
  <c r="E780" i="4" s="1"/>
  <c r="D780" i="4" a="1"/>
  <c r="D780" i="4" s="1"/>
  <c r="B780" i="4"/>
  <c r="J779" i="4"/>
  <c r="E779" i="4" a="1"/>
  <c r="E779" i="4" s="1"/>
  <c r="D779" i="4" a="1"/>
  <c r="D779" i="4" s="1"/>
  <c r="B779" i="4"/>
  <c r="J778" i="4"/>
  <c r="E778" i="4" a="1"/>
  <c r="E778" i="4" s="1"/>
  <c r="I778" i="4" s="1"/>
  <c r="D778" i="4" a="1"/>
  <c r="D778" i="4" s="1"/>
  <c r="B778" i="4"/>
  <c r="J777" i="4"/>
  <c r="E777" i="4" a="1"/>
  <c r="E777" i="4" s="1"/>
  <c r="D777" i="4" a="1"/>
  <c r="D777" i="4" s="1"/>
  <c r="B777" i="4"/>
  <c r="J776" i="4"/>
  <c r="E776" i="4" a="1"/>
  <c r="E776" i="4" s="1"/>
  <c r="D776" i="4" a="1"/>
  <c r="D776" i="4" s="1"/>
  <c r="B776" i="4"/>
  <c r="J775" i="4"/>
  <c r="E775" i="4" a="1"/>
  <c r="E775" i="4" s="1"/>
  <c r="D775" i="4" a="1"/>
  <c r="D775" i="4" s="1"/>
  <c r="B775" i="4"/>
  <c r="J774" i="4"/>
  <c r="E774" i="4" a="1"/>
  <c r="E774" i="4" s="1"/>
  <c r="D774" i="4" a="1"/>
  <c r="D774" i="4" s="1"/>
  <c r="B774" i="4"/>
  <c r="J773" i="4"/>
  <c r="E773" i="4" a="1"/>
  <c r="E773" i="4" s="1"/>
  <c r="H773" i="4" s="1"/>
  <c r="D773" i="4" a="1"/>
  <c r="D773" i="4" s="1"/>
  <c r="B773" i="4"/>
  <c r="J772" i="4"/>
  <c r="E772" i="4" a="1"/>
  <c r="E772" i="4" s="1"/>
  <c r="D772" i="4" a="1"/>
  <c r="D772" i="4" s="1"/>
  <c r="B772" i="4"/>
  <c r="J771" i="4"/>
  <c r="E771" i="4" a="1"/>
  <c r="E771" i="4" s="1"/>
  <c r="G771" i="4" s="1" a="1"/>
  <c r="G771" i="4" s="1"/>
  <c r="D771" i="4" a="1"/>
  <c r="D771" i="4" s="1"/>
  <c r="B771" i="4"/>
  <c r="J770" i="4"/>
  <c r="E770" i="4" a="1"/>
  <c r="E770" i="4" s="1"/>
  <c r="D770" i="4" a="1"/>
  <c r="D770" i="4" s="1"/>
  <c r="B770" i="4"/>
  <c r="J769" i="4"/>
  <c r="E769" i="4" a="1"/>
  <c r="E769" i="4" s="1"/>
  <c r="D769" i="4" a="1"/>
  <c r="D769" i="4" s="1"/>
  <c r="B769" i="4"/>
  <c r="J768" i="4"/>
  <c r="E768" i="4" a="1"/>
  <c r="E768" i="4" s="1"/>
  <c r="G768" i="4" s="1" a="1"/>
  <c r="G768" i="4" s="1"/>
  <c r="D768" i="4" a="1"/>
  <c r="D768" i="4" s="1"/>
  <c r="B768" i="4"/>
  <c r="J767" i="4"/>
  <c r="E767" i="4" a="1"/>
  <c r="E767" i="4" s="1"/>
  <c r="D767" i="4" a="1"/>
  <c r="D767" i="4" s="1"/>
  <c r="B767" i="4"/>
  <c r="J766" i="4"/>
  <c r="E766" i="4" a="1"/>
  <c r="E766" i="4" s="1"/>
  <c r="I766" i="4" s="1"/>
  <c r="D766" i="4" a="1"/>
  <c r="D766" i="4" s="1"/>
  <c r="B766" i="4"/>
  <c r="J765" i="4"/>
  <c r="E765" i="4" a="1"/>
  <c r="E765" i="4" s="1"/>
  <c r="D765" i="4" a="1"/>
  <c r="D765" i="4" s="1"/>
  <c r="B765" i="4"/>
  <c r="J764" i="4"/>
  <c r="E764" i="4" a="1"/>
  <c r="E764" i="4" s="1"/>
  <c r="G764" i="4" s="1" a="1"/>
  <c r="G764" i="4" s="1"/>
  <c r="D764" i="4" a="1"/>
  <c r="D764" i="4" s="1"/>
  <c r="B764" i="4"/>
  <c r="J763" i="4"/>
  <c r="E763" i="4" a="1"/>
  <c r="E763" i="4" s="1"/>
  <c r="D763" i="4" a="1"/>
  <c r="D763" i="4" s="1"/>
  <c r="B763" i="4"/>
  <c r="J762" i="4"/>
  <c r="E762" i="4" a="1"/>
  <c r="E762" i="4" s="1"/>
  <c r="I762" i="4" s="1"/>
  <c r="D762" i="4" a="1"/>
  <c r="D762" i="4" s="1"/>
  <c r="B762" i="4"/>
  <c r="J761" i="4"/>
  <c r="E761" i="4" a="1"/>
  <c r="E761" i="4" s="1"/>
  <c r="D761" i="4" a="1"/>
  <c r="D761" i="4" s="1"/>
  <c r="B761" i="4"/>
  <c r="J760" i="4"/>
  <c r="E760" i="4" a="1"/>
  <c r="E760" i="4" s="1"/>
  <c r="D760" i="4" a="1"/>
  <c r="D760" i="4" s="1"/>
  <c r="B760" i="4"/>
  <c r="J759" i="4"/>
  <c r="E759" i="4" a="1"/>
  <c r="E759" i="4" s="1"/>
  <c r="I759" i="4" s="1"/>
  <c r="D759" i="4" a="1"/>
  <c r="D759" i="4" s="1"/>
  <c r="B759" i="4"/>
  <c r="J758" i="4"/>
  <c r="E758" i="4" a="1"/>
  <c r="E758" i="4" s="1"/>
  <c r="D758" i="4" a="1"/>
  <c r="D758" i="4" s="1"/>
  <c r="B758" i="4"/>
  <c r="J757" i="4"/>
  <c r="E757" i="4" a="1"/>
  <c r="E757" i="4" s="1"/>
  <c r="H757" i="4" s="1"/>
  <c r="D757" i="4" a="1"/>
  <c r="D757" i="4" s="1"/>
  <c r="B757" i="4"/>
  <c r="J756" i="4"/>
  <c r="E756" i="4" a="1"/>
  <c r="E756" i="4" s="1"/>
  <c r="D756" i="4" a="1"/>
  <c r="D756" i="4" s="1"/>
  <c r="B756" i="4"/>
  <c r="J755" i="4"/>
  <c r="E755" i="4" a="1"/>
  <c r="E755" i="4" s="1"/>
  <c r="D755" i="4" a="1"/>
  <c r="D755" i="4" s="1"/>
  <c r="B755" i="4"/>
  <c r="J754" i="4"/>
  <c r="E754" i="4" a="1"/>
  <c r="E754" i="4" s="1"/>
  <c r="D754" i="4" a="1"/>
  <c r="D754" i="4" s="1"/>
  <c r="B754" i="4"/>
  <c r="J753" i="4"/>
  <c r="E753" i="4" a="1"/>
  <c r="E753" i="4" s="1"/>
  <c r="D753" i="4" a="1"/>
  <c r="D753" i="4" s="1"/>
  <c r="B753" i="4"/>
  <c r="J752" i="4"/>
  <c r="E752" i="4" a="1"/>
  <c r="E752" i="4" s="1"/>
  <c r="D752" i="4" a="1"/>
  <c r="D752" i="4" s="1"/>
  <c r="B752" i="4"/>
  <c r="J751" i="4"/>
  <c r="E751" i="4" a="1"/>
  <c r="E751" i="4" s="1"/>
  <c r="G751" i="4" s="1" a="1"/>
  <c r="G751" i="4" s="1"/>
  <c r="D751" i="4" a="1"/>
  <c r="D751" i="4" s="1"/>
  <c r="B751" i="4"/>
  <c r="J750" i="4"/>
  <c r="E750" i="4" a="1"/>
  <c r="E750" i="4" s="1"/>
  <c r="D750" i="4" a="1"/>
  <c r="D750" i="4" s="1"/>
  <c r="B750" i="4"/>
  <c r="J749" i="4"/>
  <c r="E749" i="4" a="1"/>
  <c r="E749" i="4" s="1"/>
  <c r="G749" i="4" s="1" a="1"/>
  <c r="G749" i="4" s="1"/>
  <c r="D749" i="4" a="1"/>
  <c r="D749" i="4" s="1"/>
  <c r="B749" i="4"/>
  <c r="J748" i="4"/>
  <c r="E748" i="4" a="1"/>
  <c r="E748" i="4" s="1"/>
  <c r="D748" i="4" a="1"/>
  <c r="D748" i="4" s="1"/>
  <c r="B748" i="4"/>
  <c r="J747" i="4"/>
  <c r="E747" i="4" a="1"/>
  <c r="E747" i="4" s="1"/>
  <c r="G747" i="4" s="1" a="1"/>
  <c r="G747" i="4" s="1"/>
  <c r="D747" i="4" a="1"/>
  <c r="D747" i="4" s="1"/>
  <c r="B747" i="4"/>
  <c r="J746" i="4"/>
  <c r="E746" i="4" a="1"/>
  <c r="E746" i="4" s="1"/>
  <c r="D746" i="4" a="1"/>
  <c r="D746" i="4" s="1"/>
  <c r="B746" i="4"/>
  <c r="J745" i="4"/>
  <c r="E745" i="4" a="1"/>
  <c r="E745" i="4" s="1"/>
  <c r="D745" i="4" a="1"/>
  <c r="D745" i="4" s="1"/>
  <c r="B745" i="4"/>
  <c r="J744" i="4"/>
  <c r="E744" i="4" a="1"/>
  <c r="E744" i="4" s="1"/>
  <c r="H744" i="4" s="1"/>
  <c r="D744" i="4" a="1"/>
  <c r="D744" i="4" s="1"/>
  <c r="B744" i="4"/>
  <c r="J743" i="4"/>
  <c r="E743" i="4" a="1"/>
  <c r="E743" i="4" s="1"/>
  <c r="I743" i="4" s="1"/>
  <c r="D743" i="4" a="1"/>
  <c r="D743" i="4" s="1"/>
  <c r="B743" i="4"/>
  <c r="J742" i="4"/>
  <c r="E742" i="4" a="1"/>
  <c r="E742" i="4" s="1"/>
  <c r="D742" i="4" a="1"/>
  <c r="D742" i="4" s="1"/>
  <c r="B742" i="4"/>
  <c r="J741" i="4"/>
  <c r="E741" i="4" a="1"/>
  <c r="E741" i="4" s="1"/>
  <c r="D741" i="4" a="1"/>
  <c r="D741" i="4" s="1"/>
  <c r="B741" i="4"/>
  <c r="J740" i="4"/>
  <c r="E740" i="4" a="1"/>
  <c r="E740" i="4" s="1"/>
  <c r="I740" i="4" s="1"/>
  <c r="D740" i="4" a="1"/>
  <c r="D740" i="4" s="1"/>
  <c r="B740" i="4"/>
  <c r="J739" i="4"/>
  <c r="E739" i="4" a="1"/>
  <c r="E739" i="4" s="1"/>
  <c r="D739" i="4" a="1"/>
  <c r="D739" i="4" s="1"/>
  <c r="B739" i="4"/>
  <c r="J738" i="4"/>
  <c r="E738" i="4" a="1"/>
  <c r="E738" i="4" s="1"/>
  <c r="D738" i="4" a="1"/>
  <c r="D738" i="4" s="1"/>
  <c r="B738" i="4"/>
  <c r="J737" i="4"/>
  <c r="E737" i="4" a="1"/>
  <c r="E737" i="4" s="1"/>
  <c r="D737" i="4" a="1"/>
  <c r="D737" i="4" s="1"/>
  <c r="B737" i="4"/>
  <c r="J736" i="4"/>
  <c r="E736" i="4" a="1"/>
  <c r="E736" i="4" s="1"/>
  <c r="D736" i="4" a="1"/>
  <c r="D736" i="4" s="1"/>
  <c r="B736" i="4"/>
  <c r="J735" i="4"/>
  <c r="E735" i="4" a="1"/>
  <c r="E735" i="4" s="1"/>
  <c r="G735" i="4" s="1" a="1"/>
  <c r="G735" i="4" s="1"/>
  <c r="D735" i="4" a="1"/>
  <c r="D735" i="4" s="1"/>
  <c r="B735" i="4"/>
  <c r="J734" i="4"/>
  <c r="E734" i="4" a="1"/>
  <c r="E734" i="4" s="1"/>
  <c r="D734" i="4" a="1"/>
  <c r="D734" i="4" s="1"/>
  <c r="B734" i="4"/>
  <c r="J733" i="4"/>
  <c r="E733" i="4" a="1"/>
  <c r="E733" i="4" s="1"/>
  <c r="I733" i="4" s="1"/>
  <c r="D733" i="4" a="1"/>
  <c r="D733" i="4" s="1"/>
  <c r="B733" i="4"/>
  <c r="J732" i="4"/>
  <c r="E732" i="4" a="1"/>
  <c r="E732" i="4" s="1"/>
  <c r="I732" i="4" s="1"/>
  <c r="D732" i="4" a="1"/>
  <c r="D732" i="4" s="1"/>
  <c r="B732" i="4"/>
  <c r="J731" i="4"/>
  <c r="E731" i="4" a="1"/>
  <c r="E731" i="4" s="1"/>
  <c r="D731" i="4" a="1"/>
  <c r="D731" i="4" s="1"/>
  <c r="B731" i="4"/>
  <c r="J730" i="4"/>
  <c r="E730" i="4" a="1"/>
  <c r="E730" i="4" s="1"/>
  <c r="I730" i="4" s="1"/>
  <c r="D730" i="4" a="1"/>
  <c r="D730" i="4" s="1"/>
  <c r="B730" i="4"/>
  <c r="J729" i="4"/>
  <c r="E729" i="4" a="1"/>
  <c r="E729" i="4" s="1"/>
  <c r="H729" i="4" s="1"/>
  <c r="D729" i="4" a="1"/>
  <c r="D729" i="4" s="1"/>
  <c r="B729" i="4"/>
  <c r="J728" i="4"/>
  <c r="E728" i="4" a="1"/>
  <c r="E728" i="4" s="1"/>
  <c r="I728" i="4" s="1"/>
  <c r="D728" i="4" a="1"/>
  <c r="D728" i="4" s="1"/>
  <c r="B728" i="4"/>
  <c r="J727" i="4"/>
  <c r="E727" i="4" a="1"/>
  <c r="E727" i="4" s="1"/>
  <c r="H727" i="4" s="1"/>
  <c r="D727" i="4" a="1"/>
  <c r="D727" i="4" s="1"/>
  <c r="B727" i="4"/>
  <c r="J726" i="4"/>
  <c r="E726" i="4" a="1"/>
  <c r="E726" i="4" s="1"/>
  <c r="I726" i="4" s="1"/>
  <c r="D726" i="4" a="1"/>
  <c r="D726" i="4" s="1"/>
  <c r="B726" i="4"/>
  <c r="J725" i="4"/>
  <c r="E725" i="4" a="1"/>
  <c r="E725" i="4" s="1"/>
  <c r="I725" i="4" s="1"/>
  <c r="D725" i="4" a="1"/>
  <c r="D725" i="4" s="1"/>
  <c r="B725" i="4"/>
  <c r="J724" i="4"/>
  <c r="E724" i="4" a="1"/>
  <c r="E724" i="4" s="1"/>
  <c r="D724" i="4" a="1"/>
  <c r="D724" i="4" s="1"/>
  <c r="B724" i="4"/>
  <c r="J723" i="4"/>
  <c r="E723" i="4" a="1"/>
  <c r="E723" i="4" s="1"/>
  <c r="D723" i="4" a="1"/>
  <c r="D723" i="4" s="1"/>
  <c r="B723" i="4"/>
  <c r="J722" i="4"/>
  <c r="E722" i="4" a="1"/>
  <c r="E722" i="4" s="1"/>
  <c r="D722" i="4" a="1"/>
  <c r="D722" i="4" s="1"/>
  <c r="B722" i="4"/>
  <c r="J721" i="4"/>
  <c r="E721" i="4" a="1"/>
  <c r="E721" i="4" s="1"/>
  <c r="H721" i="4" s="1"/>
  <c r="D721" i="4" a="1"/>
  <c r="D721" i="4" s="1"/>
  <c r="B721" i="4"/>
  <c r="J720" i="4"/>
  <c r="E720" i="4" a="1"/>
  <c r="E720" i="4" s="1"/>
  <c r="H720" i="4" s="1"/>
  <c r="D720" i="4" a="1"/>
  <c r="D720" i="4" s="1"/>
  <c r="B720" i="4"/>
  <c r="J719" i="4"/>
  <c r="E719" i="4" a="1"/>
  <c r="E719" i="4" s="1"/>
  <c r="D719" i="4" a="1"/>
  <c r="D719" i="4" s="1"/>
  <c r="B719" i="4"/>
  <c r="J718" i="4"/>
  <c r="E718" i="4" a="1"/>
  <c r="E718" i="4" s="1"/>
  <c r="D718" i="4" a="1"/>
  <c r="D718" i="4" s="1"/>
  <c r="B718" i="4"/>
  <c r="J717" i="4"/>
  <c r="E717" i="4" a="1"/>
  <c r="E717" i="4" s="1"/>
  <c r="D717" i="4" a="1"/>
  <c r="D717" i="4" s="1"/>
  <c r="B717" i="4"/>
  <c r="J716" i="4"/>
  <c r="E716" i="4" a="1"/>
  <c r="E716" i="4" s="1"/>
  <c r="D716" i="4" a="1"/>
  <c r="D716" i="4" s="1"/>
  <c r="B716" i="4"/>
  <c r="J715" i="4"/>
  <c r="E715" i="4" a="1"/>
  <c r="E715" i="4" s="1"/>
  <c r="D715" i="4" a="1"/>
  <c r="D715" i="4" s="1"/>
  <c r="B715" i="4"/>
  <c r="J714" i="4"/>
  <c r="E714" i="4" a="1"/>
  <c r="E714" i="4" s="1"/>
  <c r="I714" i="4" s="1"/>
  <c r="D714" i="4" a="1"/>
  <c r="D714" i="4" s="1"/>
  <c r="B714" i="4"/>
  <c r="J713" i="4"/>
  <c r="E713" i="4" a="1"/>
  <c r="E713" i="4" s="1"/>
  <c r="D713" i="4" a="1"/>
  <c r="D713" i="4" s="1"/>
  <c r="B713" i="4"/>
  <c r="J712" i="4"/>
  <c r="E712" i="4" a="1"/>
  <c r="E712" i="4" s="1"/>
  <c r="I712" i="4" s="1"/>
  <c r="D712" i="4" a="1"/>
  <c r="D712" i="4" s="1"/>
  <c r="B712" i="4"/>
  <c r="J711" i="4"/>
  <c r="E711" i="4" a="1"/>
  <c r="E711" i="4" s="1"/>
  <c r="D711" i="4" a="1"/>
  <c r="D711" i="4" s="1"/>
  <c r="B711" i="4"/>
  <c r="J710" i="4"/>
  <c r="E710" i="4" a="1"/>
  <c r="E710" i="4" s="1"/>
  <c r="D710" i="4" a="1"/>
  <c r="D710" i="4" s="1"/>
  <c r="B710" i="4"/>
  <c r="J709" i="4"/>
  <c r="E709" i="4" a="1"/>
  <c r="E709" i="4" s="1"/>
  <c r="D709" i="4" a="1"/>
  <c r="D709" i="4" s="1"/>
  <c r="B709" i="4"/>
  <c r="J708" i="4"/>
  <c r="E708" i="4" a="1"/>
  <c r="E708" i="4" s="1"/>
  <c r="D708" i="4" a="1"/>
  <c r="D708" i="4" s="1"/>
  <c r="B708" i="4"/>
  <c r="J707" i="4"/>
  <c r="E707" i="4" a="1"/>
  <c r="E707" i="4" s="1"/>
  <c r="D707" i="4" a="1"/>
  <c r="D707" i="4" s="1"/>
  <c r="B707" i="4"/>
  <c r="J706" i="4"/>
  <c r="E706" i="4" a="1"/>
  <c r="E706" i="4" s="1"/>
  <c r="D706" i="4" a="1"/>
  <c r="D706" i="4" s="1"/>
  <c r="B706" i="4"/>
  <c r="J705" i="4"/>
  <c r="E705" i="4" a="1"/>
  <c r="E705" i="4" s="1"/>
  <c r="D705" i="4" a="1"/>
  <c r="D705" i="4" s="1"/>
  <c r="B705" i="4"/>
  <c r="J704" i="4"/>
  <c r="E704" i="4" a="1"/>
  <c r="E704" i="4" s="1"/>
  <c r="G704" i="4" s="1" a="1"/>
  <c r="G704" i="4" s="1"/>
  <c r="D704" i="4" a="1"/>
  <c r="D704" i="4" s="1"/>
  <c r="B704" i="4"/>
  <c r="J703" i="4"/>
  <c r="E703" i="4" a="1"/>
  <c r="E703" i="4" s="1"/>
  <c r="D703" i="4" a="1"/>
  <c r="D703" i="4" s="1"/>
  <c r="B703" i="4"/>
  <c r="J702" i="4"/>
  <c r="E702" i="4" a="1"/>
  <c r="E702" i="4" s="1"/>
  <c r="I702" i="4" s="1"/>
  <c r="D702" i="4" a="1"/>
  <c r="D702" i="4" s="1"/>
  <c r="B702" i="4"/>
  <c r="J701" i="4"/>
  <c r="E701" i="4" a="1"/>
  <c r="E701" i="4" s="1"/>
  <c r="D701" i="4" a="1"/>
  <c r="D701" i="4" s="1"/>
  <c r="B701" i="4"/>
  <c r="J700" i="4"/>
  <c r="E700" i="4" a="1"/>
  <c r="E700" i="4" s="1"/>
  <c r="D700" i="4" a="1"/>
  <c r="D700" i="4" s="1"/>
  <c r="B700" i="4"/>
  <c r="J699" i="4"/>
  <c r="E699" i="4" a="1"/>
  <c r="E699" i="4" s="1"/>
  <c r="H699" i="4" s="1"/>
  <c r="D699" i="4" a="1"/>
  <c r="D699" i="4" s="1"/>
  <c r="B699" i="4"/>
  <c r="J698" i="4"/>
  <c r="E698" i="4" a="1"/>
  <c r="E698" i="4" s="1"/>
  <c r="D698" i="4" a="1"/>
  <c r="D698" i="4" s="1"/>
  <c r="B698" i="4"/>
  <c r="J697" i="4"/>
  <c r="E697" i="4" a="1"/>
  <c r="E697" i="4" s="1"/>
  <c r="D697" i="4" a="1"/>
  <c r="D697" i="4" s="1"/>
  <c r="B697" i="4"/>
  <c r="J696" i="4"/>
  <c r="E696" i="4" a="1"/>
  <c r="E696" i="4" s="1"/>
  <c r="D696" i="4" a="1"/>
  <c r="D696" i="4" s="1"/>
  <c r="B696" i="4"/>
  <c r="J695" i="4"/>
  <c r="E695" i="4" a="1"/>
  <c r="E695" i="4" s="1"/>
  <c r="H695" i="4" s="1"/>
  <c r="D695" i="4" a="1"/>
  <c r="D695" i="4" s="1"/>
  <c r="B695" i="4"/>
  <c r="J694" i="4"/>
  <c r="E694" i="4" a="1"/>
  <c r="E694" i="4" s="1"/>
  <c r="D694" i="4" a="1"/>
  <c r="D694" i="4" s="1"/>
  <c r="B694" i="4"/>
  <c r="J693" i="4"/>
  <c r="E693" i="4" a="1"/>
  <c r="E693" i="4" s="1"/>
  <c r="H693" i="4" s="1"/>
  <c r="D693" i="4" a="1"/>
  <c r="D693" i="4" s="1"/>
  <c r="B693" i="4"/>
  <c r="J692" i="4"/>
  <c r="E692" i="4" a="1"/>
  <c r="E692" i="4" s="1"/>
  <c r="D692" i="4" a="1"/>
  <c r="D692" i="4" s="1"/>
  <c r="B692" i="4"/>
  <c r="J691" i="4"/>
  <c r="E691" i="4" a="1"/>
  <c r="E691" i="4" s="1"/>
  <c r="G691" i="4" s="1" a="1"/>
  <c r="G691" i="4" s="1"/>
  <c r="D691" i="4" a="1"/>
  <c r="D691" i="4" s="1"/>
  <c r="B691" i="4"/>
  <c r="J690" i="4"/>
  <c r="E690" i="4" a="1"/>
  <c r="E690" i="4" s="1"/>
  <c r="I690" i="4" s="1"/>
  <c r="D690" i="4" a="1"/>
  <c r="D690" i="4" s="1"/>
  <c r="B690" i="4"/>
  <c r="J689" i="4"/>
  <c r="E689" i="4" a="1"/>
  <c r="E689" i="4" s="1"/>
  <c r="D689" i="4" a="1"/>
  <c r="D689" i="4" s="1"/>
  <c r="B689" i="4"/>
  <c r="J688" i="4"/>
  <c r="E688" i="4" a="1"/>
  <c r="E688" i="4" s="1"/>
  <c r="D688" i="4" a="1"/>
  <c r="D688" i="4" s="1"/>
  <c r="B688" i="4"/>
  <c r="J687" i="4"/>
  <c r="E687" i="4" a="1"/>
  <c r="E687" i="4" s="1"/>
  <c r="H687" i="4" s="1"/>
  <c r="D687" i="4" a="1"/>
  <c r="D687" i="4" s="1"/>
  <c r="B687" i="4"/>
  <c r="J686" i="4"/>
  <c r="E686" i="4" a="1"/>
  <c r="E686" i="4" s="1"/>
  <c r="D686" i="4" a="1"/>
  <c r="D686" i="4" s="1"/>
  <c r="B686" i="4"/>
  <c r="J685" i="4"/>
  <c r="E685" i="4" a="1"/>
  <c r="E685" i="4" s="1"/>
  <c r="D685" i="4" a="1"/>
  <c r="D685" i="4" s="1"/>
  <c r="B685" i="4"/>
  <c r="J684" i="4"/>
  <c r="E684" i="4" a="1"/>
  <c r="E684" i="4" s="1"/>
  <c r="I684" i="4" s="1"/>
  <c r="D684" i="4" a="1"/>
  <c r="D684" i="4" s="1"/>
  <c r="B684" i="4"/>
  <c r="J683" i="4"/>
  <c r="E683" i="4" a="1"/>
  <c r="E683" i="4" s="1"/>
  <c r="D683" i="4" a="1"/>
  <c r="D683" i="4" s="1"/>
  <c r="B683" i="4"/>
  <c r="J682" i="4"/>
  <c r="E682" i="4" a="1"/>
  <c r="E682" i="4" s="1"/>
  <c r="D682" i="4" a="1"/>
  <c r="D682" i="4" s="1"/>
  <c r="B682" i="4"/>
  <c r="J681" i="4"/>
  <c r="E681" i="4" a="1"/>
  <c r="E681" i="4" s="1"/>
  <c r="D681" i="4" a="1"/>
  <c r="D681" i="4" s="1"/>
  <c r="B681" i="4"/>
  <c r="J680" i="4"/>
  <c r="E680" i="4" a="1"/>
  <c r="E680" i="4" s="1"/>
  <c r="H680" i="4" s="1"/>
  <c r="D680" i="4" a="1"/>
  <c r="D680" i="4" s="1"/>
  <c r="B680" i="4"/>
  <c r="J679" i="4"/>
  <c r="E679" i="4" a="1"/>
  <c r="E679" i="4" s="1"/>
  <c r="G679" i="4" s="1" a="1"/>
  <c r="G679" i="4" s="1"/>
  <c r="D679" i="4" a="1"/>
  <c r="D679" i="4" s="1"/>
  <c r="B679" i="4"/>
  <c r="J678" i="4"/>
  <c r="E678" i="4" a="1"/>
  <c r="E678" i="4" s="1"/>
  <c r="H678" i="4" s="1"/>
  <c r="D678" i="4" a="1"/>
  <c r="D678" i="4" s="1"/>
  <c r="B678" i="4"/>
  <c r="J677" i="4"/>
  <c r="E677" i="4" a="1"/>
  <c r="E677" i="4" s="1"/>
  <c r="D677" i="4" a="1"/>
  <c r="D677" i="4" s="1"/>
  <c r="B677" i="4"/>
  <c r="J676" i="4"/>
  <c r="E676" i="4" a="1"/>
  <c r="E676" i="4" s="1"/>
  <c r="D676" i="4" a="1"/>
  <c r="D676" i="4" s="1"/>
  <c r="B676" i="4"/>
  <c r="J675" i="4"/>
  <c r="E675" i="4" a="1"/>
  <c r="E675" i="4" s="1"/>
  <c r="I675" i="4" s="1"/>
  <c r="D675" i="4" a="1"/>
  <c r="D675" i="4" s="1"/>
  <c r="B675" i="4"/>
  <c r="J674" i="4"/>
  <c r="E674" i="4" a="1"/>
  <c r="E674" i="4" s="1"/>
  <c r="D674" i="4" a="1"/>
  <c r="D674" i="4" s="1"/>
  <c r="B674" i="4"/>
  <c r="J673" i="4"/>
  <c r="E673" i="4" a="1"/>
  <c r="E673" i="4" s="1"/>
  <c r="D673" i="4" a="1"/>
  <c r="D673" i="4" s="1"/>
  <c r="B673" i="4"/>
  <c r="J672" i="4"/>
  <c r="E672" i="4" a="1"/>
  <c r="E672" i="4" s="1"/>
  <c r="D672" i="4" a="1"/>
  <c r="D672" i="4" s="1"/>
  <c r="B672" i="4"/>
  <c r="J671" i="4"/>
  <c r="E671" i="4" a="1"/>
  <c r="E671" i="4" s="1"/>
  <c r="H671" i="4" s="1"/>
  <c r="D671" i="4" a="1"/>
  <c r="D671" i="4" s="1"/>
  <c r="B671" i="4"/>
  <c r="J670" i="4"/>
  <c r="E670" i="4" a="1"/>
  <c r="E670" i="4" s="1"/>
  <c r="I670" i="4" s="1"/>
  <c r="D670" i="4" a="1"/>
  <c r="D670" i="4" s="1"/>
  <c r="B670" i="4"/>
  <c r="J669" i="4"/>
  <c r="E669" i="4" a="1"/>
  <c r="E669" i="4" s="1"/>
  <c r="D669" i="4" a="1"/>
  <c r="D669" i="4" s="1"/>
  <c r="B669" i="4"/>
  <c r="J668" i="4"/>
  <c r="E668" i="4" a="1"/>
  <c r="E668" i="4" s="1"/>
  <c r="I668" i="4" s="1"/>
  <c r="D668" i="4" a="1"/>
  <c r="D668" i="4" s="1"/>
  <c r="B668" i="4"/>
  <c r="J667" i="4"/>
  <c r="E667" i="4" a="1"/>
  <c r="E667" i="4" s="1"/>
  <c r="D667" i="4" a="1"/>
  <c r="D667" i="4" s="1"/>
  <c r="B667" i="4"/>
  <c r="J666" i="4"/>
  <c r="E666" i="4" a="1"/>
  <c r="E666" i="4" s="1"/>
  <c r="D666" i="4" a="1"/>
  <c r="D666" i="4" s="1"/>
  <c r="B666" i="4"/>
  <c r="J665" i="4"/>
  <c r="E665" i="4" a="1"/>
  <c r="E665" i="4" s="1"/>
  <c r="I665" i="4" s="1"/>
  <c r="D665" i="4" a="1"/>
  <c r="D665" i="4" s="1"/>
  <c r="B665" i="4"/>
  <c r="J664" i="4"/>
  <c r="E664" i="4" a="1"/>
  <c r="E664" i="4" s="1"/>
  <c r="D664" i="4" a="1"/>
  <c r="D664" i="4" s="1"/>
  <c r="B664" i="4"/>
  <c r="J663" i="4"/>
  <c r="E663" i="4" a="1"/>
  <c r="E663" i="4" s="1"/>
  <c r="G663" i="4" s="1" a="1"/>
  <c r="G663" i="4" s="1"/>
  <c r="D663" i="4" a="1"/>
  <c r="D663" i="4" s="1"/>
  <c r="B663" i="4"/>
  <c r="J662" i="4"/>
  <c r="E662" i="4" a="1"/>
  <c r="E662" i="4" s="1"/>
  <c r="D662" i="4" a="1"/>
  <c r="D662" i="4" s="1"/>
  <c r="B662" i="4"/>
  <c r="J661" i="4"/>
  <c r="E661" i="4" a="1"/>
  <c r="E661" i="4" s="1"/>
  <c r="I661" i="4" s="1"/>
  <c r="D661" i="4" a="1"/>
  <c r="D661" i="4" s="1"/>
  <c r="B661" i="4"/>
  <c r="J660" i="4"/>
  <c r="E660" i="4" a="1"/>
  <c r="E660" i="4" s="1"/>
  <c r="D660" i="4" a="1"/>
  <c r="D660" i="4" s="1"/>
  <c r="B660" i="4"/>
  <c r="J659" i="4"/>
  <c r="E659" i="4" a="1"/>
  <c r="E659" i="4" s="1"/>
  <c r="D659" i="4" a="1"/>
  <c r="D659" i="4" s="1"/>
  <c r="B659" i="4"/>
  <c r="J658" i="4"/>
  <c r="E658" i="4" a="1"/>
  <c r="E658" i="4" s="1"/>
  <c r="D658" i="4" a="1"/>
  <c r="D658" i="4" s="1"/>
  <c r="B658" i="4"/>
  <c r="J657" i="4"/>
  <c r="E657" i="4" a="1"/>
  <c r="E657" i="4" s="1"/>
  <c r="D657" i="4" a="1"/>
  <c r="D657" i="4" s="1"/>
  <c r="B657" i="4"/>
  <c r="J656" i="4"/>
  <c r="E656" i="4" a="1"/>
  <c r="E656" i="4" s="1"/>
  <c r="D656" i="4" a="1"/>
  <c r="D656" i="4" s="1"/>
  <c r="B656" i="4"/>
  <c r="J655" i="4"/>
  <c r="E655" i="4" a="1"/>
  <c r="E655" i="4" s="1"/>
  <c r="I655" i="4" s="1"/>
  <c r="D655" i="4" a="1"/>
  <c r="D655" i="4" s="1"/>
  <c r="B655" i="4"/>
  <c r="J654" i="4"/>
  <c r="E654" i="4" a="1"/>
  <c r="E654" i="4" s="1"/>
  <c r="D654" i="4" a="1"/>
  <c r="D654" i="4" s="1"/>
  <c r="B654" i="4"/>
  <c r="J653" i="4"/>
  <c r="E653" i="4" a="1"/>
  <c r="E653" i="4" s="1"/>
  <c r="D653" i="4" a="1"/>
  <c r="D653" i="4" s="1"/>
  <c r="B653" i="4"/>
  <c r="J652" i="4"/>
  <c r="E652" i="4" a="1"/>
  <c r="E652" i="4" s="1"/>
  <c r="G652" i="4" s="1" a="1"/>
  <c r="G652" i="4" s="1"/>
  <c r="D652" i="4" a="1"/>
  <c r="D652" i="4" s="1"/>
  <c r="B652" i="4"/>
  <c r="J651" i="4"/>
  <c r="E651" i="4" a="1"/>
  <c r="E651" i="4" s="1"/>
  <c r="D651" i="4" a="1"/>
  <c r="D651" i="4" s="1"/>
  <c r="B651" i="4"/>
  <c r="J650" i="4"/>
  <c r="E650" i="4" a="1"/>
  <c r="E650" i="4" s="1"/>
  <c r="H650" i="4" s="1"/>
  <c r="D650" i="4" a="1"/>
  <c r="D650" i="4" s="1"/>
  <c r="B650" i="4"/>
  <c r="J649" i="4"/>
  <c r="E649" i="4" a="1"/>
  <c r="E649" i="4" s="1"/>
  <c r="D649" i="4" a="1"/>
  <c r="D649" i="4" s="1"/>
  <c r="B649" i="4"/>
  <c r="J648" i="4"/>
  <c r="E648" i="4" a="1"/>
  <c r="E648" i="4" s="1"/>
  <c r="I648" i="4" s="1"/>
  <c r="D648" i="4" a="1"/>
  <c r="D648" i="4" s="1"/>
  <c r="B648" i="4"/>
  <c r="J647" i="4"/>
  <c r="E647" i="4" a="1"/>
  <c r="E647" i="4" s="1"/>
  <c r="H647" i="4" s="1"/>
  <c r="D647" i="4" a="1"/>
  <c r="D647" i="4" s="1"/>
  <c r="B647" i="4"/>
  <c r="J646" i="4"/>
  <c r="E646" i="4" a="1"/>
  <c r="E646" i="4" s="1"/>
  <c r="I646" i="4" s="1"/>
  <c r="D646" i="4" a="1"/>
  <c r="D646" i="4" s="1"/>
  <c r="B646" i="4"/>
  <c r="J645" i="4"/>
  <c r="E645" i="4" a="1"/>
  <c r="E645" i="4" s="1"/>
  <c r="D645" i="4" a="1"/>
  <c r="D645" i="4" s="1"/>
  <c r="B645" i="4"/>
  <c r="J644" i="4"/>
  <c r="E644" i="4" a="1"/>
  <c r="E644" i="4" s="1"/>
  <c r="G644" i="4" s="1" a="1"/>
  <c r="G644" i="4" s="1"/>
  <c r="D644" i="4" a="1"/>
  <c r="D644" i="4" s="1"/>
  <c r="B644" i="4"/>
  <c r="J643" i="4"/>
  <c r="E643" i="4" a="1"/>
  <c r="E643" i="4" s="1"/>
  <c r="D643" i="4" a="1"/>
  <c r="D643" i="4" s="1"/>
  <c r="B643" i="4"/>
  <c r="J642" i="4"/>
  <c r="E642" i="4" a="1"/>
  <c r="E642" i="4" s="1"/>
  <c r="I642" i="4" s="1"/>
  <c r="D642" i="4" a="1"/>
  <c r="D642" i="4" s="1"/>
  <c r="B642" i="4"/>
  <c r="J641" i="4"/>
  <c r="E641" i="4" a="1"/>
  <c r="E641" i="4" s="1"/>
  <c r="I641" i="4" s="1"/>
  <c r="D641" i="4" a="1"/>
  <c r="D641" i="4" s="1"/>
  <c r="B641" i="4"/>
  <c r="J640" i="4"/>
  <c r="E640" i="4" a="1"/>
  <c r="E640" i="4" s="1"/>
  <c r="D640" i="4" a="1"/>
  <c r="D640" i="4" s="1"/>
  <c r="B640" i="4"/>
  <c r="J639" i="4"/>
  <c r="E639" i="4" a="1"/>
  <c r="E639" i="4" s="1"/>
  <c r="I639" i="4" s="1"/>
  <c r="D639" i="4" a="1"/>
  <c r="D639" i="4" s="1"/>
  <c r="B639" i="4"/>
  <c r="J638" i="4"/>
  <c r="E638" i="4" a="1"/>
  <c r="E638" i="4" s="1"/>
  <c r="I638" i="4" s="1"/>
  <c r="D638" i="4" a="1"/>
  <c r="D638" i="4" s="1"/>
  <c r="B638" i="4"/>
  <c r="J637" i="4"/>
  <c r="E637" i="4" a="1"/>
  <c r="E637" i="4" s="1"/>
  <c r="D637" i="4" a="1"/>
  <c r="D637" i="4" s="1"/>
  <c r="B637" i="4"/>
  <c r="J636" i="4"/>
  <c r="E636" i="4" a="1"/>
  <c r="E636" i="4" s="1"/>
  <c r="D636" i="4" a="1"/>
  <c r="D636" i="4" s="1"/>
  <c r="B636" i="4"/>
  <c r="J635" i="4"/>
  <c r="E635" i="4" a="1"/>
  <c r="E635" i="4" s="1"/>
  <c r="D635" i="4" a="1"/>
  <c r="D635" i="4" s="1"/>
  <c r="B635" i="4"/>
  <c r="J634" i="4"/>
  <c r="E634" i="4" a="1"/>
  <c r="E634" i="4" s="1"/>
  <c r="D634" i="4" a="1"/>
  <c r="D634" i="4" s="1"/>
  <c r="B634" i="4"/>
  <c r="J633" i="4"/>
  <c r="E633" i="4" a="1"/>
  <c r="E633" i="4" s="1"/>
  <c r="D633" i="4" a="1"/>
  <c r="D633" i="4" s="1"/>
  <c r="B633" i="4"/>
  <c r="J632" i="4"/>
  <c r="E632" i="4" a="1"/>
  <c r="E632" i="4" s="1"/>
  <c r="D632" i="4" a="1"/>
  <c r="D632" i="4" s="1"/>
  <c r="B632" i="4"/>
  <c r="J631" i="4"/>
  <c r="E631" i="4" a="1"/>
  <c r="E631" i="4" s="1"/>
  <c r="I631" i="4" s="1"/>
  <c r="D631" i="4" a="1"/>
  <c r="D631" i="4" s="1"/>
  <c r="B631" i="4"/>
  <c r="J630" i="4"/>
  <c r="E630" i="4" a="1"/>
  <c r="E630" i="4" s="1"/>
  <c r="I630" i="4" s="1"/>
  <c r="D630" i="4" a="1"/>
  <c r="D630" i="4" s="1"/>
  <c r="B630" i="4"/>
  <c r="J629" i="4"/>
  <c r="E629" i="4" a="1"/>
  <c r="E629" i="4" s="1"/>
  <c r="D629" i="4" a="1"/>
  <c r="D629" i="4" s="1"/>
  <c r="B629" i="4"/>
  <c r="J628" i="4"/>
  <c r="E628" i="4" a="1"/>
  <c r="E628" i="4" s="1"/>
  <c r="D628" i="4" a="1"/>
  <c r="D628" i="4" s="1"/>
  <c r="B628" i="4"/>
  <c r="J627" i="4"/>
  <c r="E627" i="4" a="1"/>
  <c r="E627" i="4" s="1"/>
  <c r="H627" i="4" s="1"/>
  <c r="D627" i="4" a="1"/>
  <c r="D627" i="4" s="1"/>
  <c r="B627" i="4"/>
  <c r="J626" i="4"/>
  <c r="E626" i="4" a="1"/>
  <c r="E626" i="4" s="1"/>
  <c r="D626" i="4" a="1"/>
  <c r="D626" i="4" s="1"/>
  <c r="B626" i="4"/>
  <c r="J625" i="4"/>
  <c r="E625" i="4" a="1"/>
  <c r="E625" i="4" s="1"/>
  <c r="D625" i="4" a="1"/>
  <c r="D625" i="4" s="1"/>
  <c r="B625" i="4"/>
  <c r="J624" i="4"/>
  <c r="E624" i="4" a="1"/>
  <c r="E624" i="4" s="1"/>
  <c r="D624" i="4" a="1"/>
  <c r="D624" i="4" s="1"/>
  <c r="B624" i="4"/>
  <c r="J623" i="4"/>
  <c r="E623" i="4" a="1"/>
  <c r="E623" i="4" s="1"/>
  <c r="I623" i="4" s="1"/>
  <c r="D623" i="4" a="1"/>
  <c r="D623" i="4" s="1"/>
  <c r="B623" i="4"/>
  <c r="J622" i="4"/>
  <c r="E622" i="4" a="1"/>
  <c r="E622" i="4" s="1"/>
  <c r="G622" i="4" s="1" a="1"/>
  <c r="G622" i="4" s="1"/>
  <c r="D622" i="4" a="1"/>
  <c r="D622" i="4" s="1"/>
  <c r="B622" i="4"/>
  <c r="J621" i="4"/>
  <c r="E621" i="4" a="1"/>
  <c r="E621" i="4" s="1"/>
  <c r="D621" i="4" a="1"/>
  <c r="D621" i="4" s="1"/>
  <c r="B621" i="4"/>
  <c r="J620" i="4"/>
  <c r="E620" i="4" a="1"/>
  <c r="E620" i="4" s="1"/>
  <c r="I620" i="4" s="1"/>
  <c r="D620" i="4" a="1"/>
  <c r="D620" i="4" s="1"/>
  <c r="B620" i="4"/>
  <c r="J619" i="4"/>
  <c r="E619" i="4" a="1"/>
  <c r="E619" i="4" s="1"/>
  <c r="D619" i="4" a="1"/>
  <c r="D619" i="4" s="1"/>
  <c r="B619" i="4"/>
  <c r="J618" i="4"/>
  <c r="E618" i="4" a="1"/>
  <c r="E618" i="4" s="1"/>
  <c r="D618" i="4" a="1"/>
  <c r="D618" i="4" s="1"/>
  <c r="B618" i="4"/>
  <c r="J617" i="4"/>
  <c r="E617" i="4" a="1"/>
  <c r="E617" i="4" s="1"/>
  <c r="D617" i="4" a="1"/>
  <c r="D617" i="4" s="1"/>
  <c r="B617" i="4"/>
  <c r="J616" i="4"/>
  <c r="E616" i="4" a="1"/>
  <c r="E616" i="4" s="1"/>
  <c r="G616" i="4" s="1" a="1"/>
  <c r="G616" i="4" s="1"/>
  <c r="D616" i="4" a="1"/>
  <c r="D616" i="4" s="1"/>
  <c r="B616" i="4"/>
  <c r="J615" i="4"/>
  <c r="E615" i="4" a="1"/>
  <c r="E615" i="4" s="1"/>
  <c r="I615" i="4" s="1"/>
  <c r="D615" i="4" a="1"/>
  <c r="D615" i="4" s="1"/>
  <c r="B615" i="4"/>
  <c r="J614" i="4"/>
  <c r="E614" i="4" a="1"/>
  <c r="E614" i="4" s="1"/>
  <c r="D614" i="4" a="1"/>
  <c r="D614" i="4" s="1"/>
  <c r="B614" i="4"/>
  <c r="J613" i="4"/>
  <c r="E613" i="4" a="1"/>
  <c r="E613" i="4" s="1"/>
  <c r="D613" i="4" a="1"/>
  <c r="D613" i="4" s="1"/>
  <c r="B613" i="4"/>
  <c r="J612" i="4"/>
  <c r="E612" i="4" a="1"/>
  <c r="E612" i="4" s="1"/>
  <c r="D612" i="4" a="1"/>
  <c r="D612" i="4" s="1"/>
  <c r="B612" i="4"/>
  <c r="J611" i="4"/>
  <c r="E611" i="4" a="1"/>
  <c r="E611" i="4" s="1"/>
  <c r="D611" i="4" a="1"/>
  <c r="D611" i="4" s="1"/>
  <c r="B611" i="4"/>
  <c r="J610" i="4"/>
  <c r="E610" i="4" a="1"/>
  <c r="E610" i="4" s="1"/>
  <c r="H610" i="4" s="1"/>
  <c r="D610" i="4" a="1"/>
  <c r="D610" i="4" s="1"/>
  <c r="B610" i="4"/>
  <c r="J609" i="4"/>
  <c r="E609" i="4" a="1"/>
  <c r="E609" i="4" s="1"/>
  <c r="D609" i="4" a="1"/>
  <c r="D609" i="4" s="1"/>
  <c r="B609" i="4"/>
  <c r="J608" i="4"/>
  <c r="E608" i="4" a="1"/>
  <c r="E608" i="4" s="1"/>
  <c r="D608" i="4" a="1"/>
  <c r="D608" i="4" s="1"/>
  <c r="B608" i="4"/>
  <c r="J607" i="4"/>
  <c r="E607" i="4" a="1"/>
  <c r="E607" i="4" s="1"/>
  <c r="D607" i="4" a="1"/>
  <c r="D607" i="4" s="1"/>
  <c r="B607" i="4"/>
  <c r="J606" i="4"/>
  <c r="E606" i="4" a="1"/>
  <c r="E606" i="4" s="1"/>
  <c r="I606" i="4" s="1"/>
  <c r="D606" i="4" a="1"/>
  <c r="D606" i="4" s="1"/>
  <c r="B606" i="4"/>
  <c r="J605" i="4"/>
  <c r="E605" i="4" a="1"/>
  <c r="E605" i="4" s="1"/>
  <c r="I605" i="4" s="1"/>
  <c r="D605" i="4" a="1"/>
  <c r="D605" i="4" s="1"/>
  <c r="B605" i="4"/>
  <c r="J604" i="4"/>
  <c r="E604" i="4" a="1"/>
  <c r="E604" i="4" s="1"/>
  <c r="D604" i="4" a="1"/>
  <c r="D604" i="4" s="1"/>
  <c r="B604" i="4"/>
  <c r="J603" i="4"/>
  <c r="E603" i="4" a="1"/>
  <c r="E603" i="4" s="1"/>
  <c r="G603" i="4" s="1" a="1"/>
  <c r="G603" i="4" s="1"/>
  <c r="D603" i="4" a="1"/>
  <c r="D603" i="4" s="1"/>
  <c r="B603" i="4"/>
  <c r="J602" i="4"/>
  <c r="E602" i="4" a="1"/>
  <c r="E602" i="4" s="1"/>
  <c r="I602" i="4" s="1"/>
  <c r="D602" i="4" a="1"/>
  <c r="D602" i="4" s="1"/>
  <c r="B602" i="4"/>
  <c r="J601" i="4"/>
  <c r="E601" i="4" a="1"/>
  <c r="E601" i="4" s="1"/>
  <c r="D601" i="4" a="1"/>
  <c r="D601" i="4" s="1"/>
  <c r="B601" i="4"/>
  <c r="J600" i="4"/>
  <c r="E600" i="4" a="1"/>
  <c r="E600" i="4" s="1"/>
  <c r="D600" i="4" a="1"/>
  <c r="D600" i="4" s="1"/>
  <c r="B600" i="4"/>
  <c r="J599" i="4"/>
  <c r="E599" i="4" a="1"/>
  <c r="E599" i="4" s="1"/>
  <c r="H599" i="4" s="1"/>
  <c r="D599" i="4" a="1"/>
  <c r="D599" i="4" s="1"/>
  <c r="B599" i="4"/>
  <c r="J598" i="4"/>
  <c r="E598" i="4" a="1"/>
  <c r="E598" i="4" s="1"/>
  <c r="D598" i="4" a="1"/>
  <c r="D598" i="4" s="1"/>
  <c r="B598" i="4"/>
  <c r="J597" i="4"/>
  <c r="E597" i="4" a="1"/>
  <c r="E597" i="4" s="1"/>
  <c r="D597" i="4" a="1"/>
  <c r="D597" i="4" s="1"/>
  <c r="B597" i="4"/>
  <c r="J596" i="4"/>
  <c r="E596" i="4" a="1"/>
  <c r="E596" i="4" s="1"/>
  <c r="I596" i="4" s="1"/>
  <c r="D596" i="4" a="1"/>
  <c r="D596" i="4" s="1"/>
  <c r="B596" i="4"/>
  <c r="J595" i="4"/>
  <c r="E595" i="4" a="1"/>
  <c r="E595" i="4" s="1"/>
  <c r="I595" i="4" s="1"/>
  <c r="D595" i="4" a="1"/>
  <c r="D595" i="4" s="1"/>
  <c r="B595" i="4"/>
  <c r="J594" i="4"/>
  <c r="E594" i="4" a="1"/>
  <c r="E594" i="4" s="1"/>
  <c r="D594" i="4" a="1"/>
  <c r="D594" i="4" s="1"/>
  <c r="B594" i="4"/>
  <c r="J593" i="4"/>
  <c r="E593" i="4" a="1"/>
  <c r="E593" i="4" s="1"/>
  <c r="D593" i="4" a="1"/>
  <c r="D593" i="4" s="1"/>
  <c r="B593" i="4"/>
  <c r="J592" i="4"/>
  <c r="E592" i="4" a="1"/>
  <c r="E592" i="4" s="1"/>
  <c r="D592" i="4" a="1"/>
  <c r="D592" i="4" s="1"/>
  <c r="B592" i="4"/>
  <c r="J591" i="4"/>
  <c r="E591" i="4" a="1"/>
  <c r="E591" i="4" s="1"/>
  <c r="D591" i="4" a="1"/>
  <c r="D591" i="4" s="1"/>
  <c r="B591" i="4"/>
  <c r="J590" i="4"/>
  <c r="E590" i="4" a="1"/>
  <c r="E590" i="4" s="1"/>
  <c r="G590" i="4" s="1" a="1"/>
  <c r="G590" i="4" s="1"/>
  <c r="D590" i="4" a="1"/>
  <c r="D590" i="4" s="1"/>
  <c r="B590" i="4"/>
  <c r="J589" i="4"/>
  <c r="E589" i="4" a="1"/>
  <c r="E589" i="4" s="1"/>
  <c r="I589" i="4" s="1"/>
  <c r="D589" i="4" a="1"/>
  <c r="D589" i="4" s="1"/>
  <c r="B589" i="4"/>
  <c r="J588" i="4"/>
  <c r="E588" i="4" a="1"/>
  <c r="E588" i="4" s="1"/>
  <c r="I588" i="4" s="1"/>
  <c r="D588" i="4" a="1"/>
  <c r="D588" i="4" s="1"/>
  <c r="B588" i="4"/>
  <c r="J587" i="4"/>
  <c r="E587" i="4" a="1"/>
  <c r="E587" i="4" s="1"/>
  <c r="D587" i="4" a="1"/>
  <c r="D587" i="4" s="1"/>
  <c r="B587" i="4"/>
  <c r="J586" i="4"/>
  <c r="E586" i="4" a="1"/>
  <c r="E586" i="4" s="1"/>
  <c r="G586" i="4" s="1" a="1"/>
  <c r="G586" i="4" s="1"/>
  <c r="D586" i="4" a="1"/>
  <c r="D586" i="4" s="1"/>
  <c r="B586" i="4"/>
  <c r="J585" i="4"/>
  <c r="E585" i="4" a="1"/>
  <c r="E585" i="4" s="1"/>
  <c r="D585" i="4" a="1"/>
  <c r="D585" i="4" s="1"/>
  <c r="B585" i="4"/>
  <c r="J584" i="4"/>
  <c r="E584" i="4" a="1"/>
  <c r="E584" i="4" s="1"/>
  <c r="I584" i="4" s="1"/>
  <c r="D584" i="4" a="1"/>
  <c r="D584" i="4" s="1"/>
  <c r="B584" i="4"/>
  <c r="J583" i="4"/>
  <c r="E583" i="4" a="1"/>
  <c r="E583" i="4" s="1"/>
  <c r="D583" i="4" a="1"/>
  <c r="D583" i="4" s="1"/>
  <c r="B583" i="4"/>
  <c r="J582" i="4"/>
  <c r="E582" i="4" a="1"/>
  <c r="E582" i="4" s="1"/>
  <c r="G582" i="4" s="1" a="1"/>
  <c r="G582" i="4" s="1"/>
  <c r="D582" i="4" a="1"/>
  <c r="D582" i="4" s="1"/>
  <c r="B582" i="4"/>
  <c r="J581" i="4"/>
  <c r="E581" i="4" a="1"/>
  <c r="E581" i="4" s="1"/>
  <c r="D581" i="4" a="1"/>
  <c r="D581" i="4" s="1"/>
  <c r="B581" i="4"/>
  <c r="J580" i="4"/>
  <c r="E580" i="4" a="1"/>
  <c r="E580" i="4" s="1"/>
  <c r="G580" i="4" s="1" a="1"/>
  <c r="G580" i="4" s="1"/>
  <c r="D580" i="4" a="1"/>
  <c r="D580" i="4" s="1"/>
  <c r="B580" i="4"/>
  <c r="J579" i="4"/>
  <c r="E579" i="4" a="1"/>
  <c r="E579" i="4" s="1"/>
  <c r="I579" i="4" s="1"/>
  <c r="D579" i="4" a="1"/>
  <c r="D579" i="4" s="1"/>
  <c r="B579" i="4"/>
  <c r="J578" i="4"/>
  <c r="E578" i="4" a="1"/>
  <c r="E578" i="4" s="1"/>
  <c r="D578" i="4" a="1"/>
  <c r="D578" i="4" s="1"/>
  <c r="B578" i="4"/>
  <c r="J577" i="4"/>
  <c r="E577" i="4" a="1"/>
  <c r="E577" i="4" s="1"/>
  <c r="D577" i="4" a="1"/>
  <c r="D577" i="4" s="1"/>
  <c r="B577" i="4"/>
  <c r="J576" i="4"/>
  <c r="E576" i="4" a="1"/>
  <c r="E576" i="4" s="1"/>
  <c r="D576" i="4" a="1"/>
  <c r="D576" i="4" s="1"/>
  <c r="B576" i="4"/>
  <c r="J575" i="4"/>
  <c r="E575" i="4" a="1"/>
  <c r="E575" i="4" s="1"/>
  <c r="D575" i="4" a="1"/>
  <c r="D575" i="4" s="1"/>
  <c r="B575" i="4"/>
  <c r="J574" i="4"/>
  <c r="E574" i="4" a="1"/>
  <c r="E574" i="4" s="1"/>
  <c r="D574" i="4" a="1"/>
  <c r="D574" i="4" s="1"/>
  <c r="B574" i="4"/>
  <c r="J573" i="4"/>
  <c r="E573" i="4" a="1"/>
  <c r="E573" i="4" s="1"/>
  <c r="H573" i="4" s="1"/>
  <c r="D573" i="4" a="1"/>
  <c r="D573" i="4" s="1"/>
  <c r="B573" i="4"/>
  <c r="J572" i="4"/>
  <c r="E572" i="4" a="1"/>
  <c r="E572" i="4" s="1"/>
  <c r="D572" i="4" a="1"/>
  <c r="D572" i="4" s="1"/>
  <c r="B572" i="4"/>
  <c r="J571" i="4"/>
  <c r="E571" i="4" a="1"/>
  <c r="E571" i="4" s="1"/>
  <c r="D571" i="4" a="1"/>
  <c r="D571" i="4" s="1"/>
  <c r="B571" i="4"/>
  <c r="J570" i="4"/>
  <c r="E570" i="4" a="1"/>
  <c r="E570" i="4" s="1"/>
  <c r="D570" i="4" a="1"/>
  <c r="D570" i="4" s="1"/>
  <c r="B570" i="4"/>
  <c r="J569" i="4"/>
  <c r="E569" i="4" a="1"/>
  <c r="E569" i="4" s="1"/>
  <c r="D569" i="4" a="1"/>
  <c r="D569" i="4" s="1"/>
  <c r="B569" i="4"/>
  <c r="J568" i="4"/>
  <c r="E568" i="4" a="1"/>
  <c r="E568" i="4" s="1"/>
  <c r="D568" i="4" a="1"/>
  <c r="D568" i="4" s="1"/>
  <c r="B568" i="4"/>
  <c r="J567" i="4"/>
  <c r="E567" i="4" a="1"/>
  <c r="E567" i="4" s="1"/>
  <c r="I567" i="4" s="1"/>
  <c r="D567" i="4" a="1"/>
  <c r="D567" i="4" s="1"/>
  <c r="B567" i="4"/>
  <c r="J566" i="4"/>
  <c r="E566" i="4" a="1"/>
  <c r="E566" i="4" s="1"/>
  <c r="D566" i="4" a="1"/>
  <c r="D566" i="4" s="1"/>
  <c r="B566" i="4"/>
  <c r="J565" i="4"/>
  <c r="E565" i="4" a="1"/>
  <c r="E565" i="4" s="1"/>
  <c r="D565" i="4" a="1"/>
  <c r="D565" i="4" s="1"/>
  <c r="B565" i="4"/>
  <c r="J564" i="4"/>
  <c r="E564" i="4" a="1"/>
  <c r="E564" i="4" s="1"/>
  <c r="I564" i="4" s="1"/>
  <c r="D564" i="4" a="1"/>
  <c r="D564" i="4" s="1"/>
  <c r="B564" i="4"/>
  <c r="J563" i="4"/>
  <c r="E563" i="4" a="1"/>
  <c r="E563" i="4" s="1"/>
  <c r="G563" i="4" s="1" a="1"/>
  <c r="G563" i="4" s="1"/>
  <c r="D563" i="4" a="1"/>
  <c r="D563" i="4" s="1"/>
  <c r="B563" i="4"/>
  <c r="J562" i="4"/>
  <c r="E562" i="4" a="1"/>
  <c r="E562" i="4" s="1"/>
  <c r="D562" i="4" a="1"/>
  <c r="D562" i="4" s="1"/>
  <c r="B562" i="4"/>
  <c r="J561" i="4"/>
  <c r="E561" i="4" a="1"/>
  <c r="E561" i="4" s="1"/>
  <c r="H561" i="4" s="1"/>
  <c r="D561" i="4" a="1"/>
  <c r="D561" i="4" s="1"/>
  <c r="B561" i="4"/>
  <c r="J560" i="4"/>
  <c r="E560" i="4" a="1"/>
  <c r="E560" i="4" s="1"/>
  <c r="D560" i="4" a="1"/>
  <c r="D560" i="4" s="1"/>
  <c r="B560" i="4"/>
  <c r="J559" i="4"/>
  <c r="E559" i="4" a="1"/>
  <c r="E559" i="4" s="1"/>
  <c r="D559" i="4" a="1"/>
  <c r="D559" i="4" s="1"/>
  <c r="B559" i="4"/>
  <c r="J558" i="4"/>
  <c r="E558" i="4" a="1"/>
  <c r="E558" i="4" s="1"/>
  <c r="D558" i="4" a="1"/>
  <c r="D558" i="4" s="1"/>
  <c r="B558" i="4"/>
  <c r="J557" i="4"/>
  <c r="E557" i="4" a="1"/>
  <c r="E557" i="4" s="1"/>
  <c r="D557" i="4" a="1"/>
  <c r="D557" i="4" s="1"/>
  <c r="B557" i="4"/>
  <c r="J556" i="4"/>
  <c r="E556" i="4" a="1"/>
  <c r="E556" i="4" s="1"/>
  <c r="D556" i="4" a="1"/>
  <c r="D556" i="4" s="1"/>
  <c r="B556" i="4"/>
  <c r="J555" i="4"/>
  <c r="E555" i="4" a="1"/>
  <c r="E555" i="4" s="1"/>
  <c r="G555" i="4" s="1" a="1"/>
  <c r="G555" i="4" s="1"/>
  <c r="D555" i="4" a="1"/>
  <c r="D555" i="4" s="1"/>
  <c r="B555" i="4"/>
  <c r="J554" i="4"/>
  <c r="E554" i="4" a="1"/>
  <c r="E554" i="4" s="1"/>
  <c r="D554" i="4" a="1"/>
  <c r="D554" i="4" s="1"/>
  <c r="B554" i="4"/>
  <c r="J553" i="4"/>
  <c r="E553" i="4" a="1"/>
  <c r="E553" i="4" s="1"/>
  <c r="D553" i="4" a="1"/>
  <c r="D553" i="4" s="1"/>
  <c r="B553" i="4"/>
  <c r="J552" i="4"/>
  <c r="E552" i="4" a="1"/>
  <c r="E552" i="4" s="1"/>
  <c r="H552" i="4" s="1"/>
  <c r="D552" i="4" a="1"/>
  <c r="D552" i="4" s="1"/>
  <c r="B552" i="4"/>
  <c r="J551" i="4"/>
  <c r="E551" i="4" a="1"/>
  <c r="E551" i="4" s="1"/>
  <c r="D551" i="4" a="1"/>
  <c r="D551" i="4" s="1"/>
  <c r="B551" i="4"/>
  <c r="J550" i="4"/>
  <c r="E550" i="4" a="1"/>
  <c r="E550" i="4" s="1"/>
  <c r="D550" i="4" a="1"/>
  <c r="D550" i="4" s="1"/>
  <c r="B550" i="4"/>
  <c r="J549" i="4"/>
  <c r="E549" i="4" a="1"/>
  <c r="E549" i="4" s="1"/>
  <c r="D549" i="4" a="1"/>
  <c r="D549" i="4" s="1"/>
  <c r="B549" i="4"/>
  <c r="J548" i="4"/>
  <c r="E548" i="4" a="1"/>
  <c r="E548" i="4" s="1"/>
  <c r="D548" i="4" a="1"/>
  <c r="D548" i="4" s="1"/>
  <c r="B548" i="4"/>
  <c r="J547" i="4"/>
  <c r="E547" i="4" a="1"/>
  <c r="E547" i="4" s="1"/>
  <c r="D547" i="4" a="1"/>
  <c r="D547" i="4" s="1"/>
  <c r="B547" i="4"/>
  <c r="J546" i="4"/>
  <c r="E546" i="4" a="1"/>
  <c r="E546" i="4" s="1"/>
  <c r="D546" i="4" a="1"/>
  <c r="D546" i="4" s="1"/>
  <c r="B546" i="4"/>
  <c r="J545" i="4"/>
  <c r="E545" i="4" a="1"/>
  <c r="E545" i="4" s="1"/>
  <c r="D545" i="4" a="1"/>
  <c r="D545" i="4" s="1"/>
  <c r="B545" i="4"/>
  <c r="J544" i="4"/>
  <c r="E544" i="4" a="1"/>
  <c r="E544" i="4" s="1"/>
  <c r="G544" i="4" s="1" a="1"/>
  <c r="G544" i="4" s="1"/>
  <c r="D544" i="4" a="1"/>
  <c r="D544" i="4" s="1"/>
  <c r="B544" i="4"/>
  <c r="J543" i="4"/>
  <c r="E543" i="4" a="1"/>
  <c r="E543" i="4" s="1"/>
  <c r="G543" i="4" s="1" a="1"/>
  <c r="G543" i="4" s="1"/>
  <c r="D543" i="4" a="1"/>
  <c r="D543" i="4" s="1"/>
  <c r="B543" i="4"/>
  <c r="J542" i="4"/>
  <c r="E542" i="4" a="1"/>
  <c r="E542" i="4" s="1"/>
  <c r="D542" i="4" a="1"/>
  <c r="D542" i="4" s="1"/>
  <c r="B542" i="4"/>
  <c r="J541" i="4"/>
  <c r="E541" i="4" a="1"/>
  <c r="E541" i="4" s="1"/>
  <c r="D541" i="4" a="1"/>
  <c r="D541" i="4" s="1"/>
  <c r="B541" i="4"/>
  <c r="J540" i="4"/>
  <c r="E540" i="4" a="1"/>
  <c r="E540" i="4" s="1"/>
  <c r="I540" i="4" s="1"/>
  <c r="D540" i="4" a="1"/>
  <c r="D540" i="4" s="1"/>
  <c r="B540" i="4"/>
  <c r="J539" i="4"/>
  <c r="E539" i="4" a="1"/>
  <c r="E539" i="4" s="1"/>
  <c r="G539" i="4" s="1" a="1"/>
  <c r="G539" i="4" s="1"/>
  <c r="D539" i="4" a="1"/>
  <c r="D539" i="4" s="1"/>
  <c r="B539" i="4"/>
  <c r="J538" i="4"/>
  <c r="E538" i="4" a="1"/>
  <c r="E538" i="4" s="1"/>
  <c r="D538" i="4" a="1"/>
  <c r="D538" i="4" s="1"/>
  <c r="B538" i="4"/>
  <c r="J537" i="4"/>
  <c r="E537" i="4" a="1"/>
  <c r="E537" i="4" s="1"/>
  <c r="G537" i="4" s="1" a="1"/>
  <c r="G537" i="4" s="1"/>
  <c r="D537" i="4" a="1"/>
  <c r="D537" i="4" s="1"/>
  <c r="B537" i="4"/>
  <c r="J536" i="4"/>
  <c r="E536" i="4" a="1"/>
  <c r="E536" i="4" s="1"/>
  <c r="D536" i="4" a="1"/>
  <c r="D536" i="4" s="1"/>
  <c r="B536" i="4"/>
  <c r="J535" i="4"/>
  <c r="E535" i="4" a="1"/>
  <c r="E535" i="4" s="1"/>
  <c r="D535" i="4" a="1"/>
  <c r="D535" i="4" s="1"/>
  <c r="B535" i="4"/>
  <c r="J534" i="4"/>
  <c r="E534" i="4" a="1"/>
  <c r="E534" i="4" s="1"/>
  <c r="D534" i="4" a="1"/>
  <c r="D534" i="4" s="1"/>
  <c r="B534" i="4"/>
  <c r="J533" i="4"/>
  <c r="E533" i="4" a="1"/>
  <c r="E533" i="4" s="1"/>
  <c r="I533" i="4" s="1"/>
  <c r="D533" i="4" a="1"/>
  <c r="D533" i="4" s="1"/>
  <c r="B533" i="4"/>
  <c r="J532" i="4"/>
  <c r="E532" i="4" a="1"/>
  <c r="E532" i="4" s="1"/>
  <c r="D532" i="4" a="1"/>
  <c r="D532" i="4" s="1"/>
  <c r="B532" i="4"/>
  <c r="J531" i="4"/>
  <c r="E531" i="4" a="1"/>
  <c r="E531" i="4" s="1"/>
  <c r="I531" i="4" s="1"/>
  <c r="D531" i="4" a="1"/>
  <c r="D531" i="4" s="1"/>
  <c r="B531" i="4"/>
  <c r="J530" i="4"/>
  <c r="E530" i="4" a="1"/>
  <c r="E530" i="4" s="1"/>
  <c r="I530" i="4" s="1"/>
  <c r="D530" i="4" a="1"/>
  <c r="D530" i="4" s="1"/>
  <c r="B530" i="4"/>
  <c r="J529" i="4"/>
  <c r="E529" i="4" a="1"/>
  <c r="E529" i="4" s="1"/>
  <c r="H529" i="4" s="1"/>
  <c r="D529" i="4" a="1"/>
  <c r="D529" i="4" s="1"/>
  <c r="B529" i="4"/>
  <c r="J528" i="4"/>
  <c r="E528" i="4" a="1"/>
  <c r="E528" i="4" s="1"/>
  <c r="G528" i="4" s="1" a="1"/>
  <c r="G528" i="4" s="1"/>
  <c r="D528" i="4" a="1"/>
  <c r="D528" i="4" s="1"/>
  <c r="B528" i="4"/>
  <c r="J527" i="4"/>
  <c r="E527" i="4" a="1"/>
  <c r="E527" i="4" s="1"/>
  <c r="D527" i="4" a="1"/>
  <c r="D527" i="4" s="1"/>
  <c r="B527" i="4"/>
  <c r="J526" i="4"/>
  <c r="E526" i="4" a="1"/>
  <c r="E526" i="4" s="1"/>
  <c r="D526" i="4" a="1"/>
  <c r="D526" i="4" s="1"/>
  <c r="B526" i="4"/>
  <c r="J525" i="4"/>
  <c r="E525" i="4" a="1"/>
  <c r="E525" i="4" s="1"/>
  <c r="I525" i="4" s="1"/>
  <c r="D525" i="4" a="1"/>
  <c r="D525" i="4" s="1"/>
  <c r="B525" i="4"/>
  <c r="J524" i="4"/>
  <c r="E524" i="4" a="1"/>
  <c r="E524" i="4" s="1"/>
  <c r="I524" i="4" s="1"/>
  <c r="D524" i="4" a="1"/>
  <c r="D524" i="4" s="1"/>
  <c r="B524" i="4"/>
  <c r="J523" i="4"/>
  <c r="E523" i="4" a="1"/>
  <c r="E523" i="4" s="1"/>
  <c r="D523" i="4" a="1"/>
  <c r="D523" i="4" s="1"/>
  <c r="B523" i="4"/>
  <c r="J522" i="4"/>
  <c r="E522" i="4" a="1"/>
  <c r="E522" i="4" s="1"/>
  <c r="G522" i="4" s="1" a="1"/>
  <c r="G522" i="4" s="1"/>
  <c r="D522" i="4" a="1"/>
  <c r="D522" i="4" s="1"/>
  <c r="B522" i="4"/>
  <c r="J521" i="4"/>
  <c r="E521" i="4" a="1"/>
  <c r="E521" i="4" s="1"/>
  <c r="I521" i="4" s="1"/>
  <c r="D521" i="4" a="1"/>
  <c r="D521" i="4" s="1"/>
  <c r="B521" i="4"/>
  <c r="J520" i="4"/>
  <c r="E520" i="4" a="1"/>
  <c r="E520" i="4" s="1"/>
  <c r="D520" i="4" a="1"/>
  <c r="D520" i="4" s="1"/>
  <c r="B520" i="4"/>
  <c r="J519" i="4"/>
  <c r="E519" i="4" a="1"/>
  <c r="E519" i="4" s="1"/>
  <c r="I519" i="4" s="1"/>
  <c r="D519" i="4" a="1"/>
  <c r="D519" i="4" s="1"/>
  <c r="B519" i="4"/>
  <c r="J518" i="4"/>
  <c r="E518" i="4" a="1"/>
  <c r="E518" i="4" s="1"/>
  <c r="I518" i="4" s="1"/>
  <c r="D518" i="4" a="1"/>
  <c r="D518" i="4" s="1"/>
  <c r="B518" i="4"/>
  <c r="J517" i="4"/>
  <c r="E517" i="4" a="1"/>
  <c r="E517" i="4" s="1"/>
  <c r="D517" i="4" a="1"/>
  <c r="D517" i="4" s="1"/>
  <c r="B517" i="4"/>
  <c r="J516" i="4"/>
  <c r="E516" i="4" a="1"/>
  <c r="E516" i="4" s="1"/>
  <c r="D516" i="4" a="1"/>
  <c r="D516" i="4" s="1"/>
  <c r="B516" i="4"/>
  <c r="J515" i="4"/>
  <c r="E515" i="4" a="1"/>
  <c r="E515" i="4" s="1"/>
  <c r="D515" i="4" a="1"/>
  <c r="D515" i="4" s="1"/>
  <c r="B515" i="4"/>
  <c r="J514" i="4"/>
  <c r="E514" i="4" a="1"/>
  <c r="E514" i="4" s="1"/>
  <c r="D514" i="4" a="1"/>
  <c r="D514" i="4" s="1"/>
  <c r="B514" i="4"/>
  <c r="J513" i="4"/>
  <c r="E513" i="4" a="1"/>
  <c r="E513" i="4" s="1"/>
  <c r="D513" i="4" a="1"/>
  <c r="D513" i="4" s="1"/>
  <c r="B513" i="4"/>
  <c r="J512" i="4"/>
  <c r="E512" i="4" a="1"/>
  <c r="E512" i="4" s="1"/>
  <c r="D512" i="4" a="1"/>
  <c r="D512" i="4" s="1"/>
  <c r="B512" i="4"/>
  <c r="J511" i="4"/>
  <c r="E511" i="4" a="1"/>
  <c r="E511" i="4" s="1"/>
  <c r="D511" i="4" a="1"/>
  <c r="D511" i="4" s="1"/>
  <c r="B511" i="4"/>
  <c r="J510" i="4"/>
  <c r="E510" i="4" a="1"/>
  <c r="E510" i="4" s="1"/>
  <c r="H510" i="4" s="1"/>
  <c r="D510" i="4" a="1"/>
  <c r="D510" i="4" s="1"/>
  <c r="B510" i="4"/>
  <c r="J509" i="4"/>
  <c r="E509" i="4" a="1"/>
  <c r="E509" i="4" s="1"/>
  <c r="I509" i="4" s="1"/>
  <c r="D509" i="4" a="1"/>
  <c r="D509" i="4" s="1"/>
  <c r="B509" i="4"/>
  <c r="J508" i="4"/>
  <c r="E508" i="4" a="1"/>
  <c r="E508" i="4" s="1"/>
  <c r="D508" i="4" a="1"/>
  <c r="D508" i="4" s="1"/>
  <c r="B508" i="4"/>
  <c r="J507" i="4"/>
  <c r="E507" i="4" a="1"/>
  <c r="E507" i="4" s="1"/>
  <c r="D507" i="4" a="1"/>
  <c r="D507" i="4" s="1"/>
  <c r="B507" i="4"/>
  <c r="J506" i="4"/>
  <c r="E506" i="4" a="1"/>
  <c r="E506" i="4" s="1"/>
  <c r="D506" i="4" a="1"/>
  <c r="D506" i="4" s="1"/>
  <c r="B506" i="4"/>
  <c r="J505" i="4"/>
  <c r="E505" i="4" a="1"/>
  <c r="E505" i="4" s="1"/>
  <c r="I505" i="4" s="1"/>
  <c r="D505" i="4" a="1"/>
  <c r="D505" i="4" s="1"/>
  <c r="B505" i="4"/>
  <c r="J504" i="4"/>
  <c r="E504" i="4" a="1"/>
  <c r="E504" i="4" s="1"/>
  <c r="D504" i="4" a="1"/>
  <c r="D504" i="4" s="1"/>
  <c r="B504" i="4"/>
  <c r="J503" i="4"/>
  <c r="E503" i="4" a="1"/>
  <c r="E503" i="4" s="1"/>
  <c r="I503" i="4" s="1"/>
  <c r="D503" i="4" a="1"/>
  <c r="D503" i="4" s="1"/>
  <c r="B503" i="4"/>
  <c r="J502" i="4"/>
  <c r="E502" i="4" a="1"/>
  <c r="E502" i="4" s="1"/>
  <c r="G502" i="4" s="1" a="1"/>
  <c r="G502" i="4" s="1"/>
  <c r="D502" i="4" a="1"/>
  <c r="D502" i="4" s="1"/>
  <c r="B502" i="4"/>
  <c r="J501" i="4"/>
  <c r="E501" i="4" a="1"/>
  <c r="E501" i="4" s="1"/>
  <c r="D501" i="4" a="1"/>
  <c r="D501" i="4" s="1"/>
  <c r="B501" i="4"/>
  <c r="J500" i="4"/>
  <c r="E500" i="4" a="1"/>
  <c r="E500" i="4" s="1"/>
  <c r="D500" i="4" a="1"/>
  <c r="D500" i="4" s="1"/>
  <c r="B500" i="4"/>
  <c r="J499" i="4"/>
  <c r="E499" i="4" a="1"/>
  <c r="E499" i="4" s="1"/>
  <c r="D499" i="4" a="1"/>
  <c r="D499" i="4" s="1"/>
  <c r="B499" i="4"/>
  <c r="J498" i="4"/>
  <c r="E498" i="4" a="1"/>
  <c r="E498" i="4" s="1"/>
  <c r="I498" i="4" s="1"/>
  <c r="D498" i="4" a="1"/>
  <c r="D498" i="4" s="1"/>
  <c r="B498" i="4"/>
  <c r="J497" i="4"/>
  <c r="E497" i="4" a="1"/>
  <c r="E497" i="4" s="1"/>
  <c r="D497" i="4" a="1"/>
  <c r="D497" i="4" s="1"/>
  <c r="B497" i="4"/>
  <c r="J496" i="4"/>
  <c r="E496" i="4" a="1"/>
  <c r="E496" i="4" s="1"/>
  <c r="D496" i="4" a="1"/>
  <c r="D496" i="4" s="1"/>
  <c r="B496" i="4"/>
  <c r="J495" i="4"/>
  <c r="E495" i="4" a="1"/>
  <c r="E495" i="4" s="1"/>
  <c r="D495" i="4" a="1"/>
  <c r="D495" i="4" s="1"/>
  <c r="B495" i="4"/>
  <c r="J494" i="4"/>
  <c r="E494" i="4" a="1"/>
  <c r="E494" i="4" s="1"/>
  <c r="D494" i="4" a="1"/>
  <c r="D494" i="4" s="1"/>
  <c r="B494" i="4"/>
  <c r="J493" i="4"/>
  <c r="E493" i="4" a="1"/>
  <c r="E493" i="4" s="1"/>
  <c r="D493" i="4" a="1"/>
  <c r="D493" i="4" s="1"/>
  <c r="B493" i="4"/>
  <c r="J492" i="4"/>
  <c r="E492" i="4" a="1"/>
  <c r="E492" i="4" s="1"/>
  <c r="H492" i="4" s="1"/>
  <c r="D492" i="4" a="1"/>
  <c r="D492" i="4" s="1"/>
  <c r="B492" i="4"/>
  <c r="J491" i="4"/>
  <c r="E491" i="4" a="1"/>
  <c r="E491" i="4" s="1"/>
  <c r="D491" i="4" a="1"/>
  <c r="D491" i="4" s="1"/>
  <c r="B491" i="4"/>
  <c r="J490" i="4"/>
  <c r="E490" i="4" a="1"/>
  <c r="E490" i="4" s="1"/>
  <c r="I490" i="4" s="1"/>
  <c r="D490" i="4" a="1"/>
  <c r="D490" i="4" s="1"/>
  <c r="B490" i="4"/>
  <c r="J489" i="4"/>
  <c r="E489" i="4" a="1"/>
  <c r="E489" i="4" s="1"/>
  <c r="D489" i="4" a="1"/>
  <c r="D489" i="4" s="1"/>
  <c r="B489" i="4"/>
  <c r="J488" i="4"/>
  <c r="E488" i="4" a="1"/>
  <c r="E488" i="4" s="1"/>
  <c r="D488" i="4" a="1"/>
  <c r="D488" i="4" s="1"/>
  <c r="B488" i="4"/>
  <c r="J487" i="4"/>
  <c r="E487" i="4" a="1"/>
  <c r="E487" i="4" s="1"/>
  <c r="G487" i="4" s="1" a="1"/>
  <c r="G487" i="4" s="1"/>
  <c r="D487" i="4" a="1"/>
  <c r="D487" i="4" s="1"/>
  <c r="B487" i="4"/>
  <c r="J486" i="4"/>
  <c r="E486" i="4" a="1"/>
  <c r="E486" i="4" s="1"/>
  <c r="G486" i="4" s="1" a="1"/>
  <c r="G486" i="4" s="1"/>
  <c r="D486" i="4" a="1"/>
  <c r="D486" i="4" s="1"/>
  <c r="B486" i="4"/>
  <c r="J485" i="4"/>
  <c r="E485" i="4" a="1"/>
  <c r="E485" i="4" s="1"/>
  <c r="D485" i="4" a="1"/>
  <c r="D485" i="4" s="1"/>
  <c r="B485" i="4"/>
  <c r="J484" i="4"/>
  <c r="E484" i="4" a="1"/>
  <c r="E484" i="4" s="1"/>
  <c r="H484" i="4" s="1"/>
  <c r="D484" i="4" a="1"/>
  <c r="D484" i="4" s="1"/>
  <c r="B484" i="4"/>
  <c r="J483" i="4"/>
  <c r="E483" i="4" a="1"/>
  <c r="E483" i="4" s="1"/>
  <c r="D483" i="4" a="1"/>
  <c r="D483" i="4" s="1"/>
  <c r="B483" i="4"/>
  <c r="J482" i="4"/>
  <c r="E482" i="4" a="1"/>
  <c r="E482" i="4" s="1"/>
  <c r="D482" i="4" a="1"/>
  <c r="D482" i="4" s="1"/>
  <c r="B482" i="4"/>
  <c r="J481" i="4"/>
  <c r="E481" i="4" a="1"/>
  <c r="E481" i="4" s="1"/>
  <c r="G481" i="4" s="1" a="1"/>
  <c r="G481" i="4" s="1"/>
  <c r="D481" i="4" a="1"/>
  <c r="D481" i="4" s="1"/>
  <c r="B481" i="4"/>
  <c r="J480" i="4"/>
  <c r="E480" i="4" a="1"/>
  <c r="E480" i="4" s="1"/>
  <c r="G480" i="4" s="1" a="1"/>
  <c r="G480" i="4" s="1"/>
  <c r="D480" i="4" a="1"/>
  <c r="D480" i="4" s="1"/>
  <c r="B480" i="4"/>
  <c r="J479" i="4"/>
  <c r="E479" i="4" a="1"/>
  <c r="E479" i="4" s="1"/>
  <c r="I479" i="4" s="1"/>
  <c r="D479" i="4" a="1"/>
  <c r="D479" i="4" s="1"/>
  <c r="B479" i="4"/>
  <c r="J478" i="4"/>
  <c r="E478" i="4" a="1"/>
  <c r="E478" i="4" s="1"/>
  <c r="D478" i="4" a="1"/>
  <c r="D478" i="4" s="1"/>
  <c r="B478" i="4"/>
  <c r="J477" i="4"/>
  <c r="E477" i="4" a="1"/>
  <c r="E477" i="4" s="1"/>
  <c r="D477" i="4" a="1"/>
  <c r="D477" i="4" s="1"/>
  <c r="B477" i="4"/>
  <c r="J476" i="4"/>
  <c r="E476" i="4" a="1"/>
  <c r="E476" i="4" s="1"/>
  <c r="I476" i="4" s="1"/>
  <c r="D476" i="4" a="1"/>
  <c r="D476" i="4" s="1"/>
  <c r="B476" i="4"/>
  <c r="J475" i="4"/>
  <c r="E475" i="4" a="1"/>
  <c r="E475" i="4" s="1"/>
  <c r="H475" i="4" s="1"/>
  <c r="D475" i="4" a="1"/>
  <c r="D475" i="4" s="1"/>
  <c r="B475" i="4"/>
  <c r="J474" i="4"/>
  <c r="E474" i="4" a="1"/>
  <c r="E474" i="4" s="1"/>
  <c r="G474" i="4" s="1" a="1"/>
  <c r="G474" i="4" s="1"/>
  <c r="D474" i="4" a="1"/>
  <c r="D474" i="4" s="1"/>
  <c r="B474" i="4"/>
  <c r="J473" i="4"/>
  <c r="E473" i="4" a="1"/>
  <c r="E473" i="4" s="1"/>
  <c r="H473" i="4" s="1"/>
  <c r="D473" i="4" a="1"/>
  <c r="D473" i="4" s="1"/>
  <c r="B473" i="4"/>
  <c r="J472" i="4"/>
  <c r="E472" i="4" a="1"/>
  <c r="E472" i="4" s="1"/>
  <c r="D472" i="4" a="1"/>
  <c r="D472" i="4" s="1"/>
  <c r="B472" i="4"/>
  <c r="J471" i="4"/>
  <c r="E471" i="4" a="1"/>
  <c r="E471" i="4" s="1"/>
  <c r="I471" i="4" s="1"/>
  <c r="D471" i="4" a="1"/>
  <c r="D471" i="4" s="1"/>
  <c r="B471" i="4"/>
  <c r="J470" i="4"/>
  <c r="E470" i="4" a="1"/>
  <c r="E470" i="4" s="1"/>
  <c r="D470" i="4" a="1"/>
  <c r="D470" i="4" s="1"/>
  <c r="B470" i="4"/>
  <c r="J469" i="4"/>
  <c r="E469" i="4" a="1"/>
  <c r="E469" i="4" s="1"/>
  <c r="D469" i="4" a="1"/>
  <c r="D469" i="4" s="1"/>
  <c r="B469" i="4"/>
  <c r="J468" i="4"/>
  <c r="E468" i="4" a="1"/>
  <c r="E468" i="4" s="1"/>
  <c r="D468" i="4" a="1"/>
  <c r="D468" i="4" s="1"/>
  <c r="B468" i="4"/>
  <c r="J467" i="4"/>
  <c r="E467" i="4" a="1"/>
  <c r="E467" i="4" s="1"/>
  <c r="D467" i="4" a="1"/>
  <c r="D467" i="4" s="1"/>
  <c r="B467" i="4"/>
  <c r="J466" i="4"/>
  <c r="E466" i="4" a="1"/>
  <c r="E466" i="4" s="1"/>
  <c r="G466" i="4" s="1" a="1"/>
  <c r="G466" i="4" s="1"/>
  <c r="D466" i="4" a="1"/>
  <c r="D466" i="4" s="1"/>
  <c r="B466" i="4"/>
  <c r="J465" i="4"/>
  <c r="E465" i="4" a="1"/>
  <c r="E465" i="4" s="1"/>
  <c r="D465" i="4" a="1"/>
  <c r="D465" i="4" s="1"/>
  <c r="B465" i="4"/>
  <c r="J464" i="4"/>
  <c r="E464" i="4" a="1"/>
  <c r="E464" i="4" s="1"/>
  <c r="D464" i="4" a="1"/>
  <c r="D464" i="4" s="1"/>
  <c r="B464" i="4"/>
  <c r="J463" i="4"/>
  <c r="E463" i="4" a="1"/>
  <c r="E463" i="4" s="1"/>
  <c r="I463" i="4" s="1"/>
  <c r="D463" i="4" a="1"/>
  <c r="D463" i="4" s="1"/>
  <c r="B463" i="4"/>
  <c r="J462" i="4"/>
  <c r="E462" i="4" a="1"/>
  <c r="E462" i="4" s="1"/>
  <c r="D462" i="4" a="1"/>
  <c r="D462" i="4" s="1"/>
  <c r="B462" i="4"/>
  <c r="J461" i="4"/>
  <c r="E461" i="4" a="1"/>
  <c r="E461" i="4" s="1"/>
  <c r="I461" i="4" s="1"/>
  <c r="D461" i="4" a="1"/>
  <c r="D461" i="4" s="1"/>
  <c r="B461" i="4"/>
  <c r="J460" i="4"/>
  <c r="E460" i="4" a="1"/>
  <c r="E460" i="4" s="1"/>
  <c r="D460" i="4" a="1"/>
  <c r="D460" i="4" s="1"/>
  <c r="B460" i="4"/>
  <c r="J459" i="4"/>
  <c r="E459" i="4" a="1"/>
  <c r="E459" i="4" s="1"/>
  <c r="D459" i="4" a="1"/>
  <c r="D459" i="4" s="1"/>
  <c r="B459" i="4"/>
  <c r="J458" i="4"/>
  <c r="E458" i="4" a="1"/>
  <c r="E458" i="4" s="1"/>
  <c r="D458" i="4" a="1"/>
  <c r="D458" i="4" s="1"/>
  <c r="B458" i="4"/>
  <c r="J457" i="4"/>
  <c r="E457" i="4" a="1"/>
  <c r="E457" i="4" s="1"/>
  <c r="H457" i="4" s="1"/>
  <c r="D457" i="4" a="1"/>
  <c r="D457" i="4" s="1"/>
  <c r="B457" i="4"/>
  <c r="J456" i="4"/>
  <c r="E456" i="4" a="1"/>
  <c r="E456" i="4" s="1"/>
  <c r="I456" i="4" s="1"/>
  <c r="D456" i="4" a="1"/>
  <c r="D456" i="4" s="1"/>
  <c r="B456" i="4"/>
  <c r="J455" i="4"/>
  <c r="E455" i="4" a="1"/>
  <c r="E455" i="4" s="1"/>
  <c r="D455" i="4" a="1"/>
  <c r="D455" i="4" s="1"/>
  <c r="B455" i="4"/>
  <c r="J454" i="4"/>
  <c r="E454" i="4" a="1"/>
  <c r="E454" i="4" s="1"/>
  <c r="D454" i="4" a="1"/>
  <c r="D454" i="4" s="1"/>
  <c r="B454" i="4"/>
  <c r="J453" i="4"/>
  <c r="E453" i="4" a="1"/>
  <c r="E453" i="4" s="1"/>
  <c r="D453" i="4" a="1"/>
  <c r="D453" i="4" s="1"/>
  <c r="B453" i="4"/>
  <c r="J452" i="4"/>
  <c r="E452" i="4" a="1"/>
  <c r="E452" i="4" s="1"/>
  <c r="D452" i="4" a="1"/>
  <c r="D452" i="4" s="1"/>
  <c r="B452" i="4"/>
  <c r="J451" i="4"/>
  <c r="E451" i="4" a="1"/>
  <c r="E451" i="4" s="1"/>
  <c r="D451" i="4" a="1"/>
  <c r="D451" i="4" s="1"/>
  <c r="B451" i="4"/>
  <c r="J450" i="4"/>
  <c r="E450" i="4" a="1"/>
  <c r="E450" i="4" s="1"/>
  <c r="I450" i="4" s="1"/>
  <c r="D450" i="4" a="1"/>
  <c r="D450" i="4" s="1"/>
  <c r="B450" i="4"/>
  <c r="J449" i="4"/>
  <c r="E449" i="4" a="1"/>
  <c r="E449" i="4" s="1"/>
  <c r="D449" i="4" a="1"/>
  <c r="D449" i="4" s="1"/>
  <c r="B449" i="4"/>
  <c r="J448" i="4"/>
  <c r="E448" i="4" a="1"/>
  <c r="E448" i="4" s="1"/>
  <c r="D448" i="4" a="1"/>
  <c r="D448" i="4" s="1"/>
  <c r="B448" i="4"/>
  <c r="J447" i="4"/>
  <c r="E447" i="4" a="1"/>
  <c r="E447" i="4" s="1"/>
  <c r="D447" i="4" a="1"/>
  <c r="D447" i="4" s="1"/>
  <c r="B447" i="4"/>
  <c r="J446" i="4"/>
  <c r="E446" i="4" a="1"/>
  <c r="E446" i="4" s="1"/>
  <c r="D446" i="4" a="1"/>
  <c r="D446" i="4" s="1"/>
  <c r="B446" i="4"/>
  <c r="J445" i="4"/>
  <c r="E445" i="4" a="1"/>
  <c r="E445" i="4" s="1"/>
  <c r="I445" i="4" s="1"/>
  <c r="D445" i="4" a="1"/>
  <c r="D445" i="4" s="1"/>
  <c r="B445" i="4"/>
  <c r="J444" i="4"/>
  <c r="E444" i="4" a="1"/>
  <c r="E444" i="4" s="1"/>
  <c r="D444" i="4" a="1"/>
  <c r="D444" i="4" s="1"/>
  <c r="B444" i="4"/>
  <c r="J443" i="4"/>
  <c r="E443" i="4" a="1"/>
  <c r="E443" i="4" s="1"/>
  <c r="D443" i="4" a="1"/>
  <c r="D443" i="4" s="1"/>
  <c r="B443" i="4"/>
  <c r="J442" i="4"/>
  <c r="E442" i="4" a="1"/>
  <c r="E442" i="4" s="1"/>
  <c r="D442" i="4" a="1"/>
  <c r="D442" i="4" s="1"/>
  <c r="B442" i="4"/>
  <c r="J441" i="4"/>
  <c r="E441" i="4" a="1"/>
  <c r="E441" i="4" s="1"/>
  <c r="I441" i="4" s="1"/>
  <c r="D441" i="4" a="1"/>
  <c r="D441" i="4" s="1"/>
  <c r="B441" i="4"/>
  <c r="J440" i="4"/>
  <c r="E440" i="4" a="1"/>
  <c r="E440" i="4" s="1"/>
  <c r="D440" i="4" a="1"/>
  <c r="D440" i="4" s="1"/>
  <c r="B440" i="4"/>
  <c r="J439" i="4"/>
  <c r="E439" i="4" a="1"/>
  <c r="E439" i="4" s="1"/>
  <c r="I439" i="4" s="1"/>
  <c r="D439" i="4" a="1"/>
  <c r="D439" i="4" s="1"/>
  <c r="B439" i="4"/>
  <c r="J438" i="4"/>
  <c r="E438" i="4" a="1"/>
  <c r="E438" i="4" s="1"/>
  <c r="D438" i="4" a="1"/>
  <c r="D438" i="4" s="1"/>
  <c r="B438" i="4"/>
  <c r="J437" i="4"/>
  <c r="E437" i="4" a="1"/>
  <c r="E437" i="4" s="1"/>
  <c r="D437" i="4" a="1"/>
  <c r="D437" i="4" s="1"/>
  <c r="B437" i="4"/>
  <c r="J436" i="4"/>
  <c r="E436" i="4" a="1"/>
  <c r="E436" i="4" s="1"/>
  <c r="D436" i="4" a="1"/>
  <c r="D436" i="4" s="1"/>
  <c r="B436" i="4"/>
  <c r="J435" i="4"/>
  <c r="E435" i="4" a="1"/>
  <c r="E435" i="4" s="1"/>
  <c r="H435" i="4" s="1"/>
  <c r="D435" i="4" a="1"/>
  <c r="D435" i="4" s="1"/>
  <c r="B435" i="4"/>
  <c r="J434" i="4"/>
  <c r="E434" i="4" a="1"/>
  <c r="E434" i="4" s="1"/>
  <c r="D434" i="4" a="1"/>
  <c r="D434" i="4" s="1"/>
  <c r="B434" i="4"/>
  <c r="J433" i="4"/>
  <c r="E433" i="4" a="1"/>
  <c r="E433" i="4" s="1"/>
  <c r="D433" i="4" a="1"/>
  <c r="D433" i="4" s="1"/>
  <c r="B433" i="4"/>
  <c r="J432" i="4"/>
  <c r="E432" i="4" a="1"/>
  <c r="E432" i="4" s="1"/>
  <c r="D432" i="4" a="1"/>
  <c r="D432" i="4" s="1"/>
  <c r="B432" i="4"/>
  <c r="J431" i="4"/>
  <c r="E431" i="4" a="1"/>
  <c r="E431" i="4" s="1"/>
  <c r="D431" i="4" a="1"/>
  <c r="D431" i="4" s="1"/>
  <c r="B431" i="4"/>
  <c r="J430" i="4"/>
  <c r="E430" i="4" a="1"/>
  <c r="E430" i="4" s="1"/>
  <c r="D430" i="4" a="1"/>
  <c r="D430" i="4" s="1"/>
  <c r="B430" i="4"/>
  <c r="J429" i="4"/>
  <c r="E429" i="4" a="1"/>
  <c r="E429" i="4" s="1"/>
  <c r="D429" i="4" a="1"/>
  <c r="D429" i="4" s="1"/>
  <c r="B429" i="4"/>
  <c r="J428" i="4"/>
  <c r="E428" i="4" a="1"/>
  <c r="E428" i="4" s="1"/>
  <c r="D428" i="4" a="1"/>
  <c r="D428" i="4" s="1"/>
  <c r="B428" i="4"/>
  <c r="J427" i="4"/>
  <c r="E427" i="4" a="1"/>
  <c r="E427" i="4" s="1"/>
  <c r="D427" i="4" a="1"/>
  <c r="D427" i="4" s="1"/>
  <c r="B427" i="4"/>
  <c r="J426" i="4"/>
  <c r="E426" i="4" a="1"/>
  <c r="E426" i="4" s="1"/>
  <c r="I426" i="4" s="1"/>
  <c r="D426" i="4" a="1"/>
  <c r="D426" i="4" s="1"/>
  <c r="B426" i="4"/>
  <c r="J425" i="4"/>
  <c r="E425" i="4" a="1"/>
  <c r="E425" i="4" s="1"/>
  <c r="D425" i="4" a="1"/>
  <c r="D425" i="4" s="1"/>
  <c r="B425" i="4"/>
  <c r="J424" i="4"/>
  <c r="E424" i="4" a="1"/>
  <c r="E424" i="4" s="1"/>
  <c r="D424" i="4" a="1"/>
  <c r="D424" i="4" s="1"/>
  <c r="B424" i="4"/>
  <c r="J423" i="4"/>
  <c r="E423" i="4" a="1"/>
  <c r="E423" i="4" s="1"/>
  <c r="I423" i="4" s="1"/>
  <c r="D423" i="4" a="1"/>
  <c r="D423" i="4" s="1"/>
  <c r="B423" i="4"/>
  <c r="J422" i="4"/>
  <c r="E422" i="4" a="1"/>
  <c r="E422" i="4" s="1"/>
  <c r="G422" i="4" s="1" a="1"/>
  <c r="G422" i="4" s="1"/>
  <c r="D422" i="4" a="1"/>
  <c r="D422" i="4" s="1"/>
  <c r="B422" i="4"/>
  <c r="J421" i="4"/>
  <c r="E421" i="4" a="1"/>
  <c r="E421" i="4" s="1"/>
  <c r="D421" i="4" a="1"/>
  <c r="D421" i="4" s="1"/>
  <c r="B421" i="4"/>
  <c r="J420" i="4"/>
  <c r="E420" i="4" a="1"/>
  <c r="E420" i="4" s="1"/>
  <c r="D420" i="4" a="1"/>
  <c r="D420" i="4" s="1"/>
  <c r="B420" i="4"/>
  <c r="J419" i="4"/>
  <c r="E419" i="4" a="1"/>
  <c r="E419" i="4" s="1"/>
  <c r="D419" i="4" a="1"/>
  <c r="D419" i="4" s="1"/>
  <c r="B419" i="4"/>
  <c r="J418" i="4"/>
  <c r="E418" i="4" a="1"/>
  <c r="E418" i="4" s="1"/>
  <c r="D418" i="4" a="1"/>
  <c r="D418" i="4" s="1"/>
  <c r="B418" i="4"/>
  <c r="J417" i="4"/>
  <c r="E417" i="4" a="1"/>
  <c r="E417" i="4" s="1"/>
  <c r="D417" i="4" a="1"/>
  <c r="D417" i="4" s="1"/>
  <c r="B417" i="4"/>
  <c r="J416" i="4"/>
  <c r="E416" i="4" a="1"/>
  <c r="E416" i="4" s="1"/>
  <c r="H416" i="4" s="1"/>
  <c r="D416" i="4" a="1"/>
  <c r="D416" i="4" s="1"/>
  <c r="B416" i="4"/>
  <c r="J415" i="4"/>
  <c r="E415" i="4" a="1"/>
  <c r="E415" i="4" s="1"/>
  <c r="H415" i="4" s="1"/>
  <c r="D415" i="4" a="1"/>
  <c r="D415" i="4" s="1"/>
  <c r="B415" i="4"/>
  <c r="J414" i="4"/>
  <c r="E414" i="4" a="1"/>
  <c r="E414" i="4" s="1"/>
  <c r="D414" i="4" a="1"/>
  <c r="D414" i="4" s="1"/>
  <c r="B414" i="4"/>
  <c r="J413" i="4"/>
  <c r="E413" i="4" a="1"/>
  <c r="E413" i="4" s="1"/>
  <c r="D413" i="4" a="1"/>
  <c r="D413" i="4" s="1"/>
  <c r="B413" i="4"/>
  <c r="J412" i="4"/>
  <c r="E412" i="4" a="1"/>
  <c r="E412" i="4" s="1"/>
  <c r="I412" i="4" s="1"/>
  <c r="D412" i="4" a="1"/>
  <c r="D412" i="4" s="1"/>
  <c r="B412" i="4"/>
  <c r="J411" i="4"/>
  <c r="E411" i="4" a="1"/>
  <c r="E411" i="4" s="1"/>
  <c r="H411" i="4" s="1"/>
  <c r="D411" i="4" a="1"/>
  <c r="D411" i="4" s="1"/>
  <c r="B411" i="4"/>
  <c r="J410" i="4"/>
  <c r="E410" i="4" a="1"/>
  <c r="E410" i="4" s="1"/>
  <c r="G410" i="4" s="1" a="1"/>
  <c r="G410" i="4" s="1"/>
  <c r="D410" i="4" a="1"/>
  <c r="D410" i="4" s="1"/>
  <c r="B410" i="4"/>
  <c r="J409" i="4"/>
  <c r="E409" i="4" a="1"/>
  <c r="E409" i="4" s="1"/>
  <c r="D409" i="4" a="1"/>
  <c r="D409" i="4" s="1"/>
  <c r="B409" i="4"/>
  <c r="J408" i="4"/>
  <c r="E408" i="4" a="1"/>
  <c r="E408" i="4" s="1"/>
  <c r="I408" i="4" s="1"/>
  <c r="D408" i="4" a="1"/>
  <c r="D408" i="4" s="1"/>
  <c r="B408" i="4"/>
  <c r="J407" i="4"/>
  <c r="E407" i="4" a="1"/>
  <c r="E407" i="4" s="1"/>
  <c r="I407" i="4" s="1"/>
  <c r="D407" i="4" a="1"/>
  <c r="D407" i="4" s="1"/>
  <c r="B407" i="4"/>
  <c r="J406" i="4"/>
  <c r="E406" i="4" a="1"/>
  <c r="E406" i="4" s="1"/>
  <c r="D406" i="4" a="1"/>
  <c r="D406" i="4" s="1"/>
  <c r="B406" i="4"/>
  <c r="J405" i="4"/>
  <c r="E405" i="4" a="1"/>
  <c r="E405" i="4" s="1"/>
  <c r="D405" i="4" a="1"/>
  <c r="D405" i="4" s="1"/>
  <c r="B405" i="4"/>
  <c r="J404" i="4"/>
  <c r="E404" i="4" a="1"/>
  <c r="E404" i="4" s="1"/>
  <c r="D404" i="4" a="1"/>
  <c r="D404" i="4" s="1"/>
  <c r="B404" i="4"/>
  <c r="J403" i="4"/>
  <c r="E403" i="4" a="1"/>
  <c r="E403" i="4" s="1"/>
  <c r="D403" i="4" a="1"/>
  <c r="D403" i="4" s="1"/>
  <c r="B403" i="4"/>
  <c r="J402" i="4"/>
  <c r="E402" i="4" a="1"/>
  <c r="E402" i="4" s="1"/>
  <c r="G402" i="4" s="1" a="1"/>
  <c r="G402" i="4" s="1"/>
  <c r="D402" i="4" a="1"/>
  <c r="D402" i="4" s="1"/>
  <c r="B402" i="4"/>
  <c r="J401" i="4"/>
  <c r="E401" i="4" a="1"/>
  <c r="E401" i="4" s="1"/>
  <c r="D401" i="4" a="1"/>
  <c r="D401" i="4" s="1"/>
  <c r="B401" i="4"/>
  <c r="J400" i="4"/>
  <c r="E400" i="4" a="1"/>
  <c r="E400" i="4" s="1"/>
  <c r="D400" i="4" a="1"/>
  <c r="D400" i="4" s="1"/>
  <c r="B400" i="4"/>
  <c r="J399" i="4"/>
  <c r="E399" i="4" a="1"/>
  <c r="E399" i="4" s="1"/>
  <c r="I399" i="4" s="1"/>
  <c r="D399" i="4" a="1"/>
  <c r="D399" i="4" s="1"/>
  <c r="B399" i="4"/>
  <c r="J398" i="4"/>
  <c r="E398" i="4" a="1"/>
  <c r="E398" i="4" s="1"/>
  <c r="D398" i="4" a="1"/>
  <c r="D398" i="4" s="1"/>
  <c r="B398" i="4"/>
  <c r="J397" i="4"/>
  <c r="E397" i="4" a="1"/>
  <c r="E397" i="4" s="1"/>
  <c r="D397" i="4" a="1"/>
  <c r="D397" i="4" s="1"/>
  <c r="B397" i="4"/>
  <c r="J396" i="4"/>
  <c r="E396" i="4" a="1"/>
  <c r="E396" i="4" s="1"/>
  <c r="D396" i="4" a="1"/>
  <c r="D396" i="4" s="1"/>
  <c r="B396" i="4"/>
  <c r="J395" i="4"/>
  <c r="E395" i="4" a="1"/>
  <c r="E395" i="4" s="1"/>
  <c r="D395" i="4" a="1"/>
  <c r="D395" i="4" s="1"/>
  <c r="B395" i="4"/>
  <c r="J394" i="4"/>
  <c r="E394" i="4" a="1"/>
  <c r="E394" i="4" s="1"/>
  <c r="G394" i="4" s="1" a="1"/>
  <c r="G394" i="4" s="1"/>
  <c r="D394" i="4" a="1"/>
  <c r="D394" i="4" s="1"/>
  <c r="B394" i="4"/>
  <c r="J393" i="4"/>
  <c r="E393" i="4" a="1"/>
  <c r="E393" i="4" s="1"/>
  <c r="D393" i="4" a="1"/>
  <c r="D393" i="4" s="1"/>
  <c r="B393" i="4"/>
  <c r="J392" i="4"/>
  <c r="E392" i="4" a="1"/>
  <c r="E392" i="4" s="1"/>
  <c r="I392" i="4" s="1"/>
  <c r="D392" i="4" a="1"/>
  <c r="D392" i="4" s="1"/>
  <c r="B392" i="4"/>
  <c r="J391" i="4"/>
  <c r="E391" i="4" a="1"/>
  <c r="E391" i="4" s="1"/>
  <c r="G391" i="4" s="1" a="1"/>
  <c r="G391" i="4" s="1"/>
  <c r="D391" i="4" a="1"/>
  <c r="D391" i="4" s="1"/>
  <c r="B391" i="4"/>
  <c r="J390" i="4"/>
  <c r="E390" i="4" a="1"/>
  <c r="E390" i="4" s="1"/>
  <c r="D390" i="4" a="1"/>
  <c r="D390" i="4" s="1"/>
  <c r="B390" i="4"/>
  <c r="J389" i="4"/>
  <c r="E389" i="4" a="1"/>
  <c r="E389" i="4" s="1"/>
  <c r="D389" i="4" a="1"/>
  <c r="D389" i="4" s="1"/>
  <c r="B389" i="4"/>
  <c r="J388" i="4"/>
  <c r="E388" i="4" a="1"/>
  <c r="E388" i="4" s="1"/>
  <c r="D388" i="4" a="1"/>
  <c r="D388" i="4" s="1"/>
  <c r="B388" i="4"/>
  <c r="J387" i="4"/>
  <c r="E387" i="4" a="1"/>
  <c r="E387" i="4" s="1"/>
  <c r="H387" i="4" s="1"/>
  <c r="D387" i="4" a="1"/>
  <c r="D387" i="4" s="1"/>
  <c r="B387" i="4"/>
  <c r="J386" i="4"/>
  <c r="E386" i="4" a="1"/>
  <c r="E386" i="4" s="1"/>
  <c r="G386" i="4" s="1" a="1"/>
  <c r="G386" i="4" s="1"/>
  <c r="D386" i="4" a="1"/>
  <c r="D386" i="4" s="1"/>
  <c r="B386" i="4"/>
  <c r="J385" i="4"/>
  <c r="E385" i="4" a="1"/>
  <c r="E385" i="4" s="1"/>
  <c r="D385" i="4" a="1"/>
  <c r="D385" i="4" s="1"/>
  <c r="B385" i="4"/>
  <c r="J384" i="4"/>
  <c r="E384" i="4" a="1"/>
  <c r="E384" i="4" s="1"/>
  <c r="D384" i="4" a="1"/>
  <c r="D384" i="4" s="1"/>
  <c r="B384" i="4"/>
  <c r="J383" i="4"/>
  <c r="E383" i="4" a="1"/>
  <c r="E383" i="4" s="1"/>
  <c r="D383" i="4" a="1"/>
  <c r="D383" i="4" s="1"/>
  <c r="B383" i="4"/>
  <c r="J382" i="4"/>
  <c r="E382" i="4" a="1"/>
  <c r="E382" i="4" s="1"/>
  <c r="G382" i="4" s="1" a="1"/>
  <c r="G382" i="4" s="1"/>
  <c r="D382" i="4" a="1"/>
  <c r="D382" i="4" s="1"/>
  <c r="B382" i="4"/>
  <c r="J381" i="4"/>
  <c r="E381" i="4" a="1"/>
  <c r="E381" i="4" s="1"/>
  <c r="I381" i="4" s="1"/>
  <c r="D381" i="4" a="1"/>
  <c r="D381" i="4" s="1"/>
  <c r="B381" i="4"/>
  <c r="J380" i="4"/>
  <c r="E380" i="4" a="1"/>
  <c r="E380" i="4" s="1"/>
  <c r="D380" i="4" a="1"/>
  <c r="D380" i="4" s="1"/>
  <c r="B380" i="4"/>
  <c r="J379" i="4"/>
  <c r="E379" i="4" a="1"/>
  <c r="E379" i="4" s="1"/>
  <c r="D379" i="4" a="1"/>
  <c r="D379" i="4" s="1"/>
  <c r="B379" i="4"/>
  <c r="J378" i="4"/>
  <c r="E378" i="4" a="1"/>
  <c r="E378" i="4" s="1"/>
  <c r="D378" i="4" a="1"/>
  <c r="D378" i="4" s="1"/>
  <c r="B378" i="4"/>
  <c r="J377" i="4"/>
  <c r="E377" i="4" a="1"/>
  <c r="E377" i="4" s="1"/>
  <c r="I377" i="4" s="1"/>
  <c r="D377" i="4" a="1"/>
  <c r="D377" i="4" s="1"/>
  <c r="B377" i="4"/>
  <c r="J376" i="4"/>
  <c r="E376" i="4" a="1"/>
  <c r="E376" i="4" s="1"/>
  <c r="D376" i="4" a="1"/>
  <c r="D376" i="4" s="1"/>
  <c r="B376" i="4"/>
  <c r="J375" i="4"/>
  <c r="E375" i="4" a="1"/>
  <c r="E375" i="4" s="1"/>
  <c r="D375" i="4" a="1"/>
  <c r="D375" i="4" s="1"/>
  <c r="B375" i="4"/>
  <c r="J374" i="4"/>
  <c r="E374" i="4" a="1"/>
  <c r="E374" i="4" s="1"/>
  <c r="G374" i="4" s="1" a="1"/>
  <c r="G374" i="4" s="1"/>
  <c r="D374" i="4" a="1"/>
  <c r="D374" i="4" s="1"/>
  <c r="B374" i="4"/>
  <c r="J373" i="4"/>
  <c r="E373" i="4" a="1"/>
  <c r="E373" i="4" s="1"/>
  <c r="D373" i="4" a="1"/>
  <c r="D373" i="4" s="1"/>
  <c r="B373" i="4"/>
  <c r="J372" i="4"/>
  <c r="E372" i="4" a="1"/>
  <c r="E372" i="4" s="1"/>
  <c r="D372" i="4" a="1"/>
  <c r="D372" i="4" s="1"/>
  <c r="B372" i="4"/>
  <c r="J371" i="4"/>
  <c r="E371" i="4" a="1"/>
  <c r="E371" i="4" s="1"/>
  <c r="D371" i="4" a="1"/>
  <c r="D371" i="4" s="1"/>
  <c r="B371" i="4"/>
  <c r="J370" i="4"/>
  <c r="E370" i="4" a="1"/>
  <c r="E370" i="4" s="1"/>
  <c r="I370" i="4" s="1"/>
  <c r="D370" i="4" a="1"/>
  <c r="D370" i="4" s="1"/>
  <c r="B370" i="4"/>
  <c r="J369" i="4"/>
  <c r="E369" i="4" a="1"/>
  <c r="E369" i="4" s="1"/>
  <c r="D369" i="4" a="1"/>
  <c r="D369" i="4" s="1"/>
  <c r="B369" i="4"/>
  <c r="J368" i="4"/>
  <c r="E368" i="4" a="1"/>
  <c r="E368" i="4" s="1"/>
  <c r="D368" i="4" a="1"/>
  <c r="D368" i="4" s="1"/>
  <c r="B368" i="4"/>
  <c r="J367" i="4"/>
  <c r="E367" i="4" a="1"/>
  <c r="E367" i="4" s="1"/>
  <c r="D367" i="4" a="1"/>
  <c r="D367" i="4" s="1"/>
  <c r="B367" i="4"/>
  <c r="J366" i="4"/>
  <c r="E366" i="4" a="1"/>
  <c r="E366" i="4" s="1"/>
  <c r="D366" i="4" a="1"/>
  <c r="D366" i="4" s="1"/>
  <c r="B366" i="4"/>
  <c r="J365" i="4"/>
  <c r="E365" i="4" a="1"/>
  <c r="E365" i="4" s="1"/>
  <c r="D365" i="4" a="1"/>
  <c r="D365" i="4" s="1"/>
  <c r="B365" i="4"/>
  <c r="J364" i="4"/>
  <c r="E364" i="4" a="1"/>
  <c r="E364" i="4" s="1"/>
  <c r="H364" i="4" s="1"/>
  <c r="D364" i="4" a="1"/>
  <c r="D364" i="4" s="1"/>
  <c r="B364" i="4"/>
  <c r="J363" i="4"/>
  <c r="E363" i="4" a="1"/>
  <c r="E363" i="4" s="1"/>
  <c r="H363" i="4" s="1"/>
  <c r="D363" i="4" a="1"/>
  <c r="D363" i="4" s="1"/>
  <c r="B363" i="4"/>
  <c r="J362" i="4"/>
  <c r="E362" i="4" a="1"/>
  <c r="E362" i="4" s="1"/>
  <c r="I362" i="4" s="1"/>
  <c r="D362" i="4" a="1"/>
  <c r="D362" i="4" s="1"/>
  <c r="B362" i="4"/>
  <c r="J361" i="4"/>
  <c r="E361" i="4" a="1"/>
  <c r="E361" i="4" s="1"/>
  <c r="D361" i="4" a="1"/>
  <c r="D361" i="4" s="1"/>
  <c r="B361" i="4"/>
  <c r="J360" i="4"/>
  <c r="E360" i="4" a="1"/>
  <c r="E360" i="4" s="1"/>
  <c r="D360" i="4" a="1"/>
  <c r="D360" i="4" s="1"/>
  <c r="B360" i="4"/>
  <c r="J359" i="4"/>
  <c r="E359" i="4" a="1"/>
  <c r="E359" i="4" s="1"/>
  <c r="D359" i="4" a="1"/>
  <c r="D359" i="4" s="1"/>
  <c r="B359" i="4"/>
  <c r="J358" i="4"/>
  <c r="E358" i="4" a="1"/>
  <c r="E358" i="4" s="1"/>
  <c r="G358" i="4" s="1" a="1"/>
  <c r="G358" i="4" s="1"/>
  <c r="D358" i="4" a="1"/>
  <c r="D358" i="4" s="1"/>
  <c r="B358" i="4"/>
  <c r="J357" i="4"/>
  <c r="E357" i="4" a="1"/>
  <c r="E357" i="4" s="1"/>
  <c r="D357" i="4" a="1"/>
  <c r="D357" i="4" s="1"/>
  <c r="B357" i="4"/>
  <c r="J356" i="4"/>
  <c r="E356" i="4" a="1"/>
  <c r="E356" i="4" s="1"/>
  <c r="D356" i="4" a="1"/>
  <c r="D356" i="4" s="1"/>
  <c r="B356" i="4"/>
  <c r="J355" i="4"/>
  <c r="E355" i="4" a="1"/>
  <c r="E355" i="4" s="1"/>
  <c r="D355" i="4" a="1"/>
  <c r="D355" i="4" s="1"/>
  <c r="B355" i="4"/>
  <c r="J354" i="4"/>
  <c r="E354" i="4" a="1"/>
  <c r="E354" i="4" s="1"/>
  <c r="D354" i="4" a="1"/>
  <c r="D354" i="4" s="1"/>
  <c r="B354" i="4"/>
  <c r="J353" i="4"/>
  <c r="E353" i="4" a="1"/>
  <c r="E353" i="4" s="1"/>
  <c r="D353" i="4" a="1"/>
  <c r="D353" i="4" s="1"/>
  <c r="B353" i="4"/>
  <c r="J352" i="4"/>
  <c r="E352" i="4" a="1"/>
  <c r="E352" i="4" s="1"/>
  <c r="I352" i="4" s="1"/>
  <c r="D352" i="4" a="1"/>
  <c r="D352" i="4" s="1"/>
  <c r="B352" i="4"/>
  <c r="J351" i="4"/>
  <c r="E351" i="4" a="1"/>
  <c r="E351" i="4" s="1"/>
  <c r="H351" i="4" s="1"/>
  <c r="D351" i="4" a="1"/>
  <c r="D351" i="4" s="1"/>
  <c r="B351" i="4"/>
  <c r="J350" i="4"/>
  <c r="E350" i="4" a="1"/>
  <c r="E350" i="4" s="1"/>
  <c r="D350" i="4" a="1"/>
  <c r="D350" i="4" s="1"/>
  <c r="B350" i="4"/>
  <c r="J349" i="4"/>
  <c r="E349" i="4" a="1"/>
  <c r="E349" i="4" s="1"/>
  <c r="D349" i="4" a="1"/>
  <c r="D349" i="4" s="1"/>
  <c r="B349" i="4"/>
  <c r="J348" i="4"/>
  <c r="E348" i="4" a="1"/>
  <c r="E348" i="4" s="1"/>
  <c r="I348" i="4" s="1"/>
  <c r="D348" i="4" a="1"/>
  <c r="D348" i="4" s="1"/>
  <c r="B348" i="4"/>
  <c r="J347" i="4"/>
  <c r="E347" i="4" a="1"/>
  <c r="E347" i="4" s="1"/>
  <c r="H347" i="4" s="1"/>
  <c r="D347" i="4" a="1"/>
  <c r="D347" i="4" s="1"/>
  <c r="B347" i="4"/>
  <c r="J346" i="4"/>
  <c r="E346" i="4" a="1"/>
  <c r="E346" i="4" s="1"/>
  <c r="D346" i="4" a="1"/>
  <c r="D346" i="4" s="1"/>
  <c r="B346" i="4"/>
  <c r="J345" i="4"/>
  <c r="E345" i="4" a="1"/>
  <c r="E345" i="4" s="1"/>
  <c r="D345" i="4" a="1"/>
  <c r="D345" i="4" s="1"/>
  <c r="B345" i="4"/>
  <c r="J344" i="4"/>
  <c r="E344" i="4" a="1"/>
  <c r="E344" i="4" s="1"/>
  <c r="I344" i="4" s="1"/>
  <c r="D344" i="4" a="1"/>
  <c r="D344" i="4" s="1"/>
  <c r="B344" i="4"/>
  <c r="J343" i="4"/>
  <c r="E343" i="4" a="1"/>
  <c r="E343" i="4" s="1"/>
  <c r="I343" i="4" s="1"/>
  <c r="D343" i="4" a="1"/>
  <c r="D343" i="4" s="1"/>
  <c r="B343" i="4"/>
  <c r="J342" i="4"/>
  <c r="E342" i="4" a="1"/>
  <c r="E342" i="4" s="1"/>
  <c r="D342" i="4" a="1"/>
  <c r="D342" i="4" s="1"/>
  <c r="B342" i="4"/>
  <c r="J341" i="4"/>
  <c r="E341" i="4" a="1"/>
  <c r="E341" i="4" s="1"/>
  <c r="D341" i="4" a="1"/>
  <c r="D341" i="4" s="1"/>
  <c r="B341" i="4"/>
  <c r="J340" i="4"/>
  <c r="E340" i="4" a="1"/>
  <c r="E340" i="4" s="1"/>
  <c r="D340" i="4" a="1"/>
  <c r="D340" i="4" s="1"/>
  <c r="B340" i="4"/>
  <c r="J339" i="4"/>
  <c r="E339" i="4" a="1"/>
  <c r="E339" i="4" s="1"/>
  <c r="D339" i="4" a="1"/>
  <c r="D339" i="4" s="1"/>
  <c r="B339" i="4"/>
  <c r="J338" i="4"/>
  <c r="E338" i="4" a="1"/>
  <c r="E338" i="4" s="1"/>
  <c r="D338" i="4" a="1"/>
  <c r="D338" i="4" s="1"/>
  <c r="B338" i="4"/>
  <c r="J337" i="4"/>
  <c r="E337" i="4" a="1"/>
  <c r="E337" i="4" s="1"/>
  <c r="I337" i="4" s="1"/>
  <c r="D337" i="4" a="1"/>
  <c r="D337" i="4" s="1"/>
  <c r="B337" i="4"/>
  <c r="J336" i="4"/>
  <c r="E336" i="4" a="1"/>
  <c r="E336" i="4" s="1"/>
  <c r="D336" i="4" a="1"/>
  <c r="D336" i="4" s="1"/>
  <c r="B336" i="4"/>
  <c r="J335" i="4"/>
  <c r="E335" i="4" a="1"/>
  <c r="E335" i="4" s="1"/>
  <c r="I335" i="4" s="1"/>
  <c r="D335" i="4" a="1"/>
  <c r="D335" i="4" s="1"/>
  <c r="B335" i="4"/>
  <c r="J334" i="4"/>
  <c r="E334" i="4" a="1"/>
  <c r="E334" i="4" s="1"/>
  <c r="D334" i="4" a="1"/>
  <c r="D334" i="4" s="1"/>
  <c r="B334" i="4"/>
  <c r="J333" i="4"/>
  <c r="E333" i="4" a="1"/>
  <c r="E333" i="4" s="1"/>
  <c r="G333" i="4" s="1" a="1"/>
  <c r="G333" i="4" s="1"/>
  <c r="D333" i="4" a="1"/>
  <c r="D333" i="4" s="1"/>
  <c r="B333" i="4"/>
  <c r="J332" i="4"/>
  <c r="E332" i="4" a="1"/>
  <c r="E332" i="4" s="1"/>
  <c r="D332" i="4" a="1"/>
  <c r="D332" i="4" s="1"/>
  <c r="B332" i="4"/>
  <c r="J331" i="4"/>
  <c r="E331" i="4" a="1"/>
  <c r="E331" i="4" s="1"/>
  <c r="D331" i="4" a="1"/>
  <c r="D331" i="4" s="1"/>
  <c r="B331" i="4"/>
  <c r="J330" i="4"/>
  <c r="E330" i="4" a="1"/>
  <c r="E330" i="4" s="1"/>
  <c r="H330" i="4" s="1"/>
  <c r="D330" i="4" a="1"/>
  <c r="D330" i="4" s="1"/>
  <c r="B330" i="4"/>
  <c r="J329" i="4"/>
  <c r="E329" i="4" a="1"/>
  <c r="E329" i="4" s="1"/>
  <c r="H329" i="4" s="1"/>
  <c r="D329" i="4" a="1"/>
  <c r="D329" i="4" s="1"/>
  <c r="B329" i="4"/>
  <c r="J328" i="4"/>
  <c r="E328" i="4" a="1"/>
  <c r="E328" i="4" s="1"/>
  <c r="I328" i="4" s="1"/>
  <c r="D328" i="4" a="1"/>
  <c r="D328" i="4" s="1"/>
  <c r="B328" i="4"/>
  <c r="J327" i="4"/>
  <c r="E327" i="4" a="1"/>
  <c r="E327" i="4" s="1"/>
  <c r="D327" i="4" a="1"/>
  <c r="D327" i="4" s="1"/>
  <c r="B327" i="4"/>
  <c r="J326" i="4"/>
  <c r="E326" i="4" a="1"/>
  <c r="E326" i="4" s="1"/>
  <c r="D326" i="4" a="1"/>
  <c r="D326" i="4" s="1"/>
  <c r="B326" i="4"/>
  <c r="J325" i="4"/>
  <c r="E325" i="4" a="1"/>
  <c r="E325" i="4" s="1"/>
  <c r="D325" i="4" a="1"/>
  <c r="D325" i="4" s="1"/>
  <c r="B325" i="4"/>
  <c r="J324" i="4"/>
  <c r="E324" i="4" a="1"/>
  <c r="E324" i="4" s="1"/>
  <c r="D324" i="4" a="1"/>
  <c r="D324" i="4" s="1"/>
  <c r="B324" i="4"/>
  <c r="J323" i="4"/>
  <c r="E323" i="4" a="1"/>
  <c r="E323" i="4" s="1"/>
  <c r="D323" i="4" a="1"/>
  <c r="D323" i="4" s="1"/>
  <c r="B323" i="4"/>
  <c r="J322" i="4"/>
  <c r="E322" i="4" a="1"/>
  <c r="E322" i="4" s="1"/>
  <c r="H322" i="4" s="1"/>
  <c r="D322" i="4" a="1"/>
  <c r="D322" i="4" s="1"/>
  <c r="B322" i="4"/>
  <c r="J321" i="4"/>
  <c r="E321" i="4" a="1"/>
  <c r="E321" i="4" s="1"/>
  <c r="D321" i="4" a="1"/>
  <c r="D321" i="4" s="1"/>
  <c r="B321" i="4"/>
  <c r="J320" i="4"/>
  <c r="E320" i="4" a="1"/>
  <c r="E320" i="4" s="1"/>
  <c r="D320" i="4" a="1"/>
  <c r="D320" i="4" s="1"/>
  <c r="B320" i="4"/>
  <c r="J319" i="4"/>
  <c r="E319" i="4" a="1"/>
  <c r="E319" i="4" s="1"/>
  <c r="D319" i="4" a="1"/>
  <c r="D319" i="4" s="1"/>
  <c r="B319" i="4"/>
  <c r="J318" i="4"/>
  <c r="E318" i="4" a="1"/>
  <c r="E318" i="4" s="1"/>
  <c r="D318" i="4" a="1"/>
  <c r="D318" i="4" s="1"/>
  <c r="B318" i="4"/>
  <c r="J317" i="4"/>
  <c r="E317" i="4" a="1"/>
  <c r="E317" i="4" s="1"/>
  <c r="I317" i="4" s="1"/>
  <c r="D317" i="4" a="1"/>
  <c r="D317" i="4" s="1"/>
  <c r="B317" i="4"/>
  <c r="J316" i="4"/>
  <c r="E316" i="4" a="1"/>
  <c r="E316" i="4" s="1"/>
  <c r="D316" i="4" a="1"/>
  <c r="D316" i="4" s="1"/>
  <c r="B316" i="4"/>
  <c r="J315" i="4"/>
  <c r="E315" i="4" a="1"/>
  <c r="E315" i="4" s="1"/>
  <c r="H315" i="4" s="1"/>
  <c r="D315" i="4" a="1"/>
  <c r="D315" i="4" s="1"/>
  <c r="B315" i="4"/>
  <c r="J314" i="4"/>
  <c r="E314" i="4" a="1"/>
  <c r="E314" i="4" s="1"/>
  <c r="H314" i="4" s="1"/>
  <c r="D314" i="4" a="1"/>
  <c r="D314" i="4" s="1"/>
  <c r="B314" i="4"/>
  <c r="J313" i="4"/>
  <c r="E313" i="4" a="1"/>
  <c r="E313" i="4" s="1"/>
  <c r="I313" i="4" s="1"/>
  <c r="D313" i="4" a="1"/>
  <c r="D313" i="4" s="1"/>
  <c r="B313" i="4"/>
  <c r="J312" i="4"/>
  <c r="E312" i="4" a="1"/>
  <c r="E312" i="4" s="1"/>
  <c r="D312" i="4" a="1"/>
  <c r="D312" i="4" s="1"/>
  <c r="B312" i="4"/>
  <c r="J311" i="4"/>
  <c r="E311" i="4" a="1"/>
  <c r="E311" i="4" s="1"/>
  <c r="I311" i="4" s="1"/>
  <c r="D311" i="4" a="1"/>
  <c r="D311" i="4" s="1"/>
  <c r="B311" i="4"/>
  <c r="J310" i="4"/>
  <c r="E310" i="4" a="1"/>
  <c r="E310" i="4" s="1"/>
  <c r="G310" i="4" s="1" a="1"/>
  <c r="G310" i="4" s="1"/>
  <c r="D310" i="4" a="1"/>
  <c r="D310" i="4" s="1"/>
  <c r="B310" i="4"/>
  <c r="J309" i="4"/>
  <c r="E309" i="4" a="1"/>
  <c r="E309" i="4" s="1"/>
  <c r="D309" i="4" a="1"/>
  <c r="D309" i="4" s="1"/>
  <c r="B309" i="4"/>
  <c r="J308" i="4"/>
  <c r="E308" i="4" a="1"/>
  <c r="E308" i="4" s="1"/>
  <c r="D308" i="4" a="1"/>
  <c r="D308" i="4" s="1"/>
  <c r="B308" i="4"/>
  <c r="J307" i="4"/>
  <c r="E307" i="4" a="1"/>
  <c r="E307" i="4" s="1"/>
  <c r="D307" i="4" a="1"/>
  <c r="D307" i="4" s="1"/>
  <c r="B307" i="4"/>
  <c r="J306" i="4"/>
  <c r="E306" i="4" a="1"/>
  <c r="E306" i="4" s="1"/>
  <c r="I306" i="4" s="1"/>
  <c r="D306" i="4" a="1"/>
  <c r="D306" i="4" s="1"/>
  <c r="B306" i="4"/>
  <c r="J305" i="4"/>
  <c r="E305" i="4" a="1"/>
  <c r="E305" i="4" s="1"/>
  <c r="D305" i="4" a="1"/>
  <c r="D305" i="4" s="1"/>
  <c r="B305" i="4"/>
  <c r="J304" i="4"/>
  <c r="E304" i="4" a="1"/>
  <c r="E304" i="4" s="1"/>
  <c r="D304" i="4" a="1"/>
  <c r="D304" i="4" s="1"/>
  <c r="B304" i="4"/>
  <c r="J303" i="4"/>
  <c r="E303" i="4" a="1"/>
  <c r="E303" i="4" s="1"/>
  <c r="D303" i="4" a="1"/>
  <c r="D303" i="4" s="1"/>
  <c r="B303" i="4"/>
  <c r="J302" i="4"/>
  <c r="E302" i="4" a="1"/>
  <c r="E302" i="4" s="1"/>
  <c r="D302" i="4" a="1"/>
  <c r="D302" i="4" s="1"/>
  <c r="B302" i="4"/>
  <c r="J301" i="4"/>
  <c r="E301" i="4" a="1"/>
  <c r="E301" i="4" s="1"/>
  <c r="D301" i="4" a="1"/>
  <c r="D301" i="4" s="1"/>
  <c r="B301" i="4"/>
  <c r="J300" i="4"/>
  <c r="E300" i="4" a="1"/>
  <c r="E300" i="4" s="1"/>
  <c r="D300" i="4" a="1"/>
  <c r="D300" i="4" s="1"/>
  <c r="B300" i="4"/>
  <c r="J299" i="4"/>
  <c r="E299" i="4" a="1"/>
  <c r="E299" i="4" s="1"/>
  <c r="H299" i="4" s="1"/>
  <c r="D299" i="4" a="1"/>
  <c r="D299" i="4" s="1"/>
  <c r="B299" i="4"/>
  <c r="J298" i="4"/>
  <c r="E298" i="4" a="1"/>
  <c r="E298" i="4" s="1"/>
  <c r="I298" i="4" s="1"/>
  <c r="D298" i="4" a="1"/>
  <c r="D298" i="4" s="1"/>
  <c r="B298" i="4"/>
  <c r="J297" i="4"/>
  <c r="E297" i="4" a="1"/>
  <c r="E297" i="4" s="1"/>
  <c r="D297" i="4" a="1"/>
  <c r="D297" i="4" s="1"/>
  <c r="B297" i="4"/>
  <c r="J296" i="4"/>
  <c r="E296" i="4" a="1"/>
  <c r="E296" i="4" s="1"/>
  <c r="D296" i="4" a="1"/>
  <c r="D296" i="4" s="1"/>
  <c r="B296" i="4"/>
  <c r="J295" i="4"/>
  <c r="E295" i="4" a="1"/>
  <c r="E295" i="4" s="1"/>
  <c r="D295" i="4" a="1"/>
  <c r="D295" i="4" s="1"/>
  <c r="B295" i="4"/>
  <c r="J294" i="4"/>
  <c r="E294" i="4" a="1"/>
  <c r="E294" i="4" s="1"/>
  <c r="G294" i="4" s="1" a="1"/>
  <c r="G294" i="4" s="1"/>
  <c r="D294" i="4" a="1"/>
  <c r="D294" i="4" s="1"/>
  <c r="B294" i="4"/>
  <c r="J293" i="4"/>
  <c r="E293" i="4" a="1"/>
  <c r="E293" i="4" s="1"/>
  <c r="D293" i="4" a="1"/>
  <c r="D293" i="4" s="1"/>
  <c r="B293" i="4"/>
  <c r="J292" i="4"/>
  <c r="E292" i="4" a="1"/>
  <c r="E292" i="4" s="1"/>
  <c r="D292" i="4" a="1"/>
  <c r="D292" i="4" s="1"/>
  <c r="B292" i="4"/>
  <c r="J291" i="4"/>
  <c r="E291" i="4" a="1"/>
  <c r="E291" i="4" s="1"/>
  <c r="D291" i="4" a="1"/>
  <c r="D291" i="4" s="1"/>
  <c r="B291" i="4"/>
  <c r="J290" i="4"/>
  <c r="E290" i="4" a="1"/>
  <c r="E290" i="4" s="1"/>
  <c r="I290" i="4" s="1"/>
  <c r="D290" i="4" a="1"/>
  <c r="D290" i="4" s="1"/>
  <c r="B290" i="4"/>
  <c r="J289" i="4"/>
  <c r="E289" i="4" a="1"/>
  <c r="E289" i="4" s="1"/>
  <c r="D289" i="4" a="1"/>
  <c r="D289" i="4" s="1"/>
  <c r="B289" i="4"/>
  <c r="J288" i="4"/>
  <c r="E288" i="4" a="1"/>
  <c r="E288" i="4" s="1"/>
  <c r="I288" i="4" s="1"/>
  <c r="D288" i="4" a="1"/>
  <c r="D288" i="4" s="1"/>
  <c r="B288" i="4"/>
  <c r="J287" i="4"/>
  <c r="E287" i="4" a="1"/>
  <c r="E287" i="4" s="1"/>
  <c r="D287" i="4" a="1"/>
  <c r="D287" i="4" s="1"/>
  <c r="B287" i="4"/>
  <c r="J286" i="4"/>
  <c r="E286" i="4" a="1"/>
  <c r="E286" i="4" s="1"/>
  <c r="D286" i="4" a="1"/>
  <c r="D286" i="4" s="1"/>
  <c r="B286" i="4"/>
  <c r="J285" i="4"/>
  <c r="E285" i="4" a="1"/>
  <c r="E285" i="4" s="1"/>
  <c r="D285" i="4" a="1"/>
  <c r="D285" i="4" s="1"/>
  <c r="B285" i="4"/>
  <c r="J284" i="4"/>
  <c r="E284" i="4" a="1"/>
  <c r="E284" i="4" s="1"/>
  <c r="I284" i="4" s="1"/>
  <c r="D284" i="4" a="1"/>
  <c r="D284" i="4" s="1"/>
  <c r="B284" i="4"/>
  <c r="J283" i="4"/>
  <c r="E283" i="4" a="1"/>
  <c r="E283" i="4" s="1"/>
  <c r="H283" i="4" s="1"/>
  <c r="D283" i="4" a="1"/>
  <c r="D283" i="4" s="1"/>
  <c r="B283" i="4"/>
  <c r="J282" i="4"/>
  <c r="E282" i="4" a="1"/>
  <c r="E282" i="4" s="1"/>
  <c r="I282" i="4" s="1"/>
  <c r="D282" i="4" a="1"/>
  <c r="D282" i="4" s="1"/>
  <c r="B282" i="4"/>
  <c r="J281" i="4"/>
  <c r="E281" i="4" a="1"/>
  <c r="E281" i="4" s="1"/>
  <c r="D281" i="4" a="1"/>
  <c r="D281" i="4" s="1"/>
  <c r="B281" i="4"/>
  <c r="J280" i="4"/>
  <c r="E280" i="4" a="1"/>
  <c r="E280" i="4" s="1"/>
  <c r="I280" i="4" s="1"/>
  <c r="D280" i="4" a="1"/>
  <c r="D280" i="4" s="1"/>
  <c r="B280" i="4"/>
  <c r="J279" i="4"/>
  <c r="E279" i="4" a="1"/>
  <c r="E279" i="4" s="1"/>
  <c r="I279" i="4" s="1"/>
  <c r="D279" i="4" a="1"/>
  <c r="D279" i="4" s="1"/>
  <c r="B279" i="4"/>
  <c r="J278" i="4"/>
  <c r="E278" i="4" a="1"/>
  <c r="E278" i="4" s="1"/>
  <c r="D278" i="4" a="1"/>
  <c r="D278" i="4" s="1"/>
  <c r="B278" i="4"/>
  <c r="J277" i="4"/>
  <c r="E277" i="4" a="1"/>
  <c r="E277" i="4" s="1"/>
  <c r="D277" i="4" a="1"/>
  <c r="D277" i="4" s="1"/>
  <c r="B277" i="4"/>
  <c r="J276" i="4"/>
  <c r="E276" i="4" a="1"/>
  <c r="E276" i="4" s="1"/>
  <c r="D276" i="4" a="1"/>
  <c r="D276" i="4" s="1"/>
  <c r="B276" i="4"/>
  <c r="J275" i="4"/>
  <c r="E275" i="4" a="1"/>
  <c r="E275" i="4" s="1"/>
  <c r="D275" i="4" a="1"/>
  <c r="D275" i="4" s="1"/>
  <c r="B275" i="4"/>
  <c r="J274" i="4"/>
  <c r="E274" i="4" a="1"/>
  <c r="E274" i="4" s="1"/>
  <c r="I274" i="4" s="1"/>
  <c r="D274" i="4" a="1"/>
  <c r="D274" i="4" s="1"/>
  <c r="B274" i="4"/>
  <c r="J273" i="4"/>
  <c r="E273" i="4" a="1"/>
  <c r="E273" i="4" s="1"/>
  <c r="G273" i="4" s="1" a="1"/>
  <c r="G273" i="4" s="1"/>
  <c r="D273" i="4" a="1"/>
  <c r="D273" i="4" s="1"/>
  <c r="B273" i="4"/>
  <c r="J272" i="4"/>
  <c r="E272" i="4" a="1"/>
  <c r="E272" i="4" s="1"/>
  <c r="D272" i="4" a="1"/>
  <c r="D272" i="4" s="1"/>
  <c r="B272" i="4"/>
  <c r="J271" i="4"/>
  <c r="E271" i="4" a="1"/>
  <c r="E271" i="4" s="1"/>
  <c r="I271" i="4" s="1"/>
  <c r="D271" i="4" a="1"/>
  <c r="D271" i="4" s="1"/>
  <c r="B271" i="4"/>
  <c r="J270" i="4"/>
  <c r="E270" i="4" a="1"/>
  <c r="E270" i="4" s="1"/>
  <c r="G270" i="4" s="1" a="1"/>
  <c r="G270" i="4" s="1"/>
  <c r="D270" i="4" a="1"/>
  <c r="D270" i="4" s="1"/>
  <c r="B270" i="4"/>
  <c r="J269" i="4"/>
  <c r="E269" i="4" a="1"/>
  <c r="E269" i="4" s="1"/>
  <c r="D269" i="4" a="1"/>
  <c r="D269" i="4" s="1"/>
  <c r="B269" i="4"/>
  <c r="J268" i="4"/>
  <c r="E268" i="4" a="1"/>
  <c r="E268" i="4" s="1"/>
  <c r="D268" i="4" a="1"/>
  <c r="D268" i="4" s="1"/>
  <c r="B268" i="4"/>
  <c r="J267" i="4"/>
  <c r="E267" i="4" a="1"/>
  <c r="E267" i="4" s="1"/>
  <c r="D267" i="4" a="1"/>
  <c r="D267" i="4" s="1"/>
  <c r="B267" i="4"/>
  <c r="J266" i="4"/>
  <c r="E266" i="4" a="1"/>
  <c r="E266" i="4" s="1"/>
  <c r="D266" i="4" a="1"/>
  <c r="D266" i="4" s="1"/>
  <c r="B266" i="4"/>
  <c r="J265" i="4"/>
  <c r="E265" i="4" a="1"/>
  <c r="E265" i="4" s="1"/>
  <c r="H265" i="4" s="1"/>
  <c r="D265" i="4" a="1"/>
  <c r="D265" i="4" s="1"/>
  <c r="B265" i="4"/>
  <c r="J264" i="4"/>
  <c r="E264" i="4" a="1"/>
  <c r="E264" i="4" s="1"/>
  <c r="I264" i="4" s="1"/>
  <c r="D264" i="4" a="1"/>
  <c r="D264" i="4" s="1"/>
  <c r="B264" i="4"/>
  <c r="J263" i="4"/>
  <c r="E263" i="4" a="1"/>
  <c r="E263" i="4" s="1"/>
  <c r="H263" i="4" s="1"/>
  <c r="D263" i="4" a="1"/>
  <c r="D263" i="4" s="1"/>
  <c r="B263" i="4"/>
  <c r="J262" i="4"/>
  <c r="E262" i="4" a="1"/>
  <c r="E262" i="4" s="1"/>
  <c r="D262" i="4" a="1"/>
  <c r="D262" i="4" s="1"/>
  <c r="B262" i="4"/>
  <c r="J261" i="4"/>
  <c r="E261" i="4" a="1"/>
  <c r="E261" i="4" s="1"/>
  <c r="D261" i="4" a="1"/>
  <c r="D261" i="4" s="1"/>
  <c r="B261" i="4"/>
  <c r="J260" i="4"/>
  <c r="E260" i="4" a="1"/>
  <c r="E260" i="4" s="1"/>
  <c r="D260" i="4" a="1"/>
  <c r="D260" i="4" s="1"/>
  <c r="B260" i="4"/>
  <c r="J259" i="4"/>
  <c r="E259" i="4" a="1"/>
  <c r="E259" i="4" s="1"/>
  <c r="D259" i="4" a="1"/>
  <c r="D259" i="4" s="1"/>
  <c r="B259" i="4"/>
  <c r="J258" i="4"/>
  <c r="E258" i="4" a="1"/>
  <c r="E258" i="4" s="1"/>
  <c r="D258" i="4" a="1"/>
  <c r="D258" i="4" s="1"/>
  <c r="B258" i="4"/>
  <c r="J257" i="4"/>
  <c r="E257" i="4" a="1"/>
  <c r="E257" i="4" s="1"/>
  <c r="D257" i="4" a="1"/>
  <c r="D257" i="4" s="1"/>
  <c r="B257" i="4"/>
  <c r="J256" i="4"/>
  <c r="E256" i="4" a="1"/>
  <c r="E256" i="4" s="1"/>
  <c r="D256" i="4" a="1"/>
  <c r="D256" i="4" s="1"/>
  <c r="B256" i="4"/>
  <c r="J255" i="4"/>
  <c r="E255" i="4" a="1"/>
  <c r="E255" i="4" s="1"/>
  <c r="D255" i="4" a="1"/>
  <c r="D255" i="4" s="1"/>
  <c r="B255" i="4"/>
  <c r="J254" i="4"/>
  <c r="E254" i="4" a="1"/>
  <c r="E254" i="4" s="1"/>
  <c r="D254" i="4" a="1"/>
  <c r="D254" i="4" s="1"/>
  <c r="B254" i="4"/>
  <c r="J253" i="4"/>
  <c r="E253" i="4" a="1"/>
  <c r="E253" i="4" s="1"/>
  <c r="I253" i="4" s="1"/>
  <c r="D253" i="4" a="1"/>
  <c r="D253" i="4" s="1"/>
  <c r="B253" i="4"/>
  <c r="J252" i="4"/>
  <c r="E252" i="4" a="1"/>
  <c r="E252" i="4" s="1"/>
  <c r="D252" i="4" a="1"/>
  <c r="D252" i="4" s="1"/>
  <c r="B252" i="4"/>
  <c r="J251" i="4"/>
  <c r="E251" i="4" a="1"/>
  <c r="E251" i="4" s="1"/>
  <c r="D251" i="4" a="1"/>
  <c r="D251" i="4" s="1"/>
  <c r="B251" i="4"/>
  <c r="J250" i="4"/>
  <c r="E250" i="4" a="1"/>
  <c r="E250" i="4" s="1"/>
  <c r="D250" i="4" a="1"/>
  <c r="D250" i="4" s="1"/>
  <c r="B250" i="4"/>
  <c r="J249" i="4"/>
  <c r="E249" i="4" a="1"/>
  <c r="E249" i="4" s="1"/>
  <c r="I249" i="4" s="1"/>
  <c r="D249" i="4" a="1"/>
  <c r="D249" i="4" s="1"/>
  <c r="B249" i="4"/>
  <c r="J248" i="4"/>
  <c r="E248" i="4" a="1"/>
  <c r="E248" i="4" s="1"/>
  <c r="D248" i="4" a="1"/>
  <c r="D248" i="4" s="1"/>
  <c r="B248" i="4"/>
  <c r="J247" i="4"/>
  <c r="E247" i="4" a="1"/>
  <c r="E247" i="4" s="1"/>
  <c r="D247" i="4" a="1"/>
  <c r="D247" i="4" s="1"/>
  <c r="B247" i="4"/>
  <c r="J246" i="4"/>
  <c r="E246" i="4" a="1"/>
  <c r="E246" i="4" s="1"/>
  <c r="G246" i="4" s="1" a="1"/>
  <c r="G246" i="4" s="1"/>
  <c r="D246" i="4" a="1"/>
  <c r="D246" i="4" s="1"/>
  <c r="B246" i="4"/>
  <c r="J245" i="4"/>
  <c r="E245" i="4" a="1"/>
  <c r="E245" i="4" s="1"/>
  <c r="D245" i="4" a="1"/>
  <c r="D245" i="4" s="1"/>
  <c r="B245" i="4"/>
  <c r="J244" i="4"/>
  <c r="E244" i="4" a="1"/>
  <c r="E244" i="4" s="1"/>
  <c r="D244" i="4" a="1"/>
  <c r="D244" i="4" s="1"/>
  <c r="B244" i="4"/>
  <c r="J243" i="4"/>
  <c r="E243" i="4" a="1"/>
  <c r="E243" i="4" s="1"/>
  <c r="D243" i="4" a="1"/>
  <c r="D243" i="4" s="1"/>
  <c r="B243" i="4"/>
  <c r="J242" i="4"/>
  <c r="E242" i="4" a="1"/>
  <c r="E242" i="4" s="1"/>
  <c r="D242" i="4" a="1"/>
  <c r="D242" i="4" s="1"/>
  <c r="B242" i="4"/>
  <c r="J241" i="4"/>
  <c r="E241" i="4" a="1"/>
  <c r="E241" i="4" s="1"/>
  <c r="D241" i="4" a="1"/>
  <c r="D241" i="4" s="1"/>
  <c r="B241" i="4"/>
  <c r="J240" i="4"/>
  <c r="E240" i="4" a="1"/>
  <c r="E240" i="4" s="1"/>
  <c r="I240" i="4" s="1"/>
  <c r="D240" i="4" a="1"/>
  <c r="D240" i="4" s="1"/>
  <c r="B240" i="4"/>
  <c r="J239" i="4"/>
  <c r="E239" i="4" a="1"/>
  <c r="E239" i="4" s="1"/>
  <c r="D239" i="4" a="1"/>
  <c r="D239" i="4" s="1"/>
  <c r="B239" i="4"/>
  <c r="J238" i="4"/>
  <c r="E238" i="4" a="1"/>
  <c r="E238" i="4" s="1"/>
  <c r="D238" i="4" a="1"/>
  <c r="D238" i="4" s="1"/>
  <c r="B238" i="4"/>
  <c r="J237" i="4"/>
  <c r="E237" i="4" a="1"/>
  <c r="E237" i="4" s="1"/>
  <c r="D237" i="4" a="1"/>
  <c r="D237" i="4" s="1"/>
  <c r="B237" i="4"/>
  <c r="J236" i="4"/>
  <c r="E236" i="4" a="1"/>
  <c r="E236" i="4" s="1"/>
  <c r="D236" i="4" a="1"/>
  <c r="D236" i="4" s="1"/>
  <c r="B236" i="4"/>
  <c r="J235" i="4"/>
  <c r="E235" i="4" a="1"/>
  <c r="E235" i="4" s="1"/>
  <c r="D235" i="4" a="1"/>
  <c r="D235" i="4" s="1"/>
  <c r="B235" i="4"/>
  <c r="J234" i="4"/>
  <c r="E234" i="4" a="1"/>
  <c r="E234" i="4" s="1"/>
  <c r="I234" i="4" s="1"/>
  <c r="D234" i="4" a="1"/>
  <c r="D234" i="4" s="1"/>
  <c r="B234" i="4"/>
  <c r="J233" i="4"/>
  <c r="E233" i="4" a="1"/>
  <c r="E233" i="4" s="1"/>
  <c r="D233" i="4" a="1"/>
  <c r="D233" i="4" s="1"/>
  <c r="B233" i="4"/>
  <c r="J232" i="4"/>
  <c r="E232" i="4" a="1"/>
  <c r="E232" i="4" s="1"/>
  <c r="I232" i="4" s="1"/>
  <c r="D232" i="4" a="1"/>
  <c r="D232" i="4" s="1"/>
  <c r="B232" i="4"/>
  <c r="J231" i="4"/>
  <c r="E231" i="4" a="1"/>
  <c r="E231" i="4" s="1"/>
  <c r="D231" i="4" a="1"/>
  <c r="D231" i="4" s="1"/>
  <c r="B231" i="4"/>
  <c r="J230" i="4"/>
  <c r="E230" i="4" a="1"/>
  <c r="E230" i="4" s="1"/>
  <c r="G230" i="4" s="1" a="1"/>
  <c r="G230" i="4" s="1"/>
  <c r="D230" i="4" a="1"/>
  <c r="D230" i="4" s="1"/>
  <c r="B230" i="4"/>
  <c r="J229" i="4"/>
  <c r="E229" i="4" a="1"/>
  <c r="E229" i="4" s="1"/>
  <c r="D229" i="4" a="1"/>
  <c r="D229" i="4" s="1"/>
  <c r="B229" i="4"/>
  <c r="J228" i="4"/>
  <c r="E228" i="4" a="1"/>
  <c r="E228" i="4" s="1"/>
  <c r="I228" i="4" s="1"/>
  <c r="D228" i="4" a="1"/>
  <c r="D228" i="4" s="1"/>
  <c r="B228" i="4"/>
  <c r="J227" i="4"/>
  <c r="E227" i="4" a="1"/>
  <c r="E227" i="4" s="1"/>
  <c r="D227" i="4" a="1"/>
  <c r="D227" i="4" s="1"/>
  <c r="B227" i="4"/>
  <c r="J226" i="4"/>
  <c r="E226" i="4" a="1"/>
  <c r="E226" i="4" s="1"/>
  <c r="I226" i="4" s="1"/>
  <c r="D226" i="4" a="1"/>
  <c r="D226" i="4" s="1"/>
  <c r="B226" i="4"/>
  <c r="J225" i="4"/>
  <c r="E225" i="4" a="1"/>
  <c r="E225" i="4" s="1"/>
  <c r="D225" i="4" a="1"/>
  <c r="D225" i="4" s="1"/>
  <c r="B225" i="4"/>
  <c r="J224" i="4"/>
  <c r="E224" i="4" a="1"/>
  <c r="E224" i="4" s="1"/>
  <c r="D224" i="4" a="1"/>
  <c r="D224" i="4" s="1"/>
  <c r="B224" i="4"/>
  <c r="J223" i="4"/>
  <c r="E223" i="4" a="1"/>
  <c r="E223" i="4" s="1"/>
  <c r="H223" i="4" s="1"/>
  <c r="D223" i="4" a="1"/>
  <c r="D223" i="4" s="1"/>
  <c r="B223" i="4"/>
  <c r="J222" i="4"/>
  <c r="E222" i="4" a="1"/>
  <c r="E222" i="4" s="1"/>
  <c r="D222" i="4" a="1"/>
  <c r="D222" i="4" s="1"/>
  <c r="B222" i="4"/>
  <c r="J221" i="4"/>
  <c r="E221" i="4" a="1"/>
  <c r="E221" i="4" s="1"/>
  <c r="D221" i="4" a="1"/>
  <c r="D221" i="4" s="1"/>
  <c r="B221" i="4"/>
  <c r="J220" i="4"/>
  <c r="E220" i="4" a="1"/>
  <c r="E220" i="4" s="1"/>
  <c r="I220" i="4" s="1"/>
  <c r="D220" i="4" a="1"/>
  <c r="D220" i="4" s="1"/>
  <c r="B220" i="4"/>
  <c r="J219" i="4"/>
  <c r="E219" i="4" a="1"/>
  <c r="E219" i="4" s="1"/>
  <c r="H219" i="4" s="1"/>
  <c r="D219" i="4" a="1"/>
  <c r="D219" i="4" s="1"/>
  <c r="B219" i="4"/>
  <c r="J218" i="4"/>
  <c r="E218" i="4" a="1"/>
  <c r="E218" i="4" s="1"/>
  <c r="D218" i="4" a="1"/>
  <c r="D218" i="4" s="1"/>
  <c r="B218" i="4"/>
  <c r="J217" i="4"/>
  <c r="E217" i="4" a="1"/>
  <c r="E217" i="4" s="1"/>
  <c r="D217" i="4" a="1"/>
  <c r="D217" i="4" s="1"/>
  <c r="B217" i="4"/>
  <c r="J216" i="4"/>
  <c r="E216" i="4" a="1"/>
  <c r="E216" i="4" s="1"/>
  <c r="I216" i="4" s="1"/>
  <c r="D216" i="4" a="1"/>
  <c r="D216" i="4" s="1"/>
  <c r="B216" i="4"/>
  <c r="J215" i="4"/>
  <c r="E215" i="4" a="1"/>
  <c r="E215" i="4" s="1"/>
  <c r="I215" i="4" s="1"/>
  <c r="D215" i="4" a="1"/>
  <c r="D215" i="4" s="1"/>
  <c r="B215" i="4"/>
  <c r="J214" i="4"/>
  <c r="E214" i="4" a="1"/>
  <c r="E214" i="4" s="1"/>
  <c r="I214" i="4" s="1"/>
  <c r="D214" i="4" a="1"/>
  <c r="D214" i="4" s="1"/>
  <c r="B214" i="4"/>
  <c r="J213" i="4"/>
  <c r="E213" i="4" a="1"/>
  <c r="E213" i="4" s="1"/>
  <c r="D213" i="4" a="1"/>
  <c r="D213" i="4" s="1"/>
  <c r="B213" i="4"/>
  <c r="J212" i="4"/>
  <c r="E212" i="4" a="1"/>
  <c r="E212" i="4" s="1"/>
  <c r="D212" i="4" a="1"/>
  <c r="D212" i="4" s="1"/>
  <c r="B212" i="4"/>
  <c r="J211" i="4"/>
  <c r="E211" i="4" a="1"/>
  <c r="E211" i="4" s="1"/>
  <c r="I211" i="4" s="1"/>
  <c r="D211" i="4" a="1"/>
  <c r="D211" i="4" s="1"/>
  <c r="B211" i="4"/>
  <c r="J210" i="4"/>
  <c r="E210" i="4" a="1"/>
  <c r="E210" i="4" s="1"/>
  <c r="D210" i="4" a="1"/>
  <c r="D210" i="4" s="1"/>
  <c r="B210" i="4"/>
  <c r="J209" i="4"/>
  <c r="E209" i="4" a="1"/>
  <c r="E209" i="4" s="1"/>
  <c r="D209" i="4" a="1"/>
  <c r="D209" i="4" s="1"/>
  <c r="B209" i="4"/>
  <c r="J208" i="4"/>
  <c r="E208" i="4" a="1"/>
  <c r="E208" i="4" s="1"/>
  <c r="H208" i="4" s="1"/>
  <c r="D208" i="4" a="1"/>
  <c r="D208" i="4" s="1"/>
  <c r="B208" i="4"/>
  <c r="J207" i="4"/>
  <c r="E207" i="4" a="1"/>
  <c r="E207" i="4" s="1"/>
  <c r="I207" i="4" s="1"/>
  <c r="D207" i="4" a="1"/>
  <c r="D207" i="4" s="1"/>
  <c r="B207" i="4"/>
  <c r="J206" i="4"/>
  <c r="E206" i="4" a="1"/>
  <c r="E206" i="4" s="1"/>
  <c r="D206" i="4" a="1"/>
  <c r="D206" i="4" s="1"/>
  <c r="B206" i="4"/>
  <c r="J205" i="4"/>
  <c r="E205" i="4" a="1"/>
  <c r="E205" i="4" s="1"/>
  <c r="D205" i="4" a="1"/>
  <c r="D205" i="4" s="1"/>
  <c r="B205" i="4"/>
  <c r="J204" i="4"/>
  <c r="E204" i="4" a="1"/>
  <c r="E204" i="4" s="1"/>
  <c r="D204" i="4" a="1"/>
  <c r="D204" i="4" s="1"/>
  <c r="B204" i="4"/>
  <c r="J203" i="4"/>
  <c r="E203" i="4" a="1"/>
  <c r="E203" i="4" s="1"/>
  <c r="D203" i="4" a="1"/>
  <c r="D203" i="4" s="1"/>
  <c r="B203" i="4"/>
  <c r="J202" i="4"/>
  <c r="E202" i="4" a="1"/>
  <c r="E202" i="4" s="1"/>
  <c r="D202" i="4" a="1"/>
  <c r="D202" i="4" s="1"/>
  <c r="B202" i="4"/>
  <c r="J201" i="4"/>
  <c r="E201" i="4" a="1"/>
  <c r="E201" i="4" s="1"/>
  <c r="D201" i="4" a="1"/>
  <c r="D201" i="4" s="1"/>
  <c r="B201" i="4"/>
  <c r="J200" i="4"/>
  <c r="E200" i="4" a="1"/>
  <c r="E200" i="4" s="1"/>
  <c r="D200" i="4" a="1"/>
  <c r="D200" i="4" s="1"/>
  <c r="B200" i="4"/>
  <c r="J199" i="4"/>
  <c r="E199" i="4" a="1"/>
  <c r="E199" i="4" s="1"/>
  <c r="I199" i="4" s="1"/>
  <c r="D199" i="4" a="1"/>
  <c r="D199" i="4" s="1"/>
  <c r="B199" i="4"/>
  <c r="J198" i="4"/>
  <c r="E198" i="4" a="1"/>
  <c r="E198" i="4" s="1"/>
  <c r="D198" i="4" a="1"/>
  <c r="D198" i="4" s="1"/>
  <c r="B198" i="4"/>
  <c r="J197" i="4"/>
  <c r="E197" i="4" a="1"/>
  <c r="E197" i="4" s="1"/>
  <c r="G197" i="4" s="1" a="1"/>
  <c r="G197" i="4" s="1"/>
  <c r="D197" i="4" a="1"/>
  <c r="D197" i="4" s="1"/>
  <c r="B197" i="4"/>
  <c r="J196" i="4"/>
  <c r="E196" i="4" a="1"/>
  <c r="E196" i="4" s="1"/>
  <c r="D196" i="4" a="1"/>
  <c r="D196" i="4" s="1"/>
  <c r="B196" i="4"/>
  <c r="J195" i="4"/>
  <c r="E195" i="4" a="1"/>
  <c r="E195" i="4" s="1"/>
  <c r="D195" i="4" a="1"/>
  <c r="D195" i="4" s="1"/>
  <c r="B195" i="4"/>
  <c r="J194" i="4"/>
  <c r="E194" i="4" a="1"/>
  <c r="E194" i="4" s="1"/>
  <c r="D194" i="4" a="1"/>
  <c r="D194" i="4" s="1"/>
  <c r="B194" i="4"/>
  <c r="J193" i="4"/>
  <c r="E193" i="4" a="1"/>
  <c r="E193" i="4" s="1"/>
  <c r="D193" i="4" a="1"/>
  <c r="D193" i="4" s="1"/>
  <c r="B193" i="4"/>
  <c r="J192" i="4"/>
  <c r="E192" i="4" a="1"/>
  <c r="E192" i="4" s="1"/>
  <c r="D192" i="4" a="1"/>
  <c r="D192" i="4" s="1"/>
  <c r="B192" i="4"/>
  <c r="J191" i="4"/>
  <c r="E191" i="4" a="1"/>
  <c r="E191" i="4" s="1"/>
  <c r="I191" i="4" s="1"/>
  <c r="D191" i="4" a="1"/>
  <c r="D191" i="4" s="1"/>
  <c r="B71" i="2" s="1"/>
  <c r="B191" i="4"/>
  <c r="J190" i="4"/>
  <c r="E190" i="4" a="1"/>
  <c r="E190" i="4" s="1"/>
  <c r="D190" i="4" a="1"/>
  <c r="D190" i="4" s="1"/>
  <c r="B190" i="4"/>
  <c r="J189" i="4"/>
  <c r="E189" i="4" a="1"/>
  <c r="E189" i="4" s="1"/>
  <c r="D189" i="4" a="1"/>
  <c r="D189" i="4" s="1"/>
  <c r="B189" i="4"/>
  <c r="J188" i="4"/>
  <c r="E188" i="4" a="1"/>
  <c r="E188" i="4" s="1"/>
  <c r="D188" i="4" a="1"/>
  <c r="D188" i="4" s="1"/>
  <c r="B188" i="4"/>
  <c r="J187" i="4"/>
  <c r="E187" i="4" a="1"/>
  <c r="E187" i="4" s="1"/>
  <c r="D187" i="4" a="1"/>
  <c r="D187" i="4" s="1"/>
  <c r="B187" i="4"/>
  <c r="J186" i="4"/>
  <c r="E186" i="4" a="1"/>
  <c r="E186" i="4" s="1"/>
  <c r="D186" i="4" a="1"/>
  <c r="D186" i="4" s="1"/>
  <c r="B186" i="4"/>
  <c r="G184" i="4" a="1"/>
  <c r="G184" i="4" s="1"/>
  <c r="J180" i="4"/>
  <c r="E180" i="4" a="1"/>
  <c r="E180" i="4" s="1"/>
  <c r="D180" i="4" a="1"/>
  <c r="D180" i="4" s="1"/>
  <c r="B180" i="4"/>
  <c r="J179" i="4"/>
  <c r="E179" i="4" a="1"/>
  <c r="E179" i="4" s="1"/>
  <c r="D179" i="4" a="1"/>
  <c r="D179" i="4" s="1"/>
  <c r="B179" i="4"/>
  <c r="J178" i="4"/>
  <c r="E178" i="4" a="1"/>
  <c r="E178" i="4" s="1"/>
  <c r="D178" i="4" a="1"/>
  <c r="D178" i="4" s="1"/>
  <c r="B178" i="4"/>
  <c r="J177" i="4"/>
  <c r="E177" i="4" a="1"/>
  <c r="E177" i="4" s="1"/>
  <c r="D177" i="4" a="1"/>
  <c r="D177" i="4" s="1"/>
  <c r="B177" i="4"/>
  <c r="J176" i="4"/>
  <c r="E176" i="4" a="1"/>
  <c r="E176" i="4" s="1"/>
  <c r="D176" i="4" a="1"/>
  <c r="D176" i="4" s="1"/>
  <c r="B176" i="4"/>
  <c r="J175" i="4"/>
  <c r="E175" i="4" a="1"/>
  <c r="E175" i="4" s="1"/>
  <c r="D175" i="4" a="1"/>
  <c r="D175" i="4" s="1"/>
  <c r="B175" i="4"/>
  <c r="J174" i="4"/>
  <c r="E174" i="4" a="1"/>
  <c r="E174" i="4" s="1"/>
  <c r="D174" i="4" a="1"/>
  <c r="D174" i="4" s="1"/>
  <c r="B174" i="4"/>
  <c r="E173" i="4" a="1"/>
  <c r="E173" i="4" s="1"/>
  <c r="D173" i="4" a="1"/>
  <c r="D173" i="4" s="1"/>
  <c r="B173" i="4"/>
  <c r="E172" i="4" a="1"/>
  <c r="E172" i="4" s="1"/>
  <c r="D172" i="4" a="1"/>
  <c r="D172" i="4" s="1"/>
  <c r="B172" i="4"/>
  <c r="J171" i="4"/>
  <c r="E171" i="4" a="1"/>
  <c r="E171" i="4" s="1"/>
  <c r="D171" i="4" a="1"/>
  <c r="D171" i="4" s="1"/>
  <c r="B171" i="4"/>
  <c r="J170" i="4"/>
  <c r="E170" i="4" a="1"/>
  <c r="E170" i="4" s="1"/>
  <c r="D170" i="4" a="1"/>
  <c r="D170" i="4" s="1"/>
  <c r="B170" i="4"/>
  <c r="J169" i="4"/>
  <c r="E169" i="4" a="1"/>
  <c r="E169" i="4" s="1"/>
  <c r="D169" i="4" a="1"/>
  <c r="D169" i="4" s="1"/>
  <c r="B169" i="4"/>
  <c r="J168" i="4"/>
  <c r="E168" i="4" a="1"/>
  <c r="E168" i="4" s="1"/>
  <c r="D168" i="4" a="1"/>
  <c r="D168" i="4" s="1"/>
  <c r="B168" i="4"/>
  <c r="J167" i="4"/>
  <c r="E167" i="4" a="1"/>
  <c r="E167" i="4" s="1"/>
  <c r="D167" i="4" a="1"/>
  <c r="D167" i="4" s="1"/>
  <c r="B167" i="4"/>
  <c r="J166" i="4"/>
  <c r="E166" i="4" a="1"/>
  <c r="E166" i="4" s="1"/>
  <c r="D166" i="4" a="1"/>
  <c r="D166" i="4" s="1"/>
  <c r="B166" i="4"/>
  <c r="J165" i="4"/>
  <c r="E165" i="4" a="1"/>
  <c r="E165" i="4" s="1"/>
  <c r="D165" i="4" a="1"/>
  <c r="D165" i="4" s="1"/>
  <c r="B165" i="4"/>
  <c r="J164" i="4"/>
  <c r="E164" i="4" a="1"/>
  <c r="E164" i="4" s="1"/>
  <c r="D164" i="4" a="1"/>
  <c r="D164" i="4" s="1"/>
  <c r="B164" i="4"/>
  <c r="J163" i="4"/>
  <c r="E163" i="4" a="1"/>
  <c r="E163" i="4" s="1"/>
  <c r="D163" i="4" a="1"/>
  <c r="D163" i="4" s="1"/>
  <c r="B163" i="4"/>
  <c r="J162" i="4"/>
  <c r="E162" i="4" a="1"/>
  <c r="E162" i="4" s="1"/>
  <c r="D162" i="4" a="1"/>
  <c r="D162" i="4" s="1"/>
  <c r="B162" i="4"/>
  <c r="J161" i="4"/>
  <c r="E161" i="4" a="1"/>
  <c r="E161" i="4" s="1"/>
  <c r="D161" i="4" a="1"/>
  <c r="D161" i="4" s="1"/>
  <c r="B161" i="4"/>
  <c r="J160" i="4"/>
  <c r="E160" i="4" a="1"/>
  <c r="E160" i="4" s="1"/>
  <c r="D160" i="4" a="1"/>
  <c r="D160" i="4" s="1"/>
  <c r="B160" i="4"/>
  <c r="J159" i="4"/>
  <c r="E159" i="4" a="1"/>
  <c r="E159" i="4" s="1"/>
  <c r="D159" i="4" a="1"/>
  <c r="D159" i="4" s="1"/>
  <c r="B159" i="4"/>
  <c r="J158" i="4"/>
  <c r="E158" i="4" a="1"/>
  <c r="E158" i="4" s="1"/>
  <c r="D158" i="4" a="1"/>
  <c r="D158" i="4" s="1"/>
  <c r="B158" i="4"/>
  <c r="J157" i="4"/>
  <c r="E157" i="4" a="1"/>
  <c r="E157" i="4" s="1"/>
  <c r="D157" i="4" a="1"/>
  <c r="D157" i="4" s="1"/>
  <c r="B157" i="4"/>
  <c r="J156" i="4"/>
  <c r="E156" i="4" a="1"/>
  <c r="E156" i="4" s="1"/>
  <c r="D156" i="4" a="1"/>
  <c r="D156" i="4" s="1"/>
  <c r="B156" i="4"/>
  <c r="J155" i="4"/>
  <c r="E155" i="4" a="1"/>
  <c r="E155" i="4" s="1"/>
  <c r="D155" i="4" a="1"/>
  <c r="D155" i="4" s="1"/>
  <c r="B155" i="4"/>
  <c r="J154" i="4"/>
  <c r="E154" i="4" a="1"/>
  <c r="E154" i="4" s="1"/>
  <c r="D154" i="4" a="1"/>
  <c r="D154" i="4" s="1"/>
  <c r="B154" i="4"/>
  <c r="J153" i="4"/>
  <c r="E153" i="4" a="1"/>
  <c r="E153" i="4" s="1"/>
  <c r="D153" i="4" a="1"/>
  <c r="D153" i="4" s="1"/>
  <c r="B153" i="4"/>
  <c r="J152" i="4"/>
  <c r="E152" i="4" a="1"/>
  <c r="E152" i="4" s="1"/>
  <c r="D152" i="4" a="1"/>
  <c r="D152" i="4" s="1"/>
  <c r="B152" i="4"/>
  <c r="J151" i="4"/>
  <c r="E151" i="4" a="1"/>
  <c r="E151" i="4" s="1"/>
  <c r="D151" i="4" a="1"/>
  <c r="D151" i="4" s="1"/>
  <c r="B151" i="4"/>
  <c r="J150" i="4"/>
  <c r="E150" i="4" a="1"/>
  <c r="E150" i="4" s="1"/>
  <c r="D150" i="4" a="1"/>
  <c r="D150" i="4" s="1"/>
  <c r="B150" i="4"/>
  <c r="J149" i="4"/>
  <c r="E149" i="4" a="1"/>
  <c r="E149" i="4" s="1"/>
  <c r="D149" i="4" a="1"/>
  <c r="D149" i="4" s="1"/>
  <c r="B149" i="4"/>
  <c r="J148" i="4"/>
  <c r="E148" i="4" a="1"/>
  <c r="E148" i="4" s="1"/>
  <c r="D148" i="4" a="1"/>
  <c r="D148" i="4" s="1"/>
  <c r="B148" i="4"/>
  <c r="J147" i="4"/>
  <c r="E147" i="4" a="1"/>
  <c r="E147" i="4" s="1"/>
  <c r="D147" i="4" a="1"/>
  <c r="D147" i="4" s="1"/>
  <c r="B147" i="4"/>
  <c r="J146" i="4"/>
  <c r="E146" i="4" a="1"/>
  <c r="E146" i="4" s="1"/>
  <c r="D146" i="4" a="1"/>
  <c r="D146" i="4" s="1"/>
  <c r="B146" i="4"/>
  <c r="J145" i="4"/>
  <c r="E145" i="4" a="1"/>
  <c r="E145" i="4" s="1"/>
  <c r="D145" i="4" a="1"/>
  <c r="D145" i="4" s="1"/>
  <c r="B145" i="4"/>
  <c r="J144" i="4"/>
  <c r="E144" i="4" a="1"/>
  <c r="E144" i="4" s="1"/>
  <c r="D144" i="4" a="1"/>
  <c r="D144" i="4" s="1"/>
  <c r="B144" i="4"/>
  <c r="J143" i="4"/>
  <c r="E143" i="4" a="1"/>
  <c r="E143" i="4" s="1"/>
  <c r="D143" i="4" a="1"/>
  <c r="D143" i="4" s="1"/>
  <c r="B143" i="4"/>
  <c r="J142" i="4"/>
  <c r="E142" i="4" a="1"/>
  <c r="E142" i="4" s="1"/>
  <c r="D142" i="4" a="1"/>
  <c r="D142" i="4" s="1"/>
  <c r="B142" i="4"/>
  <c r="J141" i="4"/>
  <c r="E141" i="4" a="1"/>
  <c r="E141" i="4" s="1"/>
  <c r="D141" i="4" a="1"/>
  <c r="D141" i="4" s="1"/>
  <c r="B141" i="4"/>
  <c r="J140" i="4"/>
  <c r="E140" i="4" a="1"/>
  <c r="E140" i="4" s="1"/>
  <c r="D140" i="4" a="1"/>
  <c r="D140" i="4" s="1"/>
  <c r="B140" i="4"/>
  <c r="J139" i="4"/>
  <c r="E139" i="4" a="1"/>
  <c r="E139" i="4" s="1"/>
  <c r="D139" i="4" a="1"/>
  <c r="D139" i="4" s="1"/>
  <c r="B139" i="4"/>
  <c r="J138" i="4"/>
  <c r="E138" i="4" a="1"/>
  <c r="E138" i="4" s="1"/>
  <c r="D138" i="4" a="1"/>
  <c r="D138" i="4" s="1"/>
  <c r="B138" i="4"/>
  <c r="J137" i="4"/>
  <c r="E137" i="4" a="1"/>
  <c r="E137" i="4" s="1"/>
  <c r="D137" i="4" a="1"/>
  <c r="D137" i="4" s="1"/>
  <c r="B137" i="4"/>
  <c r="J136" i="4"/>
  <c r="E136" i="4" a="1"/>
  <c r="E136" i="4" s="1"/>
  <c r="D136" i="4" a="1"/>
  <c r="D136" i="4" s="1"/>
  <c r="B136" i="4"/>
  <c r="J135" i="4"/>
  <c r="E135" i="4" a="1"/>
  <c r="E135" i="4" s="1"/>
  <c r="D135" i="4" a="1"/>
  <c r="D135" i="4" s="1"/>
  <c r="B135" i="4"/>
  <c r="J134" i="4"/>
  <c r="E134" i="4" a="1"/>
  <c r="E134" i="4" s="1"/>
  <c r="D134" i="4" a="1"/>
  <c r="D134" i="4" s="1"/>
  <c r="B134" i="4"/>
  <c r="J133" i="4"/>
  <c r="E133" i="4" a="1"/>
  <c r="E133" i="4" s="1"/>
  <c r="D133" i="4" a="1"/>
  <c r="D133" i="4" s="1"/>
  <c r="B133" i="4"/>
  <c r="J132" i="4"/>
  <c r="E132" i="4" a="1"/>
  <c r="E132" i="4" s="1"/>
  <c r="D132" i="4" a="1"/>
  <c r="D132" i="4" s="1"/>
  <c r="B132" i="4"/>
  <c r="J131" i="4"/>
  <c r="E131" i="4" a="1"/>
  <c r="E131" i="4" s="1"/>
  <c r="D131" i="4" a="1"/>
  <c r="D131" i="4" s="1"/>
  <c r="B131" i="4"/>
  <c r="J130" i="4"/>
  <c r="E130" i="4" a="1"/>
  <c r="E130" i="4" s="1"/>
  <c r="D130" i="4" a="1"/>
  <c r="D130" i="4" s="1"/>
  <c r="B130" i="4"/>
  <c r="J129" i="4"/>
  <c r="E129" i="4" a="1"/>
  <c r="E129" i="4" s="1"/>
  <c r="D129" i="4" a="1"/>
  <c r="D129" i="4" s="1"/>
  <c r="B129" i="4"/>
  <c r="J128" i="4"/>
  <c r="E128" i="4" a="1"/>
  <c r="E128" i="4" s="1"/>
  <c r="D128" i="4" a="1"/>
  <c r="D128" i="4" s="1"/>
  <c r="B128" i="4"/>
  <c r="J127" i="4"/>
  <c r="E127" i="4" a="1"/>
  <c r="E127" i="4" s="1"/>
  <c r="D127" i="4" a="1"/>
  <c r="D127" i="4" s="1"/>
  <c r="B127" i="4"/>
  <c r="J126" i="4"/>
  <c r="E126" i="4" a="1"/>
  <c r="E126" i="4" s="1"/>
  <c r="D126" i="4" a="1"/>
  <c r="D126" i="4" s="1"/>
  <c r="B126" i="4"/>
  <c r="J125" i="4"/>
  <c r="E125" i="4" a="1"/>
  <c r="E125" i="4" s="1"/>
  <c r="D125" i="4" a="1"/>
  <c r="D125" i="4" s="1"/>
  <c r="B125" i="4"/>
  <c r="J124" i="4"/>
  <c r="E124" i="4" a="1"/>
  <c r="E124" i="4" s="1"/>
  <c r="D124" i="4" a="1"/>
  <c r="D124" i="4" s="1"/>
  <c r="B124" i="4"/>
  <c r="J123" i="4"/>
  <c r="E123" i="4" a="1"/>
  <c r="E123" i="4" s="1"/>
  <c r="D123" i="4" a="1"/>
  <c r="D123" i="4" s="1"/>
  <c r="B123" i="4"/>
  <c r="J122" i="4"/>
  <c r="E122" i="4" a="1"/>
  <c r="E122" i="4" s="1"/>
  <c r="D122" i="4" a="1"/>
  <c r="D122" i="4" s="1"/>
  <c r="B122" i="4"/>
  <c r="J121" i="4"/>
  <c r="E121" i="4" a="1"/>
  <c r="E121" i="4" s="1"/>
  <c r="D121" i="4" a="1"/>
  <c r="D121" i="4" s="1"/>
  <c r="B121" i="4"/>
  <c r="J120" i="4"/>
  <c r="E120" i="4" a="1"/>
  <c r="E120" i="4" s="1"/>
  <c r="D120" i="4" a="1"/>
  <c r="D120" i="4" s="1"/>
  <c r="B120" i="4"/>
  <c r="J119" i="4"/>
  <c r="E119" i="4" a="1"/>
  <c r="E119" i="4" s="1"/>
  <c r="D119" i="4" a="1"/>
  <c r="D119" i="4" s="1"/>
  <c r="B119" i="4"/>
  <c r="J118" i="4"/>
  <c r="E118" i="4" a="1"/>
  <c r="E118" i="4" s="1"/>
  <c r="D118" i="4" a="1"/>
  <c r="D118" i="4" s="1"/>
  <c r="B118" i="4"/>
  <c r="J117" i="4"/>
  <c r="E117" i="4" a="1"/>
  <c r="E117" i="4" s="1"/>
  <c r="D117" i="4" a="1"/>
  <c r="D117" i="4" s="1"/>
  <c r="B117" i="4"/>
  <c r="J116" i="4"/>
  <c r="E116" i="4" a="1"/>
  <c r="E116" i="4" s="1"/>
  <c r="D116" i="4" a="1"/>
  <c r="D116" i="4" s="1"/>
  <c r="B116" i="4"/>
  <c r="J115" i="4"/>
  <c r="E115" i="4" a="1"/>
  <c r="E115" i="4" s="1"/>
  <c r="D115" i="4" a="1"/>
  <c r="D115" i="4" s="1"/>
  <c r="B115" i="4"/>
  <c r="J114" i="4"/>
  <c r="E114" i="4" a="1"/>
  <c r="E114" i="4" s="1"/>
  <c r="D114" i="4" a="1"/>
  <c r="D114" i="4" s="1"/>
  <c r="B114" i="4"/>
  <c r="J113" i="4"/>
  <c r="E113" i="4" a="1"/>
  <c r="E113" i="4" s="1"/>
  <c r="D113" i="4" a="1"/>
  <c r="D113" i="4" s="1"/>
  <c r="B113" i="4"/>
  <c r="J112" i="4"/>
  <c r="E112" i="4" a="1"/>
  <c r="E112" i="4" s="1"/>
  <c r="D112" i="4" a="1"/>
  <c r="D112" i="4" s="1"/>
  <c r="B112" i="4"/>
  <c r="J111" i="4"/>
  <c r="E111" i="4" a="1"/>
  <c r="E111" i="4" s="1"/>
  <c r="D111" i="4" a="1"/>
  <c r="D111" i="4" s="1"/>
  <c r="B111" i="4"/>
  <c r="J110" i="4"/>
  <c r="E110" i="4" a="1"/>
  <c r="E110" i="4" s="1"/>
  <c r="D110" i="4" a="1"/>
  <c r="D110" i="4" s="1"/>
  <c r="B110" i="4"/>
  <c r="J109" i="4"/>
  <c r="E109" i="4" a="1"/>
  <c r="E109" i="4" s="1"/>
  <c r="D109" i="4" a="1"/>
  <c r="D109" i="4" s="1"/>
  <c r="B109" i="4"/>
  <c r="J108" i="4"/>
  <c r="E108" i="4" a="1"/>
  <c r="E108" i="4" s="1"/>
  <c r="D108" i="4" a="1"/>
  <c r="D108" i="4" s="1"/>
  <c r="B108" i="4"/>
  <c r="J107" i="4"/>
  <c r="E107" i="4" a="1"/>
  <c r="E107" i="4" s="1"/>
  <c r="D107" i="4" a="1"/>
  <c r="D107" i="4" s="1"/>
  <c r="B107" i="4"/>
  <c r="J106" i="4"/>
  <c r="E106" i="4" a="1"/>
  <c r="E106" i="4" s="1"/>
  <c r="D106" i="4" a="1"/>
  <c r="D106" i="4" s="1"/>
  <c r="B106" i="4"/>
  <c r="J105" i="4"/>
  <c r="E105" i="4" a="1"/>
  <c r="E105" i="4" s="1"/>
  <c r="D105" i="4" a="1"/>
  <c r="D105" i="4" s="1"/>
  <c r="B105" i="4"/>
  <c r="J104" i="4"/>
  <c r="E104" i="4" a="1"/>
  <c r="E104" i="4" s="1"/>
  <c r="D104" i="4" a="1"/>
  <c r="D104" i="4" s="1"/>
  <c r="B104" i="4"/>
  <c r="J103" i="4"/>
  <c r="E103" i="4" a="1"/>
  <c r="E103" i="4" s="1"/>
  <c r="D103" i="4" a="1"/>
  <c r="D103" i="4" s="1"/>
  <c r="B103" i="4"/>
  <c r="J102" i="4"/>
  <c r="E102" i="4" a="1"/>
  <c r="E102" i="4" s="1"/>
  <c r="D102" i="4" a="1"/>
  <c r="D102" i="4" s="1"/>
  <c r="B102" i="4"/>
  <c r="J101" i="4"/>
  <c r="E101" i="4" a="1"/>
  <c r="E101" i="4" s="1"/>
  <c r="D101" i="4" a="1"/>
  <c r="D101" i="4" s="1"/>
  <c r="B101" i="4"/>
  <c r="J100" i="4"/>
  <c r="E100" i="4" a="1"/>
  <c r="E100" i="4" s="1"/>
  <c r="D100" i="4" a="1"/>
  <c r="D100" i="4" s="1"/>
  <c r="B100" i="4"/>
  <c r="J99" i="4"/>
  <c r="E99" i="4" a="1"/>
  <c r="E99" i="4" s="1"/>
  <c r="D99" i="4" a="1"/>
  <c r="D99" i="4" s="1"/>
  <c r="B99" i="4"/>
  <c r="J98" i="4"/>
  <c r="E98" i="4" a="1"/>
  <c r="E98" i="4" s="1"/>
  <c r="D98" i="4" a="1"/>
  <c r="D98" i="4" s="1"/>
  <c r="B98" i="4"/>
  <c r="J97" i="4"/>
  <c r="E97" i="4" a="1"/>
  <c r="E97" i="4" s="1"/>
  <c r="D97" i="4" a="1"/>
  <c r="D97" i="4" s="1"/>
  <c r="B97" i="4"/>
  <c r="J96" i="4"/>
  <c r="E96" i="4" a="1"/>
  <c r="E96" i="4" s="1"/>
  <c r="D96" i="4" a="1"/>
  <c r="D96" i="4" s="1"/>
  <c r="B96" i="4"/>
  <c r="J95" i="4"/>
  <c r="E95" i="4" a="1"/>
  <c r="E95" i="4" s="1"/>
  <c r="D95" i="4" a="1"/>
  <c r="D95" i="4" s="1"/>
  <c r="B95" i="4"/>
  <c r="J94" i="4"/>
  <c r="E94" i="4" a="1"/>
  <c r="E94" i="4" s="1"/>
  <c r="D94" i="4" a="1"/>
  <c r="D94" i="4" s="1"/>
  <c r="B94" i="4"/>
  <c r="J93" i="4"/>
  <c r="E93" i="4" a="1"/>
  <c r="E93" i="4" s="1"/>
  <c r="D93" i="4" a="1"/>
  <c r="D93" i="4" s="1"/>
  <c r="B93" i="4"/>
  <c r="J92" i="4"/>
  <c r="E92" i="4" a="1"/>
  <c r="E92" i="4" s="1"/>
  <c r="D92" i="4" a="1"/>
  <c r="D92" i="4" s="1"/>
  <c r="B92" i="4"/>
  <c r="J91" i="4"/>
  <c r="E91" i="4" a="1"/>
  <c r="E91" i="4" s="1"/>
  <c r="D91" i="4" a="1"/>
  <c r="D91" i="4" s="1"/>
  <c r="B91" i="4"/>
  <c r="J90" i="4"/>
  <c r="E90" i="4" a="1"/>
  <c r="E90" i="4" s="1"/>
  <c r="D90" i="4" a="1"/>
  <c r="D90" i="4" s="1"/>
  <c r="B90" i="4"/>
  <c r="J89" i="4"/>
  <c r="E89" i="4" a="1"/>
  <c r="E89" i="4" s="1"/>
  <c r="D89" i="4" a="1"/>
  <c r="D89" i="4" s="1"/>
  <c r="B89" i="4"/>
  <c r="J88" i="4"/>
  <c r="E88" i="4" a="1"/>
  <c r="E88" i="4" s="1"/>
  <c r="D88" i="4" a="1"/>
  <c r="D88" i="4" s="1"/>
  <c r="B88" i="4"/>
  <c r="J87" i="4"/>
  <c r="E87" i="4" a="1"/>
  <c r="E87" i="4" s="1"/>
  <c r="D87" i="4" a="1"/>
  <c r="D87" i="4" s="1"/>
  <c r="B87" i="4"/>
  <c r="J86" i="4"/>
  <c r="E86" i="4" a="1"/>
  <c r="E86" i="4" s="1"/>
  <c r="D86" i="4" a="1"/>
  <c r="D86" i="4" s="1"/>
  <c r="B86" i="4"/>
  <c r="J85" i="4"/>
  <c r="E85" i="4" a="1"/>
  <c r="E85" i="4" s="1"/>
  <c r="D85" i="4" a="1"/>
  <c r="D85" i="4" s="1"/>
  <c r="B85" i="4"/>
  <c r="J84" i="4"/>
  <c r="E84" i="4" a="1"/>
  <c r="E84" i="4" s="1"/>
  <c r="D84" i="4" a="1"/>
  <c r="D84" i="4" s="1"/>
  <c r="B84" i="4"/>
  <c r="J83" i="4"/>
  <c r="E83" i="4" a="1"/>
  <c r="E83" i="4" s="1"/>
  <c r="D83" i="4" a="1"/>
  <c r="D83" i="4" s="1"/>
  <c r="B83" i="4"/>
  <c r="J82" i="4"/>
  <c r="E82" i="4" a="1"/>
  <c r="E82" i="4" s="1"/>
  <c r="D82" i="4" a="1"/>
  <c r="D82" i="4" s="1"/>
  <c r="B82" i="4"/>
  <c r="J81" i="4"/>
  <c r="E81" i="4" a="1"/>
  <c r="E81" i="4" s="1"/>
  <c r="D81" i="4" a="1"/>
  <c r="D81" i="4" s="1"/>
  <c r="B81" i="4"/>
  <c r="J80" i="4"/>
  <c r="E80" i="4" a="1"/>
  <c r="E80" i="4" s="1"/>
  <c r="D80" i="4" a="1"/>
  <c r="D80" i="4" s="1"/>
  <c r="B80" i="4"/>
  <c r="J79" i="4"/>
  <c r="E79" i="4" a="1"/>
  <c r="E79" i="4" s="1"/>
  <c r="D79" i="4" a="1"/>
  <c r="D79" i="4" s="1"/>
  <c r="B79" i="4"/>
  <c r="J78" i="4"/>
  <c r="E78" i="4" a="1"/>
  <c r="E78" i="4" s="1"/>
  <c r="D78" i="4" a="1"/>
  <c r="D78" i="4" s="1"/>
  <c r="B78" i="4"/>
  <c r="J77" i="4"/>
  <c r="E77" i="4" a="1"/>
  <c r="E77" i="4" s="1"/>
  <c r="D77" i="4" a="1"/>
  <c r="D77" i="4" s="1"/>
  <c r="B77" i="4"/>
  <c r="J76" i="4"/>
  <c r="E76" i="4" a="1"/>
  <c r="E76" i="4" s="1"/>
  <c r="D76" i="4" a="1"/>
  <c r="D76" i="4" s="1"/>
  <c r="B76" i="4"/>
  <c r="J75" i="4"/>
  <c r="E75" i="4" a="1"/>
  <c r="E75" i="4" s="1"/>
  <c r="D75" i="4" a="1"/>
  <c r="D75" i="4" s="1"/>
  <c r="B75" i="4"/>
  <c r="J74" i="4"/>
  <c r="E74" i="4" a="1"/>
  <c r="E74" i="4" s="1"/>
  <c r="D74" i="4" a="1"/>
  <c r="D74" i="4" s="1"/>
  <c r="B74" i="4"/>
  <c r="J73" i="4"/>
  <c r="E73" i="4" a="1"/>
  <c r="E73" i="4" s="1"/>
  <c r="D73" i="4" a="1"/>
  <c r="D73" i="4" s="1"/>
  <c r="B73" i="4"/>
  <c r="J72" i="4"/>
  <c r="E72" i="4" a="1"/>
  <c r="E72" i="4" s="1"/>
  <c r="D72" i="4" a="1"/>
  <c r="D72" i="4" s="1"/>
  <c r="B72" i="4"/>
  <c r="J71" i="4"/>
  <c r="E71" i="4" a="1"/>
  <c r="E71" i="4" s="1"/>
  <c r="D71" i="4" a="1"/>
  <c r="D71" i="4" s="1"/>
  <c r="B71" i="4"/>
  <c r="J70" i="4"/>
  <c r="E70" i="4" a="1"/>
  <c r="E70" i="4" s="1"/>
  <c r="D70" i="4" a="1"/>
  <c r="D70" i="4" s="1"/>
  <c r="B70" i="4"/>
  <c r="J69" i="4"/>
  <c r="E69" i="4" a="1"/>
  <c r="E69" i="4" s="1"/>
  <c r="D69" i="4" a="1"/>
  <c r="D69" i="4" s="1"/>
  <c r="B69" i="4"/>
  <c r="J68" i="4"/>
  <c r="E68" i="4" a="1"/>
  <c r="E68" i="4" s="1"/>
  <c r="D68" i="4" a="1"/>
  <c r="D68" i="4" s="1"/>
  <c r="B68" i="4"/>
  <c r="J67" i="4"/>
  <c r="E67" i="4" a="1"/>
  <c r="E67" i="4" s="1"/>
  <c r="D67" i="4" a="1"/>
  <c r="D67" i="4" s="1"/>
  <c r="B67" i="4"/>
  <c r="J66" i="4"/>
  <c r="E66" i="4" a="1"/>
  <c r="E66" i="4" s="1"/>
  <c r="D66" i="4" a="1"/>
  <c r="D66" i="4" s="1"/>
  <c r="B66" i="4"/>
  <c r="J65" i="4"/>
  <c r="E65" i="4" a="1"/>
  <c r="E65" i="4" s="1"/>
  <c r="D65" i="4" a="1"/>
  <c r="D65" i="4" s="1"/>
  <c r="B65" i="4"/>
  <c r="J64" i="4"/>
  <c r="E64" i="4" a="1"/>
  <c r="E64" i="4" s="1"/>
  <c r="D64" i="4" a="1"/>
  <c r="D64" i="4" s="1"/>
  <c r="B64" i="4"/>
  <c r="J63" i="4"/>
  <c r="E63" i="4" a="1"/>
  <c r="E63" i="4" s="1"/>
  <c r="D63" i="4" a="1"/>
  <c r="D63" i="4" s="1"/>
  <c r="B63" i="4"/>
  <c r="J62" i="4"/>
  <c r="E62" i="4" a="1"/>
  <c r="E62" i="4" s="1"/>
  <c r="D62" i="4" a="1"/>
  <c r="D62" i="4" s="1"/>
  <c r="B62" i="4"/>
  <c r="J61" i="4"/>
  <c r="E61" i="4" a="1"/>
  <c r="E61" i="4" s="1"/>
  <c r="D61" i="4" a="1"/>
  <c r="D61" i="4" s="1"/>
  <c r="B61" i="4"/>
  <c r="J60" i="4"/>
  <c r="E60" i="4" a="1"/>
  <c r="E60" i="4" s="1"/>
  <c r="D60" i="4" a="1"/>
  <c r="D60" i="4" s="1"/>
  <c r="B60" i="4"/>
  <c r="J59" i="4"/>
  <c r="E59" i="4" a="1"/>
  <c r="E59" i="4" s="1"/>
  <c r="D59" i="4" a="1"/>
  <c r="D59" i="4" s="1"/>
  <c r="B59" i="4"/>
  <c r="J58" i="4"/>
  <c r="E58" i="4" a="1"/>
  <c r="E58" i="4" s="1"/>
  <c r="D58" i="4" a="1"/>
  <c r="D58" i="4" s="1"/>
  <c r="B58" i="4"/>
  <c r="J57" i="4"/>
  <c r="E57" i="4" a="1"/>
  <c r="E57" i="4" s="1"/>
  <c r="D57" i="4" a="1"/>
  <c r="D57" i="4" s="1"/>
  <c r="B57" i="4"/>
  <c r="J56" i="4"/>
  <c r="E56" i="4" a="1"/>
  <c r="E56" i="4" s="1"/>
  <c r="D56" i="4" a="1"/>
  <c r="D56" i="4" s="1"/>
  <c r="B56" i="4"/>
  <c r="J55" i="4"/>
  <c r="E55" i="4" a="1"/>
  <c r="E55" i="4" s="1"/>
  <c r="D55" i="4" a="1"/>
  <c r="D55" i="4" s="1"/>
  <c r="B55" i="4"/>
  <c r="J54" i="4"/>
  <c r="E54" i="4" a="1"/>
  <c r="E54" i="4" s="1"/>
  <c r="D54" i="4" a="1"/>
  <c r="D54" i="4" s="1"/>
  <c r="B54" i="4"/>
  <c r="J53" i="4"/>
  <c r="E53" i="4" a="1"/>
  <c r="E53" i="4" s="1"/>
  <c r="D53" i="4" a="1"/>
  <c r="D53" i="4" s="1"/>
  <c r="B53" i="4"/>
  <c r="J52" i="4"/>
  <c r="E52" i="4" a="1"/>
  <c r="E52" i="4" s="1"/>
  <c r="D52" i="4" a="1"/>
  <c r="D52" i="4" s="1"/>
  <c r="B52" i="4"/>
  <c r="J51" i="4"/>
  <c r="E51" i="4" a="1"/>
  <c r="E51" i="4" s="1"/>
  <c r="D51" i="4" a="1"/>
  <c r="D51" i="4" s="1"/>
  <c r="B51" i="4"/>
  <c r="J50" i="4"/>
  <c r="E50" i="4" a="1"/>
  <c r="E50" i="4" s="1"/>
  <c r="D50" i="4" a="1"/>
  <c r="D50" i="4" s="1"/>
  <c r="B50" i="4"/>
  <c r="J49" i="4"/>
  <c r="E49" i="4" a="1"/>
  <c r="E49" i="4" s="1"/>
  <c r="D49" i="4" a="1"/>
  <c r="D49" i="4" s="1"/>
  <c r="B49" i="4"/>
  <c r="J48" i="4"/>
  <c r="E48" i="4" a="1"/>
  <c r="E48" i="4" s="1"/>
  <c r="D48" i="4" a="1"/>
  <c r="D48" i="4" s="1"/>
  <c r="B48" i="4"/>
  <c r="J47" i="4"/>
  <c r="E47" i="4" a="1"/>
  <c r="E47" i="4" s="1"/>
  <c r="D47" i="4" a="1"/>
  <c r="D47" i="4" s="1"/>
  <c r="B47" i="4"/>
  <c r="J46" i="4"/>
  <c r="E46" i="4" a="1"/>
  <c r="E46" i="4" s="1"/>
  <c r="D46" i="4" a="1"/>
  <c r="D46" i="4" s="1"/>
  <c r="B46" i="4"/>
  <c r="J45" i="4"/>
  <c r="E45" i="4" a="1"/>
  <c r="E45" i="4" s="1"/>
  <c r="D45" i="4" a="1"/>
  <c r="D45" i="4" s="1"/>
  <c r="B45" i="4"/>
  <c r="J44" i="4"/>
  <c r="E44" i="4" a="1"/>
  <c r="E44" i="4" s="1"/>
  <c r="D44" i="4" a="1"/>
  <c r="D44" i="4" s="1"/>
  <c r="B44" i="4"/>
  <c r="J43" i="4"/>
  <c r="E43" i="4" a="1"/>
  <c r="E43" i="4" s="1"/>
  <c r="D43" i="4" a="1"/>
  <c r="D43" i="4" s="1"/>
  <c r="B43" i="4"/>
  <c r="J42" i="4"/>
  <c r="E42" i="4" a="1"/>
  <c r="E42" i="4" s="1"/>
  <c r="D42" i="4" a="1"/>
  <c r="D42" i="4" s="1"/>
  <c r="B42" i="4"/>
  <c r="J41" i="4"/>
  <c r="E41" i="4" a="1"/>
  <c r="E41" i="4" s="1"/>
  <c r="D41" i="4" a="1"/>
  <c r="D41" i="4" s="1"/>
  <c r="B41" i="4"/>
  <c r="J40" i="4"/>
  <c r="E40" i="4" a="1"/>
  <c r="E40" i="4" s="1"/>
  <c r="D40" i="4" a="1"/>
  <c r="D40" i="4" s="1"/>
  <c r="B40" i="4"/>
  <c r="J39" i="4"/>
  <c r="E39" i="4" a="1"/>
  <c r="E39" i="4" s="1"/>
  <c r="D39" i="4" a="1"/>
  <c r="D39" i="4" s="1"/>
  <c r="B39" i="4"/>
  <c r="J38" i="4"/>
  <c r="E38" i="4" a="1"/>
  <c r="E38" i="4" s="1"/>
  <c r="D38" i="4" a="1"/>
  <c r="D38" i="4" s="1"/>
  <c r="B38" i="4"/>
  <c r="J37" i="4"/>
  <c r="E37" i="4" a="1"/>
  <c r="E37" i="4" s="1"/>
  <c r="D37" i="4" a="1"/>
  <c r="D37" i="4" s="1"/>
  <c r="B37" i="4"/>
  <c r="J36" i="4"/>
  <c r="E36" i="4" a="1"/>
  <c r="E36" i="4" s="1"/>
  <c r="D36" i="4" a="1"/>
  <c r="D36" i="4" s="1"/>
  <c r="B36" i="4"/>
  <c r="J35" i="4"/>
  <c r="E35" i="4" a="1"/>
  <c r="E35" i="4" s="1"/>
  <c r="D35" i="4" a="1"/>
  <c r="D35" i="4" s="1"/>
  <c r="B35" i="4"/>
  <c r="J34" i="4"/>
  <c r="E34" i="4" a="1"/>
  <c r="E34" i="4" s="1"/>
  <c r="D34" i="4" a="1"/>
  <c r="D34" i="4" s="1"/>
  <c r="B34" i="4"/>
  <c r="J33" i="4"/>
  <c r="E33" i="4" a="1"/>
  <c r="E33" i="4" s="1"/>
  <c r="D33" i="4" a="1"/>
  <c r="D33" i="4" s="1"/>
  <c r="B33" i="4"/>
  <c r="J32" i="4"/>
  <c r="E32" i="4" a="1"/>
  <c r="E32" i="4" s="1"/>
  <c r="D32" i="4" a="1"/>
  <c r="D32" i="4" s="1"/>
  <c r="B32" i="4"/>
  <c r="J31" i="4"/>
  <c r="E31" i="4" a="1"/>
  <c r="E31" i="4" s="1"/>
  <c r="D31" i="4" a="1"/>
  <c r="D31" i="4" s="1"/>
  <c r="B31" i="4"/>
  <c r="J30" i="4"/>
  <c r="E30" i="4" a="1"/>
  <c r="E30" i="4" s="1"/>
  <c r="D30" i="4" a="1"/>
  <c r="D30" i="4" s="1"/>
  <c r="B30" i="4"/>
  <c r="J29" i="4"/>
  <c r="E29" i="4" a="1"/>
  <c r="E29" i="4" s="1"/>
  <c r="D29" i="4" a="1"/>
  <c r="D29" i="4" s="1"/>
  <c r="B29" i="4"/>
  <c r="J28" i="4"/>
  <c r="E28" i="4" a="1"/>
  <c r="E28" i="4" s="1"/>
  <c r="D28" i="4" a="1"/>
  <c r="D28" i="4" s="1"/>
  <c r="B28" i="4"/>
  <c r="J27" i="4"/>
  <c r="E27" i="4" a="1"/>
  <c r="E27" i="4" s="1"/>
  <c r="D27" i="4" a="1"/>
  <c r="D27" i="4" s="1"/>
  <c r="B27" i="4"/>
  <c r="J26" i="4"/>
  <c r="E26" i="4" a="1"/>
  <c r="E26" i="4" s="1"/>
  <c r="D26" i="4" a="1"/>
  <c r="D26" i="4" s="1"/>
  <c r="B26" i="4"/>
  <c r="J25" i="4"/>
  <c r="E25" i="4" a="1"/>
  <c r="E25" i="4" s="1"/>
  <c r="D25" i="4" a="1"/>
  <c r="D25" i="4" s="1"/>
  <c r="B25" i="4"/>
  <c r="J24" i="4"/>
  <c r="E24" i="4" a="1"/>
  <c r="E24" i="4" s="1"/>
  <c r="D24" i="4" a="1"/>
  <c r="D24" i="4" s="1"/>
  <c r="B24" i="4"/>
  <c r="J23" i="4"/>
  <c r="E23" i="4" a="1"/>
  <c r="E23" i="4" s="1"/>
  <c r="D23" i="4" a="1"/>
  <c r="D23" i="4" s="1"/>
  <c r="B23" i="4"/>
  <c r="J22" i="4"/>
  <c r="E22" i="4" a="1"/>
  <c r="E22" i="4" s="1"/>
  <c r="D22" i="4" a="1"/>
  <c r="D22" i="4" s="1"/>
  <c r="B22" i="4"/>
  <c r="J21" i="4"/>
  <c r="E21" i="4" a="1"/>
  <c r="E21" i="4" s="1"/>
  <c r="D21" i="4" a="1"/>
  <c r="D21" i="4" s="1"/>
  <c r="B21" i="4"/>
  <c r="J20" i="4"/>
  <c r="E20" i="4" a="1"/>
  <c r="E20" i="4" s="1"/>
  <c r="D20" i="4" a="1"/>
  <c r="D20" i="4" s="1"/>
  <c r="B20" i="4"/>
  <c r="J19" i="4"/>
  <c r="E19" i="4" a="1"/>
  <c r="E19" i="4" s="1"/>
  <c r="D19" i="4" a="1"/>
  <c r="D19" i="4" s="1"/>
  <c r="B19" i="4"/>
  <c r="J18" i="4"/>
  <c r="E18" i="4" a="1"/>
  <c r="E18" i="4" s="1"/>
  <c r="D18" i="4" a="1"/>
  <c r="D18" i="4" s="1"/>
  <c r="B18" i="4"/>
  <c r="J17" i="4"/>
  <c r="E17" i="4" a="1"/>
  <c r="E17" i="4" s="1"/>
  <c r="D17" i="4" a="1"/>
  <c r="D17" i="4" s="1"/>
  <c r="B17" i="4"/>
  <c r="J16" i="4"/>
  <c r="E16" i="4" a="1"/>
  <c r="E16" i="4" s="1"/>
  <c r="D16" i="4" a="1"/>
  <c r="D16" i="4" s="1"/>
  <c r="B16" i="4"/>
  <c r="J15" i="4"/>
  <c r="E15" i="4" a="1"/>
  <c r="E15" i="4" s="1"/>
  <c r="D15" i="4" a="1"/>
  <c r="D15" i="4" s="1"/>
  <c r="B15" i="4"/>
  <c r="J14" i="4"/>
  <c r="E14" i="4" a="1"/>
  <c r="E14" i="4" s="1"/>
  <c r="D14" i="4" a="1"/>
  <c r="D14" i="4" s="1"/>
  <c r="B14" i="4"/>
  <c r="J13" i="4"/>
  <c r="E13" i="4" a="1"/>
  <c r="E13" i="4" s="1"/>
  <c r="D13" i="4" a="1"/>
  <c r="D13" i="4" s="1"/>
  <c r="B13" i="4"/>
  <c r="J12" i="4"/>
  <c r="E12" i="4" a="1"/>
  <c r="E12" i="4" s="1"/>
  <c r="D12" i="4" a="1"/>
  <c r="D12" i="4" s="1"/>
  <c r="B12" i="4"/>
  <c r="J11" i="4"/>
  <c r="E11" i="4" a="1"/>
  <c r="E11" i="4" s="1"/>
  <c r="D11" i="4" a="1"/>
  <c r="D11" i="4" s="1"/>
  <c r="B11" i="4"/>
  <c r="J10" i="4"/>
  <c r="E10" i="4" a="1"/>
  <c r="E10" i="4" s="1"/>
  <c r="D10" i="4" a="1"/>
  <c r="D10" i="4" s="1"/>
  <c r="B10" i="4"/>
  <c r="J9" i="4"/>
  <c r="E9" i="4" a="1"/>
  <c r="E9" i="4" s="1"/>
  <c r="D9" i="4" a="1"/>
  <c r="D9" i="4" s="1"/>
  <c r="B9" i="4"/>
  <c r="J8" i="4"/>
  <c r="E8" i="4" a="1"/>
  <c r="E8" i="4" s="1"/>
  <c r="D8" i="4" a="1"/>
  <c r="D8" i="4" s="1"/>
  <c r="B8" i="4"/>
  <c r="J7" i="4"/>
  <c r="E7" i="4" a="1"/>
  <c r="E7" i="4" s="1"/>
  <c r="D7" i="4" a="1"/>
  <c r="D7" i="4" s="1"/>
  <c r="B7" i="4"/>
  <c r="J6" i="4"/>
  <c r="E6" i="4" a="1"/>
  <c r="E6" i="4" s="1"/>
  <c r="D6" i="4" a="1"/>
  <c r="D6" i="4" s="1"/>
  <c r="B6" i="4"/>
  <c r="J5" i="4"/>
  <c r="E5" i="4" a="1"/>
  <c r="E5" i="4" s="1"/>
  <c r="D5" i="4" a="1"/>
  <c r="D5" i="4" s="1"/>
  <c r="B5" i="4"/>
  <c r="J4" i="4"/>
  <c r="E4" i="4" a="1"/>
  <c r="E4" i="4" s="1"/>
  <c r="D4" i="4" a="1"/>
  <c r="D4" i="4" s="1"/>
  <c r="B4" i="4"/>
  <c r="X398" i="3"/>
  <c r="U398" i="3"/>
  <c r="AA398" i="3" s="1"/>
  <c r="P398" i="3"/>
  <c r="Y398" i="3" s="1"/>
  <c r="N398" i="3"/>
  <c r="F398" i="3"/>
  <c r="X397" i="3"/>
  <c r="N397" i="3"/>
  <c r="F397" i="3"/>
  <c r="X396" i="3"/>
  <c r="Y396" i="3" s="1"/>
  <c r="W396" i="3"/>
  <c r="P396" i="3"/>
  <c r="U396" i="3" s="1"/>
  <c r="AA396" i="3" s="1"/>
  <c r="N396" i="3"/>
  <c r="F396" i="3"/>
  <c r="X395" i="3"/>
  <c r="N395" i="3"/>
  <c r="F395" i="3"/>
  <c r="P395" i="3" s="1"/>
  <c r="X394" i="3"/>
  <c r="W394" i="3"/>
  <c r="U394" i="3"/>
  <c r="AA394" i="3" s="1"/>
  <c r="R394" i="3"/>
  <c r="P394" i="3"/>
  <c r="N394" i="3"/>
  <c r="F394" i="3"/>
  <c r="X393" i="3"/>
  <c r="N393" i="3"/>
  <c r="F393" i="3"/>
  <c r="X392" i="3"/>
  <c r="N392" i="3"/>
  <c r="F392" i="3"/>
  <c r="P392" i="3" s="1"/>
  <c r="X391" i="3"/>
  <c r="N391" i="3"/>
  <c r="F391" i="3"/>
  <c r="X390" i="3"/>
  <c r="W390" i="3"/>
  <c r="U390" i="3"/>
  <c r="AA390" i="3" s="1"/>
  <c r="P390" i="3"/>
  <c r="N390" i="3"/>
  <c r="F390" i="3"/>
  <c r="X389" i="3"/>
  <c r="N389" i="3"/>
  <c r="F389" i="3"/>
  <c r="X388" i="3"/>
  <c r="N388" i="3"/>
  <c r="F388" i="3"/>
  <c r="X387" i="3"/>
  <c r="N387" i="3"/>
  <c r="F387" i="3"/>
  <c r="X386" i="3"/>
  <c r="P386" i="3"/>
  <c r="N386" i="3"/>
  <c r="F386" i="3"/>
  <c r="X385" i="3"/>
  <c r="N385" i="3"/>
  <c r="F385" i="3"/>
  <c r="X384" i="3"/>
  <c r="N384" i="3"/>
  <c r="F384" i="3"/>
  <c r="T29" i="3" s="1"/>
  <c r="X383" i="3"/>
  <c r="N383" i="3"/>
  <c r="F383" i="3"/>
  <c r="P383" i="3" s="1"/>
  <c r="X382" i="3"/>
  <c r="P382" i="3"/>
  <c r="Y382" i="3" s="1"/>
  <c r="N382" i="3"/>
  <c r="F382" i="3"/>
  <c r="X381" i="3"/>
  <c r="N381" i="3"/>
  <c r="F381" i="3"/>
  <c r="X380" i="3"/>
  <c r="N380" i="3"/>
  <c r="F380" i="3"/>
  <c r="P380" i="3" s="1"/>
  <c r="X379" i="3"/>
  <c r="P379" i="3"/>
  <c r="Y379" i="3" s="1"/>
  <c r="N379" i="3"/>
  <c r="F379" i="3"/>
  <c r="X378" i="3"/>
  <c r="P378" i="3"/>
  <c r="Y378" i="3" s="1"/>
  <c r="N378" i="3"/>
  <c r="F378" i="3"/>
  <c r="X377" i="3"/>
  <c r="N377" i="3"/>
  <c r="F377" i="3"/>
  <c r="X376" i="3"/>
  <c r="P376" i="3"/>
  <c r="U376" i="3" s="1"/>
  <c r="N376" i="3"/>
  <c r="F376" i="3"/>
  <c r="X375" i="3"/>
  <c r="R375" i="3"/>
  <c r="P375" i="3"/>
  <c r="Y375" i="3" s="1"/>
  <c r="N375" i="3"/>
  <c r="F375" i="3"/>
  <c r="X374" i="3"/>
  <c r="R374" i="3"/>
  <c r="P374" i="3"/>
  <c r="Y374" i="3" s="1"/>
  <c r="N374" i="3"/>
  <c r="F374" i="3"/>
  <c r="X373" i="3"/>
  <c r="N373" i="3"/>
  <c r="F373" i="3"/>
  <c r="X372" i="3"/>
  <c r="R372" i="3"/>
  <c r="P372" i="3"/>
  <c r="U372" i="3" s="1"/>
  <c r="AA372" i="3" s="1"/>
  <c r="N372" i="3"/>
  <c r="F372" i="3"/>
  <c r="X371" i="3"/>
  <c r="U371" i="3"/>
  <c r="W371" i="3" s="1"/>
  <c r="R371" i="3"/>
  <c r="P371" i="3"/>
  <c r="Y371" i="3" s="1"/>
  <c r="N371" i="3"/>
  <c r="F371" i="3"/>
  <c r="X370" i="3"/>
  <c r="U370" i="3"/>
  <c r="AA370" i="3" s="1"/>
  <c r="R370" i="3"/>
  <c r="P370" i="3"/>
  <c r="Y370" i="3" s="1"/>
  <c r="N370" i="3"/>
  <c r="F370" i="3"/>
  <c r="X369" i="3"/>
  <c r="N369" i="3"/>
  <c r="F369" i="3"/>
  <c r="X368" i="3"/>
  <c r="W368" i="3"/>
  <c r="R368" i="3"/>
  <c r="P368" i="3"/>
  <c r="U368" i="3" s="1"/>
  <c r="AA368" i="3" s="1"/>
  <c r="N368" i="3"/>
  <c r="F368" i="3"/>
  <c r="X367" i="3"/>
  <c r="U367" i="3"/>
  <c r="W367" i="3" s="1"/>
  <c r="P367" i="3"/>
  <c r="R367" i="3" s="1"/>
  <c r="N367" i="3"/>
  <c r="F367" i="3"/>
  <c r="X366" i="3"/>
  <c r="U366" i="3"/>
  <c r="AA366" i="3" s="1"/>
  <c r="P366" i="3"/>
  <c r="Y366" i="3" s="1"/>
  <c r="N366" i="3"/>
  <c r="F366" i="3"/>
  <c r="X365" i="3"/>
  <c r="N365" i="3"/>
  <c r="F365" i="3"/>
  <c r="X364" i="3"/>
  <c r="Y364" i="3" s="1"/>
  <c r="W364" i="3"/>
  <c r="P364" i="3"/>
  <c r="U364" i="3" s="1"/>
  <c r="AA364" i="3" s="1"/>
  <c r="N364" i="3"/>
  <c r="F364" i="3"/>
  <c r="X363" i="3"/>
  <c r="N363" i="3"/>
  <c r="F363" i="3"/>
  <c r="P363" i="3" s="1"/>
  <c r="X362" i="3"/>
  <c r="W362" i="3"/>
  <c r="U362" i="3"/>
  <c r="AA362" i="3" s="1"/>
  <c r="R362" i="3"/>
  <c r="P362" i="3"/>
  <c r="N362" i="3"/>
  <c r="F362" i="3"/>
  <c r="X361" i="3"/>
  <c r="N361" i="3"/>
  <c r="F361" i="3"/>
  <c r="X360" i="3"/>
  <c r="N360" i="3"/>
  <c r="F360" i="3"/>
  <c r="P360" i="3" s="1"/>
  <c r="X359" i="3"/>
  <c r="N359" i="3"/>
  <c r="F359" i="3"/>
  <c r="X358" i="3"/>
  <c r="W358" i="3"/>
  <c r="U358" i="3"/>
  <c r="AA358" i="3" s="1"/>
  <c r="P358" i="3"/>
  <c r="N358" i="3"/>
  <c r="F358" i="3"/>
  <c r="X357" i="3"/>
  <c r="N357" i="3"/>
  <c r="F357" i="3"/>
  <c r="X356" i="3"/>
  <c r="N356" i="3"/>
  <c r="F356" i="3"/>
  <c r="X355" i="3"/>
  <c r="N355" i="3"/>
  <c r="F355" i="3"/>
  <c r="X354" i="3"/>
  <c r="P354" i="3"/>
  <c r="N354" i="3"/>
  <c r="F354" i="3"/>
  <c r="X353" i="3"/>
  <c r="N353" i="3"/>
  <c r="F353" i="3"/>
  <c r="X352" i="3"/>
  <c r="N352" i="3"/>
  <c r="F352" i="3"/>
  <c r="X351" i="3"/>
  <c r="N351" i="3"/>
  <c r="F351" i="3"/>
  <c r="P351" i="3" s="1"/>
  <c r="X350" i="3"/>
  <c r="P350" i="3"/>
  <c r="Y350" i="3" s="1"/>
  <c r="N350" i="3"/>
  <c r="F350" i="3"/>
  <c r="X349" i="3"/>
  <c r="N349" i="3"/>
  <c r="F349" i="3"/>
  <c r="X348" i="3"/>
  <c r="N348" i="3"/>
  <c r="F348" i="3"/>
  <c r="P348" i="3" s="1"/>
  <c r="X347" i="3"/>
  <c r="P347" i="3"/>
  <c r="Y347" i="3" s="1"/>
  <c r="N347" i="3"/>
  <c r="F347" i="3"/>
  <c r="X346" i="3"/>
  <c r="P346" i="3"/>
  <c r="Y346" i="3" s="1"/>
  <c r="N346" i="3"/>
  <c r="F346" i="3"/>
  <c r="X345" i="3"/>
  <c r="N345" i="3"/>
  <c r="F345" i="3"/>
  <c r="X344" i="3"/>
  <c r="P344" i="3"/>
  <c r="U344" i="3" s="1"/>
  <c r="N344" i="3"/>
  <c r="F344" i="3"/>
  <c r="X343" i="3"/>
  <c r="R343" i="3"/>
  <c r="P343" i="3"/>
  <c r="Y343" i="3" s="1"/>
  <c r="N343" i="3"/>
  <c r="F343" i="3"/>
  <c r="X342" i="3"/>
  <c r="R342" i="3"/>
  <c r="P342" i="3"/>
  <c r="Y342" i="3" s="1"/>
  <c r="N342" i="3"/>
  <c r="F342" i="3"/>
  <c r="X341" i="3"/>
  <c r="N341" i="3"/>
  <c r="F341" i="3"/>
  <c r="X340" i="3"/>
  <c r="R340" i="3"/>
  <c r="P340" i="3"/>
  <c r="U340" i="3" s="1"/>
  <c r="AA340" i="3" s="1"/>
  <c r="N340" i="3"/>
  <c r="F340" i="3"/>
  <c r="X339" i="3"/>
  <c r="U339" i="3"/>
  <c r="W339" i="3" s="1"/>
  <c r="R339" i="3"/>
  <c r="P339" i="3"/>
  <c r="Y339" i="3" s="1"/>
  <c r="N339" i="3"/>
  <c r="F339" i="3"/>
  <c r="X338" i="3"/>
  <c r="U338" i="3"/>
  <c r="AA338" i="3" s="1"/>
  <c r="R338" i="3"/>
  <c r="P338" i="3"/>
  <c r="Y338" i="3" s="1"/>
  <c r="N338" i="3"/>
  <c r="F338" i="3"/>
  <c r="X337" i="3"/>
  <c r="N337" i="3"/>
  <c r="F337" i="3"/>
  <c r="X336" i="3"/>
  <c r="W336" i="3"/>
  <c r="R336" i="3"/>
  <c r="P336" i="3"/>
  <c r="U336" i="3" s="1"/>
  <c r="AA336" i="3" s="1"/>
  <c r="N336" i="3"/>
  <c r="F336" i="3"/>
  <c r="X335" i="3"/>
  <c r="U335" i="3"/>
  <c r="W335" i="3" s="1"/>
  <c r="P335" i="3"/>
  <c r="R335" i="3" s="1"/>
  <c r="N335" i="3"/>
  <c r="F335" i="3"/>
  <c r="X334" i="3"/>
  <c r="U334" i="3"/>
  <c r="AA334" i="3" s="1"/>
  <c r="P334" i="3"/>
  <c r="Y334" i="3" s="1"/>
  <c r="N334" i="3"/>
  <c r="F334" i="3"/>
  <c r="X333" i="3"/>
  <c r="N333" i="3"/>
  <c r="F333" i="3"/>
  <c r="X332" i="3"/>
  <c r="Y332" i="3" s="1"/>
  <c r="W332" i="3"/>
  <c r="P332" i="3"/>
  <c r="U332" i="3" s="1"/>
  <c r="AA332" i="3" s="1"/>
  <c r="N332" i="3"/>
  <c r="F332" i="3"/>
  <c r="X331" i="3"/>
  <c r="N331" i="3"/>
  <c r="F331" i="3"/>
  <c r="P331" i="3" s="1"/>
  <c r="X330" i="3"/>
  <c r="W330" i="3"/>
  <c r="U330" i="3"/>
  <c r="AA330" i="3" s="1"/>
  <c r="R330" i="3"/>
  <c r="P330" i="3"/>
  <c r="N330" i="3"/>
  <c r="F330" i="3"/>
  <c r="X329" i="3"/>
  <c r="N329" i="3"/>
  <c r="F329" i="3"/>
  <c r="X328" i="3"/>
  <c r="N328" i="3"/>
  <c r="F328" i="3"/>
  <c r="P328" i="3" s="1"/>
  <c r="X327" i="3"/>
  <c r="N327" i="3"/>
  <c r="F327" i="3"/>
  <c r="X326" i="3"/>
  <c r="W326" i="3"/>
  <c r="U326" i="3"/>
  <c r="AA326" i="3" s="1"/>
  <c r="P326" i="3"/>
  <c r="N326" i="3"/>
  <c r="F326" i="3"/>
  <c r="X325" i="3"/>
  <c r="N325" i="3"/>
  <c r="F325" i="3"/>
  <c r="X324" i="3"/>
  <c r="N324" i="3"/>
  <c r="F324" i="3"/>
  <c r="X323" i="3"/>
  <c r="N323" i="3"/>
  <c r="F323" i="3"/>
  <c r="X322" i="3"/>
  <c r="P322" i="3"/>
  <c r="N322" i="3"/>
  <c r="F322" i="3"/>
  <c r="X321" i="3"/>
  <c r="N321" i="3"/>
  <c r="F321" i="3"/>
  <c r="X320" i="3"/>
  <c r="N320" i="3"/>
  <c r="F320" i="3"/>
  <c r="X319" i="3"/>
  <c r="N319" i="3"/>
  <c r="F319" i="3"/>
  <c r="P319" i="3" s="1"/>
  <c r="X318" i="3"/>
  <c r="P318" i="3"/>
  <c r="Y318" i="3" s="1"/>
  <c r="N318" i="3"/>
  <c r="F318" i="3"/>
  <c r="X317" i="3"/>
  <c r="N317" i="3"/>
  <c r="F317" i="3"/>
  <c r="X316" i="3"/>
  <c r="N316" i="3"/>
  <c r="F316" i="3"/>
  <c r="P316" i="3" s="1"/>
  <c r="X315" i="3"/>
  <c r="P315" i="3"/>
  <c r="Y315" i="3" s="1"/>
  <c r="N315" i="3"/>
  <c r="F315" i="3"/>
  <c r="X314" i="3"/>
  <c r="P314" i="3"/>
  <c r="Y314" i="3" s="1"/>
  <c r="N314" i="3"/>
  <c r="F314" i="3"/>
  <c r="X313" i="3"/>
  <c r="N313" i="3"/>
  <c r="F313" i="3"/>
  <c r="X312" i="3"/>
  <c r="P312" i="3"/>
  <c r="U312" i="3" s="1"/>
  <c r="N312" i="3"/>
  <c r="F312" i="3"/>
  <c r="X311" i="3"/>
  <c r="R311" i="3"/>
  <c r="P311" i="3"/>
  <c r="Y311" i="3" s="1"/>
  <c r="N311" i="3"/>
  <c r="F311" i="3"/>
  <c r="X310" i="3"/>
  <c r="R310" i="3"/>
  <c r="P310" i="3"/>
  <c r="Y310" i="3" s="1"/>
  <c r="N310" i="3"/>
  <c r="F310" i="3"/>
  <c r="X309" i="3"/>
  <c r="N309" i="3"/>
  <c r="F309" i="3"/>
  <c r="X308" i="3"/>
  <c r="R308" i="3"/>
  <c r="P308" i="3"/>
  <c r="U308" i="3" s="1"/>
  <c r="AA308" i="3" s="1"/>
  <c r="N308" i="3"/>
  <c r="F308" i="3"/>
  <c r="X307" i="3"/>
  <c r="U307" i="3"/>
  <c r="W307" i="3" s="1"/>
  <c r="R307" i="3"/>
  <c r="P307" i="3"/>
  <c r="Y307" i="3" s="1"/>
  <c r="N307" i="3"/>
  <c r="F307" i="3"/>
  <c r="X306" i="3"/>
  <c r="U306" i="3"/>
  <c r="AA306" i="3" s="1"/>
  <c r="R306" i="3"/>
  <c r="P306" i="3"/>
  <c r="Y306" i="3" s="1"/>
  <c r="N306" i="3"/>
  <c r="F306" i="3"/>
  <c r="X305" i="3"/>
  <c r="N305" i="3"/>
  <c r="F305" i="3"/>
  <c r="X304" i="3"/>
  <c r="W304" i="3"/>
  <c r="R304" i="3"/>
  <c r="P304" i="3"/>
  <c r="U304" i="3" s="1"/>
  <c r="AA304" i="3" s="1"/>
  <c r="N304" i="3"/>
  <c r="F304" i="3"/>
  <c r="X303" i="3"/>
  <c r="U303" i="3"/>
  <c r="W303" i="3" s="1"/>
  <c r="P303" i="3"/>
  <c r="R303" i="3" s="1"/>
  <c r="N303" i="3"/>
  <c r="F303" i="3"/>
  <c r="X302" i="3"/>
  <c r="U302" i="3"/>
  <c r="AA302" i="3" s="1"/>
  <c r="P302" i="3"/>
  <c r="Y302" i="3" s="1"/>
  <c r="N302" i="3"/>
  <c r="F302" i="3"/>
  <c r="X301" i="3"/>
  <c r="N301" i="3"/>
  <c r="F301" i="3"/>
  <c r="X300" i="3"/>
  <c r="Y300" i="3" s="1"/>
  <c r="W300" i="3"/>
  <c r="P300" i="3"/>
  <c r="U300" i="3" s="1"/>
  <c r="AA300" i="3" s="1"/>
  <c r="N300" i="3"/>
  <c r="F300" i="3"/>
  <c r="X299" i="3"/>
  <c r="N299" i="3"/>
  <c r="F299" i="3"/>
  <c r="P299" i="3" s="1"/>
  <c r="X298" i="3"/>
  <c r="W298" i="3"/>
  <c r="U298" i="3"/>
  <c r="AA298" i="3" s="1"/>
  <c r="R298" i="3"/>
  <c r="P298" i="3"/>
  <c r="N298" i="3"/>
  <c r="F298" i="3"/>
  <c r="X297" i="3"/>
  <c r="N297" i="3"/>
  <c r="F297" i="3"/>
  <c r="X296" i="3"/>
  <c r="N296" i="3"/>
  <c r="F296" i="3"/>
  <c r="P296" i="3" s="1"/>
  <c r="X295" i="3"/>
  <c r="N295" i="3"/>
  <c r="F295" i="3"/>
  <c r="X294" i="3"/>
  <c r="W294" i="3"/>
  <c r="U294" i="3"/>
  <c r="AA294" i="3" s="1"/>
  <c r="P294" i="3"/>
  <c r="N294" i="3"/>
  <c r="F294" i="3"/>
  <c r="X293" i="3"/>
  <c r="N293" i="3"/>
  <c r="F293" i="3"/>
  <c r="X292" i="3"/>
  <c r="N292" i="3"/>
  <c r="F292" i="3"/>
  <c r="X291" i="3"/>
  <c r="N291" i="3"/>
  <c r="F291" i="3"/>
  <c r="X290" i="3"/>
  <c r="P290" i="3"/>
  <c r="N290" i="3"/>
  <c r="F290" i="3"/>
  <c r="X289" i="3"/>
  <c r="N289" i="3"/>
  <c r="F289" i="3"/>
  <c r="X288" i="3"/>
  <c r="N288" i="3"/>
  <c r="F288" i="3"/>
  <c r="X287" i="3"/>
  <c r="N287" i="3"/>
  <c r="F287" i="3"/>
  <c r="P287" i="3" s="1"/>
  <c r="X286" i="3"/>
  <c r="P286" i="3"/>
  <c r="Y286" i="3" s="1"/>
  <c r="N286" i="3"/>
  <c r="F286" i="3"/>
  <c r="X285" i="3"/>
  <c r="N285" i="3"/>
  <c r="F285" i="3"/>
  <c r="X284" i="3"/>
  <c r="N284" i="3"/>
  <c r="F284" i="3"/>
  <c r="T26" i="3" s="1"/>
  <c r="X283" i="3"/>
  <c r="P283" i="3"/>
  <c r="Y283" i="3" s="1"/>
  <c r="N283" i="3"/>
  <c r="F283" i="3"/>
  <c r="X282" i="3"/>
  <c r="P282" i="3"/>
  <c r="Y282" i="3" s="1"/>
  <c r="N282" i="3"/>
  <c r="F282" i="3"/>
  <c r="X281" i="3"/>
  <c r="N281" i="3"/>
  <c r="F281" i="3"/>
  <c r="X280" i="3"/>
  <c r="P280" i="3"/>
  <c r="U280" i="3" s="1"/>
  <c r="W280" i="3" s="1"/>
  <c r="N280" i="3"/>
  <c r="F280" i="3"/>
  <c r="X279" i="3"/>
  <c r="R279" i="3"/>
  <c r="P279" i="3"/>
  <c r="Y279" i="3" s="1"/>
  <c r="N279" i="3"/>
  <c r="F279" i="3"/>
  <c r="X278" i="3"/>
  <c r="R278" i="3"/>
  <c r="P278" i="3"/>
  <c r="Y278" i="3" s="1"/>
  <c r="N278" i="3"/>
  <c r="F278" i="3"/>
  <c r="X277" i="3"/>
  <c r="N277" i="3"/>
  <c r="F277" i="3"/>
  <c r="X276" i="3"/>
  <c r="R276" i="3"/>
  <c r="P276" i="3"/>
  <c r="U276" i="3" s="1"/>
  <c r="AA276" i="3" s="1"/>
  <c r="N276" i="3"/>
  <c r="F276" i="3"/>
  <c r="X275" i="3"/>
  <c r="U275" i="3"/>
  <c r="W275" i="3" s="1"/>
  <c r="R275" i="3"/>
  <c r="P275" i="3"/>
  <c r="Y275" i="3" s="1"/>
  <c r="N275" i="3"/>
  <c r="F275" i="3"/>
  <c r="X274" i="3"/>
  <c r="U274" i="3"/>
  <c r="AA274" i="3" s="1"/>
  <c r="R274" i="3"/>
  <c r="P274" i="3"/>
  <c r="Y274" i="3" s="1"/>
  <c r="N274" i="3"/>
  <c r="F274" i="3"/>
  <c r="X273" i="3"/>
  <c r="N273" i="3"/>
  <c r="F273" i="3"/>
  <c r="X272" i="3"/>
  <c r="W272" i="3"/>
  <c r="R272" i="3"/>
  <c r="P272" i="3"/>
  <c r="U272" i="3" s="1"/>
  <c r="AA272" i="3" s="1"/>
  <c r="N272" i="3"/>
  <c r="F272" i="3"/>
  <c r="X271" i="3"/>
  <c r="U271" i="3"/>
  <c r="W271" i="3" s="1"/>
  <c r="P271" i="3"/>
  <c r="R271" i="3" s="1"/>
  <c r="N271" i="3"/>
  <c r="F271" i="3"/>
  <c r="X270" i="3"/>
  <c r="U270" i="3"/>
  <c r="AA270" i="3" s="1"/>
  <c r="P270" i="3"/>
  <c r="Y270" i="3" s="1"/>
  <c r="N270" i="3"/>
  <c r="F270" i="3"/>
  <c r="X269" i="3"/>
  <c r="N269" i="3"/>
  <c r="F269" i="3"/>
  <c r="X268" i="3"/>
  <c r="Y268" i="3" s="1"/>
  <c r="W268" i="3"/>
  <c r="P268" i="3"/>
  <c r="U268" i="3" s="1"/>
  <c r="AA268" i="3" s="1"/>
  <c r="N268" i="3"/>
  <c r="F268" i="3"/>
  <c r="X267" i="3"/>
  <c r="N267" i="3"/>
  <c r="F267" i="3"/>
  <c r="P267" i="3" s="1"/>
  <c r="X266" i="3"/>
  <c r="W266" i="3"/>
  <c r="U266" i="3"/>
  <c r="AA266" i="3" s="1"/>
  <c r="R266" i="3"/>
  <c r="P266" i="3"/>
  <c r="N266" i="3"/>
  <c r="F266" i="3"/>
  <c r="X265" i="3"/>
  <c r="N265" i="3"/>
  <c r="F265" i="3"/>
  <c r="X264" i="3"/>
  <c r="N264" i="3"/>
  <c r="F264" i="3"/>
  <c r="P264" i="3" s="1"/>
  <c r="X263" i="3"/>
  <c r="N263" i="3"/>
  <c r="F263" i="3"/>
  <c r="X262" i="3"/>
  <c r="W262" i="3"/>
  <c r="U262" i="3"/>
  <c r="AA262" i="3" s="1"/>
  <c r="P262" i="3"/>
  <c r="N262" i="3"/>
  <c r="F262" i="3"/>
  <c r="X261" i="3"/>
  <c r="N261" i="3"/>
  <c r="F261" i="3"/>
  <c r="X260" i="3"/>
  <c r="N260" i="3"/>
  <c r="F260" i="3"/>
  <c r="X259" i="3"/>
  <c r="N259" i="3"/>
  <c r="F259" i="3"/>
  <c r="X258" i="3"/>
  <c r="P258" i="3"/>
  <c r="N258" i="3"/>
  <c r="F258" i="3"/>
  <c r="X257" i="3"/>
  <c r="N257" i="3"/>
  <c r="F257" i="3"/>
  <c r="X256" i="3"/>
  <c r="N256" i="3"/>
  <c r="F256" i="3"/>
  <c r="X255" i="3"/>
  <c r="N255" i="3"/>
  <c r="F255" i="3"/>
  <c r="P255" i="3" s="1"/>
  <c r="X254" i="3"/>
  <c r="P254" i="3"/>
  <c r="Y254" i="3" s="1"/>
  <c r="N254" i="3"/>
  <c r="F254" i="3"/>
  <c r="X253" i="3"/>
  <c r="N253" i="3"/>
  <c r="F253" i="3"/>
  <c r="X252" i="3"/>
  <c r="N252" i="3"/>
  <c r="F252" i="3"/>
  <c r="P252" i="3" s="1"/>
  <c r="X251" i="3"/>
  <c r="P251" i="3"/>
  <c r="Y251" i="3" s="1"/>
  <c r="N251" i="3"/>
  <c r="F251" i="3"/>
  <c r="X250" i="3"/>
  <c r="P250" i="3"/>
  <c r="Y250" i="3" s="1"/>
  <c r="N250" i="3"/>
  <c r="F250" i="3"/>
  <c r="X249" i="3"/>
  <c r="N249" i="3"/>
  <c r="F249" i="3"/>
  <c r="X248" i="3"/>
  <c r="P248" i="3"/>
  <c r="U248" i="3" s="1"/>
  <c r="W248" i="3" s="1"/>
  <c r="N248" i="3"/>
  <c r="F248" i="3"/>
  <c r="X247" i="3"/>
  <c r="R247" i="3"/>
  <c r="P247" i="3"/>
  <c r="Y247" i="3" s="1"/>
  <c r="N247" i="3"/>
  <c r="F247" i="3"/>
  <c r="X246" i="3"/>
  <c r="R246" i="3"/>
  <c r="P246" i="3"/>
  <c r="Y246" i="3" s="1"/>
  <c r="N246" i="3"/>
  <c r="F246" i="3"/>
  <c r="X245" i="3"/>
  <c r="N245" i="3"/>
  <c r="F245" i="3"/>
  <c r="X244" i="3"/>
  <c r="R244" i="3"/>
  <c r="P244" i="3"/>
  <c r="U244" i="3" s="1"/>
  <c r="AA244" i="3" s="1"/>
  <c r="N244" i="3"/>
  <c r="F244" i="3"/>
  <c r="X243" i="3"/>
  <c r="U243" i="3"/>
  <c r="W243" i="3" s="1"/>
  <c r="R243" i="3"/>
  <c r="P243" i="3"/>
  <c r="Y243" i="3" s="1"/>
  <c r="N243" i="3"/>
  <c r="F243" i="3"/>
  <c r="X242" i="3"/>
  <c r="U242" i="3"/>
  <c r="AA242" i="3" s="1"/>
  <c r="R242" i="3"/>
  <c r="P242" i="3"/>
  <c r="Y242" i="3" s="1"/>
  <c r="N242" i="3"/>
  <c r="F242" i="3"/>
  <c r="X241" i="3"/>
  <c r="N241" i="3"/>
  <c r="F241" i="3"/>
  <c r="X240" i="3"/>
  <c r="W240" i="3"/>
  <c r="R240" i="3"/>
  <c r="P240" i="3"/>
  <c r="U240" i="3" s="1"/>
  <c r="AA240" i="3" s="1"/>
  <c r="N240" i="3"/>
  <c r="F240" i="3"/>
  <c r="X239" i="3"/>
  <c r="U239" i="3"/>
  <c r="W239" i="3" s="1"/>
  <c r="P239" i="3"/>
  <c r="R239" i="3" s="1"/>
  <c r="N239" i="3"/>
  <c r="F239" i="3"/>
  <c r="X238" i="3"/>
  <c r="U238" i="3"/>
  <c r="AA238" i="3" s="1"/>
  <c r="P238" i="3"/>
  <c r="Y238" i="3" s="1"/>
  <c r="N238" i="3"/>
  <c r="F238" i="3"/>
  <c r="X237" i="3"/>
  <c r="N237" i="3"/>
  <c r="F237" i="3"/>
  <c r="X236" i="3"/>
  <c r="Y236" i="3" s="1"/>
  <c r="W236" i="3"/>
  <c r="P236" i="3"/>
  <c r="U236" i="3" s="1"/>
  <c r="AA236" i="3" s="1"/>
  <c r="N236" i="3"/>
  <c r="F236" i="3"/>
  <c r="X235" i="3"/>
  <c r="N235" i="3"/>
  <c r="F235" i="3"/>
  <c r="P235" i="3" s="1"/>
  <c r="X234" i="3"/>
  <c r="W234" i="3"/>
  <c r="U234" i="3"/>
  <c r="AA234" i="3" s="1"/>
  <c r="R234" i="3"/>
  <c r="P234" i="3"/>
  <c r="N234" i="3"/>
  <c r="F234" i="3"/>
  <c r="X233" i="3"/>
  <c r="N233" i="3"/>
  <c r="F233" i="3"/>
  <c r="X232" i="3"/>
  <c r="N232" i="3"/>
  <c r="F232" i="3"/>
  <c r="P232" i="3" s="1"/>
  <c r="X231" i="3"/>
  <c r="N231" i="3"/>
  <c r="F231" i="3"/>
  <c r="X230" i="3"/>
  <c r="W230" i="3"/>
  <c r="U230" i="3"/>
  <c r="AA230" i="3" s="1"/>
  <c r="P230" i="3"/>
  <c r="N230" i="3"/>
  <c r="F230" i="3"/>
  <c r="X229" i="3"/>
  <c r="N229" i="3"/>
  <c r="F229" i="3"/>
  <c r="X228" i="3"/>
  <c r="N228" i="3"/>
  <c r="F228" i="3"/>
  <c r="X227" i="3"/>
  <c r="N227" i="3"/>
  <c r="F227" i="3"/>
  <c r="X226" i="3"/>
  <c r="P226" i="3"/>
  <c r="N226" i="3"/>
  <c r="F226" i="3"/>
  <c r="X225" i="3"/>
  <c r="N225" i="3"/>
  <c r="F225" i="3"/>
  <c r="X224" i="3"/>
  <c r="N224" i="3"/>
  <c r="F224" i="3"/>
  <c r="X223" i="3"/>
  <c r="N223" i="3"/>
  <c r="F223" i="3"/>
  <c r="P223" i="3" s="1"/>
  <c r="X222" i="3"/>
  <c r="P222" i="3"/>
  <c r="Y222" i="3" s="1"/>
  <c r="N222" i="3"/>
  <c r="F222" i="3"/>
  <c r="X221" i="3"/>
  <c r="N221" i="3"/>
  <c r="F221" i="3"/>
  <c r="X220" i="3"/>
  <c r="N220" i="3"/>
  <c r="F220" i="3"/>
  <c r="P220" i="3" s="1"/>
  <c r="X219" i="3"/>
  <c r="P219" i="3"/>
  <c r="Y219" i="3" s="1"/>
  <c r="N219" i="3"/>
  <c r="F219" i="3"/>
  <c r="X218" i="3"/>
  <c r="P218" i="3"/>
  <c r="Y218" i="3" s="1"/>
  <c r="N218" i="3"/>
  <c r="F218" i="3"/>
  <c r="X217" i="3"/>
  <c r="N217" i="3"/>
  <c r="F217" i="3"/>
  <c r="X216" i="3"/>
  <c r="P216" i="3"/>
  <c r="U216" i="3" s="1"/>
  <c r="N216" i="3"/>
  <c r="F216" i="3"/>
  <c r="X215" i="3"/>
  <c r="R215" i="3"/>
  <c r="P215" i="3"/>
  <c r="N215" i="3"/>
  <c r="F215" i="3"/>
  <c r="T24" i="3" s="1"/>
  <c r="X214" i="3"/>
  <c r="R214" i="3"/>
  <c r="P214" i="3"/>
  <c r="Y214" i="3" s="1"/>
  <c r="N214" i="3"/>
  <c r="F214" i="3"/>
  <c r="X213" i="3"/>
  <c r="N213" i="3"/>
  <c r="F213" i="3"/>
  <c r="X212" i="3"/>
  <c r="R212" i="3"/>
  <c r="P212" i="3"/>
  <c r="U212" i="3" s="1"/>
  <c r="AA212" i="3" s="1"/>
  <c r="N212" i="3"/>
  <c r="F212" i="3"/>
  <c r="X211" i="3"/>
  <c r="U211" i="3"/>
  <c r="W211" i="3" s="1"/>
  <c r="R211" i="3"/>
  <c r="P211" i="3"/>
  <c r="Y211" i="3" s="1"/>
  <c r="N211" i="3"/>
  <c r="F211" i="3"/>
  <c r="X210" i="3"/>
  <c r="U210" i="3"/>
  <c r="AA210" i="3" s="1"/>
  <c r="R210" i="3"/>
  <c r="P210" i="3"/>
  <c r="Y210" i="3" s="1"/>
  <c r="N210" i="3"/>
  <c r="F210" i="3"/>
  <c r="X209" i="3"/>
  <c r="N209" i="3"/>
  <c r="F209" i="3"/>
  <c r="X208" i="3"/>
  <c r="W208" i="3"/>
  <c r="R208" i="3"/>
  <c r="P208" i="3"/>
  <c r="U208" i="3" s="1"/>
  <c r="AA208" i="3" s="1"/>
  <c r="N208" i="3"/>
  <c r="F208" i="3"/>
  <c r="X207" i="3"/>
  <c r="U207" i="3"/>
  <c r="W207" i="3" s="1"/>
  <c r="P207" i="3"/>
  <c r="R207" i="3" s="1"/>
  <c r="N207" i="3"/>
  <c r="F207" i="3"/>
  <c r="X206" i="3"/>
  <c r="U206" i="3"/>
  <c r="AA206" i="3" s="1"/>
  <c r="P206" i="3"/>
  <c r="Y206" i="3" s="1"/>
  <c r="N206" i="3"/>
  <c r="F206" i="3"/>
  <c r="X205" i="3"/>
  <c r="N205" i="3"/>
  <c r="F205" i="3"/>
  <c r="X204" i="3"/>
  <c r="Y204" i="3" s="1"/>
  <c r="W204" i="3"/>
  <c r="P204" i="3"/>
  <c r="U204" i="3" s="1"/>
  <c r="AA204" i="3" s="1"/>
  <c r="N204" i="3"/>
  <c r="F204" i="3"/>
  <c r="X203" i="3"/>
  <c r="N203" i="3"/>
  <c r="F203" i="3"/>
  <c r="P203" i="3" s="1"/>
  <c r="X202" i="3"/>
  <c r="W202" i="3"/>
  <c r="U202" i="3"/>
  <c r="AA202" i="3" s="1"/>
  <c r="R202" i="3"/>
  <c r="P202" i="3"/>
  <c r="N202" i="3"/>
  <c r="F202" i="3"/>
  <c r="X201" i="3"/>
  <c r="N201" i="3"/>
  <c r="F201" i="3"/>
  <c r="X200" i="3"/>
  <c r="N200" i="3"/>
  <c r="F200" i="3"/>
  <c r="P200" i="3" s="1"/>
  <c r="X199" i="3"/>
  <c r="N199" i="3"/>
  <c r="F199" i="3"/>
  <c r="X198" i="3"/>
  <c r="W198" i="3"/>
  <c r="U198" i="3"/>
  <c r="AA198" i="3" s="1"/>
  <c r="P198" i="3"/>
  <c r="N198" i="3"/>
  <c r="F198" i="3"/>
  <c r="X197" i="3"/>
  <c r="N197" i="3"/>
  <c r="F197" i="3"/>
  <c r="X196" i="3"/>
  <c r="N196" i="3"/>
  <c r="F196" i="3"/>
  <c r="X195" i="3"/>
  <c r="N195" i="3"/>
  <c r="F195" i="3"/>
  <c r="X194" i="3"/>
  <c r="P194" i="3"/>
  <c r="N194" i="3"/>
  <c r="F194" i="3"/>
  <c r="X193" i="3"/>
  <c r="N193" i="3"/>
  <c r="F193" i="3"/>
  <c r="X192" i="3"/>
  <c r="N192" i="3"/>
  <c r="F192" i="3"/>
  <c r="X191" i="3"/>
  <c r="N191" i="3"/>
  <c r="F191" i="3"/>
  <c r="P191" i="3" s="1"/>
  <c r="X190" i="3"/>
  <c r="P190" i="3"/>
  <c r="Y190" i="3" s="1"/>
  <c r="N190" i="3"/>
  <c r="F190" i="3"/>
  <c r="X189" i="3"/>
  <c r="N189" i="3"/>
  <c r="F189" i="3"/>
  <c r="X188" i="3"/>
  <c r="N188" i="3"/>
  <c r="F188" i="3"/>
  <c r="P188" i="3" s="1"/>
  <c r="X187" i="3"/>
  <c r="P187" i="3"/>
  <c r="Y187" i="3" s="1"/>
  <c r="N187" i="3"/>
  <c r="F187" i="3"/>
  <c r="X186" i="3"/>
  <c r="P186" i="3"/>
  <c r="Y186" i="3" s="1"/>
  <c r="N186" i="3"/>
  <c r="F186" i="3"/>
  <c r="X185" i="3"/>
  <c r="N185" i="3"/>
  <c r="F185" i="3"/>
  <c r="T23" i="3" s="1"/>
  <c r="X184" i="3"/>
  <c r="P184" i="3"/>
  <c r="U184" i="3" s="1"/>
  <c r="N184" i="3"/>
  <c r="F184" i="3"/>
  <c r="X183" i="3"/>
  <c r="R183" i="3"/>
  <c r="P183" i="3"/>
  <c r="Y183" i="3" s="1"/>
  <c r="N183" i="3"/>
  <c r="F183" i="3"/>
  <c r="X182" i="3"/>
  <c r="R182" i="3"/>
  <c r="P182" i="3"/>
  <c r="Y182" i="3" s="1"/>
  <c r="N182" i="3"/>
  <c r="F182" i="3"/>
  <c r="X181" i="3"/>
  <c r="N181" i="3"/>
  <c r="F181" i="3"/>
  <c r="X180" i="3"/>
  <c r="R180" i="3"/>
  <c r="P180" i="3"/>
  <c r="U180" i="3" s="1"/>
  <c r="AA180" i="3" s="1"/>
  <c r="N180" i="3"/>
  <c r="F180" i="3"/>
  <c r="X179" i="3"/>
  <c r="U179" i="3"/>
  <c r="W179" i="3" s="1"/>
  <c r="R179" i="3"/>
  <c r="P179" i="3"/>
  <c r="Y179" i="3" s="1"/>
  <c r="N179" i="3"/>
  <c r="F179" i="3"/>
  <c r="X178" i="3"/>
  <c r="U178" i="3"/>
  <c r="AA178" i="3" s="1"/>
  <c r="R178" i="3"/>
  <c r="P178" i="3"/>
  <c r="Y178" i="3" s="1"/>
  <c r="N178" i="3"/>
  <c r="F178" i="3"/>
  <c r="X177" i="3"/>
  <c r="N177" i="3"/>
  <c r="F177" i="3"/>
  <c r="X176" i="3"/>
  <c r="W176" i="3"/>
  <c r="R176" i="3"/>
  <c r="P176" i="3"/>
  <c r="U176" i="3" s="1"/>
  <c r="AA176" i="3" s="1"/>
  <c r="N176" i="3"/>
  <c r="F176" i="3"/>
  <c r="X175" i="3"/>
  <c r="U175" i="3"/>
  <c r="W175" i="3" s="1"/>
  <c r="P175" i="3"/>
  <c r="R175" i="3" s="1"/>
  <c r="N175" i="3"/>
  <c r="F175" i="3"/>
  <c r="X174" i="3"/>
  <c r="U174" i="3"/>
  <c r="AA174" i="3" s="1"/>
  <c r="P174" i="3"/>
  <c r="Y174" i="3" s="1"/>
  <c r="N174" i="3"/>
  <c r="F174" i="3"/>
  <c r="X173" i="3"/>
  <c r="N173" i="3"/>
  <c r="F173" i="3"/>
  <c r="X172" i="3"/>
  <c r="Y172" i="3" s="1"/>
  <c r="W172" i="3"/>
  <c r="P172" i="3"/>
  <c r="U172" i="3" s="1"/>
  <c r="AA172" i="3" s="1"/>
  <c r="N172" i="3"/>
  <c r="F172" i="3"/>
  <c r="X171" i="3"/>
  <c r="N171" i="3"/>
  <c r="F171" i="3"/>
  <c r="P171" i="3" s="1"/>
  <c r="X170" i="3"/>
  <c r="W170" i="3"/>
  <c r="U170" i="3"/>
  <c r="AA170" i="3" s="1"/>
  <c r="R170" i="3"/>
  <c r="P170" i="3"/>
  <c r="N170" i="3"/>
  <c r="F170" i="3"/>
  <c r="X169" i="3"/>
  <c r="N169" i="3"/>
  <c r="F169" i="3"/>
  <c r="X168" i="3"/>
  <c r="N168" i="3"/>
  <c r="F168" i="3"/>
  <c r="P168" i="3" s="1"/>
  <c r="X167" i="3"/>
  <c r="N167" i="3"/>
  <c r="F167" i="3"/>
  <c r="X166" i="3"/>
  <c r="W166" i="3"/>
  <c r="U166" i="3"/>
  <c r="AA166" i="3" s="1"/>
  <c r="P166" i="3"/>
  <c r="N166" i="3"/>
  <c r="F166" i="3"/>
  <c r="X165" i="3"/>
  <c r="N165" i="3"/>
  <c r="F165" i="3"/>
  <c r="X164" i="3"/>
  <c r="N164" i="3"/>
  <c r="F164" i="3"/>
  <c r="X163" i="3"/>
  <c r="N163" i="3"/>
  <c r="F163" i="3"/>
  <c r="X162" i="3"/>
  <c r="P162" i="3"/>
  <c r="N162" i="3"/>
  <c r="F162" i="3"/>
  <c r="X161" i="3"/>
  <c r="N161" i="3"/>
  <c r="F161" i="3"/>
  <c r="X160" i="3"/>
  <c r="N160" i="3"/>
  <c r="F160" i="3"/>
  <c r="X159" i="3"/>
  <c r="N159" i="3"/>
  <c r="F159" i="3"/>
  <c r="P159" i="3" s="1"/>
  <c r="X158" i="3"/>
  <c r="P158" i="3"/>
  <c r="Y158" i="3" s="1"/>
  <c r="N158" i="3"/>
  <c r="F158" i="3"/>
  <c r="X157" i="3"/>
  <c r="N157" i="3"/>
  <c r="F157" i="3"/>
  <c r="X156" i="3"/>
  <c r="N156" i="3"/>
  <c r="F156" i="3"/>
  <c r="X155" i="3"/>
  <c r="P155" i="3"/>
  <c r="Y155" i="3" s="1"/>
  <c r="N155" i="3"/>
  <c r="F155" i="3"/>
  <c r="X154" i="3"/>
  <c r="N154" i="3"/>
  <c r="F154" i="3"/>
  <c r="P154" i="3" s="1"/>
  <c r="X153" i="3"/>
  <c r="N153" i="3"/>
  <c r="F153" i="3"/>
  <c r="X152" i="3"/>
  <c r="P152" i="3"/>
  <c r="U152" i="3" s="1"/>
  <c r="N152" i="3"/>
  <c r="F152" i="3"/>
  <c r="X151" i="3"/>
  <c r="R151" i="3"/>
  <c r="P151" i="3"/>
  <c r="Y151" i="3" s="1"/>
  <c r="N151" i="3"/>
  <c r="F151" i="3"/>
  <c r="X150" i="3"/>
  <c r="R150" i="3"/>
  <c r="P150" i="3"/>
  <c r="Y150" i="3" s="1"/>
  <c r="N150" i="3"/>
  <c r="F150" i="3"/>
  <c r="X149" i="3"/>
  <c r="N149" i="3"/>
  <c r="F149" i="3"/>
  <c r="X148" i="3"/>
  <c r="R148" i="3"/>
  <c r="P148" i="3"/>
  <c r="U148" i="3" s="1"/>
  <c r="AA148" i="3" s="1"/>
  <c r="N148" i="3"/>
  <c r="F148" i="3"/>
  <c r="X147" i="3"/>
  <c r="U147" i="3"/>
  <c r="W147" i="3" s="1"/>
  <c r="R147" i="3"/>
  <c r="P147" i="3"/>
  <c r="Y147" i="3" s="1"/>
  <c r="N147" i="3"/>
  <c r="F147" i="3"/>
  <c r="X146" i="3"/>
  <c r="U146" i="3"/>
  <c r="AA146" i="3" s="1"/>
  <c r="R146" i="3"/>
  <c r="P146" i="3"/>
  <c r="Y146" i="3" s="1"/>
  <c r="N146" i="3"/>
  <c r="F146" i="3"/>
  <c r="X145" i="3"/>
  <c r="N145" i="3"/>
  <c r="F145" i="3"/>
  <c r="X144" i="3"/>
  <c r="W144" i="3"/>
  <c r="R144" i="3"/>
  <c r="P144" i="3"/>
  <c r="U144" i="3" s="1"/>
  <c r="AA144" i="3" s="1"/>
  <c r="N144" i="3"/>
  <c r="F144" i="3"/>
  <c r="X143" i="3"/>
  <c r="U143" i="3"/>
  <c r="W143" i="3" s="1"/>
  <c r="P143" i="3"/>
  <c r="R143" i="3" s="1"/>
  <c r="N143" i="3"/>
  <c r="F143" i="3"/>
  <c r="X142" i="3"/>
  <c r="U142" i="3"/>
  <c r="AA142" i="3" s="1"/>
  <c r="P142" i="3"/>
  <c r="Y142" i="3" s="1"/>
  <c r="N142" i="3"/>
  <c r="F142" i="3"/>
  <c r="X141" i="3"/>
  <c r="N141" i="3"/>
  <c r="F141" i="3"/>
  <c r="X140" i="3"/>
  <c r="Y140" i="3" s="1"/>
  <c r="W140" i="3"/>
  <c r="P140" i="3"/>
  <c r="U140" i="3" s="1"/>
  <c r="AA140" i="3" s="1"/>
  <c r="N140" i="3"/>
  <c r="F140" i="3"/>
  <c r="X139" i="3"/>
  <c r="N139" i="3"/>
  <c r="F139" i="3"/>
  <c r="P139" i="3" s="1"/>
  <c r="X138" i="3"/>
  <c r="W138" i="3"/>
  <c r="U138" i="3"/>
  <c r="AA138" i="3" s="1"/>
  <c r="R138" i="3"/>
  <c r="P138" i="3"/>
  <c r="N138" i="3"/>
  <c r="F138" i="3"/>
  <c r="X137" i="3"/>
  <c r="N137" i="3"/>
  <c r="F137" i="3"/>
  <c r="X136" i="3"/>
  <c r="N136" i="3"/>
  <c r="F136" i="3"/>
  <c r="P136" i="3" s="1"/>
  <c r="X135" i="3"/>
  <c r="N135" i="3"/>
  <c r="F135" i="3"/>
  <c r="X134" i="3"/>
  <c r="W134" i="3"/>
  <c r="U134" i="3"/>
  <c r="AA134" i="3" s="1"/>
  <c r="P134" i="3"/>
  <c r="N134" i="3"/>
  <c r="F134" i="3"/>
  <c r="X133" i="3"/>
  <c r="N133" i="3"/>
  <c r="F133" i="3"/>
  <c r="X132" i="3"/>
  <c r="N132" i="3"/>
  <c r="F132" i="3"/>
  <c r="X131" i="3"/>
  <c r="N131" i="3"/>
  <c r="F131" i="3"/>
  <c r="X130" i="3"/>
  <c r="P130" i="3"/>
  <c r="N130" i="3"/>
  <c r="F130" i="3"/>
  <c r="X129" i="3"/>
  <c r="N129" i="3"/>
  <c r="F129" i="3"/>
  <c r="X128" i="3"/>
  <c r="N128" i="3"/>
  <c r="F128" i="3"/>
  <c r="X127" i="3"/>
  <c r="N127" i="3"/>
  <c r="F127" i="3"/>
  <c r="P127" i="3" s="1"/>
  <c r="X126" i="3"/>
  <c r="P126" i="3"/>
  <c r="Y126" i="3" s="1"/>
  <c r="N126" i="3"/>
  <c r="F126" i="3"/>
  <c r="X125" i="3"/>
  <c r="N125" i="3"/>
  <c r="F125" i="3"/>
  <c r="X124" i="3"/>
  <c r="N124" i="3"/>
  <c r="F124" i="3"/>
  <c r="T21" i="3" s="1"/>
  <c r="X123" i="3"/>
  <c r="P123" i="3"/>
  <c r="Y123" i="3" s="1"/>
  <c r="N123" i="3"/>
  <c r="F123" i="3"/>
  <c r="X122" i="3"/>
  <c r="P122" i="3"/>
  <c r="Y122" i="3" s="1"/>
  <c r="N122" i="3"/>
  <c r="F122" i="3"/>
  <c r="X121" i="3"/>
  <c r="N121" i="3"/>
  <c r="F121" i="3"/>
  <c r="X120" i="3"/>
  <c r="P120" i="3"/>
  <c r="U120" i="3" s="1"/>
  <c r="N120" i="3"/>
  <c r="F120" i="3"/>
  <c r="X119" i="3"/>
  <c r="R119" i="3"/>
  <c r="P119" i="3"/>
  <c r="Y119" i="3" s="1"/>
  <c r="N119" i="3"/>
  <c r="F119" i="3"/>
  <c r="X118" i="3"/>
  <c r="R118" i="3"/>
  <c r="P118" i="3"/>
  <c r="Y118" i="3" s="1"/>
  <c r="N118" i="3"/>
  <c r="F118" i="3"/>
  <c r="X117" i="3"/>
  <c r="N117" i="3"/>
  <c r="F117" i="3"/>
  <c r="X116" i="3"/>
  <c r="R116" i="3"/>
  <c r="P116" i="3"/>
  <c r="U116" i="3" s="1"/>
  <c r="AA116" i="3" s="1"/>
  <c r="N116" i="3"/>
  <c r="F116" i="3"/>
  <c r="X115" i="3"/>
  <c r="U115" i="3"/>
  <c r="W115" i="3" s="1"/>
  <c r="R115" i="3"/>
  <c r="P115" i="3"/>
  <c r="Y115" i="3" s="1"/>
  <c r="N115" i="3"/>
  <c r="F115" i="3"/>
  <c r="X114" i="3"/>
  <c r="U114" i="3"/>
  <c r="AA114" i="3" s="1"/>
  <c r="R114" i="3"/>
  <c r="P114" i="3"/>
  <c r="Y114" i="3" s="1"/>
  <c r="N114" i="3"/>
  <c r="F114" i="3"/>
  <c r="X113" i="3"/>
  <c r="N113" i="3"/>
  <c r="F113" i="3"/>
  <c r="X112" i="3"/>
  <c r="W112" i="3"/>
  <c r="R112" i="3"/>
  <c r="P112" i="3"/>
  <c r="U112" i="3" s="1"/>
  <c r="AA112" i="3" s="1"/>
  <c r="N112" i="3"/>
  <c r="F112" i="3"/>
  <c r="X111" i="3"/>
  <c r="U111" i="3"/>
  <c r="W111" i="3" s="1"/>
  <c r="P111" i="3"/>
  <c r="R111" i="3" s="1"/>
  <c r="N111" i="3"/>
  <c r="F111" i="3"/>
  <c r="X110" i="3"/>
  <c r="U110" i="3"/>
  <c r="AA110" i="3" s="1"/>
  <c r="P110" i="3"/>
  <c r="Y110" i="3" s="1"/>
  <c r="N110" i="3"/>
  <c r="F110" i="3"/>
  <c r="X109" i="3"/>
  <c r="N109" i="3"/>
  <c r="F109" i="3"/>
  <c r="X108" i="3"/>
  <c r="Y108" i="3" s="1"/>
  <c r="W108" i="3"/>
  <c r="P108" i="3"/>
  <c r="U108" i="3" s="1"/>
  <c r="AA108" i="3" s="1"/>
  <c r="N108" i="3"/>
  <c r="F108" i="3"/>
  <c r="X107" i="3"/>
  <c r="N107" i="3"/>
  <c r="F107" i="3"/>
  <c r="P107" i="3" s="1"/>
  <c r="X106" i="3"/>
  <c r="W106" i="3"/>
  <c r="U106" i="3"/>
  <c r="AA106" i="3" s="1"/>
  <c r="R106" i="3"/>
  <c r="P106" i="3"/>
  <c r="N106" i="3"/>
  <c r="F106" i="3"/>
  <c r="X105" i="3"/>
  <c r="N105" i="3"/>
  <c r="F105" i="3"/>
  <c r="X104" i="3"/>
  <c r="N104" i="3"/>
  <c r="F104" i="3"/>
  <c r="P104" i="3" s="1"/>
  <c r="X103" i="3"/>
  <c r="N103" i="3"/>
  <c r="F103" i="3"/>
  <c r="X102" i="3"/>
  <c r="W102" i="3"/>
  <c r="U102" i="3"/>
  <c r="AA102" i="3" s="1"/>
  <c r="P102" i="3"/>
  <c r="N102" i="3"/>
  <c r="F102" i="3"/>
  <c r="X101" i="3"/>
  <c r="N101" i="3"/>
  <c r="F101" i="3"/>
  <c r="X100" i="3"/>
  <c r="N100" i="3"/>
  <c r="F100" i="3"/>
  <c r="X99" i="3"/>
  <c r="N99" i="3"/>
  <c r="F99" i="3"/>
  <c r="X98" i="3"/>
  <c r="P98" i="3"/>
  <c r="N98" i="3"/>
  <c r="F98" i="3"/>
  <c r="X97" i="3"/>
  <c r="N97" i="3"/>
  <c r="F97" i="3"/>
  <c r="X96" i="3"/>
  <c r="N96" i="3"/>
  <c r="F96" i="3"/>
  <c r="X95" i="3"/>
  <c r="N95" i="3"/>
  <c r="F95" i="3"/>
  <c r="X94" i="3"/>
  <c r="P94" i="3"/>
  <c r="Y94" i="3" s="1"/>
  <c r="N94" i="3"/>
  <c r="F94" i="3"/>
  <c r="X93" i="3"/>
  <c r="N93" i="3"/>
  <c r="F93" i="3"/>
  <c r="T20" i="3" s="1"/>
  <c r="X92" i="3"/>
  <c r="N92" i="3"/>
  <c r="F92" i="3"/>
  <c r="X91" i="3"/>
  <c r="P91" i="3"/>
  <c r="Y91" i="3" s="1"/>
  <c r="N91" i="3"/>
  <c r="F91" i="3"/>
  <c r="X90" i="3"/>
  <c r="P90" i="3"/>
  <c r="Y90" i="3" s="1"/>
  <c r="N90" i="3"/>
  <c r="F90" i="3"/>
  <c r="X89" i="3"/>
  <c r="N89" i="3"/>
  <c r="F89" i="3"/>
  <c r="X88" i="3"/>
  <c r="P88" i="3"/>
  <c r="U88" i="3" s="1"/>
  <c r="W88" i="3" s="1"/>
  <c r="N88" i="3"/>
  <c r="F88" i="3"/>
  <c r="X87" i="3"/>
  <c r="R87" i="3"/>
  <c r="P87" i="3"/>
  <c r="Y87" i="3" s="1"/>
  <c r="N87" i="3"/>
  <c r="F87" i="3"/>
  <c r="X86" i="3"/>
  <c r="R86" i="3"/>
  <c r="P86" i="3"/>
  <c r="Y86" i="3" s="1"/>
  <c r="N86" i="3"/>
  <c r="F86" i="3"/>
  <c r="X85" i="3"/>
  <c r="N85" i="3"/>
  <c r="F85" i="3"/>
  <c r="X84" i="3"/>
  <c r="R84" i="3"/>
  <c r="P84" i="3"/>
  <c r="U84" i="3" s="1"/>
  <c r="AA84" i="3" s="1"/>
  <c r="N84" i="3"/>
  <c r="F84" i="3"/>
  <c r="X83" i="3"/>
  <c r="U83" i="3"/>
  <c r="W83" i="3" s="1"/>
  <c r="R83" i="3"/>
  <c r="P83" i="3"/>
  <c r="Y83" i="3" s="1"/>
  <c r="N83" i="3"/>
  <c r="F83" i="3"/>
  <c r="X82" i="3"/>
  <c r="U82" i="3"/>
  <c r="AA82" i="3" s="1"/>
  <c r="R82" i="3"/>
  <c r="P82" i="3"/>
  <c r="Y82" i="3" s="1"/>
  <c r="N82" i="3"/>
  <c r="F82" i="3"/>
  <c r="X81" i="3"/>
  <c r="N81" i="3"/>
  <c r="F81" i="3"/>
  <c r="X80" i="3"/>
  <c r="W80" i="3"/>
  <c r="R80" i="3"/>
  <c r="P80" i="3"/>
  <c r="U80" i="3" s="1"/>
  <c r="AA80" i="3" s="1"/>
  <c r="N80" i="3"/>
  <c r="F80" i="3"/>
  <c r="X79" i="3"/>
  <c r="U79" i="3"/>
  <c r="W79" i="3" s="1"/>
  <c r="P79" i="3"/>
  <c r="R79" i="3" s="1"/>
  <c r="N79" i="3"/>
  <c r="F79" i="3"/>
  <c r="X78" i="3"/>
  <c r="U78" i="3"/>
  <c r="AA78" i="3" s="1"/>
  <c r="P78" i="3"/>
  <c r="Y78" i="3" s="1"/>
  <c r="N78" i="3"/>
  <c r="F78" i="3"/>
  <c r="X77" i="3"/>
  <c r="N77" i="3"/>
  <c r="F77" i="3"/>
  <c r="X76" i="3"/>
  <c r="Y76" i="3" s="1"/>
  <c r="W76" i="3"/>
  <c r="P76" i="3"/>
  <c r="U76" i="3" s="1"/>
  <c r="AA76" i="3" s="1"/>
  <c r="N76" i="3"/>
  <c r="F76" i="3"/>
  <c r="X75" i="3"/>
  <c r="N75" i="3"/>
  <c r="F75" i="3"/>
  <c r="P75" i="3" s="1"/>
  <c r="X74" i="3"/>
  <c r="W74" i="3"/>
  <c r="U74" i="3"/>
  <c r="AA74" i="3" s="1"/>
  <c r="R74" i="3"/>
  <c r="P74" i="3"/>
  <c r="N74" i="3"/>
  <c r="F74" i="3"/>
  <c r="X73" i="3"/>
  <c r="N73" i="3"/>
  <c r="F73" i="3"/>
  <c r="X72" i="3"/>
  <c r="N72" i="3"/>
  <c r="F72" i="3"/>
  <c r="P72" i="3" s="1"/>
  <c r="X71" i="3"/>
  <c r="N71" i="3"/>
  <c r="F71" i="3"/>
  <c r="X70" i="3"/>
  <c r="W70" i="3"/>
  <c r="U70" i="3"/>
  <c r="AA70" i="3" s="1"/>
  <c r="P70" i="3"/>
  <c r="N70" i="3"/>
  <c r="F70" i="3"/>
  <c r="X69" i="3"/>
  <c r="N69" i="3"/>
  <c r="F69" i="3"/>
  <c r="X68" i="3"/>
  <c r="N68" i="3"/>
  <c r="F68" i="3"/>
  <c r="X67" i="3"/>
  <c r="N67" i="3"/>
  <c r="F67" i="3"/>
  <c r="X66" i="3"/>
  <c r="P66" i="3"/>
  <c r="N66" i="3"/>
  <c r="F66" i="3"/>
  <c r="X65" i="3"/>
  <c r="N65" i="3"/>
  <c r="F65" i="3"/>
  <c r="X64" i="3"/>
  <c r="N64" i="3"/>
  <c r="F64" i="3"/>
  <c r="X63" i="3"/>
  <c r="N63" i="3"/>
  <c r="F63" i="3"/>
  <c r="P63" i="3" s="1"/>
  <c r="X62" i="3"/>
  <c r="P62" i="3"/>
  <c r="Y62" i="3" s="1"/>
  <c r="N62" i="3"/>
  <c r="F62" i="3"/>
  <c r="X61" i="3"/>
  <c r="N61" i="3"/>
  <c r="F61" i="3"/>
  <c r="X60" i="3"/>
  <c r="N60" i="3"/>
  <c r="F60" i="3"/>
  <c r="X59" i="3"/>
  <c r="P59" i="3"/>
  <c r="Y59" i="3" s="1"/>
  <c r="N59" i="3"/>
  <c r="F59" i="3"/>
  <c r="X58" i="3"/>
  <c r="P58" i="3"/>
  <c r="Y58" i="3" s="1"/>
  <c r="N58" i="3"/>
  <c r="F58" i="3"/>
  <c r="X57" i="3"/>
  <c r="N57" i="3"/>
  <c r="F57" i="3"/>
  <c r="X56" i="3"/>
  <c r="P56" i="3"/>
  <c r="U56" i="3" s="1"/>
  <c r="N56" i="3"/>
  <c r="F56" i="3"/>
  <c r="X55" i="3"/>
  <c r="R55" i="3"/>
  <c r="P55" i="3"/>
  <c r="Y55" i="3" s="1"/>
  <c r="N55" i="3"/>
  <c r="F55" i="3"/>
  <c r="X54" i="3"/>
  <c r="R54" i="3"/>
  <c r="P54" i="3"/>
  <c r="Y54" i="3" s="1"/>
  <c r="N54" i="3"/>
  <c r="F54" i="3"/>
  <c r="X53" i="3"/>
  <c r="N53" i="3"/>
  <c r="F53" i="3"/>
  <c r="X52" i="3"/>
  <c r="R52" i="3"/>
  <c r="P52" i="3"/>
  <c r="U52" i="3" s="1"/>
  <c r="AA52" i="3" s="1"/>
  <c r="N52" i="3"/>
  <c r="F52" i="3"/>
  <c r="X51" i="3"/>
  <c r="U51" i="3"/>
  <c r="W51" i="3" s="1"/>
  <c r="R51" i="3"/>
  <c r="P51" i="3"/>
  <c r="Y51" i="3" s="1"/>
  <c r="N51" i="3"/>
  <c r="F51" i="3"/>
  <c r="X50" i="3"/>
  <c r="U50" i="3"/>
  <c r="AA50" i="3" s="1"/>
  <c r="R50" i="3"/>
  <c r="P50" i="3"/>
  <c r="Y50" i="3" s="1"/>
  <c r="N50" i="3"/>
  <c r="F50" i="3"/>
  <c r="X49" i="3"/>
  <c r="N49" i="3"/>
  <c r="F49" i="3"/>
  <c r="X48" i="3"/>
  <c r="W48" i="3"/>
  <c r="R48" i="3"/>
  <c r="P48" i="3"/>
  <c r="U48" i="3" s="1"/>
  <c r="AA48" i="3" s="1"/>
  <c r="N48" i="3"/>
  <c r="F48" i="3"/>
  <c r="X47" i="3"/>
  <c r="U47" i="3"/>
  <c r="W47" i="3" s="1"/>
  <c r="P47" i="3"/>
  <c r="R47" i="3" s="1"/>
  <c r="N47" i="3"/>
  <c r="F47" i="3"/>
  <c r="X46" i="3"/>
  <c r="U46" i="3"/>
  <c r="AA46" i="3" s="1"/>
  <c r="P46" i="3"/>
  <c r="Y46" i="3" s="1"/>
  <c r="N46" i="3"/>
  <c r="F46" i="3"/>
  <c r="X45" i="3"/>
  <c r="N45" i="3"/>
  <c r="F45" i="3"/>
  <c r="X44" i="3"/>
  <c r="Y44" i="3" s="1"/>
  <c r="W44" i="3"/>
  <c r="P44" i="3"/>
  <c r="U44" i="3" s="1"/>
  <c r="AA44" i="3" s="1"/>
  <c r="N44" i="3"/>
  <c r="F44" i="3"/>
  <c r="X43" i="3"/>
  <c r="N43" i="3"/>
  <c r="F43" i="3"/>
  <c r="P43" i="3" s="1"/>
  <c r="X42" i="3"/>
  <c r="W42" i="3"/>
  <c r="U42" i="3"/>
  <c r="AA42" i="3" s="1"/>
  <c r="R42" i="3"/>
  <c r="P42" i="3"/>
  <c r="N42" i="3"/>
  <c r="F42" i="3"/>
  <c r="X41" i="3"/>
  <c r="N41" i="3"/>
  <c r="F41" i="3"/>
  <c r="X40" i="3"/>
  <c r="N40" i="3"/>
  <c r="F40" i="3"/>
  <c r="P40" i="3" s="1"/>
  <c r="X39" i="3"/>
  <c r="N39" i="3"/>
  <c r="F39" i="3"/>
  <c r="X38" i="3"/>
  <c r="W38" i="3"/>
  <c r="U38" i="3"/>
  <c r="AA38" i="3" s="1"/>
  <c r="P38" i="3"/>
  <c r="N38" i="3"/>
  <c r="F38" i="3"/>
  <c r="X37" i="3"/>
  <c r="N37" i="3"/>
  <c r="F37" i="3"/>
  <c r="X36" i="3"/>
  <c r="N36" i="3"/>
  <c r="F36" i="3"/>
  <c r="X35" i="3"/>
  <c r="N35" i="3"/>
  <c r="G21" i="3" s="1"/>
  <c r="G23" i="3" s="1"/>
  <c r="F35" i="3"/>
  <c r="T18" i="3" s="1"/>
  <c r="X34" i="3"/>
  <c r="U34" i="3"/>
  <c r="AA34" i="3" s="1"/>
  <c r="Q34" i="3"/>
  <c r="P34" i="3"/>
  <c r="N34" i="3"/>
  <c r="F34" i="3"/>
  <c r="Q29" i="3"/>
  <c r="L29" i="3"/>
  <c r="Q28" i="3"/>
  <c r="L28" i="3"/>
  <c r="Q27" i="3"/>
  <c r="L27" i="3"/>
  <c r="Q26" i="3"/>
  <c r="L26" i="3"/>
  <c r="T25" i="3"/>
  <c r="Q25" i="3"/>
  <c r="L25" i="3"/>
  <c r="Q24" i="3"/>
  <c r="L24" i="3"/>
  <c r="Q23" i="3"/>
  <c r="L23" i="3"/>
  <c r="Q22" i="3"/>
  <c r="L22" i="3"/>
  <c r="Q21" i="3"/>
  <c r="L21" i="3"/>
  <c r="Q20" i="3"/>
  <c r="L20" i="3"/>
  <c r="Q19" i="3"/>
  <c r="L19" i="3"/>
  <c r="O18" i="3"/>
  <c r="Q18" i="3" s="1"/>
  <c r="L18" i="3"/>
  <c r="F186" i="2"/>
  <c r="D186" i="2"/>
  <c r="J186" i="2" s="1"/>
  <c r="B186" i="2"/>
  <c r="F185" i="2"/>
  <c r="D185" i="2"/>
  <c r="B185" i="2"/>
  <c r="J185" i="2" s="1"/>
  <c r="F184" i="2"/>
  <c r="D184" i="2"/>
  <c r="B184" i="2"/>
  <c r="F183" i="2"/>
  <c r="D183" i="2"/>
  <c r="B183" i="2"/>
  <c r="F182" i="2"/>
  <c r="D182" i="2"/>
  <c r="B182" i="2"/>
  <c r="J182" i="2" s="1"/>
  <c r="F181" i="2"/>
  <c r="D181" i="2"/>
  <c r="B181" i="2"/>
  <c r="J181" i="2" s="1"/>
  <c r="F180" i="2"/>
  <c r="D180" i="2"/>
  <c r="B180" i="2"/>
  <c r="J180" i="2" s="1"/>
  <c r="F179" i="2"/>
  <c r="D179" i="2"/>
  <c r="B179" i="2"/>
  <c r="J179" i="2" s="1"/>
  <c r="F178" i="2"/>
  <c r="D178" i="2"/>
  <c r="B178" i="2"/>
  <c r="J178" i="2" s="1"/>
  <c r="J177" i="2"/>
  <c r="F177" i="2"/>
  <c r="D177" i="2"/>
  <c r="B177" i="2"/>
  <c r="F176" i="2"/>
  <c r="D176" i="2"/>
  <c r="B176" i="2"/>
  <c r="J176" i="2" s="1"/>
  <c r="F175" i="2"/>
  <c r="D175" i="2"/>
  <c r="B175" i="2"/>
  <c r="J175" i="2" s="1"/>
  <c r="J174" i="2"/>
  <c r="F174" i="2"/>
  <c r="D174" i="2"/>
  <c r="B174" i="2"/>
  <c r="I172" i="2"/>
  <c r="G172" i="2"/>
  <c r="E172" i="2"/>
  <c r="C172" i="2"/>
  <c r="E169" i="2"/>
  <c r="C169" i="2"/>
  <c r="G112" i="2"/>
  <c r="E112" i="2"/>
  <c r="F112" i="2" s="1"/>
  <c r="D112" i="2"/>
  <c r="H112" i="2" s="1"/>
  <c r="E111" i="2"/>
  <c r="D111" i="2"/>
  <c r="H111" i="2" s="1"/>
  <c r="H110" i="2"/>
  <c r="G110" i="2"/>
  <c r="E110" i="2"/>
  <c r="F110" i="2" s="1"/>
  <c r="D110" i="2"/>
  <c r="E109" i="2"/>
  <c r="F107" i="2" s="1"/>
  <c r="D109" i="2"/>
  <c r="H109" i="2" s="1"/>
  <c r="H108" i="2"/>
  <c r="E108" i="2"/>
  <c r="D108" i="2"/>
  <c r="G108" i="2" s="1"/>
  <c r="E107" i="2"/>
  <c r="D107" i="2"/>
  <c r="H107" i="2" s="1"/>
  <c r="E106" i="2"/>
  <c r="D106" i="2"/>
  <c r="H106" i="2" s="1"/>
  <c r="H105" i="2"/>
  <c r="G105" i="2"/>
  <c r="E105" i="2"/>
  <c r="D105" i="2"/>
  <c r="E104" i="2"/>
  <c r="G104" i="2" s="1"/>
  <c r="D104" i="2"/>
  <c r="H104" i="2" s="1"/>
  <c r="H103" i="2"/>
  <c r="E103" i="2"/>
  <c r="G103" i="2" s="1"/>
  <c r="D103" i="2"/>
  <c r="E99" i="2"/>
  <c r="H99" i="2" s="1"/>
  <c r="D99" i="2"/>
  <c r="H98" i="2"/>
  <c r="E98" i="2"/>
  <c r="D98" i="2"/>
  <c r="F98" i="2" s="1"/>
  <c r="E97" i="2"/>
  <c r="H97" i="2" s="1"/>
  <c r="D97" i="2"/>
  <c r="H96" i="2"/>
  <c r="E96" i="2"/>
  <c r="G96" i="2" s="1"/>
  <c r="D96" i="2"/>
  <c r="F96" i="2" s="1"/>
  <c r="E95" i="2"/>
  <c r="D95" i="2"/>
  <c r="E94" i="2"/>
  <c r="D94" i="2"/>
  <c r="H94" i="2" s="1"/>
  <c r="H93" i="2"/>
  <c r="E93" i="2"/>
  <c r="D93" i="2"/>
  <c r="E92" i="2"/>
  <c r="D92" i="2"/>
  <c r="F92" i="2" s="1"/>
  <c r="H91" i="2"/>
  <c r="E91" i="2"/>
  <c r="D91" i="2"/>
  <c r="F90" i="2"/>
  <c r="E90" i="2"/>
  <c r="D90" i="2"/>
  <c r="H90" i="2" s="1"/>
  <c r="E89" i="2"/>
  <c r="H89" i="2" s="1"/>
  <c r="D89" i="2"/>
  <c r="H88" i="2"/>
  <c r="E88" i="2"/>
  <c r="D88" i="2"/>
  <c r="E87" i="2"/>
  <c r="D87" i="2"/>
  <c r="F93" i="2" s="1"/>
  <c r="H86" i="2"/>
  <c r="E86" i="2"/>
  <c r="D86" i="2"/>
  <c r="E85" i="2"/>
  <c r="G93" i="2" s="1"/>
  <c r="D85" i="2"/>
  <c r="F88" i="2" s="1"/>
  <c r="B43" i="2"/>
  <c r="A43" i="2"/>
  <c r="B42" i="2"/>
  <c r="A42" i="2"/>
  <c r="B41" i="2"/>
  <c r="A41" i="2"/>
  <c r="B40" i="2"/>
  <c r="A40" i="2"/>
  <c r="B39" i="2"/>
  <c r="A39" i="2"/>
  <c r="B38" i="2"/>
  <c r="A38" i="2"/>
  <c r="C23" i="2"/>
  <c r="B23" i="2"/>
  <c r="I22" i="2"/>
  <c r="H22" i="2"/>
  <c r="G22" i="2"/>
  <c r="F22" i="2"/>
  <c r="I21" i="2"/>
  <c r="H21" i="2"/>
  <c r="G21" i="2"/>
  <c r="F21" i="2"/>
  <c r="I20" i="2"/>
  <c r="H20" i="2"/>
  <c r="G20" i="2"/>
  <c r="F20" i="2"/>
  <c r="I19" i="2"/>
  <c r="H19" i="2"/>
  <c r="G19" i="2"/>
  <c r="F19" i="2"/>
  <c r="I18" i="2"/>
  <c r="H18" i="2"/>
  <c r="G18" i="2"/>
  <c r="F18" i="2"/>
  <c r="I17" i="2"/>
  <c r="H17" i="2"/>
  <c r="G17" i="2"/>
  <c r="F17" i="2"/>
  <c r="I16" i="2"/>
  <c r="H16" i="2"/>
  <c r="G16" i="2"/>
  <c r="F16" i="2"/>
  <c r="I15" i="2"/>
  <c r="H15" i="2"/>
  <c r="G15" i="2"/>
  <c r="F15" i="2"/>
  <c r="D9" i="1"/>
  <c r="C9" i="1"/>
  <c r="F9" i="1" s="1"/>
  <c r="F8" i="1"/>
  <c r="D8" i="1"/>
  <c r="C8" i="1"/>
  <c r="D7" i="1"/>
  <c r="C7" i="1"/>
  <c r="F7" i="1" s="1"/>
  <c r="D6" i="1"/>
  <c r="C6" i="1"/>
  <c r="F6" i="1" s="1"/>
  <c r="I184" i="4" l="1"/>
  <c r="H184" i="4"/>
  <c r="E73" i="2"/>
  <c r="E155" i="10"/>
  <c r="F7" i="5"/>
  <c r="B72" i="2"/>
  <c r="F55" i="5"/>
  <c r="G370" i="4" a="1"/>
  <c r="G370" i="4" s="1"/>
  <c r="E50" i="10"/>
  <c r="E20" i="11" s="1"/>
  <c r="E57" i="11"/>
  <c r="F511" i="4"/>
  <c r="F176" i="5"/>
  <c r="E111" i="10"/>
  <c r="E42" i="11" s="1"/>
  <c r="F91" i="5"/>
  <c r="F104" i="5"/>
  <c r="G721" i="4" a="1"/>
  <c r="G721" i="4" s="1"/>
  <c r="F87" i="5"/>
  <c r="F102" i="5"/>
  <c r="F201" i="5"/>
  <c r="F204" i="5"/>
  <c r="E51" i="10"/>
  <c r="C21" i="11" s="1"/>
  <c r="F740" i="4"/>
  <c r="H909" i="4"/>
  <c r="F80" i="5"/>
  <c r="E205" i="10"/>
  <c r="G306" i="4" a="1"/>
  <c r="G306" i="4" s="1"/>
  <c r="G919" i="4" a="1"/>
  <c r="G919" i="4" s="1"/>
  <c r="F132" i="5"/>
  <c r="F200" i="5"/>
  <c r="E35" i="10"/>
  <c r="D15" i="11" s="1"/>
  <c r="E64" i="10"/>
  <c r="E25" i="11" s="1"/>
  <c r="E122" i="10"/>
  <c r="D46" i="11" s="1"/>
  <c r="H539" i="4"/>
  <c r="I902" i="4"/>
  <c r="F51" i="5"/>
  <c r="F76" i="5"/>
  <c r="E94" i="10"/>
  <c r="D36" i="11" s="1"/>
  <c r="E169" i="10"/>
  <c r="D70" i="11" s="1"/>
  <c r="E23" i="10"/>
  <c r="C11" i="11" s="1"/>
  <c r="F688" i="4"/>
  <c r="G901" i="4" a="1"/>
  <c r="G901" i="4" s="1"/>
  <c r="E92" i="10"/>
  <c r="E35" i="11" s="1"/>
  <c r="F655" i="4"/>
  <c r="F661" i="4"/>
  <c r="I823" i="4"/>
  <c r="E56" i="10"/>
  <c r="C23" i="11" s="1"/>
  <c r="F281" i="4"/>
  <c r="I310" i="4"/>
  <c r="H370" i="4"/>
  <c r="I831" i="4"/>
  <c r="F63" i="5"/>
  <c r="E24" i="10"/>
  <c r="D11" i="11" s="1"/>
  <c r="E54" i="10"/>
  <c r="D22" i="11" s="1"/>
  <c r="E90" i="10"/>
  <c r="C35" i="11" s="1"/>
  <c r="F20" i="4"/>
  <c r="F334" i="4"/>
  <c r="F12" i="5"/>
  <c r="E62" i="10"/>
  <c r="C25" i="11" s="1"/>
  <c r="E108" i="10"/>
  <c r="D41" i="11" s="1"/>
  <c r="E128" i="10"/>
  <c r="D48" i="11" s="1"/>
  <c r="F113" i="5"/>
  <c r="E146" i="10"/>
  <c r="E54" i="11" s="1"/>
  <c r="F282" i="4"/>
  <c r="F695" i="4"/>
  <c r="F724" i="4"/>
  <c r="F832" i="4"/>
  <c r="F30" i="5"/>
  <c r="E6" i="10"/>
  <c r="C5" i="11" s="1"/>
  <c r="E47" i="10"/>
  <c r="E19" i="11" s="1"/>
  <c r="E180" i="10"/>
  <c r="D63" i="11" s="1"/>
  <c r="F105" i="4"/>
  <c r="E124" i="10"/>
  <c r="C47" i="11" s="1"/>
  <c r="E152" i="10"/>
  <c r="E56" i="11" s="1"/>
  <c r="E183" i="10"/>
  <c r="E188" i="10"/>
  <c r="E68" i="11" s="1"/>
  <c r="G315" i="4" a="1"/>
  <c r="G315" i="4" s="1"/>
  <c r="F540" i="4"/>
  <c r="H567" i="4"/>
  <c r="G823" i="4" a="1"/>
  <c r="G823" i="4" s="1"/>
  <c r="F67" i="5"/>
  <c r="F202" i="5"/>
  <c r="E18" i="10"/>
  <c r="D9" i="11" s="1"/>
  <c r="E66" i="10"/>
  <c r="D26" i="11" s="1"/>
  <c r="F714" i="4"/>
  <c r="I799" i="4"/>
  <c r="F863" i="4"/>
  <c r="E103" i="10"/>
  <c r="E39" i="11" s="1"/>
  <c r="E167" i="10"/>
  <c r="E71" i="11" s="1"/>
  <c r="F567" i="4"/>
  <c r="F158" i="4"/>
  <c r="I270" i="4"/>
  <c r="I537" i="4"/>
  <c r="G567" i="4" a="1"/>
  <c r="G567" i="4" s="1"/>
  <c r="F703" i="4"/>
  <c r="H831" i="4"/>
  <c r="F887" i="4"/>
  <c r="F123" i="4"/>
  <c r="G352" i="4" a="1"/>
  <c r="G352" i="4" s="1"/>
  <c r="F432" i="4"/>
  <c r="I815" i="4"/>
  <c r="G887" i="4" a="1"/>
  <c r="G887" i="4" s="1"/>
  <c r="E135" i="10"/>
  <c r="E50" i="11" s="1"/>
  <c r="H670" i="4"/>
  <c r="F683" i="4"/>
  <c r="F814" i="4"/>
  <c r="H887" i="4"/>
  <c r="E187" i="10"/>
  <c r="D71" i="11" s="1"/>
  <c r="H218" i="4"/>
  <c r="I218" i="4"/>
  <c r="F131" i="4"/>
  <c r="G423" i="4" a="1"/>
  <c r="G423" i="4" s="1"/>
  <c r="H423" i="4"/>
  <c r="F496" i="4"/>
  <c r="I917" i="4"/>
  <c r="H917" i="4"/>
  <c r="H767" i="4"/>
  <c r="I767" i="4"/>
  <c r="F26" i="4"/>
  <c r="I346" i="4"/>
  <c r="H346" i="4"/>
  <c r="G346" i="4" a="1"/>
  <c r="G346" i="4" s="1"/>
  <c r="H378" i="4"/>
  <c r="I378" i="4"/>
  <c r="H596" i="4"/>
  <c r="G596" i="4" a="1"/>
  <c r="G596" i="4" s="1"/>
  <c r="I745" i="4"/>
  <c r="H745" i="4"/>
  <c r="I890" i="4"/>
  <c r="H890" i="4"/>
  <c r="H200" i="4"/>
  <c r="G200" i="4" a="1"/>
  <c r="G200" i="4" s="1"/>
  <c r="H526" i="4"/>
  <c r="I526" i="4"/>
  <c r="I591" i="4"/>
  <c r="G591" i="4" a="1"/>
  <c r="G591" i="4" s="1"/>
  <c r="G635" i="4" a="1"/>
  <c r="G635" i="4" s="1"/>
  <c r="I635" i="4"/>
  <c r="F10" i="4"/>
  <c r="F103" i="5"/>
  <c r="F229" i="4"/>
  <c r="I229" i="4"/>
  <c r="H791" i="4"/>
  <c r="I791" i="4"/>
  <c r="F37" i="5"/>
  <c r="E98" i="10"/>
  <c r="C38" i="11" s="1"/>
  <c r="H352" i="4"/>
  <c r="F16" i="5"/>
  <c r="F69" i="5"/>
  <c r="F100" i="5"/>
  <c r="F159" i="5"/>
  <c r="E68" i="10"/>
  <c r="D27" i="11" s="1"/>
  <c r="E89" i="10"/>
  <c r="E34" i="11" s="1"/>
  <c r="E96" i="10"/>
  <c r="D37" i="11" s="1"/>
  <c r="E117" i="10"/>
  <c r="E44" i="11" s="1"/>
  <c r="E172" i="10"/>
  <c r="D67" i="11" s="1"/>
  <c r="E177" i="10"/>
  <c r="E131" i="10"/>
  <c r="D49" i="11" s="1"/>
  <c r="E157" i="10"/>
  <c r="D58" i="11" s="1"/>
  <c r="F226" i="4"/>
  <c r="E27" i="10"/>
  <c r="E12" i="11" s="1"/>
  <c r="E48" i="10"/>
  <c r="C20" i="11" s="1"/>
  <c r="E115" i="10"/>
  <c r="C44" i="11" s="1"/>
  <c r="E144" i="10"/>
  <c r="C54" i="11" s="1"/>
  <c r="C132" i="11"/>
  <c r="G282" i="4" a="1"/>
  <c r="G282" i="4" s="1"/>
  <c r="G533" i="4" a="1"/>
  <c r="G533" i="4" s="1"/>
  <c r="H590" i="4"/>
  <c r="G642" i="4" a="1"/>
  <c r="G642" i="4" s="1"/>
  <c r="F40" i="5"/>
  <c r="F134" i="5"/>
  <c r="E9" i="10"/>
  <c r="C6" i="11" s="1"/>
  <c r="E11" i="10"/>
  <c r="C7" i="11" s="1"/>
  <c r="E13" i="10"/>
  <c r="E7" i="11" s="1"/>
  <c r="E20" i="10"/>
  <c r="C10" i="11" s="1"/>
  <c r="E30" i="10"/>
  <c r="E13" i="11" s="1"/>
  <c r="E104" i="10"/>
  <c r="C40" i="11" s="1"/>
  <c r="E127" i="10"/>
  <c r="C48" i="11" s="1"/>
  <c r="E136" i="10"/>
  <c r="C51" i="11" s="1"/>
  <c r="E208" i="10"/>
  <c r="H282" i="4"/>
  <c r="I435" i="4"/>
  <c r="G498" i="4" a="1"/>
  <c r="G498" i="4" s="1"/>
  <c r="F637" i="4"/>
  <c r="F877" i="4"/>
  <c r="I912" i="4"/>
  <c r="E7" i="10"/>
  <c r="D5" i="11" s="1"/>
  <c r="E40" i="10"/>
  <c r="D17" i="11" s="1"/>
  <c r="E71" i="10"/>
  <c r="D28" i="11" s="1"/>
  <c r="E85" i="10"/>
  <c r="D33" i="11" s="1"/>
  <c r="E102" i="10"/>
  <c r="D39" i="11" s="1"/>
  <c r="E116" i="10"/>
  <c r="D44" i="11" s="1"/>
  <c r="E125" i="10"/>
  <c r="D47" i="11" s="1"/>
  <c r="D100" i="11"/>
  <c r="C203" i="10" a="1"/>
  <c r="C203" i="10" s="1"/>
  <c r="E203" i="10" s="1"/>
  <c r="D65" i="11" s="1"/>
  <c r="F160" i="4"/>
  <c r="I246" i="4"/>
  <c r="I410" i="4"/>
  <c r="I415" i="4"/>
  <c r="F417" i="4"/>
  <c r="F458" i="4"/>
  <c r="H498" i="4"/>
  <c r="H537" i="4"/>
  <c r="I687" i="4"/>
  <c r="I729" i="4"/>
  <c r="F759" i="4"/>
  <c r="G902" i="4" a="1"/>
  <c r="G902" i="4" s="1"/>
  <c r="F15" i="5"/>
  <c r="F27" i="5"/>
  <c r="F71" i="5"/>
  <c r="F92" i="5"/>
  <c r="F135" i="5"/>
  <c r="E5" i="10"/>
  <c r="E4" i="11" s="1"/>
  <c r="E28" i="10"/>
  <c r="C13" i="11" s="1"/>
  <c r="E45" i="10"/>
  <c r="C19" i="11" s="1"/>
  <c r="E52" i="10"/>
  <c r="D21" i="11" s="1"/>
  <c r="E76" i="10"/>
  <c r="C30" i="11" s="1"/>
  <c r="E95" i="10"/>
  <c r="C37" i="11" s="1"/>
  <c r="E166" i="10"/>
  <c r="E70" i="11" s="1"/>
  <c r="E176" i="10"/>
  <c r="E63" i="11" s="1"/>
  <c r="E181" i="10"/>
  <c r="F479" i="4"/>
  <c r="F59" i="5"/>
  <c r="E3" i="10"/>
  <c r="C4" i="11" s="1"/>
  <c r="E14" i="10"/>
  <c r="C8" i="11" s="1"/>
  <c r="E43" i="10"/>
  <c r="D18" i="11" s="1"/>
  <c r="E55" i="10"/>
  <c r="E22" i="11" s="1"/>
  <c r="E60" i="10"/>
  <c r="D24" i="11" s="1"/>
  <c r="E114" i="10"/>
  <c r="E43" i="11" s="1"/>
  <c r="E119" i="10"/>
  <c r="D45" i="11" s="1"/>
  <c r="E130" i="10"/>
  <c r="C49" i="11" s="1"/>
  <c r="E156" i="10"/>
  <c r="C58" i="11" s="1"/>
  <c r="E174" i="10"/>
  <c r="D68" i="11" s="1"/>
  <c r="H572" i="4"/>
  <c r="I572" i="4"/>
  <c r="G572" i="4" a="1"/>
  <c r="G572" i="4" s="1"/>
  <c r="G708" i="4" a="1"/>
  <c r="G708" i="4" s="1"/>
  <c r="H708" i="4"/>
  <c r="I224" i="4"/>
  <c r="G224" i="4" a="1"/>
  <c r="G224" i="4" s="1"/>
  <c r="H224" i="4"/>
  <c r="I360" i="4"/>
  <c r="G360" i="4" a="1"/>
  <c r="G360" i="4" s="1"/>
  <c r="G780" i="4" a="1"/>
  <c r="G780" i="4" s="1"/>
  <c r="I780" i="4"/>
  <c r="H780" i="4"/>
  <c r="I472" i="4"/>
  <c r="H472" i="4"/>
  <c r="G763" i="4" a="1"/>
  <c r="G763" i="4" s="1"/>
  <c r="H763" i="4"/>
  <c r="G269" i="4" a="1"/>
  <c r="G269" i="4" s="1"/>
  <c r="I269" i="4"/>
  <c r="H269" i="4"/>
  <c r="G814" i="4" a="1"/>
  <c r="G814" i="4" s="1"/>
  <c r="H814" i="4"/>
  <c r="G515" i="4" a="1"/>
  <c r="G515" i="4" s="1"/>
  <c r="H515" i="4"/>
  <c r="H560" i="4"/>
  <c r="I560" i="4"/>
  <c r="G560" i="4" a="1"/>
  <c r="G560" i="4" s="1"/>
  <c r="I628" i="4"/>
  <c r="G628" i="4" a="1"/>
  <c r="G628" i="4" s="1"/>
  <c r="I296" i="4"/>
  <c r="G296" i="4" a="1"/>
  <c r="G296" i="4" s="1"/>
  <c r="I820" i="4"/>
  <c r="G820" i="4" a="1"/>
  <c r="G820" i="4" s="1"/>
  <c r="F827" i="4"/>
  <c r="G198" i="4" a="1"/>
  <c r="G198" i="4" s="1"/>
  <c r="I198" i="4"/>
  <c r="H198" i="4"/>
  <c r="H225" i="4"/>
  <c r="I225" i="4"/>
  <c r="G554" i="4" a="1"/>
  <c r="G554" i="4" s="1"/>
  <c r="I554" i="4"/>
  <c r="G218" i="4" a="1"/>
  <c r="G218" i="4" s="1"/>
  <c r="F277" i="4"/>
  <c r="G295" i="4" a="1"/>
  <c r="G295" i="4" s="1"/>
  <c r="H295" i="4"/>
  <c r="H333" i="4"/>
  <c r="F346" i="4"/>
  <c r="G540" i="4" a="1"/>
  <c r="G540" i="4" s="1"/>
  <c r="H540" i="4"/>
  <c r="F583" i="4"/>
  <c r="F593" i="4"/>
  <c r="I744" i="4"/>
  <c r="F884" i="4"/>
  <c r="F129" i="4"/>
  <c r="F223" i="4"/>
  <c r="G225" i="4" a="1"/>
  <c r="G225" i="4" s="1"/>
  <c r="F263" i="4"/>
  <c r="I333" i="4"/>
  <c r="G415" i="4" a="1"/>
  <c r="G415" i="4" s="1"/>
  <c r="F868" i="4"/>
  <c r="H884" i="4"/>
  <c r="F12" i="4"/>
  <c r="H372" i="4"/>
  <c r="G372" i="4" a="1"/>
  <c r="G372" i="4" s="1"/>
  <c r="G871" i="4" a="1"/>
  <c r="G871" i="4" s="1"/>
  <c r="H871" i="4"/>
  <c r="F93" i="4"/>
  <c r="F8" i="4"/>
  <c r="F67" i="4"/>
  <c r="F142" i="4"/>
  <c r="G211" i="4" a="1"/>
  <c r="G211" i="4" s="1"/>
  <c r="G274" i="4" a="1"/>
  <c r="G274" i="4" s="1"/>
  <c r="I329" i="4"/>
  <c r="G359" i="4" a="1"/>
  <c r="G359" i="4" s="1"/>
  <c r="H359" i="4"/>
  <c r="I372" i="4"/>
  <c r="H386" i="4"/>
  <c r="H487" i="4"/>
  <c r="F553" i="4"/>
  <c r="G650" i="4" a="1"/>
  <c r="G650" i="4" s="1"/>
  <c r="I871" i="4"/>
  <c r="F875" i="4"/>
  <c r="F21" i="4"/>
  <c r="F57" i="4"/>
  <c r="H197" i="4"/>
  <c r="G208" i="4" a="1"/>
  <c r="G208" i="4" s="1"/>
  <c r="G223" i="4" a="1"/>
  <c r="G223" i="4" s="1"/>
  <c r="I356" i="4"/>
  <c r="H356" i="4"/>
  <c r="I359" i="4"/>
  <c r="H408" i="4"/>
  <c r="F410" i="4"/>
  <c r="G458" i="4" a="1"/>
  <c r="G458" i="4" s="1"/>
  <c r="H474" i="4"/>
  <c r="I487" i="4"/>
  <c r="F548" i="4"/>
  <c r="H638" i="4"/>
  <c r="I647" i="4"/>
  <c r="H733" i="4"/>
  <c r="G759" i="4" a="1"/>
  <c r="G759" i="4" s="1"/>
  <c r="F799" i="4"/>
  <c r="F830" i="4"/>
  <c r="H868" i="4"/>
  <c r="H903" i="4"/>
  <c r="F17" i="4"/>
  <c r="F5" i="4"/>
  <c r="F49" i="4"/>
  <c r="F61" i="4"/>
  <c r="F73" i="4"/>
  <c r="F168" i="4"/>
  <c r="I197" i="4"/>
  <c r="G205" i="4" a="1"/>
  <c r="G205" i="4" s="1"/>
  <c r="I205" i="4"/>
  <c r="H216" i="4"/>
  <c r="I223" i="4"/>
  <c r="I299" i="4"/>
  <c r="F368" i="4"/>
  <c r="H458" i="4"/>
  <c r="I474" i="4"/>
  <c r="I484" i="4"/>
  <c r="I502" i="4"/>
  <c r="G561" i="4" a="1"/>
  <c r="G561" i="4" s="1"/>
  <c r="H688" i="4"/>
  <c r="I688" i="4"/>
  <c r="F730" i="4"/>
  <c r="H759" i="4"/>
  <c r="I868" i="4"/>
  <c r="F101" i="4"/>
  <c r="F110" i="4"/>
  <c r="F150" i="4"/>
  <c r="F166" i="4"/>
  <c r="F225" i="4"/>
  <c r="H250" i="4"/>
  <c r="I250" i="4"/>
  <c r="I265" i="4"/>
  <c r="H306" i="4"/>
  <c r="H410" i="4"/>
  <c r="F415" i="4"/>
  <c r="H730" i="4"/>
  <c r="H735" i="4"/>
  <c r="F764" i="4"/>
  <c r="H799" i="4"/>
  <c r="H815" i="4"/>
  <c r="E91" i="10"/>
  <c r="D35" i="11" s="1"/>
  <c r="E179" i="10"/>
  <c r="C63" i="11" s="1"/>
  <c r="E210" i="10"/>
  <c r="E77" i="11" s="1"/>
  <c r="E147" i="10"/>
  <c r="C55" i="11" s="1"/>
  <c r="E138" i="10"/>
  <c r="C52" i="11" s="1"/>
  <c r="F270" i="4"/>
  <c r="F290" i="4"/>
  <c r="E158" i="10"/>
  <c r="E58" i="11" s="1"/>
  <c r="F25" i="4"/>
  <c r="F65" i="4"/>
  <c r="H244" i="4"/>
  <c r="G244" i="4" a="1"/>
  <c r="G244" i="4" s="1"/>
  <c r="I244" i="4"/>
  <c r="H259" i="4"/>
  <c r="F259" i="4"/>
  <c r="I259" i="4"/>
  <c r="H287" i="4"/>
  <c r="I287" i="4"/>
  <c r="G287" i="4" a="1"/>
  <c r="G287" i="4" s="1"/>
  <c r="H443" i="4"/>
  <c r="G443" i="4" a="1"/>
  <c r="G443" i="4" s="1"/>
  <c r="G516" i="4" a="1"/>
  <c r="G516" i="4" s="1"/>
  <c r="H516" i="4"/>
  <c r="F516" i="4"/>
  <c r="I516" i="4"/>
  <c r="F113" i="4"/>
  <c r="F180" i="4"/>
  <c r="E77" i="2"/>
  <c r="B77" i="2" a="1"/>
  <c r="B77" i="2" s="1"/>
  <c r="H235" i="4"/>
  <c r="I235" i="4"/>
  <c r="F409" i="4"/>
  <c r="G409" i="4" a="1"/>
  <c r="G409" i="4" s="1"/>
  <c r="H409" i="4"/>
  <c r="I428" i="4"/>
  <c r="G428" i="4" a="1"/>
  <c r="G428" i="4" s="1"/>
  <c r="H428" i="4"/>
  <c r="G206" i="4" a="1"/>
  <c r="G206" i="4" s="1"/>
  <c r="H206" i="4"/>
  <c r="F206" i="4"/>
  <c r="I206" i="4"/>
  <c r="G612" i="4" a="1"/>
  <c r="G612" i="4" s="1"/>
  <c r="H612" i="4"/>
  <c r="I612" i="4"/>
  <c r="F33" i="4"/>
  <c r="G189" i="4" a="1"/>
  <c r="G189" i="4" s="1"/>
  <c r="I189" i="4"/>
  <c r="H189" i="4"/>
  <c r="F239" i="4"/>
  <c r="H239" i="4"/>
  <c r="G239" i="4" a="1"/>
  <c r="G239" i="4" s="1"/>
  <c r="G447" i="4" a="1"/>
  <c r="G447" i="4" s="1"/>
  <c r="I447" i="4"/>
  <c r="H447" i="4"/>
  <c r="F447" i="4"/>
  <c r="H585" i="4"/>
  <c r="I585" i="4"/>
  <c r="G706" i="4" a="1"/>
  <c r="G706" i="4" s="1"/>
  <c r="H706" i="4"/>
  <c r="F706" i="4"/>
  <c r="I706" i="4"/>
  <c r="G213" i="4" a="1"/>
  <c r="G213" i="4" s="1"/>
  <c r="I213" i="4"/>
  <c r="H213" i="4"/>
  <c r="H243" i="4"/>
  <c r="I243" i="4"/>
  <c r="G243" i="4" a="1"/>
  <c r="G243" i="4" s="1"/>
  <c r="G398" i="4" a="1"/>
  <c r="G398" i="4" s="1"/>
  <c r="I398" i="4"/>
  <c r="F398" i="4"/>
  <c r="F99" i="4"/>
  <c r="F121" i="4"/>
  <c r="H624" i="4"/>
  <c r="G624" i="4" a="1"/>
  <c r="G624" i="4" s="1"/>
  <c r="F41" i="4"/>
  <c r="I236" i="4"/>
  <c r="H236" i="4"/>
  <c r="G236" i="4" a="1"/>
  <c r="G236" i="4" s="1"/>
  <c r="F375" i="4"/>
  <c r="I375" i="4"/>
  <c r="G375" i="4" a="1"/>
  <c r="G375" i="4" s="1"/>
  <c r="F431" i="4"/>
  <c r="G431" i="4" a="1"/>
  <c r="G431" i="4" s="1"/>
  <c r="H431" i="4"/>
  <c r="G446" i="4" a="1"/>
  <c r="G446" i="4" s="1"/>
  <c r="I446" i="4"/>
  <c r="H446" i="4"/>
  <c r="F59" i="4"/>
  <c r="F187" i="4"/>
  <c r="I187" i="4"/>
  <c r="G187" i="4" a="1"/>
  <c r="G187" i="4" s="1"/>
  <c r="F217" i="4"/>
  <c r="G217" i="4" a="1"/>
  <c r="G217" i="4" s="1"/>
  <c r="I242" i="4"/>
  <c r="H242" i="4"/>
  <c r="F247" i="4"/>
  <c r="G247" i="4" a="1"/>
  <c r="G247" i="4" s="1"/>
  <c r="G258" i="4" a="1"/>
  <c r="G258" i="4" s="1"/>
  <c r="H258" i="4"/>
  <c r="I258" i="4"/>
  <c r="G293" i="4" a="1"/>
  <c r="G293" i="4" s="1"/>
  <c r="I293" i="4"/>
  <c r="H323" i="4"/>
  <c r="I323" i="4"/>
  <c r="F323" i="4"/>
  <c r="H353" i="4"/>
  <c r="F353" i="4"/>
  <c r="I353" i="4"/>
  <c r="G353" i="4" a="1"/>
  <c r="G353" i="4" s="1"/>
  <c r="G397" i="4" a="1"/>
  <c r="G397" i="4" s="1"/>
  <c r="H397" i="4"/>
  <c r="I397" i="4"/>
  <c r="H451" i="4"/>
  <c r="F451" i="4"/>
  <c r="I451" i="4"/>
  <c r="F477" i="4"/>
  <c r="G477" i="4" a="1"/>
  <c r="G477" i="4" s="1"/>
  <c r="G485" i="4" a="1"/>
  <c r="G485" i="4" s="1"/>
  <c r="H485" i="4"/>
  <c r="I485" i="4"/>
  <c r="F485" i="4"/>
  <c r="H499" i="4"/>
  <c r="G499" i="4" a="1"/>
  <c r="G499" i="4" s="1"/>
  <c r="I551" i="4"/>
  <c r="F551" i="4"/>
  <c r="F578" i="4"/>
  <c r="G578" i="4" a="1"/>
  <c r="G578" i="4" s="1"/>
  <c r="I613" i="4"/>
  <c r="F613" i="4"/>
  <c r="H636" i="4"/>
  <c r="G636" i="4" a="1"/>
  <c r="G636" i="4" s="1"/>
  <c r="I666" i="4"/>
  <c r="G666" i="4" a="1"/>
  <c r="G666" i="4" s="1"/>
  <c r="F775" i="4"/>
  <c r="G775" i="4" a="1"/>
  <c r="G775" i="4" s="1"/>
  <c r="H775" i="4"/>
  <c r="I797" i="4"/>
  <c r="G797" i="4" a="1"/>
  <c r="G797" i="4" s="1"/>
  <c r="H797" i="4"/>
  <c r="F838" i="4"/>
  <c r="G838" i="4" a="1"/>
  <c r="G838" i="4" s="1"/>
  <c r="I845" i="4"/>
  <c r="H845" i="4"/>
  <c r="H870" i="4"/>
  <c r="I870" i="4"/>
  <c r="H873" i="4"/>
  <c r="G873" i="4" a="1"/>
  <c r="G873" i="4" s="1"/>
  <c r="I873" i="4"/>
  <c r="F81" i="4"/>
  <c r="G190" i="4" a="1"/>
  <c r="G190" i="4" s="1"/>
  <c r="I190" i="4"/>
  <c r="G281" i="4" a="1"/>
  <c r="G281" i="4" s="1"/>
  <c r="F345" i="4"/>
  <c r="G345" i="4" a="1"/>
  <c r="G345" i="4" s="1"/>
  <c r="H345" i="4"/>
  <c r="F349" i="4"/>
  <c r="I349" i="4"/>
  <c r="G349" i="4" a="1"/>
  <c r="G349" i="4" s="1"/>
  <c r="H379" i="4"/>
  <c r="G379" i="4" a="1"/>
  <c r="G379" i="4" s="1"/>
  <c r="G390" i="4" a="1"/>
  <c r="G390" i="4" s="1"/>
  <c r="H390" i="4"/>
  <c r="F391" i="4"/>
  <c r="I418" i="4"/>
  <c r="F418" i="4"/>
  <c r="H420" i="4"/>
  <c r="I420" i="4"/>
  <c r="G465" i="4" a="1"/>
  <c r="G465" i="4" s="1"/>
  <c r="H465" i="4"/>
  <c r="I465" i="4"/>
  <c r="I477" i="4"/>
  <c r="I499" i="4"/>
  <c r="H507" i="4"/>
  <c r="G507" i="4" a="1"/>
  <c r="G507" i="4" s="1"/>
  <c r="I532" i="4"/>
  <c r="G532" i="4" a="1"/>
  <c r="G532" i="4" s="1"/>
  <c r="G548" i="4" a="1"/>
  <c r="G548" i="4" s="1"/>
  <c r="I548" i="4"/>
  <c r="H556" i="4"/>
  <c r="I556" i="4"/>
  <c r="F556" i="4"/>
  <c r="F612" i="4"/>
  <c r="G618" i="4" a="1"/>
  <c r="G618" i="4" s="1"/>
  <c r="H618" i="4"/>
  <c r="I618" i="4"/>
  <c r="F654" i="4"/>
  <c r="G654" i="4" a="1"/>
  <c r="G654" i="4" s="1"/>
  <c r="H654" i="4"/>
  <c r="H676" i="4"/>
  <c r="G676" i="4" a="1"/>
  <c r="G676" i="4" s="1"/>
  <c r="I676" i="4"/>
  <c r="I703" i="4"/>
  <c r="G703" i="4" a="1"/>
  <c r="G703" i="4" s="1"/>
  <c r="H703" i="4"/>
  <c r="G746" i="4" a="1"/>
  <c r="G746" i="4" s="1"/>
  <c r="F746" i="4"/>
  <c r="I746" i="4"/>
  <c r="I789" i="4"/>
  <c r="H789" i="4"/>
  <c r="G789" i="4" a="1"/>
  <c r="G789" i="4" s="1"/>
  <c r="H838" i="4"/>
  <c r="I861" i="4"/>
  <c r="G861" i="4" a="1"/>
  <c r="G861" i="4" s="1"/>
  <c r="G899" i="4" a="1"/>
  <c r="G899" i="4" s="1"/>
  <c r="I899" i="4"/>
  <c r="H908" i="4"/>
  <c r="F908" i="4"/>
  <c r="I908" i="4"/>
  <c r="H217" i="4"/>
  <c r="F221" i="4"/>
  <c r="H228" i="4"/>
  <c r="G232" i="4" a="1"/>
  <c r="G232" i="4" s="1"/>
  <c r="G242" i="4" a="1"/>
  <c r="G242" i="4" s="1"/>
  <c r="I247" i="4"/>
  <c r="G255" i="4" a="1"/>
  <c r="G255" i="4" s="1"/>
  <c r="I255" i="4"/>
  <c r="H255" i="4"/>
  <c r="G277" i="4" a="1"/>
  <c r="G277" i="4" s="1"/>
  <c r="H281" i="4"/>
  <c r="F293" i="4"/>
  <c r="G337" i="4" a="1"/>
  <c r="G337" i="4" s="1"/>
  <c r="H337" i="4"/>
  <c r="G357" i="4" a="1"/>
  <c r="G357" i="4" s="1"/>
  <c r="I357" i="4"/>
  <c r="F357" i="4"/>
  <c r="F387" i="4"/>
  <c r="H391" i="4"/>
  <c r="F405" i="4"/>
  <c r="G405" i="4" a="1"/>
  <c r="G405" i="4" s="1"/>
  <c r="H405" i="4"/>
  <c r="H479" i="4"/>
  <c r="G479" i="4" a="1"/>
  <c r="G479" i="4" s="1"/>
  <c r="I482" i="4"/>
  <c r="F482" i="4"/>
  <c r="F495" i="4"/>
  <c r="G495" i="4" a="1"/>
  <c r="G495" i="4" s="1"/>
  <c r="H495" i="4"/>
  <c r="F522" i="4"/>
  <c r="H522" i="4"/>
  <c r="H535" i="4"/>
  <c r="F535" i="4"/>
  <c r="I575" i="4"/>
  <c r="F575" i="4"/>
  <c r="H578" i="4"/>
  <c r="F589" i="4"/>
  <c r="H604" i="4"/>
  <c r="I604" i="4"/>
  <c r="G607" i="4" a="1"/>
  <c r="G607" i="4" s="1"/>
  <c r="I607" i="4"/>
  <c r="H613" i="4"/>
  <c r="I659" i="4"/>
  <c r="F659" i="4"/>
  <c r="G683" i="4" a="1"/>
  <c r="G683" i="4" s="1"/>
  <c r="I683" i="4"/>
  <c r="G686" i="4" a="1"/>
  <c r="G686" i="4" s="1"/>
  <c r="I686" i="4"/>
  <c r="F796" i="4"/>
  <c r="H807" i="4"/>
  <c r="I807" i="4"/>
  <c r="F826" i="4"/>
  <c r="I826" i="4"/>
  <c r="H826" i="4"/>
  <c r="H837" i="4"/>
  <c r="G837" i="4" a="1"/>
  <c r="G837" i="4" s="1"/>
  <c r="F845" i="4"/>
  <c r="I847" i="4"/>
  <c r="G847" i="4" a="1"/>
  <c r="G847" i="4" s="1"/>
  <c r="H847" i="4"/>
  <c r="G852" i="4" a="1"/>
  <c r="G852" i="4" s="1"/>
  <c r="H852" i="4"/>
  <c r="F175" i="4"/>
  <c r="F190" i="4"/>
  <c r="F203" i="4"/>
  <c r="I203" i="4"/>
  <c r="G231" i="4" a="1"/>
  <c r="G231" i="4" s="1"/>
  <c r="I231" i="4"/>
  <c r="H231" i="4"/>
  <c r="G254" i="4" a="1"/>
  <c r="G254" i="4" s="1"/>
  <c r="I254" i="4"/>
  <c r="H277" i="4"/>
  <c r="H280" i="4"/>
  <c r="H289" i="4"/>
  <c r="I289" i="4"/>
  <c r="I292" i="4"/>
  <c r="H292" i="4"/>
  <c r="H293" i="4"/>
  <c r="F303" i="4"/>
  <c r="G303" i="4" a="1"/>
  <c r="G303" i="4" s="1"/>
  <c r="H303" i="4"/>
  <c r="H308" i="4"/>
  <c r="G308" i="4" a="1"/>
  <c r="G308" i="4" s="1"/>
  <c r="G327" i="4" a="1"/>
  <c r="G327" i="4" s="1"/>
  <c r="F327" i="4"/>
  <c r="I327" i="4"/>
  <c r="H327" i="4"/>
  <c r="I387" i="4"/>
  <c r="I391" i="4"/>
  <c r="I434" i="4"/>
  <c r="H434" i="4"/>
  <c r="G434" i="4" a="1"/>
  <c r="G434" i="4" s="1"/>
  <c r="I527" i="4"/>
  <c r="G527" i="4" a="1"/>
  <c r="G527" i="4" s="1"/>
  <c r="H532" i="4"/>
  <c r="H548" i="4"/>
  <c r="G556" i="4" a="1"/>
  <c r="G556" i="4" s="1"/>
  <c r="I597" i="4"/>
  <c r="F597" i="4"/>
  <c r="G597" i="4" a="1"/>
  <c r="G597" i="4" s="1"/>
  <c r="I692" i="4"/>
  <c r="H692" i="4"/>
  <c r="H700" i="4"/>
  <c r="I700" i="4"/>
  <c r="F700" i="4"/>
  <c r="H710" i="4"/>
  <c r="I710" i="4"/>
  <c r="H748" i="4"/>
  <c r="G748" i="4" a="1"/>
  <c r="G748" i="4" s="1"/>
  <c r="I748" i="4"/>
  <c r="G774" i="4" a="1"/>
  <c r="G774" i="4" s="1"/>
  <c r="H774" i="4"/>
  <c r="F786" i="4"/>
  <c r="I786" i="4"/>
  <c r="G786" i="4" a="1"/>
  <c r="G786" i="4" s="1"/>
  <c r="H796" i="4"/>
  <c r="I796" i="4"/>
  <c r="G796" i="4" a="1"/>
  <c r="G796" i="4" s="1"/>
  <c r="H802" i="4"/>
  <c r="G802" i="4" a="1"/>
  <c r="G802" i="4" s="1"/>
  <c r="I802" i="4"/>
  <c r="G819" i="4" a="1"/>
  <c r="G819" i="4" s="1"/>
  <c r="I819" i="4"/>
  <c r="G908" i="4" a="1"/>
  <c r="G908" i="4" s="1"/>
  <c r="F18" i="4"/>
  <c r="F85" i="4"/>
  <c r="H190" i="4"/>
  <c r="F195" i="4"/>
  <c r="G195" i="4" a="1"/>
  <c r="G195" i="4" s="1"/>
  <c r="G203" i="4" a="1"/>
  <c r="G203" i="4" s="1"/>
  <c r="G221" i="4" a="1"/>
  <c r="G221" i="4" s="1"/>
  <c r="F255" i="4"/>
  <c r="G263" i="4" a="1"/>
  <c r="G263" i="4" s="1"/>
  <c r="H273" i="4"/>
  <c r="I308" i="4"/>
  <c r="G319" i="4" a="1"/>
  <c r="G319" i="4" s="1"/>
  <c r="I319" i="4"/>
  <c r="F319" i="4"/>
  <c r="H357" i="4"/>
  <c r="G383" i="4" a="1"/>
  <c r="G383" i="4" s="1"/>
  <c r="I383" i="4"/>
  <c r="F383" i="4"/>
  <c r="I386" i="4"/>
  <c r="H393" i="4"/>
  <c r="I393" i="4"/>
  <c r="G461" i="4" a="1"/>
  <c r="G461" i="4" s="1"/>
  <c r="H461" i="4"/>
  <c r="H527" i="4"/>
  <c r="H534" i="4"/>
  <c r="G534" i="4" a="1"/>
  <c r="G534" i="4" s="1"/>
  <c r="I534" i="4"/>
  <c r="I538" i="4"/>
  <c r="H538" i="4"/>
  <c r="I539" i="4"/>
  <c r="H545" i="4"/>
  <c r="I545" i="4"/>
  <c r="G545" i="4" a="1"/>
  <c r="G545" i="4" s="1"/>
  <c r="H555" i="4"/>
  <c r="I590" i="4"/>
  <c r="G602" i="4" a="1"/>
  <c r="G602" i="4" s="1"/>
  <c r="F603" i="4"/>
  <c r="F604" i="4"/>
  <c r="H632" i="4"/>
  <c r="I632" i="4"/>
  <c r="F632" i="4"/>
  <c r="G658" i="4" a="1"/>
  <c r="G658" i="4" s="1"/>
  <c r="H658" i="4"/>
  <c r="H683" i="4"/>
  <c r="I769" i="4"/>
  <c r="H769" i="4"/>
  <c r="I774" i="4"/>
  <c r="I809" i="4"/>
  <c r="G809" i="4" a="1"/>
  <c r="G809" i="4" s="1"/>
  <c r="G812" i="4" a="1"/>
  <c r="G812" i="4" s="1"/>
  <c r="I812" i="4"/>
  <c r="H812" i="4"/>
  <c r="H819" i="4"/>
  <c r="I842" i="4"/>
  <c r="G842" i="4" a="1"/>
  <c r="G842" i="4" s="1"/>
  <c r="H842" i="4"/>
  <c r="I856" i="4"/>
  <c r="G856" i="4" a="1"/>
  <c r="G856" i="4" s="1"/>
  <c r="F97" i="4"/>
  <c r="F137" i="4"/>
  <c r="F174" i="4"/>
  <c r="F192" i="4"/>
  <c r="G192" i="4" a="1"/>
  <c r="G192" i="4" s="1"/>
  <c r="G214" i="4" a="1"/>
  <c r="G214" i="4" s="1"/>
  <c r="H214" i="4"/>
  <c r="I221" i="4"/>
  <c r="H251" i="4"/>
  <c r="G251" i="4" a="1"/>
  <c r="G251" i="4" s="1"/>
  <c r="H254" i="4"/>
  <c r="G262" i="4" a="1"/>
  <c r="G262" i="4" s="1"/>
  <c r="H262" i="4"/>
  <c r="I263" i="4"/>
  <c r="I273" i="4"/>
  <c r="G288" i="4" a="1"/>
  <c r="G288" i="4" s="1"/>
  <c r="F289" i="4"/>
  <c r="I300" i="4"/>
  <c r="G300" i="4" a="1"/>
  <c r="G300" i="4" s="1"/>
  <c r="H300" i="4"/>
  <c r="G318" i="4" a="1"/>
  <c r="G318" i="4" s="1"/>
  <c r="H318" i="4"/>
  <c r="G351" i="4" a="1"/>
  <c r="G351" i="4" s="1"/>
  <c r="F367" i="4"/>
  <c r="G367" i="4" a="1"/>
  <c r="G367" i="4" s="1"/>
  <c r="H371" i="4"/>
  <c r="G371" i="4" a="1"/>
  <c r="G371" i="4" s="1"/>
  <c r="G401" i="4" a="1"/>
  <c r="G401" i="4" s="1"/>
  <c r="H401" i="4"/>
  <c r="G421" i="4" a="1"/>
  <c r="G421" i="4" s="1"/>
  <c r="H421" i="4"/>
  <c r="F421" i="4"/>
  <c r="G589" i="4" a="1"/>
  <c r="G589" i="4" s="1"/>
  <c r="H597" i="4"/>
  <c r="H602" i="4"/>
  <c r="H603" i="4"/>
  <c r="G604" i="4" a="1"/>
  <c r="G604" i="4" s="1"/>
  <c r="G682" i="4" a="1"/>
  <c r="G682" i="4" s="1"/>
  <c r="H682" i="4"/>
  <c r="F722" i="4"/>
  <c r="H722" i="4"/>
  <c r="G722" i="4" a="1"/>
  <c r="G722" i="4" s="1"/>
  <c r="I781" i="4"/>
  <c r="G781" i="4" a="1"/>
  <c r="G781" i="4" s="1"/>
  <c r="I798" i="4"/>
  <c r="F798" i="4"/>
  <c r="G798" i="4" a="1"/>
  <c r="G798" i="4" s="1"/>
  <c r="F876" i="4"/>
  <c r="H876" i="4"/>
  <c r="G876" i="4" a="1"/>
  <c r="G876" i="4" s="1"/>
  <c r="F69" i="4"/>
  <c r="F77" i="4"/>
  <c r="F145" i="4"/>
  <c r="F153" i="4"/>
  <c r="I195" i="4"/>
  <c r="F240" i="4"/>
  <c r="H288" i="4"/>
  <c r="G289" i="4" a="1"/>
  <c r="G289" i="4" s="1"/>
  <c r="H307" i="4"/>
  <c r="I307" i="4"/>
  <c r="G307" i="4" a="1"/>
  <c r="G307" i="4" s="1"/>
  <c r="H319" i="4"/>
  <c r="I351" i="4"/>
  <c r="I371" i="4"/>
  <c r="H383" i="4"/>
  <c r="F413" i="4"/>
  <c r="I413" i="4"/>
  <c r="G413" i="4" a="1"/>
  <c r="G413" i="4" s="1"/>
  <c r="H436" i="4"/>
  <c r="I436" i="4"/>
  <c r="G436" i="4" a="1"/>
  <c r="G436" i="4" s="1"/>
  <c r="F469" i="4"/>
  <c r="G469" i="4" a="1"/>
  <c r="G469" i="4" s="1"/>
  <c r="H469" i="4"/>
  <c r="H500" i="4"/>
  <c r="I500" i="4"/>
  <c r="G500" i="4" a="1"/>
  <c r="G500" i="4" s="1"/>
  <c r="F534" i="4"/>
  <c r="H568" i="4"/>
  <c r="G568" i="4" a="1"/>
  <c r="G568" i="4" s="1"/>
  <c r="H574" i="4"/>
  <c r="F574" i="4"/>
  <c r="I574" i="4"/>
  <c r="G574" i="4" a="1"/>
  <c r="G574" i="4" s="1"/>
  <c r="G579" i="4" a="1"/>
  <c r="G579" i="4" s="1"/>
  <c r="F579" i="4"/>
  <c r="F586" i="4"/>
  <c r="I586" i="4"/>
  <c r="I649" i="4"/>
  <c r="G649" i="4" a="1"/>
  <c r="G649" i="4" s="1"/>
  <c r="H649" i="4"/>
  <c r="I652" i="4"/>
  <c r="H652" i="4"/>
  <c r="I658" i="4"/>
  <c r="G699" i="4" a="1"/>
  <c r="G699" i="4" s="1"/>
  <c r="I699" i="4"/>
  <c r="G750" i="4" a="1"/>
  <c r="G750" i="4" s="1"/>
  <c r="H750" i="4"/>
  <c r="I750" i="4"/>
  <c r="I758" i="4"/>
  <c r="G758" i="4" a="1"/>
  <c r="G758" i="4" s="1"/>
  <c r="H758" i="4"/>
  <c r="I818" i="4"/>
  <c r="H821" i="4"/>
  <c r="F821" i="4"/>
  <c r="I849" i="4"/>
  <c r="F53" i="4"/>
  <c r="F89" i="4"/>
  <c r="F161" i="4"/>
  <c r="F169" i="4"/>
  <c r="H192" i="4"/>
  <c r="F198" i="4"/>
  <c r="H205" i="4"/>
  <c r="F214" i="4"/>
  <c r="F218" i="4"/>
  <c r="G229" i="4" a="1"/>
  <c r="G229" i="4" s="1"/>
  <c r="H229" i="4"/>
  <c r="H240" i="4"/>
  <c r="F242" i="4"/>
  <c r="I304" i="4"/>
  <c r="H304" i="4"/>
  <c r="F304" i="4"/>
  <c r="I318" i="4"/>
  <c r="I364" i="4"/>
  <c r="G364" i="4" a="1"/>
  <c r="G364" i="4" s="1"/>
  <c r="H367" i="4"/>
  <c r="I374" i="4"/>
  <c r="I401" i="4"/>
  <c r="I421" i="4"/>
  <c r="I424" i="4"/>
  <c r="G424" i="4" a="1"/>
  <c r="G424" i="4" s="1"/>
  <c r="G438" i="4" a="1"/>
  <c r="G438" i="4" s="1"/>
  <c r="I438" i="4"/>
  <c r="I457" i="4"/>
  <c r="I496" i="4"/>
  <c r="H496" i="4"/>
  <c r="G510" i="4" a="1"/>
  <c r="G510" i="4" s="1"/>
  <c r="I510" i="4"/>
  <c r="I529" i="4"/>
  <c r="G529" i="4" a="1"/>
  <c r="G529" i="4" s="1"/>
  <c r="H582" i="4"/>
  <c r="I582" i="4"/>
  <c r="G627" i="4" a="1"/>
  <c r="G627" i="4" s="1"/>
  <c r="I627" i="4"/>
  <c r="H631" i="4"/>
  <c r="G631" i="4" a="1"/>
  <c r="G631" i="4" s="1"/>
  <c r="H672" i="4"/>
  <c r="I672" i="4"/>
  <c r="F672" i="4"/>
  <c r="F676" i="4"/>
  <c r="F681" i="4"/>
  <c r="I681" i="4"/>
  <c r="G711" i="4" a="1"/>
  <c r="G711" i="4" s="1"/>
  <c r="H711" i="4"/>
  <c r="I711" i="4"/>
  <c r="I719" i="4"/>
  <c r="F719" i="4"/>
  <c r="H738" i="4"/>
  <c r="I738" i="4"/>
  <c r="F285" i="4"/>
  <c r="F341" i="4"/>
  <c r="G341" i="4" a="1"/>
  <c r="G341" i="4" s="1"/>
  <c r="I354" i="4"/>
  <c r="F354" i="4"/>
  <c r="H417" i="4"/>
  <c r="I417" i="4"/>
  <c r="G455" i="4" a="1"/>
  <c r="G455" i="4" s="1"/>
  <c r="I455" i="4"/>
  <c r="I492" i="4"/>
  <c r="G492" i="4" a="1"/>
  <c r="G492" i="4" s="1"/>
  <c r="H663" i="4"/>
  <c r="I663" i="4"/>
  <c r="H679" i="4"/>
  <c r="I679" i="4"/>
  <c r="I705" i="4"/>
  <c r="H705" i="4"/>
  <c r="H718" i="4"/>
  <c r="G718" i="4" a="1"/>
  <c r="G718" i="4" s="1"/>
  <c r="I718" i="4"/>
  <c r="I734" i="4"/>
  <c r="G734" i="4" a="1"/>
  <c r="G734" i="4" s="1"/>
  <c r="H734" i="4"/>
  <c r="F748" i="4"/>
  <c r="H804" i="4"/>
  <c r="G804" i="4" a="1"/>
  <c r="G804" i="4" s="1"/>
  <c r="F842" i="4"/>
  <c r="F266" i="4"/>
  <c r="H266" i="4"/>
  <c r="G285" i="4" a="1"/>
  <c r="G285" i="4" s="1"/>
  <c r="I295" i="4"/>
  <c r="F311" i="4"/>
  <c r="G326" i="4" a="1"/>
  <c r="G326" i="4" s="1"/>
  <c r="H326" i="4"/>
  <c r="F330" i="4"/>
  <c r="G334" i="4" a="1"/>
  <c r="G334" i="4" s="1"/>
  <c r="I334" i="4"/>
  <c r="F338" i="4"/>
  <c r="I338" i="4"/>
  <c r="H341" i="4"/>
  <c r="H344" i="4"/>
  <c r="I363" i="4"/>
  <c r="I368" i="4"/>
  <c r="H368" i="4"/>
  <c r="H382" i="4"/>
  <c r="G417" i="4" a="1"/>
  <c r="G417" i="4" s="1"/>
  <c r="I432" i="4"/>
  <c r="H432" i="4"/>
  <c r="F439" i="4"/>
  <c r="G439" i="4" a="1"/>
  <c r="G439" i="4" s="1"/>
  <c r="H442" i="4"/>
  <c r="I442" i="4"/>
  <c r="G454" i="4" a="1"/>
  <c r="G454" i="4" s="1"/>
  <c r="H454" i="4"/>
  <c r="F455" i="4"/>
  <c r="G462" i="4" a="1"/>
  <c r="G462" i="4" s="1"/>
  <c r="I462" i="4"/>
  <c r="F462" i="4"/>
  <c r="H481" i="4"/>
  <c r="I481" i="4"/>
  <c r="H491" i="4"/>
  <c r="I491" i="4"/>
  <c r="H506" i="4"/>
  <c r="I506" i="4"/>
  <c r="G514" i="4" a="1"/>
  <c r="G514" i="4" s="1"/>
  <c r="I514" i="4"/>
  <c r="I573" i="4"/>
  <c r="G573" i="4" a="1"/>
  <c r="G573" i="4" s="1"/>
  <c r="H608" i="4"/>
  <c r="G608" i="4" a="1"/>
  <c r="G608" i="4" s="1"/>
  <c r="F631" i="4"/>
  <c r="G638" i="4" a="1"/>
  <c r="G638" i="4" s="1"/>
  <c r="F638" i="4"/>
  <c r="G655" i="4" a="1"/>
  <c r="G655" i="4" s="1"/>
  <c r="G660" i="4" a="1"/>
  <c r="G660" i="4" s="1"/>
  <c r="H660" i="4"/>
  <c r="I660" i="4"/>
  <c r="F718" i="4"/>
  <c r="H736" i="4"/>
  <c r="F736" i="4"/>
  <c r="I736" i="4"/>
  <c r="I739" i="4"/>
  <c r="H739" i="4"/>
  <c r="I756" i="4"/>
  <c r="H756" i="4"/>
  <c r="G770" i="4" a="1"/>
  <c r="G770" i="4" s="1"/>
  <c r="I770" i="4"/>
  <c r="F770" i="4"/>
  <c r="H770" i="4"/>
  <c r="F804" i="4"/>
  <c r="G836" i="4" a="1"/>
  <c r="G836" i="4" s="1"/>
  <c r="H836" i="4"/>
  <c r="F844" i="4"/>
  <c r="H844" i="4"/>
  <c r="G850" i="4" a="1"/>
  <c r="G850" i="4" s="1"/>
  <c r="F850" i="4"/>
  <c r="H850" i="4"/>
  <c r="H855" i="4"/>
  <c r="I855" i="4"/>
  <c r="G855" i="4" a="1"/>
  <c r="G855" i="4" s="1"/>
  <c r="G860" i="4" a="1"/>
  <c r="G860" i="4" s="1"/>
  <c r="I860" i="4"/>
  <c r="H860" i="4"/>
  <c r="H866" i="4"/>
  <c r="G866" i="4" a="1"/>
  <c r="G866" i="4" s="1"/>
  <c r="H875" i="4"/>
  <c r="F211" i="4"/>
  <c r="G266" i="4" a="1"/>
  <c r="G266" i="4" s="1"/>
  <c r="F274" i="4"/>
  <c r="I285" i="4"/>
  <c r="F287" i="4"/>
  <c r="G311" i="4" a="1"/>
  <c r="G311" i="4" s="1"/>
  <c r="I314" i="4"/>
  <c r="G330" i="4" a="1"/>
  <c r="G330" i="4" s="1"/>
  <c r="G338" i="4" a="1"/>
  <c r="G338" i="4" s="1"/>
  <c r="I382" i="4"/>
  <c r="F402" i="4"/>
  <c r="I402" i="4"/>
  <c r="I416" i="4"/>
  <c r="G416" i="4" a="1"/>
  <c r="G416" i="4" s="1"/>
  <c r="G435" i="4" a="1"/>
  <c r="G435" i="4" s="1"/>
  <c r="G450" i="4" a="1"/>
  <c r="G450" i="4" s="1"/>
  <c r="H450" i="4"/>
  <c r="H455" i="4"/>
  <c r="F473" i="4"/>
  <c r="G473" i="4" a="1"/>
  <c r="G473" i="4" s="1"/>
  <c r="F474" i="4"/>
  <c r="F481" i="4"/>
  <c r="I488" i="4"/>
  <c r="G488" i="4" a="1"/>
  <c r="G488" i="4" s="1"/>
  <c r="F503" i="4"/>
  <c r="G503" i="4" a="1"/>
  <c r="G503" i="4" s="1"/>
  <c r="H514" i="4"/>
  <c r="H528" i="4"/>
  <c r="F528" i="4"/>
  <c r="I549" i="4"/>
  <c r="G549" i="4" a="1"/>
  <c r="G549" i="4" s="1"/>
  <c r="I583" i="4"/>
  <c r="H583" i="4"/>
  <c r="G583" i="4" a="1"/>
  <c r="G583" i="4" s="1"/>
  <c r="H616" i="4"/>
  <c r="I616" i="4"/>
  <c r="G619" i="4" a="1"/>
  <c r="G619" i="4" s="1"/>
  <c r="F619" i="4"/>
  <c r="I619" i="4"/>
  <c r="F627" i="4"/>
  <c r="F634" i="4"/>
  <c r="I637" i="4"/>
  <c r="G637" i="4" a="1"/>
  <c r="G637" i="4" s="1"/>
  <c r="F650" i="4"/>
  <c r="I650" i="4"/>
  <c r="I653" i="4"/>
  <c r="H653" i="4"/>
  <c r="H655" i="4"/>
  <c r="H694" i="4"/>
  <c r="I694" i="4"/>
  <c r="F712" i="4"/>
  <c r="I717" i="4"/>
  <c r="H717" i="4"/>
  <c r="G717" i="4" a="1"/>
  <c r="G717" i="4" s="1"/>
  <c r="G736" i="4" a="1"/>
  <c r="G736" i="4" s="1"/>
  <c r="I751" i="4"/>
  <c r="H751" i="4"/>
  <c r="G756" i="4" a="1"/>
  <c r="G756" i="4" s="1"/>
  <c r="G772" i="4" a="1"/>
  <c r="G772" i="4" s="1"/>
  <c r="I772" i="4"/>
  <c r="G792" i="4" a="1"/>
  <c r="G792" i="4" s="1"/>
  <c r="I792" i="4"/>
  <c r="I803" i="4"/>
  <c r="H803" i="4"/>
  <c r="I804" i="4"/>
  <c r="F823" i="4"/>
  <c r="G827" i="4" a="1"/>
  <c r="G827" i="4" s="1"/>
  <c r="I827" i="4"/>
  <c r="I830" i="4"/>
  <c r="G830" i="4" a="1"/>
  <c r="G830" i="4" s="1"/>
  <c r="H830" i="4"/>
  <c r="I836" i="4"/>
  <c r="G844" i="4" a="1"/>
  <c r="G844" i="4" s="1"/>
  <c r="I850" i="4"/>
  <c r="H872" i="4"/>
  <c r="G872" i="4" a="1"/>
  <c r="G872" i="4" s="1"/>
  <c r="I909" i="4"/>
  <c r="F909" i="4"/>
  <c r="F26" i="5"/>
  <c r="F17" i="5"/>
  <c r="G322" i="4" a="1"/>
  <c r="G322" i="4" s="1"/>
  <c r="I322" i="4"/>
  <c r="F394" i="4"/>
  <c r="H394" i="4"/>
  <c r="H427" i="4"/>
  <c r="I427" i="4"/>
  <c r="F466" i="4"/>
  <c r="I466" i="4"/>
  <c r="I480" i="4"/>
  <c r="H480" i="4"/>
  <c r="G511" i="4" a="1"/>
  <c r="G511" i="4" s="1"/>
  <c r="I511" i="4"/>
  <c r="H511" i="4"/>
  <c r="H544" i="4"/>
  <c r="I544" i="4"/>
  <c r="F616" i="4"/>
  <c r="G740" i="4" a="1"/>
  <c r="G740" i="4" s="1"/>
  <c r="H740" i="4"/>
  <c r="G755" i="4" a="1"/>
  <c r="G755" i="4" s="1"/>
  <c r="I755" i="4"/>
  <c r="H808" i="4"/>
  <c r="I808" i="4"/>
  <c r="H854" i="4"/>
  <c r="I854" i="4"/>
  <c r="H857" i="4"/>
  <c r="I857" i="4"/>
  <c r="G882" i="4" a="1"/>
  <c r="G882" i="4" s="1"/>
  <c r="H882" i="4"/>
  <c r="H894" i="4"/>
  <c r="I894" i="4"/>
  <c r="G900" i="4" a="1"/>
  <c r="G900" i="4" s="1"/>
  <c r="H900" i="4"/>
  <c r="H906" i="4"/>
  <c r="I906" i="4"/>
  <c r="I913" i="4"/>
  <c r="G913" i="4" a="1"/>
  <c r="G913" i="4" s="1"/>
  <c r="G918" i="4" a="1"/>
  <c r="G918" i="4" s="1"/>
  <c r="I918" i="4"/>
  <c r="F25" i="5"/>
  <c r="F11" i="5"/>
  <c r="F628" i="4"/>
  <c r="F642" i="4"/>
  <c r="F652" i="4"/>
  <c r="G671" i="4" a="1"/>
  <c r="G671" i="4" s="1"/>
  <c r="I671" i="4"/>
  <c r="H716" i="4"/>
  <c r="I716" i="4"/>
  <c r="H764" i="4"/>
  <c r="I764" i="4"/>
  <c r="F839" i="4"/>
  <c r="G839" i="4" a="1"/>
  <c r="G839" i="4" s="1"/>
  <c r="G883" i="4" a="1"/>
  <c r="G883" i="4" s="1"/>
  <c r="H883" i="4"/>
  <c r="F24" i="5"/>
  <c r="F31" i="5"/>
  <c r="F53" i="5"/>
  <c r="F121" i="5"/>
  <c r="F149" i="5"/>
  <c r="F351" i="4"/>
  <c r="F582" i="4"/>
  <c r="G695" i="4" a="1"/>
  <c r="G695" i="4" s="1"/>
  <c r="I695" i="4"/>
  <c r="F306" i="4"/>
  <c r="F370" i="4"/>
  <c r="F434" i="4"/>
  <c r="F498" i="4"/>
  <c r="F663" i="4"/>
  <c r="F679" i="4"/>
  <c r="F737" i="4"/>
  <c r="F23" i="5"/>
  <c r="F903" i="4"/>
  <c r="G903" i="4" a="1"/>
  <c r="G903" i="4" s="1"/>
  <c r="F20" i="5"/>
  <c r="F47" i="5"/>
  <c r="F49" i="5"/>
  <c r="E19" i="10"/>
  <c r="E9" i="11" s="1"/>
  <c r="E34" i="10"/>
  <c r="C15" i="11" s="1"/>
  <c r="E41" i="10"/>
  <c r="E17" i="11" s="1"/>
  <c r="F145" i="5"/>
  <c r="F708" i="4"/>
  <c r="F789" i="4"/>
  <c r="I793" i="4"/>
  <c r="H793" i="4"/>
  <c r="F879" i="4"/>
  <c r="F895" i="4"/>
  <c r="H895" i="4"/>
  <c r="F58" i="5"/>
  <c r="E8" i="10"/>
  <c r="E5" i="11" s="1"/>
  <c r="E22" i="10"/>
  <c r="E10" i="11" s="1"/>
  <c r="E65" i="10"/>
  <c r="C26" i="11" s="1"/>
  <c r="E99" i="10"/>
  <c r="D38" i="11" s="1"/>
  <c r="E112" i="10"/>
  <c r="C43" i="11" s="1"/>
  <c r="F902" i="4"/>
  <c r="F56" i="5"/>
  <c r="F112" i="5"/>
  <c r="F133" i="5"/>
  <c r="E33" i="10"/>
  <c r="E14" i="11" s="1"/>
  <c r="E58" i="10"/>
  <c r="E23" i="11" s="1"/>
  <c r="E63" i="10"/>
  <c r="D25" i="11" s="1"/>
  <c r="E83" i="10"/>
  <c r="E32" i="11" s="1"/>
  <c r="E126" i="10"/>
  <c r="E47" i="11" s="1"/>
  <c r="E133" i="10"/>
  <c r="C50" i="11" s="1"/>
  <c r="E49" i="10"/>
  <c r="D20" i="11" s="1"/>
  <c r="E72" i="10"/>
  <c r="E28" i="11" s="1"/>
  <c r="E79" i="10"/>
  <c r="C31" i="11" s="1"/>
  <c r="E86" i="10"/>
  <c r="E33" i="11" s="1"/>
  <c r="E93" i="10"/>
  <c r="C36" i="11" s="1"/>
  <c r="E100" i="10"/>
  <c r="E38" i="11" s="1"/>
  <c r="F123" i="5"/>
  <c r="E84" i="10"/>
  <c r="C33" i="11" s="1"/>
  <c r="F68" i="5"/>
  <c r="F83" i="5"/>
  <c r="F119" i="5"/>
  <c r="F144" i="5"/>
  <c r="F203" i="5"/>
  <c r="E21" i="10"/>
  <c r="D10" i="11" s="1"/>
  <c r="E26" i="10"/>
  <c r="D12" i="11" s="1"/>
  <c r="E59" i="10"/>
  <c r="C24" i="11" s="1"/>
  <c r="E105" i="10"/>
  <c r="D40" i="11" s="1"/>
  <c r="E145" i="10"/>
  <c r="D54" i="11" s="1"/>
  <c r="E32" i="10"/>
  <c r="D14" i="11" s="1"/>
  <c r="E69" i="10"/>
  <c r="E27" i="11" s="1"/>
  <c r="E80" i="10"/>
  <c r="D31" i="11" s="1"/>
  <c r="E101" i="10"/>
  <c r="C39" i="11" s="1"/>
  <c r="E134" i="10"/>
  <c r="D50" i="11" s="1"/>
  <c r="E184" i="10"/>
  <c r="C66" i="11" s="1"/>
  <c r="E192" i="10"/>
  <c r="D73" i="11" s="1"/>
  <c r="E123" i="10"/>
  <c r="E46" i="11" s="1"/>
  <c r="E137" i="10"/>
  <c r="D51" i="11" s="1"/>
  <c r="E190" i="10"/>
  <c r="E72" i="11" s="1"/>
  <c r="E75" i="10"/>
  <c r="E29" i="11" s="1"/>
  <c r="E139" i="10"/>
  <c r="D52" i="11" s="1"/>
  <c r="E149" i="10"/>
  <c r="E55" i="11" s="1"/>
  <c r="E160" i="10"/>
  <c r="D59" i="11" s="1"/>
  <c r="E162" i="10"/>
  <c r="D60" i="11" s="1"/>
  <c r="E168" i="10"/>
  <c r="C70" i="11" s="1"/>
  <c r="C202" i="10" a="1"/>
  <c r="C202" i="10" s="1"/>
  <c r="E207" i="10"/>
  <c r="C75" i="11" s="1"/>
  <c r="E88" i="10"/>
  <c r="D34" i="11" s="1"/>
  <c r="E97" i="10"/>
  <c r="E37" i="11" s="1"/>
  <c r="E143" i="10"/>
  <c r="E53" i="11" s="1"/>
  <c r="E154" i="10"/>
  <c r="D57" i="11" s="1"/>
  <c r="E182" i="10"/>
  <c r="E150" i="11"/>
  <c r="C77" i="11"/>
  <c r="E164" i="10"/>
  <c r="E69" i="11" s="1"/>
  <c r="E170" i="10"/>
  <c r="C71" i="11" s="1"/>
  <c r="E191" i="10"/>
  <c r="C73" i="11" s="1"/>
  <c r="D80" i="11"/>
  <c r="C213" i="11"/>
  <c r="F847" i="4"/>
  <c r="F131" i="5"/>
  <c r="F188" i="5"/>
  <c r="E12" i="10"/>
  <c r="D7" i="11" s="1"/>
  <c r="E31" i="10"/>
  <c r="C14" i="11" s="1"/>
  <c r="E44" i="10"/>
  <c r="E18" i="11" s="1"/>
  <c r="E57" i="10"/>
  <c r="D23" i="11" s="1"/>
  <c r="E78" i="10"/>
  <c r="E30" i="11" s="1"/>
  <c r="E82" i="10"/>
  <c r="D32" i="11" s="1"/>
  <c r="E120" i="10"/>
  <c r="E45" i="11" s="1"/>
  <c r="D61" i="11"/>
  <c r="E204" i="10"/>
  <c r="E132" i="10"/>
  <c r="E49" i="11" s="1"/>
  <c r="E140" i="10"/>
  <c r="E52" i="11" s="1"/>
  <c r="E142" i="10"/>
  <c r="D53" i="11" s="1"/>
  <c r="E148" i="10"/>
  <c r="D55" i="11" s="1"/>
  <c r="E159" i="10"/>
  <c r="C59" i="11" s="1"/>
  <c r="E163" i="10"/>
  <c r="E60" i="11" s="1"/>
  <c r="E165" i="10"/>
  <c r="D69" i="11" s="1"/>
  <c r="E171" i="10"/>
  <c r="C61" i="11" s="1"/>
  <c r="E206" i="10"/>
  <c r="D75" i="11" s="1"/>
  <c r="C104" i="11"/>
  <c r="E53" i="10"/>
  <c r="C22" i="11" s="1"/>
  <c r="E87" i="10"/>
  <c r="C34" i="11" s="1"/>
  <c r="E118" i="10"/>
  <c r="C45" i="11" s="1"/>
  <c r="E129" i="10"/>
  <c r="E48" i="11" s="1"/>
  <c r="E150" i="10"/>
  <c r="C56" i="11" s="1"/>
  <c r="E186" i="10"/>
  <c r="E66" i="11" s="1"/>
  <c r="E16" i="11"/>
  <c r="T22" i="3"/>
  <c r="D19" i="8"/>
  <c r="D16" i="8"/>
  <c r="D5" i="8" a="1"/>
  <c r="D5" i="8" s="1"/>
  <c r="D34" i="8"/>
  <c r="D43" i="8"/>
  <c r="D44" i="8" s="1"/>
  <c r="D31" i="8"/>
  <c r="D40" i="8"/>
  <c r="D28" i="8"/>
  <c r="U136" i="3"/>
  <c r="R136" i="3"/>
  <c r="Y136" i="3"/>
  <c r="R231" i="3"/>
  <c r="U235" i="3"/>
  <c r="R235" i="3"/>
  <c r="Y235" i="3"/>
  <c r="Y351" i="3"/>
  <c r="U351" i="3"/>
  <c r="R356" i="3"/>
  <c r="U392" i="3"/>
  <c r="R392" i="3"/>
  <c r="Y392" i="3"/>
  <c r="P12" i="4" a="1"/>
  <c r="P12" i="4" s="1"/>
  <c r="F11" i="4"/>
  <c r="Y127" i="3"/>
  <c r="U127" i="3"/>
  <c r="U168" i="3"/>
  <c r="R168" i="3"/>
  <c r="Y168" i="3"/>
  <c r="U188" i="3"/>
  <c r="Y188" i="3"/>
  <c r="U267" i="3"/>
  <c r="R267" i="3"/>
  <c r="Y267" i="3"/>
  <c r="Y383" i="3"/>
  <c r="U383" i="3"/>
  <c r="F7" i="4"/>
  <c r="U43" i="3"/>
  <c r="R43" i="3"/>
  <c r="Y43" i="3"/>
  <c r="Y159" i="3"/>
  <c r="U159" i="3"/>
  <c r="U200" i="3"/>
  <c r="R200" i="3"/>
  <c r="Y200" i="3"/>
  <c r="U220" i="3"/>
  <c r="Y220" i="3"/>
  <c r="U299" i="3"/>
  <c r="R299" i="3"/>
  <c r="Y299" i="3"/>
  <c r="R320" i="3"/>
  <c r="F16" i="4"/>
  <c r="U75" i="3"/>
  <c r="R75" i="3"/>
  <c r="Y75" i="3"/>
  <c r="Y191" i="3"/>
  <c r="U191" i="3"/>
  <c r="U232" i="3"/>
  <c r="R232" i="3"/>
  <c r="Y232" i="3"/>
  <c r="U252" i="3"/>
  <c r="Y252" i="3"/>
  <c r="U331" i="3"/>
  <c r="R331" i="3"/>
  <c r="Y331" i="3"/>
  <c r="R352" i="3"/>
  <c r="O7" i="4" a="1"/>
  <c r="O7" i="4" s="1"/>
  <c r="O6" i="4" a="1"/>
  <c r="O6" i="4" s="1"/>
  <c r="O5" i="4" a="1"/>
  <c r="O5" i="4" s="1"/>
  <c r="O13" i="4" a="1"/>
  <c r="O13" i="4" s="1"/>
  <c r="F13" i="4"/>
  <c r="F6" i="4"/>
  <c r="P5" i="4" a="1"/>
  <c r="P5" i="4" s="1"/>
  <c r="P7" i="4" a="1"/>
  <c r="P7" i="4" s="1"/>
  <c r="R359" i="3"/>
  <c r="U363" i="3"/>
  <c r="R363" i="3"/>
  <c r="Y363" i="3"/>
  <c r="U40" i="3"/>
  <c r="R40" i="3"/>
  <c r="Y40" i="3"/>
  <c r="R160" i="3"/>
  <c r="U296" i="3"/>
  <c r="R296" i="3"/>
  <c r="Y296" i="3"/>
  <c r="U395" i="3"/>
  <c r="R395" i="3"/>
  <c r="Y395" i="3"/>
  <c r="F15" i="4"/>
  <c r="O11" i="4" a="1"/>
  <c r="O11" i="4" s="1"/>
  <c r="R103" i="3"/>
  <c r="U107" i="3"/>
  <c r="R107" i="3"/>
  <c r="Y107" i="3"/>
  <c r="Y223" i="3"/>
  <c r="U223" i="3"/>
  <c r="U264" i="3"/>
  <c r="R264" i="3"/>
  <c r="Y264" i="3"/>
  <c r="R60" i="3"/>
  <c r="U139" i="3"/>
  <c r="R139" i="3"/>
  <c r="Y139" i="3"/>
  <c r="Y255" i="3"/>
  <c r="U255" i="3"/>
  <c r="R260" i="3"/>
  <c r="U316" i="3"/>
  <c r="Y316" i="3"/>
  <c r="R355" i="3"/>
  <c r="U72" i="3"/>
  <c r="R72" i="3"/>
  <c r="Y72" i="3"/>
  <c r="R131" i="3"/>
  <c r="U171" i="3"/>
  <c r="R171" i="3"/>
  <c r="Y171" i="3"/>
  <c r="Y287" i="3"/>
  <c r="U287" i="3"/>
  <c r="R292" i="3"/>
  <c r="U328" i="3"/>
  <c r="R328" i="3"/>
  <c r="Y328" i="3"/>
  <c r="U348" i="3"/>
  <c r="Y348" i="3"/>
  <c r="Y63" i="3"/>
  <c r="U63" i="3"/>
  <c r="R68" i="3"/>
  <c r="U104" i="3"/>
  <c r="R104" i="3"/>
  <c r="Y104" i="3"/>
  <c r="R199" i="3"/>
  <c r="U203" i="3"/>
  <c r="R203" i="3"/>
  <c r="Y203" i="3"/>
  <c r="R224" i="3"/>
  <c r="Y319" i="3"/>
  <c r="U319" i="3"/>
  <c r="U360" i="3"/>
  <c r="R360" i="3"/>
  <c r="Y360" i="3"/>
  <c r="U380" i="3"/>
  <c r="Y380" i="3"/>
  <c r="F23" i="4"/>
  <c r="G107" i="2"/>
  <c r="F109" i="2"/>
  <c r="P65" i="3"/>
  <c r="Y154" i="3"/>
  <c r="P161" i="3"/>
  <c r="R193" i="3"/>
  <c r="P193" i="3"/>
  <c r="R225" i="3"/>
  <c r="P225" i="3"/>
  <c r="P289" i="3"/>
  <c r="R321" i="3"/>
  <c r="P321" i="3"/>
  <c r="R353" i="3"/>
  <c r="P353" i="3"/>
  <c r="R385" i="3"/>
  <c r="P385" i="3"/>
  <c r="F85" i="2"/>
  <c r="F99" i="2"/>
  <c r="W52" i="3"/>
  <c r="U55" i="3"/>
  <c r="R58" i="3"/>
  <c r="P60" i="3"/>
  <c r="W78" i="3"/>
  <c r="W84" i="3"/>
  <c r="U86" i="3"/>
  <c r="P92" i="3"/>
  <c r="R92" i="3" s="1"/>
  <c r="P95" i="3"/>
  <c r="U119" i="3"/>
  <c r="R120" i="3"/>
  <c r="R122" i="3"/>
  <c r="R123" i="3"/>
  <c r="Y34" i="3"/>
  <c r="P35" i="3"/>
  <c r="R41" i="3"/>
  <c r="P41" i="3"/>
  <c r="Y47" i="3"/>
  <c r="Y48" i="3"/>
  <c r="W50" i="3"/>
  <c r="W56" i="3"/>
  <c r="U58" i="3"/>
  <c r="U59" i="3"/>
  <c r="R62" i="3"/>
  <c r="R63" i="3"/>
  <c r="P64" i="3"/>
  <c r="Y66" i="3"/>
  <c r="P67" i="3"/>
  <c r="R73" i="3"/>
  <c r="P73" i="3"/>
  <c r="Y79" i="3"/>
  <c r="Y80" i="3"/>
  <c r="W82" i="3"/>
  <c r="U90" i="3"/>
  <c r="U91" i="3"/>
  <c r="R94" i="3"/>
  <c r="P96" i="3"/>
  <c r="Y98" i="3"/>
  <c r="P99" i="3"/>
  <c r="R105" i="3"/>
  <c r="P105" i="3"/>
  <c r="Y111" i="3"/>
  <c r="Y112" i="3"/>
  <c r="W114" i="3"/>
  <c r="W120" i="3"/>
  <c r="U122" i="3"/>
  <c r="U123" i="3"/>
  <c r="R124" i="3"/>
  <c r="R126" i="3"/>
  <c r="R127" i="3"/>
  <c r="P128" i="3"/>
  <c r="R128" i="3" s="1"/>
  <c r="Y130" i="3"/>
  <c r="P131" i="3"/>
  <c r="P137" i="3"/>
  <c r="Y143" i="3"/>
  <c r="Y144" i="3"/>
  <c r="W146" i="3"/>
  <c r="W152" i="3"/>
  <c r="U154" i="3"/>
  <c r="U155" i="3"/>
  <c r="R158" i="3"/>
  <c r="R159" i="3"/>
  <c r="P160" i="3"/>
  <c r="Y162" i="3"/>
  <c r="P163" i="3"/>
  <c r="R169" i="3"/>
  <c r="P169" i="3"/>
  <c r="Y175" i="3"/>
  <c r="Y176" i="3"/>
  <c r="W178" i="3"/>
  <c r="W184" i="3"/>
  <c r="U186" i="3"/>
  <c r="U187" i="3"/>
  <c r="R188" i="3"/>
  <c r="R190" i="3"/>
  <c r="R191" i="3"/>
  <c r="P192" i="3"/>
  <c r="Y194" i="3"/>
  <c r="P195" i="3"/>
  <c r="R195" i="3" s="1"/>
  <c r="R201" i="3"/>
  <c r="P201" i="3"/>
  <c r="Y207" i="3"/>
  <c r="Y208" i="3"/>
  <c r="W210" i="3"/>
  <c r="W216" i="3"/>
  <c r="U218" i="3"/>
  <c r="U219" i="3"/>
  <c r="R220" i="3"/>
  <c r="R222" i="3"/>
  <c r="R223" i="3"/>
  <c r="P224" i="3"/>
  <c r="Y226" i="3"/>
  <c r="P227" i="3"/>
  <c r="R233" i="3"/>
  <c r="P233" i="3"/>
  <c r="Y239" i="3"/>
  <c r="Y240" i="3"/>
  <c r="W242" i="3"/>
  <c r="U250" i="3"/>
  <c r="U251" i="3"/>
  <c r="R252" i="3"/>
  <c r="R254" i="3"/>
  <c r="R255" i="3"/>
  <c r="P256" i="3"/>
  <c r="R256" i="3" s="1"/>
  <c r="Y258" i="3"/>
  <c r="P259" i="3"/>
  <c r="R265" i="3"/>
  <c r="P265" i="3"/>
  <c r="Y271" i="3"/>
  <c r="Y272" i="3"/>
  <c r="W274" i="3"/>
  <c r="U282" i="3"/>
  <c r="U283" i="3"/>
  <c r="R286" i="3"/>
  <c r="R287" i="3"/>
  <c r="P288" i="3"/>
  <c r="Y290" i="3"/>
  <c r="P291" i="3"/>
  <c r="R291" i="3" s="1"/>
  <c r="R297" i="3"/>
  <c r="P297" i="3"/>
  <c r="Y303" i="3"/>
  <c r="Y304" i="3"/>
  <c r="W306" i="3"/>
  <c r="W312" i="3"/>
  <c r="U314" i="3"/>
  <c r="U315" i="3"/>
  <c r="R316" i="3"/>
  <c r="R318" i="3"/>
  <c r="R319" i="3"/>
  <c r="P320" i="3"/>
  <c r="Y322" i="3"/>
  <c r="P323" i="3"/>
  <c r="R329" i="3"/>
  <c r="P329" i="3"/>
  <c r="Y335" i="3"/>
  <c r="Y336" i="3"/>
  <c r="W338" i="3"/>
  <c r="W344" i="3"/>
  <c r="U346" i="3"/>
  <c r="U347" i="3"/>
  <c r="R348" i="3"/>
  <c r="R350" i="3"/>
  <c r="R351" i="3"/>
  <c r="P352" i="3"/>
  <c r="Y354" i="3"/>
  <c r="P355" i="3"/>
  <c r="P361" i="3"/>
  <c r="Y367" i="3"/>
  <c r="Y368" i="3"/>
  <c r="W370" i="3"/>
  <c r="W376" i="3"/>
  <c r="U378" i="3"/>
  <c r="U379" i="3"/>
  <c r="R380" i="3"/>
  <c r="R382" i="3"/>
  <c r="R383" i="3"/>
  <c r="P384" i="3"/>
  <c r="Y386" i="3"/>
  <c r="P387" i="3"/>
  <c r="R387" i="3" s="1"/>
  <c r="R393" i="3"/>
  <c r="P393" i="3"/>
  <c r="O12" i="4" a="1"/>
  <c r="O12" i="4" s="1"/>
  <c r="F36" i="4"/>
  <c r="F39" i="4"/>
  <c r="F56" i="4"/>
  <c r="F62" i="4"/>
  <c r="F79" i="4"/>
  <c r="F84" i="4"/>
  <c r="F147" i="4"/>
  <c r="F155" i="4"/>
  <c r="H210" i="4"/>
  <c r="G210" i="4" a="1"/>
  <c r="G210" i="4" s="1"/>
  <c r="F210" i="4"/>
  <c r="I210" i="4"/>
  <c r="I245" i="4"/>
  <c r="H245" i="4"/>
  <c r="G245" i="4" a="1"/>
  <c r="G245" i="4" s="1"/>
  <c r="F245" i="4"/>
  <c r="I257" i="4"/>
  <c r="H257" i="4"/>
  <c r="G257" i="4" a="1"/>
  <c r="G257" i="4" s="1"/>
  <c r="F257" i="4"/>
  <c r="H261" i="4"/>
  <c r="G261" i="4" a="1"/>
  <c r="G261" i="4" s="1"/>
  <c r="F261" i="4"/>
  <c r="I261" i="4"/>
  <c r="I309" i="4"/>
  <c r="H309" i="4"/>
  <c r="G309" i="4" a="1"/>
  <c r="G309" i="4" s="1"/>
  <c r="F309" i="4"/>
  <c r="I321" i="4"/>
  <c r="H321" i="4"/>
  <c r="G321" i="4" a="1"/>
  <c r="G321" i="4" s="1"/>
  <c r="F321" i="4"/>
  <c r="H325" i="4"/>
  <c r="G325" i="4" a="1"/>
  <c r="G325" i="4" s="1"/>
  <c r="F325" i="4"/>
  <c r="I325" i="4"/>
  <c r="I373" i="4"/>
  <c r="H373" i="4"/>
  <c r="G373" i="4" a="1"/>
  <c r="G373" i="4" s="1"/>
  <c r="F373" i="4"/>
  <c r="I385" i="4"/>
  <c r="H385" i="4"/>
  <c r="G385" i="4" a="1"/>
  <c r="G385" i="4" s="1"/>
  <c r="F385" i="4"/>
  <c r="H389" i="4"/>
  <c r="G389" i="4" a="1"/>
  <c r="G389" i="4" s="1"/>
  <c r="F389" i="4"/>
  <c r="I389" i="4"/>
  <c r="I437" i="4"/>
  <c r="H437" i="4"/>
  <c r="G437" i="4" a="1"/>
  <c r="G437" i="4" s="1"/>
  <c r="F437" i="4"/>
  <c r="I449" i="4"/>
  <c r="H449" i="4"/>
  <c r="G449" i="4" a="1"/>
  <c r="G449" i="4" s="1"/>
  <c r="F449" i="4"/>
  <c r="H453" i="4"/>
  <c r="G453" i="4" a="1"/>
  <c r="G453" i="4" s="1"/>
  <c r="F453" i="4"/>
  <c r="I453" i="4"/>
  <c r="I501" i="4"/>
  <c r="H501" i="4"/>
  <c r="G501" i="4" a="1"/>
  <c r="G501" i="4" s="1"/>
  <c r="F501" i="4"/>
  <c r="F513" i="4"/>
  <c r="G513" i="4" a="1"/>
  <c r="G513" i="4" s="1"/>
  <c r="I513" i="4"/>
  <c r="H513" i="4"/>
  <c r="I541" i="4"/>
  <c r="H541" i="4"/>
  <c r="G541" i="4" a="1"/>
  <c r="G541" i="4" s="1"/>
  <c r="F541" i="4"/>
  <c r="I562" i="4"/>
  <c r="H562" i="4"/>
  <c r="G562" i="4" a="1"/>
  <c r="G562" i="4" s="1"/>
  <c r="F562" i="4"/>
  <c r="G571" i="4" a="1"/>
  <c r="G571" i="4" s="1"/>
  <c r="I571" i="4"/>
  <c r="H571" i="4"/>
  <c r="F571" i="4"/>
  <c r="I626" i="4"/>
  <c r="H626" i="4"/>
  <c r="G626" i="4" a="1"/>
  <c r="G626" i="4" s="1"/>
  <c r="F626" i="4"/>
  <c r="I645" i="4"/>
  <c r="F645" i="4"/>
  <c r="H645" i="4"/>
  <c r="G645" i="4" a="1"/>
  <c r="G645" i="4" s="1"/>
  <c r="G667" i="4" a="1"/>
  <c r="G667" i="4" s="1"/>
  <c r="I667" i="4"/>
  <c r="H667" i="4"/>
  <c r="F667" i="4"/>
  <c r="G723" i="4" a="1"/>
  <c r="G723" i="4" s="1"/>
  <c r="H723" i="4"/>
  <c r="I723" i="4"/>
  <c r="F723" i="4"/>
  <c r="G810" i="4" a="1"/>
  <c r="G810" i="4" s="1"/>
  <c r="I810" i="4"/>
  <c r="H810" i="4"/>
  <c r="F810" i="4"/>
  <c r="H816" i="4"/>
  <c r="I816" i="4"/>
  <c r="G816" i="4" a="1"/>
  <c r="G816" i="4" s="1"/>
  <c r="F816" i="4"/>
  <c r="I869" i="4"/>
  <c r="H869" i="4"/>
  <c r="G869" i="4" a="1"/>
  <c r="G869" i="4" s="1"/>
  <c r="F869" i="4"/>
  <c r="G891" i="4" a="1"/>
  <c r="G891" i="4" s="1"/>
  <c r="I891" i="4"/>
  <c r="H891" i="4"/>
  <c r="F891" i="4"/>
  <c r="F96" i="5"/>
  <c r="F106" i="5"/>
  <c r="G88" i="2"/>
  <c r="F95" i="2"/>
  <c r="G90" i="2"/>
  <c r="G95" i="2"/>
  <c r="G97" i="2"/>
  <c r="G109" i="2"/>
  <c r="U54" i="3"/>
  <c r="R56" i="3"/>
  <c r="R59" i="3"/>
  <c r="R69" i="3"/>
  <c r="P69" i="3"/>
  <c r="U87" i="3"/>
  <c r="R88" i="3"/>
  <c r="R90" i="3"/>
  <c r="R91" i="3"/>
  <c r="R101" i="3"/>
  <c r="P101" i="3"/>
  <c r="W110" i="3"/>
  <c r="W116" i="3"/>
  <c r="U118" i="3"/>
  <c r="P124" i="3"/>
  <c r="R133" i="3"/>
  <c r="P133" i="3"/>
  <c r="W142" i="3"/>
  <c r="W148" i="3"/>
  <c r="U150" i="3"/>
  <c r="U151" i="3"/>
  <c r="R152" i="3"/>
  <c r="R154" i="3"/>
  <c r="R155" i="3"/>
  <c r="P156" i="3"/>
  <c r="P165" i="3"/>
  <c r="W174" i="3"/>
  <c r="W180" i="3"/>
  <c r="U182" i="3"/>
  <c r="U183" i="3"/>
  <c r="R184" i="3"/>
  <c r="R186" i="3"/>
  <c r="R187" i="3"/>
  <c r="R197" i="3"/>
  <c r="P197" i="3"/>
  <c r="W206" i="3"/>
  <c r="W212" i="3"/>
  <c r="U214" i="3"/>
  <c r="U215" i="3"/>
  <c r="R216" i="3"/>
  <c r="R218" i="3"/>
  <c r="R219" i="3"/>
  <c r="R229" i="3"/>
  <c r="P229" i="3"/>
  <c r="W238" i="3"/>
  <c r="W244" i="3"/>
  <c r="U246" i="3"/>
  <c r="U247" i="3"/>
  <c r="R248" i="3"/>
  <c r="R250" i="3"/>
  <c r="R251" i="3"/>
  <c r="R261" i="3"/>
  <c r="P261" i="3"/>
  <c r="W270" i="3"/>
  <c r="W276" i="3"/>
  <c r="U278" i="3"/>
  <c r="U279" i="3"/>
  <c r="R280" i="3"/>
  <c r="R282" i="3"/>
  <c r="R283" i="3"/>
  <c r="P284" i="3"/>
  <c r="R284" i="3" s="1"/>
  <c r="R293" i="3"/>
  <c r="P293" i="3"/>
  <c r="W302" i="3"/>
  <c r="W308" i="3"/>
  <c r="U310" i="3"/>
  <c r="U311" i="3"/>
  <c r="R312" i="3"/>
  <c r="R314" i="3"/>
  <c r="R315" i="3"/>
  <c r="P325" i="3"/>
  <c r="W334" i="3"/>
  <c r="W340" i="3"/>
  <c r="U342" i="3"/>
  <c r="U343" i="3"/>
  <c r="R344" i="3"/>
  <c r="R346" i="3"/>
  <c r="R347" i="3"/>
  <c r="R357" i="3"/>
  <c r="P357" i="3"/>
  <c r="W366" i="3"/>
  <c r="W372" i="3"/>
  <c r="U374" i="3"/>
  <c r="U375" i="3"/>
  <c r="R376" i="3"/>
  <c r="R378" i="3"/>
  <c r="R379" i="3"/>
  <c r="R389" i="3"/>
  <c r="P389" i="3"/>
  <c r="W398" i="3"/>
  <c r="T19" i="3"/>
  <c r="P36" i="3"/>
  <c r="Y38" i="3"/>
  <c r="P39" i="3"/>
  <c r="R39" i="3" s="1"/>
  <c r="R45" i="3"/>
  <c r="P45" i="3"/>
  <c r="AA47" i="3"/>
  <c r="Y52" i="3"/>
  <c r="U62" i="3"/>
  <c r="R66" i="3"/>
  <c r="P68" i="3"/>
  <c r="Y70" i="3"/>
  <c r="P71" i="3"/>
  <c r="R71" i="3" s="1"/>
  <c r="P77" i="3"/>
  <c r="AA79" i="3"/>
  <c r="Y84" i="3"/>
  <c r="U94" i="3"/>
  <c r="R98" i="3"/>
  <c r="P100" i="3"/>
  <c r="Y102" i="3"/>
  <c r="P103" i="3"/>
  <c r="P109" i="3"/>
  <c r="AA111" i="3"/>
  <c r="Y116" i="3"/>
  <c r="U126" i="3"/>
  <c r="R130" i="3"/>
  <c r="P132" i="3"/>
  <c r="Y134" i="3"/>
  <c r="P135" i="3"/>
  <c r="R141" i="3"/>
  <c r="P141" i="3"/>
  <c r="AA143" i="3"/>
  <c r="Y148" i="3"/>
  <c r="U158" i="3"/>
  <c r="R162" i="3"/>
  <c r="P164" i="3"/>
  <c r="Y166" i="3"/>
  <c r="P167" i="3"/>
  <c r="P173" i="3"/>
  <c r="AA175" i="3"/>
  <c r="Y180" i="3"/>
  <c r="U190" i="3"/>
  <c r="R194" i="3"/>
  <c r="P196" i="3"/>
  <c r="Y198" i="3"/>
  <c r="P199" i="3"/>
  <c r="R205" i="3"/>
  <c r="P205" i="3"/>
  <c r="AA207" i="3"/>
  <c r="Y212" i="3"/>
  <c r="U222" i="3"/>
  <c r="R226" i="3"/>
  <c r="P228" i="3"/>
  <c r="Y230" i="3"/>
  <c r="P231" i="3"/>
  <c r="R237" i="3"/>
  <c r="P237" i="3"/>
  <c r="AA239" i="3"/>
  <c r="Y244" i="3"/>
  <c r="U254" i="3"/>
  <c r="R258" i="3"/>
  <c r="P260" i="3"/>
  <c r="Y262" i="3"/>
  <c r="P263" i="3"/>
  <c r="R269" i="3"/>
  <c r="P269" i="3"/>
  <c r="AA271" i="3"/>
  <c r="Y276" i="3"/>
  <c r="U286" i="3"/>
  <c r="R290" i="3"/>
  <c r="P292" i="3"/>
  <c r="Y294" i="3"/>
  <c r="P295" i="3"/>
  <c r="R301" i="3"/>
  <c r="P301" i="3"/>
  <c r="AA303" i="3"/>
  <c r="Y308" i="3"/>
  <c r="U318" i="3"/>
  <c r="R322" i="3"/>
  <c r="P324" i="3"/>
  <c r="Y326" i="3"/>
  <c r="P327" i="3"/>
  <c r="P333" i="3"/>
  <c r="AA335" i="3"/>
  <c r="Y340" i="3"/>
  <c r="U350" i="3"/>
  <c r="R354" i="3"/>
  <c r="P356" i="3"/>
  <c r="Y358" i="3"/>
  <c r="P359" i="3"/>
  <c r="P365" i="3"/>
  <c r="AA367" i="3"/>
  <c r="Y372" i="3"/>
  <c r="U382" i="3"/>
  <c r="R384" i="3"/>
  <c r="R386" i="3"/>
  <c r="P388" i="3"/>
  <c r="Y390" i="3"/>
  <c r="P391" i="3"/>
  <c r="P397" i="3"/>
  <c r="F9" i="4"/>
  <c r="F32" i="4"/>
  <c r="F86" i="4"/>
  <c r="F96" i="4"/>
  <c r="F104" i="4"/>
  <c r="F107" i="4"/>
  <c r="F112" i="4"/>
  <c r="F115" i="4"/>
  <c r="F124" i="4"/>
  <c r="F133" i="4"/>
  <c r="F136" i="4"/>
  <c r="F163" i="4"/>
  <c r="F171" i="4"/>
  <c r="F200" i="4"/>
  <c r="I201" i="4"/>
  <c r="H201" i="4"/>
  <c r="G201" i="4" a="1"/>
  <c r="G201" i="4" s="1"/>
  <c r="F201" i="4"/>
  <c r="F276" i="4"/>
  <c r="I276" i="4"/>
  <c r="H276" i="4"/>
  <c r="G276" i="4" a="1"/>
  <c r="G276" i="4" s="1"/>
  <c r="F340" i="4"/>
  <c r="I340" i="4"/>
  <c r="H340" i="4"/>
  <c r="G340" i="4" a="1"/>
  <c r="G340" i="4" s="1"/>
  <c r="F404" i="4"/>
  <c r="I404" i="4"/>
  <c r="H404" i="4"/>
  <c r="G404" i="4" a="1"/>
  <c r="G404" i="4" s="1"/>
  <c r="F468" i="4"/>
  <c r="I468" i="4"/>
  <c r="H468" i="4"/>
  <c r="G468" i="4" a="1"/>
  <c r="G468" i="4" s="1"/>
  <c r="G547" i="4" a="1"/>
  <c r="G547" i="4" s="1"/>
  <c r="F547" i="4"/>
  <c r="I547" i="4"/>
  <c r="H547" i="4"/>
  <c r="H576" i="4"/>
  <c r="I576" i="4"/>
  <c r="G576" i="4" a="1"/>
  <c r="G576" i="4" s="1"/>
  <c r="F576" i="4"/>
  <c r="H592" i="4"/>
  <c r="I592" i="4"/>
  <c r="G592" i="4" a="1"/>
  <c r="G592" i="4" s="1"/>
  <c r="F592" i="4"/>
  <c r="F617" i="4"/>
  <c r="I617" i="4"/>
  <c r="H617" i="4"/>
  <c r="G617" i="4" a="1"/>
  <c r="G617" i="4" s="1"/>
  <c r="H674" i="4"/>
  <c r="I674" i="4"/>
  <c r="G674" i="4" a="1"/>
  <c r="G674" i="4" s="1"/>
  <c r="F674" i="4"/>
  <c r="G715" i="4" a="1"/>
  <c r="G715" i="4" s="1"/>
  <c r="I715" i="4"/>
  <c r="H715" i="4"/>
  <c r="F715" i="4"/>
  <c r="H742" i="4"/>
  <c r="I742" i="4"/>
  <c r="G742" i="4" a="1"/>
  <c r="G742" i="4" s="1"/>
  <c r="F742" i="4"/>
  <c r="G859" i="4" a="1"/>
  <c r="G859" i="4" s="1"/>
  <c r="I859" i="4"/>
  <c r="H859" i="4"/>
  <c r="F859" i="4"/>
  <c r="G878" i="4" a="1"/>
  <c r="G878" i="4" s="1"/>
  <c r="I878" i="4"/>
  <c r="H878" i="4"/>
  <c r="F878" i="4"/>
  <c r="F886" i="4"/>
  <c r="I886" i="4"/>
  <c r="H886" i="4"/>
  <c r="G886" i="4" a="1"/>
  <c r="G886" i="4" s="1"/>
  <c r="I893" i="4"/>
  <c r="H893" i="4"/>
  <c r="G893" i="4" a="1"/>
  <c r="G893" i="4" s="1"/>
  <c r="F893" i="4"/>
  <c r="F897" i="4"/>
  <c r="G897" i="4" a="1"/>
  <c r="G897" i="4" s="1"/>
  <c r="I897" i="4"/>
  <c r="H897" i="4"/>
  <c r="F42" i="5"/>
  <c r="F105" i="2"/>
  <c r="G92" i="2"/>
  <c r="F19" i="4"/>
  <c r="F40" i="4"/>
  <c r="F60" i="4"/>
  <c r="F75" i="4"/>
  <c r="F87" i="4"/>
  <c r="F92" i="4"/>
  <c r="F100" i="4"/>
  <c r="F108" i="4"/>
  <c r="F125" i="4"/>
  <c r="F128" i="4"/>
  <c r="F164" i="4"/>
  <c r="F172" i="4"/>
  <c r="F179" i="4"/>
  <c r="I193" i="4"/>
  <c r="H193" i="4"/>
  <c r="G193" i="4" a="1"/>
  <c r="G193" i="4" s="1"/>
  <c r="F193" i="4"/>
  <c r="H227" i="4"/>
  <c r="I227" i="4"/>
  <c r="G227" i="4" a="1"/>
  <c r="G227" i="4" s="1"/>
  <c r="F227" i="4"/>
  <c r="I233" i="4"/>
  <c r="H233" i="4"/>
  <c r="G233" i="4" a="1"/>
  <c r="G233" i="4" s="1"/>
  <c r="F233" i="4"/>
  <c r="I237" i="4"/>
  <c r="H237" i="4"/>
  <c r="G237" i="4" a="1"/>
  <c r="G237" i="4" s="1"/>
  <c r="F237" i="4"/>
  <c r="G278" i="4" a="1"/>
  <c r="G278" i="4" s="1"/>
  <c r="I278" i="4"/>
  <c r="H278" i="4"/>
  <c r="F278" i="4"/>
  <c r="H291" i="4"/>
  <c r="I291" i="4"/>
  <c r="G291" i="4" a="1"/>
  <c r="G291" i="4" s="1"/>
  <c r="F291" i="4"/>
  <c r="I297" i="4"/>
  <c r="H297" i="4"/>
  <c r="G297" i="4" a="1"/>
  <c r="G297" i="4" s="1"/>
  <c r="F297" i="4"/>
  <c r="I301" i="4"/>
  <c r="H301" i="4"/>
  <c r="G301" i="4" a="1"/>
  <c r="G301" i="4" s="1"/>
  <c r="F301" i="4"/>
  <c r="G342" i="4" a="1"/>
  <c r="G342" i="4" s="1"/>
  <c r="I342" i="4"/>
  <c r="H342" i="4"/>
  <c r="F342" i="4"/>
  <c r="H355" i="4"/>
  <c r="I355" i="4"/>
  <c r="G355" i="4" a="1"/>
  <c r="G355" i="4" s="1"/>
  <c r="F355" i="4"/>
  <c r="I361" i="4"/>
  <c r="H361" i="4"/>
  <c r="G361" i="4" a="1"/>
  <c r="G361" i="4" s="1"/>
  <c r="F361" i="4"/>
  <c r="I365" i="4"/>
  <c r="H365" i="4"/>
  <c r="G365" i="4" a="1"/>
  <c r="G365" i="4" s="1"/>
  <c r="F365" i="4"/>
  <c r="G406" i="4" a="1"/>
  <c r="G406" i="4" s="1"/>
  <c r="I406" i="4"/>
  <c r="H406" i="4"/>
  <c r="F406" i="4"/>
  <c r="H419" i="4"/>
  <c r="I419" i="4"/>
  <c r="G419" i="4" a="1"/>
  <c r="G419" i="4" s="1"/>
  <c r="F419" i="4"/>
  <c r="I425" i="4"/>
  <c r="H425" i="4"/>
  <c r="G425" i="4" a="1"/>
  <c r="G425" i="4" s="1"/>
  <c r="F425" i="4"/>
  <c r="I429" i="4"/>
  <c r="H429" i="4"/>
  <c r="G429" i="4" a="1"/>
  <c r="G429" i="4" s="1"/>
  <c r="F429" i="4"/>
  <c r="G470" i="4" a="1"/>
  <c r="G470" i="4" s="1"/>
  <c r="I470" i="4"/>
  <c r="H470" i="4"/>
  <c r="F470" i="4"/>
  <c r="H483" i="4"/>
  <c r="I483" i="4"/>
  <c r="G483" i="4" a="1"/>
  <c r="G483" i="4" s="1"/>
  <c r="F483" i="4"/>
  <c r="I489" i="4"/>
  <c r="H489" i="4"/>
  <c r="G489" i="4" a="1"/>
  <c r="G489" i="4" s="1"/>
  <c r="F489" i="4"/>
  <c r="I493" i="4"/>
  <c r="H493" i="4"/>
  <c r="G493" i="4" a="1"/>
  <c r="G493" i="4" s="1"/>
  <c r="F493" i="4"/>
  <c r="H550" i="4"/>
  <c r="I550" i="4"/>
  <c r="G550" i="4" a="1"/>
  <c r="G550" i="4" s="1"/>
  <c r="F550" i="4"/>
  <c r="F569" i="4"/>
  <c r="H569" i="4"/>
  <c r="I569" i="4"/>
  <c r="G569" i="4" a="1"/>
  <c r="G569" i="4" s="1"/>
  <c r="G731" i="4" a="1"/>
  <c r="G731" i="4" s="1"/>
  <c r="I731" i="4"/>
  <c r="H731" i="4"/>
  <c r="F731" i="4"/>
  <c r="I754" i="4"/>
  <c r="H754" i="4"/>
  <c r="G754" i="4" a="1"/>
  <c r="G754" i="4" s="1"/>
  <c r="F754" i="4"/>
  <c r="H760" i="4"/>
  <c r="I760" i="4"/>
  <c r="G760" i="4" a="1"/>
  <c r="G760" i="4" s="1"/>
  <c r="F760" i="4"/>
  <c r="I765" i="4"/>
  <c r="H765" i="4"/>
  <c r="G765" i="4" a="1"/>
  <c r="G765" i="4" s="1"/>
  <c r="F765" i="4"/>
  <c r="I846" i="4"/>
  <c r="H846" i="4"/>
  <c r="G846" i="4" a="1"/>
  <c r="G846" i="4" s="1"/>
  <c r="F846" i="4"/>
  <c r="F905" i="4"/>
  <c r="I905" i="4"/>
  <c r="H905" i="4"/>
  <c r="G905" i="4" a="1"/>
  <c r="G905" i="4" s="1"/>
  <c r="G915" i="4" a="1"/>
  <c r="G915" i="4" s="1"/>
  <c r="H915" i="4"/>
  <c r="I915" i="4"/>
  <c r="F915" i="4"/>
  <c r="F62" i="5"/>
  <c r="F85" i="5"/>
  <c r="G85" i="2"/>
  <c r="H87" i="2"/>
  <c r="F89" i="2"/>
  <c r="P37" i="3"/>
  <c r="W46" i="3"/>
  <c r="F14" i="4"/>
  <c r="F29" i="4"/>
  <c r="F43" i="4"/>
  <c r="F46" i="4"/>
  <c r="F72" i="4"/>
  <c r="F94" i="4"/>
  <c r="F102" i="4"/>
  <c r="F116" i="4"/>
  <c r="F118" i="4"/>
  <c r="F139" i="4"/>
  <c r="H186" i="4"/>
  <c r="G186" i="4" a="1"/>
  <c r="G186" i="4" s="1"/>
  <c r="F186" i="4"/>
  <c r="I186" i="4"/>
  <c r="I196" i="4"/>
  <c r="H196" i="4"/>
  <c r="G196" i="4" a="1"/>
  <c r="G196" i="4" s="1"/>
  <c r="F196" i="4"/>
  <c r="G558" i="4" a="1"/>
  <c r="G558" i="4" s="1"/>
  <c r="I558" i="4"/>
  <c r="H558" i="4"/>
  <c r="F558" i="4"/>
  <c r="I598" i="4"/>
  <c r="H598" i="4"/>
  <c r="G598" i="4" a="1"/>
  <c r="G598" i="4" s="1"/>
  <c r="F598" i="4"/>
  <c r="H600" i="4"/>
  <c r="F600" i="4"/>
  <c r="I600" i="4"/>
  <c r="G600" i="4" a="1"/>
  <c r="G600" i="4" s="1"/>
  <c r="G643" i="4" a="1"/>
  <c r="G643" i="4" s="1"/>
  <c r="I643" i="4"/>
  <c r="H643" i="4"/>
  <c r="F643" i="4"/>
  <c r="F698" i="4"/>
  <c r="I698" i="4"/>
  <c r="H698" i="4"/>
  <c r="G698" i="4" a="1"/>
  <c r="G698" i="4" s="1"/>
  <c r="F713" i="4"/>
  <c r="I713" i="4"/>
  <c r="H713" i="4"/>
  <c r="G713" i="4" a="1"/>
  <c r="G713" i="4" s="1"/>
  <c r="I782" i="4"/>
  <c r="H782" i="4"/>
  <c r="G782" i="4" a="1"/>
  <c r="G782" i="4" s="1"/>
  <c r="F782" i="4"/>
  <c r="H784" i="4"/>
  <c r="I784" i="4"/>
  <c r="G784" i="4" a="1"/>
  <c r="G784" i="4" s="1"/>
  <c r="F784" i="4"/>
  <c r="G835" i="4" a="1"/>
  <c r="G835" i="4" s="1"/>
  <c r="I835" i="4"/>
  <c r="H835" i="4"/>
  <c r="F835" i="4"/>
  <c r="H840" i="4"/>
  <c r="G840" i="4" a="1"/>
  <c r="G840" i="4" s="1"/>
  <c r="I840" i="4"/>
  <c r="F840" i="4"/>
  <c r="G874" i="4" a="1"/>
  <c r="G874" i="4" s="1"/>
  <c r="I874" i="4"/>
  <c r="H874" i="4"/>
  <c r="F874" i="4"/>
  <c r="F9" i="5"/>
  <c r="F21" i="5"/>
  <c r="F29" i="5"/>
  <c r="H85" i="2"/>
  <c r="F87" i="2"/>
  <c r="H92" i="2"/>
  <c r="F94" i="2"/>
  <c r="G99" i="2"/>
  <c r="F104" i="2"/>
  <c r="G87" i="2"/>
  <c r="G89" i="2"/>
  <c r="G94" i="2"/>
  <c r="G106" i="2"/>
  <c r="F108" i="2"/>
  <c r="F91" i="2"/>
  <c r="F106" i="2"/>
  <c r="R34" i="3"/>
  <c r="R38" i="3"/>
  <c r="Y42" i="3"/>
  <c r="P49" i="3"/>
  <c r="AA51" i="3"/>
  <c r="Y56" i="3"/>
  <c r="U66" i="3"/>
  <c r="R70" i="3"/>
  <c r="Y74" i="3"/>
  <c r="R81" i="3"/>
  <c r="P81" i="3"/>
  <c r="AA83" i="3"/>
  <c r="Y88" i="3"/>
  <c r="U98" i="3"/>
  <c r="R102" i="3"/>
  <c r="Y106" i="3"/>
  <c r="P113" i="3"/>
  <c r="AA115" i="3"/>
  <c r="Y120" i="3"/>
  <c r="U130" i="3"/>
  <c r="R134" i="3"/>
  <c r="Y138" i="3"/>
  <c r="P145" i="3"/>
  <c r="AA147" i="3"/>
  <c r="Y152" i="3"/>
  <c r="U162" i="3"/>
  <c r="R166" i="3"/>
  <c r="Y170" i="3"/>
  <c r="R177" i="3"/>
  <c r="P177" i="3"/>
  <c r="AA179" i="3"/>
  <c r="Y184" i="3"/>
  <c r="U194" i="3"/>
  <c r="R198" i="3"/>
  <c r="Y202" i="3"/>
  <c r="R209" i="3"/>
  <c r="P209" i="3"/>
  <c r="AA211" i="3"/>
  <c r="Y215" i="3"/>
  <c r="Y216" i="3"/>
  <c r="U226" i="3"/>
  <c r="R230" i="3"/>
  <c r="Y234" i="3"/>
  <c r="R241" i="3"/>
  <c r="P241" i="3"/>
  <c r="AA243" i="3"/>
  <c r="Y248" i="3"/>
  <c r="U258" i="3"/>
  <c r="R262" i="3"/>
  <c r="Y266" i="3"/>
  <c r="R273" i="3"/>
  <c r="P273" i="3"/>
  <c r="AA275" i="3"/>
  <c r="Y280" i="3"/>
  <c r="U290" i="3"/>
  <c r="R294" i="3"/>
  <c r="Y298" i="3"/>
  <c r="R305" i="3"/>
  <c r="P305" i="3"/>
  <c r="T27" i="3"/>
  <c r="AA307" i="3"/>
  <c r="Y312" i="3"/>
  <c r="U322" i="3"/>
  <c r="R326" i="3"/>
  <c r="Y330" i="3"/>
  <c r="R337" i="3"/>
  <c r="P337" i="3"/>
  <c r="T28" i="3"/>
  <c r="AA339" i="3"/>
  <c r="Y344" i="3"/>
  <c r="U354" i="3"/>
  <c r="R358" i="3"/>
  <c r="Y362" i="3"/>
  <c r="R369" i="3"/>
  <c r="P369" i="3"/>
  <c r="M29" i="3" s="1"/>
  <c r="AA371" i="3"/>
  <c r="Y376" i="3"/>
  <c r="U386" i="3"/>
  <c r="R390" i="3"/>
  <c r="Y394" i="3"/>
  <c r="O3" i="4" a="1"/>
  <c r="O3" i="4" s="1"/>
  <c r="O4" i="4" a="1"/>
  <c r="O4" i="4" s="1"/>
  <c r="F27" i="4"/>
  <c r="F28" i="4"/>
  <c r="F35" i="4"/>
  <c r="F38" i="4"/>
  <c r="F45" i="4"/>
  <c r="F52" i="4"/>
  <c r="F68" i="4"/>
  <c r="F76" i="4"/>
  <c r="F91" i="4"/>
  <c r="F109" i="4"/>
  <c r="F126" i="4"/>
  <c r="F141" i="4"/>
  <c r="F144" i="4"/>
  <c r="F149" i="4"/>
  <c r="F152" i="4"/>
  <c r="F157" i="4"/>
  <c r="F165" i="4"/>
  <c r="F178" i="4"/>
  <c r="H194" i="4"/>
  <c r="G194" i="4" a="1"/>
  <c r="G194" i="4" s="1"/>
  <c r="F194" i="4"/>
  <c r="I194" i="4"/>
  <c r="I204" i="4"/>
  <c r="H204" i="4"/>
  <c r="G204" i="4" a="1"/>
  <c r="G204" i="4" s="1"/>
  <c r="F204" i="4"/>
  <c r="G238" i="4" a="1"/>
  <c r="G238" i="4" s="1"/>
  <c r="I238" i="4"/>
  <c r="H238" i="4"/>
  <c r="F238" i="4"/>
  <c r="F252" i="4"/>
  <c r="I252" i="4"/>
  <c r="H252" i="4"/>
  <c r="G252" i="4" a="1"/>
  <c r="G252" i="4" s="1"/>
  <c r="H267" i="4"/>
  <c r="I267" i="4"/>
  <c r="G267" i="4" a="1"/>
  <c r="G267" i="4" s="1"/>
  <c r="F267" i="4"/>
  <c r="I272" i="4"/>
  <c r="H272" i="4"/>
  <c r="G272" i="4" a="1"/>
  <c r="G272" i="4" s="1"/>
  <c r="F272" i="4"/>
  <c r="G302" i="4" a="1"/>
  <c r="G302" i="4" s="1"/>
  <c r="I302" i="4"/>
  <c r="H302" i="4"/>
  <c r="F302" i="4"/>
  <c r="F316" i="4"/>
  <c r="I316" i="4"/>
  <c r="H316" i="4"/>
  <c r="G316" i="4" a="1"/>
  <c r="G316" i="4" s="1"/>
  <c r="H331" i="4"/>
  <c r="I331" i="4"/>
  <c r="G331" i="4" a="1"/>
  <c r="G331" i="4" s="1"/>
  <c r="F331" i="4"/>
  <c r="I336" i="4"/>
  <c r="H336" i="4"/>
  <c r="G336" i="4" a="1"/>
  <c r="G336" i="4" s="1"/>
  <c r="F336" i="4"/>
  <c r="G366" i="4" a="1"/>
  <c r="G366" i="4" s="1"/>
  <c r="I366" i="4"/>
  <c r="H366" i="4"/>
  <c r="F366" i="4"/>
  <c r="F380" i="4"/>
  <c r="I380" i="4"/>
  <c r="H380" i="4"/>
  <c r="G380" i="4" a="1"/>
  <c r="G380" i="4" s="1"/>
  <c r="H395" i="4"/>
  <c r="I395" i="4"/>
  <c r="G395" i="4" a="1"/>
  <c r="G395" i="4" s="1"/>
  <c r="F395" i="4"/>
  <c r="I400" i="4"/>
  <c r="H400" i="4"/>
  <c r="G400" i="4" a="1"/>
  <c r="G400" i="4" s="1"/>
  <c r="F400" i="4"/>
  <c r="G430" i="4" a="1"/>
  <c r="G430" i="4" s="1"/>
  <c r="I430" i="4"/>
  <c r="H430" i="4"/>
  <c r="F430" i="4"/>
  <c r="F444" i="4"/>
  <c r="I444" i="4"/>
  <c r="H444" i="4"/>
  <c r="G444" i="4" a="1"/>
  <c r="G444" i="4" s="1"/>
  <c r="H459" i="4"/>
  <c r="I459" i="4"/>
  <c r="G459" i="4" a="1"/>
  <c r="G459" i="4" s="1"/>
  <c r="F459" i="4"/>
  <c r="I464" i="4"/>
  <c r="H464" i="4"/>
  <c r="G464" i="4" a="1"/>
  <c r="G464" i="4" s="1"/>
  <c r="F464" i="4"/>
  <c r="G494" i="4" a="1"/>
  <c r="G494" i="4" s="1"/>
  <c r="I494" i="4"/>
  <c r="H494" i="4"/>
  <c r="F494" i="4"/>
  <c r="F508" i="4"/>
  <c r="I508" i="4"/>
  <c r="H508" i="4"/>
  <c r="G508" i="4" a="1"/>
  <c r="G508" i="4" s="1"/>
  <c r="G587" i="4" a="1"/>
  <c r="G587" i="4" s="1"/>
  <c r="I587" i="4"/>
  <c r="H587" i="4"/>
  <c r="F587" i="4"/>
  <c r="F609" i="4"/>
  <c r="I609" i="4"/>
  <c r="H609" i="4"/>
  <c r="G609" i="4" a="1"/>
  <c r="G609" i="4" s="1"/>
  <c r="H614" i="4"/>
  <c r="I614" i="4"/>
  <c r="G614" i="4" a="1"/>
  <c r="G614" i="4" s="1"/>
  <c r="F614" i="4"/>
  <c r="I662" i="4"/>
  <c r="H662" i="4"/>
  <c r="G662" i="4" a="1"/>
  <c r="G662" i="4" s="1"/>
  <c r="F662" i="4"/>
  <c r="I669" i="4"/>
  <c r="H669" i="4"/>
  <c r="G669" i="4" a="1"/>
  <c r="G669" i="4" s="1"/>
  <c r="F669" i="4"/>
  <c r="F689" i="4"/>
  <c r="I689" i="4"/>
  <c r="H689" i="4"/>
  <c r="G689" i="4" a="1"/>
  <c r="G689" i="4" s="1"/>
  <c r="F761" i="4"/>
  <c r="H761" i="4"/>
  <c r="I761" i="4"/>
  <c r="G761" i="4" a="1"/>
  <c r="G761" i="4" s="1"/>
  <c r="F777" i="4"/>
  <c r="I777" i="4"/>
  <c r="H777" i="4"/>
  <c r="G777" i="4" a="1"/>
  <c r="G777" i="4" s="1"/>
  <c r="G867" i="4" a="1"/>
  <c r="G867" i="4" s="1"/>
  <c r="F867" i="4"/>
  <c r="I867" i="4"/>
  <c r="H867" i="4"/>
  <c r="I914" i="4"/>
  <c r="H914" i="4"/>
  <c r="G914" i="4" a="1"/>
  <c r="G914" i="4" s="1"/>
  <c r="F914" i="4"/>
  <c r="F10" i="5"/>
  <c r="F36" i="5"/>
  <c r="G111" i="2"/>
  <c r="F111" i="2"/>
  <c r="R97" i="3"/>
  <c r="P97" i="3"/>
  <c r="R129" i="3"/>
  <c r="P129" i="3"/>
  <c r="P257" i="3"/>
  <c r="F86" i="2"/>
  <c r="G91" i="2"/>
  <c r="G98" i="2"/>
  <c r="P53" i="3"/>
  <c r="AA56" i="3"/>
  <c r="P85" i="3"/>
  <c r="AA88" i="3"/>
  <c r="P117" i="3"/>
  <c r="AA120" i="3"/>
  <c r="P149" i="3"/>
  <c r="AA152" i="3"/>
  <c r="P181" i="3"/>
  <c r="AA184" i="3"/>
  <c r="P213" i="3"/>
  <c r="AA216" i="3"/>
  <c r="P245" i="3"/>
  <c r="AA248" i="3"/>
  <c r="P277" i="3"/>
  <c r="AA280" i="3"/>
  <c r="P309" i="3"/>
  <c r="AA312" i="3"/>
  <c r="P341" i="3"/>
  <c r="M28" i="3" s="1"/>
  <c r="AA344" i="3"/>
  <c r="P373" i="3"/>
  <c r="AA376" i="3"/>
  <c r="N6" i="8" a="1"/>
  <c r="N6" i="8" s="1"/>
  <c r="N7" i="8" s="1"/>
  <c r="J6" i="8" a="1"/>
  <c r="J6" i="8" s="1"/>
  <c r="J7" i="8" s="1"/>
  <c r="F6" i="8" a="1"/>
  <c r="F6" i="8" s="1"/>
  <c r="I6" i="8" a="1"/>
  <c r="I6" i="8" s="1"/>
  <c r="I7" i="8" s="1"/>
  <c r="E6" i="8" a="1"/>
  <c r="E6" i="8" s="1"/>
  <c r="L6" i="8" a="1"/>
  <c r="L6" i="8" s="1"/>
  <c r="L7" i="8" s="1"/>
  <c r="G6" i="8" a="1"/>
  <c r="G6" i="8" s="1"/>
  <c r="G4" i="8" s="1"/>
  <c r="M6" i="8" a="1"/>
  <c r="M6" i="8" s="1"/>
  <c r="M7" i="8" s="1"/>
  <c r="K6" i="8" a="1"/>
  <c r="K6" i="8" s="1"/>
  <c r="K7" i="8" s="1"/>
  <c r="H6" i="8" a="1"/>
  <c r="H6" i="8" s="1"/>
  <c r="H4" i="8" s="1"/>
  <c r="P6" i="8" a="1"/>
  <c r="P6" i="8" s="1"/>
  <c r="P7" i="8" s="1"/>
  <c r="O6" i="8" a="1"/>
  <c r="O6" i="8" s="1"/>
  <c r="O7" i="8" s="1"/>
  <c r="P6" i="4" a="1"/>
  <c r="P6" i="4" s="1"/>
  <c r="P4" i="4" a="1"/>
  <c r="P4" i="4" s="1"/>
  <c r="P13" i="4" a="1"/>
  <c r="P13" i="4" s="1"/>
  <c r="P11" i="4" a="1"/>
  <c r="P11" i="4" s="1"/>
  <c r="F4" i="4"/>
  <c r="F31" i="4"/>
  <c r="F48" i="4"/>
  <c r="F64" i="4"/>
  <c r="F78" i="4"/>
  <c r="F88" i="4"/>
  <c r="F117" i="4"/>
  <c r="F120" i="4"/>
  <c r="I248" i="4"/>
  <c r="H248" i="4"/>
  <c r="G248" i="4" a="1"/>
  <c r="G248" i="4" s="1"/>
  <c r="F248" i="4"/>
  <c r="F260" i="4"/>
  <c r="I260" i="4"/>
  <c r="H260" i="4"/>
  <c r="G260" i="4" a="1"/>
  <c r="G260" i="4" s="1"/>
  <c r="I312" i="4"/>
  <c r="H312" i="4"/>
  <c r="G312" i="4" a="1"/>
  <c r="G312" i="4" s="1"/>
  <c r="F312" i="4"/>
  <c r="F324" i="4"/>
  <c r="I324" i="4"/>
  <c r="H324" i="4"/>
  <c r="G324" i="4" a="1"/>
  <c r="G324" i="4" s="1"/>
  <c r="I376" i="4"/>
  <c r="H376" i="4"/>
  <c r="G376" i="4" a="1"/>
  <c r="G376" i="4" s="1"/>
  <c r="F376" i="4"/>
  <c r="F388" i="4"/>
  <c r="I388" i="4"/>
  <c r="H388" i="4"/>
  <c r="G388" i="4" a="1"/>
  <c r="G388" i="4" s="1"/>
  <c r="I440" i="4"/>
  <c r="H440" i="4"/>
  <c r="G440" i="4" a="1"/>
  <c r="G440" i="4" s="1"/>
  <c r="F440" i="4"/>
  <c r="F452" i="4"/>
  <c r="I452" i="4"/>
  <c r="H452" i="4"/>
  <c r="G452" i="4" a="1"/>
  <c r="G452" i="4" s="1"/>
  <c r="I504" i="4"/>
  <c r="H504" i="4"/>
  <c r="G504" i="4" a="1"/>
  <c r="G504" i="4" s="1"/>
  <c r="F504" i="4"/>
  <c r="F570" i="4"/>
  <c r="I570" i="4"/>
  <c r="H570" i="4"/>
  <c r="G570" i="4" a="1"/>
  <c r="G570" i="4" s="1"/>
  <c r="F625" i="4"/>
  <c r="I625" i="4"/>
  <c r="H625" i="4"/>
  <c r="G625" i="4" a="1"/>
  <c r="G625" i="4" s="1"/>
  <c r="H656" i="4"/>
  <c r="I656" i="4"/>
  <c r="G656" i="4" a="1"/>
  <c r="G656" i="4" s="1"/>
  <c r="F656" i="4"/>
  <c r="I701" i="4"/>
  <c r="H701" i="4"/>
  <c r="G701" i="4" a="1"/>
  <c r="G701" i="4" s="1"/>
  <c r="F701" i="4"/>
  <c r="G787" i="4" a="1"/>
  <c r="G787" i="4" s="1"/>
  <c r="H787" i="4"/>
  <c r="I787" i="4"/>
  <c r="F787" i="4"/>
  <c r="I790" i="4"/>
  <c r="H790" i="4"/>
  <c r="G790" i="4" a="1"/>
  <c r="G790" i="4" s="1"/>
  <c r="F790" i="4"/>
  <c r="F822" i="4"/>
  <c r="I822" i="4"/>
  <c r="H822" i="4"/>
  <c r="G822" i="4" a="1"/>
  <c r="G822" i="4" s="1"/>
  <c r="F14" i="5"/>
  <c r="G86" i="2"/>
  <c r="H95" i="2"/>
  <c r="F97" i="2"/>
  <c r="F103" i="2"/>
  <c r="J184" i="2"/>
  <c r="W34" i="3"/>
  <c r="R44" i="3"/>
  <c r="R46" i="3"/>
  <c r="R57" i="3"/>
  <c r="P57" i="3"/>
  <c r="R76" i="3"/>
  <c r="R78" i="3"/>
  <c r="P89" i="3"/>
  <c r="R108" i="3"/>
  <c r="R110" i="3"/>
  <c r="P121" i="3"/>
  <c r="R140" i="3"/>
  <c r="R142" i="3"/>
  <c r="R153" i="3"/>
  <c r="P153" i="3"/>
  <c r="R172" i="3"/>
  <c r="R174" i="3"/>
  <c r="R185" i="3"/>
  <c r="P185" i="3"/>
  <c r="R204" i="3"/>
  <c r="R206" i="3"/>
  <c r="P217" i="3"/>
  <c r="M24" i="3" s="1"/>
  <c r="R236" i="3"/>
  <c r="R238" i="3"/>
  <c r="P249" i="3"/>
  <c r="M25" i="3" s="1"/>
  <c r="R268" i="3"/>
  <c r="R270" i="3"/>
  <c r="R281" i="3"/>
  <c r="P281" i="3"/>
  <c r="R300" i="3"/>
  <c r="R302" i="3"/>
  <c r="R313" i="3"/>
  <c r="P313" i="3"/>
  <c r="R332" i="3"/>
  <c r="R334" i="3"/>
  <c r="P345" i="3"/>
  <c r="R364" i="3"/>
  <c r="R366" i="3"/>
  <c r="P377" i="3"/>
  <c r="R396" i="3"/>
  <c r="R398" i="3"/>
  <c r="P3" i="4" a="1"/>
  <c r="P3" i="4" s="1"/>
  <c r="F22" i="4"/>
  <c r="F24" i="4"/>
  <c r="F30" i="4"/>
  <c r="F51" i="4"/>
  <c r="F70" i="4"/>
  <c r="F83" i="4"/>
  <c r="F95" i="4"/>
  <c r="F103" i="4"/>
  <c r="F111" i="4"/>
  <c r="F132" i="4"/>
  <c r="I188" i="4"/>
  <c r="H188" i="4"/>
  <c r="G188" i="4" a="1"/>
  <c r="G188" i="4" s="1"/>
  <c r="F188" i="4"/>
  <c r="F208" i="4"/>
  <c r="I209" i="4"/>
  <c r="H209" i="4"/>
  <c r="G209" i="4" a="1"/>
  <c r="G209" i="4" s="1"/>
  <c r="F209" i="4"/>
  <c r="G222" i="4" a="1"/>
  <c r="G222" i="4" s="1"/>
  <c r="I222" i="4"/>
  <c r="H222" i="4"/>
  <c r="F222" i="4"/>
  <c r="I256" i="4"/>
  <c r="H256" i="4"/>
  <c r="G256" i="4" a="1"/>
  <c r="G256" i="4" s="1"/>
  <c r="F256" i="4"/>
  <c r="G286" i="4" a="1"/>
  <c r="G286" i="4" s="1"/>
  <c r="I286" i="4"/>
  <c r="H286" i="4"/>
  <c r="F286" i="4"/>
  <c r="I320" i="4"/>
  <c r="H320" i="4"/>
  <c r="G320" i="4" a="1"/>
  <c r="G320" i="4" s="1"/>
  <c r="F320" i="4"/>
  <c r="G350" i="4" a="1"/>
  <c r="G350" i="4" s="1"/>
  <c r="I350" i="4"/>
  <c r="H350" i="4"/>
  <c r="F350" i="4"/>
  <c r="I384" i="4"/>
  <c r="H384" i="4"/>
  <c r="G384" i="4" a="1"/>
  <c r="G384" i="4" s="1"/>
  <c r="F384" i="4"/>
  <c r="G414" i="4" a="1"/>
  <c r="G414" i="4" s="1"/>
  <c r="I414" i="4"/>
  <c r="H414" i="4"/>
  <c r="F414" i="4"/>
  <c r="I448" i="4"/>
  <c r="H448" i="4"/>
  <c r="G448" i="4" a="1"/>
  <c r="G448" i="4" s="1"/>
  <c r="F448" i="4"/>
  <c r="G478" i="4" a="1"/>
  <c r="G478" i="4" s="1"/>
  <c r="I478" i="4"/>
  <c r="H478" i="4"/>
  <c r="F478" i="4"/>
  <c r="I512" i="4"/>
  <c r="H512" i="4"/>
  <c r="G512" i="4" a="1"/>
  <c r="G512" i="4" s="1"/>
  <c r="F512" i="4"/>
  <c r="I542" i="4"/>
  <c r="H542" i="4"/>
  <c r="G542" i="4" a="1"/>
  <c r="G542" i="4" s="1"/>
  <c r="F542" i="4"/>
  <c r="H594" i="4"/>
  <c r="G594" i="4" a="1"/>
  <c r="G594" i="4" s="1"/>
  <c r="F594" i="4"/>
  <c r="I594" i="4"/>
  <c r="I621" i="4"/>
  <c r="H621" i="4"/>
  <c r="G621" i="4" a="1"/>
  <c r="G621" i="4" s="1"/>
  <c r="F621" i="4"/>
  <c r="F673" i="4"/>
  <c r="I673" i="4"/>
  <c r="H673" i="4"/>
  <c r="G673" i="4" a="1"/>
  <c r="G673" i="4" s="1"/>
  <c r="I677" i="4"/>
  <c r="H677" i="4"/>
  <c r="G677" i="4" a="1"/>
  <c r="G677" i="4" s="1"/>
  <c r="F677" i="4"/>
  <c r="G707" i="4" a="1"/>
  <c r="G707" i="4" s="1"/>
  <c r="I707" i="4"/>
  <c r="H707" i="4"/>
  <c r="F707" i="4"/>
  <c r="H752" i="4"/>
  <c r="I752" i="4"/>
  <c r="G752" i="4" a="1"/>
  <c r="G752" i="4" s="1"/>
  <c r="F752" i="4"/>
  <c r="I794" i="4"/>
  <c r="H794" i="4"/>
  <c r="G794" i="4" a="1"/>
  <c r="G794" i="4" s="1"/>
  <c r="F794" i="4"/>
  <c r="F801" i="4"/>
  <c r="I801" i="4"/>
  <c r="H801" i="4"/>
  <c r="G801" i="4" a="1"/>
  <c r="G801" i="4" s="1"/>
  <c r="F817" i="4"/>
  <c r="I817" i="4"/>
  <c r="H817" i="4"/>
  <c r="G817" i="4" a="1"/>
  <c r="G817" i="4" s="1"/>
  <c r="I862" i="4"/>
  <c r="H862" i="4"/>
  <c r="G862" i="4" a="1"/>
  <c r="G862" i="4" s="1"/>
  <c r="F862" i="4"/>
  <c r="I885" i="4"/>
  <c r="G885" i="4" a="1"/>
  <c r="G885" i="4" s="1"/>
  <c r="H885" i="4"/>
  <c r="F885" i="4"/>
  <c r="H896" i="4"/>
  <c r="I896" i="4"/>
  <c r="G896" i="4" a="1"/>
  <c r="G896" i="4" s="1"/>
  <c r="F896" i="4"/>
  <c r="F6" i="5"/>
  <c r="J183" i="2"/>
  <c r="P61" i="3"/>
  <c r="P93" i="3"/>
  <c r="R125" i="3"/>
  <c r="P125" i="3"/>
  <c r="R157" i="3"/>
  <c r="P157" i="3"/>
  <c r="R189" i="3"/>
  <c r="P189" i="3"/>
  <c r="R221" i="3"/>
  <c r="P221" i="3"/>
  <c r="P253" i="3"/>
  <c r="P285" i="3"/>
  <c r="P317" i="3"/>
  <c r="P349" i="3"/>
  <c r="R381" i="3"/>
  <c r="P381" i="3"/>
  <c r="F37" i="4"/>
  <c r="F44" i="4"/>
  <c r="F47" i="4"/>
  <c r="F54" i="4"/>
  <c r="F80" i="4"/>
  <c r="F134" i="4"/>
  <c r="F140" i="4"/>
  <c r="F148" i="4"/>
  <c r="F156" i="4"/>
  <c r="F167" i="4"/>
  <c r="F177" i="4"/>
  <c r="H202" i="4"/>
  <c r="G202" i="4" a="1"/>
  <c r="G202" i="4" s="1"/>
  <c r="F202" i="4"/>
  <c r="I202" i="4"/>
  <c r="I212" i="4"/>
  <c r="H212" i="4"/>
  <c r="G212" i="4" a="1"/>
  <c r="G212" i="4" s="1"/>
  <c r="F212" i="4"/>
  <c r="I241" i="4"/>
  <c r="H241" i="4"/>
  <c r="G241" i="4" a="1"/>
  <c r="G241" i="4" s="1"/>
  <c r="F241" i="4"/>
  <c r="H275" i="4"/>
  <c r="I275" i="4"/>
  <c r="G275" i="4" a="1"/>
  <c r="G275" i="4" s="1"/>
  <c r="F275" i="4"/>
  <c r="I305" i="4"/>
  <c r="H305" i="4"/>
  <c r="G305" i="4" a="1"/>
  <c r="G305" i="4" s="1"/>
  <c r="F305" i="4"/>
  <c r="H339" i="4"/>
  <c r="I339" i="4"/>
  <c r="G339" i="4" a="1"/>
  <c r="G339" i="4" s="1"/>
  <c r="F339" i="4"/>
  <c r="I369" i="4"/>
  <c r="H369" i="4"/>
  <c r="G369" i="4" a="1"/>
  <c r="G369" i="4" s="1"/>
  <c r="F369" i="4"/>
  <c r="H403" i="4"/>
  <c r="I403" i="4"/>
  <c r="G403" i="4" a="1"/>
  <c r="G403" i="4" s="1"/>
  <c r="F403" i="4"/>
  <c r="I433" i="4"/>
  <c r="H433" i="4"/>
  <c r="G433" i="4" a="1"/>
  <c r="G433" i="4" s="1"/>
  <c r="F433" i="4"/>
  <c r="H467" i="4"/>
  <c r="I467" i="4"/>
  <c r="G467" i="4" a="1"/>
  <c r="G467" i="4" s="1"/>
  <c r="F467" i="4"/>
  <c r="I497" i="4"/>
  <c r="H497" i="4"/>
  <c r="G497" i="4" a="1"/>
  <c r="G497" i="4" s="1"/>
  <c r="F497" i="4"/>
  <c r="I517" i="4"/>
  <c r="F517" i="4"/>
  <c r="H517" i="4"/>
  <c r="G517" i="4" a="1"/>
  <c r="G517" i="4" s="1"/>
  <c r="G523" i="4" a="1"/>
  <c r="G523" i="4" s="1"/>
  <c r="I523" i="4"/>
  <c r="H523" i="4"/>
  <c r="F523" i="4"/>
  <c r="H546" i="4"/>
  <c r="I546" i="4"/>
  <c r="G546" i="4" a="1"/>
  <c r="G546" i="4" s="1"/>
  <c r="F546" i="4"/>
  <c r="I565" i="4"/>
  <c r="G565" i="4" a="1"/>
  <c r="G565" i="4" s="1"/>
  <c r="H565" i="4"/>
  <c r="F565" i="4"/>
  <c r="F633" i="4"/>
  <c r="H633" i="4"/>
  <c r="I633" i="4"/>
  <c r="G633" i="4" a="1"/>
  <c r="G633" i="4" s="1"/>
  <c r="H696" i="4"/>
  <c r="I696" i="4"/>
  <c r="G696" i="4" a="1"/>
  <c r="G696" i="4" s="1"/>
  <c r="F696" i="4"/>
  <c r="I741" i="4"/>
  <c r="H741" i="4"/>
  <c r="G741" i="4" a="1"/>
  <c r="G741" i="4" s="1"/>
  <c r="F741" i="4"/>
  <c r="H776" i="4"/>
  <c r="G776" i="4" a="1"/>
  <c r="G776" i="4" s="1"/>
  <c r="I776" i="4"/>
  <c r="F776" i="4"/>
  <c r="F833" i="4"/>
  <c r="G833" i="4" a="1"/>
  <c r="G833" i="4" s="1"/>
  <c r="I833" i="4"/>
  <c r="H833" i="4"/>
  <c r="I858" i="4"/>
  <c r="H858" i="4"/>
  <c r="G858" i="4" a="1"/>
  <c r="G858" i="4" s="1"/>
  <c r="F858" i="4"/>
  <c r="H888" i="4"/>
  <c r="I888" i="4"/>
  <c r="G888" i="4" a="1"/>
  <c r="G888" i="4" s="1"/>
  <c r="F888" i="4"/>
  <c r="F126" i="5"/>
  <c r="F22" i="5"/>
  <c r="F43" i="5"/>
  <c r="F117" i="5"/>
  <c r="F128" i="5"/>
  <c r="F137" i="5"/>
  <c r="F150" i="5"/>
  <c r="F160" i="5"/>
  <c r="E174" i="5" a="1"/>
  <c r="E174" i="5" s="1"/>
  <c r="D174" i="5" a="1"/>
  <c r="D174" i="5" s="1"/>
  <c r="B174" i="5"/>
  <c r="J174" i="5"/>
  <c r="J56" i="6"/>
  <c r="K56" i="6"/>
  <c r="I56" i="6"/>
  <c r="L56" i="6" s="1"/>
  <c r="I89" i="6"/>
  <c r="L89" i="6" s="1"/>
  <c r="K89" i="6"/>
  <c r="J89" i="6"/>
  <c r="K183" i="6"/>
  <c r="J183" i="6"/>
  <c r="I183" i="6"/>
  <c r="L183" i="6" s="1"/>
  <c r="F268" i="4"/>
  <c r="F332" i="4"/>
  <c r="F396" i="4"/>
  <c r="F460" i="4"/>
  <c r="H536" i="4"/>
  <c r="F536" i="4"/>
  <c r="I557" i="4"/>
  <c r="H557" i="4"/>
  <c r="I581" i="4"/>
  <c r="F581" i="4"/>
  <c r="G651" i="4" a="1"/>
  <c r="G651" i="4" s="1"/>
  <c r="I651" i="4"/>
  <c r="F657" i="4"/>
  <c r="F697" i="4"/>
  <c r="H697" i="4"/>
  <c r="F753" i="4"/>
  <c r="I753" i="4"/>
  <c r="F788" i="4"/>
  <c r="F841" i="4"/>
  <c r="G851" i="4" a="1"/>
  <c r="G851" i="4" s="1"/>
  <c r="H851" i="4"/>
  <c r="H904" i="4"/>
  <c r="G904" i="4" a="1"/>
  <c r="G904" i="4" s="1"/>
  <c r="F88" i="5"/>
  <c r="F156" i="5"/>
  <c r="F158" i="5"/>
  <c r="F192" i="5"/>
  <c r="I49" i="6"/>
  <c r="K49" i="6"/>
  <c r="J49" i="6"/>
  <c r="K86" i="6"/>
  <c r="I86" i="6"/>
  <c r="J86" i="6"/>
  <c r="L186" i="6"/>
  <c r="I369" i="6"/>
  <c r="K369" i="6"/>
  <c r="J369" i="6"/>
  <c r="K406" i="6"/>
  <c r="I406" i="6"/>
  <c r="I409" i="6"/>
  <c r="K409" i="6"/>
  <c r="J409" i="6"/>
  <c r="J542" i="6"/>
  <c r="I542" i="6"/>
  <c r="L542" i="6" s="1"/>
  <c r="I554" i="6"/>
  <c r="K554" i="6"/>
  <c r="J554" i="6"/>
  <c r="K590" i="6"/>
  <c r="J590" i="6"/>
  <c r="I590" i="6"/>
  <c r="I661" i="6"/>
  <c r="K661" i="6"/>
  <c r="J696" i="6"/>
  <c r="I696" i="6"/>
  <c r="L696" i="6" s="1"/>
  <c r="I748" i="6"/>
  <c r="L748" i="6" s="1"/>
  <c r="K748" i="6"/>
  <c r="J748" i="6"/>
  <c r="I763" i="6"/>
  <c r="K763" i="6"/>
  <c r="J763" i="6"/>
  <c r="J794" i="6"/>
  <c r="K794" i="6"/>
  <c r="F55" i="4"/>
  <c r="F63" i="4"/>
  <c r="F71" i="4"/>
  <c r="F119" i="4"/>
  <c r="F127" i="4"/>
  <c r="F135" i="4"/>
  <c r="F143" i="4"/>
  <c r="F151" i="4"/>
  <c r="F159" i="4"/>
  <c r="H187" i="4"/>
  <c r="I192" i="4"/>
  <c r="H195" i="4"/>
  <c r="I200" i="4"/>
  <c r="H203" i="4"/>
  <c r="I208" i="4"/>
  <c r="H211" i="4"/>
  <c r="I217" i="4"/>
  <c r="H221" i="4"/>
  <c r="H232" i="4"/>
  <c r="F234" i="4"/>
  <c r="I239" i="4"/>
  <c r="G240" i="4" a="1"/>
  <c r="G240" i="4" s="1"/>
  <c r="H247" i="4"/>
  <c r="I251" i="4"/>
  <c r="G259" i="4" a="1"/>
  <c r="G259" i="4" s="1"/>
  <c r="I262" i="4"/>
  <c r="I266" i="4"/>
  <c r="H270" i="4"/>
  <c r="F271" i="4"/>
  <c r="H274" i="4"/>
  <c r="I277" i="4"/>
  <c r="I281" i="4"/>
  <c r="H285" i="4"/>
  <c r="H296" i="4"/>
  <c r="F298" i="4"/>
  <c r="I303" i="4"/>
  <c r="G304" i="4" a="1"/>
  <c r="G304" i="4" s="1"/>
  <c r="H311" i="4"/>
  <c r="I315" i="4"/>
  <c r="G323" i="4" a="1"/>
  <c r="G323" i="4" s="1"/>
  <c r="I326" i="4"/>
  <c r="I330" i="4"/>
  <c r="H334" i="4"/>
  <c r="F335" i="4"/>
  <c r="H338" i="4"/>
  <c r="I341" i="4"/>
  <c r="I345" i="4"/>
  <c r="H349" i="4"/>
  <c r="H360" i="4"/>
  <c r="F362" i="4"/>
  <c r="I367" i="4"/>
  <c r="G368" i="4" a="1"/>
  <c r="G368" i="4" s="1"/>
  <c r="H375" i="4"/>
  <c r="I379" i="4"/>
  <c r="G387" i="4" a="1"/>
  <c r="G387" i="4" s="1"/>
  <c r="I390" i="4"/>
  <c r="I394" i="4"/>
  <c r="H398" i="4"/>
  <c r="F399" i="4"/>
  <c r="H402" i="4"/>
  <c r="I405" i="4"/>
  <c r="I409" i="4"/>
  <c r="H413" i="4"/>
  <c r="H424" i="4"/>
  <c r="F426" i="4"/>
  <c r="I431" i="4"/>
  <c r="G432" i="4" a="1"/>
  <c r="G432" i="4" s="1"/>
  <c r="H439" i="4"/>
  <c r="I443" i="4"/>
  <c r="G451" i="4" a="1"/>
  <c r="G451" i="4" s="1"/>
  <c r="I454" i="4"/>
  <c r="I458" i="4"/>
  <c r="H462" i="4"/>
  <c r="F463" i="4"/>
  <c r="H466" i="4"/>
  <c r="I469" i="4"/>
  <c r="I473" i="4"/>
  <c r="H477" i="4"/>
  <c r="H488" i="4"/>
  <c r="F490" i="4"/>
  <c r="I495" i="4"/>
  <c r="G496" i="4" a="1"/>
  <c r="G496" i="4" s="1"/>
  <c r="H503" i="4"/>
  <c r="I507" i="4"/>
  <c r="I515" i="4"/>
  <c r="F518" i="4"/>
  <c r="F519" i="4"/>
  <c r="I522" i="4"/>
  <c r="F524" i="4"/>
  <c r="I528" i="4"/>
  <c r="H533" i="4"/>
  <c r="F537" i="4"/>
  <c r="H549" i="4"/>
  <c r="G551" i="4" a="1"/>
  <c r="G551" i="4" s="1"/>
  <c r="F552" i="4"/>
  <c r="I555" i="4"/>
  <c r="F563" i="4"/>
  <c r="I568" i="4"/>
  <c r="I578" i="4"/>
  <c r="H579" i="4"/>
  <c r="F580" i="4"/>
  <c r="H586" i="4"/>
  <c r="H591" i="4"/>
  <c r="F599" i="4"/>
  <c r="I603" i="4"/>
  <c r="I608" i="4"/>
  <c r="G613" i="4" a="1"/>
  <c r="G613" i="4" s="1"/>
  <c r="F615" i="4"/>
  <c r="H619" i="4"/>
  <c r="F620" i="4"/>
  <c r="I624" i="4"/>
  <c r="G632" i="4" a="1"/>
  <c r="G632" i="4" s="1"/>
  <c r="I636" i="4"/>
  <c r="H637" i="4"/>
  <c r="F639" i="4"/>
  <c r="H642" i="4"/>
  <c r="I654" i="4"/>
  <c r="H666" i="4"/>
  <c r="F668" i="4"/>
  <c r="G672" i="4" a="1"/>
  <c r="G672" i="4" s="1"/>
  <c r="I682" i="4"/>
  <c r="G688" i="4" a="1"/>
  <c r="G688" i="4" s="1"/>
  <c r="G700" i="4" a="1"/>
  <c r="G700" i="4" s="1"/>
  <c r="F702" i="4"/>
  <c r="F721" i="4"/>
  <c r="I722" i="4"/>
  <c r="F725" i="4"/>
  <c r="G730" i="4" a="1"/>
  <c r="G730" i="4" s="1"/>
  <c r="I735" i="4"/>
  <c r="H746" i="4"/>
  <c r="F747" i="4"/>
  <c r="I763" i="4"/>
  <c r="I775" i="4"/>
  <c r="F778" i="4"/>
  <c r="H781" i="4"/>
  <c r="F783" i="4"/>
  <c r="H786" i="4"/>
  <c r="H798" i="4"/>
  <c r="F800" i="4"/>
  <c r="I814" i="4"/>
  <c r="H820" i="4"/>
  <c r="H827" i="4"/>
  <c r="F828" i="4"/>
  <c r="F834" i="4"/>
  <c r="I838" i="4"/>
  <c r="H839" i="4"/>
  <c r="I844" i="4"/>
  <c r="G845" i="4" a="1"/>
  <c r="G845" i="4" s="1"/>
  <c r="F852" i="4"/>
  <c r="H861" i="4"/>
  <c r="I866" i="4"/>
  <c r="I872" i="4"/>
  <c r="I876" i="4"/>
  <c r="G879" i="4" a="1"/>
  <c r="G879" i="4" s="1"/>
  <c r="I883" i="4"/>
  <c r="G884" i="4" a="1"/>
  <c r="G884" i="4" s="1"/>
  <c r="I895" i="4"/>
  <c r="I900" i="4"/>
  <c r="I919" i="4"/>
  <c r="F35" i="5"/>
  <c r="F46" i="5"/>
  <c r="F66" i="5"/>
  <c r="F70" i="5"/>
  <c r="F78" i="5"/>
  <c r="F94" i="5"/>
  <c r="F101" i="5"/>
  <c r="F143" i="5"/>
  <c r="F147" i="5"/>
  <c r="F152" i="5"/>
  <c r="F154" i="5"/>
  <c r="F178" i="5"/>
  <c r="F194" i="5"/>
  <c r="J32" i="6"/>
  <c r="K32" i="6"/>
  <c r="J40" i="6"/>
  <c r="L40" i="6" s="1"/>
  <c r="K40" i="6"/>
  <c r="I52" i="6"/>
  <c r="K52" i="6"/>
  <c r="J52" i="6"/>
  <c r="I65" i="6"/>
  <c r="J65" i="6"/>
  <c r="K65" i="6"/>
  <c r="J115" i="6"/>
  <c r="K115" i="6"/>
  <c r="I115" i="6"/>
  <c r="I372" i="6"/>
  <c r="K372" i="6"/>
  <c r="J372" i="6"/>
  <c r="I385" i="6"/>
  <c r="J385" i="6"/>
  <c r="J406" i="6"/>
  <c r="K542" i="6"/>
  <c r="K551" i="6"/>
  <c r="J551" i="6"/>
  <c r="I551" i="6"/>
  <c r="L551" i="6" s="1"/>
  <c r="K645" i="6"/>
  <c r="J645" i="6"/>
  <c r="I645" i="6"/>
  <c r="L645" i="6" s="1"/>
  <c r="K649" i="6"/>
  <c r="J649" i="6"/>
  <c r="I649" i="6"/>
  <c r="J661" i="6"/>
  <c r="K696" i="6"/>
  <c r="I770" i="6"/>
  <c r="I794" i="6"/>
  <c r="J808" i="6"/>
  <c r="K808" i="6"/>
  <c r="I808" i="6"/>
  <c r="F34" i="4"/>
  <c r="F42" i="4"/>
  <c r="F50" i="4"/>
  <c r="F58" i="4"/>
  <c r="F66" i="4"/>
  <c r="F74" i="4"/>
  <c r="F82" i="4"/>
  <c r="F90" i="4"/>
  <c r="F98" i="4"/>
  <c r="F106" i="4"/>
  <c r="F114" i="4"/>
  <c r="F122" i="4"/>
  <c r="F130" i="4"/>
  <c r="F138" i="4"/>
  <c r="F146" i="4"/>
  <c r="F154" i="4"/>
  <c r="F162" i="4"/>
  <c r="F170" i="4"/>
  <c r="F173" i="4"/>
  <c r="F176" i="4"/>
  <c r="F191" i="4"/>
  <c r="B74" i="2" s="1"/>
  <c r="B75" i="2" s="1"/>
  <c r="E75" i="2" s="1"/>
  <c r="F199" i="4"/>
  <c r="F207" i="4"/>
  <c r="F215" i="4"/>
  <c r="F219" i="4"/>
  <c r="F220" i="4"/>
  <c r="G226" i="4" a="1"/>
  <c r="G226" i="4" s="1"/>
  <c r="F230" i="4"/>
  <c r="F249" i="4"/>
  <c r="F253" i="4"/>
  <c r="F264" i="4"/>
  <c r="F279" i="4"/>
  <c r="F283" i="4"/>
  <c r="F284" i="4"/>
  <c r="G290" i="4" a="1"/>
  <c r="G290" i="4" s="1"/>
  <c r="F294" i="4"/>
  <c r="F313" i="4"/>
  <c r="F317" i="4"/>
  <c r="F328" i="4"/>
  <c r="F343" i="4"/>
  <c r="F347" i="4"/>
  <c r="F348" i="4"/>
  <c r="G354" i="4" a="1"/>
  <c r="G354" i="4" s="1"/>
  <c r="F358" i="4"/>
  <c r="F377" i="4"/>
  <c r="F381" i="4"/>
  <c r="F392" i="4"/>
  <c r="F407" i="4"/>
  <c r="F411" i="4"/>
  <c r="F412" i="4"/>
  <c r="G418" i="4" a="1"/>
  <c r="G418" i="4" s="1"/>
  <c r="F422" i="4"/>
  <c r="F441" i="4"/>
  <c r="F445" i="4"/>
  <c r="F456" i="4"/>
  <c r="F471" i="4"/>
  <c r="F475" i="4"/>
  <c r="F476" i="4"/>
  <c r="G482" i="4" a="1"/>
  <c r="G482" i="4" s="1"/>
  <c r="F486" i="4"/>
  <c r="F505" i="4"/>
  <c r="F509" i="4"/>
  <c r="G518" i="4" a="1"/>
  <c r="G518" i="4" s="1"/>
  <c r="H520" i="4"/>
  <c r="G520" i="4" a="1"/>
  <c r="G520" i="4" s="1"/>
  <c r="G524" i="4" a="1"/>
  <c r="G524" i="4" s="1"/>
  <c r="F525" i="4"/>
  <c r="F530" i="4"/>
  <c r="G535" i="4" a="1"/>
  <c r="G535" i="4" s="1"/>
  <c r="H551" i="4"/>
  <c r="F557" i="4"/>
  <c r="F559" i="4"/>
  <c r="F564" i="4"/>
  <c r="F566" i="4"/>
  <c r="G575" i="4" a="1"/>
  <c r="G575" i="4" s="1"/>
  <c r="F577" i="4"/>
  <c r="G577" i="4" a="1"/>
  <c r="G577" i="4" s="1"/>
  <c r="F588" i="4"/>
  <c r="G593" i="4" a="1"/>
  <c r="G593" i="4" s="1"/>
  <c r="F601" i="4"/>
  <c r="F605" i="4"/>
  <c r="F610" i="4"/>
  <c r="G611" i="4" a="1"/>
  <c r="G611" i="4" s="1"/>
  <c r="F611" i="4"/>
  <c r="G615" i="4" a="1"/>
  <c r="G615" i="4" s="1"/>
  <c r="I629" i="4"/>
  <c r="G629" i="4" a="1"/>
  <c r="G629" i="4" s="1"/>
  <c r="H640" i="4"/>
  <c r="I640" i="4"/>
  <c r="F644" i="4"/>
  <c r="F651" i="4"/>
  <c r="G661" i="4" a="1"/>
  <c r="G661" i="4" s="1"/>
  <c r="H664" i="4"/>
  <c r="F664" i="4"/>
  <c r="F678" i="4"/>
  <c r="F684" i="4"/>
  <c r="I685" i="4"/>
  <c r="H685" i="4"/>
  <c r="F690" i="4"/>
  <c r="G702" i="4" a="1"/>
  <c r="G702" i="4" s="1"/>
  <c r="I709" i="4"/>
  <c r="F709" i="4"/>
  <c r="G714" i="4" a="1"/>
  <c r="G714" i="4" s="1"/>
  <c r="G719" i="4" a="1"/>
  <c r="G719" i="4" s="1"/>
  <c r="F720" i="4"/>
  <c r="G724" i="4" a="1"/>
  <c r="G724" i="4" s="1"/>
  <c r="F726" i="4"/>
  <c r="F732" i="4"/>
  <c r="F762" i="4"/>
  <c r="F766" i="4"/>
  <c r="F771" i="4"/>
  <c r="G779" i="4" a="1"/>
  <c r="G779" i="4" s="1"/>
  <c r="I779" i="4"/>
  <c r="F785" i="4"/>
  <c r="F795" i="4"/>
  <c r="F805" i="4"/>
  <c r="F811" i="4"/>
  <c r="F824" i="4"/>
  <c r="F825" i="4"/>
  <c r="H825" i="4"/>
  <c r="F829" i="4"/>
  <c r="G841" i="4" a="1"/>
  <c r="G841" i="4" s="1"/>
  <c r="F851" i="4"/>
  <c r="H863" i="4"/>
  <c r="F864" i="4"/>
  <c r="F865" i="4"/>
  <c r="H879" i="4"/>
  <c r="F880" i="4"/>
  <c r="F881" i="4"/>
  <c r="I881" i="4"/>
  <c r="F892" i="4"/>
  <c r="F898" i="4"/>
  <c r="F904" i="4"/>
  <c r="F910" i="4"/>
  <c r="F916" i="4"/>
  <c r="F5" i="5"/>
  <c r="F13" i="5"/>
  <c r="F34" i="5"/>
  <c r="F52" i="5"/>
  <c r="F73" i="5"/>
  <c r="F105" i="5"/>
  <c r="J165" i="5"/>
  <c r="D165" i="5" a="1"/>
  <c r="D165" i="5" s="1"/>
  <c r="E165" i="5" a="1"/>
  <c r="E165" i="5" s="1"/>
  <c r="G183" i="4" s="1" a="1"/>
  <c r="G183" i="4" s="1"/>
  <c r="E172" i="5" a="1"/>
  <c r="E172" i="5" s="1"/>
  <c r="J172" i="5"/>
  <c r="L32" i="6"/>
  <c r="K118" i="6"/>
  <c r="J118" i="6"/>
  <c r="I118" i="6"/>
  <c r="L118" i="6" s="1"/>
  <c r="J307" i="6"/>
  <c r="K307" i="6"/>
  <c r="I307" i="6"/>
  <c r="L307" i="6" s="1"/>
  <c r="K375" i="6"/>
  <c r="J375" i="6"/>
  <c r="I375" i="6"/>
  <c r="I401" i="6"/>
  <c r="J401" i="6"/>
  <c r="K401" i="6"/>
  <c r="K438" i="6"/>
  <c r="J438" i="6"/>
  <c r="I438" i="6"/>
  <c r="K635" i="6"/>
  <c r="J635" i="6"/>
  <c r="I635" i="6"/>
  <c r="L635" i="6" s="1"/>
  <c r="J770" i="6"/>
  <c r="H226" i="4"/>
  <c r="F228" i="4"/>
  <c r="G234" i="4" a="1"/>
  <c r="G234" i="4" s="1"/>
  <c r="G249" i="4" a="1"/>
  <c r="G249" i="4" s="1"/>
  <c r="F250" i="4"/>
  <c r="G268" i="4" a="1"/>
  <c r="G268" i="4" s="1"/>
  <c r="G271" i="4" a="1"/>
  <c r="G271" i="4" s="1"/>
  <c r="H290" i="4"/>
  <c r="F292" i="4"/>
  <c r="G298" i="4" a="1"/>
  <c r="G298" i="4" s="1"/>
  <c r="G313" i="4" a="1"/>
  <c r="G313" i="4" s="1"/>
  <c r="F314" i="4"/>
  <c r="G332" i="4" a="1"/>
  <c r="G332" i="4" s="1"/>
  <c r="G335" i="4" a="1"/>
  <c r="G335" i="4" s="1"/>
  <c r="H354" i="4"/>
  <c r="F356" i="4"/>
  <c r="G362" i="4" a="1"/>
  <c r="G362" i="4" s="1"/>
  <c r="G377" i="4" a="1"/>
  <c r="G377" i="4" s="1"/>
  <c r="F378" i="4"/>
  <c r="G396" i="4" a="1"/>
  <c r="G396" i="4" s="1"/>
  <c r="G399" i="4" a="1"/>
  <c r="G399" i="4" s="1"/>
  <c r="H418" i="4"/>
  <c r="F420" i="4"/>
  <c r="G426" i="4" a="1"/>
  <c r="G426" i="4" s="1"/>
  <c r="G441" i="4" a="1"/>
  <c r="G441" i="4" s="1"/>
  <c r="F442" i="4"/>
  <c r="G460" i="4" a="1"/>
  <c r="G460" i="4" s="1"/>
  <c r="G463" i="4" a="1"/>
  <c r="G463" i="4" s="1"/>
  <c r="H482" i="4"/>
  <c r="F484" i="4"/>
  <c r="G490" i="4" a="1"/>
  <c r="G490" i="4" s="1"/>
  <c r="G505" i="4" a="1"/>
  <c r="G505" i="4" s="1"/>
  <c r="F506" i="4"/>
  <c r="H518" i="4"/>
  <c r="G519" i="4" a="1"/>
  <c r="G519" i="4" s="1"/>
  <c r="F521" i="4"/>
  <c r="H524" i="4"/>
  <c r="G531" i="4" a="1"/>
  <c r="G531" i="4" s="1"/>
  <c r="H531" i="4"/>
  <c r="I535" i="4"/>
  <c r="G536" i="4" a="1"/>
  <c r="G536" i="4" s="1"/>
  <c r="F543" i="4"/>
  <c r="G552" i="4" a="1"/>
  <c r="G552" i="4" s="1"/>
  <c r="G553" i="4" a="1"/>
  <c r="G553" i="4" s="1"/>
  <c r="H563" i="4"/>
  <c r="H575" i="4"/>
  <c r="H580" i="4"/>
  <c r="G581" i="4" a="1"/>
  <c r="G581" i="4" s="1"/>
  <c r="H584" i="4"/>
  <c r="G584" i="4" a="1"/>
  <c r="G584" i="4" s="1"/>
  <c r="G588" i="4" a="1"/>
  <c r="G588" i="4" s="1"/>
  <c r="H593" i="4"/>
  <c r="G599" i="4" a="1"/>
  <c r="G599" i="4" s="1"/>
  <c r="H615" i="4"/>
  <c r="G620" i="4" a="1"/>
  <c r="G620" i="4" s="1"/>
  <c r="F623" i="4"/>
  <c r="F630" i="4"/>
  <c r="G634" i="4" a="1"/>
  <c r="G634" i="4" s="1"/>
  <c r="G639" i="4" a="1"/>
  <c r="G639" i="4" s="1"/>
  <c r="F641" i="4"/>
  <c r="G641" i="4" a="1"/>
  <c r="G641" i="4" s="1"/>
  <c r="F646" i="4"/>
  <c r="F647" i="4"/>
  <c r="G657" i="4" a="1"/>
  <c r="G657" i="4" s="1"/>
  <c r="H661" i="4"/>
  <c r="F665" i="4"/>
  <c r="G668" i="4" a="1"/>
  <c r="G668" i="4" s="1"/>
  <c r="G675" i="4" a="1"/>
  <c r="G675" i="4" s="1"/>
  <c r="F675" i="4"/>
  <c r="G678" i="4" a="1"/>
  <c r="G678" i="4" s="1"/>
  <c r="F680" i="4"/>
  <c r="G690" i="4" a="1"/>
  <c r="G690" i="4" s="1"/>
  <c r="F691" i="4"/>
  <c r="I693" i="4"/>
  <c r="G693" i="4" a="1"/>
  <c r="G693" i="4" s="1"/>
  <c r="G697" i="4" a="1"/>
  <c r="G697" i="4" s="1"/>
  <c r="H702" i="4"/>
  <c r="H704" i="4"/>
  <c r="I704" i="4"/>
  <c r="H714" i="4"/>
  <c r="H719" i="4"/>
  <c r="G720" i="4" a="1"/>
  <c r="G720" i="4" s="1"/>
  <c r="H724" i="4"/>
  <c r="G725" i="4" a="1"/>
  <c r="G725" i="4" s="1"/>
  <c r="G726" i="4" a="1"/>
  <c r="G726" i="4" s="1"/>
  <c r="F727" i="4"/>
  <c r="H728" i="4"/>
  <c r="F728" i="4"/>
  <c r="G737" i="4" a="1"/>
  <c r="G737" i="4" s="1"/>
  <c r="F743" i="4"/>
  <c r="F745" i="4"/>
  <c r="H747" i="4"/>
  <c r="I749" i="4"/>
  <c r="H749" i="4"/>
  <c r="G753" i="4" a="1"/>
  <c r="G753" i="4" s="1"/>
  <c r="G766" i="4" a="1"/>
  <c r="G766" i="4" s="1"/>
  <c r="F767" i="4"/>
  <c r="I773" i="4"/>
  <c r="F773" i="4"/>
  <c r="G778" i="4" a="1"/>
  <c r="G778" i="4" s="1"/>
  <c r="G783" i="4" a="1"/>
  <c r="G783" i="4" s="1"/>
  <c r="G788" i="4" a="1"/>
  <c r="G788" i="4" s="1"/>
  <c r="H795" i="4"/>
  <c r="G800" i="4" a="1"/>
  <c r="G800" i="4" s="1"/>
  <c r="G828" i="4" a="1"/>
  <c r="G828" i="4" s="1"/>
  <c r="G829" i="4" a="1"/>
  <c r="G829" i="4" s="1"/>
  <c r="G834" i="4" a="1"/>
  <c r="G834" i="4" s="1"/>
  <c r="H841" i="4"/>
  <c r="G843" i="4" a="1"/>
  <c r="G843" i="4" s="1"/>
  <c r="I843" i="4"/>
  <c r="F849" i="4"/>
  <c r="F853" i="4"/>
  <c r="I863" i="4"/>
  <c r="I879" i="4"/>
  <c r="F889" i="4"/>
  <c r="H889" i="4"/>
  <c r="F906" i="4"/>
  <c r="G910" i="4" a="1"/>
  <c r="G910" i="4" s="1"/>
  <c r="F911" i="4"/>
  <c r="F28" i="5"/>
  <c r="F50" i="5"/>
  <c r="F75" i="5"/>
  <c r="F98" i="5"/>
  <c r="F125" i="5"/>
  <c r="F136" i="5"/>
  <c r="F138" i="5"/>
  <c r="F140" i="5"/>
  <c r="F161" i="5"/>
  <c r="B165" i="5"/>
  <c r="B172" i="5"/>
  <c r="J155" i="6"/>
  <c r="K155" i="6"/>
  <c r="K310" i="6"/>
  <c r="J310" i="6"/>
  <c r="I310" i="6"/>
  <c r="L427" i="6"/>
  <c r="K503" i="6"/>
  <c r="J503" i="6"/>
  <c r="I503" i="6"/>
  <c r="J680" i="6"/>
  <c r="K680" i="6"/>
  <c r="F189" i="4"/>
  <c r="G191" i="4" a="1"/>
  <c r="G191" i="4" s="1"/>
  <c r="F197" i="4"/>
  <c r="G199" i="4" a="1"/>
  <c r="G199" i="4" s="1"/>
  <c r="F205" i="4"/>
  <c r="G207" i="4" a="1"/>
  <c r="G207" i="4" s="1"/>
  <c r="F213" i="4"/>
  <c r="G215" i="4" a="1"/>
  <c r="G215" i="4" s="1"/>
  <c r="F216" i="4"/>
  <c r="G219" i="4" a="1"/>
  <c r="G219" i="4" s="1"/>
  <c r="H230" i="4"/>
  <c r="F231" i="4"/>
  <c r="H234" i="4"/>
  <c r="F235" i="4"/>
  <c r="F236" i="4"/>
  <c r="F246" i="4"/>
  <c r="H249" i="4"/>
  <c r="G253" i="4" a="1"/>
  <c r="G253" i="4" s="1"/>
  <c r="F258" i="4"/>
  <c r="G264" i="4" a="1"/>
  <c r="G264" i="4" s="1"/>
  <c r="F265" i="4"/>
  <c r="H268" i="4"/>
  <c r="F269" i="4"/>
  <c r="H271" i="4"/>
  <c r="G279" i="4" a="1"/>
  <c r="G279" i="4" s="1"/>
  <c r="F280" i="4"/>
  <c r="G283" i="4" a="1"/>
  <c r="G283" i="4" s="1"/>
  <c r="H294" i="4"/>
  <c r="F295" i="4"/>
  <c r="H298" i="4"/>
  <c r="F299" i="4"/>
  <c r="F300" i="4"/>
  <c r="F310" i="4"/>
  <c r="H313" i="4"/>
  <c r="G317" i="4" a="1"/>
  <c r="G317" i="4" s="1"/>
  <c r="F322" i="4"/>
  <c r="G328" i="4" a="1"/>
  <c r="G328" i="4" s="1"/>
  <c r="F329" i="4"/>
  <c r="H332" i="4"/>
  <c r="F333" i="4"/>
  <c r="H335" i="4"/>
  <c r="G343" i="4" a="1"/>
  <c r="G343" i="4" s="1"/>
  <c r="F344" i="4"/>
  <c r="G347" i="4" a="1"/>
  <c r="G347" i="4" s="1"/>
  <c r="H358" i="4"/>
  <c r="F359" i="4"/>
  <c r="H362" i="4"/>
  <c r="F363" i="4"/>
  <c r="F364" i="4"/>
  <c r="F374" i="4"/>
  <c r="H377" i="4"/>
  <c r="G381" i="4" a="1"/>
  <c r="G381" i="4" s="1"/>
  <c r="F386" i="4"/>
  <c r="G392" i="4" a="1"/>
  <c r="G392" i="4" s="1"/>
  <c r="F393" i="4"/>
  <c r="H396" i="4"/>
  <c r="F397" i="4"/>
  <c r="H399" i="4"/>
  <c r="G407" i="4" a="1"/>
  <c r="G407" i="4" s="1"/>
  <c r="F408" i="4"/>
  <c r="G411" i="4" a="1"/>
  <c r="G411" i="4" s="1"/>
  <c r="H422" i="4"/>
  <c r="F423" i="4"/>
  <c r="H426" i="4"/>
  <c r="F427" i="4"/>
  <c r="F428" i="4"/>
  <c r="F438" i="4"/>
  <c r="H441" i="4"/>
  <c r="G445" i="4" a="1"/>
  <c r="G445" i="4" s="1"/>
  <c r="F450" i="4"/>
  <c r="G456" i="4" a="1"/>
  <c r="G456" i="4" s="1"/>
  <c r="F457" i="4"/>
  <c r="H460" i="4"/>
  <c r="F461" i="4"/>
  <c r="H463" i="4"/>
  <c r="G471" i="4" a="1"/>
  <c r="G471" i="4" s="1"/>
  <c r="F472" i="4"/>
  <c r="G475" i="4" a="1"/>
  <c r="G475" i="4" s="1"/>
  <c r="H486" i="4"/>
  <c r="F487" i="4"/>
  <c r="H490" i="4"/>
  <c r="F491" i="4"/>
  <c r="F492" i="4"/>
  <c r="F502" i="4"/>
  <c r="H505" i="4"/>
  <c r="G509" i="4" a="1"/>
  <c r="G509" i="4" s="1"/>
  <c r="F514" i="4"/>
  <c r="H519" i="4"/>
  <c r="F520" i="4"/>
  <c r="G525" i="4" a="1"/>
  <c r="G525" i="4" s="1"/>
  <c r="F526" i="4"/>
  <c r="G530" i="4" a="1"/>
  <c r="G530" i="4" s="1"/>
  <c r="F532" i="4"/>
  <c r="I536" i="4"/>
  <c r="F538" i="4"/>
  <c r="I552" i="4"/>
  <c r="H553" i="4"/>
  <c r="F554" i="4"/>
  <c r="G557" i="4" a="1"/>
  <c r="G557" i="4" s="1"/>
  <c r="G559" i="4" a="1"/>
  <c r="G559" i="4" s="1"/>
  <c r="I563" i="4"/>
  <c r="G564" i="4" a="1"/>
  <c r="G564" i="4" s="1"/>
  <c r="G566" i="4" a="1"/>
  <c r="G566" i="4" s="1"/>
  <c r="I580" i="4"/>
  <c r="H581" i="4"/>
  <c r="F585" i="4"/>
  <c r="H588" i="4"/>
  <c r="I593" i="4"/>
  <c r="G595" i="4" a="1"/>
  <c r="G595" i="4" s="1"/>
  <c r="H595" i="4"/>
  <c r="I599" i="4"/>
  <c r="G601" i="4" a="1"/>
  <c r="G601" i="4" s="1"/>
  <c r="G605" i="4" a="1"/>
  <c r="G605" i="4" s="1"/>
  <c r="F606" i="4"/>
  <c r="F607" i="4"/>
  <c r="G610" i="4" a="1"/>
  <c r="G610" i="4" s="1"/>
  <c r="H620" i="4"/>
  <c r="F622" i="4"/>
  <c r="F629" i="4"/>
  <c r="H634" i="4"/>
  <c r="F635" i="4"/>
  <c r="H639" i="4"/>
  <c r="F640" i="4"/>
  <c r="H644" i="4"/>
  <c r="G646" i="4" a="1"/>
  <c r="G646" i="4" s="1"/>
  <c r="H648" i="4"/>
  <c r="G648" i="4" a="1"/>
  <c r="G648" i="4" s="1"/>
  <c r="H651" i="4"/>
  <c r="F653" i="4"/>
  <c r="H657" i="4"/>
  <c r="F658" i="4"/>
  <c r="H668" i="4"/>
  <c r="I678" i="4"/>
  <c r="G684" i="4" a="1"/>
  <c r="G684" i="4" s="1"/>
  <c r="F685" i="4"/>
  <c r="F687" i="4"/>
  <c r="H690" i="4"/>
  <c r="F692" i="4"/>
  <c r="F694" i="4"/>
  <c r="I697" i="4"/>
  <c r="F705" i="4"/>
  <c r="G705" i="4" a="1"/>
  <c r="G705" i="4" s="1"/>
  <c r="F710" i="4"/>
  <c r="F711" i="4"/>
  <c r="F716" i="4"/>
  <c r="I720" i="4"/>
  <c r="I724" i="4"/>
  <c r="H725" i="4"/>
  <c r="H726" i="4"/>
  <c r="F729" i="4"/>
  <c r="G732" i="4" a="1"/>
  <c r="G732" i="4" s="1"/>
  <c r="F733" i="4"/>
  <c r="H737" i="4"/>
  <c r="F738" i="4"/>
  <c r="G739" i="4" a="1"/>
  <c r="G739" i="4" s="1"/>
  <c r="F739" i="4"/>
  <c r="G743" i="4" a="1"/>
  <c r="G743" i="4" s="1"/>
  <c r="F744" i="4"/>
  <c r="I747" i="4"/>
  <c r="H753" i="4"/>
  <c r="F755" i="4"/>
  <c r="I757" i="4"/>
  <c r="G757" i="4" a="1"/>
  <c r="G757" i="4" s="1"/>
  <c r="H766" i="4"/>
  <c r="H768" i="4"/>
  <c r="I768" i="4"/>
  <c r="H771" i="4"/>
  <c r="F772" i="4"/>
  <c r="H778" i="4"/>
  <c r="F779" i="4"/>
  <c r="H783" i="4"/>
  <c r="H788" i="4"/>
  <c r="F791" i="4"/>
  <c r="H792" i="4"/>
  <c r="F792" i="4"/>
  <c r="I795" i="4"/>
  <c r="I800" i="4"/>
  <c r="G805" i="4" a="1"/>
  <c r="G805" i="4" s="1"/>
  <c r="F806" i="4"/>
  <c r="F807" i="4"/>
  <c r="F809" i="4"/>
  <c r="H811" i="4"/>
  <c r="F812" i="4"/>
  <c r="I813" i="4"/>
  <c r="H813" i="4"/>
  <c r="F818" i="4"/>
  <c r="G824" i="4" a="1"/>
  <c r="G824" i="4" s="1"/>
  <c r="I828" i="4"/>
  <c r="H829" i="4"/>
  <c r="F831" i="4"/>
  <c r="H834" i="4"/>
  <c r="I837" i="4"/>
  <c r="F837" i="4"/>
  <c r="I841" i="4"/>
  <c r="F848" i="4"/>
  <c r="I851" i="4"/>
  <c r="F854" i="4"/>
  <c r="F860" i="4"/>
  <c r="G864" i="4" a="1"/>
  <c r="G864" i="4" s="1"/>
  <c r="G880" i="4" a="1"/>
  <c r="G880" i="4" s="1"/>
  <c r="F890" i="4"/>
  <c r="G892" i="4" a="1"/>
  <c r="G892" i="4" s="1"/>
  <c r="F894" i="4"/>
  <c r="G898" i="4" a="1"/>
  <c r="G898" i="4" s="1"/>
  <c r="F899" i="4"/>
  <c r="I904" i="4"/>
  <c r="G907" i="4" a="1"/>
  <c r="G907" i="4" s="1"/>
  <c r="I907" i="4"/>
  <c r="H910" i="4"/>
  <c r="F913" i="4"/>
  <c r="F917" i="4"/>
  <c r="F19" i="5"/>
  <c r="F41" i="5"/>
  <c r="F45" i="5"/>
  <c r="F48" i="5"/>
  <c r="F61" i="5"/>
  <c r="F65" i="5"/>
  <c r="F72" i="5"/>
  <c r="F81" i="5"/>
  <c r="F111" i="5"/>
  <c r="F116" i="5"/>
  <c r="F118" i="5"/>
  <c r="F127" i="5"/>
  <c r="F146" i="5"/>
  <c r="F148" i="5"/>
  <c r="F151" i="5"/>
  <c r="F153" i="5"/>
  <c r="D172" i="5" a="1"/>
  <c r="D172" i="5" s="1"/>
  <c r="F186" i="5"/>
  <c r="F198" i="5"/>
  <c r="I11" i="7" a="1"/>
  <c r="I11" i="7" s="1"/>
  <c r="M11" i="7" s="1"/>
  <c r="I8" i="7" a="1"/>
  <c r="I8" i="7" s="1"/>
  <c r="M8" i="7" s="1"/>
  <c r="I5" i="7" a="1"/>
  <c r="I5" i="7" s="1"/>
  <c r="M5" i="7" s="1"/>
  <c r="I4" i="7" a="1"/>
  <c r="I4" i="7" s="1"/>
  <c r="I17" i="7" a="1"/>
  <c r="I17" i="7" s="1"/>
  <c r="M17" i="7" s="1"/>
  <c r="I13" i="7" a="1"/>
  <c r="I13" i="7" s="1"/>
  <c r="M13" i="7" s="1"/>
  <c r="I15" i="7" a="1"/>
  <c r="I15" i="7" s="1"/>
  <c r="M15" i="7" s="1"/>
  <c r="I9" i="7" a="1"/>
  <c r="I9" i="7" s="1"/>
  <c r="M9" i="7" s="1"/>
  <c r="I7" i="7" a="1"/>
  <c r="I7" i="7" s="1"/>
  <c r="M7" i="7" s="1"/>
  <c r="E16" i="7" a="1"/>
  <c r="E16" i="7" s="1"/>
  <c r="I12" i="7" a="1"/>
  <c r="I12" i="7" s="1"/>
  <c r="M12" i="7" s="1"/>
  <c r="I17" i="6"/>
  <c r="J17" i="6"/>
  <c r="I155" i="6"/>
  <c r="L155" i="6" s="1"/>
  <c r="K167" i="6"/>
  <c r="J167" i="6"/>
  <c r="I167" i="6"/>
  <c r="J224" i="6"/>
  <c r="K224" i="6"/>
  <c r="J232" i="6"/>
  <c r="K232" i="6"/>
  <c r="J248" i="6"/>
  <c r="K248" i="6"/>
  <c r="I248" i="6"/>
  <c r="J440" i="6"/>
  <c r="K440" i="6"/>
  <c r="I440" i="6"/>
  <c r="K572" i="6"/>
  <c r="I572" i="6"/>
  <c r="J572" i="6"/>
  <c r="K609" i="6"/>
  <c r="I609" i="6"/>
  <c r="I680" i="6"/>
  <c r="L680" i="6" s="1"/>
  <c r="H191" i="4"/>
  <c r="H199" i="4"/>
  <c r="H207" i="4"/>
  <c r="H215" i="4"/>
  <c r="I219" i="4"/>
  <c r="G220" i="4" a="1"/>
  <c r="G220" i="4" s="1"/>
  <c r="F224" i="4"/>
  <c r="I230" i="4"/>
  <c r="F243" i="4"/>
  <c r="F244" i="4"/>
  <c r="G250" i="4" a="1"/>
  <c r="G250" i="4" s="1"/>
  <c r="H253" i="4"/>
  <c r="F254" i="4"/>
  <c r="H264" i="4"/>
  <c r="G265" i="4" a="1"/>
  <c r="G265" i="4" s="1"/>
  <c r="I268" i="4"/>
  <c r="F273" i="4"/>
  <c r="H279" i="4"/>
  <c r="I283" i="4"/>
  <c r="G284" i="4" a="1"/>
  <c r="G284" i="4" s="1"/>
  <c r="F288" i="4"/>
  <c r="I294" i="4"/>
  <c r="F307" i="4"/>
  <c r="F308" i="4"/>
  <c r="G314" i="4" a="1"/>
  <c r="G314" i="4" s="1"/>
  <c r="H317" i="4"/>
  <c r="F318" i="4"/>
  <c r="H328" i="4"/>
  <c r="G329" i="4" a="1"/>
  <c r="G329" i="4" s="1"/>
  <c r="I332" i="4"/>
  <c r="F337" i="4"/>
  <c r="H343" i="4"/>
  <c r="I347" i="4"/>
  <c r="G348" i="4" a="1"/>
  <c r="G348" i="4" s="1"/>
  <c r="F352" i="4"/>
  <c r="I358" i="4"/>
  <c r="F371" i="4"/>
  <c r="F372" i="4"/>
  <c r="G378" i="4" a="1"/>
  <c r="G378" i="4" s="1"/>
  <c r="H381" i="4"/>
  <c r="F382" i="4"/>
  <c r="H392" i="4"/>
  <c r="G393" i="4" a="1"/>
  <c r="G393" i="4" s="1"/>
  <c r="I396" i="4"/>
  <c r="F401" i="4"/>
  <c r="H407" i="4"/>
  <c r="I411" i="4"/>
  <c r="G412" i="4" a="1"/>
  <c r="G412" i="4" s="1"/>
  <c r="F416" i="4"/>
  <c r="I422" i="4"/>
  <c r="F435" i="4"/>
  <c r="F436" i="4"/>
  <c r="G442" i="4" a="1"/>
  <c r="G442" i="4" s="1"/>
  <c r="H445" i="4"/>
  <c r="F446" i="4"/>
  <c r="H456" i="4"/>
  <c r="G457" i="4" a="1"/>
  <c r="G457" i="4" s="1"/>
  <c r="I460" i="4"/>
  <c r="F465" i="4"/>
  <c r="H471" i="4"/>
  <c r="I475" i="4"/>
  <c r="G476" i="4" a="1"/>
  <c r="G476" i="4" s="1"/>
  <c r="F480" i="4"/>
  <c r="I486" i="4"/>
  <c r="F499" i="4"/>
  <c r="F500" i="4"/>
  <c r="G506" i="4" a="1"/>
  <c r="G506" i="4" s="1"/>
  <c r="H509" i="4"/>
  <c r="F510" i="4"/>
  <c r="G521" i="4" a="1"/>
  <c r="G521" i="4" s="1"/>
  <c r="H525" i="4"/>
  <c r="G526" i="4" a="1"/>
  <c r="G526" i="4" s="1"/>
  <c r="F527" i="4"/>
  <c r="H530" i="4"/>
  <c r="F531" i="4"/>
  <c r="H543" i="4"/>
  <c r="F544" i="4"/>
  <c r="F545" i="4"/>
  <c r="I553" i="4"/>
  <c r="H559" i="4"/>
  <c r="F560" i="4"/>
  <c r="F561" i="4"/>
  <c r="I561" i="4"/>
  <c r="H564" i="4"/>
  <c r="H566" i="4"/>
  <c r="F572" i="4"/>
  <c r="H577" i="4"/>
  <c r="F584" i="4"/>
  <c r="F590" i="4"/>
  <c r="F596" i="4"/>
  <c r="H601" i="4"/>
  <c r="F602" i="4"/>
  <c r="H605" i="4"/>
  <c r="G606" i="4" a="1"/>
  <c r="G606" i="4" s="1"/>
  <c r="I610" i="4"/>
  <c r="H611" i="4"/>
  <c r="F618" i="4"/>
  <c r="H622" i="4"/>
  <c r="G623" i="4" a="1"/>
  <c r="G623" i="4" s="1"/>
  <c r="G630" i="4" a="1"/>
  <c r="G630" i="4" s="1"/>
  <c r="I634" i="4"/>
  <c r="I644" i="4"/>
  <c r="H646" i="4"/>
  <c r="G647" i="4" a="1"/>
  <c r="G647" i="4" s="1"/>
  <c r="F649" i="4"/>
  <c r="I657" i="4"/>
  <c r="G659" i="4" a="1"/>
  <c r="G659" i="4" s="1"/>
  <c r="H659" i="4"/>
  <c r="G664" i="4" a="1"/>
  <c r="G664" i="4" s="1"/>
  <c r="G665" i="4" a="1"/>
  <c r="G665" i="4" s="1"/>
  <c r="F670" i="4"/>
  <c r="F671" i="4"/>
  <c r="G680" i="4" a="1"/>
  <c r="G680" i="4" s="1"/>
  <c r="G681" i="4" a="1"/>
  <c r="G681" i="4" s="1"/>
  <c r="H684" i="4"/>
  <c r="F686" i="4"/>
  <c r="H691" i="4"/>
  <c r="F693" i="4"/>
  <c r="F699" i="4"/>
  <c r="F704" i="4"/>
  <c r="G709" i="4" a="1"/>
  <c r="G709" i="4" s="1"/>
  <c r="G710" i="4" a="1"/>
  <c r="G710" i="4" s="1"/>
  <c r="H712" i="4"/>
  <c r="G712" i="4" a="1"/>
  <c r="G712" i="4" s="1"/>
  <c r="G716" i="4" a="1"/>
  <c r="G716" i="4" s="1"/>
  <c r="F717" i="4"/>
  <c r="G727" i="4" a="1"/>
  <c r="G727" i="4" s="1"/>
  <c r="H732" i="4"/>
  <c r="I737" i="4"/>
  <c r="H743" i="4"/>
  <c r="F749" i="4"/>
  <c r="F751" i="4"/>
  <c r="F756" i="4"/>
  <c r="F758" i="4"/>
  <c r="G762" i="4" a="1"/>
  <c r="G762" i="4" s="1"/>
  <c r="G767" i="4" a="1"/>
  <c r="G767" i="4" s="1"/>
  <c r="F769" i="4"/>
  <c r="G769" i="4" a="1"/>
  <c r="G769" i="4" s="1"/>
  <c r="I771" i="4"/>
  <c r="F774" i="4"/>
  <c r="F780" i="4"/>
  <c r="G785" i="4" a="1"/>
  <c r="G785" i="4" s="1"/>
  <c r="I788" i="4"/>
  <c r="F793" i="4"/>
  <c r="F797" i="4"/>
  <c r="F802" i="4"/>
  <c r="G803" i="4" a="1"/>
  <c r="G803" i="4" s="1"/>
  <c r="F803" i="4"/>
  <c r="H805" i="4"/>
  <c r="G806" i="4" a="1"/>
  <c r="G806" i="4" s="1"/>
  <c r="G807" i="4" a="1"/>
  <c r="G807" i="4" s="1"/>
  <c r="F808" i="4"/>
  <c r="I811" i="4"/>
  <c r="G818" i="4" a="1"/>
  <c r="G818" i="4" s="1"/>
  <c r="F819" i="4"/>
  <c r="I821" i="4"/>
  <c r="G821" i="4" a="1"/>
  <c r="G821" i="4" s="1"/>
  <c r="I824" i="4"/>
  <c r="G825" i="4" a="1"/>
  <c r="G825" i="4" s="1"/>
  <c r="H832" i="4"/>
  <c r="I832" i="4"/>
  <c r="F836" i="4"/>
  <c r="F843" i="4"/>
  <c r="G848" i="4" a="1"/>
  <c r="G848" i="4" s="1"/>
  <c r="G853" i="4" a="1"/>
  <c r="G853" i="4" s="1"/>
  <c r="G854" i="4" a="1"/>
  <c r="G854" i="4" s="1"/>
  <c r="F855" i="4"/>
  <c r="H856" i="4"/>
  <c r="F856" i="4"/>
  <c r="I864" i="4"/>
  <c r="G865" i="4" a="1"/>
  <c r="G865" i="4" s="1"/>
  <c r="F870" i="4"/>
  <c r="F871" i="4"/>
  <c r="F873" i="4"/>
  <c r="I877" i="4"/>
  <c r="H877" i="4"/>
  <c r="I880" i="4"/>
  <c r="G881" i="4" a="1"/>
  <c r="G881" i="4" s="1"/>
  <c r="F882" i="4"/>
  <c r="I892" i="4"/>
  <c r="G894" i="4" a="1"/>
  <c r="G894" i="4" s="1"/>
  <c r="H898" i="4"/>
  <c r="I901" i="4"/>
  <c r="F901" i="4"/>
  <c r="G906" i="4" a="1"/>
  <c r="G906" i="4" s="1"/>
  <c r="G911" i="4" a="1"/>
  <c r="G911" i="4" s="1"/>
  <c r="F912" i="4"/>
  <c r="G916" i="4" a="1"/>
  <c r="G916" i="4" s="1"/>
  <c r="F918" i="4"/>
  <c r="F4" i="5"/>
  <c r="F8" i="5"/>
  <c r="F32" i="5"/>
  <c r="F33" i="5"/>
  <c r="F54" i="5"/>
  <c r="F57" i="5"/>
  <c r="F79" i="5"/>
  <c r="F93" i="5"/>
  <c r="F120" i="5"/>
  <c r="F155" i="5"/>
  <c r="E166" i="5" a="1"/>
  <c r="E166" i="5" s="1"/>
  <c r="D166" i="5" a="1"/>
  <c r="D166" i="5" s="1"/>
  <c r="B166" i="5"/>
  <c r="J173" i="5"/>
  <c r="D173" i="5" a="1"/>
  <c r="D173" i="5" s="1"/>
  <c r="C76" i="2" s="1"/>
  <c r="D76" i="2" s="1"/>
  <c r="E173" i="5" a="1"/>
  <c r="E173" i="5" s="1"/>
  <c r="M16" i="6"/>
  <c r="V14" i="7"/>
  <c r="Z5" i="7" s="1"/>
  <c r="K17" i="6"/>
  <c r="E14" i="7" s="1" a="1"/>
  <c r="E14" i="7" s="1"/>
  <c r="K214" i="6"/>
  <c r="I214" i="6"/>
  <c r="I217" i="6"/>
  <c r="L217" i="6" s="1"/>
  <c r="K217" i="6"/>
  <c r="J217" i="6"/>
  <c r="I224" i="6"/>
  <c r="L224" i="6" s="1"/>
  <c r="I232" i="6"/>
  <c r="I241" i="6"/>
  <c r="K241" i="6"/>
  <c r="J241" i="6"/>
  <c r="K295" i="6"/>
  <c r="J295" i="6"/>
  <c r="I295" i="6"/>
  <c r="J347" i="6"/>
  <c r="K347" i="6"/>
  <c r="J424" i="6"/>
  <c r="K424" i="6"/>
  <c r="I424" i="6"/>
  <c r="K487" i="6"/>
  <c r="J487" i="6"/>
  <c r="I487" i="6"/>
  <c r="J499" i="6"/>
  <c r="K499" i="6"/>
  <c r="I499" i="6"/>
  <c r="J609" i="6"/>
  <c r="G216" i="4" a="1"/>
  <c r="G216" i="4" s="1"/>
  <c r="H220" i="4"/>
  <c r="G228" i="4" a="1"/>
  <c r="G228" i="4" s="1"/>
  <c r="F232" i="4"/>
  <c r="G235" i="4" a="1"/>
  <c r="G235" i="4" s="1"/>
  <c r="H246" i="4"/>
  <c r="F251" i="4"/>
  <c r="F262" i="4"/>
  <c r="G280" i="4" a="1"/>
  <c r="G280" i="4" s="1"/>
  <c r="H284" i="4"/>
  <c r="G292" i="4" a="1"/>
  <c r="G292" i="4" s="1"/>
  <c r="F296" i="4"/>
  <c r="G299" i="4" a="1"/>
  <c r="G299" i="4" s="1"/>
  <c r="H310" i="4"/>
  <c r="F315" i="4"/>
  <c r="F326" i="4"/>
  <c r="G344" i="4" a="1"/>
  <c r="G344" i="4" s="1"/>
  <c r="H348" i="4"/>
  <c r="G356" i="4" a="1"/>
  <c r="G356" i="4" s="1"/>
  <c r="F360" i="4"/>
  <c r="G363" i="4" a="1"/>
  <c r="G363" i="4" s="1"/>
  <c r="H374" i="4"/>
  <c r="F379" i="4"/>
  <c r="F390" i="4"/>
  <c r="G408" i="4" a="1"/>
  <c r="G408" i="4" s="1"/>
  <c r="H412" i="4"/>
  <c r="G420" i="4" a="1"/>
  <c r="G420" i="4" s="1"/>
  <c r="F424" i="4"/>
  <c r="G427" i="4" a="1"/>
  <c r="G427" i="4" s="1"/>
  <c r="H438" i="4"/>
  <c r="F443" i="4"/>
  <c r="F454" i="4"/>
  <c r="G472" i="4" a="1"/>
  <c r="G472" i="4" s="1"/>
  <c r="H476" i="4"/>
  <c r="G484" i="4" a="1"/>
  <c r="G484" i="4" s="1"/>
  <c r="F488" i="4"/>
  <c r="G491" i="4" a="1"/>
  <c r="G491" i="4" s="1"/>
  <c r="H502" i="4"/>
  <c r="F507" i="4"/>
  <c r="F515" i="4"/>
  <c r="I520" i="4"/>
  <c r="H521" i="4"/>
  <c r="F529" i="4"/>
  <c r="F533" i="4"/>
  <c r="G538" i="4" a="1"/>
  <c r="G538" i="4" s="1"/>
  <c r="F539" i="4"/>
  <c r="I543" i="4"/>
  <c r="F549" i="4"/>
  <c r="H554" i="4"/>
  <c r="F555" i="4"/>
  <c r="I559" i="4"/>
  <c r="I566" i="4"/>
  <c r="F568" i="4"/>
  <c r="F573" i="4"/>
  <c r="I577" i="4"/>
  <c r="G585" i="4" a="1"/>
  <c r="G585" i="4" s="1"/>
  <c r="H589" i="4"/>
  <c r="F591" i="4"/>
  <c r="F595" i="4"/>
  <c r="I601" i="4"/>
  <c r="H606" i="4"/>
  <c r="H607" i="4"/>
  <c r="F608" i="4"/>
  <c r="I611" i="4"/>
  <c r="I622" i="4"/>
  <c r="H623" i="4"/>
  <c r="F624" i="4"/>
  <c r="H628" i="4"/>
  <c r="H629" i="4"/>
  <c r="H630" i="4"/>
  <c r="H635" i="4"/>
  <c r="F636" i="4"/>
  <c r="G640" i="4" a="1"/>
  <c r="G640" i="4" s="1"/>
  <c r="H641" i="4"/>
  <c r="F648" i="4"/>
  <c r="G653" i="4" a="1"/>
  <c r="G653" i="4" s="1"/>
  <c r="F660" i="4"/>
  <c r="I664" i="4"/>
  <c r="H665" i="4"/>
  <c r="F666" i="4"/>
  <c r="G670" i="4" a="1"/>
  <c r="G670" i="4" s="1"/>
  <c r="H675" i="4"/>
  <c r="I680" i="4"/>
  <c r="H681" i="4"/>
  <c r="F682" i="4"/>
  <c r="G685" i="4" a="1"/>
  <c r="G685" i="4" s="1"/>
  <c r="H686" i="4"/>
  <c r="G687" i="4" a="1"/>
  <c r="G687" i="4" s="1"/>
  <c r="I691" i="4"/>
  <c r="G692" i="4" a="1"/>
  <c r="G692" i="4" s="1"/>
  <c r="G694" i="4" a="1"/>
  <c r="G694" i="4" s="1"/>
  <c r="I708" i="4"/>
  <c r="H709" i="4"/>
  <c r="I721" i="4"/>
  <c r="I727" i="4"/>
  <c r="G728" i="4" a="1"/>
  <c r="G728" i="4" s="1"/>
  <c r="G729" i="4" a="1"/>
  <c r="G729" i="4" s="1"/>
  <c r="G733" i="4" a="1"/>
  <c r="G733" i="4" s="1"/>
  <c r="F734" i="4"/>
  <c r="F735" i="4"/>
  <c r="G738" i="4" a="1"/>
  <c r="G738" i="4" s="1"/>
  <c r="G744" i="4" a="1"/>
  <c r="G744" i="4" s="1"/>
  <c r="G745" i="4" a="1"/>
  <c r="G745" i="4" s="1"/>
  <c r="F750" i="4"/>
  <c r="H755" i="4"/>
  <c r="F757" i="4"/>
  <c r="H762" i="4"/>
  <c r="F763" i="4"/>
  <c r="F768" i="4"/>
  <c r="H772" i="4"/>
  <c r="G773" i="4" a="1"/>
  <c r="G773" i="4" s="1"/>
  <c r="H779" i="4"/>
  <c r="F781" i="4"/>
  <c r="H785" i="4"/>
  <c r="G791" i="4" a="1"/>
  <c r="G791" i="4" s="1"/>
  <c r="I806" i="4"/>
  <c r="F813" i="4"/>
  <c r="F815" i="4"/>
  <c r="F820" i="4"/>
  <c r="I825" i="4"/>
  <c r="G826" i="4" a="1"/>
  <c r="G826" i="4" s="1"/>
  <c r="I848" i="4"/>
  <c r="G849" i="4" a="1"/>
  <c r="G849" i="4" s="1"/>
  <c r="I852" i="4"/>
  <c r="H853" i="4"/>
  <c r="F857" i="4"/>
  <c r="F861" i="4"/>
  <c r="H865" i="4"/>
  <c r="F866" i="4"/>
  <c r="G870" i="4" a="1"/>
  <c r="G870" i="4" s="1"/>
  <c r="F872" i="4"/>
  <c r="I875" i="4"/>
  <c r="H881" i="4"/>
  <c r="F883" i="4"/>
  <c r="G889" i="4" a="1"/>
  <c r="G889" i="4" s="1"/>
  <c r="H899" i="4"/>
  <c r="F900" i="4"/>
  <c r="F907" i="4"/>
  <c r="H911" i="4"/>
  <c r="G912" i="4" a="1"/>
  <c r="G912" i="4" s="1"/>
  <c r="H916" i="4"/>
  <c r="G917" i="4" a="1"/>
  <c r="G917" i="4" s="1"/>
  <c r="F919" i="4"/>
  <c r="F18" i="5"/>
  <c r="F38" i="5"/>
  <c r="F39" i="5"/>
  <c r="F44" i="5"/>
  <c r="F60" i="5"/>
  <c r="F64" i="5"/>
  <c r="F74" i="5"/>
  <c r="F84" i="5"/>
  <c r="F95" i="5"/>
  <c r="F97" i="5"/>
  <c r="F108" i="5"/>
  <c r="F115" i="5"/>
  <c r="F124" i="5"/>
  <c r="J166" i="5"/>
  <c r="F168" i="5"/>
  <c r="F170" i="5"/>
  <c r="B173" i="5"/>
  <c r="V4" i="7"/>
  <c r="M9" i="6"/>
  <c r="J27" i="6"/>
  <c r="K27" i="6"/>
  <c r="I27" i="6"/>
  <c r="I180" i="6"/>
  <c r="L180" i="6" s="1"/>
  <c r="K180" i="6"/>
  <c r="J180" i="6"/>
  <c r="I193" i="6"/>
  <c r="L193" i="6" s="1"/>
  <c r="J193" i="6"/>
  <c r="I209" i="6"/>
  <c r="J209" i="6"/>
  <c r="J214" i="6"/>
  <c r="L287" i="6"/>
  <c r="I347" i="6"/>
  <c r="L347" i="6" s="1"/>
  <c r="J416" i="6"/>
  <c r="K416" i="6"/>
  <c r="I416" i="6"/>
  <c r="L474" i="6"/>
  <c r="L479" i="6"/>
  <c r="L622" i="6"/>
  <c r="K679" i="6"/>
  <c r="J679" i="6"/>
  <c r="I679" i="6"/>
  <c r="L815" i="6"/>
  <c r="F130" i="5"/>
  <c r="E180" i="5" a="1"/>
  <c r="E180" i="5" s="1"/>
  <c r="E182" i="5" a="1"/>
  <c r="E182" i="5" s="1"/>
  <c r="D182" i="5" a="1"/>
  <c r="D182" i="5" s="1"/>
  <c r="B182" i="5"/>
  <c r="L16" i="6"/>
  <c r="K55" i="6"/>
  <c r="J55" i="6"/>
  <c r="R14" i="7" s="1"/>
  <c r="I55" i="6"/>
  <c r="I81" i="6"/>
  <c r="L81" i="6" s="1"/>
  <c r="J81" i="6"/>
  <c r="J96" i="6"/>
  <c r="L96" i="6" s="1"/>
  <c r="K96" i="6"/>
  <c r="J104" i="6"/>
  <c r="K104" i="6"/>
  <c r="L104" i="6" s="1"/>
  <c r="J120" i="6"/>
  <c r="K120" i="6"/>
  <c r="I120" i="6"/>
  <c r="L120" i="6" s="1"/>
  <c r="J179" i="6"/>
  <c r="K179" i="6"/>
  <c r="I179" i="6"/>
  <c r="J219" i="6"/>
  <c r="L219" i="6" s="1"/>
  <c r="K219" i="6"/>
  <c r="I244" i="6"/>
  <c r="K244" i="6"/>
  <c r="J244" i="6"/>
  <c r="I257" i="6"/>
  <c r="J257" i="6"/>
  <c r="K278" i="6"/>
  <c r="I278" i="6"/>
  <c r="I281" i="6"/>
  <c r="L281" i="6" s="1"/>
  <c r="K281" i="6"/>
  <c r="J281" i="6"/>
  <c r="R12" i="7"/>
  <c r="L346" i="6"/>
  <c r="K359" i="6"/>
  <c r="J359" i="6"/>
  <c r="I359" i="6"/>
  <c r="V12" i="7"/>
  <c r="M404" i="6"/>
  <c r="I433" i="6"/>
  <c r="K433" i="6"/>
  <c r="J433" i="6"/>
  <c r="K502" i="6"/>
  <c r="J502" i="6"/>
  <c r="I502" i="6"/>
  <c r="J622" i="6"/>
  <c r="K622" i="6"/>
  <c r="L678" i="6"/>
  <c r="I735" i="6"/>
  <c r="L735" i="6" s="1"/>
  <c r="K735" i="6"/>
  <c r="J735" i="6"/>
  <c r="J762" i="6"/>
  <c r="K762" i="6"/>
  <c r="I762" i="6"/>
  <c r="I813" i="6"/>
  <c r="L813" i="6" s="1"/>
  <c r="J813" i="6"/>
  <c r="K813" i="6"/>
  <c r="V10" i="7"/>
  <c r="K39" i="6"/>
  <c r="J39" i="6"/>
  <c r="I39" i="6"/>
  <c r="I113" i="6"/>
  <c r="K113" i="6"/>
  <c r="J113" i="6"/>
  <c r="K182" i="6"/>
  <c r="J182" i="6"/>
  <c r="I182" i="6"/>
  <c r="K247" i="6"/>
  <c r="J247" i="6"/>
  <c r="I247" i="6"/>
  <c r="L251" i="6"/>
  <c r="I273" i="6"/>
  <c r="J273" i="6"/>
  <c r="J288" i="6"/>
  <c r="K288" i="6"/>
  <c r="J296" i="6"/>
  <c r="K296" i="6"/>
  <c r="J312" i="6"/>
  <c r="K312" i="6"/>
  <c r="I312" i="6"/>
  <c r="J371" i="6"/>
  <c r="K371" i="6"/>
  <c r="I371" i="6"/>
  <c r="J411" i="6"/>
  <c r="K411" i="6"/>
  <c r="I436" i="6"/>
  <c r="L436" i="6" s="1"/>
  <c r="K436" i="6"/>
  <c r="J436" i="6"/>
  <c r="I449" i="6"/>
  <c r="L449" i="6" s="1"/>
  <c r="J449" i="6"/>
  <c r="K470" i="6"/>
  <c r="I470" i="6"/>
  <c r="I473" i="6"/>
  <c r="K473" i="6"/>
  <c r="J473" i="6"/>
  <c r="I537" i="6"/>
  <c r="L537" i="6" s="1"/>
  <c r="K537" i="6"/>
  <c r="J537" i="6"/>
  <c r="K567" i="6"/>
  <c r="J567" i="6"/>
  <c r="K584" i="6"/>
  <c r="I584" i="6"/>
  <c r="L584" i="6" s="1"/>
  <c r="J619" i="6"/>
  <c r="K619" i="6"/>
  <c r="K641" i="6"/>
  <c r="J641" i="6"/>
  <c r="I641" i="6"/>
  <c r="I693" i="6"/>
  <c r="J693" i="6"/>
  <c r="K693" i="6"/>
  <c r="J51" i="6"/>
  <c r="K51" i="6"/>
  <c r="I51" i="6"/>
  <c r="L51" i="6" s="1"/>
  <c r="J91" i="6"/>
  <c r="K91" i="6"/>
  <c r="I116" i="6"/>
  <c r="L116" i="6" s="1"/>
  <c r="K116" i="6"/>
  <c r="J116" i="6"/>
  <c r="I129" i="6"/>
  <c r="J129" i="6"/>
  <c r="K150" i="6"/>
  <c r="I150" i="6"/>
  <c r="I153" i="6"/>
  <c r="L153" i="6" s="1"/>
  <c r="K153" i="6"/>
  <c r="J153" i="6"/>
  <c r="K231" i="6"/>
  <c r="J231" i="6"/>
  <c r="R4" i="7" s="1"/>
  <c r="I231" i="6"/>
  <c r="K273" i="6"/>
  <c r="I288" i="6"/>
  <c r="L288" i="6" s="1"/>
  <c r="I296" i="6"/>
  <c r="I305" i="6"/>
  <c r="L305" i="6" s="1"/>
  <c r="K305" i="6"/>
  <c r="J305" i="6"/>
  <c r="V17" i="7"/>
  <c r="M332" i="6"/>
  <c r="K374" i="6"/>
  <c r="J374" i="6"/>
  <c r="I374" i="6"/>
  <c r="I411" i="6"/>
  <c r="L411" i="6" s="1"/>
  <c r="K439" i="6"/>
  <c r="J439" i="6"/>
  <c r="I439" i="6"/>
  <c r="L439" i="6" s="1"/>
  <c r="K449" i="6"/>
  <c r="I465" i="6"/>
  <c r="J465" i="6"/>
  <c r="J470" i="6"/>
  <c r="J480" i="6"/>
  <c r="K480" i="6"/>
  <c r="J488" i="6"/>
  <c r="K488" i="6"/>
  <c r="J504" i="6"/>
  <c r="K504" i="6"/>
  <c r="I504" i="6"/>
  <c r="K550" i="6"/>
  <c r="J550" i="6"/>
  <c r="I550" i="6"/>
  <c r="I562" i="6"/>
  <c r="K562" i="6"/>
  <c r="J562" i="6"/>
  <c r="I567" i="6"/>
  <c r="L567" i="6" s="1"/>
  <c r="K576" i="6"/>
  <c r="I576" i="6"/>
  <c r="J584" i="6"/>
  <c r="I619" i="6"/>
  <c r="J657" i="6"/>
  <c r="I657" i="6"/>
  <c r="K657" i="6"/>
  <c r="K675" i="6"/>
  <c r="J675" i="6"/>
  <c r="I675" i="6"/>
  <c r="K807" i="6"/>
  <c r="J807" i="6"/>
  <c r="I807" i="6"/>
  <c r="L807" i="6" s="1"/>
  <c r="F107" i="5"/>
  <c r="F109" i="5"/>
  <c r="F114" i="5"/>
  <c r="F129" i="5"/>
  <c r="F162" i="5"/>
  <c r="J180" i="5"/>
  <c r="J182" i="5"/>
  <c r="F196" i="5"/>
  <c r="V7" i="7"/>
  <c r="Z7" i="7" s="1"/>
  <c r="M12" i="6"/>
  <c r="M21" i="6"/>
  <c r="V8" i="7"/>
  <c r="K54" i="6"/>
  <c r="J54" i="6"/>
  <c r="I54" i="6"/>
  <c r="I91" i="6"/>
  <c r="K119" i="6"/>
  <c r="J119" i="6"/>
  <c r="I119" i="6"/>
  <c r="L119" i="6" s="1"/>
  <c r="K129" i="6"/>
  <c r="I145" i="6"/>
  <c r="L145" i="6" s="1"/>
  <c r="J145" i="6"/>
  <c r="J150" i="6"/>
  <c r="J160" i="6"/>
  <c r="K160" i="6"/>
  <c r="J168" i="6"/>
  <c r="K168" i="6"/>
  <c r="J184" i="6"/>
  <c r="K184" i="6"/>
  <c r="I184" i="6"/>
  <c r="J243" i="6"/>
  <c r="K243" i="6"/>
  <c r="I243" i="6"/>
  <c r="J283" i="6"/>
  <c r="K283" i="6"/>
  <c r="I308" i="6"/>
  <c r="K308" i="6"/>
  <c r="J308" i="6"/>
  <c r="I321" i="6"/>
  <c r="J321" i="6"/>
  <c r="K342" i="6"/>
  <c r="I342" i="6"/>
  <c r="L342" i="6" s="1"/>
  <c r="I345" i="6"/>
  <c r="K345" i="6"/>
  <c r="J345" i="6"/>
  <c r="K423" i="6"/>
  <c r="J423" i="6"/>
  <c r="I423" i="6"/>
  <c r="K465" i="6"/>
  <c r="I480" i="6"/>
  <c r="L480" i="6" s="1"/>
  <c r="I488" i="6"/>
  <c r="I497" i="6"/>
  <c r="L497" i="6" s="1"/>
  <c r="K497" i="6"/>
  <c r="J497" i="6"/>
  <c r="J573" i="6"/>
  <c r="I573" i="6"/>
  <c r="L573" i="6" s="1"/>
  <c r="J576" i="6"/>
  <c r="J636" i="6"/>
  <c r="K636" i="6"/>
  <c r="I636" i="6"/>
  <c r="I677" i="6"/>
  <c r="K677" i="6"/>
  <c r="J677" i="6"/>
  <c r="J732" i="6"/>
  <c r="K732" i="6"/>
  <c r="I732" i="6"/>
  <c r="I755" i="6"/>
  <c r="K755" i="6"/>
  <c r="J755" i="6"/>
  <c r="F77" i="5"/>
  <c r="F82" i="5"/>
  <c r="F86" i="5"/>
  <c r="F89" i="5"/>
  <c r="F99" i="5"/>
  <c r="F139" i="5"/>
  <c r="F141" i="5"/>
  <c r="F157" i="5"/>
  <c r="F164" i="5"/>
  <c r="J181" i="5"/>
  <c r="D181" i="5" a="1"/>
  <c r="D181" i="5" s="1"/>
  <c r="E181" i="5" a="1"/>
  <c r="E181" i="5" s="1"/>
  <c r="F184" i="5"/>
  <c r="F190" i="5"/>
  <c r="L5" i="6"/>
  <c r="K22" i="6"/>
  <c r="E6" i="7" s="1" a="1"/>
  <c r="E6" i="7" s="1"/>
  <c r="I22" i="6"/>
  <c r="L22" i="6" s="1"/>
  <c r="I25" i="6"/>
  <c r="L25" i="6" s="1"/>
  <c r="K25" i="6"/>
  <c r="J25" i="6"/>
  <c r="L90" i="6"/>
  <c r="K103" i="6"/>
  <c r="J103" i="6"/>
  <c r="I103" i="6"/>
  <c r="K145" i="6"/>
  <c r="I160" i="6"/>
  <c r="I168" i="6"/>
  <c r="I177" i="6"/>
  <c r="K177" i="6"/>
  <c r="J177" i="6"/>
  <c r="K246" i="6"/>
  <c r="J246" i="6"/>
  <c r="I246" i="6"/>
  <c r="I283" i="6"/>
  <c r="K311" i="6"/>
  <c r="J311" i="6"/>
  <c r="I311" i="6"/>
  <c r="K321" i="6"/>
  <c r="R17" i="7"/>
  <c r="T17" i="7" s="1"/>
  <c r="L332" i="6"/>
  <c r="I337" i="6"/>
  <c r="L337" i="6" s="1"/>
  <c r="J337" i="6"/>
  <c r="J342" i="6"/>
  <c r="J352" i="6"/>
  <c r="L352" i="6" s="1"/>
  <c r="K352" i="6"/>
  <c r="J360" i="6"/>
  <c r="L360" i="6" s="1"/>
  <c r="K360" i="6"/>
  <c r="J376" i="6"/>
  <c r="K376" i="6"/>
  <c r="I376" i="6"/>
  <c r="J435" i="6"/>
  <c r="K435" i="6"/>
  <c r="I435" i="6"/>
  <c r="J475" i="6"/>
  <c r="L475" i="6" s="1"/>
  <c r="K475" i="6"/>
  <c r="I500" i="6"/>
  <c r="L500" i="6" s="1"/>
  <c r="K500" i="6"/>
  <c r="J500" i="6"/>
  <c r="I513" i="6"/>
  <c r="L513" i="6" s="1"/>
  <c r="J513" i="6"/>
  <c r="I545" i="6"/>
  <c r="K545" i="6"/>
  <c r="L558" i="6"/>
  <c r="K573" i="6"/>
  <c r="I591" i="6"/>
  <c r="L591" i="6" s="1"/>
  <c r="J615" i="6"/>
  <c r="I615" i="6"/>
  <c r="L615" i="6" s="1"/>
  <c r="K615" i="6"/>
  <c r="I638" i="6"/>
  <c r="K638" i="6"/>
  <c r="J638" i="6"/>
  <c r="J666" i="6"/>
  <c r="L666" i="6" s="1"/>
  <c r="K666" i="6"/>
  <c r="J745" i="6"/>
  <c r="I745" i="6"/>
  <c r="L745" i="6" s="1"/>
  <c r="I772" i="6"/>
  <c r="L772" i="6" s="1"/>
  <c r="J816" i="6"/>
  <c r="K816" i="6"/>
  <c r="L816" i="6" s="1"/>
  <c r="J167" i="5"/>
  <c r="D167" i="5" a="1"/>
  <c r="D167" i="5" s="1"/>
  <c r="F167" i="5" s="1"/>
  <c r="E171" i="5" a="1"/>
  <c r="E171" i="5" s="1"/>
  <c r="J175" i="5"/>
  <c r="D175" i="5" a="1"/>
  <c r="D175" i="5" s="1"/>
  <c r="F175" i="5" s="1"/>
  <c r="E179" i="5" a="1"/>
  <c r="E179" i="5" s="1"/>
  <c r="J183" i="5"/>
  <c r="D183" i="5" a="1"/>
  <c r="D183" i="5" s="1"/>
  <c r="F183" i="5" s="1"/>
  <c r="J8" i="6"/>
  <c r="I8" i="6"/>
  <c r="I20" i="6"/>
  <c r="L20" i="6" s="1"/>
  <c r="J20" i="6"/>
  <c r="K31" i="6"/>
  <c r="J31" i="6"/>
  <c r="L31" i="6" s="1"/>
  <c r="J72" i="6"/>
  <c r="I72" i="6"/>
  <c r="L72" i="6" s="1"/>
  <c r="I84" i="6"/>
  <c r="L84" i="6" s="1"/>
  <c r="J84" i="6"/>
  <c r="K95" i="6"/>
  <c r="J95" i="6"/>
  <c r="L95" i="6" s="1"/>
  <c r="J136" i="6"/>
  <c r="I136" i="6"/>
  <c r="I148" i="6"/>
  <c r="J148" i="6"/>
  <c r="K159" i="6"/>
  <c r="J159" i="6"/>
  <c r="L159" i="6" s="1"/>
  <c r="J200" i="6"/>
  <c r="I200" i="6"/>
  <c r="I212" i="6"/>
  <c r="L212" i="6" s="1"/>
  <c r="J212" i="6"/>
  <c r="K223" i="6"/>
  <c r="J223" i="6"/>
  <c r="L223" i="6" s="1"/>
  <c r="J264" i="6"/>
  <c r="I264" i="6"/>
  <c r="L264" i="6" s="1"/>
  <c r="I276" i="6"/>
  <c r="J276" i="6"/>
  <c r="K287" i="6"/>
  <c r="S11" i="7" s="1"/>
  <c r="J287" i="6"/>
  <c r="J328" i="6"/>
  <c r="I328" i="6"/>
  <c r="I340" i="6"/>
  <c r="J340" i="6"/>
  <c r="K351" i="6"/>
  <c r="J351" i="6"/>
  <c r="L351" i="6" s="1"/>
  <c r="J392" i="6"/>
  <c r="I392" i="6"/>
  <c r="I404" i="6"/>
  <c r="L404" i="6" s="1"/>
  <c r="J404" i="6"/>
  <c r="K415" i="6"/>
  <c r="J415" i="6"/>
  <c r="L415" i="6" s="1"/>
  <c r="J456" i="6"/>
  <c r="I456" i="6"/>
  <c r="L456" i="6" s="1"/>
  <c r="I468" i="6"/>
  <c r="L468" i="6" s="1"/>
  <c r="J468" i="6"/>
  <c r="K479" i="6"/>
  <c r="J479" i="6"/>
  <c r="J520" i="6"/>
  <c r="I520" i="6"/>
  <c r="L520" i="6" s="1"/>
  <c r="L532" i="6"/>
  <c r="L541" i="6"/>
  <c r="J553" i="6"/>
  <c r="L553" i="6" s="1"/>
  <c r="K553" i="6"/>
  <c r="J618" i="6"/>
  <c r="I618" i="6"/>
  <c r="J627" i="6"/>
  <c r="K627" i="6"/>
  <c r="L627" i="6" s="1"/>
  <c r="J630" i="6"/>
  <c r="L630" i="6" s="1"/>
  <c r="K630" i="6"/>
  <c r="K656" i="6"/>
  <c r="I656" i="6"/>
  <c r="K683" i="6"/>
  <c r="I683" i="6"/>
  <c r="J683" i="6"/>
  <c r="I689" i="6"/>
  <c r="L689" i="6" s="1"/>
  <c r="J689" i="6"/>
  <c r="K698" i="6"/>
  <c r="L698" i="6" s="1"/>
  <c r="J698" i="6"/>
  <c r="V6" i="7"/>
  <c r="Z6" i="7" s="1"/>
  <c r="M734" i="6"/>
  <c r="L764" i="6"/>
  <c r="J793" i="6"/>
  <c r="K793" i="6"/>
  <c r="I793" i="6"/>
  <c r="L802" i="6"/>
  <c r="V5" i="7"/>
  <c r="V13" i="7"/>
  <c r="F110" i="5"/>
  <c r="F142" i="5"/>
  <c r="J168" i="5"/>
  <c r="J176" i="5"/>
  <c r="J184" i="5"/>
  <c r="K7" i="6"/>
  <c r="I7" i="6"/>
  <c r="C13" i="7" s="1" a="1"/>
  <c r="C13" i="7" s="1"/>
  <c r="K71" i="6"/>
  <c r="S7" i="7" s="1"/>
  <c r="I71" i="6"/>
  <c r="L100" i="6"/>
  <c r="K135" i="6"/>
  <c r="I135" i="6"/>
  <c r="L164" i="6"/>
  <c r="K199" i="6"/>
  <c r="I199" i="6"/>
  <c r="K263" i="6"/>
  <c r="I263" i="6"/>
  <c r="K327" i="6"/>
  <c r="I327" i="6"/>
  <c r="K391" i="6"/>
  <c r="I391" i="6"/>
  <c r="K455" i="6"/>
  <c r="I455" i="6"/>
  <c r="K519" i="6"/>
  <c r="I519" i="6"/>
  <c r="J544" i="6"/>
  <c r="K544" i="6"/>
  <c r="I544" i="6"/>
  <c r="I548" i="6"/>
  <c r="K548" i="6"/>
  <c r="J566" i="6"/>
  <c r="I566" i="6"/>
  <c r="I583" i="6"/>
  <c r="K583" i="6"/>
  <c r="J583" i="6"/>
  <c r="I586" i="6"/>
  <c r="L586" i="6" s="1"/>
  <c r="J586" i="6"/>
  <c r="L589" i="6"/>
  <c r="I605" i="6"/>
  <c r="K605" i="6"/>
  <c r="J611" i="6"/>
  <c r="K611" i="6"/>
  <c r="I611" i="6"/>
  <c r="J614" i="6"/>
  <c r="K614" i="6"/>
  <c r="J660" i="6"/>
  <c r="K660" i="6"/>
  <c r="I660" i="6"/>
  <c r="L665" i="6"/>
  <c r="J688" i="6"/>
  <c r="I688" i="6"/>
  <c r="L688" i="6" s="1"/>
  <c r="J734" i="6"/>
  <c r="K734" i="6"/>
  <c r="J754" i="6"/>
  <c r="K754" i="6"/>
  <c r="I754" i="6"/>
  <c r="L754" i="6" s="1"/>
  <c r="C13" i="8"/>
  <c r="C22" i="8"/>
  <c r="C43" i="8"/>
  <c r="C44" i="8" s="1"/>
  <c r="F90" i="5"/>
  <c r="F122" i="5"/>
  <c r="F163" i="5"/>
  <c r="B168" i="5"/>
  <c r="J169" i="5"/>
  <c r="D169" i="5" a="1"/>
  <c r="D169" i="5" s="1"/>
  <c r="F169" i="5" s="1"/>
  <c r="B176" i="5"/>
  <c r="J177" i="5"/>
  <c r="D177" i="5" a="1"/>
  <c r="D177" i="5" s="1"/>
  <c r="F177" i="5" s="1"/>
  <c r="B184" i="5"/>
  <c r="J185" i="5"/>
  <c r="D185" i="5" a="1"/>
  <c r="D185" i="5" s="1"/>
  <c r="F185" i="5" s="1"/>
  <c r="J7" i="6"/>
  <c r="J19" i="6"/>
  <c r="I19" i="6"/>
  <c r="J24" i="6"/>
  <c r="I24" i="6"/>
  <c r="L24" i="6" s="1"/>
  <c r="I30" i="6"/>
  <c r="L30" i="6" s="1"/>
  <c r="J36" i="6"/>
  <c r="L36" i="6" s="1"/>
  <c r="I46" i="6"/>
  <c r="L46" i="6" s="1"/>
  <c r="I47" i="6"/>
  <c r="J71" i="6"/>
  <c r="J83" i="6"/>
  <c r="I83" i="6"/>
  <c r="L83" i="6" s="1"/>
  <c r="J88" i="6"/>
  <c r="I88" i="6"/>
  <c r="I94" i="6"/>
  <c r="L94" i="6" s="1"/>
  <c r="J100" i="6"/>
  <c r="I110" i="6"/>
  <c r="I111" i="6"/>
  <c r="J135" i="6"/>
  <c r="J147" i="6"/>
  <c r="I147" i="6"/>
  <c r="L147" i="6" s="1"/>
  <c r="J152" i="6"/>
  <c r="I152" i="6"/>
  <c r="I158" i="6"/>
  <c r="J164" i="6"/>
  <c r="I174" i="6"/>
  <c r="I175" i="6"/>
  <c r="L175" i="6" s="1"/>
  <c r="J199" i="6"/>
  <c r="J211" i="6"/>
  <c r="I211" i="6"/>
  <c r="J216" i="6"/>
  <c r="I216" i="6"/>
  <c r="I222" i="6"/>
  <c r="J228" i="6"/>
  <c r="L228" i="6" s="1"/>
  <c r="I238" i="6"/>
  <c r="I239" i="6"/>
  <c r="L262" i="6"/>
  <c r="J263" i="6"/>
  <c r="J275" i="6"/>
  <c r="I275" i="6"/>
  <c r="J280" i="6"/>
  <c r="I280" i="6"/>
  <c r="L280" i="6" s="1"/>
  <c r="I286" i="6"/>
  <c r="J292" i="6"/>
  <c r="L292" i="6" s="1"/>
  <c r="I302" i="6"/>
  <c r="I303" i="6"/>
  <c r="L326" i="6"/>
  <c r="J327" i="6"/>
  <c r="J339" i="6"/>
  <c r="I339" i="6"/>
  <c r="L339" i="6" s="1"/>
  <c r="J344" i="6"/>
  <c r="I344" i="6"/>
  <c r="L344" i="6" s="1"/>
  <c r="I350" i="6"/>
  <c r="J356" i="6"/>
  <c r="L356" i="6" s="1"/>
  <c r="I366" i="6"/>
  <c r="I367" i="6"/>
  <c r="J391" i="6"/>
  <c r="J403" i="6"/>
  <c r="I403" i="6"/>
  <c r="J408" i="6"/>
  <c r="I408" i="6"/>
  <c r="I414" i="6"/>
  <c r="J420" i="6"/>
  <c r="I430" i="6"/>
  <c r="I431" i="6"/>
  <c r="L431" i="6" s="1"/>
  <c r="L454" i="6"/>
  <c r="J455" i="6"/>
  <c r="J467" i="6"/>
  <c r="I467" i="6"/>
  <c r="J472" i="6"/>
  <c r="I472" i="6"/>
  <c r="I478" i="6"/>
  <c r="J484" i="6"/>
  <c r="L484" i="6" s="1"/>
  <c r="I494" i="6"/>
  <c r="L494" i="6" s="1"/>
  <c r="I495" i="6"/>
  <c r="J519" i="6"/>
  <c r="I540" i="6"/>
  <c r="L540" i="6" s="1"/>
  <c r="K540" i="6"/>
  <c r="J540" i="6"/>
  <c r="J548" i="6"/>
  <c r="K566" i="6"/>
  <c r="I569" i="6"/>
  <c r="I575" i="6"/>
  <c r="L575" i="6" s="1"/>
  <c r="K575" i="6"/>
  <c r="J575" i="6"/>
  <c r="K586" i="6"/>
  <c r="J589" i="6"/>
  <c r="J605" i="6"/>
  <c r="I614" i="6"/>
  <c r="L633" i="6"/>
  <c r="I637" i="6"/>
  <c r="L637" i="6" s="1"/>
  <c r="K637" i="6"/>
  <c r="K640" i="6"/>
  <c r="J640" i="6"/>
  <c r="I640" i="6"/>
  <c r="J655" i="6"/>
  <c r="L655" i="6" s="1"/>
  <c r="L663" i="6"/>
  <c r="K665" i="6"/>
  <c r="L673" i="6"/>
  <c r="J676" i="6"/>
  <c r="K676" i="6"/>
  <c r="K688" i="6"/>
  <c r="J692" i="6"/>
  <c r="I692" i="6"/>
  <c r="L692" i="6" s="1"/>
  <c r="K692" i="6"/>
  <c r="I734" i="6"/>
  <c r="J796" i="6"/>
  <c r="K796" i="6"/>
  <c r="L801" i="6"/>
  <c r="K802" i="6"/>
  <c r="I805" i="6"/>
  <c r="L805" i="6" s="1"/>
  <c r="K805" i="6"/>
  <c r="J805" i="6"/>
  <c r="L809" i="6"/>
  <c r="C19" i="8"/>
  <c r="B169" i="5"/>
  <c r="B177" i="5"/>
  <c r="B185" i="5"/>
  <c r="J187" i="5"/>
  <c r="D187" i="5" a="1"/>
  <c r="D187" i="5" s="1"/>
  <c r="F187" i="5" s="1"/>
  <c r="J189" i="5"/>
  <c r="D189" i="5" a="1"/>
  <c r="D189" i="5" s="1"/>
  <c r="F189" i="5" s="1"/>
  <c r="J191" i="5"/>
  <c r="D191" i="5" a="1"/>
  <c r="D191" i="5" s="1"/>
  <c r="F191" i="5" s="1"/>
  <c r="B191" i="5"/>
  <c r="J193" i="5"/>
  <c r="D193" i="5" a="1"/>
  <c r="D193" i="5" s="1"/>
  <c r="F193" i="5" s="1"/>
  <c r="J195" i="5"/>
  <c r="D195" i="5" a="1"/>
  <c r="D195" i="5" s="1"/>
  <c r="F195" i="5" s="1"/>
  <c r="J197" i="5"/>
  <c r="D197" i="5" a="1"/>
  <c r="D197" i="5" s="1"/>
  <c r="F197" i="5" s="1"/>
  <c r="J199" i="5"/>
  <c r="D199" i="5" a="1"/>
  <c r="D199" i="5" s="1"/>
  <c r="F199" i="5" s="1"/>
  <c r="B199" i="5"/>
  <c r="J6" i="6"/>
  <c r="D11" i="7" s="1" a="1"/>
  <c r="D11" i="7" s="1"/>
  <c r="K19" i="6"/>
  <c r="K24" i="6"/>
  <c r="L29" i="6"/>
  <c r="K30" i="6"/>
  <c r="L34" i="6"/>
  <c r="I35" i="6"/>
  <c r="L35" i="6" s="1"/>
  <c r="K36" i="6"/>
  <c r="L45" i="6"/>
  <c r="J46" i="6"/>
  <c r="J47" i="6"/>
  <c r="I68" i="6"/>
  <c r="L68" i="6" s="1"/>
  <c r="J68" i="6"/>
  <c r="J70" i="6"/>
  <c r="R5" i="7" s="1"/>
  <c r="K83" i="6"/>
  <c r="K88" i="6"/>
  <c r="L93" i="6"/>
  <c r="K94" i="6"/>
  <c r="L98" i="6"/>
  <c r="I99" i="6"/>
  <c r="L99" i="6" s="1"/>
  <c r="K100" i="6"/>
  <c r="L109" i="6"/>
  <c r="J110" i="6"/>
  <c r="J111" i="6"/>
  <c r="I132" i="6"/>
  <c r="L132" i="6" s="1"/>
  <c r="J132" i="6"/>
  <c r="J134" i="6"/>
  <c r="L134" i="6" s="1"/>
  <c r="K147" i="6"/>
  <c r="K152" i="6"/>
  <c r="L157" i="6"/>
  <c r="K158" i="6"/>
  <c r="L162" i="6"/>
  <c r="I163" i="6"/>
  <c r="L163" i="6" s="1"/>
  <c r="K164" i="6"/>
  <c r="L173" i="6"/>
  <c r="J174" i="6"/>
  <c r="J175" i="6"/>
  <c r="I196" i="6"/>
  <c r="L196" i="6" s="1"/>
  <c r="J196" i="6"/>
  <c r="J198" i="6"/>
  <c r="L198" i="6" s="1"/>
  <c r="K211" i="6"/>
  <c r="K216" i="6"/>
  <c r="L221" i="6"/>
  <c r="K222" i="6"/>
  <c r="L226" i="6"/>
  <c r="I227" i="6"/>
  <c r="K228" i="6"/>
  <c r="L237" i="6"/>
  <c r="J238" i="6"/>
  <c r="R11" i="7" s="1"/>
  <c r="J239" i="6"/>
  <c r="I260" i="6"/>
  <c r="L260" i="6" s="1"/>
  <c r="J260" i="6"/>
  <c r="J262" i="6"/>
  <c r="K275" i="6"/>
  <c r="K280" i="6"/>
  <c r="L285" i="6"/>
  <c r="K286" i="6"/>
  <c r="L290" i="6"/>
  <c r="I291" i="6"/>
  <c r="L291" i="6" s="1"/>
  <c r="K292" i="6"/>
  <c r="L301" i="6"/>
  <c r="J302" i="6"/>
  <c r="J303" i="6"/>
  <c r="I324" i="6"/>
  <c r="L324" i="6" s="1"/>
  <c r="J324" i="6"/>
  <c r="J326" i="6"/>
  <c r="K339" i="6"/>
  <c r="K344" i="6"/>
  <c r="L349" i="6"/>
  <c r="K350" i="6"/>
  <c r="L354" i="6"/>
  <c r="I355" i="6"/>
  <c r="L355" i="6" s="1"/>
  <c r="K356" i="6"/>
  <c r="L365" i="6"/>
  <c r="J366" i="6"/>
  <c r="J367" i="6"/>
  <c r="I388" i="6"/>
  <c r="J388" i="6"/>
  <c r="J390" i="6"/>
  <c r="L390" i="6" s="1"/>
  <c r="K403" i="6"/>
  <c r="K408" i="6"/>
  <c r="L413" i="6"/>
  <c r="K414" i="6"/>
  <c r="L418" i="6"/>
  <c r="I419" i="6"/>
  <c r="L419" i="6" s="1"/>
  <c r="K420" i="6"/>
  <c r="L420" i="6" s="1"/>
  <c r="L429" i="6"/>
  <c r="J430" i="6"/>
  <c r="J431" i="6"/>
  <c r="I452" i="6"/>
  <c r="J452" i="6"/>
  <c r="J454" i="6"/>
  <c r="K467" i="6"/>
  <c r="K472" i="6"/>
  <c r="S4" i="7" s="1"/>
  <c r="L477" i="6"/>
  <c r="K478" i="6"/>
  <c r="L482" i="6"/>
  <c r="I483" i="6"/>
  <c r="L483" i="6" s="1"/>
  <c r="K484" i="6"/>
  <c r="L493" i="6"/>
  <c r="J494" i="6"/>
  <c r="J495" i="6"/>
  <c r="I516" i="6"/>
  <c r="J516" i="6"/>
  <c r="J518" i="6"/>
  <c r="L518" i="6" s="1"/>
  <c r="J547" i="6"/>
  <c r="K547" i="6"/>
  <c r="K552" i="6"/>
  <c r="J552" i="6"/>
  <c r="L560" i="6"/>
  <c r="L565" i="6"/>
  <c r="K569" i="6"/>
  <c r="J585" i="6"/>
  <c r="I585" i="6"/>
  <c r="J593" i="6"/>
  <c r="I593" i="6"/>
  <c r="J604" i="6"/>
  <c r="L604" i="6" s="1"/>
  <c r="K604" i="6"/>
  <c r="J610" i="6"/>
  <c r="I610" i="6"/>
  <c r="L610" i="6" s="1"/>
  <c r="L623" i="6"/>
  <c r="J637" i="6"/>
  <c r="K655" i="6"/>
  <c r="J663" i="6"/>
  <c r="I676" i="6"/>
  <c r="K697" i="6"/>
  <c r="J697" i="6"/>
  <c r="I697" i="6"/>
  <c r="L759" i="6"/>
  <c r="K774" i="6"/>
  <c r="J774" i="6"/>
  <c r="I774" i="6"/>
  <c r="I791" i="6"/>
  <c r="L791" i="6" s="1"/>
  <c r="K791" i="6"/>
  <c r="J791" i="6"/>
  <c r="K795" i="6"/>
  <c r="J795" i="6"/>
  <c r="I796" i="6"/>
  <c r="L796" i="6" s="1"/>
  <c r="J809" i="6"/>
  <c r="J812" i="6"/>
  <c r="I812" i="6"/>
  <c r="L812" i="6" s="1"/>
  <c r="K812" i="6"/>
  <c r="J171" i="5"/>
  <c r="D171" i="5" a="1"/>
  <c r="D171" i="5" s="1"/>
  <c r="J179" i="5"/>
  <c r="D179" i="5" a="1"/>
  <c r="D179" i="5" s="1"/>
  <c r="K23" i="6"/>
  <c r="E15" i="7" s="1" a="1"/>
  <c r="E15" i="7" s="1"/>
  <c r="I23" i="6"/>
  <c r="I28" i="6"/>
  <c r="K28" i="6"/>
  <c r="L33" i="6"/>
  <c r="L41" i="6"/>
  <c r="J67" i="6"/>
  <c r="D5" i="7" s="1" a="1"/>
  <c r="D5" i="7" s="1"/>
  <c r="I67" i="6"/>
  <c r="K87" i="6"/>
  <c r="I87" i="6"/>
  <c r="I92" i="6"/>
  <c r="K92" i="6"/>
  <c r="L97" i="6"/>
  <c r="L105" i="6"/>
  <c r="J131" i="6"/>
  <c r="I131" i="6"/>
  <c r="K151" i="6"/>
  <c r="I151" i="6"/>
  <c r="I156" i="6"/>
  <c r="K156" i="6"/>
  <c r="L161" i="6"/>
  <c r="L169" i="6"/>
  <c r="J195" i="6"/>
  <c r="I195" i="6"/>
  <c r="K215" i="6"/>
  <c r="I215" i="6"/>
  <c r="I220" i="6"/>
  <c r="K220" i="6"/>
  <c r="L225" i="6"/>
  <c r="L233" i="6"/>
  <c r="J259" i="6"/>
  <c r="I259" i="6"/>
  <c r="K279" i="6"/>
  <c r="I279" i="6"/>
  <c r="I284" i="6"/>
  <c r="K284" i="6"/>
  <c r="L289" i="6"/>
  <c r="L297" i="6"/>
  <c r="J323" i="6"/>
  <c r="I323" i="6"/>
  <c r="K343" i="6"/>
  <c r="I343" i="6"/>
  <c r="I348" i="6"/>
  <c r="K348" i="6"/>
  <c r="L353" i="6"/>
  <c r="L361" i="6"/>
  <c r="J387" i="6"/>
  <c r="I387" i="6"/>
  <c r="K407" i="6"/>
  <c r="I407" i="6"/>
  <c r="I412" i="6"/>
  <c r="K412" i="6"/>
  <c r="S12" i="7" s="1"/>
  <c r="L417" i="6"/>
  <c r="L425" i="6"/>
  <c r="T16" i="7"/>
  <c r="J451" i="6"/>
  <c r="I451" i="6"/>
  <c r="L451" i="6" s="1"/>
  <c r="K471" i="6"/>
  <c r="I471" i="6"/>
  <c r="I476" i="6"/>
  <c r="L476" i="6" s="1"/>
  <c r="K476" i="6"/>
  <c r="L481" i="6"/>
  <c r="L489" i="6"/>
  <c r="J515" i="6"/>
  <c r="I515" i="6"/>
  <c r="L515" i="6" s="1"/>
  <c r="J539" i="6"/>
  <c r="K539" i="6"/>
  <c r="I539" i="6"/>
  <c r="L539" i="6" s="1"/>
  <c r="K543" i="6"/>
  <c r="J543" i="6"/>
  <c r="I543" i="6"/>
  <c r="L543" i="6" s="1"/>
  <c r="L546" i="6"/>
  <c r="L547" i="6"/>
  <c r="L552" i="6"/>
  <c r="J559" i="6"/>
  <c r="I559" i="6"/>
  <c r="L559" i="6" s="1"/>
  <c r="I564" i="6"/>
  <c r="K564" i="6"/>
  <c r="J564" i="6"/>
  <c r="L568" i="6"/>
  <c r="L582" i="6"/>
  <c r="L603" i="6"/>
  <c r="J613" i="6"/>
  <c r="I613" i="6"/>
  <c r="J626" i="6"/>
  <c r="I626" i="6"/>
  <c r="L626" i="6" s="1"/>
  <c r="J668" i="6"/>
  <c r="K668" i="6"/>
  <c r="I668" i="6"/>
  <c r="J684" i="6"/>
  <c r="I684" i="6"/>
  <c r="L684" i="6" s="1"/>
  <c r="L700" i="6"/>
  <c r="K733" i="6"/>
  <c r="J733" i="6"/>
  <c r="L733" i="6" s="1"/>
  <c r="L746" i="6"/>
  <c r="L749" i="6"/>
  <c r="I752" i="6"/>
  <c r="K752" i="6"/>
  <c r="J752" i="6"/>
  <c r="I16" i="7" a="1"/>
  <c r="I16" i="7" s="1"/>
  <c r="M16" i="7" s="1"/>
  <c r="G47" i="8"/>
  <c r="G48" i="8" s="1"/>
  <c r="G38" i="8"/>
  <c r="E16" i="10"/>
  <c r="E8" i="11" s="1"/>
  <c r="J561" i="6"/>
  <c r="K561" i="6"/>
  <c r="J621" i="6"/>
  <c r="I621" i="6"/>
  <c r="J629" i="6"/>
  <c r="I629" i="6"/>
  <c r="L634" i="6"/>
  <c r="K648" i="6"/>
  <c r="J648" i="6"/>
  <c r="K659" i="6"/>
  <c r="J659" i="6"/>
  <c r="K691" i="6"/>
  <c r="I691" i="6"/>
  <c r="J747" i="6"/>
  <c r="K747" i="6"/>
  <c r="I789" i="6"/>
  <c r="K789" i="6"/>
  <c r="E17" i="10"/>
  <c r="C9" i="11" s="1"/>
  <c r="E39" i="10"/>
  <c r="C17" i="11" s="1"/>
  <c r="L9" i="6"/>
  <c r="L73" i="6"/>
  <c r="L137" i="6"/>
  <c r="V11" i="7"/>
  <c r="L201" i="6"/>
  <c r="L265" i="6"/>
  <c r="L329" i="6"/>
  <c r="L393" i="6"/>
  <c r="L457" i="6"/>
  <c r="L521" i="6"/>
  <c r="J529" i="6"/>
  <c r="L529" i="6" s="1"/>
  <c r="I531" i="6"/>
  <c r="L531" i="6" s="1"/>
  <c r="J532" i="6"/>
  <c r="I534" i="6"/>
  <c r="L534" i="6" s="1"/>
  <c r="I535" i="6"/>
  <c r="L535" i="6" s="1"/>
  <c r="I536" i="6"/>
  <c r="L536" i="6" s="1"/>
  <c r="K560" i="6"/>
  <c r="J560" i="6"/>
  <c r="I561" i="6"/>
  <c r="L574" i="6"/>
  <c r="I578" i="6"/>
  <c r="J578" i="6"/>
  <c r="L579" i="6"/>
  <c r="I581" i="6"/>
  <c r="L581" i="6" s="1"/>
  <c r="J582" i="6"/>
  <c r="L594" i="6"/>
  <c r="L597" i="6"/>
  <c r="L599" i="6"/>
  <c r="L600" i="6"/>
  <c r="L612" i="6"/>
  <c r="I616" i="6"/>
  <c r="L616" i="6" s="1"/>
  <c r="K621" i="6"/>
  <c r="S13" i="7" s="1"/>
  <c r="K629" i="6"/>
  <c r="J633" i="6"/>
  <c r="K644" i="6"/>
  <c r="I644" i="6"/>
  <c r="I648" i="6"/>
  <c r="I659" i="6"/>
  <c r="L659" i="6" s="1"/>
  <c r="I669" i="6"/>
  <c r="K669" i="6"/>
  <c r="I674" i="6"/>
  <c r="L674" i="6" s="1"/>
  <c r="L682" i="6"/>
  <c r="L690" i="6"/>
  <c r="J691" i="6"/>
  <c r="L709" i="6"/>
  <c r="I711" i="6"/>
  <c r="L711" i="6" s="1"/>
  <c r="J712" i="6"/>
  <c r="L712" i="6" s="1"/>
  <c r="L724" i="6"/>
  <c r="I729" i="6"/>
  <c r="L729" i="6" s="1"/>
  <c r="I730" i="6"/>
  <c r="L730" i="6" s="1"/>
  <c r="I731" i="6"/>
  <c r="L731" i="6" s="1"/>
  <c r="K746" i="6"/>
  <c r="J746" i="6"/>
  <c r="I747" i="6"/>
  <c r="L747" i="6" s="1"/>
  <c r="I751" i="6"/>
  <c r="K751" i="6"/>
  <c r="J788" i="6"/>
  <c r="L788" i="6" s="1"/>
  <c r="K788" i="6"/>
  <c r="J789" i="6"/>
  <c r="I804" i="6"/>
  <c r="L804" i="6" s="1"/>
  <c r="K811" i="6"/>
  <c r="I811" i="6"/>
  <c r="L811" i="6" s="1"/>
  <c r="D22" i="8"/>
  <c r="D10" i="8"/>
  <c r="D7" i="8"/>
  <c r="C5" i="8" a="1"/>
  <c r="C5" i="8" s="1"/>
  <c r="C17" i="8" s="1"/>
  <c r="D13" i="8"/>
  <c r="G13" i="11"/>
  <c r="E4" i="10"/>
  <c r="E15" i="10"/>
  <c r="D8" i="11" s="1"/>
  <c r="E10" i="10"/>
  <c r="D6" i="11" s="1"/>
  <c r="L57" i="6"/>
  <c r="L121" i="6"/>
  <c r="L185" i="6"/>
  <c r="L249" i="6"/>
  <c r="L313" i="6"/>
  <c r="L377" i="6"/>
  <c r="L441" i="6"/>
  <c r="L505" i="6"/>
  <c r="L556" i="6"/>
  <c r="L571" i="6"/>
  <c r="J577" i="6"/>
  <c r="I577" i="6"/>
  <c r="L577" i="6" s="1"/>
  <c r="L620" i="6"/>
  <c r="L628" i="6"/>
  <c r="K647" i="6"/>
  <c r="I647" i="6"/>
  <c r="K667" i="6"/>
  <c r="L667" i="6" s="1"/>
  <c r="J667" i="6"/>
  <c r="L681" i="6"/>
  <c r="I685" i="6"/>
  <c r="L685" i="6" s="1"/>
  <c r="J685" i="6"/>
  <c r="L686" i="6"/>
  <c r="L701" i="6"/>
  <c r="L704" i="6"/>
  <c r="L706" i="6"/>
  <c r="L707" i="6"/>
  <c r="L742" i="6"/>
  <c r="I750" i="6"/>
  <c r="L750" i="6" s="1"/>
  <c r="J750" i="6"/>
  <c r="I797" i="6"/>
  <c r="L797" i="6" s="1"/>
  <c r="K797" i="6"/>
  <c r="L810" i="6"/>
  <c r="C25" i="8"/>
  <c r="E25" i="10"/>
  <c r="C12" i="11" s="1"/>
  <c r="E36" i="10"/>
  <c r="E15" i="11" s="1"/>
  <c r="E38" i="10"/>
  <c r="D16" i="11" s="1"/>
  <c r="G63" i="11"/>
  <c r="E46" i="10"/>
  <c r="D19" i="11" s="1"/>
  <c r="E70" i="10"/>
  <c r="C28" i="11" s="1"/>
  <c r="G32" i="11"/>
  <c r="G48" i="11"/>
  <c r="E29" i="10"/>
  <c r="D13" i="11" s="1"/>
  <c r="E74" i="10"/>
  <c r="D29" i="11" s="1"/>
  <c r="E178" i="10"/>
  <c r="D62" i="11" s="1"/>
  <c r="G11" i="11"/>
  <c r="G14" i="11"/>
  <c r="G36" i="11"/>
  <c r="G39" i="11"/>
  <c r="G55" i="11"/>
  <c r="E107" i="10"/>
  <c r="C41" i="11" s="1"/>
  <c r="E61" i="10"/>
  <c r="E24" i="11" s="1"/>
  <c r="G6" i="11"/>
  <c r="G9" i="11"/>
  <c r="E67" i="10"/>
  <c r="C27" i="11" s="1"/>
  <c r="E73" i="10"/>
  <c r="C29" i="11" s="1"/>
  <c r="E175" i="10"/>
  <c r="E65" i="11" s="1"/>
  <c r="G12" i="11"/>
  <c r="G24" i="11"/>
  <c r="G40" i="11"/>
  <c r="E37" i="10"/>
  <c r="C16" i="11" s="1"/>
  <c r="E42" i="10"/>
  <c r="C18" i="11" s="1"/>
  <c r="E110" i="10"/>
  <c r="D42" i="11" s="1"/>
  <c r="G28" i="11"/>
  <c r="G31" i="11"/>
  <c r="G44" i="11"/>
  <c r="G47" i="11"/>
  <c r="G71" i="11"/>
  <c r="I14" i="7" a="1"/>
  <c r="I14" i="7" s="1"/>
  <c r="M14" i="7" s="1"/>
  <c r="I10" i="7" a="1"/>
  <c r="I10" i="7" s="1"/>
  <c r="M10" i="7" s="1"/>
  <c r="I6" i="7" a="1"/>
  <c r="I6" i="7" s="1"/>
  <c r="M6" i="7" s="1"/>
  <c r="D14" i="7" a="1"/>
  <c r="D14" i="7" s="1"/>
  <c r="H47" i="8"/>
  <c r="H48" i="8" s="1"/>
  <c r="E81" i="10"/>
  <c r="C32" i="11" s="1"/>
  <c r="E106" i="10"/>
  <c r="E40" i="11" s="1"/>
  <c r="E151" i="10"/>
  <c r="D56" i="11" s="1"/>
  <c r="E113" i="10"/>
  <c r="D43" i="11" s="1"/>
  <c r="E62" i="11"/>
  <c r="C201" i="10" a="1"/>
  <c r="C201" i="10" s="1"/>
  <c r="E6" i="11"/>
  <c r="G8" i="11"/>
  <c r="G16" i="11"/>
  <c r="G19" i="11"/>
  <c r="G20" i="11"/>
  <c r="G30" i="11"/>
  <c r="G38" i="11"/>
  <c r="G46" i="11"/>
  <c r="G54" i="11"/>
  <c r="G62" i="11"/>
  <c r="G65" i="11"/>
  <c r="G68" i="11"/>
  <c r="E85" i="11"/>
  <c r="G91" i="11"/>
  <c r="G93" i="11"/>
  <c r="E122" i="11"/>
  <c r="G129" i="11"/>
  <c r="G137" i="11"/>
  <c r="G139" i="11"/>
  <c r="G156" i="11"/>
  <c r="E195" i="11"/>
  <c r="G203" i="11"/>
  <c r="E227" i="11"/>
  <c r="J4" i="15"/>
  <c r="I4" i="15"/>
  <c r="J7" i="15"/>
  <c r="I7" i="15"/>
  <c r="J20" i="15"/>
  <c r="I20" i="15"/>
  <c r="J23" i="15"/>
  <c r="I23" i="15"/>
  <c r="J36" i="15"/>
  <c r="I36" i="15"/>
  <c r="J39" i="15"/>
  <c r="I39" i="15"/>
  <c r="J52" i="15"/>
  <c r="I52" i="15"/>
  <c r="J55" i="15"/>
  <c r="I55" i="15"/>
  <c r="J68" i="15"/>
  <c r="I68" i="15"/>
  <c r="J71" i="15"/>
  <c r="I71" i="15"/>
  <c r="J84" i="15"/>
  <c r="I84" i="15"/>
  <c r="J87" i="15"/>
  <c r="I87" i="15"/>
  <c r="J100" i="15"/>
  <c r="I100" i="15"/>
  <c r="J103" i="15"/>
  <c r="I103" i="15"/>
  <c r="J116" i="15"/>
  <c r="I116" i="15"/>
  <c r="J119" i="15"/>
  <c r="I119" i="15"/>
  <c r="J132" i="15"/>
  <c r="I132" i="15"/>
  <c r="J135" i="15"/>
  <c r="I135" i="15"/>
  <c r="J148" i="15"/>
  <c r="I148" i="15"/>
  <c r="J151" i="15"/>
  <c r="I151" i="15"/>
  <c r="J168" i="15"/>
  <c r="I168" i="15"/>
  <c r="J200" i="15"/>
  <c r="I200" i="15"/>
  <c r="J232" i="15"/>
  <c r="I232" i="15"/>
  <c r="J264" i="15"/>
  <c r="I264" i="15"/>
  <c r="J296" i="15"/>
  <c r="I296" i="15"/>
  <c r="J431" i="15"/>
  <c r="I431" i="15"/>
  <c r="J439" i="15"/>
  <c r="I439" i="15"/>
  <c r="J457" i="15"/>
  <c r="I457" i="15"/>
  <c r="J469" i="15"/>
  <c r="I469" i="15"/>
  <c r="J513" i="15"/>
  <c r="I513" i="15"/>
  <c r="I518" i="15"/>
  <c r="J518" i="15"/>
  <c r="J552" i="15"/>
  <c r="I552" i="15"/>
  <c r="J687" i="15"/>
  <c r="I687" i="15"/>
  <c r="J695" i="15"/>
  <c r="I695" i="15"/>
  <c r="J713" i="15"/>
  <c r="I713" i="15"/>
  <c r="J725" i="15"/>
  <c r="I725" i="15"/>
  <c r="J769" i="15"/>
  <c r="I769" i="15"/>
  <c r="I774" i="15"/>
  <c r="J774" i="15"/>
  <c r="J808" i="15"/>
  <c r="I808" i="15"/>
  <c r="J943" i="15"/>
  <c r="I943" i="15"/>
  <c r="J951" i="15"/>
  <c r="I951" i="15"/>
  <c r="J969" i="15"/>
  <c r="I969" i="15"/>
  <c r="J981" i="15"/>
  <c r="I981" i="15"/>
  <c r="J1025" i="15"/>
  <c r="I1025" i="15"/>
  <c r="I1030" i="15"/>
  <c r="J1030" i="15"/>
  <c r="J1064" i="15"/>
  <c r="I1064" i="15"/>
  <c r="J1225" i="15"/>
  <c r="I1225" i="15"/>
  <c r="J1469" i="15"/>
  <c r="I1469" i="15"/>
  <c r="I1480" i="15"/>
  <c r="J1480" i="15"/>
  <c r="J1945" i="15"/>
  <c r="I1945" i="15"/>
  <c r="J1984" i="15"/>
  <c r="I1984" i="15"/>
  <c r="J1987" i="15"/>
  <c r="I1987" i="15"/>
  <c r="J2105" i="15"/>
  <c r="I2105" i="15"/>
  <c r="J2152" i="15"/>
  <c r="I2152" i="15"/>
  <c r="J2206" i="15"/>
  <c r="I2206" i="15"/>
  <c r="J2417" i="15"/>
  <c r="I2417" i="15"/>
  <c r="I2422" i="15"/>
  <c r="J2422" i="15"/>
  <c r="J2426" i="15"/>
  <c r="I2426" i="15"/>
  <c r="I2470" i="15"/>
  <c r="J2470" i="15"/>
  <c r="J2721" i="15"/>
  <c r="I2721" i="15"/>
  <c r="J2752" i="15"/>
  <c r="I2752" i="15"/>
  <c r="D230" i="11"/>
  <c r="D222" i="11"/>
  <c r="D214" i="11"/>
  <c r="D206" i="11"/>
  <c r="D198" i="11"/>
  <c r="D190" i="11"/>
  <c r="D182" i="11"/>
  <c r="D174" i="11"/>
  <c r="D166" i="11"/>
  <c r="D158" i="11"/>
  <c r="D150" i="11"/>
  <c r="D142" i="11"/>
  <c r="D134" i="11"/>
  <c r="D126" i="11"/>
  <c r="D118" i="11"/>
  <c r="D110" i="11"/>
  <c r="D102" i="11"/>
  <c r="D225" i="11"/>
  <c r="D217" i="11"/>
  <c r="D209" i="11"/>
  <c r="D201" i="11"/>
  <c r="D193" i="11"/>
  <c r="D185" i="11"/>
  <c r="D177" i="11"/>
  <c r="D169" i="11"/>
  <c r="D161" i="11"/>
  <c r="D153" i="11"/>
  <c r="D145" i="11"/>
  <c r="D137" i="11"/>
  <c r="D129" i="11"/>
  <c r="D121" i="11"/>
  <c r="D113" i="11"/>
  <c r="D105" i="11"/>
  <c r="D97" i="11"/>
  <c r="D89" i="11"/>
  <c r="D81" i="11"/>
  <c r="D247" i="11"/>
  <c r="D239" i="11"/>
  <c r="D231" i="11"/>
  <c r="D223" i="11"/>
  <c r="D215" i="11"/>
  <c r="D207" i="11"/>
  <c r="D250" i="11"/>
  <c r="D242" i="11"/>
  <c r="D234" i="11"/>
  <c r="D226" i="11"/>
  <c r="D218" i="11"/>
  <c r="D210" i="11"/>
  <c r="D245" i="11"/>
  <c r="D237" i="11"/>
  <c r="D229" i="11"/>
  <c r="D221" i="11"/>
  <c r="D213" i="11"/>
  <c r="D205" i="11"/>
  <c r="D197" i="11"/>
  <c r="D189" i="11"/>
  <c r="D181" i="11"/>
  <c r="D173" i="11"/>
  <c r="D165" i="11"/>
  <c r="D157" i="11"/>
  <c r="D149" i="11"/>
  <c r="D141" i="11"/>
  <c r="D133" i="11"/>
  <c r="D125" i="11"/>
  <c r="D117" i="11"/>
  <c r="D109" i="11"/>
  <c r="D101" i="11"/>
  <c r="D248" i="11"/>
  <c r="D227" i="11"/>
  <c r="D195" i="11"/>
  <c r="D186" i="11"/>
  <c r="D184" i="11"/>
  <c r="D167" i="11"/>
  <c r="D148" i="11"/>
  <c r="D131" i="11"/>
  <c r="D122" i="11"/>
  <c r="D120" i="11"/>
  <c r="D103" i="11"/>
  <c r="D93" i="11"/>
  <c r="D84" i="11"/>
  <c r="D82" i="11"/>
  <c r="C200" i="10" a="1"/>
  <c r="C200" i="10" s="1"/>
  <c r="D252" i="11"/>
  <c r="D228" i="11"/>
  <c r="D224" i="11"/>
  <c r="D203" i="11"/>
  <c r="D194" i="11"/>
  <c r="D192" i="11"/>
  <c r="D175" i="11"/>
  <c r="D156" i="11"/>
  <c r="D139" i="11"/>
  <c r="D130" i="11"/>
  <c r="D128" i="11"/>
  <c r="D111" i="11"/>
  <c r="D95" i="11"/>
  <c r="D78" i="11"/>
  <c r="D219" i="11"/>
  <c r="D202" i="11"/>
  <c r="D200" i="11"/>
  <c r="D183" i="11"/>
  <c r="D164" i="11"/>
  <c r="D147" i="11"/>
  <c r="D138" i="11"/>
  <c r="D136" i="11"/>
  <c r="D119" i="11"/>
  <c r="D98" i="11"/>
  <c r="D88" i="11"/>
  <c r="D86" i="11"/>
  <c r="D220" i="11"/>
  <c r="D216" i="11"/>
  <c r="D191" i="11"/>
  <c r="D172" i="11"/>
  <c r="D155" i="11"/>
  <c r="D146" i="11"/>
  <c r="D144" i="11"/>
  <c r="D127" i="11"/>
  <c r="D108" i="11"/>
  <c r="D92" i="11"/>
  <c r="D90" i="11"/>
  <c r="D76" i="11"/>
  <c r="D243" i="11"/>
  <c r="D211" i="11"/>
  <c r="D199" i="11"/>
  <c r="D180" i="11"/>
  <c r="D163" i="11"/>
  <c r="D154" i="11"/>
  <c r="D152" i="11"/>
  <c r="D135" i="11"/>
  <c r="D116" i="11"/>
  <c r="D244" i="11"/>
  <c r="D240" i="11"/>
  <c r="D212" i="11"/>
  <c r="D188" i="11"/>
  <c r="D171" i="11"/>
  <c r="D162" i="11"/>
  <c r="D160" i="11"/>
  <c r="D143" i="11"/>
  <c r="D124" i="11"/>
  <c r="D107" i="11"/>
  <c r="D96" i="11"/>
  <c r="D94" i="11"/>
  <c r="D85" i="11"/>
  <c r="D74" i="11"/>
  <c r="D235" i="11"/>
  <c r="D208" i="11"/>
  <c r="D196" i="11"/>
  <c r="D179" i="11"/>
  <c r="D170" i="11"/>
  <c r="D168" i="11"/>
  <c r="D151" i="11"/>
  <c r="D132" i="11"/>
  <c r="D115" i="11"/>
  <c r="D106" i="11"/>
  <c r="D104" i="11"/>
  <c r="D87" i="11"/>
  <c r="D201" i="10" a="1"/>
  <c r="D201" i="10" s="1"/>
  <c r="G7" i="11"/>
  <c r="G15" i="11"/>
  <c r="G22" i="11"/>
  <c r="G25" i="11"/>
  <c r="G33" i="11"/>
  <c r="G34" i="11"/>
  <c r="G41" i="11"/>
  <c r="G42" i="11"/>
  <c r="G49" i="11"/>
  <c r="G50" i="11"/>
  <c r="E61" i="11"/>
  <c r="G76" i="11"/>
  <c r="D79" i="11"/>
  <c r="G80" i="11"/>
  <c r="C87" i="11"/>
  <c r="C90" i="11"/>
  <c r="E93" i="11"/>
  <c r="G95" i="11"/>
  <c r="G97" i="11"/>
  <c r="G113" i="11"/>
  <c r="G142" i="11"/>
  <c r="G145" i="11"/>
  <c r="D176" i="11"/>
  <c r="G188" i="11"/>
  <c r="G193" i="11"/>
  <c r="G201" i="11"/>
  <c r="G222" i="11"/>
  <c r="C241" i="11"/>
  <c r="E121" i="10"/>
  <c r="C46" i="11" s="1"/>
  <c r="E153" i="10"/>
  <c r="C57" i="11" s="1"/>
  <c r="E185" i="10"/>
  <c r="D66" i="11" s="1"/>
  <c r="G4" i="11"/>
  <c r="G17" i="11"/>
  <c r="G23" i="11"/>
  <c r="E41" i="11"/>
  <c r="G60" i="11"/>
  <c r="C76" i="11"/>
  <c r="G87" i="11"/>
  <c r="C97" i="11"/>
  <c r="G105" i="11"/>
  <c r="C113" i="11"/>
  <c r="G132" i="11"/>
  <c r="G164" i="11"/>
  <c r="C168" i="11"/>
  <c r="E186" i="11"/>
  <c r="G206" i="11"/>
  <c r="C208" i="11"/>
  <c r="G233" i="11"/>
  <c r="D236" i="11"/>
  <c r="E77" i="10"/>
  <c r="D30" i="11" s="1"/>
  <c r="E109" i="10"/>
  <c r="C42" i="11" s="1"/>
  <c r="E141" i="10"/>
  <c r="C53" i="11" s="1"/>
  <c r="E173" i="10"/>
  <c r="E67" i="11" s="1"/>
  <c r="G5" i="11"/>
  <c r="E11" i="11"/>
  <c r="F11" i="11" s="1"/>
  <c r="H11" i="11" s="1"/>
  <c r="I11" i="11" s="1"/>
  <c r="G64" i="11"/>
  <c r="E82" i="11"/>
  <c r="G92" i="11"/>
  <c r="D99" i="11"/>
  <c r="G101" i="11"/>
  <c r="G143" i="11"/>
  <c r="G177" i="11"/>
  <c r="G189" i="11"/>
  <c r="G196" i="11"/>
  <c r="G231" i="11"/>
  <c r="G247" i="11"/>
  <c r="G248" i="11"/>
  <c r="G240" i="11"/>
  <c r="G232" i="11"/>
  <c r="G224" i="11"/>
  <c r="G216" i="11"/>
  <c r="G208" i="11"/>
  <c r="G251" i="11"/>
  <c r="G243" i="11"/>
  <c r="G235" i="11"/>
  <c r="G227" i="11"/>
  <c r="G219" i="11"/>
  <c r="G211" i="11"/>
  <c r="G249" i="11"/>
  <c r="G252" i="11"/>
  <c r="G228" i="11"/>
  <c r="G200" i="11"/>
  <c r="G147" i="11"/>
  <c r="G136" i="11"/>
  <c r="G26" i="11"/>
  <c r="G18" i="11"/>
  <c r="G225" i="11"/>
  <c r="G155" i="11"/>
  <c r="G144" i="11"/>
  <c r="G83" i="11"/>
  <c r="G220" i="11"/>
  <c r="G172" i="11"/>
  <c r="G163" i="11"/>
  <c r="G153" i="11"/>
  <c r="G152" i="11"/>
  <c r="G108" i="11"/>
  <c r="G100" i="11"/>
  <c r="G217" i="11"/>
  <c r="G180" i="11"/>
  <c r="G171" i="11"/>
  <c r="G161" i="11"/>
  <c r="G160" i="11"/>
  <c r="G116" i="11"/>
  <c r="G107" i="11"/>
  <c r="G77" i="11"/>
  <c r="G67" i="11"/>
  <c r="G244" i="11"/>
  <c r="G221" i="11"/>
  <c r="G212" i="11"/>
  <c r="G205" i="11"/>
  <c r="G179" i="11"/>
  <c r="G168" i="11"/>
  <c r="G141" i="11"/>
  <c r="G115" i="11"/>
  <c r="G104" i="11"/>
  <c r="G241" i="11"/>
  <c r="G209" i="11"/>
  <c r="G187" i="11"/>
  <c r="G176" i="11"/>
  <c r="G149" i="11"/>
  <c r="G123" i="11"/>
  <c r="G112" i="11"/>
  <c r="G99" i="11"/>
  <c r="G245" i="11"/>
  <c r="G236" i="11"/>
  <c r="G213" i="11"/>
  <c r="G204" i="11"/>
  <c r="G195" i="11"/>
  <c r="G185" i="11"/>
  <c r="G184" i="11"/>
  <c r="G157" i="11"/>
  <c r="G140" i="11"/>
  <c r="G131" i="11"/>
  <c r="G121" i="11"/>
  <c r="G120" i="11"/>
  <c r="G84" i="11"/>
  <c r="E161" i="10"/>
  <c r="C60" i="11" s="1"/>
  <c r="C251" i="11"/>
  <c r="E249" i="11"/>
  <c r="D246" i="11"/>
  <c r="C243" i="11"/>
  <c r="E241" i="11"/>
  <c r="D238" i="11"/>
  <c r="E233" i="11"/>
  <c r="E225" i="11"/>
  <c r="E217" i="11"/>
  <c r="E209" i="11"/>
  <c r="E201" i="11"/>
  <c r="E193" i="11"/>
  <c r="E185" i="11"/>
  <c r="E177" i="11"/>
  <c r="E169" i="11"/>
  <c r="E161" i="11"/>
  <c r="E153" i="11"/>
  <c r="E145" i="11"/>
  <c r="E137" i="11"/>
  <c r="E129" i="11"/>
  <c r="E121" i="11"/>
  <c r="E113" i="11"/>
  <c r="E105" i="11"/>
  <c r="E252" i="11"/>
  <c r="D249" i="11"/>
  <c r="C246" i="11"/>
  <c r="E244" i="11"/>
  <c r="D241" i="11"/>
  <c r="C238" i="11"/>
  <c r="E236" i="11"/>
  <c r="D233" i="11"/>
  <c r="E228" i="11"/>
  <c r="E220" i="11"/>
  <c r="E212" i="11"/>
  <c r="E204" i="11"/>
  <c r="E196" i="11"/>
  <c r="E188" i="11"/>
  <c r="E180" i="11"/>
  <c r="E172" i="11"/>
  <c r="E164" i="11"/>
  <c r="E156" i="11"/>
  <c r="E148" i="11"/>
  <c r="E140" i="11"/>
  <c r="E132" i="11"/>
  <c r="E124" i="11"/>
  <c r="E116" i="11"/>
  <c r="E108" i="11"/>
  <c r="E100" i="11"/>
  <c r="E92" i="11"/>
  <c r="E84" i="11"/>
  <c r="E250" i="11"/>
  <c r="E242" i="11"/>
  <c r="E234" i="11"/>
  <c r="E226" i="11"/>
  <c r="E218" i="11"/>
  <c r="E210" i="11"/>
  <c r="E253" i="11"/>
  <c r="E245" i="11"/>
  <c r="E237" i="11"/>
  <c r="E229" i="11"/>
  <c r="E221" i="11"/>
  <c r="E213" i="11"/>
  <c r="D253" i="11"/>
  <c r="C250" i="11"/>
  <c r="E248" i="11"/>
  <c r="E240" i="11"/>
  <c r="E232" i="11"/>
  <c r="E224" i="11"/>
  <c r="E216" i="11"/>
  <c r="E208" i="11"/>
  <c r="E200" i="11"/>
  <c r="E192" i="11"/>
  <c r="E184" i="11"/>
  <c r="E176" i="11"/>
  <c r="E168" i="11"/>
  <c r="E160" i="11"/>
  <c r="E152" i="11"/>
  <c r="E144" i="11"/>
  <c r="E136" i="11"/>
  <c r="E128" i="11"/>
  <c r="E120" i="11"/>
  <c r="E112" i="11"/>
  <c r="E104" i="11"/>
  <c r="E96" i="11"/>
  <c r="E251" i="11"/>
  <c r="E246" i="11"/>
  <c r="E223" i="11"/>
  <c r="E214" i="11"/>
  <c r="E203" i="11"/>
  <c r="E194" i="11"/>
  <c r="E175" i="11"/>
  <c r="E158" i="11"/>
  <c r="E157" i="11"/>
  <c r="E139" i="11"/>
  <c r="E130" i="11"/>
  <c r="E111" i="11"/>
  <c r="E95" i="11"/>
  <c r="E78" i="11"/>
  <c r="E36" i="11"/>
  <c r="E219" i="11"/>
  <c r="E202" i="11"/>
  <c r="E183" i="11"/>
  <c r="E166" i="11"/>
  <c r="E165" i="11"/>
  <c r="E147" i="11"/>
  <c r="E138" i="11"/>
  <c r="E119" i="11"/>
  <c r="E102" i="11"/>
  <c r="E98" i="11"/>
  <c r="E88" i="11"/>
  <c r="E86" i="11"/>
  <c r="E31" i="11"/>
  <c r="E247" i="11"/>
  <c r="E238" i="11"/>
  <c r="E215" i="11"/>
  <c r="E191" i="11"/>
  <c r="E174" i="11"/>
  <c r="E173" i="11"/>
  <c r="E155" i="11"/>
  <c r="E146" i="11"/>
  <c r="E127" i="11"/>
  <c r="E110" i="11"/>
  <c r="E109" i="11"/>
  <c r="E101" i="11"/>
  <c r="E90" i="11"/>
  <c r="E76" i="11"/>
  <c r="E243" i="11"/>
  <c r="E211" i="11"/>
  <c r="E199" i="11"/>
  <c r="E182" i="11"/>
  <c r="E181" i="11"/>
  <c r="E163" i="11"/>
  <c r="E154" i="11"/>
  <c r="E135" i="11"/>
  <c r="E118" i="11"/>
  <c r="E117" i="11"/>
  <c r="E97" i="11"/>
  <c r="E83" i="11"/>
  <c r="E81" i="11"/>
  <c r="E79" i="11"/>
  <c r="E239" i="11"/>
  <c r="E230" i="11"/>
  <c r="E190" i="11"/>
  <c r="E189" i="11"/>
  <c r="E171" i="11"/>
  <c r="E162" i="11"/>
  <c r="E143" i="11"/>
  <c r="E126" i="11"/>
  <c r="E125" i="11"/>
  <c r="E107" i="11"/>
  <c r="E235" i="11"/>
  <c r="E198" i="11"/>
  <c r="E197" i="11"/>
  <c r="E179" i="11"/>
  <c r="E170" i="11"/>
  <c r="E151" i="11"/>
  <c r="E134" i="11"/>
  <c r="E133" i="11"/>
  <c r="E115" i="11"/>
  <c r="E106" i="11"/>
  <c r="E87" i="11"/>
  <c r="E59" i="11"/>
  <c r="E51" i="11"/>
  <c r="D199" i="10" a="1"/>
  <c r="D199" i="10" s="1"/>
  <c r="E231" i="11"/>
  <c r="E222" i="11"/>
  <c r="E207" i="11"/>
  <c r="E206" i="11"/>
  <c r="E205" i="11"/>
  <c r="E187" i="11"/>
  <c r="E178" i="11"/>
  <c r="E159" i="11"/>
  <c r="E142" i="11"/>
  <c r="E141" i="11"/>
  <c r="E123" i="11"/>
  <c r="E114" i="11"/>
  <c r="E99" i="11"/>
  <c r="E91" i="11"/>
  <c r="E89" i="11"/>
  <c r="E80" i="11"/>
  <c r="D200" i="10" a="1"/>
  <c r="D200" i="10" s="1"/>
  <c r="C235" i="11"/>
  <c r="C227" i="11"/>
  <c r="C219" i="11"/>
  <c r="C211" i="11"/>
  <c r="C203" i="11"/>
  <c r="C195" i="11"/>
  <c r="C187" i="11"/>
  <c r="C179" i="11"/>
  <c r="C171" i="11"/>
  <c r="C163" i="11"/>
  <c r="C155" i="11"/>
  <c r="C147" i="11"/>
  <c r="C139" i="11"/>
  <c r="C131" i="11"/>
  <c r="C123" i="11"/>
  <c r="C115" i="11"/>
  <c r="C107" i="11"/>
  <c r="C230" i="11"/>
  <c r="C222" i="11"/>
  <c r="C214" i="11"/>
  <c r="C206" i="11"/>
  <c r="C198" i="11"/>
  <c r="C190" i="11"/>
  <c r="C182" i="11"/>
  <c r="C174" i="11"/>
  <c r="C166" i="11"/>
  <c r="C158" i="11"/>
  <c r="C150" i="11"/>
  <c r="C142" i="11"/>
  <c r="C134" i="11"/>
  <c r="C126" i="11"/>
  <c r="C118" i="11"/>
  <c r="C110" i="11"/>
  <c r="C102" i="11"/>
  <c r="C94" i="11"/>
  <c r="C86" i="11"/>
  <c r="C252" i="11"/>
  <c r="C244" i="11"/>
  <c r="C236" i="11"/>
  <c r="C228" i="11"/>
  <c r="C220" i="11"/>
  <c r="C212" i="11"/>
  <c r="C247" i="11"/>
  <c r="C239" i="11"/>
  <c r="C231" i="11"/>
  <c r="C223" i="11"/>
  <c r="C215" i="11"/>
  <c r="C242" i="11"/>
  <c r="C234" i="11"/>
  <c r="C226" i="11"/>
  <c r="C218" i="11"/>
  <c r="C210" i="11"/>
  <c r="C202" i="11"/>
  <c r="C194" i="11"/>
  <c r="C186" i="11"/>
  <c r="C178" i="11"/>
  <c r="C170" i="11"/>
  <c r="C162" i="11"/>
  <c r="C154" i="11"/>
  <c r="C146" i="11"/>
  <c r="C138" i="11"/>
  <c r="C130" i="11"/>
  <c r="C122" i="11"/>
  <c r="C114" i="11"/>
  <c r="C106" i="11"/>
  <c r="C98" i="11"/>
  <c r="C253" i="11"/>
  <c r="C249" i="11"/>
  <c r="C232" i="11"/>
  <c r="C204" i="11"/>
  <c r="C185" i="11"/>
  <c r="C176" i="11"/>
  <c r="C159" i="11"/>
  <c r="C149" i="11"/>
  <c r="C140" i="11"/>
  <c r="C121" i="11"/>
  <c r="C112" i="11"/>
  <c r="C99" i="11"/>
  <c r="C91" i="11"/>
  <c r="C80" i="11"/>
  <c r="C62" i="11"/>
  <c r="D202" i="10" a="1"/>
  <c r="D202" i="10" s="1"/>
  <c r="C237" i="11"/>
  <c r="C233" i="11"/>
  <c r="C193" i="11"/>
  <c r="C184" i="11"/>
  <c r="C167" i="11"/>
  <c r="C157" i="11"/>
  <c r="C148" i="11"/>
  <c r="C129" i="11"/>
  <c r="C120" i="11"/>
  <c r="C103" i="11"/>
  <c r="C93" i="11"/>
  <c r="C84" i="11"/>
  <c r="C82" i="11"/>
  <c r="C224" i="11"/>
  <c r="C201" i="11"/>
  <c r="C192" i="11"/>
  <c r="C175" i="11"/>
  <c r="C165" i="11"/>
  <c r="C156" i="11"/>
  <c r="C137" i="11"/>
  <c r="C128" i="11"/>
  <c r="C111" i="11"/>
  <c r="C95" i="11"/>
  <c r="C78" i="11"/>
  <c r="C68" i="11"/>
  <c r="C229" i="11"/>
  <c r="C225" i="11"/>
  <c r="C200" i="11"/>
  <c r="C183" i="11"/>
  <c r="C173" i="11"/>
  <c r="C164" i="11"/>
  <c r="C145" i="11"/>
  <c r="C136" i="11"/>
  <c r="C119" i="11"/>
  <c r="C109" i="11"/>
  <c r="C101" i="11"/>
  <c r="C88" i="11"/>
  <c r="C216" i="11"/>
  <c r="C191" i="11"/>
  <c r="C181" i="11"/>
  <c r="C172" i="11"/>
  <c r="C153" i="11"/>
  <c r="C144" i="11"/>
  <c r="C127" i="11"/>
  <c r="C117" i="11"/>
  <c r="C108" i="11"/>
  <c r="C248" i="11"/>
  <c r="C221" i="11"/>
  <c r="C217" i="11"/>
  <c r="C199" i="11"/>
  <c r="C189" i="11"/>
  <c r="C180" i="11"/>
  <c r="C161" i="11"/>
  <c r="C152" i="11"/>
  <c r="C135" i="11"/>
  <c r="C125" i="11"/>
  <c r="C116" i="11"/>
  <c r="C100" i="11"/>
  <c r="C83" i="11"/>
  <c r="C79" i="11"/>
  <c r="C69" i="11"/>
  <c r="C240" i="11"/>
  <c r="C197" i="11"/>
  <c r="C188" i="11"/>
  <c r="C169" i="11"/>
  <c r="C160" i="11"/>
  <c r="C143" i="11"/>
  <c r="C133" i="11"/>
  <c r="C124" i="11"/>
  <c r="C105" i="11"/>
  <c r="C96" i="11"/>
  <c r="C85" i="11"/>
  <c r="C74" i="11"/>
  <c r="C72" i="11"/>
  <c r="C64" i="11"/>
  <c r="E209" i="10"/>
  <c r="D77" i="11" s="1"/>
  <c r="E26" i="11"/>
  <c r="G29" i="11"/>
  <c r="G37" i="11"/>
  <c r="G45" i="11"/>
  <c r="G53" i="11"/>
  <c r="G58" i="11"/>
  <c r="C67" i="11"/>
  <c r="G69" i="11"/>
  <c r="G70" i="11"/>
  <c r="E75" i="11"/>
  <c r="G78" i="11"/>
  <c r="G86" i="11"/>
  <c r="C89" i="11"/>
  <c r="C92" i="11"/>
  <c r="G94" i="11"/>
  <c r="E103" i="11"/>
  <c r="G106" i="11"/>
  <c r="G109" i="11"/>
  <c r="D123" i="11"/>
  <c r="D140" i="11"/>
  <c r="G148" i="11"/>
  <c r="D159" i="11"/>
  <c r="G169" i="11"/>
  <c r="C177" i="11"/>
  <c r="C196" i="11"/>
  <c r="D204" i="11"/>
  <c r="G237" i="11"/>
  <c r="C245" i="11"/>
  <c r="C199" i="10" a="1"/>
  <c r="C199" i="10" s="1"/>
  <c r="G21" i="11"/>
  <c r="G56" i="11"/>
  <c r="G57" i="11"/>
  <c r="G66" i="11"/>
  <c r="G72" i="11"/>
  <c r="C81" i="11"/>
  <c r="G89" i="11"/>
  <c r="E94" i="11"/>
  <c r="G96" i="11"/>
  <c r="D114" i="11"/>
  <c r="G117" i="11"/>
  <c r="G128" i="11"/>
  <c r="G133" i="11"/>
  <c r="C209" i="11"/>
  <c r="G253" i="11"/>
  <c r="G10" i="11"/>
  <c r="G74" i="11"/>
  <c r="G165" i="11"/>
  <c r="E167" i="11"/>
  <c r="G170" i="11"/>
  <c r="G173" i="11"/>
  <c r="D187" i="11"/>
  <c r="G192" i="11"/>
  <c r="G197" i="11"/>
  <c r="C207" i="11"/>
  <c r="G229" i="11"/>
  <c r="D251" i="11"/>
  <c r="E189" i="10"/>
  <c r="D72" i="11" s="1"/>
  <c r="E21" i="11"/>
  <c r="G27" i="11"/>
  <c r="G35" i="11"/>
  <c r="G43" i="11"/>
  <c r="G51" i="11"/>
  <c r="G52" i="11"/>
  <c r="G59" i="11"/>
  <c r="G61" i="11"/>
  <c r="E74" i="11"/>
  <c r="D83" i="11"/>
  <c r="G85" i="11"/>
  <c r="G88" i="11"/>
  <c r="D91" i="11"/>
  <c r="D112" i="11"/>
  <c r="G124" i="11"/>
  <c r="E131" i="11"/>
  <c r="C141" i="11"/>
  <c r="E149" i="11"/>
  <c r="C151" i="11"/>
  <c r="D178" i="11"/>
  <c r="G181" i="11"/>
  <c r="C205" i="11"/>
  <c r="D232" i="11"/>
  <c r="G134" i="11"/>
  <c r="G135" i="11"/>
  <c r="G162" i="11"/>
  <c r="G198" i="11"/>
  <c r="G199" i="11"/>
  <c r="G226" i="11"/>
  <c r="J186" i="15"/>
  <c r="I186" i="15"/>
  <c r="J218" i="15"/>
  <c r="I218" i="15"/>
  <c r="J250" i="15"/>
  <c r="I250" i="15"/>
  <c r="J282" i="15"/>
  <c r="I282" i="15"/>
  <c r="I334" i="15"/>
  <c r="J334" i="15"/>
  <c r="J464" i="15"/>
  <c r="I464" i="15"/>
  <c r="J476" i="15"/>
  <c r="I476" i="15"/>
  <c r="I510" i="15"/>
  <c r="J510" i="15"/>
  <c r="J549" i="15"/>
  <c r="I549" i="15"/>
  <c r="I590" i="15"/>
  <c r="J590" i="15"/>
  <c r="J720" i="15"/>
  <c r="I720" i="15"/>
  <c r="J732" i="15"/>
  <c r="I732" i="15"/>
  <c r="I766" i="15"/>
  <c r="J766" i="15"/>
  <c r="J805" i="15"/>
  <c r="I805" i="15"/>
  <c r="I846" i="15"/>
  <c r="J846" i="15"/>
  <c r="J976" i="15"/>
  <c r="I976" i="15"/>
  <c r="J988" i="15"/>
  <c r="I988" i="15"/>
  <c r="I1022" i="15"/>
  <c r="J1022" i="15"/>
  <c r="J1061" i="15"/>
  <c r="I1061" i="15"/>
  <c r="I1102" i="15"/>
  <c r="J1102" i="15"/>
  <c r="J1244" i="15"/>
  <c r="I1244" i="15"/>
  <c r="J1327" i="15"/>
  <c r="I1327" i="15"/>
  <c r="J1776" i="15"/>
  <c r="I1776" i="15"/>
  <c r="G90" i="11"/>
  <c r="G126" i="11"/>
  <c r="G127" i="11"/>
  <c r="G154" i="11"/>
  <c r="G190" i="11"/>
  <c r="G191" i="11"/>
  <c r="G230" i="11"/>
  <c r="G239" i="11"/>
  <c r="J165" i="15"/>
  <c r="I165" i="15"/>
  <c r="J183" i="15"/>
  <c r="I183" i="15"/>
  <c r="J197" i="15"/>
  <c r="I197" i="15"/>
  <c r="J215" i="15"/>
  <c r="I215" i="15"/>
  <c r="J229" i="15"/>
  <c r="I229" i="15"/>
  <c r="J247" i="15"/>
  <c r="I247" i="15"/>
  <c r="J261" i="15"/>
  <c r="I261" i="15"/>
  <c r="J279" i="15"/>
  <c r="I279" i="15"/>
  <c r="J293" i="15"/>
  <c r="I293" i="15"/>
  <c r="J344" i="15"/>
  <c r="I344" i="15"/>
  <c r="I470" i="15"/>
  <c r="J470" i="15"/>
  <c r="J505" i="15"/>
  <c r="I505" i="15"/>
  <c r="J519" i="15"/>
  <c r="I519" i="15"/>
  <c r="J544" i="15"/>
  <c r="I544" i="15"/>
  <c r="J600" i="15"/>
  <c r="I600" i="15"/>
  <c r="I726" i="15"/>
  <c r="J726" i="15"/>
  <c r="J761" i="15"/>
  <c r="I761" i="15"/>
  <c r="J775" i="15"/>
  <c r="I775" i="15"/>
  <c r="J800" i="15"/>
  <c r="I800" i="15"/>
  <c r="J856" i="15"/>
  <c r="I856" i="15"/>
  <c r="I982" i="15"/>
  <c r="J982" i="15"/>
  <c r="J1017" i="15"/>
  <c r="I1017" i="15"/>
  <c r="J1031" i="15"/>
  <c r="I1031" i="15"/>
  <c r="J1056" i="15"/>
  <c r="I1056" i="15"/>
  <c r="J1112" i="15"/>
  <c r="I1112" i="15"/>
  <c r="I1238" i="15"/>
  <c r="J1238" i="15"/>
  <c r="J1287" i="15"/>
  <c r="I1287" i="15"/>
  <c r="I1324" i="15"/>
  <c r="J1324" i="15"/>
  <c r="J1425" i="15"/>
  <c r="I1425" i="15"/>
  <c r="J1429" i="15"/>
  <c r="I1429" i="15"/>
  <c r="J1448" i="15"/>
  <c r="I1448" i="15"/>
  <c r="J1651" i="15"/>
  <c r="I1651" i="15"/>
  <c r="J1690" i="15"/>
  <c r="I1690" i="15"/>
  <c r="J1717" i="15"/>
  <c r="I1717" i="15"/>
  <c r="J1720" i="15"/>
  <c r="I1720" i="15"/>
  <c r="J1726" i="15"/>
  <c r="I1726" i="15"/>
  <c r="G118" i="11"/>
  <c r="G119" i="11"/>
  <c r="G146" i="11"/>
  <c r="G182" i="11"/>
  <c r="G183" i="11"/>
  <c r="G234" i="11"/>
  <c r="G250" i="11"/>
  <c r="J465" i="15"/>
  <c r="I465" i="15"/>
  <c r="J511" i="15"/>
  <c r="I511" i="15"/>
  <c r="J721" i="15"/>
  <c r="I721" i="15"/>
  <c r="J767" i="15"/>
  <c r="I767" i="15"/>
  <c r="J977" i="15"/>
  <c r="I977" i="15"/>
  <c r="J1023" i="15"/>
  <c r="I1023" i="15"/>
  <c r="J1233" i="15"/>
  <c r="I1233" i="15"/>
  <c r="J1279" i="15"/>
  <c r="I1279" i="15"/>
  <c r="I1318" i="15"/>
  <c r="J1318" i="15"/>
  <c r="J1405" i="15"/>
  <c r="I1405" i="15"/>
  <c r="I1416" i="15"/>
  <c r="J1416" i="15"/>
  <c r="J1573" i="15"/>
  <c r="I1573" i="15"/>
  <c r="G98" i="11"/>
  <c r="G110" i="11"/>
  <c r="G111" i="11"/>
  <c r="G138" i="11"/>
  <c r="G174" i="11"/>
  <c r="G175" i="11"/>
  <c r="G202" i="11"/>
  <c r="G215" i="11"/>
  <c r="G238" i="11"/>
  <c r="J12" i="15"/>
  <c r="I12" i="15"/>
  <c r="J15" i="15"/>
  <c r="I15" i="15"/>
  <c r="J28" i="15"/>
  <c r="I28" i="15"/>
  <c r="J31" i="15"/>
  <c r="I31" i="15"/>
  <c r="J44" i="15"/>
  <c r="I44" i="15"/>
  <c r="J47" i="15"/>
  <c r="I47" i="15"/>
  <c r="J60" i="15"/>
  <c r="I60" i="15"/>
  <c r="J63" i="15"/>
  <c r="I63" i="15"/>
  <c r="J76" i="15"/>
  <c r="I76" i="15"/>
  <c r="J79" i="15"/>
  <c r="I79" i="15"/>
  <c r="J92" i="15"/>
  <c r="I92" i="15"/>
  <c r="J95" i="15"/>
  <c r="I95" i="15"/>
  <c r="J108" i="15"/>
  <c r="I108" i="15"/>
  <c r="J111" i="15"/>
  <c r="I111" i="15"/>
  <c r="J124" i="15"/>
  <c r="I124" i="15"/>
  <c r="J127" i="15"/>
  <c r="I127" i="15"/>
  <c r="J140" i="15"/>
  <c r="I140" i="15"/>
  <c r="J143" i="15"/>
  <c r="I143" i="15"/>
  <c r="J156" i="15"/>
  <c r="I156" i="15"/>
  <c r="J159" i="15"/>
  <c r="I159" i="15"/>
  <c r="J184" i="15"/>
  <c r="I184" i="15"/>
  <c r="J216" i="15"/>
  <c r="I216" i="15"/>
  <c r="J248" i="15"/>
  <c r="I248" i="15"/>
  <c r="J280" i="15"/>
  <c r="I280" i="15"/>
  <c r="J303" i="15"/>
  <c r="I303" i="15"/>
  <c r="J311" i="15"/>
  <c r="I311" i="15"/>
  <c r="J329" i="15"/>
  <c r="I329" i="15"/>
  <c r="J341" i="15"/>
  <c r="I341" i="15"/>
  <c r="J385" i="15"/>
  <c r="I385" i="15"/>
  <c r="I390" i="15"/>
  <c r="J390" i="15"/>
  <c r="J424" i="15"/>
  <c r="I424" i="15"/>
  <c r="J559" i="15"/>
  <c r="I559" i="15"/>
  <c r="J567" i="15"/>
  <c r="I567" i="15"/>
  <c r="J585" i="15"/>
  <c r="I585" i="15"/>
  <c r="J597" i="15"/>
  <c r="I597" i="15"/>
  <c r="J641" i="15"/>
  <c r="I641" i="15"/>
  <c r="I646" i="15"/>
  <c r="J646" i="15"/>
  <c r="J680" i="15"/>
  <c r="I680" i="15"/>
  <c r="J815" i="15"/>
  <c r="I815" i="15"/>
  <c r="J823" i="15"/>
  <c r="I823" i="15"/>
  <c r="J841" i="15"/>
  <c r="I841" i="15"/>
  <c r="J853" i="15"/>
  <c r="I853" i="15"/>
  <c r="J897" i="15"/>
  <c r="I897" i="15"/>
  <c r="I902" i="15"/>
  <c r="J902" i="15"/>
  <c r="J936" i="15"/>
  <c r="I936" i="15"/>
  <c r="J1071" i="15"/>
  <c r="I1071" i="15"/>
  <c r="J1079" i="15"/>
  <c r="I1079" i="15"/>
  <c r="J1097" i="15"/>
  <c r="I1097" i="15"/>
  <c r="J1109" i="15"/>
  <c r="I1109" i="15"/>
  <c r="J1153" i="15"/>
  <c r="I1153" i="15"/>
  <c r="I1158" i="15"/>
  <c r="J1158" i="15"/>
  <c r="J1192" i="15"/>
  <c r="I1192" i="15"/>
  <c r="G82" i="11"/>
  <c r="G102" i="11"/>
  <c r="G103" i="11"/>
  <c r="G130" i="11"/>
  <c r="G166" i="11"/>
  <c r="G167" i="11"/>
  <c r="G194" i="11"/>
  <c r="G210" i="11"/>
  <c r="G242" i="11"/>
  <c r="J170" i="15"/>
  <c r="I170" i="15"/>
  <c r="J202" i="15"/>
  <c r="I202" i="15"/>
  <c r="J234" i="15"/>
  <c r="I234" i="15"/>
  <c r="J266" i="15"/>
  <c r="I266" i="15"/>
  <c r="J336" i="15"/>
  <c r="I336" i="15"/>
  <c r="J348" i="15"/>
  <c r="I348" i="15"/>
  <c r="I382" i="15"/>
  <c r="J382" i="15"/>
  <c r="J421" i="15"/>
  <c r="I421" i="15"/>
  <c r="I462" i="15"/>
  <c r="J462" i="15"/>
  <c r="J592" i="15"/>
  <c r="I592" i="15"/>
  <c r="J604" i="15"/>
  <c r="I604" i="15"/>
  <c r="I638" i="15"/>
  <c r="J638" i="15"/>
  <c r="J677" i="15"/>
  <c r="I677" i="15"/>
  <c r="I718" i="15"/>
  <c r="J718" i="15"/>
  <c r="J848" i="15"/>
  <c r="I848" i="15"/>
  <c r="J860" i="15"/>
  <c r="I860" i="15"/>
  <c r="I894" i="15"/>
  <c r="J894" i="15"/>
  <c r="J933" i="15"/>
  <c r="I933" i="15"/>
  <c r="I974" i="15"/>
  <c r="J974" i="15"/>
  <c r="J1104" i="15"/>
  <c r="I1104" i="15"/>
  <c r="J1116" i="15"/>
  <c r="I1116" i="15"/>
  <c r="I1150" i="15"/>
  <c r="J1150" i="15"/>
  <c r="J1189" i="15"/>
  <c r="I1189" i="15"/>
  <c r="I1230" i="15"/>
  <c r="J1230" i="15"/>
  <c r="J1361" i="15"/>
  <c r="I1361" i="15"/>
  <c r="J1365" i="15"/>
  <c r="I1365" i="15"/>
  <c r="J1384" i="15"/>
  <c r="I1384" i="15"/>
  <c r="I1564" i="15"/>
  <c r="J1564" i="15"/>
  <c r="G122" i="11"/>
  <c r="G158" i="11"/>
  <c r="G159" i="11"/>
  <c r="G186" i="11"/>
  <c r="G214" i="11"/>
  <c r="G223" i="11"/>
  <c r="G246" i="11"/>
  <c r="J167" i="15"/>
  <c r="I167" i="15"/>
  <c r="J181" i="15"/>
  <c r="I181" i="15"/>
  <c r="J199" i="15"/>
  <c r="I199" i="15"/>
  <c r="J213" i="15"/>
  <c r="I213" i="15"/>
  <c r="J231" i="15"/>
  <c r="I231" i="15"/>
  <c r="J245" i="15"/>
  <c r="I245" i="15"/>
  <c r="J263" i="15"/>
  <c r="I263" i="15"/>
  <c r="J277" i="15"/>
  <c r="I277" i="15"/>
  <c r="J295" i="15"/>
  <c r="I295" i="15"/>
  <c r="I342" i="15"/>
  <c r="J342" i="15"/>
  <c r="J377" i="15"/>
  <c r="I377" i="15"/>
  <c r="J391" i="15"/>
  <c r="I391" i="15"/>
  <c r="J416" i="15"/>
  <c r="I416" i="15"/>
  <c r="J472" i="15"/>
  <c r="I472" i="15"/>
  <c r="I598" i="15"/>
  <c r="J598" i="15"/>
  <c r="J633" i="15"/>
  <c r="I633" i="15"/>
  <c r="J647" i="15"/>
  <c r="I647" i="15"/>
  <c r="J672" i="15"/>
  <c r="I672" i="15"/>
  <c r="J728" i="15"/>
  <c r="I728" i="15"/>
  <c r="I854" i="15"/>
  <c r="J854" i="15"/>
  <c r="J889" i="15"/>
  <c r="I889" i="15"/>
  <c r="J903" i="15"/>
  <c r="I903" i="15"/>
  <c r="J928" i="15"/>
  <c r="I928" i="15"/>
  <c r="J984" i="15"/>
  <c r="I984" i="15"/>
  <c r="I1110" i="15"/>
  <c r="J1110" i="15"/>
  <c r="J1145" i="15"/>
  <c r="I1145" i="15"/>
  <c r="J1159" i="15"/>
  <c r="I1159" i="15"/>
  <c r="J1184" i="15"/>
  <c r="I1184" i="15"/>
  <c r="G114" i="11"/>
  <c r="G150" i="11"/>
  <c r="G151" i="11"/>
  <c r="G178" i="11"/>
  <c r="G207" i="11"/>
  <c r="G218" i="11"/>
  <c r="J337" i="15"/>
  <c r="I337" i="15"/>
  <c r="J383" i="15"/>
  <c r="I383" i="15"/>
  <c r="J593" i="15"/>
  <c r="I593" i="15"/>
  <c r="J639" i="15"/>
  <c r="I639" i="15"/>
  <c r="J849" i="15"/>
  <c r="I849" i="15"/>
  <c r="J895" i="15"/>
  <c r="I895" i="15"/>
  <c r="J1105" i="15"/>
  <c r="I1105" i="15"/>
  <c r="J1151" i="15"/>
  <c r="I1151" i="15"/>
  <c r="J1356" i="15"/>
  <c r="I1356" i="15"/>
  <c r="J1489" i="15"/>
  <c r="I1489" i="15"/>
  <c r="J1493" i="15"/>
  <c r="I1493" i="15"/>
  <c r="J1512" i="15"/>
  <c r="I1512" i="15"/>
  <c r="J162" i="15"/>
  <c r="I162" i="15"/>
  <c r="J178" i="15"/>
  <c r="I178" i="15"/>
  <c r="J194" i="15"/>
  <c r="I194" i="15"/>
  <c r="J210" i="15"/>
  <c r="I210" i="15"/>
  <c r="J226" i="15"/>
  <c r="I226" i="15"/>
  <c r="J242" i="15"/>
  <c r="I242" i="15"/>
  <c r="J258" i="15"/>
  <c r="I258" i="15"/>
  <c r="J274" i="15"/>
  <c r="I274" i="15"/>
  <c r="J290" i="15"/>
  <c r="I290" i="15"/>
  <c r="J321" i="15"/>
  <c r="I321" i="15"/>
  <c r="J367" i="15"/>
  <c r="I367" i="15"/>
  <c r="J375" i="15"/>
  <c r="I375" i="15"/>
  <c r="J408" i="15"/>
  <c r="I408" i="15"/>
  <c r="J449" i="15"/>
  <c r="I449" i="15"/>
  <c r="J495" i="15"/>
  <c r="I495" i="15"/>
  <c r="J503" i="15"/>
  <c r="I503" i="15"/>
  <c r="J536" i="15"/>
  <c r="I536" i="15"/>
  <c r="J577" i="15"/>
  <c r="I577" i="15"/>
  <c r="J623" i="15"/>
  <c r="I623" i="15"/>
  <c r="J631" i="15"/>
  <c r="I631" i="15"/>
  <c r="J664" i="15"/>
  <c r="I664" i="15"/>
  <c r="J705" i="15"/>
  <c r="I705" i="15"/>
  <c r="J751" i="15"/>
  <c r="I751" i="15"/>
  <c r="J759" i="15"/>
  <c r="I759" i="15"/>
  <c r="J792" i="15"/>
  <c r="I792" i="15"/>
  <c r="J833" i="15"/>
  <c r="I833" i="15"/>
  <c r="J879" i="15"/>
  <c r="I879" i="15"/>
  <c r="J887" i="15"/>
  <c r="I887" i="15"/>
  <c r="J920" i="15"/>
  <c r="I920" i="15"/>
  <c r="J961" i="15"/>
  <c r="I961" i="15"/>
  <c r="J1007" i="15"/>
  <c r="I1007" i="15"/>
  <c r="J1015" i="15"/>
  <c r="I1015" i="15"/>
  <c r="J1048" i="15"/>
  <c r="I1048" i="15"/>
  <c r="J1089" i="15"/>
  <c r="I1089" i="15"/>
  <c r="J1135" i="15"/>
  <c r="I1135" i="15"/>
  <c r="J1143" i="15"/>
  <c r="I1143" i="15"/>
  <c r="J1176" i="15"/>
  <c r="I1176" i="15"/>
  <c r="J1217" i="15"/>
  <c r="I1217" i="15"/>
  <c r="J1263" i="15"/>
  <c r="I1263" i="15"/>
  <c r="J1271" i="15"/>
  <c r="I1271" i="15"/>
  <c r="J1304" i="15"/>
  <c r="I1304" i="15"/>
  <c r="J1388" i="15"/>
  <c r="I1388" i="15"/>
  <c r="I1402" i="15"/>
  <c r="J1402" i="15"/>
  <c r="J1420" i="15"/>
  <c r="I1420" i="15"/>
  <c r="J1452" i="15"/>
  <c r="I1452" i="15"/>
  <c r="I1466" i="15"/>
  <c r="J1466" i="15"/>
  <c r="J1484" i="15"/>
  <c r="I1484" i="15"/>
  <c r="J1536" i="15"/>
  <c r="I1536" i="15"/>
  <c r="J1604" i="15"/>
  <c r="I1604" i="15"/>
  <c r="J1640" i="15"/>
  <c r="I1640" i="15"/>
  <c r="I1646" i="15"/>
  <c r="J1646" i="15"/>
  <c r="J1687" i="15"/>
  <c r="I1687" i="15"/>
  <c r="J1745" i="15"/>
  <c r="I1745" i="15"/>
  <c r="J1823" i="15"/>
  <c r="I1823" i="15"/>
  <c r="J1838" i="15"/>
  <c r="I1838" i="15"/>
  <c r="J1891" i="15"/>
  <c r="I1891" i="15"/>
  <c r="J1975" i="15"/>
  <c r="I1975" i="15"/>
  <c r="J2040" i="15"/>
  <c r="I2040" i="15"/>
  <c r="I2046" i="15"/>
  <c r="J2046" i="15"/>
  <c r="J2099" i="15"/>
  <c r="I2099" i="15"/>
  <c r="J2149" i="15"/>
  <c r="I2149" i="15"/>
  <c r="I2316" i="15"/>
  <c r="J2316" i="15"/>
  <c r="J2319" i="15"/>
  <c r="I2319" i="15"/>
  <c r="J2327" i="15"/>
  <c r="I2327" i="15"/>
  <c r="I2384" i="15"/>
  <c r="J2384" i="15"/>
  <c r="J2414" i="15"/>
  <c r="I2414" i="15"/>
  <c r="J2465" i="15"/>
  <c r="I2465" i="15"/>
  <c r="J2513" i="15"/>
  <c r="I2513" i="15"/>
  <c r="I2518" i="15"/>
  <c r="J2518" i="15"/>
  <c r="J2527" i="15"/>
  <c r="I2527" i="15"/>
  <c r="J2688" i="15"/>
  <c r="I2688" i="15"/>
  <c r="J2691" i="15"/>
  <c r="I2691" i="15"/>
  <c r="J2890" i="15"/>
  <c r="I2890" i="15"/>
  <c r="I3887" i="15"/>
  <c r="J3887" i="15"/>
  <c r="J2" i="15"/>
  <c r="I2" i="15"/>
  <c r="J10" i="15"/>
  <c r="I10" i="15"/>
  <c r="J18" i="15"/>
  <c r="I18" i="15"/>
  <c r="J26" i="15"/>
  <c r="I26" i="15"/>
  <c r="J34" i="15"/>
  <c r="I34" i="15"/>
  <c r="J42" i="15"/>
  <c r="I42" i="15"/>
  <c r="J50" i="15"/>
  <c r="I50" i="15"/>
  <c r="J58" i="15"/>
  <c r="I58" i="15"/>
  <c r="J66" i="15"/>
  <c r="I66" i="15"/>
  <c r="J74" i="15"/>
  <c r="I74" i="15"/>
  <c r="J82" i="15"/>
  <c r="I82" i="15"/>
  <c r="J90" i="15"/>
  <c r="I90" i="15"/>
  <c r="J98" i="15"/>
  <c r="I98" i="15"/>
  <c r="J106" i="15"/>
  <c r="I106" i="15"/>
  <c r="J114" i="15"/>
  <c r="I114" i="15"/>
  <c r="J122" i="15"/>
  <c r="I122" i="15"/>
  <c r="J130" i="15"/>
  <c r="I130" i="15"/>
  <c r="J138" i="15"/>
  <c r="I138" i="15"/>
  <c r="J146" i="15"/>
  <c r="I146" i="15"/>
  <c r="J154" i="15"/>
  <c r="I154" i="15"/>
  <c r="J172" i="15"/>
  <c r="I172" i="15"/>
  <c r="J188" i="15"/>
  <c r="I188" i="15"/>
  <c r="J204" i="15"/>
  <c r="I204" i="15"/>
  <c r="J220" i="15"/>
  <c r="I220" i="15"/>
  <c r="J236" i="15"/>
  <c r="I236" i="15"/>
  <c r="J252" i="15"/>
  <c r="I252" i="15"/>
  <c r="J268" i="15"/>
  <c r="I268" i="15"/>
  <c r="J284" i="15"/>
  <c r="I284" i="15"/>
  <c r="J305" i="15"/>
  <c r="I305" i="15"/>
  <c r="J351" i="15"/>
  <c r="I351" i="15"/>
  <c r="J359" i="15"/>
  <c r="I359" i="15"/>
  <c r="J392" i="15"/>
  <c r="I392" i="15"/>
  <c r="J433" i="15"/>
  <c r="I433" i="15"/>
  <c r="J479" i="15"/>
  <c r="I479" i="15"/>
  <c r="J487" i="15"/>
  <c r="I487" i="15"/>
  <c r="J520" i="15"/>
  <c r="I520" i="15"/>
  <c r="J561" i="15"/>
  <c r="I561" i="15"/>
  <c r="J607" i="15"/>
  <c r="I607" i="15"/>
  <c r="J615" i="15"/>
  <c r="I615" i="15"/>
  <c r="J648" i="15"/>
  <c r="I648" i="15"/>
  <c r="J689" i="15"/>
  <c r="I689" i="15"/>
  <c r="J735" i="15"/>
  <c r="I735" i="15"/>
  <c r="J743" i="15"/>
  <c r="I743" i="15"/>
  <c r="J776" i="15"/>
  <c r="I776" i="15"/>
  <c r="J817" i="15"/>
  <c r="I817" i="15"/>
  <c r="J863" i="15"/>
  <c r="I863" i="15"/>
  <c r="J871" i="15"/>
  <c r="I871" i="15"/>
  <c r="J904" i="15"/>
  <c r="I904" i="15"/>
  <c r="J945" i="15"/>
  <c r="I945" i="15"/>
  <c r="J991" i="15"/>
  <c r="I991" i="15"/>
  <c r="J999" i="15"/>
  <c r="I999" i="15"/>
  <c r="J1032" i="15"/>
  <c r="I1032" i="15"/>
  <c r="J1073" i="15"/>
  <c r="I1073" i="15"/>
  <c r="J1119" i="15"/>
  <c r="I1119" i="15"/>
  <c r="J1127" i="15"/>
  <c r="I1127" i="15"/>
  <c r="J1160" i="15"/>
  <c r="I1160" i="15"/>
  <c r="J1201" i="15"/>
  <c r="I1201" i="15"/>
  <c r="J1247" i="15"/>
  <c r="I1247" i="15"/>
  <c r="J1255" i="15"/>
  <c r="I1255" i="15"/>
  <c r="J1288" i="15"/>
  <c r="I1288" i="15"/>
  <c r="J1310" i="15"/>
  <c r="I1310" i="15"/>
  <c r="J1333" i="15"/>
  <c r="I1333" i="15"/>
  <c r="J1342" i="15"/>
  <c r="I1342" i="15"/>
  <c r="J1379" i="15"/>
  <c r="I1379" i="15"/>
  <c r="J1385" i="15"/>
  <c r="I1385" i="15"/>
  <c r="J1397" i="15"/>
  <c r="I1397" i="15"/>
  <c r="I1426" i="15"/>
  <c r="J1426" i="15"/>
  <c r="J1443" i="15"/>
  <c r="I1443" i="15"/>
  <c r="J1449" i="15"/>
  <c r="I1449" i="15"/>
  <c r="J1461" i="15"/>
  <c r="I1461" i="15"/>
  <c r="I1490" i="15"/>
  <c r="J1490" i="15"/>
  <c r="J1577" i="15"/>
  <c r="I1577" i="15"/>
  <c r="J1652" i="15"/>
  <c r="I1652" i="15"/>
  <c r="J1676" i="15"/>
  <c r="I1676" i="15"/>
  <c r="J1721" i="15"/>
  <c r="I1721" i="15"/>
  <c r="J1832" i="15"/>
  <c r="I1832" i="15"/>
  <c r="J1919" i="15"/>
  <c r="I1919" i="15"/>
  <c r="J1925" i="15"/>
  <c r="I1925" i="15"/>
  <c r="J1928" i="15"/>
  <c r="I1928" i="15"/>
  <c r="J2201" i="15"/>
  <c r="I2201" i="15"/>
  <c r="J2240" i="15"/>
  <c r="I2240" i="15"/>
  <c r="J2243" i="15"/>
  <c r="I2243" i="15"/>
  <c r="J2361" i="15"/>
  <c r="I2361" i="15"/>
  <c r="J2408" i="15"/>
  <c r="I2408" i="15"/>
  <c r="J2462" i="15"/>
  <c r="I2462" i="15"/>
  <c r="J2575" i="15"/>
  <c r="I2575" i="15"/>
  <c r="I2931" i="15"/>
  <c r="J2931" i="15"/>
  <c r="I3881" i="15"/>
  <c r="J3881" i="15"/>
  <c r="J166" i="15"/>
  <c r="I166" i="15"/>
  <c r="I175" i="15"/>
  <c r="J182" i="15"/>
  <c r="I182" i="15"/>
  <c r="I191" i="15"/>
  <c r="J198" i="15"/>
  <c r="I198" i="15"/>
  <c r="I207" i="15"/>
  <c r="J214" i="15"/>
  <c r="I214" i="15"/>
  <c r="I223" i="15"/>
  <c r="J230" i="15"/>
  <c r="I230" i="15"/>
  <c r="I239" i="15"/>
  <c r="J246" i="15"/>
  <c r="I246" i="15"/>
  <c r="I255" i="15"/>
  <c r="J262" i="15"/>
  <c r="I262" i="15"/>
  <c r="I271" i="15"/>
  <c r="J278" i="15"/>
  <c r="I278" i="15"/>
  <c r="I287" i="15"/>
  <c r="J294" i="15"/>
  <c r="I294" i="15"/>
  <c r="I313" i="15"/>
  <c r="J318" i="15"/>
  <c r="J326" i="15"/>
  <c r="I332" i="15"/>
  <c r="J335" i="15"/>
  <c r="I335" i="15"/>
  <c r="J343" i="15"/>
  <c r="I343" i="15"/>
  <c r="J376" i="15"/>
  <c r="I376" i="15"/>
  <c r="I400" i="15"/>
  <c r="I405" i="15"/>
  <c r="J417" i="15"/>
  <c r="I417" i="15"/>
  <c r="I441" i="15"/>
  <c r="J446" i="15"/>
  <c r="J454" i="15"/>
  <c r="I460" i="15"/>
  <c r="J463" i="15"/>
  <c r="I463" i="15"/>
  <c r="J471" i="15"/>
  <c r="I471" i="15"/>
  <c r="J504" i="15"/>
  <c r="I504" i="15"/>
  <c r="I528" i="15"/>
  <c r="I533" i="15"/>
  <c r="J545" i="15"/>
  <c r="I545" i="15"/>
  <c r="I569" i="15"/>
  <c r="J574" i="15"/>
  <c r="J582" i="15"/>
  <c r="I588" i="15"/>
  <c r="J591" i="15"/>
  <c r="I591" i="15"/>
  <c r="J599" i="15"/>
  <c r="I599" i="15"/>
  <c r="J632" i="15"/>
  <c r="I632" i="15"/>
  <c r="I656" i="15"/>
  <c r="I661" i="15"/>
  <c r="J673" i="15"/>
  <c r="I673" i="15"/>
  <c r="I697" i="15"/>
  <c r="J702" i="15"/>
  <c r="J710" i="15"/>
  <c r="I716" i="15"/>
  <c r="J719" i="15"/>
  <c r="I719" i="15"/>
  <c r="J727" i="15"/>
  <c r="I727" i="15"/>
  <c r="J760" i="15"/>
  <c r="I760" i="15"/>
  <c r="I784" i="15"/>
  <c r="I789" i="15"/>
  <c r="J801" i="15"/>
  <c r="I801" i="15"/>
  <c r="I825" i="15"/>
  <c r="J830" i="15"/>
  <c r="J838" i="15"/>
  <c r="I844" i="15"/>
  <c r="J847" i="15"/>
  <c r="I847" i="15"/>
  <c r="J855" i="15"/>
  <c r="I855" i="15"/>
  <c r="J888" i="15"/>
  <c r="I888" i="15"/>
  <c r="I912" i="15"/>
  <c r="I917" i="15"/>
  <c r="J929" i="15"/>
  <c r="I929" i="15"/>
  <c r="I953" i="15"/>
  <c r="J958" i="15"/>
  <c r="J966" i="15"/>
  <c r="I972" i="15"/>
  <c r="J975" i="15"/>
  <c r="I975" i="15"/>
  <c r="J983" i="15"/>
  <c r="I983" i="15"/>
  <c r="J1016" i="15"/>
  <c r="I1016" i="15"/>
  <c r="I1040" i="15"/>
  <c r="I1045" i="15"/>
  <c r="J1057" i="15"/>
  <c r="I1057" i="15"/>
  <c r="I1081" i="15"/>
  <c r="J1086" i="15"/>
  <c r="J1094" i="15"/>
  <c r="I1100" i="15"/>
  <c r="J1103" i="15"/>
  <c r="I1103" i="15"/>
  <c r="J1111" i="15"/>
  <c r="I1111" i="15"/>
  <c r="J1144" i="15"/>
  <c r="I1144" i="15"/>
  <c r="I1168" i="15"/>
  <c r="I1173" i="15"/>
  <c r="J1185" i="15"/>
  <c r="I1185" i="15"/>
  <c r="I1209" i="15"/>
  <c r="J1214" i="15"/>
  <c r="J1222" i="15"/>
  <c r="I1228" i="15"/>
  <c r="J1231" i="15"/>
  <c r="I1231" i="15"/>
  <c r="J1239" i="15"/>
  <c r="I1239" i="15"/>
  <c r="J1272" i="15"/>
  <c r="I1272" i="15"/>
  <c r="I1296" i="15"/>
  <c r="I1301" i="15"/>
  <c r="J1319" i="15"/>
  <c r="I1319" i="15"/>
  <c r="J1371" i="15"/>
  <c r="I1371" i="15"/>
  <c r="I1394" i="15"/>
  <c r="J1394" i="15"/>
  <c r="J1403" i="15"/>
  <c r="I1403" i="15"/>
  <c r="J1417" i="15"/>
  <c r="I1417" i="15"/>
  <c r="J1435" i="15"/>
  <c r="I1435" i="15"/>
  <c r="I1458" i="15"/>
  <c r="J1458" i="15"/>
  <c r="J1467" i="15"/>
  <c r="I1467" i="15"/>
  <c r="J1481" i="15"/>
  <c r="I1481" i="15"/>
  <c r="J1499" i="15"/>
  <c r="I1499" i="15"/>
  <c r="J1537" i="15"/>
  <c r="I1537" i="15"/>
  <c r="J1559" i="15"/>
  <c r="I1559" i="15"/>
  <c r="J1562" i="15"/>
  <c r="I1562" i="15"/>
  <c r="J1568" i="15"/>
  <c r="J1571" i="15"/>
  <c r="I1571" i="15"/>
  <c r="J1594" i="15"/>
  <c r="I1594" i="15"/>
  <c r="J1599" i="15"/>
  <c r="I1599" i="15"/>
  <c r="J1605" i="15"/>
  <c r="I1605" i="15"/>
  <c r="J1647" i="15"/>
  <c r="I1647" i="15"/>
  <c r="I1670" i="15"/>
  <c r="J1670" i="15"/>
  <c r="J1673" i="15"/>
  <c r="I1673" i="15"/>
  <c r="J1703" i="15"/>
  <c r="I1703" i="15"/>
  <c r="J1709" i="15"/>
  <c r="I1709" i="15"/>
  <c r="J1750" i="15"/>
  <c r="J1754" i="15"/>
  <c r="I1754" i="15"/>
  <c r="J1759" i="15"/>
  <c r="I1759" i="15"/>
  <c r="J1818" i="15"/>
  <c r="I1818" i="15"/>
  <c r="J1829" i="15"/>
  <c r="I1829" i="15"/>
  <c r="J1961" i="15"/>
  <c r="I1961" i="15"/>
  <c r="J1964" i="15"/>
  <c r="I1964" i="15"/>
  <c r="J2032" i="15"/>
  <c r="I2032" i="15"/>
  <c r="J2079" i="15"/>
  <c r="I2079" i="15"/>
  <c r="J2147" i="15"/>
  <c r="I2147" i="15"/>
  <c r="J2231" i="15"/>
  <c r="I2231" i="15"/>
  <c r="J2296" i="15"/>
  <c r="I2296" i="15"/>
  <c r="I2302" i="15"/>
  <c r="J2302" i="15"/>
  <c r="J2355" i="15"/>
  <c r="I2355" i="15"/>
  <c r="J2405" i="15"/>
  <c r="I2405" i="15"/>
  <c r="J2616" i="15"/>
  <c r="I2616" i="15"/>
  <c r="I2636" i="15"/>
  <c r="J2636" i="15"/>
  <c r="J8" i="15"/>
  <c r="I8" i="15"/>
  <c r="J16" i="15"/>
  <c r="I16" i="15"/>
  <c r="J24" i="15"/>
  <c r="I24" i="15"/>
  <c r="J32" i="15"/>
  <c r="I32" i="15"/>
  <c r="J40" i="15"/>
  <c r="I40" i="15"/>
  <c r="J48" i="15"/>
  <c r="I48" i="15"/>
  <c r="J56" i="15"/>
  <c r="I56" i="15"/>
  <c r="J64" i="15"/>
  <c r="I64" i="15"/>
  <c r="J72" i="15"/>
  <c r="I72" i="15"/>
  <c r="J80" i="15"/>
  <c r="I80" i="15"/>
  <c r="J88" i="15"/>
  <c r="I88" i="15"/>
  <c r="J96" i="15"/>
  <c r="I96" i="15"/>
  <c r="J104" i="15"/>
  <c r="I104" i="15"/>
  <c r="J112" i="15"/>
  <c r="I112" i="15"/>
  <c r="J120" i="15"/>
  <c r="I120" i="15"/>
  <c r="J128" i="15"/>
  <c r="I128" i="15"/>
  <c r="J136" i="15"/>
  <c r="I136" i="15"/>
  <c r="J144" i="15"/>
  <c r="I144" i="15"/>
  <c r="J152" i="15"/>
  <c r="I152" i="15"/>
  <c r="J160" i="15"/>
  <c r="I160" i="15"/>
  <c r="J176" i="15"/>
  <c r="I176" i="15"/>
  <c r="J192" i="15"/>
  <c r="I192" i="15"/>
  <c r="J208" i="15"/>
  <c r="I208" i="15"/>
  <c r="J224" i="15"/>
  <c r="I224" i="15"/>
  <c r="J240" i="15"/>
  <c r="I240" i="15"/>
  <c r="J256" i="15"/>
  <c r="I256" i="15"/>
  <c r="J272" i="15"/>
  <c r="I272" i="15"/>
  <c r="J288" i="15"/>
  <c r="I288" i="15"/>
  <c r="J319" i="15"/>
  <c r="I319" i="15"/>
  <c r="J327" i="15"/>
  <c r="I327" i="15"/>
  <c r="J360" i="15"/>
  <c r="I360" i="15"/>
  <c r="J401" i="15"/>
  <c r="I401" i="15"/>
  <c r="J447" i="15"/>
  <c r="I447" i="15"/>
  <c r="J455" i="15"/>
  <c r="I455" i="15"/>
  <c r="J488" i="15"/>
  <c r="I488" i="15"/>
  <c r="J529" i="15"/>
  <c r="I529" i="15"/>
  <c r="J575" i="15"/>
  <c r="I575" i="15"/>
  <c r="J583" i="15"/>
  <c r="I583" i="15"/>
  <c r="J616" i="15"/>
  <c r="I616" i="15"/>
  <c r="J657" i="15"/>
  <c r="I657" i="15"/>
  <c r="J703" i="15"/>
  <c r="I703" i="15"/>
  <c r="J711" i="15"/>
  <c r="I711" i="15"/>
  <c r="J744" i="15"/>
  <c r="I744" i="15"/>
  <c r="J785" i="15"/>
  <c r="I785" i="15"/>
  <c r="J831" i="15"/>
  <c r="I831" i="15"/>
  <c r="J839" i="15"/>
  <c r="I839" i="15"/>
  <c r="J872" i="15"/>
  <c r="I872" i="15"/>
  <c r="J913" i="15"/>
  <c r="I913" i="15"/>
  <c r="J959" i="15"/>
  <c r="I959" i="15"/>
  <c r="J967" i="15"/>
  <c r="I967" i="15"/>
  <c r="J1000" i="15"/>
  <c r="I1000" i="15"/>
  <c r="J1041" i="15"/>
  <c r="I1041" i="15"/>
  <c r="J1087" i="15"/>
  <c r="I1087" i="15"/>
  <c r="J1095" i="15"/>
  <c r="I1095" i="15"/>
  <c r="J1128" i="15"/>
  <c r="I1128" i="15"/>
  <c r="J1169" i="15"/>
  <c r="I1169" i="15"/>
  <c r="J1215" i="15"/>
  <c r="I1215" i="15"/>
  <c r="J1223" i="15"/>
  <c r="I1223" i="15"/>
  <c r="J1256" i="15"/>
  <c r="I1256" i="15"/>
  <c r="J1297" i="15"/>
  <c r="I1297" i="15"/>
  <c r="J1311" i="15"/>
  <c r="I1311" i="15"/>
  <c r="I1354" i="15"/>
  <c r="J1354" i="15"/>
  <c r="J1363" i="15"/>
  <c r="I1363" i="15"/>
  <c r="J1427" i="15"/>
  <c r="I1427" i="15"/>
  <c r="J1491" i="15"/>
  <c r="I1491" i="15"/>
  <c r="J1528" i="15"/>
  <c r="I1528" i="15"/>
  <c r="J1629" i="15"/>
  <c r="I1629" i="15"/>
  <c r="J1635" i="15"/>
  <c r="I1635" i="15"/>
  <c r="J1695" i="15"/>
  <c r="I1695" i="15"/>
  <c r="J1905" i="15"/>
  <c r="I1905" i="15"/>
  <c r="I1910" i="15"/>
  <c r="J1910" i="15"/>
  <c r="J1914" i="15"/>
  <c r="I1914" i="15"/>
  <c r="I1958" i="15"/>
  <c r="J1958" i="15"/>
  <c r="J2175" i="15"/>
  <c r="I2175" i="15"/>
  <c r="J2181" i="15"/>
  <c r="I2181" i="15"/>
  <c r="J2184" i="15"/>
  <c r="I2184" i="15"/>
  <c r="J2457" i="15"/>
  <c r="I2457" i="15"/>
  <c r="J2496" i="15"/>
  <c r="I2496" i="15"/>
  <c r="J2499" i="15"/>
  <c r="I2499" i="15"/>
  <c r="J2553" i="15"/>
  <c r="I2553" i="15"/>
  <c r="J2819" i="15"/>
  <c r="I2819" i="15"/>
  <c r="J1199" i="15"/>
  <c r="I1199" i="15"/>
  <c r="J1207" i="15"/>
  <c r="I1207" i="15"/>
  <c r="J1240" i="15"/>
  <c r="I1240" i="15"/>
  <c r="J1281" i="15"/>
  <c r="I1281" i="15"/>
  <c r="J1349" i="15"/>
  <c r="I1349" i="15"/>
  <c r="J1508" i="15"/>
  <c r="I1508" i="15"/>
  <c r="J1525" i="15"/>
  <c r="I1525" i="15"/>
  <c r="J1566" i="15"/>
  <c r="I1566" i="15"/>
  <c r="J1583" i="15"/>
  <c r="I1583" i="15"/>
  <c r="I1588" i="15"/>
  <c r="J1588" i="15"/>
  <c r="I1606" i="15"/>
  <c r="J1606" i="15"/>
  <c r="J1609" i="15"/>
  <c r="I1609" i="15"/>
  <c r="J1623" i="15"/>
  <c r="I1623" i="15"/>
  <c r="I1626" i="15"/>
  <c r="J1626" i="15"/>
  <c r="I1662" i="15"/>
  <c r="J1662" i="15"/>
  <c r="I1680" i="15"/>
  <c r="J1680" i="15"/>
  <c r="I1692" i="15"/>
  <c r="J1692" i="15"/>
  <c r="J1704" i="15"/>
  <c r="I1704" i="15"/>
  <c r="I1734" i="15"/>
  <c r="J1734" i="15"/>
  <c r="J1737" i="15"/>
  <c r="I1737" i="15"/>
  <c r="J1807" i="15"/>
  <c r="I1807" i="15"/>
  <c r="J1815" i="15"/>
  <c r="I1815" i="15"/>
  <c r="I1872" i="15"/>
  <c r="J1872" i="15"/>
  <c r="J1902" i="15"/>
  <c r="I1902" i="15"/>
  <c r="J1953" i="15"/>
  <c r="I1953" i="15"/>
  <c r="J2001" i="15"/>
  <c r="I2001" i="15"/>
  <c r="I2006" i="15"/>
  <c r="J2006" i="15"/>
  <c r="J2074" i="15"/>
  <c r="I2074" i="15"/>
  <c r="J2217" i="15"/>
  <c r="I2217" i="15"/>
  <c r="J2220" i="15"/>
  <c r="I2220" i="15"/>
  <c r="J2288" i="15"/>
  <c r="I2288" i="15"/>
  <c r="J2335" i="15"/>
  <c r="I2335" i="15"/>
  <c r="J2403" i="15"/>
  <c r="I2403" i="15"/>
  <c r="J2487" i="15"/>
  <c r="I2487" i="15"/>
  <c r="J2544" i="15"/>
  <c r="I2544" i="15"/>
  <c r="J2547" i="15"/>
  <c r="I2547" i="15"/>
  <c r="J2608" i="15"/>
  <c r="I2608" i="15"/>
  <c r="J2611" i="15"/>
  <c r="I2611" i="15"/>
  <c r="J2793" i="15"/>
  <c r="I2793" i="15"/>
  <c r="I3" i="15"/>
  <c r="J6" i="15"/>
  <c r="I6" i="15"/>
  <c r="I11" i="15"/>
  <c r="J14" i="15"/>
  <c r="I14" i="15"/>
  <c r="I19" i="15"/>
  <c r="J22" i="15"/>
  <c r="I22" i="15"/>
  <c r="I27" i="15"/>
  <c r="J30" i="15"/>
  <c r="I30" i="15"/>
  <c r="I35" i="15"/>
  <c r="J38" i="15"/>
  <c r="I38" i="15"/>
  <c r="I43" i="15"/>
  <c r="J46" i="15"/>
  <c r="I46" i="15"/>
  <c r="I51" i="15"/>
  <c r="J54" i="15"/>
  <c r="I54" i="15"/>
  <c r="I59" i="15"/>
  <c r="J62" i="15"/>
  <c r="I62" i="15"/>
  <c r="I67" i="15"/>
  <c r="J70" i="15"/>
  <c r="I70" i="15"/>
  <c r="I75" i="15"/>
  <c r="J78" i="15"/>
  <c r="I78" i="15"/>
  <c r="I83" i="15"/>
  <c r="J86" i="15"/>
  <c r="I86" i="15"/>
  <c r="I91" i="15"/>
  <c r="J94" i="15"/>
  <c r="I94" i="15"/>
  <c r="I99" i="15"/>
  <c r="J102" i="15"/>
  <c r="I102" i="15"/>
  <c r="I107" i="15"/>
  <c r="J110" i="15"/>
  <c r="I110" i="15"/>
  <c r="I115" i="15"/>
  <c r="J118" i="15"/>
  <c r="I118" i="15"/>
  <c r="I123" i="15"/>
  <c r="J126" i="15"/>
  <c r="I126" i="15"/>
  <c r="I131" i="15"/>
  <c r="J134" i="15"/>
  <c r="I134" i="15"/>
  <c r="I139" i="15"/>
  <c r="J142" i="15"/>
  <c r="I142" i="15"/>
  <c r="I147" i="15"/>
  <c r="J150" i="15"/>
  <c r="I150" i="15"/>
  <c r="I155" i="15"/>
  <c r="J158" i="15"/>
  <c r="I158" i="15"/>
  <c r="J164" i="15"/>
  <c r="I164" i="15"/>
  <c r="I173" i="15"/>
  <c r="J180" i="15"/>
  <c r="I180" i="15"/>
  <c r="I189" i="15"/>
  <c r="J196" i="15"/>
  <c r="I196" i="15"/>
  <c r="I205" i="15"/>
  <c r="J212" i="15"/>
  <c r="I212" i="15"/>
  <c r="I221" i="15"/>
  <c r="J228" i="15"/>
  <c r="I228" i="15"/>
  <c r="I237" i="15"/>
  <c r="J244" i="15"/>
  <c r="I244" i="15"/>
  <c r="I253" i="15"/>
  <c r="J260" i="15"/>
  <c r="I260" i="15"/>
  <c r="I269" i="15"/>
  <c r="J276" i="15"/>
  <c r="I276" i="15"/>
  <c r="I285" i="15"/>
  <c r="J292" i="15"/>
  <c r="I292" i="15"/>
  <c r="J328" i="15"/>
  <c r="I328" i="15"/>
  <c r="I352" i="15"/>
  <c r="I357" i="15"/>
  <c r="J369" i="15"/>
  <c r="I369" i="15"/>
  <c r="I393" i="15"/>
  <c r="J398" i="15"/>
  <c r="J406" i="15"/>
  <c r="I412" i="15"/>
  <c r="J415" i="15"/>
  <c r="I415" i="15"/>
  <c r="J423" i="15"/>
  <c r="I423" i="15"/>
  <c r="J456" i="15"/>
  <c r="I456" i="15"/>
  <c r="I480" i="15"/>
  <c r="I485" i="15"/>
  <c r="J497" i="15"/>
  <c r="I497" i="15"/>
  <c r="I521" i="15"/>
  <c r="J526" i="15"/>
  <c r="J534" i="15"/>
  <c r="I540" i="15"/>
  <c r="J543" i="15"/>
  <c r="I543" i="15"/>
  <c r="J551" i="15"/>
  <c r="I551" i="15"/>
  <c r="J584" i="15"/>
  <c r="I584" i="15"/>
  <c r="I608" i="15"/>
  <c r="I613" i="15"/>
  <c r="J625" i="15"/>
  <c r="I625" i="15"/>
  <c r="I649" i="15"/>
  <c r="J654" i="15"/>
  <c r="J662" i="15"/>
  <c r="I668" i="15"/>
  <c r="J671" i="15"/>
  <c r="I671" i="15"/>
  <c r="J679" i="15"/>
  <c r="I679" i="15"/>
  <c r="J712" i="15"/>
  <c r="I712" i="15"/>
  <c r="I736" i="15"/>
  <c r="I741" i="15"/>
  <c r="J753" i="15"/>
  <c r="I753" i="15"/>
  <c r="I777" i="15"/>
  <c r="J782" i="15"/>
  <c r="J790" i="15"/>
  <c r="I796" i="15"/>
  <c r="J799" i="15"/>
  <c r="I799" i="15"/>
  <c r="J807" i="15"/>
  <c r="I807" i="15"/>
  <c r="J840" i="15"/>
  <c r="I840" i="15"/>
  <c r="I864" i="15"/>
  <c r="I869" i="15"/>
  <c r="J881" i="15"/>
  <c r="I881" i="15"/>
  <c r="I905" i="15"/>
  <c r="J910" i="15"/>
  <c r="J918" i="15"/>
  <c r="I924" i="15"/>
  <c r="J927" i="15"/>
  <c r="I927" i="15"/>
  <c r="J935" i="15"/>
  <c r="I935" i="15"/>
  <c r="J968" i="15"/>
  <c r="I968" i="15"/>
  <c r="I992" i="15"/>
  <c r="I997" i="15"/>
  <c r="J1009" i="15"/>
  <c r="I1009" i="15"/>
  <c r="I1033" i="15"/>
  <c r="J1038" i="15"/>
  <c r="J1046" i="15"/>
  <c r="I1052" i="15"/>
  <c r="J1055" i="15"/>
  <c r="I1055" i="15"/>
  <c r="J1063" i="15"/>
  <c r="I1063" i="15"/>
  <c r="J1096" i="15"/>
  <c r="I1096" i="15"/>
  <c r="I1120" i="15"/>
  <c r="I1125" i="15"/>
  <c r="J1137" i="15"/>
  <c r="I1137" i="15"/>
  <c r="I1161" i="15"/>
  <c r="J1166" i="15"/>
  <c r="J1174" i="15"/>
  <c r="I1180" i="15"/>
  <c r="J1183" i="15"/>
  <c r="I1183" i="15"/>
  <c r="J1191" i="15"/>
  <c r="I1191" i="15"/>
  <c r="J1224" i="15"/>
  <c r="I1224" i="15"/>
  <c r="I1248" i="15"/>
  <c r="I1253" i="15"/>
  <c r="J1265" i="15"/>
  <c r="I1265" i="15"/>
  <c r="I1289" i="15"/>
  <c r="J1294" i="15"/>
  <c r="J1302" i="15"/>
  <c r="J1308" i="15"/>
  <c r="J1317" i="15"/>
  <c r="I1317" i="15"/>
  <c r="J1326" i="15"/>
  <c r="I1326" i="15"/>
  <c r="J1334" i="15"/>
  <c r="J1340" i="15"/>
  <c r="J1355" i="15"/>
  <c r="I1355" i="15"/>
  <c r="J1364" i="15"/>
  <c r="I1364" i="15"/>
  <c r="J1386" i="15"/>
  <c r="J1428" i="15"/>
  <c r="I1428" i="15"/>
  <c r="J1450" i="15"/>
  <c r="J1492" i="15"/>
  <c r="I1492" i="15"/>
  <c r="J1516" i="15"/>
  <c r="J1529" i="15"/>
  <c r="I1529" i="15"/>
  <c r="I1546" i="15"/>
  <c r="J1546" i="15"/>
  <c r="J1549" i="15"/>
  <c r="I1549" i="15"/>
  <c r="I1654" i="15"/>
  <c r="J1654" i="15"/>
  <c r="J1657" i="15"/>
  <c r="I1657" i="15"/>
  <c r="J1784" i="15"/>
  <c r="I1784" i="15"/>
  <c r="I1790" i="15"/>
  <c r="J1790" i="15"/>
  <c r="J1804" i="15"/>
  <c r="J1849" i="15"/>
  <c r="I1849" i="15"/>
  <c r="J1896" i="15"/>
  <c r="I1896" i="15"/>
  <c r="J1950" i="15"/>
  <c r="I1950" i="15"/>
  <c r="J2161" i="15"/>
  <c r="I2161" i="15"/>
  <c r="I2166" i="15"/>
  <c r="J2166" i="15"/>
  <c r="J2170" i="15"/>
  <c r="I2170" i="15"/>
  <c r="I2214" i="15"/>
  <c r="J2214" i="15"/>
  <c r="J2431" i="15"/>
  <c r="I2431" i="15"/>
  <c r="J2437" i="15"/>
  <c r="I2437" i="15"/>
  <c r="J2440" i="15"/>
  <c r="I2440" i="15"/>
  <c r="J2760" i="15"/>
  <c r="I2760" i="15"/>
  <c r="I2790" i="15"/>
  <c r="J2790" i="15"/>
  <c r="J174" i="15"/>
  <c r="I174" i="15"/>
  <c r="J190" i="15"/>
  <c r="I190" i="15"/>
  <c r="J206" i="15"/>
  <c r="I206" i="15"/>
  <c r="J222" i="15"/>
  <c r="I222" i="15"/>
  <c r="J238" i="15"/>
  <c r="I238" i="15"/>
  <c r="J254" i="15"/>
  <c r="I254" i="15"/>
  <c r="J270" i="15"/>
  <c r="I270" i="15"/>
  <c r="J286" i="15"/>
  <c r="I286" i="15"/>
  <c r="J312" i="15"/>
  <c r="I312" i="15"/>
  <c r="J353" i="15"/>
  <c r="I353" i="15"/>
  <c r="J399" i="15"/>
  <c r="I399" i="15"/>
  <c r="J407" i="15"/>
  <c r="I407" i="15"/>
  <c r="J440" i="15"/>
  <c r="I440" i="15"/>
  <c r="J481" i="15"/>
  <c r="I481" i="15"/>
  <c r="J527" i="15"/>
  <c r="I527" i="15"/>
  <c r="J535" i="15"/>
  <c r="I535" i="15"/>
  <c r="J568" i="15"/>
  <c r="I568" i="15"/>
  <c r="J609" i="15"/>
  <c r="I609" i="15"/>
  <c r="J655" i="15"/>
  <c r="I655" i="15"/>
  <c r="J663" i="15"/>
  <c r="I663" i="15"/>
  <c r="J696" i="15"/>
  <c r="I696" i="15"/>
  <c r="J737" i="15"/>
  <c r="I737" i="15"/>
  <c r="J783" i="15"/>
  <c r="I783" i="15"/>
  <c r="J791" i="15"/>
  <c r="I791" i="15"/>
  <c r="J824" i="15"/>
  <c r="I824" i="15"/>
  <c r="J865" i="15"/>
  <c r="I865" i="15"/>
  <c r="J911" i="15"/>
  <c r="I911" i="15"/>
  <c r="J919" i="15"/>
  <c r="I919" i="15"/>
  <c r="J952" i="15"/>
  <c r="I952" i="15"/>
  <c r="J993" i="15"/>
  <c r="I993" i="15"/>
  <c r="J1039" i="15"/>
  <c r="I1039" i="15"/>
  <c r="J1047" i="15"/>
  <c r="I1047" i="15"/>
  <c r="J1080" i="15"/>
  <c r="I1080" i="15"/>
  <c r="J1121" i="15"/>
  <c r="I1121" i="15"/>
  <c r="J1167" i="15"/>
  <c r="I1167" i="15"/>
  <c r="J1175" i="15"/>
  <c r="I1175" i="15"/>
  <c r="J1208" i="15"/>
  <c r="I1208" i="15"/>
  <c r="I1232" i="15"/>
  <c r="I1237" i="15"/>
  <c r="J1249" i="15"/>
  <c r="I1249" i="15"/>
  <c r="I1273" i="15"/>
  <c r="J1278" i="15"/>
  <c r="J1286" i="15"/>
  <c r="J1295" i="15"/>
  <c r="I1295" i="15"/>
  <c r="J1303" i="15"/>
  <c r="I1303" i="15"/>
  <c r="J1335" i="15"/>
  <c r="I1335" i="15"/>
  <c r="J1360" i="15"/>
  <c r="J1392" i="15"/>
  <c r="J1456" i="15"/>
  <c r="J1517" i="15"/>
  <c r="I1517" i="15"/>
  <c r="J1535" i="15"/>
  <c r="I1535" i="15"/>
  <c r="I1543" i="15"/>
  <c r="J1567" i="15"/>
  <c r="I1567" i="15"/>
  <c r="I1575" i="15"/>
  <c r="I1610" i="15"/>
  <c r="J1610" i="15"/>
  <c r="J1639" i="15"/>
  <c r="I1639" i="15"/>
  <c r="J1645" i="15"/>
  <c r="I1645" i="15"/>
  <c r="J1681" i="15"/>
  <c r="I1681" i="15"/>
  <c r="I1686" i="15"/>
  <c r="J1686" i="15"/>
  <c r="J1729" i="15"/>
  <c r="I1729" i="15"/>
  <c r="J1843" i="15"/>
  <c r="I1843" i="15"/>
  <c r="J1855" i="15"/>
  <c r="I1855" i="15"/>
  <c r="J1893" i="15"/>
  <c r="I1893" i="15"/>
  <c r="I2060" i="15"/>
  <c r="J2060" i="15"/>
  <c r="J2063" i="15"/>
  <c r="I2063" i="15"/>
  <c r="J2071" i="15"/>
  <c r="I2071" i="15"/>
  <c r="I2128" i="15"/>
  <c r="J2128" i="15"/>
  <c r="J2158" i="15"/>
  <c r="I2158" i="15"/>
  <c r="J2209" i="15"/>
  <c r="I2209" i="15"/>
  <c r="J2257" i="15"/>
  <c r="I2257" i="15"/>
  <c r="I2262" i="15"/>
  <c r="J2262" i="15"/>
  <c r="J2330" i="15"/>
  <c r="I2330" i="15"/>
  <c r="J2473" i="15"/>
  <c r="I2473" i="15"/>
  <c r="J2476" i="15"/>
  <c r="I2476" i="15"/>
  <c r="J2591" i="15"/>
  <c r="I2591" i="15"/>
  <c r="J2785" i="15"/>
  <c r="I2785" i="15"/>
  <c r="J1937" i="15"/>
  <c r="I1937" i="15"/>
  <c r="J2010" i="15"/>
  <c r="I2010" i="15"/>
  <c r="J2015" i="15"/>
  <c r="I2015" i="15"/>
  <c r="J2085" i="15"/>
  <c r="I2085" i="15"/>
  <c r="J2088" i="15"/>
  <c r="I2088" i="15"/>
  <c r="J2111" i="15"/>
  <c r="I2111" i="15"/>
  <c r="J2193" i="15"/>
  <c r="I2193" i="15"/>
  <c r="J2266" i="15"/>
  <c r="I2266" i="15"/>
  <c r="J2271" i="15"/>
  <c r="I2271" i="15"/>
  <c r="J2341" i="15"/>
  <c r="I2341" i="15"/>
  <c r="J2344" i="15"/>
  <c r="I2344" i="15"/>
  <c r="J2367" i="15"/>
  <c r="I2367" i="15"/>
  <c r="J2449" i="15"/>
  <c r="I2449" i="15"/>
  <c r="J2559" i="15"/>
  <c r="I2559" i="15"/>
  <c r="J2597" i="15"/>
  <c r="I2597" i="15"/>
  <c r="J2600" i="15"/>
  <c r="I2600" i="15"/>
  <c r="J2617" i="15"/>
  <c r="I2617" i="15"/>
  <c r="J2639" i="15"/>
  <c r="I2639" i="15"/>
  <c r="J2655" i="15"/>
  <c r="I2655" i="15"/>
  <c r="J2680" i="15"/>
  <c r="I2680" i="15"/>
  <c r="J2755" i="15"/>
  <c r="I2755" i="15"/>
  <c r="I3831" i="15"/>
  <c r="J3831" i="15"/>
  <c r="J1347" i="15"/>
  <c r="I1347" i="15"/>
  <c r="J1387" i="15"/>
  <c r="I1387" i="15"/>
  <c r="J1451" i="15"/>
  <c r="I1451" i="15"/>
  <c r="J1507" i="15"/>
  <c r="I1507" i="15"/>
  <c r="J1565" i="15"/>
  <c r="I1565" i="15"/>
  <c r="J1576" i="15"/>
  <c r="I1576" i="15"/>
  <c r="J1715" i="15"/>
  <c r="I1715" i="15"/>
  <c r="J1751" i="15"/>
  <c r="I1751" i="15"/>
  <c r="J1785" i="15"/>
  <c r="I1785" i="15"/>
  <c r="J1841" i="15"/>
  <c r="I1841" i="15"/>
  <c r="I1846" i="15"/>
  <c r="J1846" i="15"/>
  <c r="J1850" i="15"/>
  <c r="I1850" i="15"/>
  <c r="J1861" i="15"/>
  <c r="I1861" i="15"/>
  <c r="J1864" i="15"/>
  <c r="I1864" i="15"/>
  <c r="J1889" i="15"/>
  <c r="I1889" i="15"/>
  <c r="J1900" i="15"/>
  <c r="I1900" i="15"/>
  <c r="J1911" i="15"/>
  <c r="I1911" i="15"/>
  <c r="J1923" i="15"/>
  <c r="I1923" i="15"/>
  <c r="J1976" i="15"/>
  <c r="I1976" i="15"/>
  <c r="J1999" i="15"/>
  <c r="I1999" i="15"/>
  <c r="J2007" i="15"/>
  <c r="I2007" i="15"/>
  <c r="J2041" i="15"/>
  <c r="I2041" i="15"/>
  <c r="J2097" i="15"/>
  <c r="I2097" i="15"/>
  <c r="I2102" i="15"/>
  <c r="J2102" i="15"/>
  <c r="J2106" i="15"/>
  <c r="I2106" i="15"/>
  <c r="J2117" i="15"/>
  <c r="I2117" i="15"/>
  <c r="J2120" i="15"/>
  <c r="I2120" i="15"/>
  <c r="J2145" i="15"/>
  <c r="I2145" i="15"/>
  <c r="J2156" i="15"/>
  <c r="I2156" i="15"/>
  <c r="J2167" i="15"/>
  <c r="I2167" i="15"/>
  <c r="J2179" i="15"/>
  <c r="I2179" i="15"/>
  <c r="J2232" i="15"/>
  <c r="I2232" i="15"/>
  <c r="J2255" i="15"/>
  <c r="I2255" i="15"/>
  <c r="J2263" i="15"/>
  <c r="I2263" i="15"/>
  <c r="J2297" i="15"/>
  <c r="I2297" i="15"/>
  <c r="J2353" i="15"/>
  <c r="I2353" i="15"/>
  <c r="I2358" i="15"/>
  <c r="J2358" i="15"/>
  <c r="J2362" i="15"/>
  <c r="I2362" i="15"/>
  <c r="J2373" i="15"/>
  <c r="I2373" i="15"/>
  <c r="J2376" i="15"/>
  <c r="I2376" i="15"/>
  <c r="J2401" i="15"/>
  <c r="I2401" i="15"/>
  <c r="J2412" i="15"/>
  <c r="I2412" i="15"/>
  <c r="J2423" i="15"/>
  <c r="I2423" i="15"/>
  <c r="J2435" i="15"/>
  <c r="I2435" i="15"/>
  <c r="J2488" i="15"/>
  <c r="I2488" i="15"/>
  <c r="J2511" i="15"/>
  <c r="I2511" i="15"/>
  <c r="J2533" i="15"/>
  <c r="I2533" i="15"/>
  <c r="J2536" i="15"/>
  <c r="I2536" i="15"/>
  <c r="J2545" i="15"/>
  <c r="I2545" i="15"/>
  <c r="I2550" i="15"/>
  <c r="J2550" i="15"/>
  <c r="J2554" i="15"/>
  <c r="I2554" i="15"/>
  <c r="J2568" i="15"/>
  <c r="I2568" i="15"/>
  <c r="J2609" i="15"/>
  <c r="I2609" i="15"/>
  <c r="I2614" i="15"/>
  <c r="J2614" i="15"/>
  <c r="J2719" i="15"/>
  <c r="I2719" i="15"/>
  <c r="J2744" i="15"/>
  <c r="I2744" i="15"/>
  <c r="J2817" i="15"/>
  <c r="I2817" i="15"/>
  <c r="I4099" i="15"/>
  <c r="J4099" i="15"/>
  <c r="I4107" i="15"/>
  <c r="J4107" i="15"/>
  <c r="I4213" i="15"/>
  <c r="J4213" i="15"/>
  <c r="J4222" i="15"/>
  <c r="I4222" i="15"/>
  <c r="I4325" i="15"/>
  <c r="J4325" i="15"/>
  <c r="I4330" i="15"/>
  <c r="J4330" i="15"/>
  <c r="J4342" i="15"/>
  <c r="I4342" i="15"/>
  <c r="J4354" i="15"/>
  <c r="I4354" i="15"/>
  <c r="I4387" i="15"/>
  <c r="J4387" i="15"/>
  <c r="J1395" i="15"/>
  <c r="I1395" i="15"/>
  <c r="J1459" i="15"/>
  <c r="I1459" i="15"/>
  <c r="J1589" i="15"/>
  <c r="I1589" i="15"/>
  <c r="J1616" i="15"/>
  <c r="I1616" i="15"/>
  <c r="J1633" i="15"/>
  <c r="I1633" i="15"/>
  <c r="J1663" i="15"/>
  <c r="I1663" i="15"/>
  <c r="J1674" i="15"/>
  <c r="I1674" i="15"/>
  <c r="J1693" i="15"/>
  <c r="I1693" i="15"/>
  <c r="J1710" i="15"/>
  <c r="I1710" i="15"/>
  <c r="J1765" i="15"/>
  <c r="I1765" i="15"/>
  <c r="J1768" i="15"/>
  <c r="I1768" i="15"/>
  <c r="J1791" i="15"/>
  <c r="I1791" i="15"/>
  <c r="J1873" i="15"/>
  <c r="I1873" i="15"/>
  <c r="I1886" i="15"/>
  <c r="J1894" i="15"/>
  <c r="I1897" i="15"/>
  <c r="I1920" i="15"/>
  <c r="J1942" i="15"/>
  <c r="J1946" i="15"/>
  <c r="I1946" i="15"/>
  <c r="J1951" i="15"/>
  <c r="I1951" i="15"/>
  <c r="J1996" i="15"/>
  <c r="J2021" i="15"/>
  <c r="I2021" i="15"/>
  <c r="J2024" i="15"/>
  <c r="I2024" i="15"/>
  <c r="J2047" i="15"/>
  <c r="I2047" i="15"/>
  <c r="I2094" i="15"/>
  <c r="J2129" i="15"/>
  <c r="I2129" i="15"/>
  <c r="I2142" i="15"/>
  <c r="J2150" i="15"/>
  <c r="I2153" i="15"/>
  <c r="I2176" i="15"/>
  <c r="J2198" i="15"/>
  <c r="J2202" i="15"/>
  <c r="I2202" i="15"/>
  <c r="J2207" i="15"/>
  <c r="I2207" i="15"/>
  <c r="J2252" i="15"/>
  <c r="J2277" i="15"/>
  <c r="I2277" i="15"/>
  <c r="J2280" i="15"/>
  <c r="I2280" i="15"/>
  <c r="J2303" i="15"/>
  <c r="I2303" i="15"/>
  <c r="I2350" i="15"/>
  <c r="J2385" i="15"/>
  <c r="I2385" i="15"/>
  <c r="I2398" i="15"/>
  <c r="J2406" i="15"/>
  <c r="I2409" i="15"/>
  <c r="I2432" i="15"/>
  <c r="J2454" i="15"/>
  <c r="J2458" i="15"/>
  <c r="I2458" i="15"/>
  <c r="J2463" i="15"/>
  <c r="I2463" i="15"/>
  <c r="J2508" i="15"/>
  <c r="J2576" i="15"/>
  <c r="J2618" i="15"/>
  <c r="I2618" i="15"/>
  <c r="J2623" i="15"/>
  <c r="I2623" i="15"/>
  <c r="J2681" i="15"/>
  <c r="I2681" i="15"/>
  <c r="J2703" i="15"/>
  <c r="I2703" i="15"/>
  <c r="J2783" i="15"/>
  <c r="I2783" i="15"/>
  <c r="J2808" i="15"/>
  <c r="I2808" i="15"/>
  <c r="J2849" i="15"/>
  <c r="I2849" i="15"/>
  <c r="J2885" i="15"/>
  <c r="I2885" i="15"/>
  <c r="I4034" i="15"/>
  <c r="J4034" i="15"/>
  <c r="J1699" i="15"/>
  <c r="I1699" i="15"/>
  <c r="J1727" i="15"/>
  <c r="I1727" i="15"/>
  <c r="J1777" i="15"/>
  <c r="I1777" i="15"/>
  <c r="I1782" i="15"/>
  <c r="J1782" i="15"/>
  <c r="J1786" i="15"/>
  <c r="I1786" i="15"/>
  <c r="J1797" i="15"/>
  <c r="I1797" i="15"/>
  <c r="J1800" i="15"/>
  <c r="I1800" i="15"/>
  <c r="J1825" i="15"/>
  <c r="I1825" i="15"/>
  <c r="J1836" i="15"/>
  <c r="I1836" i="15"/>
  <c r="J1847" i="15"/>
  <c r="I1847" i="15"/>
  <c r="J1859" i="15"/>
  <c r="I1859" i="15"/>
  <c r="J1912" i="15"/>
  <c r="I1912" i="15"/>
  <c r="J1935" i="15"/>
  <c r="I1935" i="15"/>
  <c r="J1943" i="15"/>
  <c r="I1943" i="15"/>
  <c r="J1977" i="15"/>
  <c r="I1977" i="15"/>
  <c r="J2033" i="15"/>
  <c r="I2033" i="15"/>
  <c r="I2038" i="15"/>
  <c r="J2038" i="15"/>
  <c r="J2042" i="15"/>
  <c r="I2042" i="15"/>
  <c r="J2053" i="15"/>
  <c r="I2053" i="15"/>
  <c r="J2056" i="15"/>
  <c r="I2056" i="15"/>
  <c r="J2081" i="15"/>
  <c r="I2081" i="15"/>
  <c r="J2092" i="15"/>
  <c r="I2092" i="15"/>
  <c r="J2103" i="15"/>
  <c r="I2103" i="15"/>
  <c r="J2115" i="15"/>
  <c r="I2115" i="15"/>
  <c r="J2168" i="15"/>
  <c r="I2168" i="15"/>
  <c r="J2191" i="15"/>
  <c r="I2191" i="15"/>
  <c r="J2199" i="15"/>
  <c r="I2199" i="15"/>
  <c r="J2233" i="15"/>
  <c r="I2233" i="15"/>
  <c r="J2289" i="15"/>
  <c r="I2289" i="15"/>
  <c r="I2294" i="15"/>
  <c r="J2294" i="15"/>
  <c r="J2298" i="15"/>
  <c r="I2298" i="15"/>
  <c r="J2309" i="15"/>
  <c r="I2309" i="15"/>
  <c r="J2312" i="15"/>
  <c r="I2312" i="15"/>
  <c r="J2337" i="15"/>
  <c r="I2337" i="15"/>
  <c r="J2348" i="15"/>
  <c r="I2348" i="15"/>
  <c r="J2359" i="15"/>
  <c r="I2359" i="15"/>
  <c r="J2371" i="15"/>
  <c r="I2371" i="15"/>
  <c r="J2424" i="15"/>
  <c r="I2424" i="15"/>
  <c r="J2447" i="15"/>
  <c r="I2447" i="15"/>
  <c r="J2455" i="15"/>
  <c r="I2455" i="15"/>
  <c r="J2489" i="15"/>
  <c r="I2489" i="15"/>
  <c r="J2551" i="15"/>
  <c r="I2551" i="15"/>
  <c r="J2563" i="15"/>
  <c r="I2563" i="15"/>
  <c r="J2577" i="15"/>
  <c r="I2577" i="15"/>
  <c r="J2593" i="15"/>
  <c r="I2593" i="15"/>
  <c r="J2632" i="15"/>
  <c r="I2632" i="15"/>
  <c r="J2673" i="15"/>
  <c r="I2673" i="15"/>
  <c r="I2678" i="15"/>
  <c r="J2678" i="15"/>
  <c r="J2745" i="15"/>
  <c r="I2745" i="15"/>
  <c r="J2767" i="15"/>
  <c r="I2767" i="15"/>
  <c r="J2812" i="15"/>
  <c r="I2812" i="15"/>
  <c r="I3895" i="15"/>
  <c r="J3895" i="15"/>
  <c r="I3951" i="15"/>
  <c r="J3951" i="15"/>
  <c r="I4067" i="15"/>
  <c r="J4067" i="15"/>
  <c r="J4542" i="15"/>
  <c r="I4542" i="15"/>
  <c r="I4659" i="15"/>
  <c r="J4659" i="15"/>
  <c r="I1313" i="15"/>
  <c r="I1320" i="15"/>
  <c r="I1329" i="15"/>
  <c r="I1336" i="15"/>
  <c r="I1345" i="15"/>
  <c r="I1362" i="15"/>
  <c r="I1377" i="15"/>
  <c r="I1380" i="15"/>
  <c r="I1408" i="15"/>
  <c r="J1411" i="15"/>
  <c r="I1411" i="15"/>
  <c r="J1418" i="15"/>
  <c r="I1421" i="15"/>
  <c r="I1441" i="15"/>
  <c r="I1444" i="15"/>
  <c r="I1472" i="15"/>
  <c r="J1475" i="15"/>
  <c r="I1475" i="15"/>
  <c r="J1482" i="15"/>
  <c r="I1485" i="15"/>
  <c r="I1505" i="15"/>
  <c r="J1518" i="15"/>
  <c r="I1523" i="15"/>
  <c r="J1526" i="15"/>
  <c r="I1534" i="15"/>
  <c r="I1542" i="15"/>
  <c r="J1542" i="15"/>
  <c r="J1553" i="15"/>
  <c r="I1553" i="15"/>
  <c r="I1555" i="15"/>
  <c r="I1592" i="15"/>
  <c r="I1600" i="15"/>
  <c r="J1617" i="15"/>
  <c r="I1617" i="15"/>
  <c r="I1644" i="15"/>
  <c r="I1688" i="15"/>
  <c r="I1705" i="15"/>
  <c r="J1711" i="15"/>
  <c r="I1711" i="15"/>
  <c r="I1722" i="15"/>
  <c r="J1732" i="15"/>
  <c r="J1738" i="15"/>
  <c r="J1744" i="15"/>
  <c r="I1744" i="15"/>
  <c r="I1774" i="15"/>
  <c r="J1809" i="15"/>
  <c r="I1809" i="15"/>
  <c r="I1822" i="15"/>
  <c r="J1830" i="15"/>
  <c r="I1833" i="15"/>
  <c r="I1856" i="15"/>
  <c r="J1878" i="15"/>
  <c r="J1882" i="15"/>
  <c r="I1882" i="15"/>
  <c r="J1887" i="15"/>
  <c r="I1887" i="15"/>
  <c r="J1932" i="15"/>
  <c r="J1957" i="15"/>
  <c r="I1957" i="15"/>
  <c r="J1960" i="15"/>
  <c r="I1960" i="15"/>
  <c r="J1983" i="15"/>
  <c r="I1983" i="15"/>
  <c r="I2030" i="15"/>
  <c r="J2065" i="15"/>
  <c r="I2065" i="15"/>
  <c r="I2078" i="15"/>
  <c r="J2086" i="15"/>
  <c r="I2089" i="15"/>
  <c r="I2112" i="15"/>
  <c r="J2134" i="15"/>
  <c r="J2138" i="15"/>
  <c r="I2138" i="15"/>
  <c r="J2143" i="15"/>
  <c r="I2143" i="15"/>
  <c r="J2188" i="15"/>
  <c r="J2213" i="15"/>
  <c r="I2213" i="15"/>
  <c r="J2216" i="15"/>
  <c r="I2216" i="15"/>
  <c r="J2239" i="15"/>
  <c r="I2239" i="15"/>
  <c r="I2286" i="15"/>
  <c r="J2321" i="15"/>
  <c r="I2321" i="15"/>
  <c r="I2334" i="15"/>
  <c r="J2342" i="15"/>
  <c r="I2345" i="15"/>
  <c r="I2368" i="15"/>
  <c r="J2390" i="15"/>
  <c r="J2394" i="15"/>
  <c r="I2394" i="15"/>
  <c r="J2399" i="15"/>
  <c r="I2399" i="15"/>
  <c r="J2444" i="15"/>
  <c r="J2469" i="15"/>
  <c r="I2469" i="15"/>
  <c r="J2472" i="15"/>
  <c r="I2472" i="15"/>
  <c r="J2495" i="15"/>
  <c r="I2495" i="15"/>
  <c r="J2529" i="15"/>
  <c r="I2529" i="15"/>
  <c r="I2531" i="15"/>
  <c r="I2560" i="15"/>
  <c r="J2598" i="15"/>
  <c r="I2601" i="15"/>
  <c r="J2640" i="15"/>
  <c r="I2704" i="15"/>
  <c r="J2704" i="15"/>
  <c r="J2737" i="15"/>
  <c r="I2737" i="15"/>
  <c r="I2739" i="15"/>
  <c r="I2742" i="15"/>
  <c r="J2742" i="15"/>
  <c r="J2809" i="15"/>
  <c r="I2809" i="15"/>
  <c r="J2858" i="15"/>
  <c r="I2858" i="15"/>
  <c r="I2880" i="15"/>
  <c r="J2880" i="15"/>
  <c r="J2902" i="15"/>
  <c r="I2902" i="15"/>
  <c r="J1419" i="15"/>
  <c r="I1419" i="15"/>
  <c r="J1483" i="15"/>
  <c r="I1483" i="15"/>
  <c r="J1519" i="15"/>
  <c r="I1519" i="15"/>
  <c r="J1593" i="15"/>
  <c r="I1593" i="15"/>
  <c r="J1628" i="15"/>
  <c r="I1628" i="15"/>
  <c r="J1653" i="15"/>
  <c r="I1653" i="15"/>
  <c r="J1669" i="15"/>
  <c r="I1669" i="15"/>
  <c r="J1716" i="15"/>
  <c r="I1741" i="15"/>
  <c r="J1761" i="15"/>
  <c r="I1761" i="15"/>
  <c r="I1763" i="15"/>
  <c r="J1772" i="15"/>
  <c r="I1772" i="15"/>
  <c r="J1783" i="15"/>
  <c r="I1783" i="15"/>
  <c r="J1795" i="15"/>
  <c r="I1795" i="15"/>
  <c r="I1817" i="15"/>
  <c r="J1848" i="15"/>
  <c r="I1848" i="15"/>
  <c r="J1871" i="15"/>
  <c r="I1871" i="15"/>
  <c r="J1879" i="15"/>
  <c r="I1879" i="15"/>
  <c r="J1913" i="15"/>
  <c r="I1913" i="15"/>
  <c r="J1918" i="15"/>
  <c r="J1969" i="15"/>
  <c r="I1969" i="15"/>
  <c r="I1971" i="15"/>
  <c r="I1974" i="15"/>
  <c r="J1974" i="15"/>
  <c r="J1978" i="15"/>
  <c r="I1978" i="15"/>
  <c r="J1989" i="15"/>
  <c r="I1989" i="15"/>
  <c r="J1992" i="15"/>
  <c r="I1992" i="15"/>
  <c r="J2000" i="15"/>
  <c r="J2017" i="15"/>
  <c r="I2017" i="15"/>
  <c r="I2019" i="15"/>
  <c r="J2028" i="15"/>
  <c r="I2028" i="15"/>
  <c r="J2039" i="15"/>
  <c r="I2039" i="15"/>
  <c r="J2051" i="15"/>
  <c r="I2051" i="15"/>
  <c r="I2073" i="15"/>
  <c r="J2104" i="15"/>
  <c r="I2104" i="15"/>
  <c r="J2127" i="15"/>
  <c r="I2127" i="15"/>
  <c r="J2135" i="15"/>
  <c r="I2135" i="15"/>
  <c r="J2169" i="15"/>
  <c r="I2169" i="15"/>
  <c r="J2174" i="15"/>
  <c r="J2225" i="15"/>
  <c r="I2225" i="15"/>
  <c r="I2227" i="15"/>
  <c r="I2230" i="15"/>
  <c r="J2230" i="15"/>
  <c r="J2234" i="15"/>
  <c r="I2234" i="15"/>
  <c r="J2245" i="15"/>
  <c r="I2245" i="15"/>
  <c r="J2248" i="15"/>
  <c r="I2248" i="15"/>
  <c r="J2256" i="15"/>
  <c r="J2273" i="15"/>
  <c r="I2273" i="15"/>
  <c r="I2275" i="15"/>
  <c r="J2284" i="15"/>
  <c r="I2284" i="15"/>
  <c r="J2295" i="15"/>
  <c r="I2295" i="15"/>
  <c r="J2307" i="15"/>
  <c r="I2307" i="15"/>
  <c r="I2329" i="15"/>
  <c r="J2360" i="15"/>
  <c r="I2360" i="15"/>
  <c r="J2383" i="15"/>
  <c r="I2383" i="15"/>
  <c r="J2391" i="15"/>
  <c r="I2391" i="15"/>
  <c r="J2425" i="15"/>
  <c r="I2425" i="15"/>
  <c r="J2430" i="15"/>
  <c r="J2481" i="15"/>
  <c r="I2481" i="15"/>
  <c r="I2483" i="15"/>
  <c r="I2486" i="15"/>
  <c r="J2486" i="15"/>
  <c r="J2490" i="15"/>
  <c r="I2490" i="15"/>
  <c r="J2501" i="15"/>
  <c r="I2501" i="15"/>
  <c r="J2504" i="15"/>
  <c r="I2504" i="15"/>
  <c r="J2512" i="15"/>
  <c r="J2534" i="15"/>
  <c r="I2537" i="15"/>
  <c r="J2552" i="15"/>
  <c r="I2552" i="15"/>
  <c r="J2582" i="15"/>
  <c r="I2585" i="15"/>
  <c r="J2627" i="15"/>
  <c r="I2627" i="15"/>
  <c r="J2641" i="15"/>
  <c r="I2641" i="15"/>
  <c r="J2657" i="15"/>
  <c r="I2657" i="15"/>
  <c r="J2696" i="15"/>
  <c r="I2696" i="15"/>
  <c r="I2768" i="15"/>
  <c r="J2768" i="15"/>
  <c r="J2801" i="15"/>
  <c r="I2801" i="15"/>
  <c r="I2803" i="15"/>
  <c r="I2806" i="15"/>
  <c r="J2806" i="15"/>
  <c r="I2841" i="15"/>
  <c r="I2844" i="15"/>
  <c r="I2899" i="15"/>
  <c r="J2899" i="15"/>
  <c r="J3856" i="15"/>
  <c r="I3856" i="15"/>
  <c r="J3890" i="15"/>
  <c r="I3890" i="15"/>
  <c r="I3942" i="15"/>
  <c r="J2810" i="15"/>
  <c r="I2810" i="15"/>
  <c r="J2856" i="15"/>
  <c r="I2856" i="15"/>
  <c r="J2867" i="15"/>
  <c r="I2867" i="15"/>
  <c r="I2897" i="15"/>
  <c r="J2897" i="15"/>
  <c r="J2944" i="15"/>
  <c r="I2944" i="15"/>
  <c r="J2952" i="15"/>
  <c r="I2952" i="15"/>
  <c r="J2960" i="15"/>
  <c r="I2960" i="15"/>
  <c r="J2968" i="15"/>
  <c r="I2968" i="15"/>
  <c r="J2976" i="15"/>
  <c r="I2976" i="15"/>
  <c r="J2984" i="15"/>
  <c r="I2984" i="15"/>
  <c r="J2992" i="15"/>
  <c r="I2992" i="15"/>
  <c r="J3000" i="15"/>
  <c r="I3000" i="15"/>
  <c r="J3008" i="15"/>
  <c r="I3008" i="15"/>
  <c r="J3016" i="15"/>
  <c r="I3016" i="15"/>
  <c r="J3024" i="15"/>
  <c r="I3024" i="15"/>
  <c r="J3032" i="15"/>
  <c r="I3032" i="15"/>
  <c r="J3040" i="15"/>
  <c r="I3040" i="15"/>
  <c r="J3048" i="15"/>
  <c r="I3048" i="15"/>
  <c r="J3056" i="15"/>
  <c r="I3056" i="15"/>
  <c r="J3064" i="15"/>
  <c r="I3064" i="15"/>
  <c r="I3932" i="15"/>
  <c r="J3932" i="15"/>
  <c r="I4059" i="15"/>
  <c r="J4059" i="15"/>
  <c r="I4151" i="15"/>
  <c r="J4151" i="15"/>
  <c r="I4412" i="15"/>
  <c r="J4412" i="15"/>
  <c r="I4453" i="15"/>
  <c r="J4453" i="15"/>
  <c r="J4494" i="15"/>
  <c r="I4494" i="15"/>
  <c r="J4512" i="15"/>
  <c r="I4512" i="15"/>
  <c r="J2664" i="15"/>
  <c r="I2664" i="15"/>
  <c r="J2687" i="15"/>
  <c r="I2687" i="15"/>
  <c r="J2705" i="15"/>
  <c r="I2705" i="15"/>
  <c r="J2728" i="15"/>
  <c r="I2728" i="15"/>
  <c r="J2751" i="15"/>
  <c r="I2751" i="15"/>
  <c r="J2769" i="15"/>
  <c r="I2769" i="15"/>
  <c r="J2792" i="15"/>
  <c r="I2792" i="15"/>
  <c r="J2840" i="15"/>
  <c r="I2840" i="15"/>
  <c r="J2851" i="15"/>
  <c r="I2851" i="15"/>
  <c r="J2881" i="15"/>
  <c r="I2881" i="15"/>
  <c r="I2914" i="15"/>
  <c r="J2914" i="15"/>
  <c r="J2936" i="15"/>
  <c r="I2936" i="15"/>
  <c r="J3874" i="15"/>
  <c r="I3874" i="15"/>
  <c r="J3950" i="15"/>
  <c r="I3950" i="15"/>
  <c r="I4101" i="15"/>
  <c r="J4101" i="15"/>
  <c r="J4106" i="15"/>
  <c r="I4106" i="15"/>
  <c r="I4215" i="15"/>
  <c r="J4215" i="15"/>
  <c r="J1615" i="15"/>
  <c r="I1615" i="15"/>
  <c r="J1743" i="15"/>
  <c r="I1743" i="15"/>
  <c r="I2661" i="15"/>
  <c r="I2682" i="15"/>
  <c r="I2725" i="15"/>
  <c r="I2746" i="15"/>
  <c r="I2789" i="15"/>
  <c r="J2824" i="15"/>
  <c r="I2824" i="15"/>
  <c r="J2835" i="15"/>
  <c r="I2835" i="15"/>
  <c r="I2837" i="15"/>
  <c r="J2865" i="15"/>
  <c r="I2865" i="15"/>
  <c r="I2889" i="15"/>
  <c r="I2892" i="15"/>
  <c r="I2909" i="15"/>
  <c r="J2909" i="15"/>
  <c r="J2911" i="15"/>
  <c r="J2925" i="15"/>
  <c r="J2933" i="15"/>
  <c r="J2942" i="15"/>
  <c r="I2942" i="15"/>
  <c r="J2950" i="15"/>
  <c r="I2950" i="15"/>
  <c r="J2958" i="15"/>
  <c r="I2958" i="15"/>
  <c r="J2966" i="15"/>
  <c r="I2966" i="15"/>
  <c r="J2974" i="15"/>
  <c r="I2974" i="15"/>
  <c r="J2982" i="15"/>
  <c r="I2982" i="15"/>
  <c r="J2990" i="15"/>
  <c r="I2990" i="15"/>
  <c r="J2998" i="15"/>
  <c r="I2998" i="15"/>
  <c r="J3006" i="15"/>
  <c r="I3006" i="15"/>
  <c r="J3014" i="15"/>
  <c r="I3014" i="15"/>
  <c r="J3022" i="15"/>
  <c r="I3022" i="15"/>
  <c r="J3030" i="15"/>
  <c r="I3030" i="15"/>
  <c r="J3038" i="15"/>
  <c r="I3038" i="15"/>
  <c r="J3046" i="15"/>
  <c r="I3046" i="15"/>
  <c r="J3054" i="15"/>
  <c r="I3054" i="15"/>
  <c r="J3062" i="15"/>
  <c r="I3062" i="15"/>
  <c r="I3903" i="15"/>
  <c r="J3903" i="15"/>
  <c r="I3929" i="15"/>
  <c r="J3929" i="15"/>
  <c r="J3955" i="15"/>
  <c r="I4085" i="15"/>
  <c r="J4085" i="15"/>
  <c r="I4181" i="15"/>
  <c r="J4181" i="15"/>
  <c r="I4371" i="15"/>
  <c r="J4371" i="15"/>
  <c r="J2833" i="15"/>
  <c r="I2833" i="15"/>
  <c r="J2874" i="15"/>
  <c r="I2874" i="15"/>
  <c r="I2923" i="15"/>
  <c r="J2923" i="15"/>
  <c r="J2940" i="15"/>
  <c r="I2940" i="15"/>
  <c r="J2948" i="15"/>
  <c r="I2948" i="15"/>
  <c r="J2956" i="15"/>
  <c r="I2956" i="15"/>
  <c r="J2964" i="15"/>
  <c r="I2964" i="15"/>
  <c r="J2972" i="15"/>
  <c r="I2972" i="15"/>
  <c r="J2980" i="15"/>
  <c r="I2980" i="15"/>
  <c r="J2988" i="15"/>
  <c r="I2988" i="15"/>
  <c r="J2996" i="15"/>
  <c r="I2996" i="15"/>
  <c r="J3004" i="15"/>
  <c r="I3004" i="15"/>
  <c r="J3012" i="15"/>
  <c r="I3012" i="15"/>
  <c r="J3020" i="15"/>
  <c r="I3020" i="15"/>
  <c r="J3028" i="15"/>
  <c r="I3028" i="15"/>
  <c r="J3036" i="15"/>
  <c r="I3036" i="15"/>
  <c r="J3044" i="15"/>
  <c r="I3044" i="15"/>
  <c r="J3052" i="15"/>
  <c r="I3052" i="15"/>
  <c r="J3060" i="15"/>
  <c r="I3060" i="15"/>
  <c r="I3945" i="15"/>
  <c r="J3945" i="15"/>
  <c r="I4023" i="15"/>
  <c r="J4023" i="15"/>
  <c r="I4083" i="15"/>
  <c r="J4083" i="15"/>
  <c r="I4375" i="15"/>
  <c r="J4375" i="15"/>
  <c r="J4750" i="15"/>
  <c r="I4750" i="15"/>
  <c r="I4787" i="15"/>
  <c r="J4787" i="15"/>
  <c r="I4863" i="15"/>
  <c r="J4863" i="15"/>
  <c r="J6108" i="15"/>
  <c r="I6108" i="15"/>
  <c r="J6132" i="15"/>
  <c r="I6132" i="15"/>
  <c r="J6142" i="15"/>
  <c r="I6142" i="15"/>
  <c r="J6364" i="15"/>
  <c r="I6364" i="15"/>
  <c r="J1551" i="15"/>
  <c r="I1551" i="15"/>
  <c r="J1679" i="15"/>
  <c r="I1679" i="15"/>
  <c r="I2519" i="15"/>
  <c r="I2522" i="15"/>
  <c r="I2540" i="15"/>
  <c r="I2565" i="15"/>
  <c r="I2586" i="15"/>
  <c r="I2604" i="15"/>
  <c r="I2629" i="15"/>
  <c r="I2650" i="15"/>
  <c r="I2668" i="15"/>
  <c r="I2693" i="15"/>
  <c r="I2714" i="15"/>
  <c r="I2732" i="15"/>
  <c r="I2757" i="15"/>
  <c r="I2778" i="15"/>
  <c r="I2796" i="15"/>
  <c r="I2825" i="15"/>
  <c r="I2828" i="15"/>
  <c r="J2842" i="15"/>
  <c r="I2842" i="15"/>
  <c r="J2888" i="15"/>
  <c r="I2888" i="15"/>
  <c r="I2896" i="15"/>
  <c r="I2921" i="15"/>
  <c r="J2921" i="15"/>
  <c r="J2924" i="15"/>
  <c r="I2924" i="15"/>
  <c r="J2938" i="15"/>
  <c r="I2938" i="15"/>
  <c r="J2946" i="15"/>
  <c r="I2946" i="15"/>
  <c r="J2954" i="15"/>
  <c r="I2954" i="15"/>
  <c r="J2962" i="15"/>
  <c r="I2962" i="15"/>
  <c r="J2970" i="15"/>
  <c r="I2970" i="15"/>
  <c r="J2978" i="15"/>
  <c r="I2978" i="15"/>
  <c r="J2986" i="15"/>
  <c r="I2986" i="15"/>
  <c r="J2994" i="15"/>
  <c r="I2994" i="15"/>
  <c r="J3002" i="15"/>
  <c r="I3002" i="15"/>
  <c r="J3010" i="15"/>
  <c r="I3010" i="15"/>
  <c r="J3018" i="15"/>
  <c r="I3018" i="15"/>
  <c r="J3026" i="15"/>
  <c r="I3026" i="15"/>
  <c r="J3034" i="15"/>
  <c r="I3034" i="15"/>
  <c r="J3042" i="15"/>
  <c r="I3042" i="15"/>
  <c r="J3050" i="15"/>
  <c r="I3050" i="15"/>
  <c r="J3058" i="15"/>
  <c r="I3058" i="15"/>
  <c r="J3834" i="15"/>
  <c r="I3834" i="15"/>
  <c r="J4058" i="15"/>
  <c r="I4058" i="15"/>
  <c r="I4064" i="15"/>
  <c r="I4311" i="15"/>
  <c r="J4311" i="15"/>
  <c r="I4499" i="15"/>
  <c r="J4499" i="15"/>
  <c r="I4502" i="15"/>
  <c r="J4502" i="15"/>
  <c r="I4511" i="15"/>
  <c r="J4511" i="15"/>
  <c r="I4677" i="15"/>
  <c r="J4677" i="15"/>
  <c r="I4765" i="15"/>
  <c r="J4765" i="15"/>
  <c r="J1631" i="15"/>
  <c r="I1631" i="15"/>
  <c r="J1752" i="15"/>
  <c r="I1752" i="15"/>
  <c r="J1775" i="15"/>
  <c r="I1775" i="15"/>
  <c r="J1793" i="15"/>
  <c r="I1793" i="15"/>
  <c r="J1816" i="15"/>
  <c r="I1816" i="15"/>
  <c r="J1839" i="15"/>
  <c r="I1839" i="15"/>
  <c r="J1857" i="15"/>
  <c r="I1857" i="15"/>
  <c r="J1880" i="15"/>
  <c r="I1880" i="15"/>
  <c r="J1903" i="15"/>
  <c r="I1903" i="15"/>
  <c r="J1921" i="15"/>
  <c r="I1921" i="15"/>
  <c r="J1944" i="15"/>
  <c r="I1944" i="15"/>
  <c r="J1967" i="15"/>
  <c r="I1967" i="15"/>
  <c r="J1985" i="15"/>
  <c r="I1985" i="15"/>
  <c r="J2008" i="15"/>
  <c r="I2008" i="15"/>
  <c r="J2031" i="15"/>
  <c r="I2031" i="15"/>
  <c r="J2049" i="15"/>
  <c r="I2049" i="15"/>
  <c r="J2072" i="15"/>
  <c r="I2072" i="15"/>
  <c r="J2095" i="15"/>
  <c r="I2095" i="15"/>
  <c r="J2113" i="15"/>
  <c r="I2113" i="15"/>
  <c r="J2136" i="15"/>
  <c r="I2136" i="15"/>
  <c r="J2159" i="15"/>
  <c r="I2159" i="15"/>
  <c r="J2177" i="15"/>
  <c r="I2177" i="15"/>
  <c r="J2200" i="15"/>
  <c r="I2200" i="15"/>
  <c r="J2223" i="15"/>
  <c r="I2223" i="15"/>
  <c r="J2241" i="15"/>
  <c r="I2241" i="15"/>
  <c r="J2264" i="15"/>
  <c r="I2264" i="15"/>
  <c r="J2287" i="15"/>
  <c r="I2287" i="15"/>
  <c r="J2305" i="15"/>
  <c r="I2305" i="15"/>
  <c r="J2328" i="15"/>
  <c r="I2328" i="15"/>
  <c r="J2351" i="15"/>
  <c r="I2351" i="15"/>
  <c r="J2369" i="15"/>
  <c r="I2369" i="15"/>
  <c r="J2392" i="15"/>
  <c r="I2392" i="15"/>
  <c r="J2415" i="15"/>
  <c r="I2415" i="15"/>
  <c r="J2433" i="15"/>
  <c r="I2433" i="15"/>
  <c r="J2456" i="15"/>
  <c r="I2456" i="15"/>
  <c r="J2479" i="15"/>
  <c r="I2479" i="15"/>
  <c r="J2497" i="15"/>
  <c r="I2497" i="15"/>
  <c r="J2520" i="15"/>
  <c r="I2520" i="15"/>
  <c r="J2543" i="15"/>
  <c r="I2543" i="15"/>
  <c r="J2561" i="15"/>
  <c r="I2561" i="15"/>
  <c r="J2584" i="15"/>
  <c r="I2584" i="15"/>
  <c r="J2607" i="15"/>
  <c r="I2607" i="15"/>
  <c r="J2625" i="15"/>
  <c r="I2625" i="15"/>
  <c r="J2648" i="15"/>
  <c r="I2648" i="15"/>
  <c r="J2671" i="15"/>
  <c r="I2671" i="15"/>
  <c r="J2689" i="15"/>
  <c r="I2689" i="15"/>
  <c r="J2712" i="15"/>
  <c r="I2712" i="15"/>
  <c r="J2735" i="15"/>
  <c r="I2735" i="15"/>
  <c r="J2753" i="15"/>
  <c r="I2753" i="15"/>
  <c r="J2776" i="15"/>
  <c r="I2776" i="15"/>
  <c r="J2799" i="15"/>
  <c r="I2799" i="15"/>
  <c r="J2826" i="15"/>
  <c r="I2826" i="15"/>
  <c r="J2872" i="15"/>
  <c r="I2872" i="15"/>
  <c r="J2883" i="15"/>
  <c r="I2883" i="15"/>
  <c r="J4062" i="15"/>
  <c r="I4062" i="15"/>
  <c r="I4162" i="15"/>
  <c r="J4162" i="15"/>
  <c r="I4279" i="15"/>
  <c r="J4279" i="15"/>
  <c r="I4441" i="15"/>
  <c r="J4441" i="15"/>
  <c r="J4640" i="15"/>
  <c r="I4640" i="15"/>
  <c r="J3886" i="15"/>
  <c r="I3886" i="15"/>
  <c r="J3888" i="15"/>
  <c r="J3922" i="15"/>
  <c r="I3925" i="15"/>
  <c r="J3925" i="15"/>
  <c r="J3962" i="15"/>
  <c r="I3962" i="15"/>
  <c r="I4019" i="15"/>
  <c r="J4019" i="15"/>
  <c r="I4057" i="15"/>
  <c r="J4057" i="15"/>
  <c r="I4147" i="15"/>
  <c r="J4147" i="15"/>
  <c r="I4183" i="15"/>
  <c r="J4183" i="15"/>
  <c r="I4197" i="15"/>
  <c r="J4197" i="15"/>
  <c r="J4206" i="15"/>
  <c r="I4206" i="15"/>
  <c r="I4220" i="15"/>
  <c r="J4220" i="15"/>
  <c r="I4229" i="15"/>
  <c r="J4229" i="15"/>
  <c r="J4238" i="15"/>
  <c r="I4238" i="15"/>
  <c r="J4274" i="15"/>
  <c r="I4359" i="15"/>
  <c r="J4359" i="15"/>
  <c r="I4373" i="15"/>
  <c r="J4373" i="15"/>
  <c r="I4434" i="15"/>
  <c r="J4434" i="15"/>
  <c r="I4443" i="15"/>
  <c r="J4443" i="15"/>
  <c r="J4446" i="15"/>
  <c r="I4446" i="15"/>
  <c r="I4524" i="15"/>
  <c r="J4524" i="15"/>
  <c r="I4567" i="15"/>
  <c r="J4567" i="15"/>
  <c r="I4581" i="15"/>
  <c r="J4581" i="15"/>
  <c r="J4670" i="15"/>
  <c r="I4670" i="15"/>
  <c r="I4684" i="15"/>
  <c r="J4684" i="15"/>
  <c r="J3918" i="15"/>
  <c r="I3918" i="15"/>
  <c r="I3957" i="15"/>
  <c r="J3957" i="15"/>
  <c r="I3989" i="15"/>
  <c r="J3989" i="15"/>
  <c r="J3994" i="15"/>
  <c r="I3994" i="15"/>
  <c r="I4005" i="15"/>
  <c r="J4005" i="15"/>
  <c r="J4010" i="15"/>
  <c r="I4010" i="15"/>
  <c r="I4044" i="15"/>
  <c r="J4044" i="15"/>
  <c r="J4090" i="15"/>
  <c r="I4090" i="15"/>
  <c r="I4117" i="15"/>
  <c r="J4117" i="15"/>
  <c r="J4122" i="15"/>
  <c r="I4122" i="15"/>
  <c r="I4133" i="15"/>
  <c r="J4133" i="15"/>
  <c r="J4138" i="15"/>
  <c r="I4138" i="15"/>
  <c r="I4172" i="15"/>
  <c r="J4172" i="15"/>
  <c r="I4252" i="15"/>
  <c r="J4252" i="15"/>
  <c r="I4284" i="15"/>
  <c r="J4284" i="15"/>
  <c r="I4316" i="15"/>
  <c r="J4316" i="15"/>
  <c r="I4383" i="15"/>
  <c r="J4383" i="15"/>
  <c r="I4457" i="15"/>
  <c r="J4457" i="15"/>
  <c r="I4469" i="15"/>
  <c r="J4469" i="15"/>
  <c r="I4547" i="15"/>
  <c r="J4547" i="15"/>
  <c r="I4650" i="15"/>
  <c r="J4650" i="15"/>
  <c r="I4665" i="15"/>
  <c r="J4665" i="15"/>
  <c r="I4767" i="15"/>
  <c r="J4767" i="15"/>
  <c r="I4793" i="15"/>
  <c r="J4793" i="15"/>
  <c r="F55" i="20"/>
  <c r="I53" i="16"/>
  <c r="K53" i="16" s="1"/>
  <c r="J3833" i="15"/>
  <c r="J3836" i="15"/>
  <c r="J3849" i="15"/>
  <c r="J3855" i="15"/>
  <c r="J3915" i="15"/>
  <c r="J3923" i="15"/>
  <c r="J3931" i="15"/>
  <c r="J3939" i="15"/>
  <c r="J3982" i="15"/>
  <c r="I3982" i="15"/>
  <c r="I3987" i="15"/>
  <c r="J3987" i="15"/>
  <c r="I4000" i="15"/>
  <c r="I4028" i="15"/>
  <c r="J4028" i="15"/>
  <c r="I4039" i="15"/>
  <c r="J4039" i="15"/>
  <c r="J4041" i="15"/>
  <c r="I4053" i="15"/>
  <c r="J4053" i="15"/>
  <c r="J4055" i="15"/>
  <c r="J4110" i="15"/>
  <c r="I4110" i="15"/>
  <c r="I4115" i="15"/>
  <c r="J4115" i="15"/>
  <c r="I4128" i="15"/>
  <c r="I4156" i="15"/>
  <c r="J4156" i="15"/>
  <c r="I4167" i="15"/>
  <c r="J4167" i="15"/>
  <c r="J4169" i="15"/>
  <c r="J4176" i="15"/>
  <c r="I4176" i="15"/>
  <c r="J4190" i="15"/>
  <c r="I4190" i="15"/>
  <c r="J4203" i="15"/>
  <c r="J4235" i="15"/>
  <c r="I4247" i="15"/>
  <c r="J4247" i="15"/>
  <c r="I4258" i="15"/>
  <c r="J4366" i="15"/>
  <c r="I4366" i="15"/>
  <c r="I4395" i="15"/>
  <c r="J4395" i="15"/>
  <c r="I4429" i="15"/>
  <c r="J4429" i="15"/>
  <c r="I4458" i="15"/>
  <c r="J4458" i="15"/>
  <c r="J4470" i="15"/>
  <c r="I4470" i="15"/>
  <c r="I4522" i="15"/>
  <c r="J4522" i="15"/>
  <c r="J4654" i="15"/>
  <c r="I4654" i="15"/>
  <c r="I4700" i="15"/>
  <c r="J4700" i="15"/>
  <c r="J4782" i="15"/>
  <c r="I4782" i="15"/>
  <c r="I2907" i="15"/>
  <c r="J2907" i="15"/>
  <c r="I3066" i="15"/>
  <c r="I3068" i="15"/>
  <c r="I3070" i="15"/>
  <c r="I3072" i="15"/>
  <c r="I3074" i="15"/>
  <c r="I3076" i="15"/>
  <c r="I3078" i="15"/>
  <c r="I3080" i="15"/>
  <c r="I3082" i="15"/>
  <c r="I3084" i="15"/>
  <c r="I3086" i="15"/>
  <c r="I3088" i="15"/>
  <c r="I3090" i="15"/>
  <c r="I3092" i="15"/>
  <c r="I3094" i="15"/>
  <c r="I3096" i="15"/>
  <c r="I3098" i="15"/>
  <c r="I3100" i="15"/>
  <c r="I3102" i="15"/>
  <c r="I3104" i="15"/>
  <c r="I3106" i="15"/>
  <c r="I3108" i="15"/>
  <c r="I3110" i="15"/>
  <c r="I3112" i="15"/>
  <c r="I3114" i="15"/>
  <c r="I3116" i="15"/>
  <c r="I3118" i="15"/>
  <c r="I3120" i="15"/>
  <c r="I3122" i="15"/>
  <c r="I3124" i="15"/>
  <c r="I3126" i="15"/>
  <c r="I3128" i="15"/>
  <c r="I3130" i="15"/>
  <c r="I3132" i="15"/>
  <c r="I3134" i="15"/>
  <c r="I3136" i="15"/>
  <c r="I3138" i="15"/>
  <c r="I3140" i="15"/>
  <c r="I3142" i="15"/>
  <c r="I3144" i="15"/>
  <c r="I3146" i="15"/>
  <c r="I3148" i="15"/>
  <c r="I3150" i="15"/>
  <c r="I3152" i="15"/>
  <c r="I3154" i="15"/>
  <c r="I3156" i="15"/>
  <c r="I3158" i="15"/>
  <c r="I3160" i="15"/>
  <c r="I3162" i="15"/>
  <c r="I3164" i="15"/>
  <c r="I3166" i="15"/>
  <c r="I3168" i="15"/>
  <c r="I3170" i="15"/>
  <c r="I3172" i="15"/>
  <c r="I3174" i="15"/>
  <c r="I3176" i="15"/>
  <c r="I3178" i="15"/>
  <c r="I3180" i="15"/>
  <c r="I3182" i="15"/>
  <c r="I3184" i="15"/>
  <c r="I3186" i="15"/>
  <c r="I3188" i="15"/>
  <c r="I3190" i="15"/>
  <c r="I3192" i="15"/>
  <c r="I3194" i="15"/>
  <c r="I3196" i="15"/>
  <c r="I3198" i="15"/>
  <c r="I3200" i="15"/>
  <c r="I3202" i="15"/>
  <c r="I3204" i="15"/>
  <c r="I3206" i="15"/>
  <c r="I3208" i="15"/>
  <c r="I3210" i="15"/>
  <c r="I3829" i="15"/>
  <c r="J3829" i="15"/>
  <c r="J3866" i="15"/>
  <c r="I3866" i="15"/>
  <c r="I4012" i="15"/>
  <c r="J4012" i="15"/>
  <c r="I4051" i="15"/>
  <c r="J4051" i="15"/>
  <c r="I4140" i="15"/>
  <c r="J4140" i="15"/>
  <c r="I4245" i="15"/>
  <c r="J4245" i="15"/>
  <c r="J4254" i="15"/>
  <c r="I4254" i="15"/>
  <c r="I4268" i="15"/>
  <c r="J4268" i="15"/>
  <c r="J4286" i="15"/>
  <c r="I4286" i="15"/>
  <c r="J4318" i="15"/>
  <c r="I4318" i="15"/>
  <c r="I4557" i="15"/>
  <c r="J4557" i="15"/>
  <c r="I4597" i="15"/>
  <c r="J4597" i="15"/>
  <c r="I4637" i="15"/>
  <c r="J4637" i="15"/>
  <c r="I4695" i="15"/>
  <c r="J4695" i="15"/>
  <c r="I4745" i="15"/>
  <c r="J4745" i="15"/>
  <c r="J6026" i="15"/>
  <c r="I6026" i="15"/>
  <c r="J6060" i="15"/>
  <c r="I6060" i="15"/>
  <c r="J6084" i="15"/>
  <c r="I6084" i="15"/>
  <c r="J6094" i="15"/>
  <c r="I6094" i="15"/>
  <c r="J6282" i="15"/>
  <c r="I6282" i="15"/>
  <c r="J6316" i="15"/>
  <c r="I6316" i="15"/>
  <c r="J6340" i="15"/>
  <c r="I6340" i="15"/>
  <c r="J6350" i="15"/>
  <c r="I6350" i="15"/>
  <c r="I3861" i="15"/>
  <c r="J3861" i="15"/>
  <c r="J3898" i="15"/>
  <c r="I3898" i="15"/>
  <c r="I4021" i="15"/>
  <c r="J4021" i="15"/>
  <c r="J4026" i="15"/>
  <c r="I4026" i="15"/>
  <c r="I4076" i="15"/>
  <c r="J4076" i="15"/>
  <c r="I4108" i="15"/>
  <c r="J4108" i="15"/>
  <c r="I4149" i="15"/>
  <c r="J4149" i="15"/>
  <c r="J4154" i="15"/>
  <c r="I4154" i="15"/>
  <c r="J4174" i="15"/>
  <c r="I4174" i="15"/>
  <c r="I4231" i="15"/>
  <c r="J4231" i="15"/>
  <c r="I4277" i="15"/>
  <c r="J4277" i="15"/>
  <c r="I4300" i="15"/>
  <c r="J4300" i="15"/>
  <c r="I4309" i="15"/>
  <c r="J4309" i="15"/>
  <c r="I4361" i="15"/>
  <c r="J4361" i="15"/>
  <c r="I4477" i="15"/>
  <c r="J4477" i="15"/>
  <c r="I4480" i="15"/>
  <c r="J4480" i="15"/>
  <c r="J4506" i="15"/>
  <c r="I4506" i="15"/>
  <c r="I4532" i="15"/>
  <c r="J4532" i="15"/>
  <c r="I4607" i="15"/>
  <c r="J4607" i="15"/>
  <c r="J4634" i="15"/>
  <c r="I4634" i="15"/>
  <c r="I4675" i="15"/>
  <c r="J4675" i="15"/>
  <c r="I4838" i="15"/>
  <c r="J4838" i="15"/>
  <c r="I4855" i="15"/>
  <c r="J4855" i="15"/>
  <c r="J4858" i="15"/>
  <c r="I4858" i="15"/>
  <c r="I4871" i="15"/>
  <c r="J4871" i="15"/>
  <c r="J6004" i="15"/>
  <c r="I6004" i="15"/>
  <c r="J6014" i="15"/>
  <c r="I6014" i="15"/>
  <c r="J6236" i="15"/>
  <c r="I6236" i="15"/>
  <c r="J6260" i="15"/>
  <c r="I6260" i="15"/>
  <c r="J6270" i="15"/>
  <c r="I6270" i="15"/>
  <c r="I2815" i="15"/>
  <c r="I2831" i="15"/>
  <c r="I2847" i="15"/>
  <c r="I2863" i="15"/>
  <c r="I2879" i="15"/>
  <c r="J2895" i="15"/>
  <c r="I2900" i="15"/>
  <c r="J2917" i="15"/>
  <c r="J3854" i="15"/>
  <c r="I3854" i="15"/>
  <c r="I3893" i="15"/>
  <c r="J3893" i="15"/>
  <c r="I3906" i="15"/>
  <c r="J3927" i="15"/>
  <c r="J3930" i="15"/>
  <c r="I3930" i="15"/>
  <c r="J3935" i="15"/>
  <c r="J3961" i="15"/>
  <c r="J3964" i="15"/>
  <c r="J3977" i="15"/>
  <c r="I4018" i="15"/>
  <c r="I4060" i="15"/>
  <c r="J4060" i="15"/>
  <c r="I4146" i="15"/>
  <c r="I4263" i="15"/>
  <c r="J4263" i="15"/>
  <c r="I4283" i="15"/>
  <c r="J4283" i="15"/>
  <c r="J4445" i="15"/>
  <c r="I4460" i="15"/>
  <c r="J4460" i="15"/>
  <c r="I4463" i="15"/>
  <c r="J4463" i="15"/>
  <c r="I4489" i="15"/>
  <c r="J4489" i="15"/>
  <c r="I4527" i="15"/>
  <c r="J4527" i="15"/>
  <c r="I4614" i="15"/>
  <c r="J4614" i="15"/>
  <c r="I4617" i="15"/>
  <c r="J4617" i="15"/>
  <c r="J4669" i="15"/>
  <c r="I4710" i="15"/>
  <c r="J4710" i="15"/>
  <c r="I4727" i="15"/>
  <c r="J4727" i="15"/>
  <c r="I4812" i="15"/>
  <c r="J4812" i="15"/>
  <c r="I4509" i="15"/>
  <c r="J4509" i="15"/>
  <c r="I4537" i="15"/>
  <c r="J4537" i="15"/>
  <c r="I4582" i="15"/>
  <c r="J4582" i="15"/>
  <c r="J4730" i="15"/>
  <c r="I4730" i="15"/>
  <c r="I4743" i="15"/>
  <c r="J4743" i="15"/>
  <c r="I4816" i="15"/>
  <c r="J4816" i="15"/>
  <c r="J4868" i="15"/>
  <c r="I4868" i="15"/>
  <c r="J5990" i="15"/>
  <c r="I5990" i="15"/>
  <c r="J6246" i="15"/>
  <c r="I6246" i="15"/>
  <c r="D13" i="20"/>
  <c r="D210" i="16"/>
  <c r="H11" i="16"/>
  <c r="E13" i="20" s="1"/>
  <c r="O32" i="16"/>
  <c r="G34" i="20" s="1"/>
  <c r="J4602" i="15"/>
  <c r="I4602" i="15"/>
  <c r="I4615" i="15"/>
  <c r="J4615" i="15"/>
  <c r="I4688" i="15"/>
  <c r="J4688" i="15"/>
  <c r="J4740" i="15"/>
  <c r="I4740" i="15"/>
  <c r="I4755" i="15"/>
  <c r="J4755" i="15"/>
  <c r="I4758" i="15"/>
  <c r="J4758" i="15"/>
  <c r="I4780" i="15"/>
  <c r="J4780" i="15"/>
  <c r="I4783" i="15"/>
  <c r="J4783" i="15"/>
  <c r="I4788" i="15"/>
  <c r="J4788" i="15"/>
  <c r="I4813" i="15"/>
  <c r="J4813" i="15"/>
  <c r="I4853" i="15"/>
  <c r="J4853" i="15"/>
  <c r="J6166" i="15"/>
  <c r="I6166" i="15"/>
  <c r="J6234" i="15"/>
  <c r="I6234" i="15"/>
  <c r="J6422" i="15"/>
  <c r="I6422" i="15"/>
  <c r="I6444" i="15"/>
  <c r="J6444" i="15"/>
  <c r="I6466" i="15"/>
  <c r="J6466" i="15"/>
  <c r="I6476" i="15"/>
  <c r="J6476" i="15"/>
  <c r="I6498" i="15"/>
  <c r="J6498" i="15"/>
  <c r="I6518" i="15"/>
  <c r="J6518" i="15"/>
  <c r="I6606" i="15"/>
  <c r="J6606" i="15"/>
  <c r="I6650" i="15"/>
  <c r="J6650" i="15"/>
  <c r="I4003" i="15"/>
  <c r="J4003" i="15"/>
  <c r="I4037" i="15"/>
  <c r="J4037" i="15"/>
  <c r="J4042" i="15"/>
  <c r="I4042" i="15"/>
  <c r="I4092" i="15"/>
  <c r="J4092" i="15"/>
  <c r="I4131" i="15"/>
  <c r="J4131" i="15"/>
  <c r="I4165" i="15"/>
  <c r="J4165" i="15"/>
  <c r="I4204" i="15"/>
  <c r="J4204" i="15"/>
  <c r="I4261" i="15"/>
  <c r="J4261" i="15"/>
  <c r="J4270" i="15"/>
  <c r="I4270" i="15"/>
  <c r="I4295" i="15"/>
  <c r="J4295" i="15"/>
  <c r="I4332" i="15"/>
  <c r="J4332" i="15"/>
  <c r="I4335" i="15"/>
  <c r="J4335" i="15"/>
  <c r="I4349" i="15"/>
  <c r="J4349" i="15"/>
  <c r="I4352" i="15"/>
  <c r="J4352" i="15"/>
  <c r="J4378" i="15"/>
  <c r="I4378" i="15"/>
  <c r="I4407" i="15"/>
  <c r="J4407" i="15"/>
  <c r="J4436" i="15"/>
  <c r="I4436" i="15"/>
  <c r="I4487" i="15"/>
  <c r="J4487" i="15"/>
  <c r="I4526" i="15"/>
  <c r="J4531" i="15"/>
  <c r="J4556" i="15"/>
  <c r="I4560" i="15"/>
  <c r="J4560" i="15"/>
  <c r="J4599" i="15"/>
  <c r="J4612" i="15"/>
  <c r="I4612" i="15"/>
  <c r="I4627" i="15"/>
  <c r="J4627" i="15"/>
  <c r="I4630" i="15"/>
  <c r="J4630" i="15"/>
  <c r="I4652" i="15"/>
  <c r="J4652" i="15"/>
  <c r="I4655" i="15"/>
  <c r="J4655" i="15"/>
  <c r="I4660" i="15"/>
  <c r="J4660" i="15"/>
  <c r="I4685" i="15"/>
  <c r="J4685" i="15"/>
  <c r="I4725" i="15"/>
  <c r="J4725" i="15"/>
  <c r="I4805" i="15"/>
  <c r="J4805" i="15"/>
  <c r="I4828" i="15"/>
  <c r="J4828" i="15"/>
  <c r="J4878" i="15"/>
  <c r="I4878" i="15"/>
  <c r="J6154" i="15"/>
  <c r="I6154" i="15"/>
  <c r="J6188" i="15"/>
  <c r="I6188" i="15"/>
  <c r="J6212" i="15"/>
  <c r="I6212" i="15"/>
  <c r="J6222" i="15"/>
  <c r="I6222" i="15"/>
  <c r="J6410" i="15"/>
  <c r="I6410" i="15"/>
  <c r="I6506" i="15"/>
  <c r="J6506" i="15"/>
  <c r="I6550" i="15"/>
  <c r="J6550" i="15"/>
  <c r="I6594" i="15"/>
  <c r="J6594" i="15"/>
  <c r="J6388" i="15"/>
  <c r="I6388" i="15"/>
  <c r="J6398" i="15"/>
  <c r="I6398" i="15"/>
  <c r="I3845" i="15"/>
  <c r="J3845" i="15"/>
  <c r="J3847" i="15"/>
  <c r="J3852" i="15"/>
  <c r="I3877" i="15"/>
  <c r="J3877" i="15"/>
  <c r="J3879" i="15"/>
  <c r="J3884" i="15"/>
  <c r="I3909" i="15"/>
  <c r="J3909" i="15"/>
  <c r="J3911" i="15"/>
  <c r="J3916" i="15"/>
  <c r="I3941" i="15"/>
  <c r="J3941" i="15"/>
  <c r="J3943" i="15"/>
  <c r="J3948" i="15"/>
  <c r="I3973" i="15"/>
  <c r="J3973" i="15"/>
  <c r="J3975" i="15"/>
  <c r="J3980" i="15"/>
  <c r="I3996" i="15"/>
  <c r="J3996" i="15"/>
  <c r="J4011" i="15"/>
  <c r="I4014" i="15"/>
  <c r="I4035" i="15"/>
  <c r="J4035" i="15"/>
  <c r="I4069" i="15"/>
  <c r="J4069" i="15"/>
  <c r="J4071" i="15"/>
  <c r="J4074" i="15"/>
  <c r="I4074" i="15"/>
  <c r="J4089" i="15"/>
  <c r="I4124" i="15"/>
  <c r="J4124" i="15"/>
  <c r="J4139" i="15"/>
  <c r="I4142" i="15"/>
  <c r="I4188" i="15"/>
  <c r="J4188" i="15"/>
  <c r="I4199" i="15"/>
  <c r="J4199" i="15"/>
  <c r="I4236" i="15"/>
  <c r="J4236" i="15"/>
  <c r="I4293" i="15"/>
  <c r="J4293" i="15"/>
  <c r="J4302" i="15"/>
  <c r="I4302" i="15"/>
  <c r="J4315" i="15"/>
  <c r="I4341" i="15"/>
  <c r="J4341" i="15"/>
  <c r="I4388" i="15"/>
  <c r="J4388" i="15"/>
  <c r="J4400" i="15"/>
  <c r="I4400" i="15"/>
  <c r="I4419" i="15"/>
  <c r="J4419" i="15"/>
  <c r="I4422" i="15"/>
  <c r="J4422" i="15"/>
  <c r="J4482" i="15"/>
  <c r="I4482" i="15"/>
  <c r="I4549" i="15"/>
  <c r="J4549" i="15"/>
  <c r="I4572" i="15"/>
  <c r="J4572" i="15"/>
  <c r="J4622" i="15"/>
  <c r="I4622" i="15"/>
  <c r="I4639" i="15"/>
  <c r="J4639" i="15"/>
  <c r="J4649" i="15"/>
  <c r="I4735" i="15"/>
  <c r="J4735" i="15"/>
  <c r="I4778" i="15"/>
  <c r="J4778" i="15"/>
  <c r="J4797" i="15"/>
  <c r="I4803" i="15"/>
  <c r="J4803" i="15"/>
  <c r="I4823" i="15"/>
  <c r="J4823" i="15"/>
  <c r="I4837" i="15"/>
  <c r="J4837" i="15"/>
  <c r="J6118" i="15"/>
  <c r="I6118" i="15"/>
  <c r="J6374" i="15"/>
  <c r="I6374" i="15"/>
  <c r="I4709" i="15"/>
  <c r="J4709" i="15"/>
  <c r="J4768" i="15"/>
  <c r="I4768" i="15"/>
  <c r="J4798" i="15"/>
  <c r="I4798" i="15"/>
  <c r="I4873" i="15"/>
  <c r="J4873" i="15"/>
  <c r="J6038" i="15"/>
  <c r="I6038" i="15"/>
  <c r="J6106" i="15"/>
  <c r="I6106" i="15"/>
  <c r="J6294" i="15"/>
  <c r="I6294" i="15"/>
  <c r="J6362" i="15"/>
  <c r="I6362" i="15"/>
  <c r="J4163" i="15"/>
  <c r="I4170" i="15"/>
  <c r="J4179" i="15"/>
  <c r="I4186" i="15"/>
  <c r="J4195" i="15"/>
  <c r="I4202" i="15"/>
  <c r="J4211" i="15"/>
  <c r="I4218" i="15"/>
  <c r="J4227" i="15"/>
  <c r="I4234" i="15"/>
  <c r="J4243" i="15"/>
  <c r="I4250" i="15"/>
  <c r="J4259" i="15"/>
  <c r="I4266" i="15"/>
  <c r="J4275" i="15"/>
  <c r="I4282" i="15"/>
  <c r="J4291" i="15"/>
  <c r="I4298" i="15"/>
  <c r="J4307" i="15"/>
  <c r="I4314" i="15"/>
  <c r="J4323" i="15"/>
  <c r="I4340" i="15"/>
  <c r="J4347" i="15"/>
  <c r="J4364" i="15"/>
  <c r="I4374" i="15"/>
  <c r="J4381" i="15"/>
  <c r="I4386" i="15"/>
  <c r="J4393" i="15"/>
  <c r="I4398" i="15"/>
  <c r="I4410" i="15"/>
  <c r="J4415" i="15"/>
  <c r="I4432" i="15"/>
  <c r="I4437" i="15"/>
  <c r="J4437" i="15"/>
  <c r="J4439" i="15"/>
  <c r="J4451" i="15"/>
  <c r="I4468" i="15"/>
  <c r="J4475" i="15"/>
  <c r="J4492" i="15"/>
  <c r="J4535" i="15"/>
  <c r="I4543" i="15"/>
  <c r="J4543" i="15"/>
  <c r="J4550" i="15"/>
  <c r="I4570" i="15"/>
  <c r="I4580" i="15"/>
  <c r="J4585" i="15"/>
  <c r="I4590" i="15"/>
  <c r="J4595" i="15"/>
  <c r="J4605" i="15"/>
  <c r="I4608" i="15"/>
  <c r="I4613" i="15"/>
  <c r="J4613" i="15"/>
  <c r="J4620" i="15"/>
  <c r="J4663" i="15"/>
  <c r="I4671" i="15"/>
  <c r="J4671" i="15"/>
  <c r="J4678" i="15"/>
  <c r="I4698" i="15"/>
  <c r="I4708" i="15"/>
  <c r="J4713" i="15"/>
  <c r="I4718" i="15"/>
  <c r="J4723" i="15"/>
  <c r="J4733" i="15"/>
  <c r="I4736" i="15"/>
  <c r="I4741" i="15"/>
  <c r="J4741" i="15"/>
  <c r="J4748" i="15"/>
  <c r="J4791" i="15"/>
  <c r="I4799" i="15"/>
  <c r="J4799" i="15"/>
  <c r="J4806" i="15"/>
  <c r="I4826" i="15"/>
  <c r="I4836" i="15"/>
  <c r="J4841" i="15"/>
  <c r="I4846" i="15"/>
  <c r="J4851" i="15"/>
  <c r="J4861" i="15"/>
  <c r="I4864" i="15"/>
  <c r="I4869" i="15"/>
  <c r="J4869" i="15"/>
  <c r="J4876" i="15"/>
  <c r="J6044" i="15"/>
  <c r="I6044" i="15"/>
  <c r="J6068" i="15"/>
  <c r="I6068" i="15"/>
  <c r="J6102" i="15"/>
  <c r="I6102" i="15"/>
  <c r="J6172" i="15"/>
  <c r="I6172" i="15"/>
  <c r="J6196" i="15"/>
  <c r="I6196" i="15"/>
  <c r="J6230" i="15"/>
  <c r="I6230" i="15"/>
  <c r="J6300" i="15"/>
  <c r="I6300" i="15"/>
  <c r="J6324" i="15"/>
  <c r="I6324" i="15"/>
  <c r="J6358" i="15"/>
  <c r="I6358" i="15"/>
  <c r="J6428" i="15"/>
  <c r="I6428" i="15"/>
  <c r="J6438" i="15"/>
  <c r="I6438" i="15"/>
  <c r="I6470" i="15"/>
  <c r="J6470" i="15"/>
  <c r="I6492" i="15"/>
  <c r="J6492" i="15"/>
  <c r="I6514" i="15"/>
  <c r="J6514" i="15"/>
  <c r="I6612" i="15"/>
  <c r="J6612" i="15"/>
  <c r="F21" i="20"/>
  <c r="I19" i="16"/>
  <c r="F31" i="16"/>
  <c r="H33" i="20" s="1"/>
  <c r="D69" i="20"/>
  <c r="H67" i="16"/>
  <c r="E69" i="20" s="1"/>
  <c r="I4389" i="15"/>
  <c r="J4389" i="15"/>
  <c r="I4533" i="15"/>
  <c r="J4533" i="15"/>
  <c r="I4591" i="15"/>
  <c r="J4591" i="15"/>
  <c r="I4661" i="15"/>
  <c r="J4661" i="15"/>
  <c r="I4719" i="15"/>
  <c r="J4719" i="15"/>
  <c r="I4789" i="15"/>
  <c r="J4789" i="15"/>
  <c r="I4847" i="15"/>
  <c r="J4847" i="15"/>
  <c r="J5996" i="15"/>
  <c r="I5996" i="15"/>
  <c r="J6020" i="15"/>
  <c r="I6020" i="15"/>
  <c r="J6054" i="15"/>
  <c r="I6054" i="15"/>
  <c r="J6124" i="15"/>
  <c r="I6124" i="15"/>
  <c r="J6148" i="15"/>
  <c r="I6148" i="15"/>
  <c r="J6182" i="15"/>
  <c r="I6182" i="15"/>
  <c r="J6252" i="15"/>
  <c r="I6252" i="15"/>
  <c r="J6276" i="15"/>
  <c r="I6276" i="15"/>
  <c r="J6310" i="15"/>
  <c r="I6310" i="15"/>
  <c r="J6380" i="15"/>
  <c r="I6380" i="15"/>
  <c r="J6404" i="15"/>
  <c r="I6404" i="15"/>
  <c r="I6458" i="15"/>
  <c r="J6458" i="15"/>
  <c r="I6546" i="15"/>
  <c r="J6546" i="15"/>
  <c r="I6598" i="15"/>
  <c r="J6598" i="15"/>
  <c r="I6622" i="15"/>
  <c r="J6622" i="15"/>
  <c r="I6634" i="15"/>
  <c r="J6634" i="15"/>
  <c r="I6644" i="15"/>
  <c r="J6644" i="15"/>
  <c r="I6654" i="15"/>
  <c r="J6654" i="15"/>
  <c r="D9" i="20"/>
  <c r="H7" i="16"/>
  <c r="E9" i="20" s="1"/>
  <c r="D14" i="20"/>
  <c r="H12" i="16"/>
  <c r="E14" i="20" s="1"/>
  <c r="D232" i="16"/>
  <c r="F33" i="20"/>
  <c r="I31" i="16"/>
  <c r="K31" i="16" s="1"/>
  <c r="L50" i="16"/>
  <c r="J6006" i="15"/>
  <c r="I6006" i="15"/>
  <c r="J6076" i="15"/>
  <c r="I6076" i="15"/>
  <c r="J6100" i="15"/>
  <c r="I6100" i="15"/>
  <c r="J6134" i="15"/>
  <c r="I6134" i="15"/>
  <c r="J6204" i="15"/>
  <c r="I6204" i="15"/>
  <c r="J6228" i="15"/>
  <c r="I6228" i="15"/>
  <c r="J6262" i="15"/>
  <c r="I6262" i="15"/>
  <c r="J6332" i="15"/>
  <c r="I6332" i="15"/>
  <c r="J6356" i="15"/>
  <c r="I6356" i="15"/>
  <c r="J6390" i="15"/>
  <c r="I6390" i="15"/>
  <c r="J6436" i="15"/>
  <c r="I6436" i="15"/>
  <c r="I6446" i="15"/>
  <c r="J6446" i="15"/>
  <c r="I6478" i="15"/>
  <c r="J6478" i="15"/>
  <c r="I6490" i="15"/>
  <c r="J6490" i="15"/>
  <c r="I6500" i="15"/>
  <c r="J6500" i="15"/>
  <c r="I6578" i="15"/>
  <c r="J6578" i="15"/>
  <c r="I6586" i="15"/>
  <c r="J6586" i="15"/>
  <c r="G39" i="16"/>
  <c r="L7" i="16"/>
  <c r="G89" i="16"/>
  <c r="G87" i="16"/>
  <c r="G58" i="16"/>
  <c r="G45" i="16"/>
  <c r="G32" i="16"/>
  <c r="G30" i="16"/>
  <c r="G17" i="16"/>
  <c r="G84" i="16"/>
  <c r="G47" i="16"/>
  <c r="G28" i="16"/>
  <c r="G16" i="16"/>
  <c r="G79" i="16"/>
  <c r="G25" i="16"/>
  <c r="G60" i="16"/>
  <c r="G23" i="16"/>
  <c r="G14" i="16"/>
  <c r="G40" i="16"/>
  <c r="G11" i="16"/>
  <c r="D16" i="20"/>
  <c r="H14" i="16"/>
  <c r="E16" i="20" s="1"/>
  <c r="J4205" i="15"/>
  <c r="J4221" i="15"/>
  <c r="J4237" i="15"/>
  <c r="J4253" i="15"/>
  <c r="J4269" i="15"/>
  <c r="J4285" i="15"/>
  <c r="J4301" i="15"/>
  <c r="J4317" i="15"/>
  <c r="J4331" i="15"/>
  <c r="J4348" i="15"/>
  <c r="J4365" i="15"/>
  <c r="J4377" i="15"/>
  <c r="I4382" i="15"/>
  <c r="J4399" i="15"/>
  <c r="I4421" i="15"/>
  <c r="J4421" i="15"/>
  <c r="J4423" i="15"/>
  <c r="J4435" i="15"/>
  <c r="J4459" i="15"/>
  <c r="J4476" i="15"/>
  <c r="J4493" i="15"/>
  <c r="I4501" i="15"/>
  <c r="J4501" i="15"/>
  <c r="J4508" i="15"/>
  <c r="J4551" i="15"/>
  <c r="I4559" i="15"/>
  <c r="J4559" i="15"/>
  <c r="J4566" i="15"/>
  <c r="J4601" i="15"/>
  <c r="I4606" i="15"/>
  <c r="J4611" i="15"/>
  <c r="J4621" i="15"/>
  <c r="I4629" i="15"/>
  <c r="J4629" i="15"/>
  <c r="J4636" i="15"/>
  <c r="J4679" i="15"/>
  <c r="I4687" i="15"/>
  <c r="J4687" i="15"/>
  <c r="J4694" i="15"/>
  <c r="J4729" i="15"/>
  <c r="I4734" i="15"/>
  <c r="J4739" i="15"/>
  <c r="J4749" i="15"/>
  <c r="I4757" i="15"/>
  <c r="J4757" i="15"/>
  <c r="J4764" i="15"/>
  <c r="J4807" i="15"/>
  <c r="I4815" i="15"/>
  <c r="J4815" i="15"/>
  <c r="J4822" i="15"/>
  <c r="J4857" i="15"/>
  <c r="I4862" i="15"/>
  <c r="J4867" i="15"/>
  <c r="J4877" i="15"/>
  <c r="J6028" i="15"/>
  <c r="I6028" i="15"/>
  <c r="J6052" i="15"/>
  <c r="I6052" i="15"/>
  <c r="J6086" i="15"/>
  <c r="I6086" i="15"/>
  <c r="J6156" i="15"/>
  <c r="I6156" i="15"/>
  <c r="J6180" i="15"/>
  <c r="I6180" i="15"/>
  <c r="J6214" i="15"/>
  <c r="I6214" i="15"/>
  <c r="J6284" i="15"/>
  <c r="I6284" i="15"/>
  <c r="J6308" i="15"/>
  <c r="I6308" i="15"/>
  <c r="J6342" i="15"/>
  <c r="I6342" i="15"/>
  <c r="J6412" i="15"/>
  <c r="I6412" i="15"/>
  <c r="I6532" i="15"/>
  <c r="J6532" i="15"/>
  <c r="I6564" i="15"/>
  <c r="J6564" i="15"/>
  <c r="F204" i="16"/>
  <c r="H206" i="20" s="1"/>
  <c r="F196" i="16"/>
  <c r="H198" i="20" s="1"/>
  <c r="F188" i="16"/>
  <c r="H190" i="20" s="1"/>
  <c r="F180" i="16"/>
  <c r="H182" i="20" s="1"/>
  <c r="F172" i="16"/>
  <c r="H174" i="20" s="1"/>
  <c r="F164" i="16"/>
  <c r="H166" i="20" s="1"/>
  <c r="F156" i="16"/>
  <c r="H158" i="20" s="1"/>
  <c r="F148" i="16"/>
  <c r="H150" i="20" s="1"/>
  <c r="F140" i="16"/>
  <c r="H142" i="20" s="1"/>
  <c r="F132" i="16"/>
  <c r="H134" i="20" s="1"/>
  <c r="D8" i="20"/>
  <c r="F205" i="16"/>
  <c r="H207" i="20" s="1"/>
  <c r="F197" i="16"/>
  <c r="H199" i="20" s="1"/>
  <c r="F189" i="16"/>
  <c r="H191" i="20" s="1"/>
  <c r="F181" i="16"/>
  <c r="H183" i="20" s="1"/>
  <c r="F173" i="16"/>
  <c r="H175" i="20" s="1"/>
  <c r="F165" i="16"/>
  <c r="H167" i="20" s="1"/>
  <c r="F157" i="16"/>
  <c r="H159" i="20" s="1"/>
  <c r="F149" i="16"/>
  <c r="H151" i="20" s="1"/>
  <c r="F141" i="16"/>
  <c r="H143" i="20" s="1"/>
  <c r="F133" i="16"/>
  <c r="H135" i="20" s="1"/>
  <c r="F125" i="16"/>
  <c r="H127" i="20" s="1"/>
  <c r="A5" i="20"/>
  <c r="F203" i="16"/>
  <c r="H205" i="20" s="1"/>
  <c r="F195" i="16"/>
  <c r="H197" i="20" s="1"/>
  <c r="F187" i="16"/>
  <c r="H189" i="20" s="1"/>
  <c r="F198" i="16"/>
  <c r="H200" i="20" s="1"/>
  <c r="F182" i="16"/>
  <c r="H184" i="20" s="1"/>
  <c r="F179" i="16"/>
  <c r="H181" i="20" s="1"/>
  <c r="F171" i="16"/>
  <c r="H173" i="20" s="1"/>
  <c r="F163" i="16"/>
  <c r="H165" i="20" s="1"/>
  <c r="F155" i="16"/>
  <c r="H157" i="20" s="1"/>
  <c r="F147" i="16"/>
  <c r="H149" i="20" s="1"/>
  <c r="F139" i="16"/>
  <c r="H141" i="20" s="1"/>
  <c r="F131" i="16"/>
  <c r="H133" i="20" s="1"/>
  <c r="F126" i="16"/>
  <c r="H128" i="20" s="1"/>
  <c r="F116" i="16"/>
  <c r="H118" i="20" s="1"/>
  <c r="F108" i="16"/>
  <c r="H110" i="20" s="1"/>
  <c r="F100" i="16"/>
  <c r="H102" i="20" s="1"/>
  <c r="F92" i="16"/>
  <c r="H94" i="20" s="1"/>
  <c r="F84" i="16"/>
  <c r="H86" i="20" s="1"/>
  <c r="F76" i="16"/>
  <c r="H78" i="20" s="1"/>
  <c r="F68" i="16"/>
  <c r="H70" i="20" s="1"/>
  <c r="F60" i="16"/>
  <c r="H62" i="20" s="1"/>
  <c r="H6" i="16"/>
  <c r="E8" i="20" s="1"/>
  <c r="F191" i="16"/>
  <c r="H193" i="20" s="1"/>
  <c r="F127" i="16"/>
  <c r="H129" i="20" s="1"/>
  <c r="F124" i="16"/>
  <c r="H126" i="20" s="1"/>
  <c r="F119" i="16"/>
  <c r="H121" i="20" s="1"/>
  <c r="F111" i="16"/>
  <c r="H113" i="20" s="1"/>
  <c r="F103" i="16"/>
  <c r="H105" i="20" s="1"/>
  <c r="F95" i="16"/>
  <c r="H97" i="20" s="1"/>
  <c r="F87" i="16"/>
  <c r="H89" i="20" s="1"/>
  <c r="F190" i="16"/>
  <c r="H192" i="20" s="1"/>
  <c r="F174" i="16"/>
  <c r="H176" i="20" s="1"/>
  <c r="F166" i="16"/>
  <c r="H168" i="20" s="1"/>
  <c r="F158" i="16"/>
  <c r="H160" i="20" s="1"/>
  <c r="F150" i="16"/>
  <c r="H152" i="20" s="1"/>
  <c r="F142" i="16"/>
  <c r="H144" i="20" s="1"/>
  <c r="F200" i="16"/>
  <c r="H202" i="20" s="1"/>
  <c r="F184" i="16"/>
  <c r="H186" i="20" s="1"/>
  <c r="F178" i="16"/>
  <c r="H180" i="20" s="1"/>
  <c r="F170" i="16"/>
  <c r="H172" i="20" s="1"/>
  <c r="F162" i="16"/>
  <c r="H164" i="20" s="1"/>
  <c r="F185" i="16"/>
  <c r="H187" i="20" s="1"/>
  <c r="F167" i="16"/>
  <c r="H169" i="20" s="1"/>
  <c r="F161" i="16"/>
  <c r="H163" i="20" s="1"/>
  <c r="F160" i="16"/>
  <c r="H162" i="20" s="1"/>
  <c r="F154" i="16"/>
  <c r="H156" i="20" s="1"/>
  <c r="F79" i="16"/>
  <c r="H81" i="20" s="1"/>
  <c r="F63" i="16"/>
  <c r="H65" i="20" s="1"/>
  <c r="F177" i="16"/>
  <c r="H179" i="20" s="1"/>
  <c r="F175" i="16"/>
  <c r="H177" i="20" s="1"/>
  <c r="F169" i="16"/>
  <c r="H171" i="20" s="1"/>
  <c r="F168" i="16"/>
  <c r="H170" i="20" s="1"/>
  <c r="F153" i="16"/>
  <c r="H155" i="20" s="1"/>
  <c r="F137" i="16"/>
  <c r="H139" i="20" s="1"/>
  <c r="F118" i="16"/>
  <c r="H120" i="20" s="1"/>
  <c r="F110" i="16"/>
  <c r="H112" i="20" s="1"/>
  <c r="F102" i="16"/>
  <c r="H104" i="20" s="1"/>
  <c r="F94" i="16"/>
  <c r="H96" i="20" s="1"/>
  <c r="F86" i="16"/>
  <c r="H88" i="20" s="1"/>
  <c r="F83" i="16"/>
  <c r="H85" i="20" s="1"/>
  <c r="F73" i="16"/>
  <c r="H75" i="20" s="1"/>
  <c r="F70" i="16"/>
  <c r="H72" i="20" s="1"/>
  <c r="F67" i="16"/>
  <c r="H69" i="20" s="1"/>
  <c r="F57" i="16"/>
  <c r="H59" i="20" s="1"/>
  <c r="F54" i="16"/>
  <c r="H56" i="20" s="1"/>
  <c r="F50" i="16"/>
  <c r="H52" i="20" s="1"/>
  <c r="F46" i="16"/>
  <c r="H48" i="20" s="1"/>
  <c r="F42" i="16"/>
  <c r="H44" i="20" s="1"/>
  <c r="F38" i="16"/>
  <c r="H40" i="20" s="1"/>
  <c r="F34" i="16"/>
  <c r="H36" i="20" s="1"/>
  <c r="F30" i="16"/>
  <c r="H32" i="20" s="1"/>
  <c r="F26" i="16"/>
  <c r="H28" i="20" s="1"/>
  <c r="F22" i="16"/>
  <c r="H24" i="20" s="1"/>
  <c r="F18" i="16"/>
  <c r="H20" i="20" s="1"/>
  <c r="F14" i="16"/>
  <c r="H16" i="20" s="1"/>
  <c r="F10" i="16"/>
  <c r="H12" i="20" s="1"/>
  <c r="F6" i="16"/>
  <c r="F193" i="16"/>
  <c r="H195" i="20" s="1"/>
  <c r="F152" i="16"/>
  <c r="H154" i="20" s="1"/>
  <c r="F151" i="16"/>
  <c r="H153" i="20" s="1"/>
  <c r="F136" i="16"/>
  <c r="H138" i="20" s="1"/>
  <c r="F71" i="16"/>
  <c r="H73" i="20" s="1"/>
  <c r="F202" i="16"/>
  <c r="H204" i="20" s="1"/>
  <c r="F199" i="16"/>
  <c r="H201" i="20" s="1"/>
  <c r="F192" i="16"/>
  <c r="H194" i="20" s="1"/>
  <c r="F183" i="16"/>
  <c r="H185" i="20" s="1"/>
  <c r="F128" i="16"/>
  <c r="H130" i="20" s="1"/>
  <c r="F146" i="16"/>
  <c r="H148" i="20" s="1"/>
  <c r="F145" i="16"/>
  <c r="H147" i="20" s="1"/>
  <c r="F143" i="16"/>
  <c r="H145" i="20" s="1"/>
  <c r="F134" i="16"/>
  <c r="H136" i="20" s="1"/>
  <c r="F114" i="16"/>
  <c r="H116" i="20" s="1"/>
  <c r="F97" i="16"/>
  <c r="H99" i="20" s="1"/>
  <c r="F78" i="16"/>
  <c r="H80" i="20" s="1"/>
  <c r="F77" i="16"/>
  <c r="H79" i="20" s="1"/>
  <c r="F49" i="16"/>
  <c r="H51" i="20" s="1"/>
  <c r="F47" i="16"/>
  <c r="H49" i="20" s="1"/>
  <c r="F40" i="16"/>
  <c r="H42" i="20" s="1"/>
  <c r="F33" i="16"/>
  <c r="H35" i="20" s="1"/>
  <c r="F17" i="16"/>
  <c r="H19" i="20" s="1"/>
  <c r="F194" i="16"/>
  <c r="H196" i="20" s="1"/>
  <c r="D224" i="16"/>
  <c r="F123" i="16"/>
  <c r="H125" i="20" s="1"/>
  <c r="F105" i="16"/>
  <c r="H107" i="20" s="1"/>
  <c r="F201" i="16"/>
  <c r="H203" i="20" s="1"/>
  <c r="F122" i="16"/>
  <c r="H124" i="20" s="1"/>
  <c r="F120" i="16"/>
  <c r="H122" i="20" s="1"/>
  <c r="F107" i="16"/>
  <c r="H109" i="20" s="1"/>
  <c r="F106" i="16"/>
  <c r="H108" i="20" s="1"/>
  <c r="F96" i="16"/>
  <c r="H98" i="20" s="1"/>
  <c r="F93" i="16"/>
  <c r="H95" i="20" s="1"/>
  <c r="F91" i="16"/>
  <c r="H93" i="20" s="1"/>
  <c r="F82" i="16"/>
  <c r="H84" i="20" s="1"/>
  <c r="F74" i="16"/>
  <c r="H76" i="20" s="1"/>
  <c r="F65" i="16"/>
  <c r="H67" i="20" s="1"/>
  <c r="F53" i="16"/>
  <c r="H55" i="20" s="1"/>
  <c r="F64" i="16"/>
  <c r="H66" i="20" s="1"/>
  <c r="F62" i="16"/>
  <c r="H64" i="20" s="1"/>
  <c r="F61" i="16"/>
  <c r="H63" i="20" s="1"/>
  <c r="F43" i="16"/>
  <c r="H45" i="20" s="1"/>
  <c r="F36" i="16"/>
  <c r="H38" i="20" s="1"/>
  <c r="F129" i="16"/>
  <c r="H131" i="20" s="1"/>
  <c r="F109" i="16"/>
  <c r="H111" i="20" s="1"/>
  <c r="F81" i="16"/>
  <c r="H83" i="20" s="1"/>
  <c r="F80" i="16"/>
  <c r="H82" i="20" s="1"/>
  <c r="F56" i="16"/>
  <c r="H58" i="20" s="1"/>
  <c r="F130" i="16"/>
  <c r="H132" i="20" s="1"/>
  <c r="F138" i="16"/>
  <c r="H140" i="20" s="1"/>
  <c r="F135" i="16"/>
  <c r="H137" i="20" s="1"/>
  <c r="F113" i="16"/>
  <c r="H115" i="20" s="1"/>
  <c r="F32" i="16"/>
  <c r="H34" i="20" s="1"/>
  <c r="F25" i="16"/>
  <c r="H27" i="20" s="1"/>
  <c r="F11" i="16"/>
  <c r="H13" i="20" s="1"/>
  <c r="F112" i="16"/>
  <c r="H114" i="20" s="1"/>
  <c r="F85" i="16"/>
  <c r="H87" i="20" s="1"/>
  <c r="F55" i="16"/>
  <c r="H57" i="20" s="1"/>
  <c r="F48" i="16"/>
  <c r="H50" i="20" s="1"/>
  <c r="F41" i="16"/>
  <c r="H43" i="20" s="1"/>
  <c r="F35" i="16"/>
  <c r="H37" i="20" s="1"/>
  <c r="F27" i="16"/>
  <c r="H29" i="20" s="1"/>
  <c r="F13" i="16"/>
  <c r="H15" i="20" s="1"/>
  <c r="D206" i="16"/>
  <c r="F144" i="16"/>
  <c r="H146" i="20" s="1"/>
  <c r="F117" i="16"/>
  <c r="H119" i="20" s="1"/>
  <c r="F115" i="16"/>
  <c r="H117" i="20" s="1"/>
  <c r="F99" i="16"/>
  <c r="H101" i="20" s="1"/>
  <c r="F186" i="16"/>
  <c r="H188" i="20" s="1"/>
  <c r="F176" i="16"/>
  <c r="H178" i="20" s="1"/>
  <c r="F159" i="16"/>
  <c r="H161" i="20" s="1"/>
  <c r="F121" i="16"/>
  <c r="H123" i="20" s="1"/>
  <c r="F104" i="16"/>
  <c r="H106" i="20" s="1"/>
  <c r="F101" i="16"/>
  <c r="H103" i="20" s="1"/>
  <c r="F98" i="16"/>
  <c r="H100" i="20" s="1"/>
  <c r="F90" i="16"/>
  <c r="H92" i="20" s="1"/>
  <c r="F89" i="16"/>
  <c r="H91" i="20" s="1"/>
  <c r="F88" i="16"/>
  <c r="H90" i="20" s="1"/>
  <c r="F75" i="16"/>
  <c r="H77" i="20" s="1"/>
  <c r="F20" i="16"/>
  <c r="H22" i="20" s="1"/>
  <c r="F19" i="16"/>
  <c r="H21" i="20" s="1"/>
  <c r="F9" i="16"/>
  <c r="H11" i="20" s="1"/>
  <c r="F58" i="16"/>
  <c r="H60" i="20" s="1"/>
  <c r="F45" i="16"/>
  <c r="H47" i="20" s="1"/>
  <c r="F44" i="16"/>
  <c r="H46" i="20" s="1"/>
  <c r="F8" i="16"/>
  <c r="H10" i="20" s="1"/>
  <c r="F7" i="16"/>
  <c r="H9" i="20" s="1"/>
  <c r="F72" i="16"/>
  <c r="H74" i="20" s="1"/>
  <c r="F66" i="16"/>
  <c r="H68" i="20" s="1"/>
  <c r="F29" i="16"/>
  <c r="H31" i="20" s="1"/>
  <c r="F69" i="16"/>
  <c r="H71" i="20" s="1"/>
  <c r="F59" i="16"/>
  <c r="H61" i="20" s="1"/>
  <c r="F28" i="16"/>
  <c r="H30" i="20" s="1"/>
  <c r="F16" i="16"/>
  <c r="H18" i="20" s="1"/>
  <c r="F37" i="16"/>
  <c r="H39" i="20" s="1"/>
  <c r="F24" i="16"/>
  <c r="H26" i="20" s="1"/>
  <c r="F15" i="16"/>
  <c r="H17" i="20" s="1"/>
  <c r="F39" i="16"/>
  <c r="H41" i="20" s="1"/>
  <c r="F23" i="16"/>
  <c r="H25" i="20" s="1"/>
  <c r="F12" i="16"/>
  <c r="H14" i="20" s="1"/>
  <c r="F14" i="20"/>
  <c r="I12" i="16"/>
  <c r="K12" i="16" s="1"/>
  <c r="F20" i="20"/>
  <c r="I18" i="16"/>
  <c r="K23" i="16"/>
  <c r="L23" i="16" s="1"/>
  <c r="F35" i="20"/>
  <c r="I33" i="16"/>
  <c r="K33" i="16" s="1"/>
  <c r="G53" i="16"/>
  <c r="D57" i="20"/>
  <c r="D226" i="16"/>
  <c r="H55" i="16"/>
  <c r="E57" i="20" s="1"/>
  <c r="D66" i="20"/>
  <c r="I64" i="16"/>
  <c r="M64" i="16" s="1"/>
  <c r="H64" i="16"/>
  <c r="E66" i="20" s="1"/>
  <c r="D237" i="16"/>
  <c r="I6628" i="15"/>
  <c r="J6628" i="15"/>
  <c r="K42" i="16"/>
  <c r="L42" i="16" s="1"/>
  <c r="M42" i="16"/>
  <c r="I4405" i="15"/>
  <c r="J4405" i="15"/>
  <c r="I4517" i="15"/>
  <c r="J4517" i="15"/>
  <c r="I4575" i="15"/>
  <c r="J4575" i="15"/>
  <c r="I4645" i="15"/>
  <c r="J4645" i="15"/>
  <c r="I4703" i="15"/>
  <c r="J4703" i="15"/>
  <c r="I4773" i="15"/>
  <c r="J4773" i="15"/>
  <c r="I4831" i="15"/>
  <c r="J4831" i="15"/>
  <c r="J6012" i="15"/>
  <c r="I6012" i="15"/>
  <c r="J6036" i="15"/>
  <c r="I6036" i="15"/>
  <c r="J6070" i="15"/>
  <c r="I6070" i="15"/>
  <c r="J6140" i="15"/>
  <c r="I6140" i="15"/>
  <c r="J6164" i="15"/>
  <c r="I6164" i="15"/>
  <c r="J6198" i="15"/>
  <c r="I6198" i="15"/>
  <c r="J6268" i="15"/>
  <c r="I6268" i="15"/>
  <c r="J6292" i="15"/>
  <c r="I6292" i="15"/>
  <c r="J6326" i="15"/>
  <c r="I6326" i="15"/>
  <c r="J6396" i="15"/>
  <c r="I6396" i="15"/>
  <c r="J6420" i="15"/>
  <c r="I6420" i="15"/>
  <c r="J6430" i="15"/>
  <c r="I6430" i="15"/>
  <c r="I6452" i="15"/>
  <c r="J6452" i="15"/>
  <c r="I6484" i="15"/>
  <c r="J6484" i="15"/>
  <c r="I6540" i="15"/>
  <c r="J6540" i="15"/>
  <c r="I6582" i="15"/>
  <c r="J6582" i="15"/>
  <c r="G10" i="16"/>
  <c r="D26" i="20"/>
  <c r="H24" i="16"/>
  <c r="E26" i="20" s="1"/>
  <c r="I24" i="16"/>
  <c r="M24" i="16" s="1"/>
  <c r="F44" i="20"/>
  <c r="I42" i="16"/>
  <c r="F51" i="16"/>
  <c r="H53" i="20" s="1"/>
  <c r="I57" i="16"/>
  <c r="K57" i="16" s="1"/>
  <c r="I4357" i="15"/>
  <c r="J4357" i="15"/>
  <c r="I4485" i="15"/>
  <c r="J4485" i="15"/>
  <c r="I4495" i="15"/>
  <c r="J4495" i="15"/>
  <c r="I4565" i="15"/>
  <c r="J4565" i="15"/>
  <c r="I4623" i="15"/>
  <c r="J4623" i="15"/>
  <c r="I4693" i="15"/>
  <c r="J4693" i="15"/>
  <c r="I4751" i="15"/>
  <c r="J4751" i="15"/>
  <c r="I4821" i="15"/>
  <c r="J4821" i="15"/>
  <c r="I4879" i="15"/>
  <c r="J4879" i="15"/>
  <c r="J5988" i="15"/>
  <c r="I5988" i="15"/>
  <c r="J6022" i="15"/>
  <c r="I6022" i="15"/>
  <c r="J6092" i="15"/>
  <c r="I6092" i="15"/>
  <c r="J6116" i="15"/>
  <c r="I6116" i="15"/>
  <c r="J6150" i="15"/>
  <c r="I6150" i="15"/>
  <c r="J6220" i="15"/>
  <c r="I6220" i="15"/>
  <c r="J6244" i="15"/>
  <c r="I6244" i="15"/>
  <c r="J6278" i="15"/>
  <c r="I6278" i="15"/>
  <c r="J6348" i="15"/>
  <c r="I6348" i="15"/>
  <c r="J6372" i="15"/>
  <c r="I6372" i="15"/>
  <c r="J6406" i="15"/>
  <c r="I6406" i="15"/>
  <c r="I6504" i="15"/>
  <c r="J6504" i="15"/>
  <c r="I6526" i="15"/>
  <c r="J6526" i="15"/>
  <c r="I6558" i="15"/>
  <c r="J6558" i="15"/>
  <c r="I6570" i="15"/>
  <c r="J6570" i="15"/>
  <c r="G9" i="16"/>
  <c r="K22" i="16"/>
  <c r="O22" i="16" s="1"/>
  <c r="G24" i="20" s="1"/>
  <c r="K39" i="16"/>
  <c r="O39" i="16" s="1"/>
  <c r="G41" i="20" s="1"/>
  <c r="G51" i="16"/>
  <c r="I6456" i="15"/>
  <c r="J6456" i="15"/>
  <c r="I229" i="16"/>
  <c r="K10" i="16"/>
  <c r="L10" i="16" s="1"/>
  <c r="K15" i="16"/>
  <c r="L15" i="16" s="1"/>
  <c r="L24" i="16"/>
  <c r="D28" i="20"/>
  <c r="H26" i="16"/>
  <c r="E28" i="20" s="1"/>
  <c r="O26" i="16"/>
  <c r="G28" i="20" s="1"/>
  <c r="D29" i="20"/>
  <c r="H27" i="16"/>
  <c r="E29" i="20" s="1"/>
  <c r="O41" i="16"/>
  <c r="G43" i="20" s="1"/>
  <c r="L41" i="16"/>
  <c r="D50" i="20"/>
  <c r="H48" i="16"/>
  <c r="E50" i="20" s="1"/>
  <c r="F52" i="20"/>
  <c r="I50" i="16"/>
  <c r="K50" i="16" s="1"/>
  <c r="F226" i="16"/>
  <c r="K55" i="16"/>
  <c r="O55" i="16" s="1"/>
  <c r="G57" i="20" s="1"/>
  <c r="M55" i="16"/>
  <c r="I6548" i="15"/>
  <c r="J6548" i="15"/>
  <c r="I6584" i="15"/>
  <c r="J6584" i="15"/>
  <c r="I6620" i="15"/>
  <c r="J6620" i="15"/>
  <c r="I6642" i="15"/>
  <c r="J6642" i="15"/>
  <c r="F13" i="20"/>
  <c r="I11" i="16"/>
  <c r="F15" i="20"/>
  <c r="I13" i="16"/>
  <c r="K13" i="16" s="1"/>
  <c r="D37" i="20"/>
  <c r="H35" i="16"/>
  <c r="E37" i="20" s="1"/>
  <c r="L36" i="16"/>
  <c r="M36" i="16"/>
  <c r="I38" i="16"/>
  <c r="L45" i="16"/>
  <c r="D65" i="20"/>
  <c r="D212" i="16"/>
  <c r="H63" i="16"/>
  <c r="E65" i="20" s="1"/>
  <c r="F69" i="20"/>
  <c r="I67" i="16"/>
  <c r="K67" i="16" s="1"/>
  <c r="L67" i="16" s="1"/>
  <c r="M70" i="16"/>
  <c r="K70" i="16"/>
  <c r="F76" i="20"/>
  <c r="I74" i="16"/>
  <c r="F16" i="20"/>
  <c r="I14" i="16"/>
  <c r="K14" i="16" s="1"/>
  <c r="O14" i="16" s="1"/>
  <c r="G16" i="20" s="1"/>
  <c r="F29" i="20"/>
  <c r="I27" i="16"/>
  <c r="K27" i="16" s="1"/>
  <c r="F236" i="16"/>
  <c r="I36" i="16"/>
  <c r="K36" i="16" s="1"/>
  <c r="I48" i="16"/>
  <c r="M48" i="16" s="1"/>
  <c r="M66" i="16"/>
  <c r="K81" i="16"/>
  <c r="O81" i="16" s="1"/>
  <c r="G83" i="20" s="1"/>
  <c r="L81" i="16"/>
  <c r="H81" i="16"/>
  <c r="E83" i="20" s="1"/>
  <c r="F227" i="16"/>
  <c r="K8" i="16"/>
  <c r="L8" i="16" s="1"/>
  <c r="D20" i="20"/>
  <c r="H18" i="16"/>
  <c r="E20" i="20" s="1"/>
  <c r="D233" i="16"/>
  <c r="D21" i="20"/>
  <c r="H19" i="16"/>
  <c r="E21" i="20" s="1"/>
  <c r="D221" i="16"/>
  <c r="D34" i="20"/>
  <c r="H32" i="16"/>
  <c r="E34" i="20" s="1"/>
  <c r="D220" i="16"/>
  <c r="M34" i="16"/>
  <c r="K34" i="16"/>
  <c r="L34" i="16" s="1"/>
  <c r="K44" i="16"/>
  <c r="O44" i="16" s="1"/>
  <c r="G46" i="20" s="1"/>
  <c r="D48" i="20"/>
  <c r="H46" i="16"/>
  <c r="E48" i="20" s="1"/>
  <c r="O46" i="16"/>
  <c r="G48" i="20" s="1"/>
  <c r="M54" i="16"/>
  <c r="L54" i="16"/>
  <c r="D70" i="20"/>
  <c r="H68" i="16"/>
  <c r="E70" i="20" s="1"/>
  <c r="I6516" i="15"/>
  <c r="J6516" i="15"/>
  <c r="I6556" i="15"/>
  <c r="J6556" i="15"/>
  <c r="I6580" i="15"/>
  <c r="J6580" i="15"/>
  <c r="I6648" i="15"/>
  <c r="J6648" i="15"/>
  <c r="F8" i="20"/>
  <c r="I6" i="16"/>
  <c r="M15" i="16"/>
  <c r="K20" i="16"/>
  <c r="M26" i="16"/>
  <c r="M27" i="16"/>
  <c r="F30" i="20"/>
  <c r="I28" i="16"/>
  <c r="M28" i="16" s="1"/>
  <c r="L49" i="16"/>
  <c r="D64" i="20"/>
  <c r="H62" i="16"/>
  <c r="E64" i="20" s="1"/>
  <c r="M65" i="16"/>
  <c r="D73" i="20"/>
  <c r="K76" i="16"/>
  <c r="I6542" i="15"/>
  <c r="J6542" i="15"/>
  <c r="I6636" i="15"/>
  <c r="J6636" i="15"/>
  <c r="F9" i="20"/>
  <c r="I7" i="16"/>
  <c r="K7" i="16" s="1"/>
  <c r="O7" i="16" s="1"/>
  <c r="G9" i="20" s="1"/>
  <c r="D12" i="20"/>
  <c r="H10" i="16"/>
  <c r="E12" i="20" s="1"/>
  <c r="D229" i="16"/>
  <c r="O10" i="16"/>
  <c r="G12" i="20" s="1"/>
  <c r="M21" i="16"/>
  <c r="K21" i="16"/>
  <c r="O21" i="16" s="1"/>
  <c r="G23" i="20" s="1"/>
  <c r="D24" i="20"/>
  <c r="H22" i="16"/>
  <c r="E24" i="20" s="1"/>
  <c r="K29" i="16"/>
  <c r="F48" i="20"/>
  <c r="I46" i="16"/>
  <c r="K51" i="16"/>
  <c r="L51" i="16" s="1"/>
  <c r="M78" i="16"/>
  <c r="M81" i="16"/>
  <c r="G74" i="16"/>
  <c r="G82" i="16"/>
  <c r="M83" i="16"/>
  <c r="D88" i="20"/>
  <c r="H86" i="16"/>
  <c r="E88" i="20" s="1"/>
  <c r="M87" i="16"/>
  <c r="L87" i="16"/>
  <c r="G91" i="16"/>
  <c r="I92" i="16"/>
  <c r="M92" i="16" s="1"/>
  <c r="G97" i="16"/>
  <c r="K100" i="16"/>
  <c r="O100" i="16" s="1"/>
  <c r="G102" i="20" s="1"/>
  <c r="M100" i="16"/>
  <c r="G103" i="16"/>
  <c r="G105" i="16"/>
  <c r="G107" i="16"/>
  <c r="G119" i="16"/>
  <c r="G136" i="16"/>
  <c r="F231" i="16"/>
  <c r="M144" i="16"/>
  <c r="L144" i="16"/>
  <c r="F164" i="20"/>
  <c r="I162" i="16"/>
  <c r="F169" i="20"/>
  <c r="I167" i="16"/>
  <c r="K167" i="16" s="1"/>
  <c r="O167" i="16" s="1"/>
  <c r="G169" i="20" s="1"/>
  <c r="F189" i="20"/>
  <c r="I187" i="16"/>
  <c r="K187" i="16" s="1"/>
  <c r="O187" i="16" s="1"/>
  <c r="G189" i="20" s="1"/>
  <c r="F92" i="20"/>
  <c r="I90" i="16"/>
  <c r="M90" i="16" s="1"/>
  <c r="F95" i="20"/>
  <c r="I93" i="16"/>
  <c r="K93" i="16" s="1"/>
  <c r="F99" i="20"/>
  <c r="I97" i="16"/>
  <c r="K97" i="16" s="1"/>
  <c r="F107" i="20"/>
  <c r="I105" i="16"/>
  <c r="M105" i="16" s="1"/>
  <c r="F108" i="20"/>
  <c r="I106" i="16"/>
  <c r="K106" i="16" s="1"/>
  <c r="F211" i="16"/>
  <c r="L114" i="16"/>
  <c r="K114" i="16"/>
  <c r="K116" i="16"/>
  <c r="O116" i="16" s="1"/>
  <c r="G118" i="20" s="1"/>
  <c r="M116" i="16"/>
  <c r="F121" i="20"/>
  <c r="I119" i="16"/>
  <c r="K119" i="16" s="1"/>
  <c r="O119" i="16" s="1"/>
  <c r="G121" i="20" s="1"/>
  <c r="F143" i="20"/>
  <c r="I141" i="16"/>
  <c r="D202" i="20"/>
  <c r="H200" i="16"/>
  <c r="E202" i="20" s="1"/>
  <c r="O200" i="16"/>
  <c r="G202" i="20" s="1"/>
  <c r="G205" i="16"/>
  <c r="G197" i="16"/>
  <c r="G189" i="16"/>
  <c r="G181" i="16"/>
  <c r="G173" i="16"/>
  <c r="G165" i="16"/>
  <c r="G157" i="16"/>
  <c r="G149" i="16"/>
  <c r="G141" i="16"/>
  <c r="G133" i="16"/>
  <c r="F224" i="16"/>
  <c r="G198" i="16"/>
  <c r="G190" i="16"/>
  <c r="G182" i="16"/>
  <c r="G174" i="16"/>
  <c r="G166" i="16"/>
  <c r="G158" i="16"/>
  <c r="G150" i="16"/>
  <c r="G142" i="16"/>
  <c r="G134" i="16"/>
  <c r="G126" i="16"/>
  <c r="G204" i="16"/>
  <c r="G196" i="16"/>
  <c r="G188" i="16"/>
  <c r="G180" i="16"/>
  <c r="G192" i="16"/>
  <c r="G175" i="16"/>
  <c r="G167" i="16"/>
  <c r="G159" i="16"/>
  <c r="G151" i="16"/>
  <c r="G143" i="16"/>
  <c r="G135" i="16"/>
  <c r="G123" i="16"/>
  <c r="G117" i="16"/>
  <c r="G109" i="16"/>
  <c r="G101" i="16"/>
  <c r="G93" i="16"/>
  <c r="G85" i="16"/>
  <c r="G77" i="16"/>
  <c r="G69" i="16"/>
  <c r="G61" i="16"/>
  <c r="G172" i="16"/>
  <c r="G164" i="16"/>
  <c r="G156" i="16"/>
  <c r="G148" i="16"/>
  <c r="G140" i="16"/>
  <c r="G132" i="16"/>
  <c r="G120" i="16"/>
  <c r="G112" i="16"/>
  <c r="G104" i="16"/>
  <c r="G96" i="16"/>
  <c r="G88" i="16"/>
  <c r="G200" i="16"/>
  <c r="G184" i="16"/>
  <c r="G178" i="16"/>
  <c r="G170" i="16"/>
  <c r="G162" i="16"/>
  <c r="G154" i="16"/>
  <c r="G146" i="16"/>
  <c r="E206" i="16"/>
  <c r="G202" i="16"/>
  <c r="G193" i="16"/>
  <c r="G186" i="16"/>
  <c r="G176" i="16"/>
  <c r="G168" i="16"/>
  <c r="G160" i="16"/>
  <c r="G179" i="16"/>
  <c r="G177" i="16"/>
  <c r="G169" i="16"/>
  <c r="G155" i="16"/>
  <c r="G153" i="16"/>
  <c r="G137" i="16"/>
  <c r="G118" i="16"/>
  <c r="G110" i="16"/>
  <c r="G102" i="16"/>
  <c r="G94" i="16"/>
  <c r="G86" i="16"/>
  <c r="G83" i="16"/>
  <c r="G73" i="16"/>
  <c r="G70" i="16"/>
  <c r="G67" i="16"/>
  <c r="G57" i="16"/>
  <c r="G54" i="16"/>
  <c r="G50" i="16"/>
  <c r="G46" i="16"/>
  <c r="G42" i="16"/>
  <c r="G38" i="16"/>
  <c r="G34" i="16"/>
  <c r="G201" i="16"/>
  <c r="G191" i="16"/>
  <c r="G163" i="16"/>
  <c r="G144" i="16"/>
  <c r="G128" i="16"/>
  <c r="G125" i="16"/>
  <c r="G116" i="16"/>
  <c r="G114" i="16"/>
  <c r="G108" i="16"/>
  <c r="G106" i="16"/>
  <c r="G100" i="16"/>
  <c r="G98" i="16"/>
  <c r="G92" i="16"/>
  <c r="G90" i="16"/>
  <c r="G187" i="16"/>
  <c r="G183" i="16"/>
  <c r="G139" i="16"/>
  <c r="G130" i="16"/>
  <c r="G81" i="16"/>
  <c r="G78" i="16"/>
  <c r="G75" i="16"/>
  <c r="G65" i="16"/>
  <c r="G62" i="16"/>
  <c r="G185" i="16"/>
  <c r="G152" i="16"/>
  <c r="G145" i="16"/>
  <c r="G131" i="16"/>
  <c r="G127" i="16"/>
  <c r="G113" i="16"/>
  <c r="G68" i="16"/>
  <c r="G63" i="16"/>
  <c r="G59" i="16"/>
  <c r="G56" i="16"/>
  <c r="G31" i="16"/>
  <c r="G24" i="16"/>
  <c r="G15" i="16"/>
  <c r="G8" i="16"/>
  <c r="G195" i="16"/>
  <c r="G199" i="16"/>
  <c r="G129" i="16"/>
  <c r="G124" i="16"/>
  <c r="G122" i="16"/>
  <c r="G121" i="16"/>
  <c r="I8" i="16"/>
  <c r="F210" i="16"/>
  <c r="K11" i="16"/>
  <c r="L11" i="16" s="1"/>
  <c r="F17" i="20"/>
  <c r="I15" i="16"/>
  <c r="D18" i="20"/>
  <c r="H16" i="16"/>
  <c r="E18" i="20" s="1"/>
  <c r="O16" i="16"/>
  <c r="G18" i="20" s="1"/>
  <c r="G20" i="16"/>
  <c r="G22" i="16"/>
  <c r="M25" i="16"/>
  <c r="K25" i="16"/>
  <c r="G29" i="16"/>
  <c r="F220" i="16"/>
  <c r="K32" i="16"/>
  <c r="M32" i="16"/>
  <c r="G37" i="16"/>
  <c r="G44" i="16"/>
  <c r="F60" i="20"/>
  <c r="I58" i="16"/>
  <c r="M58" i="16" s="1"/>
  <c r="G66" i="16"/>
  <c r="M67" i="16"/>
  <c r="D72" i="20"/>
  <c r="H70" i="16"/>
  <c r="E72" i="20" s="1"/>
  <c r="O70" i="16"/>
  <c r="G72" i="20" s="1"/>
  <c r="K71" i="16"/>
  <c r="O71" i="16" s="1"/>
  <c r="G73" i="20" s="1"/>
  <c r="G76" i="16"/>
  <c r="D80" i="20"/>
  <c r="H78" i="16"/>
  <c r="E80" i="20" s="1"/>
  <c r="D216" i="16"/>
  <c r="D81" i="20"/>
  <c r="F84" i="20"/>
  <c r="I82" i="16"/>
  <c r="K82" i="16" s="1"/>
  <c r="F89" i="20"/>
  <c r="I87" i="16"/>
  <c r="K87" i="16" s="1"/>
  <c r="F91" i="20"/>
  <c r="I89" i="16"/>
  <c r="F100" i="20"/>
  <c r="I98" i="16"/>
  <c r="K98" i="16" s="1"/>
  <c r="G99" i="16"/>
  <c r="M111" i="16"/>
  <c r="K113" i="16"/>
  <c r="O113" i="16" s="1"/>
  <c r="G115" i="20" s="1"/>
  <c r="M113" i="16"/>
  <c r="G115" i="16"/>
  <c r="D126" i="20"/>
  <c r="F128" i="20"/>
  <c r="I126" i="16"/>
  <c r="M126" i="16" s="1"/>
  <c r="M135" i="16"/>
  <c r="M143" i="16"/>
  <c r="D150" i="20"/>
  <c r="H148" i="16"/>
  <c r="E150" i="20" s="1"/>
  <c r="I148" i="16"/>
  <c r="K148" i="16" s="1"/>
  <c r="O148" i="16"/>
  <c r="G150" i="20" s="1"/>
  <c r="M161" i="16"/>
  <c r="D192" i="20"/>
  <c r="H190" i="16"/>
  <c r="E192" i="20" s="1"/>
  <c r="I6660" i="15"/>
  <c r="J6660" i="15"/>
  <c r="G6" i="16"/>
  <c r="F225" i="16"/>
  <c r="M9" i="16"/>
  <c r="K9" i="16"/>
  <c r="G13" i="16"/>
  <c r="K16" i="16"/>
  <c r="L16" i="16" s="1"/>
  <c r="M16" i="16"/>
  <c r="G18" i="16"/>
  <c r="F24" i="20"/>
  <c r="I22" i="16"/>
  <c r="M22" i="16" s="1"/>
  <c r="D25" i="20"/>
  <c r="H23" i="16"/>
  <c r="E25" i="20" s="1"/>
  <c r="G27" i="16"/>
  <c r="D30" i="20"/>
  <c r="H28" i="16"/>
  <c r="E30" i="20" s="1"/>
  <c r="F31" i="20"/>
  <c r="I29" i="16"/>
  <c r="I236" i="16" s="1"/>
  <c r="D32" i="20"/>
  <c r="H30" i="16"/>
  <c r="E32" i="20" s="1"/>
  <c r="O30" i="16"/>
  <c r="G32" i="20" s="1"/>
  <c r="G35" i="16"/>
  <c r="F39" i="20"/>
  <c r="I37" i="16"/>
  <c r="M37" i="16" s="1"/>
  <c r="D41" i="20"/>
  <c r="H39" i="16"/>
  <c r="E41" i="20" s="1"/>
  <c r="G41" i="16"/>
  <c r="D44" i="20"/>
  <c r="H42" i="16"/>
  <c r="E44" i="20" s="1"/>
  <c r="O42" i="16"/>
  <c r="G44" i="20" s="1"/>
  <c r="F46" i="20"/>
  <c r="I44" i="16"/>
  <c r="M44" i="16" s="1"/>
  <c r="M45" i="16"/>
  <c r="G48" i="16"/>
  <c r="L52" i="16"/>
  <c r="K52" i="16"/>
  <c r="G55" i="16"/>
  <c r="I59" i="16"/>
  <c r="K59" i="16" s="1"/>
  <c r="L59" i="16" s="1"/>
  <c r="M60" i="16"/>
  <c r="F234" i="16"/>
  <c r="L70" i="16"/>
  <c r="G71" i="16"/>
  <c r="F216" i="16"/>
  <c r="K78" i="16"/>
  <c r="O78" i="16" s="1"/>
  <c r="G80" i="20" s="1"/>
  <c r="H85" i="16"/>
  <c r="E87" i="20" s="1"/>
  <c r="L96" i="16"/>
  <c r="D112" i="20"/>
  <c r="H110" i="16"/>
  <c r="E112" i="20" s="1"/>
  <c r="G111" i="16"/>
  <c r="F116" i="20"/>
  <c r="I114" i="16"/>
  <c r="F153" i="20"/>
  <c r="I151" i="16"/>
  <c r="K151" i="16" s="1"/>
  <c r="O151" i="16" s="1"/>
  <c r="G153" i="20" s="1"/>
  <c r="J230" i="16"/>
  <c r="H168" i="16"/>
  <c r="E170" i="20" s="1"/>
  <c r="G171" i="16"/>
  <c r="M198" i="16"/>
  <c r="L198" i="16"/>
  <c r="K198" i="16"/>
  <c r="F87" i="20"/>
  <c r="I85" i="16"/>
  <c r="M85" i="16" s="1"/>
  <c r="O107" i="16"/>
  <c r="G109" i="20" s="1"/>
  <c r="L109" i="16"/>
  <c r="M109" i="16"/>
  <c r="K109" i="16"/>
  <c r="M110" i="16"/>
  <c r="F113" i="20"/>
  <c r="I111" i="16"/>
  <c r="K111" i="16" s="1"/>
  <c r="F115" i="20"/>
  <c r="I113" i="16"/>
  <c r="M114" i="16"/>
  <c r="H124" i="16"/>
  <c r="E126" i="20" s="1"/>
  <c r="G138" i="16"/>
  <c r="L143" i="16"/>
  <c r="K144" i="16"/>
  <c r="G147" i="16"/>
  <c r="D152" i="20"/>
  <c r="H150" i="16"/>
  <c r="E152" i="20" s="1"/>
  <c r="O150" i="16"/>
  <c r="G152" i="20" s="1"/>
  <c r="F160" i="20"/>
  <c r="I158" i="16"/>
  <c r="G203" i="16"/>
  <c r="F233" i="16"/>
  <c r="G49" i="16"/>
  <c r="D52" i="20"/>
  <c r="H50" i="16"/>
  <c r="E52" i="20" s="1"/>
  <c r="O50" i="16"/>
  <c r="G52" i="20" s="1"/>
  <c r="G52" i="16"/>
  <c r="D59" i="20"/>
  <c r="O57" i="16"/>
  <c r="G59" i="20" s="1"/>
  <c r="G72" i="16"/>
  <c r="D75" i="20"/>
  <c r="H73" i="16"/>
  <c r="E75" i="20" s="1"/>
  <c r="F79" i="20"/>
  <c r="I77" i="16"/>
  <c r="M77" i="16" s="1"/>
  <c r="H79" i="16"/>
  <c r="E81" i="20" s="1"/>
  <c r="D96" i="20"/>
  <c r="H94" i="16"/>
  <c r="E96" i="20" s="1"/>
  <c r="D97" i="20"/>
  <c r="H95" i="16"/>
  <c r="E97" i="20" s="1"/>
  <c r="D110" i="20"/>
  <c r="H108" i="16"/>
  <c r="E110" i="20" s="1"/>
  <c r="I110" i="16"/>
  <c r="K110" i="16" s="1"/>
  <c r="L123" i="16"/>
  <c r="M123" i="16"/>
  <c r="D129" i="20"/>
  <c r="H127" i="16"/>
  <c r="E129" i="20" s="1"/>
  <c r="O127" i="16"/>
  <c r="G129" i="20" s="1"/>
  <c r="I127" i="16"/>
  <c r="K127" i="16" s="1"/>
  <c r="F132" i="20"/>
  <c r="I130" i="16"/>
  <c r="M142" i="16"/>
  <c r="K168" i="16"/>
  <c r="O168" i="16" s="1"/>
  <c r="G170" i="20" s="1"/>
  <c r="L170" i="16"/>
  <c r="M170" i="16"/>
  <c r="D33" i="20"/>
  <c r="H31" i="16"/>
  <c r="E33" i="20" s="1"/>
  <c r="O31" i="16"/>
  <c r="G33" i="20" s="1"/>
  <c r="M33" i="16"/>
  <c r="D42" i="20"/>
  <c r="H40" i="16"/>
  <c r="E42" i="20" s="1"/>
  <c r="K46" i="16"/>
  <c r="D49" i="20"/>
  <c r="H47" i="16"/>
  <c r="E49" i="20" s="1"/>
  <c r="O47" i="16"/>
  <c r="G49" i="20" s="1"/>
  <c r="M50" i="16"/>
  <c r="D53" i="20"/>
  <c r="H51" i="16"/>
  <c r="E53" i="20" s="1"/>
  <c r="M53" i="16"/>
  <c r="K65" i="16"/>
  <c r="O65" i="16" s="1"/>
  <c r="G67" i="20" s="1"/>
  <c r="F213" i="16"/>
  <c r="F71" i="20"/>
  <c r="I69" i="16"/>
  <c r="M69" i="16" s="1"/>
  <c r="L71" i="16"/>
  <c r="F217" i="16"/>
  <c r="F81" i="20"/>
  <c r="I79" i="16"/>
  <c r="G80" i="16"/>
  <c r="D94" i="20"/>
  <c r="H92" i="16"/>
  <c r="E94" i="20" s="1"/>
  <c r="L93" i="16"/>
  <c r="M93" i="16"/>
  <c r="M107" i="16"/>
  <c r="K108" i="16"/>
  <c r="O108" i="16" s="1"/>
  <c r="G110" i="20" s="1"/>
  <c r="M108" i="16"/>
  <c r="K112" i="16"/>
  <c r="D121" i="20"/>
  <c r="H119" i="16"/>
  <c r="E121" i="20" s="1"/>
  <c r="F215" i="16"/>
  <c r="K134" i="16"/>
  <c r="O134" i="16" s="1"/>
  <c r="G136" i="20" s="1"/>
  <c r="F140" i="20"/>
  <c r="I138" i="16"/>
  <c r="K146" i="16"/>
  <c r="O146" i="16" s="1"/>
  <c r="G148" i="20" s="1"/>
  <c r="M146" i="16"/>
  <c r="H146" i="16"/>
  <c r="E148" i="20" s="1"/>
  <c r="F152" i="20"/>
  <c r="I150" i="16"/>
  <c r="K150" i="16" s="1"/>
  <c r="L168" i="16"/>
  <c r="M182" i="16"/>
  <c r="K182" i="16"/>
  <c r="L182" i="16" s="1"/>
  <c r="I6468" i="15"/>
  <c r="J6468" i="15"/>
  <c r="I6596" i="15"/>
  <c r="J6596" i="15"/>
  <c r="M6" i="16"/>
  <c r="G7" i="16"/>
  <c r="D10" i="20"/>
  <c r="D227" i="16"/>
  <c r="H8" i="16"/>
  <c r="E10" i="20" s="1"/>
  <c r="J229" i="16"/>
  <c r="L229" i="16"/>
  <c r="M11" i="16"/>
  <c r="G12" i="16"/>
  <c r="D17" i="20"/>
  <c r="H15" i="16"/>
  <c r="E17" i="20" s="1"/>
  <c r="F235" i="16"/>
  <c r="M17" i="16"/>
  <c r="M18" i="16"/>
  <c r="G19" i="16"/>
  <c r="D22" i="20"/>
  <c r="H20" i="16"/>
  <c r="E22" i="20" s="1"/>
  <c r="G21" i="16"/>
  <c r="F25" i="20"/>
  <c r="I23" i="16"/>
  <c r="M23" i="16" s="1"/>
  <c r="K24" i="16"/>
  <c r="O24" i="16" s="1"/>
  <c r="G26" i="20" s="1"/>
  <c r="L25" i="16"/>
  <c r="G26" i="16"/>
  <c r="L32" i="16"/>
  <c r="G33" i="16"/>
  <c r="D36" i="20"/>
  <c r="H34" i="16"/>
  <c r="E36" i="20" s="1"/>
  <c r="G36" i="16"/>
  <c r="K40" i="16"/>
  <c r="O40" i="16" s="1"/>
  <c r="G42" i="20" s="1"/>
  <c r="G43" i="16"/>
  <c r="D46" i="20"/>
  <c r="H44" i="16"/>
  <c r="E46" i="20" s="1"/>
  <c r="H57" i="16"/>
  <c r="E59" i="20" s="1"/>
  <c r="H58" i="16"/>
  <c r="E60" i="20" s="1"/>
  <c r="K58" i="16"/>
  <c r="O58" i="16" s="1"/>
  <c r="G60" i="20" s="1"/>
  <c r="F64" i="20"/>
  <c r="I62" i="16"/>
  <c r="M62" i="16" s="1"/>
  <c r="F65" i="20"/>
  <c r="I63" i="16"/>
  <c r="G64" i="16"/>
  <c r="M71" i="16"/>
  <c r="I73" i="16"/>
  <c r="M73" i="16" s="1"/>
  <c r="M75" i="16"/>
  <c r="D85" i="20"/>
  <c r="O83" i="16"/>
  <c r="G85" i="20" s="1"/>
  <c r="H83" i="16"/>
  <c r="E85" i="20" s="1"/>
  <c r="D86" i="20"/>
  <c r="D89" i="20"/>
  <c r="H87" i="16"/>
  <c r="E89" i="20" s="1"/>
  <c r="M88" i="16"/>
  <c r="L88" i="16"/>
  <c r="K89" i="16"/>
  <c r="O89" i="16" s="1"/>
  <c r="G91" i="20" s="1"/>
  <c r="M89" i="16"/>
  <c r="L89" i="16"/>
  <c r="H90" i="16"/>
  <c r="E92" i="20" s="1"/>
  <c r="K90" i="16"/>
  <c r="O90" i="16" s="1"/>
  <c r="G92" i="20" s="1"/>
  <c r="G95" i="16"/>
  <c r="M97" i="16"/>
  <c r="D102" i="20"/>
  <c r="H100" i="16"/>
  <c r="E102" i="20" s="1"/>
  <c r="L101" i="16"/>
  <c r="M101" i="16"/>
  <c r="K101" i="16"/>
  <c r="H101" i="16"/>
  <c r="E103" i="20" s="1"/>
  <c r="M103" i="16"/>
  <c r="L103" i="16"/>
  <c r="H104" i="16"/>
  <c r="E106" i="20" s="1"/>
  <c r="M104" i="16"/>
  <c r="K105" i="16"/>
  <c r="I108" i="16"/>
  <c r="L112" i="16"/>
  <c r="D120" i="20"/>
  <c r="H118" i="16"/>
  <c r="E120" i="20" s="1"/>
  <c r="K121" i="16"/>
  <c r="M121" i="16"/>
  <c r="F125" i="20"/>
  <c r="I123" i="16"/>
  <c r="K123" i="16" s="1"/>
  <c r="O123" i="16" s="1"/>
  <c r="G125" i="20" s="1"/>
  <c r="K136" i="16"/>
  <c r="O136" i="16" s="1"/>
  <c r="G138" i="20" s="1"/>
  <c r="L136" i="16"/>
  <c r="D151" i="20"/>
  <c r="D223" i="16"/>
  <c r="I149" i="16"/>
  <c r="D175" i="20"/>
  <c r="O173" i="16"/>
  <c r="G175" i="20" s="1"/>
  <c r="H173" i="16"/>
  <c r="E175" i="20" s="1"/>
  <c r="I173" i="16"/>
  <c r="K173" i="16" s="1"/>
  <c r="M176" i="16"/>
  <c r="L176" i="16"/>
  <c r="I178" i="16"/>
  <c r="F184" i="20"/>
  <c r="I182" i="16"/>
  <c r="G194" i="16"/>
  <c r="M197" i="16"/>
  <c r="K197" i="16"/>
  <c r="L197" i="16" s="1"/>
  <c r="D217" i="16"/>
  <c r="D235" i="16"/>
  <c r="F105" i="20"/>
  <c r="I103" i="16"/>
  <c r="K103" i="16" s="1"/>
  <c r="D113" i="20"/>
  <c r="H111" i="16"/>
  <c r="E113" i="20" s="1"/>
  <c r="F127" i="20"/>
  <c r="I125" i="16"/>
  <c r="D139" i="20"/>
  <c r="H137" i="16"/>
  <c r="E139" i="20" s="1"/>
  <c r="D143" i="20"/>
  <c r="H141" i="16"/>
  <c r="E143" i="20" s="1"/>
  <c r="M151" i="16"/>
  <c r="L151" i="16"/>
  <c r="F188" i="20"/>
  <c r="I186" i="16"/>
  <c r="K186" i="16" s="1"/>
  <c r="K193" i="16"/>
  <c r="L193" i="16"/>
  <c r="M193" i="16"/>
  <c r="D200" i="20"/>
  <c r="H198" i="16"/>
  <c r="E200" i="20" s="1"/>
  <c r="O198" i="16"/>
  <c r="G200" i="20" s="1"/>
  <c r="F232" i="16"/>
  <c r="F221" i="16"/>
  <c r="D38" i="20"/>
  <c r="H36" i="16"/>
  <c r="E38" i="20" s="1"/>
  <c r="O36" i="16"/>
  <c r="G38" i="20" s="1"/>
  <c r="D40" i="20"/>
  <c r="H38" i="16"/>
  <c r="E40" i="20" s="1"/>
  <c r="D45" i="20"/>
  <c r="H43" i="16"/>
  <c r="E45" i="20" s="1"/>
  <c r="D54" i="20"/>
  <c r="H52" i="16"/>
  <c r="E54" i="20" s="1"/>
  <c r="O52" i="16"/>
  <c r="G54" i="20" s="1"/>
  <c r="D56" i="20"/>
  <c r="H54" i="16"/>
  <c r="E56" i="20" s="1"/>
  <c r="O54" i="16"/>
  <c r="G56" i="20" s="1"/>
  <c r="F63" i="20"/>
  <c r="I61" i="16"/>
  <c r="K61" i="16" s="1"/>
  <c r="L61" i="16" s="1"/>
  <c r="F68" i="20"/>
  <c r="I66" i="16"/>
  <c r="K66" i="16" s="1"/>
  <c r="O66" i="16" s="1"/>
  <c r="G68" i="20" s="1"/>
  <c r="O75" i="16"/>
  <c r="G77" i="20" s="1"/>
  <c r="D82" i="20"/>
  <c r="I80" i="16"/>
  <c r="K80" i="16" s="1"/>
  <c r="H80" i="16"/>
  <c r="E82" i="20" s="1"/>
  <c r="O80" i="16"/>
  <c r="G82" i="20" s="1"/>
  <c r="F97" i="20"/>
  <c r="I95" i="16"/>
  <c r="K95" i="16" s="1"/>
  <c r="O95" i="16" s="1"/>
  <c r="G97" i="20" s="1"/>
  <c r="D104" i="20"/>
  <c r="H102" i="16"/>
  <c r="E104" i="20" s="1"/>
  <c r="D105" i="20"/>
  <c r="H103" i="16"/>
  <c r="E105" i="20" s="1"/>
  <c r="M106" i="16"/>
  <c r="M115" i="16"/>
  <c r="D118" i="20"/>
  <c r="H116" i="16"/>
  <c r="E118" i="20" s="1"/>
  <c r="L117" i="16"/>
  <c r="M117" i="16"/>
  <c r="K117" i="16"/>
  <c r="H117" i="16"/>
  <c r="E119" i="20" s="1"/>
  <c r="M119" i="16"/>
  <c r="L119" i="16"/>
  <c r="H120" i="16"/>
  <c r="E122" i="20" s="1"/>
  <c r="M120" i="16"/>
  <c r="D124" i="20"/>
  <c r="I122" i="16"/>
  <c r="K122" i="16" s="1"/>
  <c r="H122" i="16"/>
  <c r="E124" i="20" s="1"/>
  <c r="O122" i="16"/>
  <c r="G124" i="20" s="1"/>
  <c r="M127" i="16"/>
  <c r="L127" i="16"/>
  <c r="D134" i="20"/>
  <c r="I132" i="16"/>
  <c r="K132" i="16" s="1"/>
  <c r="L132" i="16" s="1"/>
  <c r="H132" i="16"/>
  <c r="E134" i="20" s="1"/>
  <c r="O132" i="16"/>
  <c r="G134" i="20" s="1"/>
  <c r="D144" i="20"/>
  <c r="H142" i="16"/>
  <c r="E144" i="20" s="1"/>
  <c r="O142" i="16"/>
  <c r="G144" i="20" s="1"/>
  <c r="M152" i="16"/>
  <c r="D160" i="20"/>
  <c r="H158" i="16"/>
  <c r="E160" i="20" s="1"/>
  <c r="F161" i="20"/>
  <c r="I159" i="16"/>
  <c r="K159" i="16" s="1"/>
  <c r="F168" i="20"/>
  <c r="I166" i="16"/>
  <c r="D127" i="20"/>
  <c r="H125" i="16"/>
  <c r="E127" i="20" s="1"/>
  <c r="K130" i="16"/>
  <c r="O130" i="16" s="1"/>
  <c r="G132" i="20" s="1"/>
  <c r="M130" i="16"/>
  <c r="H130" i="16"/>
  <c r="E132" i="20" s="1"/>
  <c r="M132" i="16"/>
  <c r="F136" i="20"/>
  <c r="I134" i="16"/>
  <c r="K142" i="16"/>
  <c r="L142" i="16" s="1"/>
  <c r="F204" i="20"/>
  <c r="I202" i="16"/>
  <c r="I219" i="16" s="1"/>
  <c r="F176" i="20"/>
  <c r="I174" i="16"/>
  <c r="D185" i="20"/>
  <c r="H183" i="16"/>
  <c r="E185" i="20" s="1"/>
  <c r="K184" i="16"/>
  <c r="M184" i="16"/>
  <c r="D190" i="20"/>
  <c r="D228" i="16"/>
  <c r="C238" i="16"/>
  <c r="C23" i="18"/>
  <c r="C34" i="18" s="1"/>
  <c r="B34" i="18"/>
  <c r="D63" i="20"/>
  <c r="O61" i="16"/>
  <c r="G63" i="20" s="1"/>
  <c r="F237" i="16"/>
  <c r="D79" i="20"/>
  <c r="D90" i="20"/>
  <c r="O88" i="16"/>
  <c r="G90" i="20" s="1"/>
  <c r="H91" i="16"/>
  <c r="E93" i="20" s="1"/>
  <c r="D98" i="20"/>
  <c r="O96" i="16"/>
  <c r="G98" i="20" s="1"/>
  <c r="H99" i="16"/>
  <c r="E101" i="20" s="1"/>
  <c r="D106" i="20"/>
  <c r="O104" i="16"/>
  <c r="G106" i="20" s="1"/>
  <c r="H107" i="16"/>
  <c r="E109" i="20" s="1"/>
  <c r="D114" i="20"/>
  <c r="O112" i="16"/>
  <c r="G114" i="20" s="1"/>
  <c r="H115" i="16"/>
  <c r="E117" i="20" s="1"/>
  <c r="D122" i="20"/>
  <c r="O120" i="16"/>
  <c r="G122" i="20" s="1"/>
  <c r="M131" i="16"/>
  <c r="F137" i="20"/>
  <c r="I135" i="16"/>
  <c r="K135" i="16" s="1"/>
  <c r="D184" i="20"/>
  <c r="H182" i="16"/>
  <c r="E184" i="20" s="1"/>
  <c r="I188" i="16"/>
  <c r="M189" i="16"/>
  <c r="K192" i="16"/>
  <c r="O192" i="16" s="1"/>
  <c r="G194" i="20" s="1"/>
  <c r="F200" i="20"/>
  <c r="I198" i="16"/>
  <c r="F205" i="20"/>
  <c r="I203" i="16"/>
  <c r="K203" i="16" s="1"/>
  <c r="O203" i="16" s="1"/>
  <c r="G205" i="20" s="1"/>
  <c r="B20" i="18"/>
  <c r="D11" i="20"/>
  <c r="H9" i="16"/>
  <c r="E11" i="20" s="1"/>
  <c r="D15" i="20"/>
  <c r="H13" i="16"/>
  <c r="E15" i="20" s="1"/>
  <c r="D19" i="20"/>
  <c r="H17" i="16"/>
  <c r="E19" i="20" s="1"/>
  <c r="D23" i="20"/>
  <c r="H21" i="16"/>
  <c r="E23" i="20" s="1"/>
  <c r="D27" i="20"/>
  <c r="H25" i="16"/>
  <c r="E27" i="20" s="1"/>
  <c r="D31" i="20"/>
  <c r="D236" i="16"/>
  <c r="H29" i="16"/>
  <c r="E31" i="20" s="1"/>
  <c r="D35" i="20"/>
  <c r="H33" i="16"/>
  <c r="E35" i="20" s="1"/>
  <c r="I35" i="16"/>
  <c r="M35" i="16" s="1"/>
  <c r="D39" i="20"/>
  <c r="H37" i="16"/>
  <c r="E39" i="20" s="1"/>
  <c r="D213" i="16"/>
  <c r="I39" i="16"/>
  <c r="M39" i="16" s="1"/>
  <c r="D43" i="20"/>
  <c r="H41" i="16"/>
  <c r="E43" i="20" s="1"/>
  <c r="I43" i="16"/>
  <c r="K43" i="16" s="1"/>
  <c r="O43" i="16" s="1"/>
  <c r="G45" i="20" s="1"/>
  <c r="D47" i="20"/>
  <c r="H45" i="16"/>
  <c r="E47" i="20" s="1"/>
  <c r="I47" i="16"/>
  <c r="K47" i="16" s="1"/>
  <c r="D51" i="20"/>
  <c r="D222" i="16"/>
  <c r="H49" i="16"/>
  <c r="E51" i="20" s="1"/>
  <c r="I51" i="16"/>
  <c r="M51" i="16" s="1"/>
  <c r="D55" i="20"/>
  <c r="H53" i="16"/>
  <c r="E55" i="20" s="1"/>
  <c r="F57" i="20"/>
  <c r="I55" i="16"/>
  <c r="L56" i="16"/>
  <c r="H61" i="16"/>
  <c r="E63" i="20" s="1"/>
  <c r="F212" i="16"/>
  <c r="I68" i="16"/>
  <c r="F73" i="20"/>
  <c r="I71" i="16"/>
  <c r="K74" i="20"/>
  <c r="J74" i="20"/>
  <c r="I74" i="20"/>
  <c r="L72" i="16"/>
  <c r="H74" i="16"/>
  <c r="E76" i="20" s="1"/>
  <c r="D78" i="20"/>
  <c r="D214" i="16"/>
  <c r="H77" i="16"/>
  <c r="E79" i="20" s="1"/>
  <c r="M82" i="16"/>
  <c r="I84" i="16"/>
  <c r="H88" i="16"/>
  <c r="E90" i="20" s="1"/>
  <c r="H96" i="16"/>
  <c r="E98" i="20" s="1"/>
  <c r="F126" i="20"/>
  <c r="I124" i="16"/>
  <c r="K124" i="16" s="1"/>
  <c r="L124" i="16" s="1"/>
  <c r="D128" i="20"/>
  <c r="D131" i="20"/>
  <c r="H129" i="16"/>
  <c r="E131" i="20" s="1"/>
  <c r="O129" i="16"/>
  <c r="G131" i="20" s="1"/>
  <c r="D135" i="20"/>
  <c r="O133" i="16"/>
  <c r="G135" i="20" s="1"/>
  <c r="F144" i="20"/>
  <c r="I142" i="16"/>
  <c r="F145" i="20"/>
  <c r="I143" i="16"/>
  <c r="K143" i="16" s="1"/>
  <c r="K154" i="16"/>
  <c r="O154" i="16" s="1"/>
  <c r="G156" i="20" s="1"/>
  <c r="M154" i="16"/>
  <c r="H154" i="16"/>
  <c r="E156" i="20" s="1"/>
  <c r="H160" i="16"/>
  <c r="E162" i="20" s="1"/>
  <c r="L162" i="16"/>
  <c r="K162" i="16"/>
  <c r="M162" i="16"/>
  <c r="D167" i="20"/>
  <c r="O165" i="16"/>
  <c r="G167" i="20" s="1"/>
  <c r="D176" i="20"/>
  <c r="H174" i="16"/>
  <c r="E176" i="20" s="1"/>
  <c r="D201" i="20"/>
  <c r="H199" i="16"/>
  <c r="E201" i="20" s="1"/>
  <c r="K200" i="16"/>
  <c r="M200" i="16"/>
  <c r="D206" i="20"/>
  <c r="O204" i="16"/>
  <c r="G206" i="20" s="1"/>
  <c r="D207" i="20"/>
  <c r="D218" i="16"/>
  <c r="H205" i="16"/>
  <c r="E207" i="20" s="1"/>
  <c r="I205" i="16"/>
  <c r="K205" i="16" s="1"/>
  <c r="F222" i="16"/>
  <c r="L66" i="16"/>
  <c r="D71" i="20"/>
  <c r="F214" i="16"/>
  <c r="D87" i="20"/>
  <c r="D91" i="20"/>
  <c r="H89" i="16"/>
  <c r="E91" i="20" s="1"/>
  <c r="D99" i="20"/>
  <c r="H97" i="16"/>
  <c r="E99" i="20" s="1"/>
  <c r="D107" i="20"/>
  <c r="H105" i="16"/>
  <c r="E107" i="20" s="1"/>
  <c r="D115" i="20"/>
  <c r="H113" i="16"/>
  <c r="E115" i="20" s="1"/>
  <c r="D123" i="20"/>
  <c r="H121" i="16"/>
  <c r="E123" i="20" s="1"/>
  <c r="D136" i="20"/>
  <c r="H134" i="16"/>
  <c r="E136" i="20" s="1"/>
  <c r="D215" i="16"/>
  <c r="L138" i="16"/>
  <c r="K138" i="16"/>
  <c r="M138" i="16"/>
  <c r="D158" i="20"/>
  <c r="O156" i="16"/>
  <c r="G158" i="20" s="1"/>
  <c r="D159" i="20"/>
  <c r="O157" i="16"/>
  <c r="G159" i="20" s="1"/>
  <c r="M159" i="16"/>
  <c r="L159" i="16"/>
  <c r="D168" i="20"/>
  <c r="H166" i="16"/>
  <c r="E168" i="20" s="1"/>
  <c r="O166" i="16"/>
  <c r="G168" i="20" s="1"/>
  <c r="D230" i="16"/>
  <c r="I170" i="16"/>
  <c r="K170" i="16" s="1"/>
  <c r="F177" i="20"/>
  <c r="I175" i="16"/>
  <c r="K175" i="16" s="1"/>
  <c r="L178" i="16"/>
  <c r="K178" i="16"/>
  <c r="M178" i="16"/>
  <c r="D186" i="20"/>
  <c r="H184" i="16"/>
  <c r="E186" i="20" s="1"/>
  <c r="D191" i="20"/>
  <c r="O189" i="16"/>
  <c r="G191" i="20" s="1"/>
  <c r="H189" i="16"/>
  <c r="E191" i="20" s="1"/>
  <c r="I189" i="16"/>
  <c r="K189" i="16" s="1"/>
  <c r="I194" i="16"/>
  <c r="K194" i="16" s="1"/>
  <c r="O194" i="16" s="1"/>
  <c r="G196" i="20" s="1"/>
  <c r="I196" i="16"/>
  <c r="K196" i="16" s="1"/>
  <c r="F218" i="16"/>
  <c r="D225" i="16"/>
  <c r="B95" i="18"/>
  <c r="C92" i="18"/>
  <c r="C95" i="18" s="1"/>
  <c r="O164" i="16"/>
  <c r="G166" i="20" s="1"/>
  <c r="O172" i="16"/>
  <c r="G174" i="20" s="1"/>
  <c r="D182" i="20"/>
  <c r="O180" i="16"/>
  <c r="G182" i="20" s="1"/>
  <c r="D193" i="20"/>
  <c r="H191" i="16"/>
  <c r="E193" i="20" s="1"/>
  <c r="D198" i="20"/>
  <c r="O196" i="16"/>
  <c r="G198" i="20" s="1"/>
  <c r="M140" i="16"/>
  <c r="M156" i="16"/>
  <c r="M164" i="16"/>
  <c r="M172" i="16"/>
  <c r="K179" i="20"/>
  <c r="J179" i="20"/>
  <c r="I179" i="20"/>
  <c r="O191" i="16"/>
  <c r="G193" i="20" s="1"/>
  <c r="K95" i="20"/>
  <c r="J95" i="20"/>
  <c r="I95" i="20"/>
  <c r="K111" i="20"/>
  <c r="J111" i="20"/>
  <c r="I111" i="20"/>
  <c r="K129" i="16"/>
  <c r="L129" i="16" s="1"/>
  <c r="D137" i="20"/>
  <c r="H135" i="16"/>
  <c r="E137" i="20" s="1"/>
  <c r="K137" i="16"/>
  <c r="L137" i="16" s="1"/>
  <c r="D145" i="20"/>
  <c r="H143" i="16"/>
  <c r="E145" i="20" s="1"/>
  <c r="K145" i="16"/>
  <c r="D153" i="20"/>
  <c r="H151" i="16"/>
  <c r="E153" i="20" s="1"/>
  <c r="K153" i="16"/>
  <c r="D161" i="20"/>
  <c r="H159" i="16"/>
  <c r="E161" i="20" s="1"/>
  <c r="K161" i="16"/>
  <c r="D169" i="20"/>
  <c r="H167" i="16"/>
  <c r="E169" i="20" s="1"/>
  <c r="K169" i="16"/>
  <c r="D177" i="20"/>
  <c r="H175" i="16"/>
  <c r="E177" i="20" s="1"/>
  <c r="K177" i="16"/>
  <c r="H180" i="16"/>
  <c r="E182" i="20" s="1"/>
  <c r="D183" i="20"/>
  <c r="O181" i="16"/>
  <c r="G183" i="20" s="1"/>
  <c r="H181" i="16"/>
  <c r="E183" i="20" s="1"/>
  <c r="K185" i="16"/>
  <c r="L185" i="16"/>
  <c r="F192" i="20"/>
  <c r="I190" i="16"/>
  <c r="K190" i="16" s="1"/>
  <c r="L190" i="16" s="1"/>
  <c r="H196" i="16"/>
  <c r="E198" i="20" s="1"/>
  <c r="D199" i="20"/>
  <c r="H197" i="16"/>
  <c r="E199" i="20" s="1"/>
  <c r="K201" i="16"/>
  <c r="L201" i="16"/>
  <c r="C49" i="18"/>
  <c r="C59" i="18" s="1"/>
  <c r="B59" i="18"/>
  <c r="C37" i="18"/>
  <c r="C46" i="18" s="1"/>
  <c r="B46" i="18"/>
  <c r="C77" i="18"/>
  <c r="C89" i="18" s="1"/>
  <c r="B89" i="18"/>
  <c r="I84" i="20"/>
  <c r="K84" i="20"/>
  <c r="J84" i="20"/>
  <c r="O93" i="16"/>
  <c r="G95" i="20" s="1"/>
  <c r="I100" i="20"/>
  <c r="K100" i="20"/>
  <c r="J100" i="20"/>
  <c r="O101" i="16"/>
  <c r="G103" i="20" s="1"/>
  <c r="I108" i="20"/>
  <c r="K108" i="20"/>
  <c r="J108" i="20"/>
  <c r="O109" i="16"/>
  <c r="G111" i="20" s="1"/>
  <c r="D116" i="20"/>
  <c r="D211" i="16"/>
  <c r="O117" i="16"/>
  <c r="G119" i="20" s="1"/>
  <c r="I130" i="20"/>
  <c r="J130" i="20"/>
  <c r="K130" i="20"/>
  <c r="D138" i="20"/>
  <c r="I136" i="16"/>
  <c r="M136" i="16" s="1"/>
  <c r="D146" i="20"/>
  <c r="D231" i="16"/>
  <c r="H145" i="16"/>
  <c r="E147" i="20" s="1"/>
  <c r="I154" i="20"/>
  <c r="J154" i="20"/>
  <c r="K154" i="20"/>
  <c r="H153" i="16"/>
  <c r="E155" i="20" s="1"/>
  <c r="H161" i="16"/>
  <c r="E163" i="20" s="1"/>
  <c r="L166" i="16"/>
  <c r="H169" i="16"/>
  <c r="E171" i="20" s="1"/>
  <c r="J178" i="20"/>
  <c r="I178" i="20"/>
  <c r="K178" i="20"/>
  <c r="H177" i="16"/>
  <c r="E179" i="20" s="1"/>
  <c r="I187" i="20"/>
  <c r="K187" i="20"/>
  <c r="J187" i="20"/>
  <c r="M186" i="16"/>
  <c r="J195" i="20"/>
  <c r="K195" i="20"/>
  <c r="I195" i="20"/>
  <c r="M194" i="16"/>
  <c r="J203" i="20"/>
  <c r="K203" i="20"/>
  <c r="I203" i="20"/>
  <c r="M202" i="16"/>
  <c r="F219" i="16"/>
  <c r="B74" i="18"/>
  <c r="B36" i="21"/>
  <c r="B35" i="21"/>
  <c r="F186" i="20"/>
  <c r="C98" i="18"/>
  <c r="C110" i="18" s="1"/>
  <c r="B110" i="18"/>
  <c r="I128" i="16"/>
  <c r="K128" i="16" s="1"/>
  <c r="L139" i="16"/>
  <c r="I144" i="16"/>
  <c r="L147" i="16"/>
  <c r="I152" i="16"/>
  <c r="K152" i="16" s="1"/>
  <c r="K157" i="20"/>
  <c r="J157" i="20"/>
  <c r="I157" i="20"/>
  <c r="L155" i="16"/>
  <c r="I160" i="16"/>
  <c r="K160" i="16" s="1"/>
  <c r="L163" i="16"/>
  <c r="I168" i="16"/>
  <c r="M168" i="16" s="1"/>
  <c r="I173" i="20"/>
  <c r="J173" i="20"/>
  <c r="K173" i="20"/>
  <c r="L171" i="16"/>
  <c r="I176" i="16"/>
  <c r="K176" i="16" s="1"/>
  <c r="L179" i="16"/>
  <c r="I192" i="16"/>
  <c r="M192" i="16" s="1"/>
  <c r="L195" i="16"/>
  <c r="I200" i="16"/>
  <c r="L203" i="16"/>
  <c r="D219" i="16"/>
  <c r="C62" i="18"/>
  <c r="C74" i="18" s="1"/>
  <c r="J140" i="20"/>
  <c r="K140" i="20"/>
  <c r="I140" i="20"/>
  <c r="I164" i="20"/>
  <c r="K164" i="20"/>
  <c r="J164" i="20"/>
  <c r="K172" i="20"/>
  <c r="J172" i="20"/>
  <c r="I172" i="20"/>
  <c r="K180" i="20"/>
  <c r="I180" i="20"/>
  <c r="J180" i="20"/>
  <c r="I183" i="16"/>
  <c r="K188" i="20"/>
  <c r="J188" i="20"/>
  <c r="I188" i="20"/>
  <c r="I191" i="16"/>
  <c r="K191" i="16" s="1"/>
  <c r="I199" i="16"/>
  <c r="K204" i="20"/>
  <c r="J204" i="20"/>
  <c r="I204" i="20"/>
  <c r="B49" i="25"/>
  <c r="F67" i="11" l="1"/>
  <c r="H67" i="11" s="1"/>
  <c r="I67" i="11" s="1"/>
  <c r="I183" i="4"/>
  <c r="H183" i="4"/>
  <c r="F164" i="11"/>
  <c r="H164" i="11" s="1"/>
  <c r="I164" i="11" s="1"/>
  <c r="G182" i="4" a="1"/>
  <c r="G182" i="4" s="1"/>
  <c r="I182" i="4" s="1"/>
  <c r="F69" i="11"/>
  <c r="H69" i="11" s="1"/>
  <c r="I69" i="11" s="1"/>
  <c r="F35" i="11"/>
  <c r="H35" i="11" s="1"/>
  <c r="I35" i="11" s="1"/>
  <c r="F50" i="11"/>
  <c r="H50" i="11" s="1"/>
  <c r="I50" i="11" s="1"/>
  <c r="F21" i="11"/>
  <c r="H21" i="11" s="1"/>
  <c r="I21" i="11" s="1"/>
  <c r="F47" i="11"/>
  <c r="H47" i="11" s="1"/>
  <c r="I47" i="11" s="1"/>
  <c r="G181" i="4" a="1"/>
  <c r="G181" i="4" s="1"/>
  <c r="I181" i="4" s="1"/>
  <c r="F44" i="11"/>
  <c r="H44" i="11" s="1"/>
  <c r="I44" i="11" s="1"/>
  <c r="F36" i="11"/>
  <c r="H36" i="11" s="1"/>
  <c r="I36" i="11" s="1"/>
  <c r="F15" i="11"/>
  <c r="H15" i="11" s="1"/>
  <c r="I15" i="11" s="1"/>
  <c r="F37" i="11"/>
  <c r="H37" i="11" s="1"/>
  <c r="I37" i="11" s="1"/>
  <c r="F56" i="11"/>
  <c r="H56" i="11" s="1"/>
  <c r="I56" i="11" s="1"/>
  <c r="F68" i="11"/>
  <c r="F48" i="11"/>
  <c r="H48" i="11" s="1"/>
  <c r="I48" i="11" s="1"/>
  <c r="F20" i="11"/>
  <c r="H20" i="11" s="1"/>
  <c r="I20" i="11" s="1"/>
  <c r="F25" i="11"/>
  <c r="H25" i="11" s="1"/>
  <c r="I25" i="11" s="1"/>
  <c r="F19" i="11"/>
  <c r="H19" i="11" s="1"/>
  <c r="I19" i="11" s="1"/>
  <c r="F70" i="11"/>
  <c r="H70" i="11" s="1"/>
  <c r="I70" i="11" s="1"/>
  <c r="F38" i="11"/>
  <c r="H38" i="11" s="1"/>
  <c r="I38" i="11" s="1"/>
  <c r="O12" i="5" a="1"/>
  <c r="O12" i="5" s="1"/>
  <c r="F63" i="11"/>
  <c r="H63" i="11" s="1"/>
  <c r="I63" i="11" s="1"/>
  <c r="F22" i="11"/>
  <c r="H22" i="11" s="1"/>
  <c r="I22" i="11" s="1"/>
  <c r="F31" i="11"/>
  <c r="H31" i="11" s="1"/>
  <c r="I31" i="11" s="1"/>
  <c r="P4" i="5" a="1"/>
  <c r="P4" i="5" s="1"/>
  <c r="F39" i="11"/>
  <c r="H39" i="11" s="1"/>
  <c r="I39" i="11" s="1"/>
  <c r="F207" i="11"/>
  <c r="H207" i="11" s="1"/>
  <c r="I207" i="11" s="1"/>
  <c r="F14" i="11"/>
  <c r="H14" i="11" s="1"/>
  <c r="I14" i="11" s="1"/>
  <c r="F58" i="11"/>
  <c r="H58" i="11" s="1"/>
  <c r="I58" i="11" s="1"/>
  <c r="F5" i="11"/>
  <c r="H5" i="11" s="1"/>
  <c r="I5" i="11" s="1"/>
  <c r="F99" i="11"/>
  <c r="H99" i="11" s="1"/>
  <c r="I99" i="11" s="1"/>
  <c r="F194" i="11"/>
  <c r="H194" i="11" s="1"/>
  <c r="I194" i="11" s="1"/>
  <c r="F54" i="11"/>
  <c r="H54" i="11" s="1"/>
  <c r="I54" i="11" s="1"/>
  <c r="F66" i="11"/>
  <c r="H66" i="11" s="1"/>
  <c r="I66" i="11" s="1"/>
  <c r="F143" i="11"/>
  <c r="H143" i="11" s="1"/>
  <c r="I143" i="11" s="1"/>
  <c r="F109" i="11"/>
  <c r="H109" i="11" s="1"/>
  <c r="I109" i="11" s="1"/>
  <c r="F225" i="11"/>
  <c r="H225" i="11" s="1"/>
  <c r="I225" i="11" s="1"/>
  <c r="F30" i="11"/>
  <c r="H30" i="11" s="1"/>
  <c r="I30" i="11" s="1"/>
  <c r="F55" i="11"/>
  <c r="H55" i="11" s="1"/>
  <c r="I55" i="11" s="1"/>
  <c r="F33" i="11"/>
  <c r="H33" i="11" s="1"/>
  <c r="I33" i="11" s="1"/>
  <c r="F34" i="11"/>
  <c r="H34" i="11" s="1"/>
  <c r="I34" i="11" s="1"/>
  <c r="F45" i="11"/>
  <c r="H45" i="11" s="1"/>
  <c r="I45" i="11" s="1"/>
  <c r="F7" i="11"/>
  <c r="H7" i="11" s="1"/>
  <c r="I7" i="11" s="1"/>
  <c r="F204" i="11"/>
  <c r="H204" i="11" s="1"/>
  <c r="I204" i="11" s="1"/>
  <c r="F130" i="11"/>
  <c r="H130" i="11" s="1"/>
  <c r="I130" i="11" s="1"/>
  <c r="F131" i="11"/>
  <c r="H131" i="11" s="1"/>
  <c r="I131" i="11" s="1"/>
  <c r="F243" i="11"/>
  <c r="H243" i="11" s="1"/>
  <c r="I243" i="11" s="1"/>
  <c r="F40" i="11"/>
  <c r="H40" i="11" s="1"/>
  <c r="I40" i="11" s="1"/>
  <c r="F18" i="11"/>
  <c r="H18" i="11" s="1"/>
  <c r="I18" i="11" s="1"/>
  <c r="F27" i="11"/>
  <c r="H27" i="11" s="1"/>
  <c r="I27" i="11" s="1"/>
  <c r="F53" i="11"/>
  <c r="H53" i="11" s="1"/>
  <c r="I53" i="11" s="1"/>
  <c r="F49" i="11"/>
  <c r="H49" i="11" s="1"/>
  <c r="I49" i="11" s="1"/>
  <c r="F17" i="11"/>
  <c r="H17" i="11" s="1"/>
  <c r="I17" i="11" s="1"/>
  <c r="F59" i="11"/>
  <c r="H59" i="11" s="1"/>
  <c r="I59" i="11" s="1"/>
  <c r="F26" i="11"/>
  <c r="H26" i="11" s="1"/>
  <c r="I26" i="11" s="1"/>
  <c r="F43" i="11"/>
  <c r="H43" i="11" s="1"/>
  <c r="I43" i="11" s="1"/>
  <c r="F24" i="11"/>
  <c r="H24" i="11" s="1"/>
  <c r="I24" i="11" s="1"/>
  <c r="F60" i="11"/>
  <c r="H60" i="11" s="1"/>
  <c r="I60" i="11" s="1"/>
  <c r="F13" i="11"/>
  <c r="H13" i="11" s="1"/>
  <c r="I13" i="11" s="1"/>
  <c r="F77" i="11"/>
  <c r="H77" i="11" s="1"/>
  <c r="I77" i="11" s="1"/>
  <c r="F79" i="11"/>
  <c r="H79" i="11" s="1"/>
  <c r="I79" i="11" s="1"/>
  <c r="F127" i="11"/>
  <c r="H127" i="11" s="1"/>
  <c r="I127" i="11" s="1"/>
  <c r="F101" i="11"/>
  <c r="H101" i="11" s="1"/>
  <c r="I101" i="11" s="1"/>
  <c r="F82" i="11"/>
  <c r="H82" i="11" s="1"/>
  <c r="I82" i="11" s="1"/>
  <c r="F185" i="11"/>
  <c r="H185" i="11" s="1"/>
  <c r="I185" i="11" s="1"/>
  <c r="F122" i="11"/>
  <c r="H122" i="11" s="1"/>
  <c r="I122" i="11" s="1"/>
  <c r="F186" i="11"/>
  <c r="H186" i="11" s="1"/>
  <c r="I186" i="11" s="1"/>
  <c r="F215" i="11"/>
  <c r="H215" i="11" s="1"/>
  <c r="I215" i="11" s="1"/>
  <c r="F190" i="11"/>
  <c r="H190" i="11" s="1"/>
  <c r="I190" i="11" s="1"/>
  <c r="F123" i="11"/>
  <c r="H123" i="11" s="1"/>
  <c r="I123" i="11" s="1"/>
  <c r="F187" i="11"/>
  <c r="H187" i="11" s="1"/>
  <c r="I187" i="11" s="1"/>
  <c r="F57" i="11"/>
  <c r="H57" i="11" s="1"/>
  <c r="I57" i="11" s="1"/>
  <c r="F104" i="11"/>
  <c r="H104" i="11" s="1"/>
  <c r="I104" i="11" s="1"/>
  <c r="F12" i="11"/>
  <c r="H12" i="11" s="1"/>
  <c r="I12" i="11" s="1"/>
  <c r="F23" i="11"/>
  <c r="H23" i="11" s="1"/>
  <c r="I23" i="11" s="1"/>
  <c r="F84" i="11"/>
  <c r="H84" i="11" s="1"/>
  <c r="I84" i="11" s="1"/>
  <c r="F184" i="11"/>
  <c r="H184" i="11" s="1"/>
  <c r="I184" i="11" s="1"/>
  <c r="F223" i="11"/>
  <c r="H223" i="11" s="1"/>
  <c r="I223" i="11" s="1"/>
  <c r="F51" i="11"/>
  <c r="H51" i="11" s="1"/>
  <c r="I51" i="11" s="1"/>
  <c r="F46" i="11"/>
  <c r="H46" i="11" s="1"/>
  <c r="I46" i="11" s="1"/>
  <c r="F28" i="11"/>
  <c r="H28" i="11" s="1"/>
  <c r="I28" i="11" s="1"/>
  <c r="F83" i="11"/>
  <c r="H83" i="11" s="1"/>
  <c r="I83" i="11" s="1"/>
  <c r="F189" i="11"/>
  <c r="H189" i="11" s="1"/>
  <c r="I189" i="11" s="1"/>
  <c r="F92" i="11"/>
  <c r="H92" i="11" s="1"/>
  <c r="I92" i="11" s="1"/>
  <c r="F71" i="11"/>
  <c r="H71" i="11" s="1"/>
  <c r="I71" i="11" s="1"/>
  <c r="F61" i="11"/>
  <c r="H61" i="11" s="1"/>
  <c r="I61" i="11" s="1"/>
  <c r="F32" i="11"/>
  <c r="H32" i="11" s="1"/>
  <c r="I32" i="11" s="1"/>
  <c r="F9" i="11"/>
  <c r="H9" i="11" s="1"/>
  <c r="I9" i="11" s="1"/>
  <c r="E202" i="10"/>
  <c r="C65" i="11" s="1"/>
  <c r="F65" i="11" s="1"/>
  <c r="H65" i="11" s="1"/>
  <c r="I65" i="11" s="1"/>
  <c r="C77" i="2" a="1"/>
  <c r="C77" i="2" s="1"/>
  <c r="P13" i="5" a="1"/>
  <c r="P13" i="5" s="1"/>
  <c r="Q13" i="5" s="1"/>
  <c r="F72" i="11"/>
  <c r="H72" i="11" s="1"/>
  <c r="I72" i="11" s="1"/>
  <c r="F100" i="11"/>
  <c r="H100" i="11" s="1"/>
  <c r="I100" i="11" s="1"/>
  <c r="F52" i="11"/>
  <c r="H52" i="11" s="1"/>
  <c r="I52" i="11" s="1"/>
  <c r="F145" i="11"/>
  <c r="H145" i="11" s="1"/>
  <c r="I145" i="11" s="1"/>
  <c r="F253" i="11"/>
  <c r="H253" i="11" s="1"/>
  <c r="I253" i="11" s="1"/>
  <c r="F218" i="11"/>
  <c r="H218" i="11" s="1"/>
  <c r="I218" i="11" s="1"/>
  <c r="F133" i="11"/>
  <c r="H133" i="11" s="1"/>
  <c r="I133" i="11" s="1"/>
  <c r="F180" i="11"/>
  <c r="H180" i="11" s="1"/>
  <c r="I180" i="11" s="1"/>
  <c r="F200" i="11"/>
  <c r="H200" i="11" s="1"/>
  <c r="I200" i="11" s="1"/>
  <c r="F137" i="11"/>
  <c r="H137" i="11" s="1"/>
  <c r="I137" i="11" s="1"/>
  <c r="F167" i="11"/>
  <c r="H167" i="11" s="1"/>
  <c r="I167" i="11" s="1"/>
  <c r="F195" i="11"/>
  <c r="H195" i="11" s="1"/>
  <c r="I195" i="11" s="1"/>
  <c r="F209" i="11"/>
  <c r="H209" i="11" s="1"/>
  <c r="I209" i="11" s="1"/>
  <c r="F119" i="11"/>
  <c r="H119" i="11" s="1"/>
  <c r="I119" i="11" s="1"/>
  <c r="F42" i="11"/>
  <c r="H42" i="11" s="1"/>
  <c r="I42" i="11" s="1"/>
  <c r="F10" i="11"/>
  <c r="H10" i="11" s="1"/>
  <c r="I10" i="11" s="1"/>
  <c r="F156" i="11"/>
  <c r="H156" i="11" s="1"/>
  <c r="I156" i="11" s="1"/>
  <c r="F160" i="11"/>
  <c r="H160" i="11" s="1"/>
  <c r="I160" i="11" s="1"/>
  <c r="F181" i="11"/>
  <c r="H181" i="11" s="1"/>
  <c r="I181" i="11" s="1"/>
  <c r="F78" i="11"/>
  <c r="H78" i="11" s="1"/>
  <c r="I78" i="11" s="1"/>
  <c r="F140" i="11"/>
  <c r="H140" i="11" s="1"/>
  <c r="I140" i="11" s="1"/>
  <c r="F222" i="11"/>
  <c r="H222" i="11" s="1"/>
  <c r="I222" i="11" s="1"/>
  <c r="F229" i="11"/>
  <c r="H229" i="11" s="1"/>
  <c r="I229" i="11" s="1"/>
  <c r="F153" i="11"/>
  <c r="H153" i="11" s="1"/>
  <c r="I153" i="11" s="1"/>
  <c r="F165" i="11"/>
  <c r="H165" i="11" s="1"/>
  <c r="I165" i="11" s="1"/>
  <c r="F192" i="11"/>
  <c r="H192" i="11" s="1"/>
  <c r="I192" i="11" s="1"/>
  <c r="F237" i="11"/>
  <c r="H237" i="11" s="1"/>
  <c r="I237" i="11" s="1"/>
  <c r="F155" i="11"/>
  <c r="H155" i="11" s="1"/>
  <c r="I155" i="11" s="1"/>
  <c r="F81" i="11"/>
  <c r="H81" i="11" s="1"/>
  <c r="I81" i="11" s="1"/>
  <c r="F197" i="11"/>
  <c r="H197" i="11" s="1"/>
  <c r="I197" i="11" s="1"/>
  <c r="F248" i="11"/>
  <c r="H248" i="11" s="1"/>
  <c r="I248" i="11" s="1"/>
  <c r="F95" i="11"/>
  <c r="H95" i="11" s="1"/>
  <c r="I95" i="11" s="1"/>
  <c r="F62" i="11"/>
  <c r="H62" i="11" s="1"/>
  <c r="I62" i="11" s="1"/>
  <c r="F75" i="11"/>
  <c r="H75" i="11" s="1"/>
  <c r="I75" i="11" s="1"/>
  <c r="F157" i="11"/>
  <c r="H157" i="11" s="1"/>
  <c r="I157" i="11" s="1"/>
  <c r="F80" i="11"/>
  <c r="H80" i="11" s="1"/>
  <c r="I80" i="11" s="1"/>
  <c r="F176" i="11"/>
  <c r="H176" i="11" s="1"/>
  <c r="I176" i="11" s="1"/>
  <c r="F178" i="11"/>
  <c r="H178" i="11" s="1"/>
  <c r="I178" i="11" s="1"/>
  <c r="F242" i="11"/>
  <c r="H242" i="11" s="1"/>
  <c r="I242" i="11" s="1"/>
  <c r="F228" i="11"/>
  <c r="H228" i="11" s="1"/>
  <c r="I228" i="11" s="1"/>
  <c r="F118" i="11"/>
  <c r="H118" i="11" s="1"/>
  <c r="I118" i="11" s="1"/>
  <c r="F182" i="11"/>
  <c r="H182" i="11" s="1"/>
  <c r="I182" i="11" s="1"/>
  <c r="F115" i="11"/>
  <c r="H115" i="11" s="1"/>
  <c r="I115" i="11" s="1"/>
  <c r="F179" i="11"/>
  <c r="H179" i="11" s="1"/>
  <c r="I179" i="11" s="1"/>
  <c r="F8" i="11"/>
  <c r="H8" i="11" s="1"/>
  <c r="I8" i="11" s="1"/>
  <c r="F199" i="11"/>
  <c r="H199" i="11" s="1"/>
  <c r="I199" i="11" s="1"/>
  <c r="F244" i="11"/>
  <c r="H244" i="11" s="1"/>
  <c r="I244" i="11" s="1"/>
  <c r="F134" i="11"/>
  <c r="H134" i="11" s="1"/>
  <c r="I134" i="11" s="1"/>
  <c r="F198" i="11"/>
  <c r="H198" i="11" s="1"/>
  <c r="I198" i="11" s="1"/>
  <c r="F151" i="11"/>
  <c r="H151" i="11" s="1"/>
  <c r="I151" i="11" s="1"/>
  <c r="E199" i="10"/>
  <c r="E73" i="11" s="1"/>
  <c r="F73" i="11" s="1"/>
  <c r="H73" i="11" s="1"/>
  <c r="I73" i="11" s="1"/>
  <c r="F89" i="11"/>
  <c r="H89" i="11" s="1"/>
  <c r="I89" i="11" s="1"/>
  <c r="F232" i="11"/>
  <c r="H232" i="11" s="1"/>
  <c r="I232" i="11" s="1"/>
  <c r="F252" i="11"/>
  <c r="H252" i="11" s="1"/>
  <c r="I252" i="11" s="1"/>
  <c r="F146" i="11"/>
  <c r="H146" i="11" s="1"/>
  <c r="I146" i="11" s="1"/>
  <c r="F211" i="11"/>
  <c r="H211" i="11" s="1"/>
  <c r="I211" i="11" s="1"/>
  <c r="F132" i="11"/>
  <c r="H132" i="11" s="1"/>
  <c r="I132" i="11" s="1"/>
  <c r="F201" i="11"/>
  <c r="H201" i="11" s="1"/>
  <c r="I201" i="11" s="1"/>
  <c r="F120" i="11"/>
  <c r="H120" i="11" s="1"/>
  <c r="I120" i="11" s="1"/>
  <c r="F247" i="11"/>
  <c r="H247" i="11" s="1"/>
  <c r="I247" i="11" s="1"/>
  <c r="F161" i="11"/>
  <c r="H161" i="11" s="1"/>
  <c r="I161" i="11" s="1"/>
  <c r="F117" i="11"/>
  <c r="H117" i="11" s="1"/>
  <c r="I117" i="11" s="1"/>
  <c r="F148" i="11"/>
  <c r="H148" i="11" s="1"/>
  <c r="I148" i="11" s="1"/>
  <c r="F106" i="11"/>
  <c r="H106" i="11" s="1"/>
  <c r="I106" i="11" s="1"/>
  <c r="F90" i="11"/>
  <c r="H90" i="11" s="1"/>
  <c r="I90" i="11" s="1"/>
  <c r="D6" i="8" a="1"/>
  <c r="D6" i="8" s="1"/>
  <c r="D4" i="8" s="1"/>
  <c r="F213" i="11"/>
  <c r="H213" i="11" s="1"/>
  <c r="I213" i="11" s="1"/>
  <c r="F6" i="11"/>
  <c r="H6" i="11" s="1"/>
  <c r="I6" i="11" s="1"/>
  <c r="O3" i="5" a="1"/>
  <c r="O3" i="5" s="1"/>
  <c r="D35" i="8"/>
  <c r="D20" i="8"/>
  <c r="D29" i="8"/>
  <c r="D14" i="8"/>
  <c r="D41" i="8"/>
  <c r="D8" i="8"/>
  <c r="C26" i="8"/>
  <c r="D11" i="8"/>
  <c r="D17" i="8"/>
  <c r="C11" i="8"/>
  <c r="C23" i="8"/>
  <c r="C41" i="8"/>
  <c r="D23" i="8"/>
  <c r="D26" i="8"/>
  <c r="D32" i="8"/>
  <c r="C14" i="8"/>
  <c r="O111" i="16"/>
  <c r="G113" i="20" s="1"/>
  <c r="L111" i="16"/>
  <c r="O97" i="16"/>
  <c r="G99" i="20" s="1"/>
  <c r="L97" i="16"/>
  <c r="R25" i="3"/>
  <c r="S25" i="3" s="1"/>
  <c r="N25" i="3"/>
  <c r="O175" i="16"/>
  <c r="G177" i="20" s="1"/>
  <c r="L175" i="16"/>
  <c r="O135" i="16"/>
  <c r="G137" i="20" s="1"/>
  <c r="L135" i="16"/>
  <c r="L205" i="16"/>
  <c r="O205" i="16"/>
  <c r="G207" i="20" s="1"/>
  <c r="L12" i="16"/>
  <c r="O12" i="16"/>
  <c r="G14" i="20" s="1"/>
  <c r="N24" i="3"/>
  <c r="R24" i="3"/>
  <c r="S24" i="3" s="1"/>
  <c r="L27" i="16"/>
  <c r="O27" i="16"/>
  <c r="G29" i="20" s="1"/>
  <c r="R28" i="3"/>
  <c r="S28" i="3" s="1"/>
  <c r="N28" i="3"/>
  <c r="R29" i="3"/>
  <c r="S29" i="3" s="1"/>
  <c r="N29" i="3"/>
  <c r="K158" i="16"/>
  <c r="M158" i="16"/>
  <c r="G206" i="16"/>
  <c r="I161" i="20"/>
  <c r="J161" i="20"/>
  <c r="K161" i="20"/>
  <c r="O111" i="20"/>
  <c r="N111" i="20"/>
  <c r="M111" i="20"/>
  <c r="T111" i="20"/>
  <c r="S111" i="20"/>
  <c r="R111" i="20"/>
  <c r="Q111" i="20"/>
  <c r="P111" i="20"/>
  <c r="I182" i="20"/>
  <c r="K182" i="20"/>
  <c r="J182" i="20"/>
  <c r="K199" i="16"/>
  <c r="M199" i="16"/>
  <c r="N164" i="20"/>
  <c r="M164" i="20"/>
  <c r="O164" i="20"/>
  <c r="T164" i="20"/>
  <c r="S164" i="20"/>
  <c r="R164" i="20"/>
  <c r="Q164" i="20"/>
  <c r="P164" i="20"/>
  <c r="O160" i="16"/>
  <c r="G162" i="20" s="1"/>
  <c r="L160" i="16"/>
  <c r="O197" i="16"/>
  <c r="G199" i="20" s="1"/>
  <c r="O153" i="16"/>
  <c r="G155" i="20" s="1"/>
  <c r="L153" i="16"/>
  <c r="O184" i="16"/>
  <c r="G186" i="20" s="1"/>
  <c r="L184" i="16"/>
  <c r="Q15" i="7"/>
  <c r="L433" i="6"/>
  <c r="S14" i="7"/>
  <c r="L17" i="6"/>
  <c r="Q5" i="7"/>
  <c r="O182" i="16"/>
  <c r="G184" i="20" s="1"/>
  <c r="L130" i="16"/>
  <c r="I231" i="16"/>
  <c r="P195" i="20"/>
  <c r="M195" i="20"/>
  <c r="N195" i="20"/>
  <c r="T195" i="20"/>
  <c r="O195" i="20"/>
  <c r="S195" i="20"/>
  <c r="R195" i="20"/>
  <c r="Q195" i="20"/>
  <c r="L169" i="16"/>
  <c r="O169" i="16"/>
  <c r="G171" i="20" s="1"/>
  <c r="H225" i="16"/>
  <c r="K191" i="20"/>
  <c r="I191" i="20"/>
  <c r="J191" i="20"/>
  <c r="H215" i="16"/>
  <c r="H214" i="16"/>
  <c r="I19" i="20"/>
  <c r="K19" i="20"/>
  <c r="J19" i="20"/>
  <c r="M124" i="16"/>
  <c r="K126" i="16"/>
  <c r="O137" i="16"/>
  <c r="G139" i="20" s="1"/>
  <c r="K175" i="20"/>
  <c r="J175" i="20"/>
  <c r="I175" i="20"/>
  <c r="K92" i="16"/>
  <c r="O59" i="16"/>
  <c r="G61" i="20" s="1"/>
  <c r="O51" i="16"/>
  <c r="G53" i="20" s="1"/>
  <c r="O15" i="16"/>
  <c r="G17" i="20" s="1"/>
  <c r="M95" i="16"/>
  <c r="L65" i="16"/>
  <c r="K85" i="16"/>
  <c r="K62" i="16"/>
  <c r="J152" i="20"/>
  <c r="I152" i="20"/>
  <c r="K152" i="20"/>
  <c r="M175" i="16"/>
  <c r="I211" i="16"/>
  <c r="O23" i="16"/>
  <c r="G25" i="20" s="1"/>
  <c r="O76" i="16"/>
  <c r="G78" i="20" s="1"/>
  <c r="L76" i="16"/>
  <c r="O20" i="16"/>
  <c r="G22" i="20" s="1"/>
  <c r="L20" i="16"/>
  <c r="M29" i="16"/>
  <c r="M59" i="16"/>
  <c r="K77" i="16"/>
  <c r="M13" i="16"/>
  <c r="L39" i="16"/>
  <c r="H226" i="16"/>
  <c r="I233" i="16"/>
  <c r="H206" i="16"/>
  <c r="B5" i="20"/>
  <c r="H224" i="16"/>
  <c r="F141" i="11"/>
  <c r="H141" i="11" s="1"/>
  <c r="I141" i="11" s="1"/>
  <c r="F85" i="11"/>
  <c r="H85" i="11" s="1"/>
  <c r="I85" i="11" s="1"/>
  <c r="F188" i="11"/>
  <c r="H188" i="11" s="1"/>
  <c r="I188" i="11" s="1"/>
  <c r="F125" i="11"/>
  <c r="H125" i="11" s="1"/>
  <c r="I125" i="11" s="1"/>
  <c r="F221" i="11"/>
  <c r="H221" i="11" s="1"/>
  <c r="I221" i="11" s="1"/>
  <c r="F103" i="11"/>
  <c r="H103" i="11" s="1"/>
  <c r="I103" i="11" s="1"/>
  <c r="F233" i="11"/>
  <c r="H233" i="11" s="1"/>
  <c r="I233" i="11" s="1"/>
  <c r="F121" i="11"/>
  <c r="H121" i="11" s="1"/>
  <c r="I121" i="11" s="1"/>
  <c r="F249" i="11"/>
  <c r="H249" i="11" s="1"/>
  <c r="I249" i="11" s="1"/>
  <c r="F210" i="11"/>
  <c r="H210" i="11" s="1"/>
  <c r="I210" i="11" s="1"/>
  <c r="F239" i="11"/>
  <c r="H239" i="11" s="1"/>
  <c r="I239" i="11" s="1"/>
  <c r="F86" i="11"/>
  <c r="H86" i="11" s="1"/>
  <c r="I86" i="11" s="1"/>
  <c r="F150" i="11"/>
  <c r="H150" i="11" s="1"/>
  <c r="I150" i="11" s="1"/>
  <c r="F214" i="11"/>
  <c r="H214" i="11" s="1"/>
  <c r="I214" i="11" s="1"/>
  <c r="F147" i="11"/>
  <c r="H147" i="11" s="1"/>
  <c r="I147" i="11" s="1"/>
  <c r="F246" i="11"/>
  <c r="H246" i="11" s="1"/>
  <c r="I246" i="11" s="1"/>
  <c r="F168" i="11"/>
  <c r="H168" i="11" s="1"/>
  <c r="I168" i="11" s="1"/>
  <c r="F241" i="11"/>
  <c r="H241" i="11" s="1"/>
  <c r="I241" i="11" s="1"/>
  <c r="E200" i="10"/>
  <c r="D64" i="11" s="1"/>
  <c r="C18" i="7" a="1"/>
  <c r="C18" i="7" s="1"/>
  <c r="D16" i="7" a="1"/>
  <c r="D16" i="7" s="1"/>
  <c r="L644" i="6"/>
  <c r="L789" i="6"/>
  <c r="L613" i="6"/>
  <c r="L564" i="6"/>
  <c r="L593" i="6"/>
  <c r="L472" i="6"/>
  <c r="L367" i="6"/>
  <c r="L275" i="6"/>
  <c r="L216" i="6"/>
  <c r="L111" i="6"/>
  <c r="L19" i="6"/>
  <c r="L566" i="6"/>
  <c r="L327" i="6"/>
  <c r="S8" i="7"/>
  <c r="L683" i="6"/>
  <c r="L618" i="6"/>
  <c r="L328" i="6"/>
  <c r="R8" i="7"/>
  <c r="L177" i="6"/>
  <c r="L677" i="6"/>
  <c r="L243" i="6"/>
  <c r="L619" i="6"/>
  <c r="L550" i="6"/>
  <c r="L129" i="6"/>
  <c r="L693" i="6"/>
  <c r="L470" i="6"/>
  <c r="L244" i="6"/>
  <c r="L416" i="6"/>
  <c r="L232" i="6"/>
  <c r="D9" i="7" a="1"/>
  <c r="D9" i="7" s="1"/>
  <c r="D6" i="7" a="1"/>
  <c r="D6" i="7" s="1"/>
  <c r="E11" i="7" a="1"/>
  <c r="E11" i="7" s="1"/>
  <c r="L310" i="6"/>
  <c r="L438" i="6"/>
  <c r="L406" i="6"/>
  <c r="L86" i="6"/>
  <c r="Y381" i="3"/>
  <c r="U381" i="3"/>
  <c r="Y125" i="3"/>
  <c r="U125" i="3"/>
  <c r="Y281" i="3"/>
  <c r="U281" i="3"/>
  <c r="U153" i="3"/>
  <c r="Y153" i="3"/>
  <c r="Q4" i="4"/>
  <c r="U373" i="3"/>
  <c r="Y373" i="3"/>
  <c r="U309" i="3"/>
  <c r="M27" i="3"/>
  <c r="Y309" i="3"/>
  <c r="U245" i="3"/>
  <c r="Y245" i="3"/>
  <c r="U181" i="3"/>
  <c r="Y181" i="3"/>
  <c r="U117" i="3"/>
  <c r="Y117" i="3"/>
  <c r="U53" i="3"/>
  <c r="Y53" i="3"/>
  <c r="Y257" i="3"/>
  <c r="U257" i="3"/>
  <c r="AA258" i="3"/>
  <c r="W258" i="3"/>
  <c r="U113" i="3"/>
  <c r="Y113" i="3"/>
  <c r="U391" i="3"/>
  <c r="Y391" i="3"/>
  <c r="U365" i="3"/>
  <c r="Y365" i="3"/>
  <c r="AA286" i="3"/>
  <c r="W286" i="3"/>
  <c r="U228" i="3"/>
  <c r="Y228" i="3"/>
  <c r="U167" i="3"/>
  <c r="Y167" i="3"/>
  <c r="U109" i="3"/>
  <c r="Y109" i="3"/>
  <c r="AA374" i="3"/>
  <c r="W374" i="3"/>
  <c r="Y325" i="3"/>
  <c r="U325" i="3"/>
  <c r="AA214" i="3"/>
  <c r="W214" i="3"/>
  <c r="Y165" i="3"/>
  <c r="U165" i="3"/>
  <c r="W87" i="3"/>
  <c r="AA87" i="3"/>
  <c r="AA314" i="3"/>
  <c r="W314" i="3"/>
  <c r="AA218" i="3"/>
  <c r="W218" i="3"/>
  <c r="W119" i="3"/>
  <c r="AA119" i="3"/>
  <c r="Y289" i="3"/>
  <c r="U289" i="3"/>
  <c r="Y161" i="3"/>
  <c r="U161" i="3"/>
  <c r="W104" i="3"/>
  <c r="AA104" i="3"/>
  <c r="W328" i="3"/>
  <c r="AA328" i="3"/>
  <c r="R167" i="3"/>
  <c r="W223" i="3"/>
  <c r="AA223" i="3"/>
  <c r="W383" i="3"/>
  <c r="AA383" i="3"/>
  <c r="W392" i="3"/>
  <c r="AA392" i="3"/>
  <c r="I167" i="20"/>
  <c r="K167" i="20"/>
  <c r="J167" i="20"/>
  <c r="K27" i="20"/>
  <c r="J27" i="20"/>
  <c r="I27" i="20"/>
  <c r="K63" i="16"/>
  <c r="I212" i="16"/>
  <c r="J212" i="16" s="1"/>
  <c r="M63" i="16"/>
  <c r="D238" i="16"/>
  <c r="H210" i="16"/>
  <c r="F114" i="11"/>
  <c r="H114" i="11" s="1"/>
  <c r="I114" i="11" s="1"/>
  <c r="M204" i="20"/>
  <c r="S204" i="20"/>
  <c r="R204" i="20"/>
  <c r="O204" i="20"/>
  <c r="T204" i="20"/>
  <c r="P204" i="20"/>
  <c r="N204" i="20"/>
  <c r="Q204" i="20"/>
  <c r="M190" i="16"/>
  <c r="L154" i="16"/>
  <c r="L78" i="16"/>
  <c r="K188" i="16"/>
  <c r="I228" i="16"/>
  <c r="L134" i="16"/>
  <c r="L116" i="16"/>
  <c r="H212" i="16"/>
  <c r="L219" i="16"/>
  <c r="J219" i="16"/>
  <c r="H236" i="16"/>
  <c r="I215" i="16"/>
  <c r="J215" i="16" s="1"/>
  <c r="M134" i="16"/>
  <c r="I105" i="20"/>
  <c r="K105" i="20"/>
  <c r="J105" i="20"/>
  <c r="K82" i="20"/>
  <c r="J82" i="20"/>
  <c r="I82" i="20"/>
  <c r="H8" i="20"/>
  <c r="H208" i="20" s="1"/>
  <c r="Q199" i="16"/>
  <c r="Q191" i="16"/>
  <c r="Q183" i="16"/>
  <c r="Q175" i="16"/>
  <c r="Q167" i="16"/>
  <c r="Q159" i="16"/>
  <c r="Q151" i="16"/>
  <c r="Q143" i="16"/>
  <c r="Q135" i="16"/>
  <c r="Q200" i="16"/>
  <c r="Q192" i="16"/>
  <c r="Q184" i="16"/>
  <c r="Q176" i="16"/>
  <c r="Q168" i="16"/>
  <c r="Q160" i="16"/>
  <c r="Q152" i="16"/>
  <c r="Q144" i="16"/>
  <c r="Q136" i="16"/>
  <c r="Q128" i="16"/>
  <c r="Q198" i="16"/>
  <c r="Q190" i="16"/>
  <c r="Q182" i="16"/>
  <c r="Q205" i="16"/>
  <c r="Q189" i="16"/>
  <c r="Q177" i="16"/>
  <c r="Q173" i="16"/>
  <c r="Q169" i="16"/>
  <c r="Q165" i="16"/>
  <c r="Q161" i="16"/>
  <c r="Q157" i="16"/>
  <c r="Q153" i="16"/>
  <c r="Q149" i="16"/>
  <c r="Q145" i="16"/>
  <c r="Q141" i="16"/>
  <c r="Q137" i="16"/>
  <c r="Q133" i="16"/>
  <c r="Q129" i="16"/>
  <c r="Q119" i="16"/>
  <c r="Q111" i="16"/>
  <c r="Q103" i="16"/>
  <c r="Q95" i="16"/>
  <c r="Q87" i="16"/>
  <c r="Q79" i="16"/>
  <c r="Q71" i="16"/>
  <c r="Q63" i="16"/>
  <c r="Q55" i="16"/>
  <c r="Q203" i="16"/>
  <c r="Q187" i="16"/>
  <c r="Q172" i="16"/>
  <c r="Q164" i="16"/>
  <c r="Q156" i="16"/>
  <c r="Q148" i="16"/>
  <c r="Q140" i="16"/>
  <c r="Q132" i="16"/>
  <c r="Q114" i="16"/>
  <c r="Q106" i="16"/>
  <c r="Q98" i="16"/>
  <c r="Q90" i="16"/>
  <c r="F206" i="16"/>
  <c r="Q197" i="16"/>
  <c r="Q181" i="16"/>
  <c r="Q178" i="16"/>
  <c r="Q170" i="16"/>
  <c r="Q162" i="16"/>
  <c r="Q154" i="16"/>
  <c r="Q146" i="16"/>
  <c r="Q196" i="16"/>
  <c r="Q193" i="16"/>
  <c r="Q180" i="16"/>
  <c r="Q174" i="16"/>
  <c r="Q166" i="16"/>
  <c r="Q158" i="16"/>
  <c r="Q185" i="16"/>
  <c r="Q147" i="16"/>
  <c r="Q80" i="16"/>
  <c r="Q70" i="16"/>
  <c r="Q64" i="16"/>
  <c r="Q54" i="16"/>
  <c r="Q50" i="16"/>
  <c r="Q46" i="16"/>
  <c r="Q42" i="16"/>
  <c r="Q38" i="16"/>
  <c r="Q34" i="16"/>
  <c r="Q202" i="16"/>
  <c r="Q188" i="16"/>
  <c r="Q134" i="16"/>
  <c r="Q126" i="16"/>
  <c r="Q120" i="16"/>
  <c r="Q118" i="16"/>
  <c r="Q116" i="16"/>
  <c r="Q112" i="16"/>
  <c r="Q110" i="16"/>
  <c r="Q108" i="16"/>
  <c r="Q104" i="16"/>
  <c r="Q102" i="16"/>
  <c r="Q100" i="16"/>
  <c r="Q96" i="16"/>
  <c r="Q94" i="16"/>
  <c r="Q92" i="16"/>
  <c r="Q88" i="16"/>
  <c r="Q86" i="16"/>
  <c r="Q77" i="16"/>
  <c r="Q74" i="16"/>
  <c r="Q61" i="16"/>
  <c r="Q58" i="16"/>
  <c r="Q195" i="16"/>
  <c r="Q171" i="16"/>
  <c r="Q124" i="16"/>
  <c r="Q115" i="16"/>
  <c r="Q107" i="16"/>
  <c r="Q99" i="16"/>
  <c r="Q91" i="16"/>
  <c r="Q78" i="16"/>
  <c r="Q72" i="16"/>
  <c r="Q62" i="16"/>
  <c r="Q186" i="16"/>
  <c r="Q204" i="16"/>
  <c r="Q194" i="16"/>
  <c r="Q155" i="16"/>
  <c r="Q150" i="16"/>
  <c r="Q139" i="16"/>
  <c r="Q122" i="16"/>
  <c r="Q105" i="16"/>
  <c r="Q84" i="16"/>
  <c r="Q69" i="16"/>
  <c r="Q59" i="16"/>
  <c r="Q56" i="16"/>
  <c r="Q47" i="16"/>
  <c r="Q26" i="16"/>
  <c r="Q17" i="16"/>
  <c r="Q10" i="16"/>
  <c r="Q201" i="16"/>
  <c r="Q109" i="16"/>
  <c r="Q131" i="16"/>
  <c r="Q130" i="16"/>
  <c r="Q85" i="16"/>
  <c r="Q67" i="16"/>
  <c r="Q44" i="16"/>
  <c r="Q37" i="16"/>
  <c r="Q31" i="16"/>
  <c r="Q24" i="16"/>
  <c r="Q125" i="16"/>
  <c r="Q117" i="16"/>
  <c r="Q113" i="16"/>
  <c r="Q82" i="16"/>
  <c r="Q75" i="16"/>
  <c r="Q40" i="16"/>
  <c r="Q101" i="16"/>
  <c r="Q83" i="16"/>
  <c r="Q65" i="16"/>
  <c r="Q53" i="16"/>
  <c r="Q121" i="16"/>
  <c r="Q97" i="16"/>
  <c r="Q93" i="16"/>
  <c r="Q89" i="16"/>
  <c r="Q81" i="16"/>
  <c r="Q73" i="16"/>
  <c r="Q49" i="16"/>
  <c r="Q30" i="16"/>
  <c r="Q16" i="16"/>
  <c r="Q9" i="16"/>
  <c r="Q60" i="16"/>
  <c r="Q52" i="16"/>
  <c r="Q45" i="16"/>
  <c r="Q35" i="16"/>
  <c r="Q32" i="16"/>
  <c r="Q25" i="16"/>
  <c r="Q11" i="16"/>
  <c r="Q163" i="16"/>
  <c r="Q127" i="16"/>
  <c r="Q123" i="16"/>
  <c r="Q179" i="16"/>
  <c r="Q142" i="16"/>
  <c r="Q138" i="16"/>
  <c r="Q23" i="16"/>
  <c r="Q13" i="16"/>
  <c r="Q48" i="16"/>
  <c r="Q39" i="16"/>
  <c r="Q36" i="16"/>
  <c r="Q14" i="16"/>
  <c r="Q12" i="16"/>
  <c r="Q22" i="16"/>
  <c r="Q51" i="16"/>
  <c r="Q41" i="16"/>
  <c r="Q21" i="16"/>
  <c r="Q20" i="16"/>
  <c r="Q57" i="16"/>
  <c r="Q19" i="16"/>
  <c r="Q18" i="16"/>
  <c r="Q8" i="16"/>
  <c r="Q43" i="16"/>
  <c r="Q33" i="16"/>
  <c r="Q29" i="16"/>
  <c r="Q7" i="16"/>
  <c r="Q6" i="16"/>
  <c r="Q68" i="16"/>
  <c r="Q66" i="16"/>
  <c r="Q28" i="16"/>
  <c r="Q76" i="16"/>
  <c r="Q27" i="16"/>
  <c r="Q15" i="16"/>
  <c r="H232" i="16"/>
  <c r="F96" i="11"/>
  <c r="H96" i="11" s="1"/>
  <c r="I96" i="11" s="1"/>
  <c r="F135" i="11"/>
  <c r="H135" i="11" s="1"/>
  <c r="I135" i="11" s="1"/>
  <c r="F191" i="11"/>
  <c r="H191" i="11" s="1"/>
  <c r="I191" i="11" s="1"/>
  <c r="F154" i="11"/>
  <c r="H154" i="11" s="1"/>
  <c r="I154" i="11" s="1"/>
  <c r="F94" i="11"/>
  <c r="H94" i="11" s="1"/>
  <c r="I94" i="11" s="1"/>
  <c r="F158" i="11"/>
  <c r="H158" i="11" s="1"/>
  <c r="I158" i="11" s="1"/>
  <c r="F219" i="11"/>
  <c r="H219" i="11" s="1"/>
  <c r="I219" i="11" s="1"/>
  <c r="F251" i="11"/>
  <c r="H251" i="11" s="1"/>
  <c r="I251" i="11" s="1"/>
  <c r="E12" i="7" a="1"/>
  <c r="E12" i="7" s="1"/>
  <c r="D17" i="7" a="1"/>
  <c r="D17" i="7" s="1"/>
  <c r="L561" i="6"/>
  <c r="L414" i="6"/>
  <c r="L366" i="6"/>
  <c r="L158" i="6"/>
  <c r="L110" i="6"/>
  <c r="L70" i="6"/>
  <c r="S6" i="7"/>
  <c r="L605" i="6"/>
  <c r="Q10" i="7"/>
  <c r="L7" i="6"/>
  <c r="L168" i="6"/>
  <c r="L636" i="6"/>
  <c r="L91" i="6"/>
  <c r="S5" i="7"/>
  <c r="L675" i="6"/>
  <c r="L641" i="6"/>
  <c r="L371" i="6"/>
  <c r="L502" i="6"/>
  <c r="L359" i="6"/>
  <c r="F182" i="5"/>
  <c r="P3" i="5" a="1"/>
  <c r="P3" i="5" s="1"/>
  <c r="L167" i="6"/>
  <c r="C11" i="7" a="1"/>
  <c r="C11" i="7" s="1"/>
  <c r="E10" i="7" a="1"/>
  <c r="E10" i="7" s="1"/>
  <c r="E13" i="7" a="1"/>
  <c r="E13" i="7" s="1"/>
  <c r="C12" i="7" a="1"/>
  <c r="C12" i="7" s="1"/>
  <c r="I18" i="7"/>
  <c r="M18" i="7" s="1"/>
  <c r="M4" i="7"/>
  <c r="Y285" i="3"/>
  <c r="U285" i="3"/>
  <c r="Q6" i="4"/>
  <c r="E4" i="8"/>
  <c r="C6" i="8"/>
  <c r="C4" i="8" s="1"/>
  <c r="B173" i="2"/>
  <c r="R373" i="3"/>
  <c r="R309" i="3"/>
  <c r="R245" i="3"/>
  <c r="R181" i="3"/>
  <c r="R117" i="3"/>
  <c r="R53" i="3"/>
  <c r="R257" i="3"/>
  <c r="AA354" i="3"/>
  <c r="W354" i="3"/>
  <c r="AA322" i="3"/>
  <c r="W322" i="3"/>
  <c r="AA290" i="3"/>
  <c r="W290" i="3"/>
  <c r="U145" i="3"/>
  <c r="Y145" i="3"/>
  <c r="R113" i="3"/>
  <c r="R365" i="3"/>
  <c r="U333" i="3"/>
  <c r="Y333" i="3"/>
  <c r="AA254" i="3"/>
  <c r="W254" i="3"/>
  <c r="U196" i="3"/>
  <c r="Y196" i="3"/>
  <c r="U135" i="3"/>
  <c r="Y135" i="3"/>
  <c r="R109" i="3"/>
  <c r="U77" i="3"/>
  <c r="Y77" i="3"/>
  <c r="R325" i="3"/>
  <c r="W279" i="3"/>
  <c r="AA279" i="3"/>
  <c r="R165" i="3"/>
  <c r="U361" i="3"/>
  <c r="Y361" i="3"/>
  <c r="W347" i="3"/>
  <c r="AA347" i="3"/>
  <c r="Y323" i="3"/>
  <c r="U323" i="3"/>
  <c r="U288" i="3"/>
  <c r="Y288" i="3"/>
  <c r="Y227" i="3"/>
  <c r="U227" i="3"/>
  <c r="U192" i="3"/>
  <c r="Y192" i="3"/>
  <c r="U137" i="3"/>
  <c r="Y137" i="3"/>
  <c r="W123" i="3"/>
  <c r="AA123" i="3"/>
  <c r="Y99" i="3"/>
  <c r="U99" i="3"/>
  <c r="W59" i="3"/>
  <c r="AA59" i="3"/>
  <c r="Y35" i="3"/>
  <c r="U35" i="3"/>
  <c r="W55" i="3"/>
  <c r="AA55" i="3"/>
  <c r="R289" i="3"/>
  <c r="R161" i="3"/>
  <c r="AA380" i="3"/>
  <c r="W380" i="3"/>
  <c r="W139" i="3"/>
  <c r="AA139" i="3"/>
  <c r="R135" i="3"/>
  <c r="R323" i="3"/>
  <c r="W75" i="3"/>
  <c r="AA75" i="3"/>
  <c r="W43" i="3"/>
  <c r="AA43" i="3"/>
  <c r="AA188" i="3"/>
  <c r="W188" i="3"/>
  <c r="M84" i="16"/>
  <c r="K84" i="16"/>
  <c r="K38" i="20"/>
  <c r="J38" i="20"/>
  <c r="I38" i="20"/>
  <c r="K28" i="16"/>
  <c r="F238" i="16"/>
  <c r="K141" i="16"/>
  <c r="M141" i="16"/>
  <c r="H221" i="16"/>
  <c r="L14" i="16"/>
  <c r="M180" i="20"/>
  <c r="Q180" i="20"/>
  <c r="R180" i="20"/>
  <c r="S180" i="20"/>
  <c r="P180" i="20"/>
  <c r="O180" i="20"/>
  <c r="N180" i="20"/>
  <c r="T180" i="20"/>
  <c r="M231" i="16"/>
  <c r="H231" i="16"/>
  <c r="P84" i="20"/>
  <c r="O84" i="20"/>
  <c r="N84" i="20"/>
  <c r="M84" i="20"/>
  <c r="T84" i="20"/>
  <c r="S84" i="20"/>
  <c r="Q84" i="20"/>
  <c r="R84" i="20"/>
  <c r="O145" i="16"/>
  <c r="G147" i="20" s="1"/>
  <c r="L145" i="16"/>
  <c r="I198" i="20"/>
  <c r="K198" i="20"/>
  <c r="J198" i="20"/>
  <c r="H222" i="16"/>
  <c r="L232" i="16"/>
  <c r="M232" i="16" s="1"/>
  <c r="M230" i="16"/>
  <c r="H230" i="16"/>
  <c r="M167" i="16"/>
  <c r="H213" i="16"/>
  <c r="L192" i="16"/>
  <c r="H228" i="16"/>
  <c r="M174" i="16"/>
  <c r="K174" i="16"/>
  <c r="K124" i="20"/>
  <c r="I124" i="20"/>
  <c r="J124" i="20"/>
  <c r="J56" i="20"/>
  <c r="K56" i="20"/>
  <c r="I56" i="20"/>
  <c r="H217" i="16"/>
  <c r="H223" i="16"/>
  <c r="I89" i="20"/>
  <c r="K89" i="20"/>
  <c r="J89" i="20"/>
  <c r="L146" i="16"/>
  <c r="L217" i="16"/>
  <c r="M217" i="16" s="1"/>
  <c r="K49" i="20"/>
  <c r="I49" i="20"/>
  <c r="J49" i="20"/>
  <c r="M61" i="16"/>
  <c r="J233" i="16"/>
  <c r="L233" i="16"/>
  <c r="M233" i="16" s="1"/>
  <c r="M43" i="16"/>
  <c r="N204" i="16"/>
  <c r="N196" i="16"/>
  <c r="N188" i="16"/>
  <c r="N180" i="16"/>
  <c r="N172" i="16"/>
  <c r="N164" i="16"/>
  <c r="N156" i="16"/>
  <c r="N148" i="16"/>
  <c r="N140" i="16"/>
  <c r="N132" i="16"/>
  <c r="N205" i="16"/>
  <c r="N197" i="16"/>
  <c r="N189" i="16"/>
  <c r="N181" i="16"/>
  <c r="N173" i="16"/>
  <c r="N165" i="16"/>
  <c r="N157" i="16"/>
  <c r="N149" i="16"/>
  <c r="N141" i="16"/>
  <c r="N133" i="16"/>
  <c r="N125" i="16"/>
  <c r="I206" i="16"/>
  <c r="N203" i="16"/>
  <c r="N195" i="16"/>
  <c r="N187" i="16"/>
  <c r="N193" i="16"/>
  <c r="N122" i="16"/>
  <c r="N116" i="16"/>
  <c r="N108" i="16"/>
  <c r="N100" i="16"/>
  <c r="N92" i="16"/>
  <c r="N84" i="16"/>
  <c r="N76" i="16"/>
  <c r="N68" i="16"/>
  <c r="N60" i="16"/>
  <c r="N198" i="16"/>
  <c r="N192" i="16"/>
  <c r="N182" i="16"/>
  <c r="N177" i="16"/>
  <c r="N175" i="16"/>
  <c r="N169" i="16"/>
  <c r="N167" i="16"/>
  <c r="N161" i="16"/>
  <c r="N159" i="16"/>
  <c r="N153" i="16"/>
  <c r="N151" i="16"/>
  <c r="N145" i="16"/>
  <c r="N143" i="16"/>
  <c r="N137" i="16"/>
  <c r="N135" i="16"/>
  <c r="N129" i="16"/>
  <c r="N119" i="16"/>
  <c r="N111" i="16"/>
  <c r="N103" i="16"/>
  <c r="N95" i="16"/>
  <c r="N87" i="16"/>
  <c r="N201" i="16"/>
  <c r="N185" i="16"/>
  <c r="I224" i="16"/>
  <c r="J224" i="16" s="1"/>
  <c r="N194" i="16"/>
  <c r="N191" i="16"/>
  <c r="N150" i="16"/>
  <c r="N139" i="16"/>
  <c r="N121" i="16"/>
  <c r="N113" i="16"/>
  <c r="N105" i="16"/>
  <c r="N97" i="16"/>
  <c r="N89" i="16"/>
  <c r="N82" i="16"/>
  <c r="N66" i="16"/>
  <c r="N53" i="16"/>
  <c r="N49" i="16"/>
  <c r="N45" i="16"/>
  <c r="N41" i="16"/>
  <c r="N37" i="16"/>
  <c r="N33" i="16"/>
  <c r="N183" i="16"/>
  <c r="N130" i="16"/>
  <c r="N123" i="16"/>
  <c r="N79" i="16"/>
  <c r="N63" i="16"/>
  <c r="N202" i="16"/>
  <c r="N184" i="16"/>
  <c r="N179" i="16"/>
  <c r="N178" i="16"/>
  <c r="N174" i="16"/>
  <c r="N160" i="16"/>
  <c r="N155" i="16"/>
  <c r="N144" i="16"/>
  <c r="N128" i="16"/>
  <c r="N114" i="16"/>
  <c r="N106" i="16"/>
  <c r="N98" i="16"/>
  <c r="N90" i="16"/>
  <c r="N74" i="16"/>
  <c r="N190" i="16"/>
  <c r="N176" i="16"/>
  <c r="N154" i="16"/>
  <c r="N136" i="16"/>
  <c r="N171" i="16"/>
  <c r="N170" i="16"/>
  <c r="N138" i="16"/>
  <c r="N86" i="16"/>
  <c r="N81" i="16"/>
  <c r="N71" i="16"/>
  <c r="N57" i="16"/>
  <c r="N43" i="16"/>
  <c r="N21" i="16"/>
  <c r="N166" i="16"/>
  <c r="N147" i="16"/>
  <c r="N146" i="16"/>
  <c r="N134" i="16"/>
  <c r="N112" i="16"/>
  <c r="N168" i="16"/>
  <c r="N142" i="16"/>
  <c r="N124" i="16"/>
  <c r="N110" i="16"/>
  <c r="N78" i="16"/>
  <c r="N55" i="16"/>
  <c r="N54" i="16"/>
  <c r="N27" i="16"/>
  <c r="N22" i="16"/>
  <c r="N20" i="16"/>
  <c r="N13" i="16"/>
  <c r="N85" i="16"/>
  <c r="N67" i="16"/>
  <c r="N59" i="16"/>
  <c r="N51" i="16"/>
  <c r="N48" i="16"/>
  <c r="N158" i="16"/>
  <c r="N131" i="16"/>
  <c r="N115" i="16"/>
  <c r="N104" i="16"/>
  <c r="N99" i="16"/>
  <c r="N75" i="16"/>
  <c r="N200" i="16"/>
  <c r="N126" i="16"/>
  <c r="N120" i="16"/>
  <c r="N118" i="16"/>
  <c r="N117" i="16"/>
  <c r="N102" i="16"/>
  <c r="N96" i="16"/>
  <c r="N88" i="16"/>
  <c r="N186" i="16"/>
  <c r="N152" i="16"/>
  <c r="N107" i="16"/>
  <c r="N101" i="16"/>
  <c r="N94" i="16"/>
  <c r="N91" i="16"/>
  <c r="N64" i="16"/>
  <c r="N50" i="16"/>
  <c r="N46" i="16"/>
  <c r="N36" i="16"/>
  <c r="N28" i="16"/>
  <c r="N14" i="16"/>
  <c r="N7" i="16"/>
  <c r="N93" i="16"/>
  <c r="N80" i="16"/>
  <c r="N73" i="16"/>
  <c r="N72" i="16"/>
  <c r="N61" i="16"/>
  <c r="N56" i="16"/>
  <c r="N39" i="16"/>
  <c r="N30" i="16"/>
  <c r="N23" i="16"/>
  <c r="N162" i="16"/>
  <c r="N109" i="16"/>
  <c r="N199" i="16"/>
  <c r="N163" i="16"/>
  <c r="N127" i="16"/>
  <c r="N77" i="16"/>
  <c r="N69" i="16"/>
  <c r="N35" i="16"/>
  <c r="N26" i="16"/>
  <c r="N25" i="16"/>
  <c r="N24" i="16"/>
  <c r="N15" i="16"/>
  <c r="K6" i="16"/>
  <c r="N38" i="16"/>
  <c r="N10" i="16"/>
  <c r="N70" i="16"/>
  <c r="N40" i="16"/>
  <c r="N12" i="16"/>
  <c r="N11" i="16"/>
  <c r="N52" i="16"/>
  <c r="N42" i="16"/>
  <c r="N31" i="16"/>
  <c r="N83" i="16"/>
  <c r="N65" i="16"/>
  <c r="N62" i="16"/>
  <c r="N32" i="16"/>
  <c r="N19" i="16"/>
  <c r="N18" i="16"/>
  <c r="N17" i="16"/>
  <c r="N8" i="16"/>
  <c r="N6" i="16"/>
  <c r="N206" i="16" s="1"/>
  <c r="N29" i="16"/>
  <c r="N34" i="16"/>
  <c r="N44" i="16"/>
  <c r="N9" i="16"/>
  <c r="N16" i="16"/>
  <c r="N58" i="16"/>
  <c r="N47" i="16"/>
  <c r="H220" i="16"/>
  <c r="K48" i="16"/>
  <c r="L22" i="16"/>
  <c r="H237" i="16"/>
  <c r="I232" i="16"/>
  <c r="J232" i="16" s="1"/>
  <c r="M12" i="16"/>
  <c r="O67" i="16"/>
  <c r="G69" i="20" s="1"/>
  <c r="O11" i="16"/>
  <c r="G13" i="20" s="1"/>
  <c r="F196" i="11"/>
  <c r="H196" i="11" s="1"/>
  <c r="I196" i="11" s="1"/>
  <c r="F105" i="11"/>
  <c r="H105" i="11" s="1"/>
  <c r="I105" i="11" s="1"/>
  <c r="F240" i="11"/>
  <c r="H240" i="11" s="1"/>
  <c r="I240" i="11" s="1"/>
  <c r="F152" i="11"/>
  <c r="H152" i="11" s="1"/>
  <c r="I152" i="11" s="1"/>
  <c r="F108" i="11"/>
  <c r="H108" i="11" s="1"/>
  <c r="I108" i="11" s="1"/>
  <c r="F216" i="11"/>
  <c r="H216" i="11" s="1"/>
  <c r="I216" i="11" s="1"/>
  <c r="F173" i="11"/>
  <c r="H173" i="11" s="1"/>
  <c r="I173" i="11" s="1"/>
  <c r="F111" i="11"/>
  <c r="H111" i="11" s="1"/>
  <c r="I111" i="11" s="1"/>
  <c r="F224" i="11"/>
  <c r="H224" i="11" s="1"/>
  <c r="I224" i="11" s="1"/>
  <c r="F129" i="11"/>
  <c r="H129" i="11" s="1"/>
  <c r="I129" i="11" s="1"/>
  <c r="F149" i="11"/>
  <c r="H149" i="11" s="1"/>
  <c r="I149" i="11" s="1"/>
  <c r="F98" i="11"/>
  <c r="H98" i="11" s="1"/>
  <c r="I98" i="11" s="1"/>
  <c r="F162" i="11"/>
  <c r="H162" i="11" s="1"/>
  <c r="I162" i="11" s="1"/>
  <c r="F226" i="11"/>
  <c r="H226" i="11" s="1"/>
  <c r="I226" i="11" s="1"/>
  <c r="F212" i="11"/>
  <c r="H212" i="11" s="1"/>
  <c r="I212" i="11" s="1"/>
  <c r="F102" i="11"/>
  <c r="H102" i="11" s="1"/>
  <c r="I102" i="11" s="1"/>
  <c r="F166" i="11"/>
  <c r="H166" i="11" s="1"/>
  <c r="I166" i="11" s="1"/>
  <c r="F230" i="11"/>
  <c r="H230" i="11" s="1"/>
  <c r="I230" i="11" s="1"/>
  <c r="F163" i="11"/>
  <c r="H163" i="11" s="1"/>
  <c r="I163" i="11" s="1"/>
  <c r="F227" i="11"/>
  <c r="H227" i="11" s="1"/>
  <c r="I227" i="11" s="1"/>
  <c r="F250" i="11"/>
  <c r="H250" i="11" s="1"/>
  <c r="I250" i="11" s="1"/>
  <c r="F16" i="11"/>
  <c r="H16" i="11" s="1"/>
  <c r="I16" i="11" s="1"/>
  <c r="L647" i="6"/>
  <c r="L629" i="6"/>
  <c r="L471" i="6"/>
  <c r="L412" i="6"/>
  <c r="L348" i="6"/>
  <c r="L284" i="6"/>
  <c r="L220" i="6"/>
  <c r="L156" i="6"/>
  <c r="L92" i="6"/>
  <c r="L28" i="6"/>
  <c r="L795" i="6"/>
  <c r="L585" i="6"/>
  <c r="L452" i="6"/>
  <c r="R13" i="7"/>
  <c r="C20" i="8"/>
  <c r="L467" i="6"/>
  <c r="L408" i="6"/>
  <c r="L303" i="6"/>
  <c r="L211" i="6"/>
  <c r="L152" i="6"/>
  <c r="L47" i="6"/>
  <c r="R10" i="7"/>
  <c r="R6" i="7"/>
  <c r="L455" i="6"/>
  <c r="L135" i="6"/>
  <c r="S10" i="7"/>
  <c r="E7" i="7" a="1"/>
  <c r="E7" i="7" s="1"/>
  <c r="L656" i="6"/>
  <c r="L392" i="6"/>
  <c r="L148" i="6"/>
  <c r="L376" i="6"/>
  <c r="L283" i="6"/>
  <c r="L160" i="6"/>
  <c r="F181" i="5"/>
  <c r="L755" i="6"/>
  <c r="L321" i="6"/>
  <c r="L54" i="6"/>
  <c r="L576" i="6"/>
  <c r="L374" i="6"/>
  <c r="L296" i="6"/>
  <c r="L182" i="6"/>
  <c r="L39" i="6"/>
  <c r="L278" i="6"/>
  <c r="F180" i="5"/>
  <c r="L679" i="6"/>
  <c r="Z4" i="7"/>
  <c r="L487" i="6"/>
  <c r="L295" i="6"/>
  <c r="L609" i="6"/>
  <c r="L248" i="6"/>
  <c r="C4" i="7" a="1"/>
  <c r="C4" i="7" s="1"/>
  <c r="C15" i="7" a="1"/>
  <c r="C15" i="7" s="1"/>
  <c r="C7" i="7" a="1"/>
  <c r="C7" i="7" s="1"/>
  <c r="F7" i="7" s="1"/>
  <c r="L503" i="6"/>
  <c r="P11" i="5" a="1"/>
  <c r="P11" i="5" s="1"/>
  <c r="F172" i="5"/>
  <c r="L794" i="6"/>
  <c r="L385" i="6"/>
  <c r="L554" i="6"/>
  <c r="R285" i="3"/>
  <c r="Y189" i="3"/>
  <c r="U189" i="3"/>
  <c r="P8" i="4"/>
  <c r="Q3" i="4"/>
  <c r="Y313" i="3"/>
  <c r="U313" i="3"/>
  <c r="M23" i="3"/>
  <c r="Y185" i="3"/>
  <c r="U185" i="3"/>
  <c r="Y57" i="3"/>
  <c r="U57" i="3"/>
  <c r="C7" i="8"/>
  <c r="C8" i="8" s="1"/>
  <c r="AA386" i="3"/>
  <c r="W386" i="3"/>
  <c r="U177" i="3"/>
  <c r="Y177" i="3"/>
  <c r="R145" i="3"/>
  <c r="O11" i="5" a="1"/>
  <c r="O11" i="5" s="1"/>
  <c r="U388" i="3"/>
  <c r="Y388" i="3"/>
  <c r="U359" i="3"/>
  <c r="Y359" i="3"/>
  <c r="R333" i="3"/>
  <c r="U301" i="3"/>
  <c r="Y301" i="3"/>
  <c r="AA222" i="3"/>
  <c r="W222" i="3"/>
  <c r="U164" i="3"/>
  <c r="Y164" i="3"/>
  <c r="U103" i="3"/>
  <c r="Y103" i="3"/>
  <c r="R77" i="3"/>
  <c r="U45" i="3"/>
  <c r="Y45" i="3"/>
  <c r="Y389" i="3"/>
  <c r="U389" i="3"/>
  <c r="W343" i="3"/>
  <c r="AA343" i="3"/>
  <c r="AA278" i="3"/>
  <c r="W278" i="3"/>
  <c r="Y229" i="3"/>
  <c r="U229" i="3"/>
  <c r="W183" i="3"/>
  <c r="AA183" i="3"/>
  <c r="U156" i="3"/>
  <c r="Y156" i="3"/>
  <c r="R361" i="3"/>
  <c r="AA346" i="3"/>
  <c r="W346" i="3"/>
  <c r="U265" i="3"/>
  <c r="Y265" i="3"/>
  <c r="W251" i="3"/>
  <c r="AA251" i="3"/>
  <c r="R156" i="3"/>
  <c r="R137" i="3"/>
  <c r="AA122" i="3"/>
  <c r="W122" i="3"/>
  <c r="Y73" i="3"/>
  <c r="U73" i="3"/>
  <c r="AA58" i="3"/>
  <c r="W58" i="3"/>
  <c r="Y95" i="3"/>
  <c r="U95" i="3"/>
  <c r="Y353" i="3"/>
  <c r="U353" i="3"/>
  <c r="Y225" i="3"/>
  <c r="U225" i="3"/>
  <c r="M22" i="3"/>
  <c r="W63" i="3"/>
  <c r="AA63" i="3"/>
  <c r="W287" i="3"/>
  <c r="AA287" i="3"/>
  <c r="R99" i="3"/>
  <c r="W232" i="3"/>
  <c r="AA232" i="3"/>
  <c r="W200" i="3"/>
  <c r="AA200" i="3"/>
  <c r="R288" i="3"/>
  <c r="W351" i="3"/>
  <c r="AA351" i="3"/>
  <c r="I230" i="16"/>
  <c r="L230" i="16" s="1"/>
  <c r="K166" i="16"/>
  <c r="K59" i="20"/>
  <c r="I59" i="20"/>
  <c r="J59" i="20"/>
  <c r="I213" i="16"/>
  <c r="K37" i="16"/>
  <c r="L40" i="16"/>
  <c r="L100" i="16"/>
  <c r="N74" i="20"/>
  <c r="M74" i="20"/>
  <c r="T74" i="20"/>
  <c r="S74" i="20"/>
  <c r="R74" i="20"/>
  <c r="P74" i="20"/>
  <c r="Q74" i="20"/>
  <c r="O74" i="20"/>
  <c r="L227" i="16"/>
  <c r="J227" i="16"/>
  <c r="M74" i="16"/>
  <c r="K74" i="16"/>
  <c r="I210" i="16"/>
  <c r="J210" i="16" s="1"/>
  <c r="K159" i="20"/>
  <c r="I159" i="20"/>
  <c r="J159" i="20"/>
  <c r="I218" i="16"/>
  <c r="J218" i="16" s="1"/>
  <c r="M205" i="16"/>
  <c r="L167" i="16"/>
  <c r="M160" i="16"/>
  <c r="I78" i="20"/>
  <c r="M68" i="16"/>
  <c r="K68" i="16"/>
  <c r="H235" i="16"/>
  <c r="K149" i="16"/>
  <c r="I223" i="16"/>
  <c r="M149" i="16"/>
  <c r="O105" i="16"/>
  <c r="G107" i="20" s="1"/>
  <c r="L105" i="16"/>
  <c r="M227" i="16"/>
  <c r="H227" i="16"/>
  <c r="K33" i="20"/>
  <c r="J33" i="20"/>
  <c r="I33" i="20"/>
  <c r="L110" i="16"/>
  <c r="O110" i="16"/>
  <c r="G112" i="20" s="1"/>
  <c r="K32" i="20"/>
  <c r="J32" i="20"/>
  <c r="I32" i="20"/>
  <c r="O9" i="16"/>
  <c r="G11" i="20" s="1"/>
  <c r="L9" i="16"/>
  <c r="I192" i="20"/>
  <c r="H216" i="16"/>
  <c r="J220" i="16"/>
  <c r="L220" i="16"/>
  <c r="M220" i="16" s="1"/>
  <c r="I216" i="16"/>
  <c r="J216" i="16" s="1"/>
  <c r="I214" i="16"/>
  <c r="J214" i="16" s="1"/>
  <c r="L43" i="16"/>
  <c r="H233" i="16"/>
  <c r="J236" i="16"/>
  <c r="L236" i="16"/>
  <c r="M236" i="16" s="1"/>
  <c r="I220" i="16"/>
  <c r="K202" i="16"/>
  <c r="M188" i="16"/>
  <c r="N157" i="20"/>
  <c r="R157" i="20"/>
  <c r="O157" i="20"/>
  <c r="P157" i="20"/>
  <c r="M157" i="20"/>
  <c r="Q157" i="20"/>
  <c r="T157" i="20"/>
  <c r="S157" i="20"/>
  <c r="I146" i="20"/>
  <c r="K146" i="20"/>
  <c r="J146" i="20"/>
  <c r="M211" i="16"/>
  <c r="H211" i="16"/>
  <c r="P100" i="20"/>
  <c r="O100" i="20"/>
  <c r="N100" i="20"/>
  <c r="M100" i="20"/>
  <c r="T100" i="20"/>
  <c r="S100" i="20"/>
  <c r="Q100" i="20"/>
  <c r="R100" i="20"/>
  <c r="M203" i="16"/>
  <c r="L187" i="16"/>
  <c r="I116" i="20"/>
  <c r="K116" i="20"/>
  <c r="J116" i="20"/>
  <c r="K183" i="20"/>
  <c r="I183" i="20"/>
  <c r="J183" i="20"/>
  <c r="L161" i="16"/>
  <c r="O161" i="16"/>
  <c r="G163" i="20" s="1"/>
  <c r="K145" i="20"/>
  <c r="J145" i="20"/>
  <c r="I145" i="20"/>
  <c r="O95" i="20"/>
  <c r="N95" i="20"/>
  <c r="M95" i="20"/>
  <c r="T95" i="20"/>
  <c r="S95" i="20"/>
  <c r="R95" i="20"/>
  <c r="Q95" i="20"/>
  <c r="P95" i="20"/>
  <c r="I193" i="20"/>
  <c r="J193" i="20"/>
  <c r="K193" i="20"/>
  <c r="H218" i="16"/>
  <c r="I226" i="16"/>
  <c r="J226" i="16" s="1"/>
  <c r="I127" i="20"/>
  <c r="K104" i="20"/>
  <c r="J104" i="20"/>
  <c r="I104" i="20"/>
  <c r="M125" i="16"/>
  <c r="K125" i="16"/>
  <c r="O121" i="16"/>
  <c r="G123" i="20" s="1"/>
  <c r="L121" i="16"/>
  <c r="I102" i="20"/>
  <c r="L90" i="16"/>
  <c r="L108" i="16"/>
  <c r="K73" i="16"/>
  <c r="I110" i="20"/>
  <c r="J234" i="16"/>
  <c r="L234" i="16"/>
  <c r="M234" i="16" s="1"/>
  <c r="I41" i="20"/>
  <c r="J225" i="16"/>
  <c r="I217" i="16"/>
  <c r="J217" i="16" s="1"/>
  <c r="K88" i="20"/>
  <c r="J88" i="20"/>
  <c r="I88" i="20"/>
  <c r="L21" i="16"/>
  <c r="K35" i="16"/>
  <c r="L55" i="16"/>
  <c r="L33" i="16"/>
  <c r="O33" i="16"/>
  <c r="G35" i="20" s="1"/>
  <c r="D208" i="20"/>
  <c r="A151" i="2"/>
  <c r="M7" i="16"/>
  <c r="I69" i="20"/>
  <c r="F205" i="11"/>
  <c r="H205" i="11" s="1"/>
  <c r="I205" i="11" s="1"/>
  <c r="F177" i="11"/>
  <c r="H177" i="11" s="1"/>
  <c r="I177" i="11" s="1"/>
  <c r="F124" i="11"/>
  <c r="H124" i="11" s="1"/>
  <c r="I124" i="11" s="1"/>
  <c r="F88" i="11"/>
  <c r="H88" i="11" s="1"/>
  <c r="I88" i="11" s="1"/>
  <c r="F183" i="11"/>
  <c r="H183" i="11" s="1"/>
  <c r="I183" i="11" s="1"/>
  <c r="F128" i="11"/>
  <c r="H128" i="11" s="1"/>
  <c r="I128" i="11" s="1"/>
  <c r="F159" i="11"/>
  <c r="H159" i="11" s="1"/>
  <c r="I159" i="11" s="1"/>
  <c r="F170" i="11"/>
  <c r="H170" i="11" s="1"/>
  <c r="I170" i="11" s="1"/>
  <c r="F234" i="11"/>
  <c r="H234" i="11" s="1"/>
  <c r="I234" i="11" s="1"/>
  <c r="F220" i="11"/>
  <c r="H220" i="11" s="1"/>
  <c r="I220" i="11" s="1"/>
  <c r="F110" i="11"/>
  <c r="H110" i="11" s="1"/>
  <c r="I110" i="11" s="1"/>
  <c r="F174" i="11"/>
  <c r="H174" i="11" s="1"/>
  <c r="I174" i="11" s="1"/>
  <c r="F107" i="11"/>
  <c r="H107" i="11" s="1"/>
  <c r="I107" i="11" s="1"/>
  <c r="F171" i="11"/>
  <c r="H171" i="11" s="1"/>
  <c r="I171" i="11" s="1"/>
  <c r="F235" i="11"/>
  <c r="H235" i="11" s="1"/>
  <c r="I235" i="11" s="1"/>
  <c r="F113" i="11"/>
  <c r="H113" i="11" s="1"/>
  <c r="I113" i="11" s="1"/>
  <c r="D7" i="7" a="1"/>
  <c r="D7" i="7" s="1"/>
  <c r="F29" i="11"/>
  <c r="H29" i="11" s="1"/>
  <c r="I29" i="11" s="1"/>
  <c r="L691" i="6"/>
  <c r="L752" i="6"/>
  <c r="L668" i="6"/>
  <c r="L407" i="6"/>
  <c r="L343" i="6"/>
  <c r="L279" i="6"/>
  <c r="L215" i="6"/>
  <c r="L151" i="6"/>
  <c r="L87" i="6"/>
  <c r="L23" i="6"/>
  <c r="R7" i="7"/>
  <c r="D10" i="7" a="1"/>
  <c r="D10" i="7" s="1"/>
  <c r="L350" i="6"/>
  <c r="L302" i="6"/>
  <c r="L6" i="6"/>
  <c r="J219" i="11" s="1" a="1"/>
  <c r="J219" i="11" s="1"/>
  <c r="L548" i="6"/>
  <c r="L263" i="6"/>
  <c r="L136" i="6"/>
  <c r="F179" i="5"/>
  <c r="L246" i="6"/>
  <c r="L732" i="6"/>
  <c r="L184" i="6"/>
  <c r="L504" i="6"/>
  <c r="L179" i="6"/>
  <c r="Q14" i="7"/>
  <c r="T14" i="7" s="1"/>
  <c r="F173" i="5"/>
  <c r="C71" i="2"/>
  <c r="F73" i="2"/>
  <c r="C72" i="2"/>
  <c r="F166" i="5"/>
  <c r="C5" i="7" a="1"/>
  <c r="C5" i="7" s="1"/>
  <c r="C8" i="7" a="1"/>
  <c r="C8" i="7" s="1"/>
  <c r="E18" i="7" a="1"/>
  <c r="E18" i="7" s="1"/>
  <c r="C6" i="7" a="1"/>
  <c r="C6" i="7" s="1"/>
  <c r="E74" i="2"/>
  <c r="L770" i="6"/>
  <c r="F174" i="5"/>
  <c r="Y349" i="3"/>
  <c r="U349" i="3"/>
  <c r="M20" i="3"/>
  <c r="Y93" i="3"/>
  <c r="U93" i="3"/>
  <c r="F4" i="8"/>
  <c r="D173" i="2"/>
  <c r="Y129" i="3"/>
  <c r="U129" i="3"/>
  <c r="U241" i="3"/>
  <c r="Y241" i="3"/>
  <c r="U209" i="3"/>
  <c r="Y209" i="3"/>
  <c r="AA66" i="3"/>
  <c r="W66" i="3"/>
  <c r="F77" i="2"/>
  <c r="O5" i="5" a="1"/>
  <c r="O5" i="5" s="1"/>
  <c r="U327" i="3"/>
  <c r="Y327" i="3"/>
  <c r="U269" i="3"/>
  <c r="Y269" i="3"/>
  <c r="AA190" i="3"/>
  <c r="W190" i="3"/>
  <c r="U132" i="3"/>
  <c r="Y132" i="3"/>
  <c r="U71" i="3"/>
  <c r="Y71" i="3"/>
  <c r="AA342" i="3"/>
  <c r="W342" i="3"/>
  <c r="Y293" i="3"/>
  <c r="U293" i="3"/>
  <c r="AA182" i="3"/>
  <c r="W182" i="3"/>
  <c r="Y101" i="3"/>
  <c r="U101" i="3"/>
  <c r="Y69" i="3"/>
  <c r="U69" i="3"/>
  <c r="U393" i="3"/>
  <c r="Y393" i="3"/>
  <c r="W379" i="3"/>
  <c r="AA379" i="3"/>
  <c r="Y355" i="3"/>
  <c r="U355" i="3"/>
  <c r="U320" i="3"/>
  <c r="Y320" i="3"/>
  <c r="AA250" i="3"/>
  <c r="W250" i="3"/>
  <c r="U224" i="3"/>
  <c r="Y224" i="3"/>
  <c r="Y169" i="3"/>
  <c r="U169" i="3"/>
  <c r="W155" i="3"/>
  <c r="AA155" i="3"/>
  <c r="Y131" i="3"/>
  <c r="U131" i="3"/>
  <c r="U96" i="3"/>
  <c r="Y96" i="3"/>
  <c r="M18" i="3"/>
  <c r="U92" i="3"/>
  <c r="Y92" i="3"/>
  <c r="W203" i="3"/>
  <c r="AA203" i="3"/>
  <c r="AA316" i="3"/>
  <c r="W316" i="3"/>
  <c r="O14" i="4"/>
  <c r="W395" i="3"/>
  <c r="AA395" i="3"/>
  <c r="Q7" i="4"/>
  <c r="W331" i="3"/>
  <c r="AA331" i="3"/>
  <c r="R196" i="3"/>
  <c r="W299" i="3"/>
  <c r="AA299" i="3"/>
  <c r="R164" i="3"/>
  <c r="P187" i="20"/>
  <c r="M187" i="20"/>
  <c r="N187" i="20"/>
  <c r="R187" i="20"/>
  <c r="O187" i="20"/>
  <c r="T187" i="20"/>
  <c r="S187" i="20"/>
  <c r="Q187" i="20"/>
  <c r="R154" i="20"/>
  <c r="O154" i="20"/>
  <c r="T154" i="20"/>
  <c r="M154" i="20"/>
  <c r="S154" i="20"/>
  <c r="Q154" i="20"/>
  <c r="P154" i="20"/>
  <c r="N154" i="20"/>
  <c r="I201" i="20"/>
  <c r="Q4" i="11" a="1"/>
  <c r="Q4" i="11" s="1"/>
  <c r="Q15" i="11" a="1"/>
  <c r="Q15" i="11" s="1"/>
  <c r="Q7" i="11" a="1"/>
  <c r="Q7" i="11" s="1"/>
  <c r="Q8" i="11" a="1"/>
  <c r="Q8" i="11" s="1"/>
  <c r="Q9" i="11" a="1"/>
  <c r="Q9" i="11" s="1"/>
  <c r="Q10" i="11" a="1"/>
  <c r="Q10" i="11" s="1"/>
  <c r="Q11" i="11" a="1"/>
  <c r="Q11" i="11" s="1"/>
  <c r="Q12" i="11" a="1"/>
  <c r="Q12" i="11" s="1"/>
  <c r="Q13" i="11" a="1"/>
  <c r="Q13" i="11" s="1"/>
  <c r="Q5" i="11" a="1"/>
  <c r="Q5" i="11" s="1"/>
  <c r="Q14" i="11" a="1"/>
  <c r="Q14" i="11" s="1"/>
  <c r="Q6" i="11" a="1"/>
  <c r="Q6" i="11" s="1"/>
  <c r="E9" i="7" a="1"/>
  <c r="E9" i="7" s="1"/>
  <c r="Q4" i="7"/>
  <c r="T4" i="7" s="1"/>
  <c r="L621" i="6"/>
  <c r="L697" i="6"/>
  <c r="Q6" i="7"/>
  <c r="L734" i="6"/>
  <c r="L569" i="6"/>
  <c r="L495" i="6"/>
  <c r="L403" i="6"/>
  <c r="Q13" i="7"/>
  <c r="T13" i="7" s="1"/>
  <c r="L239" i="6"/>
  <c r="L88" i="6"/>
  <c r="Q7" i="7"/>
  <c r="L544" i="6"/>
  <c r="L103" i="6"/>
  <c r="L488" i="6"/>
  <c r="L465" i="6"/>
  <c r="L312" i="6"/>
  <c r="L273" i="6"/>
  <c r="R15" i="7"/>
  <c r="E17" i="7" a="1"/>
  <c r="E17" i="7" s="1"/>
  <c r="C17" i="7" a="1"/>
  <c r="C17" i="7" s="1"/>
  <c r="F17" i="7" s="1"/>
  <c r="E8" i="7" a="1"/>
  <c r="E8" i="7" s="1"/>
  <c r="F165" i="5"/>
  <c r="L65" i="6"/>
  <c r="L661" i="6"/>
  <c r="L369" i="6"/>
  <c r="L49" i="6"/>
  <c r="R349" i="3"/>
  <c r="Y253" i="3"/>
  <c r="U253" i="3"/>
  <c r="R93" i="3"/>
  <c r="U345" i="3"/>
  <c r="Y345" i="3"/>
  <c r="Y217" i="3"/>
  <c r="U217" i="3"/>
  <c r="U89" i="3"/>
  <c r="Y89" i="3"/>
  <c r="U341" i="3"/>
  <c r="Y341" i="3"/>
  <c r="U277" i="3"/>
  <c r="Y277" i="3"/>
  <c r="M26" i="3"/>
  <c r="U213" i="3"/>
  <c r="Y213" i="3"/>
  <c r="U149" i="3"/>
  <c r="Y149" i="3"/>
  <c r="U85" i="3"/>
  <c r="Y85" i="3"/>
  <c r="U273" i="3"/>
  <c r="Y273" i="3"/>
  <c r="AA98" i="3"/>
  <c r="W98" i="3"/>
  <c r="O6" i="5" a="1"/>
  <c r="O6" i="5" s="1"/>
  <c r="U356" i="3"/>
  <c r="Y356" i="3"/>
  <c r="U295" i="3"/>
  <c r="Y295" i="3"/>
  <c r="U237" i="3"/>
  <c r="Y237" i="3"/>
  <c r="AA158" i="3"/>
  <c r="W158" i="3"/>
  <c r="U100" i="3"/>
  <c r="Y100" i="3"/>
  <c r="U39" i="3"/>
  <c r="Y39" i="3"/>
  <c r="W247" i="3"/>
  <c r="AA247" i="3"/>
  <c r="Y133" i="3"/>
  <c r="U133" i="3"/>
  <c r="AA378" i="3"/>
  <c r="W378" i="3"/>
  <c r="Y259" i="3"/>
  <c r="U259" i="3"/>
  <c r="AA154" i="3"/>
  <c r="W154" i="3"/>
  <c r="Y67" i="3"/>
  <c r="U67" i="3"/>
  <c r="AA86" i="3"/>
  <c r="W86" i="3"/>
  <c r="W360" i="3"/>
  <c r="AA360" i="3"/>
  <c r="R192" i="3"/>
  <c r="R391" i="3"/>
  <c r="W40" i="3"/>
  <c r="AA40" i="3"/>
  <c r="R327" i="3"/>
  <c r="W191" i="3"/>
  <c r="AA191" i="3"/>
  <c r="R295" i="3"/>
  <c r="W159" i="3"/>
  <c r="AA159" i="3"/>
  <c r="W168" i="3"/>
  <c r="AA168" i="3"/>
  <c r="M172" i="20"/>
  <c r="S172" i="20"/>
  <c r="R172" i="20"/>
  <c r="O172" i="20"/>
  <c r="Q172" i="20"/>
  <c r="P172" i="20"/>
  <c r="N172" i="20"/>
  <c r="T172" i="20"/>
  <c r="J200" i="20"/>
  <c r="K200" i="20"/>
  <c r="I200" i="20"/>
  <c r="O13" i="16"/>
  <c r="G15" i="20" s="1"/>
  <c r="L13" i="16"/>
  <c r="I237" i="16"/>
  <c r="J237" i="16" s="1"/>
  <c r="K64" i="16"/>
  <c r="M188" i="20"/>
  <c r="O188" i="20"/>
  <c r="S188" i="20"/>
  <c r="T188" i="20"/>
  <c r="Q188" i="20"/>
  <c r="P188" i="20"/>
  <c r="N188" i="20"/>
  <c r="R188" i="20"/>
  <c r="R130" i="20"/>
  <c r="P130" i="20"/>
  <c r="T130" i="20"/>
  <c r="S130" i="20"/>
  <c r="Q130" i="20"/>
  <c r="O130" i="20"/>
  <c r="M130" i="20"/>
  <c r="N130" i="20"/>
  <c r="I234" i="16"/>
  <c r="K69" i="16"/>
  <c r="J202" i="20"/>
  <c r="K202" i="20"/>
  <c r="I202" i="20"/>
  <c r="O29" i="16"/>
  <c r="G31" i="20" s="1"/>
  <c r="L29" i="16"/>
  <c r="I235" i="16"/>
  <c r="J235" i="16" s="1"/>
  <c r="J48" i="20"/>
  <c r="I48" i="20"/>
  <c r="K48" i="20"/>
  <c r="K38" i="16"/>
  <c r="M38" i="16"/>
  <c r="I221" i="16"/>
  <c r="M19" i="16"/>
  <c r="K19" i="16"/>
  <c r="F144" i="11"/>
  <c r="H144" i="11" s="1"/>
  <c r="I144" i="11" s="1"/>
  <c r="F91" i="11"/>
  <c r="H91" i="11" s="1"/>
  <c r="I91" i="11" s="1"/>
  <c r="F236" i="11"/>
  <c r="H236" i="11" s="1"/>
  <c r="I236" i="11" s="1"/>
  <c r="F126" i="11"/>
  <c r="H126" i="11" s="1"/>
  <c r="I126" i="11" s="1"/>
  <c r="F238" i="11"/>
  <c r="H238" i="11" s="1"/>
  <c r="I238" i="11" s="1"/>
  <c r="F208" i="11"/>
  <c r="H208" i="11" s="1"/>
  <c r="I208" i="11" s="1"/>
  <c r="F97" i="11"/>
  <c r="H97" i="11" s="1"/>
  <c r="I97" i="11" s="1"/>
  <c r="F87" i="11"/>
  <c r="H87" i="11" s="1"/>
  <c r="I87" i="11" s="1"/>
  <c r="C10" i="7" a="1"/>
  <c r="C10" i="7" s="1"/>
  <c r="F10" i="7" s="1"/>
  <c r="F41" i="11"/>
  <c r="H41" i="11" s="1"/>
  <c r="I41" i="11" s="1"/>
  <c r="L751" i="6"/>
  <c r="L669" i="6"/>
  <c r="L387" i="6"/>
  <c r="L323" i="6"/>
  <c r="L259" i="6"/>
  <c r="L195" i="6"/>
  <c r="L131" i="6"/>
  <c r="L67" i="6"/>
  <c r="L516" i="6"/>
  <c r="L614" i="6"/>
  <c r="L286" i="6"/>
  <c r="L238" i="6"/>
  <c r="L611" i="6"/>
  <c r="L391" i="6"/>
  <c r="L71" i="6"/>
  <c r="L793" i="6"/>
  <c r="L276" i="6"/>
  <c r="L200" i="6"/>
  <c r="D37" i="8"/>
  <c r="L345" i="6"/>
  <c r="L308" i="6"/>
  <c r="Z8" i="7"/>
  <c r="L657" i="6"/>
  <c r="L231" i="6"/>
  <c r="L150" i="6"/>
  <c r="Q12" i="7"/>
  <c r="T12" i="7" s="1"/>
  <c r="S15" i="7"/>
  <c r="L257" i="6"/>
  <c r="L27" i="6"/>
  <c r="L424" i="6"/>
  <c r="L214" i="6"/>
  <c r="P12" i="5" a="1"/>
  <c r="P12" i="5" s="1"/>
  <c r="L572" i="6"/>
  <c r="C14" i="7" a="1"/>
  <c r="C14" i="7" s="1"/>
  <c r="F14" i="7" s="1"/>
  <c r="D18" i="7" a="1"/>
  <c r="D18" i="7" s="1"/>
  <c r="D12" i="7" a="1"/>
  <c r="D12" i="7" s="1"/>
  <c r="L401" i="6"/>
  <c r="L372" i="6"/>
  <c r="L763" i="6"/>
  <c r="L590" i="6"/>
  <c r="R253" i="3"/>
  <c r="Y157" i="3"/>
  <c r="U157" i="3"/>
  <c r="R345" i="3"/>
  <c r="R217" i="3"/>
  <c r="R89" i="3"/>
  <c r="R341" i="3"/>
  <c r="R277" i="3"/>
  <c r="R213" i="3"/>
  <c r="R149" i="3"/>
  <c r="R85" i="3"/>
  <c r="Y97" i="3"/>
  <c r="U97" i="3"/>
  <c r="U369" i="3"/>
  <c r="Y369" i="3"/>
  <c r="U337" i="3"/>
  <c r="Y337" i="3"/>
  <c r="U305" i="3"/>
  <c r="Y305" i="3"/>
  <c r="AA130" i="3"/>
  <c r="W130" i="3"/>
  <c r="O13" i="5" a="1"/>
  <c r="O13" i="5" s="1"/>
  <c r="AA382" i="3"/>
  <c r="W382" i="3"/>
  <c r="U324" i="3"/>
  <c r="Y324" i="3"/>
  <c r="U263" i="3"/>
  <c r="Y263" i="3"/>
  <c r="U205" i="3"/>
  <c r="Y205" i="3"/>
  <c r="AA126" i="3"/>
  <c r="W126" i="3"/>
  <c r="U68" i="3"/>
  <c r="Y68" i="3"/>
  <c r="Y357" i="3"/>
  <c r="U357" i="3"/>
  <c r="W311" i="3"/>
  <c r="AA311" i="3"/>
  <c r="U284" i="3"/>
  <c r="Y284" i="3"/>
  <c r="AA246" i="3"/>
  <c r="W246" i="3"/>
  <c r="Y197" i="3"/>
  <c r="U197" i="3"/>
  <c r="Y387" i="3"/>
  <c r="U387" i="3"/>
  <c r="U352" i="3"/>
  <c r="Y352" i="3"/>
  <c r="Y297" i="3"/>
  <c r="U297" i="3"/>
  <c r="W283" i="3"/>
  <c r="AA283" i="3"/>
  <c r="U201" i="3"/>
  <c r="Y201" i="3"/>
  <c r="W187" i="3"/>
  <c r="AA187" i="3"/>
  <c r="Y163" i="3"/>
  <c r="U163" i="3"/>
  <c r="U128" i="3"/>
  <c r="Y128" i="3"/>
  <c r="W91" i="3"/>
  <c r="AA91" i="3"/>
  <c r="Y321" i="3"/>
  <c r="U321" i="3"/>
  <c r="Y193" i="3"/>
  <c r="U193" i="3"/>
  <c r="R324" i="3"/>
  <c r="R163" i="3"/>
  <c r="AA348" i="3"/>
  <c r="W348" i="3"/>
  <c r="W72" i="3"/>
  <c r="AA72" i="3"/>
  <c r="W255" i="3"/>
  <c r="AA255" i="3"/>
  <c r="W107" i="3"/>
  <c r="AA107" i="3"/>
  <c r="R259" i="3"/>
  <c r="W267" i="3"/>
  <c r="AA267" i="3"/>
  <c r="R132" i="3"/>
  <c r="R12" i="4"/>
  <c r="Q12" i="4"/>
  <c r="W136" i="3"/>
  <c r="AA136" i="3"/>
  <c r="P203" i="20"/>
  <c r="M203" i="20"/>
  <c r="S203" i="20"/>
  <c r="O203" i="20"/>
  <c r="T203" i="20"/>
  <c r="R203" i="20"/>
  <c r="Q203" i="20"/>
  <c r="N203" i="20"/>
  <c r="J129" i="20"/>
  <c r="I129" i="20"/>
  <c r="K129" i="20"/>
  <c r="L231" i="16"/>
  <c r="J231" i="16"/>
  <c r="M219" i="16"/>
  <c r="H219" i="16"/>
  <c r="K120" i="20"/>
  <c r="J120" i="20"/>
  <c r="I120" i="20"/>
  <c r="K183" i="16"/>
  <c r="M183" i="16"/>
  <c r="R173" i="20"/>
  <c r="T173" i="20"/>
  <c r="S173" i="20"/>
  <c r="P173" i="20"/>
  <c r="Q173" i="20"/>
  <c r="O173" i="20"/>
  <c r="M173" i="20"/>
  <c r="N173" i="20"/>
  <c r="P108" i="20"/>
  <c r="O108" i="20"/>
  <c r="N108" i="20"/>
  <c r="M108" i="20"/>
  <c r="T108" i="20"/>
  <c r="S108" i="20"/>
  <c r="Q108" i="20"/>
  <c r="R108" i="20"/>
  <c r="M187" i="16"/>
  <c r="I71" i="20"/>
  <c r="L58" i="16"/>
  <c r="I16" i="20"/>
  <c r="D4" i="11"/>
  <c r="F4" i="11" s="1"/>
  <c r="L227" i="6"/>
  <c r="Q11" i="7"/>
  <c r="T11" i="7" s="1"/>
  <c r="F171" i="5"/>
  <c r="E4" i="7" a="1"/>
  <c r="E4" i="7" s="1"/>
  <c r="D13" i="7" a="1"/>
  <c r="D13" i="7" s="1"/>
  <c r="F13" i="7" s="1"/>
  <c r="L375" i="6"/>
  <c r="P6" i="5" a="1"/>
  <c r="P6" i="5" s="1"/>
  <c r="C35" i="8"/>
  <c r="L649" i="6"/>
  <c r="Y317" i="3"/>
  <c r="U317" i="3"/>
  <c r="Y61" i="3"/>
  <c r="U61" i="3"/>
  <c r="Y377" i="3"/>
  <c r="U377" i="3"/>
  <c r="U249" i="3"/>
  <c r="Y249" i="3"/>
  <c r="Y121" i="3"/>
  <c r="U121" i="3"/>
  <c r="Q11" i="4"/>
  <c r="P14" i="4"/>
  <c r="R11" i="4"/>
  <c r="AA162" i="3"/>
  <c r="W162" i="3"/>
  <c r="U49" i="3"/>
  <c r="Y49" i="3"/>
  <c r="Y37" i="3"/>
  <c r="U37" i="3"/>
  <c r="O4" i="5" a="1"/>
  <c r="O4" i="5" s="1"/>
  <c r="U397" i="3"/>
  <c r="Y397" i="3"/>
  <c r="AA350" i="3"/>
  <c r="W350" i="3"/>
  <c r="U292" i="3"/>
  <c r="Y292" i="3"/>
  <c r="U231" i="3"/>
  <c r="Y231" i="3"/>
  <c r="U173" i="3"/>
  <c r="Y173" i="3"/>
  <c r="AA94" i="3"/>
  <c r="W94" i="3"/>
  <c r="U36" i="3"/>
  <c r="Y36" i="3"/>
  <c r="AA310" i="3"/>
  <c r="W310" i="3"/>
  <c r="W151" i="3"/>
  <c r="AA151" i="3"/>
  <c r="M21" i="3"/>
  <c r="U124" i="3"/>
  <c r="Y124" i="3"/>
  <c r="AA282" i="3"/>
  <c r="W282" i="3"/>
  <c r="U256" i="3"/>
  <c r="Y256" i="3"/>
  <c r="AA186" i="3"/>
  <c r="W186" i="3"/>
  <c r="AA90" i="3"/>
  <c r="W90" i="3"/>
  <c r="U64" i="3"/>
  <c r="Y64" i="3"/>
  <c r="M19" i="3"/>
  <c r="Y65" i="3"/>
  <c r="U65" i="3"/>
  <c r="W319" i="3"/>
  <c r="AA319" i="3"/>
  <c r="R36" i="3"/>
  <c r="W264" i="3"/>
  <c r="AA264" i="3"/>
  <c r="Q5" i="4"/>
  <c r="R96" i="3"/>
  <c r="R64" i="3"/>
  <c r="R263" i="3"/>
  <c r="W127" i="3"/>
  <c r="AA127" i="3"/>
  <c r="R100" i="3"/>
  <c r="I168" i="20"/>
  <c r="K168" i="20"/>
  <c r="J168" i="20"/>
  <c r="B112" i="18"/>
  <c r="C112" i="18" s="1"/>
  <c r="K114" i="20"/>
  <c r="J114" i="20"/>
  <c r="I114" i="20"/>
  <c r="S140" i="20"/>
  <c r="N140" i="20"/>
  <c r="M140" i="20"/>
  <c r="T140" i="20"/>
  <c r="R140" i="20"/>
  <c r="P140" i="20"/>
  <c r="Q140" i="20"/>
  <c r="O140" i="20"/>
  <c r="S178" i="20"/>
  <c r="N178" i="20"/>
  <c r="P178" i="20"/>
  <c r="O178" i="20"/>
  <c r="T178" i="20"/>
  <c r="R178" i="20"/>
  <c r="Q178" i="20"/>
  <c r="M178" i="20"/>
  <c r="I177" i="20"/>
  <c r="P179" i="20"/>
  <c r="M179" i="20"/>
  <c r="Q179" i="20"/>
  <c r="S179" i="20"/>
  <c r="N179" i="20"/>
  <c r="T179" i="20"/>
  <c r="R179" i="20"/>
  <c r="O179" i="20"/>
  <c r="I206" i="20"/>
  <c r="J206" i="20"/>
  <c r="K206" i="20"/>
  <c r="H234" i="16"/>
  <c r="J221" i="16"/>
  <c r="L221" i="16"/>
  <c r="M221" i="16" s="1"/>
  <c r="I85" i="20"/>
  <c r="O34" i="16"/>
  <c r="G36" i="20" s="1"/>
  <c r="O8" i="16"/>
  <c r="G10" i="20" s="1"/>
  <c r="L215" i="16"/>
  <c r="M215" i="16" s="1"/>
  <c r="L95" i="16"/>
  <c r="K79" i="16"/>
  <c r="M79" i="16"/>
  <c r="J213" i="16"/>
  <c r="L213" i="16"/>
  <c r="M213" i="16" s="1"/>
  <c r="I222" i="16"/>
  <c r="J222" i="16" s="1"/>
  <c r="L113" i="16"/>
  <c r="K96" i="20"/>
  <c r="J96" i="20"/>
  <c r="I96" i="20"/>
  <c r="O190" i="16"/>
  <c r="G192" i="20" s="1"/>
  <c r="I150" i="20"/>
  <c r="K150" i="20"/>
  <c r="J150" i="20"/>
  <c r="O124" i="16"/>
  <c r="G126" i="20" s="1"/>
  <c r="K18" i="16"/>
  <c r="I227" i="16"/>
  <c r="M8" i="16"/>
  <c r="M206" i="16"/>
  <c r="L211" i="16"/>
  <c r="J211" i="16"/>
  <c r="H229" i="16"/>
  <c r="M229" i="16"/>
  <c r="I64" i="20"/>
  <c r="I70" i="20"/>
  <c r="L44" i="16"/>
  <c r="M14" i="16"/>
  <c r="E5" i="20"/>
  <c r="I156" i="20" s="1"/>
  <c r="I225" i="16"/>
  <c r="L225" i="16" s="1"/>
  <c r="M225" i="16" s="1"/>
  <c r="L53" i="16"/>
  <c r="O53" i="16"/>
  <c r="G55" i="20" s="1"/>
  <c r="F245" i="11"/>
  <c r="H245" i="11" s="1"/>
  <c r="I245" i="11" s="1"/>
  <c r="F74" i="11"/>
  <c r="H74" i="11" s="1"/>
  <c r="I74" i="11" s="1"/>
  <c r="F169" i="11"/>
  <c r="H169" i="11" s="1"/>
  <c r="I169" i="11" s="1"/>
  <c r="F116" i="11"/>
  <c r="H116" i="11" s="1"/>
  <c r="I116" i="11" s="1"/>
  <c r="F217" i="11"/>
  <c r="H217" i="11" s="1"/>
  <c r="I217" i="11" s="1"/>
  <c r="F172" i="11"/>
  <c r="H172" i="11" s="1"/>
  <c r="I172" i="11" s="1"/>
  <c r="F136" i="11"/>
  <c r="H136" i="11" s="1"/>
  <c r="I136" i="11" s="1"/>
  <c r="H68" i="11"/>
  <c r="I68" i="11" s="1"/>
  <c r="F175" i="11"/>
  <c r="H175" i="11" s="1"/>
  <c r="I175" i="11" s="1"/>
  <c r="F93" i="11"/>
  <c r="H93" i="11" s="1"/>
  <c r="I93" i="11" s="1"/>
  <c r="F193" i="11"/>
  <c r="H193" i="11" s="1"/>
  <c r="I193" i="11" s="1"/>
  <c r="F112" i="11"/>
  <c r="H112" i="11" s="1"/>
  <c r="I112" i="11" s="1"/>
  <c r="F138" i="11"/>
  <c r="H138" i="11" s="1"/>
  <c r="I138" i="11" s="1"/>
  <c r="F202" i="11"/>
  <c r="H202" i="11" s="1"/>
  <c r="I202" i="11" s="1"/>
  <c r="F231" i="11"/>
  <c r="H231" i="11" s="1"/>
  <c r="I231" i="11" s="1"/>
  <c r="F142" i="11"/>
  <c r="H142" i="11" s="1"/>
  <c r="I142" i="11" s="1"/>
  <c r="F206" i="11"/>
  <c r="H206" i="11" s="1"/>
  <c r="I206" i="11" s="1"/>
  <c r="F139" i="11"/>
  <c r="H139" i="11" s="1"/>
  <c r="I139" i="11" s="1"/>
  <c r="F203" i="11"/>
  <c r="H203" i="11" s="1"/>
  <c r="I203" i="11" s="1"/>
  <c r="F76" i="11"/>
  <c r="H76" i="11" s="1"/>
  <c r="I76" i="11" s="1"/>
  <c r="E201" i="10"/>
  <c r="E64" i="11" s="1"/>
  <c r="D15" i="7" a="1"/>
  <c r="D15" i="7" s="1"/>
  <c r="L648" i="6"/>
  <c r="L578" i="6"/>
  <c r="L774" i="6"/>
  <c r="L676" i="6"/>
  <c r="L388" i="6"/>
  <c r="L640" i="6"/>
  <c r="L478" i="6"/>
  <c r="L430" i="6"/>
  <c r="L222" i="6"/>
  <c r="L174" i="6"/>
  <c r="L660" i="6"/>
  <c r="L583" i="6"/>
  <c r="L519" i="6"/>
  <c r="L199" i="6"/>
  <c r="L340" i="6"/>
  <c r="L8" i="6"/>
  <c r="J198" i="11" s="1" a="1"/>
  <c r="J198" i="11" s="1"/>
  <c r="Q8" i="7"/>
  <c r="T8" i="7" s="1"/>
  <c r="L638" i="6"/>
  <c r="L545" i="6"/>
  <c r="L435" i="6"/>
  <c r="L311" i="6"/>
  <c r="J127" i="11" a="1"/>
  <c r="J127" i="11" s="1"/>
  <c r="C38" i="2" a="1"/>
  <c r="C38" i="2" s="1"/>
  <c r="L423" i="6"/>
  <c r="L562" i="6"/>
  <c r="L473" i="6"/>
  <c r="L247" i="6"/>
  <c r="L113" i="6"/>
  <c r="L762" i="6"/>
  <c r="L55" i="6"/>
  <c r="L209" i="6"/>
  <c r="L499" i="6"/>
  <c r="L241" i="6"/>
  <c r="L440" i="6"/>
  <c r="C9" i="7" a="1"/>
  <c r="C9" i="7" s="1"/>
  <c r="F9" i="7" s="1"/>
  <c r="D4" i="7" a="1"/>
  <c r="D4" i="7" s="1"/>
  <c r="D8" i="7" a="1"/>
  <c r="D8" i="7" s="1"/>
  <c r="C16" i="7" a="1"/>
  <c r="C16" i="7" s="1"/>
  <c r="F16" i="7" s="1"/>
  <c r="E5" i="7" a="1"/>
  <c r="E5" i="7" s="1"/>
  <c r="C29" i="8"/>
  <c r="P5" i="5" a="1"/>
  <c r="P5" i="5" s="1"/>
  <c r="L808" i="6"/>
  <c r="L115" i="6"/>
  <c r="J171" i="11" s="1" a="1"/>
  <c r="J171" i="11" s="1"/>
  <c r="L52" i="6"/>
  <c r="L409" i="6"/>
  <c r="R317" i="3"/>
  <c r="Y221" i="3"/>
  <c r="U221" i="3"/>
  <c r="R61" i="3"/>
  <c r="R377" i="3"/>
  <c r="R249" i="3"/>
  <c r="R121" i="3"/>
  <c r="C32" i="8"/>
  <c r="Q13" i="4"/>
  <c r="R13" i="4"/>
  <c r="O8" i="4"/>
  <c r="AA226" i="3"/>
  <c r="W226" i="3"/>
  <c r="AA194" i="3"/>
  <c r="W194" i="3"/>
  <c r="U81" i="3"/>
  <c r="Y81" i="3"/>
  <c r="R49" i="3"/>
  <c r="R37" i="3"/>
  <c r="R397" i="3"/>
  <c r="AA318" i="3"/>
  <c r="W318" i="3"/>
  <c r="U260" i="3"/>
  <c r="Y260" i="3"/>
  <c r="U199" i="3"/>
  <c r="Y199" i="3"/>
  <c r="R173" i="3"/>
  <c r="U141" i="3"/>
  <c r="Y141" i="3"/>
  <c r="AA62" i="3"/>
  <c r="W62" i="3"/>
  <c r="R35" i="3"/>
  <c r="W375" i="3"/>
  <c r="AA375" i="3"/>
  <c r="Y261" i="3"/>
  <c r="U261" i="3"/>
  <c r="W215" i="3"/>
  <c r="AA215" i="3"/>
  <c r="AA150" i="3"/>
  <c r="W150" i="3"/>
  <c r="AA118" i="3"/>
  <c r="W118" i="3"/>
  <c r="AA54" i="3"/>
  <c r="W54" i="3"/>
  <c r="U384" i="3"/>
  <c r="Y384" i="3"/>
  <c r="U329" i="3"/>
  <c r="Y329" i="3"/>
  <c r="W315" i="3"/>
  <c r="AA315" i="3"/>
  <c r="Y291" i="3"/>
  <c r="U291" i="3"/>
  <c r="Y233" i="3"/>
  <c r="U233" i="3"/>
  <c r="W219" i="3"/>
  <c r="AA219" i="3"/>
  <c r="Y195" i="3"/>
  <c r="U195" i="3"/>
  <c r="U160" i="3"/>
  <c r="Y160" i="3"/>
  <c r="Y105" i="3"/>
  <c r="U105" i="3"/>
  <c r="U41" i="3"/>
  <c r="Y41" i="3"/>
  <c r="U60" i="3"/>
  <c r="Y60" i="3"/>
  <c r="Y385" i="3"/>
  <c r="U385" i="3"/>
  <c r="R65" i="3"/>
  <c r="W171" i="3"/>
  <c r="AA171" i="3"/>
  <c r="R228" i="3"/>
  <c r="R67" i="3"/>
  <c r="W296" i="3"/>
  <c r="AA296" i="3"/>
  <c r="W363" i="3"/>
  <c r="AA363" i="3"/>
  <c r="AA252" i="3"/>
  <c r="W252" i="3"/>
  <c r="AA220" i="3"/>
  <c r="W220" i="3"/>
  <c r="R388" i="3"/>
  <c r="R227" i="3"/>
  <c r="W235" i="3"/>
  <c r="AA235" i="3"/>
  <c r="R95" i="3"/>
  <c r="H182" i="4" l="1"/>
  <c r="H181" i="4"/>
  <c r="K127" i="11"/>
  <c r="K198" i="11"/>
  <c r="Q4" i="5"/>
  <c r="R13" i="5"/>
  <c r="K171" i="11"/>
  <c r="Q14" i="4"/>
  <c r="K219" i="11"/>
  <c r="B64" i="2" a="1"/>
  <c r="B64" i="2" s="1"/>
  <c r="D64" i="2" s="1"/>
  <c r="O14" i="5"/>
  <c r="AA160" i="3"/>
  <c r="W160" i="3"/>
  <c r="W291" i="3"/>
  <c r="AA291" i="3"/>
  <c r="AA384" i="3"/>
  <c r="W384" i="3"/>
  <c r="J52" i="11" a="1"/>
  <c r="J52" i="11" s="1"/>
  <c r="K52" i="11" s="1"/>
  <c r="J50" i="11" a="1"/>
  <c r="J50" i="11" s="1"/>
  <c r="K50" i="11" s="1"/>
  <c r="J69" i="11" a="1"/>
  <c r="J69" i="11" s="1"/>
  <c r="K69" i="11" s="1"/>
  <c r="J213" i="11" a="1"/>
  <c r="J213" i="11" s="1"/>
  <c r="K213" i="11" s="1"/>
  <c r="J240" i="11" a="1"/>
  <c r="J240" i="11" s="1"/>
  <c r="K240" i="11" s="1"/>
  <c r="J49" i="11" a="1"/>
  <c r="J49" i="11" s="1"/>
  <c r="K49" i="11" s="1"/>
  <c r="J122" i="11" a="1"/>
  <c r="J122" i="11" s="1"/>
  <c r="K122" i="11" s="1"/>
  <c r="J118" i="11" a="1"/>
  <c r="J118" i="11" s="1"/>
  <c r="K118" i="11" s="1"/>
  <c r="J163" i="11" a="1"/>
  <c r="J163" i="11" s="1"/>
  <c r="K163" i="11" s="1"/>
  <c r="W195" i="3"/>
  <c r="AA195" i="3"/>
  <c r="J55" i="11" a="1"/>
  <c r="J55" i="11" s="1"/>
  <c r="K55" i="11" s="1"/>
  <c r="J144" i="11" a="1"/>
  <c r="J144" i="11" s="1"/>
  <c r="K144" i="11" s="1"/>
  <c r="J156" i="11" a="1"/>
  <c r="J156" i="11" s="1"/>
  <c r="K156" i="11" s="1"/>
  <c r="J149" i="11" a="1"/>
  <c r="J149" i="11" s="1"/>
  <c r="K149" i="11" s="1"/>
  <c r="J133" i="11" a="1"/>
  <c r="J133" i="11" s="1"/>
  <c r="K133" i="11" s="1"/>
  <c r="J199" i="11" a="1"/>
  <c r="J199" i="11" s="1"/>
  <c r="K199" i="11" s="1"/>
  <c r="AA369" i="3"/>
  <c r="W369" i="3"/>
  <c r="E181" i="2"/>
  <c r="E173" i="2"/>
  <c r="E180" i="2"/>
  <c r="E186" i="2"/>
  <c r="A192" i="2"/>
  <c r="D172" i="2"/>
  <c r="E176" i="2"/>
  <c r="E175" i="2"/>
  <c r="E174" i="2"/>
  <c r="E177" i="2"/>
  <c r="E178" i="2"/>
  <c r="E179" i="2"/>
  <c r="E184" i="2"/>
  <c r="E183" i="2"/>
  <c r="E182" i="2"/>
  <c r="E185" i="2"/>
  <c r="R146" i="20"/>
  <c r="N146" i="20"/>
  <c r="M146" i="20"/>
  <c r="T146" i="20"/>
  <c r="S146" i="20"/>
  <c r="O146" i="20"/>
  <c r="Q146" i="20"/>
  <c r="P146" i="20"/>
  <c r="O32" i="20"/>
  <c r="P32" i="20"/>
  <c r="N32" i="20"/>
  <c r="M32" i="20"/>
  <c r="T32" i="20"/>
  <c r="S32" i="20"/>
  <c r="R32" i="20"/>
  <c r="Q32" i="20"/>
  <c r="W103" i="3"/>
  <c r="AA103" i="3"/>
  <c r="W199" i="3"/>
  <c r="AA199" i="3"/>
  <c r="Q5" i="5"/>
  <c r="J8" i="11" a="1"/>
  <c r="J8" i="11" s="1"/>
  <c r="K8" i="11" s="1"/>
  <c r="J117" i="11" a="1"/>
  <c r="J117" i="11" s="1"/>
  <c r="K117" i="11" s="1"/>
  <c r="J21" i="11" a="1"/>
  <c r="J21" i="11" s="1"/>
  <c r="K21" i="11" s="1"/>
  <c r="J148" i="11" a="1"/>
  <c r="J148" i="11" s="1"/>
  <c r="K148" i="11" s="1"/>
  <c r="J113" i="11" a="1"/>
  <c r="J113" i="11" s="1"/>
  <c r="K113" i="11" s="1"/>
  <c r="J143" i="11" a="1"/>
  <c r="J143" i="11" s="1"/>
  <c r="K143" i="11" s="1"/>
  <c r="J38" i="11" a="1"/>
  <c r="J38" i="11" s="1"/>
  <c r="K38" i="11" s="1"/>
  <c r="J225" i="11" a="1"/>
  <c r="J225" i="11" s="1"/>
  <c r="K225" i="11" s="1"/>
  <c r="J138" i="11" a="1"/>
  <c r="J138" i="11" s="1"/>
  <c r="K138" i="11" s="1"/>
  <c r="J223" i="11" a="1"/>
  <c r="J223" i="11" s="1"/>
  <c r="K223" i="11" s="1"/>
  <c r="J244" i="11" a="1"/>
  <c r="J244" i="11" s="1"/>
  <c r="K244" i="11" s="1"/>
  <c r="J134" i="11" a="1"/>
  <c r="J134" i="11" s="1"/>
  <c r="K134" i="11" s="1"/>
  <c r="J115" i="11" a="1"/>
  <c r="J115" i="11" s="1"/>
  <c r="K115" i="11" s="1"/>
  <c r="J179" i="11" a="1"/>
  <c r="J179" i="11" s="1"/>
  <c r="K179" i="11" s="1"/>
  <c r="J243" i="11" a="1"/>
  <c r="J243" i="11" s="1"/>
  <c r="K243" i="11" s="1"/>
  <c r="AA221" i="3"/>
  <c r="W221" i="3"/>
  <c r="J18" i="11" a="1"/>
  <c r="J18" i="11" s="1"/>
  <c r="K18" i="11" s="1"/>
  <c r="J35" i="11" a="1"/>
  <c r="J35" i="11" s="1"/>
  <c r="K35" i="11" s="1"/>
  <c r="J16" i="11" a="1"/>
  <c r="J16" i="11" s="1"/>
  <c r="K16" i="11" s="1"/>
  <c r="J77" i="11" a="1"/>
  <c r="J77" i="11" s="1"/>
  <c r="K77" i="11" s="1"/>
  <c r="J14" i="11" a="1"/>
  <c r="J14" i="11" s="1"/>
  <c r="K14" i="11" s="1"/>
  <c r="J23" i="11" a="1"/>
  <c r="J23" i="11" s="1"/>
  <c r="K23" i="11" s="1"/>
  <c r="J153" i="11" a="1"/>
  <c r="J153" i="11" s="1"/>
  <c r="K153" i="11" s="1"/>
  <c r="J72" i="11" a="1"/>
  <c r="J72" i="11" s="1"/>
  <c r="K72" i="11" s="1"/>
  <c r="J164" i="11" a="1"/>
  <c r="J164" i="11" s="1"/>
  <c r="K164" i="11" s="1"/>
  <c r="J29" i="11" a="1"/>
  <c r="J29" i="11" s="1"/>
  <c r="K29" i="11" s="1"/>
  <c r="J90" i="11" a="1"/>
  <c r="J90" i="11" s="1"/>
  <c r="K90" i="11" s="1"/>
  <c r="J175" i="11" a="1"/>
  <c r="J175" i="11" s="1"/>
  <c r="K175" i="11" s="1"/>
  <c r="J157" i="11" a="1"/>
  <c r="J157" i="11" s="1"/>
  <c r="K157" i="11" s="1"/>
  <c r="J63" i="11" a="1"/>
  <c r="J63" i="11" s="1"/>
  <c r="K63" i="11" s="1"/>
  <c r="J176" i="11" a="1"/>
  <c r="J176" i="11" s="1"/>
  <c r="K176" i="11" s="1"/>
  <c r="J68" i="11" a="1"/>
  <c r="J68" i="11" s="1"/>
  <c r="K68" i="11" s="1"/>
  <c r="J132" i="11" a="1"/>
  <c r="J132" i="11" s="1"/>
  <c r="K132" i="11" s="1"/>
  <c r="J221" i="11" a="1"/>
  <c r="J221" i="11" s="1"/>
  <c r="K221" i="11" s="1"/>
  <c r="J73" i="11" a="1"/>
  <c r="J73" i="11" s="1"/>
  <c r="K73" i="11" s="1"/>
  <c r="J160" i="11" a="1"/>
  <c r="J160" i="11" s="1"/>
  <c r="K160" i="11" s="1"/>
  <c r="J46" i="11" a="1"/>
  <c r="J46" i="11" s="1"/>
  <c r="K46" i="11" s="1"/>
  <c r="J125" i="11" a="1"/>
  <c r="J125" i="11" s="1"/>
  <c r="K125" i="11" s="1"/>
  <c r="J229" i="11" a="1"/>
  <c r="J229" i="11" s="1"/>
  <c r="K229" i="11" s="1"/>
  <c r="J146" i="11" a="1"/>
  <c r="J146" i="11" s="1"/>
  <c r="K146" i="11" s="1"/>
  <c r="J210" i="11" a="1"/>
  <c r="J210" i="11" s="1"/>
  <c r="K210" i="11" s="1"/>
  <c r="J231" i="11" a="1"/>
  <c r="J231" i="11" s="1"/>
  <c r="K231" i="11" s="1"/>
  <c r="J252" i="11" a="1"/>
  <c r="J252" i="11" s="1"/>
  <c r="K252" i="11" s="1"/>
  <c r="J142" i="11" a="1"/>
  <c r="J142" i="11" s="1"/>
  <c r="K142" i="11" s="1"/>
  <c r="J206" i="11" a="1"/>
  <c r="J206" i="11" s="1"/>
  <c r="K206" i="11" s="1"/>
  <c r="J123" i="11" a="1"/>
  <c r="J123" i="11" s="1"/>
  <c r="K123" i="11" s="1"/>
  <c r="J187" i="11" a="1"/>
  <c r="J187" i="11" s="1"/>
  <c r="K187" i="11" s="1"/>
  <c r="J251" i="11" a="1"/>
  <c r="J251" i="11" s="1"/>
  <c r="K251" i="11" s="1"/>
  <c r="I65" i="20"/>
  <c r="I44" i="20"/>
  <c r="L235" i="16"/>
  <c r="M235" i="16" s="1"/>
  <c r="I45" i="20"/>
  <c r="N114" i="20"/>
  <c r="M114" i="20"/>
  <c r="T114" i="20"/>
  <c r="S114" i="20"/>
  <c r="Q114" i="20"/>
  <c r="P114" i="20"/>
  <c r="O114" i="20"/>
  <c r="R114" i="20"/>
  <c r="I14" i="20"/>
  <c r="W49" i="3"/>
  <c r="AA49" i="3"/>
  <c r="AA352" i="3"/>
  <c r="W352" i="3"/>
  <c r="W68" i="3"/>
  <c r="AA68" i="3"/>
  <c r="L19" i="16"/>
  <c r="O19" i="16"/>
  <c r="G21" i="20" s="1"/>
  <c r="O48" i="20"/>
  <c r="M48" i="20"/>
  <c r="T48" i="20"/>
  <c r="S48" i="20"/>
  <c r="R48" i="20"/>
  <c r="Q48" i="20"/>
  <c r="P48" i="20"/>
  <c r="N48" i="20"/>
  <c r="I151" i="20"/>
  <c r="I118" i="20"/>
  <c r="W295" i="3"/>
  <c r="AA295" i="3"/>
  <c r="AA273" i="3"/>
  <c r="W273" i="3"/>
  <c r="T7" i="7"/>
  <c r="T6" i="7"/>
  <c r="L214" i="16"/>
  <c r="M214" i="16" s="1"/>
  <c r="W71" i="3"/>
  <c r="AA71" i="3"/>
  <c r="W209" i="3"/>
  <c r="AA209" i="3"/>
  <c r="T88" i="20"/>
  <c r="S88" i="20"/>
  <c r="R88" i="20"/>
  <c r="Q88" i="20"/>
  <c r="M88" i="20"/>
  <c r="P88" i="20"/>
  <c r="O88" i="20"/>
  <c r="N88" i="20"/>
  <c r="M145" i="20"/>
  <c r="P145" i="20"/>
  <c r="T145" i="20"/>
  <c r="S145" i="20"/>
  <c r="N145" i="20"/>
  <c r="R145" i="20"/>
  <c r="Q145" i="20"/>
  <c r="O145" i="20"/>
  <c r="I24" i="20"/>
  <c r="L149" i="16"/>
  <c r="O149" i="16"/>
  <c r="G151" i="20" s="1"/>
  <c r="W229" i="3"/>
  <c r="AA229" i="3"/>
  <c r="W389" i="3"/>
  <c r="AA389" i="3"/>
  <c r="W164" i="3"/>
  <c r="AA164" i="3"/>
  <c r="W359" i="3"/>
  <c r="AA359" i="3"/>
  <c r="AA313" i="3"/>
  <c r="W313" i="3"/>
  <c r="F15" i="7"/>
  <c r="I122" i="20"/>
  <c r="I186" i="20"/>
  <c r="G234" i="16"/>
  <c r="G232" i="16"/>
  <c r="G228" i="16"/>
  <c r="G224" i="16"/>
  <c r="G220" i="16"/>
  <c r="G216" i="16"/>
  <c r="G212" i="16"/>
  <c r="G229" i="16"/>
  <c r="G221" i="16"/>
  <c r="G213" i="16"/>
  <c r="G227" i="16"/>
  <c r="G226" i="16"/>
  <c r="G219" i="16"/>
  <c r="G218" i="16"/>
  <c r="G211" i="16"/>
  <c r="G210" i="16"/>
  <c r="G237" i="16"/>
  <c r="G235" i="16"/>
  <c r="G225" i="16"/>
  <c r="G217" i="16"/>
  <c r="G236" i="16"/>
  <c r="G233" i="16"/>
  <c r="G231" i="16"/>
  <c r="G214" i="16"/>
  <c r="G215" i="16"/>
  <c r="G222" i="16"/>
  <c r="G223" i="16"/>
  <c r="G230" i="16"/>
  <c r="W99" i="3"/>
  <c r="AA99" i="3"/>
  <c r="AA192" i="3"/>
  <c r="W192" i="3"/>
  <c r="W145" i="3"/>
  <c r="AA145" i="3"/>
  <c r="I185" i="20"/>
  <c r="I86" i="20"/>
  <c r="M167" i="20"/>
  <c r="S167" i="20"/>
  <c r="P167" i="20"/>
  <c r="Q167" i="20"/>
  <c r="O167" i="20"/>
  <c r="N167" i="20"/>
  <c r="R167" i="20"/>
  <c r="T167" i="20"/>
  <c r="W109" i="3"/>
  <c r="AA109" i="3"/>
  <c r="AA181" i="3"/>
  <c r="W181" i="3"/>
  <c r="AA381" i="3"/>
  <c r="W381" i="3"/>
  <c r="L77" i="16"/>
  <c r="O77" i="16"/>
  <c r="G79" i="20" s="1"/>
  <c r="P152" i="20"/>
  <c r="M152" i="20"/>
  <c r="S152" i="20"/>
  <c r="R152" i="20"/>
  <c r="T152" i="20"/>
  <c r="O152" i="20"/>
  <c r="N152" i="20"/>
  <c r="Q152" i="20"/>
  <c r="T175" i="20"/>
  <c r="Q175" i="20"/>
  <c r="P175" i="20"/>
  <c r="M175" i="20"/>
  <c r="S175" i="20"/>
  <c r="N175" i="20"/>
  <c r="R175" i="20"/>
  <c r="O175" i="20"/>
  <c r="I43" i="20"/>
  <c r="L222" i="16"/>
  <c r="M222" i="16" s="1"/>
  <c r="I144" i="20"/>
  <c r="O7" i="5"/>
  <c r="O8" i="5" s="1"/>
  <c r="I92" i="20"/>
  <c r="I141" i="20"/>
  <c r="I181" i="20"/>
  <c r="J20" i="11" a="1"/>
  <c r="J20" i="11" s="1"/>
  <c r="K20" i="11" s="1"/>
  <c r="J119" i="11" a="1"/>
  <c r="J119" i="11" s="1"/>
  <c r="K119" i="11" s="1"/>
  <c r="J137" i="11" a="1"/>
  <c r="J137" i="11" s="1"/>
  <c r="K137" i="11" s="1"/>
  <c r="J140" i="11" a="1"/>
  <c r="J140" i="11" s="1"/>
  <c r="K140" i="11" s="1"/>
  <c r="J99" i="11" a="1"/>
  <c r="J99" i="11" s="1"/>
  <c r="K99" i="11" s="1"/>
  <c r="J124" i="11" a="1"/>
  <c r="J124" i="11" s="1"/>
  <c r="K124" i="11" s="1"/>
  <c r="J250" i="11" a="1"/>
  <c r="J250" i="11" s="1"/>
  <c r="K250" i="11" s="1"/>
  <c r="C41" i="2" a="1"/>
  <c r="C41" i="2" s="1"/>
  <c r="J4" i="11" a="1"/>
  <c r="J4" i="11" s="1"/>
  <c r="J136" i="11" a="1"/>
  <c r="J136" i="11" s="1"/>
  <c r="K136" i="11" s="1"/>
  <c r="J129" i="11" a="1"/>
  <c r="J129" i="11" s="1"/>
  <c r="K129" i="11" s="1"/>
  <c r="J248" i="11" a="1"/>
  <c r="J248" i="11" s="1"/>
  <c r="K248" i="11" s="1"/>
  <c r="J30" i="11" a="1"/>
  <c r="J30" i="11" s="1"/>
  <c r="K30" i="11" s="1"/>
  <c r="J130" i="11" a="1"/>
  <c r="J130" i="11" s="1"/>
  <c r="K130" i="11" s="1"/>
  <c r="J126" i="11" a="1"/>
  <c r="J126" i="11" s="1"/>
  <c r="K126" i="11" s="1"/>
  <c r="J190" i="11" a="1"/>
  <c r="J190" i="11" s="1"/>
  <c r="K190" i="11" s="1"/>
  <c r="J235" i="11" a="1"/>
  <c r="J235" i="11" s="1"/>
  <c r="K235" i="11" s="1"/>
  <c r="R168" i="20"/>
  <c r="Q168" i="20"/>
  <c r="P168" i="20"/>
  <c r="M168" i="20"/>
  <c r="O168" i="20"/>
  <c r="N168" i="20"/>
  <c r="T168" i="20"/>
  <c r="S168" i="20"/>
  <c r="W292" i="3"/>
  <c r="AA292" i="3"/>
  <c r="J58" i="11" a="1"/>
  <c r="J58" i="11" s="1"/>
  <c r="K58" i="11" s="1"/>
  <c r="J43" i="11" a="1"/>
  <c r="J43" i="11" s="1"/>
  <c r="K43" i="11" s="1"/>
  <c r="J19" i="11" a="1"/>
  <c r="J19" i="11" s="1"/>
  <c r="K19" i="11" s="1"/>
  <c r="J108" i="11" a="1"/>
  <c r="J108" i="11" s="1"/>
  <c r="K108" i="11" s="1"/>
  <c r="J31" i="11" a="1"/>
  <c r="J31" i="11" s="1"/>
  <c r="K31" i="11" s="1"/>
  <c r="J12" i="11" a="1"/>
  <c r="J12" i="11" s="1"/>
  <c r="K12" i="11" s="1"/>
  <c r="J11" i="11" a="1"/>
  <c r="J11" i="11" s="1"/>
  <c r="K11" i="11" s="1"/>
  <c r="J74" i="11" a="1"/>
  <c r="J74" i="11" s="1"/>
  <c r="K74" i="11" s="1"/>
  <c r="J173" i="11" a="1"/>
  <c r="J173" i="11" s="1"/>
  <c r="K173" i="11" s="1"/>
  <c r="J37" i="11" a="1"/>
  <c r="J37" i="11" s="1"/>
  <c r="K37" i="11" s="1"/>
  <c r="J92" i="11" a="1"/>
  <c r="J92" i="11" s="1"/>
  <c r="K92" i="11" s="1"/>
  <c r="J192" i="11" a="1"/>
  <c r="J192" i="11" s="1"/>
  <c r="K192" i="11" s="1"/>
  <c r="J167" i="11" a="1"/>
  <c r="J167" i="11" s="1"/>
  <c r="K167" i="11" s="1"/>
  <c r="J71" i="11" a="1"/>
  <c r="J71" i="11" s="1"/>
  <c r="K71" i="11" s="1"/>
  <c r="J185" i="11" a="1"/>
  <c r="J185" i="11" s="1"/>
  <c r="K185" i="11" s="1"/>
  <c r="J78" i="11" a="1"/>
  <c r="J78" i="11" s="1"/>
  <c r="K78" i="11" s="1"/>
  <c r="J141" i="11" a="1"/>
  <c r="J141" i="11" s="1"/>
  <c r="K141" i="11" s="1"/>
  <c r="J17" i="11" a="1"/>
  <c r="J17" i="11" s="1"/>
  <c r="K17" i="11" s="1"/>
  <c r="J75" i="11" a="1"/>
  <c r="J75" i="11" s="1"/>
  <c r="K75" i="11" s="1"/>
  <c r="J169" i="11" a="1"/>
  <c r="J169" i="11" s="1"/>
  <c r="K169" i="11" s="1"/>
  <c r="J54" i="11" a="1"/>
  <c r="J54" i="11" s="1"/>
  <c r="K54" i="11" s="1"/>
  <c r="J135" i="11" a="1"/>
  <c r="J135" i="11" s="1"/>
  <c r="K135" i="11" s="1"/>
  <c r="J253" i="11" a="1"/>
  <c r="J253" i="11" s="1"/>
  <c r="K253" i="11" s="1"/>
  <c r="J154" i="11" a="1"/>
  <c r="J154" i="11" s="1"/>
  <c r="K154" i="11" s="1"/>
  <c r="J218" i="11" a="1"/>
  <c r="J218" i="11" s="1"/>
  <c r="K218" i="11" s="1"/>
  <c r="J239" i="11" a="1"/>
  <c r="J239" i="11" s="1"/>
  <c r="K239" i="11" s="1"/>
  <c r="J86" i="11" a="1"/>
  <c r="J86" i="11" s="1"/>
  <c r="K86" i="11" s="1"/>
  <c r="J150" i="11" a="1"/>
  <c r="J150" i="11" s="1"/>
  <c r="K150" i="11" s="1"/>
  <c r="J214" i="11" a="1"/>
  <c r="J214" i="11" s="1"/>
  <c r="K214" i="11" s="1"/>
  <c r="J131" i="11" a="1"/>
  <c r="J131" i="11" s="1"/>
  <c r="K131" i="11" s="1"/>
  <c r="J195" i="11" a="1"/>
  <c r="J195" i="11" s="1"/>
  <c r="K195" i="11" s="1"/>
  <c r="I199" i="20"/>
  <c r="I131" i="20"/>
  <c r="L183" i="16"/>
  <c r="O183" i="16"/>
  <c r="G185" i="20" s="1"/>
  <c r="W201" i="3"/>
  <c r="AA201" i="3"/>
  <c r="W387" i="3"/>
  <c r="AA387" i="3"/>
  <c r="AA284" i="3"/>
  <c r="W284" i="3"/>
  <c r="W324" i="3"/>
  <c r="AA324" i="3"/>
  <c r="AA157" i="3"/>
  <c r="W157" i="3"/>
  <c r="D47" i="8"/>
  <c r="D48" i="8" s="1"/>
  <c r="D38" i="8"/>
  <c r="W133" i="3"/>
  <c r="AA133" i="3"/>
  <c r="W100" i="3"/>
  <c r="AA100" i="3"/>
  <c r="AA277" i="3"/>
  <c r="W277" i="3"/>
  <c r="AA345" i="3"/>
  <c r="W345" i="3"/>
  <c r="Q16" i="11"/>
  <c r="C6" i="2" s="1"/>
  <c r="W327" i="3"/>
  <c r="AA327" i="3"/>
  <c r="N20" i="3"/>
  <c r="R20" i="3"/>
  <c r="S20" i="3" s="1"/>
  <c r="F6" i="7"/>
  <c r="D78" i="2"/>
  <c r="F76" i="2"/>
  <c r="D71" i="2"/>
  <c r="F71" i="2" s="1"/>
  <c r="O35" i="16"/>
  <c r="G37" i="20" s="1"/>
  <c r="L35" i="16"/>
  <c r="I80" i="20"/>
  <c r="I22" i="20"/>
  <c r="I135" i="20"/>
  <c r="I158" i="20"/>
  <c r="P159" i="20"/>
  <c r="O159" i="20"/>
  <c r="T159" i="20"/>
  <c r="S159" i="20"/>
  <c r="R159" i="20"/>
  <c r="Q159" i="20"/>
  <c r="N159" i="20"/>
  <c r="M159" i="20"/>
  <c r="O37" i="16"/>
  <c r="G39" i="20" s="1"/>
  <c r="L37" i="16"/>
  <c r="N22" i="3"/>
  <c r="R22" i="3"/>
  <c r="S22" i="3" s="1"/>
  <c r="F4" i="7"/>
  <c r="P198" i="16"/>
  <c r="P190" i="16"/>
  <c r="P182" i="16"/>
  <c r="P174" i="16"/>
  <c r="P166" i="16"/>
  <c r="P158" i="16"/>
  <c r="P150" i="16"/>
  <c r="P142" i="16"/>
  <c r="P134" i="16"/>
  <c r="P199" i="16"/>
  <c r="P191" i="16"/>
  <c r="P183" i="16"/>
  <c r="P175" i="16"/>
  <c r="P167" i="16"/>
  <c r="P159" i="16"/>
  <c r="P151" i="16"/>
  <c r="P143" i="16"/>
  <c r="P135" i="16"/>
  <c r="P127" i="16"/>
  <c r="P205" i="16"/>
  <c r="P197" i="16"/>
  <c r="P189" i="16"/>
  <c r="P181" i="16"/>
  <c r="P195" i="16"/>
  <c r="P179" i="16"/>
  <c r="P171" i="16"/>
  <c r="P163" i="16"/>
  <c r="P155" i="16"/>
  <c r="P147" i="16"/>
  <c r="P139" i="16"/>
  <c r="P131" i="16"/>
  <c r="P126" i="16"/>
  <c r="P123" i="16"/>
  <c r="P118" i="16"/>
  <c r="P110" i="16"/>
  <c r="P102" i="16"/>
  <c r="P94" i="16"/>
  <c r="P86" i="16"/>
  <c r="P78" i="16"/>
  <c r="P70" i="16"/>
  <c r="P62" i="16"/>
  <c r="P54" i="16"/>
  <c r="P53" i="16"/>
  <c r="P52" i="16"/>
  <c r="P51" i="16"/>
  <c r="P50" i="16"/>
  <c r="P49" i="16"/>
  <c r="P48" i="16"/>
  <c r="P47" i="16"/>
  <c r="P46" i="16"/>
  <c r="P45" i="16"/>
  <c r="P44" i="16"/>
  <c r="P43" i="16"/>
  <c r="P42" i="16"/>
  <c r="P41" i="16"/>
  <c r="P40" i="16"/>
  <c r="P39" i="16"/>
  <c r="P38" i="16"/>
  <c r="P37" i="16"/>
  <c r="P36" i="16"/>
  <c r="P35" i="16"/>
  <c r="P34" i="16"/>
  <c r="P33" i="16"/>
  <c r="P32" i="16"/>
  <c r="P31" i="16"/>
  <c r="P30" i="16"/>
  <c r="P29" i="16"/>
  <c r="P28" i="16"/>
  <c r="P27" i="16"/>
  <c r="P26" i="16"/>
  <c r="P25" i="16"/>
  <c r="P24" i="16"/>
  <c r="P23" i="16"/>
  <c r="P22" i="16"/>
  <c r="P21" i="16"/>
  <c r="P20" i="16"/>
  <c r="P19" i="16"/>
  <c r="P18" i="16"/>
  <c r="P17" i="16"/>
  <c r="P16" i="16"/>
  <c r="P15" i="16"/>
  <c r="P14" i="16"/>
  <c r="P13" i="16"/>
  <c r="P12" i="16"/>
  <c r="P11" i="16"/>
  <c r="P10" i="16"/>
  <c r="P9" i="16"/>
  <c r="P8" i="16"/>
  <c r="P7" i="16"/>
  <c r="P6" i="16"/>
  <c r="K206" i="16"/>
  <c r="P194" i="16"/>
  <c r="P121" i="16"/>
  <c r="P113" i="16"/>
  <c r="P105" i="16"/>
  <c r="P97" i="16"/>
  <c r="P89" i="16"/>
  <c r="P203" i="16"/>
  <c r="P187" i="16"/>
  <c r="P172" i="16"/>
  <c r="P164" i="16"/>
  <c r="P156" i="16"/>
  <c r="P148" i="16"/>
  <c r="P140" i="16"/>
  <c r="P200" i="16"/>
  <c r="P184" i="16"/>
  <c r="P178" i="16"/>
  <c r="P176" i="16"/>
  <c r="P170" i="16"/>
  <c r="P168" i="16"/>
  <c r="P162" i="16"/>
  <c r="P160" i="16"/>
  <c r="P186" i="16"/>
  <c r="P138" i="16"/>
  <c r="P129" i="16"/>
  <c r="P83" i="16"/>
  <c r="P73" i="16"/>
  <c r="P67" i="16"/>
  <c r="P57" i="16"/>
  <c r="P185" i="16"/>
  <c r="P157" i="16"/>
  <c r="P146" i="16"/>
  <c r="P145" i="16"/>
  <c r="P80" i="16"/>
  <c r="P64" i="16"/>
  <c r="P169" i="16"/>
  <c r="P152" i="16"/>
  <c r="P136" i="16"/>
  <c r="P81" i="16"/>
  <c r="P75" i="16"/>
  <c r="P65" i="16"/>
  <c r="P192" i="16"/>
  <c r="P137" i="16"/>
  <c r="P204" i="16"/>
  <c r="P196" i="16"/>
  <c r="P124" i="16"/>
  <c r="P104" i="16"/>
  <c r="P99" i="16"/>
  <c r="P87" i="16"/>
  <c r="P85" i="16"/>
  <c r="P201" i="16"/>
  <c r="P202" i="16"/>
  <c r="P107" i="16"/>
  <c r="P115" i="16"/>
  <c r="P84" i="16"/>
  <c r="P66" i="16"/>
  <c r="P180" i="16"/>
  <c r="P154" i="16"/>
  <c r="P144" i="16"/>
  <c r="P130" i="16"/>
  <c r="P116" i="16"/>
  <c r="P114" i="16"/>
  <c r="P111" i="16"/>
  <c r="P98" i="16"/>
  <c r="P58" i="16"/>
  <c r="P188" i="16"/>
  <c r="P125" i="16"/>
  <c r="P120" i="16"/>
  <c r="P117" i="16"/>
  <c r="P100" i="16"/>
  <c r="P96" i="16"/>
  <c r="P91" i="16"/>
  <c r="P88" i="16"/>
  <c r="P82" i="16"/>
  <c r="P74" i="16"/>
  <c r="P193" i="16"/>
  <c r="P173" i="16"/>
  <c r="P161" i="16"/>
  <c r="P133" i="16"/>
  <c r="P132" i="16"/>
  <c r="P106" i="16"/>
  <c r="P103" i="16"/>
  <c r="P101" i="16"/>
  <c r="P92" i="16"/>
  <c r="P90" i="16"/>
  <c r="P177" i="16"/>
  <c r="P149" i="16"/>
  <c r="P141" i="16"/>
  <c r="P122" i="16"/>
  <c r="P119" i="16"/>
  <c r="P95" i="16"/>
  <c r="P93" i="16"/>
  <c r="P61" i="16"/>
  <c r="P128" i="16"/>
  <c r="P109" i="16"/>
  <c r="P108" i="16"/>
  <c r="P63" i="16"/>
  <c r="P165" i="16"/>
  <c r="P153" i="16"/>
  <c r="P112" i="16"/>
  <c r="P76" i="16"/>
  <c r="P71" i="16"/>
  <c r="P59" i="16"/>
  <c r="P79" i="16"/>
  <c r="P55" i="16"/>
  <c r="P56" i="16"/>
  <c r="P77" i="16"/>
  <c r="P72" i="16"/>
  <c r="P68" i="16"/>
  <c r="L6" i="16"/>
  <c r="P60" i="16"/>
  <c r="P69" i="16"/>
  <c r="O6" i="16"/>
  <c r="G8" i="20" s="1"/>
  <c r="I46" i="20"/>
  <c r="I115" i="20"/>
  <c r="L210" i="16"/>
  <c r="M38" i="20"/>
  <c r="R38" i="20"/>
  <c r="Q38" i="20"/>
  <c r="P38" i="20"/>
  <c r="O38" i="20"/>
  <c r="N38" i="20"/>
  <c r="T38" i="20"/>
  <c r="S38" i="20"/>
  <c r="W227" i="3"/>
  <c r="AA227" i="3"/>
  <c r="J173" i="2"/>
  <c r="I75" i="20"/>
  <c r="W365" i="3"/>
  <c r="AA365" i="3"/>
  <c r="AA257" i="3"/>
  <c r="W257" i="3"/>
  <c r="I81" i="20"/>
  <c r="I106" i="20"/>
  <c r="I90" i="20"/>
  <c r="I60" i="20"/>
  <c r="I61" i="20"/>
  <c r="J22" i="11" a="1"/>
  <c r="J22" i="11" s="1"/>
  <c r="K22" i="11" s="1"/>
  <c r="J246" i="11" a="1"/>
  <c r="J246" i="11" s="1"/>
  <c r="K246" i="11" s="1"/>
  <c r="J104" i="11" a="1"/>
  <c r="J104" i="11" s="1"/>
  <c r="K104" i="11" s="1"/>
  <c r="J194" i="11" a="1"/>
  <c r="J194" i="11" s="1"/>
  <c r="K194" i="11" s="1"/>
  <c r="J107" i="11" a="1"/>
  <c r="J107" i="11" s="1"/>
  <c r="K107" i="11" s="1"/>
  <c r="W237" i="3"/>
  <c r="AA237" i="3"/>
  <c r="AA213" i="3"/>
  <c r="W213" i="3"/>
  <c r="J13" i="11" a="1"/>
  <c r="J13" i="11" s="1"/>
  <c r="K13" i="11" s="1"/>
  <c r="C40" i="2" a="1"/>
  <c r="C40" i="2" s="1"/>
  <c r="D38" i="2" s="1"/>
  <c r="W105" i="3"/>
  <c r="AA105" i="3"/>
  <c r="W261" i="3"/>
  <c r="AA261" i="3"/>
  <c r="J28" i="11" a="1"/>
  <c r="J28" i="11" s="1"/>
  <c r="K28" i="11" s="1"/>
  <c r="J45" i="11" a="1"/>
  <c r="J45" i="11" s="1"/>
  <c r="K45" i="11" s="1"/>
  <c r="J204" i="11" a="1"/>
  <c r="J204" i="11" s="1"/>
  <c r="K204" i="11" s="1"/>
  <c r="J188" i="11" a="1"/>
  <c r="J188" i="11" s="1"/>
  <c r="K188" i="11" s="1"/>
  <c r="J98" i="11" a="1"/>
  <c r="J98" i="11" s="1"/>
  <c r="K98" i="11" s="1"/>
  <c r="J162" i="11" a="1"/>
  <c r="J162" i="11" s="1"/>
  <c r="K162" i="11" s="1"/>
  <c r="J226" i="11" a="1"/>
  <c r="J226" i="11" s="1"/>
  <c r="K226" i="11" s="1"/>
  <c r="J247" i="11" a="1"/>
  <c r="J247" i="11" s="1"/>
  <c r="K247" i="11" s="1"/>
  <c r="J94" i="11" a="1"/>
  <c r="J94" i="11" s="1"/>
  <c r="K94" i="11" s="1"/>
  <c r="J158" i="11" a="1"/>
  <c r="J158" i="11" s="1"/>
  <c r="K158" i="11" s="1"/>
  <c r="J222" i="11" a="1"/>
  <c r="J222" i="11" s="1"/>
  <c r="K222" i="11" s="1"/>
  <c r="J139" i="11" a="1"/>
  <c r="J139" i="11" s="1"/>
  <c r="K139" i="11" s="1"/>
  <c r="J203" i="11" a="1"/>
  <c r="J203" i="11" s="1"/>
  <c r="K203" i="11" s="1"/>
  <c r="F5" i="20"/>
  <c r="E151" i="2"/>
  <c r="I163" i="20"/>
  <c r="I68" i="20"/>
  <c r="I93" i="20"/>
  <c r="I67" i="20"/>
  <c r="I62" i="20"/>
  <c r="I109" i="20"/>
  <c r="I170" i="20"/>
  <c r="I165" i="20"/>
  <c r="I117" i="20"/>
  <c r="I103" i="20"/>
  <c r="I166" i="20"/>
  <c r="I147" i="20"/>
  <c r="I83" i="20"/>
  <c r="I58" i="20"/>
  <c r="I174" i="20"/>
  <c r="I155" i="20"/>
  <c r="I205" i="20"/>
  <c r="I132" i="20"/>
  <c r="I162" i="20"/>
  <c r="I125" i="20"/>
  <c r="I133" i="20"/>
  <c r="I149" i="20"/>
  <c r="L18" i="16"/>
  <c r="O18" i="16"/>
  <c r="G20" i="20" s="1"/>
  <c r="W173" i="3"/>
  <c r="AA173" i="3"/>
  <c r="AA249" i="3"/>
  <c r="W249" i="3"/>
  <c r="I9" i="20"/>
  <c r="I26" i="20"/>
  <c r="AA193" i="3"/>
  <c r="W193" i="3"/>
  <c r="AA128" i="3"/>
  <c r="W128" i="3"/>
  <c r="W305" i="3"/>
  <c r="AA305" i="3"/>
  <c r="I20" i="20"/>
  <c r="W356" i="3"/>
  <c r="AA356" i="3"/>
  <c r="AA85" i="3"/>
  <c r="W85" i="3"/>
  <c r="AA92" i="3"/>
  <c r="W92" i="3"/>
  <c r="W393" i="3"/>
  <c r="AA393" i="3"/>
  <c r="W293" i="3"/>
  <c r="AA293" i="3"/>
  <c r="W132" i="3"/>
  <c r="AA132" i="3"/>
  <c r="AA241" i="3"/>
  <c r="W241" i="3"/>
  <c r="AA349" i="3"/>
  <c r="W349" i="3"/>
  <c r="I73" i="20"/>
  <c r="O125" i="16"/>
  <c r="G127" i="20" s="1"/>
  <c r="L125" i="16"/>
  <c r="L237" i="16"/>
  <c r="M237" i="16" s="1"/>
  <c r="I57" i="20"/>
  <c r="I36" i="20"/>
  <c r="L218" i="16"/>
  <c r="M218" i="16" s="1"/>
  <c r="AA225" i="3"/>
  <c r="W225" i="3"/>
  <c r="W388" i="3"/>
  <c r="AA388" i="3"/>
  <c r="O56" i="20"/>
  <c r="N56" i="20"/>
  <c r="M56" i="20"/>
  <c r="S56" i="20"/>
  <c r="T56" i="20"/>
  <c r="R56" i="20"/>
  <c r="Q56" i="20"/>
  <c r="P56" i="20"/>
  <c r="O174" i="16"/>
  <c r="G176" i="20" s="1"/>
  <c r="L174" i="16"/>
  <c r="I15" i="20"/>
  <c r="I51" i="20"/>
  <c r="L226" i="16"/>
  <c r="M226" i="16" s="1"/>
  <c r="W77" i="3"/>
  <c r="AA77" i="3"/>
  <c r="F173" i="2"/>
  <c r="H173" i="2" s="1"/>
  <c r="A189" i="2"/>
  <c r="F12" i="7"/>
  <c r="N82" i="20"/>
  <c r="M82" i="20"/>
  <c r="T82" i="20"/>
  <c r="S82" i="20"/>
  <c r="Q82" i="20"/>
  <c r="P82" i="20"/>
  <c r="O82" i="20"/>
  <c r="R82" i="20"/>
  <c r="E237" i="16"/>
  <c r="E233" i="16"/>
  <c r="E236" i="16"/>
  <c r="E231" i="16"/>
  <c r="E227" i="16"/>
  <c r="E223" i="16"/>
  <c r="E219" i="16"/>
  <c r="E215" i="16"/>
  <c r="E211" i="16"/>
  <c r="E234" i="16"/>
  <c r="H238" i="16"/>
  <c r="E226" i="16"/>
  <c r="E218" i="16"/>
  <c r="E210" i="16"/>
  <c r="E228" i="16"/>
  <c r="E222" i="16"/>
  <c r="E217" i="16"/>
  <c r="E235" i="16"/>
  <c r="E224" i="16"/>
  <c r="E212" i="16"/>
  <c r="E225" i="16"/>
  <c r="E213" i="16"/>
  <c r="E220" i="16"/>
  <c r="E216" i="16"/>
  <c r="E229" i="16"/>
  <c r="E221" i="16"/>
  <c r="E230" i="16"/>
  <c r="E232" i="16"/>
  <c r="E214" i="16"/>
  <c r="W325" i="3"/>
  <c r="AA325" i="3"/>
  <c r="W167" i="3"/>
  <c r="AA167" i="3"/>
  <c r="AA245" i="3"/>
  <c r="W245" i="3"/>
  <c r="L224" i="16"/>
  <c r="M224" i="16" s="1"/>
  <c r="I126" i="20"/>
  <c r="L199" i="16"/>
  <c r="O199" i="16"/>
  <c r="G201" i="20" s="1"/>
  <c r="I194" i="20"/>
  <c r="I148" i="20"/>
  <c r="J89" i="11" a="1"/>
  <c r="J89" i="11" s="1"/>
  <c r="K89" i="11" s="1"/>
  <c r="J228" i="11" a="1"/>
  <c r="J228" i="11" s="1"/>
  <c r="K228" i="11" s="1"/>
  <c r="J182" i="11" a="1"/>
  <c r="J182" i="11" s="1"/>
  <c r="K182" i="11" s="1"/>
  <c r="J227" i="11" a="1"/>
  <c r="J227" i="11" s="1"/>
  <c r="K227" i="11" s="1"/>
  <c r="J224" i="11" a="1"/>
  <c r="J224" i="11" s="1"/>
  <c r="K224" i="11" s="1"/>
  <c r="J67" i="11" a="1"/>
  <c r="J67" i="11" s="1"/>
  <c r="K67" i="11" s="1"/>
  <c r="J79" i="11" a="1"/>
  <c r="J79" i="11" s="1"/>
  <c r="K79" i="11" s="1"/>
  <c r="J241" i="11" a="1"/>
  <c r="J241" i="11" s="1"/>
  <c r="K241" i="11" s="1"/>
  <c r="J57" i="11" a="1"/>
  <c r="J57" i="11" s="1"/>
  <c r="K57" i="11" s="1"/>
  <c r="J96" i="11" a="1"/>
  <c r="J96" i="11" s="1"/>
  <c r="K96" i="11" s="1"/>
  <c r="J236" i="11" a="1"/>
  <c r="J236" i="11" s="1"/>
  <c r="K236" i="11" s="1"/>
  <c r="J10" i="11" a="1"/>
  <c r="J10" i="11" s="1"/>
  <c r="K10" i="11" s="1"/>
  <c r="J56" i="11" a="1"/>
  <c r="J56" i="11" s="1"/>
  <c r="K56" i="11" s="1"/>
  <c r="J64" i="11" a="1"/>
  <c r="J64" i="11" s="1"/>
  <c r="J81" i="11" a="1"/>
  <c r="J81" i="11" s="1"/>
  <c r="K81" i="11" s="1"/>
  <c r="J159" i="11" a="1"/>
  <c r="J159" i="11" s="1"/>
  <c r="K159" i="11" s="1"/>
  <c r="J59" i="11" a="1"/>
  <c r="J59" i="11" s="1"/>
  <c r="K59" i="11" s="1"/>
  <c r="J191" i="11" a="1"/>
  <c r="J191" i="11" s="1"/>
  <c r="K191" i="11" s="1"/>
  <c r="J24" i="11" a="1"/>
  <c r="J24" i="11" s="1"/>
  <c r="K24" i="11" s="1"/>
  <c r="J83" i="11" a="1"/>
  <c r="J83" i="11" s="1"/>
  <c r="K83" i="11" s="1"/>
  <c r="J101" i="11" a="1"/>
  <c r="J101" i="11" s="1"/>
  <c r="K101" i="11" s="1"/>
  <c r="J184" i="11" a="1"/>
  <c r="J184" i="11" s="1"/>
  <c r="K184" i="11" s="1"/>
  <c r="J82" i="11" a="1"/>
  <c r="J82" i="11" s="1"/>
  <c r="K82" i="11" s="1"/>
  <c r="J25" i="11" a="1"/>
  <c r="J25" i="11" s="1"/>
  <c r="K25" i="11" s="1"/>
  <c r="J62" i="11" a="1"/>
  <c r="J62" i="11" s="1"/>
  <c r="K62" i="11" s="1"/>
  <c r="J152" i="11" a="1"/>
  <c r="J152" i="11" s="1"/>
  <c r="K152" i="11" s="1"/>
  <c r="W233" i="3"/>
  <c r="AA233" i="3"/>
  <c r="W329" i="3"/>
  <c r="AA329" i="3"/>
  <c r="C39" i="2" a="1"/>
  <c r="C39" i="2" s="1"/>
  <c r="J85" i="11" a="1"/>
  <c r="J85" i="11" s="1"/>
  <c r="K85" i="11" s="1"/>
  <c r="J7" i="11" a="1"/>
  <c r="J7" i="11" s="1"/>
  <c r="K7" i="11" s="1"/>
  <c r="J32" i="11" a="1"/>
  <c r="J32" i="11" s="1"/>
  <c r="K32" i="11" s="1"/>
  <c r="J97" i="11" a="1"/>
  <c r="J97" i="11" s="1"/>
  <c r="K97" i="11" s="1"/>
  <c r="J53" i="11" a="1"/>
  <c r="J53" i="11" s="1"/>
  <c r="K53" i="11" s="1"/>
  <c r="J232" i="11" a="1"/>
  <c r="J232" i="11" s="1"/>
  <c r="K232" i="11" s="1"/>
  <c r="J112" i="11" a="1"/>
  <c r="J112" i="11" s="1"/>
  <c r="K112" i="11" s="1"/>
  <c r="J84" i="11" a="1"/>
  <c r="J84" i="11" s="1"/>
  <c r="K84" i="11" s="1"/>
  <c r="J168" i="11" a="1"/>
  <c r="J168" i="11" s="1"/>
  <c r="K168" i="11" s="1"/>
  <c r="J33" i="11" a="1"/>
  <c r="J33" i="11" s="1"/>
  <c r="K33" i="11" s="1"/>
  <c r="J91" i="11" a="1"/>
  <c r="J91" i="11" s="1"/>
  <c r="K91" i="11" s="1"/>
  <c r="J197" i="11" a="1"/>
  <c r="J197" i="11" s="1"/>
  <c r="K197" i="11" s="1"/>
  <c r="J70" i="11" a="1"/>
  <c r="J70" i="11" s="1"/>
  <c r="K70" i="11" s="1"/>
  <c r="J161" i="11" a="1"/>
  <c r="J161" i="11" s="1"/>
  <c r="K161" i="11" s="1"/>
  <c r="J106" i="11" a="1"/>
  <c r="J106" i="11" s="1"/>
  <c r="K106" i="11" s="1"/>
  <c r="J170" i="11" a="1"/>
  <c r="J170" i="11" s="1"/>
  <c r="K170" i="11" s="1"/>
  <c r="J234" i="11" a="1"/>
  <c r="J234" i="11" s="1"/>
  <c r="K234" i="11" s="1"/>
  <c r="J212" i="11" a="1"/>
  <c r="J212" i="11" s="1"/>
  <c r="K212" i="11" s="1"/>
  <c r="J102" i="11" a="1"/>
  <c r="J102" i="11" s="1"/>
  <c r="K102" i="11" s="1"/>
  <c r="J166" i="11" a="1"/>
  <c r="J166" i="11" s="1"/>
  <c r="K166" i="11" s="1"/>
  <c r="J230" i="11" a="1"/>
  <c r="J230" i="11" s="1"/>
  <c r="K230" i="11" s="1"/>
  <c r="J147" i="11" a="1"/>
  <c r="J147" i="11" s="1"/>
  <c r="K147" i="11" s="1"/>
  <c r="J211" i="11" a="1"/>
  <c r="J211" i="11" s="1"/>
  <c r="K211" i="11" s="1"/>
  <c r="L79" i="16"/>
  <c r="O79" i="16"/>
  <c r="G81" i="20" s="1"/>
  <c r="I107" i="20"/>
  <c r="AA65" i="3"/>
  <c r="W65" i="3"/>
  <c r="W397" i="3"/>
  <c r="AA397" i="3"/>
  <c r="AA377" i="3"/>
  <c r="W377" i="3"/>
  <c r="Q6" i="5"/>
  <c r="W163" i="3"/>
  <c r="AA163" i="3"/>
  <c r="W197" i="3"/>
  <c r="AA197" i="3"/>
  <c r="I97" i="20"/>
  <c r="AA341" i="3"/>
  <c r="W341" i="3"/>
  <c r="AA253" i="3"/>
  <c r="W253" i="3"/>
  <c r="AA4" i="7"/>
  <c r="R18" i="3"/>
  <c r="S18" i="3" s="1"/>
  <c r="N18" i="3"/>
  <c r="W169" i="3"/>
  <c r="AA169" i="3"/>
  <c r="AA320" i="3"/>
  <c r="W320" i="3"/>
  <c r="W69" i="3"/>
  <c r="AA69" i="3"/>
  <c r="AA129" i="3"/>
  <c r="W129" i="3"/>
  <c r="F8" i="7"/>
  <c r="I28" i="20"/>
  <c r="N193" i="20"/>
  <c r="P193" i="20"/>
  <c r="T193" i="20"/>
  <c r="S193" i="20"/>
  <c r="O193" i="20"/>
  <c r="R193" i="20"/>
  <c r="Q193" i="20"/>
  <c r="M193" i="20"/>
  <c r="T33" i="20"/>
  <c r="N33" i="20"/>
  <c r="M33" i="20"/>
  <c r="S33" i="20"/>
  <c r="R33" i="20"/>
  <c r="Q33" i="20"/>
  <c r="P33" i="20"/>
  <c r="O33" i="20"/>
  <c r="L68" i="16"/>
  <c r="O68" i="16"/>
  <c r="G70" i="20" s="1"/>
  <c r="I55" i="20"/>
  <c r="W73" i="3"/>
  <c r="AA73" i="3"/>
  <c r="W45" i="3"/>
  <c r="AA45" i="3"/>
  <c r="AA57" i="3"/>
  <c r="W57" i="3"/>
  <c r="Q8" i="4"/>
  <c r="I10" i="20"/>
  <c r="I139" i="20"/>
  <c r="O198" i="20"/>
  <c r="S198" i="20"/>
  <c r="M198" i="20"/>
  <c r="T198" i="20"/>
  <c r="P198" i="20"/>
  <c r="R198" i="20"/>
  <c r="N198" i="20"/>
  <c r="Q198" i="20"/>
  <c r="W35" i="3"/>
  <c r="V35" i="3"/>
  <c r="AA35" i="3"/>
  <c r="W361" i="3"/>
  <c r="AA361" i="3"/>
  <c r="C183" i="2"/>
  <c r="C175" i="2"/>
  <c r="C182" i="2"/>
  <c r="C174" i="2"/>
  <c r="C184" i="2"/>
  <c r="C185" i="2"/>
  <c r="C186" i="2"/>
  <c r="C173" i="2"/>
  <c r="H174" i="2"/>
  <c r="H180" i="2"/>
  <c r="H179" i="2"/>
  <c r="B172" i="2"/>
  <c r="C176" i="2"/>
  <c r="C177" i="2"/>
  <c r="C178" i="2"/>
  <c r="H176" i="2"/>
  <c r="C181" i="2"/>
  <c r="C180" i="2"/>
  <c r="C179" i="2"/>
  <c r="H175" i="2"/>
  <c r="H182" i="2"/>
  <c r="H177" i="2"/>
  <c r="H178" i="2"/>
  <c r="H181" i="2"/>
  <c r="H185" i="2"/>
  <c r="H183" i="2"/>
  <c r="H184" i="2"/>
  <c r="H186" i="2"/>
  <c r="N27" i="20"/>
  <c r="T27" i="20"/>
  <c r="S27" i="20"/>
  <c r="R27" i="20"/>
  <c r="Q27" i="20"/>
  <c r="P27" i="20"/>
  <c r="O27" i="20"/>
  <c r="M27" i="20"/>
  <c r="I99" i="20"/>
  <c r="W391" i="3"/>
  <c r="AA391" i="3"/>
  <c r="AA153" i="3"/>
  <c r="W153" i="3"/>
  <c r="I21" i="20"/>
  <c r="I52" i="20"/>
  <c r="I143" i="20"/>
  <c r="I153" i="20"/>
  <c r="T15" i="7"/>
  <c r="I42" i="20"/>
  <c r="I94" i="20"/>
  <c r="I112" i="20"/>
  <c r="I196" i="20"/>
  <c r="W131" i="3"/>
  <c r="AA131" i="3"/>
  <c r="AA224" i="3"/>
  <c r="W224" i="3"/>
  <c r="T104" i="20"/>
  <c r="S104" i="20"/>
  <c r="R104" i="20"/>
  <c r="Q104" i="20"/>
  <c r="M104" i="20"/>
  <c r="P104" i="20"/>
  <c r="O104" i="20"/>
  <c r="N104" i="20"/>
  <c r="W95" i="3"/>
  <c r="AA95" i="3"/>
  <c r="W265" i="3"/>
  <c r="AA265" i="3"/>
  <c r="AA60" i="3"/>
  <c r="W60" i="3"/>
  <c r="J27" i="11" a="1"/>
  <c r="J27" i="11" s="1"/>
  <c r="K27" i="11" s="1"/>
  <c r="J6" i="11" a="1"/>
  <c r="J6" i="11" s="1"/>
  <c r="K6" i="11" s="1"/>
  <c r="J145" i="11" a="1"/>
  <c r="J145" i="11" s="1"/>
  <c r="K145" i="11" s="1"/>
  <c r="J165" i="11" a="1"/>
  <c r="J165" i="11" s="1"/>
  <c r="K165" i="11" s="1"/>
  <c r="J60" i="11" a="1"/>
  <c r="J60" i="11" s="1"/>
  <c r="K60" i="11" s="1"/>
  <c r="J217" i="11" a="1"/>
  <c r="J217" i="11" s="1"/>
  <c r="K217" i="11" s="1"/>
  <c r="W41" i="3"/>
  <c r="AA41" i="3"/>
  <c r="W260" i="3"/>
  <c r="AA260" i="3"/>
  <c r="AA81" i="3"/>
  <c r="W81" i="3"/>
  <c r="C43" i="2" a="1"/>
  <c r="C43" i="2" s="1"/>
  <c r="J51" i="11" a="1"/>
  <c r="J51" i="11" s="1"/>
  <c r="K51" i="11" s="1"/>
  <c r="J39" i="11" a="1"/>
  <c r="J39" i="11" s="1"/>
  <c r="K39" i="11" s="1"/>
  <c r="J26" i="11" a="1"/>
  <c r="J26" i="11" s="1"/>
  <c r="K26" i="11" s="1"/>
  <c r="J183" i="11" a="1"/>
  <c r="J183" i="11" s="1"/>
  <c r="K183" i="11" s="1"/>
  <c r="J201" i="11" a="1"/>
  <c r="J201" i="11" s="1"/>
  <c r="K201" i="11" s="1"/>
  <c r="J95" i="11" a="1"/>
  <c r="J95" i="11" s="1"/>
  <c r="K95" i="11" s="1"/>
  <c r="J151" i="11" a="1"/>
  <c r="J151" i="11" s="1"/>
  <c r="K151" i="11" s="1"/>
  <c r="J80" i="11" a="1"/>
  <c r="J80" i="11" s="1"/>
  <c r="K80" i="11" s="1"/>
  <c r="J66" i="11" a="1"/>
  <c r="J66" i="11" s="1"/>
  <c r="K66" i="11" s="1"/>
  <c r="J36" i="11" a="1"/>
  <c r="J36" i="11" s="1"/>
  <c r="K36" i="11" s="1"/>
  <c r="J47" i="11" a="1"/>
  <c r="J47" i="11" s="1"/>
  <c r="K47" i="11" s="1"/>
  <c r="J34" i="11" a="1"/>
  <c r="J34" i="11" s="1"/>
  <c r="K34" i="11" s="1"/>
  <c r="J200" i="11" a="1"/>
  <c r="J200" i="11" s="1"/>
  <c r="K200" i="11" s="1"/>
  <c r="J111" i="11" a="1"/>
  <c r="J111" i="11" s="1"/>
  <c r="K111" i="11" s="1"/>
  <c r="J193" i="11" a="1"/>
  <c r="J193" i="11" s="1"/>
  <c r="K193" i="11" s="1"/>
  <c r="J207" i="11" a="1"/>
  <c r="J207" i="11" s="1"/>
  <c r="K207" i="11" s="1"/>
  <c r="AA385" i="3"/>
  <c r="W385" i="3"/>
  <c r="W141" i="3"/>
  <c r="AA141" i="3"/>
  <c r="C42" i="2" a="1"/>
  <c r="C42" i="2" s="1"/>
  <c r="J88" i="11" a="1"/>
  <c r="J88" i="11" s="1"/>
  <c r="K88" i="11" s="1"/>
  <c r="J100" i="11" a="1"/>
  <c r="J100" i="11" s="1"/>
  <c r="K100" i="11" s="1"/>
  <c r="J44" i="11" a="1"/>
  <c r="J44" i="11" s="1"/>
  <c r="K44" i="11" s="1"/>
  <c r="J15" i="11" a="1"/>
  <c r="J15" i="11" s="1"/>
  <c r="K15" i="11" s="1"/>
  <c r="J76" i="11" a="1"/>
  <c r="J76" i="11" s="1"/>
  <c r="K76" i="11" s="1"/>
  <c r="J40" i="11" a="1"/>
  <c r="J40" i="11" s="1"/>
  <c r="K40" i="11" s="1"/>
  <c r="J42" i="11" a="1"/>
  <c r="J42" i="11" s="1"/>
  <c r="K42" i="11" s="1"/>
  <c r="J109" i="11" a="1"/>
  <c r="J109" i="11" s="1"/>
  <c r="K109" i="11" s="1"/>
  <c r="J233" i="11" a="1"/>
  <c r="J233" i="11" s="1"/>
  <c r="K233" i="11" s="1"/>
  <c r="J61" i="11" a="1"/>
  <c r="J61" i="11" s="1"/>
  <c r="K61" i="11" s="1"/>
  <c r="J128" i="11" a="1"/>
  <c r="J128" i="11" s="1"/>
  <c r="K128" i="11" s="1"/>
  <c r="J103" i="11" a="1"/>
  <c r="J103" i="11" s="1"/>
  <c r="K103" i="11" s="1"/>
  <c r="J209" i="11" a="1"/>
  <c r="J209" i="11" s="1"/>
  <c r="K209" i="11" s="1"/>
  <c r="J121" i="11" a="1"/>
  <c r="J121" i="11" s="1"/>
  <c r="K121" i="11" s="1"/>
  <c r="J208" i="11" a="1"/>
  <c r="J208" i="11" s="1"/>
  <c r="K208" i="11" s="1"/>
  <c r="J93" i="11" a="1"/>
  <c r="J93" i="11" s="1"/>
  <c r="K93" i="11" s="1"/>
  <c r="J177" i="11" a="1"/>
  <c r="J177" i="11" s="1"/>
  <c r="K177" i="11" s="1"/>
  <c r="J41" i="11" a="1"/>
  <c r="J41" i="11" s="1"/>
  <c r="K41" i="11" s="1"/>
  <c r="J105" i="11" a="1"/>
  <c r="J105" i="11" s="1"/>
  <c r="K105" i="11" s="1"/>
  <c r="J216" i="11" a="1"/>
  <c r="J216" i="11" s="1"/>
  <c r="K216" i="11" s="1"/>
  <c r="J87" i="11" a="1"/>
  <c r="J87" i="11" s="1"/>
  <c r="K87" i="11" s="1"/>
  <c r="J180" i="11" a="1"/>
  <c r="J180" i="11" s="1"/>
  <c r="K180" i="11" s="1"/>
  <c r="J114" i="11" a="1"/>
  <c r="J114" i="11" s="1"/>
  <c r="K114" i="11" s="1"/>
  <c r="J178" i="11" a="1"/>
  <c r="J178" i="11" s="1"/>
  <c r="K178" i="11" s="1"/>
  <c r="J242" i="11" a="1"/>
  <c r="J242" i="11" s="1"/>
  <c r="K242" i="11" s="1"/>
  <c r="J220" i="11" a="1"/>
  <c r="J220" i="11" s="1"/>
  <c r="K220" i="11" s="1"/>
  <c r="J110" i="11" a="1"/>
  <c r="J110" i="11" s="1"/>
  <c r="K110" i="11" s="1"/>
  <c r="J174" i="11" a="1"/>
  <c r="J174" i="11" s="1"/>
  <c r="K174" i="11" s="1"/>
  <c r="J238" i="11" a="1"/>
  <c r="J238" i="11" s="1"/>
  <c r="K238" i="11" s="1"/>
  <c r="J155" i="11" a="1"/>
  <c r="J155" i="11" s="1"/>
  <c r="K155" i="11" s="1"/>
  <c r="I128" i="20"/>
  <c r="I123" i="20"/>
  <c r="AA124" i="3"/>
  <c r="W124" i="3"/>
  <c r="W231" i="3"/>
  <c r="AA231" i="3"/>
  <c r="H1" i="7" a="1"/>
  <c r="H1" i="7" s="1"/>
  <c r="H13" i="7" s="1"/>
  <c r="P120" i="20"/>
  <c r="T120" i="20"/>
  <c r="S120" i="20"/>
  <c r="R120" i="20"/>
  <c r="M120" i="20"/>
  <c r="Q120" i="20"/>
  <c r="O120" i="20"/>
  <c r="N120" i="20"/>
  <c r="AA321" i="3"/>
  <c r="W321" i="3"/>
  <c r="W337" i="3"/>
  <c r="AA337" i="3"/>
  <c r="R12" i="5"/>
  <c r="Q12" i="5"/>
  <c r="F64" i="11"/>
  <c r="H64" i="11" s="1"/>
  <c r="I64" i="11" s="1"/>
  <c r="O69" i="16"/>
  <c r="G71" i="20" s="1"/>
  <c r="L69" i="16"/>
  <c r="Q200" i="20"/>
  <c r="P200" i="20"/>
  <c r="O200" i="20"/>
  <c r="N200" i="20"/>
  <c r="T200" i="20"/>
  <c r="S200" i="20"/>
  <c r="R200" i="20"/>
  <c r="M200" i="20"/>
  <c r="W259" i="3"/>
  <c r="AA259" i="3"/>
  <c r="AA149" i="3"/>
  <c r="W149" i="3"/>
  <c r="I11" i="20"/>
  <c r="I138" i="20"/>
  <c r="W355" i="3"/>
  <c r="AA355" i="3"/>
  <c r="F5" i="7"/>
  <c r="AA5" i="7"/>
  <c r="I98" i="20"/>
  <c r="I12" i="20"/>
  <c r="I238" i="16"/>
  <c r="I137" i="20"/>
  <c r="AA353" i="3"/>
  <c r="W353" i="3"/>
  <c r="AA156" i="3"/>
  <c r="W156" i="3"/>
  <c r="I37" i="20"/>
  <c r="I18" i="20"/>
  <c r="I47" i="20"/>
  <c r="I190" i="20"/>
  <c r="AA288" i="3"/>
  <c r="W288" i="3"/>
  <c r="W333" i="3"/>
  <c r="AA333" i="3"/>
  <c r="T10" i="7"/>
  <c r="AA8" i="7" s="1"/>
  <c r="Q105" i="20"/>
  <c r="P105" i="20"/>
  <c r="O105" i="20"/>
  <c r="N105" i="20"/>
  <c r="T105" i="20"/>
  <c r="R105" i="20"/>
  <c r="S105" i="20"/>
  <c r="M105" i="20"/>
  <c r="I184" i="20"/>
  <c r="L228" i="16"/>
  <c r="M228" i="16" s="1"/>
  <c r="J228" i="16"/>
  <c r="I207" i="20"/>
  <c r="W228" i="3"/>
  <c r="AA228" i="3"/>
  <c r="AA53" i="3"/>
  <c r="W53" i="3"/>
  <c r="N27" i="3"/>
  <c r="R27" i="3"/>
  <c r="S27" i="3" s="1"/>
  <c r="AA281" i="3"/>
  <c r="W281" i="3"/>
  <c r="I72" i="20"/>
  <c r="I35" i="20"/>
  <c r="I142" i="20"/>
  <c r="I77" i="20"/>
  <c r="N150" i="20"/>
  <c r="S150" i="20"/>
  <c r="R150" i="20"/>
  <c r="T150" i="20"/>
  <c r="P150" i="20"/>
  <c r="O150" i="20"/>
  <c r="M150" i="20"/>
  <c r="Q150" i="20"/>
  <c r="T96" i="20"/>
  <c r="S96" i="20"/>
  <c r="R96" i="20"/>
  <c r="Q96" i="20"/>
  <c r="M96" i="20"/>
  <c r="P96" i="20"/>
  <c r="O96" i="20"/>
  <c r="N96" i="20"/>
  <c r="I63" i="20"/>
  <c r="N19" i="3"/>
  <c r="R19" i="3"/>
  <c r="S19" i="3" s="1"/>
  <c r="R21" i="3"/>
  <c r="S21" i="3" s="1"/>
  <c r="N21" i="3"/>
  <c r="V36" i="3"/>
  <c r="V37" i="3" s="1"/>
  <c r="V38" i="3" s="1"/>
  <c r="V39" i="3" s="1"/>
  <c r="V40" i="3" s="1"/>
  <c r="V41" i="3" s="1"/>
  <c r="V42" i="3" s="1"/>
  <c r="V43" i="3" s="1"/>
  <c r="V44" i="3" s="1"/>
  <c r="V45" i="3" s="1"/>
  <c r="V46" i="3" s="1"/>
  <c r="V47" i="3" s="1"/>
  <c r="V48" i="3" s="1"/>
  <c r="V49" i="3" s="1"/>
  <c r="V50" i="3" s="1"/>
  <c r="V51" i="3" s="1"/>
  <c r="V52" i="3" s="1"/>
  <c r="V53" i="3" s="1"/>
  <c r="V54" i="3" s="1"/>
  <c r="V55" i="3" s="1"/>
  <c r="V56" i="3" s="1"/>
  <c r="V57" i="3" s="1"/>
  <c r="V58" i="3" s="1"/>
  <c r="V59" i="3" s="1"/>
  <c r="V60" i="3" s="1"/>
  <c r="V61" i="3" s="1"/>
  <c r="V62" i="3" s="1"/>
  <c r="V63" i="3" s="1"/>
  <c r="V64" i="3" s="1"/>
  <c r="V65" i="3" s="1"/>
  <c r="V66" i="3" s="1"/>
  <c r="V67" i="3" s="1"/>
  <c r="V68" i="3" s="1"/>
  <c r="V69" i="3" s="1"/>
  <c r="V70" i="3" s="1"/>
  <c r="V71" i="3" s="1"/>
  <c r="V72" i="3" s="1"/>
  <c r="V73" i="3" s="1"/>
  <c r="V74" i="3" s="1"/>
  <c r="V75" i="3" s="1"/>
  <c r="V76" i="3" s="1"/>
  <c r="V77" i="3" s="1"/>
  <c r="V78" i="3" s="1"/>
  <c r="V79" i="3" s="1"/>
  <c r="V80" i="3" s="1"/>
  <c r="V81" i="3" s="1"/>
  <c r="V82" i="3" s="1"/>
  <c r="V83" i="3" s="1"/>
  <c r="V84" i="3" s="1"/>
  <c r="V85" i="3" s="1"/>
  <c r="V86" i="3" s="1"/>
  <c r="V87" i="3" s="1"/>
  <c r="V88" i="3" s="1"/>
  <c r="V89" i="3" s="1"/>
  <c r="V90" i="3" s="1"/>
  <c r="V91" i="3" s="1"/>
  <c r="V92" i="3" s="1"/>
  <c r="V93" i="3" s="1"/>
  <c r="V94" i="3" s="1"/>
  <c r="V95" i="3" s="1"/>
  <c r="V96" i="3" s="1"/>
  <c r="V97" i="3" s="1"/>
  <c r="V98" i="3" s="1"/>
  <c r="V99" i="3" s="1"/>
  <c r="V100" i="3" s="1"/>
  <c r="V101" i="3" s="1"/>
  <c r="V102" i="3" s="1"/>
  <c r="V103" i="3" s="1"/>
  <c r="V104" i="3" s="1"/>
  <c r="V105" i="3" s="1"/>
  <c r="V106" i="3" s="1"/>
  <c r="V107" i="3" s="1"/>
  <c r="V108" i="3" s="1"/>
  <c r="V109" i="3" s="1"/>
  <c r="V110" i="3" s="1"/>
  <c r="V111" i="3" s="1"/>
  <c r="V112" i="3" s="1"/>
  <c r="V113" i="3" s="1"/>
  <c r="V114" i="3" s="1"/>
  <c r="V115" i="3" s="1"/>
  <c r="V116" i="3" s="1"/>
  <c r="V117" i="3" s="1"/>
  <c r="V118" i="3" s="1"/>
  <c r="V119" i="3" s="1"/>
  <c r="V120" i="3" s="1"/>
  <c r="V121" i="3" s="1"/>
  <c r="V122" i="3" s="1"/>
  <c r="V123" i="3" s="1"/>
  <c r="V124" i="3" s="1"/>
  <c r="V125" i="3" s="1"/>
  <c r="V126" i="3" s="1"/>
  <c r="V127" i="3" s="1"/>
  <c r="V128" i="3" s="1"/>
  <c r="V129" i="3" s="1"/>
  <c r="V130" i="3" s="1"/>
  <c r="V131" i="3" s="1"/>
  <c r="V132" i="3" s="1"/>
  <c r="V133" i="3" s="1"/>
  <c r="V134" i="3" s="1"/>
  <c r="V135" i="3" s="1"/>
  <c r="V136" i="3" s="1"/>
  <c r="V137" i="3" s="1"/>
  <c r="V138" i="3" s="1"/>
  <c r="V139" i="3" s="1"/>
  <c r="V140" i="3" s="1"/>
  <c r="V141" i="3" s="1"/>
  <c r="V142" i="3" s="1"/>
  <c r="V143" i="3" s="1"/>
  <c r="V144" i="3" s="1"/>
  <c r="V145" i="3" s="1"/>
  <c r="V146" i="3" s="1"/>
  <c r="V147" i="3" s="1"/>
  <c r="V148" i="3" s="1"/>
  <c r="V149" i="3" s="1"/>
  <c r="V150" i="3" s="1"/>
  <c r="V151" i="3" s="1"/>
  <c r="V152" i="3" s="1"/>
  <c r="V153" i="3" s="1"/>
  <c r="V154" i="3" s="1"/>
  <c r="V155" i="3" s="1"/>
  <c r="V156" i="3" s="1"/>
  <c r="V157" i="3" s="1"/>
  <c r="V158" i="3" s="1"/>
  <c r="V159" i="3" s="1"/>
  <c r="V160" i="3" s="1"/>
  <c r="V161" i="3" s="1"/>
  <c r="V162" i="3" s="1"/>
  <c r="V163" i="3" s="1"/>
  <c r="V164" i="3" s="1"/>
  <c r="V165" i="3" s="1"/>
  <c r="V166" i="3" s="1"/>
  <c r="V167" i="3" s="1"/>
  <c r="V168" i="3" s="1"/>
  <c r="V169" i="3" s="1"/>
  <c r="V170" i="3" s="1"/>
  <c r="V171" i="3" s="1"/>
  <c r="V172" i="3" s="1"/>
  <c r="V173" i="3" s="1"/>
  <c r="V174" i="3" s="1"/>
  <c r="V175" i="3" s="1"/>
  <c r="V176" i="3" s="1"/>
  <c r="V177" i="3" s="1"/>
  <c r="V178" i="3" s="1"/>
  <c r="V179" i="3" s="1"/>
  <c r="V180" i="3" s="1"/>
  <c r="V181" i="3" s="1"/>
  <c r="V182" i="3" s="1"/>
  <c r="V183" i="3" s="1"/>
  <c r="V184" i="3" s="1"/>
  <c r="V185" i="3" s="1"/>
  <c r="V186" i="3" s="1"/>
  <c r="V187" i="3" s="1"/>
  <c r="V188" i="3" s="1"/>
  <c r="V189" i="3" s="1"/>
  <c r="V190" i="3" s="1"/>
  <c r="V191" i="3" s="1"/>
  <c r="V192" i="3" s="1"/>
  <c r="V193" i="3" s="1"/>
  <c r="V194" i="3" s="1"/>
  <c r="V195" i="3" s="1"/>
  <c r="V196" i="3" s="1"/>
  <c r="V197" i="3" s="1"/>
  <c r="V198" i="3" s="1"/>
  <c r="V199" i="3" s="1"/>
  <c r="V200" i="3" s="1"/>
  <c r="V201" i="3" s="1"/>
  <c r="V202" i="3" s="1"/>
  <c r="V203" i="3" s="1"/>
  <c r="V204" i="3" s="1"/>
  <c r="V205" i="3" s="1"/>
  <c r="V206" i="3" s="1"/>
  <c r="V207" i="3" s="1"/>
  <c r="V208" i="3" s="1"/>
  <c r="V209" i="3" s="1"/>
  <c r="V210" i="3" s="1"/>
  <c r="V211" i="3" s="1"/>
  <c r="V212" i="3" s="1"/>
  <c r="V213" i="3" s="1"/>
  <c r="V214" i="3" s="1"/>
  <c r="V215" i="3" s="1"/>
  <c r="V216" i="3" s="1"/>
  <c r="V217" i="3" s="1"/>
  <c r="V218" i="3" s="1"/>
  <c r="V219" i="3" s="1"/>
  <c r="V220" i="3" s="1"/>
  <c r="V221" i="3" s="1"/>
  <c r="V222" i="3" s="1"/>
  <c r="V223" i="3" s="1"/>
  <c r="V224" i="3" s="1"/>
  <c r="V225" i="3" s="1"/>
  <c r="V226" i="3" s="1"/>
  <c r="V227" i="3" s="1"/>
  <c r="V228" i="3" s="1"/>
  <c r="V229" i="3" s="1"/>
  <c r="V230" i="3" s="1"/>
  <c r="V231" i="3" s="1"/>
  <c r="V232" i="3" s="1"/>
  <c r="V233" i="3" s="1"/>
  <c r="V234" i="3" s="1"/>
  <c r="V235" i="3" s="1"/>
  <c r="V236" i="3" s="1"/>
  <c r="V237" i="3" s="1"/>
  <c r="V238" i="3" s="1"/>
  <c r="V239" i="3" s="1"/>
  <c r="V240" i="3" s="1"/>
  <c r="V241" i="3" s="1"/>
  <c r="V242" i="3" s="1"/>
  <c r="V243" i="3" s="1"/>
  <c r="V244" i="3" s="1"/>
  <c r="V245" i="3" s="1"/>
  <c r="V246" i="3" s="1"/>
  <c r="V247" i="3" s="1"/>
  <c r="V248" i="3" s="1"/>
  <c r="V249" i="3" s="1"/>
  <c r="V250" i="3" s="1"/>
  <c r="V251" i="3" s="1"/>
  <c r="V252" i="3" s="1"/>
  <c r="V253" i="3" s="1"/>
  <c r="V254" i="3" s="1"/>
  <c r="V255" i="3" s="1"/>
  <c r="V256" i="3" s="1"/>
  <c r="V257" i="3" s="1"/>
  <c r="V258" i="3" s="1"/>
  <c r="V259" i="3" s="1"/>
  <c r="V260" i="3" s="1"/>
  <c r="V261" i="3" s="1"/>
  <c r="V262" i="3" s="1"/>
  <c r="V263" i="3" s="1"/>
  <c r="V264" i="3" s="1"/>
  <c r="V265" i="3" s="1"/>
  <c r="V266" i="3" s="1"/>
  <c r="V267" i="3" s="1"/>
  <c r="V268" i="3" s="1"/>
  <c r="V269" i="3" s="1"/>
  <c r="V270" i="3" s="1"/>
  <c r="V271" i="3" s="1"/>
  <c r="V272" i="3" s="1"/>
  <c r="V273" i="3" s="1"/>
  <c r="V274" i="3" s="1"/>
  <c r="V275" i="3" s="1"/>
  <c r="V276" i="3" s="1"/>
  <c r="V277" i="3" s="1"/>
  <c r="V278" i="3" s="1"/>
  <c r="V279" i="3" s="1"/>
  <c r="V280" i="3" s="1"/>
  <c r="V281" i="3" s="1"/>
  <c r="V282" i="3" s="1"/>
  <c r="V283" i="3" s="1"/>
  <c r="V284" i="3" s="1"/>
  <c r="V285" i="3" s="1"/>
  <c r="V286" i="3" s="1"/>
  <c r="V287" i="3" s="1"/>
  <c r="V288" i="3" s="1"/>
  <c r="V289" i="3" s="1"/>
  <c r="V290" i="3" s="1"/>
  <c r="V291" i="3" s="1"/>
  <c r="V292" i="3" s="1"/>
  <c r="V293" i="3" s="1"/>
  <c r="V294" i="3" s="1"/>
  <c r="V295" i="3" s="1"/>
  <c r="V296" i="3" s="1"/>
  <c r="V297" i="3" s="1"/>
  <c r="V298" i="3" s="1"/>
  <c r="V299" i="3" s="1"/>
  <c r="V300" i="3" s="1"/>
  <c r="V301" i="3" s="1"/>
  <c r="V302" i="3" s="1"/>
  <c r="V303" i="3" s="1"/>
  <c r="V304" i="3" s="1"/>
  <c r="V305" i="3" s="1"/>
  <c r="V306" i="3" s="1"/>
  <c r="V307" i="3" s="1"/>
  <c r="V308" i="3" s="1"/>
  <c r="V309" i="3" s="1"/>
  <c r="V310" i="3" s="1"/>
  <c r="V311" i="3" s="1"/>
  <c r="V312" i="3" s="1"/>
  <c r="V313" i="3" s="1"/>
  <c r="V314" i="3" s="1"/>
  <c r="V315" i="3" s="1"/>
  <c r="V316" i="3" s="1"/>
  <c r="V317" i="3" s="1"/>
  <c r="V318" i="3" s="1"/>
  <c r="V319" i="3" s="1"/>
  <c r="V320" i="3" s="1"/>
  <c r="V321" i="3" s="1"/>
  <c r="V322" i="3" s="1"/>
  <c r="V323" i="3" s="1"/>
  <c r="V324" i="3" s="1"/>
  <c r="V325" i="3" s="1"/>
  <c r="V326" i="3" s="1"/>
  <c r="V327" i="3" s="1"/>
  <c r="V328" i="3" s="1"/>
  <c r="V329" i="3" s="1"/>
  <c r="V330" i="3" s="1"/>
  <c r="V331" i="3" s="1"/>
  <c r="V332" i="3" s="1"/>
  <c r="V333" i="3" s="1"/>
  <c r="V334" i="3" s="1"/>
  <c r="V335" i="3" s="1"/>
  <c r="V336" i="3" s="1"/>
  <c r="V337" i="3" s="1"/>
  <c r="V338" i="3" s="1"/>
  <c r="V339" i="3" s="1"/>
  <c r="V340" i="3" s="1"/>
  <c r="V341" i="3" s="1"/>
  <c r="V342" i="3" s="1"/>
  <c r="V343" i="3" s="1"/>
  <c r="V344" i="3" s="1"/>
  <c r="V345" i="3" s="1"/>
  <c r="V346" i="3" s="1"/>
  <c r="V347" i="3" s="1"/>
  <c r="V348" i="3" s="1"/>
  <c r="V349" i="3" s="1"/>
  <c r="V350" i="3" s="1"/>
  <c r="V351" i="3" s="1"/>
  <c r="V352" i="3" s="1"/>
  <c r="V353" i="3" s="1"/>
  <c r="V354" i="3" s="1"/>
  <c r="V355" i="3" s="1"/>
  <c r="V356" i="3" s="1"/>
  <c r="V357" i="3" s="1"/>
  <c r="V358" i="3" s="1"/>
  <c r="V359" i="3" s="1"/>
  <c r="V360" i="3" s="1"/>
  <c r="V361" i="3" s="1"/>
  <c r="V362" i="3" s="1"/>
  <c r="V363" i="3" s="1"/>
  <c r="V364" i="3" s="1"/>
  <c r="V365" i="3" s="1"/>
  <c r="V366" i="3" s="1"/>
  <c r="V367" i="3" s="1"/>
  <c r="V368" i="3" s="1"/>
  <c r="V369" i="3" s="1"/>
  <c r="V370" i="3" s="1"/>
  <c r="V371" i="3" s="1"/>
  <c r="V372" i="3" s="1"/>
  <c r="V373" i="3" s="1"/>
  <c r="V374" i="3" s="1"/>
  <c r="V375" i="3" s="1"/>
  <c r="V376" i="3" s="1"/>
  <c r="V377" i="3" s="1"/>
  <c r="V378" i="3" s="1"/>
  <c r="V379" i="3" s="1"/>
  <c r="V380" i="3" s="1"/>
  <c r="V381" i="3" s="1"/>
  <c r="V382" i="3" s="1"/>
  <c r="V383" i="3" s="1"/>
  <c r="V384" i="3" s="1"/>
  <c r="V385" i="3" s="1"/>
  <c r="V386" i="3" s="1"/>
  <c r="V387" i="3" s="1"/>
  <c r="V388" i="3" s="1"/>
  <c r="V389" i="3" s="1"/>
  <c r="V390" i="3" s="1"/>
  <c r="V391" i="3" s="1"/>
  <c r="V392" i="3" s="1"/>
  <c r="V393" i="3" s="1"/>
  <c r="V394" i="3" s="1"/>
  <c r="V395" i="3" s="1"/>
  <c r="V396" i="3" s="1"/>
  <c r="V397" i="3" s="1"/>
  <c r="V398" i="3" s="1"/>
  <c r="W36" i="3"/>
  <c r="AA36" i="3"/>
  <c r="W37" i="3"/>
  <c r="AA37" i="3"/>
  <c r="R14" i="4"/>
  <c r="AA61" i="3"/>
  <c r="W61" i="3"/>
  <c r="P9" i="11" a="1"/>
  <c r="P8" i="11" a="1"/>
  <c r="V5" i="11" a="1"/>
  <c r="V14" i="11" a="1"/>
  <c r="H4" i="11"/>
  <c r="I4" i="11" s="1"/>
  <c r="V9" i="11" a="1"/>
  <c r="V9" i="11" s="1"/>
  <c r="V10" i="11" a="1"/>
  <c r="V10" i="11" s="1"/>
  <c r="I54" i="20"/>
  <c r="W297" i="3"/>
  <c r="AA297" i="3"/>
  <c r="W357" i="3"/>
  <c r="AA357" i="3"/>
  <c r="W205" i="3"/>
  <c r="AA205" i="3"/>
  <c r="I13" i="20"/>
  <c r="I66" i="20"/>
  <c r="I34" i="20"/>
  <c r="AA89" i="3"/>
  <c r="W89" i="3"/>
  <c r="AA96" i="3"/>
  <c r="W96" i="3"/>
  <c r="W101" i="3"/>
  <c r="AA101" i="3"/>
  <c r="I8" i="20"/>
  <c r="I50" i="20"/>
  <c r="I87" i="20"/>
  <c r="T183" i="20"/>
  <c r="Q183" i="20"/>
  <c r="S183" i="20"/>
  <c r="P183" i="20"/>
  <c r="N183" i="20"/>
  <c r="M183" i="20"/>
  <c r="R183" i="20"/>
  <c r="O183" i="20"/>
  <c r="I121" i="20"/>
  <c r="I91" i="20"/>
  <c r="O74" i="16"/>
  <c r="G76" i="20" s="1"/>
  <c r="L74" i="16"/>
  <c r="N59" i="20"/>
  <c r="M59" i="20"/>
  <c r="T59" i="20"/>
  <c r="R59" i="20"/>
  <c r="Q59" i="20"/>
  <c r="P59" i="20"/>
  <c r="O59" i="20"/>
  <c r="S59" i="20"/>
  <c r="W301" i="3"/>
  <c r="AA301" i="3"/>
  <c r="AA185" i="3"/>
  <c r="W185" i="3"/>
  <c r="AA189" i="3"/>
  <c r="W189" i="3"/>
  <c r="R11" i="5"/>
  <c r="P14" i="5"/>
  <c r="Q11" i="5"/>
  <c r="Q14" i="5" s="1"/>
  <c r="L48" i="16"/>
  <c r="O48" i="16"/>
  <c r="G50" i="20" s="1"/>
  <c r="Q89" i="20"/>
  <c r="P89" i="20"/>
  <c r="O89" i="20"/>
  <c r="N89" i="20"/>
  <c r="T89" i="20"/>
  <c r="R89" i="20"/>
  <c r="S89" i="20"/>
  <c r="M89" i="20"/>
  <c r="L212" i="16"/>
  <c r="M212" i="16" s="1"/>
  <c r="I136" i="20"/>
  <c r="I169" i="20"/>
  <c r="I113" i="20"/>
  <c r="L84" i="16"/>
  <c r="O84" i="16"/>
  <c r="G86" i="20" s="1"/>
  <c r="W323" i="3"/>
  <c r="AA323" i="3"/>
  <c r="W135" i="3"/>
  <c r="AA135" i="3"/>
  <c r="F11" i="7"/>
  <c r="L188" i="16"/>
  <c r="O188" i="16"/>
  <c r="G190" i="20" s="1"/>
  <c r="L63" i="16"/>
  <c r="O63" i="16"/>
  <c r="G65" i="20" s="1"/>
  <c r="AA161" i="3"/>
  <c r="W161" i="3"/>
  <c r="W165" i="3"/>
  <c r="AA165" i="3"/>
  <c r="AA113" i="3"/>
  <c r="W113" i="3"/>
  <c r="AA309" i="3"/>
  <c r="W309" i="3"/>
  <c r="L92" i="16"/>
  <c r="O92" i="16"/>
  <c r="G94" i="20" s="1"/>
  <c r="L126" i="16"/>
  <c r="O126" i="16"/>
  <c r="G128" i="20" s="1"/>
  <c r="I176" i="20"/>
  <c r="L216" i="16"/>
  <c r="M216" i="16" s="1"/>
  <c r="O182" i="20"/>
  <c r="S182" i="20"/>
  <c r="R182" i="20"/>
  <c r="Q182" i="20"/>
  <c r="M182" i="20"/>
  <c r="N182" i="20"/>
  <c r="P182" i="20"/>
  <c r="T182" i="20"/>
  <c r="I197" i="20"/>
  <c r="I189" i="20"/>
  <c r="I119" i="20"/>
  <c r="J181" i="11" a="1"/>
  <c r="J181" i="11" s="1"/>
  <c r="K181" i="11" s="1"/>
  <c r="J172" i="11" a="1"/>
  <c r="J172" i="11" s="1"/>
  <c r="K172" i="11" s="1"/>
  <c r="J237" i="11" a="1"/>
  <c r="J237" i="11" s="1"/>
  <c r="K237" i="11" s="1"/>
  <c r="J120" i="11" a="1"/>
  <c r="J120" i="11" s="1"/>
  <c r="K120" i="11" s="1"/>
  <c r="J196" i="11" a="1"/>
  <c r="J196" i="11" s="1"/>
  <c r="K196" i="11" s="1"/>
  <c r="J186" i="11" a="1"/>
  <c r="J186" i="11" s="1"/>
  <c r="K186" i="11" s="1"/>
  <c r="J5" i="11" a="1"/>
  <c r="J5" i="11" s="1"/>
  <c r="K5" i="11" s="1"/>
  <c r="L64" i="16"/>
  <c r="O64" i="16"/>
  <c r="G66" i="20" s="1"/>
  <c r="AA217" i="3"/>
  <c r="W217" i="3"/>
  <c r="Z9" i="7"/>
  <c r="C37" i="8"/>
  <c r="I17" i="20"/>
  <c r="I40" i="20"/>
  <c r="T124" i="20"/>
  <c r="P124" i="20"/>
  <c r="O124" i="20"/>
  <c r="N124" i="20"/>
  <c r="M124" i="20"/>
  <c r="S124" i="20"/>
  <c r="R124" i="20"/>
  <c r="Q124" i="20"/>
  <c r="L28" i="16"/>
  <c r="O28" i="16"/>
  <c r="G30" i="20" s="1"/>
  <c r="W137" i="3"/>
  <c r="AA137" i="3"/>
  <c r="AA285" i="3"/>
  <c r="W285" i="3"/>
  <c r="I30" i="20"/>
  <c r="I23" i="20"/>
  <c r="I39" i="20"/>
  <c r="AA117" i="3"/>
  <c r="W117" i="3"/>
  <c r="AA125" i="3"/>
  <c r="W125" i="3"/>
  <c r="O62" i="16"/>
  <c r="G64" i="20" s="1"/>
  <c r="L62" i="16"/>
  <c r="I79" i="20"/>
  <c r="R19" i="20"/>
  <c r="Q19" i="20"/>
  <c r="P19" i="20"/>
  <c r="O19" i="20"/>
  <c r="N19" i="20"/>
  <c r="T19" i="20"/>
  <c r="S19" i="20"/>
  <c r="M19" i="20"/>
  <c r="T191" i="20"/>
  <c r="Q191" i="20"/>
  <c r="P191" i="20"/>
  <c r="R191" i="20"/>
  <c r="S191" i="20"/>
  <c r="M191" i="20"/>
  <c r="O191" i="20"/>
  <c r="N191" i="20"/>
  <c r="I53" i="20"/>
  <c r="I76" i="20"/>
  <c r="I171" i="20"/>
  <c r="J48" i="11" a="1"/>
  <c r="J48" i="11" s="1"/>
  <c r="K48" i="11" s="1"/>
  <c r="J189" i="11" a="1"/>
  <c r="J189" i="11" s="1"/>
  <c r="K189" i="11" s="1"/>
  <c r="J9" i="11" a="1"/>
  <c r="J9" i="11" s="1"/>
  <c r="K9" i="11" s="1"/>
  <c r="J249" i="11" a="1"/>
  <c r="J249" i="11" s="1"/>
  <c r="K249" i="11" s="1"/>
  <c r="J205" i="11" a="1"/>
  <c r="J205" i="11" s="1"/>
  <c r="K205" i="11" s="1"/>
  <c r="J215" i="11" a="1"/>
  <c r="J215" i="11" s="1"/>
  <c r="K215" i="11" s="1"/>
  <c r="AA177" i="3"/>
  <c r="W177" i="3"/>
  <c r="J245" i="11" a="1"/>
  <c r="J245" i="11" s="1"/>
  <c r="K245" i="11" s="1"/>
  <c r="J65" i="11" a="1"/>
  <c r="J65" i="11" s="1"/>
  <c r="K65" i="11" s="1"/>
  <c r="J116" i="11" a="1"/>
  <c r="J116" i="11" s="1"/>
  <c r="K116" i="11" s="1"/>
  <c r="J202" i="11" a="1"/>
  <c r="J202" i="11" s="1"/>
  <c r="K202" i="11" s="1"/>
  <c r="O206" i="20"/>
  <c r="S206" i="20"/>
  <c r="N206" i="20"/>
  <c r="P206" i="20"/>
  <c r="M206" i="20"/>
  <c r="T206" i="20"/>
  <c r="Q206" i="20"/>
  <c r="R206" i="20"/>
  <c r="AA64" i="3"/>
  <c r="W64" i="3"/>
  <c r="AA256" i="3"/>
  <c r="W256" i="3"/>
  <c r="AA121" i="3"/>
  <c r="W121" i="3"/>
  <c r="AA317" i="3"/>
  <c r="W317" i="3"/>
  <c r="M129" i="20"/>
  <c r="T129" i="20"/>
  <c r="S129" i="20"/>
  <c r="R129" i="20"/>
  <c r="Q129" i="20"/>
  <c r="P129" i="20"/>
  <c r="O129" i="20"/>
  <c r="N129" i="20"/>
  <c r="W263" i="3"/>
  <c r="AA263" i="3"/>
  <c r="AA97" i="3"/>
  <c r="W97" i="3"/>
  <c r="L38" i="16"/>
  <c r="O38" i="16"/>
  <c r="G40" i="20" s="1"/>
  <c r="S202" i="20"/>
  <c r="N202" i="20"/>
  <c r="R202" i="20"/>
  <c r="T202" i="20"/>
  <c r="Q202" i="20"/>
  <c r="P202" i="20"/>
  <c r="O202" i="20"/>
  <c r="M202" i="20"/>
  <c r="W67" i="3"/>
  <c r="AA67" i="3"/>
  <c r="W39" i="3"/>
  <c r="AA39" i="3"/>
  <c r="R26" i="3"/>
  <c r="S26" i="3" s="1"/>
  <c r="N26" i="3"/>
  <c r="W269" i="3"/>
  <c r="AA269" i="3"/>
  <c r="AA93" i="3"/>
  <c r="W93" i="3"/>
  <c r="E208" i="20"/>
  <c r="G208" i="20"/>
  <c r="L73" i="16"/>
  <c r="O73" i="16"/>
  <c r="G75" i="20" s="1"/>
  <c r="P116" i="20"/>
  <c r="O116" i="20"/>
  <c r="N116" i="20"/>
  <c r="M116" i="20"/>
  <c r="T116" i="20"/>
  <c r="S116" i="20"/>
  <c r="Q116" i="20"/>
  <c r="R116" i="20"/>
  <c r="J223" i="16"/>
  <c r="L223" i="16"/>
  <c r="M223" i="16" s="1"/>
  <c r="N23" i="3"/>
  <c r="R23" i="3"/>
  <c r="S23" i="3" s="1"/>
  <c r="G179" i="2"/>
  <c r="I179" i="2" s="1"/>
  <c r="F172" i="2"/>
  <c r="H172" i="2" s="1"/>
  <c r="G186" i="2"/>
  <c r="I186" i="2" s="1"/>
  <c r="G178" i="2"/>
  <c r="I178" i="2" s="1"/>
  <c r="G176" i="2"/>
  <c r="I176" i="2" s="1"/>
  <c r="G175" i="2"/>
  <c r="I175" i="2" s="1"/>
  <c r="G174" i="2"/>
  <c r="I174" i="2" s="1"/>
  <c r="G173" i="2"/>
  <c r="I173" i="2" s="1"/>
  <c r="G177" i="2"/>
  <c r="I177" i="2" s="1"/>
  <c r="A169" i="2"/>
  <c r="A191" i="2"/>
  <c r="A190" i="2"/>
  <c r="G184" i="2"/>
  <c r="I184" i="2" s="1"/>
  <c r="G183" i="2"/>
  <c r="I183" i="2" s="1"/>
  <c r="G182" i="2"/>
  <c r="I182" i="2" s="1"/>
  <c r="G181" i="2"/>
  <c r="I181" i="2" s="1"/>
  <c r="G180" i="2"/>
  <c r="I180" i="2" s="1"/>
  <c r="J169" i="2"/>
  <c r="G185" i="2"/>
  <c r="I185" i="2" s="1"/>
  <c r="I169" i="2"/>
  <c r="G169" i="2"/>
  <c r="I25" i="20"/>
  <c r="T49" i="20"/>
  <c r="R49" i="20"/>
  <c r="S49" i="20"/>
  <c r="Q49" i="20"/>
  <c r="P49" i="20"/>
  <c r="O49" i="20"/>
  <c r="N49" i="20"/>
  <c r="M49" i="20"/>
  <c r="I160" i="20"/>
  <c r="I31" i="20"/>
  <c r="L141" i="16"/>
  <c r="O141" i="16"/>
  <c r="G143" i="20" s="1"/>
  <c r="I134" i="20"/>
  <c r="W196" i="3"/>
  <c r="AA196" i="3"/>
  <c r="P7" i="5"/>
  <c r="Q3" i="5"/>
  <c r="P8" i="5"/>
  <c r="AA289" i="3"/>
  <c r="W289" i="3"/>
  <c r="AA373" i="3"/>
  <c r="W373" i="3"/>
  <c r="I29" i="20"/>
  <c r="L85" i="16"/>
  <c r="O85" i="16"/>
  <c r="G87" i="20" s="1"/>
  <c r="T5" i="7"/>
  <c r="R161" i="20"/>
  <c r="M161" i="20"/>
  <c r="S161" i="20"/>
  <c r="P161" i="20"/>
  <c r="O161" i="20"/>
  <c r="T161" i="20"/>
  <c r="Q161" i="20"/>
  <c r="N161" i="20"/>
  <c r="L158" i="16"/>
  <c r="O158" i="16"/>
  <c r="G160" i="20" s="1"/>
  <c r="I101" i="20"/>
  <c r="R14" i="5" l="1"/>
  <c r="P9" i="11"/>
  <c r="P8" i="11"/>
  <c r="B29" i="2" a="1"/>
  <c r="B29" i="2" s="1"/>
  <c r="B63" i="2" a="1"/>
  <c r="B63" i="2" s="1"/>
  <c r="D63" i="2" s="1"/>
  <c r="J172" i="2"/>
  <c r="V14" i="11"/>
  <c r="H10" i="7"/>
  <c r="V5" i="11"/>
  <c r="R200" i="16"/>
  <c r="R192" i="16"/>
  <c r="R184" i="16"/>
  <c r="R176" i="16"/>
  <c r="R168" i="16"/>
  <c r="R160" i="16"/>
  <c r="R152" i="16"/>
  <c r="R144" i="16"/>
  <c r="R136" i="16"/>
  <c r="R128" i="16"/>
  <c r="P206" i="16"/>
  <c r="R201" i="16"/>
  <c r="R193" i="16"/>
  <c r="R185" i="16"/>
  <c r="R177" i="16"/>
  <c r="R169" i="16"/>
  <c r="R161" i="16"/>
  <c r="R153" i="16"/>
  <c r="R145" i="16"/>
  <c r="R137" i="16"/>
  <c r="R129" i="16"/>
  <c r="R121" i="16"/>
  <c r="R199" i="16"/>
  <c r="R191" i="16"/>
  <c r="R183" i="16"/>
  <c r="R204" i="16"/>
  <c r="R188" i="16"/>
  <c r="R124" i="16"/>
  <c r="R120" i="16"/>
  <c r="R112" i="16"/>
  <c r="R104" i="16"/>
  <c r="R96" i="16"/>
  <c r="R88" i="16"/>
  <c r="R80" i="16"/>
  <c r="R72" i="16"/>
  <c r="R64" i="16"/>
  <c r="R56" i="16"/>
  <c r="R197" i="16"/>
  <c r="R181" i="16"/>
  <c r="R178" i="16"/>
  <c r="R170" i="16"/>
  <c r="R162" i="16"/>
  <c r="R154" i="16"/>
  <c r="R146" i="16"/>
  <c r="R138" i="16"/>
  <c r="R130" i="16"/>
  <c r="R125" i="16"/>
  <c r="R115" i="16"/>
  <c r="R107" i="16"/>
  <c r="R99" i="16"/>
  <c r="R91" i="16"/>
  <c r="R196" i="16"/>
  <c r="R180" i="16"/>
  <c r="R174" i="16"/>
  <c r="R166" i="16"/>
  <c r="R158" i="16"/>
  <c r="R150" i="16"/>
  <c r="R142" i="16"/>
  <c r="R202" i="16"/>
  <c r="R186" i="16"/>
  <c r="R187" i="16"/>
  <c r="R182" i="16"/>
  <c r="R157" i="16"/>
  <c r="R134" i="16"/>
  <c r="R126" i="16"/>
  <c r="R118" i="16"/>
  <c r="R116" i="16"/>
  <c r="R110" i="16"/>
  <c r="R108" i="16"/>
  <c r="R102" i="16"/>
  <c r="R100" i="16"/>
  <c r="R94" i="16"/>
  <c r="R92" i="16"/>
  <c r="R86" i="16"/>
  <c r="R77" i="16"/>
  <c r="R74" i="16"/>
  <c r="R61" i="16"/>
  <c r="R58" i="16"/>
  <c r="R179" i="16"/>
  <c r="R165" i="16"/>
  <c r="R156" i="16"/>
  <c r="R155" i="16"/>
  <c r="R133" i="16"/>
  <c r="R122" i="16"/>
  <c r="R114" i="16"/>
  <c r="R106" i="16"/>
  <c r="R98" i="16"/>
  <c r="R90" i="16"/>
  <c r="R84" i="16"/>
  <c r="R68" i="16"/>
  <c r="R51" i="16"/>
  <c r="R47" i="16"/>
  <c r="R43" i="16"/>
  <c r="R39" i="16"/>
  <c r="R35" i="16"/>
  <c r="R31" i="16"/>
  <c r="R27" i="16"/>
  <c r="R23" i="16"/>
  <c r="R19" i="16"/>
  <c r="R15" i="16"/>
  <c r="R11" i="16"/>
  <c r="R7" i="16"/>
  <c r="R205" i="16"/>
  <c r="R190" i="16"/>
  <c r="R167" i="16"/>
  <c r="R141" i="16"/>
  <c r="R140" i="16"/>
  <c r="R131" i="16"/>
  <c r="R117" i="16"/>
  <c r="R109" i="16"/>
  <c r="R101" i="16"/>
  <c r="R93" i="16"/>
  <c r="R85" i="16"/>
  <c r="R82" i="16"/>
  <c r="R69" i="16"/>
  <c r="R66" i="16"/>
  <c r="R198" i="16"/>
  <c r="R172" i="16"/>
  <c r="R173" i="16"/>
  <c r="R123" i="16"/>
  <c r="R70" i="16"/>
  <c r="R54" i="16"/>
  <c r="R49" i="16"/>
  <c r="R40" i="16"/>
  <c r="R38" i="16"/>
  <c r="R33" i="16"/>
  <c r="R24" i="16"/>
  <c r="R8" i="16"/>
  <c r="R189" i="16"/>
  <c r="R195" i="16"/>
  <c r="R159" i="16"/>
  <c r="R149" i="16"/>
  <c r="R203" i="16"/>
  <c r="R113" i="16"/>
  <c r="R111" i="16"/>
  <c r="R75" i="16"/>
  <c r="R17" i="16"/>
  <c r="R10" i="16"/>
  <c r="R148" i="16"/>
  <c r="R143" i="16"/>
  <c r="R139" i="16"/>
  <c r="R83" i="16"/>
  <c r="R65" i="16"/>
  <c r="R53" i="16"/>
  <c r="R34" i="16"/>
  <c r="R175" i="16"/>
  <c r="R151" i="16"/>
  <c r="R135" i="16"/>
  <c r="R132" i="16"/>
  <c r="R103" i="16"/>
  <c r="R97" i="16"/>
  <c r="R89" i="16"/>
  <c r="R87" i="16"/>
  <c r="R57" i="16"/>
  <c r="R119" i="16"/>
  <c r="R105" i="16"/>
  <c r="R95" i="16"/>
  <c r="R63" i="16"/>
  <c r="R62" i="16"/>
  <c r="R60" i="16"/>
  <c r="R52" i="16"/>
  <c r="R45" i="16"/>
  <c r="R32" i="16"/>
  <c r="R25" i="16"/>
  <c r="R194" i="16"/>
  <c r="R163" i="16"/>
  <c r="R127" i="16"/>
  <c r="R79" i="16"/>
  <c r="R76" i="16"/>
  <c r="R55" i="16"/>
  <c r="R42" i="16"/>
  <c r="R20" i="16"/>
  <c r="R18" i="16"/>
  <c r="R13" i="16"/>
  <c r="R6" i="16"/>
  <c r="R164" i="16"/>
  <c r="R147" i="16"/>
  <c r="R171" i="16"/>
  <c r="R48" i="16"/>
  <c r="R37" i="16"/>
  <c r="R36" i="16"/>
  <c r="R14" i="16"/>
  <c r="R12" i="16"/>
  <c r="R22" i="16"/>
  <c r="R41" i="16"/>
  <c r="R21" i="16"/>
  <c r="R9" i="16"/>
  <c r="R67" i="16"/>
  <c r="R50" i="16"/>
  <c r="R30" i="16"/>
  <c r="R29" i="16"/>
  <c r="R71" i="16"/>
  <c r="R44" i="16"/>
  <c r="R16" i="16"/>
  <c r="R73" i="16"/>
  <c r="R78" i="16"/>
  <c r="R46" i="16"/>
  <c r="R26" i="16"/>
  <c r="R81" i="16"/>
  <c r="R59" i="16"/>
  <c r="R28" i="16"/>
  <c r="H9" i="7"/>
  <c r="AA6" i="7"/>
  <c r="AA9" i="7" s="1"/>
  <c r="U6" i="7"/>
  <c r="V13" i="11" a="1"/>
  <c r="V13" i="11" s="1"/>
  <c r="K14" i="2" a="1"/>
  <c r="K14" i="2" s="1"/>
  <c r="V15" i="11" a="1"/>
  <c r="V15" i="11" s="1"/>
  <c r="P13" i="11" a="1"/>
  <c r="P13" i="11" s="1"/>
  <c r="B30" i="2" a="1"/>
  <c r="B30" i="2" s="1"/>
  <c r="P6" i="11" a="1"/>
  <c r="P6" i="11" s="1"/>
  <c r="P14" i="11" a="1"/>
  <c r="P14" i="11" s="1"/>
  <c r="K236" i="16"/>
  <c r="K232" i="16"/>
  <c r="K235" i="16"/>
  <c r="K233" i="16"/>
  <c r="K230" i="16"/>
  <c r="K226" i="16"/>
  <c r="K222" i="16"/>
  <c r="K218" i="16"/>
  <c r="K214" i="16"/>
  <c r="K210" i="16"/>
  <c r="K237" i="16"/>
  <c r="K234" i="16"/>
  <c r="K231" i="16"/>
  <c r="K225" i="16"/>
  <c r="K224" i="16"/>
  <c r="K223" i="16"/>
  <c r="K217" i="16"/>
  <c r="K216" i="16"/>
  <c r="K215" i="16"/>
  <c r="K220" i="16"/>
  <c r="K229" i="16"/>
  <c r="K211" i="16"/>
  <c r="K212" i="16"/>
  <c r="K228" i="16"/>
  <c r="K227" i="16"/>
  <c r="K213" i="16"/>
  <c r="K221" i="16"/>
  <c r="K219" i="16"/>
  <c r="J238" i="16"/>
  <c r="AA7" i="7"/>
  <c r="C38" i="8"/>
  <c r="C47" i="8"/>
  <c r="C48" i="8" s="1"/>
  <c r="B31" i="2" a="1"/>
  <c r="B31" i="2" s="1"/>
  <c r="P10" i="11" a="1"/>
  <c r="P10" i="11" s="1"/>
  <c r="W10" i="11" s="1" a="1"/>
  <c r="W10" i="11" s="1"/>
  <c r="Q8" i="5"/>
  <c r="K11" i="2" a="1"/>
  <c r="K11" i="2" s="1"/>
  <c r="P5" i="11" a="1"/>
  <c r="P5" i="11" s="1"/>
  <c r="W5" i="11" s="1" a="1"/>
  <c r="W5" i="11" s="1"/>
  <c r="K13" i="2" a="1"/>
  <c r="K13" i="2" s="1"/>
  <c r="V4" i="11" a="1"/>
  <c r="V4" i="11" s="1"/>
  <c r="Q7" i="5"/>
  <c r="H7" i="7"/>
  <c r="H17" i="7"/>
  <c r="K6" i="2"/>
  <c r="P4" i="11" a="1"/>
  <c r="P4" i="11" s="1"/>
  <c r="W4" i="11" s="1" a="1"/>
  <c r="W4" i="11" s="1"/>
  <c r="V6" i="11" a="1"/>
  <c r="V6" i="11" s="1"/>
  <c r="P7" i="11" a="1"/>
  <c r="P7" i="11" s="1"/>
  <c r="W7" i="11" s="1" a="1"/>
  <c r="W7" i="11" s="1"/>
  <c r="P15" i="11" a="1"/>
  <c r="P15" i="11" s="1"/>
  <c r="W15" i="11" s="1" a="1"/>
  <c r="W15" i="11" s="1"/>
  <c r="D39" i="2"/>
  <c r="G12" i="7"/>
  <c r="H12" i="7"/>
  <c r="F18" i="7"/>
  <c r="G4" i="7"/>
  <c r="H4" i="7"/>
  <c r="D43" i="2"/>
  <c r="H16" i="7"/>
  <c r="O234" i="16"/>
  <c r="O228" i="16"/>
  <c r="O224" i="16"/>
  <c r="O220" i="16"/>
  <c r="O216" i="16"/>
  <c r="O212" i="16"/>
  <c r="O232" i="16"/>
  <c r="E238" i="16"/>
  <c r="O236" i="16"/>
  <c r="O237" i="16"/>
  <c r="O235" i="16"/>
  <c r="O229" i="16"/>
  <c r="O221" i="16"/>
  <c r="O213" i="16"/>
  <c r="O223" i="16"/>
  <c r="O218" i="16"/>
  <c r="O225" i="16"/>
  <c r="O219" i="16"/>
  <c r="O226" i="16"/>
  <c r="O214" i="16"/>
  <c r="O230" i="16"/>
  <c r="O217" i="16"/>
  <c r="O210" i="16"/>
  <c r="O233" i="16"/>
  <c r="O231" i="16"/>
  <c r="O211" i="16"/>
  <c r="O215" i="16"/>
  <c r="O227" i="16"/>
  <c r="O222" i="16"/>
  <c r="H6" i="7"/>
  <c r="G6" i="7"/>
  <c r="G238" i="16"/>
  <c r="R8" i="11"/>
  <c r="S8" i="11" s="1"/>
  <c r="U8" i="11"/>
  <c r="D42" i="2"/>
  <c r="D40" i="2"/>
  <c r="L238" i="16"/>
  <c r="M210" i="16"/>
  <c r="U9" i="11"/>
  <c r="R9" i="11"/>
  <c r="S9" i="11" s="1"/>
  <c r="B33" i="2" a="1"/>
  <c r="B33" i="2" s="1"/>
  <c r="G33" i="2" s="1"/>
  <c r="H11" i="7"/>
  <c r="G11" i="7"/>
  <c r="V8" i="11" a="1"/>
  <c r="V8" i="11" s="1"/>
  <c r="H8" i="7"/>
  <c r="G8" i="7"/>
  <c r="T18" i="7"/>
  <c r="H14" i="7"/>
  <c r="B27" i="2" a="1"/>
  <c r="B27" i="2" s="1"/>
  <c r="B28" i="2" a="1"/>
  <c r="B28" i="2" s="1"/>
  <c r="V12" i="11" a="1"/>
  <c r="V12" i="11" s="1"/>
  <c r="P11" i="11" a="1"/>
  <c r="P11" i="11" s="1"/>
  <c r="W11" i="11" s="1" a="1"/>
  <c r="W11" i="11" s="1"/>
  <c r="H5" i="7"/>
  <c r="G5" i="7"/>
  <c r="U15" i="7"/>
  <c r="W9" i="11" a="1"/>
  <c r="W9" i="11" s="1"/>
  <c r="W8" i="11" a="1"/>
  <c r="W8" i="11" s="1"/>
  <c r="K4" i="11"/>
  <c r="G202" i="5" a="1"/>
  <c r="G202" i="5" s="1"/>
  <c r="G161" i="5" a="1"/>
  <c r="G161" i="5" s="1"/>
  <c r="G157" i="5" a="1"/>
  <c r="G157" i="5" s="1"/>
  <c r="G153" i="5" a="1"/>
  <c r="G153" i="5" s="1"/>
  <c r="G149" i="5" a="1"/>
  <c r="G149" i="5" s="1"/>
  <c r="G145" i="5" a="1"/>
  <c r="G145" i="5" s="1"/>
  <c r="G141" i="5" a="1"/>
  <c r="G141" i="5" s="1"/>
  <c r="G137" i="5" a="1"/>
  <c r="G137" i="5" s="1"/>
  <c r="G133" i="5" a="1"/>
  <c r="G133" i="5" s="1"/>
  <c r="G129" i="5" a="1"/>
  <c r="G129" i="5" s="1"/>
  <c r="G125" i="5" a="1"/>
  <c r="G125" i="5" s="1"/>
  <c r="G121" i="5" a="1"/>
  <c r="G121" i="5" s="1"/>
  <c r="G117" i="5" a="1"/>
  <c r="G117" i="5" s="1"/>
  <c r="G113" i="5" a="1"/>
  <c r="G113" i="5" s="1"/>
  <c r="G109" i="5" a="1"/>
  <c r="G109" i="5" s="1"/>
  <c r="G105" i="5" a="1"/>
  <c r="G105" i="5" s="1"/>
  <c r="G101" i="5" a="1"/>
  <c r="G101" i="5" s="1"/>
  <c r="G97" i="5" a="1"/>
  <c r="G97" i="5" s="1"/>
  <c r="G93" i="5" a="1"/>
  <c r="G93" i="5" s="1"/>
  <c r="G89" i="5" a="1"/>
  <c r="G89" i="5" s="1"/>
  <c r="G85" i="5" a="1"/>
  <c r="G85" i="5" s="1"/>
  <c r="G81" i="5" a="1"/>
  <c r="G81" i="5" s="1"/>
  <c r="G77" i="5" a="1"/>
  <c r="G77" i="5" s="1"/>
  <c r="G73" i="5" a="1"/>
  <c r="G73" i="5" s="1"/>
  <c r="G69" i="5" a="1"/>
  <c r="G69" i="5" s="1"/>
  <c r="G65" i="5" a="1"/>
  <c r="G65" i="5" s="1"/>
  <c r="G61" i="5" a="1"/>
  <c r="G61" i="5" s="1"/>
  <c r="G57" i="5" a="1"/>
  <c r="G57" i="5" s="1"/>
  <c r="G53" i="5" a="1"/>
  <c r="G53" i="5" s="1"/>
  <c r="G49" i="5" a="1"/>
  <c r="G49" i="5" s="1"/>
  <c r="G45" i="5" a="1"/>
  <c r="G45" i="5" s="1"/>
  <c r="G41" i="5" a="1"/>
  <c r="G41" i="5" s="1"/>
  <c r="G37" i="5" a="1"/>
  <c r="G37" i="5" s="1"/>
  <c r="G33" i="5" a="1"/>
  <c r="G33" i="5" s="1"/>
  <c r="G29" i="5" a="1"/>
  <c r="G29" i="5" s="1"/>
  <c r="G25" i="5" a="1"/>
  <c r="G25" i="5" s="1"/>
  <c r="G21" i="5" a="1"/>
  <c r="G21" i="5" s="1"/>
  <c r="G17" i="5" a="1"/>
  <c r="G17" i="5" s="1"/>
  <c r="G163" i="5" a="1"/>
  <c r="G163" i="5" s="1"/>
  <c r="G142" i="5" a="1"/>
  <c r="G142" i="5" s="1"/>
  <c r="G131" i="5" a="1"/>
  <c r="G131" i="5" s="1"/>
  <c r="G120" i="5" a="1"/>
  <c r="G120" i="5" s="1"/>
  <c r="G110" i="5" a="1"/>
  <c r="G110" i="5" s="1"/>
  <c r="G99" i="5" a="1"/>
  <c r="G99" i="5" s="1"/>
  <c r="G88" i="5" a="1"/>
  <c r="G88" i="5" s="1"/>
  <c r="G78" i="5" a="1"/>
  <c r="G78" i="5" s="1"/>
  <c r="G67" i="5" a="1"/>
  <c r="G67" i="5" s="1"/>
  <c r="G56" i="5" a="1"/>
  <c r="G56" i="5" s="1"/>
  <c r="G46" i="5" a="1"/>
  <c r="G46" i="5" s="1"/>
  <c r="G164" i="5" a="1"/>
  <c r="G164" i="5" s="1"/>
  <c r="G162" i="5" a="1"/>
  <c r="G162" i="5" s="1"/>
  <c r="G159" i="5" a="1"/>
  <c r="G159" i="5" s="1"/>
  <c r="G140" i="5" a="1"/>
  <c r="G140" i="5" s="1"/>
  <c r="G130" i="5" a="1"/>
  <c r="G130" i="5" s="1"/>
  <c r="G119" i="5" a="1"/>
  <c r="G119" i="5" s="1"/>
  <c r="G108" i="5" a="1"/>
  <c r="G108" i="5" s="1"/>
  <c r="G98" i="5" a="1"/>
  <c r="G98" i="5" s="1"/>
  <c r="G87" i="5" a="1"/>
  <c r="G87" i="5" s="1"/>
  <c r="G76" i="5" a="1"/>
  <c r="G76" i="5" s="1"/>
  <c r="G66" i="5" a="1"/>
  <c r="G66" i="5" s="1"/>
  <c r="G55" i="5" a="1"/>
  <c r="G55" i="5" s="1"/>
  <c r="G44" i="5" a="1"/>
  <c r="G44" i="5" s="1"/>
  <c r="G34" i="5" a="1"/>
  <c r="G34" i="5" s="1"/>
  <c r="G23" i="5" a="1"/>
  <c r="G23" i="5" s="1"/>
  <c r="G160" i="5" a="1"/>
  <c r="G160" i="5" s="1"/>
  <c r="G158" i="5" a="1"/>
  <c r="G158" i="5" s="1"/>
  <c r="G155" i="5" a="1"/>
  <c r="G155" i="5" s="1"/>
  <c r="G139" i="5" a="1"/>
  <c r="G139" i="5" s="1"/>
  <c r="G128" i="5" a="1"/>
  <c r="G128" i="5" s="1"/>
  <c r="G118" i="5" a="1"/>
  <c r="G118" i="5" s="1"/>
  <c r="G107" i="5" a="1"/>
  <c r="G107" i="5" s="1"/>
  <c r="G96" i="5" a="1"/>
  <c r="G96" i="5" s="1"/>
  <c r="G86" i="5" a="1"/>
  <c r="G86" i="5" s="1"/>
  <c r="G75" i="5" a="1"/>
  <c r="G75" i="5" s="1"/>
  <c r="G193" i="5" a="1"/>
  <c r="G193" i="5" s="1"/>
  <c r="G192" i="5" a="1"/>
  <c r="G192" i="5" s="1"/>
  <c r="G178" i="5" a="1"/>
  <c r="G178" i="5" s="1"/>
  <c r="G170" i="5" a="1"/>
  <c r="G170" i="5" s="1"/>
  <c r="G156" i="5" a="1"/>
  <c r="G156" i="5" s="1"/>
  <c r="G154" i="5" a="1"/>
  <c r="G154" i="5" s="1"/>
  <c r="G151" i="5" a="1"/>
  <c r="G151" i="5" s="1"/>
  <c r="G138" i="5" a="1"/>
  <c r="G138" i="5" s="1"/>
  <c r="G127" i="5" a="1"/>
  <c r="G127" i="5" s="1"/>
  <c r="G116" i="5" a="1"/>
  <c r="G116" i="5" s="1"/>
  <c r="G106" i="5" a="1"/>
  <c r="G106" i="5" s="1"/>
  <c r="G95" i="5" a="1"/>
  <c r="G95" i="5" s="1"/>
  <c r="G199" i="5" a="1"/>
  <c r="G199" i="5" s="1"/>
  <c r="G198" i="5" a="1"/>
  <c r="G198" i="5" s="1"/>
  <c r="G197" i="5" a="1"/>
  <c r="G197" i="5" s="1"/>
  <c r="G196" i="5" a="1"/>
  <c r="G196" i="5" s="1"/>
  <c r="G195" i="5" a="1"/>
  <c r="G195" i="5" s="1"/>
  <c r="G191" i="5" a="1"/>
  <c r="G191" i="5" s="1"/>
  <c r="G190" i="5" a="1"/>
  <c r="G190" i="5" s="1"/>
  <c r="G189" i="5" a="1"/>
  <c r="G189" i="5" s="1"/>
  <c r="G188" i="5" a="1"/>
  <c r="G188" i="5" s="1"/>
  <c r="G187" i="5" a="1"/>
  <c r="G187" i="5" s="1"/>
  <c r="G185" i="5" a="1"/>
  <c r="G185" i="5" s="1"/>
  <c r="G177" i="5" a="1"/>
  <c r="G177" i="5" s="1"/>
  <c r="G169" i="5" a="1"/>
  <c r="G169" i="5" s="1"/>
  <c r="G152" i="5" a="1"/>
  <c r="G152" i="5" s="1"/>
  <c r="G150" i="5" a="1"/>
  <c r="G150" i="5" s="1"/>
  <c r="G147" i="5" a="1"/>
  <c r="G147" i="5" s="1"/>
  <c r="G136" i="5" a="1"/>
  <c r="G136" i="5" s="1"/>
  <c r="G126" i="5" a="1"/>
  <c r="G126" i="5" s="1"/>
  <c r="G115" i="5" a="1"/>
  <c r="G115" i="5" s="1"/>
  <c r="G104" i="5" a="1"/>
  <c r="G104" i="5" s="1"/>
  <c r="G94" i="5" a="1"/>
  <c r="G94" i="5" s="1"/>
  <c r="G83" i="5" a="1"/>
  <c r="G83" i="5" s="1"/>
  <c r="G72" i="5" a="1"/>
  <c r="G72" i="5" s="1"/>
  <c r="G62" i="5" a="1"/>
  <c r="G62" i="5" s="1"/>
  <c r="G51" i="5" a="1"/>
  <c r="G51" i="5" s="1"/>
  <c r="G40" i="5" a="1"/>
  <c r="G40" i="5" s="1"/>
  <c r="G30" i="5" a="1"/>
  <c r="G30" i="5" s="1"/>
  <c r="G19" i="5" a="1"/>
  <c r="G19" i="5" s="1"/>
  <c r="G9" i="5" a="1"/>
  <c r="G9" i="5" s="1"/>
  <c r="G8" i="5" a="1"/>
  <c r="G8" i="5" s="1"/>
  <c r="G7" i="5" a="1"/>
  <c r="G7" i="5" s="1"/>
  <c r="G204" i="5" a="1"/>
  <c r="G204" i="5" s="1"/>
  <c r="G132" i="5" a="1"/>
  <c r="G132" i="5" s="1"/>
  <c r="G124" i="5" a="1"/>
  <c r="G124" i="5" s="1"/>
  <c r="G91" i="5" a="1"/>
  <c r="G91" i="5" s="1"/>
  <c r="G90" i="5" a="1"/>
  <c r="G90" i="5" s="1"/>
  <c r="G71" i="5" a="1"/>
  <c r="G71" i="5" s="1"/>
  <c r="G70" i="5" a="1"/>
  <c r="G70" i="5" s="1"/>
  <c r="G59" i="5" a="1"/>
  <c r="G59" i="5" s="1"/>
  <c r="G58" i="5" a="1"/>
  <c r="G58" i="5" s="1"/>
  <c r="G54" i="5" a="1"/>
  <c r="G54" i="5" s="1"/>
  <c r="G42" i="5" a="1"/>
  <c r="G42" i="5" s="1"/>
  <c r="G22" i="5" a="1"/>
  <c r="G22" i="5" s="1"/>
  <c r="G12" i="5" a="1"/>
  <c r="G12" i="5" s="1"/>
  <c r="G10" i="5" a="1"/>
  <c r="G10" i="5" s="1"/>
  <c r="G5" i="5" a="1"/>
  <c r="G5" i="5" s="1"/>
  <c r="G4" i="5" a="1"/>
  <c r="G4" i="5" s="1"/>
  <c r="G100" i="5" a="1"/>
  <c r="G100" i="5" s="1"/>
  <c r="G92" i="5" a="1"/>
  <c r="G92" i="5" s="1"/>
  <c r="G84" i="5" a="1"/>
  <c r="G84" i="5" s="1"/>
  <c r="G60" i="5" a="1"/>
  <c r="G60" i="5" s="1"/>
  <c r="G182" i="5" a="1"/>
  <c r="G182" i="5" s="1"/>
  <c r="G200" i="5" a="1"/>
  <c r="G200" i="5" s="1"/>
  <c r="G183" i="5" a="1"/>
  <c r="G183" i="5" s="1"/>
  <c r="G144" i="5" a="1"/>
  <c r="G144" i="5" s="1"/>
  <c r="G143" i="5" a="1"/>
  <c r="G143" i="5" s="1"/>
  <c r="G146" i="5" a="1"/>
  <c r="G146" i="5" s="1"/>
  <c r="G80" i="5" a="1"/>
  <c r="G80" i="5" s="1"/>
  <c r="G79" i="5" a="1"/>
  <c r="G79" i="5" s="1"/>
  <c r="G68" i="5" a="1"/>
  <c r="G68" i="5" s="1"/>
  <c r="G27" i="5" a="1"/>
  <c r="G27" i="5" s="1"/>
  <c r="G24" i="5" a="1"/>
  <c r="G24" i="5" s="1"/>
  <c r="B65" i="2" a="1"/>
  <c r="B65" i="2" s="1"/>
  <c r="D65" i="2" s="1"/>
  <c r="C32" i="2" a="1"/>
  <c r="C32" i="2" s="1"/>
  <c r="G77" i="4" a="1"/>
  <c r="G77" i="4" s="1"/>
  <c r="G53" i="4" a="1"/>
  <c r="G53" i="4" s="1"/>
  <c r="G184" i="5" a="1"/>
  <c r="G184" i="5" s="1"/>
  <c r="G175" i="5" a="1"/>
  <c r="G175" i="5" s="1"/>
  <c r="G148" i="5" a="1"/>
  <c r="G148" i="5" s="1"/>
  <c r="G112" i="5" a="1"/>
  <c r="G112" i="5" s="1"/>
  <c r="G111" i="5" a="1"/>
  <c r="G111" i="5" s="1"/>
  <c r="G50" i="5" a="1"/>
  <c r="G50" i="5" s="1"/>
  <c r="G28" i="5" a="1"/>
  <c r="G28" i="5" s="1"/>
  <c r="G26" i="5" a="1"/>
  <c r="G26" i="5" s="1"/>
  <c r="G13" i="5" a="1"/>
  <c r="G13" i="5" s="1"/>
  <c r="G101" i="4" a="1"/>
  <c r="G101" i="4" s="1"/>
  <c r="G93" i="4" a="1"/>
  <c r="G93" i="4" s="1"/>
  <c r="G85" i="4" a="1"/>
  <c r="G85" i="4" s="1"/>
  <c r="G69" i="4" a="1"/>
  <c r="G69" i="4" s="1"/>
  <c r="G61" i="4" a="1"/>
  <c r="G61" i="4" s="1"/>
  <c r="G82" i="5" a="1"/>
  <c r="G82" i="5" s="1"/>
  <c r="G20" i="5" a="1"/>
  <c r="G20" i="5" s="1"/>
  <c r="G14" i="5" a="1"/>
  <c r="G14" i="5" s="1"/>
  <c r="G6" i="5" a="1"/>
  <c r="G6" i="5" s="1"/>
  <c r="G167" i="5" a="1"/>
  <c r="G167" i="5" s="1"/>
  <c r="G52" i="5" a="1"/>
  <c r="G52" i="5" s="1"/>
  <c r="G11" i="5" a="1"/>
  <c r="G11" i="5" s="1"/>
  <c r="G176" i="5" a="1"/>
  <c r="G176" i="5" s="1"/>
  <c r="G122" i="5" a="1"/>
  <c r="G122" i="5" s="1"/>
  <c r="G114" i="5" a="1"/>
  <c r="G114" i="5" s="1"/>
  <c r="G103" i="5" a="1"/>
  <c r="G103" i="5" s="1"/>
  <c r="G102" i="5" a="1"/>
  <c r="G102" i="5" s="1"/>
  <c r="G63" i="5" a="1"/>
  <c r="G63" i="5" s="1"/>
  <c r="G35" i="5" a="1"/>
  <c r="G35" i="5" s="1"/>
  <c r="G16" i="5" a="1"/>
  <c r="G16" i="5" s="1"/>
  <c r="G201" i="5" a="1"/>
  <c r="G201" i="5" s="1"/>
  <c r="G123" i="5" a="1"/>
  <c r="G123" i="5" s="1"/>
  <c r="G43" i="5" a="1"/>
  <c r="G43" i="5" s="1"/>
  <c r="G36" i="5" a="1"/>
  <c r="G36" i="5" s="1"/>
  <c r="G31" i="5" a="1"/>
  <c r="G31" i="5" s="1"/>
  <c r="G15" i="5" a="1"/>
  <c r="G15" i="5" s="1"/>
  <c r="G169" i="4" a="1"/>
  <c r="G169" i="4" s="1"/>
  <c r="G161" i="4" a="1"/>
  <c r="G161" i="4" s="1"/>
  <c r="G153" i="4" a="1"/>
  <c r="G153" i="4" s="1"/>
  <c r="G145" i="4" a="1"/>
  <c r="G145" i="4" s="1"/>
  <c r="G137" i="4" a="1"/>
  <c r="G137" i="4" s="1"/>
  <c r="G134" i="5" a="1"/>
  <c r="G134" i="5" s="1"/>
  <c r="G64" i="5" a="1"/>
  <c r="G64" i="5" s="1"/>
  <c r="G47" i="5" a="1"/>
  <c r="G47" i="5" s="1"/>
  <c r="G39" i="5" a="1"/>
  <c r="G39" i="5" s="1"/>
  <c r="G38" i="5" a="1"/>
  <c r="G38" i="5" s="1"/>
  <c r="G18" i="5" a="1"/>
  <c r="G18" i="5" s="1"/>
  <c r="G180" i="4" a="1"/>
  <c r="G180" i="4" s="1"/>
  <c r="G166" i="4" a="1"/>
  <c r="G166" i="4" s="1"/>
  <c r="G158" i="4" a="1"/>
  <c r="G158" i="4" s="1"/>
  <c r="G150" i="4" a="1"/>
  <c r="G150" i="4" s="1"/>
  <c r="G142" i="4" a="1"/>
  <c r="G142" i="4" s="1"/>
  <c r="G134" i="4" a="1"/>
  <c r="G134" i="4" s="1"/>
  <c r="G126" i="4" a="1"/>
  <c r="G126" i="4" s="1"/>
  <c r="G118" i="4" a="1"/>
  <c r="G118" i="4" s="1"/>
  <c r="G110" i="4" a="1"/>
  <c r="G110" i="4" s="1"/>
  <c r="G203" i="5" a="1"/>
  <c r="G203" i="5" s="1"/>
  <c r="G168" i="5" a="1"/>
  <c r="G168" i="5" s="1"/>
  <c r="G135" i="5" a="1"/>
  <c r="G135" i="5" s="1"/>
  <c r="G74" i="5" a="1"/>
  <c r="G74" i="5" s="1"/>
  <c r="G48" i="5" a="1"/>
  <c r="G48" i="5" s="1"/>
  <c r="G32" i="5" a="1"/>
  <c r="G32" i="5" s="1"/>
  <c r="G139" i="4" a="1"/>
  <c r="G139" i="4" s="1"/>
  <c r="G131" i="4" a="1"/>
  <c r="G131" i="4" s="1"/>
  <c r="G123" i="4" a="1"/>
  <c r="G123" i="4" s="1"/>
  <c r="G115" i="4" a="1"/>
  <c r="G115" i="4" s="1"/>
  <c r="G107" i="4" a="1"/>
  <c r="G107" i="4" s="1"/>
  <c r="G99" i="4" a="1"/>
  <c r="G99" i="4" s="1"/>
  <c r="G67" i="4" a="1"/>
  <c r="G67" i="4" s="1"/>
  <c r="G59" i="4" a="1"/>
  <c r="G59" i="4" s="1"/>
  <c r="G12" i="4" a="1"/>
  <c r="G12" i="4" s="1"/>
  <c r="G4" i="4" a="1"/>
  <c r="G4" i="4" s="1"/>
  <c r="G35" i="4" a="1"/>
  <c r="G35" i="4" s="1"/>
  <c r="G27" i="4" a="1"/>
  <c r="G27" i="4" s="1"/>
  <c r="G9" i="4" a="1"/>
  <c r="G9" i="4" s="1"/>
  <c r="C33" i="2" a="1"/>
  <c r="C33" i="2" s="1"/>
  <c r="C29" i="2" a="1"/>
  <c r="C29" i="2" s="1"/>
  <c r="D29" i="2" s="1"/>
  <c r="E29" i="2" s="1"/>
  <c r="E6" i="2" a="1"/>
  <c r="E6" i="2" s="1"/>
  <c r="C30" i="2" a="1"/>
  <c r="C30" i="2" s="1"/>
  <c r="E13" i="2" a="1"/>
  <c r="E13" i="2" s="1"/>
  <c r="E12" i="2" a="1"/>
  <c r="E12" i="2" s="1"/>
  <c r="E11" i="2" a="1"/>
  <c r="E11" i="2" s="1"/>
  <c r="G20" i="4" a="1"/>
  <c r="G20" i="4" s="1"/>
  <c r="G51" i="4" a="1"/>
  <c r="G51" i="4" s="1"/>
  <c r="G30" i="4" a="1"/>
  <c r="G30" i="4" s="1"/>
  <c r="G22" i="4" a="1"/>
  <c r="G22" i="4" s="1"/>
  <c r="G43" i="4" a="1"/>
  <c r="G43" i="4" s="1"/>
  <c r="G17" i="4" a="1"/>
  <c r="G17" i="4" s="1"/>
  <c r="E14" i="2" a="1"/>
  <c r="E14" i="2" s="1"/>
  <c r="G8" i="4" a="1"/>
  <c r="G8" i="4" s="1"/>
  <c r="G10" i="4" a="1"/>
  <c r="G10" i="4" s="1"/>
  <c r="G5" i="4" a="1"/>
  <c r="G5" i="4" s="1"/>
  <c r="C31" i="2" a="1"/>
  <c r="C31" i="2" s="1"/>
  <c r="C27" i="2" a="1"/>
  <c r="C27" i="2" s="1"/>
  <c r="C28" i="2" a="1"/>
  <c r="C28" i="2" s="1"/>
  <c r="G16" i="4" a="1"/>
  <c r="G16" i="4" s="1"/>
  <c r="G56" i="4" a="1"/>
  <c r="G56" i="4" s="1"/>
  <c r="G84" i="4" a="1"/>
  <c r="G84" i="4" s="1"/>
  <c r="G147" i="4" a="1"/>
  <c r="G147" i="4" s="1"/>
  <c r="G32" i="4" a="1"/>
  <c r="G32" i="4" s="1"/>
  <c r="G163" i="4" a="1"/>
  <c r="G163" i="4" s="1"/>
  <c r="G92" i="4" a="1"/>
  <c r="G92" i="4" s="1"/>
  <c r="G91" i="4" a="1"/>
  <c r="G91" i="4" s="1"/>
  <c r="G165" i="4" a="1"/>
  <c r="G165" i="4" s="1"/>
  <c r="G31" i="4" a="1"/>
  <c r="G31" i="4" s="1"/>
  <c r="G64" i="4" a="1"/>
  <c r="G64" i="4" s="1"/>
  <c r="G78" i="4" a="1"/>
  <c r="G78" i="4" s="1"/>
  <c r="G24" i="4" a="1"/>
  <c r="G24" i="4" s="1"/>
  <c r="G70" i="4" a="1"/>
  <c r="G70" i="4" s="1"/>
  <c r="G174" i="5" a="1"/>
  <c r="G174" i="5" s="1"/>
  <c r="G81" i="4" a="1"/>
  <c r="G81" i="4" s="1"/>
  <c r="G119" i="4" a="1"/>
  <c r="G119" i="4" s="1"/>
  <c r="G122" i="4" a="1"/>
  <c r="G122" i="4" s="1"/>
  <c r="G154" i="4" a="1"/>
  <c r="G154" i="4" s="1"/>
  <c r="G15" i="4" a="1"/>
  <c r="G15" i="4" s="1"/>
  <c r="G86" i="4" a="1"/>
  <c r="G86" i="4" s="1"/>
  <c r="G136" i="4" a="1"/>
  <c r="G136" i="4" s="1"/>
  <c r="G60" i="4" a="1"/>
  <c r="G60" i="4" s="1"/>
  <c r="G108" i="4" a="1"/>
  <c r="G108" i="4" s="1"/>
  <c r="G128" i="4" a="1"/>
  <c r="G128" i="4" s="1"/>
  <c r="G29" i="4" a="1"/>
  <c r="G29" i="4" s="1"/>
  <c r="G46" i="4" a="1"/>
  <c r="G46" i="4" s="1"/>
  <c r="G102" i="4" a="1"/>
  <c r="G102" i="4" s="1"/>
  <c r="G88" i="4" a="1"/>
  <c r="G88" i="4" s="1"/>
  <c r="G120" i="4" a="1"/>
  <c r="G120" i="4" s="1"/>
  <c r="G175" i="4" a="1"/>
  <c r="G175" i="4" s="1"/>
  <c r="G95" i="4" a="1"/>
  <c r="G95" i="4" s="1"/>
  <c r="G44" i="4" a="1"/>
  <c r="G44" i="4" s="1"/>
  <c r="G89" i="4" a="1"/>
  <c r="G89" i="4" s="1"/>
  <c r="G127" i="4" a="1"/>
  <c r="G127" i="4" s="1"/>
  <c r="G34" i="4" a="1"/>
  <c r="G34" i="4" s="1"/>
  <c r="G74" i="4" a="1"/>
  <c r="G74" i="4" s="1"/>
  <c r="G179" i="5" a="1"/>
  <c r="G179" i="5" s="1"/>
  <c r="G36" i="4" a="1"/>
  <c r="G36" i="4" s="1"/>
  <c r="G96" i="4" a="1"/>
  <c r="G96" i="4" s="1"/>
  <c r="G124" i="4" a="1"/>
  <c r="G124" i="4" s="1"/>
  <c r="G52" i="4" a="1"/>
  <c r="G52" i="4" s="1"/>
  <c r="G25" i="4" a="1"/>
  <c r="G25" i="4" s="1"/>
  <c r="G111" i="4" a="1"/>
  <c r="G111" i="4" s="1"/>
  <c r="G21" i="4" a="1"/>
  <c r="G21" i="4" s="1"/>
  <c r="G54" i="4" a="1"/>
  <c r="G54" i="4" s="1"/>
  <c r="G148" i="4" a="1"/>
  <c r="G148" i="4" s="1"/>
  <c r="G167" i="4" a="1"/>
  <c r="G167" i="4" s="1"/>
  <c r="G57" i="4" a="1"/>
  <c r="G57" i="4" s="1"/>
  <c r="G97" i="4" a="1"/>
  <c r="G97" i="4" s="1"/>
  <c r="G121" i="4" a="1"/>
  <c r="G121" i="4" s="1"/>
  <c r="G165" i="5" a="1"/>
  <c r="G165" i="5" s="1"/>
  <c r="G135" i="4" a="1"/>
  <c r="G135" i="4" s="1"/>
  <c r="G42" i="4" a="1"/>
  <c r="G42" i="4" s="1"/>
  <c r="G82" i="4" a="1"/>
  <c r="G82" i="4" s="1"/>
  <c r="G130" i="4" a="1"/>
  <c r="G130" i="4" s="1"/>
  <c r="G162" i="4" a="1"/>
  <c r="G162" i="4" s="1"/>
  <c r="G186" i="5" a="1"/>
  <c r="G186" i="5" s="1"/>
  <c r="G11" i="4" a="1"/>
  <c r="G11" i="4" s="1"/>
  <c r="G112" i="4" a="1"/>
  <c r="G112" i="4" s="1"/>
  <c r="G172" i="4" a="1"/>
  <c r="G172" i="4" s="1"/>
  <c r="G38" i="4" a="1"/>
  <c r="G38" i="4" s="1"/>
  <c r="G76" i="4" a="1"/>
  <c r="G76" i="4" s="1"/>
  <c r="G141" i="4" a="1"/>
  <c r="G141" i="4" s="1"/>
  <c r="G149" i="4" a="1"/>
  <c r="G149" i="4" s="1"/>
  <c r="G157" i="4" a="1"/>
  <c r="G157" i="4" s="1"/>
  <c r="G168" i="4" a="1"/>
  <c r="G168" i="4" s="1"/>
  <c r="G48" i="4" a="1"/>
  <c r="G48" i="4" s="1"/>
  <c r="G33" i="4" a="1"/>
  <c r="G33" i="4" s="1"/>
  <c r="G105" i="4" a="1"/>
  <c r="G105" i="4" s="1"/>
  <c r="G143" i="4" a="1"/>
  <c r="G143" i="4" s="1"/>
  <c r="G50" i="4" a="1"/>
  <c r="G50" i="4" s="1"/>
  <c r="G90" i="4" a="1"/>
  <c r="G90" i="4" s="1"/>
  <c r="G170" i="4" a="1"/>
  <c r="G170" i="4" s="1"/>
  <c r="G173" i="5" a="1"/>
  <c r="G173" i="5" s="1"/>
  <c r="G7" i="4" a="1"/>
  <c r="G7" i="4" s="1"/>
  <c r="G13" i="4" a="1"/>
  <c r="G13" i="4" s="1"/>
  <c r="G23" i="4" a="1"/>
  <c r="G23" i="4" s="1"/>
  <c r="G79" i="4" a="1"/>
  <c r="G79" i="4" s="1"/>
  <c r="G155" i="4" a="1"/>
  <c r="G155" i="4" s="1"/>
  <c r="G14" i="4" a="1"/>
  <c r="G14" i="4" s="1"/>
  <c r="G171" i="4" a="1"/>
  <c r="G171" i="4" s="1"/>
  <c r="G40" i="4" a="1"/>
  <c r="G40" i="4" s="1"/>
  <c r="G87" i="4" a="1"/>
  <c r="G87" i="4" s="1"/>
  <c r="G100" i="4" a="1"/>
  <c r="G100" i="4" s="1"/>
  <c r="G116" i="4" a="1"/>
  <c r="G116" i="4" s="1"/>
  <c r="G83" i="4" a="1"/>
  <c r="G83" i="4" s="1"/>
  <c r="G172" i="5" a="1"/>
  <c r="G172" i="5" s="1"/>
  <c r="G151" i="4" a="1"/>
  <c r="G151" i="4" s="1"/>
  <c r="G98" i="4" a="1"/>
  <c r="G98" i="4" s="1"/>
  <c r="G138" i="4" a="1"/>
  <c r="G138" i="4" s="1"/>
  <c r="G173" i="4" a="1"/>
  <c r="G173" i="4" s="1"/>
  <c r="G180" i="5" a="1"/>
  <c r="G180" i="5" s="1"/>
  <c r="G181" i="5" a="1"/>
  <c r="G181" i="5" s="1"/>
  <c r="G194" i="5" a="1"/>
  <c r="G194" i="5" s="1"/>
  <c r="G6" i="4" a="1"/>
  <c r="G6" i="4" s="1"/>
  <c r="G174" i="4" a="1"/>
  <c r="G174" i="4" s="1"/>
  <c r="G72" i="4" a="1"/>
  <c r="G72" i="4" s="1"/>
  <c r="G94" i="4" a="1"/>
  <c r="G94" i="4" s="1"/>
  <c r="G109" i="4" a="1"/>
  <c r="G109" i="4" s="1"/>
  <c r="G129" i="4" a="1"/>
  <c r="G129" i="4" s="1"/>
  <c r="G26" i="4" a="1"/>
  <c r="G26" i="4" s="1"/>
  <c r="G103" i="4" a="1"/>
  <c r="G103" i="4" s="1"/>
  <c r="G37" i="4" a="1"/>
  <c r="G37" i="4" s="1"/>
  <c r="G47" i="4" a="1"/>
  <c r="G47" i="4" s="1"/>
  <c r="G80" i="4" a="1"/>
  <c r="G80" i="4" s="1"/>
  <c r="G41" i="4" a="1"/>
  <c r="G41" i="4" s="1"/>
  <c r="G65" i="4" a="1"/>
  <c r="G65" i="4" s="1"/>
  <c r="G55" i="4" a="1"/>
  <c r="G55" i="4" s="1"/>
  <c r="G159" i="4" a="1"/>
  <c r="G159" i="4" s="1"/>
  <c r="G58" i="4" a="1"/>
  <c r="G58" i="4" s="1"/>
  <c r="G106" i="4" a="1"/>
  <c r="G106" i="4" s="1"/>
  <c r="G176" i="4" a="1"/>
  <c r="G176" i="4" s="1"/>
  <c r="G39" i="4" a="1"/>
  <c r="G39" i="4" s="1"/>
  <c r="G104" i="4" a="1"/>
  <c r="G104" i="4" s="1"/>
  <c r="G133" i="4" a="1"/>
  <c r="G133" i="4" s="1"/>
  <c r="G125" i="4" a="1"/>
  <c r="G125" i="4" s="1"/>
  <c r="G45" i="4" a="1"/>
  <c r="G45" i="4" s="1"/>
  <c r="G144" i="4" a="1"/>
  <c r="G144" i="4" s="1"/>
  <c r="G152" i="4" a="1"/>
  <c r="G152" i="4" s="1"/>
  <c r="G160" i="4" a="1"/>
  <c r="G160" i="4" s="1"/>
  <c r="G178" i="4" a="1"/>
  <c r="G178" i="4" s="1"/>
  <c r="G117" i="4" a="1"/>
  <c r="G117" i="4" s="1"/>
  <c r="G140" i="4" a="1"/>
  <c r="G140" i="4" s="1"/>
  <c r="G156" i="4" a="1"/>
  <c r="G156" i="4" s="1"/>
  <c r="G113" i="4" a="1"/>
  <c r="G113" i="4" s="1"/>
  <c r="G63" i="4" a="1"/>
  <c r="G63" i="4" s="1"/>
  <c r="G114" i="4" a="1"/>
  <c r="G114" i="4" s="1"/>
  <c r="G146" i="4" a="1"/>
  <c r="G146" i="4" s="1"/>
  <c r="G19" i="4" a="1"/>
  <c r="G19" i="4" s="1"/>
  <c r="G62" i="4" a="1"/>
  <c r="G62" i="4" s="1"/>
  <c r="G28" i="4" a="1"/>
  <c r="G28" i="4" s="1"/>
  <c r="G75" i="4" a="1"/>
  <c r="G75" i="4" s="1"/>
  <c r="G164" i="4" a="1"/>
  <c r="G164" i="4" s="1"/>
  <c r="G179" i="4" a="1"/>
  <c r="G179" i="4" s="1"/>
  <c r="G18" i="4" a="1"/>
  <c r="G18" i="4" s="1"/>
  <c r="G68" i="4" a="1"/>
  <c r="G68" i="4" s="1"/>
  <c r="G132" i="4" a="1"/>
  <c r="G132" i="4" s="1"/>
  <c r="G177" i="4" a="1"/>
  <c r="G177" i="4" s="1"/>
  <c r="G171" i="5" a="1"/>
  <c r="G171" i="5" s="1"/>
  <c r="G49" i="4" a="1"/>
  <c r="G49" i="4" s="1"/>
  <c r="G73" i="4" a="1"/>
  <c r="G73" i="4" s="1"/>
  <c r="G71" i="4" a="1"/>
  <c r="G71" i="4" s="1"/>
  <c r="G66" i="4" a="1"/>
  <c r="G66" i="4" s="1"/>
  <c r="G166" i="5" a="1"/>
  <c r="G166" i="5" s="1"/>
  <c r="H15" i="7"/>
  <c r="G15" i="7"/>
  <c r="K12" i="2" a="1"/>
  <c r="K12" i="2" s="1"/>
  <c r="B32" i="2" a="1"/>
  <c r="B32" i="2" s="1"/>
  <c r="G32" i="2" s="1"/>
  <c r="V7" i="11" a="1"/>
  <c r="V7" i="11" s="1"/>
  <c r="V11" i="11" a="1"/>
  <c r="V11" i="11" s="1"/>
  <c r="P12" i="11" a="1"/>
  <c r="P12" i="11" s="1"/>
  <c r="U10" i="7"/>
  <c r="K64" i="11"/>
  <c r="C5" i="20"/>
  <c r="O206" i="16"/>
  <c r="L206" i="16"/>
  <c r="E71" i="2"/>
  <c r="D41" i="2"/>
  <c r="D30" i="2" l="1"/>
  <c r="E30" i="2" s="1"/>
  <c r="G29" i="2"/>
  <c r="AB8" i="7"/>
  <c r="AB4" i="7"/>
  <c r="AB5" i="7"/>
  <c r="I132" i="4"/>
  <c r="H132" i="4"/>
  <c r="H157" i="4"/>
  <c r="I157" i="4"/>
  <c r="H27" i="4"/>
  <c r="I27" i="4"/>
  <c r="I13" i="5"/>
  <c r="H13" i="5"/>
  <c r="I177" i="5"/>
  <c r="H177" i="5"/>
  <c r="I120" i="5"/>
  <c r="H120" i="5"/>
  <c r="I166" i="5"/>
  <c r="H166" i="5"/>
  <c r="I14" i="4"/>
  <c r="H14" i="4"/>
  <c r="H123" i="4"/>
  <c r="I123" i="4"/>
  <c r="I203" i="5"/>
  <c r="H203" i="5"/>
  <c r="I114" i="5"/>
  <c r="H114" i="5"/>
  <c r="I60" i="5"/>
  <c r="H60" i="5"/>
  <c r="I185" i="5"/>
  <c r="H185" i="5"/>
  <c r="I98" i="5"/>
  <c r="H98" i="5"/>
  <c r="I49" i="4"/>
  <c r="H49" i="4"/>
  <c r="I28" i="4"/>
  <c r="H28" i="4"/>
  <c r="I65" i="4"/>
  <c r="H65" i="4"/>
  <c r="I87" i="4"/>
  <c r="H87" i="4"/>
  <c r="I112" i="4"/>
  <c r="H112" i="4"/>
  <c r="I165" i="5"/>
  <c r="H165" i="5"/>
  <c r="H102" i="4"/>
  <c r="I102" i="4"/>
  <c r="I78" i="4"/>
  <c r="H78" i="4"/>
  <c r="I147" i="4"/>
  <c r="H147" i="4"/>
  <c r="I10" i="4"/>
  <c r="H10" i="4"/>
  <c r="H20" i="4"/>
  <c r="I20" i="4"/>
  <c r="D33" i="2"/>
  <c r="E33" i="2" s="1"/>
  <c r="H99" i="4"/>
  <c r="I99" i="4"/>
  <c r="I74" i="5"/>
  <c r="H74" i="5"/>
  <c r="I142" i="4"/>
  <c r="H142" i="4"/>
  <c r="I47" i="5"/>
  <c r="H47" i="5"/>
  <c r="I15" i="5"/>
  <c r="H15" i="5"/>
  <c r="I63" i="5"/>
  <c r="H63" i="5"/>
  <c r="I167" i="5"/>
  <c r="H167" i="5"/>
  <c r="I93" i="4"/>
  <c r="H93" i="4"/>
  <c r="I148" i="5"/>
  <c r="H148" i="5"/>
  <c r="I24" i="5"/>
  <c r="H24" i="5"/>
  <c r="I183" i="5"/>
  <c r="H183" i="5"/>
  <c r="I5" i="5"/>
  <c r="H5" i="5"/>
  <c r="I70" i="5"/>
  <c r="H70" i="5"/>
  <c r="I8" i="5"/>
  <c r="H8" i="5"/>
  <c r="I83" i="5"/>
  <c r="H83" i="5"/>
  <c r="I152" i="5"/>
  <c r="H152" i="5"/>
  <c r="I191" i="5"/>
  <c r="H191" i="5"/>
  <c r="I116" i="5"/>
  <c r="H116" i="5"/>
  <c r="I192" i="5"/>
  <c r="H192" i="5"/>
  <c r="I139" i="5"/>
  <c r="H139" i="5"/>
  <c r="I66" i="5"/>
  <c r="H66" i="5"/>
  <c r="I159" i="5"/>
  <c r="H159" i="5"/>
  <c r="I99" i="5"/>
  <c r="H99" i="5"/>
  <c r="I25" i="5"/>
  <c r="H25" i="5"/>
  <c r="I57" i="5"/>
  <c r="H57" i="5"/>
  <c r="I89" i="5"/>
  <c r="H89" i="5"/>
  <c r="I121" i="5"/>
  <c r="H121" i="5"/>
  <c r="I153" i="5"/>
  <c r="H153" i="5"/>
  <c r="U11" i="11"/>
  <c r="R11" i="11"/>
  <c r="S11" i="11" s="1"/>
  <c r="V16" i="11"/>
  <c r="I39" i="4"/>
  <c r="H39" i="4"/>
  <c r="I170" i="4"/>
  <c r="H170" i="4"/>
  <c r="I186" i="5"/>
  <c r="H186" i="5"/>
  <c r="I89" i="4"/>
  <c r="H89" i="4"/>
  <c r="H115" i="4"/>
  <c r="I115" i="4"/>
  <c r="I134" i="5"/>
  <c r="H134" i="5"/>
  <c r="I184" i="5"/>
  <c r="H184" i="5"/>
  <c r="I12" i="5"/>
  <c r="H12" i="5"/>
  <c r="I196" i="5"/>
  <c r="H196" i="5"/>
  <c r="I158" i="5"/>
  <c r="H158" i="5"/>
  <c r="I160" i="4"/>
  <c r="H160" i="4"/>
  <c r="I174" i="4"/>
  <c r="H174" i="4"/>
  <c r="I162" i="4"/>
  <c r="H162" i="4"/>
  <c r="H44" i="4"/>
  <c r="I44" i="4"/>
  <c r="H16" i="4"/>
  <c r="I16" i="4"/>
  <c r="H166" i="4"/>
  <c r="I166" i="4"/>
  <c r="I20" i="5"/>
  <c r="H20" i="5"/>
  <c r="I22" i="5"/>
  <c r="H22" i="5"/>
  <c r="I115" i="5"/>
  <c r="H115" i="5"/>
  <c r="I86" i="5"/>
  <c r="H86" i="5"/>
  <c r="I131" i="5"/>
  <c r="H131" i="5"/>
  <c r="I69" i="5"/>
  <c r="H69" i="5"/>
  <c r="I202" i="5"/>
  <c r="H202" i="5"/>
  <c r="D5" i="20"/>
  <c r="I75" i="4"/>
  <c r="H75" i="4"/>
  <c r="I171" i="5"/>
  <c r="H171" i="5"/>
  <c r="I140" i="4"/>
  <c r="H140" i="4"/>
  <c r="I133" i="4"/>
  <c r="H133" i="4"/>
  <c r="H109" i="4"/>
  <c r="I109" i="4"/>
  <c r="I173" i="4"/>
  <c r="H173" i="4"/>
  <c r="I7" i="4"/>
  <c r="H7" i="4"/>
  <c r="H48" i="4"/>
  <c r="I48" i="4"/>
  <c r="I111" i="4"/>
  <c r="H111" i="4"/>
  <c r="I34" i="4"/>
  <c r="H34" i="4"/>
  <c r="H15" i="4"/>
  <c r="I15" i="4"/>
  <c r="I177" i="4"/>
  <c r="H177" i="4"/>
  <c r="I62" i="4"/>
  <c r="H62" i="4"/>
  <c r="I117" i="4"/>
  <c r="H117" i="4"/>
  <c r="I104" i="4"/>
  <c r="H104" i="4"/>
  <c r="I41" i="4"/>
  <c r="H41" i="4"/>
  <c r="I94" i="4"/>
  <c r="H94" i="4"/>
  <c r="I138" i="4"/>
  <c r="H138" i="4"/>
  <c r="H40" i="4"/>
  <c r="I40" i="4"/>
  <c r="I173" i="5"/>
  <c r="C74" i="2"/>
  <c r="H173" i="5"/>
  <c r="I168" i="4"/>
  <c r="H168" i="4"/>
  <c r="I11" i="4"/>
  <c r="H11" i="4"/>
  <c r="I121" i="4"/>
  <c r="H121" i="4"/>
  <c r="I25" i="4"/>
  <c r="H25" i="4"/>
  <c r="H127" i="4"/>
  <c r="I127" i="4"/>
  <c r="H46" i="4"/>
  <c r="I46" i="4"/>
  <c r="I154" i="4"/>
  <c r="H154" i="4"/>
  <c r="I64" i="4"/>
  <c r="H64" i="4"/>
  <c r="I84" i="4"/>
  <c r="H84" i="4"/>
  <c r="I8" i="4"/>
  <c r="H8" i="4"/>
  <c r="E23" i="2"/>
  <c r="H9" i="4"/>
  <c r="I9" i="4"/>
  <c r="H107" i="4"/>
  <c r="I107" i="4"/>
  <c r="I135" i="5"/>
  <c r="H135" i="5"/>
  <c r="I150" i="4"/>
  <c r="H150" i="4"/>
  <c r="I64" i="5"/>
  <c r="H64" i="5"/>
  <c r="I31" i="5"/>
  <c r="H31" i="5"/>
  <c r="I102" i="5"/>
  <c r="H102" i="5"/>
  <c r="I6" i="5"/>
  <c r="H6" i="5"/>
  <c r="I101" i="4"/>
  <c r="H101" i="4"/>
  <c r="I175" i="5"/>
  <c r="H175" i="5"/>
  <c r="I27" i="5"/>
  <c r="H27" i="5"/>
  <c r="I200" i="5"/>
  <c r="H200" i="5"/>
  <c r="I10" i="5"/>
  <c r="H10" i="5"/>
  <c r="I71" i="5"/>
  <c r="H71" i="5"/>
  <c r="I9" i="5"/>
  <c r="H9" i="5"/>
  <c r="I94" i="5"/>
  <c r="H94" i="5"/>
  <c r="I169" i="5"/>
  <c r="H169" i="5"/>
  <c r="I195" i="5"/>
  <c r="H195" i="5"/>
  <c r="I127" i="5"/>
  <c r="H127" i="5"/>
  <c r="I193" i="5"/>
  <c r="H193" i="5"/>
  <c r="I155" i="5"/>
  <c r="H155" i="5"/>
  <c r="I76" i="5"/>
  <c r="H76" i="5"/>
  <c r="I162" i="5"/>
  <c r="H162" i="5"/>
  <c r="I110" i="5"/>
  <c r="H110" i="5"/>
  <c r="I29" i="5"/>
  <c r="H29" i="5"/>
  <c r="I61" i="5"/>
  <c r="H61" i="5"/>
  <c r="I93" i="5"/>
  <c r="H93" i="5"/>
  <c r="I125" i="5"/>
  <c r="H125" i="5"/>
  <c r="I157" i="5"/>
  <c r="H157" i="5"/>
  <c r="H18" i="7"/>
  <c r="G9" i="7"/>
  <c r="G13" i="7"/>
  <c r="G14" i="7"/>
  <c r="G16" i="7"/>
  <c r="G10" i="7"/>
  <c r="G17" i="7"/>
  <c r="G7" i="7"/>
  <c r="G18" i="7" s="1"/>
  <c r="U15" i="11"/>
  <c r="R15" i="11"/>
  <c r="S15" i="11" s="1"/>
  <c r="U10" i="11"/>
  <c r="R10" i="11"/>
  <c r="S10" i="11" s="1"/>
  <c r="H72" i="4"/>
  <c r="I72" i="4"/>
  <c r="I122" i="4"/>
  <c r="H122" i="4"/>
  <c r="I103" i="5"/>
  <c r="H103" i="5"/>
  <c r="I19" i="5"/>
  <c r="H19" i="5"/>
  <c r="I164" i="5"/>
  <c r="H164" i="5"/>
  <c r="I97" i="5"/>
  <c r="H97" i="5"/>
  <c r="I129" i="5"/>
  <c r="H129" i="5"/>
  <c r="I161" i="5"/>
  <c r="H161" i="5"/>
  <c r="N236" i="16"/>
  <c r="N234" i="16"/>
  <c r="N228" i="16"/>
  <c r="N224" i="16"/>
  <c r="N220" i="16"/>
  <c r="N216" i="16"/>
  <c r="N212" i="16"/>
  <c r="N231" i="16"/>
  <c r="N227" i="16"/>
  <c r="N223" i="16"/>
  <c r="N219" i="16"/>
  <c r="N215" i="16"/>
  <c r="N211" i="16"/>
  <c r="N225" i="16"/>
  <c r="N217" i="16"/>
  <c r="N230" i="16"/>
  <c r="N222" i="16"/>
  <c r="N214" i="16"/>
  <c r="N229" i="16"/>
  <c r="N221" i="16"/>
  <c r="N213" i="16"/>
  <c r="N232" i="16"/>
  <c r="N226" i="16"/>
  <c r="N233" i="16"/>
  <c r="N210" i="16"/>
  <c r="N235" i="16"/>
  <c r="N237" i="16"/>
  <c r="N218" i="16"/>
  <c r="M238" i="16"/>
  <c r="U7" i="11"/>
  <c r="R7" i="11"/>
  <c r="S7" i="11" s="1"/>
  <c r="D14" i="2"/>
  <c r="G14" i="2" s="1"/>
  <c r="I98" i="4"/>
  <c r="H98" i="4"/>
  <c r="I31" i="4"/>
  <c r="H31" i="4"/>
  <c r="I68" i="4"/>
  <c r="H68" i="4"/>
  <c r="H90" i="4"/>
  <c r="I90" i="4"/>
  <c r="I119" i="4"/>
  <c r="H119" i="4"/>
  <c r="I79" i="5"/>
  <c r="H79" i="5"/>
  <c r="I160" i="5"/>
  <c r="H160" i="5"/>
  <c r="U9" i="7"/>
  <c r="U17" i="7"/>
  <c r="U16" i="7"/>
  <c r="U13" i="7"/>
  <c r="U4" i="7"/>
  <c r="U12" i="7"/>
  <c r="U11" i="7"/>
  <c r="U14" i="7"/>
  <c r="U8" i="7"/>
  <c r="U14" i="11"/>
  <c r="R14" i="11"/>
  <c r="S14" i="11" s="1"/>
  <c r="AB6" i="7"/>
  <c r="I19" i="4"/>
  <c r="H19" i="4"/>
  <c r="H80" i="4"/>
  <c r="I80" i="4"/>
  <c r="I97" i="4"/>
  <c r="H97" i="4"/>
  <c r="H29" i="4"/>
  <c r="I29" i="4"/>
  <c r="I158" i="4"/>
  <c r="H158" i="4"/>
  <c r="I14" i="5"/>
  <c r="H14" i="5"/>
  <c r="I182" i="5"/>
  <c r="H182" i="5"/>
  <c r="I104" i="5"/>
  <c r="H104" i="5"/>
  <c r="I75" i="5"/>
  <c r="H75" i="5"/>
  <c r="H87" i="5"/>
  <c r="I87" i="5"/>
  <c r="I33" i="5"/>
  <c r="H33" i="5"/>
  <c r="I65" i="5"/>
  <c r="H65" i="5"/>
  <c r="I176" i="4"/>
  <c r="H176" i="4"/>
  <c r="I151" i="4"/>
  <c r="H151" i="4"/>
  <c r="I57" i="4"/>
  <c r="H57" i="4"/>
  <c r="I128" i="4"/>
  <c r="H128" i="4"/>
  <c r="I53" i="4"/>
  <c r="H53" i="4"/>
  <c r="I151" i="5"/>
  <c r="H151" i="5"/>
  <c r="I133" i="5"/>
  <c r="H133" i="5"/>
  <c r="I114" i="4"/>
  <c r="H114" i="4"/>
  <c r="I152" i="4"/>
  <c r="H152" i="4"/>
  <c r="H106" i="4"/>
  <c r="I106" i="4"/>
  <c r="I37" i="4"/>
  <c r="H37" i="4"/>
  <c r="I6" i="4"/>
  <c r="H6" i="4"/>
  <c r="I172" i="5"/>
  <c r="H172" i="5"/>
  <c r="I155" i="4"/>
  <c r="H155" i="4"/>
  <c r="I50" i="4"/>
  <c r="H50" i="4"/>
  <c r="H141" i="4"/>
  <c r="I141" i="4"/>
  <c r="H130" i="4"/>
  <c r="I130" i="4"/>
  <c r="I167" i="4"/>
  <c r="H167" i="4"/>
  <c r="I96" i="4"/>
  <c r="H96" i="4"/>
  <c r="H95" i="4"/>
  <c r="I95" i="4"/>
  <c r="H108" i="4"/>
  <c r="I108" i="4"/>
  <c r="H81" i="4"/>
  <c r="I81" i="4"/>
  <c r="I91" i="4"/>
  <c r="H91" i="4"/>
  <c r="D28" i="2"/>
  <c r="E28" i="2" s="1"/>
  <c r="H43" i="4"/>
  <c r="I43" i="4"/>
  <c r="R7" i="4" a="1"/>
  <c r="R7" i="4" s="1"/>
  <c r="R5" i="4" a="1"/>
  <c r="R5" i="4" s="1"/>
  <c r="R3" i="4" a="1"/>
  <c r="R3" i="4" s="1"/>
  <c r="R4" i="4" a="1"/>
  <c r="R4" i="4" s="1"/>
  <c r="R6" i="4" a="1"/>
  <c r="R6" i="4" s="1"/>
  <c r="I4" i="4"/>
  <c r="H4" i="4"/>
  <c r="H131" i="4"/>
  <c r="I131" i="4"/>
  <c r="I110" i="4"/>
  <c r="H110" i="4"/>
  <c r="I180" i="4"/>
  <c r="H180" i="4"/>
  <c r="I145" i="4"/>
  <c r="H145" i="4"/>
  <c r="I123" i="5"/>
  <c r="H123" i="5"/>
  <c r="I122" i="5"/>
  <c r="H122" i="5"/>
  <c r="I82" i="5"/>
  <c r="H82" i="5"/>
  <c r="I28" i="5"/>
  <c r="H28" i="5"/>
  <c r="I77" i="4"/>
  <c r="H77" i="4"/>
  <c r="I80" i="5"/>
  <c r="H80" i="5"/>
  <c r="I84" i="5"/>
  <c r="H84" i="5"/>
  <c r="I42" i="5"/>
  <c r="H42" i="5"/>
  <c r="I124" i="5"/>
  <c r="H124" i="5"/>
  <c r="I40" i="5"/>
  <c r="H40" i="5"/>
  <c r="I126" i="5"/>
  <c r="H126" i="5"/>
  <c r="I187" i="5"/>
  <c r="H187" i="5"/>
  <c r="I198" i="5"/>
  <c r="H198" i="5"/>
  <c r="I154" i="5"/>
  <c r="H154" i="5"/>
  <c r="I96" i="5"/>
  <c r="H96" i="5"/>
  <c r="H23" i="5"/>
  <c r="I23" i="5"/>
  <c r="I108" i="5"/>
  <c r="H108" i="5"/>
  <c r="I56" i="5"/>
  <c r="H56" i="5"/>
  <c r="I142" i="5"/>
  <c r="H142" i="5"/>
  <c r="I41" i="5"/>
  <c r="H41" i="5"/>
  <c r="I73" i="5"/>
  <c r="H73" i="5"/>
  <c r="I105" i="5"/>
  <c r="H105" i="5"/>
  <c r="I137" i="5"/>
  <c r="H137" i="5"/>
  <c r="B66" i="2" a="1"/>
  <c r="B66" i="2" s="1"/>
  <c r="D66" i="2" s="1"/>
  <c r="U4" i="11"/>
  <c r="P16" i="11"/>
  <c r="R4" i="11"/>
  <c r="S4" i="11" s="1"/>
  <c r="D11" i="2"/>
  <c r="U7" i="7"/>
  <c r="U6" i="11"/>
  <c r="R6" i="11"/>
  <c r="S6" i="11" s="1"/>
  <c r="D13" i="2"/>
  <c r="G13" i="2" s="1"/>
  <c r="U13" i="11"/>
  <c r="R13" i="11"/>
  <c r="S13" i="11" s="1"/>
  <c r="I178" i="4"/>
  <c r="H178" i="4"/>
  <c r="I171" i="4"/>
  <c r="H171" i="4"/>
  <c r="I52" i="4"/>
  <c r="H52" i="4"/>
  <c r="I56" i="4"/>
  <c r="H56" i="4"/>
  <c r="I168" i="5"/>
  <c r="H168" i="5"/>
  <c r="I36" i="5"/>
  <c r="H36" i="5"/>
  <c r="I68" i="5"/>
  <c r="H68" i="5"/>
  <c r="I90" i="5"/>
  <c r="H90" i="5"/>
  <c r="I138" i="5"/>
  <c r="H138" i="5"/>
  <c r="H146" i="4"/>
  <c r="I146" i="4"/>
  <c r="I47" i="4"/>
  <c r="H47" i="4"/>
  <c r="H149" i="4"/>
  <c r="I149" i="4"/>
  <c r="I124" i="4"/>
  <c r="H124" i="4"/>
  <c r="I165" i="4"/>
  <c r="H165" i="4"/>
  <c r="I66" i="4"/>
  <c r="H66" i="4"/>
  <c r="U12" i="11"/>
  <c r="R12" i="11"/>
  <c r="S12" i="11" s="1"/>
  <c r="I63" i="4"/>
  <c r="H63" i="4"/>
  <c r="H58" i="4"/>
  <c r="I58" i="4"/>
  <c r="I79" i="4"/>
  <c r="H79" i="4"/>
  <c r="I82" i="4"/>
  <c r="H82" i="4"/>
  <c r="I175" i="4"/>
  <c r="H175" i="4"/>
  <c r="I174" i="5"/>
  <c r="H174" i="5"/>
  <c r="I92" i="4"/>
  <c r="H92" i="4"/>
  <c r="D27" i="2"/>
  <c r="E27" i="2" s="1"/>
  <c r="I22" i="4"/>
  <c r="H22" i="4"/>
  <c r="H12" i="4"/>
  <c r="I12" i="4"/>
  <c r="H139" i="4"/>
  <c r="I139" i="4"/>
  <c r="H118" i="4"/>
  <c r="I118" i="4"/>
  <c r="I18" i="5"/>
  <c r="H18" i="5"/>
  <c r="I153" i="4"/>
  <c r="H153" i="4"/>
  <c r="I201" i="5"/>
  <c r="H201" i="5"/>
  <c r="I176" i="5"/>
  <c r="H176" i="5"/>
  <c r="I61" i="4"/>
  <c r="H61" i="4"/>
  <c r="I50" i="5"/>
  <c r="H50" i="5"/>
  <c r="D32" i="2"/>
  <c r="E32" i="2" s="1"/>
  <c r="I146" i="5"/>
  <c r="H146" i="5"/>
  <c r="I92" i="5"/>
  <c r="H92" i="5"/>
  <c r="I54" i="5"/>
  <c r="H54" i="5"/>
  <c r="I132" i="5"/>
  <c r="H132" i="5"/>
  <c r="I51" i="5"/>
  <c r="H51" i="5"/>
  <c r="I136" i="5"/>
  <c r="H136" i="5"/>
  <c r="I188" i="5"/>
  <c r="H188" i="5"/>
  <c r="I199" i="5"/>
  <c r="H199" i="5"/>
  <c r="I156" i="5"/>
  <c r="H156" i="5"/>
  <c r="I107" i="5"/>
  <c r="H107" i="5"/>
  <c r="I34" i="5"/>
  <c r="H34" i="5"/>
  <c r="H119" i="5"/>
  <c r="I119" i="5"/>
  <c r="I67" i="5"/>
  <c r="H67" i="5"/>
  <c r="I163" i="5"/>
  <c r="H163" i="5"/>
  <c r="I45" i="5"/>
  <c r="H45" i="5"/>
  <c r="I77" i="5"/>
  <c r="H77" i="5"/>
  <c r="I109" i="5"/>
  <c r="H109" i="5"/>
  <c r="I141" i="5"/>
  <c r="H141" i="5"/>
  <c r="W12" i="11" a="1"/>
  <c r="W12" i="11" s="1"/>
  <c r="U5" i="7"/>
  <c r="AB7" i="7"/>
  <c r="G30" i="2"/>
  <c r="I17" i="4"/>
  <c r="H17" i="4"/>
  <c r="I137" i="4"/>
  <c r="H137" i="4"/>
  <c r="I26" i="5"/>
  <c r="H26" i="5"/>
  <c r="I91" i="5"/>
  <c r="H91" i="5"/>
  <c r="I197" i="5"/>
  <c r="H197" i="5"/>
  <c r="I46" i="5"/>
  <c r="H46" i="5"/>
  <c r="I37" i="5"/>
  <c r="H37" i="5"/>
  <c r="I101" i="5"/>
  <c r="H101" i="5"/>
  <c r="I18" i="4"/>
  <c r="H18" i="4"/>
  <c r="H71" i="4"/>
  <c r="I71" i="4"/>
  <c r="I179" i="4"/>
  <c r="H179" i="4"/>
  <c r="I144" i="4"/>
  <c r="H144" i="4"/>
  <c r="I103" i="4"/>
  <c r="H103" i="4"/>
  <c r="I194" i="5"/>
  <c r="H194" i="5"/>
  <c r="I83" i="4"/>
  <c r="H83" i="4"/>
  <c r="I143" i="4"/>
  <c r="H143" i="4"/>
  <c r="I76" i="4"/>
  <c r="H76" i="4"/>
  <c r="I148" i="4"/>
  <c r="H148" i="4"/>
  <c r="I36" i="4"/>
  <c r="H36" i="4"/>
  <c r="H60" i="4"/>
  <c r="I60" i="4"/>
  <c r="H73" i="4"/>
  <c r="I73" i="4"/>
  <c r="I164" i="4"/>
  <c r="H164" i="4"/>
  <c r="I113" i="4"/>
  <c r="H113" i="4"/>
  <c r="I45" i="4"/>
  <c r="H45" i="4"/>
  <c r="H159" i="4"/>
  <c r="I159" i="4"/>
  <c r="I26" i="4"/>
  <c r="H26" i="4"/>
  <c r="I181" i="5"/>
  <c r="H181" i="5"/>
  <c r="I116" i="4"/>
  <c r="H116" i="4"/>
  <c r="I23" i="4"/>
  <c r="H23" i="4"/>
  <c r="I105" i="4"/>
  <c r="H105" i="4"/>
  <c r="I38" i="4"/>
  <c r="H38" i="4"/>
  <c r="H42" i="4"/>
  <c r="I42" i="4"/>
  <c r="I54" i="4"/>
  <c r="H54" i="4"/>
  <c r="I179" i="5"/>
  <c r="H179" i="5"/>
  <c r="I120" i="4"/>
  <c r="H120" i="4"/>
  <c r="I136" i="4"/>
  <c r="H136" i="4"/>
  <c r="I70" i="4"/>
  <c r="H70" i="4"/>
  <c r="I163" i="4"/>
  <c r="H163" i="4"/>
  <c r="D31" i="2"/>
  <c r="E31" i="2" s="1"/>
  <c r="H30" i="4"/>
  <c r="I30" i="4"/>
  <c r="H59" i="4"/>
  <c r="I59" i="4"/>
  <c r="I32" i="5"/>
  <c r="H32" i="5"/>
  <c r="H126" i="4"/>
  <c r="I126" i="4"/>
  <c r="I38" i="5"/>
  <c r="H38" i="5"/>
  <c r="I161" i="4"/>
  <c r="H161" i="4"/>
  <c r="I16" i="5"/>
  <c r="H16" i="5"/>
  <c r="I11" i="5"/>
  <c r="H11" i="5"/>
  <c r="I69" i="4"/>
  <c r="H69" i="4"/>
  <c r="H111" i="5"/>
  <c r="I111" i="5"/>
  <c r="I143" i="5"/>
  <c r="H143" i="5"/>
  <c r="I100" i="5"/>
  <c r="H100" i="5"/>
  <c r="I58" i="5"/>
  <c r="H58" i="5"/>
  <c r="I204" i="5"/>
  <c r="H204" i="5"/>
  <c r="I62" i="5"/>
  <c r="H62" i="5"/>
  <c r="I147" i="5"/>
  <c r="H147" i="5"/>
  <c r="I189" i="5"/>
  <c r="H189" i="5"/>
  <c r="I95" i="5"/>
  <c r="H95" i="5"/>
  <c r="I170" i="5"/>
  <c r="H170" i="5"/>
  <c r="I118" i="5"/>
  <c r="H118" i="5"/>
  <c r="I44" i="5"/>
  <c r="H44" i="5"/>
  <c r="I130" i="5"/>
  <c r="H130" i="5"/>
  <c r="I78" i="5"/>
  <c r="H78" i="5"/>
  <c r="I17" i="5"/>
  <c r="H17" i="5"/>
  <c r="I49" i="5"/>
  <c r="H49" i="5"/>
  <c r="I81" i="5"/>
  <c r="H81" i="5"/>
  <c r="I113" i="5"/>
  <c r="H113" i="5"/>
  <c r="I145" i="5"/>
  <c r="H145" i="5"/>
  <c r="W13" i="11" a="1"/>
  <c r="W13" i="11" s="1"/>
  <c r="H35" i="4"/>
  <c r="I35" i="4"/>
  <c r="I43" i="5"/>
  <c r="H43" i="5"/>
  <c r="I30" i="5"/>
  <c r="H30" i="5"/>
  <c r="I156" i="4"/>
  <c r="H156" i="4"/>
  <c r="I125" i="4"/>
  <c r="H125" i="4"/>
  <c r="I55" i="4"/>
  <c r="H55" i="4"/>
  <c r="I129" i="4"/>
  <c r="H129" i="4"/>
  <c r="I180" i="5"/>
  <c r="H180" i="5"/>
  <c r="I100" i="4"/>
  <c r="H100" i="4"/>
  <c r="I13" i="4"/>
  <c r="H13" i="4"/>
  <c r="I33" i="4"/>
  <c r="H33" i="4"/>
  <c r="I172" i="4"/>
  <c r="H172" i="4"/>
  <c r="H135" i="4"/>
  <c r="I135" i="4"/>
  <c r="I21" i="4"/>
  <c r="H21" i="4"/>
  <c r="I74" i="4"/>
  <c r="H74" i="4"/>
  <c r="I88" i="4"/>
  <c r="H88" i="4"/>
  <c r="H86" i="4"/>
  <c r="I86" i="4"/>
  <c r="I24" i="4"/>
  <c r="H24" i="4"/>
  <c r="I32" i="4"/>
  <c r="H32" i="4"/>
  <c r="I5" i="4"/>
  <c r="H5" i="4"/>
  <c r="H51" i="4"/>
  <c r="I51" i="4"/>
  <c r="H67" i="4"/>
  <c r="I67" i="4"/>
  <c r="I48" i="5"/>
  <c r="H48" i="5"/>
  <c r="H134" i="4"/>
  <c r="I134" i="4"/>
  <c r="I39" i="5"/>
  <c r="H39" i="5"/>
  <c r="I169" i="4"/>
  <c r="H169" i="4"/>
  <c r="I35" i="5"/>
  <c r="H35" i="5"/>
  <c r="I52" i="5"/>
  <c r="H52" i="5"/>
  <c r="I85" i="4"/>
  <c r="H85" i="4"/>
  <c r="I112" i="5"/>
  <c r="H112" i="5"/>
  <c r="I144" i="5"/>
  <c r="H144" i="5"/>
  <c r="R4" i="5" a="1"/>
  <c r="R4" i="5" s="1"/>
  <c r="R3" i="5" a="1"/>
  <c r="R3" i="5" s="1"/>
  <c r="R6" i="5" a="1"/>
  <c r="R6" i="5" s="1"/>
  <c r="R5" i="5" a="1"/>
  <c r="R5" i="5" s="1"/>
  <c r="I4" i="5"/>
  <c r="H4" i="5"/>
  <c r="I59" i="5"/>
  <c r="H59" i="5"/>
  <c r="I7" i="5"/>
  <c r="H7" i="5"/>
  <c r="I72" i="5"/>
  <c r="H72" i="5"/>
  <c r="I150" i="5"/>
  <c r="H150" i="5"/>
  <c r="I190" i="5"/>
  <c r="H190" i="5"/>
  <c r="I106" i="5"/>
  <c r="H106" i="5"/>
  <c r="I178" i="5"/>
  <c r="H178" i="5"/>
  <c r="I128" i="5"/>
  <c r="H128" i="5"/>
  <c r="H55" i="5"/>
  <c r="I55" i="5"/>
  <c r="I140" i="5"/>
  <c r="H140" i="5"/>
  <c r="I88" i="5"/>
  <c r="H88" i="5"/>
  <c r="I21" i="5"/>
  <c r="H21" i="5"/>
  <c r="I53" i="5"/>
  <c r="H53" i="5"/>
  <c r="I85" i="5"/>
  <c r="H85" i="5"/>
  <c r="I117" i="5"/>
  <c r="H117" i="5"/>
  <c r="I149" i="5"/>
  <c r="H149" i="5"/>
  <c r="W6" i="11" a="1"/>
  <c r="W6" i="11" s="1"/>
  <c r="W14" i="11" a="1"/>
  <c r="W14" i="11" s="1"/>
  <c r="U5" i="11"/>
  <c r="R5" i="11"/>
  <c r="S5" i="11" s="1"/>
  <c r="D12" i="2"/>
  <c r="K238" i="16"/>
  <c r="G27" i="2" l="1"/>
  <c r="G31" i="2"/>
  <c r="T6" i="4"/>
  <c r="S6" i="4"/>
  <c r="T5" i="5"/>
  <c r="S5" i="5"/>
  <c r="H12" i="2"/>
  <c r="F12" i="2"/>
  <c r="I12" i="2"/>
  <c r="T6" i="5"/>
  <c r="S6" i="5"/>
  <c r="T4" i="4"/>
  <c r="S4" i="4"/>
  <c r="F74" i="2"/>
  <c r="D74" i="2"/>
  <c r="D75" i="2" s="1"/>
  <c r="C75" i="2"/>
  <c r="F75" i="2" s="1"/>
  <c r="C151" i="2"/>
  <c r="J117" i="20"/>
  <c r="K117" i="20" s="1"/>
  <c r="J103" i="20"/>
  <c r="K103" i="20" s="1"/>
  <c r="J149" i="20"/>
  <c r="K149" i="20" s="1"/>
  <c r="J197" i="20"/>
  <c r="K197" i="20" s="1"/>
  <c r="J165" i="20"/>
  <c r="K165" i="20" s="1"/>
  <c r="J170" i="20"/>
  <c r="K170" i="20" s="1"/>
  <c r="J77" i="20"/>
  <c r="K77" i="20" s="1"/>
  <c r="J148" i="20"/>
  <c r="K148" i="20" s="1"/>
  <c r="J142" i="20"/>
  <c r="K142" i="20" s="1"/>
  <c r="J141" i="20"/>
  <c r="K141" i="20" s="1"/>
  <c r="J181" i="20"/>
  <c r="K181" i="20" s="1"/>
  <c r="J101" i="20"/>
  <c r="K101" i="20" s="1"/>
  <c r="J93" i="20"/>
  <c r="K93" i="20" s="1"/>
  <c r="J109" i="20"/>
  <c r="K109" i="20" s="1"/>
  <c r="J125" i="20"/>
  <c r="K125" i="20" s="1"/>
  <c r="J133" i="20"/>
  <c r="K133" i="20" s="1"/>
  <c r="J62" i="20"/>
  <c r="K62" i="20" s="1"/>
  <c r="J166" i="20"/>
  <c r="K166" i="20" s="1"/>
  <c r="J92" i="20"/>
  <c r="K92" i="20" s="1"/>
  <c r="J58" i="20"/>
  <c r="K58" i="20" s="1"/>
  <c r="J68" i="20"/>
  <c r="K68" i="20" s="1"/>
  <c r="J119" i="20"/>
  <c r="K119" i="20" s="1"/>
  <c r="J196" i="20"/>
  <c r="K196" i="20" s="1"/>
  <c r="J23" i="20"/>
  <c r="K23" i="20" s="1"/>
  <c r="J17" i="20"/>
  <c r="K17" i="20" s="1"/>
  <c r="J118" i="20"/>
  <c r="K118" i="20" s="1"/>
  <c r="J16" i="20"/>
  <c r="K16" i="20" s="1"/>
  <c r="J177" i="20"/>
  <c r="K177" i="20" s="1"/>
  <c r="J156" i="20"/>
  <c r="K156" i="20" s="1"/>
  <c r="J122" i="20"/>
  <c r="K122" i="20" s="1"/>
  <c r="J34" i="20"/>
  <c r="K34" i="20" s="1"/>
  <c r="J13" i="20"/>
  <c r="K13" i="20" s="1"/>
  <c r="J132" i="20"/>
  <c r="K132" i="20" s="1"/>
  <c r="J52" i="20"/>
  <c r="K52" i="20" s="1"/>
  <c r="J72" i="20"/>
  <c r="K72" i="20" s="1"/>
  <c r="J29" i="20"/>
  <c r="K29" i="20" s="1"/>
  <c r="J207" i="20"/>
  <c r="K207" i="20" s="1"/>
  <c r="J18" i="20"/>
  <c r="K18" i="20" s="1"/>
  <c r="J137" i="20"/>
  <c r="K137" i="20" s="1"/>
  <c r="J12" i="20"/>
  <c r="K12" i="20" s="1"/>
  <c r="J98" i="20"/>
  <c r="K98" i="20" s="1"/>
  <c r="J110" i="20"/>
  <c r="K110" i="20" s="1"/>
  <c r="J189" i="20"/>
  <c r="K189" i="20" s="1"/>
  <c r="J42" i="20"/>
  <c r="K42" i="20" s="1"/>
  <c r="J99" i="20"/>
  <c r="K99" i="20" s="1"/>
  <c r="J139" i="20"/>
  <c r="K139" i="20" s="1"/>
  <c r="J73" i="20"/>
  <c r="K73" i="20" s="1"/>
  <c r="J28" i="20"/>
  <c r="K28" i="20" s="1"/>
  <c r="J63" i="20"/>
  <c r="K63" i="20" s="1"/>
  <c r="J107" i="20"/>
  <c r="K107" i="20" s="1"/>
  <c r="J85" i="20"/>
  <c r="K85" i="20" s="1"/>
  <c r="J91" i="20"/>
  <c r="K91" i="20" s="1"/>
  <c r="J205" i="20"/>
  <c r="K205" i="20" s="1"/>
  <c r="J113" i="20"/>
  <c r="K113" i="20" s="1"/>
  <c r="J169" i="20"/>
  <c r="K169" i="20" s="1"/>
  <c r="J136" i="20"/>
  <c r="K136" i="20" s="1"/>
  <c r="J51" i="20"/>
  <c r="K51" i="20" s="1"/>
  <c r="J46" i="20"/>
  <c r="K46" i="20" s="1"/>
  <c r="J57" i="20"/>
  <c r="K57" i="20" s="1"/>
  <c r="J26" i="20"/>
  <c r="K26" i="20" s="1"/>
  <c r="J9" i="20"/>
  <c r="K9" i="20" s="1"/>
  <c r="J67" i="20"/>
  <c r="K67" i="20" s="1"/>
  <c r="J194" i="20"/>
  <c r="K194" i="20" s="1"/>
  <c r="J90" i="20"/>
  <c r="K90" i="20" s="1"/>
  <c r="J106" i="20"/>
  <c r="K106" i="20" s="1"/>
  <c r="J47" i="20"/>
  <c r="K47" i="20" s="1"/>
  <c r="J186" i="20"/>
  <c r="K186" i="20" s="1"/>
  <c r="J115" i="20"/>
  <c r="K115" i="20" s="1"/>
  <c r="J158" i="20"/>
  <c r="K158" i="20" s="1"/>
  <c r="J135" i="20"/>
  <c r="K135" i="20" s="1"/>
  <c r="J22" i="20"/>
  <c r="K22" i="20" s="1"/>
  <c r="J80" i="20"/>
  <c r="K80" i="20" s="1"/>
  <c r="J138" i="20"/>
  <c r="K138" i="20" s="1"/>
  <c r="J131" i="20"/>
  <c r="K131" i="20" s="1"/>
  <c r="J123" i="20"/>
  <c r="K123" i="20" s="1"/>
  <c r="J44" i="20"/>
  <c r="K44" i="20" s="1"/>
  <c r="J174" i="20"/>
  <c r="K174" i="20" s="1"/>
  <c r="J60" i="20"/>
  <c r="K60" i="20" s="1"/>
  <c r="J144" i="20"/>
  <c r="K144" i="20" s="1"/>
  <c r="J153" i="20"/>
  <c r="K153" i="20" s="1"/>
  <c r="J43" i="20"/>
  <c r="K43" i="20" s="1"/>
  <c r="J24" i="20"/>
  <c r="K24" i="20" s="1"/>
  <c r="J97" i="20"/>
  <c r="K97" i="20" s="1"/>
  <c r="J14" i="20"/>
  <c r="K14" i="20" s="1"/>
  <c r="J45" i="20"/>
  <c r="K45" i="20" s="1"/>
  <c r="J83" i="20"/>
  <c r="K83" i="20" s="1"/>
  <c r="J134" i="20"/>
  <c r="K134" i="20" s="1"/>
  <c r="J25" i="20"/>
  <c r="K25" i="20" s="1"/>
  <c r="J41" i="20"/>
  <c r="K41" i="20" s="1"/>
  <c r="J69" i="20"/>
  <c r="K69" i="20" s="1"/>
  <c r="J199" i="20"/>
  <c r="K199" i="20" s="1"/>
  <c r="J78" i="20"/>
  <c r="K78" i="20" s="1"/>
  <c r="J121" i="20"/>
  <c r="K121" i="20" s="1"/>
  <c r="J102" i="20"/>
  <c r="K102" i="20" s="1"/>
  <c r="J54" i="20"/>
  <c r="K54" i="20" s="1"/>
  <c r="J55" i="20"/>
  <c r="K55" i="20" s="1"/>
  <c r="J163" i="20"/>
  <c r="K163" i="20" s="1"/>
  <c r="J126" i="20"/>
  <c r="K126" i="20" s="1"/>
  <c r="J192" i="20"/>
  <c r="K192" i="20" s="1"/>
  <c r="J61" i="20"/>
  <c r="K61" i="20" s="1"/>
  <c r="J155" i="20"/>
  <c r="K155" i="20" s="1"/>
  <c r="J15" i="20"/>
  <c r="K15" i="20" s="1"/>
  <c r="J162" i="20"/>
  <c r="K162" i="20" s="1"/>
  <c r="J31" i="20"/>
  <c r="K31" i="20" s="1"/>
  <c r="J53" i="20"/>
  <c r="K53" i="20" s="1"/>
  <c r="J112" i="20"/>
  <c r="K112" i="20" s="1"/>
  <c r="J10" i="20"/>
  <c r="K10" i="20" s="1"/>
  <c r="J184" i="20"/>
  <c r="K184" i="20" s="1"/>
  <c r="J36" i="20"/>
  <c r="K36" i="20" s="1"/>
  <c r="J11" i="20"/>
  <c r="K11" i="20" s="1"/>
  <c r="J147" i="20"/>
  <c r="K147" i="20" s="1"/>
  <c r="J171" i="20"/>
  <c r="K171" i="20" s="1"/>
  <c r="J35" i="20"/>
  <c r="K35" i="20" s="1"/>
  <c r="J76" i="20"/>
  <c r="K76" i="20" s="1"/>
  <c r="J79" i="20"/>
  <c r="K79" i="20" s="1"/>
  <c r="J40" i="20"/>
  <c r="K40" i="20" s="1"/>
  <c r="J143" i="20"/>
  <c r="K143" i="20" s="1"/>
  <c r="J94" i="20"/>
  <c r="K94" i="20" s="1"/>
  <c r="J66" i="20"/>
  <c r="K66" i="20" s="1"/>
  <c r="J30" i="20"/>
  <c r="K30" i="20" s="1"/>
  <c r="J20" i="20"/>
  <c r="K20" i="20" s="1"/>
  <c r="J127" i="20"/>
  <c r="K127" i="20" s="1"/>
  <c r="J75" i="20"/>
  <c r="K75" i="20" s="1"/>
  <c r="J21" i="20"/>
  <c r="K21" i="20" s="1"/>
  <c r="J190" i="20"/>
  <c r="K190" i="20" s="1"/>
  <c r="J64" i="20"/>
  <c r="K64" i="20" s="1"/>
  <c r="J70" i="20"/>
  <c r="K70" i="20" s="1"/>
  <c r="J37" i="20"/>
  <c r="K37" i="20" s="1"/>
  <c r="J176" i="20"/>
  <c r="K176" i="20" s="1"/>
  <c r="J87" i="20"/>
  <c r="K87" i="20" s="1"/>
  <c r="J128" i="20"/>
  <c r="K128" i="20" s="1"/>
  <c r="J81" i="20"/>
  <c r="K81" i="20" s="1"/>
  <c r="J160" i="20"/>
  <c r="K160" i="20" s="1"/>
  <c r="J39" i="20"/>
  <c r="K39" i="20" s="1"/>
  <c r="J8" i="20"/>
  <c r="K8" i="20" s="1"/>
  <c r="J151" i="20"/>
  <c r="K151" i="20" s="1"/>
  <c r="J201" i="20"/>
  <c r="K201" i="20" s="1"/>
  <c r="J185" i="20"/>
  <c r="K185" i="20" s="1"/>
  <c r="J65" i="20"/>
  <c r="K65" i="20" s="1"/>
  <c r="J86" i="20"/>
  <c r="K86" i="20" s="1"/>
  <c r="J50" i="20"/>
  <c r="K50" i="20" s="1"/>
  <c r="J71" i="20"/>
  <c r="K71" i="20" s="1"/>
  <c r="R8" i="4"/>
  <c r="T3" i="4"/>
  <c r="S3" i="4"/>
  <c r="P234" i="16"/>
  <c r="P232" i="16"/>
  <c r="P229" i="16"/>
  <c r="P225" i="16"/>
  <c r="P221" i="16"/>
  <c r="P217" i="16"/>
  <c r="P213" i="16"/>
  <c r="N238" i="16"/>
  <c r="P228" i="16"/>
  <c r="P224" i="16"/>
  <c r="P220" i="16"/>
  <c r="P216" i="16"/>
  <c r="P212" i="16"/>
  <c r="P236" i="16"/>
  <c r="P233" i="16"/>
  <c r="P227" i="16"/>
  <c r="P226" i="16"/>
  <c r="P219" i="16"/>
  <c r="P218" i="16"/>
  <c r="P211" i="16"/>
  <c r="P210" i="16"/>
  <c r="P237" i="16"/>
  <c r="P235" i="16"/>
  <c r="P215" i="16"/>
  <c r="P222" i="16"/>
  <c r="P223" i="16"/>
  <c r="P230" i="16"/>
  <c r="P231" i="16"/>
  <c r="P214" i="16"/>
  <c r="T5" i="4"/>
  <c r="S5" i="4"/>
  <c r="H14" i="2"/>
  <c r="I14" i="2"/>
  <c r="F14" i="2"/>
  <c r="G28" i="2"/>
  <c r="T3" i="5"/>
  <c r="R7" i="5"/>
  <c r="R8" i="5" s="1"/>
  <c r="S3" i="5"/>
  <c r="H11" i="2"/>
  <c r="F11" i="2"/>
  <c r="D23" i="2"/>
  <c r="F23" i="2" s="1"/>
  <c r="I11" i="2"/>
  <c r="G12" i="2"/>
  <c r="G11" i="2"/>
  <c r="T7" i="4"/>
  <c r="S7" i="4"/>
  <c r="AB9" i="7"/>
  <c r="I13" i="2"/>
  <c r="H13" i="2"/>
  <c r="F13" i="2"/>
  <c r="T4" i="5"/>
  <c r="S4" i="5"/>
  <c r="R16" i="11"/>
  <c r="S16" i="11" s="1"/>
  <c r="U16" i="11"/>
  <c r="W16" i="11"/>
  <c r="B62" i="2"/>
  <c r="D62" i="2" s="1"/>
  <c r="B61" i="2" a="1"/>
  <c r="B61" i="2" s="1"/>
  <c r="D61" i="2" s="1"/>
  <c r="A6" i="2"/>
  <c r="I6" i="2" a="1"/>
  <c r="I6" i="2" s="1"/>
  <c r="E38" i="2"/>
  <c r="E42" i="2"/>
  <c r="G6" i="2" a="1"/>
  <c r="G6" i="2" s="1"/>
  <c r="B59" i="2" a="1"/>
  <c r="B59" i="2" s="1"/>
  <c r="E40" i="2"/>
  <c r="E39" i="2"/>
  <c r="E43" i="2"/>
  <c r="E41" i="2"/>
  <c r="U18" i="7"/>
  <c r="S12" i="5" a="1"/>
  <c r="S12" i="5" s="1"/>
  <c r="T12" i="5" s="1"/>
  <c r="S13" i="5" a="1"/>
  <c r="S13" i="5" s="1"/>
  <c r="T13" i="5" s="1"/>
  <c r="S11" i="5" a="1"/>
  <c r="S11" i="5" s="1"/>
  <c r="S12" i="4" a="1"/>
  <c r="S12" i="4" s="1"/>
  <c r="T12" i="4" s="1"/>
  <c r="S11" i="4" a="1"/>
  <c r="S11" i="4" s="1"/>
  <c r="S13" i="4" a="1"/>
  <c r="S13" i="4" s="1"/>
  <c r="T13" i="4" s="1"/>
  <c r="Q176" i="20" l="1"/>
  <c r="P176" i="20"/>
  <c r="M176" i="20"/>
  <c r="T176" i="20"/>
  <c r="O176" i="20"/>
  <c r="N176" i="20"/>
  <c r="S176" i="20"/>
  <c r="R176" i="20"/>
  <c r="O20" i="20"/>
  <c r="N20" i="20"/>
  <c r="M20" i="20"/>
  <c r="T20" i="20"/>
  <c r="S20" i="20"/>
  <c r="R20" i="20"/>
  <c r="Q20" i="20"/>
  <c r="P20" i="20"/>
  <c r="N35" i="20"/>
  <c r="T35" i="20"/>
  <c r="S35" i="20"/>
  <c r="R35" i="20"/>
  <c r="Q35" i="20"/>
  <c r="P35" i="20"/>
  <c r="O35" i="20"/>
  <c r="M35" i="20"/>
  <c r="P53" i="20"/>
  <c r="O53" i="20"/>
  <c r="N53" i="20"/>
  <c r="T53" i="20"/>
  <c r="S53" i="20"/>
  <c r="R53" i="20"/>
  <c r="Q53" i="20"/>
  <c r="M53" i="20"/>
  <c r="Q163" i="20"/>
  <c r="N163" i="20"/>
  <c r="M163" i="20"/>
  <c r="T163" i="20"/>
  <c r="O163" i="20"/>
  <c r="R163" i="20"/>
  <c r="P163" i="20"/>
  <c r="S163" i="20"/>
  <c r="T41" i="20"/>
  <c r="N41" i="20"/>
  <c r="M41" i="20"/>
  <c r="S41" i="20"/>
  <c r="R41" i="20"/>
  <c r="P41" i="20"/>
  <c r="O41" i="20"/>
  <c r="Q41" i="20"/>
  <c r="N43" i="20"/>
  <c r="T43" i="20"/>
  <c r="O43" i="20"/>
  <c r="M43" i="20"/>
  <c r="S43" i="20"/>
  <c r="R43" i="20"/>
  <c r="Q43" i="20"/>
  <c r="P43" i="20"/>
  <c r="R138" i="20"/>
  <c r="Q138" i="20"/>
  <c r="P138" i="20"/>
  <c r="O138" i="20"/>
  <c r="T138" i="20"/>
  <c r="S138" i="20"/>
  <c r="N138" i="20"/>
  <c r="M138" i="20"/>
  <c r="N106" i="20"/>
  <c r="M106" i="20"/>
  <c r="T106" i="20"/>
  <c r="S106" i="20"/>
  <c r="Q106" i="20"/>
  <c r="P106" i="20"/>
  <c r="O106" i="20"/>
  <c r="R106" i="20"/>
  <c r="N51" i="20"/>
  <c r="T51" i="20"/>
  <c r="O51" i="20"/>
  <c r="M51" i="20"/>
  <c r="S51" i="20"/>
  <c r="R51" i="20"/>
  <c r="Q51" i="20"/>
  <c r="P51" i="20"/>
  <c r="R63" i="20"/>
  <c r="Q63" i="20"/>
  <c r="P63" i="20"/>
  <c r="N63" i="20"/>
  <c r="T63" i="20"/>
  <c r="S63" i="20"/>
  <c r="O63" i="20"/>
  <c r="M63" i="20"/>
  <c r="N98" i="20"/>
  <c r="M98" i="20"/>
  <c r="T98" i="20"/>
  <c r="S98" i="20"/>
  <c r="Q98" i="20"/>
  <c r="P98" i="20"/>
  <c r="O98" i="20"/>
  <c r="R98" i="20"/>
  <c r="T132" i="20"/>
  <c r="S132" i="20"/>
  <c r="R132" i="20"/>
  <c r="O132" i="20"/>
  <c r="N132" i="20"/>
  <c r="M132" i="20"/>
  <c r="Q132" i="20"/>
  <c r="P132" i="20"/>
  <c r="P17" i="20"/>
  <c r="O17" i="20"/>
  <c r="N17" i="20"/>
  <c r="M17" i="20"/>
  <c r="T17" i="20"/>
  <c r="S17" i="20"/>
  <c r="R17" i="20"/>
  <c r="Q17" i="20"/>
  <c r="M62" i="20"/>
  <c r="T62" i="20"/>
  <c r="S62" i="20"/>
  <c r="Q62" i="20"/>
  <c r="O62" i="20"/>
  <c r="N62" i="20"/>
  <c r="R62" i="20"/>
  <c r="P62" i="20"/>
  <c r="M142" i="20"/>
  <c r="T142" i="20"/>
  <c r="S142" i="20"/>
  <c r="R142" i="20"/>
  <c r="P142" i="20"/>
  <c r="O142" i="20"/>
  <c r="N142" i="20"/>
  <c r="Q142" i="20"/>
  <c r="M117" i="20"/>
  <c r="T117" i="20"/>
  <c r="S117" i="20"/>
  <c r="R117" i="20"/>
  <c r="O117" i="20"/>
  <c r="N117" i="20"/>
  <c r="P117" i="20"/>
  <c r="Q117" i="20"/>
  <c r="N201" i="20"/>
  <c r="P201" i="20"/>
  <c r="R201" i="20"/>
  <c r="T201" i="20"/>
  <c r="O201" i="20"/>
  <c r="S201" i="20"/>
  <c r="Q201" i="20"/>
  <c r="M201" i="20"/>
  <c r="T7" i="5"/>
  <c r="S7" i="5"/>
  <c r="S151" i="20"/>
  <c r="Q151" i="20"/>
  <c r="P151" i="20"/>
  <c r="O151" i="20"/>
  <c r="N151" i="20"/>
  <c r="M151" i="20"/>
  <c r="T151" i="20"/>
  <c r="R151" i="20"/>
  <c r="P37" i="20"/>
  <c r="S37" i="20"/>
  <c r="R37" i="20"/>
  <c r="Q37" i="20"/>
  <c r="O37" i="20"/>
  <c r="N37" i="20"/>
  <c r="T37" i="20"/>
  <c r="M37" i="20"/>
  <c r="M30" i="20"/>
  <c r="R30" i="20"/>
  <c r="Q30" i="20"/>
  <c r="P30" i="20"/>
  <c r="O30" i="20"/>
  <c r="N30" i="20"/>
  <c r="T30" i="20"/>
  <c r="S30" i="20"/>
  <c r="P171" i="20"/>
  <c r="M171" i="20"/>
  <c r="S171" i="20"/>
  <c r="O171" i="20"/>
  <c r="N171" i="20"/>
  <c r="T171" i="20"/>
  <c r="R171" i="20"/>
  <c r="Q171" i="20"/>
  <c r="R31" i="20"/>
  <c r="P31" i="20"/>
  <c r="O31" i="20"/>
  <c r="N31" i="20"/>
  <c r="M31" i="20"/>
  <c r="T31" i="20"/>
  <c r="S31" i="20"/>
  <c r="Q31" i="20"/>
  <c r="R55" i="20"/>
  <c r="Q55" i="20"/>
  <c r="P55" i="20"/>
  <c r="N55" i="20"/>
  <c r="T55" i="20"/>
  <c r="S55" i="20"/>
  <c r="O55" i="20"/>
  <c r="M55" i="20"/>
  <c r="P25" i="20"/>
  <c r="O25" i="20"/>
  <c r="N25" i="20"/>
  <c r="M25" i="20"/>
  <c r="T25" i="20"/>
  <c r="S25" i="20"/>
  <c r="R25" i="20"/>
  <c r="Q25" i="20"/>
  <c r="M153" i="20"/>
  <c r="R153" i="20"/>
  <c r="T153" i="20"/>
  <c r="S153" i="20"/>
  <c r="Q153" i="20"/>
  <c r="P153" i="20"/>
  <c r="O153" i="20"/>
  <c r="N153" i="20"/>
  <c r="T80" i="20"/>
  <c r="S80" i="20"/>
  <c r="R80" i="20"/>
  <c r="Q80" i="20"/>
  <c r="M80" i="20"/>
  <c r="P80" i="20"/>
  <c r="O80" i="20"/>
  <c r="N80" i="20"/>
  <c r="N90" i="20"/>
  <c r="M90" i="20"/>
  <c r="T90" i="20"/>
  <c r="S90" i="20"/>
  <c r="Q90" i="20"/>
  <c r="P90" i="20"/>
  <c r="O90" i="20"/>
  <c r="R90" i="20"/>
  <c r="P136" i="20"/>
  <c r="O136" i="20"/>
  <c r="N136" i="20"/>
  <c r="M136" i="20"/>
  <c r="T136" i="20"/>
  <c r="S136" i="20"/>
  <c r="R136" i="20"/>
  <c r="Q136" i="20"/>
  <c r="S28" i="20"/>
  <c r="T28" i="20"/>
  <c r="R28" i="20"/>
  <c r="Q28" i="20"/>
  <c r="P28" i="20"/>
  <c r="O28" i="20"/>
  <c r="N28" i="20"/>
  <c r="M28" i="20"/>
  <c r="O12" i="20"/>
  <c r="N12" i="20"/>
  <c r="M12" i="20"/>
  <c r="T12" i="20"/>
  <c r="S12" i="20"/>
  <c r="R12" i="20"/>
  <c r="Q12" i="20"/>
  <c r="P12" i="20"/>
  <c r="T13" i="20"/>
  <c r="S13" i="20"/>
  <c r="R13" i="20"/>
  <c r="Q13" i="20"/>
  <c r="P13" i="20"/>
  <c r="N13" i="20"/>
  <c r="M13" i="20"/>
  <c r="O13" i="20"/>
  <c r="N23" i="20"/>
  <c r="M23" i="20"/>
  <c r="T23" i="20"/>
  <c r="S23" i="20"/>
  <c r="R23" i="20"/>
  <c r="Q23" i="20"/>
  <c r="P23" i="20"/>
  <c r="O23" i="20"/>
  <c r="Q133" i="20"/>
  <c r="P133" i="20"/>
  <c r="O133" i="20"/>
  <c r="T133" i="20"/>
  <c r="S133" i="20"/>
  <c r="R133" i="20"/>
  <c r="M133" i="20"/>
  <c r="N133" i="20"/>
  <c r="T148" i="20"/>
  <c r="S148" i="20"/>
  <c r="O148" i="20"/>
  <c r="N148" i="20"/>
  <c r="M148" i="20"/>
  <c r="P148" i="20"/>
  <c r="R148" i="20"/>
  <c r="Q148" i="20"/>
  <c r="T8" i="5"/>
  <c r="S8" i="5"/>
  <c r="T8" i="4"/>
  <c r="S8" i="4"/>
  <c r="G216" i="20" a="1"/>
  <c r="G216" i="20" s="1"/>
  <c r="E214" i="20"/>
  <c r="E216" i="20"/>
  <c r="C216" i="20"/>
  <c r="C214" i="20"/>
  <c r="E213" i="20"/>
  <c r="G215" i="20" a="1"/>
  <c r="G215" i="20" s="1"/>
  <c r="C213" i="20"/>
  <c r="E215" i="20"/>
  <c r="C215" i="20"/>
  <c r="G214" i="20" a="1"/>
  <c r="G214" i="20" s="1"/>
  <c r="G213" i="20" a="1"/>
  <c r="G213" i="20" s="1"/>
  <c r="S8" i="20"/>
  <c r="R8" i="20"/>
  <c r="Q8" i="20"/>
  <c r="P8" i="20"/>
  <c r="O8" i="20"/>
  <c r="T8" i="20"/>
  <c r="N8" i="20"/>
  <c r="M8" i="20"/>
  <c r="R70" i="20"/>
  <c r="Q70" i="20"/>
  <c r="P70" i="20"/>
  <c r="N70" i="20"/>
  <c r="M70" i="20"/>
  <c r="T70" i="20"/>
  <c r="S70" i="20"/>
  <c r="O70" i="20"/>
  <c r="Q66" i="20"/>
  <c r="P66" i="20"/>
  <c r="O66" i="20"/>
  <c r="M66" i="20"/>
  <c r="T66" i="20"/>
  <c r="S66" i="20"/>
  <c r="R66" i="20"/>
  <c r="N66" i="20"/>
  <c r="O147" i="20"/>
  <c r="M147" i="20"/>
  <c r="N147" i="20"/>
  <c r="T147" i="20"/>
  <c r="S147" i="20"/>
  <c r="R147" i="20"/>
  <c r="Q147" i="20"/>
  <c r="P147" i="20"/>
  <c r="T162" i="20"/>
  <c r="O162" i="20"/>
  <c r="R162" i="20"/>
  <c r="S162" i="20"/>
  <c r="Q162" i="20"/>
  <c r="P162" i="20"/>
  <c r="N162" i="20"/>
  <c r="M162" i="20"/>
  <c r="M54" i="20"/>
  <c r="T54" i="20"/>
  <c r="S54" i="20"/>
  <c r="Q54" i="20"/>
  <c r="O54" i="20"/>
  <c r="N54" i="20"/>
  <c r="R54" i="20"/>
  <c r="P54" i="20"/>
  <c r="N134" i="20"/>
  <c r="M134" i="20"/>
  <c r="T134" i="20"/>
  <c r="S134" i="20"/>
  <c r="P134" i="20"/>
  <c r="O134" i="20"/>
  <c r="R134" i="20"/>
  <c r="Q134" i="20"/>
  <c r="P144" i="20"/>
  <c r="Q144" i="20"/>
  <c r="T144" i="20"/>
  <c r="S144" i="20"/>
  <c r="R144" i="20"/>
  <c r="M144" i="20"/>
  <c r="N144" i="20"/>
  <c r="O144" i="20"/>
  <c r="Q22" i="20"/>
  <c r="P22" i="20"/>
  <c r="O22" i="20"/>
  <c r="N22" i="20"/>
  <c r="M22" i="20"/>
  <c r="R22" i="20"/>
  <c r="T22" i="20"/>
  <c r="S22" i="20"/>
  <c r="S194" i="20"/>
  <c r="N194" i="20"/>
  <c r="R194" i="20"/>
  <c r="T194" i="20"/>
  <c r="Q194" i="20"/>
  <c r="P194" i="20"/>
  <c r="O194" i="20"/>
  <c r="M194" i="20"/>
  <c r="N169" i="20"/>
  <c r="P169" i="20"/>
  <c r="R169" i="20"/>
  <c r="T169" i="20"/>
  <c r="O169" i="20"/>
  <c r="S169" i="20"/>
  <c r="Q169" i="20"/>
  <c r="M169" i="20"/>
  <c r="Q73" i="20"/>
  <c r="P73" i="20"/>
  <c r="O73" i="20"/>
  <c r="R73" i="20"/>
  <c r="N73" i="20"/>
  <c r="M73" i="20"/>
  <c r="T73" i="20"/>
  <c r="S73" i="20"/>
  <c r="M137" i="20"/>
  <c r="T137" i="20"/>
  <c r="S137" i="20"/>
  <c r="R137" i="20"/>
  <c r="N137" i="20"/>
  <c r="P137" i="20"/>
  <c r="O137" i="20"/>
  <c r="Q137" i="20"/>
  <c r="Q34" i="20"/>
  <c r="M34" i="20"/>
  <c r="T34" i="20"/>
  <c r="S34" i="20"/>
  <c r="R34" i="20"/>
  <c r="P34" i="20"/>
  <c r="O34" i="20"/>
  <c r="N34" i="20"/>
  <c r="M196" i="20"/>
  <c r="P196" i="20"/>
  <c r="T196" i="20"/>
  <c r="S196" i="20"/>
  <c r="Q196" i="20"/>
  <c r="O196" i="20"/>
  <c r="N196" i="20"/>
  <c r="R196" i="20"/>
  <c r="Q125" i="20"/>
  <c r="O125" i="20"/>
  <c r="N125" i="20"/>
  <c r="M125" i="20"/>
  <c r="P125" i="20"/>
  <c r="T125" i="20"/>
  <c r="S125" i="20"/>
  <c r="R125" i="20"/>
  <c r="M77" i="20"/>
  <c r="T77" i="20"/>
  <c r="S77" i="20"/>
  <c r="R77" i="20"/>
  <c r="O77" i="20"/>
  <c r="N77" i="20"/>
  <c r="Q77" i="20"/>
  <c r="P77" i="20"/>
  <c r="S60" i="20"/>
  <c r="R60" i="20"/>
  <c r="Q60" i="20"/>
  <c r="O60" i="20"/>
  <c r="T60" i="20"/>
  <c r="P60" i="20"/>
  <c r="N60" i="20"/>
  <c r="M60" i="20"/>
  <c r="Q113" i="20"/>
  <c r="P113" i="20"/>
  <c r="O113" i="20"/>
  <c r="N113" i="20"/>
  <c r="T113" i="20"/>
  <c r="R113" i="20"/>
  <c r="S113" i="20"/>
  <c r="M113" i="20"/>
  <c r="N139" i="20"/>
  <c r="P139" i="20"/>
  <c r="O139" i="20"/>
  <c r="M139" i="20"/>
  <c r="S139" i="20"/>
  <c r="R139" i="20"/>
  <c r="Q139" i="20"/>
  <c r="T139" i="20"/>
  <c r="M18" i="20"/>
  <c r="T18" i="20"/>
  <c r="S18" i="20"/>
  <c r="R18" i="20"/>
  <c r="Q18" i="20"/>
  <c r="P18" i="20"/>
  <c r="O18" i="20"/>
  <c r="N18" i="20"/>
  <c r="R122" i="20"/>
  <c r="S122" i="20"/>
  <c r="Q122" i="20"/>
  <c r="P122" i="20"/>
  <c r="O122" i="20"/>
  <c r="N122" i="20"/>
  <c r="T122" i="20"/>
  <c r="M122" i="20"/>
  <c r="O119" i="20"/>
  <c r="N119" i="20"/>
  <c r="M119" i="20"/>
  <c r="T119" i="20"/>
  <c r="S119" i="20"/>
  <c r="R119" i="20"/>
  <c r="Q119" i="20"/>
  <c r="P119" i="20"/>
  <c r="M109" i="20"/>
  <c r="T109" i="20"/>
  <c r="S109" i="20"/>
  <c r="R109" i="20"/>
  <c r="O109" i="20"/>
  <c r="N109" i="20"/>
  <c r="Q109" i="20"/>
  <c r="P109" i="20"/>
  <c r="S170" i="20"/>
  <c r="N170" i="20"/>
  <c r="R170" i="20"/>
  <c r="T170" i="20"/>
  <c r="Q170" i="20"/>
  <c r="P170" i="20"/>
  <c r="O170" i="20"/>
  <c r="M170" i="20"/>
  <c r="O71" i="20"/>
  <c r="N71" i="20"/>
  <c r="M71" i="20"/>
  <c r="T71" i="20"/>
  <c r="S71" i="20"/>
  <c r="R71" i="20"/>
  <c r="P71" i="20"/>
  <c r="Q71" i="20"/>
  <c r="R39" i="20"/>
  <c r="P39" i="20"/>
  <c r="O39" i="20"/>
  <c r="N39" i="20"/>
  <c r="M39" i="20"/>
  <c r="T39" i="20"/>
  <c r="S39" i="20"/>
  <c r="Q39" i="20"/>
  <c r="O64" i="20"/>
  <c r="N64" i="20"/>
  <c r="M64" i="20"/>
  <c r="S64" i="20"/>
  <c r="T64" i="20"/>
  <c r="R64" i="20"/>
  <c r="Q64" i="20"/>
  <c r="P64" i="20"/>
  <c r="R94" i="20"/>
  <c r="Q94" i="20"/>
  <c r="P94" i="20"/>
  <c r="O94" i="20"/>
  <c r="S94" i="20"/>
  <c r="N94" i="20"/>
  <c r="M94" i="20"/>
  <c r="T94" i="20"/>
  <c r="R11" i="20"/>
  <c r="Q11" i="20"/>
  <c r="P11" i="20"/>
  <c r="O11" i="20"/>
  <c r="N11" i="20"/>
  <c r="T11" i="20"/>
  <c r="S11" i="20"/>
  <c r="M11" i="20"/>
  <c r="N15" i="20"/>
  <c r="M15" i="20"/>
  <c r="T15" i="20"/>
  <c r="S15" i="20"/>
  <c r="R15" i="20"/>
  <c r="Q15" i="20"/>
  <c r="P15" i="20"/>
  <c r="O15" i="20"/>
  <c r="R102" i="20"/>
  <c r="Q102" i="20"/>
  <c r="P102" i="20"/>
  <c r="O102" i="20"/>
  <c r="S102" i="20"/>
  <c r="N102" i="20"/>
  <c r="M102" i="20"/>
  <c r="T102" i="20"/>
  <c r="S83" i="20"/>
  <c r="R83" i="20"/>
  <c r="Q83" i="20"/>
  <c r="P83" i="20"/>
  <c r="T83" i="20"/>
  <c r="O83" i="20"/>
  <c r="N83" i="20"/>
  <c r="M83" i="20"/>
  <c r="S135" i="20"/>
  <c r="R135" i="20"/>
  <c r="Q135" i="20"/>
  <c r="P135" i="20"/>
  <c r="T135" i="20"/>
  <c r="N135" i="20"/>
  <c r="M135" i="20"/>
  <c r="O135" i="20"/>
  <c r="N67" i="20"/>
  <c r="M67" i="20"/>
  <c r="T67" i="20"/>
  <c r="R67" i="20"/>
  <c r="Q67" i="20"/>
  <c r="P67" i="20"/>
  <c r="O67" i="20"/>
  <c r="S67" i="20"/>
  <c r="G23" i="2"/>
  <c r="Q50" i="20"/>
  <c r="O50" i="20"/>
  <c r="M50" i="20"/>
  <c r="T50" i="20"/>
  <c r="S50" i="20"/>
  <c r="R50" i="20"/>
  <c r="P50" i="20"/>
  <c r="N50" i="20"/>
  <c r="M160" i="20"/>
  <c r="O160" i="20"/>
  <c r="T160" i="20"/>
  <c r="N160" i="20"/>
  <c r="Q160" i="20"/>
  <c r="P160" i="20"/>
  <c r="S160" i="20"/>
  <c r="R160" i="20"/>
  <c r="O190" i="20"/>
  <c r="S190" i="20"/>
  <c r="P190" i="20"/>
  <c r="R190" i="20"/>
  <c r="M190" i="20"/>
  <c r="Q190" i="20"/>
  <c r="N190" i="20"/>
  <c r="T190" i="20"/>
  <c r="R143" i="20"/>
  <c r="T143" i="20"/>
  <c r="S143" i="20"/>
  <c r="Q143" i="20"/>
  <c r="P143" i="20"/>
  <c r="M143" i="20"/>
  <c r="O143" i="20"/>
  <c r="N143" i="20"/>
  <c r="S36" i="20"/>
  <c r="T36" i="20"/>
  <c r="R36" i="20"/>
  <c r="Q36" i="20"/>
  <c r="P36" i="20"/>
  <c r="O36" i="20"/>
  <c r="N36" i="20"/>
  <c r="M36" i="20"/>
  <c r="O155" i="20"/>
  <c r="T155" i="20"/>
  <c r="R155" i="20"/>
  <c r="Q155" i="20"/>
  <c r="P155" i="20"/>
  <c r="N155" i="20"/>
  <c r="S155" i="20"/>
  <c r="M155" i="20"/>
  <c r="M121" i="20"/>
  <c r="T121" i="20"/>
  <c r="S121" i="20"/>
  <c r="R121" i="20"/>
  <c r="Q121" i="20"/>
  <c r="P121" i="20"/>
  <c r="O121" i="20"/>
  <c r="N121" i="20"/>
  <c r="P45" i="20"/>
  <c r="N45" i="20"/>
  <c r="R45" i="20"/>
  <c r="Q45" i="20"/>
  <c r="O45" i="20"/>
  <c r="M45" i="20"/>
  <c r="T45" i="20"/>
  <c r="S45" i="20"/>
  <c r="O174" i="20"/>
  <c r="S174" i="20"/>
  <c r="N174" i="20"/>
  <c r="M174" i="20"/>
  <c r="P174" i="20"/>
  <c r="T174" i="20"/>
  <c r="R174" i="20"/>
  <c r="Q174" i="20"/>
  <c r="S158" i="20"/>
  <c r="P158" i="20"/>
  <c r="M158" i="20"/>
  <c r="R158" i="20"/>
  <c r="Q158" i="20"/>
  <c r="T158" i="20"/>
  <c r="O158" i="20"/>
  <c r="N158" i="20"/>
  <c r="P9" i="20"/>
  <c r="O9" i="20"/>
  <c r="N9" i="20"/>
  <c r="M9" i="20"/>
  <c r="T9" i="20"/>
  <c r="S9" i="20"/>
  <c r="R9" i="20"/>
  <c r="Q9" i="20"/>
  <c r="R205" i="20"/>
  <c r="T205" i="20"/>
  <c r="S205" i="20"/>
  <c r="P205" i="20"/>
  <c r="O205" i="20"/>
  <c r="N205" i="20"/>
  <c r="M205" i="20"/>
  <c r="Q205" i="20"/>
  <c r="S99" i="20"/>
  <c r="R99" i="20"/>
  <c r="Q99" i="20"/>
  <c r="P99" i="20"/>
  <c r="T99" i="20"/>
  <c r="O99" i="20"/>
  <c r="N99" i="20"/>
  <c r="M99" i="20"/>
  <c r="T207" i="20"/>
  <c r="Q207" i="20"/>
  <c r="P207" i="20"/>
  <c r="M207" i="20"/>
  <c r="S207" i="20"/>
  <c r="R207" i="20"/>
  <c r="O207" i="20"/>
  <c r="N207" i="20"/>
  <c r="T156" i="20"/>
  <c r="Q156" i="20"/>
  <c r="M156" i="20"/>
  <c r="S156" i="20"/>
  <c r="R156" i="20"/>
  <c r="P156" i="20"/>
  <c r="O156" i="20"/>
  <c r="N156" i="20"/>
  <c r="S68" i="20"/>
  <c r="R68" i="20"/>
  <c r="Q68" i="20"/>
  <c r="O68" i="20"/>
  <c r="T68" i="20"/>
  <c r="P68" i="20"/>
  <c r="N68" i="20"/>
  <c r="M68" i="20"/>
  <c r="M93" i="20"/>
  <c r="T93" i="20"/>
  <c r="S93" i="20"/>
  <c r="R93" i="20"/>
  <c r="O93" i="20"/>
  <c r="N93" i="20"/>
  <c r="Q93" i="20"/>
  <c r="P93" i="20"/>
  <c r="S165" i="20"/>
  <c r="N165" i="20"/>
  <c r="T165" i="20"/>
  <c r="R165" i="20"/>
  <c r="Q165" i="20"/>
  <c r="P165" i="20"/>
  <c r="O165" i="20"/>
  <c r="M165" i="20"/>
  <c r="S14" i="4"/>
  <c r="T14" i="4" s="1"/>
  <c r="T11" i="4"/>
  <c r="R86" i="20"/>
  <c r="Q86" i="20"/>
  <c r="P86" i="20"/>
  <c r="O86" i="20"/>
  <c r="S86" i="20"/>
  <c r="N86" i="20"/>
  <c r="M86" i="20"/>
  <c r="T86" i="20"/>
  <c r="Q81" i="20"/>
  <c r="P81" i="20"/>
  <c r="O81" i="20"/>
  <c r="N81" i="20"/>
  <c r="T81" i="20"/>
  <c r="R81" i="20"/>
  <c r="S81" i="20"/>
  <c r="M81" i="20"/>
  <c r="T21" i="20"/>
  <c r="S21" i="20"/>
  <c r="R21" i="20"/>
  <c r="Q21" i="20"/>
  <c r="P21" i="20"/>
  <c r="N21" i="20"/>
  <c r="M21" i="20"/>
  <c r="O21" i="20"/>
  <c r="O40" i="20"/>
  <c r="P40" i="20"/>
  <c r="N40" i="20"/>
  <c r="M40" i="20"/>
  <c r="T40" i="20"/>
  <c r="S40" i="20"/>
  <c r="R40" i="20"/>
  <c r="Q40" i="20"/>
  <c r="Q184" i="20"/>
  <c r="P184" i="20"/>
  <c r="N184" i="20"/>
  <c r="S184" i="20"/>
  <c r="R184" i="20"/>
  <c r="T184" i="20"/>
  <c r="O184" i="20"/>
  <c r="M184" i="20"/>
  <c r="P61" i="20"/>
  <c r="O61" i="20"/>
  <c r="N61" i="20"/>
  <c r="T61" i="20"/>
  <c r="S61" i="20"/>
  <c r="R61" i="20"/>
  <c r="Q61" i="20"/>
  <c r="M61" i="20"/>
  <c r="R78" i="20"/>
  <c r="Q78" i="20"/>
  <c r="P78" i="20"/>
  <c r="O78" i="20"/>
  <c r="S78" i="20"/>
  <c r="N78" i="20"/>
  <c r="M78" i="20"/>
  <c r="T78" i="20"/>
  <c r="Q14" i="20"/>
  <c r="P14" i="20"/>
  <c r="O14" i="20"/>
  <c r="N14" i="20"/>
  <c r="M14" i="20"/>
  <c r="R14" i="20"/>
  <c r="T14" i="20"/>
  <c r="S14" i="20"/>
  <c r="S44" i="20"/>
  <c r="Q44" i="20"/>
  <c r="O44" i="20"/>
  <c r="N44" i="20"/>
  <c r="M44" i="20"/>
  <c r="T44" i="20"/>
  <c r="R44" i="20"/>
  <c r="P44" i="20"/>
  <c r="S115" i="20"/>
  <c r="R115" i="20"/>
  <c r="Q115" i="20"/>
  <c r="P115" i="20"/>
  <c r="T115" i="20"/>
  <c r="O115" i="20"/>
  <c r="N115" i="20"/>
  <c r="M115" i="20"/>
  <c r="Q26" i="20"/>
  <c r="M26" i="20"/>
  <c r="T26" i="20"/>
  <c r="S26" i="20"/>
  <c r="R26" i="20"/>
  <c r="P26" i="20"/>
  <c r="O26" i="20"/>
  <c r="N26" i="20"/>
  <c r="S91" i="20"/>
  <c r="R91" i="20"/>
  <c r="Q91" i="20"/>
  <c r="P91" i="20"/>
  <c r="T91" i="20"/>
  <c r="O91" i="20"/>
  <c r="N91" i="20"/>
  <c r="M91" i="20"/>
  <c r="Q42" i="20"/>
  <c r="O42" i="20"/>
  <c r="M42" i="20"/>
  <c r="T42" i="20"/>
  <c r="S42" i="20"/>
  <c r="N42" i="20"/>
  <c r="R42" i="20"/>
  <c r="P42" i="20"/>
  <c r="P29" i="20"/>
  <c r="S29" i="20"/>
  <c r="R29" i="20"/>
  <c r="Q29" i="20"/>
  <c r="O29" i="20"/>
  <c r="N29" i="20"/>
  <c r="T29" i="20"/>
  <c r="M29" i="20"/>
  <c r="N177" i="20"/>
  <c r="P177" i="20"/>
  <c r="O177" i="20"/>
  <c r="S177" i="20"/>
  <c r="T177" i="20"/>
  <c r="R177" i="20"/>
  <c r="Q177" i="20"/>
  <c r="M177" i="20"/>
  <c r="Q58" i="20"/>
  <c r="P58" i="20"/>
  <c r="O58" i="20"/>
  <c r="M58" i="20"/>
  <c r="T58" i="20"/>
  <c r="S58" i="20"/>
  <c r="R58" i="20"/>
  <c r="N58" i="20"/>
  <c r="M101" i="20"/>
  <c r="T101" i="20"/>
  <c r="S101" i="20"/>
  <c r="R101" i="20"/>
  <c r="O101" i="20"/>
  <c r="N101" i="20"/>
  <c r="P101" i="20"/>
  <c r="Q101" i="20"/>
  <c r="R197" i="20"/>
  <c r="T197" i="20"/>
  <c r="P197" i="20"/>
  <c r="M197" i="20"/>
  <c r="N197" i="20"/>
  <c r="O197" i="20"/>
  <c r="S197" i="20"/>
  <c r="Q197" i="20"/>
  <c r="T65" i="20"/>
  <c r="S65" i="20"/>
  <c r="R65" i="20"/>
  <c r="P65" i="20"/>
  <c r="M65" i="20"/>
  <c r="Q65" i="20"/>
  <c r="O65" i="20"/>
  <c r="N65" i="20"/>
  <c r="P128" i="20"/>
  <c r="T128" i="20"/>
  <c r="S128" i="20"/>
  <c r="R128" i="20"/>
  <c r="M128" i="20"/>
  <c r="Q128" i="20"/>
  <c r="O128" i="20"/>
  <c r="N128" i="20"/>
  <c r="S75" i="20"/>
  <c r="R75" i="20"/>
  <c r="Q75" i="20"/>
  <c r="M75" i="20"/>
  <c r="T75" i="20"/>
  <c r="P75" i="20"/>
  <c r="O75" i="20"/>
  <c r="N75" i="20"/>
  <c r="O79" i="20"/>
  <c r="N79" i="20"/>
  <c r="M79" i="20"/>
  <c r="T79" i="20"/>
  <c r="S79" i="20"/>
  <c r="R79" i="20"/>
  <c r="Q79" i="20"/>
  <c r="P79" i="20"/>
  <c r="M10" i="20"/>
  <c r="T10" i="20"/>
  <c r="S10" i="20"/>
  <c r="R10" i="20"/>
  <c r="Q10" i="20"/>
  <c r="P10" i="20"/>
  <c r="O10" i="20"/>
  <c r="N10" i="20"/>
  <c r="Q192" i="20"/>
  <c r="P192" i="20"/>
  <c r="S192" i="20"/>
  <c r="N192" i="20"/>
  <c r="O192" i="20"/>
  <c r="M192" i="20"/>
  <c r="T192" i="20"/>
  <c r="R192" i="20"/>
  <c r="T199" i="20"/>
  <c r="Q199" i="20"/>
  <c r="N199" i="20"/>
  <c r="R199" i="20"/>
  <c r="P199" i="20"/>
  <c r="O199" i="20"/>
  <c r="S199" i="20"/>
  <c r="M199" i="20"/>
  <c r="Q97" i="20"/>
  <c r="P97" i="20"/>
  <c r="O97" i="20"/>
  <c r="N97" i="20"/>
  <c r="T97" i="20"/>
  <c r="R97" i="20"/>
  <c r="S97" i="20"/>
  <c r="M97" i="20"/>
  <c r="O123" i="20"/>
  <c r="R123" i="20"/>
  <c r="Q123" i="20"/>
  <c r="P123" i="20"/>
  <c r="N123" i="20"/>
  <c r="T123" i="20"/>
  <c r="M123" i="20"/>
  <c r="S123" i="20"/>
  <c r="S186" i="20"/>
  <c r="N186" i="20"/>
  <c r="M186" i="20"/>
  <c r="T186" i="20"/>
  <c r="P186" i="20"/>
  <c r="R186" i="20"/>
  <c r="Q186" i="20"/>
  <c r="O186" i="20"/>
  <c r="T57" i="20"/>
  <c r="S57" i="20"/>
  <c r="R57" i="20"/>
  <c r="P57" i="20"/>
  <c r="M57" i="20"/>
  <c r="Q57" i="20"/>
  <c r="O57" i="20"/>
  <c r="N57" i="20"/>
  <c r="M85" i="20"/>
  <c r="T85" i="20"/>
  <c r="S85" i="20"/>
  <c r="R85" i="20"/>
  <c r="O85" i="20"/>
  <c r="N85" i="20"/>
  <c r="P85" i="20"/>
  <c r="Q85" i="20"/>
  <c r="R189" i="20"/>
  <c r="T189" i="20"/>
  <c r="N189" i="20"/>
  <c r="M189" i="20"/>
  <c r="O189" i="20"/>
  <c r="S189" i="20"/>
  <c r="Q189" i="20"/>
  <c r="P189" i="20"/>
  <c r="T72" i="20"/>
  <c r="S72" i="20"/>
  <c r="R72" i="20"/>
  <c r="P72" i="20"/>
  <c r="Q72" i="20"/>
  <c r="O72" i="20"/>
  <c r="N72" i="20"/>
  <c r="M72" i="20"/>
  <c r="S16" i="20"/>
  <c r="R16" i="20"/>
  <c r="Q16" i="20"/>
  <c r="P16" i="20"/>
  <c r="O16" i="20"/>
  <c r="T16" i="20"/>
  <c r="N16" i="20"/>
  <c r="M16" i="20"/>
  <c r="P92" i="20"/>
  <c r="O92" i="20"/>
  <c r="N92" i="20"/>
  <c r="M92" i="20"/>
  <c r="T92" i="20"/>
  <c r="S92" i="20"/>
  <c r="Q92" i="20"/>
  <c r="R92" i="20"/>
  <c r="R181" i="20"/>
  <c r="T181" i="20"/>
  <c r="P181" i="20"/>
  <c r="M181" i="20"/>
  <c r="Q181" i="20"/>
  <c r="O181" i="20"/>
  <c r="S181" i="20"/>
  <c r="N181" i="20"/>
  <c r="Q149" i="20"/>
  <c r="T149" i="20"/>
  <c r="S149" i="20"/>
  <c r="R149" i="20"/>
  <c r="P149" i="20"/>
  <c r="O149" i="20"/>
  <c r="N149" i="20"/>
  <c r="M149" i="20"/>
  <c r="T11" i="5"/>
  <c r="S14" i="5"/>
  <c r="T14" i="5" s="1"/>
  <c r="B60" i="2"/>
  <c r="D60" i="2" s="1"/>
  <c r="D59" i="2"/>
  <c r="N185" i="20"/>
  <c r="P185" i="20"/>
  <c r="R185" i="20"/>
  <c r="M185" i="20"/>
  <c r="T185" i="20"/>
  <c r="S185" i="20"/>
  <c r="Q185" i="20"/>
  <c r="O185" i="20"/>
  <c r="O87" i="20"/>
  <c r="N87" i="20"/>
  <c r="M87" i="20"/>
  <c r="T87" i="20"/>
  <c r="S87" i="20"/>
  <c r="R87" i="20"/>
  <c r="Q87" i="20"/>
  <c r="P87" i="20"/>
  <c r="S127" i="20"/>
  <c r="M127" i="20"/>
  <c r="T127" i="20"/>
  <c r="R127" i="20"/>
  <c r="P127" i="20"/>
  <c r="O127" i="20"/>
  <c r="N127" i="20"/>
  <c r="Q127" i="20"/>
  <c r="P76" i="20"/>
  <c r="O76" i="20"/>
  <c r="N76" i="20"/>
  <c r="M76" i="20"/>
  <c r="T76" i="20"/>
  <c r="S76" i="20"/>
  <c r="Q76" i="20"/>
  <c r="R76" i="20"/>
  <c r="T112" i="20"/>
  <c r="S112" i="20"/>
  <c r="R112" i="20"/>
  <c r="Q112" i="20"/>
  <c r="M112" i="20"/>
  <c r="P112" i="20"/>
  <c r="O112" i="20"/>
  <c r="N112" i="20"/>
  <c r="N126" i="20"/>
  <c r="O126" i="20"/>
  <c r="M126" i="20"/>
  <c r="T126" i="20"/>
  <c r="S126" i="20"/>
  <c r="Q126" i="20"/>
  <c r="R126" i="20"/>
  <c r="P126" i="20"/>
  <c r="M69" i="20"/>
  <c r="T69" i="20"/>
  <c r="S69" i="20"/>
  <c r="R69" i="20"/>
  <c r="P69" i="20"/>
  <c r="Q69" i="20"/>
  <c r="O69" i="20"/>
  <c r="N69" i="20"/>
  <c r="S24" i="20"/>
  <c r="R24" i="20"/>
  <c r="Q24" i="20"/>
  <c r="P24" i="20"/>
  <c r="O24" i="20"/>
  <c r="T24" i="20"/>
  <c r="N24" i="20"/>
  <c r="M24" i="20"/>
  <c r="O131" i="20"/>
  <c r="N131" i="20"/>
  <c r="M131" i="20"/>
  <c r="T131" i="20"/>
  <c r="R131" i="20"/>
  <c r="S131" i="20"/>
  <c r="Q131" i="20"/>
  <c r="P131" i="20"/>
  <c r="R47" i="20"/>
  <c r="P47" i="20"/>
  <c r="T47" i="20"/>
  <c r="S47" i="20"/>
  <c r="Q47" i="20"/>
  <c r="O47" i="20"/>
  <c r="N47" i="20"/>
  <c r="M47" i="20"/>
  <c r="M46" i="20"/>
  <c r="S46" i="20"/>
  <c r="R46" i="20"/>
  <c r="Q46" i="20"/>
  <c r="P46" i="20"/>
  <c r="O46" i="20"/>
  <c r="N46" i="20"/>
  <c r="T46" i="20"/>
  <c r="S107" i="20"/>
  <c r="R107" i="20"/>
  <c r="Q107" i="20"/>
  <c r="P107" i="20"/>
  <c r="T107" i="20"/>
  <c r="O107" i="20"/>
  <c r="N107" i="20"/>
  <c r="M107" i="20"/>
  <c r="R110" i="20"/>
  <c r="Q110" i="20"/>
  <c r="P110" i="20"/>
  <c r="O110" i="20"/>
  <c r="S110" i="20"/>
  <c r="N110" i="20"/>
  <c r="M110" i="20"/>
  <c r="T110" i="20"/>
  <c r="S52" i="20"/>
  <c r="Q52" i="20"/>
  <c r="O52" i="20"/>
  <c r="N52" i="20"/>
  <c r="M52" i="20"/>
  <c r="T52" i="20"/>
  <c r="R52" i="20"/>
  <c r="P52" i="20"/>
  <c r="R118" i="20"/>
  <c r="Q118" i="20"/>
  <c r="P118" i="20"/>
  <c r="O118" i="20"/>
  <c r="S118" i="20"/>
  <c r="N118" i="20"/>
  <c r="M118" i="20"/>
  <c r="T118" i="20"/>
  <c r="P166" i="20"/>
  <c r="T166" i="20"/>
  <c r="N166" i="20"/>
  <c r="Q166" i="20"/>
  <c r="O166" i="20"/>
  <c r="S166" i="20"/>
  <c r="R166" i="20"/>
  <c r="M166" i="20"/>
  <c r="P141" i="20"/>
  <c r="M141" i="20"/>
  <c r="T141" i="20"/>
  <c r="S141" i="20"/>
  <c r="R141" i="20"/>
  <c r="Q141" i="20"/>
  <c r="O141" i="20"/>
  <c r="N141" i="20"/>
  <c r="O103" i="20"/>
  <c r="N103" i="20"/>
  <c r="M103" i="20"/>
  <c r="T103" i="20"/>
  <c r="S103" i="20"/>
  <c r="R103" i="20"/>
  <c r="Q103" i="20"/>
  <c r="P103" i="20"/>
  <c r="C156" i="2" l="1"/>
  <c r="D215" i="20"/>
  <c r="D156" i="2" s="1"/>
  <c r="I214" i="20"/>
  <c r="I155" i="2" s="1"/>
  <c r="E155" i="2"/>
  <c r="F214" i="20"/>
  <c r="F155" i="2" s="1"/>
  <c r="I215" i="20"/>
  <c r="I156" i="2" s="1"/>
  <c r="E156" i="2"/>
  <c r="F215" i="20"/>
  <c r="F156" i="2" s="1"/>
  <c r="G157" i="2"/>
  <c r="H216" i="20"/>
  <c r="H157" i="2" s="1"/>
  <c r="C154" i="2"/>
  <c r="D213" i="20"/>
  <c r="D154" i="2" s="1"/>
  <c r="G156" i="2"/>
  <c r="H215" i="20"/>
  <c r="H156" i="2" s="1"/>
  <c r="C155" i="2"/>
  <c r="D214" i="20"/>
  <c r="D155" i="2" s="1"/>
  <c r="I213" i="20"/>
  <c r="I154" i="2" s="1"/>
  <c r="E154" i="2"/>
  <c r="F213" i="20"/>
  <c r="F154" i="2" s="1"/>
  <c r="G154" i="2"/>
  <c r="H213" i="20"/>
  <c r="H154" i="2" s="1"/>
  <c r="C157" i="2"/>
  <c r="D216" i="20"/>
  <c r="D157" i="2" s="1"/>
  <c r="G155" i="2"/>
  <c r="H214" i="20"/>
  <c r="H155" i="2" s="1"/>
  <c r="I216" i="20"/>
  <c r="I157" i="2" s="1"/>
  <c r="E157" i="2"/>
  <c r="F216" i="20"/>
  <c r="F15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 RODENAS</author>
  </authors>
  <commentList>
    <comment ref="B5317" authorId="0" shapeId="0" xr:uid="{00000000-0006-0000-0C00-000001000000}">
      <text>
        <r>
          <rPr>
            <sz val="11"/>
            <color rgb="FF000000"/>
            <rFont val="Calibri"/>
            <family val="2"/>
          </rPr>
          <t xml:space="preserve">JUAN  RODENAS:
</t>
        </r>
        <r>
          <rPr>
            <sz val="11"/>
            <color rgb="FF000000"/>
            <rFont val="Calibri"/>
            <family val="2"/>
          </rPr>
          <t>Ticket PRIVAT 1 15:35:50 - productos parcialmente ilegibles en la foto. Faltan 9.70€ de productos no identificados. Revisar ticket original.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 RODENAS</author>
  </authors>
  <commentList>
    <comment ref="B13" authorId="0" shapeId="0" xr:uid="{00000000-0006-0000-1800-000001000000}">
      <text>
        <r>
          <rPr>
            <sz val="11"/>
            <color theme="1"/>
            <rFont val="Calibri"/>
            <family val="2"/>
            <scheme val="minor"/>
          </rPr>
          <t>JUAN  RODENAS:
Introduce la fecha del evento (misma que en Caja 1 o Caja 2)</t>
        </r>
      </text>
    </comment>
    <comment ref="B14" authorId="0" shapeId="0" xr:uid="{00000000-0006-0000-1800-000002000000}">
      <text>
        <r>
          <rPr>
            <sz val="11"/>
            <color theme="1"/>
            <rFont val="Calibri"/>
            <family val="2"/>
            <scheme val="minor"/>
          </rPr>
          <t>JUAN  RODENAS:
Mañana / Mediodia / Noche</t>
        </r>
      </text>
    </comment>
    <comment ref="B15" authorId="0" shapeId="0" xr:uid="{00000000-0006-0000-1800-000003000000}">
      <text>
        <r>
          <rPr>
            <sz val="11"/>
            <color theme="1"/>
            <rFont val="Calibri"/>
            <family val="2"/>
            <scheme val="minor"/>
          </rPr>
          <t>JUAN  RODENAS:
Caja 1 / Caja 2</t>
        </r>
      </text>
    </comment>
    <comment ref="B16" authorId="0" shapeId="0" xr:uid="{00000000-0006-0000-1800-000004000000}">
      <text>
        <r>
          <rPr>
            <sz val="11"/>
            <color theme="1"/>
            <rFont val="Calibri"/>
            <family val="2"/>
            <scheme val="minor"/>
          </rPr>
          <t>JUAN  RODENAS:
Ej: Comunió Família Martínez, Aniversari empresa...</t>
        </r>
      </text>
    </comment>
    <comment ref="B17" authorId="0" shapeId="0" xr:uid="{00000000-0006-0000-1800-000005000000}">
      <text>
        <r>
          <rPr>
            <sz val="11"/>
            <color theme="1"/>
            <rFont val="Calibri"/>
            <family val="2"/>
            <scheme val="minor"/>
          </rPr>
          <t>JUAN  RODENAS:
Peticions especials, al·lèrgies, distribució sala...</t>
        </r>
      </text>
    </comment>
    <comment ref="B20" authorId="0" shapeId="0" xr:uid="{00000000-0006-0000-1800-000006000000}">
      <text>
        <r>
          <rPr>
            <sz val="11"/>
            <color theme="1"/>
            <rFont val="Calibri"/>
            <family val="2"/>
            <scheme val="minor"/>
          </rPr>
          <t>JUAN  RODENAS:
Escriu: 1, 2, 3, 4 o 5</t>
        </r>
      </text>
    </comment>
    <comment ref="C20" authorId="0" shapeId="0" xr:uid="{00000000-0006-0000-1800-000007000000}">
      <text>
        <r>
          <rPr>
            <sz val="11"/>
            <color theme="1"/>
            <rFont val="Calibri"/>
            <family val="2"/>
            <scheme val="minor"/>
          </rPr>
          <t>JUAN  RODENAS:
Nombre de comensals adults</t>
        </r>
      </text>
    </comment>
    <comment ref="C23" authorId="0" shapeId="0" xr:uid="{00000000-0006-0000-1800-000008000000}">
      <text>
        <r>
          <rPr>
            <sz val="11"/>
            <color theme="1"/>
            <rFont val="Calibri"/>
            <family val="2"/>
            <scheme val="minor"/>
          </rPr>
          <t>JUAN  RODENAS:
Número de nens (0 o buit si no n'hi ha)</t>
        </r>
      </text>
    </comment>
    <comment ref="B26" authorId="0" shapeId="0" xr:uid="{00000000-0006-0000-1800-000009000000}">
      <text>
        <r>
          <rPr>
            <sz val="11"/>
            <color theme="1"/>
            <rFont val="Calibri"/>
            <family val="2"/>
            <scheme val="minor"/>
          </rPr>
          <t>JUAN  RODENAS:
Nom del plat o beguda extra</t>
        </r>
      </text>
    </comment>
    <comment ref="B33" authorId="0" shapeId="0" xr:uid="{00000000-0006-0000-1800-00000A000000}">
      <text>
        <r>
          <rPr>
            <sz val="11"/>
            <color theme="1"/>
            <rFont val="Calibri"/>
            <family val="2"/>
            <scheme val="minor"/>
          </rPr>
          <t>JUAN  RODENAS:
Descripció del descompte o cortesía aplicada</t>
        </r>
      </text>
    </comment>
    <comment ref="C33" authorId="0" shapeId="0" xr:uid="{00000000-0006-0000-1800-00000B000000}">
      <text>
        <r>
          <rPr>
            <sz val="11"/>
            <color theme="1"/>
            <rFont val="Calibri"/>
            <family val="2"/>
            <scheme val="minor"/>
          </rPr>
          <t>JUAN  RODENAS:
Import en negatiu per a descompte (ex: -25)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<sst xmlns="http://schemas.openxmlformats.org/spreadsheetml/2006/main" count="60077" uniqueCount="2714">
  <si>
    <t>TAPERIA DE CALDES  ·  PANEL DE ENTRADA RÁPIDA</t>
  </si>
  <si>
    <t>Pega los datos del TPV en las zonas indicadas. Todo se actualiza automáticamente.</t>
  </si>
  <si>
    <t>RESUMEN DE DATOS CARGADOS</t>
  </si>
  <si>
    <t>Fuente de datos</t>
  </si>
  <si>
    <t>Registros</t>
  </si>
  <si>
    <t>Rango fechas</t>
  </si>
  <si>
    <t>Dónde pegar</t>
  </si>
  <si>
    <t>Estado</t>
  </si>
  <si>
    <t>⚽ Tickets Caja 1 (Tabla 8)</t>
  </si>
  <si>
    <t>Detalle Turnos' I:O</t>
  </si>
  <si>
    <t>🎽 Tickets Caja 2 (Tabla 9)</t>
  </si>
  <si>
    <t>Detalle Turnos' Q:V</t>
  </si>
  <si>
    <t>👥 Horarios Personal</t>
  </si>
  <si>
    <t>Horarios Personal' A5+</t>
  </si>
  <si>
    <t>📊 Ventas por Producto (Caja 1)</t>
  </si>
  <si>
    <t>Ventas Caja 1' B5+</t>
  </si>
  <si>
    <t>INSTRUCCIONES DE PEGADO</t>
  </si>
  <si>
    <t>❶  TICKETS CAJA 1 — Tabla 8</t>
  </si>
  <si>
    <t>📁 Hoja destino:</t>
  </si>
  <si>
    <t>Detalle Turnos</t>
  </si>
  <si>
    <t>📍 Celda inicio:</t>
  </si>
  <si>
    <t>I (debajo del último dato)</t>
  </si>
  <si>
    <t>📋 Columnas:</t>
  </si>
  <si>
    <t>I=Fecha | J=Hora | K=Importe | L=Pax | M=Día | N=Turno</t>
  </si>
  <si>
    <t>➡️ Alimenta:</t>
  </si>
  <si>
    <t>Caja 1 → Facturación 2026 → Dashboard</t>
  </si>
  <si>
    <t>❷  TICKETS CAJA 2 — Tabla 9</t>
  </si>
  <si>
    <t>Q (debajo del último dato)</t>
  </si>
  <si>
    <t>Q=Fecha | R=Hora | S=Turno | T=Pax | U=Importe</t>
  </si>
  <si>
    <t>Caja 2 → Facturación 2026 → Dashboard</t>
  </si>
  <si>
    <t>❸  HORARIOS PERSONAL</t>
  </si>
  <si>
    <t>Horarios Personal</t>
  </si>
  <si>
    <t>A (debajo fila 551 o último dato)</t>
  </si>
  <si>
    <t>A=Fecha(dd/mm/yyyy) | B=Día | C=Turno | D=Nombre | E=Entrada | F=Salida</t>
  </si>
  <si>
    <t>Resumen Empleado → Facturación (Coste) → Cajas → Dashboard</t>
  </si>
  <si>
    <t>⚠️ Importante:</t>
  </si>
  <si>
    <t>Fechas como TEXTO dd/mm/yyyy. Horas como decimales (0.29=7:00, 0.79=19:00)</t>
  </si>
  <si>
    <t>❹  VENTAS POR PRODUCTO</t>
  </si>
  <si>
    <t>Ventas Caja 1 (o nueva hoja)</t>
  </si>
  <si>
    <t>B (debajo del último dato, actual: B22152)</t>
  </si>
  <si>
    <t>B=Fecha | C=Familia | D=Producto | E=Cantidad | F=PVP | G=Total | H=Neto | I=%Cons | J=Coste | K=T.Coste</t>
  </si>
  <si>
    <t>Análisis de productos y márgenes (pendiente de conectar)</t>
  </si>
  <si>
    <t>CADENA DE ACTUALIZACIÓN AUTOMÁTICA</t>
  </si>
  <si>
    <t>Pegas tickets → Detalle Turnos agrega → Cajas calculan → Facturación consolida → Dashboard muestra KPIs</t>
  </si>
  <si>
    <t>📦 Tickets TPV</t>
  </si>
  <si>
    <t>➡️</t>
  </si>
  <si>
    <t>Caja 1 + Caja 2</t>
  </si>
  <si>
    <t>(agrega por fecha+turno)</t>
  </si>
  <si>
    <t>(comensales, subtotal, ticket medio)</t>
  </si>
  <si>
    <t>👥 Horarios</t>
  </si>
  <si>
    <t>Facturación 2026 (J)</t>
  </si>
  <si>
    <t>Dashboard Gerencia</t>
  </si>
  <si>
    <t>(coste personal por día)</t>
  </si>
  <si>
    <t>(KPIs, ratio, alertas)</t>
  </si>
  <si>
    <t>TAPERIA DE CALDES  ·  DASHBOARD GERENCIA — VISIÓN 360°</t>
  </si>
  <si>
    <t>Actualizado: Abril 2026  ·  Datos: Enero–Abril 2026  ·  Modelo basado en 250+ días históricos (2025) + datos reales 2026</t>
  </si>
  <si>
    <t>KPIs OPERATIVOS — ENERO A ABRIL 2026</t>
  </si>
  <si>
    <t>FACTURACIÓN
REAL ENE–ABR</t>
  </si>
  <si>
    <t>FACTURACIÓN
PREVISTA</t>
  </si>
  <si>
    <t>COSTE PERSONAL
(CORREGIDO)</t>
  </si>
  <si>
    <t>RATIO
COSTE/VENTA</t>
  </si>
  <si>
    <t>MARGEN BRUTO
ENE–ABR</t>
  </si>
  <si>
    <t>MEJOR DÍA</t>
  </si>
  <si>
    <t>AHORRO
FICHAJES CORR.</t>
  </si>
  <si>
    <t>−1.366 €</t>
  </si>
  <si>
    <t>FACTURACIÓN MENSUAL 2026 vs 2025 + PROYECCIÓN</t>
  </si>
  <si>
    <t>Mes</t>
  </si>
  <si>
    <t>Real 2025</t>
  </si>
  <si>
    <t>Prev. 2026</t>
  </si>
  <si>
    <t>Real 2026</t>
  </si>
  <si>
    <t>Coste Pers.</t>
  </si>
  <si>
    <t>Margen €</t>
  </si>
  <si>
    <t>% Coste</t>
  </si>
  <si>
    <t>vs 2025</t>
  </si>
  <si>
    <t>vs Prev.</t>
  </si>
  <si>
    <t>Índice</t>
  </si>
  <si>
    <t>Días</t>
  </si>
  <si>
    <t>Comentario</t>
  </si>
  <si>
    <t>Enero</t>
  </si>
  <si>
    <t>Real ✓</t>
  </si>
  <si>
    <t>Febrero</t>
  </si>
  <si>
    <t>Marzo</t>
  </si>
  <si>
    <t>Abril</t>
  </si>
  <si>
    <t>Parcial</t>
  </si>
  <si>
    <t>Mayo</t>
  </si>
  <si>
    <t>Previsto</t>
  </si>
  <si>
    <t>Junio</t>
  </si>
  <si>
    <t>Julio</t>
  </si>
  <si>
    <t>Previsto — Escaldàrium</t>
  </si>
  <si>
    <t>Agosto</t>
  </si>
  <si>
    <t>Previsto — pico</t>
  </si>
  <si>
    <t>Septiembre</t>
  </si>
  <si>
    <t>Octubre</t>
  </si>
  <si>
    <t>Previsto — Festa Major</t>
  </si>
  <si>
    <t>Noviembre</t>
  </si>
  <si>
    <t>Diciembre</t>
  </si>
  <si>
    <t>Previsto — Fira Nadal</t>
  </si>
  <si>
    <t>TOTAL ANUAL</t>
  </si>
  <si>
    <t>EFICIENCIA OPERATIVA — RATIO COSTE PERSONAL / VENTAS</t>
  </si>
  <si>
    <t>Día semana</t>
  </si>
  <si>
    <t>Fact. media</t>
  </si>
  <si>
    <t>Coste medio</t>
  </si>
  <si>
    <t>Ratio %</t>
  </si>
  <si>
    <t>Semáforo</t>
  </si>
  <si>
    <t>Objetivo %</t>
  </si>
  <si>
    <t>Personal ideal</t>
  </si>
  <si>
    <t>Recomendación</t>
  </si>
  <si>
    <t>Miércoles</t>
  </si>
  <si>
    <t>3 pers.</t>
  </si>
  <si>
    <t>Nuevo horario sin MA mejora ratio</t>
  </si>
  <si>
    <t>Jueves</t>
  </si>
  <si>
    <t>4 pers.</t>
  </si>
  <si>
    <t>Mantener estructura actual</t>
  </si>
  <si>
    <t>Viernes</t>
  </si>
  <si>
    <t>5 pers.</t>
  </si>
  <si>
    <t>Reforzar noche esp. en eventos Casino</t>
  </si>
  <si>
    <t>Sábado</t>
  </si>
  <si>
    <t>6 pers.</t>
  </si>
  <si>
    <t>Día más rentable — maximizar ocupación</t>
  </si>
  <si>
    <t>Domingo</t>
  </si>
  <si>
    <t>Noche nueva desde abril — monitorizar</t>
  </si>
  <si>
    <t>Lunes</t>
  </si>
  <si>
    <t>—</t>
  </si>
  <si>
    <t>Cierre programado</t>
  </si>
  <si>
    <t>Martes</t>
  </si>
  <si>
    <t>COSTES DE PERSONAL — TOP EMPLEADOS (ene–abr 2026 corregido)</t>
  </si>
  <si>
    <t>Empleado</t>
  </si>
  <si>
    <t>€/hora</t>
  </si>
  <si>
    <t>Total €</t>
  </si>
  <si>
    <t>% s/masa</t>
  </si>
  <si>
    <t>Coste/€vendido</t>
  </si>
  <si>
    <t>Turno principal</t>
  </si>
  <si>
    <t>Días semana</t>
  </si>
  <si>
    <t>Nota gerencia</t>
  </si>
  <si>
    <t>Todos los turnos</t>
  </si>
  <si>
    <t>Mié–Dom</t>
  </si>
  <si>
    <t>Mayor coste unit. — alta productividad domingos</t>
  </si>
  <si>
    <t>Mañana/split</t>
  </si>
  <si>
    <t>Versatilidad: MA+NO. Control fichajes splits</t>
  </si>
  <si>
    <t>Noche fija</t>
  </si>
  <si>
    <t>Todos</t>
  </si>
  <si>
    <t>Coste fijo diario (34,26€). Revisar ROI días bajos</t>
  </si>
  <si>
    <t>Mañana/Noche</t>
  </si>
  <si>
    <t>Polivalente. Buena relación coste-rendimiento</t>
  </si>
  <si>
    <t>Mediodía/Noche</t>
  </si>
  <si>
    <t>Buen perfil noche. Ampliable en alta temporada</t>
  </si>
  <si>
    <t>Mañana</t>
  </si>
  <si>
    <t>Perfil mañana — revisar disponibilidad verano</t>
  </si>
  <si>
    <t>ALERTAS OPERATIVAS Y CHECKLIST DE GERENCIA</t>
  </si>
  <si>
    <t>Prioridad</t>
  </si>
  <si>
    <t>Concepto</t>
  </si>
  <si>
    <t>Detalle / Acción</t>
  </si>
  <si>
    <t>⚡</t>
  </si>
  <si>
    <t>URGENTE</t>
  </si>
  <si>
    <t>26/04/2026 — Joan Pera Casino</t>
  </si>
  <si>
    <t>Confirmado · Reforzar turno noche: +1 sala +1 barra · Prev. 2.800€</t>
  </si>
  <si>
    <t>📋</t>
  </si>
  <si>
    <t>MENSUAL</t>
  </si>
  <si>
    <t>Revisar agenda Casino Caldes</t>
  </si>
  <si>
    <t>1er lunes mes: tscproducciones.cat + entrapolis.com + @tscproduccionescat</t>
  </si>
  <si>
    <t>⚠️</t>
  </si>
  <si>
    <t>FICHAJE</t>
  </si>
  <si>
    <t>Alerta registros &gt;12h/turno</t>
  </si>
  <si>
    <t>5 errores detectados ene-abr = −1.366€ coste ficticio. Implementar validación.</t>
  </si>
  <si>
    <t>💰</t>
  </si>
  <si>
    <t>RATIO</t>
  </si>
  <si>
    <t>Ratio coste/venta: 33,4%</t>
  </si>
  <si>
    <t>Objetivo &lt;35% ✓ · Verano bajará 25-28% · Enero fue el mes más alto (40%)</t>
  </si>
  <si>
    <t>👥</t>
  </si>
  <si>
    <t>PLANTILLA</t>
  </si>
  <si>
    <t>Mireia M. = coste fijo 34,26€/noche</t>
  </si>
  <si>
    <t>Evaluar ROI en días &lt;600€ facturación noche. Considerar flexibilizar.</t>
  </si>
  <si>
    <t>📈</t>
  </si>
  <si>
    <t>PREVISION</t>
  </si>
  <si>
    <t>Julio–Agosto: pico temporada alta</t>
  </si>
  <si>
    <t>Reforzar plantilla +2 pers/día. Prever género +40%. Horario mañanas sáb/dom.</t>
  </si>
  <si>
    <t>🔄</t>
  </si>
  <si>
    <t>HORARIO</t>
  </si>
  <si>
    <t>Nuevo horario desde 6 abril</t>
  </si>
  <si>
    <t>Sin mañana Mié-Vie. Domingo noche abierta. Monitorizar impacto en ratio.</t>
  </si>
  <si>
    <t>🎭</t>
  </si>
  <si>
    <t>CASINO</t>
  </si>
  <si>
    <t>Programación 2026 sin confirmar (nov)</t>
  </si>
  <si>
    <t>Contactar tscproducciones.cat para fecha noviembre. Impacto ×2.5 noche viernes.</t>
  </si>
  <si>
    <t>INDICADORES FINANCIEROS CLAVE — VISIÓN GERENCIA</t>
  </si>
  <si>
    <t>KPI Financiero</t>
  </si>
  <si>
    <t>Valor Real</t>
  </si>
  <si>
    <t>Objetivo</t>
  </si>
  <si>
    <t>Tendencia</t>
  </si>
  <si>
    <t>Ratio coste laboral / ventas</t>
  </si>
  <si>
    <t>&lt;35%</t>
  </si>
  <si>
    <t>↗ Mejorando</t>
  </si>
  <si>
    <t>Cierre mañanas entre semana desde abril reducirá ~4pp</t>
  </si>
  <si>
    <t>Margen bruto operativo</t>
  </si>
  <si>
    <t>&gt;65%</t>
  </si>
  <si>
    <t>→ Estable</t>
  </si>
  <si>
    <t>Temporada alta empujará al 72-75%</t>
  </si>
  <si>
    <t>Facturación por día operativo</t>
  </si>
  <si>
    <t>&gt;1.300€</t>
  </si>
  <si>
    <t>Enero bajo (909€/día); feb-mar recuperando</t>
  </si>
  <si>
    <t>Crecimiento YoY ene-abr</t>
  </si>
  <si>
    <t>&gt;10%</t>
  </si>
  <si>
    <t>↗ Fuerte</t>
  </si>
  <si>
    <t>2026 supera 2025 en 3 de 4 meses con datos</t>
  </si>
  <si>
    <t>% días con evento Casino</t>
  </si>
  <si>
    <t>&gt;12%</t>
  </si>
  <si>
    <t>Confirmar espectáculo noviembre para subir KPI</t>
  </si>
  <si>
    <t>Ticket medio noche viernes</t>
  </si>
  <si>
    <t>&gt;1.000€</t>
  </si>
  <si>
    <t>Efecto Casino muy visible. Monitorizar mensual</t>
  </si>
  <si>
    <t>Coste personal / día operativo</t>
  </si>
  <si>
    <t>&lt;400€</t>
  </si>
  <si>
    <t>Post-cambio horario bajará a ~310€/día estimado</t>
  </si>
  <si>
    <t>Días con ratio &gt;45% coste</t>
  </si>
  <si>
    <t>&lt;10%</t>
  </si>
  <si>
    <t>↘ Bajando</t>
  </si>
  <si>
    <t>Concentrados en miércoles y días bajos enero</t>
  </si>
  <si>
    <t>ANÁLISIS POR CAJA — COMPARATIVA CAJA 1 vs CAJA 2</t>
  </si>
  <si>
    <t>Métrica</t>
  </si>
  <si>
    <t>Caja 1 (Barra)</t>
  </si>
  <si>
    <t>Caja 2 (Comedor)</t>
  </si>
  <si>
    <t>Total Negocio</t>
  </si>
  <si>
    <t>% Caja 1</t>
  </si>
  <si>
    <t>% Caja 2</t>
  </si>
  <si>
    <t>Facturación Total</t>
  </si>
  <si>
    <t>Ticket Medio</t>
  </si>
  <si>
    <t>€/turno</t>
  </si>
  <si>
    <t>€/comensal</t>
  </si>
  <si>
    <t>Turno más fuerte</t>
  </si>
  <si>
    <t>Mediodía</t>
  </si>
  <si>
    <t>Coste Personal</t>
  </si>
  <si>
    <t>Margen Neto</t>
  </si>
  <si>
    <t>Comensales (Caja 2)</t>
  </si>
  <si>
    <t>n/a</t>
  </si>
  <si>
    <t>Mejor mes</t>
  </si>
  <si>
    <t>Ratio Caja2/Caja1</t>
  </si>
  <si>
    <t>Caja 2 factura</t>
  </si>
  <si>
    <t>veces más</t>
  </si>
  <si>
    <t>PRODUCT MIX — TOP 15 PRODUCTOS Y ANÁLISIS POR FAMILIA (Datos Caja 1 + Caja 2)</t>
  </si>
  <si>
    <t>#</t>
  </si>
  <si>
    <t>Producto</t>
  </si>
  <si>
    <t>Familia</t>
  </si>
  <si>
    <t>Uds Totales</t>
  </si>
  <si>
    <t>Importe (€)</t>
  </si>
  <si>
    <t>% Mix Uds</t>
  </si>
  <si>
    <t>% Mix €</t>
  </si>
  <si>
    <t>Cafe amb llet</t>
  </si>
  <si>
    <t>Cafe</t>
  </si>
  <si>
    <t>Tallat</t>
  </si>
  <si>
    <t>Café</t>
  </si>
  <si>
    <t>Aigua Vidre</t>
  </si>
  <si>
    <t>Refrescos</t>
  </si>
  <si>
    <t>Alhambra C:Copa</t>
  </si>
  <si>
    <t>Cervezas</t>
  </si>
  <si>
    <t>Menu</t>
  </si>
  <si>
    <t>Patates Braves</t>
  </si>
  <si>
    <t>Tapas Calientes</t>
  </si>
  <si>
    <t>Cafe Sol</t>
  </si>
  <si>
    <t>Menu Postres</t>
  </si>
  <si>
    <t>Cafè amb llet</t>
  </si>
  <si>
    <t>Cafe sol</t>
  </si>
  <si>
    <t>Croquetes de l'àvia</t>
  </si>
  <si>
    <t>Calamars a l'andalusa</t>
  </si>
  <si>
    <t>Pa cristal·lí</t>
  </si>
  <si>
    <t>Suplementos</t>
  </si>
  <si>
    <t>Cocacola</t>
  </si>
  <si>
    <t>Menu Bebidas</t>
  </si>
  <si>
    <t>Croisant</t>
  </si>
  <si>
    <t>Bolleria</t>
  </si>
  <si>
    <t>Gel</t>
  </si>
  <si>
    <t>TOP FAMILIAS POR FACTURACIÓN</t>
  </si>
  <si>
    <t>Nº Productos</t>
  </si>
  <si>
    <t>% Facturación</t>
  </si>
  <si>
    <t>Uds/Semana</t>
  </si>
  <si>
    <t>Huevos estrellados</t>
  </si>
  <si>
    <t>Postres</t>
  </si>
  <si>
    <t>Vinos</t>
  </si>
  <si>
    <t>Tosta Pizzas</t>
  </si>
  <si>
    <t>🔴 Alta</t>
  </si>
  <si>
    <t>Confirmar evento Casino noviembre 2026</t>
  </si>
  <si>
    <t>Gerencia</t>
  </si>
  <si>
    <t>30/05/2026</t>
  </si>
  <si>
    <t>Pendiente</t>
  </si>
  <si>
    <t>+4.000€ noche viernes</t>
  </si>
  <si>
    <t>Implementar alerta fichajes &gt;12h en sistema</t>
  </si>
  <si>
    <t>RRHH</t>
  </si>
  <si>
    <t>15/05/2026</t>
  </si>
  <si>
    <t>−1.400€/año errores</t>
  </si>
  <si>
    <t>🟡 Media</t>
  </si>
  <si>
    <t>Revisar ROI Mireia M. días bajos</t>
  </si>
  <si>
    <t>30/04/2026</t>
  </si>
  <si>
    <t>En revisión</t>
  </si>
  <si>
    <t>−500€/mes potencial</t>
  </si>
  <si>
    <t>Plan de personal julio-agosto (+2 pers)</t>
  </si>
  <si>
    <t>01/06/2026</t>
  </si>
  <si>
    <t>Capacidad +25% verano</t>
  </si>
  <si>
    <t>Seguimiento agenda Casino 1er lunes mayo</t>
  </si>
  <si>
    <t>05/05/2026</t>
  </si>
  <si>
    <t>Recurrente</t>
  </si>
  <si>
    <t>×2.5 noches evento</t>
  </si>
  <si>
    <t>🟢 Normal</t>
  </si>
  <si>
    <t>Validar datos reales mayo en previsión</t>
  </si>
  <si>
    <t>31/05/2026</t>
  </si>
  <si>
    <t>Calibración modelo</t>
  </si>
  <si>
    <t>Reunión de resultados Q1 2026</t>
  </si>
  <si>
    <t>Control estratégico</t>
  </si>
  <si>
    <t>Actualizar bases modelo con datos abril</t>
  </si>
  <si>
    <t>Precisión previsión</t>
  </si>
  <si>
    <t>ANÁLISIS OMNES — PRINCIPIOS DE PRECIOS (Subfamilias · PVP Unitario)</t>
  </si>
  <si>
    <t>Subfamilia</t>
  </si>
  <si>
    <t>Nº Prod.</t>
  </si>
  <si>
    <t>P.Mín</t>
  </si>
  <si>
    <t>P.Máx</t>
  </si>
  <si>
    <t>② Apertura</t>
  </si>
  <si>
    <t>② Estado</t>
  </si>
  <si>
    <t>③ Ratio D/O</t>
  </si>
  <si>
    <t>③ Estado</t>
  </si>
  <si>
    <t>Diagnóstico</t>
  </si>
  <si>
    <t>❌ Excede</t>
  </si>
  <si>
    <t>✅ OK</t>
  </si>
  <si>
    <t>Apert. 10x</t>
  </si>
  <si>
    <t>Tapas Frias</t>
  </si>
  <si>
    <t>Apert. 3.77x</t>
  </si>
  <si>
    <t>Ensaladas</t>
  </si>
  <si>
    <t>Equilibrado</t>
  </si>
  <si>
    <t>🟢 OK</t>
  </si>
  <si>
    <t>Huevos Estrellados</t>
  </si>
  <si>
    <t>Bocadillos Calientes</t>
  </si>
  <si>
    <t>Bocadillos Frios</t>
  </si>
  <si>
    <t>Apert. 4.09x</t>
  </si>
  <si>
    <t>Apert. 6.5x</t>
  </si>
  <si>
    <t>Cervezas Copa</t>
  </si>
  <si>
    <t>Cervezas Caña</t>
  </si>
  <si>
    <t>❌ Bajo</t>
  </si>
  <si>
    <t>Dem→barato</t>
  </si>
  <si>
    <t>Vinos Copa</t>
  </si>
  <si>
    <t>Vinos Botella</t>
  </si>
  <si>
    <t>Aguas</t>
  </si>
  <si>
    <t>Apert. 3.23x · Dem→barato</t>
  </si>
  <si>
    <t>Cafés</t>
  </si>
  <si>
    <t>Apert. 21.37x · Dem→barato</t>
  </si>
  <si>
    <t>→ Detalle completo: ver hoja 'Análisis Omnes' · PVP unitario real (moda) · 18 subfamilias analizadas</t>
  </si>
  <si>
    <t>LEYENDA DE COLORES Y CONVENCIONES</t>
  </si>
  <si>
    <t>Celda de entrada / Dato a introducir manualmente</t>
  </si>
  <si>
    <t>Cálculo automático / Resultado positivo / OK</t>
  </si>
  <si>
    <t>Alerta / Error / Resultado negativo / Revisar</t>
  </si>
  <si>
    <t>Atención / Evento especial / Pendiente confirmar</t>
  </si>
  <si>
    <t>Dato de referencia / Contexto especial</t>
  </si>
  <si>
    <t>Fila alternada (lectura) / Sin datos</t>
  </si>
  <si>
    <t>🍽️ MENU ENGINEERING — Matriz BCG</t>
  </si>
  <si>
    <t>Artículos con venta</t>
  </si>
  <si>
    <t>MCU Medio (€)</t>
  </si>
  <si>
    <t>Umbral Popularidad</t>
  </si>
  <si>
    <t>Categoría</t>
  </si>
  <si>
    <t>Nº Arts</t>
  </si>
  <si>
    <t>% Artículos</t>
  </si>
  <si>
    <t>Uds Vendidas</t>
  </si>
  <si>
    <t>% Uds</t>
  </si>
  <si>
    <t>Margen (€)</t>
  </si>
  <si>
    <t>% Margen</t>
  </si>
  <si>
    <t>MCU Medio</t>
  </si>
  <si>
    <t>Acción</t>
  </si>
  <si>
    <t>⭐ Estrella</t>
  </si>
  <si>
    <t>Alta pop + Alta rent</t>
  </si>
  <si>
    <t>Mantener y promocionar</t>
  </si>
  <si>
    <t>🐎 Caballo</t>
  </si>
  <si>
    <t>Alta pop + Baja rent</t>
  </si>
  <si>
    <t>Subir precio / Bajar coste</t>
  </si>
  <si>
    <t>🧩 Puzzle</t>
  </si>
  <si>
    <t>Baja pop + Alta rent</t>
  </si>
  <si>
    <t>Mejorar visibilidad carta</t>
  </si>
  <si>
    <t>🐶 Perro</t>
  </si>
  <si>
    <t>Baja pop + Baja rent</t>
  </si>
  <si>
    <t>Eliminar o reformular</t>
  </si>
  <si>
    <t>PRODUCTOS CLAVE POR CATEGORÍA</t>
  </si>
  <si>
    <t>⭐ Top: Patates Braves (73 uds, MCU €4.49) · Fingers pollastre (32, €7.30) · Calamars andalusa (29, €8.56) · Croquetes avia (27, €7.19) · Pastís formatge (26, €4.12)</t>
  </si>
  <si>
    <t>🐎 Top: Alhambra Copa (130 uds, MCU €1.48) · Café amb llet (118, €1.53) · Tallat (96, €1.32) · Aigua Vidre (53, €1.67) · Café Sol (50, €1.25)</t>
  </si>
  <si>
    <t>🧩 Oportunidad: Menú (MCU €14.00) · Taula Pinxito (€12.64) · Coca Pizza Nàpols (€11.73) · Carn salsa RF (€10.46) · Ballenato (€10.02)</t>
  </si>
  <si>
    <t>🐶 Evaluar: Nestea Llimona · Crousanet Xoco · Olives farcides · Suc Natural · Llevar Azucar — Solo 4.9% del margen total</t>
  </si>
  <si>
    <t>→ Detalle completo: ver hoja 'Menu Engineering' · Metodología Kasavana &amp; Smith (1982) · Umbral MCU €3.35 · Umbral Pop. 0.49%</t>
  </si>
  <si>
    <t>💰 INFORME P&amp;L / EBITDA</t>
  </si>
  <si>
    <t>Cuenta de Explotación mensual — Datos desde hoja 'P&amp;L EBITDA'</t>
  </si>
  <si>
    <t>Ventas Acum.</t>
  </si>
  <si>
    <t>EBITDAR</t>
  </si>
  <si>
    <t>EBITDA</t>
  </si>
  <si>
    <t>EBITDA %</t>
  </si>
  <si>
    <t>CMV %</t>
  </si>
  <si>
    <t>Personal %</t>
  </si>
  <si>
    <t>Enero (€)</t>
  </si>
  <si>
    <t>Ene %</t>
  </si>
  <si>
    <t>Febrero (€)</t>
  </si>
  <si>
    <t>Feb %</t>
  </si>
  <si>
    <t>Total (€)</t>
  </si>
  <si>
    <t>Total %</t>
  </si>
  <si>
    <t>Promedio (€)</t>
  </si>
  <si>
    <t>vs Venta %</t>
  </si>
  <si>
    <t>📊 Ventas</t>
  </si>
  <si>
    <t xml:space="preserve">   CMV (Coste Materia)</t>
  </si>
  <si>
    <t xml:space="preserve">   Producto Limpieza</t>
  </si>
  <si>
    <t xml:space="preserve">   Servicio en Mesa</t>
  </si>
  <si>
    <t xml:space="preserve">   Otros</t>
  </si>
  <si>
    <t xml:space="preserve">   Contratos</t>
  </si>
  <si>
    <t xml:space="preserve">   Otros gastos</t>
  </si>
  <si>
    <t xml:space="preserve">   Mantenimiento</t>
  </si>
  <si>
    <t xml:space="preserve">   Marketing</t>
  </si>
  <si>
    <t xml:space="preserve">   Personal</t>
  </si>
  <si>
    <t xml:space="preserve">   Suministros</t>
  </si>
  <si>
    <t>📈 EBITDAR (S.O.P.1)</t>
  </si>
  <si>
    <t xml:space="preserve">   Alquileres</t>
  </si>
  <si>
    <t xml:space="preserve">   Royalty</t>
  </si>
  <si>
    <t>💰 EBITDA (S.O.P)</t>
  </si>
  <si>
    <t>ALERTAS Y TENDENCIAS</t>
  </si>
  <si>
    <t>→ Detalle completo: ver hoja 'P&amp;L EBITDA' · Datos reales: Enero y Febrero · Meses Mar-Dic pendientes de carga</t>
  </si>
  <si>
    <t>5 - 7 Mercado de Navidad</t>
  </si>
  <si>
    <t>27-05 carnaval</t>
  </si>
  <si>
    <t>12-18 carnaval</t>
  </si>
  <si>
    <t xml:space="preserve">segunda quincena </t>
  </si>
  <si>
    <t>18-26 fem bullir</t>
  </si>
  <si>
    <t>16 - 22 fem bullir</t>
  </si>
  <si>
    <t>14 - 21 semana santa</t>
  </si>
  <si>
    <t>29 - 06 semana santa</t>
  </si>
  <si>
    <t>05-12 escaldarium</t>
  </si>
  <si>
    <t>11-18 Fiesta mayor</t>
  </si>
  <si>
    <t>Incremento IPC</t>
  </si>
  <si>
    <t>Ventas 2025</t>
  </si>
  <si>
    <t>Previsión</t>
  </si>
  <si>
    <t>Ventas 2026</t>
  </si>
  <si>
    <t>% sobre 24</t>
  </si>
  <si>
    <t>Diferencia</t>
  </si>
  <si>
    <t>Días Trabajados</t>
  </si>
  <si>
    <t>In Ven/Dia</t>
  </si>
  <si>
    <t>Hasta objetivo</t>
  </si>
  <si>
    <t>Incentivo</t>
  </si>
  <si>
    <t>Efectivo</t>
  </si>
  <si>
    <t>Incentivos</t>
  </si>
  <si>
    <t>Saldo anterior 2025</t>
  </si>
  <si>
    <t>Arrastre efectivo</t>
  </si>
  <si>
    <t>Ingresado Bbva</t>
  </si>
  <si>
    <t>Fecha</t>
  </si>
  <si>
    <t>Contado</t>
  </si>
  <si>
    <t>Tickets</t>
  </si>
  <si>
    <t>Visa</t>
  </si>
  <si>
    <t>Eventos</t>
  </si>
  <si>
    <t>Passo</t>
  </si>
  <si>
    <t>Reciclajes</t>
  </si>
  <si>
    <t>Invitaciones</t>
  </si>
  <si>
    <t>Personal</t>
  </si>
  <si>
    <t>Retiros</t>
  </si>
  <si>
    <t>Ingreso</t>
  </si>
  <si>
    <t>Bbva</t>
  </si>
  <si>
    <t>Total Caja</t>
  </si>
  <si>
    <t>%Tickets</t>
  </si>
  <si>
    <t>Columna1</t>
  </si>
  <si>
    <t>Facturació A/A</t>
  </si>
  <si>
    <t>Resto</t>
  </si>
  <si>
    <t>Dif%</t>
  </si>
  <si>
    <t>Resultado</t>
  </si>
  <si>
    <t>Columna2</t>
  </si>
  <si>
    <t>AA %</t>
  </si>
  <si>
    <t>Observaciones</t>
  </si>
  <si>
    <t>lluvias</t>
  </si>
  <si>
    <t>equipo de futbol 18 pax</t>
  </si>
  <si>
    <t>Visi 20 Pax</t>
  </si>
  <si>
    <t>Alerta de viento</t>
  </si>
  <si>
    <t>Enamorados + Carnaval</t>
  </si>
  <si>
    <t>diluvio e inundacion del restaurrante</t>
  </si>
  <si>
    <t>Jueves 7</t>
  </si>
  <si>
    <t>Viernes 8</t>
  </si>
  <si>
    <t>Sábado 9</t>
  </si>
  <si>
    <t>Domingo 10</t>
  </si>
  <si>
    <t>Jueves 5</t>
  </si>
  <si>
    <t>Viernes 6</t>
  </si>
  <si>
    <t>Sabado 7</t>
  </si>
  <si>
    <t>Domingo 8</t>
  </si>
  <si>
    <t>Jueves 4</t>
  </si>
  <si>
    <t>Viernes 5</t>
  </si>
  <si>
    <t>Sábado 6</t>
  </si>
  <si>
    <t>Domingo 7</t>
  </si>
  <si>
    <t>descansos</t>
  </si>
  <si>
    <t>vacaciones</t>
  </si>
  <si>
    <t>Total</t>
  </si>
  <si>
    <t>dia</t>
  </si>
  <si>
    <t>TAPERIA DE CALDES  ·  CAJA 1 — REGISTRO DIARIO DE VENTAS</t>
  </si>
  <si>
    <t>RESUMEN MENSUAL</t>
  </si>
  <si>
    <t>📘  CÓMO USAR: Introduce cada día los importes por turno. Los totales se calculan automáticamente. Azul = dato a introducir  ·  Verde = cálculo automático</t>
  </si>
  <si>
    <t>Comensales</t>
  </si>
  <si>
    <t>Facturación €</t>
  </si>
  <si>
    <t>Ticket Medio €</t>
  </si>
  <si>
    <t>Coste Personal €</t>
  </si>
  <si>
    <t>Día</t>
  </si>
  <si>
    <t>Turno</t>
  </si>
  <si>
    <t>Nº Comensales</t>
  </si>
  <si>
    <t>Subtotal €</t>
  </si>
  <si>
    <t>Notas / Evento</t>
  </si>
  <si>
    <t>Mediodia</t>
  </si>
  <si>
    <t>ANÁLISIS POR TURNO</t>
  </si>
  <si>
    <t>% del Total</t>
  </si>
  <si>
    <t>Noche</t>
  </si>
  <si>
    <t>según hoja Horarios.</t>
  </si>
  <si>
    <t>Alertar si &gt;12h/turno.</t>
  </si>
  <si>
    <t>Sant Jordi</t>
  </si>
  <si>
    <t>TAPERIA DE CALDES · CAJA 2 — COMENSALES Y FACTURACIÓN</t>
  </si>
  <si>
    <t>Vie</t>
  </si>
  <si>
    <t>Sáb</t>
  </si>
  <si>
    <t>Dom</t>
  </si>
  <si>
    <t>Mié</t>
  </si>
  <si>
    <t>Jue</t>
  </si>
  <si>
    <t>GRUP PRIVAT 1 — Menú Grup Nº3 · 13 pax · 370,50€ menú + 83,40€ extres = 453,90€ total grup</t>
  </si>
  <si>
    <t>TAPERIA DE CALDES  ·  HORARIOS Y COSTES DE PERSONAL 2026</t>
  </si>
  <si>
    <t>📙  Registra cada jornada. Alerta automática si horas &gt; 12 (error de fichaje). El coste turno se calcula con H×€h. Celda roja = verificar registro.</t>
  </si>
  <si>
    <t>Dia Semana</t>
  </si>
  <si>
    <t>Nombre</t>
  </si>
  <si>
    <t>H. Entrada</t>
  </si>
  <si>
    <t>H. Salida</t>
  </si>
  <si>
    <t>Total Horas</t>
  </si>
  <si>
    <t>€/Hora</t>
  </si>
  <si>
    <t>Coste MA</t>
  </si>
  <si>
    <t>Coste MD</t>
  </si>
  <si>
    <t>Coste No</t>
  </si>
  <si>
    <t>Coste diario</t>
  </si>
  <si>
    <t>Alerta</t>
  </si>
  <si>
    <t>Fecha_real</t>
  </si>
  <si>
    <t>Lourdes</t>
  </si>
  <si>
    <t>Alejandra</t>
  </si>
  <si>
    <t>Gabi</t>
  </si>
  <si>
    <t>Jonh</t>
  </si>
  <si>
    <t>Sonia</t>
  </si>
  <si>
    <t>Mireia M.</t>
  </si>
  <si>
    <t>Juan</t>
  </si>
  <si>
    <t>Brigitte</t>
  </si>
  <si>
    <t>Adria</t>
  </si>
  <si>
    <t>Génesis</t>
  </si>
  <si>
    <t>Rubí</t>
  </si>
  <si>
    <t>Luisa</t>
  </si>
  <si>
    <t>Cesar</t>
  </si>
  <si>
    <t>Aina</t>
  </si>
  <si>
    <t>Mireia M</t>
  </si>
  <si>
    <t>Genesis</t>
  </si>
  <si>
    <t>RESUMEN COSTES POR EMPLEADO MES 2026</t>
  </si>
  <si>
    <t>Filtro Mes:</t>
  </si>
  <si>
    <t>RESUMEN COSTES POR EMPLEADO 2026</t>
  </si>
  <si>
    <t>RESUMEN POR PUESTOS 2026</t>
  </si>
  <si>
    <t>Ventas mes</t>
  </si>
  <si>
    <t>Coste Mañana</t>
  </si>
  <si>
    <t>Coste Mediodía</t>
  </si>
  <si>
    <t>Coste Noche</t>
  </si>
  <si>
    <t>% s/total</t>
  </si>
  <si>
    <t>% s/Ventas</t>
  </si>
  <si>
    <t>Horas Trabajadas</t>
  </si>
  <si>
    <t>Puesto</t>
  </si>
  <si>
    <t>Columna3</t>
  </si>
  <si>
    <t>Empleados</t>
  </si>
  <si>
    <t>Coste Total €</t>
  </si>
  <si>
    <t>Cocina</t>
  </si>
  <si>
    <t>Directo</t>
  </si>
  <si>
    <t>Encargada</t>
  </si>
  <si>
    <t>Dirección</t>
  </si>
  <si>
    <t>Administración</t>
  </si>
  <si>
    <t>Ayudantes</t>
  </si>
  <si>
    <t>Operativa</t>
  </si>
  <si>
    <t>Sala</t>
  </si>
  <si>
    <t>Rubi</t>
  </si>
  <si>
    <t>TOTAL</t>
  </si>
  <si>
    <t>Total acumulado</t>
  </si>
  <si>
    <t xml:space="preserve">Total Ventas </t>
  </si>
  <si>
    <t>Caja 2</t>
  </si>
  <si>
    <t>Caja 1</t>
  </si>
  <si>
    <t>CMV</t>
  </si>
  <si>
    <t>CMV%</t>
  </si>
  <si>
    <t>Producto Limpieza</t>
  </si>
  <si>
    <t>Producto Limpieza%</t>
  </si>
  <si>
    <t>Servicio en Mesa</t>
  </si>
  <si>
    <t>Servicio en Mesa%</t>
  </si>
  <si>
    <t>Otros</t>
  </si>
  <si>
    <t>Otros%</t>
  </si>
  <si>
    <t>Contratos</t>
  </si>
  <si>
    <t>Contratos%</t>
  </si>
  <si>
    <t>Otros gastos</t>
  </si>
  <si>
    <t>Otros gastos%</t>
  </si>
  <si>
    <t>Mantenimiento</t>
  </si>
  <si>
    <t>Mantenimiento%</t>
  </si>
  <si>
    <t>Marketing</t>
  </si>
  <si>
    <t>Marketing%</t>
  </si>
  <si>
    <t>Personal%</t>
  </si>
  <si>
    <t>Suministros</t>
  </si>
  <si>
    <t>Suministros%</t>
  </si>
  <si>
    <t>S.O.P.1 /EBITDAR</t>
  </si>
  <si>
    <t>S.O.P%</t>
  </si>
  <si>
    <t>Alquileres</t>
  </si>
  <si>
    <t>Alquileres%</t>
  </si>
  <si>
    <t>Royalty</t>
  </si>
  <si>
    <t>Royalty%</t>
  </si>
  <si>
    <t>S.O.P /EBITDA</t>
  </si>
  <si>
    <t>TAPERIA DE CALDES  ·  FACTURACIÓN 2025 — HISTÓRICO COMPLETO</t>
  </si>
  <si>
    <t>📕  Datos históricos 2025. Usa los multiplicadores calculados para calibrar la previsión 2026. Los días de evento están marcados en naranja.</t>
  </si>
  <si>
    <t>RESUMEN MENSUAL 2025</t>
  </si>
  <si>
    <t>Mañana €</t>
  </si>
  <si>
    <t>Mediodía €</t>
  </si>
  <si>
    <t>Noche €</t>
  </si>
  <si>
    <t>Total Día €</t>
  </si>
  <si>
    <t>Evento / Nota</t>
  </si>
  <si>
    <t>Días op.</t>
  </si>
  <si>
    <t>Total Ventas</t>
  </si>
  <si>
    <t>Media/día</t>
  </si>
  <si>
    <t>Mejor día €</t>
  </si>
  <si>
    <t>Índice estacional</t>
  </si>
  <si>
    <t>Coste est.</t>
  </si>
  <si>
    <t>Margen est.</t>
  </si>
  <si>
    <t>% Coste est.</t>
  </si>
  <si>
    <t>TOTAL 2025</t>
  </si>
  <si>
    <t>13/07/2025</t>
  </si>
  <si>
    <t>14/02/2025</t>
  </si>
  <si>
    <t>15/02/2025</t>
  </si>
  <si>
    <t>15/03/2025</t>
  </si>
  <si>
    <t>15/08/2025</t>
  </si>
  <si>
    <t>16/08/2025</t>
  </si>
  <si>
    <t>17/08/2025</t>
  </si>
  <si>
    <t>22/02/2025</t>
  </si>
  <si>
    <t>25/01/2025</t>
  </si>
  <si>
    <t>28/11/2025</t>
  </si>
  <si>
    <t>29/03/2025</t>
  </si>
  <si>
    <t>Detallle turnos</t>
  </si>
  <si>
    <t>Caja1</t>
  </si>
  <si>
    <t>Caja2</t>
  </si>
  <si>
    <t>Importe Caja 1</t>
  </si>
  <si>
    <t>Importe Caja 2</t>
  </si>
  <si>
    <t>Hora</t>
  </si>
  <si>
    <t>Importe</t>
  </si>
  <si>
    <t>Nº Comensales2</t>
  </si>
  <si>
    <t>DIA</t>
  </si>
  <si>
    <t>Subtotal2</t>
  </si>
  <si>
    <t>Etiquetas de fila</t>
  </si>
  <si>
    <t>Suma de Total Facturación</t>
  </si>
  <si>
    <t>viernes</t>
  </si>
  <si>
    <t>Tabla_Pivot_Facturacion</t>
  </si>
  <si>
    <t>sábado</t>
  </si>
  <si>
    <t>domingo</t>
  </si>
  <si>
    <t>miércoles</t>
  </si>
  <si>
    <t>jueves</t>
  </si>
  <si>
    <t>(en blanco)</t>
  </si>
  <si>
    <t>Total general</t>
  </si>
  <si>
    <t>lluvia</t>
  </si>
  <si>
    <t>superpopi</t>
  </si>
  <si>
    <t>sabado</t>
  </si>
  <si>
    <t>diumenge</t>
  </si>
  <si>
    <t>lunes</t>
  </si>
  <si>
    <t>miercoles</t>
  </si>
  <si>
    <t>dimecres</t>
  </si>
  <si>
    <t>dissabte</t>
  </si>
  <si>
    <t>TAPERIA DE CALDES  ·  FACTURACIÓN 2026 — SEGUIMIENTO EN TIEMPO REAL</t>
  </si>
  <si>
    <t>📗  Introduce los datos reales de cada día. La columna Previsto toma la base del modelo. Verde = supera previsión  ·  Rojo = por debajo  ·  Naranja = evento especial</t>
  </si>
  <si>
    <t>COMPARATIVA MENSUAL 2026 vs 2025</t>
  </si>
  <si>
    <t>Total Real €</t>
  </si>
  <si>
    <t>Previsto €</t>
  </si>
  <si>
    <t>Desviación €</t>
  </si>
  <si>
    <t>Desv. %</t>
  </si>
  <si>
    <t>% Personal</t>
  </si>
  <si>
    <t>Evento</t>
  </si>
  <si>
    <t>Desv. €</t>
  </si>
  <si>
    <t>Crec. YoY</t>
  </si>
  <si>
    <t>% Coste real</t>
  </si>
  <si>
    <t>Nº Semana</t>
  </si>
  <si>
    <t>Semana</t>
  </si>
  <si>
    <t>Ranking</t>
  </si>
  <si>
    <t>Unidades</t>
  </si>
  <si>
    <t>Cantidad</t>
  </si>
  <si>
    <t>Unidad</t>
  </si>
  <si>
    <t>Precio Venta</t>
  </si>
  <si>
    <t>%</t>
  </si>
  <si>
    <t>01/01/2026 - 04/01/2026</t>
  </si>
  <si>
    <t>UND</t>
  </si>
  <si>
    <t>Vermut Negro</t>
  </si>
  <si>
    <t>LT</t>
  </si>
  <si>
    <t>COCACOLA ZERO</t>
  </si>
  <si>
    <t>Torrijas Nutella</t>
  </si>
  <si>
    <t>Pintxo truita patata</t>
  </si>
  <si>
    <t>Mahou 0,0</t>
  </si>
  <si>
    <t>Infusió</t>
  </si>
  <si>
    <t>Morro fregit</t>
  </si>
  <si>
    <t>Fingers de pollastre</t>
  </si>
  <si>
    <t>COCACOLA (BOTELLA 35CL)</t>
  </si>
  <si>
    <t>Leche avena</t>
  </si>
  <si>
    <t>Pastís de formatge</t>
  </si>
  <si>
    <t>Ous de Mallorca</t>
  </si>
  <si>
    <t>Amanida Montesa</t>
  </si>
  <si>
    <t>Mossets de camembert</t>
  </si>
  <si>
    <t>Ous amb Ibèric</t>
  </si>
  <si>
    <t>1925 Verda</t>
  </si>
  <si>
    <t>Coca pizza Americana</t>
  </si>
  <si>
    <t>Coca pizza</t>
  </si>
  <si>
    <t>Coulant RF</t>
  </si>
  <si>
    <t>aquarius limon vr30</t>
  </si>
  <si>
    <t>Manzanilla</t>
  </si>
  <si>
    <t>-</t>
  </si>
  <si>
    <t>Olives farcides</t>
  </si>
  <si>
    <t>Tapas frías</t>
  </si>
  <si>
    <t>Amanida Burrata</t>
  </si>
  <si>
    <t>Nachos Texans</t>
  </si>
  <si>
    <t>Cigaló</t>
  </si>
  <si>
    <t>rooibos</t>
  </si>
  <si>
    <t>Ous amb bacó i formatge</t>
  </si>
  <si>
    <t>Coca pizza Quatre formatges</t>
  </si>
  <si>
    <t>fanta naranja vr35</t>
  </si>
  <si>
    <t>1/2 Pa de coca</t>
  </si>
  <si>
    <t>Coca Pizza Nàpols</t>
  </si>
  <si>
    <t>Ous amb xistorra</t>
  </si>
  <si>
    <t>Taula de Pinxito moruno</t>
  </si>
  <si>
    <t>Coca formatge cabra amb escaivada</t>
  </si>
  <si>
    <t>Aigua Gas</t>
  </si>
  <si>
    <t>Tinto d'estiu</t>
  </si>
  <si>
    <t>Cacaolat</t>
  </si>
  <si>
    <t>Aigua gas Mn</t>
  </si>
  <si>
    <t>1/2 Entrepa Bacon</t>
  </si>
  <si>
    <t>Bocadillos calientes</t>
  </si>
  <si>
    <t>Aigua plàstic</t>
  </si>
  <si>
    <t>menta poleo</t>
  </si>
  <si>
    <t>Aigua Mn</t>
  </si>
  <si>
    <t>Colacao (0,20 L)</t>
  </si>
  <si>
    <t>Valencià</t>
  </si>
  <si>
    <t>Coca pizza Ballenato</t>
  </si>
  <si>
    <t>FUZE TEA MARACUYA</t>
  </si>
  <si>
    <t>Carn amb salsa Rf</t>
  </si>
  <si>
    <t>Aquarius Taronja</t>
  </si>
  <si>
    <t>1/2 Entrepa Truita Francesa</t>
  </si>
  <si>
    <t>Frangelico</t>
  </si>
  <si>
    <t>Licores</t>
  </si>
  <si>
    <t>Amanida Cèsar</t>
  </si>
  <si>
    <t>Flam d'ou Mn Rf</t>
  </si>
  <si>
    <t>Seitons en vinagre</t>
  </si>
  <si>
    <t>Entrepà Pernil ibèric</t>
  </si>
  <si>
    <t>Bocadillos fríos</t>
  </si>
  <si>
    <t>COCACOLA ZER ZER VR35 C24</t>
  </si>
  <si>
    <t>Escopinyes</t>
  </si>
  <si>
    <t>Baltic Porter</t>
  </si>
  <si>
    <t>Taula aperitiu</t>
  </si>
  <si>
    <t>1/2 Entrepa Tonyina</t>
  </si>
  <si>
    <t>Trina naranja</t>
  </si>
  <si>
    <t>Cafè americà</t>
  </si>
  <si>
    <t>Morro fregit mel</t>
  </si>
  <si>
    <t>1/2 Entrepa Pernil Iberic</t>
  </si>
  <si>
    <t>Pates Rf</t>
  </si>
  <si>
    <t>KG</t>
  </si>
  <si>
    <t>Suc Natural</t>
  </si>
  <si>
    <t>FUZE TEA LIMON</t>
  </si>
  <si>
    <t>UniKa</t>
  </si>
  <si>
    <t>Flam d'ou</t>
  </si>
  <si>
    <t>Suc prèssec</t>
  </si>
  <si>
    <t>Cassoleta de provolone</t>
  </si>
  <si>
    <t>Ous amb Botifarrò</t>
  </si>
  <si>
    <t>05/01/2026 - 11/01/2026</t>
  </si>
  <si>
    <t>Amanida menu de l'hort</t>
  </si>
  <si>
    <t>Orella a la gallega</t>
  </si>
  <si>
    <t>Panera Rf</t>
  </si>
  <si>
    <t>Torrijas Nutella Mn</t>
  </si>
  <si>
    <t>1/2 Morro</t>
  </si>
  <si>
    <t>fanta limon vr35</t>
  </si>
  <si>
    <t>Suc Pinya</t>
  </si>
  <si>
    <t>BITTER KAS</t>
  </si>
  <si>
    <t>12/01/2026 - 18/01/2026</t>
  </si>
  <si>
    <t>Aletes de pollastre</t>
  </si>
  <si>
    <t>Alhambra</t>
  </si>
  <si>
    <t>1/2 Entrepa Fuet</t>
  </si>
  <si>
    <t>Amanida Cèsar Mn</t>
  </si>
  <si>
    <t>Hamburguesa</t>
  </si>
  <si>
    <t>Hamburguesas</t>
  </si>
  <si>
    <t>1/2 Braves</t>
  </si>
  <si>
    <t>Barril alhambra lager especial 30l</t>
  </si>
  <si>
    <t>Tónica (2014)</t>
  </si>
  <si>
    <t>Arròs amb llet</t>
  </si>
  <si>
    <t>Entrepa Fuet</t>
  </si>
  <si>
    <t>19/01/2026 - 25/01/2026</t>
  </si>
  <si>
    <t>Amanida menu carbasso</t>
  </si>
  <si>
    <t>1/2 Entrepa Pernil País</t>
  </si>
  <si>
    <t>1/2 Entrepa Pernil de York</t>
  </si>
  <si>
    <t>Entrepà Pernil país</t>
  </si>
  <si>
    <t>Pernil ibèric</t>
  </si>
  <si>
    <t>Entrepa Formatge d'ovella</t>
  </si>
  <si>
    <t>1/2 Morro mel</t>
  </si>
  <si>
    <t>Mandonguilles</t>
  </si>
  <si>
    <t>26/01/2026 - 01/02/2026</t>
  </si>
  <si>
    <t>Croisant Grande</t>
  </si>
  <si>
    <t>Hamburguesa Caprichosa</t>
  </si>
  <si>
    <t>Amanida amb Burrata</t>
  </si>
  <si>
    <t>Hamburguesa Campera</t>
  </si>
  <si>
    <t>Hamburguesa Nika</t>
  </si>
  <si>
    <t>Suplement formatge</t>
  </si>
  <si>
    <t>Got de Llet (0,20 L)</t>
  </si>
  <si>
    <t>1/2 Entrepa Formatge d'ovella</t>
  </si>
  <si>
    <t>02/02/2026 - 08/02/2026</t>
  </si>
  <si>
    <t>09/02/2026 - 15/02/2026</t>
  </si>
  <si>
    <t>Pa coca</t>
  </si>
  <si>
    <t>Patata Bomba</t>
  </si>
  <si>
    <t>Flors Carxofa</t>
  </si>
  <si>
    <t>Amanida russa</t>
  </si>
  <si>
    <t>Canelones de foie</t>
  </si>
  <si>
    <t>Hamburguesa menú (Hamburguesa amb amanida)</t>
  </si>
  <si>
    <t>Carn amb salsa RF</t>
  </si>
  <si>
    <t>ALHAMBRA RSV IPA ESENCIA CITRA</t>
  </si>
  <si>
    <t>Entrepa Xistorrra</t>
  </si>
  <si>
    <t>Bikini</t>
  </si>
  <si>
    <t>Croisant farcit</t>
  </si>
  <si>
    <t>Entrepa Bacon</t>
  </si>
  <si>
    <t>Entrepa Truita Francesa</t>
  </si>
  <si>
    <t>Hamburguesa Vegana</t>
  </si>
  <si>
    <t>Alhambra sin</t>
  </si>
  <si>
    <t>16/02/2026 - 22/02/2026</t>
  </si>
  <si>
    <t>Croqueta Cua de Bou</t>
  </si>
  <si>
    <t>mahou sin gluten n/r 0.33</t>
  </si>
  <si>
    <t>Croisant Pequeño</t>
  </si>
  <si>
    <t>Amanida menu formatge</t>
  </si>
  <si>
    <t>1/2 Entrepa Xistorrra</t>
  </si>
  <si>
    <t>Cremós de Iogurt</t>
  </si>
  <si>
    <t>Ous amb calamar</t>
  </si>
  <si>
    <t>09/03/2026 - 15/03/2026</t>
  </si>
  <si>
    <t>Menu La Truita</t>
  </si>
  <si>
    <t>Almuerzo</t>
  </si>
  <si>
    <t>Canelones de foie Mn</t>
  </si>
  <si>
    <t>Entrepa Llom</t>
  </si>
  <si>
    <t>Entrepà Pollastre</t>
  </si>
  <si>
    <t>Madrileny</t>
  </si>
  <si>
    <t>Bocadillos especiales</t>
  </si>
  <si>
    <t>Entrepa tonyina</t>
  </si>
  <si>
    <t>Pebrots del Padró</t>
  </si>
  <si>
    <t>Numerada Rosas</t>
  </si>
  <si>
    <t>16/03/2026 - 22/03/2026</t>
  </si>
  <si>
    <t>Patata Bomba Mn</t>
  </si>
  <si>
    <t>MAHOU 5 ESTRELLAS 1/3 LATA</t>
  </si>
  <si>
    <t>Flam Mn Rf</t>
  </si>
  <si>
    <t>Moncho</t>
  </si>
  <si>
    <t>Campero</t>
  </si>
  <si>
    <t>Especial Pinxito</t>
  </si>
  <si>
    <t>23/03/2026 - 29/03/2026</t>
  </si>
  <si>
    <t>Seitons andalusa</t>
  </si>
  <si>
    <t>Pintxo truita del dia</t>
  </si>
  <si>
    <t>BRUTUS LAGER BEER 1/3 NR</t>
  </si>
  <si>
    <t>Boquerñon Andaluza</t>
  </si>
  <si>
    <t>Memphis</t>
  </si>
  <si>
    <t>Coca pizza Nápoles</t>
  </si>
  <si>
    <t>Entrepà Pernil de York</t>
  </si>
  <si>
    <t>1/2 Suplement Formatge</t>
  </si>
  <si>
    <t>Coca pizza Americana Mn</t>
  </si>
  <si>
    <t>13/04/2026 - 19/04/2026</t>
  </si>
  <si>
    <t>Entrepà Truita Patates</t>
  </si>
  <si>
    <t>Xocolata</t>
  </si>
  <si>
    <t>1/2 Entrepa Pollastre</t>
  </si>
  <si>
    <t>Suplemento Ou</t>
  </si>
  <si>
    <t>FECHA</t>
  </si>
  <si>
    <t>CANTIDAD</t>
  </si>
  <si>
    <t xml:space="preserve"> PVP </t>
  </si>
  <si>
    <t xml:space="preserve"> TOTAL </t>
  </si>
  <si>
    <t xml:space="preserve"> NETO </t>
  </si>
  <si>
    <t>% CONSUMOS</t>
  </si>
  <si>
    <t>COSTE</t>
  </si>
  <si>
    <t xml:space="preserve"> T.Coste </t>
  </si>
  <si>
    <t>Aigua plastic</t>
  </si>
  <si>
    <t>Cigalo</t>
  </si>
  <si>
    <t>1/2 Entrepa Truita Patates</t>
  </si>
  <si>
    <t>Albariño Copa</t>
  </si>
  <si>
    <t>Crusantet</t>
  </si>
  <si>
    <t>Crousanet Xoco</t>
  </si>
  <si>
    <t>Croisant xoco</t>
  </si>
  <si>
    <t>1/2 Entrepa Pernil Pais</t>
  </si>
  <si>
    <t>Opciones</t>
  </si>
  <si>
    <t>Llevar</t>
  </si>
  <si>
    <t>1/2 Entrepa Penil de York</t>
  </si>
  <si>
    <t>Flautin</t>
  </si>
  <si>
    <t>Verdejo personal</t>
  </si>
  <si>
    <t>Montsant personal</t>
  </si>
  <si>
    <t>Cremos de Iogurt</t>
  </si>
  <si>
    <t>Alhambra Copa</t>
  </si>
  <si>
    <t>Croquetes Cua de Toro</t>
  </si>
  <si>
    <t>Croquetes cabra</t>
  </si>
  <si>
    <t>Menu (1 vale Nadal)</t>
  </si>
  <si>
    <t>Menu Primeros</t>
  </si>
  <si>
    <t>Ensalada de la huerta con atun</t>
  </si>
  <si>
    <t xml:space="preserve">-   € </t>
  </si>
  <si>
    <t>Cazuelita Provolone con morcilla y crujiente Cebolla</t>
  </si>
  <si>
    <t>Menu Segundos</t>
  </si>
  <si>
    <t>Cazon adobado con ensalada</t>
  </si>
  <si>
    <t>Huevos Estrellados con bacon y queso</t>
  </si>
  <si>
    <t>Canya</t>
  </si>
  <si>
    <t>Copa Vino negro</t>
  </si>
  <si>
    <t>Puding</t>
  </si>
  <si>
    <t>Flam</t>
  </si>
  <si>
    <t>Sopa de cebolla con galleta de parmesano</t>
  </si>
  <si>
    <t>Pechuga pollo plancha con verduras del dia</t>
  </si>
  <si>
    <t>Bizcocho Mandarina</t>
  </si>
  <si>
    <t>Bizcocho Chocolate</t>
  </si>
  <si>
    <t>Iogurt</t>
  </si>
  <si>
    <t>infusio</t>
  </si>
  <si>
    <t>Fanta Llimona</t>
  </si>
  <si>
    <t>Formatge</t>
  </si>
  <si>
    <t>1/2 Entrepa Penil Iberic</t>
  </si>
  <si>
    <t>Entepa Fuet</t>
  </si>
  <si>
    <t>Desayunos</t>
  </si>
  <si>
    <t>Esmorzar de Caldes</t>
  </si>
  <si>
    <t>Menu dolç</t>
  </si>
  <si>
    <t>Pastis de formatge</t>
  </si>
  <si>
    <t>Llesca Torrija</t>
  </si>
  <si>
    <t>Cibada</t>
  </si>
  <si>
    <t>Tonica</t>
  </si>
  <si>
    <t>Alhambra Caña</t>
  </si>
  <si>
    <t>Infusio</t>
  </si>
  <si>
    <t>1/2 Entrepa Llom</t>
  </si>
  <si>
    <t>Colacao 0,20L</t>
  </si>
  <si>
    <t>Entrepa Botifarro</t>
  </si>
  <si>
    <t>Donuts</t>
  </si>
  <si>
    <t>Llevar Azucar</t>
  </si>
  <si>
    <t>Tonyina</t>
  </si>
  <si>
    <t>Botella Ribera Copa</t>
  </si>
  <si>
    <t>Olives adobades</t>
  </si>
  <si>
    <t>Amanida de l’horta amb tonyina</t>
  </si>
  <si>
    <t>Bomba</t>
  </si>
  <si>
    <t>Flors de carxofa amb pernil ibèric</t>
  </si>
  <si>
    <t>Mix de croquetes de bolets i de formatge de cabra amb verdures</t>
  </si>
  <si>
    <t>Americana</t>
  </si>
  <si>
    <t>Truita de verdures amb la seva guarnició</t>
  </si>
  <si>
    <t>Mousse</t>
  </si>
  <si>
    <t>Mandonguilles de la iaia amb patates</t>
  </si>
  <si>
    <t>America</t>
  </si>
  <si>
    <t>Calamars a l’andalusa</t>
  </si>
  <si>
    <t>Croque Monsieur</t>
  </si>
  <si>
    <t>Vino Negro</t>
  </si>
  <si>
    <t>Torrija</t>
  </si>
  <si>
    <t>Ous estrellats amb ibèric (3+2 por dos segundos)</t>
  </si>
  <si>
    <t>Calamars a l’andalusa (3+2 por dos segundos)</t>
  </si>
  <si>
    <t>Cocacola Zero</t>
  </si>
  <si>
    <t>Aquarius Llimona</t>
  </si>
  <si>
    <t>Helado Turron</t>
  </si>
  <si>
    <t>Terra Alta Copa</t>
  </si>
  <si>
    <t>Pan Cristalino</t>
  </si>
  <si>
    <t>Croquetes de l'avia</t>
  </si>
  <si>
    <t>Croquetes de bolets</t>
  </si>
  <si>
    <t>Mousse fruites</t>
  </si>
  <si>
    <t>Ous estrellats amb ibèric</t>
  </si>
  <si>
    <t>Verdejo</t>
  </si>
  <si>
    <t>Puding Nutella</t>
  </si>
  <si>
    <t>Yodurt</t>
  </si>
  <si>
    <t>Capuxino</t>
  </si>
  <si>
    <t>Entrepa Baco</t>
  </si>
  <si>
    <t>Entrepa Xistorra</t>
  </si>
  <si>
    <t>Masia d'ord Cava Copa</t>
  </si>
  <si>
    <t>Clara</t>
  </si>
  <si>
    <t>Bola Mandarina</t>
  </si>
  <si>
    <t>Gelat Turro</t>
  </si>
  <si>
    <t>Fanta Taronja</t>
  </si>
  <si>
    <t>Esmorzar Complet</t>
  </si>
  <si>
    <t>Bacon</t>
  </si>
  <si>
    <t>Bocadillos Especiales</t>
  </si>
  <si>
    <t>Serranito</t>
  </si>
  <si>
    <t>Esmorzar frances</t>
  </si>
  <si>
    <t>Crep Nutella</t>
  </si>
  <si>
    <t>Canelo Foie Trufat</t>
  </si>
  <si>
    <t>Matrimoni</t>
  </si>
  <si>
    <t>Napols</t>
  </si>
  <si>
    <t>Torradas</t>
  </si>
  <si>
    <t>Torrada Entera</t>
  </si>
  <si>
    <t>Fuze tea Llimona</t>
  </si>
  <si>
    <t>1/2 Entrrepa Truita Francesa</t>
  </si>
  <si>
    <t>Menu Grupo</t>
  </si>
  <si>
    <t>Menu Grup Infantil</t>
  </si>
  <si>
    <t>Menu Grup Nº 1</t>
  </si>
  <si>
    <t>Rioja Botella</t>
  </si>
  <si>
    <t>Rioja Copa</t>
  </si>
  <si>
    <t>Mahou Sin Gluten</t>
  </si>
  <si>
    <t>Clara Copa</t>
  </si>
  <si>
    <t>Patates Zapata</t>
  </si>
  <si>
    <t>1/2 Formatge</t>
  </si>
  <si>
    <t>Menu La Truita Especial</t>
  </si>
  <si>
    <t>Reserva Vermella Copa</t>
  </si>
  <si>
    <t>Tallarines a la mallorquina</t>
  </si>
  <si>
    <t>Calamars a l’andalusa amb patates</t>
  </si>
  <si>
    <t>Yogurt</t>
  </si>
  <si>
    <t>Sartén d’ous amb tomàquet natural, formatge feta i un toc d’alfàbrega</t>
  </si>
  <si>
    <t>Crema de verdures amb picatostes</t>
  </si>
  <si>
    <t>Esparracada de botifarra de Grau Vila amb crema de bolets</t>
  </si>
  <si>
    <t>Copa menu Alhambra</t>
  </si>
  <si>
    <t>Entremesos variats</t>
  </si>
  <si>
    <t>Pit de pollastre a la planxa amb verdures</t>
  </si>
  <si>
    <t>Fanta</t>
  </si>
  <si>
    <t>Copa Sin</t>
  </si>
  <si>
    <t>Con Nata</t>
  </si>
  <si>
    <t>Llevar Sacarina</t>
  </si>
  <si>
    <t>Patates</t>
  </si>
  <si>
    <t>Productos Llevar</t>
  </si>
  <si>
    <t>Deposit Llaunes</t>
  </si>
  <si>
    <t>Cargols al forn</t>
  </si>
  <si>
    <t>Flors de carxofa amb encenalls d’ibèric</t>
  </si>
  <si>
    <t>Cargols al forn amb allioli gratinat</t>
  </si>
  <si>
    <t>Alhambra Sin</t>
  </si>
  <si>
    <t>Flan Huevo</t>
  </si>
  <si>
    <t>Caña</t>
  </si>
  <si>
    <t>Poma</t>
  </si>
  <si>
    <t xml:space="preserve"> -   € </t>
  </si>
  <si>
    <t xml:space="preserve">Mousse FR </t>
  </si>
  <si>
    <t>Vermut casero</t>
  </si>
  <si>
    <t>Vino Blanco</t>
  </si>
  <si>
    <t>Clara Caña</t>
  </si>
  <si>
    <t>Reserva Vermella Caña</t>
  </si>
  <si>
    <t>Llevar Moreno</t>
  </si>
  <si>
    <t>Conca Barbera Blanc Copa</t>
  </si>
  <si>
    <t>Esmorzar Tradicional</t>
  </si>
  <si>
    <t>Entrepa Tonyina</t>
  </si>
  <si>
    <t>Entrepa Pernil de York</t>
  </si>
  <si>
    <t>Lata Mahou 5 estrellas</t>
  </si>
  <si>
    <t>Croissant Farciment</t>
  </si>
  <si>
    <t>Fuet</t>
  </si>
  <si>
    <t>Entrepa Truita francesa</t>
  </si>
  <si>
    <t>Got de Llet 0,20L</t>
  </si>
  <si>
    <t>1/2 Entrepa Botifarro</t>
  </si>
  <si>
    <t>Licor Herbes Copa</t>
  </si>
  <si>
    <t>Panera</t>
  </si>
  <si>
    <t>Carn amb salsa</t>
  </si>
  <si>
    <t>Ous farcits de musclos en escabetx</t>
  </si>
  <si>
    <t xml:space="preserve">Croquetes de cua de bou </t>
  </si>
  <si>
    <t>Peix del dia a l’andalusa amb amanida</t>
  </si>
  <si>
    <t>Copa Vino Blanco</t>
  </si>
  <si>
    <t>Montsant Copa</t>
  </si>
  <si>
    <t>Deposit LLaunas</t>
  </si>
  <si>
    <t>Monstant Copa</t>
  </si>
  <si>
    <t>Anis Mono Xarrup</t>
  </si>
  <si>
    <t>J &amp; B Copa</t>
  </si>
  <si>
    <t>Arròs cubana</t>
  </si>
  <si>
    <t>Escalopins de llom amb patates</t>
  </si>
  <si>
    <t>Crepe Nutella</t>
  </si>
  <si>
    <t>Flan</t>
  </si>
  <si>
    <t>Carpaccio de carbassó amb formatge de cabra i fruits secs</t>
  </si>
  <si>
    <t>Arroz con leche</t>
  </si>
  <si>
    <t>Manzana</t>
  </si>
  <si>
    <t>Coca pizza americana</t>
  </si>
  <si>
    <t>Fanta LLimona</t>
  </si>
  <si>
    <t>Sorbete Limon</t>
  </si>
  <si>
    <t>Canelons amb foie trufat</t>
  </si>
  <si>
    <t>Nestea</t>
  </si>
  <si>
    <t>Vino Tinto</t>
  </si>
  <si>
    <t>Suc Pressec</t>
  </si>
  <si>
    <t>Entrepa Tuita Patates</t>
  </si>
  <si>
    <t>Pernil dolç</t>
  </si>
  <si>
    <t>Entrepa Pernil iberic</t>
  </si>
  <si>
    <t>Entrepa Penil de York</t>
  </si>
  <si>
    <t>Vino Menu</t>
  </si>
  <si>
    <t>Tarta Queso carta</t>
  </si>
  <si>
    <t>Flors carxofes</t>
  </si>
  <si>
    <t>Conca Barbera Rosat Copa</t>
  </si>
  <si>
    <t>Coca formatge cabra</t>
  </si>
  <si>
    <t>Limoncello Xarrup</t>
  </si>
  <si>
    <t>Hummus tradicional casolà</t>
  </si>
  <si>
    <t>Pit de pollastre a la planxa</t>
  </si>
  <si>
    <t>Piquillos farcits a la mar</t>
  </si>
  <si>
    <t>Ous estrellats amb xistorra</t>
  </si>
  <si>
    <t>Bizcocho</t>
  </si>
  <si>
    <t>Coulant Mn</t>
  </si>
  <si>
    <t>Verdejo Copa</t>
  </si>
  <si>
    <t>Macarrons a la bolonyesa</t>
  </si>
  <si>
    <t>Torrijas</t>
  </si>
  <si>
    <t>Fanta Maracuya</t>
  </si>
  <si>
    <t>Botifarra de Grau Vila a la planxa amb mongetes</t>
  </si>
  <si>
    <t>Tortilla</t>
  </si>
  <si>
    <t>Puding Coco</t>
  </si>
  <si>
    <t>Nata</t>
  </si>
  <si>
    <t>Jack Daniel's Copa</t>
  </si>
  <si>
    <t>Croisant Nutella</t>
  </si>
  <si>
    <t>Magno Copa</t>
  </si>
  <si>
    <t>Ous amb Iberic</t>
  </si>
  <si>
    <t>Provolone pesto</t>
  </si>
  <si>
    <t>Bitter Kas</t>
  </si>
  <si>
    <t>Copa</t>
  </si>
  <si>
    <t>Mandarina</t>
  </si>
  <si>
    <t>Llenties de l’àvia estofades a foc lent</t>
  </si>
  <si>
    <t>Canelons de foie</t>
  </si>
  <si>
    <t>Amanida de l’hort amb tonyina i ou dur</t>
  </si>
  <si>
    <t>Coca d’escalivada i anxoves</t>
  </si>
  <si>
    <t>Truita de verdures</t>
  </si>
  <si>
    <t>Ous amb Botifarro</t>
  </si>
  <si>
    <t>Copa Montsant</t>
  </si>
  <si>
    <t>Fondue de formatges amb poma caramel·litzada</t>
  </si>
  <si>
    <t>Clara Sin</t>
  </si>
  <si>
    <t>Coulant</t>
  </si>
  <si>
    <t>Llevar  Azucar</t>
  </si>
  <si>
    <t>Varios</t>
  </si>
  <si>
    <t>Varis</t>
  </si>
  <si>
    <t>Tarta Queso</t>
  </si>
  <si>
    <t>Suplement Baco</t>
  </si>
  <si>
    <t>Albariño Botella</t>
  </si>
  <si>
    <t>Pastis festuc</t>
  </si>
  <si>
    <t>Menu La truita</t>
  </si>
  <si>
    <t>Fanta Naranja</t>
  </si>
  <si>
    <t>Cigalo Bailey's</t>
  </si>
  <si>
    <t>Sin Alcohol</t>
  </si>
  <si>
    <t>Fanta Limon</t>
  </si>
  <si>
    <t>Entrepa Truita Patates</t>
  </si>
  <si>
    <t>Menu La truita especial</t>
  </si>
  <si>
    <t>Anis Mono Copa</t>
  </si>
  <si>
    <t>Hamburguesa de Grau Vila a la planxa</t>
  </si>
  <si>
    <t>Mousse FR</t>
  </si>
  <si>
    <t>Crema de verdures de temporada</t>
  </si>
  <si>
    <t>Taula de pinxos amb patates.</t>
  </si>
  <si>
    <t>Cocacola emportar LLauna</t>
  </si>
  <si>
    <t>Sandwich Vegetal</t>
  </si>
  <si>
    <t>Copa Vi</t>
  </si>
  <si>
    <t>Fuze tea Maracuya</t>
  </si>
  <si>
    <t>1/2 Entrepa Xistorra</t>
  </si>
  <si>
    <t>LLevar</t>
  </si>
  <si>
    <t>Cocacola emportar Llauna</t>
  </si>
  <si>
    <t>Calamars a l’andalusa amb amanida</t>
  </si>
  <si>
    <t>Carn en salsa a la cordovesa</t>
  </si>
  <si>
    <t>Sin Tostada 0,0</t>
  </si>
  <si>
    <t>Copa Vino</t>
  </si>
  <si>
    <t>Amanida russa casolana</t>
  </si>
  <si>
    <t>Pudin Nutella</t>
  </si>
  <si>
    <t>Verde</t>
  </si>
  <si>
    <t>Pa de pessic</t>
  </si>
  <si>
    <t>Carxofes arrebossades</t>
  </si>
  <si>
    <t>Mossets Bacalla</t>
  </si>
  <si>
    <t>Mix Croquetes</t>
  </si>
  <si>
    <t>Pudin</t>
  </si>
  <si>
    <t>Clara sin Copa</t>
  </si>
  <si>
    <t>Amanida Monstesa</t>
  </si>
  <si>
    <t>+1 Carxofa</t>
  </si>
  <si>
    <t>1,00</t>
  </si>
  <si>
    <t>Esmorzar de saludable</t>
  </si>
  <si>
    <t>Amanida rusa</t>
  </si>
  <si>
    <t>Pit de pollastre a la planxa amb guarnició del dia</t>
  </si>
  <si>
    <t>Ous estrellats amb botifarra negra i cruixent</t>
  </si>
  <si>
    <t>Daus de bacallà a la llauna amb amanida</t>
  </si>
  <si>
    <t>Vino</t>
  </si>
  <si>
    <t>Puding Mn</t>
  </si>
  <si>
    <t>Cors de carxofa arrebossats</t>
  </si>
  <si>
    <t>Tarta pistacho</t>
  </si>
  <si>
    <t>Ous amb botifarro</t>
  </si>
  <si>
    <t>Cremos de Iogurt Mn</t>
  </si>
  <si>
    <t>Cocacola 0,20L</t>
  </si>
  <si>
    <t>Pèsols saltats amb bacó</t>
  </si>
  <si>
    <t>Amanida de formatges</t>
  </si>
  <si>
    <t>Suplement salsa</t>
  </si>
  <si>
    <t>Mayonesa</t>
  </si>
  <si>
    <t>Allioli</t>
  </si>
  <si>
    <t>Alhambra Copa2</t>
  </si>
  <si>
    <t>Hamburguesa vegana</t>
  </si>
  <si>
    <t>Ous baco i formatge</t>
  </si>
  <si>
    <t>Conca Barbera Negre Copa</t>
  </si>
  <si>
    <t>Sangria Vi Copa</t>
  </si>
  <si>
    <t>Hamburguesa capritxosa</t>
  </si>
  <si>
    <t>Olves adobades</t>
  </si>
  <si>
    <t>Entrepa Pollastre</t>
  </si>
  <si>
    <t>Sandwich</t>
  </si>
  <si>
    <t>Botifarro</t>
  </si>
  <si>
    <t>Xistorra</t>
  </si>
  <si>
    <t>Reserva Vermella personal C Copa</t>
  </si>
  <si>
    <t>Licor Herbes Xarrup</t>
  </si>
  <si>
    <t>Carpaccio carbasso</t>
  </si>
  <si>
    <t>pudin</t>
  </si>
  <si>
    <t>Clara sin</t>
  </si>
  <si>
    <t>Pa de pessic taronja</t>
  </si>
  <si>
    <t>Burger a la plancha amb guarnició del día</t>
  </si>
  <si>
    <t>Hummus artesà amb OOVE i pebre vermell fumat</t>
  </si>
  <si>
    <t>Canelons de foie Trufat</t>
  </si>
  <si>
    <t>Ous Estrellats amb Bacon Cruixent</t>
  </si>
  <si>
    <t>Sopa de ceba tradicional</t>
  </si>
  <si>
    <t>Orella a la Gallega</t>
  </si>
  <si>
    <t>Aquarius</t>
  </si>
  <si>
    <t xml:space="preserve">Amanida Cèsar clàssica </t>
  </si>
  <si>
    <t>1+1 Carxofa</t>
  </si>
  <si>
    <t>Piquillos farcits de tonyina, surimi, ou dur i maionesa suau</t>
  </si>
  <si>
    <t>Flors de carxofa confitades i cruixent d’ibèric</t>
  </si>
  <si>
    <t xml:space="preserve">Cargols al forn amb allioli gratinat </t>
  </si>
  <si>
    <t xml:space="preserve">Cocacola </t>
  </si>
  <si>
    <t>Sopa de ceba tradiciona</t>
  </si>
  <si>
    <t>Roba Vella dolla</t>
  </si>
  <si>
    <t>Amanida Cèsar clàssica</t>
  </si>
  <si>
    <t>Croisant xoc</t>
  </si>
  <si>
    <t xml:space="preserve">Croisant </t>
  </si>
  <si>
    <t>Ballantines Xarrup</t>
  </si>
  <si>
    <t>Trina</t>
  </si>
  <si>
    <t>LLevar Azucar</t>
  </si>
  <si>
    <t>Pa</t>
  </si>
  <si>
    <t>Escalopins de llom amb salsa jardinera</t>
  </si>
  <si>
    <t>Salses</t>
  </si>
  <si>
    <t>Provolone amb botifarró i cruixent de ceba</t>
  </si>
  <si>
    <t>Nàpols</t>
  </si>
  <si>
    <t>Tinto</t>
  </si>
  <si>
    <t>Bomba de la Taperia</t>
  </si>
  <si>
    <t>Calamars a la planxa amb all i julivert</t>
  </si>
  <si>
    <t>Mix de croquetes de bolets i de carn d’olla amb patates roses</t>
  </si>
  <si>
    <t>Vi Negre</t>
  </si>
  <si>
    <t>Cremos Yogurt</t>
  </si>
  <si>
    <t>Pebrot</t>
  </si>
  <si>
    <t>Ceba</t>
  </si>
  <si>
    <t>Quatre formatges</t>
  </si>
  <si>
    <t>tallat</t>
  </si>
  <si>
    <t>1 + 1 Carxofa</t>
  </si>
  <si>
    <t>Sangria Vi Jarra</t>
  </si>
  <si>
    <t>Pollastre rostit al forn</t>
  </si>
  <si>
    <t>Peix del dia a l’andalusa</t>
  </si>
  <si>
    <t>Pudin Coco</t>
  </si>
  <si>
    <t>Empanadilles casolanes de tonyina, ou dur i escalivada al forn</t>
  </si>
  <si>
    <t>Espaguetis a la mallorquina amb un toc de parmesà</t>
  </si>
  <si>
    <t>Flam Ou</t>
  </si>
  <si>
    <t>Gelat variat</t>
  </si>
  <si>
    <t>Truita de patates amb botifarró encebad</t>
  </si>
  <si>
    <t>Ensalada César clásica</t>
  </si>
  <si>
    <t>Bitter Kass</t>
  </si>
  <si>
    <t>Copa Vino Tinto</t>
  </si>
  <si>
    <t>Espaguetis a la mallorquina con un toque de parmesano</t>
  </si>
  <si>
    <t>Flores de alcachofa confitadas y crujiente de ibérico</t>
  </si>
  <si>
    <t>Canelones de foie trufado</t>
  </si>
  <si>
    <t>Pescado del día a la andaluza</t>
  </si>
  <si>
    <t>Camanilla</t>
  </si>
  <si>
    <t>Pudin F</t>
  </si>
  <si>
    <t>Crema Catalana</t>
  </si>
  <si>
    <t>Sangria cava Jarra</t>
  </si>
  <si>
    <t>Hamburguesa nika</t>
  </si>
  <si>
    <t>J &amp; B L Xarrup</t>
  </si>
  <si>
    <t>cafe Sol</t>
  </si>
  <si>
    <t>Brutus</t>
  </si>
  <si>
    <t>Bailey's L Tub</t>
  </si>
  <si>
    <t>Fruta del dia</t>
  </si>
  <si>
    <t>Cousanet Xoco</t>
  </si>
  <si>
    <t xml:space="preserve">Menu </t>
  </si>
  <si>
    <t>Gaspatxo de remolatxa</t>
  </si>
  <si>
    <t>Calamars a la planxa amb all i julivert i amanida</t>
  </si>
  <si>
    <t>Ous estrellats amb botifarra negra i cruixent de ceba</t>
  </si>
  <si>
    <t>Roba vella de l’olla amb llegums de Parellada de Caldes</t>
  </si>
  <si>
    <t>Mix de croquetes de formatge de cabra i carn d’olla</t>
  </si>
  <si>
    <t>Carn en salsa</t>
  </si>
  <si>
    <t>Flan H</t>
  </si>
  <si>
    <t>Arròs a la cubana amb plàtan fregit</t>
  </si>
  <si>
    <t>Crepe Carta</t>
  </si>
  <si>
    <t>Helado Carta</t>
  </si>
  <si>
    <t>Montsant</t>
  </si>
  <si>
    <t>Vi Blanc</t>
  </si>
  <si>
    <t>Pa de pessic xocotalta amb g</t>
  </si>
  <si>
    <t>Fritada Andaluza</t>
  </si>
  <si>
    <t>Alhambra C:Canya</t>
  </si>
  <si>
    <t>Depositos</t>
  </si>
  <si>
    <t>Deposit Llauna cargols</t>
  </si>
  <si>
    <t>Albarino V:Copa</t>
  </si>
  <si>
    <t>Verdejo V:Copa</t>
  </si>
  <si>
    <t>Albarino V:Botella</t>
  </si>
  <si>
    <t>Cafe America</t>
  </si>
  <si>
    <t>Filet a les camenres</t>
  </si>
  <si>
    <t>Café amb llet</t>
  </si>
  <si>
    <t>Croissant Xoco</t>
  </si>
  <si>
    <t>Esmorzar francés</t>
  </si>
  <si>
    <t>Croissant</t>
  </si>
  <si>
    <t>Menú dolç</t>
  </si>
  <si>
    <t>Pastís festuc</t>
  </si>
  <si>
    <t>Entrepa truita francesa</t>
  </si>
  <si>
    <t>Flautín</t>
  </si>
  <si>
    <t>Puding AP</t>
  </si>
  <si>
    <t>Copa Vi Blanc</t>
  </si>
  <si>
    <t>Puding PA</t>
  </si>
  <si>
    <t>Clara C:Caña</t>
  </si>
  <si>
    <t>Café sol</t>
  </si>
  <si>
    <t>Descompte Llesca cargols</t>
  </si>
  <si>
    <t>Calamars a l'andalusa Mn</t>
  </si>
  <si>
    <t>Reserva Vermella C:Copa</t>
  </si>
  <si>
    <t>Alhambra Cr.Copa</t>
  </si>
  <si>
    <t>Clara Cr.Copa</t>
  </si>
  <si>
    <t>Puding Frutas</t>
  </si>
  <si>
    <t xml:space="preserve">Calamars a la planxa amb all i julivert i amanida </t>
  </si>
  <si>
    <t>Bola mango</t>
  </si>
  <si>
    <t>Pa Pessic</t>
  </si>
  <si>
    <t>Limoncello L:Copa</t>
  </si>
  <si>
    <t>Clara C:Copa</t>
  </si>
  <si>
    <t>Menus</t>
  </si>
  <si>
    <t>A MENU</t>
  </si>
  <si>
    <t>Duo de croquetes</t>
  </si>
  <si>
    <t>CIBADA</t>
  </si>
  <si>
    <t>Alhambra C:Caña</t>
  </si>
  <si>
    <t>Agua</t>
  </si>
  <si>
    <t>Croissant xoco</t>
  </si>
  <si>
    <t>Cruasanet</t>
  </si>
  <si>
    <t>Platos Calientes</t>
  </si>
  <si>
    <t>Escorzar Tradicional</t>
  </si>
  <si>
    <t>Suc Préssec</t>
  </si>
  <si>
    <t>Torrada i Entera</t>
  </si>
  <si>
    <t>Esmorzars</t>
  </si>
  <si>
    <t>Ensalada Vegetal</t>
  </si>
  <si>
    <t>Mahou 0.0</t>
  </si>
  <si>
    <t>Mousse fruitós</t>
  </si>
  <si>
    <t>Pan Cristallino</t>
  </si>
  <si>
    <t>Plautín</t>
  </si>
  <si>
    <t>Entrepa Truita</t>
  </si>
  <si>
    <t>Cerveza</t>
  </si>
  <si>
    <t>1906 Verre</t>
  </si>
  <si>
    <t>Deposit Llauracargols</t>
  </si>
  <si>
    <t>Infusions</t>
  </si>
  <si>
    <t>Pan</t>
  </si>
  <si>
    <t>Dos amb Ibèric</t>
  </si>
  <si>
    <t>Nachos Texors</t>
  </si>
  <si>
    <t>Coca Formatgera</t>
  </si>
  <si>
    <t>Pa de pessic xocolata</t>
  </si>
  <si>
    <t>Gelat</t>
  </si>
  <si>
    <t>Tosta pizza Moruna</t>
  </si>
  <si>
    <t xml:space="preserve">Pa de pessic </t>
  </si>
  <si>
    <t>Amanida amb burrata</t>
  </si>
  <si>
    <t>Bizcocho +Helado</t>
  </si>
  <si>
    <t>Montsant V.Copa</t>
  </si>
  <si>
    <t>Ratafía L:Xarrup</t>
  </si>
  <si>
    <t>Nachos Texan</t>
  </si>
  <si>
    <t>Reserva Vermella Cr.Copa</t>
  </si>
  <si>
    <t>Verdejo V.Copa</t>
  </si>
  <si>
    <t>Pastís Formatger</t>
  </si>
  <si>
    <t>Cafe americà</t>
  </si>
  <si>
    <t>Macedonia</t>
  </si>
  <si>
    <t>Copa Vino B</t>
  </si>
  <si>
    <t>Bola Mango</t>
  </si>
  <si>
    <t>Calamars a l’andalusa amb patates i amanida</t>
  </si>
  <si>
    <t>Ballantines L.Xampu</t>
  </si>
  <si>
    <t>Flors carafes</t>
  </si>
  <si>
    <t>Licor</t>
  </si>
  <si>
    <t>Café americà</t>
  </si>
  <si>
    <t>Escalivada</t>
  </si>
  <si>
    <t>Torrija Nutella</t>
  </si>
  <si>
    <t>Ous amb botifaró</t>
  </si>
  <si>
    <t>Terra Alta V.Copa</t>
  </si>
  <si>
    <t>Alhambra C/Copa</t>
  </si>
  <si>
    <t>Llesca Torija</t>
  </si>
  <si>
    <t>Canelò Foie Trufat</t>
  </si>
  <si>
    <t>Croquetes de l'Àvia</t>
  </si>
  <si>
    <t>Croquetes de Bolets</t>
  </si>
  <si>
    <t>Cocteles</t>
  </si>
  <si>
    <t>Aperol</t>
  </si>
  <si>
    <t>ALLIOLI</t>
  </si>
  <si>
    <t>Taula de Flambejat marum</t>
  </si>
  <si>
    <t>Bonato</t>
  </si>
  <si>
    <t>Fonueres Puré</t>
  </si>
  <si>
    <t>Arrosso Montesa</t>
  </si>
  <si>
    <t>Amanida Burneta</t>
  </si>
  <si>
    <t>Pa de desco xocolata amb oli</t>
  </si>
  <si>
    <t>Verecho V/Botella</t>
  </si>
  <si>
    <t>Pastís de formatje</t>
  </si>
  <si>
    <t>Pastís Mato</t>
  </si>
  <si>
    <t>Productos no identificados (ticket PRIVAT 1)</t>
  </si>
  <si>
    <t>Torrada T:Entera</t>
  </si>
  <si>
    <t>Crema de verduretes amb crostons</t>
  </si>
  <si>
    <t>Amanida de l'horta amb tonyina i ou dur</t>
  </si>
  <si>
    <t>Canelons de carxofa i gambes</t>
  </si>
  <si>
    <t>Provolone amb cherrys confitats i pesto</t>
  </si>
  <si>
    <t>Puding Chocolate</t>
  </si>
  <si>
    <t>Matrimoni de formatge i anxoves</t>
  </si>
  <si>
    <t>Llibret de llom, York i formatge amb patates fregides</t>
  </si>
  <si>
    <t xml:space="preserve">Ous estrellats amb foie i parmesà </t>
  </si>
  <si>
    <t>Menú diàri</t>
  </si>
  <si>
    <t>Zumos</t>
  </si>
  <si>
    <t>Alhambra C/Caña</t>
  </si>
  <si>
    <t>Reserva Vermella C/Copa</t>
  </si>
  <si>
    <t>Crema de Jogurt</t>
  </si>
  <si>
    <t>Pintxo truita/patata</t>
  </si>
  <si>
    <t>Conca Barbers Negre V/Copa</t>
  </si>
  <si>
    <t>Canelò Foie Trufa</t>
  </si>
  <si>
    <t>Agua Gas</t>
  </si>
  <si>
    <t>Ous bacó i formatge</t>
  </si>
  <si>
    <t>Montsant V:Botella</t>
  </si>
  <si>
    <t>Mossets de camabert</t>
  </si>
  <si>
    <t>Croquetes Braves</t>
  </si>
  <si>
    <t>Montsant V:Copa</t>
  </si>
  <si>
    <t>Tònica</t>
  </si>
  <si>
    <t>Cocacola Zero Zero</t>
  </si>
  <si>
    <t>Borsa Reial Decret</t>
  </si>
  <si>
    <t>Entrepà Baco</t>
  </si>
  <si>
    <t>Formatget</t>
  </si>
  <si>
    <t>Menu La Fruita</t>
  </si>
  <si>
    <t>Torrada T/Entera</t>
  </si>
  <si>
    <t>Flautín</t>
  </si>
  <si>
    <t>Suc Pina</t>
  </si>
  <si>
    <t>Sandvich Vegetal</t>
  </si>
  <si>
    <t>Licor Herbes L:Xarrup (Invita)</t>
  </si>
  <si>
    <t xml:space="preserve">Matrimoni de formatge i anxoves </t>
  </si>
  <si>
    <t>Macarrons a la mallorquina</t>
  </si>
  <si>
    <t>Gaspatxo d'espàrrecs i cogombre amb ou dur</t>
  </si>
  <si>
    <t>Burguer de vedella a la planxa amb verdures del dia</t>
  </si>
  <si>
    <t>Ous estrellats amb chistorra</t>
  </si>
  <si>
    <t>Bacallà a l'andalusa amb amanida</t>
  </si>
  <si>
    <t>Orella a la galleda</t>
  </si>
  <si>
    <t>Canelons de carxofa i gambe</t>
  </si>
  <si>
    <t>Canelo Foie Truitat</t>
  </si>
  <si>
    <t>Morro Fregit</t>
  </si>
  <si>
    <t>Café Sol</t>
  </si>
  <si>
    <t>TAPERIA DE CALDES  ·  CALENDARIO EVENTOS Y PREVISIÓN DE VENTAS 2026</t>
  </si>
  <si>
    <t>⚽🏆  PARTIDOS · SELECCIÓN ESPAÑA 2026</t>
  </si>
  <si>
    <t>📆  Registro de eventos con impacto en facturación. Incluye seguimiento del Casino de Caldes. Verde = pasado · Azul = confirmado · Naranja = por confirmar · Blanco = pendiente</t>
  </si>
  <si>
    <t>Tipo</t>
  </si>
  <si>
    <t>Multiplicador</t>
  </si>
  <si>
    <t>Prev. €</t>
  </si>
  <si>
    <t>Real €</t>
  </si>
  <si>
    <t>Fuente</t>
  </si>
  <si>
    <t>Partido / Selección</t>
  </si>
  <si>
    <t>Mult.</t>
  </si>
  <si>
    <t>Días med.</t>
  </si>
  <si>
    <t>Blend</t>
  </si>
  <si>
    <t>19/01/2026</t>
  </si>
  <si>
    <t>San Antonio Abad</t>
  </si>
  <si>
    <t>Festivo local</t>
  </si>
  <si>
    <t>✓ Pasado</t>
  </si>
  <si>
    <t>Agenda municipal</t>
  </si>
  <si>
    <t>31/12/2026</t>
  </si>
  <si>
    <t>Fin de Año</t>
  </si>
  <si>
    <t>Especial</t>
  </si>
  <si>
    <t>📅 Pendiente</t>
  </si>
  <si>
    <t>14/02/2026</t>
  </si>
  <si>
    <t>San Valentín</t>
  </si>
  <si>
    <t>Evento especial</t>
  </si>
  <si>
    <t>Dato real</t>
  </si>
  <si>
    <t>Barça: Atlético (F) LaLiga</t>
  </si>
  <si>
    <t>⚽ Fútbol Barça</t>
  </si>
  <si>
    <t>fcbarcelona.com</t>
  </si>
  <si>
    <t>21-22/02</t>
  </si>
  <si>
    <t>Carnaval</t>
  </si>
  <si>
    <t>Fiesta local</t>
  </si>
  <si>
    <t>Barça vs Atlético (Champions QF ida)</t>
  </si>
  <si>
    <t>⚽ Champions</t>
  </si>
  <si>
    <t>⚡ Confirmado</t>
  </si>
  <si>
    <t>15/03/2026</t>
  </si>
  <si>
    <t>Mercado Olla</t>
  </si>
  <si>
    <t>Mercado local</t>
  </si>
  <si>
    <t>14/04/2026</t>
  </si>
  <si>
    <t>Barça: Atlético (F) Champions QF vuelta</t>
  </si>
  <si>
    <t>Días medidos</t>
  </si>
  <si>
    <t>28-29/03</t>
  </si>
  <si>
    <t>Semana Santa</t>
  </si>
  <si>
    <t>Festivo</t>
  </si>
  <si>
    <t>22/04/2026</t>
  </si>
  <si>
    <t>Barça vs Celta de Vigo LaLiga</t>
  </si>
  <si>
    <t>Blend 60%2026+40%2025</t>
  </si>
  <si>
    <t>25/04/2026</t>
  </si>
  <si>
    <t>Barça: Getafe (F) LaLiga</t>
  </si>
  <si>
    <t>Trobada de Bèsties · Font del Lleó</t>
  </si>
  <si>
    <t>Fiesta popular</t>
  </si>
  <si>
    <t>balldediables_caldesdemontbui</t>
  </si>
  <si>
    <t>Barça: Bayern (F) Champions SF</t>
  </si>
  <si>
    <t>Dia del Treballador / Día del Trabajador</t>
  </si>
  <si>
    <t>Festivo nacional</t>
  </si>
  <si>
    <t>Festivo nacional España</t>
  </si>
  <si>
    <t>Barça: Osasuna (F) LaLiga</t>
  </si>
  <si>
    <t>Dia de la Mare / Día de la Madre</t>
  </si>
  <si>
    <t>Festivo social España</t>
  </si>
  <si>
    <t>⭐ Barça vs Real Madrid ¡EL CLÁSICO!</t>
  </si>
  <si>
    <t>26/04/2026</t>
  </si>
  <si>
    <t>Joan Pera — Casino</t>
  </si>
  <si>
    <t>Monólogo</t>
  </si>
  <si>
    <t>tscproducciones.cat</t>
  </si>
  <si>
    <t>13/05/2026</t>
  </si>
  <si>
    <t>Barça: Alavés (F) LaLiga</t>
  </si>
  <si>
    <t>CERRADO</t>
  </si>
  <si>
    <t>17-18/05</t>
  </si>
  <si>
    <t>Fira Titiriteiros</t>
  </si>
  <si>
    <t>Feria</t>
  </si>
  <si>
    <t>17/05/2026</t>
  </si>
  <si>
    <t>Barça vs Betis LaLiga</t>
  </si>
  <si>
    <t>24/06/2026</t>
  </si>
  <si>
    <t>San Juan / Caldeja't</t>
  </si>
  <si>
    <t>24/05/2026</t>
  </si>
  <si>
    <t>Barça: Valencia (F) última jornada</t>
  </si>
  <si>
    <t>Templàrium</t>
  </si>
  <si>
    <t>escaldarium.com</t>
  </si>
  <si>
    <t>11/07/2026</t>
  </si>
  <si>
    <t>Escaldàrium</t>
  </si>
  <si>
    <t>Fiesta mayor</t>
  </si>
  <si>
    <t>15/06/2026</t>
  </si>
  <si>
    <t>🇪🇸 España vs Cabo Verde (Mundial)</t>
  </si>
  <si>
    <t>🏆 Selección España</t>
  </si>
  <si>
    <t>rfef.es / foxsports.com</t>
  </si>
  <si>
    <t>15-16/08</t>
  </si>
  <si>
    <t>Asunción pico</t>
  </si>
  <si>
    <t>26/06/2026</t>
  </si>
  <si>
    <t>🇪🇸 Uruguay vs España (Mundial)</t>
  </si>
  <si>
    <t>27/09/2026</t>
  </si>
  <si>
    <t>MIAU</t>
  </si>
  <si>
    <t>Festival arte</t>
  </si>
  <si>
    <t>🇪🇸 España Octavos Mundial (est.)</t>
  </si>
  <si>
    <t>⚠️ Por confirmar</t>
  </si>
  <si>
    <t>10-11/10</t>
  </si>
  <si>
    <t>Festa Major</t>
  </si>
  <si>
    <t>caldescultura.cat</t>
  </si>
  <si>
    <t>🇪🇸 España Cuartos Mundial (est.)</t>
  </si>
  <si>
    <t>18-19/10</t>
  </si>
  <si>
    <t>Capvuitada/Mercat</t>
  </si>
  <si>
    <t>Feria/festivo</t>
  </si>
  <si>
    <t>16/08/2026</t>
  </si>
  <si>
    <t>Barça: Mallorca (F) J1 nueva temp.</t>
  </si>
  <si>
    <t>28/11/2026</t>
  </si>
  <si>
    <t>Casino espectáculo</t>
  </si>
  <si>
    <t>26/09/2026</t>
  </si>
  <si>
    <t>🇪🇸 Inglaterra vs España (Nations L.)</t>
  </si>
  <si>
    <t>dailysports.net</t>
  </si>
  <si>
    <t>5-6/12/2026</t>
  </si>
  <si>
    <t>Fira Nadal</t>
  </si>
  <si>
    <t>Feria Navidad</t>
  </si>
  <si>
    <t>29/09/2026</t>
  </si>
  <si>
    <t>🇪🇸 España vs Croacia (Nations L.)</t>
  </si>
  <si>
    <t>🇪🇸 España vs Chequia (Nations L.)</t>
  </si>
  <si>
    <t>🇪🇸 Croacia vs España (Nations L.)</t>
  </si>
  <si>
    <t>🇪🇸 Chequia vs España (Nations L.)</t>
  </si>
  <si>
    <t>15/11/2026</t>
  </si>
  <si>
    <t>🇪🇸 España vs Inglaterra (Nations L.)</t>
  </si>
  <si>
    <t>Uds</t>
  </si>
  <si>
    <t>Coste Unit (€)</t>
  </si>
  <si>
    <t>% Consumos</t>
  </si>
  <si>
    <t>Margen Unit (€)</t>
  </si>
  <si>
    <t>Margen %</t>
  </si>
  <si>
    <t>_Producto</t>
  </si>
  <si>
    <t>_CosteUnit</t>
  </si>
  <si>
    <t>_%Consumos</t>
  </si>
  <si>
    <t>_MargenPct</t>
  </si>
  <si>
    <t>1/2  Entrepa Tonyina</t>
  </si>
  <si>
    <t>S22</t>
  </si>
  <si>
    <t>S02</t>
  </si>
  <si>
    <t>S03</t>
  </si>
  <si>
    <t>1/2 Braves (descuento 100%)</t>
  </si>
  <si>
    <t>S07</t>
  </si>
  <si>
    <t>S08</t>
  </si>
  <si>
    <t>S11</t>
  </si>
  <si>
    <t>S12</t>
  </si>
  <si>
    <t>S13</t>
  </si>
  <si>
    <t>S14</t>
  </si>
  <si>
    <t>S15</t>
  </si>
  <si>
    <t>S17</t>
  </si>
  <si>
    <t>S18</t>
  </si>
  <si>
    <t>S20</t>
  </si>
  <si>
    <t>1/2 Entrepa Pernil i Formatge</t>
  </si>
  <si>
    <t>S36</t>
  </si>
  <si>
    <t>1/2 Entrepa Pinxo Moru</t>
  </si>
  <si>
    <t>S39</t>
  </si>
  <si>
    <t>1/2 Entrepa Sobrasada</t>
  </si>
  <si>
    <t>S50</t>
  </si>
  <si>
    <t>S16</t>
  </si>
  <si>
    <t>S01</t>
  </si>
  <si>
    <t>1/2 Entrepa Truota Francesa</t>
  </si>
  <si>
    <t>S05</t>
  </si>
  <si>
    <t>1/2 Entrepa vegetal pollastre</t>
  </si>
  <si>
    <t>S06</t>
  </si>
  <si>
    <t>1/2 Entrepoa Pernil de York</t>
  </si>
  <si>
    <t>S09</t>
  </si>
  <si>
    <t xml:space="preserve">1/2 Morro mel </t>
  </si>
  <si>
    <t>1/2 Pa cristal-li</t>
  </si>
  <si>
    <t>1/2 Pa cristal·li</t>
  </si>
  <si>
    <t>1/2 Pa cristal·lí</t>
  </si>
  <si>
    <t>1/2 Pa crital·li</t>
  </si>
  <si>
    <t>S19</t>
  </si>
  <si>
    <t>S26</t>
  </si>
  <si>
    <t>1/2 Torrada</t>
  </si>
  <si>
    <t>S27</t>
  </si>
  <si>
    <t>S28</t>
  </si>
  <si>
    <t>Acuarius Llimona</t>
  </si>
  <si>
    <t>S33</t>
  </si>
  <si>
    <t>S34</t>
  </si>
  <si>
    <t>Aigua Gas Invitacion Hnos Lourdes</t>
  </si>
  <si>
    <t>Aigua Natural</t>
  </si>
  <si>
    <t>S37</t>
  </si>
  <si>
    <t>Aigua Plastic</t>
  </si>
  <si>
    <t>S43</t>
  </si>
  <si>
    <t>S45</t>
  </si>
  <si>
    <t>Aigua Vidre (descuento 100%)</t>
  </si>
  <si>
    <t>S48</t>
  </si>
  <si>
    <t>Aigua menu gas (MENU)</t>
  </si>
  <si>
    <t>S49</t>
  </si>
  <si>
    <t>Aigua menú (MENU)</t>
  </si>
  <si>
    <t>Aigua pastic</t>
  </si>
  <si>
    <t>Aigual Gas</t>
  </si>
  <si>
    <t>S30</t>
  </si>
  <si>
    <t>Albari&amp;ntilde;o V:Copa (MENU)</t>
  </si>
  <si>
    <t>Albariño /:Copa</t>
  </si>
  <si>
    <t>Albariño Albariño V:Copa</t>
  </si>
  <si>
    <t>S04</t>
  </si>
  <si>
    <t>Albariño Caña</t>
  </si>
  <si>
    <t>Albariño V:Botella</t>
  </si>
  <si>
    <t>Albariño V:Copa</t>
  </si>
  <si>
    <t>Albariño Vino:Botella</t>
  </si>
  <si>
    <t>Albariño Vino:Copa</t>
  </si>
  <si>
    <t>Albariño Vinos:Botella</t>
  </si>
  <si>
    <t>Albariño Vinos:Copa</t>
  </si>
  <si>
    <t>Albóndigues en salsa tradicional</t>
  </si>
  <si>
    <t>Aletes de Pollastre</t>
  </si>
  <si>
    <t>Aletes de pollastre (MENU)</t>
  </si>
  <si>
    <t>Alhambra C:Caña (MENU)</t>
  </si>
  <si>
    <t>S21</t>
  </si>
  <si>
    <t>S24</t>
  </si>
  <si>
    <t>Alhambra Copa1</t>
  </si>
  <si>
    <t>Alhambra Copa3</t>
  </si>
  <si>
    <t>Alhambra Doble Canya</t>
  </si>
  <si>
    <t>S35</t>
  </si>
  <si>
    <t>Alhambra ron granadino</t>
  </si>
  <si>
    <t>S40</t>
  </si>
  <si>
    <t>Amanida</t>
  </si>
  <si>
    <t>Amanida Cersar</t>
  </si>
  <si>
    <t>Amanida Cesar</t>
  </si>
  <si>
    <t>Amanida César</t>
  </si>
  <si>
    <t>Amanida Russa</t>
  </si>
  <si>
    <t>Amanida Russa (MENU)</t>
  </si>
  <si>
    <t>Amanida amb formatge de cabra i cruixent de bacó</t>
  </si>
  <si>
    <t>Amanida amb formatge i fruits secs</t>
  </si>
  <si>
    <t>Amanida amb formatges i fruits secs</t>
  </si>
  <si>
    <t>Amanida amb poma fresca</t>
  </si>
  <si>
    <t>Amanida de burrata i pesto.</t>
  </si>
  <si>
    <t>Amanida de carbassó amb formatge de cabra</t>
  </si>
  <si>
    <t>Amanida de carpaccio de carbassó amb formatge de cabra</t>
  </si>
  <si>
    <t>Amanida de formatge blau, codonyat i fruits secs</t>
  </si>
  <si>
    <t>Amanida de formatges i tàperes</t>
  </si>
  <si>
    <t>Amanida de fulles fresques amb formatge blau</t>
  </si>
  <si>
    <t>Amanida de l'hort amb tonyina</t>
  </si>
  <si>
    <t>Amanida de l’hort</t>
  </si>
  <si>
    <t>Amanida de l’hort amb ventresca de tonyina</t>
  </si>
  <si>
    <t>Amanida delicada de carbasso, cabra i fruits secs</t>
  </si>
  <si>
    <t>S29</t>
  </si>
  <si>
    <t>Amanida dolça blava</t>
  </si>
  <si>
    <t>Amanida d’estiu amb patata</t>
  </si>
  <si>
    <t>S31</t>
  </si>
  <si>
    <t>Amanida fresca (mesclum, codony, formatge fresc i fruits secs)</t>
  </si>
  <si>
    <t>S32</t>
  </si>
  <si>
    <t>Amanida fresca de temporada amb tocs de poma i un cruixent de fruits secs</t>
  </si>
  <si>
    <t>Amanida mediterrània fresca i crocant</t>
  </si>
  <si>
    <t>Amanida quatre formatges</t>
  </si>
  <si>
    <t>S41</t>
  </si>
  <si>
    <t>Americana Consumo Personal descuento 20%</t>
  </si>
  <si>
    <t>Anis Mono : Copa</t>
  </si>
  <si>
    <t>S44</t>
  </si>
  <si>
    <t>Anis Mono : Xarrup</t>
  </si>
  <si>
    <t>Aquarius Llimona (MENU)</t>
  </si>
  <si>
    <t>Aquarius Llimona Consumo Personal descuento 20%</t>
  </si>
  <si>
    <t>Arros a la cubana</t>
  </si>
  <si>
    <t>Arròs a la cubana</t>
  </si>
  <si>
    <t>Arròs a la cubana amb plàtan</t>
  </si>
  <si>
    <t>Bacalladilla a l’andalusa amb amanida</t>
  </si>
  <si>
    <t>Bacallà a l’andalusa</t>
  </si>
  <si>
    <t>Baileys : Copa</t>
  </si>
  <si>
    <t>Baileys : Xarrup</t>
  </si>
  <si>
    <t>Ballantines : Copa</t>
  </si>
  <si>
    <t>Ballantines : Tub</t>
  </si>
  <si>
    <t>Ballantines Copa</t>
  </si>
  <si>
    <t>S42</t>
  </si>
  <si>
    <t>Ballantines Tub</t>
  </si>
  <si>
    <t>Ballenato</t>
  </si>
  <si>
    <t>Baltic Porter Consumo Personal descuento 20%</t>
  </si>
  <si>
    <t>Bikini Invitacion Hnos Lourdes</t>
  </si>
  <si>
    <t>Boles de coco</t>
  </si>
  <si>
    <t>Bolitas</t>
  </si>
  <si>
    <t>Bomba de la casa</t>
  </si>
  <si>
    <t>Bombon</t>
  </si>
  <si>
    <t>Bombon invitacion</t>
  </si>
  <si>
    <t>Boquerones a la andaluza</t>
  </si>
  <si>
    <t>Boquerons a l’andalusa</t>
  </si>
  <si>
    <t>Botella Terra alta</t>
  </si>
  <si>
    <t>S23</t>
  </si>
  <si>
    <t>Botella Verdejo</t>
  </si>
  <si>
    <t>S25</t>
  </si>
  <si>
    <t>Botifarra de Grau Vila</t>
  </si>
  <si>
    <t>Botifarra de Grau amb patates</t>
  </si>
  <si>
    <t>Botifarra de pagès de Grau Vila amb patates</t>
  </si>
  <si>
    <t>Botifarra esparracada amb bolets</t>
  </si>
  <si>
    <t>Botifarra esparracada amb salseta de bolets</t>
  </si>
  <si>
    <t>Broqueta de La Taperia</t>
  </si>
  <si>
    <t>Broqueta de Salamanca amb patates</t>
  </si>
  <si>
    <t>Broqueta de carbassó</t>
  </si>
  <si>
    <t>Broquetes de camembert amb tomàquets cherry i alfabrega</t>
  </si>
  <si>
    <t>Broquetes de camembert i cherry</t>
  </si>
  <si>
    <t>Broquetes morunes amb les seves patate</t>
  </si>
  <si>
    <t>Burger de pollastre arrebossada amb patates</t>
  </si>
  <si>
    <t>C Barbera Copa</t>
  </si>
  <si>
    <t>C Barbera Tinto</t>
  </si>
  <si>
    <t>C Barbera blanco</t>
  </si>
  <si>
    <t>CONSUMO PERSONAL</t>
  </si>
  <si>
    <t>Caballero : Tub</t>
  </si>
  <si>
    <t>Caballero Copa</t>
  </si>
  <si>
    <t>Cacaolat Invitacion Hnos Lourdes</t>
  </si>
  <si>
    <t>Cafe Sol amb Gel</t>
  </si>
  <si>
    <t>Cafe amb llet Invitacion Hnos Lourdes</t>
  </si>
  <si>
    <t>Cafe amb llet descuento personal 20%</t>
  </si>
  <si>
    <t>Cafe amb llet-descuento personalizado</t>
  </si>
  <si>
    <t>Cafe sol Invitacion</t>
  </si>
  <si>
    <t>Cafel sol</t>
  </si>
  <si>
    <t>Calamars a l 'andalusa</t>
  </si>
  <si>
    <t>Calamars a l'andalusa (descuento 100)</t>
  </si>
  <si>
    <t>Calamars a la planxa</t>
  </si>
  <si>
    <t>S38</t>
  </si>
  <si>
    <t>Calamars a la planxa amb all i juliver</t>
  </si>
  <si>
    <t>Calamars a la planxa amb amanida</t>
  </si>
  <si>
    <t>Calamars a la planxa amb guarnició</t>
  </si>
  <si>
    <t>Calamars a la planxa amb patatas</t>
  </si>
  <si>
    <t>Callos</t>
  </si>
  <si>
    <t>Canelo bolets i formatge</t>
  </si>
  <si>
    <t>Canelo bolets i formatge Mn</t>
  </si>
  <si>
    <t>Canelon brandada de bacalla</t>
  </si>
  <si>
    <t>Canelons amb foie i trufat</t>
  </si>
  <si>
    <t>Canelons de bolets i formatge amb beixamel de bolets</t>
  </si>
  <si>
    <t>Canelons de foie amb beixamel trufada</t>
  </si>
  <si>
    <t>Canelons de foie i rostit</t>
  </si>
  <si>
    <t>Canelons de foie trufat</t>
  </si>
  <si>
    <t>Canelons de foie trufat amb beixame</t>
  </si>
  <si>
    <t xml:space="preserve">Canelons de foie trufat amb beixamel </t>
  </si>
  <si>
    <t>Canelons de foie trufat amb beixamel suau</t>
  </si>
  <si>
    <t xml:space="preserve">Canelons de foie trufat. </t>
  </si>
  <si>
    <t>Canelons de l’avia gratinats al forn</t>
  </si>
  <si>
    <t>Canelons de rostit</t>
  </si>
  <si>
    <t>Canelons de rostit de l’àvia gratinats al forn</t>
  </si>
  <si>
    <t>Canelons gratinats de foie</t>
  </si>
  <si>
    <t>Canelons gratinats de rostit i foie</t>
  </si>
  <si>
    <t>Canelò Foie Trufat (MENU)</t>
  </si>
  <si>
    <t>Caneló amb foie trufat</t>
  </si>
  <si>
    <t>Caneló de foie trufat</t>
  </si>
  <si>
    <t>Canya menu alhambra</t>
  </si>
  <si>
    <t>Capuchino</t>
  </si>
  <si>
    <t>Cardhu RVA L:Xarrup</t>
  </si>
  <si>
    <t>Carn amb salsa (MENU)</t>
  </si>
  <si>
    <t>Carn amb salsa de tomàquet</t>
  </si>
  <si>
    <t>Carn en salsa a la cordovesa.</t>
  </si>
  <si>
    <t>Carn en salsa a la sevillana</t>
  </si>
  <si>
    <t>Carpaccio</t>
  </si>
  <si>
    <t>Carpaccio de carbassó</t>
  </si>
  <si>
    <t>Carpaccio de carbassó, formatge de cabra i fruits secs</t>
  </si>
  <si>
    <t>Carpaccio de vedella amb torradetes, parmesà i pesto</t>
  </si>
  <si>
    <t>Carpaccio de vedella amb torradetes,parmesà i pesto</t>
  </si>
  <si>
    <t>Carxofes amb ibèric</t>
  </si>
  <si>
    <t>Casoleta de provolone</t>
  </si>
  <si>
    <t>Cassola botifarro</t>
  </si>
  <si>
    <t>Cassoleta Provolone</t>
  </si>
  <si>
    <t>1/2 Entrepa Pernil de york</t>
  </si>
  <si>
    <t>Cassoleta de provolone amb botifarró i cruixent de ceba</t>
  </si>
  <si>
    <t>Cassoleta de provolone amb sobrassada</t>
  </si>
  <si>
    <t>Cava Copa</t>
  </si>
  <si>
    <t>Caço</t>
  </si>
  <si>
    <t>Caçó</t>
  </si>
  <si>
    <t>Caçó en adob</t>
  </si>
  <si>
    <t>Caçó en adob tradicional</t>
  </si>
  <si>
    <t>1/2 Entrepa Pernil i formatge</t>
  </si>
  <si>
    <t>Caña Roja</t>
  </si>
  <si>
    <t>Caña Sin Alcohol</t>
  </si>
  <si>
    <t>Cerverza sin alcohol</t>
  </si>
  <si>
    <t>Cerveza Cerveza:Copa (Menu grup Nº2)</t>
  </si>
  <si>
    <t>Cerveza Copa</t>
  </si>
  <si>
    <t>Cheddar</t>
  </si>
  <si>
    <t>Cibada descuento personal 20%</t>
  </si>
  <si>
    <t>Cigalo (descuento 100%)</t>
  </si>
  <si>
    <t>Cigrons estofats amb tripa</t>
  </si>
  <si>
    <t>Cistelleta de mossets de camembert</t>
  </si>
  <si>
    <t>Citra IPA</t>
  </si>
  <si>
    <t>Clara Sin Alcohol</t>
  </si>
  <si>
    <t>Clara Sin Cop</t>
  </si>
  <si>
    <t>Clara Sin Copa</t>
  </si>
  <si>
    <t>Clara sin C:Caña</t>
  </si>
  <si>
    <t>Clara sin C:Copa</t>
  </si>
  <si>
    <t>Clara sin gluten C:Copa</t>
  </si>
  <si>
    <t>Coca Zero</t>
  </si>
  <si>
    <t>Coca de quatre formatges</t>
  </si>
  <si>
    <t>Coca de sobrassada i formatge de cabra</t>
  </si>
  <si>
    <t>Coca pizza 4 formatges</t>
  </si>
  <si>
    <t>Coca pizza Napols</t>
  </si>
  <si>
    <t>Coca pizza americana amb patates</t>
  </si>
  <si>
    <t>Coca pizza ballenato</t>
  </si>
  <si>
    <t>Coca pizza de formatges</t>
  </si>
  <si>
    <t>Coca pizza de quatre formatges gratinada al forn</t>
  </si>
  <si>
    <t>Coca pizza quatre formatges</t>
  </si>
  <si>
    <t>Coca pizza “Ballenato”</t>
  </si>
  <si>
    <t>Cocacola (MENU)</t>
  </si>
  <si>
    <t>Cocacola Consumo Personal descuento 20%</t>
  </si>
  <si>
    <t>Cocacola Llauna</t>
  </si>
  <si>
    <t>Cocacola Sin</t>
  </si>
  <si>
    <t>Cocacola Zero (MENU)</t>
  </si>
  <si>
    <t>Cocacola Zero (descuento 100%)</t>
  </si>
  <si>
    <t>Cocacola-consumo personal 20% 0,53</t>
  </si>
  <si>
    <t>Cocaola Zero</t>
  </si>
  <si>
    <t>Colacao (0,20L)</t>
  </si>
  <si>
    <t>Conca Barbera Blanc Vino:Botella</t>
  </si>
  <si>
    <t>Conca Barbera Blanc Vino:Copa</t>
  </si>
  <si>
    <t>Conca Barbera Copa</t>
  </si>
  <si>
    <t>Conca Barbera Negre Botella</t>
  </si>
  <si>
    <t>Conelo Foie Trufat</t>
  </si>
  <si>
    <t>Consumos Personal</t>
  </si>
  <si>
    <t>Consumos personal (20%)</t>
  </si>
  <si>
    <t>Copa Albariño</t>
  </si>
  <si>
    <t>Copa Cerveza</t>
  </si>
  <si>
    <t>Copa Verdejo Blanco</t>
  </si>
  <si>
    <t>Copa Vi Negre</t>
  </si>
  <si>
    <t>Copa sin alcohol</t>
  </si>
  <si>
    <t>Coquetes de l'avia</t>
  </si>
  <si>
    <t>Corquetes de bolets</t>
  </si>
  <si>
    <t>Coulant Gaby</t>
  </si>
  <si>
    <t>Coulant Vainilla</t>
  </si>
  <si>
    <t>Crema de verdures amb picatostes i cruixent de bacó</t>
  </si>
  <si>
    <t>Crep de pernil dolç i formatge</t>
  </si>
  <si>
    <t>Crep vegetal de tonyina amb salsa tàrtara</t>
  </si>
  <si>
    <t>Crepes d’espinacs amb pernil dolç i formatge</t>
  </si>
  <si>
    <t>Creps casolanes d’espinacs, farcits amb pernil dolç i formatge fos</t>
  </si>
  <si>
    <t>Creps de vegetals i tonyina amb salsa tàrtara</t>
  </si>
  <si>
    <t>Creps vegetals de tonyina amb salsa tàrtara</t>
  </si>
  <si>
    <t>Crestes al forn d'escalivada amb tonyina</t>
  </si>
  <si>
    <t>Crestes al forn de bacallà, porro i gambes</t>
  </si>
  <si>
    <t>Croisant Farciment</t>
  </si>
  <si>
    <t>Croisant xoco Invitacion Hnos Lourdes</t>
  </si>
  <si>
    <t>Croquetes Bacallà</t>
  </si>
  <si>
    <t>Croquetes Cua de Toro (Mix Croquetes)</t>
  </si>
  <si>
    <t>Croquetes Iberic</t>
  </si>
  <si>
    <t>1/2 Entrepa Truita francesa</t>
  </si>
  <si>
    <t>Croquetes Raba</t>
  </si>
  <si>
    <t>Croquetes artesanes</t>
  </si>
  <si>
    <t>Croquetes artesanes de bacallà</t>
  </si>
  <si>
    <t>Croquetes artesanes de foie i bolets</t>
  </si>
  <si>
    <t>Croquetes cabra (Mix Croquetes)</t>
  </si>
  <si>
    <t>Croquetes ceps i foie</t>
  </si>
  <si>
    <t>Croquetes ceps i foie (Mix Croquetes)</t>
  </si>
  <si>
    <t>1/2 Entrepa Truita patates</t>
  </si>
  <si>
    <t>Croquetes de bolets (Mix Croquetes)</t>
  </si>
  <si>
    <t>Croquetes de brandada de bacallà</t>
  </si>
  <si>
    <t>Croquetes de ceps i foie</t>
  </si>
  <si>
    <t>Croquetes de cua de bou</t>
  </si>
  <si>
    <t>Croquetes de formatge de cabra i ceba caramel·litzada</t>
  </si>
  <si>
    <t>Croquetes de formatge de cabra i verdures</t>
  </si>
  <si>
    <t>1/2 Entrepa truita Patates</t>
  </si>
  <si>
    <t>Croquetes de l'àvia (Mix Croquetes)</t>
  </si>
  <si>
    <t>Croquetes de la iaia</t>
  </si>
  <si>
    <t>Croquetes de sobrassada ibèrica amb crema de formatge i mel</t>
  </si>
  <si>
    <t>Croquetes d’ibèric</t>
  </si>
  <si>
    <t>Croquetes espinac i formatge</t>
  </si>
  <si>
    <t>Croquetes espinac i formatge (Mix Croquetes)</t>
  </si>
  <si>
    <t>Crousanet</t>
  </si>
  <si>
    <t>Crousantet</t>
  </si>
  <si>
    <t>Crusanet Xoco</t>
  </si>
  <si>
    <t>Crusantet Xoco</t>
  </si>
  <si>
    <t>Cua de toro</t>
  </si>
  <si>
    <t>Dos segundos</t>
  </si>
  <si>
    <t>Dulce de Mango</t>
  </si>
  <si>
    <t>Duo de croquetes (bolets i rostit)</t>
  </si>
  <si>
    <t>Duo de croquetes: bolets i rostit</t>
  </si>
  <si>
    <t>Emorzar Tradicional</t>
  </si>
  <si>
    <t>Emorzar frances</t>
  </si>
  <si>
    <t>Encenedor</t>
  </si>
  <si>
    <t>Ensalada Burrata</t>
  </si>
  <si>
    <t>Ensalada Calab</t>
  </si>
  <si>
    <t>Ensaladilla russa casolana</t>
  </si>
  <si>
    <t>Entepa Bacon</t>
  </si>
  <si>
    <t>Entremesos de la Taperia variats</t>
  </si>
  <si>
    <t>Entremesos variats de la Taperia</t>
  </si>
  <si>
    <t>1/2 Pa Cristal·li</t>
  </si>
  <si>
    <t>Entrepa Borifarro</t>
  </si>
  <si>
    <t xml:space="preserve">Entrepa Llom-consumo personal 20% </t>
  </si>
  <si>
    <t>Entrepa Penil pais</t>
  </si>
  <si>
    <t>Entrepa Perni de York</t>
  </si>
  <si>
    <t>Entrepa Pernil Iberic</t>
  </si>
  <si>
    <t>Entrepa Pernil Pais</t>
  </si>
  <si>
    <t>Entrepa Pintxito moruno</t>
  </si>
  <si>
    <t>Entrepa Tonyina anxoves</t>
  </si>
  <si>
    <t>Entrepa Truita del dia</t>
  </si>
  <si>
    <t>Entrepa Vegetal pollastre</t>
  </si>
  <si>
    <t>Entrepar Truita francesa</t>
  </si>
  <si>
    <t>Entrepà Vegetal pollastre</t>
  </si>
  <si>
    <t>Escalopins de llom amb patates fregides</t>
  </si>
  <si>
    <t>Escalopins de llom arrebossats</t>
  </si>
  <si>
    <t>Escopinyes Consumo Personal descuento 20%</t>
  </si>
  <si>
    <t>Esmorzar Caldes</t>
  </si>
  <si>
    <t>Esmorzar La Truita</t>
  </si>
  <si>
    <t>Esmorzar Tradicional Xoco</t>
  </si>
  <si>
    <t>Esmorzar Tradicional amb Francesa</t>
  </si>
  <si>
    <t>Espaguetis a la bolonyesa</t>
  </si>
  <si>
    <t>Esparracada (MENU)</t>
  </si>
  <si>
    <t>Estofat de cigrons amb callos</t>
  </si>
  <si>
    <t>Estofat de mongetes amb xoriço</t>
  </si>
  <si>
    <t>Estofat de patata i calamar</t>
  </si>
  <si>
    <t>FLam</t>
  </si>
  <si>
    <t>Fanta (invitacion)</t>
  </si>
  <si>
    <t>Figers de pollastre Consumo Personal descuento 20%</t>
  </si>
  <si>
    <t>1/2 Suplement formatge</t>
  </si>
  <si>
    <t>Filet de lluç a l’andalusa</t>
  </si>
  <si>
    <t>Fingers de pollastre consumo personal descuento 20%</t>
  </si>
  <si>
    <t>Fla Manzana</t>
  </si>
  <si>
    <t>Flam (MENU)</t>
  </si>
  <si>
    <t>Flam Cafe</t>
  </si>
  <si>
    <t>Flam Huevo</t>
  </si>
  <si>
    <t>Flam Manzana</t>
  </si>
  <si>
    <t>Flam Nata</t>
  </si>
  <si>
    <t>Flam Poma</t>
  </si>
  <si>
    <t>Flam Verdures</t>
  </si>
  <si>
    <t>Flam X</t>
  </si>
  <si>
    <t>Flam amb Nata</t>
  </si>
  <si>
    <t>Flam casolà de tonyina amb gambes i escalivada al forn</t>
  </si>
  <si>
    <t>Flam d'Ou</t>
  </si>
  <si>
    <t>Flam de verduretes</t>
  </si>
  <si>
    <t>Flam del dia</t>
  </si>
  <si>
    <t>Flamet de porro i pernil dolç</t>
  </si>
  <si>
    <t>Flan Chocolate</t>
  </si>
  <si>
    <t>Flan Mama</t>
  </si>
  <si>
    <t>Flan Manzana</t>
  </si>
  <si>
    <t>Flan Mato</t>
  </si>
  <si>
    <t>Flan Nata</t>
  </si>
  <si>
    <t>Flors de carxofa</t>
  </si>
  <si>
    <t>Flors de carxofa amb encenalls de pernil ibèric</t>
  </si>
  <si>
    <t>Flors de carxofa amb pernil ibèric (</t>
  </si>
  <si>
    <t>Flors de carxofa confitades amb encenalls d'ibèric</t>
  </si>
  <si>
    <t>1925 verda</t>
  </si>
  <si>
    <t>Flors de carxofa confitades amb encenalls d’ibèric</t>
  </si>
  <si>
    <t>Flors de carxofa confitades amb encenalls d’ibèric cruixents al forn</t>
  </si>
  <si>
    <t>Flors de carxofa confitades, gratinades amb encenalls de pernil ibèric</t>
  </si>
  <si>
    <t>Focaccia de sobrassada ibèrica, formatge de cabra i  un toc de mel</t>
  </si>
  <si>
    <t xml:space="preserve">Focaccia d’Focaccia </t>
  </si>
  <si>
    <t>Focaccia d’escalivada i anxoves</t>
  </si>
  <si>
    <t>Fondue Formatges i Poma</t>
  </si>
  <si>
    <t>Fondue Formatges i Poma (MENU)</t>
  </si>
  <si>
    <t>Fondue de formatge amb poma caramel·litzada</t>
  </si>
  <si>
    <t xml:space="preserve">Formatge-consumo personal 20% </t>
  </si>
  <si>
    <t>Founde de formatges amb poma caramel·litzada</t>
  </si>
  <si>
    <t>Four Roses : Copa</t>
  </si>
  <si>
    <t>Francesa</t>
  </si>
  <si>
    <t>Frangelico : Xarrup</t>
  </si>
  <si>
    <t>Fregida de peix (suplement 3,00 €)</t>
  </si>
  <si>
    <t>Fregit de peix l’andalusa</t>
  </si>
  <si>
    <t>Fritura de peix</t>
  </si>
  <si>
    <t>Fruta</t>
  </si>
  <si>
    <t>Gaspatxo andalús amb guarnició</t>
  </si>
  <si>
    <t>Gaspatxo de síndria</t>
  </si>
  <si>
    <t>Gaspatxo verd d’espàrrecs i cogombre amb ou dur</t>
  </si>
  <si>
    <t>Gelat Vainilla</t>
  </si>
  <si>
    <t>Gelat Xocolata</t>
  </si>
  <si>
    <t>Got de llet (0,20L)</t>
  </si>
  <si>
    <t>Hamburguesa a la planxa</t>
  </si>
  <si>
    <t>Hamburguesa a la planxa amb guarnició del dia</t>
  </si>
  <si>
    <t>Hamburguesa a la planxa de Grau Vila amb guarnició</t>
  </si>
  <si>
    <t>Hamburguesa de pollastre amb patates</t>
  </si>
  <si>
    <t>Hamburguesa de vedella a la planxa amb guarnicio</t>
  </si>
  <si>
    <t>Hamburguesa de vedella de Grau Vila amb verduretes a la planxa</t>
  </si>
  <si>
    <t>Helado</t>
  </si>
  <si>
    <t>Herbes Xarrup</t>
  </si>
  <si>
    <t>Huevo</t>
  </si>
  <si>
    <t>Huevos de Can Coll estrellados con chistorra</t>
  </si>
  <si>
    <t>Hummus Tradicional</t>
  </si>
  <si>
    <t>Hummus de pastanaga rostida</t>
  </si>
  <si>
    <t>Hummus tradicional amb bastonets de verdures</t>
  </si>
  <si>
    <t>Hummus tradicional amb oli d’oliva verge i bastonets de crudités cruixents</t>
  </si>
  <si>
    <t>Hummus tradional casolà</t>
  </si>
  <si>
    <t>Iberic</t>
  </si>
  <si>
    <t>J &amp; B : Copa</t>
  </si>
  <si>
    <t>S51</t>
  </si>
  <si>
    <t>J&amp;B L Xarrup</t>
  </si>
  <si>
    <t>JB Tub</t>
  </si>
  <si>
    <t>Jack Daniel`s Xarrup</t>
  </si>
  <si>
    <t>Ketchup</t>
  </si>
  <si>
    <t>Kiwi</t>
  </si>
  <si>
    <t>LICOR: ANIS</t>
  </si>
  <si>
    <t>LICOR: BAILEYS</t>
  </si>
  <si>
    <t>LICOR: MARIE BRIZARD</t>
  </si>
  <si>
    <t>LICOR: RON PUJOL</t>
  </si>
  <si>
    <t>LLesca Torrija</t>
  </si>
  <si>
    <t>La nostra amanida russa amb ventresca de tonyina</t>
  </si>
  <si>
    <t>Lata Alhambra Lager</t>
  </si>
  <si>
    <t>Lata Alhambra Lager Consumo Personal descuento 20%</t>
  </si>
  <si>
    <t>Licor Herbes : Copa</t>
  </si>
  <si>
    <t>Licor Herbes : Tub</t>
  </si>
  <si>
    <t>Licor Herbes : Xarrup</t>
  </si>
  <si>
    <t>Licor Orujo : Copa</t>
  </si>
  <si>
    <t>Licor Orujo : Xarrup</t>
  </si>
  <si>
    <t>Licor Orujo Tub</t>
  </si>
  <si>
    <t>Licor Orujo Xarrup</t>
  </si>
  <si>
    <t>Limoncello : Xarrup</t>
  </si>
  <si>
    <t>Llagostins tartara</t>
  </si>
  <si>
    <t>Llenties estofades</t>
  </si>
  <si>
    <t>Llenties estofades de l'avia</t>
  </si>
  <si>
    <t>Llenties estofades de l’àvia</t>
  </si>
  <si>
    <t>Llesca Torrijas</t>
  </si>
  <si>
    <t>Lllevar Azucar</t>
  </si>
  <si>
    <t>Llom a la planxa</t>
  </si>
  <si>
    <t>Llom a la planxa amb all i julivert</t>
  </si>
  <si>
    <t>Llom adobat amb la seva guarnició</t>
  </si>
  <si>
    <t>Llom amb salseta de formatges</t>
  </si>
  <si>
    <t>Llom amb salseta de safrà</t>
  </si>
  <si>
    <t>Llom planxa</t>
  </si>
  <si>
    <t>Lomoncello Xarrup</t>
  </si>
  <si>
    <t>MENU</t>
  </si>
  <si>
    <t>Macarrons Pesto (MENU)</t>
  </si>
  <si>
    <t>Macarrons a la bolonyesa gratinats amb formatge</t>
  </si>
  <si>
    <t>Macarrons al pesto amb encenalls de parmesa</t>
  </si>
  <si>
    <t>Macarrons amb crema d'alfabrega</t>
  </si>
  <si>
    <t>Macarrons amb salsa de formatges</t>
  </si>
  <si>
    <t>Macarrons en salsa de formatges</t>
  </si>
  <si>
    <t>Maduixes amb nata</t>
  </si>
  <si>
    <t>Magno : Copa</t>
  </si>
  <si>
    <t>Magno : Xarrup</t>
  </si>
  <si>
    <t>Mahou 0.0 Sin Gluten</t>
  </si>
  <si>
    <t>Mahou Sin gluten</t>
  </si>
  <si>
    <t>Mandonguilles (MENU)</t>
  </si>
  <si>
    <t>Mandonguilles casolanes</t>
  </si>
  <si>
    <t>Mandonguilles de l'avia</t>
  </si>
  <si>
    <t>Mandonguilles de l’àvia amb salseta de verduretes</t>
  </si>
  <si>
    <t>Mandonguilles meloses al Verdejo amb sofregit d’ametlla i toc casolà</t>
  </si>
  <si>
    <t>Marie Brizard</t>
  </si>
  <si>
    <t>Masia d'or Cava /:Botella</t>
  </si>
  <si>
    <t>Masia d'or Cava /:Copa</t>
  </si>
  <si>
    <t>Masia d'or Cava Botella</t>
  </si>
  <si>
    <t>Masia d'or Cava Copa</t>
  </si>
  <si>
    <t>Masia d'or Cava Vinos:Copa</t>
  </si>
  <si>
    <t>Masia d\'or Cava Vinos:Botella</t>
  </si>
  <si>
    <t>Mato</t>
  </si>
  <si>
    <t>Mega Cookie</t>
  </si>
  <si>
    <t>Melon</t>
  </si>
  <si>
    <t>Menestra de verdures</t>
  </si>
  <si>
    <t>Menu Dolç amb Pastis de formatge</t>
  </si>
  <si>
    <t>Menu Dolç-Pastis Mató</t>
  </si>
  <si>
    <t>Menu dolç (pastis de formatge)</t>
  </si>
  <si>
    <t>Menu dolç + Pastis fastuc</t>
  </si>
  <si>
    <t>Menu dolç amb Pastis Mato</t>
  </si>
  <si>
    <t>Menu dolç amb Pastis fastuc</t>
  </si>
  <si>
    <t>Menu dolç amb Pastis festuc</t>
  </si>
  <si>
    <t>Menu dolç+ Pastis de formatge</t>
  </si>
  <si>
    <t>Menu dolç-Pastis de formatge</t>
  </si>
  <si>
    <t>Menu dolçs amb Pastis fastuc</t>
  </si>
  <si>
    <t>Menu grupos 4</t>
  </si>
  <si>
    <t>Menu grupos Nº2</t>
  </si>
  <si>
    <t>Mix de croquetes casolanes (bolets i rostit)</t>
  </si>
  <si>
    <t>Mix de croquetes de carn d’olla i bolets amb patates</t>
  </si>
  <si>
    <t>Mix de croquetes de formatge de cabra i de cua de bou</t>
  </si>
  <si>
    <t xml:space="preserve">Mix de croquetes d’ibèric i bolets </t>
  </si>
  <si>
    <t>Monsant Copa</t>
  </si>
  <si>
    <t>Montsant Botella</t>
  </si>
  <si>
    <t>Montsant Montsant V:Copa</t>
  </si>
  <si>
    <t>Montsant Personal John</t>
  </si>
  <si>
    <t>Montsant Vino:Botella</t>
  </si>
  <si>
    <t>Montsant Vino:Copa</t>
  </si>
  <si>
    <t>Montsant Vinos:Botella</t>
  </si>
  <si>
    <t>Montsant Vinos:Copa</t>
  </si>
  <si>
    <t>Morro fregil mel</t>
  </si>
  <si>
    <t>Morros fregit</t>
  </si>
  <si>
    <t>Mort per xocolata</t>
  </si>
  <si>
    <t xml:space="preserve">Mouse </t>
  </si>
  <si>
    <t>Mouse FR</t>
  </si>
  <si>
    <t>Mouse Frutas</t>
  </si>
  <si>
    <t>Mouse L</t>
  </si>
  <si>
    <t>Mouse Limon</t>
  </si>
  <si>
    <t>Mouse N</t>
  </si>
  <si>
    <t>Mouse Naranja</t>
  </si>
  <si>
    <t>Mouse Nutella</t>
  </si>
  <si>
    <t>Mouse Papaya</t>
  </si>
  <si>
    <t>Mouse Taronja</t>
  </si>
  <si>
    <t>Mouse de fruites: Cafè</t>
  </si>
  <si>
    <t>Mouse de fruites: Limona</t>
  </si>
  <si>
    <t>Mousse Fresa</t>
  </si>
  <si>
    <t>Mousse Limon</t>
  </si>
  <si>
    <t>Mousse Nutella</t>
  </si>
  <si>
    <t>Mousse Plàtan</t>
  </si>
  <si>
    <t>Mousse Taronja</t>
  </si>
  <si>
    <t>Mousse fruites (MENU)</t>
  </si>
  <si>
    <t>Mousse frutos rojos</t>
  </si>
  <si>
    <t>Mousse llimona</t>
  </si>
  <si>
    <t>Musclos al pesto</t>
  </si>
  <si>
    <t>Musclos al pesto amb galeta de parmesà</t>
  </si>
  <si>
    <t>Musclos escabetx</t>
  </si>
  <si>
    <t>Nachos Texas</t>
  </si>
  <si>
    <t>Napol</t>
  </si>
  <si>
    <t>Neste Llimona</t>
  </si>
  <si>
    <t>Nestea Limon</t>
  </si>
  <si>
    <t>Nestea Llimona</t>
  </si>
  <si>
    <t>Nestea Llimona-consumo personal 20% 0,53</t>
  </si>
  <si>
    <t>Nestea Maracuya</t>
  </si>
  <si>
    <t>Nestea Maracuya (descuento 100%)</t>
  </si>
  <si>
    <t>Numerada mel i romero</t>
  </si>
  <si>
    <t>Olines farcides</t>
  </si>
  <si>
    <t>Olivas Adobades</t>
  </si>
  <si>
    <t>Olves farcides</t>
  </si>
  <si>
    <t>Orella a la gallega (MENU)</t>
  </si>
  <si>
    <t>Orujo Tub</t>
  </si>
  <si>
    <t>Orujo Xarrup</t>
  </si>
  <si>
    <t>Ous Baco i formartge</t>
  </si>
  <si>
    <t>Ous Estrellats</t>
  </si>
  <si>
    <t>Ous Farcits</t>
  </si>
  <si>
    <t>Ous amb gules (MENU)</t>
  </si>
  <si>
    <t>Ous amb pernil celler</t>
  </si>
  <si>
    <t>Ous amb xistorra (MENU)</t>
  </si>
  <si>
    <t>Ous amb xitorra</t>
  </si>
  <si>
    <t>Ous bacó i formatge (MENU)</t>
  </si>
  <si>
    <t>Ous bacó i formatge (Menú)</t>
  </si>
  <si>
    <t>Ous de Can Coll estrellats amb Iberic (Menu)</t>
  </si>
  <si>
    <t>Ous de Can Coll estrellats amb encenall de foie i parmesa</t>
  </si>
  <si>
    <t>Ous de Can Coll estrellats amb xistorra (Menu)</t>
  </si>
  <si>
    <t>Ous estrellats amb bacó i formatge</t>
  </si>
  <si>
    <t>Ous estrellats amb botifarró i ceba cruixent</t>
  </si>
  <si>
    <t>Ous estrellats amb botifarró i cruixent de ceba</t>
  </si>
  <si>
    <t>Ous estrellats amb encenalls d’ibèric</t>
  </si>
  <si>
    <t>Ous estrellats amb foie i encenalls de parmesà</t>
  </si>
  <si>
    <t>Ous estrellats amb gules (Menú)</t>
  </si>
  <si>
    <t>Ous estrellats amb gules i calamar</t>
  </si>
  <si>
    <t>Ous estrellats amb llom i pebrot verd</t>
  </si>
  <si>
    <t>Ous estrellats amb pebrot verd</t>
  </si>
  <si>
    <t>Ous estrellats amb pernil ibèric</t>
  </si>
  <si>
    <t>Ous estrellats amb sobrassada de Mallorca i un toc de mel</t>
  </si>
  <si>
    <t>Ous estrellats de Can Coll amb botifarra negra</t>
  </si>
  <si>
    <t>Ous farcits de musclos en escabetx.</t>
  </si>
  <si>
    <t>Ous farcits de tonyina</t>
  </si>
  <si>
    <t>Ous farcits de tonyina i musclos</t>
  </si>
  <si>
    <t>Ous ferrats</t>
  </si>
  <si>
    <t>Ous gula i calamar</t>
  </si>
  <si>
    <t>Ous pernil celler</t>
  </si>
  <si>
    <t>Pa Coca</t>
  </si>
  <si>
    <t>Pa Pessic Taronja</t>
  </si>
  <si>
    <t>Pa Tomàquet</t>
  </si>
  <si>
    <t>Pa cristal·li</t>
  </si>
  <si>
    <t>Pa cristal·li (descuento 100%)</t>
  </si>
  <si>
    <t>Pa de coca</t>
  </si>
  <si>
    <t>Pa de pessic taronja xocolata</t>
  </si>
  <si>
    <t>Pa de pessic taronja xocolata Mn</t>
  </si>
  <si>
    <t>Pan Coca</t>
  </si>
  <si>
    <t>Pan de coca con escalivada y atún</t>
  </si>
  <si>
    <t>Pastel Pistacho</t>
  </si>
  <si>
    <t>Pastic factuc</t>
  </si>
  <si>
    <t>Pastic fastuc</t>
  </si>
  <si>
    <t>Pastic festuc</t>
  </si>
  <si>
    <t>Pastis</t>
  </si>
  <si>
    <t>Pastis Formatge</t>
  </si>
  <si>
    <t>Pastis Mato</t>
  </si>
  <si>
    <t>Pastis Mató</t>
  </si>
  <si>
    <t>Pastis Queso</t>
  </si>
  <si>
    <t>Pastis de Carn</t>
  </si>
  <si>
    <t>Pastis de Poma</t>
  </si>
  <si>
    <t>Pastis de cafe</t>
  </si>
  <si>
    <t>Pastis de formate</t>
  </si>
  <si>
    <t>Pastis de formatge Invitacion Hnos Lourdes</t>
  </si>
  <si>
    <t>Pastis de formatge-consumo personal 20% 1,30</t>
  </si>
  <si>
    <t>Pastis de mato</t>
  </si>
  <si>
    <t>Pastis de patata i carn gratinat al forn</t>
  </si>
  <si>
    <t>Pastis factuc</t>
  </si>
  <si>
    <t>Pastis fastuc</t>
  </si>
  <si>
    <t>Pastis fastuc (consumo personal-descuento 20%)</t>
  </si>
  <si>
    <t>Pastis festuc (descuento 100%)</t>
  </si>
  <si>
    <t>Pastís de formatge (MENU)</t>
  </si>
  <si>
    <t>Pastís de fresa</t>
  </si>
  <si>
    <t>Pastís de patata i carn gratinat</t>
  </si>
  <si>
    <t>Patata farcida de bolonyesa gratinada</t>
  </si>
  <si>
    <t>Patatas Braves</t>
  </si>
  <si>
    <t>Patatas Zapata</t>
  </si>
  <si>
    <t>Patates Braves (consumo personal 20% descuento) 5,60€</t>
  </si>
  <si>
    <t>Patates Braves (consumo personal 20%)</t>
  </si>
  <si>
    <t>Patates Braves Invitacion Hnos Lourdes</t>
  </si>
  <si>
    <t>Patates Braves superpopi invitacion</t>
  </si>
  <si>
    <t>Patates Braves-consumo personal 20% 2,24</t>
  </si>
  <si>
    <t>Patates d’Olot</t>
  </si>
  <si>
    <t>Patates estofades amb carxofes i bacalla</t>
  </si>
  <si>
    <t>Patxaran Etxeko : Copa</t>
  </si>
  <si>
    <t>Patxaran Etxeko : Tub</t>
  </si>
  <si>
    <t>Patxaran Etxeko : Xarrup</t>
  </si>
  <si>
    <t>Pebrots del Padro</t>
  </si>
  <si>
    <t>Pebrots piquillo</t>
  </si>
  <si>
    <t>Peix del dia fresc, preparat al gust del xef</t>
  </si>
  <si>
    <t>Peix del dia la planxa bacaladilla</t>
  </si>
  <si>
    <t>Pesols saltats amb encenalls de baco cruixent</t>
  </si>
  <si>
    <t>Pesols saltats amb pernil iberic</t>
  </si>
  <si>
    <t>Pintxo truita patates</t>
  </si>
  <si>
    <t>Pinxo moru amb patates fregides</t>
  </si>
  <si>
    <t>Pinxo morú de porc</t>
  </si>
  <si>
    <t>Pinxos amb patates</t>
  </si>
  <si>
    <t>Pinya</t>
  </si>
  <si>
    <t>Pit de pollastre a la planxa amb la guarnició del dia</t>
  </si>
  <si>
    <t>Pitxo truita patata</t>
  </si>
  <si>
    <t>Piña</t>
  </si>
  <si>
    <t>Platano</t>
  </si>
  <si>
    <t>Pollastre al forn</t>
  </si>
  <si>
    <t>Provolone i botifarro</t>
  </si>
  <si>
    <t>Provolone i botifarro (descuento 100%)</t>
  </si>
  <si>
    <t>Provolone i botifarró</t>
  </si>
  <si>
    <t>Pudin (MENU)</t>
  </si>
  <si>
    <t>Pudin Chocolate</t>
  </si>
  <si>
    <t>Pudin Platano</t>
  </si>
  <si>
    <t>Puding Cafe</t>
  </si>
  <si>
    <t>Pundin Nata</t>
  </si>
  <si>
    <t>Pèsols saltejats amb bacó</t>
  </si>
  <si>
    <t>Quatre formates</t>
  </si>
  <si>
    <t>Quatre formatges (MENU)</t>
  </si>
  <si>
    <t>Ratafia Copa</t>
  </si>
  <si>
    <t>Ratafia Xarrup</t>
  </si>
  <si>
    <t>Ratafia Xarrup (descuento 100%)</t>
  </si>
  <si>
    <t>Ratafia:Copa</t>
  </si>
  <si>
    <t>Ratafia:Tub</t>
  </si>
  <si>
    <t>Ratafia:Xarrup</t>
  </si>
  <si>
    <t>Remojón cordoves amb bacalla i taronja ecologica</t>
  </si>
  <si>
    <t>Rerserva Vermella Copa</t>
  </si>
  <si>
    <t>Reserva Vermella C:Caña</t>
  </si>
  <si>
    <t>Reserva Vermella Copa (consumo personal) 20%</t>
  </si>
  <si>
    <t>Reserva Vermella Copa (descuento 100%)</t>
  </si>
  <si>
    <t>Reserva Vermella Doble Canya</t>
  </si>
  <si>
    <t>Reserva Vermeñña Caña</t>
  </si>
  <si>
    <t>Reserva Vermeñña Copa</t>
  </si>
  <si>
    <t>Ribera</t>
  </si>
  <si>
    <t>Ribera Copa</t>
  </si>
  <si>
    <t>Ribera V:Botella</t>
  </si>
  <si>
    <t>Ribera V:Copa</t>
  </si>
  <si>
    <t>Ribera Vino Botella</t>
  </si>
  <si>
    <t>Ribera Vino:Botella</t>
  </si>
  <si>
    <t>Rioja V:Botella</t>
  </si>
  <si>
    <t>Rioja V:Copa</t>
  </si>
  <si>
    <t>Roja</t>
  </si>
  <si>
    <t>Ron Pujol : Copa</t>
  </si>
  <si>
    <t>Ron Pujol Xarrup</t>
  </si>
  <si>
    <t>Sandia</t>
  </si>
  <si>
    <t>Sangria</t>
  </si>
  <si>
    <t>Sangria Jarra</t>
  </si>
  <si>
    <t>Sangria Vi Capacidad Sangria:Copa</t>
  </si>
  <si>
    <t>Sangria Vi Capacidad Sangria:Jarra</t>
  </si>
  <si>
    <t>Sangria cava Capacidad Sangria:Jarra</t>
  </si>
  <si>
    <t>Sangria vi jarra</t>
  </si>
  <si>
    <t>Seitons</t>
  </si>
  <si>
    <t>Seitons a l’andalusa amb amanida</t>
  </si>
  <si>
    <t>Seitons andalusa (MENU)</t>
  </si>
  <si>
    <t>Selecció de Croquetes de bolets i de rostit</t>
  </si>
  <si>
    <t>Serranito-consumo personal 20% 1,54</t>
  </si>
  <si>
    <t>Servicio Pastel</t>
  </si>
  <si>
    <t>Sindria</t>
  </si>
  <si>
    <t>Sobrassada</t>
  </si>
  <si>
    <t>Sopa de ceba</t>
  </si>
  <si>
    <t>Sopa de ceba amb cruixent de parmesà</t>
  </si>
  <si>
    <t>Sopa de ceba gratinada</t>
  </si>
  <si>
    <t>Sopa de ceba gratinada, coronada amb cruixent galeta de parmesa</t>
  </si>
  <si>
    <t>Sorbet</t>
  </si>
  <si>
    <t>Suc Natural Invitacion Hnos Lourdes</t>
  </si>
  <si>
    <t>Suc Natural-consumo personal 20% 0,55</t>
  </si>
  <si>
    <t>Suplement Ou</t>
  </si>
  <si>
    <t>Suplement Tomaquet</t>
  </si>
  <si>
    <t>Suplement patates</t>
  </si>
  <si>
    <t>Suplements patates</t>
  </si>
  <si>
    <t>Tallarins amb salsa de formatge i espinacs</t>
  </si>
  <si>
    <t>Tallarins amb salsa de pesto suau</t>
  </si>
  <si>
    <t>Tallat (descuento 100%)</t>
  </si>
  <si>
    <t>Tallat Invitacion</t>
  </si>
  <si>
    <t>Tarta</t>
  </si>
  <si>
    <t>Tarta Mato</t>
  </si>
  <si>
    <t>Tarta Pistacho</t>
  </si>
  <si>
    <t>Tarta festuc</t>
  </si>
  <si>
    <t>Taula de Pintxito moruno</t>
  </si>
  <si>
    <t xml:space="preserve">Taula de Pinxito moruno </t>
  </si>
  <si>
    <t>Taula de formatges artesans</t>
  </si>
  <si>
    <t xml:space="preserve">Taula de formatges ibèrics </t>
  </si>
  <si>
    <t>Taula de pintxo moruno</t>
  </si>
  <si>
    <t>Tequeños</t>
  </si>
  <si>
    <t>Tequeños Nutella</t>
  </si>
  <si>
    <t>Terra Alta Botella</t>
  </si>
  <si>
    <t>Terra Alta V:Copa</t>
  </si>
  <si>
    <t>Terra Alta Vino:Copa</t>
  </si>
  <si>
    <t>Terra Alta Vinos:Botella</t>
  </si>
  <si>
    <t>Terra Alta Vinos:Copa</t>
  </si>
  <si>
    <t>Terra Alta personal</t>
  </si>
  <si>
    <t>Tinto Menu</t>
  </si>
  <si>
    <t>Tiramisu</t>
  </si>
  <si>
    <t>Torrada Entera Invitacion Hnos Lourdes</t>
  </si>
  <si>
    <t>Torrada americana amb ingredients seleccionats i un toc cruixent</t>
  </si>
  <si>
    <t>Torrada de quatre formatges amb pa de vidre</t>
  </si>
  <si>
    <t>Torrada “pizza Ballenato”</t>
  </si>
  <si>
    <t>Torrada “pizza Ballenato”.</t>
  </si>
  <si>
    <t xml:space="preserve">Torrijas Nutela </t>
  </si>
  <si>
    <t>Torrijas Nutella (descuento 100%)</t>
  </si>
  <si>
    <t>Tosta pizza “Ballenato"</t>
  </si>
  <si>
    <t>Trifasic</t>
  </si>
  <si>
    <t>Truita Patates</t>
  </si>
  <si>
    <t>Truita Verdures (MENU)</t>
  </si>
  <si>
    <t>Truita de bledes amb bacalla</t>
  </si>
  <si>
    <t>Truita de patata</t>
  </si>
  <si>
    <t>Truita de patata amb ceba caramel·litzada</t>
  </si>
  <si>
    <t>Truita de patata amb porro i bacallà</t>
  </si>
  <si>
    <t>Truita de patates amb porro i bacallà</t>
  </si>
  <si>
    <t>Truita de verdures de temporada</t>
  </si>
  <si>
    <t>Truita de verdures.</t>
  </si>
  <si>
    <t>Truita de verduretes</t>
  </si>
  <si>
    <t>Truita sencera de patates</t>
  </si>
  <si>
    <t>Tónica</t>
  </si>
  <si>
    <t>Valencia</t>
  </si>
  <si>
    <t>Varis Cafe</t>
  </si>
  <si>
    <t>Verdejo Botella</t>
  </si>
  <si>
    <t>Verdejo V:Botella</t>
  </si>
  <si>
    <t>Vermella</t>
  </si>
  <si>
    <t>Vermut</t>
  </si>
  <si>
    <t>Veterano Copa</t>
  </si>
  <si>
    <t>Amanida montesa</t>
  </si>
  <si>
    <t xml:space="preserve">Vino </t>
  </si>
  <si>
    <t>Vino B</t>
  </si>
  <si>
    <t>Vino Blanco Copa</t>
  </si>
  <si>
    <t>Vino N</t>
  </si>
  <si>
    <t>Yogurt Natural</t>
  </si>
  <si>
    <t>Yogurts</t>
  </si>
  <si>
    <t>yogurt</t>
  </si>
  <si>
    <t>CAfe amb llet</t>
  </si>
  <si>
    <t>CAfe sol</t>
  </si>
  <si>
    <t>Descuentos</t>
  </si>
  <si>
    <t>Cafe america</t>
  </si>
  <si>
    <t>Canelo Foie trufat</t>
  </si>
  <si>
    <t>Canelons de foie trufat amb beixamel</t>
  </si>
  <si>
    <t>Canelons de foie trufat.</t>
  </si>
  <si>
    <t>Menu grupos 4 entrada</t>
  </si>
  <si>
    <t>Menu grupos 4 bebida</t>
  </si>
  <si>
    <t>Caña roja</t>
  </si>
  <si>
    <t>Caña sin alcohol</t>
  </si>
  <si>
    <t>Clara sin alcohol</t>
  </si>
  <si>
    <t>Croquetes Cabra</t>
  </si>
  <si>
    <t>Entrepa Llom-consumo personal 20%</t>
  </si>
  <si>
    <t>Entrepa Pernil pais</t>
  </si>
  <si>
    <t>Entrepa pollastre</t>
  </si>
  <si>
    <t>Menu segundos</t>
  </si>
  <si>
    <t>Fanta taronja</t>
  </si>
  <si>
    <t>Fingers de Pollastre</t>
  </si>
  <si>
    <t>Flam D'ou</t>
  </si>
  <si>
    <t>Flam huevo</t>
  </si>
  <si>
    <t>Flam ou</t>
  </si>
  <si>
    <t>Flors Carxofes</t>
  </si>
  <si>
    <t>Focaccia d’Focaccia</t>
  </si>
  <si>
    <t>Formatge-consumo personal 20%</t>
  </si>
  <si>
    <t>Got de LLet (0,20L)</t>
  </si>
  <si>
    <t>Got de Llet (0,20L)</t>
  </si>
  <si>
    <t>Hummus tradicional</t>
  </si>
  <si>
    <t>Licor herbes Xarrup</t>
  </si>
  <si>
    <t>Menu primeros</t>
  </si>
  <si>
    <t>Masia d'or cava Copa</t>
  </si>
  <si>
    <t>Menu dolç amb Pastis de formatge</t>
  </si>
  <si>
    <t>Menu dolç amb pastis de formatge</t>
  </si>
  <si>
    <t>Mix de croquetes d’ibèric i bolets</t>
  </si>
  <si>
    <t>Mouse</t>
  </si>
  <si>
    <t>Menu grupos 4 postre</t>
  </si>
  <si>
    <t>Nestea LLimona</t>
  </si>
  <si>
    <t>Olivas adobades</t>
  </si>
  <si>
    <t>Pa Cristal·li</t>
  </si>
  <si>
    <t>Pastis Festuc</t>
  </si>
  <si>
    <t>Pastis formatge</t>
  </si>
  <si>
    <t>Pudin coco</t>
  </si>
  <si>
    <t>Sandwich vegetal</t>
  </si>
  <si>
    <t>Suplement Patates</t>
  </si>
  <si>
    <t>Tallat invitacion</t>
  </si>
  <si>
    <t>Taula de Pinxito Moruno</t>
  </si>
  <si>
    <t>Taula de formatges ibèrics</t>
  </si>
  <si>
    <t>Torrijas Nutela</t>
  </si>
  <si>
    <t>Unika</t>
  </si>
  <si>
    <t>cafe amb llet</t>
  </si>
  <si>
    <t>fingers de pollastre</t>
  </si>
  <si>
    <t>francesa</t>
  </si>
  <si>
    <t>olives adobades</t>
  </si>
  <si>
    <t>tarta Mato</t>
  </si>
  <si>
    <t>Escorxar Tradicional</t>
  </si>
  <si>
    <t>Menú Nable</t>
  </si>
  <si>
    <t>PRODUCT MIX — TAPERIA DE CALDES (Caja 1 + Caja 2)</t>
  </si>
  <si>
    <t>⬇ Selecciona el tipo de periodo y el periodo específico en las celdas azules</t>
  </si>
  <si>
    <t>Tipo Periodo:</t>
  </si>
  <si>
    <t>Semanal</t>
  </si>
  <si>
    <t>Periodo:</t>
  </si>
  <si>
    <t>% Mix Importe</t>
  </si>
  <si>
    <t>Ticket Medio (€)</t>
  </si>
  <si>
    <t>Coste Total (€)</t>
  </si>
  <si>
    <t>COS%</t>
  </si>
  <si>
    <t>Coste%T</t>
  </si>
  <si>
    <t>MCU (€)</t>
  </si>
  <si>
    <t>MCU%T</t>
  </si>
  <si>
    <t>Acum. Uds%</t>
  </si>
  <si>
    <t>Acum. Margen%</t>
  </si>
  <si>
    <t>S10</t>
  </si>
  <si>
    <t>S46</t>
  </si>
  <si>
    <t>S47</t>
  </si>
  <si>
    <t>S52</t>
  </si>
  <si>
    <t>PRODUCT MIX POR SUBFAMILIA</t>
  </si>
  <si>
    <t>Nº Artículos</t>
  </si>
  <si>
    <t>Cant%T</t>
  </si>
  <si>
    <t>Neto%T</t>
  </si>
  <si>
    <t>Coste (€)</t>
  </si>
  <si>
    <t>Tapas Frias / frías</t>
  </si>
  <si>
    <t>Bocadillos Frios / fríos</t>
  </si>
  <si>
    <t>Cafe / Café</t>
  </si>
  <si>
    <t>🍳 PREVISIÓN DE PRODUCCIÓN — COCINA</t>
  </si>
  <si>
    <t>¿Cuántas semanas preparar?</t>
  </si>
  <si>
    <t>1 semana</t>
  </si>
  <si>
    <t>👆 Cambia a "2 semanas" para duplicar las cantidades</t>
  </si>
  <si>
    <t>PRODUCTO</t>
  </si>
  <si>
    <t>PREPARAR
(Uds/semana)</t>
  </si>
  <si>
    <t>POR DÍA
(÷7)</t>
  </si>
  <si>
    <t>SEMANA FUERTE
(Máximo histórico)</t>
  </si>
  <si>
    <t>MEDIA REAL
(Uds/semana)</t>
  </si>
  <si>
    <t>SEMANAS
CON VENTAS</t>
  </si>
  <si>
    <t>🔥 TAPAS Y CALIENTES</t>
  </si>
  <si>
    <t>Subtotal</t>
  </si>
  <si>
    <t>🥚 HUEVOS ESTRELLADOS</t>
  </si>
  <si>
    <t>🥗 ENSALADAS</t>
  </si>
  <si>
    <t>🍕 PIZZAS Y TOSTAS</t>
  </si>
  <si>
    <t>🥖 BOCADILLOS</t>
  </si>
  <si>
    <t>🍰 POSTRES</t>
  </si>
  <si>
    <t>🍔 HAMBURGUESAS</t>
  </si>
  <si>
    <t>🥐 BOLLERÍA Y DESAYUNOS</t>
  </si>
  <si>
    <t>📦 TOTAL A PRODUCIR</t>
  </si>
  <si>
    <t>📋 NOTAS:</t>
  </si>
  <si>
    <t>• "PREPARAR" = media semanal + 10% margen de seguridad. Cambia B3 a "2 semanas" para producción quincenal</t>
  </si>
  <si>
    <t>• "SEMANA FUERTE" = la semana con más ventas del año. Útil si esperas un evento o fin de semana fuerte</t>
  </si>
  <si>
    <t>• Solo se muestran productos con mínimo 2 uds/semana de media. Productos con menor rotación no aparecen</t>
  </si>
  <si>
    <t>ANÁLISIS DE PRECIOS — PRINCIPIOS DE OMNES (Subfamilias)</t>
  </si>
  <si>
    <t>Precios unitarios reales (PVP) · Familias reagrupadas por formato · Fuente metodología: gastronomiarentable.com</t>
  </si>
  <si>
    <t>① Dispersión: 3 zonas  |  ② Apertura: Pmáx÷Pmín ≤2.5x (&lt;10 platos) ó ≤3x (&gt;9)  |  ③ Ratio D/O: ideal 0.85–1.05  |  ④ Promoción: gama media</t>
  </si>
  <si>
    <t>P. Mínimo</t>
  </si>
  <si>
    <t>P. Máximo</t>
  </si>
  <si>
    <t>① Baja</t>
  </si>
  <si>
    <t>① Media</t>
  </si>
  <si>
    <t>① Alta</t>
  </si>
  <si>
    <t>② Límite</t>
  </si>
  <si>
    <t>Cervezas Otros</t>
  </si>
  <si>
    <t>Sangría/Jarra</t>
  </si>
  <si>
    <t>❌ Alto</t>
  </si>
  <si>
    <t>DIAGNÓSTICO Y RECOMENDACIONES</t>
  </si>
  <si>
    <t>Apertura 10x &gt; lím 3x</t>
  </si>
  <si>
    <t>Eliminar extremos de precio o crear subfamilias.</t>
  </si>
  <si>
    <t>Apertura 3.77x &gt; lím 3x</t>
  </si>
  <si>
    <t>Reducir diferencia entre precio mín y máx.</t>
  </si>
  <si>
    <t>Equilibrado ✅</t>
  </si>
  <si>
    <t>Mantener estructura actual.</t>
  </si>
  <si>
    <t>Apertura 4.09x &gt; lím 3x</t>
  </si>
  <si>
    <t>Apertura 6.5x &gt; lím 3x</t>
  </si>
  <si>
    <t>Zona media vacía (1/15) · Equilibrado ✅</t>
  </si>
  <si>
    <t>Ratio 0.77: demanda → barato</t>
  </si>
  <si>
    <t>Promocionar platos gama media-alta.</t>
  </si>
  <si>
    <t>Apertura 6.47x &gt; lím 3x · Zona media vacía (0/19) · Ratio 0.82: demanda → barato</t>
  </si>
  <si>
    <t>Eliminar extremos de precio o crear subfamilias. Crear opciones en franja media. Promocionar platos gama media-alta.</t>
  </si>
  <si>
    <t>Zona media vacía (0/35) · Equilibrado ✅</t>
  </si>
  <si>
    <t>Zona media vacía (0/5) · Equilibrado ✅</t>
  </si>
  <si>
    <t>Apertura 3.23x &gt; lím 2.5x · Zona media vacía (0/7) · Ratio 0.82: demanda → barato</t>
  </si>
  <si>
    <t>Reducir diferencia entre precio mín y máx. Crear opciones en franja media. Promocionar platos gama media-alta.</t>
  </si>
  <si>
    <t>Zona media vacía (0/7) · Ratio 1.07: demanda → caro</t>
  </si>
  <si>
    <t>Crear opciones en franja media. Subir precios gama media (demanda lo permite).</t>
  </si>
  <si>
    <t>Zona media vacía (0/20) · Equilibrado ✅</t>
  </si>
  <si>
    <t>Apertura 21.37x &gt; lím 3x · Zona media vacía (0/30) · Ratio 0.6: demanda → barato</t>
  </si>
  <si>
    <t>DETALLE — PRODUCTOS POR ZONA DE PRECIO</t>
  </si>
  <si>
    <t>Tapas Calientes (92 prod.) | 1.6€–16€ | Apert: 10x ❌ | Ratio: 0.92 ✅</t>
  </si>
  <si>
    <t>PVP (€)</t>
  </si>
  <si>
    <t>Zona</t>
  </si>
  <si>
    <t>④ Promocionar</t>
  </si>
  <si>
    <t>Baja</t>
  </si>
  <si>
    <t>Media</t>
  </si>
  <si>
    <t>⭐ Sí — promocionar</t>
  </si>
  <si>
    <t>Alta</t>
  </si>
  <si>
    <t>P.Medio Demandado: 7.33€ | P.Medio Ofertado: 7.94€</t>
  </si>
  <si>
    <t>Tapas Frias (17 prod.) | 3.95€–14.9€ | Apert: 3.77x ❌ | Ratio: 1.05 ✅</t>
  </si>
  <si>
    <t>P.Medio Demandado: 7.75€ | P.Medio Ofertado: 7.36€</t>
  </si>
  <si>
    <t>Ensaladas (7 prod.) | 5.95€–12.65€ | Apert: 2.13x ✅ | Ratio: 1.01 ✅</t>
  </si>
  <si>
    <t>P.Medio Demandado: 10.62€ | P.Medio Ofertado: 10.51€</t>
  </si>
  <si>
    <t>Huevos Estrellados (12 prod.) | 7.95€–14.9€ | Apert: 1.87x ✅ | Ratio: 1 ✅</t>
  </si>
  <si>
    <t>P.Medio Demandado: 10.73€ | P.Medio Ofertado: 10.78€</t>
  </si>
  <si>
    <t>Tosta Pizzas (8 prod.) | 9.25€–12.9€ | Apert: 1.39x ✅ | Ratio: 0.97 ✅</t>
  </si>
  <si>
    <t>P.Medio Demandado: 11.36€ | P.Medio Ofertado: 11.71€</t>
  </si>
  <si>
    <t>Bocadillos Calientes (32 prod.) | 3.1€–7€ | Apert: 2.26x ✅ | Ratio: 0.93 ✅</t>
  </si>
  <si>
    <t>P.Medio Demandado: 4.22€ | P.Medio Ofertado: 4.55€</t>
  </si>
  <si>
    <t>Bocadillos Frios (26 prod.) | 2.9€–11.85€ | Apert: 4.09x ❌ | Ratio: 0.89 ✅</t>
  </si>
  <si>
    <t>P.Medio Demandado: 4.33€ | P.Medio Ofertado: 4.87€</t>
  </si>
  <si>
    <t>Postres (41 prod.) | 1€–6.5€ | Apert: 6.5x ❌ | Ratio: 1.02 ✅</t>
  </si>
  <si>
    <t>P.Medio Demandado: 4.72€ | P.Medio Ofertado: 4.61€</t>
  </si>
  <si>
    <t>Cervezas Copa (15 prod.) | 2.5€–3.5€ | Apert: 1.4x ✅ | Ratio: 0.93 ✅</t>
  </si>
  <si>
    <t>P.Medio Demandado: 2.6€ | P.Medio Ofertado: 2.81€</t>
  </si>
  <si>
    <t>Cervezas Caña (11 prod.) | 2.05€–4.15€ | Apert: 2.02x ✅ | Ratio: 0.77 ❌</t>
  </si>
  <si>
    <t>P.Medio Demandado: 2.19€ | P.Medio Ofertado: 2.85€</t>
  </si>
  <si>
    <t>Cervezas Otros (19 prod.) | 1.8€–11.65€ | Apert: 6.47x ❌ | Ratio: 0.82 ❌</t>
  </si>
  <si>
    <t>P.Medio Demandado: 3.41€ | P.Medio Ofertado: 4.14€</t>
  </si>
  <si>
    <t>Vinos Copa (35 prod.) | 3.25€–9.1€ | Apert: 2.8x ✅ | Ratio: 0.92 ✅</t>
  </si>
  <si>
    <t>P.Medio Demandado: 3.89€ | P.Medio Ofertado: 4.24€</t>
  </si>
  <si>
    <t>Vinos Botella (20 prod.) | 15.15€–27.5€ | Apert: 1.82x ✅ | Ratio: 0.93 ✅</t>
  </si>
  <si>
    <t>P.Medio Demandado: 17.96€ | P.Medio Ofertado: 19.24€</t>
  </si>
  <si>
    <t>Sangría/Jarra (5 prod.) | 14.85€–17€ | Apert: 1.14x ✅ | Ratio: 1.02 ✅</t>
  </si>
  <si>
    <t>P.Medio Demandado: 15.67€ | P.Medio Ofertado: 15.34€</t>
  </si>
  <si>
    <t>Aguas (7 prod.) | 1.55€–5€ | Apert: 3.23x ❌ | Ratio: 0.82 ❌</t>
  </si>
  <si>
    <t>P.Medio Demandado: 1.79€ | P.Medio Ofertado: 2.2€</t>
  </si>
  <si>
    <t>Zumos (7 prod.) | 2.2€–2.75€ | Apert: 1.25x ✅ | Ratio: 1.07 ❌</t>
  </si>
  <si>
    <t xml:space="preserve">Suc Pinya </t>
  </si>
  <si>
    <t xml:space="preserve">Suc Natural </t>
  </si>
  <si>
    <t>P.Medio Demandado: 2.62€ | P.Medio Ofertado: 2.44€</t>
  </si>
  <si>
    <t>Refrescos (20 prod.) | 2.1€–2.9€ | Apert: 1.38x ✅ | Ratio: 1.05 ✅</t>
  </si>
  <si>
    <t>P.Medio Demandado: 2.66€ | P.Medio Ofertado: 2.52€</t>
  </si>
  <si>
    <t>Cafés (30 prod.) | 1.24€–26.5€ | Apert: 21.37x ❌ | Ratio: 0.6 ❌</t>
  </si>
  <si>
    <t>P.Medio Demandado: 1.63€ | P.Medio Ofertado: 2.7€</t>
  </si>
  <si>
    <t>MENU ENGINEERING — Matriz BCG (Kasavana &amp; Smith)</t>
  </si>
  <si>
    <t>Análisis de rentabilidad y popularidad por producto — Clasificación Estrella / Caballo / Puzzle / Perro</t>
  </si>
  <si>
    <t>Nº Artículos con ventas</t>
  </si>
  <si>
    <t>Margen Total (€)</t>
  </si>
  <si>
    <t>% Popularidad (1/N×70%)</t>
  </si>
  <si>
    <t>Popularidad</t>
  </si>
  <si>
    <t>Rentabilidad</t>
  </si>
  <si>
    <t>Clasificación</t>
  </si>
  <si>
    <t>MCU★</t>
  </si>
  <si>
    <t>Pop★</t>
  </si>
  <si>
    <t>MCU🐎</t>
  </si>
  <si>
    <t>Pop🐎</t>
  </si>
  <si>
    <t>MCU🧩</t>
  </si>
  <si>
    <t>Pop🧩</t>
  </si>
  <si>
    <t>MCU🐶</t>
  </si>
  <si>
    <t>Pop🐶</t>
  </si>
  <si>
    <t>RESUMEN MATRIZ BCG</t>
  </si>
  <si>
    <t>Icono</t>
  </si>
  <si>
    <t>Acción Recomendada</t>
  </si>
  <si>
    <t>Estrella</t>
  </si>
  <si>
    <t>⭐</t>
  </si>
  <si>
    <t>Mantener y promocionar. Máxima visibilidad en carta.</t>
  </si>
  <si>
    <t>Caballo</t>
  </si>
  <si>
    <t>🐎</t>
  </si>
  <si>
    <t>Subir precio gradualmente o reducir coste. No tocar visibilidad.</t>
  </si>
  <si>
    <t>Puzzle</t>
  </si>
  <si>
    <t>🧩</t>
  </si>
  <si>
    <t>Mejorar visibilidad. Reposicionar en carta. Formar equipo de sala.</t>
  </si>
  <si>
    <t>Perro</t>
  </si>
  <si>
    <t>🐶</t>
  </si>
  <si>
    <t>Eliminar o reformular. Zona menos visible de carta.</t>
  </si>
  <si>
    <t>PLAN DE ACCIÓN POR CATEGORÍA</t>
  </si>
  <si>
    <t>⭐ ESTRELLAS — Alta popularidad + Alta rentabilidad (25 artículos, 52.7% del margen)</t>
  </si>
  <si>
    <t>Top 5: Patates Braves, Fingers pollastre, Calamars andalusa, Croquetes avia, Pastís formatge</t>
  </si>
  <si>
    <t>→ Mantener calidad, presentación y tamaño porción. Máxima visibilidad en carta (triángulo de oro). No modificar receta.</t>
  </si>
  <si>
    <t>🐎 CABALLOS — Alta popularidad + Baja rentabilidad (29 artículos, 25.6% del margen)</t>
  </si>
  <si>
    <t>Top 5: Alhambra Copa (MCU €1.48), Café amb llet (MCU €1.53), Tallat (MCU €1.32), Aigua Vidre (MCU €1.67), Café Sol (MCU €1.25)</t>
  </si>
  <si>
    <t>→ Subir precio gradualmente (5-10%), reducir costes de ingredientes, o añadir complementos rentables. Son esenciales para atraer clientes.</t>
  </si>
  <si>
    <t>🧩 PUZZLE — Baja popularidad + Alta rentabilidad (39 artículos, 16.9% del margen)</t>
  </si>
  <si>
    <t>Top 5: Menú (MCU €14.00), Taula Pinxito (MCU €12.64), Coca Pizza Nàpols (MCU €11.73), Carn salsa RF (MCU €10.46), Ballenato (MCU €10.02)</t>
  </si>
  <si>
    <t>→ Mejorar posición en carta. Formar equipo de sala para recomendar. Mejorar nombre/descripción. Considerar bajar precio ligeramente sin perder MCU.</t>
  </si>
  <si>
    <t>🐶 PERROS — Baja popularidad + Baja rentabilidad (49 artículos, 4.9% del margen)</t>
  </si>
  <si>
    <t>Top 5: Nestea Llimona, Crousanet Xoco, Olives farcides, Suc Natural, Llevar Azucar</t>
  </si>
  <si>
    <t>→ Evaluar eliminación de carta. Mantener solo si son necesarios (infantiles, complementarios). Ubicar en zona menos visible. Reformular o sustituir.</t>
  </si>
  <si>
    <t>REVISIÓN DE MATCH — Productos sin coste asignado</t>
  </si>
  <si>
    <t>_ListaProductos</t>
  </si>
  <si>
    <t>Corrige la columna F con el nombre exacto de Caja 1. Las columnas G-H se actualizan solas con VLOOKUP.</t>
  </si>
  <si>
    <t>Columna F (azul) = campo editable. Escribe el nombre exacto del producto en Caja 1 o selecciona del dropdown.</t>
  </si>
  <si>
    <t>Producto (Caja 2)</t>
  </si>
  <si>
    <t>▼ MATCH Caja 1</t>
  </si>
  <si>
    <t>RESUMEN</t>
  </si>
  <si>
    <t>Total productos sin match:</t>
  </si>
  <si>
    <t>Ya resueltos (✅ OK):</t>
  </si>
  <si>
    <t>Pendientes:</t>
  </si>
  <si>
    <t>CÓMO USAR ESTA HOJA</t>
  </si>
  <si>
    <t>1. Revisa la columna F (azul). Cada celda tiene un dropdown con todos los productos de Caja 1.</t>
  </si>
  <si>
    <t>2. Si la sugerencia automática es correcta (✅ OK en columna I), no toques nada.</t>
  </si>
  <si>
    <t>3. Si está mal o vacía, haz clic en la celda F y selecciona el producto correcto del dropdown.</t>
  </si>
  <si>
    <t>4. Las columnas G (Coste) y H (% Consumos) se actualizan automáticamente con VLOOKUP.</t>
  </si>
  <si>
    <t>5. Cuando todos estén ✅ OK, dime 'aplicar match' y actualizaré la tabla de costes en BD_Datos.</t>
  </si>
  <si>
    <t>⚠️  Si un producto no existe en Caja 1, déjalo vacío y avísame — lo añadiré manualmente.</t>
  </si>
  <si>
    <t>ℹ️  Productos con match exacto por normalización de acentos ya están pre-rellenados.</t>
  </si>
  <si>
    <t>TAPERIA DE CALDES · HISTORIAL DE MENÚS SETMANALS 2026</t>
  </si>
  <si>
    <t>Setmanes S02–S13 + S26 (actual) · Dimecres, dijous i divendres, servei de migdia · PVP 14,90 € (2 plats inclosos)</t>
  </si>
  <si>
    <t>Setmana</t>
  </si>
  <si>
    <t>Data aprox.</t>
  </si>
  <si>
    <t>Plat</t>
  </si>
  <si>
    <t>Tipus</t>
  </si>
  <si>
    <t>Suplement</t>
  </si>
  <si>
    <t>PVP total (€)</t>
  </si>
  <si>
    <t>Cost est. (€)</t>
  </si>
  <si>
    <t>MCU est. (€)</t>
  </si>
  <si>
    <t>Notes</t>
  </si>
  <si>
    <t xml:space="preserve">  S02  ·  Gen 26  ·  PVP Base: 14.9€  ·  Dimecres–Divendres migdia</t>
  </si>
  <si>
    <t>Gen 26</t>
  </si>
  <si>
    <t>Amanida de l'horta amb tonyina</t>
  </si>
  <si>
    <t>Primer</t>
  </si>
  <si>
    <t>No</t>
  </si>
  <si>
    <t>⚠️ Sense cost</t>
  </si>
  <si>
    <t>Mix de croquetes de bolets i formatge de cabra amb verdures</t>
  </si>
  <si>
    <t>+2</t>
  </si>
  <si>
    <t>+5</t>
  </si>
  <si>
    <t>Segon</t>
  </si>
  <si>
    <t>Truita de verdures amb guarnició</t>
  </si>
  <si>
    <t>+3</t>
  </si>
  <si>
    <t>Coulant amb gelat</t>
  </si>
  <si>
    <t>Postre</t>
  </si>
  <si>
    <t>Creps amb nata i Nutella</t>
  </si>
  <si>
    <t xml:space="preserve">  S03  ·  Gen 26  ·  PVP Base: 14.9€  ·  Dimecres–Divendres migdia</t>
  </si>
  <si>
    <t>Flors de carxofa amb encenalls d'ibèric</t>
  </si>
  <si>
    <t>Sartén d'ous amb tomàquet, feta i alfàbrega</t>
  </si>
  <si>
    <t>Calamars a l'andalusa amb patates</t>
  </si>
  <si>
    <t xml:space="preserve">  S04  ·  Feb 26  ·  PVP Base: 14.9€  ·  Dimecres–Divendres migdia</t>
  </si>
  <si>
    <t>Feb 26</t>
  </si>
  <si>
    <t>Peix del dia a l'andalusa amb amanida</t>
  </si>
  <si>
    <t>Creps amb Nutella i nata</t>
  </si>
  <si>
    <t xml:space="preserve">  S05  ·  Feb 26  ·  PVP Base: 14.9€  ·  Dimecres–Divendres migdia</t>
  </si>
  <si>
    <t xml:space="preserve">  S06  ·  Feb 26  ·  PVP Base: 14.9€  ·  Dimecres–Divendres migdia</t>
  </si>
  <si>
    <t>Amanida de l'hort amb tonyina i ou dur</t>
  </si>
  <si>
    <t>Llenties de l'àvia estofades a foc lent</t>
  </si>
  <si>
    <t>Coca d'escalivada i anxoves</t>
  </si>
  <si>
    <t>+6</t>
  </si>
  <si>
    <t xml:space="preserve">  S07  ·  Mar 26  ·  PVP Base: 14.9€  ·  Dimecres–Divendres migdia</t>
  </si>
  <si>
    <t>Mar 26</t>
  </si>
  <si>
    <t>Taula de pinxos amb patates</t>
  </si>
  <si>
    <t>Calamars a l'andalusa amb amanida</t>
  </si>
  <si>
    <t>Pastís de festuc</t>
  </si>
  <si>
    <t xml:space="preserve">  S08  ·  Mar 26  ·  PVP Base: 14.9€  ·  Dimecres–Divendres migdia</t>
  </si>
  <si>
    <t xml:space="preserve">  S11  ·  Mar 26  ·  PVP Base: 14.9€  ·  Dimecres–Divendres migdia</t>
  </si>
  <si>
    <t>Flors de carxofa confitades i cruixent d'ibèric</t>
  </si>
  <si>
    <t>Ous estrellats amb bacon cruixent</t>
  </si>
  <si>
    <t>Burger a la planxa amb guarnició del dia</t>
  </si>
  <si>
    <t xml:space="preserve">  S12  ·  Abr 26  ·  PVP Base: 14.9€  ·  Dimecres–Divendres migdia</t>
  </si>
  <si>
    <t>Abr 26</t>
  </si>
  <si>
    <t>Mix de croquetes de bolets i de carn d'olla amb patates roses</t>
  </si>
  <si>
    <t xml:space="preserve">  S13  ·  Abr 26  ·  PVP Base: 14.9€  ·  Dimecres–Divendres migdia</t>
  </si>
  <si>
    <t>Truita de patates amb botifarró encebollat</t>
  </si>
  <si>
    <t>Peix del dia a l'andalusa</t>
  </si>
  <si>
    <t xml:space="preserve">  S26_actual  ·  Abr 26  ·  PVP Base: 14.9€  ·  Dimecres–Divendres migdia</t>
  </si>
  <si>
    <t>S26_actual</t>
  </si>
  <si>
    <t>Mix croquetes formatge de cabra i carn d'olla</t>
  </si>
  <si>
    <t>Roba vella de l'olla amb llegums de Parellada</t>
  </si>
  <si>
    <t>TAPERIA DE CALDES · ANÀLISI DE FREQÜÈNCIA I ROTACIÓ DE PLATS — MENÚS 2026</t>
  </si>
  <si>
    <t>PRIMERS — Freqüència i rotació (11 setmanes analitzades)</t>
  </si>
  <si>
    <t>Freq.</t>
  </si>
  <si>
    <t>Setmanes %</t>
  </si>
  <si>
    <t>PVP total</t>
  </si>
  <si>
    <t>Cost est.</t>
  </si>
  <si>
    <t>MCU est.</t>
  </si>
  <si>
    <t>Recomanació</t>
  </si>
  <si>
    <t>⭐ Estrella — mantenir · Suplement +5</t>
  </si>
  <si>
    <t>⭐ Estrella — mantenir · Suplement +3</t>
  </si>
  <si>
    <t>🔄 Rotació normal · Suplement +2</t>
  </si>
  <si>
    <t>🔄 Rotació normal</t>
  </si>
  <si>
    <t>🔄 Rotació normal · Suplement +5</t>
  </si>
  <si>
    <t>🆕 Únic — avaluar</t>
  </si>
  <si>
    <t>🆕 Únic — avaluar · Suplement +5</t>
  </si>
  <si>
    <t>🆕 Únic — avaluar · Suplement +3</t>
  </si>
  <si>
    <t>🆕 Únic — avaluar · Suplement +2</t>
  </si>
  <si>
    <t>SEGONS — Freqüència i rotació</t>
  </si>
  <si>
    <t>⭐ Clàssic — sempre al menú · Suplement +5</t>
  </si>
  <si>
    <t>🔄 Rotació freqüent · Suplement +3</t>
  </si>
  <si>
    <t>🔄 Rotació freqüent</t>
  </si>
  <si>
    <t>🆕 Únic</t>
  </si>
  <si>
    <t>🆕 Únic · Suplement +3</t>
  </si>
  <si>
    <t>🆕 Únic · Suplement +5</t>
  </si>
  <si>
    <t>INSIGHTS I RECOMANACIONS ESTRATÈGIQUES</t>
  </si>
  <si>
    <t>🏆 Plat més repetit (segon)  Cargols al forn amb allioli gratinat</t>
  </si>
  <si>
    <t>6x en 11 setmanes (55%). Suplement +5€. MCU ~12,40€. Cost elevat però molt demanat.</t>
  </si>
  <si>
    <t>⭐ Primer més repetit  Flors de carxofa (diverses versions)</t>
  </si>
  <si>
    <t>5-7x. Suplement +5€. Plat icònic. Sempre present en carta de temporada.</t>
  </si>
  <si>
    <t>🔄 Amanida Cèsar  Fixa quasi sempre com a primer</t>
  </si>
  <si>
    <t>6x (sumant les dues variants). Suplement +3€. MCU ~16,30€. ⭐ Estrella.</t>
  </si>
  <si>
    <t>🍮 Postres extra dominants  Coulant amb gelat (10x) + Pastís de festuc (6x)</t>
  </si>
  <si>
    <t>Sempre presents. Alta rendibilitat (+3€, cost ~1,20€). Imprescindibles.</t>
  </si>
  <si>
    <t>📊 Rotació primers  39 plats únics en 11 setmanes</t>
  </si>
  <si>
    <t>Alta varietat. Majoritàriament nous cada setmana excepte els clàssics de carxofa i Cèsar.</t>
  </si>
  <si>
    <t>📊 Rotació segons  43 plats únics en 11 setmanes</t>
  </si>
  <si>
    <t>Molt alta varietat. Els cargols i calamars apareixen sovint amb variacions.</t>
  </si>
  <si>
    <t>💡 Oportunitat  Suplementos +3€ molt populars</t>
  </si>
  <si>
    <t>Calamars, Canelons foie, Carn en salsa → MCU &gt;12€. Potenciar conversió a versió amb suplement.</t>
  </si>
  <si>
    <t>⚠️ Plats sense cost assignat  Molts plats nous sense cost en BD_Datos</t>
  </si>
  <si>
    <t>Prioritat: assignar cost als plats que apareixen &gt;2x per tenir MCU real en Product Mix.</t>
  </si>
  <si>
    <t>Período</t>
  </si>
  <si>
    <t>Mandonguillers</t>
  </si>
  <si>
    <t>Ous amb Botifarró</t>
  </si>
  <si>
    <t>🍽️  LA TAPERIA DE CALDES  ·  CALCULADORA MENÚS DE GRUPO</t>
  </si>
  <si>
    <t>🟡 = Celda a rellenar  |  🟢 = Cálculo automático  |  Menús para compartir — precio por persona</t>
  </si>
  <si>
    <t>📘  REFERENCIA DE MENÚS</t>
  </si>
  <si>
    <t>Precio/pax</t>
  </si>
  <si>
    <t>Platos incl.</t>
  </si>
  <si>
    <t>Bebidas incl.</t>
  </si>
  <si>
    <t>Postre/Cafè</t>
  </si>
  <si>
    <t>Descripció (plats a compartir)</t>
  </si>
  <si>
    <t>Menú 1</t>
  </si>
  <si>
    <t>Amanida Cèsar · Ous+xistorra · Pintxo truita · Croquetes iaia · Morro mel · Americana · Pa coca tomàquet</t>
  </si>
  <si>
    <t>Menú 2</t>
  </si>
  <si>
    <t>Amanida Burrata · Ous+sobrassada+cabra · Patates braves · Croquetes iaia · Camembert+melmelada · Calamars · Coca-pizza Nàpols · Pa coca tomàquet</t>
  </si>
  <si>
    <t>Menú 3</t>
  </si>
  <si>
    <t>Amanida Montesa · Ous+ibèric · Caneló foie trufat · Pintxos+patates · Calamars andalusa · Cassoleta provolone · Coca-pizza 4 formatges · Pa coca tomàquet</t>
  </si>
  <si>
    <t>Menú 4</t>
  </si>
  <si>
    <t>Amanida Burrata · Ous+ibèric · Caneló foie trufat · Pa vidre+escalivada · Cassoleta provolone · Mix croquetes · Cistellet camembert · Pa coca tomàquet</t>
  </si>
  <si>
    <t>Menú 5</t>
  </si>
  <si>
    <t>Amanida carpaccio carbassó · Ous+ibèric · Caneló foie trufat · Focaccia albergínia · Cassoleta provolone · Mix croquetes · Bastonets pollastre · Pa coca tomàquet</t>
  </si>
  <si>
    <t>Menú Infantil</t>
  </si>
  <si>
    <t>Calamars+patates / Fingers pollastre / Croquetes / Burguer clàssica / Pa coca tomàquet — Postres casolanes/gelat · beguda: aigua o refresc</t>
  </si>
  <si>
    <t>✨  DATOS DEL EVENTO</t>
  </si>
  <si>
    <t>Fecha del evento</t>
  </si>
  <si>
    <t>Caja origen</t>
  </si>
  <si>
    <t>Nom del grup / event</t>
  </si>
  <si>
    <t>Privat 1 — Grup Privat</t>
  </si>
  <si>
    <t>Observacions / Al·lèrgies</t>
  </si>
  <si>
    <t>Invitació licors herbes (22,75€) a 0€. Plats servits per cuina: 4 Amanida Montesa · 4 Ous amb Ibèric · 13 Caneló foie trufat · 13 Varetes Pintxo · 4 Calamars andalusa · 3,25 Coca-pizza 4 formatges · 4 Pa coca tomàquet (13 pax)</t>
  </si>
  <si>
    <t>📊  MENÚ ADULTS</t>
  </si>
  <si>
    <t>Menú nº</t>
  </si>
  <si>
    <t>Nº Pax</t>
  </si>
  <si>
    <t>Preu/pax €</t>
  </si>
  <si>
    <t>Plats incl.</t>
  </si>
  <si>
    <t>Begudes incl.</t>
  </si>
  <si>
    <t>Plats servits</t>
  </si>
  <si>
    <t>Begudes servides</t>
  </si>
  <si>
    <t>Menú adults</t>
  </si>
  <si>
    <t>👶  MENÚ INFANTIL</t>
  </si>
  <si>
    <t>Menú</t>
  </si>
  <si>
    <t>Nº Nens</t>
  </si>
  <si>
    <t>Menú infantil</t>
  </si>
  <si>
    <t>Infantil</t>
  </si>
  <si>
    <t>➕  EXTRES (introducció manual)</t>
  </si>
  <si>
    <t>Concepte</t>
  </si>
  <si>
    <t>Qty</t>
  </si>
  <si>
    <t>PVP unit. €</t>
  </si>
  <si>
    <t>Extra 1</t>
  </si>
  <si>
    <t>Licor Herbes L:Xarrup</t>
  </si>
  <si>
    <t>Licors</t>
  </si>
  <si>
    <t>Extra 2</t>
  </si>
  <si>
    <t>Extra 3</t>
  </si>
  <si>
    <t>Cigàló</t>
  </si>
  <si>
    <t>Cafè</t>
  </si>
  <si>
    <t>Extra 4</t>
  </si>
  <si>
    <t>Cafè sol</t>
  </si>
  <si>
    <t>Extra 5</t>
  </si>
  <si>
    <t>Aigues + Conca Barberà + Alhambra</t>
  </si>
  <si>
    <t>Begudes</t>
  </si>
  <si>
    <t>➖  DESCOMPTE / CORTESÍA</t>
  </si>
  <si>
    <t>Descripció</t>
  </si>
  <si>
    <t>Import € (negatiu)</t>
  </si>
  <si>
    <t>Descompte/cortesía</t>
  </si>
  <si>
    <t>📊  RESUM DE L'ESDEVENIMENT</t>
  </si>
  <si>
    <t>Total comensals</t>
  </si>
  <si>
    <t>pax</t>
  </si>
  <si>
    <t xml:space="preserve">  └ Adults</t>
  </si>
  <si>
    <t xml:space="preserve">  └ Nens</t>
  </si>
  <si>
    <t>Total plats servits</t>
  </si>
  <si>
    <t>plats</t>
  </si>
  <si>
    <t>Total begudes servides</t>
  </si>
  <si>
    <t>begudes</t>
  </si>
  <si>
    <t>Extres addicionals</t>
  </si>
  <si>
    <t>uds extra</t>
  </si>
  <si>
    <t>Subtotal menús</t>
  </si>
  <si>
    <t>Subtotal extres</t>
  </si>
  <si>
    <t>💰  TOTAL ESDEVENIMENT €</t>
  </si>
  <si>
    <t>Ticket mitjà/pax</t>
  </si>
  <si>
    <t>🔔  ETIQUETA PER A CAJA 1 / CAJA 2</t>
  </si>
  <si>
    <t>Copia el text següent i enganxa'l al camp Notas/Evento de la caixa:</t>
  </si>
  <si>
    <t>Text automàtic:</t>
  </si>
  <si>
    <t>📖  COM FER SERVIR</t>
  </si>
  <si>
    <t>1️⃣  Omple data (B13), torn (B14) i caixa (B15)</t>
  </si>
  <si>
    <t>2️⃣  Menú adults: escriu número de menú a B20 (1/2/3/4/5) i nº pax a C20</t>
  </si>
  <si>
    <t>3️⃣  Si hi ha nens, escriu el nombre a C23 (preu 16,50€ automàtic)</t>
  </si>
  <si>
    <t>4️⃣  Afegeix extres a les files 26-30 (concepte, quantitat, PVP)</t>
  </si>
  <si>
    <t>5️⃣  Descompte o cortesía: import en negatiu a C33 (ex: -20)</t>
  </si>
  <si>
    <t>6️⃣  Copia el text de B52 i enganxa'l a Notas/Evento de Caja 1 o Caja 2</t>
  </si>
  <si>
    <t>Coca pizza Nàpoles</t>
  </si>
  <si>
    <t>Alhambra Sin Gluten</t>
  </si>
  <si>
    <t>Moruna</t>
  </si>
  <si>
    <t>Rioja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</si>
</sst>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2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&quot; €&quot;"/>
    <numFmt numFmtId="165" formatCode="0.0%"/>
    <numFmt numFmtId="166" formatCode="0.0"/>
    <numFmt numFmtId="167" formatCode="#,##0&quot; €&quot;"/>
    <numFmt numFmtId="168" formatCode="#,##0.00&quot; €/com&quot;"/>
    <numFmt numFmtId="169" formatCode="0.0&quot;x&quot;"/>
    <numFmt numFmtId="170" formatCode="#,##0.0"/>
    <numFmt numFmtId="171" formatCode="0.00&quot; €&quot;"/>
    <numFmt numFmtId="172" formatCode="0.00&quot;x&quot;"/>
    <numFmt numFmtId="173" formatCode="\€#,##0.00"/>
    <numFmt numFmtId="174" formatCode="\€#,##0"/>
    <numFmt numFmtId="175" formatCode="#,##0.00\ &quot;€&quot;"/>
    <numFmt numFmtId="176" formatCode="#,##0.00\ \€"/>
    <numFmt numFmtId="177" formatCode="\+0.0%;\-0.0%"/>
    <numFmt numFmtId="178" formatCode="0.0000"/>
    <numFmt numFmtId="179" formatCode="&quot;€&quot;#,##0.00_);[Red]\(&quot;€&quot;#,##0.00\)"/>
    <numFmt numFmtId="180" formatCode="_(&quot;€&quot;* #,##0.00_);_(&quot;€&quot;* \(#,##0.00\);_(&quot;€&quot;* &quot;-&quot;??_);_(@_)"/>
    <numFmt numFmtId="181" formatCode="_-* #,##0.00\ [$€-C0A]_-;\-* #,##0.00\ [$€-C0A]_-;_-* &quot;-&quot;??\ [$€-C0A]_-;_-@_-"/>
    <numFmt numFmtId="182" formatCode="#,##0.00\€"/>
    <numFmt numFmtId="183" formatCode="dd/mm/yyyy"/>
  </numFmts>
  <fonts count="230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FFFFFF"/>
      <name val="Calibri"/>
      <family val="2"/>
    </font>
    <font>
      <sz val="11"/>
      <name val="Calibri"/>
      <family val="2"/>
    </font>
    <font>
      <i/>
      <sz val="9"/>
      <color rgb="FF37415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9"/>
      <color rgb="FF1E40AF"/>
      <name val="Calibri"/>
      <family val="2"/>
    </font>
    <font>
      <sz val="9"/>
      <color rgb="FF374151"/>
      <name val="Calibri"/>
      <family val="2"/>
    </font>
    <font>
      <sz val="9"/>
      <color rgb="FF991B1B"/>
      <name val="Calibri"/>
      <family val="2"/>
    </font>
    <font>
      <sz val="9"/>
      <color rgb="FF065F46"/>
      <name val="Calibri"/>
      <family val="2"/>
    </font>
    <font>
      <sz val="9"/>
      <color rgb="FF92400E"/>
      <name val="Calibri"/>
      <family val="2"/>
    </font>
    <font>
      <sz val="9"/>
      <color rgb="FF4C1D95"/>
      <name val="Calibri"/>
      <family val="2"/>
    </font>
    <font>
      <b/>
      <sz val="15"/>
      <color rgb="FF1E40AF"/>
      <name val="Calibri"/>
      <family val="2"/>
    </font>
    <font>
      <b/>
      <sz val="15"/>
      <color rgb="FF374151"/>
      <name val="Calibri"/>
      <family val="2"/>
    </font>
    <font>
      <b/>
      <sz val="15"/>
      <color rgb="FF991B1B"/>
      <name val="Calibri"/>
      <family val="2"/>
    </font>
    <font>
      <b/>
      <sz val="15"/>
      <color rgb="FF065F46"/>
      <name val="Calibri"/>
      <family val="2"/>
    </font>
    <font>
      <b/>
      <sz val="15"/>
      <color rgb="FF4C1D95"/>
      <name val="Calibri"/>
      <family val="2"/>
    </font>
    <font>
      <b/>
      <sz val="9"/>
      <color rgb="FFFFFFFF"/>
      <name val="Calibri"/>
      <family val="2"/>
    </font>
    <font>
      <b/>
      <sz val="10"/>
      <color rgb="FF111827"/>
      <name val="Calibri"/>
      <family val="2"/>
    </font>
    <font>
      <sz val="10"/>
      <color rgb="FF111827"/>
      <name val="Calibri"/>
      <family val="2"/>
    </font>
    <font>
      <b/>
      <sz val="10"/>
      <color rgb="FF065F46"/>
      <name val="Calibri"/>
      <family val="2"/>
    </font>
    <font>
      <sz val="10"/>
      <color rgb="FF0000FF"/>
      <name val="Calibri"/>
      <family val="2"/>
    </font>
    <font>
      <sz val="10"/>
      <color rgb="FF065F46"/>
      <name val="Calibri"/>
      <family val="2"/>
    </font>
    <font>
      <b/>
      <sz val="10"/>
      <color theme="1"/>
      <name val="Calibri"/>
      <family val="2"/>
    </font>
    <font>
      <i/>
      <sz val="9"/>
      <color rgb="FF6B7280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2"/>
      <color rgb="FF111827"/>
      <name val="Calibri"/>
      <family val="2"/>
    </font>
    <font>
      <sz val="9"/>
      <color rgb="FF111827"/>
      <name val="Calibri"/>
      <family val="2"/>
    </font>
    <font>
      <b/>
      <sz val="9"/>
      <color rgb="FF111827"/>
      <name val="Calibri"/>
      <family val="2"/>
    </font>
    <font>
      <sz val="9"/>
      <color rgb="FF0000FF"/>
      <name val="Calibri"/>
      <family val="2"/>
    </font>
    <font>
      <sz val="14"/>
      <color theme="1"/>
      <name val="Calibri"/>
      <family val="2"/>
    </font>
    <font>
      <b/>
      <sz val="10"/>
      <color rgb="FF1E40AF"/>
      <name val="Calibri"/>
      <family val="2"/>
    </font>
    <font>
      <b/>
      <sz val="10"/>
      <color rgb="FF4C1D95"/>
      <name val="Calibri"/>
      <family val="2"/>
    </font>
    <font>
      <b/>
      <sz val="10"/>
      <color rgb="FF92400E"/>
      <name val="Calibri"/>
      <family val="2"/>
    </font>
    <font>
      <b/>
      <sz val="11"/>
      <color rgb="FF065F46"/>
      <name val="Calibri"/>
      <family val="2"/>
    </font>
    <font>
      <sz val="10"/>
      <color rgb="FF6B7280"/>
      <name val="Calibri"/>
      <family val="2"/>
    </font>
    <font>
      <b/>
      <sz val="11"/>
      <color rgb="FF92400E"/>
      <name val="Calibri"/>
      <family val="2"/>
    </font>
    <font>
      <sz val="10"/>
      <color rgb="FF185FA5"/>
      <name val="Calibri"/>
      <family val="2"/>
    </font>
    <font>
      <i/>
      <sz val="9"/>
      <color rgb="FF1E40AF"/>
      <name val="Calibri"/>
      <family val="2"/>
    </font>
    <font>
      <sz val="8"/>
      <color rgb="FF374151"/>
      <name val="Calibri"/>
      <family val="2"/>
    </font>
    <font>
      <i/>
      <sz val="9"/>
      <color rgb="FF065F46"/>
      <name val="Calibri"/>
      <family val="2"/>
    </font>
    <font>
      <i/>
      <sz val="9"/>
      <color rgb="FF92400E"/>
      <name val="Calibri"/>
      <family val="2"/>
    </font>
    <font>
      <b/>
      <sz val="9"/>
      <color theme="1"/>
      <name val="Calibri"/>
      <family val="2"/>
    </font>
    <font>
      <b/>
      <sz val="11"/>
      <color theme="1"/>
      <name val="Calibri"/>
      <family val="2"/>
    </font>
    <font>
      <i/>
      <sz val="9"/>
      <color rgb="FF9F1239"/>
      <name val="Calibri"/>
      <family val="2"/>
    </font>
    <font>
      <i/>
      <sz val="9"/>
      <color rgb="FF4C1D95"/>
      <name val="Calibri"/>
      <family val="2"/>
    </font>
    <font>
      <b/>
      <sz val="10"/>
      <color rgb="FF0000FF"/>
      <name val="Calibri"/>
      <family val="2"/>
    </font>
    <font>
      <i/>
      <sz val="9"/>
      <color rgb="FF185FA5"/>
      <name val="Calibri"/>
      <family val="2"/>
    </font>
    <font>
      <b/>
      <sz val="11"/>
      <color rgb="FF0000FF"/>
      <name val="Calibri"/>
      <family val="2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color rgb="FF000000"/>
      <name val="Helvetica"/>
      <family val="2"/>
    </font>
    <font>
      <sz val="11"/>
      <color rgb="FF9CA3AF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F2937"/>
      <name val="Calibri"/>
      <family val="2"/>
      <scheme val="minor"/>
    </font>
    <font>
      <sz val="10"/>
      <color rgb="FF1E40AF"/>
      <name val="Calibri"/>
      <family val="2"/>
      <scheme val="minor"/>
    </font>
    <font>
      <sz val="10"/>
      <color rgb="FF1E40AF"/>
      <name val="Calibri"/>
      <family val="2"/>
    </font>
    <font>
      <sz val="10"/>
      <color rgb="FF166534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0"/>
      <color rgb="FF92400E"/>
      <name val="Calibri"/>
      <family val="2"/>
      <scheme val="minor"/>
    </font>
    <font>
      <b/>
      <sz val="10"/>
      <color rgb="FF9A3412"/>
      <name val="Calibri"/>
      <family val="2"/>
      <scheme val="minor"/>
    </font>
    <font>
      <b/>
      <sz val="10"/>
      <color rgb="FF581C87"/>
      <name val="Calibri"/>
      <family val="2"/>
      <scheme val="minor"/>
    </font>
    <font>
      <b/>
      <sz val="10"/>
      <color rgb="FF9A3412"/>
      <name val="Calibri"/>
      <family val="2"/>
    </font>
    <font>
      <b/>
      <sz val="10"/>
      <color rgb="FF581C87"/>
      <name val="Calibri"/>
      <family val="2"/>
    </font>
    <font>
      <b/>
      <sz val="12"/>
      <color rgb="FF1F2937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1F2937"/>
      <name val="Calibri"/>
      <family val="2"/>
    </font>
    <font>
      <b/>
      <sz val="11"/>
      <color rgb="FF9A3412"/>
      <name val="Calibri"/>
      <family val="2"/>
    </font>
    <font>
      <b/>
      <sz val="11"/>
      <color rgb="FF581C87"/>
      <name val="Calibri"/>
      <family val="2"/>
    </font>
    <font>
      <sz val="11"/>
      <color rgb="FF6B7280"/>
      <name val="Calibri"/>
      <family val="2"/>
    </font>
    <font>
      <sz val="11"/>
      <color rgb="FFD97706"/>
      <name val="Calibri"/>
      <family val="2"/>
    </font>
    <font>
      <b/>
      <sz val="11"/>
      <color rgb="FFD97706"/>
      <name val="Calibri"/>
      <family val="2"/>
    </font>
    <font>
      <sz val="11"/>
      <color rgb="FF059669"/>
      <name val="Calibri"/>
      <family val="2"/>
    </font>
    <font>
      <b/>
      <sz val="11"/>
      <color rgb="FF059669"/>
      <name val="Calibri"/>
      <family val="2"/>
    </font>
    <font>
      <sz val="9"/>
      <color rgb="FF6B728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166534"/>
      <name val="Calibri"/>
      <family val="2"/>
    </font>
    <font>
      <b/>
      <sz val="14"/>
      <color theme="0"/>
      <name val="Calibri"/>
      <family val="2"/>
    </font>
    <font>
      <b/>
      <sz val="11"/>
      <color rgb="FFFFFFFF"/>
      <name val="Aptos Narrow"/>
      <family val="2"/>
    </font>
    <font>
      <sz val="11"/>
      <name val="Aptos Narrow"/>
      <family val="2"/>
    </font>
    <font>
      <b/>
      <sz val="8"/>
      <color rgb="FFFFFFFF"/>
      <name val="Helvetica"/>
      <family val="2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</font>
    <font>
      <b/>
      <sz val="14"/>
      <color rgb="FFFFFFFF"/>
      <name val="Calibri"/>
      <family val="2"/>
      <scheme val="minor"/>
    </font>
    <font>
      <sz val="11"/>
      <color rgb="FF6B7280"/>
      <name val="Calibri"/>
      <family val="2"/>
      <scheme val="minor"/>
    </font>
    <font>
      <b/>
      <sz val="11"/>
      <color rgb="FF2563EB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D97706"/>
      <name val="Calibri"/>
      <family val="2"/>
      <scheme val="minor"/>
    </font>
    <font>
      <b/>
      <sz val="11"/>
      <color rgb="FF059669"/>
      <name val="Calibri"/>
      <family val="2"/>
      <scheme val="minor"/>
    </font>
    <font>
      <b/>
      <sz val="11"/>
      <color rgb="FF7C3AED"/>
      <name val="Calibri"/>
      <family val="2"/>
      <scheme val="minor"/>
    </font>
    <font>
      <b/>
      <sz val="11"/>
      <color rgb="FFDC2626"/>
      <name val="Calibri"/>
      <family val="2"/>
      <scheme val="minor"/>
    </font>
    <font>
      <sz val="11"/>
      <color rgb="FFDC2626"/>
      <name val="Calibri"/>
      <family val="2"/>
      <scheme val="minor"/>
    </font>
    <font>
      <b/>
      <i/>
      <sz val="10"/>
      <color rgb="FF059669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rgb="FF6B728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rgb="FF1B3A4B"/>
      <name val="Calibri"/>
      <family val="2"/>
      <scheme val="minor"/>
    </font>
    <font>
      <b/>
      <sz val="12"/>
      <color rgb="FF1B3A4B"/>
      <name val="Calibri"/>
      <family val="2"/>
      <scheme val="minor"/>
    </font>
    <font>
      <b/>
      <sz val="14"/>
      <color rgb="FFBF8F00"/>
      <name val="Calibri"/>
      <family val="2"/>
      <scheme val="minor"/>
    </font>
    <font>
      <i/>
      <sz val="9"/>
      <color rgb="FF999999"/>
      <name val="Calibri"/>
      <family val="2"/>
      <scheme val="minor"/>
    </font>
    <font>
      <b/>
      <sz val="13"/>
      <color rgb="FF1B3A4B"/>
      <name val="Calibri"/>
      <family val="2"/>
      <scheme val="minor"/>
    </font>
    <font>
      <b/>
      <i/>
      <sz val="11"/>
      <color rgb="FF666666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9"/>
      <color rgb="FF888888"/>
      <name val="Calibri"/>
      <family val="2"/>
      <scheme val="minor"/>
    </font>
    <font>
      <sz val="10"/>
      <color rgb="FF9CA3AF"/>
      <name val="Calibri"/>
      <family val="2"/>
    </font>
    <font>
      <b/>
      <sz val="10"/>
      <color rgb="FF9CA3AF"/>
      <name val="Calibri"/>
      <family val="2"/>
    </font>
    <font>
      <b/>
      <sz val="10"/>
      <name val="Calibri"/>
      <family val="2"/>
    </font>
    <font>
      <i/>
      <sz val="9"/>
      <color rgb="FF374151"/>
      <name val="Calibri"/>
      <family val="2"/>
      <scheme val="minor"/>
    </font>
    <font>
      <sz val="8"/>
      <color rgb="FF4B5563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065F46"/>
      <name val="Calibri"/>
      <family val="2"/>
      <scheme val="minor"/>
    </font>
    <font>
      <i/>
      <sz val="8"/>
      <color rgb="FF6B7280"/>
      <name val="Calibri"/>
      <family val="2"/>
      <scheme val="minor"/>
    </font>
    <font>
      <b/>
      <i/>
      <sz val="9"/>
      <color rgb="FF6B7280"/>
      <name val="Calibri"/>
      <family val="2"/>
      <scheme val="minor"/>
    </font>
    <font>
      <sz val="9"/>
      <color rgb="FF9CA3AF"/>
      <name val="Calibri"/>
      <family val="2"/>
      <scheme val="minor"/>
    </font>
    <font>
      <b/>
      <sz val="14"/>
      <color rgb="FF1F4E79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9"/>
      <color rgb="FF1F4E79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6B7280"/>
      <name val="Calibri"/>
      <family val="2"/>
    </font>
    <font>
      <b/>
      <sz val="14"/>
      <color theme="1"/>
      <name val="Calibri"/>
      <family val="2"/>
    </font>
    <font>
      <sz val="8"/>
      <color rgb="FF065F46"/>
      <name val="Calibri"/>
      <family val="2"/>
    </font>
    <font>
      <sz val="8"/>
      <color rgb="FF92400E"/>
      <name val="Calibri"/>
      <family val="2"/>
    </font>
    <font>
      <sz val="8"/>
      <color rgb="FF1E40AF"/>
      <name val="Calibri"/>
      <family val="2"/>
    </font>
    <font>
      <b/>
      <sz val="10"/>
      <color rgb="FF991B1B"/>
      <name val="Calibri"/>
      <family val="2"/>
    </font>
    <font>
      <sz val="8"/>
      <color rgb="FF991B1B"/>
      <name val="Calibri"/>
      <family val="2"/>
    </font>
    <font>
      <b/>
      <sz val="9"/>
      <color rgb="FF374151"/>
      <name val="Calibri"/>
      <family val="2"/>
      <scheme val="minor"/>
    </font>
    <font>
      <sz val="8"/>
      <color rgb="FF065F46"/>
      <name val="Calibri"/>
      <family val="2"/>
      <scheme val="minor"/>
    </font>
    <font>
      <sz val="8"/>
      <color rgb="FF92400E"/>
      <name val="Calibri"/>
      <family val="2"/>
      <scheme val="minor"/>
    </font>
    <font>
      <sz val="8"/>
      <color rgb="FF1E40AF"/>
      <name val="Calibri"/>
      <family val="2"/>
      <scheme val="minor"/>
    </font>
    <font>
      <sz val="8"/>
      <color rgb="FF991B1B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11"/>
      <color rgb="FF065F46"/>
      <name val="Calibri"/>
      <family val="2"/>
      <scheme val="minor"/>
    </font>
    <font>
      <b/>
      <sz val="11"/>
      <color rgb="FF991B1B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10"/>
      <color rgb="FF1F4E79"/>
      <name val="Calibri"/>
      <family val="2"/>
      <scheme val="minor"/>
    </font>
    <font>
      <sz val="8"/>
      <color rgb="FF999999"/>
      <name val="Calibri"/>
      <family val="2"/>
      <scheme val="minor"/>
    </font>
    <font>
      <sz val="9"/>
      <color theme="0"/>
      <name val="Calibri"/>
      <family val="2"/>
    </font>
    <font>
      <sz val="12"/>
      <name val="Calibri"/>
      <family val="2"/>
      <scheme val="major"/>
    </font>
    <font>
      <b/>
      <sz val="12"/>
      <name val="Calibri"/>
      <family val="2"/>
      <scheme val="major"/>
    </font>
    <font>
      <i/>
      <sz val="9"/>
      <color rgb="FF666666"/>
      <name val="Calibri"/>
      <family val="2"/>
      <scheme val="minor"/>
    </font>
    <font>
      <b/>
      <sz val="8"/>
      <color rgb="FF1F4E79"/>
      <name val="Calibri"/>
      <family val="2"/>
    </font>
    <font>
      <b/>
      <sz val="14"/>
      <color rgb="FF006100"/>
      <name val="Calibri"/>
      <family val="2"/>
    </font>
    <font>
      <sz val="9"/>
      <color rgb="FF374151"/>
      <name val="Calibri"/>
      <family val="2"/>
      <scheme val="minor"/>
    </font>
    <font>
      <i/>
      <sz val="8"/>
      <color rgb="FFD6E4F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ptos Estrechos"/>
    </font>
    <font>
      <b/>
      <sz val="12"/>
      <color rgb="FFFFFFFF"/>
      <name val="Calibri"/>
      <family val="2"/>
      <scheme val="minor"/>
    </font>
    <font>
      <sz val="12"/>
      <color rgb="FF000000"/>
      <name val="Aptos Estrechos"/>
      <charset val="1"/>
    </font>
    <font>
      <sz val="14"/>
      <color rgb="FF000000"/>
      <name val="Calibri"/>
      <family val="2"/>
      <scheme val="minor"/>
    </font>
    <font>
      <b/>
      <sz val="12"/>
      <color rgb="FFFFFFFF"/>
      <name val="Aptos Estrechos"/>
    </font>
    <font>
      <sz val="12"/>
      <color rgb="FF00B050"/>
      <name val="Aptos Estrechos"/>
    </font>
    <font>
      <sz val="12"/>
      <color rgb="FF00B050"/>
      <name val="Calibri"/>
      <family val="2"/>
      <scheme val="minor"/>
    </font>
    <font>
      <sz val="12"/>
      <color rgb="FF008000"/>
      <name val="Calibri"/>
      <family val="2"/>
      <scheme val="minor"/>
    </font>
    <font>
      <sz val="10"/>
      <color rgb="FF3F4254"/>
      <name val="Poppins"/>
      <charset val="1"/>
    </font>
    <font>
      <sz val="9"/>
      <color rgb="FFFF0000"/>
      <name val="Poppins_Medium"/>
      <charset val="1"/>
    </font>
    <font>
      <sz val="11"/>
      <color rgb="FF242424"/>
      <name val="Aptos Narrow"/>
    </font>
    <font>
      <sz val="12"/>
      <color rgb="FF008000"/>
      <name val="Aptos Estrechos"/>
    </font>
    <font>
      <sz val="10"/>
      <color rgb="FF00B0F0"/>
      <name val="Calibri"/>
      <family val="2"/>
      <scheme val="minor"/>
    </font>
    <font>
      <sz val="10"/>
      <color rgb="FF008000"/>
      <name val="Calibri"/>
      <family val="2"/>
      <scheme val="minor"/>
    </font>
    <font>
      <sz val="10"/>
      <name val="Arial"/>
      <family val="2"/>
    </font>
    <font>
      <sz val="10"/>
      <color rgb="FFFF0000"/>
      <name val="Calibri"/>
      <family val="2"/>
      <scheme val="minor"/>
    </font>
    <font>
      <sz val="12"/>
      <color rgb="FF00B0F0"/>
      <name val="Aptos Estrechos"/>
    </font>
    <font>
      <sz val="14"/>
      <color rgb="FFFF0000"/>
      <name val="Calibri"/>
      <family val="2"/>
      <scheme val="minor"/>
    </font>
    <font>
      <b/>
      <sz val="12"/>
      <color rgb="FFFFFFFF"/>
      <name val="Arial"/>
      <family val="2"/>
    </font>
    <font>
      <i/>
      <sz val="9"/>
      <color rgb="FF6B6560"/>
      <name val="Arial"/>
      <family val="2"/>
    </font>
    <font>
      <b/>
      <sz val="9"/>
      <color rgb="FFFFFFFF"/>
      <name val="Arial"/>
      <family val="2"/>
    </font>
    <font>
      <sz val="9"/>
      <color rgb="FF6B6560"/>
      <name val="Arial"/>
      <family val="2"/>
    </font>
    <font>
      <b/>
      <sz val="9"/>
      <color rgb="FF1A1614"/>
      <name val="Arial"/>
      <family val="2"/>
    </font>
    <font>
      <b/>
      <sz val="9"/>
      <color rgb="FF27855A"/>
      <name val="Arial"/>
      <family val="2"/>
    </font>
    <font>
      <sz val="9"/>
      <color rgb="FF0000CC"/>
      <name val="Arial"/>
      <family val="2"/>
    </font>
    <font>
      <sz val="9"/>
      <color rgb="FFA09890"/>
      <name val="Arial"/>
      <family val="2"/>
    </font>
    <font>
      <i/>
      <sz val="9"/>
      <color rgb="FFA09890"/>
      <name val="Arial"/>
      <family val="2"/>
    </font>
    <font>
      <b/>
      <sz val="9"/>
      <color rgb="FFB8860B"/>
      <name val="Arial"/>
      <family val="2"/>
    </font>
    <font>
      <b/>
      <sz val="9"/>
      <color rgb="FF1A7A4A"/>
      <name val="Arial"/>
      <family val="2"/>
    </font>
    <font>
      <b/>
      <sz val="9"/>
      <color rgb="FFC0392B"/>
      <name val="Arial"/>
      <family val="2"/>
    </font>
    <font>
      <b/>
      <sz val="10"/>
      <color rgb="FF000000"/>
      <name val="Arial"/>
      <family val="2"/>
    </font>
    <font>
      <sz val="9"/>
      <color rgb="FF1A1614"/>
      <name val="Arial"/>
      <family val="2"/>
    </font>
    <font>
      <sz val="9"/>
      <color rgb="FF1A7A4A"/>
      <name val="Arial"/>
      <family val="2"/>
    </font>
    <font>
      <i/>
      <sz val="8"/>
      <color rgb="FF6B6560"/>
      <name val="Arial"/>
      <family val="2"/>
    </font>
    <font>
      <b/>
      <sz val="10"/>
      <color rgb="FFFFFFFF"/>
      <name val="Arial"/>
      <family val="2"/>
    </font>
    <font>
      <b/>
      <sz val="9"/>
      <color rgb="FF2B6CB0"/>
      <name val="Arial"/>
      <family val="2"/>
    </font>
    <font>
      <b/>
      <sz val="9"/>
      <name val="Arial"/>
      <family val="2"/>
    </font>
    <font>
      <b/>
      <sz val="11"/>
      <color rgb="FF000000"/>
      <name val="Calibri"/>
      <family val="2"/>
      <scheme val="major"/>
    </font>
    <font>
      <b/>
      <sz val="11"/>
      <color rgb="FF111827"/>
      <name val="Calibri"/>
      <family val="2"/>
      <scheme val="major"/>
    </font>
    <font>
      <sz val="14"/>
      <color rgb="FF00B050"/>
      <name val="Calibri"/>
      <family val="2"/>
      <scheme val="minor"/>
    </font>
    <font>
      <sz val="14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242424"/>
      <name val="Calibri"/>
      <family val="2"/>
      <scheme val="minor"/>
    </font>
    <font>
      <sz val="12"/>
      <color rgb="FF3F4254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8"/>
      <color theme="1"/>
      <name val="Calibri"/>
      <family val="2"/>
    </font>
    <font>
      <sz val="11"/>
      <color theme="1"/>
      <name val="Calibri (Cuerpo)"/>
    </font>
    <font>
      <b/>
      <sz val="11"/>
      <color rgb="FFFFFFFF"/>
      <name val="Calibri (Cuerpo)"/>
    </font>
    <font>
      <sz val="11"/>
      <color rgb="FF111827"/>
      <name val="Calibri (Cuerpo)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rgb="FF555555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0"/>
      <color rgb="FF166534"/>
      <name val="Calibri"/>
      <family val="2"/>
    </font>
  </fonts>
  <fills count="90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8FAFC"/>
        <bgColor rgb="FFF8FAFC"/>
      </patternFill>
    </fill>
    <fill>
      <patternFill patternType="solid">
        <fgColor rgb="FF374151"/>
        <bgColor rgb="FF374151"/>
      </patternFill>
    </fill>
    <fill>
      <patternFill patternType="solid">
        <fgColor rgb="FFDBEAFE"/>
        <bgColor rgb="FFDBEAFE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  <bgColor rgb="FFFEE2E2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EDE9FE"/>
        <bgColor rgb="FFEDE9FE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EFF6FF"/>
        <bgColor rgb="FFEFF6FF"/>
      </patternFill>
    </fill>
    <fill>
      <patternFill patternType="solid">
        <fgColor rgb="FFF0FDF4"/>
        <bgColor rgb="FFF0FDF4"/>
      </patternFill>
    </fill>
    <fill>
      <patternFill patternType="solid">
        <fgColor rgb="FFFFFBEB"/>
        <bgColor rgb="FFFFFBEB"/>
      </patternFill>
    </fill>
    <fill>
      <patternFill patternType="solid">
        <fgColor rgb="FFFFF1F2"/>
        <bgColor rgb="FFFFF1F2"/>
      </patternFill>
    </fill>
    <fill>
      <patternFill patternType="solid">
        <fgColor rgb="FFFAF5FF"/>
        <bgColor rgb="FFFAF5FF"/>
      </patternFill>
    </fill>
    <fill>
      <patternFill patternType="solid">
        <fgColor rgb="FF374151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356854"/>
        <bgColor rgb="FF356854"/>
      </patternFill>
    </fill>
    <fill>
      <patternFill patternType="solid">
        <fgColor rgb="FF4472C4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F0CE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059669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B3A4B"/>
        <bgColor indexed="64"/>
      </patternFill>
    </fill>
    <fill>
      <patternFill patternType="solid">
        <fgColor rgb="FFE8D5A3"/>
        <bgColor indexed="64"/>
      </patternFill>
    </fill>
    <fill>
      <patternFill patternType="solid">
        <fgColor rgb="FFF5F0E3"/>
        <bgColor indexed="64"/>
      </patternFill>
    </fill>
    <fill>
      <patternFill patternType="solid">
        <fgColor rgb="FFFFF9EE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4B5563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7D9F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1A1614"/>
        <bgColor rgb="FF1A1614"/>
      </patternFill>
    </fill>
    <fill>
      <patternFill patternType="solid">
        <fgColor rgb="FFFFF8E8"/>
        <bgColor rgb="FFFFF8E8"/>
      </patternFill>
    </fill>
    <fill>
      <patternFill patternType="solid">
        <fgColor rgb="FFEEF3FA"/>
        <bgColor rgb="FFEEF3FA"/>
      </patternFill>
    </fill>
    <fill>
      <patternFill patternType="solid">
        <fgColor rgb="FFEDFAF2"/>
        <bgColor rgb="FFEDFAF2"/>
      </patternFill>
    </fill>
    <fill>
      <patternFill patternType="solid">
        <fgColor rgb="FFB8860B"/>
        <bgColor rgb="FFB8860B"/>
      </patternFill>
    </fill>
    <fill>
      <patternFill patternType="solid">
        <fgColor rgb="FF6B6560"/>
        <bgColor rgb="FF6B656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7F5F2"/>
        <bgColor rgb="FFF7F5F2"/>
      </patternFill>
    </fill>
    <fill>
      <patternFill patternType="solid">
        <fgColor rgb="FF2B6CB0"/>
        <bgColor rgb="FF2B6CB0"/>
      </patternFill>
    </fill>
    <fill>
      <patternFill patternType="solid">
        <fgColor rgb="FFBDD7EE"/>
        <bgColor rgb="FFBDD7EE"/>
      </patternFill>
    </fill>
    <fill>
      <patternFill patternType="solid">
        <fgColor rgb="FF27855A"/>
        <bgColor rgb="FF27855A"/>
      </patternFill>
    </fill>
    <fill>
      <patternFill patternType="solid">
        <fgColor rgb="FFF0EDE8"/>
        <bgColor rgb="FFF0EDE8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D9D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90EE90"/>
        <bgColor rgb="FF90EE90"/>
      </patternFill>
    </fill>
    <fill>
      <patternFill patternType="solid">
        <fgColor rgb="FF90EE90"/>
        <bgColor rgb="FF90EE90"/>
      </patternFill>
    </fill>
  </fills>
  <borders count="94">
    <border>
      <left/>
      <right/>
      <top/>
      <bottom/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/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/>
      <diagonal/>
    </border>
    <border>
      <left/>
      <right style="thin">
        <color rgb="FFE5E7EB"/>
      </right>
      <top/>
      <bottom/>
      <diagonal/>
    </border>
    <border>
      <left/>
      <right/>
      <top style="thin">
        <color rgb="FFE5E7EB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rgb="FFE5E7EB"/>
      </bottom>
      <diagonal/>
    </border>
    <border>
      <left/>
      <right/>
      <top style="thin">
        <color rgb="FFE5E7EB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E5E7EB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E5E7EB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auto="1"/>
      </right>
      <top style="thin">
        <color rgb="FFD1D5DB"/>
      </top>
      <bottom style="thin">
        <color rgb="FFD1D5DB"/>
      </bottom>
      <diagonal/>
    </border>
    <border>
      <left style="thin">
        <color auto="1"/>
      </left>
      <right style="thin">
        <color rgb="FFD1D5DB"/>
      </right>
      <top style="thin">
        <color rgb="FFD1D5DB"/>
      </top>
      <bottom style="thin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auto="1"/>
      </bottom>
      <diagonal/>
    </border>
    <border>
      <left style="thin">
        <color rgb="FFD1D5DB"/>
      </left>
      <right style="thin">
        <color auto="1"/>
      </right>
      <top style="thin">
        <color rgb="FFD1D5DB"/>
      </top>
      <bottom style="thin">
        <color auto="1"/>
      </bottom>
      <diagonal/>
    </border>
    <border>
      <left style="thin">
        <color auto="1"/>
      </left>
      <right style="thin">
        <color rgb="FFD1D5DB"/>
      </right>
      <top style="thin">
        <color auto="1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auto="1"/>
      </top>
      <bottom style="thin">
        <color rgb="FFD1D5DB"/>
      </bottom>
      <diagonal/>
    </border>
    <border>
      <left style="thin">
        <color rgb="FFD1D5DB"/>
      </left>
      <right style="thin">
        <color auto="1"/>
      </right>
      <top style="thin">
        <color auto="1"/>
      </top>
      <bottom style="thin">
        <color rgb="FFD1D5DB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E0D5C0"/>
      </bottom>
      <diagonal/>
    </border>
    <border>
      <left/>
      <right/>
      <top style="thin">
        <color rgb="FFE0D5C0"/>
      </top>
      <bottom style="thin">
        <color rgb="FFE0D5C0"/>
      </bottom>
      <diagonal/>
    </border>
    <border>
      <left/>
      <right/>
      <top style="thin">
        <color rgb="FFE0D5C0"/>
      </top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medium">
        <color rgb="FFE5E7EB"/>
      </top>
      <bottom style="thin">
        <color rgb="FFE5E7EB"/>
      </bottom>
      <diagonal/>
    </border>
    <border>
      <left/>
      <right/>
      <top style="double">
        <color rgb="FFE5E7EB"/>
      </top>
      <bottom style="double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E0DBD4"/>
      </left>
      <right style="thin">
        <color rgb="FFE0DBD4"/>
      </right>
      <top style="thin">
        <color rgb="FFE0DBD4"/>
      </top>
      <bottom style="thin">
        <color rgb="FFE0DBD4"/>
      </bottom>
      <diagonal/>
    </border>
    <border>
      <left/>
      <right/>
      <top style="thin">
        <color rgb="FFE0DBD4"/>
      </top>
      <bottom style="thin">
        <color rgb="FFE0DBD4"/>
      </bottom>
      <diagonal/>
    </border>
    <border>
      <left/>
      <right style="thin">
        <color rgb="FFE0DBD4"/>
      </right>
      <top style="thin">
        <color rgb="FFE0DBD4"/>
      </top>
      <bottom style="thin">
        <color rgb="FFE0DBD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theme="1"/>
      </left>
      <right/>
      <top style="thin">
        <color auto="1"/>
      </top>
      <bottom/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 style="thin">
        <color rgb="FF95B3D7"/>
      </right>
      <top style="thin">
        <color rgb="FF95B3D7"/>
      </top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rgb="FF000000"/>
      </left>
      <right style="thin">
        <color rgb="FFE5E7EB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/>
      <bottom/>
      <diagonal/>
    </border>
  </borders>
  <cellStyleXfs count="3">
    <xf numFmtId="0" fontId="0" fillId="0" borderId="4"/>
    <xf numFmtId="9" fontId="214" fillId="0" borderId="4"/>
    <xf numFmtId="44" fontId="214" fillId="0" borderId="4"/>
  </cellStyleXfs>
  <cellXfs count="1272">
    <xf numFmtId="0" fontId="0" fillId="0" borderId="0" xfId="0" applyBorder="1"/>
    <xf numFmtId="0" fontId="6" fillId="0" borderId="0" xfId="0" applyFont="1" applyBorder="1"/>
    <xf numFmtId="0" fontId="19" fillId="4" borderId="1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9" fillId="4" borderId="4" xfId="0" applyFont="1" applyFill="1" applyAlignment="1">
      <alignment horizontal="center" vertical="center" wrapText="1"/>
    </xf>
    <xf numFmtId="0" fontId="33" fillId="5" borderId="4" xfId="0" applyFont="1" applyFill="1" applyAlignment="1">
      <alignment horizontal="center" vertical="center"/>
    </xf>
    <xf numFmtId="0" fontId="33" fillId="10" borderId="4" xfId="0" applyFont="1" applyFill="1" applyAlignment="1">
      <alignment horizontal="center" vertical="center"/>
    </xf>
    <xf numFmtId="0" fontId="33" fillId="9" borderId="4" xfId="0" applyFont="1" applyFill="1" applyAlignment="1">
      <alignment horizontal="center" vertical="center"/>
    </xf>
    <xf numFmtId="0" fontId="33" fillId="8" borderId="4" xfId="0" applyFont="1" applyFill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38" fillId="11" borderId="2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0" fontId="21" fillId="11" borderId="2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left" vertical="center" wrapText="1"/>
    </xf>
    <xf numFmtId="0" fontId="31" fillId="7" borderId="1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horizontal="left" vertical="center"/>
    </xf>
    <xf numFmtId="0" fontId="40" fillId="11" borderId="2" xfId="0" applyFont="1" applyFill="1" applyBorder="1" applyAlignment="1">
      <alignment horizontal="center" vertical="center"/>
    </xf>
    <xf numFmtId="0" fontId="31" fillId="9" borderId="2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left" vertical="center"/>
    </xf>
    <xf numFmtId="0" fontId="6" fillId="5" borderId="4" xfId="0" applyFont="1" applyFill="1"/>
    <xf numFmtId="0" fontId="6" fillId="8" borderId="4" xfId="0" applyFont="1" applyFill="1"/>
    <xf numFmtId="0" fontId="6" fillId="7" borderId="4" xfId="0" applyFont="1" applyFill="1"/>
    <xf numFmtId="0" fontId="6" fillId="9" borderId="4" xfId="0" applyFont="1" applyFill="1"/>
    <xf numFmtId="0" fontId="6" fillId="10" borderId="4" xfId="0" applyFont="1" applyFill="1"/>
    <xf numFmtId="0" fontId="6" fillId="12" borderId="4" xfId="0" applyFont="1" applyFill="1"/>
    <xf numFmtId="0" fontId="21" fillId="12" borderId="2" xfId="0" applyFont="1" applyFill="1" applyBorder="1" applyAlignment="1">
      <alignment horizontal="center" vertical="center"/>
    </xf>
    <xf numFmtId="164" fontId="23" fillId="5" borderId="2" xfId="0" applyNumberFormat="1" applyFont="1" applyFill="1" applyBorder="1" applyAlignment="1">
      <alignment horizontal="right" vertical="center"/>
    </xf>
    <xf numFmtId="164" fontId="24" fillId="8" borderId="2" xfId="0" applyNumberFormat="1" applyFont="1" applyFill="1" applyBorder="1" applyAlignment="1">
      <alignment horizontal="right" vertical="center"/>
    </xf>
    <xf numFmtId="0" fontId="30" fillId="12" borderId="3" xfId="0" applyFont="1" applyFill="1" applyBorder="1" applyAlignment="1">
      <alignment horizontal="left" vertical="center"/>
    </xf>
    <xf numFmtId="164" fontId="22" fillId="8" borderId="2" xfId="0" applyNumberFormat="1" applyFont="1" applyFill="1" applyBorder="1" applyAlignment="1">
      <alignment horizontal="right" vertical="center"/>
    </xf>
    <xf numFmtId="165" fontId="24" fillId="12" borderId="2" xfId="0" applyNumberFormat="1" applyFont="1" applyFill="1" applyBorder="1" applyAlignment="1">
      <alignment horizontal="right" vertical="center"/>
    </xf>
    <xf numFmtId="0" fontId="20" fillId="8" borderId="1" xfId="0" applyFont="1" applyFill="1" applyBorder="1" applyAlignment="1">
      <alignment horizontal="left" vertical="center"/>
    </xf>
    <xf numFmtId="0" fontId="21" fillId="8" borderId="2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left" vertical="center"/>
    </xf>
    <xf numFmtId="0" fontId="30" fillId="8" borderId="2" xfId="0" applyFont="1" applyFill="1" applyBorder="1" applyAlignment="1">
      <alignment horizontal="center" vertical="center"/>
    </xf>
    <xf numFmtId="166" fontId="49" fillId="5" borderId="2" xfId="0" applyNumberFormat="1" applyFont="1" applyFill="1" applyBorder="1" applyAlignment="1">
      <alignment horizontal="center"/>
    </xf>
    <xf numFmtId="167" fontId="28" fillId="8" borderId="2" xfId="0" applyNumberFormat="1" applyFont="1" applyFill="1" applyBorder="1" applyAlignment="1">
      <alignment horizontal="right"/>
    </xf>
    <xf numFmtId="0" fontId="6" fillId="8" borderId="2" xfId="0" applyFont="1" applyFill="1" applyBorder="1"/>
    <xf numFmtId="164" fontId="28" fillId="8" borderId="2" xfId="0" applyNumberFormat="1" applyFont="1" applyFill="1" applyBorder="1" applyAlignment="1">
      <alignment horizontal="right"/>
    </xf>
    <xf numFmtId="165" fontId="28" fillId="8" borderId="2" xfId="0" applyNumberFormat="1" applyFont="1" applyFill="1" applyBorder="1" applyAlignment="1">
      <alignment horizontal="center"/>
    </xf>
    <xf numFmtId="0" fontId="31" fillId="8" borderId="2" xfId="0" applyFont="1" applyFill="1" applyBorder="1" applyAlignment="1">
      <alignment horizontal="center" vertical="center"/>
    </xf>
    <xf numFmtId="0" fontId="50" fillId="8" borderId="3" xfId="0" applyFont="1" applyFill="1" applyBorder="1" applyAlignment="1">
      <alignment horizontal="left" vertical="center"/>
    </xf>
    <xf numFmtId="0" fontId="27" fillId="4" borderId="4" xfId="0" applyFont="1" applyFill="1" applyAlignment="1">
      <alignment horizontal="center" vertical="center"/>
    </xf>
    <xf numFmtId="164" fontId="23" fillId="5" borderId="6" xfId="0" applyNumberFormat="1" applyFont="1" applyFill="1" applyBorder="1" applyAlignment="1">
      <alignment horizontal="right" vertical="center"/>
    </xf>
    <xf numFmtId="164" fontId="22" fillId="8" borderId="6" xfId="0" applyNumberFormat="1" applyFont="1" applyFill="1" applyBorder="1" applyAlignment="1">
      <alignment horizontal="right" vertical="center"/>
    </xf>
    <xf numFmtId="0" fontId="21" fillId="12" borderId="4" xfId="0" applyFont="1" applyFill="1" applyAlignment="1">
      <alignment horizontal="center" vertical="center"/>
    </xf>
    <xf numFmtId="164" fontId="23" fillId="5" borderId="4" xfId="0" applyNumberFormat="1" applyFont="1" applyFill="1" applyAlignment="1">
      <alignment horizontal="right" vertical="center"/>
    </xf>
    <xf numFmtId="164" fontId="22" fillId="8" borderId="4" xfId="0" applyNumberFormat="1" applyFont="1" applyFill="1" applyAlignment="1">
      <alignment horizontal="right" vertical="center"/>
    </xf>
    <xf numFmtId="165" fontId="24" fillId="12" borderId="4" xfId="0" applyNumberFormat="1" applyFont="1" applyFill="1" applyAlignment="1">
      <alignment horizontal="right" vertical="center"/>
    </xf>
    <xf numFmtId="0" fontId="21" fillId="12" borderId="6" xfId="0" applyFont="1" applyFill="1" applyBorder="1" applyAlignment="1">
      <alignment horizontal="center" vertical="center"/>
    </xf>
    <xf numFmtId="165" fontId="24" fillId="12" borderId="6" xfId="0" applyNumberFormat="1" applyFont="1" applyFill="1" applyBorder="1" applyAlignment="1">
      <alignment horizontal="right" vertical="center"/>
    </xf>
    <xf numFmtId="0" fontId="21" fillId="9" borderId="4" xfId="0" applyFont="1" applyFill="1" applyAlignment="1">
      <alignment horizontal="center" vertical="center"/>
    </xf>
    <xf numFmtId="164" fontId="24" fillId="8" borderId="4" xfId="0" applyNumberFormat="1" applyFont="1" applyFill="1" applyAlignment="1">
      <alignment horizontal="right" vertical="center"/>
    </xf>
    <xf numFmtId="0" fontId="44" fillId="9" borderId="9" xfId="0" applyFont="1" applyFill="1" applyBorder="1" applyAlignment="1">
      <alignment horizontal="left" vertical="center"/>
    </xf>
    <xf numFmtId="0" fontId="21" fillId="9" borderId="6" xfId="0" applyFont="1" applyFill="1" applyBorder="1" applyAlignment="1">
      <alignment horizontal="center" vertical="center"/>
    </xf>
    <xf numFmtId="164" fontId="24" fillId="8" borderId="6" xfId="0" applyNumberFormat="1" applyFont="1" applyFill="1" applyBorder="1" applyAlignment="1">
      <alignment horizontal="right" vertical="center"/>
    </xf>
    <xf numFmtId="0" fontId="44" fillId="9" borderId="7" xfId="0" applyFont="1" applyFill="1" applyBorder="1" applyAlignment="1">
      <alignment horizontal="left" vertical="center"/>
    </xf>
    <xf numFmtId="0" fontId="30" fillId="12" borderId="9" xfId="0" applyFont="1" applyFill="1" applyBorder="1" applyAlignment="1">
      <alignment horizontal="left" vertical="center"/>
    </xf>
    <xf numFmtId="14" fontId="0" fillId="0" borderId="0" xfId="0" applyNumberFormat="1" applyBorder="1"/>
    <xf numFmtId="0" fontId="30" fillId="12" borderId="4" xfId="0" applyFont="1" applyFill="1" applyAlignment="1">
      <alignment horizontal="left" vertical="center"/>
    </xf>
    <xf numFmtId="14" fontId="19" fillId="4" borderId="4" xfId="0" applyNumberFormat="1" applyFont="1" applyFill="1" applyAlignment="1">
      <alignment horizontal="center" vertical="center" wrapText="1"/>
    </xf>
    <xf numFmtId="14" fontId="21" fillId="12" borderId="8" xfId="0" applyNumberFormat="1" applyFont="1" applyFill="1" applyBorder="1" applyAlignment="1">
      <alignment horizontal="left" vertical="center"/>
    </xf>
    <xf numFmtId="14" fontId="21" fillId="9" borderId="8" xfId="0" applyNumberFormat="1" applyFont="1" applyFill="1" applyBorder="1" applyAlignment="1">
      <alignment horizontal="left" vertical="center"/>
    </xf>
    <xf numFmtId="14" fontId="21" fillId="12" borderId="1" xfId="0" applyNumberFormat="1" applyFont="1" applyFill="1" applyBorder="1" applyAlignment="1">
      <alignment horizontal="left" vertical="center"/>
    </xf>
    <xf numFmtId="14" fontId="21" fillId="12" borderId="4" xfId="0" applyNumberFormat="1" applyFont="1" applyFill="1" applyAlignment="1">
      <alignment horizontal="left" vertical="center"/>
    </xf>
    <xf numFmtId="14" fontId="21" fillId="12" borderId="5" xfId="0" applyNumberFormat="1" applyFont="1" applyFill="1" applyBorder="1" applyAlignment="1">
      <alignment horizontal="left" vertical="center"/>
    </xf>
    <xf numFmtId="0" fontId="30" fillId="12" borderId="7" xfId="0" applyFont="1" applyFill="1" applyBorder="1" applyAlignment="1">
      <alignment horizontal="left" vertical="center"/>
    </xf>
    <xf numFmtId="0" fontId="19" fillId="18" borderId="4" xfId="0" applyFont="1" applyFill="1" applyAlignment="1">
      <alignment horizontal="center" vertical="center" wrapText="1"/>
    </xf>
    <xf numFmtId="165" fontId="23" fillId="5" borderId="2" xfId="0" applyNumberFormat="1" applyFont="1" applyFill="1" applyBorder="1" applyAlignment="1">
      <alignment horizontal="right" vertical="center"/>
    </xf>
    <xf numFmtId="165" fontId="23" fillId="5" borderId="4" xfId="0" applyNumberFormat="1" applyFont="1" applyFill="1" applyAlignment="1">
      <alignment horizontal="right" vertical="center"/>
    </xf>
    <xf numFmtId="165" fontId="23" fillId="19" borderId="2" xfId="0" applyNumberFormat="1" applyFont="1" applyFill="1" applyBorder="1" applyAlignment="1">
      <alignment horizontal="right" vertical="center" wrapText="1"/>
    </xf>
    <xf numFmtId="165" fontId="23" fillId="5" borderId="10" xfId="0" applyNumberFormat="1" applyFont="1" applyFill="1" applyBorder="1" applyAlignment="1">
      <alignment horizontal="right" vertical="center"/>
    </xf>
    <xf numFmtId="165" fontId="23" fillId="5" borderId="6" xfId="0" applyNumberFormat="1" applyFont="1" applyFill="1" applyBorder="1" applyAlignment="1">
      <alignment horizontal="right" vertical="center"/>
    </xf>
    <xf numFmtId="0" fontId="0" fillId="0" borderId="4" xfId="0"/>
    <xf numFmtId="0" fontId="54" fillId="0" borderId="4" xfId="0" applyFont="1"/>
    <xf numFmtId="0" fontId="55" fillId="0" borderId="4" xfId="0" applyFont="1"/>
    <xf numFmtId="165" fontId="37" fillId="8" borderId="2" xfId="0" applyNumberFormat="1" applyFont="1" applyFill="1" applyBorder="1" applyAlignment="1">
      <alignment horizontal="center" vertical="center"/>
    </xf>
    <xf numFmtId="0" fontId="46" fillId="28" borderId="4" xfId="0" applyFont="1" applyFill="1"/>
    <xf numFmtId="0" fontId="46" fillId="19" borderId="4" xfId="0" applyFont="1" applyFill="1" applyAlignment="1">
      <alignment horizontal="center"/>
    </xf>
    <xf numFmtId="0" fontId="46" fillId="25" borderId="4" xfId="0" applyFont="1" applyFill="1" applyAlignment="1">
      <alignment horizontal="center"/>
    </xf>
    <xf numFmtId="0" fontId="46" fillId="24" borderId="4" xfId="0" applyFont="1" applyFill="1" applyAlignment="1">
      <alignment horizontal="center"/>
    </xf>
    <xf numFmtId="0" fontId="46" fillId="28" borderId="4" xfId="0" applyFont="1" applyFill="1" applyAlignment="1">
      <alignment horizontal="center"/>
    </xf>
    <xf numFmtId="0" fontId="46" fillId="0" borderId="14" xfId="0" applyFont="1" applyBorder="1"/>
    <xf numFmtId="167" fontId="6" fillId="29" borderId="14" xfId="0" applyNumberFormat="1" applyFont="1" applyFill="1" applyBorder="1" applyAlignment="1">
      <alignment horizontal="right"/>
    </xf>
    <xf numFmtId="167" fontId="6" fillId="30" borderId="14" xfId="0" applyNumberFormat="1" applyFont="1" applyFill="1" applyBorder="1" applyAlignment="1">
      <alignment horizontal="right"/>
    </xf>
    <xf numFmtId="167" fontId="46" fillId="31" borderId="14" xfId="0" applyNumberFormat="1" applyFont="1" applyFill="1" applyBorder="1" applyAlignment="1">
      <alignment horizontal="right"/>
    </xf>
    <xf numFmtId="165" fontId="6" fillId="0" borderId="14" xfId="0" applyNumberFormat="1" applyFont="1" applyBorder="1" applyAlignment="1">
      <alignment horizontal="center"/>
    </xf>
    <xf numFmtId="0" fontId="6" fillId="0" borderId="2" xfId="0" applyFont="1" applyBorder="1"/>
    <xf numFmtId="164" fontId="6" fillId="29" borderId="2" xfId="0" applyNumberFormat="1" applyFont="1" applyFill="1" applyBorder="1" applyAlignment="1">
      <alignment horizontal="right"/>
    </xf>
    <xf numFmtId="164" fontId="6" fillId="30" borderId="2" xfId="0" applyNumberFormat="1" applyFont="1" applyFill="1" applyBorder="1" applyAlignment="1">
      <alignment horizontal="right"/>
    </xf>
    <xf numFmtId="164" fontId="6" fillId="31" borderId="2" xfId="0" applyNumberFormat="1" applyFont="1" applyFill="1" applyBorder="1" applyAlignment="1">
      <alignment horizontal="right"/>
    </xf>
    <xf numFmtId="0" fontId="77" fillId="29" borderId="2" xfId="0" applyFont="1" applyFill="1" applyBorder="1" applyAlignment="1">
      <alignment horizontal="center"/>
    </xf>
    <xf numFmtId="0" fontId="77" fillId="30" borderId="2" xfId="0" applyFont="1" applyFill="1" applyBorder="1" applyAlignment="1">
      <alignment horizontal="center"/>
    </xf>
    <xf numFmtId="0" fontId="77" fillId="31" borderId="2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167" fontId="6" fillId="29" borderId="2" xfId="0" applyNumberFormat="1" applyFont="1" applyFill="1" applyBorder="1" applyAlignment="1">
      <alignment horizontal="right"/>
    </xf>
    <xf numFmtId="167" fontId="6" fillId="30" borderId="2" xfId="0" applyNumberFormat="1" applyFont="1" applyFill="1" applyBorder="1" applyAlignment="1">
      <alignment horizontal="right"/>
    </xf>
    <xf numFmtId="167" fontId="46" fillId="31" borderId="2" xfId="0" applyNumberFormat="1" applyFont="1" applyFill="1" applyBorder="1" applyAlignment="1">
      <alignment horizontal="right"/>
    </xf>
    <xf numFmtId="167" fontId="79" fillId="29" borderId="2" xfId="0" applyNumberFormat="1" applyFont="1" applyFill="1" applyBorder="1" applyAlignment="1">
      <alignment horizontal="right"/>
    </xf>
    <xf numFmtId="167" fontId="79" fillId="30" borderId="2" xfId="0" applyNumberFormat="1" applyFont="1" applyFill="1" applyBorder="1" applyAlignment="1">
      <alignment horizontal="right"/>
    </xf>
    <xf numFmtId="167" fontId="79" fillId="31" borderId="2" xfId="0" applyNumberFormat="1" applyFont="1" applyFill="1" applyBorder="1" applyAlignment="1">
      <alignment horizontal="right"/>
    </xf>
    <xf numFmtId="165" fontId="78" fillId="0" borderId="2" xfId="0" applyNumberFormat="1" applyFont="1" applyBorder="1" applyAlignment="1">
      <alignment horizontal="center"/>
    </xf>
    <xf numFmtId="0" fontId="56" fillId="29" borderId="2" xfId="0" applyFont="1" applyFill="1" applyBorder="1" applyAlignment="1">
      <alignment horizontal="center"/>
    </xf>
    <xf numFmtId="3" fontId="6" fillId="30" borderId="2" xfId="0" applyNumberFormat="1" applyFont="1" applyFill="1" applyBorder="1" applyAlignment="1">
      <alignment horizontal="right"/>
    </xf>
    <xf numFmtId="3" fontId="46" fillId="31" borderId="2" xfId="0" applyNumberFormat="1" applyFont="1" applyFill="1" applyBorder="1" applyAlignment="1">
      <alignment horizontal="right"/>
    </xf>
    <xf numFmtId="0" fontId="56" fillId="0" borderId="2" xfId="0" applyFont="1" applyBorder="1" applyAlignment="1">
      <alignment horizontal="center"/>
    </xf>
    <xf numFmtId="168" fontId="6" fillId="0" borderId="2" xfId="0" applyNumberFormat="1" applyFont="1" applyBorder="1" applyAlignment="1">
      <alignment horizontal="center"/>
    </xf>
    <xf numFmtId="0" fontId="46" fillId="29" borderId="2" xfId="0" applyFont="1" applyFill="1" applyBorder="1" applyAlignment="1">
      <alignment horizontal="center"/>
    </xf>
    <xf numFmtId="0" fontId="46" fillId="30" borderId="2" xfId="0" applyFont="1" applyFill="1" applyBorder="1" applyAlignment="1">
      <alignment horizontal="center"/>
    </xf>
    <xf numFmtId="0" fontId="6" fillId="31" borderId="2" xfId="0" applyFont="1" applyFill="1" applyBorder="1"/>
    <xf numFmtId="167" fontId="6" fillId="0" borderId="2" xfId="0" applyNumberFormat="1" applyFont="1" applyBorder="1" applyAlignment="1">
      <alignment horizontal="center"/>
    </xf>
    <xf numFmtId="0" fontId="46" fillId="0" borderId="15" xfId="0" applyFont="1" applyBorder="1"/>
    <xf numFmtId="0" fontId="6" fillId="29" borderId="15" xfId="0" applyFont="1" applyFill="1" applyBorder="1"/>
    <xf numFmtId="0" fontId="6" fillId="30" borderId="15" xfId="0" applyFont="1" applyFill="1" applyBorder="1"/>
    <xf numFmtId="169" fontId="71" fillId="31" borderId="15" xfId="0" applyNumberFormat="1" applyFont="1" applyFill="1" applyBorder="1" applyAlignment="1">
      <alignment horizontal="center"/>
    </xf>
    <xf numFmtId="0" fontId="75" fillId="0" borderId="15" xfId="0" applyFont="1" applyBorder="1" applyAlignment="1">
      <alignment horizontal="right"/>
    </xf>
    <xf numFmtId="0" fontId="75" fillId="0" borderId="15" xfId="0" applyFont="1" applyBorder="1"/>
    <xf numFmtId="0" fontId="46" fillId="0" borderId="2" xfId="0" applyFont="1" applyBorder="1"/>
    <xf numFmtId="0" fontId="80" fillId="0" borderId="2" xfId="0" applyFont="1" applyBorder="1" applyAlignment="1">
      <alignment horizontal="center"/>
    </xf>
    <xf numFmtId="165" fontId="76" fillId="0" borderId="2" xfId="0" applyNumberFormat="1" applyFont="1" applyBorder="1" applyAlignment="1">
      <alignment horizontal="center"/>
    </xf>
    <xf numFmtId="0" fontId="27" fillId="22" borderId="16" xfId="0" applyFont="1" applyFill="1" applyBorder="1" applyAlignment="1">
      <alignment horizontal="center" vertical="center" wrapText="1"/>
    </xf>
    <xf numFmtId="0" fontId="83" fillId="23" borderId="18" xfId="0" applyFont="1" applyFill="1" applyBorder="1" applyAlignment="1">
      <alignment horizontal="center" vertical="center"/>
    </xf>
    <xf numFmtId="0" fontId="36" fillId="25" borderId="18" xfId="0" applyFont="1" applyFill="1" applyBorder="1" applyAlignment="1">
      <alignment horizontal="center" vertical="center"/>
    </xf>
    <xf numFmtId="165" fontId="86" fillId="24" borderId="18" xfId="0" applyNumberFormat="1" applyFont="1" applyFill="1" applyBorder="1" applyAlignment="1">
      <alignment horizontal="right" vertical="center"/>
    </xf>
    <xf numFmtId="164" fontId="6" fillId="0" borderId="4" xfId="0" applyNumberFormat="1" applyFont="1"/>
    <xf numFmtId="165" fontId="6" fillId="0" borderId="4" xfId="0" applyNumberFormat="1" applyFont="1"/>
    <xf numFmtId="164" fontId="62" fillId="19" borderId="18" xfId="0" applyNumberFormat="1" applyFont="1" applyFill="1" applyBorder="1" applyAlignment="1">
      <alignment horizontal="right" vertical="center"/>
    </xf>
    <xf numFmtId="164" fontId="86" fillId="24" borderId="18" xfId="0" applyNumberFormat="1" applyFont="1" applyFill="1" applyBorder="1" applyAlignment="1">
      <alignment horizontal="right" vertical="center"/>
    </xf>
    <xf numFmtId="0" fontId="27" fillId="22" borderId="17" xfId="0" applyFont="1" applyFill="1" applyBorder="1" applyAlignment="1">
      <alignment horizontal="center" vertical="center" wrapText="1"/>
    </xf>
    <xf numFmtId="0" fontId="7" fillId="18" borderId="4" xfId="0" applyFont="1" applyFill="1" applyAlignment="1">
      <alignment horizontal="center"/>
    </xf>
    <xf numFmtId="3" fontId="85" fillId="23" borderId="18" xfId="0" applyNumberFormat="1" applyFont="1" applyFill="1" applyBorder="1" applyAlignment="1">
      <alignment horizontal="center" vertical="center"/>
    </xf>
    <xf numFmtId="0" fontId="88" fillId="32" borderId="4" xfId="0" applyFont="1" applyFill="1" applyAlignment="1">
      <alignment horizontal="center"/>
    </xf>
    <xf numFmtId="14" fontId="54" fillId="0" borderId="4" xfId="0" applyNumberFormat="1" applyFont="1"/>
    <xf numFmtId="20" fontId="54" fillId="0" borderId="4" xfId="0" applyNumberFormat="1" applyFont="1"/>
    <xf numFmtId="8" fontId="54" fillId="0" borderId="4" xfId="0" applyNumberFormat="1" applyFont="1"/>
    <xf numFmtId="14" fontId="89" fillId="0" borderId="4" xfId="0" applyNumberFormat="1" applyFont="1"/>
    <xf numFmtId="20" fontId="89" fillId="0" borderId="4" xfId="0" applyNumberFormat="1" applyFont="1"/>
    <xf numFmtId="8" fontId="89" fillId="0" borderId="4" xfId="0" applyNumberFormat="1" applyFont="1"/>
    <xf numFmtId="0" fontId="89" fillId="0" borderId="4" xfId="0" applyFont="1"/>
    <xf numFmtId="164" fontId="62" fillId="19" borderId="30" xfId="0" applyNumberFormat="1" applyFont="1" applyFill="1" applyBorder="1" applyAlignment="1">
      <alignment horizontal="right" vertical="center"/>
    </xf>
    <xf numFmtId="164" fontId="86" fillId="24" borderId="30" xfId="0" applyNumberFormat="1" applyFont="1" applyFill="1" applyBorder="1" applyAlignment="1">
      <alignment horizontal="right" vertical="center"/>
    </xf>
    <xf numFmtId="165" fontId="86" fillId="24" borderId="30" xfId="0" applyNumberFormat="1" applyFont="1" applyFill="1" applyBorder="1" applyAlignment="1">
      <alignment horizontal="right" vertical="center"/>
    </xf>
    <xf numFmtId="0" fontId="55" fillId="33" borderId="4" xfId="0" applyFont="1" applyFill="1"/>
    <xf numFmtId="0" fontId="0" fillId="23" borderId="19" xfId="0" applyFill="1" applyBorder="1" applyAlignment="1">
      <alignment horizontal="left" vertical="center"/>
    </xf>
    <xf numFmtId="0" fontId="6" fillId="0" borderId="4" xfId="0" applyFont="1"/>
    <xf numFmtId="0" fontId="21" fillId="9" borderId="2" xfId="0" applyFont="1" applyFill="1" applyBorder="1" applyAlignment="1">
      <alignment horizontal="center" vertical="center"/>
    </xf>
    <xf numFmtId="0" fontId="44" fillId="9" borderId="3" xfId="0" applyFont="1" applyFill="1" applyBorder="1" applyAlignment="1">
      <alignment horizontal="left" vertical="center"/>
    </xf>
    <xf numFmtId="14" fontId="21" fillId="9" borderId="1" xfId="0" applyNumberFormat="1" applyFont="1" applyFill="1" applyBorder="1" applyAlignment="1">
      <alignment horizontal="left" vertical="center"/>
    </xf>
    <xf numFmtId="14" fontId="21" fillId="9" borderId="5" xfId="0" applyNumberFormat="1" applyFont="1" applyFill="1" applyBorder="1" applyAlignment="1">
      <alignment horizontal="left" vertical="center"/>
    </xf>
    <xf numFmtId="0" fontId="90" fillId="0" borderId="4" xfId="0" applyFont="1"/>
    <xf numFmtId="10" fontId="0" fillId="0" borderId="0" xfId="1" applyNumberFormat="1" applyFont="1" applyBorder="1"/>
    <xf numFmtId="164" fontId="6" fillId="0" borderId="31" xfId="0" applyNumberFormat="1" applyFont="1" applyBorder="1"/>
    <xf numFmtId="4" fontId="0" fillId="0" borderId="4" xfId="0" applyNumberFormat="1"/>
    <xf numFmtId="10" fontId="0" fillId="0" borderId="4" xfId="1" applyNumberFormat="1" applyFont="1"/>
    <xf numFmtId="4" fontId="0" fillId="0" borderId="32" xfId="0" applyNumberFormat="1" applyBorder="1"/>
    <xf numFmtId="2" fontId="0" fillId="0" borderId="4" xfId="0" applyNumberFormat="1"/>
    <xf numFmtId="164" fontId="6" fillId="0" borderId="33" xfId="0" applyNumberFormat="1" applyFont="1" applyBorder="1"/>
    <xf numFmtId="2" fontId="0" fillId="0" borderId="12" xfId="0" applyNumberFormat="1" applyBorder="1"/>
    <xf numFmtId="4" fontId="91" fillId="34" borderId="12" xfId="0" applyNumberFormat="1" applyFont="1" applyFill="1" applyBorder="1"/>
    <xf numFmtId="165" fontId="6" fillId="11" borderId="12" xfId="0" applyNumberFormat="1" applyFont="1" applyFill="1" applyBorder="1"/>
    <xf numFmtId="0" fontId="20" fillId="12" borderId="6" xfId="0" applyFont="1" applyFill="1" applyBorder="1" applyAlignment="1">
      <alignment horizontal="left" vertical="center"/>
    </xf>
    <xf numFmtId="164" fontId="23" fillId="5" borderId="6" xfId="0" applyNumberFormat="1" applyFont="1" applyFill="1" applyBorder="1" applyAlignment="1">
      <alignment vertical="center"/>
    </xf>
    <xf numFmtId="4" fontId="28" fillId="12" borderId="6" xfId="0" applyNumberFormat="1" applyFont="1" applyFill="1" applyBorder="1"/>
    <xf numFmtId="4" fontId="22" fillId="8" borderId="6" xfId="0" applyNumberFormat="1" applyFont="1" applyFill="1" applyBorder="1" applyAlignment="1">
      <alignment vertical="center"/>
    </xf>
    <xf numFmtId="165" fontId="24" fillId="12" borderId="6" xfId="0" applyNumberFormat="1" applyFont="1" applyFill="1" applyBorder="1" applyAlignment="1">
      <alignment vertical="center"/>
    </xf>
    <xf numFmtId="4" fontId="21" fillId="12" borderId="6" xfId="0" applyNumberFormat="1" applyFont="1" applyFill="1" applyBorder="1" applyAlignment="1">
      <alignment vertical="center"/>
    </xf>
    <xf numFmtId="0" fontId="20" fillId="11" borderId="6" xfId="0" applyFont="1" applyFill="1" applyBorder="1" applyAlignment="1">
      <alignment horizontal="left" vertical="center"/>
    </xf>
    <xf numFmtId="4" fontId="6" fillId="0" borderId="4" xfId="0" applyNumberFormat="1" applyFont="1"/>
    <xf numFmtId="4" fontId="7" fillId="2" borderId="4" xfId="0" applyNumberFormat="1" applyFont="1" applyFill="1" applyAlignment="1">
      <alignment vertical="center"/>
    </xf>
    <xf numFmtId="0" fontId="92" fillId="20" borderId="35" xfId="0" applyFont="1" applyFill="1" applyBorder="1" applyAlignment="1">
      <alignment horizontal="center" vertical="center" wrapText="1"/>
    </xf>
    <xf numFmtId="0" fontId="92" fillId="20" borderId="13" xfId="0" applyFont="1" applyFill="1" applyBorder="1" applyAlignment="1">
      <alignment horizontal="center" vertical="center" wrapText="1"/>
    </xf>
    <xf numFmtId="0" fontId="92" fillId="20" borderId="36" xfId="0" applyFont="1" applyFill="1" applyBorder="1" applyAlignment="1">
      <alignment horizontal="center" vertical="center" wrapText="1"/>
    </xf>
    <xf numFmtId="0" fontId="92" fillId="0" borderId="35" xfId="0" applyFont="1" applyBorder="1" applyAlignment="1">
      <alignment horizontal="center" vertical="center" wrapText="1"/>
    </xf>
    <xf numFmtId="0" fontId="92" fillId="0" borderId="13" xfId="0" applyFont="1" applyBorder="1" applyAlignment="1">
      <alignment horizontal="center" vertical="center" wrapText="1"/>
    </xf>
    <xf numFmtId="0" fontId="92" fillId="0" borderId="36" xfId="0" applyFont="1" applyBorder="1" applyAlignment="1">
      <alignment horizontal="center" vertical="center" wrapText="1"/>
    </xf>
    <xf numFmtId="4" fontId="0" fillId="35" borderId="4" xfId="0" applyNumberFormat="1" applyFill="1"/>
    <xf numFmtId="0" fontId="52" fillId="18" borderId="26" xfId="0" applyFont="1" applyFill="1" applyBorder="1" applyAlignment="1">
      <alignment horizontal="left"/>
    </xf>
    <xf numFmtId="0" fontId="52" fillId="18" borderId="27" xfId="0" applyFont="1" applyFill="1" applyBorder="1" applyAlignment="1">
      <alignment horizontal="center"/>
    </xf>
    <xf numFmtId="0" fontId="52" fillId="18" borderId="28" xfId="0" applyFont="1" applyFill="1" applyBorder="1" applyAlignment="1">
      <alignment horizontal="center"/>
    </xf>
    <xf numFmtId="0" fontId="95" fillId="29" borderId="20" xfId="0" applyFont="1" applyFill="1" applyBorder="1"/>
    <xf numFmtId="3" fontId="53" fillId="29" borderId="21" xfId="0" applyNumberFormat="1" applyFont="1" applyFill="1" applyBorder="1" applyAlignment="1">
      <alignment horizontal="center"/>
    </xf>
    <xf numFmtId="0" fontId="94" fillId="29" borderId="21" xfId="0" quotePrefix="1" applyFont="1" applyFill="1" applyBorder="1" applyAlignment="1">
      <alignment horizontal="center"/>
    </xf>
    <xf numFmtId="0" fontId="53" fillId="29" borderId="22" xfId="0" applyFont="1" applyFill="1" applyBorder="1" applyAlignment="1">
      <alignment horizontal="center"/>
    </xf>
    <xf numFmtId="0" fontId="97" fillId="30" borderId="20" xfId="0" applyFont="1" applyFill="1" applyBorder="1"/>
    <xf numFmtId="3" fontId="53" fillId="30" borderId="21" xfId="0" applyNumberFormat="1" applyFont="1" applyFill="1" applyBorder="1" applyAlignment="1">
      <alignment horizontal="center"/>
    </xf>
    <xf numFmtId="0" fontId="94" fillId="30" borderId="21" xfId="0" quotePrefix="1" applyFont="1" applyFill="1" applyBorder="1" applyAlignment="1">
      <alignment horizontal="center"/>
    </xf>
    <xf numFmtId="0" fontId="53" fillId="30" borderId="22" xfId="0" applyFont="1" applyFill="1" applyBorder="1" applyAlignment="1">
      <alignment horizontal="center"/>
    </xf>
    <xf numFmtId="0" fontId="98" fillId="31" borderId="20" xfId="0" applyFont="1" applyFill="1" applyBorder="1"/>
    <xf numFmtId="3" fontId="53" fillId="31" borderId="21" xfId="0" applyNumberFormat="1" applyFont="1" applyFill="1" applyBorder="1" applyAlignment="1">
      <alignment horizontal="center"/>
    </xf>
    <xf numFmtId="0" fontId="94" fillId="31" borderId="21" xfId="0" quotePrefix="1" applyFont="1" applyFill="1" applyBorder="1" applyAlignment="1">
      <alignment horizontal="center"/>
    </xf>
    <xf numFmtId="0" fontId="53" fillId="31" borderId="22" xfId="0" applyFont="1" applyFill="1" applyBorder="1" applyAlignment="1">
      <alignment horizontal="center"/>
    </xf>
    <xf numFmtId="0" fontId="99" fillId="42" borderId="23" xfId="0" applyFont="1" applyFill="1" applyBorder="1"/>
    <xf numFmtId="3" fontId="53" fillId="42" borderId="24" xfId="0" applyNumberFormat="1" applyFont="1" applyFill="1" applyBorder="1" applyAlignment="1">
      <alignment horizontal="center"/>
    </xf>
    <xf numFmtId="0" fontId="94" fillId="42" borderId="24" xfId="0" quotePrefix="1" applyFont="1" applyFill="1" applyBorder="1" applyAlignment="1">
      <alignment horizontal="center"/>
    </xf>
    <xf numFmtId="0" fontId="53" fillId="42" borderId="25" xfId="0" applyFont="1" applyFill="1" applyBorder="1" applyAlignment="1">
      <alignment horizontal="center"/>
    </xf>
    <xf numFmtId="49" fontId="96" fillId="29" borderId="21" xfId="0" applyNumberFormat="1" applyFont="1" applyFill="1" applyBorder="1" applyAlignment="1">
      <alignment horizontal="center"/>
    </xf>
    <xf numFmtId="49" fontId="96" fillId="30" borderId="21" xfId="0" applyNumberFormat="1" applyFont="1" applyFill="1" applyBorder="1" applyAlignment="1">
      <alignment horizontal="center"/>
    </xf>
    <xf numFmtId="49" fontId="96" fillId="31" borderId="21" xfId="0" applyNumberFormat="1" applyFont="1" applyFill="1" applyBorder="1" applyAlignment="1">
      <alignment horizontal="center"/>
    </xf>
    <xf numFmtId="49" fontId="96" fillId="42" borderId="24" xfId="0" applyNumberFormat="1" applyFont="1" applyFill="1" applyBorder="1" applyAlignment="1">
      <alignment horizontal="center"/>
    </xf>
    <xf numFmtId="0" fontId="52" fillId="49" borderId="40" xfId="0" applyFont="1" applyFill="1" applyBorder="1" applyAlignment="1">
      <alignment horizontal="center" vertical="center" wrapText="1"/>
    </xf>
    <xf numFmtId="3" fontId="0" fillId="0" borderId="41" xfId="0" applyNumberFormat="1" applyBorder="1"/>
    <xf numFmtId="170" fontId="0" fillId="0" borderId="41" xfId="0" applyNumberFormat="1" applyBorder="1"/>
    <xf numFmtId="0" fontId="53" fillId="0" borderId="41" xfId="0" applyFont="1" applyBorder="1"/>
    <xf numFmtId="0" fontId="53" fillId="52" borderId="41" xfId="0" applyFont="1" applyFill="1" applyBorder="1"/>
    <xf numFmtId="3" fontId="0" fillId="52" borderId="41" xfId="0" applyNumberFormat="1" applyFill="1" applyBorder="1"/>
    <xf numFmtId="170" fontId="0" fillId="52" borderId="41" xfId="0" applyNumberFormat="1" applyFill="1" applyBorder="1"/>
    <xf numFmtId="0" fontId="117" fillId="51" borderId="41" xfId="0" applyFont="1" applyFill="1" applyBorder="1"/>
    <xf numFmtId="3" fontId="57" fillId="51" borderId="41" xfId="0" applyNumberFormat="1" applyFont="1" applyFill="1" applyBorder="1"/>
    <xf numFmtId="3" fontId="0" fillId="51" borderId="41" xfId="0" applyNumberFormat="1" applyFill="1" applyBorder="1"/>
    <xf numFmtId="170" fontId="0" fillId="51" borderId="41" xfId="0" applyNumberFormat="1" applyFill="1" applyBorder="1"/>
    <xf numFmtId="0" fontId="0" fillId="0" borderId="41" xfId="0" applyBorder="1"/>
    <xf numFmtId="0" fontId="118" fillId="49" borderId="42" xfId="0" applyFont="1" applyFill="1" applyBorder="1"/>
    <xf numFmtId="3" fontId="52" fillId="49" borderId="42" xfId="0" applyNumberFormat="1" applyFont="1" applyFill="1" applyBorder="1"/>
    <xf numFmtId="170" fontId="52" fillId="49" borderId="42" xfId="0" applyNumberFormat="1" applyFont="1" applyFill="1" applyBorder="1"/>
    <xf numFmtId="0" fontId="19" fillId="18" borderId="6" xfId="0" applyFont="1" applyFill="1" applyBorder="1" applyAlignment="1">
      <alignment horizontal="center"/>
    </xf>
    <xf numFmtId="0" fontId="120" fillId="23" borderId="2" xfId="0" applyFont="1" applyFill="1" applyBorder="1" applyAlignment="1">
      <alignment horizontal="center"/>
    </xf>
    <xf numFmtId="0" fontId="25" fillId="23" borderId="2" xfId="0" applyFont="1" applyFill="1" applyBorder="1"/>
    <xf numFmtId="0" fontId="80" fillId="23" borderId="2" xfId="0" applyFont="1" applyFill="1" applyBorder="1"/>
    <xf numFmtId="3" fontId="6" fillId="23" borderId="2" xfId="0" applyNumberFormat="1" applyFont="1" applyFill="1" applyBorder="1" applyAlignment="1">
      <alignment horizontal="right"/>
    </xf>
    <xf numFmtId="167" fontId="6" fillId="23" borderId="2" xfId="0" applyNumberFormat="1" applyFont="1" applyFill="1" applyBorder="1" applyAlignment="1">
      <alignment horizontal="right"/>
    </xf>
    <xf numFmtId="165" fontId="6" fillId="23" borderId="2" xfId="0" applyNumberFormat="1" applyFont="1" applyFill="1" applyBorder="1" applyAlignment="1">
      <alignment horizontal="right"/>
    </xf>
    <xf numFmtId="171" fontId="6" fillId="23" borderId="2" xfId="0" applyNumberFormat="1" applyFont="1" applyFill="1" applyBorder="1" applyAlignment="1">
      <alignment horizontal="right"/>
    </xf>
    <xf numFmtId="0" fontId="120" fillId="53" borderId="2" xfId="0" applyFont="1" applyFill="1" applyBorder="1" applyAlignment="1">
      <alignment horizontal="center"/>
    </xf>
    <xf numFmtId="0" fontId="25" fillId="53" borderId="2" xfId="0" applyFont="1" applyFill="1" applyBorder="1"/>
    <xf numFmtId="0" fontId="80" fillId="53" borderId="2" xfId="0" applyFont="1" applyFill="1" applyBorder="1"/>
    <xf numFmtId="3" fontId="6" fillId="53" borderId="2" xfId="0" applyNumberFormat="1" applyFont="1" applyFill="1" applyBorder="1" applyAlignment="1">
      <alignment horizontal="right"/>
    </xf>
    <xf numFmtId="167" fontId="6" fillId="53" borderId="2" xfId="0" applyNumberFormat="1" applyFont="1" applyFill="1" applyBorder="1" applyAlignment="1">
      <alignment horizontal="right"/>
    </xf>
    <xf numFmtId="165" fontId="6" fillId="53" borderId="2" xfId="0" applyNumberFormat="1" applyFont="1" applyFill="1" applyBorder="1" applyAlignment="1">
      <alignment horizontal="right"/>
    </xf>
    <xf numFmtId="171" fontId="6" fillId="53" borderId="2" xfId="0" applyNumberFormat="1" applyFont="1" applyFill="1" applyBorder="1" applyAlignment="1">
      <alignment horizontal="right"/>
    </xf>
    <xf numFmtId="0" fontId="120" fillId="23" borderId="10" xfId="0" applyFont="1" applyFill="1" applyBorder="1" applyAlignment="1">
      <alignment horizontal="center"/>
    </xf>
    <xf numFmtId="0" fontId="25" fillId="23" borderId="10" xfId="0" applyFont="1" applyFill="1" applyBorder="1"/>
    <xf numFmtId="0" fontId="80" fillId="23" borderId="10" xfId="0" applyFont="1" applyFill="1" applyBorder="1"/>
    <xf numFmtId="3" fontId="6" fillId="23" borderId="10" xfId="0" applyNumberFormat="1" applyFont="1" applyFill="1" applyBorder="1" applyAlignment="1">
      <alignment horizontal="right"/>
    </xf>
    <xf numFmtId="167" fontId="6" fillId="23" borderId="10" xfId="0" applyNumberFormat="1" applyFont="1" applyFill="1" applyBorder="1" applyAlignment="1">
      <alignment horizontal="right"/>
    </xf>
    <xf numFmtId="165" fontId="6" fillId="23" borderId="10" xfId="0" applyNumberFormat="1" applyFont="1" applyFill="1" applyBorder="1" applyAlignment="1">
      <alignment horizontal="right"/>
    </xf>
    <xf numFmtId="171" fontId="6" fillId="23" borderId="10" xfId="0" applyNumberFormat="1" applyFont="1" applyFill="1" applyBorder="1" applyAlignment="1">
      <alignment horizontal="right"/>
    </xf>
    <xf numFmtId="0" fontId="19" fillId="54" borderId="6" xfId="0" applyFont="1" applyFill="1" applyBorder="1" applyAlignment="1">
      <alignment horizontal="center"/>
    </xf>
    <xf numFmtId="3" fontId="6" fillId="23" borderId="2" xfId="0" applyNumberFormat="1" applyFont="1" applyFill="1" applyBorder="1"/>
    <xf numFmtId="167" fontId="6" fillId="23" borderId="2" xfId="0" applyNumberFormat="1" applyFont="1" applyFill="1" applyBorder="1"/>
    <xf numFmtId="165" fontId="6" fillId="23" borderId="2" xfId="0" applyNumberFormat="1" applyFont="1" applyFill="1" applyBorder="1"/>
    <xf numFmtId="171" fontId="6" fillId="23" borderId="2" xfId="0" applyNumberFormat="1" applyFont="1" applyFill="1" applyBorder="1"/>
    <xf numFmtId="3" fontId="6" fillId="53" borderId="2" xfId="0" applyNumberFormat="1" applyFont="1" applyFill="1" applyBorder="1"/>
    <xf numFmtId="167" fontId="6" fillId="53" borderId="2" xfId="0" applyNumberFormat="1" applyFont="1" applyFill="1" applyBorder="1"/>
    <xf numFmtId="165" fontId="6" fillId="53" borderId="2" xfId="0" applyNumberFormat="1" applyFont="1" applyFill="1" applyBorder="1"/>
    <xf numFmtId="171" fontId="6" fillId="53" borderId="2" xfId="0" applyNumberFormat="1" applyFont="1" applyFill="1" applyBorder="1"/>
    <xf numFmtId="0" fontId="121" fillId="53" borderId="10" xfId="0" applyFont="1" applyFill="1" applyBorder="1" applyAlignment="1">
      <alignment horizontal="center" vertical="center" wrapText="1"/>
    </xf>
    <xf numFmtId="0" fontId="27" fillId="53" borderId="10" xfId="0" applyFont="1" applyFill="1" applyBorder="1" applyAlignment="1">
      <alignment horizontal="center" vertical="center" wrapText="1"/>
    </xf>
    <xf numFmtId="3" fontId="19" fillId="53" borderId="10" xfId="0" applyNumberFormat="1" applyFont="1" applyFill="1" applyBorder="1" applyAlignment="1">
      <alignment horizontal="center" vertical="center" wrapText="1"/>
    </xf>
    <xf numFmtId="167" fontId="19" fillId="53" borderId="10" xfId="0" applyNumberFormat="1" applyFont="1" applyFill="1" applyBorder="1" applyAlignment="1">
      <alignment horizontal="center" vertical="center" wrapText="1"/>
    </xf>
    <xf numFmtId="165" fontId="19" fillId="53" borderId="10" xfId="0" applyNumberFormat="1" applyFont="1" applyFill="1" applyBorder="1" applyAlignment="1">
      <alignment horizontal="center" vertical="center" wrapText="1"/>
    </xf>
    <xf numFmtId="171" fontId="19" fillId="53" borderId="10" xfId="0" applyNumberFormat="1" applyFont="1" applyFill="1" applyBorder="1" applyAlignment="1">
      <alignment horizontal="center" vertical="center" wrapText="1"/>
    </xf>
    <xf numFmtId="0" fontId="121" fillId="23" borderId="2" xfId="0" applyFont="1" applyFill="1" applyBorder="1" applyAlignment="1">
      <alignment horizontal="center" vertical="center"/>
    </xf>
    <xf numFmtId="0" fontId="122" fillId="23" borderId="2" xfId="0" applyFont="1" applyFill="1" applyBorder="1"/>
    <xf numFmtId="3" fontId="4" fillId="23" borderId="2" xfId="0" applyNumberFormat="1" applyFont="1" applyFill="1" applyBorder="1"/>
    <xf numFmtId="167" fontId="4" fillId="23" borderId="2" xfId="0" applyNumberFormat="1" applyFont="1" applyFill="1" applyBorder="1"/>
    <xf numFmtId="165" fontId="4" fillId="23" borderId="2" xfId="0" applyNumberFormat="1" applyFont="1" applyFill="1" applyBorder="1"/>
    <xf numFmtId="171" fontId="4" fillId="23" borderId="2" xfId="0" applyNumberFormat="1" applyFont="1" applyFill="1" applyBorder="1"/>
    <xf numFmtId="0" fontId="111" fillId="23" borderId="2" xfId="0" applyFont="1" applyFill="1" applyBorder="1"/>
    <xf numFmtId="171" fontId="0" fillId="23" borderId="2" xfId="0" applyNumberFormat="1" applyFill="1" applyBorder="1"/>
    <xf numFmtId="172" fontId="0" fillId="23" borderId="2" xfId="0" applyNumberFormat="1" applyFill="1" applyBorder="1"/>
    <xf numFmtId="0" fontId="0" fillId="41" borderId="2" xfId="0" applyFill="1" applyBorder="1" applyAlignment="1">
      <alignment horizontal="center"/>
    </xf>
    <xf numFmtId="2" fontId="0" fillId="23" borderId="2" xfId="0" applyNumberFormat="1" applyFill="1" applyBorder="1"/>
    <xf numFmtId="0" fontId="111" fillId="53" borderId="2" xfId="0" applyFont="1" applyFill="1" applyBorder="1"/>
    <xf numFmtId="171" fontId="0" fillId="53" borderId="2" xfId="0" applyNumberFormat="1" applyFill="1" applyBorder="1"/>
    <xf numFmtId="172" fontId="0" fillId="53" borderId="2" xfId="0" applyNumberFormat="1" applyFill="1" applyBorder="1"/>
    <xf numFmtId="2" fontId="0" fillId="53" borderId="2" xfId="0" applyNumberFormat="1" applyFill="1" applyBorder="1"/>
    <xf numFmtId="0" fontId="0" fillId="24" borderId="2" xfId="0" applyFill="1" applyBorder="1" applyAlignment="1">
      <alignment horizontal="center"/>
    </xf>
    <xf numFmtId="0" fontId="0" fillId="41" borderId="10" xfId="0" applyFill="1" applyBorder="1" applyAlignment="1">
      <alignment horizontal="center"/>
    </xf>
    <xf numFmtId="0" fontId="126" fillId="18" borderId="7" xfId="0" applyFont="1" applyFill="1" applyBorder="1" applyAlignment="1">
      <alignment horizontal="center"/>
    </xf>
    <xf numFmtId="0" fontId="126" fillId="18" borderId="43" xfId="0" applyFont="1" applyFill="1" applyBorder="1" applyAlignment="1">
      <alignment horizontal="center"/>
    </xf>
    <xf numFmtId="0" fontId="126" fillId="18" borderId="5" xfId="0" applyFont="1" applyFill="1" applyBorder="1" applyAlignment="1">
      <alignment horizontal="center"/>
    </xf>
    <xf numFmtId="0" fontId="111" fillId="23" borderId="3" xfId="0" applyFont="1" applyFill="1" applyBorder="1"/>
    <xf numFmtId="0" fontId="0" fillId="23" borderId="44" xfId="0" applyFill="1" applyBorder="1"/>
    <xf numFmtId="171" fontId="0" fillId="23" borderId="44" xfId="0" applyNumberFormat="1" applyFill="1" applyBorder="1"/>
    <xf numFmtId="172" fontId="0" fillId="23" borderId="44" xfId="0" applyNumberFormat="1" applyFill="1" applyBorder="1"/>
    <xf numFmtId="0" fontId="0" fillId="41" borderId="44" xfId="0" applyFill="1" applyBorder="1" applyAlignment="1">
      <alignment horizontal="center"/>
    </xf>
    <xf numFmtId="2" fontId="0" fillId="23" borderId="44" xfId="0" applyNumberFormat="1" applyFill="1" applyBorder="1"/>
    <xf numFmtId="0" fontId="0" fillId="41" borderId="1" xfId="0" applyFill="1" applyBorder="1" applyAlignment="1">
      <alignment horizontal="center"/>
    </xf>
    <xf numFmtId="0" fontId="111" fillId="53" borderId="3" xfId="0" applyFont="1" applyFill="1" applyBorder="1"/>
    <xf numFmtId="0" fontId="0" fillId="53" borderId="44" xfId="0" applyFill="1" applyBorder="1"/>
    <xf numFmtId="171" fontId="0" fillId="53" borderId="44" xfId="0" applyNumberFormat="1" applyFill="1" applyBorder="1"/>
    <xf numFmtId="172" fontId="0" fillId="53" borderId="44" xfId="0" applyNumberFormat="1" applyFill="1" applyBorder="1"/>
    <xf numFmtId="2" fontId="0" fillId="53" borderId="44" xfId="0" applyNumberFormat="1" applyFill="1" applyBorder="1"/>
    <xf numFmtId="0" fontId="0" fillId="24" borderId="44" xfId="0" applyFill="1" applyBorder="1" applyAlignment="1">
      <alignment horizontal="center"/>
    </xf>
    <xf numFmtId="0" fontId="111" fillId="53" borderId="45" xfId="0" applyFont="1" applyFill="1" applyBorder="1"/>
    <xf numFmtId="0" fontId="0" fillId="53" borderId="46" xfId="0" applyFill="1" applyBorder="1"/>
    <xf numFmtId="171" fontId="0" fillId="53" borderId="46" xfId="0" applyNumberFormat="1" applyFill="1" applyBorder="1"/>
    <xf numFmtId="172" fontId="0" fillId="53" borderId="46" xfId="0" applyNumberFormat="1" applyFill="1" applyBorder="1"/>
    <xf numFmtId="0" fontId="0" fillId="41" borderId="46" xfId="0" applyFill="1" applyBorder="1" applyAlignment="1">
      <alignment horizontal="center"/>
    </xf>
    <xf numFmtId="2" fontId="0" fillId="53" borderId="46" xfId="0" applyNumberFormat="1" applyFill="1" applyBorder="1"/>
    <xf numFmtId="0" fontId="0" fillId="41" borderId="47" xfId="0" applyFill="1" applyBorder="1" applyAlignment="1">
      <alignment horizontal="center"/>
    </xf>
    <xf numFmtId="0" fontId="31" fillId="8" borderId="4" xfId="0" applyFont="1" applyFill="1" applyAlignment="1">
      <alignment horizontal="center" vertical="center"/>
    </xf>
    <xf numFmtId="0" fontId="20" fillId="12" borderId="4" xfId="0" applyFont="1" applyFill="1" applyAlignment="1">
      <alignment horizontal="left" vertical="center"/>
    </xf>
    <xf numFmtId="0" fontId="40" fillId="12" borderId="4" xfId="0" applyFont="1" applyFill="1" applyAlignment="1">
      <alignment horizontal="center" vertical="center"/>
    </xf>
    <xf numFmtId="0" fontId="31" fillId="9" borderId="4" xfId="0" applyFont="1" applyFill="1" applyAlignment="1">
      <alignment horizontal="center" vertical="center"/>
    </xf>
    <xf numFmtId="0" fontId="5" fillId="12" borderId="4" xfId="0" applyFont="1" applyFill="1" applyAlignment="1">
      <alignment horizontal="left" vertical="center"/>
    </xf>
    <xf numFmtId="0" fontId="0" fillId="24" borderId="1" xfId="0" applyFill="1" applyBorder="1" applyAlignment="1">
      <alignment horizontal="center"/>
    </xf>
    <xf numFmtId="0" fontId="126" fillId="54" borderId="6" xfId="0" applyFont="1" applyFill="1" applyBorder="1" applyAlignment="1">
      <alignment horizontal="center"/>
    </xf>
    <xf numFmtId="0" fontId="0" fillId="23" borderId="2" xfId="0" applyFill="1" applyBorder="1" applyAlignment="1">
      <alignment horizontal="center"/>
    </xf>
    <xf numFmtId="0" fontId="104" fillId="23" borderId="2" xfId="0" applyFont="1" applyFill="1" applyBorder="1"/>
    <xf numFmtId="0" fontId="0" fillId="53" borderId="2" xfId="0" applyFill="1" applyBorder="1" applyAlignment="1">
      <alignment horizontal="center"/>
    </xf>
    <xf numFmtId="0" fontId="104" fillId="53" borderId="2" xfId="0" applyFont="1" applyFill="1" applyBorder="1"/>
    <xf numFmtId="0" fontId="111" fillId="23" borderId="10" xfId="0" applyFont="1" applyFill="1" applyBorder="1"/>
    <xf numFmtId="0" fontId="0" fillId="23" borderId="10" xfId="0" applyFill="1" applyBorder="1" applyAlignment="1">
      <alignment horizontal="center"/>
    </xf>
    <xf numFmtId="171" fontId="0" fillId="23" borderId="10" xfId="0" applyNumberFormat="1" applyFill="1" applyBorder="1"/>
    <xf numFmtId="172" fontId="0" fillId="23" borderId="10" xfId="0" applyNumberFormat="1" applyFill="1" applyBorder="1"/>
    <xf numFmtId="2" fontId="0" fillId="23" borderId="10" xfId="0" applyNumberFormat="1" applyFill="1" applyBorder="1"/>
    <xf numFmtId="0" fontId="104" fillId="23" borderId="10" xfId="0" applyFont="1" applyFill="1" applyBorder="1"/>
    <xf numFmtId="0" fontId="52" fillId="44" borderId="39" xfId="0" applyFont="1" applyFill="1" applyBorder="1" applyAlignment="1">
      <alignment horizontal="center"/>
    </xf>
    <xf numFmtId="0" fontId="52" fillId="44" borderId="38" xfId="0" applyFont="1" applyFill="1" applyBorder="1" applyAlignment="1">
      <alignment horizontal="center"/>
    </xf>
    <xf numFmtId="0" fontId="52" fillId="44" borderId="49" xfId="0" applyFont="1" applyFill="1" applyBorder="1" applyAlignment="1">
      <alignment horizontal="center"/>
    </xf>
    <xf numFmtId="0" fontId="52" fillId="44" borderId="50" xfId="0" applyFont="1" applyFill="1" applyBorder="1" applyAlignment="1">
      <alignment horizontal="center"/>
    </xf>
    <xf numFmtId="165" fontId="53" fillId="46" borderId="4" xfId="0" applyNumberFormat="1" applyFont="1" applyFill="1"/>
    <xf numFmtId="173" fontId="53" fillId="46" borderId="4" xfId="0" applyNumberFormat="1" applyFont="1" applyFill="1"/>
    <xf numFmtId="165" fontId="53" fillId="46" borderId="39" xfId="0" applyNumberFormat="1" applyFont="1" applyFill="1" applyBorder="1"/>
    <xf numFmtId="173" fontId="53" fillId="46" borderId="39" xfId="0" applyNumberFormat="1" applyFont="1" applyFill="1" applyBorder="1"/>
    <xf numFmtId="0" fontId="52" fillId="44" borderId="51" xfId="0" applyFont="1" applyFill="1" applyBorder="1" applyAlignment="1">
      <alignment horizontal="center"/>
    </xf>
    <xf numFmtId="165" fontId="53" fillId="46" borderId="51" xfId="0" applyNumberFormat="1" applyFont="1" applyFill="1" applyBorder="1"/>
    <xf numFmtId="0" fontId="0" fillId="45" borderId="48" xfId="0" applyFill="1" applyBorder="1"/>
    <xf numFmtId="165" fontId="57" fillId="45" borderId="38" xfId="0" applyNumberFormat="1" applyFont="1" applyFill="1" applyBorder="1"/>
    <xf numFmtId="173" fontId="57" fillId="45" borderId="38" xfId="0" applyNumberFormat="1" applyFont="1" applyFill="1" applyBorder="1"/>
    <xf numFmtId="0" fontId="0" fillId="45" borderId="38" xfId="0" applyFill="1" applyBorder="1"/>
    <xf numFmtId="3" fontId="0" fillId="46" borderId="39" xfId="0" applyNumberFormat="1" applyFill="1" applyBorder="1"/>
    <xf numFmtId="165" fontId="0" fillId="46" borderId="39" xfId="0" applyNumberFormat="1" applyFill="1" applyBorder="1"/>
    <xf numFmtId="173" fontId="0" fillId="46" borderId="39" xfId="0" applyNumberFormat="1" applyFill="1" applyBorder="1"/>
    <xf numFmtId="3" fontId="0" fillId="23" borderId="39" xfId="0" applyNumberFormat="1" applyFill="1" applyBorder="1"/>
    <xf numFmtId="165" fontId="0" fillId="23" borderId="39" xfId="0" applyNumberFormat="1" applyFill="1" applyBorder="1"/>
    <xf numFmtId="173" fontId="0" fillId="23" borderId="39" xfId="0" applyNumberFormat="1" applyFill="1" applyBorder="1"/>
    <xf numFmtId="0" fontId="57" fillId="46" borderId="39" xfId="0" applyFont="1" applyFill="1" applyBorder="1"/>
    <xf numFmtId="0" fontId="57" fillId="23" borderId="39" xfId="0" applyFont="1" applyFill="1" applyBorder="1"/>
    <xf numFmtId="0" fontId="57" fillId="45" borderId="52" xfId="0" applyFont="1" applyFill="1" applyBorder="1"/>
    <xf numFmtId="3" fontId="57" fillId="45" borderId="52" xfId="0" applyNumberFormat="1" applyFont="1" applyFill="1" applyBorder="1"/>
    <xf numFmtId="165" fontId="57" fillId="45" borderId="52" xfId="0" applyNumberFormat="1" applyFont="1" applyFill="1" applyBorder="1"/>
    <xf numFmtId="173" fontId="57" fillId="45" borderId="52" xfId="0" applyNumberFormat="1" applyFont="1" applyFill="1" applyBorder="1"/>
    <xf numFmtId="0" fontId="0" fillId="46" borderId="49" xfId="0" applyFill="1" applyBorder="1"/>
    <xf numFmtId="0" fontId="0" fillId="23" borderId="49" xfId="0" applyFill="1" applyBorder="1"/>
    <xf numFmtId="0" fontId="57" fillId="45" borderId="53" xfId="0" applyFont="1" applyFill="1" applyBorder="1"/>
    <xf numFmtId="165" fontId="0" fillId="46" borderId="51" xfId="0" applyNumberFormat="1" applyFill="1" applyBorder="1"/>
    <xf numFmtId="165" fontId="0" fillId="23" borderId="51" xfId="0" applyNumberFormat="1" applyFill="1" applyBorder="1"/>
    <xf numFmtId="0" fontId="57" fillId="45" borderId="54" xfId="0" applyFont="1" applyFill="1" applyBorder="1"/>
    <xf numFmtId="0" fontId="133" fillId="45" borderId="4" xfId="0" applyFont="1" applyFill="1"/>
    <xf numFmtId="3" fontId="106" fillId="0" borderId="37" xfId="0" applyNumberFormat="1" applyFont="1" applyBorder="1"/>
    <xf numFmtId="173" fontId="106" fillId="0" borderId="37" xfId="0" applyNumberFormat="1" applyFont="1" applyBorder="1"/>
    <xf numFmtId="10" fontId="106" fillId="0" borderId="37" xfId="0" applyNumberFormat="1" applyFont="1" applyBorder="1"/>
    <xf numFmtId="0" fontId="22" fillId="24" borderId="10" xfId="0" applyFont="1" applyFill="1" applyBorder="1"/>
    <xf numFmtId="0" fontId="139" fillId="24" borderId="10" xfId="0" applyFont="1" applyFill="1" applyBorder="1"/>
    <xf numFmtId="3" fontId="6" fillId="24" borderId="10" xfId="0" applyNumberFormat="1" applyFont="1" applyFill="1" applyBorder="1" applyAlignment="1">
      <alignment horizontal="center"/>
    </xf>
    <xf numFmtId="165" fontId="6" fillId="24" borderId="10" xfId="0" applyNumberFormat="1" applyFont="1" applyFill="1" applyBorder="1" applyAlignment="1">
      <alignment horizontal="center"/>
    </xf>
    <xf numFmtId="174" fontId="6" fillId="24" borderId="10" xfId="0" applyNumberFormat="1" applyFont="1" applyFill="1" applyBorder="1" applyAlignment="1">
      <alignment horizontal="center"/>
    </xf>
    <xf numFmtId="165" fontId="46" fillId="24" borderId="10" xfId="0" applyNumberFormat="1" applyFont="1" applyFill="1" applyBorder="1" applyAlignment="1">
      <alignment horizontal="center"/>
    </xf>
    <xf numFmtId="173" fontId="6" fillId="24" borderId="10" xfId="0" applyNumberFormat="1" applyFont="1" applyFill="1" applyBorder="1" applyAlignment="1">
      <alignment horizontal="center"/>
    </xf>
    <xf numFmtId="0" fontId="141" fillId="24" borderId="10" xfId="0" applyFont="1" applyFill="1" applyBorder="1"/>
    <xf numFmtId="0" fontId="19" fillId="18" borderId="4" xfId="0" applyFont="1" applyFill="1" applyAlignment="1">
      <alignment horizontal="center"/>
    </xf>
    <xf numFmtId="0" fontId="36" fillId="25" borderId="10" xfId="0" applyFont="1" applyFill="1" applyBorder="1"/>
    <xf numFmtId="0" fontId="139" fillId="25" borderId="10" xfId="0" applyFont="1" applyFill="1" applyBorder="1"/>
    <xf numFmtId="3" fontId="6" fillId="25" borderId="10" xfId="0" applyNumberFormat="1" applyFont="1" applyFill="1" applyBorder="1" applyAlignment="1">
      <alignment horizontal="center"/>
    </xf>
    <xf numFmtId="165" fontId="6" fillId="25" borderId="10" xfId="0" applyNumberFormat="1" applyFont="1" applyFill="1" applyBorder="1" applyAlignment="1">
      <alignment horizontal="center"/>
    </xf>
    <xf numFmtId="174" fontId="6" fillId="25" borderId="10" xfId="0" applyNumberFormat="1" applyFont="1" applyFill="1" applyBorder="1" applyAlignment="1">
      <alignment horizontal="center"/>
    </xf>
    <xf numFmtId="165" fontId="46" fillId="25" borderId="10" xfId="0" applyNumberFormat="1" applyFont="1" applyFill="1" applyBorder="1" applyAlignment="1">
      <alignment horizontal="center"/>
    </xf>
    <xf numFmtId="173" fontId="6" fillId="25" borderId="10" xfId="0" applyNumberFormat="1" applyFont="1" applyFill="1" applyBorder="1" applyAlignment="1">
      <alignment horizontal="center"/>
    </xf>
    <xf numFmtId="0" fontId="142" fillId="25" borderId="10" xfId="0" applyFont="1" applyFill="1" applyBorder="1"/>
    <xf numFmtId="0" fontId="34" fillId="19" borderId="10" xfId="0" applyFont="1" applyFill="1" applyBorder="1"/>
    <xf numFmtId="0" fontId="139" fillId="19" borderId="10" xfId="0" applyFont="1" applyFill="1" applyBorder="1"/>
    <xf numFmtId="3" fontId="6" fillId="19" borderId="10" xfId="0" applyNumberFormat="1" applyFont="1" applyFill="1" applyBorder="1" applyAlignment="1">
      <alignment horizontal="center"/>
    </xf>
    <xf numFmtId="165" fontId="6" fillId="19" borderId="10" xfId="0" applyNumberFormat="1" applyFont="1" applyFill="1" applyBorder="1" applyAlignment="1">
      <alignment horizontal="center"/>
    </xf>
    <xf numFmtId="174" fontId="6" fillId="19" borderId="10" xfId="0" applyNumberFormat="1" applyFont="1" applyFill="1" applyBorder="1" applyAlignment="1">
      <alignment horizontal="center"/>
    </xf>
    <xf numFmtId="165" fontId="46" fillId="19" borderId="10" xfId="0" applyNumberFormat="1" applyFont="1" applyFill="1" applyBorder="1" applyAlignment="1">
      <alignment horizontal="center"/>
    </xf>
    <xf numFmtId="173" fontId="6" fillId="19" borderId="10" xfId="0" applyNumberFormat="1" applyFont="1" applyFill="1" applyBorder="1" applyAlignment="1">
      <alignment horizontal="center"/>
    </xf>
    <xf numFmtId="0" fontId="143" fillId="19" borderId="10" xfId="0" applyFont="1" applyFill="1" applyBorder="1"/>
    <xf numFmtId="0" fontId="144" fillId="41" borderId="2" xfId="0" applyFont="1" applyFill="1" applyBorder="1"/>
    <xf numFmtId="0" fontId="139" fillId="41" borderId="2" xfId="0" applyFont="1" applyFill="1" applyBorder="1"/>
    <xf numFmtId="3" fontId="6" fillId="41" borderId="2" xfId="0" applyNumberFormat="1" applyFont="1" applyFill="1" applyBorder="1" applyAlignment="1">
      <alignment horizontal="center"/>
    </xf>
    <xf numFmtId="165" fontId="6" fillId="41" borderId="2" xfId="0" applyNumberFormat="1" applyFont="1" applyFill="1" applyBorder="1" applyAlignment="1">
      <alignment horizontal="center"/>
    </xf>
    <xf numFmtId="174" fontId="6" fillId="41" borderId="2" xfId="0" applyNumberFormat="1" applyFont="1" applyFill="1" applyBorder="1" applyAlignment="1">
      <alignment horizontal="center"/>
    </xf>
    <xf numFmtId="165" fontId="46" fillId="41" borderId="2" xfId="0" applyNumberFormat="1" applyFont="1" applyFill="1" applyBorder="1" applyAlignment="1">
      <alignment horizontal="center"/>
    </xf>
    <xf numFmtId="173" fontId="6" fillId="41" borderId="2" xfId="0" applyNumberFormat="1" applyFont="1" applyFill="1" applyBorder="1" applyAlignment="1">
      <alignment horizontal="center"/>
    </xf>
    <xf numFmtId="0" fontId="145" fillId="41" borderId="2" xfId="0" applyFont="1" applyFill="1" applyBorder="1"/>
    <xf numFmtId="0" fontId="58" fillId="44" borderId="6" xfId="0" applyFont="1" applyFill="1" applyBorder="1" applyAlignment="1">
      <alignment horizontal="center"/>
    </xf>
    <xf numFmtId="0" fontId="58" fillId="60" borderId="6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3" fontId="0" fillId="0" borderId="2" xfId="0" applyNumberFormat="1" applyBorder="1"/>
    <xf numFmtId="164" fontId="0" fillId="0" borderId="2" xfId="0" applyNumberFormat="1" applyBorder="1"/>
    <xf numFmtId="0" fontId="108" fillId="19" borderId="2" xfId="0" applyFont="1" applyFill="1" applyBorder="1"/>
    <xf numFmtId="171" fontId="0" fillId="0" borderId="2" xfId="0" applyNumberFormat="1" applyBorder="1"/>
    <xf numFmtId="10" fontId="0" fillId="0" borderId="2" xfId="0" applyNumberFormat="1" applyBorder="1"/>
    <xf numFmtId="0" fontId="0" fillId="59" borderId="2" xfId="0" applyFill="1" applyBorder="1" applyAlignment="1">
      <alignment horizontal="center"/>
    </xf>
    <xf numFmtId="0" fontId="0" fillId="59" borderId="2" xfId="0" applyFill="1" applyBorder="1"/>
    <xf numFmtId="3" fontId="0" fillId="59" borderId="2" xfId="0" applyNumberFormat="1" applyFill="1" applyBorder="1"/>
    <xf numFmtId="164" fontId="0" fillId="59" borderId="2" xfId="0" applyNumberFormat="1" applyFill="1" applyBorder="1"/>
    <xf numFmtId="0" fontId="108" fillId="61" borderId="2" xfId="0" applyFont="1" applyFill="1" applyBorder="1"/>
    <xf numFmtId="0" fontId="0" fillId="59" borderId="10" xfId="0" applyFill="1" applyBorder="1" applyAlignment="1">
      <alignment horizontal="center"/>
    </xf>
    <xf numFmtId="0" fontId="0" fillId="59" borderId="10" xfId="0" applyFill="1" applyBorder="1"/>
    <xf numFmtId="3" fontId="0" fillId="59" borderId="10" xfId="0" applyNumberFormat="1" applyFill="1" applyBorder="1"/>
    <xf numFmtId="164" fontId="0" fillId="59" borderId="10" xfId="0" applyNumberFormat="1" applyFill="1" applyBorder="1"/>
    <xf numFmtId="0" fontId="108" fillId="61" borderId="10" xfId="0" applyFont="1" applyFill="1" applyBorder="1"/>
    <xf numFmtId="0" fontId="108" fillId="19" borderId="2" xfId="0" quotePrefix="1" applyFont="1" applyFill="1" applyBorder="1"/>
    <xf numFmtId="164" fontId="6" fillId="0" borderId="4" xfId="0" applyNumberFormat="1" applyFont="1" applyAlignment="1">
      <alignment horizontal="center" vertical="center" wrapText="1"/>
    </xf>
    <xf numFmtId="164" fontId="6" fillId="12" borderId="4" xfId="0" applyNumberFormat="1" applyFont="1" applyFill="1" applyAlignment="1">
      <alignment horizontal="right" vertical="center"/>
    </xf>
    <xf numFmtId="164" fontId="6" fillId="11" borderId="4" xfId="0" applyNumberFormat="1" applyFont="1" applyFill="1" applyAlignment="1">
      <alignment horizontal="right" vertical="center"/>
    </xf>
    <xf numFmtId="4" fontId="6" fillId="12" borderId="6" xfId="0" applyNumberFormat="1" applyFont="1" applyFill="1" applyBorder="1" applyAlignment="1">
      <alignment horizontal="right" vertical="center"/>
    </xf>
    <xf numFmtId="4" fontId="6" fillId="11" borderId="6" xfId="0" applyNumberFormat="1" applyFont="1" applyFill="1" applyBorder="1" applyAlignment="1">
      <alignment horizontal="right" vertical="center"/>
    </xf>
    <xf numFmtId="4" fontId="6" fillId="0" borderId="6" xfId="0" applyNumberFormat="1" applyFont="1" applyBorder="1"/>
    <xf numFmtId="164" fontId="157" fillId="0" borderId="12" xfId="0" applyNumberFormat="1" applyFont="1" applyBorder="1" applyAlignment="1">
      <alignment horizontal="center" vertical="center" wrapText="1"/>
    </xf>
    <xf numFmtId="0" fontId="19" fillId="18" borderId="6" xfId="0" applyFont="1" applyFill="1" applyBorder="1" applyAlignment="1">
      <alignment horizontal="left"/>
    </xf>
    <xf numFmtId="0" fontId="25" fillId="45" borderId="2" xfId="0" applyFont="1" applyFill="1" applyBorder="1"/>
    <xf numFmtId="3" fontId="25" fillId="45" borderId="2" xfId="0" applyNumberFormat="1" applyFont="1" applyFill="1" applyBorder="1"/>
    <xf numFmtId="165" fontId="25" fillId="45" borderId="2" xfId="0" applyNumberFormat="1" applyFont="1" applyFill="1" applyBorder="1"/>
    <xf numFmtId="0" fontId="28" fillId="23" borderId="2" xfId="0" applyFont="1" applyFill="1" applyBorder="1"/>
    <xf numFmtId="3" fontId="28" fillId="23" borderId="2" xfId="0" applyNumberFormat="1" applyFont="1" applyFill="1" applyBorder="1"/>
    <xf numFmtId="165" fontId="28" fillId="23" borderId="2" xfId="0" applyNumberFormat="1" applyFont="1" applyFill="1" applyBorder="1"/>
    <xf numFmtId="0" fontId="28" fillId="59" borderId="2" xfId="0" applyFont="1" applyFill="1" applyBorder="1"/>
    <xf numFmtId="3" fontId="28" fillId="59" borderId="2" xfId="0" applyNumberFormat="1" applyFont="1" applyFill="1" applyBorder="1"/>
    <xf numFmtId="165" fontId="28" fillId="59" borderId="2" xfId="0" applyNumberFormat="1" applyFont="1" applyFill="1" applyBorder="1"/>
    <xf numFmtId="0" fontId="28" fillId="59" borderId="10" xfId="0" applyFont="1" applyFill="1" applyBorder="1"/>
    <xf numFmtId="3" fontId="28" fillId="59" borderId="10" xfId="0" applyNumberFormat="1" applyFont="1" applyFill="1" applyBorder="1"/>
    <xf numFmtId="165" fontId="28" fillId="59" borderId="10" xfId="0" applyNumberFormat="1" applyFont="1" applyFill="1" applyBorder="1"/>
    <xf numFmtId="0" fontId="28" fillId="23" borderId="6" xfId="0" applyFont="1" applyFill="1" applyBorder="1"/>
    <xf numFmtId="3" fontId="28" fillId="23" borderId="6" xfId="0" applyNumberFormat="1" applyFont="1" applyFill="1" applyBorder="1"/>
    <xf numFmtId="165" fontId="28" fillId="23" borderId="6" xfId="0" applyNumberFormat="1" applyFont="1" applyFill="1" applyBorder="1"/>
    <xf numFmtId="0" fontId="25" fillId="47" borderId="55" xfId="0" applyFont="1" applyFill="1" applyBorder="1"/>
    <xf numFmtId="3" fontId="25" fillId="47" borderId="55" xfId="0" applyNumberFormat="1" applyFont="1" applyFill="1" applyBorder="1"/>
    <xf numFmtId="165" fontId="25" fillId="47" borderId="55" xfId="0" applyNumberFormat="1" applyFont="1" applyFill="1" applyBorder="1"/>
    <xf numFmtId="0" fontId="25" fillId="56" borderId="56" xfId="0" applyFont="1" applyFill="1" applyBorder="1"/>
    <xf numFmtId="3" fontId="25" fillId="56" borderId="56" xfId="0" applyNumberFormat="1" applyFont="1" applyFill="1" applyBorder="1"/>
    <xf numFmtId="165" fontId="25" fillId="56" borderId="56" xfId="0" applyNumberFormat="1" applyFont="1" applyFill="1" applyBorder="1"/>
    <xf numFmtId="0" fontId="165" fillId="0" borderId="4" xfId="0" applyFont="1"/>
    <xf numFmtId="0" fontId="53" fillId="0" borderId="4" xfId="0" applyFont="1"/>
    <xf numFmtId="8" fontId="53" fillId="0" borderId="4" xfId="0" applyNumberFormat="1" applyFont="1"/>
    <xf numFmtId="0" fontId="166" fillId="0" borderId="4" xfId="0" applyFont="1"/>
    <xf numFmtId="9" fontId="53" fillId="0" borderId="4" xfId="0" applyNumberFormat="1" applyFont="1"/>
    <xf numFmtId="0" fontId="167" fillId="32" borderId="4" xfId="0" applyFont="1" applyFill="1" applyAlignment="1">
      <alignment horizontal="center"/>
    </xf>
    <xf numFmtId="9" fontId="166" fillId="0" borderId="4" xfId="0" applyNumberFormat="1" applyFont="1"/>
    <xf numFmtId="8" fontId="166" fillId="0" borderId="4" xfId="0" applyNumberFormat="1" applyFont="1"/>
    <xf numFmtId="0" fontId="168" fillId="0" borderId="4" xfId="0" applyFont="1"/>
    <xf numFmtId="0" fontId="169" fillId="0" borderId="4" xfId="0" applyFont="1"/>
    <xf numFmtId="0" fontId="170" fillId="32" borderId="4" xfId="0" applyFont="1" applyFill="1"/>
    <xf numFmtId="0" fontId="170" fillId="32" borderId="4" xfId="0" applyFont="1" applyFill="1" applyAlignment="1">
      <alignment horizontal="right"/>
    </xf>
    <xf numFmtId="0" fontId="170" fillId="32" borderId="4" xfId="0" applyFont="1" applyFill="1" applyAlignment="1">
      <alignment horizontal="center"/>
    </xf>
    <xf numFmtId="0" fontId="170" fillId="32" borderId="57" xfId="0" applyFont="1" applyFill="1" applyBorder="1" applyAlignment="1">
      <alignment horizontal="center"/>
    </xf>
    <xf numFmtId="0" fontId="169" fillId="0" borderId="4" xfId="0" applyFont="1" applyAlignment="1">
      <alignment horizontal="center"/>
    </xf>
    <xf numFmtId="14" fontId="166" fillId="0" borderId="58" xfId="0" applyNumberFormat="1" applyFont="1" applyBorder="1"/>
    <xf numFmtId="8" fontId="171" fillId="0" borderId="4" xfId="0" applyNumberFormat="1" applyFont="1"/>
    <xf numFmtId="9" fontId="171" fillId="0" borderId="4" xfId="0" applyNumberFormat="1" applyFont="1"/>
    <xf numFmtId="9" fontId="172" fillId="0" borderId="4" xfId="0" applyNumberFormat="1" applyFont="1"/>
    <xf numFmtId="0" fontId="173" fillId="0" borderId="4" xfId="0" applyFont="1"/>
    <xf numFmtId="8" fontId="173" fillId="0" borderId="4" xfId="0" applyNumberFormat="1" applyFont="1"/>
    <xf numFmtId="0" fontId="173" fillId="0" borderId="57" xfId="0" applyFont="1" applyBorder="1"/>
    <xf numFmtId="0" fontId="165" fillId="0" borderId="4" xfId="0" applyFont="1" applyAlignment="1">
      <alignment wrapText="1"/>
    </xf>
    <xf numFmtId="9" fontId="173" fillId="0" borderId="4" xfId="0" applyNumberFormat="1" applyFont="1"/>
    <xf numFmtId="8" fontId="173" fillId="0" borderId="4" xfId="0" applyNumberFormat="1" applyFont="1" applyAlignment="1">
      <alignment wrapText="1"/>
    </xf>
    <xf numFmtId="0" fontId="174" fillId="0" borderId="4" xfId="0" applyFont="1"/>
    <xf numFmtId="0" fontId="175" fillId="0" borderId="4" xfId="0" applyFont="1"/>
    <xf numFmtId="0" fontId="165" fillId="0" borderId="4" xfId="0" applyFont="1" applyAlignment="1">
      <alignment vertical="top" wrapText="1"/>
    </xf>
    <xf numFmtId="0" fontId="176" fillId="0" borderId="4" xfId="0" applyFont="1"/>
    <xf numFmtId="14" fontId="166" fillId="0" borderId="4" xfId="0" applyNumberFormat="1" applyFont="1"/>
    <xf numFmtId="8" fontId="178" fillId="0" borderId="59" xfId="0" applyNumberFormat="1" applyFont="1" applyBorder="1"/>
    <xf numFmtId="8" fontId="179" fillId="0" borderId="59" xfId="0" applyNumberFormat="1" applyFont="1" applyBorder="1"/>
    <xf numFmtId="8" fontId="180" fillId="0" borderId="4" xfId="0" applyNumberFormat="1" applyFont="1"/>
    <xf numFmtId="0" fontId="105" fillId="0" borderId="4" xfId="0" applyFont="1"/>
    <xf numFmtId="8" fontId="181" fillId="0" borderId="59" xfId="0" applyNumberFormat="1" applyFont="1" applyBorder="1"/>
    <xf numFmtId="9" fontId="173" fillId="0" borderId="60" xfId="0" applyNumberFormat="1" applyFont="1" applyBorder="1"/>
    <xf numFmtId="175" fontId="0" fillId="0" borderId="0" xfId="0" applyNumberFormat="1" applyBorder="1"/>
    <xf numFmtId="14" fontId="169" fillId="0" borderId="4" xfId="0" applyNumberFormat="1" applyFont="1"/>
    <xf numFmtId="8" fontId="169" fillId="0" borderId="4" xfId="0" applyNumberFormat="1" applyFont="1" applyAlignment="1">
      <alignment horizontal="right"/>
    </xf>
    <xf numFmtId="8" fontId="169" fillId="0" borderId="4" xfId="0" applyNumberFormat="1" applyFont="1" applyAlignment="1">
      <alignment horizontal="right" vertical="center"/>
    </xf>
    <xf numFmtId="8" fontId="169" fillId="0" borderId="4" xfId="0" applyNumberFormat="1" applyFont="1"/>
    <xf numFmtId="0" fontId="169" fillId="0" borderId="4" xfId="0" applyFont="1" applyAlignment="1">
      <alignment horizontal="right" vertical="center"/>
    </xf>
    <xf numFmtId="0" fontId="169" fillId="0" borderId="4" xfId="0" applyFont="1" applyAlignment="1">
      <alignment horizontal="right"/>
    </xf>
    <xf numFmtId="0" fontId="169" fillId="0" borderId="4" xfId="0" applyFont="1" applyAlignment="1">
      <alignment wrapText="1"/>
    </xf>
    <xf numFmtId="8" fontId="169" fillId="62" borderId="4" xfId="0" applyNumberFormat="1" applyFont="1" applyFill="1" applyAlignment="1">
      <alignment horizontal="right"/>
    </xf>
    <xf numFmtId="0" fontId="186" fillId="63" borderId="61" xfId="0" applyFont="1" applyFill="1" applyBorder="1" applyAlignment="1">
      <alignment horizontal="center" vertical="center" wrapText="1"/>
    </xf>
    <xf numFmtId="0" fontId="187" fillId="64" borderId="61" xfId="0" applyFont="1" applyFill="1" applyBorder="1" applyAlignment="1">
      <alignment horizontal="center" vertical="center" wrapText="1"/>
    </xf>
    <xf numFmtId="0" fontId="188" fillId="64" borderId="61" xfId="0" applyFont="1" applyFill="1" applyBorder="1" applyAlignment="1">
      <alignment horizontal="left" vertical="center" wrapText="1"/>
    </xf>
    <xf numFmtId="0" fontId="189" fillId="64" borderId="61" xfId="0" applyFont="1" applyFill="1" applyBorder="1" applyAlignment="1">
      <alignment horizontal="center" vertical="center" wrapText="1"/>
    </xf>
    <xf numFmtId="176" fontId="190" fillId="64" borderId="61" xfId="0" applyNumberFormat="1" applyFont="1" applyFill="1" applyBorder="1" applyAlignment="1">
      <alignment horizontal="right" vertical="center" wrapText="1"/>
    </xf>
    <xf numFmtId="176" fontId="191" fillId="64" borderId="61" xfId="0" applyNumberFormat="1" applyFont="1" applyFill="1" applyBorder="1" applyAlignment="1">
      <alignment horizontal="right" vertical="center" wrapText="1"/>
    </xf>
    <xf numFmtId="165" fontId="191" fillId="64" borderId="61" xfId="0" applyNumberFormat="1" applyFont="1" applyFill="1" applyBorder="1" applyAlignment="1">
      <alignment horizontal="right" vertical="center" wrapText="1"/>
    </xf>
    <xf numFmtId="0" fontId="192" fillId="64" borderId="61" xfId="0" applyFont="1" applyFill="1" applyBorder="1" applyAlignment="1">
      <alignment horizontal="left" vertical="center" wrapText="1"/>
    </xf>
    <xf numFmtId="0" fontId="193" fillId="64" borderId="61" xfId="0" applyFont="1" applyFill="1" applyBorder="1" applyAlignment="1">
      <alignment horizontal="center" vertical="center" wrapText="1"/>
    </xf>
    <xf numFmtId="176" fontId="194" fillId="64" borderId="61" xfId="0" applyNumberFormat="1" applyFont="1" applyFill="1" applyBorder="1" applyAlignment="1">
      <alignment horizontal="right" vertical="center" wrapText="1"/>
    </xf>
    <xf numFmtId="165" fontId="194" fillId="64" borderId="61" xfId="0" applyNumberFormat="1" applyFont="1" applyFill="1" applyBorder="1" applyAlignment="1">
      <alignment horizontal="right" vertical="center" wrapText="1"/>
    </xf>
    <xf numFmtId="0" fontId="195" fillId="64" borderId="61" xfId="0" applyFont="1" applyFill="1" applyBorder="1" applyAlignment="1">
      <alignment horizontal="center" vertical="center" wrapText="1"/>
    </xf>
    <xf numFmtId="0" fontId="187" fillId="65" borderId="61" xfId="0" applyFont="1" applyFill="1" applyBorder="1" applyAlignment="1">
      <alignment horizontal="center" vertical="center" wrapText="1"/>
    </xf>
    <xf numFmtId="0" fontId="188" fillId="65" borderId="61" xfId="0" applyFont="1" applyFill="1" applyBorder="1" applyAlignment="1">
      <alignment horizontal="left" vertical="center" wrapText="1"/>
    </xf>
    <xf numFmtId="0" fontId="189" fillId="65" borderId="61" xfId="0" applyFont="1" applyFill="1" applyBorder="1" applyAlignment="1">
      <alignment horizontal="center" vertical="center" wrapText="1"/>
    </xf>
    <xf numFmtId="176" fontId="190" fillId="65" borderId="61" xfId="0" applyNumberFormat="1" applyFont="1" applyFill="1" applyBorder="1" applyAlignment="1">
      <alignment horizontal="right" vertical="center" wrapText="1"/>
    </xf>
    <xf numFmtId="176" fontId="191" fillId="65" borderId="61" xfId="0" applyNumberFormat="1" applyFont="1" applyFill="1" applyBorder="1" applyAlignment="1">
      <alignment horizontal="right" vertical="center" wrapText="1"/>
    </xf>
    <xf numFmtId="165" fontId="191" fillId="65" borderId="61" xfId="0" applyNumberFormat="1" applyFont="1" applyFill="1" applyBorder="1" applyAlignment="1">
      <alignment horizontal="right" vertical="center" wrapText="1"/>
    </xf>
    <xf numFmtId="0" fontId="192" fillId="65" borderId="61" xfId="0" applyFont="1" applyFill="1" applyBorder="1" applyAlignment="1">
      <alignment horizontal="left" vertical="center" wrapText="1"/>
    </xf>
    <xf numFmtId="0" fontId="193" fillId="65" borderId="61" xfId="0" applyFont="1" applyFill="1" applyBorder="1" applyAlignment="1">
      <alignment horizontal="center" vertical="center" wrapText="1"/>
    </xf>
    <xf numFmtId="176" fontId="194" fillId="65" borderId="61" xfId="0" applyNumberFormat="1" applyFont="1" applyFill="1" applyBorder="1" applyAlignment="1">
      <alignment horizontal="right" vertical="center" wrapText="1"/>
    </xf>
    <xf numFmtId="165" fontId="194" fillId="65" borderId="61" xfId="0" applyNumberFormat="1" applyFont="1" applyFill="1" applyBorder="1" applyAlignment="1">
      <alignment horizontal="right" vertical="center" wrapText="1"/>
    </xf>
    <xf numFmtId="0" fontId="187" fillId="66" borderId="61" xfId="0" applyFont="1" applyFill="1" applyBorder="1" applyAlignment="1">
      <alignment horizontal="center" vertical="center" wrapText="1"/>
    </xf>
    <xf numFmtId="0" fontId="188" fillId="66" borderId="61" xfId="0" applyFont="1" applyFill="1" applyBorder="1" applyAlignment="1">
      <alignment horizontal="left" vertical="center" wrapText="1"/>
    </xf>
    <xf numFmtId="0" fontId="193" fillId="66" borderId="61" xfId="0" applyFont="1" applyFill="1" applyBorder="1" applyAlignment="1">
      <alignment horizontal="center" vertical="center" wrapText="1"/>
    </xf>
    <xf numFmtId="176" fontId="190" fillId="66" borderId="61" xfId="0" applyNumberFormat="1" applyFont="1" applyFill="1" applyBorder="1" applyAlignment="1">
      <alignment horizontal="right" vertical="center" wrapText="1"/>
    </xf>
    <xf numFmtId="176" fontId="194" fillId="66" borderId="61" xfId="0" applyNumberFormat="1" applyFont="1" applyFill="1" applyBorder="1" applyAlignment="1">
      <alignment horizontal="right" vertical="center" wrapText="1"/>
    </xf>
    <xf numFmtId="165" fontId="195" fillId="66" borderId="61" xfId="0" applyNumberFormat="1" applyFont="1" applyFill="1" applyBorder="1" applyAlignment="1">
      <alignment horizontal="right" vertical="center" wrapText="1"/>
    </xf>
    <xf numFmtId="0" fontId="192" fillId="66" borderId="61" xfId="0" applyFont="1" applyFill="1" applyBorder="1" applyAlignment="1">
      <alignment horizontal="left" vertical="center" wrapText="1"/>
    </xf>
    <xf numFmtId="165" fontId="194" fillId="66" borderId="61" xfId="0" applyNumberFormat="1" applyFont="1" applyFill="1" applyBorder="1" applyAlignment="1">
      <alignment horizontal="right" vertical="center" wrapText="1"/>
    </xf>
    <xf numFmtId="0" fontId="195" fillId="65" borderId="61" xfId="0" applyFont="1" applyFill="1" applyBorder="1" applyAlignment="1">
      <alignment horizontal="center" vertical="center" wrapText="1"/>
    </xf>
    <xf numFmtId="176" fontId="191" fillId="66" borderId="61" xfId="0" applyNumberFormat="1" applyFont="1" applyFill="1" applyBorder="1" applyAlignment="1">
      <alignment horizontal="right" vertical="center" wrapText="1"/>
    </xf>
    <xf numFmtId="165" fontId="191" fillId="66" borderId="61" xfId="0" applyNumberFormat="1" applyFont="1" applyFill="1" applyBorder="1" applyAlignment="1">
      <alignment horizontal="right" vertical="center" wrapText="1"/>
    </xf>
    <xf numFmtId="0" fontId="186" fillId="68" borderId="61" xfId="0" applyFont="1" applyFill="1" applyBorder="1" applyAlignment="1">
      <alignment horizontal="center" vertical="center" wrapText="1"/>
    </xf>
    <xf numFmtId="0" fontId="188" fillId="69" borderId="61" xfId="0" applyFont="1" applyFill="1" applyBorder="1" applyAlignment="1">
      <alignment horizontal="left" vertical="center" wrapText="1"/>
    </xf>
    <xf numFmtId="3" fontId="194" fillId="69" borderId="61" xfId="0" applyNumberFormat="1" applyFont="1" applyFill="1" applyBorder="1" applyAlignment="1">
      <alignment horizontal="center" vertical="center" wrapText="1"/>
    </xf>
    <xf numFmtId="9" fontId="197" fillId="69" borderId="61" xfId="0" applyNumberFormat="1" applyFont="1" applyFill="1" applyBorder="1" applyAlignment="1">
      <alignment horizontal="center" vertical="center" wrapText="1"/>
    </xf>
    <xf numFmtId="0" fontId="195" fillId="69" borderId="61" xfId="0" applyFont="1" applyFill="1" applyBorder="1" applyAlignment="1">
      <alignment horizontal="center" vertical="center" wrapText="1"/>
    </xf>
    <xf numFmtId="176" fontId="190" fillId="69" borderId="61" xfId="0" applyNumberFormat="1" applyFont="1" applyFill="1" applyBorder="1" applyAlignment="1">
      <alignment horizontal="right" vertical="center" wrapText="1"/>
    </xf>
    <xf numFmtId="176" fontId="198" fillId="69" borderId="61" xfId="0" applyNumberFormat="1" applyFont="1" applyFill="1" applyBorder="1" applyAlignment="1">
      <alignment horizontal="right" vertical="center" wrapText="1"/>
    </xf>
    <xf numFmtId="0" fontId="199" fillId="69" borderId="61" xfId="0" applyFont="1" applyFill="1" applyBorder="1" applyAlignment="1">
      <alignment horizontal="left" vertical="center" wrapText="1"/>
    </xf>
    <xf numFmtId="0" fontId="193" fillId="69" borderId="61" xfId="0" applyFont="1" applyFill="1" applyBorder="1" applyAlignment="1">
      <alignment horizontal="center" vertical="center" wrapText="1"/>
    </xf>
    <xf numFmtId="0" fontId="197" fillId="70" borderId="61" xfId="0" applyFont="1" applyFill="1" applyBorder="1" applyAlignment="1">
      <alignment horizontal="left" vertical="center" wrapText="1"/>
    </xf>
    <xf numFmtId="3" fontId="188" fillId="70" borderId="61" xfId="0" applyNumberFormat="1" applyFont="1" applyFill="1" applyBorder="1" applyAlignment="1">
      <alignment horizontal="center" vertical="center" wrapText="1"/>
    </xf>
    <xf numFmtId="9" fontId="197" fillId="70" borderId="61" xfId="0" applyNumberFormat="1" applyFont="1" applyFill="1" applyBorder="1" applyAlignment="1">
      <alignment horizontal="center" vertical="center" wrapText="1"/>
    </xf>
    <xf numFmtId="0" fontId="193" fillId="70" borderId="61" xfId="0" applyFont="1" applyFill="1" applyBorder="1" applyAlignment="1">
      <alignment horizontal="center" vertical="center" wrapText="1"/>
    </xf>
    <xf numFmtId="176" fontId="190" fillId="70" borderId="61" xfId="0" applyNumberFormat="1" applyFont="1" applyFill="1" applyBorder="1" applyAlignment="1">
      <alignment horizontal="right" vertical="center" wrapText="1"/>
    </xf>
    <xf numFmtId="176" fontId="198" fillId="70" borderId="61" xfId="0" applyNumberFormat="1" applyFont="1" applyFill="1" applyBorder="1" applyAlignment="1">
      <alignment horizontal="right" vertical="center" wrapText="1"/>
    </xf>
    <xf numFmtId="0" fontId="199" fillId="70" borderId="61" xfId="0" applyFont="1" applyFill="1" applyBorder="1" applyAlignment="1">
      <alignment horizontal="left" vertical="center" wrapText="1"/>
    </xf>
    <xf numFmtId="0" fontId="189" fillId="70" borderId="61" xfId="0" applyFont="1" applyFill="1" applyBorder="1" applyAlignment="1">
      <alignment horizontal="center" vertical="center" wrapText="1"/>
    </xf>
    <xf numFmtId="176" fontId="191" fillId="70" borderId="61" xfId="0" applyNumberFormat="1" applyFont="1" applyFill="1" applyBorder="1" applyAlignment="1">
      <alignment horizontal="right" vertical="center" wrapText="1"/>
    </xf>
    <xf numFmtId="0" fontId="195" fillId="70" borderId="61" xfId="0" applyFont="1" applyFill="1" applyBorder="1" applyAlignment="1">
      <alignment horizontal="center" vertical="center" wrapText="1"/>
    </xf>
    <xf numFmtId="0" fontId="197" fillId="71" borderId="61" xfId="0" applyFont="1" applyFill="1" applyBorder="1" applyAlignment="1">
      <alignment horizontal="left" vertical="center" wrapText="1"/>
    </xf>
    <xf numFmtId="3" fontId="188" fillId="71" borderId="61" xfId="0" applyNumberFormat="1" applyFont="1" applyFill="1" applyBorder="1" applyAlignment="1">
      <alignment horizontal="center" vertical="center" wrapText="1"/>
    </xf>
    <xf numFmtId="9" fontId="197" fillId="71" borderId="61" xfId="0" applyNumberFormat="1" applyFont="1" applyFill="1" applyBorder="1" applyAlignment="1">
      <alignment horizontal="center" vertical="center" wrapText="1"/>
    </xf>
    <xf numFmtId="0" fontId="189" fillId="71" borderId="61" xfId="0" applyFont="1" applyFill="1" applyBorder="1" applyAlignment="1">
      <alignment horizontal="center" vertical="center" wrapText="1"/>
    </xf>
    <xf numFmtId="176" fontId="190" fillId="71" borderId="61" xfId="0" applyNumberFormat="1" applyFont="1" applyFill="1" applyBorder="1" applyAlignment="1">
      <alignment horizontal="right" vertical="center" wrapText="1"/>
    </xf>
    <xf numFmtId="176" fontId="191" fillId="71" borderId="61" xfId="0" applyNumberFormat="1" applyFont="1" applyFill="1" applyBorder="1" applyAlignment="1">
      <alignment horizontal="right" vertical="center" wrapText="1"/>
    </xf>
    <xf numFmtId="0" fontId="199" fillId="71" borderId="61" xfId="0" applyFont="1" applyFill="1" applyBorder="1" applyAlignment="1">
      <alignment horizontal="left" vertical="center" wrapText="1"/>
    </xf>
    <xf numFmtId="0" fontId="195" fillId="71" borderId="61" xfId="0" applyFont="1" applyFill="1" applyBorder="1" applyAlignment="1">
      <alignment horizontal="center" vertical="center" wrapText="1"/>
    </xf>
    <xf numFmtId="176" fontId="198" fillId="71" borderId="61" xfId="0" applyNumberFormat="1" applyFont="1" applyFill="1" applyBorder="1" applyAlignment="1">
      <alignment horizontal="right" vertical="center" wrapText="1"/>
    </xf>
    <xf numFmtId="0" fontId="193" fillId="71" borderId="61" xfId="0" applyFont="1" applyFill="1" applyBorder="1" applyAlignment="1">
      <alignment horizontal="center" vertical="center" wrapText="1"/>
    </xf>
    <xf numFmtId="0" fontId="188" fillId="73" borderId="61" xfId="0" applyFont="1" applyFill="1" applyBorder="1" applyAlignment="1">
      <alignment horizontal="left" vertical="center" wrapText="1"/>
    </xf>
    <xf numFmtId="3" fontId="201" fillId="73" borderId="61" xfId="0" applyNumberFormat="1" applyFont="1" applyFill="1" applyBorder="1" applyAlignment="1">
      <alignment horizontal="center" vertical="center" wrapText="1"/>
    </xf>
    <xf numFmtId="9" fontId="197" fillId="73" borderId="61" xfId="0" applyNumberFormat="1" applyFont="1" applyFill="1" applyBorder="1" applyAlignment="1">
      <alignment horizontal="center" vertical="center" wrapText="1"/>
    </xf>
    <xf numFmtId="0" fontId="195" fillId="73" borderId="61" xfId="0" applyFont="1" applyFill="1" applyBorder="1" applyAlignment="1">
      <alignment horizontal="center" vertical="center" wrapText="1"/>
    </xf>
    <xf numFmtId="176" fontId="190" fillId="73" borderId="61" xfId="0" applyNumberFormat="1" applyFont="1" applyFill="1" applyBorder="1" applyAlignment="1">
      <alignment horizontal="right" vertical="center" wrapText="1"/>
    </xf>
    <xf numFmtId="176" fontId="198" fillId="73" borderId="61" xfId="0" applyNumberFormat="1" applyFont="1" applyFill="1" applyBorder="1" applyAlignment="1">
      <alignment horizontal="right" vertical="center" wrapText="1"/>
    </xf>
    <xf numFmtId="0" fontId="199" fillId="73" borderId="61" xfId="0" applyFont="1" applyFill="1" applyBorder="1" applyAlignment="1">
      <alignment horizontal="left" vertical="center" wrapText="1"/>
    </xf>
    <xf numFmtId="0" fontId="161" fillId="45" borderId="4" xfId="0" applyFont="1" applyFill="1" applyAlignment="1">
      <alignment horizontal="center"/>
    </xf>
    <xf numFmtId="165" fontId="140" fillId="0" borderId="4" xfId="0" applyNumberFormat="1" applyFont="1" applyAlignment="1">
      <alignment horizontal="center"/>
    </xf>
    <xf numFmtId="0" fontId="93" fillId="22" borderId="4" xfId="0" applyFont="1" applyFill="1"/>
    <xf numFmtId="0" fontId="53" fillId="22" borderId="4" xfId="0" applyFont="1" applyFill="1"/>
    <xf numFmtId="0" fontId="64" fillId="0" borderId="4" xfId="0" applyFont="1"/>
    <xf numFmtId="0" fontId="70" fillId="0" borderId="4" xfId="0" applyFont="1"/>
    <xf numFmtId="0" fontId="52" fillId="36" borderId="4" xfId="0" applyFont="1" applyFill="1"/>
    <xf numFmtId="0" fontId="53" fillId="36" borderId="4" xfId="0" applyFont="1" applyFill="1"/>
    <xf numFmtId="0" fontId="57" fillId="0" borderId="4" xfId="0" applyFont="1"/>
    <xf numFmtId="0" fontId="52" fillId="37" borderId="4" xfId="0" applyFont="1" applyFill="1"/>
    <xf numFmtId="0" fontId="53" fillId="37" borderId="4" xfId="0" applyFont="1" applyFill="1"/>
    <xf numFmtId="0" fontId="52" fillId="38" borderId="4" xfId="0" applyFont="1" applyFill="1"/>
    <xf numFmtId="0" fontId="53" fillId="38" borderId="4" xfId="0" applyFont="1" applyFill="1"/>
    <xf numFmtId="0" fontId="100" fillId="0" borderId="4" xfId="0" applyFont="1"/>
    <xf numFmtId="0" fontId="101" fillId="0" borderId="4" xfId="0" applyFont="1"/>
    <xf numFmtId="0" fontId="52" fillId="39" borderId="4" xfId="0" applyFont="1" applyFill="1"/>
    <xf numFmtId="0" fontId="53" fillId="39" borderId="4" xfId="0" applyFont="1" applyFill="1"/>
    <xf numFmtId="0" fontId="102" fillId="0" borderId="4" xfId="0" applyFont="1"/>
    <xf numFmtId="0" fontId="57" fillId="40" borderId="4" xfId="0" applyFont="1" applyFill="1"/>
    <xf numFmtId="0" fontId="103" fillId="0" borderId="4" xfId="0" applyFont="1" applyAlignment="1">
      <alignment horizontal="center"/>
    </xf>
    <xf numFmtId="0" fontId="57" fillId="19" borderId="4" xfId="0" applyFont="1" applyFill="1"/>
    <xf numFmtId="0" fontId="57" fillId="24" borderId="4" xfId="0" applyFont="1" applyFill="1"/>
    <xf numFmtId="0" fontId="53" fillId="40" borderId="4" xfId="0" applyFont="1" applyFill="1"/>
    <xf numFmtId="0" fontId="53" fillId="0" borderId="4" xfId="0" applyFont="1" applyAlignment="1">
      <alignment horizontal="center"/>
    </xf>
    <xf numFmtId="0" fontId="104" fillId="19" borderId="4" xfId="0" applyFont="1" applyFill="1"/>
    <xf numFmtId="0" fontId="104" fillId="24" borderId="4" xfId="0" applyFont="1" applyFill="1"/>
    <xf numFmtId="0" fontId="57" fillId="31" borderId="4" xfId="0" applyFont="1" applyFill="1"/>
    <xf numFmtId="0" fontId="57" fillId="25" borderId="4" xfId="0" applyFont="1" applyFill="1"/>
    <xf numFmtId="0" fontId="57" fillId="41" borderId="4" xfId="0" applyFont="1" applyFill="1"/>
    <xf numFmtId="0" fontId="53" fillId="31" borderId="4" xfId="0" applyFont="1" applyFill="1"/>
    <xf numFmtId="0" fontId="104" fillId="25" borderId="4" xfId="0" applyFont="1" applyFill="1"/>
    <xf numFmtId="0" fontId="104" fillId="41" borderId="4" xfId="0" applyFont="1" applyFill="1"/>
    <xf numFmtId="0" fontId="20" fillId="11" borderId="5" xfId="0" applyFont="1" applyFill="1" applyBorder="1" applyAlignment="1">
      <alignment horizontal="left" vertical="center"/>
    </xf>
    <xf numFmtId="167" fontId="21" fillId="11" borderId="6" xfId="0" applyNumberFormat="1" applyFont="1" applyFill="1" applyBorder="1" applyAlignment="1">
      <alignment horizontal="right"/>
    </xf>
    <xf numFmtId="167" fontId="22" fillId="8" borderId="6" xfId="0" applyNumberFormat="1" applyFont="1" applyFill="1" applyBorder="1" applyAlignment="1">
      <alignment horizontal="right"/>
    </xf>
    <xf numFmtId="167" fontId="23" fillId="5" borderId="6" xfId="0" applyNumberFormat="1" applyFont="1" applyFill="1" applyBorder="1" applyAlignment="1">
      <alignment horizontal="right" vertical="center"/>
    </xf>
    <xf numFmtId="164" fontId="24" fillId="11" borderId="6" xfId="0" applyNumberFormat="1" applyFont="1" applyFill="1" applyBorder="1" applyAlignment="1">
      <alignment horizontal="right" vertical="center"/>
    </xf>
    <xf numFmtId="165" fontId="24" fillId="11" borderId="6" xfId="0" applyNumberFormat="1" applyFont="1" applyFill="1" applyBorder="1" applyAlignment="1">
      <alignment horizontal="right" vertical="center"/>
    </xf>
    <xf numFmtId="10" fontId="24" fillId="8" borderId="6" xfId="1" applyNumberFormat="1" applyFont="1" applyFill="1" applyBorder="1" applyAlignment="1">
      <alignment horizontal="right" vertical="center"/>
    </xf>
    <xf numFmtId="165" fontId="24" fillId="8" borderId="6" xfId="0" applyNumberFormat="1" applyFont="1" applyFill="1" applyBorder="1" applyAlignment="1">
      <alignment horizontal="right" vertical="center"/>
    </xf>
    <xf numFmtId="2" fontId="25" fillId="8" borderId="6" xfId="0" applyNumberFormat="1" applyFont="1" applyFill="1" applyBorder="1" applyAlignment="1">
      <alignment horizontal="center"/>
    </xf>
    <xf numFmtId="0" fontId="21" fillId="11" borderId="6" xfId="0" applyFont="1" applyFill="1" applyBorder="1" applyAlignment="1">
      <alignment horizontal="center" vertical="center"/>
    </xf>
    <xf numFmtId="0" fontId="26" fillId="11" borderId="7" xfId="0" applyFont="1" applyFill="1" applyBorder="1" applyAlignment="1">
      <alignment horizontal="left" vertical="center"/>
    </xf>
    <xf numFmtId="0" fontId="20" fillId="12" borderId="5" xfId="0" applyFont="1" applyFill="1" applyBorder="1" applyAlignment="1">
      <alignment horizontal="left" vertical="center"/>
    </xf>
    <xf numFmtId="167" fontId="21" fillId="12" borderId="6" xfId="0" applyNumberFormat="1" applyFont="1" applyFill="1" applyBorder="1" applyAlignment="1">
      <alignment horizontal="right"/>
    </xf>
    <xf numFmtId="167" fontId="20" fillId="12" borderId="6" xfId="0" applyNumberFormat="1" applyFont="1" applyFill="1" applyBorder="1" applyAlignment="1">
      <alignment horizontal="right"/>
    </xf>
    <xf numFmtId="164" fontId="24" fillId="12" borderId="6" xfId="0" applyNumberFormat="1" applyFont="1" applyFill="1" applyBorder="1" applyAlignment="1">
      <alignment horizontal="right" vertical="center"/>
    </xf>
    <xf numFmtId="165" fontId="24" fillId="7" borderId="6" xfId="0" applyNumberFormat="1" applyFont="1" applyFill="1" applyBorder="1" applyAlignment="1">
      <alignment horizontal="right" vertical="center"/>
    </xf>
    <xf numFmtId="0" fontId="26" fillId="12" borderId="7" xfId="0" applyFont="1" applyFill="1" applyBorder="1" applyAlignment="1">
      <alignment horizontal="left" vertical="center"/>
    </xf>
    <xf numFmtId="167" fontId="20" fillId="11" borderId="6" xfId="0" applyNumberFormat="1" applyFont="1" applyFill="1" applyBorder="1" applyAlignment="1">
      <alignment horizontal="right"/>
    </xf>
    <xf numFmtId="167" fontId="20" fillId="7" borderId="6" xfId="0" applyNumberFormat="1" applyFont="1" applyFill="1" applyBorder="1" applyAlignment="1">
      <alignment horizontal="right"/>
    </xf>
    <xf numFmtId="10" fontId="24" fillId="7" borderId="6" xfId="1" applyNumberFormat="1" applyFont="1" applyFill="1" applyBorder="1" applyAlignment="1">
      <alignment horizontal="right" vertical="center"/>
    </xf>
    <xf numFmtId="10" fontId="24" fillId="11" borderId="6" xfId="1" applyNumberFormat="1" applyFont="1" applyFill="1" applyBorder="1" applyAlignment="1">
      <alignment horizontal="right" vertical="center"/>
    </xf>
    <xf numFmtId="10" fontId="24" fillId="12" borderId="6" xfId="1" applyNumberFormat="1" applyFont="1" applyFill="1" applyBorder="1" applyAlignment="1">
      <alignment horizontal="right" vertical="center"/>
    </xf>
    <xf numFmtId="2" fontId="25" fillId="9" borderId="6" xfId="0" applyNumberFormat="1" applyFont="1" applyFill="1" applyBorder="1" applyAlignment="1">
      <alignment horizontal="center"/>
    </xf>
    <xf numFmtId="2" fontId="25" fillId="7" borderId="6" xfId="0" applyNumberFormat="1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 vertical="center"/>
    </xf>
    <xf numFmtId="164" fontId="27" fillId="2" borderId="6" xfId="0" applyNumberFormat="1" applyFont="1" applyFill="1" applyBorder="1" applyAlignment="1">
      <alignment horizontal="right" vertical="center"/>
    </xf>
    <xf numFmtId="165" fontId="27" fillId="2" borderId="6" xfId="0" applyNumberFormat="1" applyFont="1" applyFill="1" applyBorder="1" applyAlignment="1">
      <alignment horizontal="right" vertical="center"/>
    </xf>
    <xf numFmtId="0" fontId="6" fillId="0" borderId="6" xfId="0" applyFont="1" applyBorder="1"/>
    <xf numFmtId="0" fontId="6" fillId="0" borderId="7" xfId="0" applyFont="1" applyBorder="1"/>
    <xf numFmtId="167" fontId="28" fillId="11" borderId="6" xfId="0" applyNumberFormat="1" applyFont="1" applyFill="1" applyBorder="1" applyAlignment="1">
      <alignment horizontal="right"/>
    </xf>
    <xf numFmtId="165" fontId="25" fillId="7" borderId="6" xfId="0" applyNumberFormat="1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 vertical="center"/>
    </xf>
    <xf numFmtId="9" fontId="30" fillId="11" borderId="6" xfId="0" applyNumberFormat="1" applyFont="1" applyFill="1" applyBorder="1" applyAlignment="1">
      <alignment horizontal="center" vertical="center"/>
    </xf>
    <xf numFmtId="0" fontId="31" fillId="11" borderId="6" xfId="0" applyFont="1" applyFill="1" applyBorder="1" applyAlignment="1">
      <alignment horizontal="center" vertical="center"/>
    </xf>
    <xf numFmtId="0" fontId="30" fillId="11" borderId="6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left" vertical="center" wrapText="1"/>
    </xf>
    <xf numFmtId="167" fontId="28" fillId="12" borderId="6" xfId="0" applyNumberFormat="1" applyFont="1" applyFill="1" applyBorder="1" applyAlignment="1">
      <alignment horizontal="right"/>
    </xf>
    <xf numFmtId="165" fontId="25" fillId="9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 vertical="center"/>
    </xf>
    <xf numFmtId="9" fontId="30" fillId="12" borderId="6" xfId="0" applyNumberFormat="1" applyFont="1" applyFill="1" applyBorder="1" applyAlignment="1">
      <alignment horizontal="center" vertical="center"/>
    </xf>
    <xf numFmtId="0" fontId="31" fillId="12" borderId="6" xfId="0" applyFont="1" applyFill="1" applyBorder="1" applyAlignment="1">
      <alignment horizontal="center" vertical="center"/>
    </xf>
    <xf numFmtId="0" fontId="30" fillId="12" borderId="6" xfId="0" applyFont="1" applyFill="1" applyBorder="1" applyAlignment="1">
      <alignment horizontal="center" vertical="center"/>
    </xf>
    <xf numFmtId="0" fontId="9" fillId="12" borderId="7" xfId="0" applyFont="1" applyFill="1" applyBorder="1" applyAlignment="1">
      <alignment horizontal="left" vertical="center" wrapText="1"/>
    </xf>
    <xf numFmtId="165" fontId="25" fillId="8" borderId="6" xfId="0" applyNumberFormat="1" applyFont="1" applyFill="1" applyBorder="1" applyAlignment="1">
      <alignment horizontal="center"/>
    </xf>
    <xf numFmtId="0" fontId="20" fillId="7" borderId="5" xfId="0" applyFont="1" applyFill="1" applyBorder="1" applyAlignment="1">
      <alignment horizontal="left" vertical="center"/>
    </xf>
    <xf numFmtId="167" fontId="28" fillId="7" borderId="6" xfId="0" applyNumberFormat="1" applyFont="1" applyFill="1" applyBorder="1" applyAlignment="1">
      <alignment horizontal="right"/>
    </xf>
    <xf numFmtId="0" fontId="29" fillId="7" borderId="6" xfId="0" applyFont="1" applyFill="1" applyBorder="1" applyAlignment="1">
      <alignment horizontal="center" vertical="center"/>
    </xf>
    <xf numFmtId="9" fontId="30" fillId="7" borderId="6" xfId="0" applyNumberFormat="1" applyFont="1" applyFill="1" applyBorder="1" applyAlignment="1">
      <alignment horizontal="center" vertical="center"/>
    </xf>
    <xf numFmtId="0" fontId="31" fillId="7" borderId="6" xfId="0" applyFont="1" applyFill="1" applyBorder="1" applyAlignment="1">
      <alignment horizontal="center" vertical="center"/>
    </xf>
    <xf numFmtId="0" fontId="30" fillId="7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wrapText="1"/>
    </xf>
    <xf numFmtId="167" fontId="25" fillId="12" borderId="6" xfId="0" applyNumberFormat="1" applyFont="1" applyFill="1" applyBorder="1" applyAlignment="1">
      <alignment horizontal="right" vertical="center"/>
    </xf>
    <xf numFmtId="165" fontId="28" fillId="12" borderId="6" xfId="0" applyNumberFormat="1" applyFont="1" applyFill="1" applyBorder="1" applyAlignment="1">
      <alignment horizontal="right" vertical="center"/>
    </xf>
    <xf numFmtId="165" fontId="32" fillId="5" borderId="6" xfId="0" applyNumberFormat="1" applyFont="1" applyFill="1" applyBorder="1" applyAlignment="1">
      <alignment horizontal="right" vertical="center"/>
    </xf>
    <xf numFmtId="0" fontId="5" fillId="12" borderId="7" xfId="0" applyFont="1" applyFill="1" applyBorder="1" applyAlignment="1">
      <alignment horizontal="left" vertical="center" wrapText="1"/>
    </xf>
    <xf numFmtId="167" fontId="25" fillId="11" borderId="6" xfId="0" applyNumberFormat="1" applyFont="1" applyFill="1" applyBorder="1" applyAlignment="1">
      <alignment horizontal="right" vertical="center"/>
    </xf>
    <xf numFmtId="165" fontId="28" fillId="11" borderId="6" xfId="0" applyNumberFormat="1" applyFont="1" applyFill="1" applyBorder="1" applyAlignment="1">
      <alignment horizontal="right" vertical="center"/>
    </xf>
    <xf numFmtId="0" fontId="5" fillId="11" borderId="7" xfId="0" applyFont="1" applyFill="1" applyBorder="1" applyAlignment="1">
      <alignment horizontal="left" vertical="center" wrapText="1"/>
    </xf>
    <xf numFmtId="165" fontId="37" fillId="8" borderId="6" xfId="0" applyNumberFormat="1" applyFont="1" applyFill="1" applyBorder="1" applyAlignment="1">
      <alignment horizontal="center" vertical="center"/>
    </xf>
    <xf numFmtId="0" fontId="38" fillId="12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3" fontId="39" fillId="9" borderId="6" xfId="0" applyNumberFormat="1" applyFont="1" applyFill="1" applyBorder="1" applyAlignment="1">
      <alignment horizontal="center" vertical="center"/>
    </xf>
    <xf numFmtId="0" fontId="38" fillId="11" borderId="6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177" fontId="37" fillId="8" borderId="6" xfId="0" applyNumberFormat="1" applyFont="1" applyFill="1" applyBorder="1" applyAlignment="1">
      <alignment horizontal="center" vertical="center"/>
    </xf>
    <xf numFmtId="9" fontId="39" fillId="9" borderId="6" xfId="0" applyNumberFormat="1" applyFont="1" applyFill="1" applyBorder="1" applyAlignment="1">
      <alignment horizontal="center" vertical="center"/>
    </xf>
    <xf numFmtId="3" fontId="37" fillId="8" borderId="6" xfId="0" applyNumberFormat="1" applyFont="1" applyFill="1" applyBorder="1" applyAlignment="1">
      <alignment horizontal="center" vertical="center"/>
    </xf>
    <xf numFmtId="0" fontId="7" fillId="22" borderId="4" xfId="0" applyFont="1" applyFill="1"/>
    <xf numFmtId="0" fontId="6" fillId="22" borderId="4" xfId="0" applyFont="1" applyFill="1"/>
    <xf numFmtId="0" fontId="4" fillId="0" borderId="4" xfId="0" applyFont="1"/>
    <xf numFmtId="0" fontId="31" fillId="7" borderId="5" xfId="0" applyFont="1" applyFill="1" applyBorder="1" applyAlignment="1">
      <alignment horizontal="center" vertical="center"/>
    </xf>
    <xf numFmtId="0" fontId="40" fillId="12" borderId="6" xfId="0" applyFont="1" applyFill="1" applyBorder="1" applyAlignment="1">
      <alignment horizontal="center" vertical="center"/>
    </xf>
    <xf numFmtId="0" fontId="31" fillId="9" borderId="6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left" vertical="center"/>
    </xf>
    <xf numFmtId="0" fontId="31" fillId="9" borderId="5" xfId="0" applyFont="1" applyFill="1" applyBorder="1" applyAlignment="1">
      <alignment horizontal="center" vertical="center"/>
    </xf>
    <xf numFmtId="0" fontId="40" fillId="11" borderId="6" xfId="0" applyFont="1" applyFill="1" applyBorder="1" applyAlignment="1">
      <alignment horizontal="center" vertical="center"/>
    </xf>
    <xf numFmtId="0" fontId="31" fillId="5" borderId="6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left" vertical="center"/>
    </xf>
    <xf numFmtId="0" fontId="31" fillId="8" borderId="5" xfId="0" applyFont="1" applyFill="1" applyBorder="1" applyAlignment="1">
      <alignment horizontal="center" vertical="center"/>
    </xf>
    <xf numFmtId="0" fontId="139" fillId="59" borderId="4" xfId="0" applyFont="1" applyFill="1"/>
    <xf numFmtId="3" fontId="140" fillId="59" borderId="4" xfId="0" applyNumberFormat="1" applyFont="1" applyFill="1"/>
    <xf numFmtId="0" fontId="6" fillId="59" borderId="4" xfId="0" applyFont="1" applyFill="1"/>
    <xf numFmtId="173" fontId="140" fillId="59" borderId="4" xfId="0" applyNumberFormat="1" applyFont="1" applyFill="1"/>
    <xf numFmtId="10" fontId="140" fillId="59" borderId="4" xfId="0" applyNumberFormat="1" applyFont="1" applyFill="1"/>
    <xf numFmtId="0" fontId="42" fillId="0" borderId="4" xfId="0" applyFont="1" applyAlignment="1">
      <alignment wrapText="1"/>
    </xf>
    <xf numFmtId="14" fontId="6" fillId="0" borderId="4" xfId="0" applyNumberFormat="1" applyFont="1"/>
    <xf numFmtId="0" fontId="58" fillId="22" borderId="4" xfId="0" applyFont="1" applyFill="1" applyAlignment="1">
      <alignment horizontal="center"/>
    </xf>
    <xf numFmtId="14" fontId="59" fillId="0" borderId="4" xfId="0" applyNumberFormat="1" applyFont="1"/>
    <xf numFmtId="0" fontId="59" fillId="0" borderId="4" xfId="0" applyFont="1" applyAlignment="1">
      <alignment horizontal="center"/>
    </xf>
    <xf numFmtId="0" fontId="65" fillId="25" borderId="4" xfId="0" applyFont="1" applyFill="1" applyAlignment="1">
      <alignment horizontal="center"/>
    </xf>
    <xf numFmtId="3" fontId="60" fillId="0" borderId="4" xfId="0" applyNumberFormat="1" applyFont="1" applyAlignment="1">
      <alignment horizontal="center"/>
    </xf>
    <xf numFmtId="175" fontId="61" fillId="19" borderId="4" xfId="0" applyNumberFormat="1" applyFont="1" applyFill="1"/>
    <xf numFmtId="175" fontId="63" fillId="24" borderId="4" xfId="0" applyNumberFormat="1" applyFont="1" applyFill="1"/>
    <xf numFmtId="165" fontId="63" fillId="24" borderId="4" xfId="0" applyNumberFormat="1" applyFont="1" applyFill="1"/>
    <xf numFmtId="0" fontId="66" fillId="26" borderId="4" xfId="0" applyFont="1" applyFill="1" applyAlignment="1">
      <alignment horizontal="center"/>
    </xf>
    <xf numFmtId="0" fontId="67" fillId="27" borderId="4" xfId="0" applyFont="1" applyFill="1" applyAlignment="1">
      <alignment horizontal="center"/>
    </xf>
    <xf numFmtId="14" fontId="28" fillId="0" borderId="4" xfId="0" applyNumberFormat="1" applyFont="1"/>
    <xf numFmtId="0" fontId="28" fillId="0" borderId="4" xfId="0" applyFont="1" applyAlignment="1">
      <alignment horizontal="center"/>
    </xf>
    <xf numFmtId="0" fontId="68" fillId="26" borderId="4" xfId="0" applyFont="1" applyFill="1" applyAlignment="1">
      <alignment horizontal="center"/>
    </xf>
    <xf numFmtId="0" fontId="69" fillId="27" borderId="4" xfId="0" applyFont="1" applyFill="1" applyAlignment="1">
      <alignment horizontal="center"/>
    </xf>
    <xf numFmtId="0" fontId="36" fillId="25" borderId="4" xfId="0" applyFont="1" applyFill="1" applyAlignment="1">
      <alignment horizontal="center"/>
    </xf>
    <xf numFmtId="0" fontId="46" fillId="0" borderId="4" xfId="0" applyFont="1"/>
    <xf numFmtId="3" fontId="6" fillId="0" borderId="4" xfId="0" applyNumberFormat="1" applyFont="1"/>
    <xf numFmtId="175" fontId="6" fillId="0" borderId="4" xfId="0" applyNumberFormat="1" applyFont="1"/>
    <xf numFmtId="3" fontId="7" fillId="22" borderId="4" xfId="0" applyNumberFormat="1" applyFont="1" applyFill="1"/>
    <xf numFmtId="175" fontId="7" fillId="22" borderId="4" xfId="0" applyNumberFormat="1" applyFont="1" applyFill="1"/>
    <xf numFmtId="165" fontId="7" fillId="22" borderId="4" xfId="0" applyNumberFormat="1" applyFont="1" applyFill="1"/>
    <xf numFmtId="0" fontId="72" fillId="0" borderId="4" xfId="0" applyFont="1"/>
    <xf numFmtId="0" fontId="39" fillId="25" borderId="4" xfId="0" applyFont="1" applyFill="1"/>
    <xf numFmtId="0" fontId="73" fillId="26" borderId="4" xfId="0" applyFont="1" applyFill="1"/>
    <xf numFmtId="0" fontId="74" fillId="27" borderId="4" xfId="0" applyFont="1" applyFill="1"/>
    <xf numFmtId="14" fontId="0" fillId="0" borderId="4" xfId="0" applyNumberFormat="1"/>
    <xf numFmtId="14" fontId="45" fillId="0" borderId="4" xfId="0" applyNumberFormat="1" applyFont="1" applyAlignment="1">
      <alignment horizontal="center" vertical="center" wrapText="1"/>
    </xf>
    <xf numFmtId="0" fontId="45" fillId="0" borderId="4" xfId="0" applyFont="1" applyAlignment="1">
      <alignment horizontal="center" vertical="center" wrapText="1"/>
    </xf>
    <xf numFmtId="20" fontId="6" fillId="0" borderId="4" xfId="0" applyNumberFormat="1" applyFont="1"/>
    <xf numFmtId="2" fontId="6" fillId="0" borderId="4" xfId="0" applyNumberFormat="1" applyFont="1"/>
    <xf numFmtId="164" fontId="27" fillId="18" borderId="4" xfId="0" applyNumberFormat="1" applyFont="1" applyFill="1" applyAlignment="1">
      <alignment horizontal="right" vertical="center" wrapText="1"/>
    </xf>
    <xf numFmtId="164" fontId="51" fillId="19" borderId="4" xfId="0" applyNumberFormat="1" applyFont="1" applyFill="1" applyAlignment="1">
      <alignment horizontal="center"/>
    </xf>
    <xf numFmtId="164" fontId="52" fillId="0" borderId="4" xfId="0" applyNumberFormat="1" applyFont="1"/>
    <xf numFmtId="165" fontId="52" fillId="0" borderId="4" xfId="0" applyNumberFormat="1" applyFont="1"/>
    <xf numFmtId="2" fontId="52" fillId="0" borderId="4" xfId="0" applyNumberFormat="1" applyFont="1"/>
    <xf numFmtId="0" fontId="159" fillId="0" borderId="4" xfId="0" applyFont="1"/>
    <xf numFmtId="2" fontId="158" fillId="0" borderId="4" xfId="0" applyNumberFormat="1" applyFont="1"/>
    <xf numFmtId="1" fontId="158" fillId="0" borderId="4" xfId="0" applyNumberFormat="1" applyFont="1"/>
    <xf numFmtId="10" fontId="158" fillId="0" borderId="4" xfId="1" applyNumberFormat="1" applyFont="1"/>
    <xf numFmtId="164" fontId="25" fillId="11" borderId="6" xfId="0" applyNumberFormat="1" applyFont="1" applyFill="1" applyBorder="1" applyAlignment="1">
      <alignment horizontal="right"/>
    </xf>
    <xf numFmtId="164" fontId="28" fillId="11" borderId="6" xfId="0" applyNumberFormat="1" applyFont="1" applyFill="1" applyBorder="1" applyAlignment="1">
      <alignment horizontal="right"/>
    </xf>
    <xf numFmtId="164" fontId="21" fillId="11" borderId="6" xfId="0" applyNumberFormat="1" applyFont="1" applyFill="1" applyBorder="1" applyAlignment="1">
      <alignment horizontal="right" vertical="center"/>
    </xf>
    <xf numFmtId="164" fontId="23" fillId="5" borderId="6" xfId="0" applyNumberFormat="1" applyFont="1" applyFill="1" applyBorder="1" applyAlignment="1">
      <alignment horizontal="right"/>
    </xf>
    <xf numFmtId="165" fontId="24" fillId="8" borderId="7" xfId="0" applyNumberFormat="1" applyFont="1" applyFill="1" applyBorder="1" applyAlignment="1">
      <alignment horizontal="right" vertical="center"/>
    </xf>
    <xf numFmtId="164" fontId="25" fillId="12" borderId="6" xfId="0" applyNumberFormat="1" applyFont="1" applyFill="1" applyBorder="1" applyAlignment="1">
      <alignment horizontal="right"/>
    </xf>
    <xf numFmtId="164" fontId="28" fillId="12" borderId="6" xfId="0" applyNumberFormat="1" applyFont="1" applyFill="1" applyBorder="1" applyAlignment="1">
      <alignment horizontal="right"/>
    </xf>
    <xf numFmtId="164" fontId="21" fillId="12" borderId="6" xfId="0" applyNumberFormat="1" applyFont="1" applyFill="1" applyBorder="1" applyAlignment="1">
      <alignment horizontal="right" vertical="center"/>
    </xf>
    <xf numFmtId="0" fontId="27" fillId="4" borderId="5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right" vertical="center"/>
    </xf>
    <xf numFmtId="14" fontId="53" fillId="0" borderId="4" xfId="0" applyNumberFormat="1" applyFont="1"/>
    <xf numFmtId="14" fontId="52" fillId="21" borderId="4" xfId="0" applyNumberFormat="1" applyFont="1" applyFill="1" applyAlignment="1">
      <alignment horizontal="center"/>
    </xf>
    <xf numFmtId="0" fontId="52" fillId="21" borderId="4" xfId="0" applyFont="1" applyFill="1" applyAlignment="1">
      <alignment horizontal="center"/>
    </xf>
    <xf numFmtId="164" fontId="0" fillId="0" borderId="4" xfId="0" applyNumberFormat="1"/>
    <xf numFmtId="165" fontId="23" fillId="5" borderId="7" xfId="0" applyNumberFormat="1" applyFont="1" applyFill="1" applyBorder="1" applyAlignment="1">
      <alignment horizontal="right" vertical="center"/>
    </xf>
    <xf numFmtId="164" fontId="7" fillId="22" borderId="6" xfId="0" applyNumberFormat="1" applyFont="1" applyFill="1" applyBorder="1"/>
    <xf numFmtId="165" fontId="7" fillId="22" borderId="6" xfId="0" applyNumberFormat="1" applyFont="1" applyFill="1" applyBorder="1"/>
    <xf numFmtId="0" fontId="7" fillId="22" borderId="6" xfId="0" applyFont="1" applyFill="1" applyBorder="1" applyAlignment="1">
      <alignment horizontal="center"/>
    </xf>
    <xf numFmtId="165" fontId="0" fillId="22" borderId="7" xfId="0" applyNumberFormat="1" applyFill="1" applyBorder="1"/>
    <xf numFmtId="175" fontId="0" fillId="0" borderId="4" xfId="0" applyNumberFormat="1"/>
    <xf numFmtId="0" fontId="103" fillId="0" borderId="4" xfId="0" applyFont="1"/>
    <xf numFmtId="175" fontId="103" fillId="0" borderId="4" xfId="0" applyNumberFormat="1" applyFont="1"/>
    <xf numFmtId="14" fontId="183" fillId="0" borderId="4" xfId="0" applyNumberFormat="1" applyFont="1"/>
    <xf numFmtId="0" fontId="183" fillId="0" borderId="4" xfId="0" applyFont="1"/>
    <xf numFmtId="175" fontId="183" fillId="0" borderId="4" xfId="0" applyNumberFormat="1" applyFont="1"/>
    <xf numFmtId="0" fontId="20" fillId="8" borderId="5" xfId="0" applyFont="1" applyFill="1" applyBorder="1" applyAlignment="1">
      <alignment horizontal="left" vertical="center"/>
    </xf>
    <xf numFmtId="0" fontId="21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left" vertical="center"/>
    </xf>
    <xf numFmtId="0" fontId="30" fillId="8" borderId="6" xfId="0" applyFont="1" applyFill="1" applyBorder="1" applyAlignment="1">
      <alignment horizontal="center" vertical="center"/>
    </xf>
    <xf numFmtId="166" fontId="49" fillId="5" borderId="6" xfId="0" applyNumberFormat="1" applyFont="1" applyFill="1" applyBorder="1" applyAlignment="1">
      <alignment horizontal="center"/>
    </xf>
    <xf numFmtId="167" fontId="28" fillId="8" borderId="6" xfId="0" applyNumberFormat="1" applyFont="1" applyFill="1" applyBorder="1" applyAlignment="1">
      <alignment horizontal="right"/>
    </xf>
    <xf numFmtId="164" fontId="22" fillId="8" borderId="6" xfId="0" applyNumberFormat="1" applyFont="1" applyFill="1" applyBorder="1" applyAlignment="1">
      <alignment horizontal="right"/>
    </xf>
    <xf numFmtId="164" fontId="28" fillId="8" borderId="6" xfId="0" applyNumberFormat="1" applyFont="1" applyFill="1" applyBorder="1" applyAlignment="1">
      <alignment horizontal="right"/>
    </xf>
    <xf numFmtId="165" fontId="28" fillId="8" borderId="6" xfId="0" applyNumberFormat="1" applyFont="1" applyFill="1" applyBorder="1" applyAlignment="1">
      <alignment horizontal="center"/>
    </xf>
    <xf numFmtId="0" fontId="31" fillId="8" borderId="6" xfId="0" applyFont="1" applyFill="1" applyBorder="1" applyAlignment="1">
      <alignment horizontal="center" vertical="center"/>
    </xf>
    <xf numFmtId="0" fontId="50" fillId="8" borderId="7" xfId="0" applyFont="1" applyFill="1" applyBorder="1" applyAlignment="1">
      <alignment horizontal="left" vertical="center"/>
    </xf>
    <xf numFmtId="0" fontId="20" fillId="5" borderId="5" xfId="0" applyFont="1" applyFill="1" applyBorder="1" applyAlignment="1">
      <alignment horizontal="left" vertical="center"/>
    </xf>
    <xf numFmtId="0" fontId="21" fillId="5" borderId="6" xfId="0" applyFont="1" applyFill="1" applyBorder="1" applyAlignment="1">
      <alignment horizontal="center" vertical="center"/>
    </xf>
    <xf numFmtId="0" fontId="20" fillId="5" borderId="6" xfId="0" applyFont="1" applyFill="1" applyBorder="1" applyAlignment="1">
      <alignment horizontal="left" vertical="center"/>
    </xf>
    <xf numFmtId="0" fontId="30" fillId="5" borderId="6" xfId="0" applyFont="1" applyFill="1" applyBorder="1" applyAlignment="1">
      <alignment horizontal="center" vertical="center"/>
    </xf>
    <xf numFmtId="167" fontId="28" fillId="5" borderId="6" xfId="0" applyNumberFormat="1" applyFont="1" applyFill="1" applyBorder="1" applyAlignment="1">
      <alignment horizontal="right"/>
    </xf>
    <xf numFmtId="0" fontId="6" fillId="5" borderId="6" xfId="0" applyFont="1" applyFill="1" applyBorder="1"/>
    <xf numFmtId="164" fontId="28" fillId="5" borderId="6" xfId="0" applyNumberFormat="1" applyFont="1" applyFill="1" applyBorder="1" applyAlignment="1">
      <alignment horizontal="right"/>
    </xf>
    <xf numFmtId="165" fontId="28" fillId="5" borderId="6" xfId="0" applyNumberFormat="1" applyFont="1" applyFill="1" applyBorder="1" applyAlignment="1">
      <alignment horizontal="center"/>
    </xf>
    <xf numFmtId="0" fontId="50" fillId="5" borderId="7" xfId="0" applyFont="1" applyFill="1" applyBorder="1" applyAlignment="1">
      <alignment horizontal="left" vertical="center"/>
    </xf>
    <xf numFmtId="0" fontId="6" fillId="12" borderId="6" xfId="0" applyFont="1" applyFill="1" applyBorder="1"/>
    <xf numFmtId="165" fontId="28" fillId="12" borderId="6" xfId="0" applyNumberFormat="1" applyFont="1" applyFill="1" applyBorder="1" applyAlignment="1">
      <alignment horizontal="center"/>
    </xf>
    <xf numFmtId="0" fontId="50" fillId="12" borderId="7" xfId="0" applyFont="1" applyFill="1" applyBorder="1" applyAlignment="1">
      <alignment horizontal="left" vertical="center"/>
    </xf>
    <xf numFmtId="0" fontId="6" fillId="11" borderId="6" xfId="0" applyFont="1" applyFill="1" applyBorder="1"/>
    <xf numFmtId="165" fontId="28" fillId="11" borderId="6" xfId="0" applyNumberFormat="1" applyFont="1" applyFill="1" applyBorder="1" applyAlignment="1">
      <alignment horizontal="center"/>
    </xf>
    <xf numFmtId="0" fontId="50" fillId="11" borderId="7" xfId="0" applyFont="1" applyFill="1" applyBorder="1" applyAlignment="1">
      <alignment horizontal="left" vertical="center"/>
    </xf>
    <xf numFmtId="0" fontId="20" fillId="9" borderId="5" xfId="0" applyFont="1" applyFill="1" applyBorder="1" applyAlignment="1">
      <alignment horizontal="left" vertical="center"/>
    </xf>
    <xf numFmtId="0" fontId="20" fillId="9" borderId="6" xfId="0" applyFont="1" applyFill="1" applyBorder="1" applyAlignment="1">
      <alignment horizontal="left" vertical="center"/>
    </xf>
    <xf numFmtId="0" fontId="30" fillId="9" borderId="6" xfId="0" applyFont="1" applyFill="1" applyBorder="1" applyAlignment="1">
      <alignment horizontal="center" vertical="center"/>
    </xf>
    <xf numFmtId="167" fontId="28" fillId="9" borderId="6" xfId="0" applyNumberFormat="1" applyFont="1" applyFill="1" applyBorder="1" applyAlignment="1">
      <alignment horizontal="right"/>
    </xf>
    <xf numFmtId="0" fontId="6" fillId="9" borderId="6" xfId="0" applyFont="1" applyFill="1" applyBorder="1"/>
    <xf numFmtId="164" fontId="28" fillId="9" borderId="6" xfId="0" applyNumberFormat="1" applyFont="1" applyFill="1" applyBorder="1" applyAlignment="1">
      <alignment horizontal="right"/>
    </xf>
    <xf numFmtId="165" fontId="28" fillId="9" borderId="6" xfId="0" applyNumberFormat="1" applyFont="1" applyFill="1" applyBorder="1" applyAlignment="1">
      <alignment horizontal="center"/>
    </xf>
    <xf numFmtId="0" fontId="50" fillId="9" borderId="7" xfId="0" applyFont="1" applyFill="1" applyBorder="1" applyAlignment="1">
      <alignment horizontal="left" vertical="center"/>
    </xf>
    <xf numFmtId="0" fontId="58" fillId="18" borderId="4" xfId="0" applyFont="1" applyFill="1"/>
    <xf numFmtId="171" fontId="0" fillId="0" borderId="4" xfId="0" applyNumberFormat="1"/>
    <xf numFmtId="10" fontId="0" fillId="0" borderId="4" xfId="0" applyNumberFormat="1"/>
    <xf numFmtId="165" fontId="0" fillId="0" borderId="4" xfId="0" applyNumberFormat="1"/>
    <xf numFmtId="178" fontId="0" fillId="0" borderId="4" xfId="0" applyNumberFormat="1"/>
    <xf numFmtId="0" fontId="107" fillId="0" borderId="4" xfId="0" applyFont="1"/>
    <xf numFmtId="0" fontId="108" fillId="43" borderId="4" xfId="0" applyFont="1" applyFill="1"/>
    <xf numFmtId="0" fontId="52" fillId="44" borderId="4" xfId="0" applyFont="1" applyFill="1" applyAlignment="1">
      <alignment horizontal="center"/>
    </xf>
    <xf numFmtId="0" fontId="0" fillId="46" borderId="4" xfId="0" applyFill="1"/>
    <xf numFmtId="3" fontId="0" fillId="46" borderId="4" xfId="0" applyNumberFormat="1" applyFill="1"/>
    <xf numFmtId="173" fontId="0" fillId="46" borderId="4" xfId="0" applyNumberFormat="1" applyFill="1"/>
    <xf numFmtId="165" fontId="0" fillId="46" borderId="4" xfId="0" applyNumberFormat="1" applyFill="1"/>
    <xf numFmtId="4" fontId="0" fillId="46" borderId="4" xfId="0" applyNumberFormat="1" applyFill="1"/>
    <xf numFmtId="3" fontId="0" fillId="0" borderId="4" xfId="0" applyNumberFormat="1"/>
    <xf numFmtId="173" fontId="0" fillId="0" borderId="4" xfId="0" applyNumberFormat="1"/>
    <xf numFmtId="0" fontId="0" fillId="23" borderId="4" xfId="0" applyFill="1"/>
    <xf numFmtId="4" fontId="0" fillId="23" borderId="4" xfId="0" applyNumberFormat="1" applyFill="1"/>
    <xf numFmtId="173" fontId="0" fillId="23" borderId="4" xfId="0" applyNumberFormat="1" applyFill="1"/>
    <xf numFmtId="165" fontId="0" fillId="23" borderId="4" xfId="0" applyNumberFormat="1" applyFill="1"/>
    <xf numFmtId="0" fontId="57" fillId="45" borderId="4" xfId="0" applyFont="1" applyFill="1"/>
    <xf numFmtId="3" fontId="57" fillId="45" borderId="4" xfId="0" applyNumberFormat="1" applyFont="1" applyFill="1"/>
    <xf numFmtId="173" fontId="57" fillId="45" borderId="4" xfId="0" applyNumberFormat="1" applyFont="1" applyFill="1"/>
    <xf numFmtId="165" fontId="57" fillId="45" borderId="4" xfId="0" applyNumberFormat="1" applyFont="1" applyFill="1"/>
    <xf numFmtId="0" fontId="131" fillId="0" borderId="4" xfId="0" applyFont="1"/>
    <xf numFmtId="0" fontId="113" fillId="0" borderId="4" xfId="0" applyFont="1"/>
    <xf numFmtId="0" fontId="114" fillId="48" borderId="4" xfId="0" applyFont="1" applyFill="1" applyAlignment="1">
      <alignment horizontal="center"/>
    </xf>
    <xf numFmtId="0" fontId="119" fillId="0" borderId="4" xfId="0" applyFont="1"/>
    <xf numFmtId="0" fontId="126" fillId="54" borderId="4" xfId="0" applyFont="1" applyFill="1" applyAlignment="1">
      <alignment horizontal="center"/>
    </xf>
    <xf numFmtId="0" fontId="111" fillId="23" borderId="4" xfId="0" applyFont="1" applyFill="1"/>
    <xf numFmtId="0" fontId="96" fillId="23" borderId="4" xfId="0" applyFont="1" applyFill="1" applyAlignment="1">
      <alignment wrapText="1"/>
    </xf>
    <xf numFmtId="0" fontId="0" fillId="23" borderId="4" xfId="0" applyFill="1" applyAlignment="1">
      <alignment horizontal="center"/>
    </xf>
    <xf numFmtId="0" fontId="111" fillId="53" borderId="4" xfId="0" applyFont="1" applyFill="1"/>
    <xf numFmtId="0" fontId="96" fillId="53" borderId="4" xfId="0" applyFont="1" applyFill="1" applyAlignment="1">
      <alignment wrapText="1"/>
    </xf>
    <xf numFmtId="0" fontId="0" fillId="53" borderId="4" xfId="0" applyFill="1" applyAlignment="1">
      <alignment horizontal="center"/>
    </xf>
    <xf numFmtId="0" fontId="125" fillId="28" borderId="4" xfId="0" applyFont="1" applyFill="1"/>
    <xf numFmtId="0" fontId="96" fillId="0" borderId="4" xfId="0" applyFont="1"/>
    <xf numFmtId="0" fontId="96" fillId="19" borderId="4" xfId="0" applyFont="1" applyFill="1" applyAlignment="1">
      <alignment horizontal="center"/>
    </xf>
    <xf numFmtId="0" fontId="127" fillId="0" borderId="4" xfId="0" applyFont="1"/>
    <xf numFmtId="171" fontId="96" fillId="0" borderId="4" xfId="0" applyNumberFormat="1" applyFont="1"/>
    <xf numFmtId="165" fontId="96" fillId="24" borderId="4" xfId="0" applyNumberFormat="1" applyFont="1" applyFill="1"/>
    <xf numFmtId="165" fontId="96" fillId="25" borderId="4" xfId="0" applyNumberFormat="1" applyFont="1" applyFill="1"/>
    <xf numFmtId="0" fontId="96" fillId="24" borderId="4" xfId="0" applyFont="1" applyFill="1" applyAlignment="1">
      <alignment horizontal="center"/>
    </xf>
    <xf numFmtId="0" fontId="96" fillId="25" borderId="4" xfId="0" applyFont="1" applyFill="1" applyAlignment="1">
      <alignment horizontal="center"/>
    </xf>
    <xf numFmtId="0" fontId="128" fillId="0" borderId="4" xfId="0" applyFont="1"/>
    <xf numFmtId="165" fontId="130" fillId="0" borderId="4" xfId="0" applyNumberFormat="1" applyFont="1"/>
    <xf numFmtId="165" fontId="96" fillId="41" borderId="4" xfId="0" applyNumberFormat="1" applyFont="1" applyFill="1"/>
    <xf numFmtId="0" fontId="132" fillId="0" borderId="4" xfId="0" applyFont="1"/>
    <xf numFmtId="0" fontId="58" fillId="44" borderId="4" xfId="0" applyFont="1" applyFill="1" applyAlignment="1">
      <alignment horizontal="center"/>
    </xf>
    <xf numFmtId="0" fontId="138" fillId="0" borderId="4" xfId="0" applyFont="1"/>
    <xf numFmtId="0" fontId="134" fillId="56" borderId="4" xfId="0" applyFont="1" applyFill="1"/>
    <xf numFmtId="0" fontId="0" fillId="56" borderId="4" xfId="0" applyFill="1" applyAlignment="1">
      <alignment horizontal="center"/>
    </xf>
    <xf numFmtId="3" fontId="0" fillId="56" borderId="4" xfId="0" applyNumberFormat="1" applyFill="1" applyAlignment="1">
      <alignment horizontal="center"/>
    </xf>
    <xf numFmtId="165" fontId="0" fillId="56" borderId="4" xfId="0" applyNumberFormat="1" applyFill="1" applyAlignment="1">
      <alignment horizontal="center"/>
    </xf>
    <xf numFmtId="173" fontId="0" fillId="56" borderId="4" xfId="0" applyNumberFormat="1" applyFill="1" applyAlignment="1">
      <alignment horizontal="center"/>
    </xf>
    <xf numFmtId="0" fontId="96" fillId="56" borderId="4" xfId="0" applyFont="1" applyFill="1"/>
    <xf numFmtId="0" fontId="135" fillId="57" borderId="4" xfId="0" applyFont="1" applyFill="1"/>
    <xf numFmtId="0" fontId="0" fillId="57" borderId="4" xfId="0" applyFill="1" applyAlignment="1">
      <alignment horizontal="center"/>
    </xf>
    <xf numFmtId="3" fontId="0" fillId="57" borderId="4" xfId="0" applyNumberFormat="1" applyFill="1" applyAlignment="1">
      <alignment horizontal="center"/>
    </xf>
    <xf numFmtId="165" fontId="0" fillId="57" borderId="4" xfId="0" applyNumberFormat="1" applyFill="1" applyAlignment="1">
      <alignment horizontal="center"/>
    </xf>
    <xf numFmtId="173" fontId="0" fillId="57" borderId="4" xfId="0" applyNumberFormat="1" applyFill="1" applyAlignment="1">
      <alignment horizontal="center"/>
    </xf>
    <xf numFmtId="0" fontId="96" fillId="57" borderId="4" xfId="0" applyFont="1" applyFill="1"/>
    <xf numFmtId="0" fontId="136" fillId="43" borderId="4" xfId="0" applyFont="1" applyFill="1"/>
    <xf numFmtId="0" fontId="0" fillId="43" borderId="4" xfId="0" applyFill="1" applyAlignment="1">
      <alignment horizontal="center"/>
    </xf>
    <xf numFmtId="3" fontId="0" fillId="43" borderId="4" xfId="0" applyNumberFormat="1" applyFill="1" applyAlignment="1">
      <alignment horizontal="center"/>
    </xf>
    <xf numFmtId="165" fontId="0" fillId="43" borderId="4" xfId="0" applyNumberFormat="1" applyFill="1" applyAlignment="1">
      <alignment horizontal="center"/>
    </xf>
    <xf numFmtId="173" fontId="0" fillId="43" borderId="4" xfId="0" applyNumberFormat="1" applyFill="1" applyAlignment="1">
      <alignment horizontal="center"/>
    </xf>
    <xf numFmtId="0" fontId="96" fillId="43" borderId="4" xfId="0" applyFont="1" applyFill="1"/>
    <xf numFmtId="0" fontId="137" fillId="58" borderId="4" xfId="0" applyFont="1" applyFill="1"/>
    <xf numFmtId="0" fontId="0" fillId="58" borderId="4" xfId="0" applyFill="1" applyAlignment="1">
      <alignment horizontal="center"/>
    </xf>
    <xf numFmtId="3" fontId="0" fillId="58" borderId="4" xfId="0" applyNumberFormat="1" applyFill="1" applyAlignment="1">
      <alignment horizontal="center"/>
    </xf>
    <xf numFmtId="165" fontId="0" fillId="58" borderId="4" xfId="0" applyNumberFormat="1" applyFill="1" applyAlignment="1">
      <alignment horizontal="center"/>
    </xf>
    <xf numFmtId="173" fontId="0" fillId="58" borderId="4" xfId="0" applyNumberFormat="1" applyFill="1" applyAlignment="1">
      <alignment horizontal="center"/>
    </xf>
    <xf numFmtId="0" fontId="96" fillId="58" borderId="4" xfId="0" applyFont="1" applyFill="1"/>
    <xf numFmtId="0" fontId="156" fillId="0" borderId="4" xfId="0" applyFont="1"/>
    <xf numFmtId="0" fontId="152" fillId="0" borderId="4" xfId="0" applyFont="1"/>
    <xf numFmtId="0" fontId="153" fillId="0" borderId="4" xfId="0" applyFont="1"/>
    <xf numFmtId="0" fontId="92" fillId="0" borderId="12" xfId="0" applyFont="1" applyBorder="1" applyAlignment="1">
      <alignment horizontal="center" vertical="center" wrapText="1"/>
    </xf>
    <xf numFmtId="0" fontId="203" fillId="0" borderId="4" xfId="0" applyFont="1"/>
    <xf numFmtId="0" fontId="204" fillId="12" borderId="6" xfId="0" applyFont="1" applyFill="1" applyBorder="1" applyAlignment="1">
      <alignment horizontal="left" vertical="center"/>
    </xf>
    <xf numFmtId="0" fontId="204" fillId="11" borderId="6" xfId="0" applyFont="1" applyFill="1" applyBorder="1" applyAlignment="1">
      <alignment horizontal="left" vertical="center"/>
    </xf>
    <xf numFmtId="0" fontId="169" fillId="0" borderId="70" xfId="0" applyFont="1" applyBorder="1"/>
    <xf numFmtId="0" fontId="169" fillId="0" borderId="72" xfId="0" applyFont="1" applyBorder="1"/>
    <xf numFmtId="14" fontId="169" fillId="0" borderId="65" xfId="0" applyNumberFormat="1" applyFont="1" applyBorder="1"/>
    <xf numFmtId="14" fontId="169" fillId="0" borderId="68" xfId="0" applyNumberFormat="1" applyFont="1" applyBorder="1"/>
    <xf numFmtId="14" fontId="169" fillId="0" borderId="69" xfId="0" applyNumberFormat="1" applyFont="1" applyBorder="1"/>
    <xf numFmtId="14" fontId="169" fillId="0" borderId="73" xfId="0" applyNumberFormat="1" applyFont="1" applyBorder="1"/>
    <xf numFmtId="14" fontId="169" fillId="0" borderId="75" xfId="0" applyNumberFormat="1" applyFont="1" applyBorder="1"/>
    <xf numFmtId="14" fontId="169" fillId="0" borderId="76" xfId="0" applyNumberFormat="1" applyFont="1" applyBorder="1"/>
    <xf numFmtId="0" fontId="169" fillId="0" borderId="66" xfId="0" applyFont="1" applyBorder="1"/>
    <xf numFmtId="0" fontId="169" fillId="0" borderId="59" xfId="0" applyFont="1" applyBorder="1"/>
    <xf numFmtId="0" fontId="169" fillId="0" borderId="39" xfId="0" applyFont="1" applyBorder="1"/>
    <xf numFmtId="0" fontId="169" fillId="0" borderId="38" xfId="0" applyFont="1" applyBorder="1"/>
    <xf numFmtId="8" fontId="169" fillId="0" borderId="66" xfId="0" applyNumberFormat="1" applyFont="1" applyBorder="1" applyAlignment="1">
      <alignment horizontal="right"/>
    </xf>
    <xf numFmtId="8" fontId="169" fillId="0" borderId="59" xfId="0" applyNumberFormat="1" applyFont="1" applyBorder="1" applyAlignment="1">
      <alignment horizontal="right"/>
    </xf>
    <xf numFmtId="8" fontId="169" fillId="0" borderId="70" xfId="0" applyNumberFormat="1" applyFont="1" applyBorder="1" applyAlignment="1">
      <alignment horizontal="right"/>
    </xf>
    <xf numFmtId="8" fontId="169" fillId="0" borderId="39" xfId="0" applyNumberFormat="1" applyFont="1" applyBorder="1" applyAlignment="1">
      <alignment horizontal="right"/>
    </xf>
    <xf numFmtId="8" fontId="169" fillId="0" borderId="38" xfId="0" applyNumberFormat="1" applyFont="1" applyBorder="1" applyAlignment="1">
      <alignment horizontal="right"/>
    </xf>
    <xf numFmtId="8" fontId="169" fillId="0" borderId="66" xfId="0" applyNumberFormat="1" applyFont="1" applyBorder="1" applyAlignment="1">
      <alignment horizontal="right" vertical="center"/>
    </xf>
    <xf numFmtId="8" fontId="169" fillId="0" borderId="59" xfId="0" applyNumberFormat="1" applyFont="1" applyBorder="1" applyAlignment="1">
      <alignment horizontal="right" vertical="center"/>
    </xf>
    <xf numFmtId="8" fontId="169" fillId="0" borderId="70" xfId="0" applyNumberFormat="1" applyFont="1" applyBorder="1" applyAlignment="1">
      <alignment horizontal="right" vertical="center"/>
    </xf>
    <xf numFmtId="8" fontId="169" fillId="0" borderId="39" xfId="0" applyNumberFormat="1" applyFont="1" applyBorder="1" applyAlignment="1">
      <alignment horizontal="right" vertical="center"/>
    </xf>
    <xf numFmtId="8" fontId="169" fillId="0" borderId="38" xfId="0" applyNumberFormat="1" applyFont="1" applyBorder="1" applyAlignment="1">
      <alignment horizontal="right" vertical="center"/>
    </xf>
    <xf numFmtId="8" fontId="169" fillId="0" borderId="67" xfId="0" applyNumberFormat="1" applyFont="1" applyBorder="1" applyAlignment="1">
      <alignment horizontal="right"/>
    </xf>
    <xf numFmtId="8" fontId="169" fillId="0" borderId="29" xfId="0" applyNumberFormat="1" applyFont="1" applyBorder="1" applyAlignment="1">
      <alignment horizontal="right"/>
    </xf>
    <xf numFmtId="8" fontId="169" fillId="0" borderId="71" xfId="0" applyNumberFormat="1" applyFont="1" applyBorder="1" applyAlignment="1">
      <alignment horizontal="right"/>
    </xf>
    <xf numFmtId="8" fontId="169" fillId="0" borderId="74" xfId="0" applyNumberFormat="1" applyFont="1" applyBorder="1" applyAlignment="1">
      <alignment horizontal="right"/>
    </xf>
    <xf numFmtId="8" fontId="169" fillId="0" borderId="51" xfId="0" applyNumberFormat="1" applyFont="1" applyBorder="1" applyAlignment="1">
      <alignment horizontal="right"/>
    </xf>
    <xf numFmtId="8" fontId="169" fillId="0" borderId="48" xfId="0" applyNumberFormat="1" applyFont="1" applyBorder="1" applyAlignment="1">
      <alignment horizontal="right"/>
    </xf>
    <xf numFmtId="0" fontId="6" fillId="0" borderId="70" xfId="0" applyFont="1" applyBorder="1"/>
    <xf numFmtId="0" fontId="46" fillId="0" borderId="70" xfId="0" applyFont="1" applyBorder="1"/>
    <xf numFmtId="20" fontId="6" fillId="0" borderId="70" xfId="0" applyNumberFormat="1" applyFont="1" applyBorder="1"/>
    <xf numFmtId="175" fontId="172" fillId="76" borderId="64" xfId="0" applyNumberFormat="1" applyFont="1" applyFill="1" applyBorder="1"/>
    <xf numFmtId="175" fontId="172" fillId="0" borderId="64" xfId="0" applyNumberFormat="1" applyFont="1" applyBorder="1"/>
    <xf numFmtId="14" fontId="54" fillId="0" borderId="69" xfId="0" applyNumberFormat="1" applyFont="1" applyBorder="1"/>
    <xf numFmtId="20" fontId="54" fillId="0" borderId="70" xfId="0" applyNumberFormat="1" applyFont="1" applyBorder="1"/>
    <xf numFmtId="0" fontId="54" fillId="0" borderId="70" xfId="0" applyFont="1" applyBorder="1"/>
    <xf numFmtId="8" fontId="54" fillId="0" borderId="70" xfId="0" applyNumberFormat="1" applyFont="1" applyBorder="1"/>
    <xf numFmtId="179" fontId="54" fillId="0" borderId="70" xfId="0" applyNumberFormat="1" applyFont="1" applyBorder="1"/>
    <xf numFmtId="14" fontId="88" fillId="32" borderId="4" xfId="0" applyNumberFormat="1" applyFont="1" applyFill="1" applyAlignment="1">
      <alignment horizontal="center"/>
    </xf>
    <xf numFmtId="164" fontId="61" fillId="19" borderId="70" xfId="0" applyNumberFormat="1" applyFont="1" applyFill="1" applyBorder="1"/>
    <xf numFmtId="0" fontId="205" fillId="0" borderId="70" xfId="0" applyFont="1" applyBorder="1"/>
    <xf numFmtId="0" fontId="169" fillId="77" borderId="4" xfId="0" applyFont="1" applyFill="1"/>
    <xf numFmtId="0" fontId="206" fillId="77" borderId="70" xfId="0" applyFont="1" applyFill="1" applyBorder="1"/>
    <xf numFmtId="0" fontId="206" fillId="77" borderId="72" xfId="0" applyFont="1" applyFill="1" applyBorder="1"/>
    <xf numFmtId="0" fontId="206" fillId="77" borderId="4" xfId="0" applyFont="1" applyFill="1"/>
    <xf numFmtId="14" fontId="6" fillId="0" borderId="70" xfId="0" applyNumberFormat="1" applyFont="1" applyBorder="1"/>
    <xf numFmtId="0" fontId="81" fillId="0" borderId="70" xfId="0" applyFont="1" applyBorder="1"/>
    <xf numFmtId="2" fontId="6" fillId="0" borderId="70" xfId="0" applyNumberFormat="1" applyFont="1" applyBorder="1"/>
    <xf numFmtId="0" fontId="81" fillId="0" borderId="4" xfId="0" applyFont="1"/>
    <xf numFmtId="14" fontId="6" fillId="0" borderId="59" xfId="0" applyNumberFormat="1" applyFont="1" applyBorder="1"/>
    <xf numFmtId="0" fontId="46" fillId="0" borderId="59" xfId="0" applyFont="1" applyBorder="1"/>
    <xf numFmtId="20" fontId="6" fillId="0" borderId="59" xfId="0" applyNumberFormat="1" applyFont="1" applyBorder="1"/>
    <xf numFmtId="2" fontId="6" fillId="0" borderId="59" xfId="0" applyNumberFormat="1" applyFont="1" applyBorder="1"/>
    <xf numFmtId="0" fontId="6" fillId="0" borderId="59" xfId="0" applyFont="1" applyBorder="1"/>
    <xf numFmtId="14" fontId="6" fillId="0" borderId="66" xfId="0" applyNumberFormat="1" applyFont="1" applyBorder="1"/>
    <xf numFmtId="0" fontId="46" fillId="0" borderId="66" xfId="0" applyFont="1" applyBorder="1"/>
    <xf numFmtId="20" fontId="6" fillId="0" borderId="66" xfId="0" applyNumberFormat="1" applyFont="1" applyBorder="1"/>
    <xf numFmtId="2" fontId="6" fillId="0" borderId="66" xfId="0" applyNumberFormat="1" applyFont="1" applyBorder="1"/>
    <xf numFmtId="0" fontId="6" fillId="0" borderId="66" xfId="0" applyFont="1" applyBorder="1"/>
    <xf numFmtId="0" fontId="81" fillId="0" borderId="66" xfId="0" applyFont="1" applyBorder="1"/>
    <xf numFmtId="0" fontId="81" fillId="0" borderId="59" xfId="0" applyFont="1" applyBorder="1"/>
    <xf numFmtId="0" fontId="81" fillId="23" borderId="59" xfId="0" applyFont="1" applyFill="1" applyBorder="1"/>
    <xf numFmtId="14" fontId="46" fillId="0" borderId="59" xfId="0" applyNumberFormat="1" applyFont="1" applyBorder="1"/>
    <xf numFmtId="14" fontId="46" fillId="0" borderId="66" xfId="0" applyNumberFormat="1" applyFont="1" applyBorder="1"/>
    <xf numFmtId="14" fontId="46" fillId="0" borderId="77" xfId="0" applyNumberFormat="1" applyFont="1" applyBorder="1"/>
    <xf numFmtId="14" fontId="46" fillId="0" borderId="69" xfId="0" applyNumberFormat="1" applyFont="1" applyBorder="1"/>
    <xf numFmtId="14" fontId="57" fillId="0" borderId="59" xfId="0" applyNumberFormat="1" applyFont="1" applyBorder="1"/>
    <xf numFmtId="14" fontId="57" fillId="0" borderId="66" xfId="0" applyNumberFormat="1" applyFont="1" applyBorder="1"/>
    <xf numFmtId="14" fontId="57" fillId="0" borderId="78" xfId="0" applyNumberFormat="1" applyFont="1" applyBorder="1"/>
    <xf numFmtId="14" fontId="57" fillId="0" borderId="71" xfId="0" applyNumberFormat="1" applyFont="1" applyBorder="1"/>
    <xf numFmtId="21" fontId="54" fillId="0" borderId="4" xfId="0" applyNumberFormat="1" applyFont="1"/>
    <xf numFmtId="164" fontId="54" fillId="0" borderId="4" xfId="0" applyNumberFormat="1" applyFont="1"/>
    <xf numFmtId="0" fontId="208" fillId="0" borderId="4" xfId="0" applyFont="1"/>
    <xf numFmtId="0" fontId="205" fillId="0" borderId="4" xfId="0" applyFont="1"/>
    <xf numFmtId="0" fontId="206" fillId="77" borderId="59" xfId="0" applyFont="1" applyFill="1" applyBorder="1"/>
    <xf numFmtId="0" fontId="206" fillId="77" borderId="66" xfId="0" applyFont="1" applyFill="1" applyBorder="1"/>
    <xf numFmtId="0" fontId="169" fillId="0" borderId="70" xfId="0" applyFont="1" applyBorder="1" applyAlignment="1">
      <alignment horizontal="right"/>
    </xf>
    <xf numFmtId="0" fontId="169" fillId="0" borderId="66" xfId="0" applyFont="1" applyBorder="1" applyAlignment="1">
      <alignment horizontal="right"/>
    </xf>
    <xf numFmtId="0" fontId="169" fillId="0" borderId="70" xfId="0" applyFont="1" applyBorder="1" applyAlignment="1">
      <alignment horizontal="right" vertical="center"/>
    </xf>
    <xf numFmtId="0" fontId="169" fillId="0" borderId="66" xfId="0" applyFont="1" applyBorder="1" applyAlignment="1">
      <alignment horizontal="right" vertical="center"/>
    </xf>
    <xf numFmtId="0" fontId="207" fillId="78" borderId="79" xfId="0" applyFont="1" applyFill="1" applyBorder="1"/>
    <xf numFmtId="0" fontId="207" fillId="78" borderId="80" xfId="0" applyFont="1" applyFill="1" applyBorder="1"/>
    <xf numFmtId="3" fontId="207" fillId="78" borderId="80" xfId="0" applyNumberFormat="1" applyFont="1" applyFill="1" applyBorder="1"/>
    <xf numFmtId="3" fontId="207" fillId="78" borderId="81" xfId="0" applyNumberFormat="1" applyFont="1" applyFill="1" applyBorder="1"/>
    <xf numFmtId="0" fontId="207" fillId="78" borderId="82" xfId="0" applyFont="1" applyFill="1" applyBorder="1"/>
    <xf numFmtId="0" fontId="207" fillId="78" borderId="83" xfId="0" applyFont="1" applyFill="1" applyBorder="1"/>
    <xf numFmtId="3" fontId="207" fillId="78" borderId="83" xfId="0" applyNumberFormat="1" applyFont="1" applyFill="1" applyBorder="1"/>
    <xf numFmtId="3" fontId="207" fillId="78" borderId="84" xfId="0" applyNumberFormat="1" applyFont="1" applyFill="1" applyBorder="1"/>
    <xf numFmtId="0" fontId="207" fillId="23" borderId="79" xfId="0" applyFont="1" applyFill="1" applyBorder="1"/>
    <xf numFmtId="3" fontId="207" fillId="23" borderId="81" xfId="0" applyNumberFormat="1" applyFont="1" applyFill="1" applyBorder="1"/>
    <xf numFmtId="0" fontId="207" fillId="23" borderId="80" xfId="0" applyFont="1" applyFill="1" applyBorder="1"/>
    <xf numFmtId="3" fontId="207" fillId="23" borderId="80" xfId="0" applyNumberFormat="1" applyFont="1" applyFill="1" applyBorder="1"/>
    <xf numFmtId="8" fontId="53" fillId="0" borderId="70" xfId="0" applyNumberFormat="1" applyFont="1" applyBorder="1"/>
    <xf numFmtId="0" fontId="53" fillId="79" borderId="86" xfId="0" applyFont="1" applyFill="1" applyBorder="1"/>
    <xf numFmtId="0" fontId="0" fillId="0" borderId="4" xfId="0" applyAlignment="1">
      <alignment horizontal="center"/>
    </xf>
    <xf numFmtId="0" fontId="52" fillId="21" borderId="88" xfId="0" applyFont="1" applyFill="1" applyBorder="1" applyAlignment="1">
      <alignment horizontal="center"/>
    </xf>
    <xf numFmtId="0" fontId="53" fillId="79" borderId="88" xfId="0" applyFont="1" applyFill="1" applyBorder="1"/>
    <xf numFmtId="176" fontId="53" fillId="79" borderId="88" xfId="0" applyNumberFormat="1" applyFont="1" applyFill="1" applyBorder="1"/>
    <xf numFmtId="0" fontId="53" fillId="0" borderId="88" xfId="0" applyFont="1" applyBorder="1"/>
    <xf numFmtId="176" fontId="53" fillId="0" borderId="88" xfId="0" applyNumberFormat="1" applyFont="1" applyBorder="1"/>
    <xf numFmtId="176" fontId="53" fillId="79" borderId="86" xfId="0" applyNumberFormat="1" applyFont="1" applyFill="1" applyBorder="1"/>
    <xf numFmtId="2" fontId="53" fillId="79" borderId="88" xfId="0" applyNumberFormat="1" applyFont="1" applyFill="1" applyBorder="1"/>
    <xf numFmtId="2" fontId="53" fillId="0" borderId="88" xfId="0" applyNumberFormat="1" applyFont="1" applyBorder="1"/>
    <xf numFmtId="2" fontId="53" fillId="79" borderId="86" xfId="0" applyNumberFormat="1" applyFont="1" applyFill="1" applyBorder="1"/>
    <xf numFmtId="1" fontId="0" fillId="0" borderId="4" xfId="0" applyNumberFormat="1" applyAlignment="1">
      <alignment horizontal="center"/>
    </xf>
    <xf numFmtId="4" fontId="0" fillId="0" borderId="34" xfId="0" applyNumberFormat="1" applyBorder="1"/>
    <xf numFmtId="4" fontId="0" fillId="0" borderId="12" xfId="0" applyNumberFormat="1" applyBorder="1"/>
    <xf numFmtId="0" fontId="205" fillId="0" borderId="72" xfId="0" applyFont="1" applyBorder="1"/>
    <xf numFmtId="0" fontId="206" fillId="77" borderId="39" xfId="0" applyFont="1" applyFill="1" applyBorder="1"/>
    <xf numFmtId="0" fontId="169" fillId="0" borderId="59" xfId="0" applyFont="1" applyBorder="1" applyAlignment="1">
      <alignment horizontal="right"/>
    </xf>
    <xf numFmtId="0" fontId="169" fillId="0" borderId="59" xfId="0" applyFont="1" applyBorder="1" applyAlignment="1">
      <alignment horizontal="right" vertical="center"/>
    </xf>
    <xf numFmtId="0" fontId="52" fillId="21" borderId="4" xfId="0" applyFont="1" applyFill="1"/>
    <xf numFmtId="0" fontId="209" fillId="0" borderId="4" xfId="0" applyFont="1"/>
    <xf numFmtId="0" fontId="210" fillId="0" borderId="4" xfId="0" applyFont="1"/>
    <xf numFmtId="2" fontId="210" fillId="0" borderId="4" xfId="0" applyNumberFormat="1" applyFont="1"/>
    <xf numFmtId="180" fontId="209" fillId="0" borderId="4" xfId="0" applyNumberFormat="1" applyFont="1"/>
    <xf numFmtId="1" fontId="209" fillId="0" borderId="4" xfId="0" applyNumberFormat="1" applyFont="1"/>
    <xf numFmtId="2" fontId="209" fillId="0" borderId="4" xfId="0" applyNumberFormat="1" applyFont="1"/>
    <xf numFmtId="10" fontId="209" fillId="0" borderId="4" xfId="1" applyNumberFormat="1" applyFont="1"/>
    <xf numFmtId="9" fontId="0" fillId="0" borderId="4" xfId="1" applyFont="1"/>
    <xf numFmtId="14" fontId="103" fillId="0" borderId="4" xfId="0" applyNumberFormat="1" applyFont="1"/>
    <xf numFmtId="175" fontId="171" fillId="0" borderId="4" xfId="0" applyNumberFormat="1" applyFont="1"/>
    <xf numFmtId="175" fontId="172" fillId="0" borderId="4" xfId="0" applyNumberFormat="1" applyFont="1"/>
    <xf numFmtId="175" fontId="171" fillId="76" borderId="64" xfId="0" applyNumberFormat="1" applyFont="1" applyFill="1" applyBorder="1"/>
    <xf numFmtId="175" fontId="171" fillId="0" borderId="64" xfId="0" applyNumberFormat="1" applyFont="1" applyBorder="1"/>
    <xf numFmtId="175" fontId="173" fillId="0" borderId="4" xfId="0" applyNumberFormat="1" applyFont="1"/>
    <xf numFmtId="175" fontId="177" fillId="0" borderId="4" xfId="0" applyNumberFormat="1" applyFont="1"/>
    <xf numFmtId="175" fontId="173" fillId="0" borderId="60" xfId="0" applyNumberFormat="1" applyFont="1" applyBorder="1"/>
    <xf numFmtId="175" fontId="171" fillId="0" borderId="4" xfId="0" applyNumberFormat="1" applyFont="1" applyAlignment="1">
      <alignment wrapText="1"/>
    </xf>
    <xf numFmtId="175" fontId="172" fillId="76" borderId="64" xfId="0" applyNumberFormat="1" applyFont="1" applyFill="1" applyBorder="1" applyAlignment="1">
      <alignment wrapText="1"/>
    </xf>
    <xf numFmtId="175" fontId="172" fillId="0" borderId="4" xfId="0" applyNumberFormat="1" applyFont="1" applyAlignment="1">
      <alignment wrapText="1"/>
    </xf>
    <xf numFmtId="175" fontId="182" fillId="0" borderId="4" xfId="0" applyNumberFormat="1" applyFont="1"/>
    <xf numFmtId="175" fontId="182" fillId="0" borderId="60" xfId="0" applyNumberFormat="1" applyFont="1" applyBorder="1"/>
    <xf numFmtId="14" fontId="167" fillId="32" borderId="4" xfId="0" applyNumberFormat="1" applyFont="1" applyFill="1"/>
    <xf numFmtId="0" fontId="167" fillId="32" borderId="4" xfId="0" applyFont="1" applyFill="1"/>
    <xf numFmtId="14" fontId="165" fillId="0" borderId="4" xfId="0" applyNumberFormat="1" applyFont="1"/>
    <xf numFmtId="0" fontId="211" fillId="0" borderId="4" xfId="0" applyFont="1"/>
    <xf numFmtId="8" fontId="165" fillId="0" borderId="4" xfId="0" applyNumberFormat="1" applyFont="1"/>
    <xf numFmtId="14" fontId="165" fillId="0" borderId="11" xfId="0" applyNumberFormat="1" applyFont="1" applyBorder="1"/>
    <xf numFmtId="0" fontId="165" fillId="0" borderId="11" xfId="0" applyFont="1" applyBorder="1"/>
    <xf numFmtId="8" fontId="165" fillId="0" borderId="11" xfId="0" applyNumberFormat="1" applyFont="1" applyBorder="1"/>
    <xf numFmtId="14" fontId="165" fillId="33" borderId="4" xfId="0" applyNumberFormat="1" applyFont="1" applyFill="1"/>
    <xf numFmtId="0" fontId="211" fillId="33" borderId="4" xfId="0" applyFont="1" applyFill="1"/>
    <xf numFmtId="0" fontId="165" fillId="33" borderId="4" xfId="0" applyFont="1" applyFill="1"/>
    <xf numFmtId="8" fontId="165" fillId="33" borderId="4" xfId="0" applyNumberFormat="1" applyFont="1" applyFill="1"/>
    <xf numFmtId="14" fontId="2" fillId="0" borderId="0" xfId="0" applyNumberFormat="1" applyFont="1" applyBorder="1"/>
    <xf numFmtId="0" fontId="2" fillId="0" borderId="0" xfId="0" applyFont="1" applyBorder="1"/>
    <xf numFmtId="0" fontId="36" fillId="25" borderId="30" xfId="0" applyFont="1" applyFill="1" applyBorder="1" applyAlignment="1">
      <alignment horizontal="center" vertical="center"/>
    </xf>
    <xf numFmtId="3" fontId="85" fillId="23" borderId="30" xfId="0" applyNumberFormat="1" applyFont="1" applyFill="1" applyBorder="1" applyAlignment="1">
      <alignment horizontal="center" vertical="center"/>
    </xf>
    <xf numFmtId="0" fontId="0" fillId="23" borderId="90" xfId="0" applyFill="1" applyBorder="1" applyAlignment="1">
      <alignment horizontal="left" vertical="center"/>
    </xf>
    <xf numFmtId="0" fontId="0" fillId="23" borderId="18" xfId="0" applyFill="1" applyBorder="1" applyAlignment="1">
      <alignment horizontal="left" vertical="center"/>
    </xf>
    <xf numFmtId="14" fontId="83" fillId="23" borderId="18" xfId="0" applyNumberFormat="1" applyFont="1" applyFill="1" applyBorder="1" applyAlignment="1">
      <alignment horizontal="right"/>
    </xf>
    <xf numFmtId="14" fontId="0" fillId="0" borderId="0" xfId="0" applyNumberFormat="1" applyBorder="1" applyAlignment="1">
      <alignment horizontal="right"/>
    </xf>
    <xf numFmtId="14" fontId="6" fillId="0" borderId="4" xfId="0" applyNumberFormat="1" applyFont="1" applyAlignment="1">
      <alignment horizontal="right"/>
    </xf>
    <xf numFmtId="0" fontId="83" fillId="23" borderId="67" xfId="0" applyFont="1" applyFill="1" applyBorder="1" applyAlignment="1">
      <alignment horizontal="center" vertical="center"/>
    </xf>
    <xf numFmtId="0" fontId="83" fillId="23" borderId="29" xfId="0" applyFont="1" applyFill="1" applyBorder="1" applyAlignment="1">
      <alignment horizontal="center" vertical="center"/>
    </xf>
    <xf numFmtId="14" fontId="27" fillId="22" borderId="91" xfId="0" applyNumberFormat="1" applyFont="1" applyFill="1" applyBorder="1" applyAlignment="1">
      <alignment horizontal="right" vertical="center" wrapText="1"/>
    </xf>
    <xf numFmtId="14" fontId="83" fillId="23" borderId="18" xfId="0" applyNumberFormat="1" applyFont="1" applyFill="1" applyBorder="1" applyAlignment="1">
      <alignment horizontal="right" vertical="center"/>
    </xf>
    <xf numFmtId="14" fontId="84" fillId="23" borderId="18" xfId="0" applyNumberFormat="1" applyFont="1" applyFill="1" applyBorder="1" applyAlignment="1">
      <alignment horizontal="right"/>
    </xf>
    <xf numFmtId="14" fontId="83" fillId="23" borderId="18" xfId="0" applyNumberFormat="1" applyFont="1" applyFill="1" applyBorder="1" applyAlignment="1">
      <alignment horizontal="right" vertical="center" wrapText="1"/>
    </xf>
    <xf numFmtId="0" fontId="53" fillId="23" borderId="18" xfId="0" applyFont="1" applyFill="1" applyBorder="1" applyAlignment="1">
      <alignment horizontal="left" vertical="center"/>
    </xf>
    <xf numFmtId="14" fontId="83" fillId="23" borderId="30" xfId="0" applyNumberFormat="1" applyFont="1" applyFill="1" applyBorder="1" applyAlignment="1">
      <alignment horizontal="right"/>
    </xf>
    <xf numFmtId="0" fontId="53" fillId="23" borderId="30" xfId="0" applyFont="1" applyFill="1" applyBorder="1" applyAlignment="1">
      <alignment horizontal="left" vertical="center"/>
    </xf>
    <xf numFmtId="0" fontId="213" fillId="23" borderId="4" xfId="0" applyFont="1" applyFill="1" applyAlignment="1">
      <alignment horizontal="center"/>
    </xf>
    <xf numFmtId="3" fontId="60" fillId="23" borderId="4" xfId="0" applyNumberFormat="1" applyFont="1" applyFill="1" applyAlignment="1">
      <alignment horizontal="center"/>
    </xf>
    <xf numFmtId="14" fontId="21" fillId="8" borderId="6" xfId="0" applyNumberFormat="1" applyFont="1" applyFill="1" applyBorder="1" applyAlignment="1">
      <alignment horizontal="center" vertical="center"/>
    </xf>
    <xf numFmtId="44" fontId="210" fillId="0" borderId="4" xfId="0" applyNumberFormat="1" applyFont="1"/>
    <xf numFmtId="9" fontId="53" fillId="0" borderId="4" xfId="1" applyFont="1"/>
    <xf numFmtId="181" fontId="0" fillId="0" borderId="4" xfId="0" applyNumberFormat="1"/>
    <xf numFmtId="181" fontId="209" fillId="0" borderId="4" xfId="0" applyNumberFormat="1" applyFont="1"/>
    <xf numFmtId="181" fontId="0" fillId="0" borderId="0" xfId="0" applyNumberFormat="1" applyBorder="1"/>
    <xf numFmtId="44" fontId="0" fillId="0" borderId="4" xfId="0" applyNumberFormat="1"/>
    <xf numFmtId="44" fontId="209" fillId="0" borderId="4" xfId="0" applyNumberFormat="1" applyFont="1"/>
    <xf numFmtId="44" fontId="158" fillId="0" borderId="4" xfId="0" applyNumberFormat="1" applyFont="1"/>
    <xf numFmtId="44" fontId="0" fillId="0" borderId="0" xfId="0" applyNumberFormat="1" applyBorder="1"/>
    <xf numFmtId="44" fontId="0" fillId="0" borderId="4" xfId="2" applyFont="1"/>
    <xf numFmtId="44" fontId="209" fillId="0" borderId="4" xfId="2" applyFont="1"/>
    <xf numFmtId="44" fontId="158" fillId="0" borderId="4" xfId="2" applyFont="1"/>
    <xf numFmtId="44" fontId="0" fillId="0" borderId="0" xfId="2" applyFont="1" applyBorder="1"/>
    <xf numFmtId="49" fontId="21" fillId="12" borderId="6" xfId="0" applyNumberFormat="1" applyFont="1" applyFill="1" applyBorder="1" applyAlignment="1">
      <alignment vertical="center"/>
    </xf>
    <xf numFmtId="0" fontId="57" fillId="0" borderId="0" xfId="0" applyFont="1" applyBorder="1"/>
    <xf numFmtId="0" fontId="19" fillId="44" borderId="4" xfId="0" applyFont="1" applyFill="1" applyAlignment="1">
      <alignment horizontal="center" vertical="center" wrapText="1"/>
    </xf>
    <xf numFmtId="164" fontId="53" fillId="0" borderId="4" xfId="0" applyNumberFormat="1" applyFont="1"/>
    <xf numFmtId="170" fontId="0" fillId="0" borderId="4" xfId="0" applyNumberFormat="1"/>
    <xf numFmtId="176" fontId="0" fillId="0" borderId="4" xfId="0" applyNumberFormat="1"/>
    <xf numFmtId="14" fontId="46" fillId="0" borderId="4" xfId="0" applyNumberFormat="1" applyFont="1"/>
    <xf numFmtId="14" fontId="6" fillId="0" borderId="69" xfId="0" applyNumberFormat="1" applyFont="1" applyBorder="1"/>
    <xf numFmtId="14" fontId="46" fillId="23" borderId="4" xfId="0" applyNumberFormat="1" applyFont="1" applyFill="1"/>
    <xf numFmtId="14" fontId="6" fillId="0" borderId="77" xfId="0" applyNumberFormat="1" applyFont="1" applyBorder="1"/>
    <xf numFmtId="14" fontId="82" fillId="23" borderId="4" xfId="0" applyNumberFormat="1" applyFont="1" applyFill="1"/>
    <xf numFmtId="0" fontId="81" fillId="23" borderId="4" xfId="0" applyFont="1" applyFill="1"/>
    <xf numFmtId="20" fontId="82" fillId="23" borderId="4" xfId="0" applyNumberFormat="1" applyFont="1" applyFill="1"/>
    <xf numFmtId="2" fontId="82" fillId="23" borderId="4" xfId="0" applyNumberFormat="1" applyFont="1" applyFill="1"/>
    <xf numFmtId="0" fontId="82" fillId="23" borderId="4" xfId="0" applyFont="1" applyFill="1"/>
    <xf numFmtId="14" fontId="57" fillId="0" borderId="4" xfId="0" applyNumberFormat="1" applyFont="1"/>
    <xf numFmtId="14" fontId="0" fillId="0" borderId="66" xfId="0" applyNumberFormat="1" applyBorder="1"/>
    <xf numFmtId="14" fontId="0" fillId="0" borderId="59" xfId="0" applyNumberFormat="1" applyBorder="1"/>
    <xf numFmtId="14" fontId="0" fillId="0" borderId="71" xfId="0" applyNumberFormat="1" applyBorder="1"/>
    <xf numFmtId="14" fontId="207" fillId="23" borderId="4" xfId="0" applyNumberFormat="1" applyFont="1" applyFill="1"/>
    <xf numFmtId="14" fontId="0" fillId="0" borderId="78" xfId="0" applyNumberFormat="1" applyBorder="1"/>
    <xf numFmtId="2" fontId="45" fillId="0" borderId="4" xfId="0" applyNumberFormat="1" applyFont="1" applyAlignment="1">
      <alignment horizontal="center" vertical="center" wrapText="1"/>
    </xf>
    <xf numFmtId="2" fontId="0" fillId="0" borderId="0" xfId="0" applyNumberFormat="1" applyBorder="1"/>
    <xf numFmtId="175" fontId="45" fillId="0" borderId="4" xfId="0" applyNumberFormat="1" applyFont="1" applyAlignment="1">
      <alignment horizontal="center" vertical="center" wrapText="1"/>
    </xf>
    <xf numFmtId="175" fontId="6" fillId="0" borderId="59" xfId="0" applyNumberFormat="1" applyFont="1" applyBorder="1"/>
    <xf numFmtId="175" fontId="6" fillId="0" borderId="66" xfId="0" applyNumberFormat="1" applyFont="1" applyBorder="1"/>
    <xf numFmtId="175" fontId="6" fillId="0" borderId="70" xfId="0" applyNumberFormat="1" applyFont="1" applyBorder="1"/>
    <xf numFmtId="175" fontId="82" fillId="23" borderId="4" xfId="0" applyNumberFormat="1" applyFont="1" applyFill="1"/>
    <xf numFmtId="175" fontId="46" fillId="0" borderId="4" xfId="0" applyNumberFormat="1" applyFont="1"/>
    <xf numFmtId="175" fontId="46" fillId="0" borderId="59" xfId="0" applyNumberFormat="1" applyFont="1" applyBorder="1"/>
    <xf numFmtId="175" fontId="46" fillId="0" borderId="66" xfId="0" applyNumberFormat="1" applyFont="1" applyBorder="1"/>
    <xf numFmtId="175" fontId="46" fillId="0" borderId="70" xfId="0" applyNumberFormat="1" applyFont="1" applyBorder="1"/>
    <xf numFmtId="175" fontId="81" fillId="23" borderId="4" xfId="0" applyNumberFormat="1" applyFont="1" applyFill="1"/>
    <xf numFmtId="175" fontId="57" fillId="0" borderId="0" xfId="0" applyNumberFormat="1" applyFont="1" applyBorder="1"/>
    <xf numFmtId="176" fontId="6" fillId="0" borderId="4" xfId="0" applyNumberFormat="1" applyFont="1"/>
    <xf numFmtId="0" fontId="216" fillId="0" borderId="4" xfId="0" applyFont="1" applyAlignment="1">
      <alignment horizontal="center" vertical="center" wrapText="1"/>
    </xf>
    <xf numFmtId="165" fontId="46" fillId="0" borderId="4" xfId="0" applyNumberFormat="1" applyFont="1"/>
    <xf numFmtId="14" fontId="21" fillId="12" borderId="6" xfId="0" applyNumberFormat="1" applyFont="1" applyFill="1" applyBorder="1" applyAlignment="1">
      <alignment horizontal="center" vertical="center"/>
    </xf>
    <xf numFmtId="0" fontId="217" fillId="0" borderId="0" xfId="0" applyFont="1" applyBorder="1"/>
    <xf numFmtId="0" fontId="218" fillId="4" borderId="4" xfId="0" applyFont="1" applyFill="1" applyAlignment="1">
      <alignment horizontal="center" vertical="center" wrapText="1"/>
    </xf>
    <xf numFmtId="0" fontId="219" fillId="8" borderId="2" xfId="0" applyFont="1" applyFill="1" applyBorder="1" applyAlignment="1">
      <alignment horizontal="center" vertical="center"/>
    </xf>
    <xf numFmtId="164" fontId="61" fillId="19" borderId="4" xfId="0" applyNumberFormat="1" applyFont="1" applyFill="1"/>
    <xf numFmtId="0" fontId="57" fillId="43" borderId="4" xfId="0" applyFont="1" applyFill="1" applyAlignment="1">
      <alignment horizontal="center"/>
    </xf>
    <xf numFmtId="0" fontId="108" fillId="0" borderId="4" xfId="0" applyFont="1"/>
    <xf numFmtId="182" fontId="220" fillId="0" borderId="4" xfId="0" applyNumberFormat="1" applyFont="1"/>
    <xf numFmtId="0" fontId="167" fillId="44" borderId="4" xfId="0" applyFont="1" applyFill="1"/>
    <xf numFmtId="0" fontId="52" fillId="81" borderId="4" xfId="0" applyFont="1" applyFill="1"/>
    <xf numFmtId="0" fontId="52" fillId="81" borderId="4" xfId="0" applyFont="1" applyFill="1" applyAlignment="1">
      <alignment horizontal="center"/>
    </xf>
    <xf numFmtId="0" fontId="52" fillId="82" borderId="4" xfId="0" applyFont="1" applyFill="1" applyAlignment="1">
      <alignment horizontal="center"/>
    </xf>
    <xf numFmtId="0" fontId="52" fillId="83" borderId="4" xfId="0" applyFont="1" applyFill="1" applyAlignment="1">
      <alignment horizontal="center"/>
    </xf>
    <xf numFmtId="182" fontId="221" fillId="0" borderId="4" xfId="0" applyNumberFormat="1" applyFont="1"/>
    <xf numFmtId="0" fontId="222" fillId="0" borderId="4" xfId="0" applyFont="1"/>
    <xf numFmtId="0" fontId="57" fillId="43" borderId="4" xfId="0" applyFont="1" applyFill="1"/>
    <xf numFmtId="0" fontId="57" fillId="84" borderId="4" xfId="0" applyFont="1" applyFill="1"/>
    <xf numFmtId="14" fontId="0" fillId="0" borderId="4" xfId="0" applyNumberFormat="1" applyAlignment="1">
      <alignment horizontal="right"/>
    </xf>
    <xf numFmtId="14" fontId="213" fillId="23" borderId="4" xfId="0" applyNumberFormat="1" applyFont="1" applyFill="1"/>
    <xf numFmtId="0" fontId="207" fillId="23" borderId="4" xfId="0" applyFont="1" applyFill="1"/>
    <xf numFmtId="0" fontId="53" fillId="23" borderId="4" xfId="0" applyFont="1" applyFill="1"/>
    <xf numFmtId="0" fontId="225" fillId="33" borderId="4" xfId="0" applyFont="1" applyFill="1"/>
    <xf numFmtId="0" fontId="52" fillId="44" borderId="4" xfId="0" applyFont="1" applyFill="1"/>
    <xf numFmtId="0" fontId="57" fillId="80" borderId="4" xfId="0" applyFont="1" applyFill="1"/>
    <xf numFmtId="0" fontId="0" fillId="80" borderId="4" xfId="0" applyFill="1"/>
    <xf numFmtId="170" fontId="57" fillId="80" borderId="4" xfId="0" applyNumberFormat="1" applyFont="1" applyFill="1"/>
    <xf numFmtId="176" fontId="57" fillId="80" borderId="4" xfId="0" applyNumberFormat="1" applyFont="1" applyFill="1"/>
    <xf numFmtId="165" fontId="57" fillId="80" borderId="4" xfId="0" applyNumberFormat="1" applyFont="1" applyFill="1"/>
    <xf numFmtId="0" fontId="212" fillId="0" borderId="4" xfId="0" applyFont="1"/>
    <xf numFmtId="0" fontId="217" fillId="0" borderId="4" xfId="0" applyFont="1"/>
    <xf numFmtId="0" fontId="227" fillId="44" borderId="4" xfId="0" applyFont="1" applyFill="1"/>
    <xf numFmtId="0" fontId="0" fillId="44" borderId="4" xfId="0" applyFill="1"/>
    <xf numFmtId="0" fontId="228" fillId="45" borderId="4" xfId="0" applyFont="1" applyFill="1"/>
    <xf numFmtId="14" fontId="0" fillId="33" borderId="4" xfId="0" applyNumberFormat="1" applyFill="1"/>
    <xf numFmtId="0" fontId="0" fillId="33" borderId="4" xfId="0" applyFill="1"/>
    <xf numFmtId="0" fontId="221" fillId="0" borderId="4" xfId="0" applyFont="1" applyAlignment="1">
      <alignment horizontal="center"/>
    </xf>
    <xf numFmtId="0" fontId="52" fillId="82" borderId="4" xfId="0" applyFont="1" applyFill="1"/>
    <xf numFmtId="0" fontId="52" fillId="83" borderId="4" xfId="0" applyFont="1" applyFill="1"/>
    <xf numFmtId="0" fontId="0" fillId="84" borderId="4" xfId="0" applyFill="1"/>
    <xf numFmtId="0" fontId="0" fillId="84" borderId="4" xfId="0" applyFill="1" applyAlignment="1">
      <alignment horizontal="center"/>
    </xf>
    <xf numFmtId="182" fontId="0" fillId="84" borderId="4" xfId="0" applyNumberFormat="1" applyFill="1"/>
    <xf numFmtId="0" fontId="52" fillId="85" borderId="4" xfId="0" applyFont="1" applyFill="1"/>
    <xf numFmtId="0" fontId="52" fillId="85" borderId="4" xfId="0" applyFont="1" applyFill="1" applyAlignment="1">
      <alignment horizontal="center"/>
    </xf>
    <xf numFmtId="0" fontId="0" fillId="86" borderId="4" xfId="0" applyFill="1"/>
    <xf numFmtId="182" fontId="0" fillId="86" borderId="4" xfId="0" applyNumberFormat="1" applyFill="1"/>
    <xf numFmtId="0" fontId="223" fillId="0" borderId="4" xfId="0" applyFont="1" applyAlignment="1">
      <alignment horizontal="center"/>
    </xf>
    <xf numFmtId="0" fontId="224" fillId="0" borderId="4" xfId="0" applyFont="1"/>
    <xf numFmtId="182" fontId="223" fillId="43" borderId="4" xfId="0" applyNumberFormat="1" applyFont="1" applyFill="1" applyAlignment="1">
      <alignment horizontal="right"/>
    </xf>
    <xf numFmtId="182" fontId="223" fillId="84" borderId="4" xfId="0" applyNumberFormat="1" applyFont="1" applyFill="1" applyAlignment="1">
      <alignment horizontal="right"/>
    </xf>
    <xf numFmtId="0" fontId="57" fillId="86" borderId="4" xfId="0" applyFont="1" applyFill="1"/>
    <xf numFmtId="182" fontId="225" fillId="86" borderId="4" xfId="0" applyNumberFormat="1" applyFont="1" applyFill="1" applyAlignment="1">
      <alignment horizontal="right"/>
    </xf>
    <xf numFmtId="0" fontId="93" fillId="44" borderId="4" xfId="0" applyFont="1" applyFill="1"/>
    <xf numFmtId="182" fontId="226" fillId="44" borderId="4" xfId="0" applyNumberFormat="1" applyFont="1" applyFill="1" applyAlignment="1">
      <alignment horizontal="right"/>
    </xf>
    <xf numFmtId="182" fontId="223" fillId="0" borderId="4" xfId="0" applyNumberFormat="1" applyFont="1" applyAlignment="1">
      <alignment horizontal="right"/>
    </xf>
    <xf numFmtId="0" fontId="228" fillId="0" borderId="4" xfId="0" applyFont="1"/>
    <xf numFmtId="0" fontId="57" fillId="33" borderId="4" xfId="0" applyFont="1" applyFill="1"/>
    <xf numFmtId="0" fontId="52" fillId="87" borderId="4" xfId="0" applyFont="1" applyFill="1"/>
    <xf numFmtId="0" fontId="225" fillId="0" borderId="4" xfId="0" applyFont="1"/>
    <xf numFmtId="0" fontId="169" fillId="0" borderId="18" xfId="0" applyFont="1" applyBorder="1"/>
    <xf numFmtId="8" fontId="169" fillId="0" borderId="18" xfId="0" applyNumberFormat="1" applyFont="1" applyBorder="1" applyAlignment="1">
      <alignment horizontal="right"/>
    </xf>
    <xf numFmtId="8" fontId="169" fillId="0" borderId="18" xfId="0" applyNumberFormat="1" applyFont="1" applyBorder="1" applyAlignment="1">
      <alignment horizontal="right" vertical="center"/>
    </xf>
    <xf numFmtId="0" fontId="169" fillId="0" borderId="30" xfId="0" applyFont="1" applyBorder="1"/>
    <xf numFmtId="8" fontId="169" fillId="0" borderId="30" xfId="0" applyNumberFormat="1" applyFont="1" applyBorder="1" applyAlignment="1">
      <alignment horizontal="right"/>
    </xf>
    <xf numFmtId="8" fontId="169" fillId="0" borderId="30" xfId="0" applyNumberFormat="1" applyFont="1" applyBorder="1" applyAlignment="1">
      <alignment horizontal="right" vertical="center"/>
    </xf>
    <xf numFmtId="0" fontId="169" fillId="0" borderId="65" xfId="0" applyFont="1" applyBorder="1"/>
    <xf numFmtId="0" fontId="169" fillId="0" borderId="67" xfId="0" applyFont="1" applyBorder="1"/>
    <xf numFmtId="8" fontId="169" fillId="0" borderId="92" xfId="0" applyNumberFormat="1" applyFont="1" applyBorder="1" applyAlignment="1">
      <alignment horizontal="right" vertical="center"/>
    </xf>
    <xf numFmtId="0" fontId="169" fillId="0" borderId="92" xfId="0" applyFont="1" applyBorder="1"/>
    <xf numFmtId="8" fontId="169" fillId="0" borderId="92" xfId="0" applyNumberFormat="1" applyFont="1" applyBorder="1" applyAlignment="1">
      <alignment horizontal="right"/>
    </xf>
    <xf numFmtId="8" fontId="1" fillId="0" borderId="4" xfId="0" applyNumberFormat="1" applyFont="1"/>
    <xf numFmtId="44" fontId="1" fillId="0" borderId="4" xfId="0" applyNumberFormat="1" applyFont="1"/>
    <xf numFmtId="44" fontId="1" fillId="0" borderId="4" xfId="2" applyFont="1"/>
    <xf numFmtId="9" fontId="1" fillId="0" borderId="4" xfId="1" applyFont="1"/>
    <xf numFmtId="2" fontId="1" fillId="0" borderId="4" xfId="0" applyNumberFormat="1" applyFont="1"/>
    <xf numFmtId="14" fontId="1" fillId="0" borderId="4" xfId="0" applyNumberFormat="1" applyFont="1"/>
    <xf numFmtId="0" fontId="1" fillId="0" borderId="4" xfId="0" applyFont="1"/>
    <xf numFmtId="0" fontId="0" fillId="88" borderId="0" xfId="0" applyFill="1" applyBorder="1"/>
    <xf numFmtId="183" fontId="1" fillId="89" borderId="4" xfId="0" applyNumberFormat="1" applyFont="1" applyFill="1"/>
    <xf numFmtId="0" fontId="1" fillId="89" borderId="4" xfId="0" applyFont="1" applyFill="1"/>
    <xf numFmtId="4" fontId="1" fillId="89" borderId="4" xfId="0" applyNumberFormat="1" applyFont="1" applyFill="1"/>
    <xf numFmtId="183" fontId="0" fillId="89" borderId="4" xfId="0" applyNumberFormat="1" applyFill="1"/>
    <xf numFmtId="0" fontId="0" fillId="89" borderId="4" xfId="0" applyFill="1"/>
    <xf numFmtId="4" fontId="0" fillId="89" borderId="4" xfId="0" applyNumberFormat="1" applyFill="1"/>
    <xf numFmtId="183" fontId="0" fillId="89" borderId="0" xfId="0" applyNumberFormat="1" applyFill="1" applyBorder="1"/>
    <xf numFmtId="0" fontId="0" fillId="89" borderId="0" xfId="0" applyFill="1" applyBorder="1"/>
    <xf numFmtId="4" fontId="0" fillId="89" borderId="0" xfId="0" applyNumberFormat="1" applyFill="1" applyBorder="1"/>
    <xf numFmtId="0" fontId="165" fillId="0" borderId="4" xfId="0" applyFont="1" applyAlignment="1">
      <alignment horizontal="center" vertical="top" wrapText="1"/>
    </xf>
    <xf numFmtId="0" fontId="0" fillId="0" borderId="0" xfId="0" applyBorder="1"/>
    <xf numFmtId="0" fontId="164" fillId="44" borderId="4" xfId="0" applyFont="1" applyFill="1"/>
    <xf numFmtId="0" fontId="9" fillId="9" borderId="4" xfId="0" applyFont="1" applyFill="1" applyAlignment="1">
      <alignment vertical="center" wrapText="1"/>
    </xf>
    <xf numFmtId="0" fontId="34" fillId="5" borderId="4" xfId="0" applyFont="1" applyFill="1" applyAlignment="1">
      <alignment vertical="center"/>
    </xf>
    <xf numFmtId="0" fontId="7" fillId="4" borderId="4" xfId="0" applyFont="1" applyFill="1" applyAlignment="1">
      <alignment horizontal="center" vertical="center"/>
    </xf>
    <xf numFmtId="0" fontId="35" fillId="10" borderId="4" xfId="0" applyFont="1" applyFill="1" applyAlignment="1">
      <alignment horizontal="center" vertical="center"/>
    </xf>
    <xf numFmtId="0" fontId="7" fillId="18" borderId="4" xfId="0" applyFont="1" applyFill="1" applyAlignment="1">
      <alignment horizontal="center"/>
    </xf>
    <xf numFmtId="0" fontId="161" fillId="45" borderId="4" xfId="0" applyFont="1" applyFill="1" applyAlignment="1">
      <alignment horizontal="center"/>
    </xf>
    <xf numFmtId="0" fontId="36" fillId="9" borderId="4" xfId="0" applyFont="1" applyFill="1" applyAlignment="1">
      <alignment horizontal="center" vertical="center"/>
    </xf>
    <xf numFmtId="0" fontId="22" fillId="8" borderId="4" xfId="0" applyFont="1" applyFill="1" applyAlignment="1">
      <alignment horizontal="center" vertical="center"/>
    </xf>
    <xf numFmtId="165" fontId="140" fillId="0" borderId="4" xfId="0" applyNumberFormat="1" applyFont="1" applyAlignment="1">
      <alignment horizontal="center"/>
    </xf>
    <xf numFmtId="0" fontId="163" fillId="0" borderId="4" xfId="0" applyFont="1"/>
    <xf numFmtId="0" fontId="36" fillId="9" borderId="4" xfId="0" applyFont="1" applyFill="1" applyAlignment="1">
      <alignment vertical="center"/>
    </xf>
    <xf numFmtId="0" fontId="14" fillId="5" borderId="4" xfId="0" applyFont="1" applyFill="1" applyAlignment="1">
      <alignment horizontal="center" vertical="center"/>
    </xf>
    <xf numFmtId="0" fontId="9" fillId="8" borderId="4" xfId="0" applyFont="1" applyFill="1" applyAlignment="1">
      <alignment vertical="center" wrapText="1"/>
    </xf>
    <xf numFmtId="0" fontId="146" fillId="59" borderId="4" xfId="0" applyFont="1" applyFill="1"/>
    <xf numFmtId="0" fontId="16" fillId="7" borderId="4" xfId="0" applyFont="1" applyFill="1" applyAlignment="1">
      <alignment horizontal="center" vertical="center"/>
    </xf>
    <xf numFmtId="0" fontId="17" fillId="8" borderId="4" xfId="0" applyFont="1" applyFill="1" applyAlignment="1">
      <alignment horizontal="center" vertical="center"/>
    </xf>
    <xf numFmtId="0" fontId="18" fillId="10" borderId="4" xfId="0" applyFont="1" applyFill="1" applyAlignment="1">
      <alignment horizontal="center" vertical="center"/>
    </xf>
    <xf numFmtId="0" fontId="7" fillId="18" borderId="4" xfId="0" applyFont="1" applyFill="1" applyAlignment="1">
      <alignment horizontal="center" vertical="center"/>
    </xf>
    <xf numFmtId="0" fontId="12" fillId="0" borderId="4" xfId="0" applyFont="1" applyAlignment="1">
      <alignment vertical="center"/>
    </xf>
    <xf numFmtId="0" fontId="35" fillId="10" borderId="4" xfId="0" applyFont="1" applyFill="1" applyAlignment="1">
      <alignment vertical="center"/>
    </xf>
    <xf numFmtId="0" fontId="13" fillId="0" borderId="4" xfId="0" applyFont="1" applyAlignment="1">
      <alignment vertical="center"/>
    </xf>
    <xf numFmtId="0" fontId="9" fillId="0" borderId="4" xfId="0" applyFont="1" applyAlignment="1">
      <alignment vertical="center"/>
    </xf>
    <xf numFmtId="0" fontId="9" fillId="6" borderId="4" xfId="0" applyFont="1" applyFill="1" applyAlignment="1">
      <alignment horizontal="center" vertical="center" wrapText="1"/>
    </xf>
    <xf numFmtId="0" fontId="10" fillId="7" borderId="4" xfId="0" applyFont="1" applyFill="1" applyAlignment="1">
      <alignment horizontal="center" vertical="center" wrapText="1"/>
    </xf>
    <xf numFmtId="167" fontId="140" fillId="0" borderId="4" xfId="0" applyNumberFormat="1" applyFont="1" applyAlignment="1">
      <alignment horizontal="center"/>
    </xf>
    <xf numFmtId="0" fontId="148" fillId="25" borderId="4" xfId="0" applyFont="1" applyFill="1"/>
    <xf numFmtId="0" fontId="3" fillId="2" borderId="4" xfId="0" applyFont="1" applyFill="1" applyAlignment="1">
      <alignment horizontal="center" vertical="center"/>
    </xf>
    <xf numFmtId="0" fontId="9" fillId="5" borderId="4" xfId="0" applyFont="1" applyFill="1" applyAlignment="1">
      <alignment vertical="center" wrapText="1"/>
    </xf>
    <xf numFmtId="0" fontId="34" fillId="5" borderId="4" xfId="0" applyFont="1" applyFill="1" applyAlignment="1">
      <alignment horizontal="center" vertical="center"/>
    </xf>
    <xf numFmtId="0" fontId="27" fillId="18" borderId="4" xfId="0" applyFont="1" applyFill="1" applyAlignment="1">
      <alignment horizontal="center"/>
    </xf>
    <xf numFmtId="0" fontId="22" fillId="8" borderId="4" xfId="0" applyFont="1" applyFill="1" applyAlignment="1">
      <alignment vertical="center"/>
    </xf>
    <xf numFmtId="0" fontId="52" fillId="18" borderId="4" xfId="0" applyFont="1" applyFill="1" applyAlignment="1">
      <alignment horizontal="center"/>
    </xf>
    <xf numFmtId="0" fontId="147" fillId="24" borderId="4" xfId="0" applyFont="1" applyFill="1"/>
    <xf numFmtId="0" fontId="27" fillId="4" borderId="4" xfId="0" applyFont="1" applyFill="1" applyAlignment="1">
      <alignment horizontal="center" vertical="center"/>
    </xf>
    <xf numFmtId="0" fontId="12" fillId="9" borderId="4" xfId="0" applyFont="1" applyFill="1" applyAlignment="1">
      <alignment horizontal="center" vertical="center" wrapText="1"/>
    </xf>
    <xf numFmtId="0" fontId="32" fillId="0" borderId="4" xfId="0" applyFont="1" applyAlignment="1">
      <alignment vertical="center"/>
    </xf>
    <xf numFmtId="0" fontId="13" fillId="10" borderId="4" xfId="0" applyFont="1" applyFill="1" applyAlignment="1">
      <alignment horizontal="center" vertical="center" wrapText="1"/>
    </xf>
    <xf numFmtId="0" fontId="10" fillId="0" borderId="4" xfId="0" applyFont="1" applyAlignment="1">
      <alignment vertical="center"/>
    </xf>
    <xf numFmtId="0" fontId="160" fillId="23" borderId="4" xfId="0" applyFont="1" applyFill="1"/>
    <xf numFmtId="0" fontId="9" fillId="10" borderId="4" xfId="0" applyFont="1" applyFill="1" applyAlignment="1">
      <alignment vertical="center" wrapText="1"/>
    </xf>
    <xf numFmtId="0" fontId="15" fillId="6" borderId="4" xfId="0" applyFont="1" applyFill="1" applyAlignment="1">
      <alignment horizontal="center" vertical="center"/>
    </xf>
    <xf numFmtId="0" fontId="58" fillId="18" borderId="4" xfId="0" applyFont="1" applyFill="1" applyAlignment="1">
      <alignment horizontal="center"/>
    </xf>
    <xf numFmtId="0" fontId="118" fillId="44" borderId="4" xfId="0" applyFont="1" applyFill="1" applyAlignment="1">
      <alignment horizontal="center"/>
    </xf>
    <xf numFmtId="167" fontId="162" fillId="0" borderId="4" xfId="0" applyNumberFormat="1" applyFont="1" applyAlignment="1">
      <alignment horizontal="center"/>
    </xf>
    <xf numFmtId="0" fontId="5" fillId="3" borderId="4" xfId="0" applyFont="1" applyFill="1" applyAlignment="1">
      <alignment horizontal="center" vertical="center"/>
    </xf>
    <xf numFmtId="0" fontId="149" fillId="19" borderId="4" xfId="0" applyFont="1" applyFill="1"/>
    <xf numFmtId="0" fontId="8" fillId="5" borderId="4" xfId="0" applyFont="1" applyFill="1" applyAlignment="1">
      <alignment horizontal="center" vertical="center" wrapText="1"/>
    </xf>
    <xf numFmtId="0" fontId="129" fillId="53" borderId="4" xfId="0" applyFont="1" applyFill="1"/>
    <xf numFmtId="0" fontId="150" fillId="41" borderId="4" xfId="0" applyFont="1" applyFill="1"/>
    <xf numFmtId="0" fontId="11" fillId="0" borderId="4" xfId="0" applyFont="1" applyAlignment="1">
      <alignment vertical="center"/>
    </xf>
    <xf numFmtId="0" fontId="0" fillId="9" borderId="4" xfId="0" applyFill="1" applyAlignment="1">
      <alignment horizontal="center" vertical="center"/>
    </xf>
    <xf numFmtId="0" fontId="11" fillId="8" borderId="4" xfId="0" applyFont="1" applyFill="1" applyAlignment="1">
      <alignment horizontal="center" vertical="center" wrapText="1"/>
    </xf>
    <xf numFmtId="0" fontId="0" fillId="0" borderId="4" xfId="0"/>
    <xf numFmtId="0" fontId="70" fillId="0" borderId="4" xfId="0" applyFont="1"/>
    <xf numFmtId="0" fontId="41" fillId="13" borderId="4" xfId="0" applyFont="1" applyFill="1" applyAlignment="1">
      <alignment horizontal="center" vertical="center"/>
    </xf>
    <xf numFmtId="0" fontId="87" fillId="2" borderId="4" xfId="0" applyFont="1" applyFill="1" applyAlignment="1">
      <alignment horizontal="center" vertical="center"/>
    </xf>
    <xf numFmtId="0" fontId="44" fillId="15" borderId="4" xfId="0" applyFont="1" applyFill="1" applyAlignment="1">
      <alignment horizontal="center" vertical="center"/>
    </xf>
    <xf numFmtId="0" fontId="57" fillId="0" borderId="0" xfId="0" applyFont="1" applyBorder="1"/>
    <xf numFmtId="2" fontId="0" fillId="0" borderId="0" xfId="0" applyNumberFormat="1" applyBorder="1"/>
    <xf numFmtId="175" fontId="0" fillId="0" borderId="0" xfId="0" applyNumberFormat="1" applyBorder="1"/>
    <xf numFmtId="175" fontId="57" fillId="0" borderId="0" xfId="0" applyNumberFormat="1" applyFont="1" applyBorder="1"/>
    <xf numFmtId="0" fontId="215" fillId="34" borderId="4" xfId="0" applyFont="1" applyFill="1" applyAlignment="1">
      <alignment horizontal="center"/>
    </xf>
    <xf numFmtId="0" fontId="47" fillId="16" borderId="4" xfId="0" applyFont="1" applyFill="1" applyAlignment="1">
      <alignment horizontal="center" vertical="center"/>
    </xf>
    <xf numFmtId="0" fontId="43" fillId="14" borderId="4" xfId="0" applyFont="1" applyFill="1" applyAlignment="1">
      <alignment horizontal="center" vertical="center"/>
    </xf>
    <xf numFmtId="0" fontId="48" fillId="17" borderId="4" xfId="0" applyFont="1" applyFill="1" applyAlignment="1">
      <alignment horizontal="center" vertical="center"/>
    </xf>
    <xf numFmtId="0" fontId="217" fillId="0" borderId="0" xfId="0" applyFont="1" applyBorder="1"/>
    <xf numFmtId="0" fontId="107" fillId="0" borderId="4" xfId="0" applyFont="1"/>
    <xf numFmtId="0" fontId="110" fillId="0" borderId="4" xfId="0" applyFont="1"/>
    <xf numFmtId="0" fontId="116" fillId="50" borderId="41" xfId="0" applyFont="1" applyFill="1" applyBorder="1"/>
    <xf numFmtId="0" fontId="0" fillId="0" borderId="41" xfId="0" applyBorder="1"/>
    <xf numFmtId="0" fontId="112" fillId="48" borderId="4" xfId="0" applyFont="1" applyFill="1"/>
    <xf numFmtId="0" fontId="115" fillId="0" borderId="4" xfId="0" applyFont="1"/>
    <xf numFmtId="0" fontId="58" fillId="54" borderId="4" xfId="0" applyFont="1" applyFill="1"/>
    <xf numFmtId="0" fontId="52" fillId="22" borderId="4" xfId="0" applyFont="1" applyFill="1" applyAlignment="1">
      <alignment horizontal="center"/>
    </xf>
    <xf numFmtId="0" fontId="118" fillId="22" borderId="4" xfId="0" applyFont="1" applyFill="1" applyAlignment="1">
      <alignment horizontal="center"/>
    </xf>
    <xf numFmtId="0" fontId="124" fillId="40" borderId="4" xfId="0" applyFont="1" applyFill="1" applyAlignment="1">
      <alignment horizontal="center"/>
    </xf>
    <xf numFmtId="0" fontId="123" fillId="55" borderId="4" xfId="0" applyFont="1" applyFill="1" applyAlignment="1">
      <alignment horizontal="center"/>
    </xf>
    <xf numFmtId="0" fontId="109" fillId="0" borderId="4" xfId="0" applyFont="1"/>
    <xf numFmtId="0" fontId="134" fillId="56" borderId="4" xfId="0" applyFont="1" applyFill="1"/>
    <xf numFmtId="0" fontId="136" fillId="43" borderId="4" xfId="0" applyFont="1" applyFill="1"/>
    <xf numFmtId="0" fontId="135" fillId="57" borderId="4" xfId="0" applyFont="1" applyFill="1"/>
    <xf numFmtId="0" fontId="137" fillId="58" borderId="4" xfId="0" applyFont="1" applyFill="1"/>
    <xf numFmtId="0" fontId="155" fillId="0" borderId="4" xfId="0" applyFont="1"/>
    <xf numFmtId="0" fontId="154" fillId="0" borderId="4" xfId="0" applyFont="1"/>
    <xf numFmtId="0" fontId="131" fillId="0" borderId="4" xfId="0" applyFont="1"/>
    <xf numFmtId="0" fontId="151" fillId="0" borderId="4" xfId="0" applyFont="1"/>
    <xf numFmtId="0" fontId="132" fillId="0" borderId="4" xfId="0" applyFont="1"/>
    <xf numFmtId="0" fontId="186" fillId="63" borderId="61" xfId="0" applyFont="1" applyFill="1" applyBorder="1" applyAlignment="1">
      <alignment horizontal="left" vertical="center" indent="1"/>
    </xf>
    <xf numFmtId="0" fontId="0" fillId="0" borderId="62" xfId="0" applyBorder="1"/>
    <xf numFmtId="0" fontId="0" fillId="0" borderId="63" xfId="0" applyBorder="1"/>
    <xf numFmtId="0" fontId="184" fillId="63" borderId="4" xfId="0" applyFont="1" applyFill="1" applyAlignment="1">
      <alignment horizontal="center" vertical="center"/>
    </xf>
    <xf numFmtId="0" fontId="185" fillId="0" borderId="4" xfId="0" applyFont="1" applyAlignment="1">
      <alignment horizontal="left" vertical="center"/>
    </xf>
    <xf numFmtId="0" fontId="185" fillId="75" borderId="61" xfId="0" applyFont="1" applyFill="1" applyBorder="1" applyAlignment="1">
      <alignment horizontal="left" vertical="center" wrapText="1"/>
    </xf>
    <xf numFmtId="0" fontId="202" fillId="75" borderId="61" xfId="0" applyFont="1" applyFill="1" applyBorder="1" applyAlignment="1">
      <alignment horizontal="left" vertical="center" wrapText="1"/>
    </xf>
    <xf numFmtId="0" fontId="200" fillId="72" borderId="61" xfId="0" applyFont="1" applyFill="1" applyBorder="1" applyAlignment="1">
      <alignment horizontal="left" vertical="center" indent="1"/>
    </xf>
    <xf numFmtId="0" fontId="196" fillId="67" borderId="61" xfId="0" applyFont="1" applyFill="1" applyBorder="1" applyAlignment="1">
      <alignment horizontal="left" vertical="center" indent="1"/>
    </xf>
    <xf numFmtId="0" fontId="200" fillId="74" borderId="61" xfId="0" applyFont="1" applyFill="1" applyBorder="1" applyAlignment="1">
      <alignment horizontal="left" vertical="center" indent="1"/>
    </xf>
    <xf numFmtId="0" fontId="53" fillId="79" borderId="4" xfId="0" applyFont="1" applyFill="1" applyBorder="1"/>
    <xf numFmtId="0" fontId="53" fillId="0" borderId="4" xfId="0" applyFont="1" applyBorder="1"/>
    <xf numFmtId="176" fontId="53" fillId="79" borderId="4" xfId="0" applyNumberFormat="1" applyFont="1" applyFill="1" applyBorder="1"/>
    <xf numFmtId="176" fontId="53" fillId="0" borderId="4" xfId="0" applyNumberFormat="1" applyFont="1" applyBorder="1"/>
    <xf numFmtId="2" fontId="53" fillId="79" borderId="4" xfId="0" applyNumberFormat="1" applyFont="1" applyFill="1" applyBorder="1"/>
    <xf numFmtId="2" fontId="53" fillId="0" borderId="4" xfId="0" applyNumberFormat="1" applyFont="1" applyBorder="1"/>
    <xf numFmtId="0" fontId="0" fillId="0" borderId="4" xfId="0" applyBorder="1"/>
    <xf numFmtId="14" fontId="53" fillId="79" borderId="87" xfId="0" applyNumberFormat="1" applyFont="1" applyFill="1" applyBorder="1"/>
    <xf numFmtId="14" fontId="53" fillId="0" borderId="87" xfId="0" applyNumberFormat="1" applyFont="1" applyBorder="1"/>
    <xf numFmtId="14" fontId="53" fillId="79" borderId="88" xfId="0" applyNumberFormat="1" applyFont="1" applyFill="1" applyBorder="1"/>
    <xf numFmtId="14" fontId="53" fillId="0" borderId="88" xfId="0" applyNumberFormat="1" applyFont="1" applyBorder="1"/>
    <xf numFmtId="14" fontId="53" fillId="0" borderId="4" xfId="0" applyNumberFormat="1" applyFont="1" applyBorder="1"/>
    <xf numFmtId="14" fontId="53" fillId="79" borderId="4" xfId="0" applyNumberFormat="1" applyFont="1" applyFill="1" applyBorder="1"/>
    <xf numFmtId="14" fontId="53" fillId="0" borderId="89" xfId="0" applyNumberFormat="1" applyFont="1" applyBorder="1"/>
    <xf numFmtId="14" fontId="53" fillId="79" borderId="89" xfId="0" applyNumberFormat="1" applyFont="1" applyFill="1" applyBorder="1"/>
    <xf numFmtId="183" fontId="53" fillId="79" borderId="87" xfId="0" applyNumberFormat="1" applyFont="1" applyFill="1" applyBorder="1"/>
    <xf numFmtId="183" fontId="53" fillId="79" borderId="4" xfId="0" applyNumberFormat="1" applyFont="1" applyFill="1" applyBorder="1"/>
    <xf numFmtId="49" fontId="52" fillId="21" borderId="87" xfId="0" applyNumberFormat="1" applyFont="1" applyFill="1" applyBorder="1" applyAlignment="1">
      <alignment horizontal="center"/>
    </xf>
    <xf numFmtId="49" fontId="52" fillId="21" borderId="88" xfId="0" applyNumberFormat="1" applyFont="1" applyFill="1" applyBorder="1" applyAlignment="1">
      <alignment horizontal="center"/>
    </xf>
    <xf numFmtId="14" fontId="53" fillId="79" borderId="85" xfId="0" applyNumberFormat="1" applyFont="1" applyFill="1" applyBorder="1"/>
    <xf numFmtId="14" fontId="53" fillId="79" borderId="86" xfId="0" applyNumberFormat="1" applyFont="1" applyFill="1" applyBorder="1"/>
    <xf numFmtId="0" fontId="0" fillId="0" borderId="93" xfId="0" applyBorder="1" applyAlignment="1">
      <alignment horizontal="center"/>
    </xf>
    <xf numFmtId="183" fontId="0" fillId="0" borderId="4" xfId="0" applyNumberFormat="1"/>
    <xf numFmtId="183" fontId="83" fillId="23" borderId="18" xfId="0" applyNumberFormat="1" applyFont="1" applyFill="1" applyBorder="1" applyAlignment="1">
      <alignment horizontal="right"/>
    </xf>
    <xf numFmtId="164" fontId="34" fillId="19" borderId="18" xfId="0" applyNumberFormat="1" applyFont="1" applyFill="1" applyBorder="1" applyAlignment="1">
      <alignment horizontal="right" vertical="center"/>
    </xf>
    <xf numFmtId="164" fontId="229" fillId="24" borderId="18" xfId="0" applyNumberFormat="1" applyFont="1" applyFill="1" applyBorder="1" applyAlignment="1">
      <alignment horizontal="right" vertical="center"/>
    </xf>
    <xf numFmtId="165" fontId="229" fillId="24" borderId="18" xfId="0" applyNumberFormat="1" applyFont="1" applyFill="1" applyBorder="1" applyAlignment="1">
      <alignment horizontal="right" vertical="center"/>
    </xf>
    <xf numFmtId="0" fontId="57" fillId="23" borderId="18" xfId="0" applyFont="1" applyFill="1" applyBorder="1" applyAlignment="1">
      <alignment horizontal="left" vertical="center"/>
    </xf>
    <xf numFmtId="14" fontId="207" fillId="23" borderId="4" xfId="0" applyNumberFormat="1" applyFont="1" applyFill="1" applyBorder="1"/>
    <xf numFmtId="164" fontId="53" fillId="0" borderId="4" xfId="0" applyNumberFormat="1" applyFont="1" applyBorder="1"/>
    <xf numFmtId="183" fontId="169" fillId="0" borderId="18" xfId="0" applyNumberFormat="1" applyFont="1" applyBorder="1"/>
    <xf numFmtId="183" fontId="169" fillId="0" borderId="30" xfId="0" applyNumberFormat="1" applyFont="1" applyBorder="1"/>
    <xf numFmtId="183" fontId="169" fillId="0" borderId="4" xfId="0" applyNumberFormat="1" applyFont="1"/>
  </cellXfs>
  <cellStyles count="3">
    <cellStyle name="Moneda" xfId="2" builtinId="4"/>
    <cellStyle name="Normal" xfId="0" builtinId="0"/>
    <cellStyle name="Porcentaje" xfId="1" builtinId="5"/>
  </cellStyles>
  <dxfs count="2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&quot; €&quot;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E40AF"/>
        <name val="Calibri"/>
        <family val="2"/>
        <scheme val="minor"/>
      </font>
      <numFmt numFmtId="164" formatCode="#,##0.00&quot; €&quot;"/>
      <fill>
        <patternFill patternType="solid">
          <fgColor indexed="64"/>
          <bgColor rgb="FFDBEAFE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&quot; €&quot;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/m/yy"/>
      <fill>
        <patternFill patternType="solid">
          <fgColor indexed="64"/>
          <bgColor rgb="FFFFFFFF"/>
        </patternFill>
      </fill>
      <border diagonalUp="0" diagonalDown="0" outline="0">
        <left/>
        <right/>
        <top/>
        <bottom/>
      </border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1F4E79"/>
      </font>
      <fill>
        <patternFill patternType="solid">
          <fgColor indexed="64"/>
          <bgColor rgb="FFBDD7E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</dxf>
    <dxf>
      <font>
        <b/>
        <color rgb="FF0061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"/>
      <fill>
        <patternFill patternType="solid">
          <fgColor theme="4" tint="0.79998168889431442"/>
          <bgColor theme="4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9" formatCode="d/m/yy"/>
      <fill>
        <patternFill patternType="solid">
          <fgColor theme="4" tint="0.79998168889431442"/>
          <bgColor theme="4" tint="0.79998168889431442"/>
        </patternFill>
      </fill>
      <border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alignment horizontal="center" vertical="bottom"/>
      <border outline="0">
        <right style="thin">
          <color theme="4" tint="0.39997558519241921"/>
        </right>
      </border>
    </dxf>
    <dxf>
      <numFmt numFmtId="3" formatCode="#,##0"/>
    </dxf>
    <dxf>
      <numFmt numFmtId="3" formatCode="#,##0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0" formatCode="General"/>
    </dxf>
    <dxf>
      <numFmt numFmtId="0" formatCode="General"/>
    </dxf>
    <dxf>
      <numFmt numFmtId="173" formatCode="\€#,##0.00"/>
    </dxf>
    <dxf>
      <numFmt numFmtId="165" formatCode="0.0%"/>
    </dxf>
    <dxf>
      <numFmt numFmtId="165" formatCode="0.0%"/>
    </dxf>
    <dxf>
      <numFmt numFmtId="173" formatCode="\€#,##0.00"/>
    </dxf>
    <dxf>
      <numFmt numFmtId="3" formatCode="#,##0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bottom"/>
    </dxf>
    <dxf>
      <numFmt numFmtId="165" formatCode="0.0%"/>
    </dxf>
    <dxf>
      <numFmt numFmtId="171" formatCode="0.00&quot; €&quot;"/>
    </dxf>
    <dxf>
      <numFmt numFmtId="14" formatCode="0.00%"/>
    </dxf>
    <dxf>
      <numFmt numFmtId="171" formatCode="0.00&quot; €&quot;"/>
    </dxf>
    <dxf>
      <font>
        <strike val="0"/>
        <outline val="0"/>
        <shadow val="0"/>
        <vertAlign val="baseline"/>
        <sz val="14"/>
        <color rgb="FF000000"/>
        <name val="Calibri"/>
        <family val="2"/>
        <scheme val="minor"/>
      </font>
      <numFmt numFmtId="12" formatCode="#,##0.00\ &quot;€&quot;;[Red]\-#,##0.00\ &quot;€&quot;"/>
      <alignment horizontal="right" vertical="bottom"/>
    </dxf>
    <dxf>
      <font>
        <strike val="0"/>
        <outline val="0"/>
        <shadow val="0"/>
        <vertAlign val="baseline"/>
        <sz val="14"/>
        <color rgb="FF000000"/>
        <name val="Calibri"/>
        <family val="2"/>
        <scheme val="minor"/>
      </font>
      <numFmt numFmtId="12" formatCode="#,##0.00\ &quot;€&quot;;[Red]\-#,##0.00\ &quot;€&quot;"/>
      <alignment horizontal="right" vertical="bottom"/>
    </dxf>
    <dxf>
      <font>
        <strike val="0"/>
        <outline val="0"/>
        <shadow val="0"/>
        <vertAlign val="baseline"/>
        <sz val="14"/>
        <color rgb="FF000000"/>
        <name val="Calibri"/>
        <family val="2"/>
        <scheme val="minor"/>
      </font>
    </dxf>
    <dxf>
      <font>
        <strike val="0"/>
        <outline val="0"/>
        <shadow val="0"/>
        <vertAlign val="baseline"/>
        <sz val="14"/>
        <color rgb="FF000000"/>
        <name val="Calibri"/>
        <family val="2"/>
        <scheme val="minor"/>
      </font>
      <numFmt numFmtId="12" formatCode="#,##0.00\ &quot;€&quot;;[Red]\-#,##0.00\ &quot;€&quot;"/>
      <alignment horizontal="right" vertical="center"/>
    </dxf>
    <dxf>
      <font>
        <strike val="0"/>
        <outline val="0"/>
        <shadow val="0"/>
        <vertAlign val="baseline"/>
        <sz val="14"/>
        <color rgb="FF000000"/>
        <name val="Calibri"/>
        <family val="2"/>
        <scheme val="minor"/>
      </font>
      <numFmt numFmtId="12" formatCode="#,##0.00\ &quot;€&quot;;[Red]\-#,##0.00\ &quot;€&quot;"/>
      <alignment horizontal="right" vertical="center"/>
    </dxf>
    <dxf>
      <font>
        <strike val="0"/>
        <outline val="0"/>
        <shadow val="0"/>
        <vertAlign val="baseline"/>
        <sz val="14"/>
        <color rgb="FF000000"/>
        <name val="Calibri"/>
        <family val="2"/>
        <scheme val="minor"/>
      </font>
      <numFmt numFmtId="12" formatCode="#,##0.00\ &quot;€&quot;;[Red]\-#,##0.00\ &quot;€&quot;"/>
      <alignment horizontal="right" vertical="bottom"/>
    </dxf>
    <dxf>
      <font>
        <strike val="0"/>
        <outline val="0"/>
        <shadow val="0"/>
        <vertAlign val="baseline"/>
        <sz val="14"/>
        <color rgb="FF000000"/>
        <name val="Calibri"/>
        <family val="2"/>
        <scheme val="minor"/>
      </font>
    </dxf>
    <dxf>
      <font>
        <strike val="0"/>
        <outline val="0"/>
        <shadow val="0"/>
        <vertAlign val="baseline"/>
        <sz val="14"/>
        <color rgb="FF000000"/>
        <name val="Calibri"/>
        <family val="2"/>
        <scheme val="minor"/>
      </font>
    </dxf>
    <dxf>
      <font>
        <strike val="0"/>
        <outline val="0"/>
        <shadow val="0"/>
        <vertAlign val="baseline"/>
        <sz val="14"/>
        <color rgb="FF000000"/>
        <name val="Calibri"/>
        <family val="2"/>
        <scheme val="minor"/>
      </font>
    </dxf>
    <dxf>
      <font>
        <strike val="0"/>
        <outline val="0"/>
        <shadow val="0"/>
        <vertAlign val="baseline"/>
        <sz val="14"/>
        <color rgb="FF000000"/>
        <name val="Calibri"/>
        <family val="2"/>
        <scheme val="minor"/>
      </font>
      <numFmt numFmtId="183" formatCode="dd/mm/yyyy"/>
    </dxf>
    <dxf>
      <font>
        <strike val="0"/>
        <outline val="0"/>
        <shadow val="0"/>
        <vertAlign val="baseline"/>
        <sz val="14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76" formatCode="#,##0.00\ \€"/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76" formatCode="#,##0.00\ \€"/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right style="thin">
          <color theme="4" tint="0.39997558519241921"/>
        </right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111827"/>
        <name val="Calibri"/>
        <family val="2"/>
      </font>
      <numFmt numFmtId="0" formatCode="General"/>
      <fill>
        <patternFill patternType="solid">
          <fgColor rgb="FFF9FAFB"/>
          <bgColor rgb="FFF9FAFB"/>
        </patternFill>
      </fill>
      <alignment horizontal="left" vertical="center"/>
      <border>
        <left/>
        <right style="thin">
          <color rgb="FFE5E7EB"/>
        </right>
        <top/>
        <bottom style="thin">
          <color rgb="FFE5E7EB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FF"/>
        <name val="Calibri"/>
        <family val="2"/>
      </font>
      <numFmt numFmtId="165" formatCode="0.0%"/>
      <fill>
        <patternFill patternType="solid">
          <fgColor rgb="FFDBEAFE"/>
          <bgColor rgb="FFDBEAFE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0000FF"/>
        <name val="Calibri"/>
        <family val="2"/>
      </font>
      <numFmt numFmtId="164" formatCode="#,##0.00&quot; €&quot;"/>
      <fill>
        <patternFill patternType="solid">
          <fgColor rgb="FFDBEAFE"/>
          <bgColor rgb="FFDBEAFE"/>
        </patternFill>
      </fill>
      <alignment horizontal="right" vertical="center"/>
      <border>
        <left/>
        <right/>
        <top/>
        <bottom style="thin">
          <color rgb="FFE5E7EB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65F46"/>
        <name val="Calibri"/>
        <family val="2"/>
      </font>
      <numFmt numFmtId="165" formatCode="0.0%"/>
      <fill>
        <patternFill patternType="solid">
          <fgColor rgb="FFF9FAFB"/>
          <bgColor rgb="FFF9FAFB"/>
        </patternFill>
      </fill>
      <alignment horizontal="right" vertical="center"/>
      <border>
        <left/>
        <right/>
        <top/>
        <bottom style="thin">
          <color rgb="FFE5E7EB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65F46"/>
        <name val="Calibri"/>
        <family val="2"/>
      </font>
      <numFmt numFmtId="164" formatCode="#,##0.00&quot; €&quot;"/>
      <fill>
        <patternFill patternType="solid">
          <fgColor rgb="FFD1FAE5"/>
          <bgColor rgb="FFD1FAE5"/>
        </patternFill>
      </fill>
      <alignment horizontal="right" vertical="center"/>
      <border>
        <left/>
        <right/>
        <top/>
        <bottom style="thin">
          <color rgb="FFE5E7EB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FF"/>
        <name val="Calibri"/>
        <family val="2"/>
      </font>
      <numFmt numFmtId="164" formatCode="#,##0.00&quot; €&quot;"/>
      <fill>
        <patternFill patternType="solid">
          <fgColor rgb="FFDBEAFE"/>
          <bgColor rgb="FFDBEAFE"/>
        </patternFill>
      </fill>
      <alignment horizontal="right" vertical="center"/>
      <border>
        <left/>
        <right/>
        <top/>
        <bottom style="thin">
          <color rgb="FFE5E7EB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65F46"/>
        <name val="Calibri"/>
        <family val="2"/>
      </font>
      <numFmt numFmtId="164" formatCode="#,##0.00&quot; €&quot;"/>
      <fill>
        <patternFill patternType="solid">
          <fgColor rgb="FFD1FAE5"/>
          <bgColor rgb="FFD1FAE5"/>
        </patternFill>
      </fill>
      <alignment horizontal="right" vertical="center"/>
      <border>
        <left/>
        <right/>
        <top/>
        <bottom style="thin">
          <color rgb="FFE5E7EB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FF"/>
        <name val="Calibri"/>
        <family val="2"/>
      </font>
      <numFmt numFmtId="164" formatCode="#,##0.00&quot; €&quot;"/>
      <fill>
        <patternFill patternType="solid">
          <fgColor rgb="FFDBEAFE"/>
          <bgColor rgb="FFDBEAFE"/>
        </patternFill>
      </fill>
      <alignment horizontal="right" vertical="center"/>
      <border>
        <left/>
        <right/>
        <top/>
        <bottom style="thin">
          <color rgb="FFE5E7EB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FF"/>
        <name val="Calibri"/>
        <family val="2"/>
      </font>
      <numFmt numFmtId="164" formatCode="#,##0.00&quot; €&quot;"/>
      <fill>
        <patternFill patternType="solid">
          <fgColor rgb="FFDBEAFE"/>
          <bgColor rgb="FFDBEAFE"/>
        </patternFill>
      </fill>
      <alignment horizontal="right" vertical="center"/>
      <border>
        <left/>
        <right/>
        <top/>
        <bottom style="thin">
          <color rgb="FFE5E7EB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FF"/>
        <name val="Calibri"/>
        <family val="2"/>
      </font>
      <numFmt numFmtId="164" formatCode="#,##0.00&quot; €&quot;"/>
      <fill>
        <patternFill patternType="solid">
          <fgColor rgb="FFDBEAFE"/>
          <bgColor rgb="FFDBEAFE"/>
        </patternFill>
      </fill>
      <alignment horizontal="right" vertical="center"/>
      <border>
        <left/>
        <right/>
        <top/>
        <bottom style="thin">
          <color rgb="FFE5E7EB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11827"/>
        <name val="Calibri"/>
        <family val="2"/>
      </font>
      <fill>
        <patternFill patternType="solid">
          <fgColor rgb="FFF9FAFB"/>
          <bgColor rgb="FFF9FAFB"/>
        </patternFill>
      </fill>
      <alignment horizontal="center" vertical="center"/>
      <border outline="0">
        <left/>
        <right/>
        <top/>
        <bottom style="thin">
          <color rgb="FFE5E7EB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111827"/>
        <name val="Calibri"/>
        <family val="2"/>
      </font>
      <numFmt numFmtId="183" formatCode="dd/mm/yyyy"/>
      <fill>
        <patternFill patternType="solid">
          <fgColor rgb="FFF9FAFB"/>
          <bgColor rgb="FFF9FAFB"/>
        </patternFill>
      </fill>
      <alignment horizontal="left" vertical="center"/>
      <border>
        <left style="thin">
          <color rgb="FFE5E7EB"/>
        </left>
        <right/>
        <top/>
        <bottom style="thin">
          <color rgb="FFE5E7EB"/>
        </bottom>
      </border>
    </dxf>
    <dxf>
      <border outline="0">
        <bottom style="thin">
          <color rgb="FFE5E7EB"/>
        </bottom>
      </border>
    </dxf>
    <dxf>
      <font>
        <b/>
        <strike val="0"/>
        <condense val="0"/>
        <extend val="0"/>
        <outline val="0"/>
        <shadow val="0"/>
        <vertAlign val="baseline"/>
        <sz val="9"/>
        <color rgb="FFFFFFFF"/>
        <name val="Calibri"/>
        <family val="2"/>
      </font>
      <fill>
        <patternFill patternType="solid">
          <fgColor rgb="FF374151"/>
          <bgColor rgb="FF374151"/>
        </patternFill>
      </fill>
      <alignment horizontal="center" vertical="center" wrapText="1"/>
    </dxf>
    <dxf>
      <numFmt numFmtId="19" formatCode="d/m/yy"/>
    </dxf>
    <dxf>
      <numFmt numFmtId="164" formatCode="#,##0.00&quot; €&quot;"/>
    </dxf>
    <dxf>
      <font>
        <strike val="0"/>
        <condense val="0"/>
        <extend val="0"/>
        <outline val="0"/>
        <shadow val="0"/>
        <vertAlign val="baseline"/>
        <sz val="10"/>
        <color rgb="FF1E40AF"/>
        <name val="Calibri"/>
        <family val="2"/>
      </font>
      <numFmt numFmtId="164" formatCode="#,##0.00&quot; €&quot;"/>
      <fill>
        <patternFill patternType="solid">
          <fgColor indexed="64"/>
          <bgColor rgb="FFDBEAFE"/>
        </patternFill>
      </fill>
      <border>
        <left/>
        <right/>
        <top style="thin">
          <color theme="1"/>
        </top>
        <bottom/>
        <vertical/>
        <horizontal/>
      </border>
    </dxf>
    <dxf>
      <numFmt numFmtId="164" formatCode="#,##0.00&quot; €&quot;"/>
    </dxf>
    <dxf>
      <numFmt numFmtId="183" formatCode="dd/mm/yyyy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2"/>
        <color rgb="FF000000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000000"/>
        <name val="Calibri"/>
        <family val="2"/>
        <scheme val="minor"/>
      </font>
      <numFmt numFmtId="12" formatCode="#,##0.00\ &quot;€&quot;;[Red]\-#,##0.00\ &quot;€&quot;"/>
    </dxf>
    <dxf>
      <font>
        <strike val="0"/>
        <condense val="0"/>
        <extend val="0"/>
        <outline val="0"/>
        <shadow val="0"/>
        <vertAlign val="baseline"/>
        <sz val="12"/>
        <color rgb="FF000000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000000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242424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000000"/>
        <name val="Calibri"/>
        <family val="2"/>
        <scheme val="minor"/>
      </font>
      <numFmt numFmtId="19" formatCode="d/m/yy"/>
    </dxf>
    <dxf>
      <border outline="0">
        <left style="thin">
          <color rgb="FFBFBFBF"/>
        </left>
        <top style="thin">
          <color rgb="FFBFBFBF"/>
        </top>
      </border>
    </dxf>
    <dxf>
      <font>
        <strike val="0"/>
        <condense val="0"/>
        <extend val="0"/>
        <outline val="0"/>
        <shadow val="0"/>
        <vertAlign val="baseline"/>
        <sz val="12"/>
        <color rgb="FF000000"/>
        <name val="Calibri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2"/>
        <color rgb="FFFFFFFF"/>
        <name val="Calibri"/>
        <family val="2"/>
        <scheme val="minor"/>
      </font>
      <fill>
        <patternFill patternType="solid">
          <fgColor rgb="FF000000"/>
          <bgColor rgb="FF000000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numFmt numFmtId="12" formatCode="#,##0.00\ &quot;€&quot;;[Red]\-#,##0.00\ &quot;€&quot;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numFmt numFmtId="25" formatCode="h:m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numFmt numFmtId="19" formatCode="d/m/yy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Aptos Narrow"/>
        <family val="2"/>
      </font>
      <fill>
        <patternFill patternType="solid">
          <fgColor rgb="FF000000"/>
          <bgColor rgb="FF000000"/>
        </patternFill>
      </fill>
      <alignment horizontal="center" vertical="bottom"/>
    </dxf>
    <dxf>
      <font>
        <i/>
        <strike val="0"/>
        <condense val="0"/>
        <extend val="0"/>
        <outline val="0"/>
        <shadow val="0"/>
        <vertAlign val="baseline"/>
        <sz val="9"/>
        <color rgb="FF92400E"/>
        <name val="Calibri"/>
        <family val="2"/>
      </font>
      <fill>
        <patternFill patternType="solid">
          <fgColor rgb="FFFEF3C7"/>
          <bgColor rgb="FFFEF3C7"/>
        </patternFill>
      </fill>
      <alignment horizontal="left" vertical="center"/>
      <border>
        <left/>
        <right style="thin">
          <color rgb="FFE5E7EB"/>
        </right>
        <top/>
        <bottom style="thin">
          <color rgb="FFE5E7EB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65F46"/>
        <name val="Calibri"/>
        <family val="2"/>
      </font>
      <numFmt numFmtId="164" formatCode="#,##0.00&quot; €&quot;"/>
      <fill>
        <patternFill patternType="solid">
          <fgColor rgb="FFD1FAE5"/>
          <bgColor rgb="FFD1FAE5"/>
        </patternFill>
      </fill>
      <alignment horizontal="right" vertical="center"/>
      <border>
        <left/>
        <right/>
        <top/>
        <bottom style="thin">
          <color rgb="FFE5E7EB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FF"/>
        <name val="Calibri"/>
        <family val="2"/>
      </font>
      <numFmt numFmtId="164" formatCode="#,##0.00&quot; €&quot;"/>
      <fill>
        <patternFill patternType="solid">
          <fgColor rgb="FFDBEAFE"/>
          <bgColor rgb="FFDBEAFE"/>
        </patternFill>
      </fill>
      <alignment horizontal="right" vertical="center"/>
      <border>
        <left/>
        <right/>
        <top/>
        <bottom style="thin">
          <color rgb="FFE5E7EB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65F46"/>
        <name val="Calibri"/>
        <family val="2"/>
      </font>
      <numFmt numFmtId="164" formatCode="#,##0.00&quot; €&quot;"/>
      <fill>
        <patternFill patternType="solid">
          <fgColor rgb="FFD1FAE5"/>
          <bgColor rgb="FFD1FAE5"/>
        </patternFill>
      </fill>
      <alignment horizontal="right" vertical="center"/>
      <border>
        <left/>
        <right/>
        <top/>
        <bottom style="thin">
          <color rgb="FFE5E7EB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FF"/>
        <name val="Calibri"/>
        <family val="2"/>
      </font>
      <numFmt numFmtId="164" formatCode="#,##0.00&quot; €&quot;"/>
      <fill>
        <patternFill patternType="solid">
          <fgColor rgb="FFDBEAFE"/>
          <bgColor rgb="FFDBEAFE"/>
        </patternFill>
      </fill>
      <alignment horizontal="right" vertical="center"/>
      <border>
        <left/>
        <right/>
        <top/>
        <bottom style="thin">
          <color rgb="FFE5E7EB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FF"/>
        <name val="Calibri"/>
        <family val="2"/>
      </font>
      <numFmt numFmtId="164" formatCode="#,##0.00&quot; €&quot;"/>
      <fill>
        <patternFill patternType="solid">
          <fgColor rgb="FFDBEAFE"/>
          <bgColor rgb="FFDBEAFE"/>
        </patternFill>
      </fill>
      <alignment horizontal="right" vertical="center"/>
      <border>
        <left/>
        <right/>
        <top/>
        <bottom style="thin">
          <color rgb="FFE5E7EB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FF"/>
        <name val="Calibri"/>
        <family val="2"/>
      </font>
      <numFmt numFmtId="164" formatCode="#,##0.00&quot; €&quot;"/>
      <fill>
        <patternFill patternType="solid">
          <fgColor rgb="FFDBEAFE"/>
          <bgColor rgb="FFDBEAFE"/>
        </patternFill>
      </fill>
      <alignment horizontal="right" vertical="center"/>
      <border>
        <left/>
        <right/>
        <top/>
        <bottom style="thin">
          <color rgb="FFE5E7EB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11827"/>
        <name val="Calibri"/>
        <family val="2"/>
      </font>
      <numFmt numFmtId="0" formatCode="General"/>
      <fill>
        <patternFill patternType="solid">
          <fgColor rgb="FFFEF3C7"/>
          <bgColor rgb="FFFEF3C7"/>
        </patternFill>
      </fill>
      <alignment horizontal="center" vertical="center"/>
      <border>
        <left/>
        <right/>
        <top/>
        <bottom style="thin">
          <color rgb="FFE5E7EB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111827"/>
        <name val="Calibri"/>
        <family val="2"/>
      </font>
      <numFmt numFmtId="19" formatCode="d/m/yy"/>
      <fill>
        <patternFill patternType="solid">
          <fgColor rgb="FFFEF3C7"/>
          <bgColor rgb="FFFEF3C7"/>
        </patternFill>
      </fill>
      <alignment horizontal="left" vertical="center"/>
      <border outline="0">
        <left style="thin">
          <color rgb="FFE5E7EB"/>
        </left>
        <right/>
        <top/>
        <bottom style="thin">
          <color rgb="FFE5E7EB"/>
        </bottom>
      </border>
    </dxf>
    <dxf>
      <border outline="0">
        <bottom style="thin">
          <color rgb="FFE5E7EB"/>
        </bottom>
      </border>
    </dxf>
    <dxf>
      <font>
        <b/>
        <strike val="0"/>
        <condense val="0"/>
        <extend val="0"/>
        <outline val="0"/>
        <shadow val="0"/>
        <vertAlign val="baseline"/>
        <sz val="9"/>
        <color rgb="FFFFFFFF"/>
        <name val="Calibri"/>
        <family val="2"/>
      </font>
      <fill>
        <patternFill patternType="solid">
          <fgColor rgb="FF374151"/>
          <bgColor rgb="FF374151"/>
        </patternFill>
      </fill>
      <alignment horizontal="center" vertical="center" wrapText="1"/>
    </dxf>
    <dxf>
      <numFmt numFmtId="4" formatCode="#,##0.00"/>
    </dxf>
    <dxf>
      <font>
        <strike val="0"/>
        <condense val="0"/>
        <extend val="0"/>
        <outline val="0"/>
        <shadow val="0"/>
        <vertAlign val="baseline"/>
        <sz val="10"/>
        <color rgb="FF111827"/>
        <name val="Calibri"/>
        <family val="2"/>
      </font>
      <numFmt numFmtId="4" formatCode="#,##0.00"/>
      <fill>
        <patternFill patternType="solid">
          <fgColor rgb="FFF9FAFB"/>
          <bgColor rgb="FFF9FAFB"/>
        </patternFill>
      </fill>
      <alignment horizontal="general" vertical="center"/>
      <border>
        <left/>
        <right/>
        <top/>
        <bottom style="thin">
          <color rgb="FFE5E7EB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11827"/>
        <name val="Calibri"/>
        <family val="2"/>
      </font>
      <numFmt numFmtId="30" formatCode="@"/>
      <fill>
        <patternFill patternType="solid">
          <fgColor rgb="FFF9FAFB"/>
          <bgColor rgb="FFF9FAFB"/>
        </patternFill>
      </fill>
      <alignment horizontal="general" vertical="center"/>
      <border>
        <left/>
        <right/>
        <top/>
        <bottom style="thin">
          <color rgb="FFE5E7EB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11827"/>
        <name val="Calibri"/>
        <family val="2"/>
      </font>
      <numFmt numFmtId="4" formatCode="#,##0.00"/>
      <fill>
        <patternFill patternType="solid">
          <fgColor rgb="FFF9FAFB"/>
          <bgColor rgb="FFF9FAFB"/>
        </patternFill>
      </fill>
      <alignment horizontal="general" vertical="center"/>
      <border>
        <left/>
        <right/>
        <top/>
        <bottom style="thin">
          <color rgb="FFE5E7EB"/>
        </bottom>
        <vertical/>
        <horizontal/>
      </border>
    </dxf>
    <dxf>
      <numFmt numFmtId="4" formatCode="#,##0.00"/>
    </dxf>
    <dxf>
      <font>
        <strike val="0"/>
        <condense val="0"/>
        <extend val="0"/>
        <outline val="0"/>
        <shadow val="0"/>
        <vertAlign val="baseline"/>
        <sz val="10"/>
        <color rgb="FF065F46"/>
        <name val="Calibri"/>
        <family val="2"/>
      </font>
      <numFmt numFmtId="165" formatCode="0.0%"/>
      <fill>
        <patternFill patternType="solid">
          <fgColor rgb="FFF9FAFB"/>
          <bgColor rgb="FFF9FAFB"/>
        </patternFill>
      </fill>
      <alignment horizontal="general" vertical="center"/>
      <border>
        <left/>
        <right/>
        <top/>
        <bottom style="thin">
          <color rgb="FFE5E7EB"/>
        </bottom>
        <vertical/>
        <horizontal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vertAlign val="baseline"/>
        <sz val="9"/>
        <color theme="0"/>
        <name val="Calibri"/>
        <family val="2"/>
      </font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</dxf>
    <dxf>
      <numFmt numFmtId="19" formatCode="d/m/yy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#,##0.00&quot; €&quot;"/>
    </dxf>
    <dxf>
      <font>
        <b/>
        <family val="2"/>
      </font>
      <numFmt numFmtId="175" formatCode="#,##0.00\ &quot;€&quot;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#,##0.00&quot; €&quot;"/>
    </dxf>
    <dxf>
      <numFmt numFmtId="175" formatCode="#,##0.00\ &quot;€&quot;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#,##0.00&quot; €&quot;"/>
    </dxf>
    <dxf>
      <numFmt numFmtId="175" formatCode="#,##0.00\ &quot;€&quot;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#,##0.00&quot; €&quot;"/>
    </dxf>
    <dxf>
      <numFmt numFmtId="175" formatCode="#,##0.00\ &quot;€&quot;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</dxf>
    <dxf>
      <numFmt numFmtId="175" formatCode="#,##0.00\ &quot;€&quot;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2" formatCode="0.00"/>
    </dxf>
    <dxf>
      <numFmt numFmtId="2" formatCode="0.0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25" formatCode="h:m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25" formatCode="h:m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</dxf>
    <dxf>
      <font>
        <b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d/m/yy"/>
    </dxf>
    <dxf>
      <font>
        <sz val="11"/>
        <color rgb="FF000000"/>
        <name val="Calibri"/>
      </font>
      <fill>
        <patternFill patternType="solid">
          <fgColor indexed="64"/>
          <bgColor rgb="FFFFFFFF"/>
        </patternFill>
      </fill>
    </dxf>
    <dxf>
      <font>
        <i/>
        <strike val="0"/>
        <condense val="0"/>
        <extend val="0"/>
        <outline val="0"/>
        <shadow val="0"/>
        <vertAlign val="baseline"/>
        <sz val="10"/>
        <color rgb="FF6B7280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rgb="FF166534"/>
        <name val="Calibri"/>
        <family val="2"/>
        <scheme val="minor"/>
      </font>
      <numFmt numFmtId="165" formatCode="0.0%"/>
      <fill>
        <patternFill patternType="solid">
          <fgColor indexed="64"/>
          <bgColor rgb="FFD1FAE5"/>
        </patternFill>
      </fill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166534"/>
        <name val="Calibri"/>
        <family val="2"/>
        <scheme val="minor"/>
      </font>
      <numFmt numFmtId="165" formatCode="0.0%"/>
      <fill>
        <patternFill patternType="solid">
          <fgColor indexed="64"/>
          <bgColor rgb="FFD1FAE5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rgb="FF166534"/>
        <name val="Calibri"/>
        <family val="2"/>
        <scheme val="minor"/>
      </font>
      <numFmt numFmtId="175" formatCode="#,##0.00\ &quot;€&quot;"/>
      <fill>
        <patternFill patternType="solid">
          <fgColor indexed="64"/>
          <bgColor rgb="FFD1FAE5"/>
        </patternFill>
      </fill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166534"/>
        <name val="Calibri"/>
        <family val="2"/>
        <scheme val="minor"/>
      </font>
      <numFmt numFmtId="175" formatCode="#,##0.00\ &quot;€&quot;"/>
      <fill>
        <patternFill patternType="solid">
          <fgColor indexed="64"/>
          <bgColor rgb="FFD1FAE5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rgb="FF1E40AF"/>
        <name val="Calibri"/>
        <family val="2"/>
        <scheme val="minor"/>
      </font>
      <numFmt numFmtId="175" formatCode="#,##0.00\ &quot;€&quot;"/>
      <fill>
        <patternFill patternType="solid">
          <fgColor indexed="64"/>
          <bgColor rgb="FFDBEAFE"/>
        </patternFill>
      </fill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1E40AF"/>
        <name val="Calibri"/>
        <family val="2"/>
        <scheme val="minor"/>
      </font>
      <numFmt numFmtId="175" formatCode="#,##0.00\ &quot;€&quot;"/>
      <fill>
        <patternFill patternType="solid">
          <fgColor indexed="64"/>
          <bgColor rgb="FFDBEAFE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rgb="FF1E40AF"/>
        <name val="Calibri"/>
        <family val="2"/>
        <scheme val="minor"/>
      </font>
      <numFmt numFmtId="175" formatCode="#,##0.00\ &quot;€&quot;"/>
      <fill>
        <patternFill patternType="solid">
          <fgColor indexed="64"/>
          <bgColor rgb="FFDBEAFE"/>
        </patternFill>
      </fill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1E40AF"/>
        <name val="Calibri"/>
        <family val="2"/>
        <scheme val="minor"/>
      </font>
      <numFmt numFmtId="175" formatCode="#,##0.00\ &quot;€&quot;"/>
      <fill>
        <patternFill patternType="solid">
          <fgColor indexed="64"/>
          <bgColor rgb="FFDBEAFE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rgb="FF1E40AF"/>
        <name val="Calibri"/>
        <family val="2"/>
        <scheme val="minor"/>
      </font>
      <numFmt numFmtId="175" formatCode="#,##0.00\ &quot;€&quot;"/>
      <fill>
        <patternFill patternType="solid">
          <fgColor indexed="64"/>
          <bgColor rgb="FFDBEAFE"/>
        </patternFill>
      </fill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1E40AF"/>
        <name val="Calibri"/>
        <family val="2"/>
      </font>
      <numFmt numFmtId="175" formatCode="#,##0.00\ &quot;€&quot;"/>
      <fill>
        <patternFill patternType="solid">
          <fgColor indexed="64"/>
          <bgColor rgb="FFDBEAFE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rgb="FF1F2937"/>
        <name val="Calibri"/>
        <family val="2"/>
        <scheme val="minor"/>
      </font>
      <numFmt numFmtId="3" formatCode="#,##0"/>
      <fill>
        <patternFill patternType="solid">
          <fgColor indexed="64"/>
          <bgColor rgb="FFFFFFFF"/>
        </patternFill>
      </fill>
      <alignment horizontal="center" vertical="bottom"/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Calibri"/>
        <family val="2"/>
      </font>
      <numFmt numFmtId="3" formatCode="#,##0"/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0"/>
        <color rgb="FF92400E"/>
        <name val="Calibri"/>
        <family val="2"/>
        <scheme val="minor"/>
      </font>
      <fill>
        <patternFill patternType="solid">
          <fgColor indexed="64"/>
          <bgColor rgb="FFFEF3C7"/>
        </patternFill>
      </fill>
      <alignment horizontal="center" vertical="bottom"/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/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  <scheme val="minor"/>
      </font>
      <numFmt numFmtId="19" formatCode="d/m/yy"/>
      <fill>
        <patternFill patternType="solid">
          <fgColor indexed="64"/>
          <bgColor rgb="FFFFFFFF"/>
        </patternFill>
      </fill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</font>
      <numFmt numFmtId="19" formatCode="d/m/yy"/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2937"/>
        </patternFill>
      </fill>
      <alignment horizontal="center" vertical="bottom"/>
    </dxf>
    <dxf>
      <fill>
        <patternFill patternType="solid">
          <fgColor indexed="64"/>
          <bgColor rgb="FFFFFFFF"/>
        </patternFill>
      </fill>
      <alignment horizontal="left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i/>
        <strike val="0"/>
        <condense val="0"/>
        <extend val="0"/>
        <outline val="0"/>
        <shadow val="0"/>
        <vertAlign val="baseline"/>
        <sz val="10"/>
        <color rgb="FF6B7280"/>
        <name val="Calibri"/>
        <family val="2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/>
      <border>
        <left style="thin">
          <color rgb="FF000000"/>
        </left>
        <right style="thin">
          <color rgb="FFE5E7EB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66534"/>
        <name val="Calibri"/>
        <family val="2"/>
      </font>
      <numFmt numFmtId="165" formatCode="0.0%"/>
      <fill>
        <patternFill patternType="solid">
          <fgColor indexed="64"/>
          <bgColor rgb="FFD1FAE5"/>
        </patternFill>
      </fill>
      <alignment horizontal="right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166534"/>
        <name val="Calibri"/>
        <family val="2"/>
      </font>
      <numFmt numFmtId="165" formatCode="0.0%"/>
      <fill>
        <patternFill patternType="solid">
          <fgColor indexed="64"/>
          <bgColor rgb="FFD1FAE5"/>
        </patternFill>
      </fill>
      <alignment horizontal="righ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rgb="FF166534"/>
        <name val="Calibri"/>
        <family val="2"/>
      </font>
      <numFmt numFmtId="164" formatCode="#,##0.00&quot; €&quot;"/>
      <fill>
        <patternFill patternType="solid">
          <fgColor indexed="64"/>
          <bgColor rgb="FFD1FAE5"/>
        </patternFill>
      </fill>
      <alignment horizontal="right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166534"/>
        <name val="Calibri"/>
        <family val="2"/>
      </font>
      <numFmt numFmtId="164" formatCode="#,##0.00&quot; €&quot;"/>
      <fill>
        <patternFill patternType="solid">
          <fgColor indexed="64"/>
          <bgColor rgb="FFD1FAE5"/>
        </patternFill>
      </fill>
      <alignment horizontal="righ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rgb="FF1E40AF"/>
        <name val="Calibri"/>
        <family val="2"/>
      </font>
      <numFmt numFmtId="164" formatCode="#,##0.00&quot; €&quot;"/>
      <fill>
        <patternFill patternType="solid">
          <fgColor indexed="64"/>
          <bgColor rgb="FFDBEAFE"/>
        </patternFill>
      </fill>
      <alignment horizontal="right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1E40AF"/>
        <name val="Calibri"/>
        <family val="2"/>
      </font>
      <numFmt numFmtId="164" formatCode="#,##0.00&quot; €&quot;"/>
      <fill>
        <patternFill patternType="solid">
          <fgColor indexed="64"/>
          <bgColor rgb="FFDBEAFE"/>
        </patternFill>
      </fill>
      <alignment horizontal="righ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rgb="FF1E40AF"/>
        <name val="Calibri"/>
        <family val="2"/>
      </font>
      <numFmt numFmtId="164" formatCode="#,##0.00&quot; €&quot;"/>
      <fill>
        <patternFill patternType="solid">
          <fgColor indexed="64"/>
          <bgColor rgb="FFDBEAFE"/>
        </patternFill>
      </fill>
      <alignment horizontal="right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1E40AF"/>
        <name val="Calibri"/>
        <family val="2"/>
      </font>
      <numFmt numFmtId="164" formatCode="#,##0.00&quot; €&quot;"/>
      <fill>
        <patternFill patternType="solid">
          <fgColor indexed="64"/>
          <bgColor rgb="FFDBEAFE"/>
        </patternFill>
      </fill>
      <alignment horizontal="right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E40AF"/>
        <name val="Calibri"/>
        <family val="2"/>
      </font>
      <numFmt numFmtId="164" formatCode="#,##0.00&quot; €&quot;"/>
      <fill>
        <patternFill patternType="solid">
          <fgColor indexed="64"/>
          <bgColor rgb="FFDBEAFE"/>
        </patternFill>
      </fill>
      <alignment horizontal="right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1E40AF"/>
        <name val="Calibri"/>
        <family val="2"/>
      </font>
      <numFmt numFmtId="164" formatCode="#,##0.00&quot; €&quot;"/>
      <fill>
        <patternFill patternType="solid">
          <fgColor indexed="64"/>
          <bgColor rgb="FFDBEAFE"/>
        </patternFill>
      </fill>
      <alignment horizontal="right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numFmt numFmtId="3" formatCode="#,##0"/>
      <fill>
        <patternFill patternType="solid">
          <fgColor indexed="64"/>
          <bgColor rgb="FFFFFFFF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rgb="FF92400E"/>
        <name val="Calibri"/>
        <family val="2"/>
      </font>
      <fill>
        <patternFill patternType="solid">
          <fgColor indexed="64"/>
          <bgColor rgb="FFFEF3C7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 patternType="solid">
          <fgColor indexed="64"/>
          <bgColor rgb="FFFFFFFF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0" formatCode="General"/>
      <fill>
        <patternFill patternType="solid">
          <fgColor indexed="64"/>
          <bgColor rgb="FFFFFFFF"/>
        </patternFill>
      </fill>
      <alignment horizontal="center" vertical="bottom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E5E7EB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Calibri"/>
        <family val="2"/>
      </font>
      <fill>
        <patternFill patternType="solid">
          <fgColor indexed="64"/>
          <bgColor rgb="FF1F2937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trike val="0"/>
        <condense val="0"/>
        <extend val="0"/>
        <outline val="0"/>
        <shadow val="0"/>
        <vertAlign val="baseline"/>
        <sz val="12"/>
        <color rgb="FF008000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008000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008000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008000"/>
        <name val="Calibri"/>
        <family val="2"/>
        <scheme val="minor"/>
      </font>
      <numFmt numFmtId="12" formatCode="#,##0.00\ &quot;€&quot;;[Red]\-#,##0.00\ &quot;€&quot;"/>
    </dxf>
    <dxf>
      <font>
        <strike val="0"/>
        <condense val="0"/>
        <extend val="0"/>
        <outline val="0"/>
        <shadow val="0"/>
        <vertAlign val="baseline"/>
        <sz val="12"/>
        <color rgb="FF008000"/>
        <name val="Calibri"/>
        <family val="2"/>
        <scheme val="minor"/>
      </font>
      <numFmt numFmtId="12" formatCode="#,##0.00\ &quot;€&quot;;[Red]\-#,##0.00\ &quot;€&quot;"/>
    </dxf>
    <dxf>
      <font>
        <strike val="0"/>
        <condense val="0"/>
        <extend val="0"/>
        <outline val="0"/>
        <shadow val="0"/>
        <vertAlign val="baseline"/>
        <sz val="12"/>
        <color rgb="FF008000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008000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008000"/>
        <name val="Calibri"/>
        <family val="2"/>
        <scheme val="minor"/>
      </font>
      <numFmt numFmtId="12" formatCode="#,##0.00\ &quot;€&quot;;[Red]\-#,##0.00\ &quot;€&quot;"/>
    </dxf>
    <dxf>
      <font>
        <strike val="0"/>
        <condense val="0"/>
        <extend val="0"/>
        <outline val="0"/>
        <shadow val="0"/>
        <vertAlign val="baseline"/>
        <sz val="12"/>
        <color rgb="FF008000"/>
        <name val="Calibri"/>
        <family val="2"/>
        <scheme val="minor"/>
      </font>
      <numFmt numFmtId="12" formatCode="#,##0.00\ &quot;€&quot;;[Red]\-#,##0.00\ &quot;€&quot;"/>
    </dxf>
    <dxf>
      <font>
        <strike val="0"/>
        <condense val="0"/>
        <extend val="0"/>
        <outline val="0"/>
        <shadow val="0"/>
        <vertAlign val="baseline"/>
        <sz val="12"/>
        <color rgb="FF008000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00B050"/>
        <name val="Calibri"/>
        <family val="2"/>
        <scheme val="minor"/>
      </font>
      <numFmt numFmtId="13" formatCode="0%"/>
    </dxf>
    <dxf>
      <font>
        <strike val="0"/>
        <condense val="0"/>
        <extend val="0"/>
        <outline val="0"/>
        <shadow val="0"/>
        <vertAlign val="baseline"/>
        <sz val="12"/>
        <color rgb="FF008000"/>
        <name val="Calibri"/>
        <family val="2"/>
        <scheme val="minor"/>
      </font>
      <numFmt numFmtId="13" formatCode="0%"/>
    </dxf>
    <dxf>
      <font>
        <strike val="0"/>
        <condense val="0"/>
        <extend val="0"/>
        <outline val="0"/>
        <shadow val="0"/>
        <vertAlign val="baseline"/>
        <sz val="12"/>
        <color rgb="FF00B050"/>
        <name val="Aptos Estrechos"/>
      </font>
      <numFmt numFmtId="12" formatCode="#,##0.00\ &quot;€&quot;;[Red]\-#,##0.00\ &quot;€&quot;"/>
    </dxf>
    <dxf>
      <font>
        <strike val="0"/>
        <condense val="0"/>
        <extend val="0"/>
        <outline val="0"/>
        <shadow val="0"/>
        <vertAlign val="baseline"/>
        <sz val="12"/>
        <color rgb="FF008000"/>
        <name val="Calibri"/>
        <family val="2"/>
        <scheme val="minor"/>
      </font>
      <numFmt numFmtId="175" formatCode="#,##0.00\ &quot;€&quot;"/>
    </dxf>
    <dxf>
      <font>
        <strike val="0"/>
        <condense val="0"/>
        <extend val="0"/>
        <outline val="0"/>
        <shadow val="0"/>
        <vertAlign val="baseline"/>
        <sz val="12"/>
        <color rgb="FF008000"/>
        <name val="Calibri"/>
        <family val="2"/>
        <scheme val="minor"/>
      </font>
      <numFmt numFmtId="175" formatCode="#,##0.00\ &quot;€&quot;"/>
    </dxf>
    <dxf>
      <font>
        <strike val="0"/>
        <condense val="0"/>
        <extend val="0"/>
        <outline val="0"/>
        <shadow val="0"/>
        <vertAlign val="baseline"/>
        <sz val="12"/>
        <color rgb="FF008000"/>
        <name val="Calibri"/>
        <family val="2"/>
        <scheme val="minor"/>
      </font>
      <numFmt numFmtId="175" formatCode="#,##0.00\ &quot;€&quot;"/>
    </dxf>
    <dxf>
      <font>
        <strike val="0"/>
        <condense val="0"/>
        <extend val="0"/>
        <outline val="0"/>
        <shadow val="0"/>
        <vertAlign val="baseline"/>
        <sz val="12"/>
        <color rgb="FF00B0F0"/>
        <name val="Aptos Estrechos"/>
      </font>
      <numFmt numFmtId="175" formatCode="#,##0.00\ &quot;€&quot;"/>
    </dxf>
    <dxf>
      <font>
        <strike val="0"/>
        <condense val="0"/>
        <extend val="0"/>
        <outline val="0"/>
        <shadow val="0"/>
        <vertAlign val="baseline"/>
        <sz val="12"/>
        <color rgb="FF00B0F0"/>
        <name val="Aptos Estrechos"/>
      </font>
      <numFmt numFmtId="175" formatCode="#,##0.00\ &quot;€&quot;"/>
    </dxf>
    <dxf>
      <font>
        <strike val="0"/>
        <condense val="0"/>
        <extend val="0"/>
        <outline val="0"/>
        <shadow val="0"/>
        <vertAlign val="baseline"/>
        <sz val="12"/>
        <color rgb="FF008000"/>
        <name val="Calibri"/>
        <family val="2"/>
        <scheme val="minor"/>
      </font>
      <numFmt numFmtId="175" formatCode="#,##0.00\ &quot;€&quot;"/>
    </dxf>
    <dxf>
      <font>
        <strike val="0"/>
        <condense val="0"/>
        <extend val="0"/>
        <outline val="0"/>
        <shadow val="0"/>
        <vertAlign val="baseline"/>
        <sz val="12"/>
        <color rgb="FF008000"/>
        <name val="Calibri"/>
        <family val="2"/>
        <scheme val="minor"/>
      </font>
      <numFmt numFmtId="175" formatCode="#,##0.00\ &quot;€&quot;"/>
    </dxf>
    <dxf>
      <font>
        <strike val="0"/>
        <condense val="0"/>
        <extend val="0"/>
        <outline val="0"/>
        <shadow val="0"/>
        <vertAlign val="baseline"/>
        <sz val="12"/>
        <color rgb="FF008000"/>
        <name val="Calibri"/>
        <family val="2"/>
        <scheme val="minor"/>
      </font>
      <numFmt numFmtId="175" formatCode="#,##0.00\ &quot;€&quot;"/>
    </dxf>
    <dxf>
      <font>
        <strike val="0"/>
        <condense val="0"/>
        <extend val="0"/>
        <outline val="0"/>
        <shadow val="0"/>
        <vertAlign val="baseline"/>
        <sz val="12"/>
        <color rgb="FF008000"/>
        <name val="Calibri"/>
        <family val="2"/>
        <scheme val="minor"/>
      </font>
      <numFmt numFmtId="175" formatCode="#,##0.00\ &quot;€&quot;"/>
    </dxf>
    <dxf>
      <font>
        <strike val="0"/>
        <condense val="0"/>
        <extend val="0"/>
        <outline val="0"/>
        <shadow val="0"/>
        <vertAlign val="baseline"/>
        <sz val="12"/>
        <color rgb="FF00B050"/>
        <name val="Aptos Estrechos"/>
      </font>
      <numFmt numFmtId="175" formatCode="#,##0.00\ &quot;€&quot;"/>
    </dxf>
    <dxf>
      <font>
        <strike val="0"/>
        <condense val="0"/>
        <extend val="0"/>
        <outline val="0"/>
        <shadow val="0"/>
        <vertAlign val="baseline"/>
        <sz val="12"/>
        <color rgb="FF008000"/>
        <name val="Calibri"/>
        <family val="2"/>
        <scheme val="minor"/>
      </font>
      <numFmt numFmtId="175" formatCode="#,##0.00\ &quot;€&quot;"/>
    </dxf>
    <dxf>
      <font>
        <strike val="0"/>
        <condense val="0"/>
        <extend val="0"/>
        <outline val="0"/>
        <shadow val="0"/>
        <vertAlign val="baseline"/>
        <sz val="12"/>
        <color rgb="FF000000"/>
        <name val="Aptos Estrechos"/>
      </font>
      <numFmt numFmtId="19" formatCode="d/m/yy"/>
    </dxf>
    <dxf>
      <font>
        <strike val="0"/>
        <condense val="0"/>
        <extend val="0"/>
        <outline val="0"/>
        <shadow val="0"/>
        <vertAlign val="baseline"/>
        <sz val="12"/>
        <color rgb="FF008000"/>
        <name val="Calibri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2"/>
        <color rgb="FFFFFFFF"/>
        <name val="Aptos Estrechos"/>
      </font>
      <fill>
        <patternFill patternType="solid">
          <fgColor rgb="FF000000"/>
          <bgColor rgb="FF000000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2" formatCode="#,##0.00\ &quot;€&quot;;[Red]\-#,##0.00\ &quot;€&quot;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2" formatCode="#,##0.00\ &quot;€&quot;;[Red]\-#,##0.00\ &quot;€&quot;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2" formatCode="#,##0.00\ &quot;€&quot;;[Red]\-#,##0.00\ &quot;€&quot;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2" formatCode="#,##0.00\ &quot;€&quot;;[Red]\-#,##0.00\ &quot;€&quot;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2" formatCode="#,##0.00\ &quot;€&quot;;[Red]\-#,##0.00\ &quot;€&quot;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3" formatCode="0%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2" formatCode="#,##0.00\ &quot;€&quot;;[Red]\-#,##0.00\ &quot;€&quot;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2" formatCode="#,##0.00\ &quot;€&quot;;[Red]\-#,##0.00\ &quot;€&quot;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2" formatCode="#,##0.00\ &quot;€&quot;;[Red]\-#,##0.00\ &quot;€&quot;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2"/>
        <color rgb="FFFFFFFF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center" vertical="bottom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9" defaultPivotStyle="PivotStyleLight16">
    <tableStyle name="Horarios Personal-style" pivot="0" count="4" xr9:uid="{00000000-0011-0000-FFFF-FFFF00000000}">
      <tableStyleElement type="wholeTable" size="0" dxfId="234"/>
      <tableStyleElement type="headerRow" dxfId="233"/>
      <tableStyleElement type="firstRowStripe" dxfId="232"/>
      <tableStyleElement type="secondRowStripe" dxfId="231"/>
    </tableStyle>
    <tableStyle name="Horarios Personal-style 2" pivot="0" count="4" xr9:uid="{00000000-0011-0000-FFFF-FFFF01000000}">
      <tableStyleElement type="wholeTable" size="0" dxfId="230"/>
      <tableStyleElement type="headerRow" dxfId="229"/>
      <tableStyleElement type="firstRowStripe" dxfId="228"/>
      <tableStyleElement type="secondRowStripe" dxfId="2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Matriz BCG — Menu Engineering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⭐ Estrella</c:v>
          </c:tx>
          <c:spPr>
            <a:ln w="19050" cap="rnd">
              <a:noFill/>
              <a:prstDash val="solid"/>
              <a:round/>
            </a:ln>
          </c:spPr>
          <c:marker>
            <c:symbol val="circle"/>
            <c:size val="10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</c:spPr>
          </c:marker>
          <c:xVal>
            <c:numRef>
              <c:f>'Menu Engineering'!$M$8:$M$207</c:f>
            </c:numRef>
          </c:xVal>
          <c:yVal>
            <c:numRef>
              <c:f>'Menu Engineering'!$N$8:$N$207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3.9978094194961664E-2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1.5881708652792991E-2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1.7524644030668127E-2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1.3143483023001095E-2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5.4764512595837896E-3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1.3143483023001095E-2</c:v>
                </c:pt>
                <c:pt idx="32">
                  <c:v>#N/A</c:v>
                </c:pt>
                <c:pt idx="33">
                  <c:v>#N/A</c:v>
                </c:pt>
                <c:pt idx="34">
                  <c:v>7.6670317634173054E-3</c:v>
                </c:pt>
                <c:pt idx="35">
                  <c:v>9.3099671412924419E-3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6.024096385542169E-3</c:v>
                </c:pt>
                <c:pt idx="46">
                  <c:v>1.2595837897042717E-2</c:v>
                </c:pt>
                <c:pt idx="47">
                  <c:v>1.1500547645125958E-2</c:v>
                </c:pt>
                <c:pt idx="48">
                  <c:v>#N/A</c:v>
                </c:pt>
                <c:pt idx="49">
                  <c:v>#N/A</c:v>
                </c:pt>
                <c:pt idx="50">
                  <c:v>9.3099671412924419E-3</c:v>
                </c:pt>
                <c:pt idx="51">
                  <c:v>#N/A</c:v>
                </c:pt>
                <c:pt idx="52">
                  <c:v>#N/A</c:v>
                </c:pt>
                <c:pt idx="53">
                  <c:v>1.4786418400876232E-2</c:v>
                </c:pt>
                <c:pt idx="54">
                  <c:v>#N/A</c:v>
                </c:pt>
                <c:pt idx="55">
                  <c:v>7.1193866374589269E-3</c:v>
                </c:pt>
                <c:pt idx="56">
                  <c:v>7.1193866374589269E-3</c:v>
                </c:pt>
                <c:pt idx="57">
                  <c:v>6.5717415115005475E-3</c:v>
                </c:pt>
                <c:pt idx="58">
                  <c:v>#N/A</c:v>
                </c:pt>
                <c:pt idx="59">
                  <c:v>8.7623220153340634E-3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7.1193866374589269E-3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5.4764512595837896E-3</c:v>
                </c:pt>
                <c:pt idx="70">
                  <c:v>5.4764512595837896E-3</c:v>
                </c:pt>
                <c:pt idx="71">
                  <c:v>8.7623220153340634E-3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9.8576122672508221E-3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1.4238773274917854E-2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6.024096385542169E-3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8.2146768893756848E-3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4A-E84D-82D6-DC5D2EF2A100}"/>
            </c:ext>
          </c:extLst>
        </c:ser>
        <c:ser>
          <c:idx val="1"/>
          <c:order val="1"/>
          <c:tx>
            <c:v>🐎 Caballo</c:v>
          </c:tx>
          <c:spPr>
            <a:ln w="25400" cap="rnd">
              <a:noFill/>
              <a:prstDash val="solid"/>
              <a:round/>
            </a:ln>
          </c:spPr>
          <c:marker>
            <c:symbol val="diamond"/>
            <c:size val="10"/>
            <c:spPr>
              <a:solidFill>
                <a:srgbClr val="FFC000"/>
              </a:solidFill>
              <a:ln w="9525">
                <a:solidFill>
                  <a:srgbClr val="FFC000"/>
                </a:solidFill>
                <a:prstDash val="solid"/>
              </a:ln>
            </c:spPr>
          </c:marker>
          <c:xVal>
            <c:numRef>
              <c:f>'Menu Engineering'!$O$8:$O$207</c:f>
              <c:numCache>
                <c:formatCode>General</c:formatCode>
                <c:ptCount val="200"/>
                <c:pt idx="0">
                  <c:v>1.5320338983050845</c:v>
                </c:pt>
                <c:pt idx="1">
                  <c:v>1.3197916666666667</c:v>
                </c:pt>
                <c:pt idx="2">
                  <c:v>1.6684905660377356</c:v>
                </c:pt>
                <c:pt idx="3">
                  <c:v>1.4792307692307693</c:v>
                </c:pt>
                <c:pt idx="4">
                  <c:v>#N/A</c:v>
                </c:pt>
                <c:pt idx="5">
                  <c:v>#N/A</c:v>
                </c:pt>
                <c:pt idx="6">
                  <c:v>1.2490000000000001</c:v>
                </c:pt>
                <c:pt idx="7">
                  <c:v>1.3006818181818183</c:v>
                </c:pt>
                <c:pt idx="8">
                  <c:v>1.2490000000000001</c:v>
                </c:pt>
                <c:pt idx="9">
                  <c:v>0.7466666666666667</c:v>
                </c:pt>
                <c:pt idx="10">
                  <c:v>#N/A</c:v>
                </c:pt>
                <c:pt idx="11">
                  <c:v>#N/A</c:v>
                </c:pt>
                <c:pt idx="12">
                  <c:v>2.1021428571428573</c:v>
                </c:pt>
                <c:pt idx="13">
                  <c:v>1.25</c:v>
                </c:pt>
                <c:pt idx="14">
                  <c:v>#N/A</c:v>
                </c:pt>
                <c:pt idx="15">
                  <c:v>1.9911904761904762</c:v>
                </c:pt>
                <c:pt idx="16">
                  <c:v>0.47</c:v>
                </c:pt>
                <c:pt idx="17">
                  <c:v>#N/A</c:v>
                </c:pt>
                <c:pt idx="18">
                  <c:v>1.9012</c:v>
                </c:pt>
                <c:pt idx="19">
                  <c:v>#N/A</c:v>
                </c:pt>
                <c:pt idx="20">
                  <c:v>1.7943749999999998</c:v>
                </c:pt>
                <c:pt idx="21">
                  <c:v>#N/A</c:v>
                </c:pt>
                <c:pt idx="22">
                  <c:v>2.3356249999999998</c:v>
                </c:pt>
                <c:pt idx="23">
                  <c:v>0.05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1.6727272727272726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1.44</c:v>
                </c:pt>
                <c:pt idx="38">
                  <c:v>1.9911904761904762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2.2450000000000001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2.605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4.4999999999999998E-2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1.1727272727272726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1.5325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1.2928571428571429</c:v>
                </c:pt>
                <c:pt idx="90">
                  <c:v>#N/A</c:v>
                </c:pt>
                <c:pt idx="91">
                  <c:v>1.5325</c:v>
                </c:pt>
                <c:pt idx="92">
                  <c:v>#N/A</c:v>
                </c:pt>
                <c:pt idx="93">
                  <c:v>1.175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3.0876923076923077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2.5616129032258064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xVal>
          <c:yVal>
            <c:numRef>
              <c:f>'Menu Engineering'!$P$8:$P$207</c:f>
              <c:numCache>
                <c:formatCode>General</c:formatCode>
                <c:ptCount val="200"/>
                <c:pt idx="0">
                  <c:v>6.4622124863088715E-2</c:v>
                </c:pt>
                <c:pt idx="1">
                  <c:v>5.257393209200438E-2</c:v>
                </c:pt>
                <c:pt idx="2">
                  <c:v>2.9025191675794086E-2</c:v>
                </c:pt>
                <c:pt idx="3">
                  <c:v>7.1193866374589271E-2</c:v>
                </c:pt>
                <c:pt idx="4">
                  <c:v>#N/A</c:v>
                </c:pt>
                <c:pt idx="5">
                  <c:v>#N/A</c:v>
                </c:pt>
                <c:pt idx="6">
                  <c:v>2.7382256297918947E-2</c:v>
                </c:pt>
                <c:pt idx="7">
                  <c:v>2.4096385542168676E-2</c:v>
                </c:pt>
                <c:pt idx="8">
                  <c:v>2.7382256297918947E-2</c:v>
                </c:pt>
                <c:pt idx="9">
                  <c:v>2.4644030668127054E-2</c:v>
                </c:pt>
                <c:pt idx="10">
                  <c:v>#N/A</c:v>
                </c:pt>
                <c:pt idx="11">
                  <c:v>#N/A</c:v>
                </c:pt>
                <c:pt idx="12">
                  <c:v>7.6670317634173054E-3</c:v>
                </c:pt>
                <c:pt idx="13">
                  <c:v>9.8576122672508221E-3</c:v>
                </c:pt>
                <c:pt idx="14">
                  <c:v>#N/A</c:v>
                </c:pt>
                <c:pt idx="15">
                  <c:v>2.3001095290251915E-2</c:v>
                </c:pt>
                <c:pt idx="16">
                  <c:v>1.1500547645125958E-2</c:v>
                </c:pt>
                <c:pt idx="17">
                  <c:v>#N/A</c:v>
                </c:pt>
                <c:pt idx="18">
                  <c:v>1.3691128148959474E-2</c:v>
                </c:pt>
                <c:pt idx="19">
                  <c:v>#N/A</c:v>
                </c:pt>
                <c:pt idx="20">
                  <c:v>8.7623220153340634E-3</c:v>
                </c:pt>
                <c:pt idx="21">
                  <c:v>#N/A</c:v>
                </c:pt>
                <c:pt idx="22">
                  <c:v>8.7623220153340634E-3</c:v>
                </c:pt>
                <c:pt idx="23">
                  <c:v>1.2048192771084338E-2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6.024096385542169E-3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6.024096385542169E-3</c:v>
                </c:pt>
                <c:pt idx="38">
                  <c:v>2.3001095290251915E-2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2.7382256297918947E-2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5.4764512595837896E-3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5.4764512595837896E-3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1.2048192771084338E-2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8.7623220153340634E-3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7.6670317634173054E-3</c:v>
                </c:pt>
                <c:pt idx="90">
                  <c:v>#N/A</c:v>
                </c:pt>
                <c:pt idx="91">
                  <c:v>8.7623220153340634E-3</c:v>
                </c:pt>
                <c:pt idx="92">
                  <c:v>#N/A</c:v>
                </c:pt>
                <c:pt idx="93">
                  <c:v>6.5717415115005475E-3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7.1193866374589269E-3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1.6976998904709748E-2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4A-E84D-82D6-DC5D2EF2A100}"/>
            </c:ext>
          </c:extLst>
        </c:ser>
        <c:ser>
          <c:idx val="2"/>
          <c:order val="2"/>
          <c:tx>
            <c:v>🧩 Puzzle</c:v>
          </c:tx>
          <c:spPr>
            <a:ln w="25400" cap="rnd">
              <a:noFill/>
              <a:prstDash val="solid"/>
              <a:round/>
            </a:ln>
          </c:spPr>
          <c:marker>
            <c:symbol val="triangle"/>
            <c:size val="10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</c:spPr>
          </c:marker>
          <c:xVal>
            <c:numRef>
              <c:f>'Menu Engineering'!$Q$8:$Q$207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13.996666666666668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4.9800000000000004</c:v>
                </c:pt>
                <c:pt idx="43">
                  <c:v>5.3400000000000007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3.9799999999999995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3.7099999999999995</c:v>
                </c:pt>
                <c:pt idx="61">
                  <c:v>#N/A</c:v>
                </c:pt>
                <c:pt idx="62">
                  <c:v>#N/A</c:v>
                </c:pt>
                <c:pt idx="63">
                  <c:v>4.74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12.636666666666665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8.7200000000000006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7.467142857142858</c:v>
                </c:pt>
                <c:pt idx="99">
                  <c:v>#N/A</c:v>
                </c:pt>
                <c:pt idx="100">
                  <c:v>#N/A</c:v>
                </c:pt>
                <c:pt idx="101">
                  <c:v>7.88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3.9200000000000004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7.9974999999999996</c:v>
                </c:pt>
                <c:pt idx="110">
                  <c:v>4.1574999999999998</c:v>
                </c:pt>
                <c:pt idx="111">
                  <c:v>8.2200000000000006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3.7399999999999998</c:v>
                </c:pt>
                <c:pt idx="116">
                  <c:v>#N/A</c:v>
                </c:pt>
                <c:pt idx="117">
                  <c:v>6.5225000000000009</c:v>
                </c:pt>
                <c:pt idx="118">
                  <c:v>#N/A</c:v>
                </c:pt>
                <c:pt idx="119">
                  <c:v>#N/A</c:v>
                </c:pt>
                <c:pt idx="120">
                  <c:v>4.96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4.12</c:v>
                </c:pt>
                <c:pt idx="125">
                  <c:v>4.4300000000000006</c:v>
                </c:pt>
                <c:pt idx="126">
                  <c:v>#N/A</c:v>
                </c:pt>
                <c:pt idx="127">
                  <c:v>3.7399999999999998</c:v>
                </c:pt>
                <c:pt idx="128">
                  <c:v>10.177499999999998</c:v>
                </c:pt>
                <c:pt idx="129">
                  <c:v>9.7900000000000009</c:v>
                </c:pt>
                <c:pt idx="130">
                  <c:v>7.84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6.9</c:v>
                </c:pt>
                <c:pt idx="137">
                  <c:v>#N/A</c:v>
                </c:pt>
                <c:pt idx="138">
                  <c:v>#N/A</c:v>
                </c:pt>
                <c:pt idx="139">
                  <c:v>9.9083333333333332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9.69</c:v>
                </c:pt>
                <c:pt idx="146">
                  <c:v>#N/A</c:v>
                </c:pt>
                <c:pt idx="147">
                  <c:v>3.9216666666666669</c:v>
                </c:pt>
                <c:pt idx="148">
                  <c:v>3.59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10.02</c:v>
                </c:pt>
                <c:pt idx="155">
                  <c:v>#N/A</c:v>
                </c:pt>
                <c:pt idx="156">
                  <c:v>#N/A</c:v>
                </c:pt>
                <c:pt idx="157">
                  <c:v>9.9600000000000009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6.2</c:v>
                </c:pt>
                <c:pt idx="167">
                  <c:v>#N/A</c:v>
                </c:pt>
                <c:pt idx="168">
                  <c:v>4.1574999999999998</c:v>
                </c:pt>
                <c:pt idx="169">
                  <c:v>7.7949999999999999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4.2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5.07</c:v>
                </c:pt>
                <c:pt idx="178">
                  <c:v>9.69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7.92</c:v>
                </c:pt>
                <c:pt idx="185">
                  <c:v>#N/A</c:v>
                </c:pt>
                <c:pt idx="186">
                  <c:v>7.34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6.6999999999999993</c:v>
                </c:pt>
              </c:numCache>
            </c:numRef>
          </c:xVal>
          <c:yVal>
            <c:numRef>
              <c:f>'Menu Engineering'!$R$8:$R$207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3.2858707557502738E-3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4.3811610076670317E-3</c:v>
                </c:pt>
                <c:pt idx="43">
                  <c:v>2.7382256297918948E-3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2.7382256297918948E-3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1.6429353778751369E-3</c:v>
                </c:pt>
                <c:pt idx="61">
                  <c:v>#N/A</c:v>
                </c:pt>
                <c:pt idx="62">
                  <c:v>#N/A</c:v>
                </c:pt>
                <c:pt idx="63">
                  <c:v>2.7382256297918948E-3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1.6429353778751369E-3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4.9288061336254111E-3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3.8335158817086527E-3</c:v>
                </c:pt>
                <c:pt idx="99">
                  <c:v>#N/A</c:v>
                </c:pt>
                <c:pt idx="100">
                  <c:v>#N/A</c:v>
                </c:pt>
                <c:pt idx="101">
                  <c:v>1.6429353778751369E-3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3.2858707557502738E-3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2.1905805038335158E-3</c:v>
                </c:pt>
                <c:pt idx="110">
                  <c:v>2.1905805038335158E-3</c:v>
                </c:pt>
                <c:pt idx="111">
                  <c:v>1.6429353778751369E-3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2.1905805038335158E-3</c:v>
                </c:pt>
                <c:pt idx="116">
                  <c:v>#N/A</c:v>
                </c:pt>
                <c:pt idx="117">
                  <c:v>2.1905805038335158E-3</c:v>
                </c:pt>
                <c:pt idx="118">
                  <c:v>#N/A</c:v>
                </c:pt>
                <c:pt idx="119">
                  <c:v>#N/A</c:v>
                </c:pt>
                <c:pt idx="120">
                  <c:v>2.1905805038335158E-3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5.4764512595837896E-4</c:v>
                </c:pt>
                <c:pt idx="125">
                  <c:v>5.4764512595837896E-4</c:v>
                </c:pt>
                <c:pt idx="126">
                  <c:v>#N/A</c:v>
                </c:pt>
                <c:pt idx="127">
                  <c:v>2.1905805038335158E-3</c:v>
                </c:pt>
                <c:pt idx="128">
                  <c:v>2.1905805038335158E-3</c:v>
                </c:pt>
                <c:pt idx="129">
                  <c:v>1.6429353778751369E-3</c:v>
                </c:pt>
                <c:pt idx="130">
                  <c:v>1.0952902519167579E-3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2.1905805038335158E-3</c:v>
                </c:pt>
                <c:pt idx="137">
                  <c:v>#N/A</c:v>
                </c:pt>
                <c:pt idx="138">
                  <c:v>#N/A</c:v>
                </c:pt>
                <c:pt idx="139">
                  <c:v>3.2858707557502738E-3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2.1905805038335158E-3</c:v>
                </c:pt>
                <c:pt idx="146">
                  <c:v>#N/A</c:v>
                </c:pt>
                <c:pt idx="147">
                  <c:v>3.2858707557502738E-3</c:v>
                </c:pt>
                <c:pt idx="148">
                  <c:v>5.4764512595837896E-4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2.7382256297918948E-3</c:v>
                </c:pt>
                <c:pt idx="155">
                  <c:v>#N/A</c:v>
                </c:pt>
                <c:pt idx="156">
                  <c:v>#N/A</c:v>
                </c:pt>
                <c:pt idx="157">
                  <c:v>1.0952902519167579E-3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1.0952902519167579E-3</c:v>
                </c:pt>
                <c:pt idx="167">
                  <c:v>#N/A</c:v>
                </c:pt>
                <c:pt idx="168">
                  <c:v>2.1905805038335158E-3</c:v>
                </c:pt>
                <c:pt idx="169">
                  <c:v>1.0952902519167579E-3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5.4764512595837896E-4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5.4764512595837896E-4</c:v>
                </c:pt>
                <c:pt idx="178">
                  <c:v>5.4764512595837896E-4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2.7382256297918948E-3</c:v>
                </c:pt>
                <c:pt idx="185">
                  <c:v>#N/A</c:v>
                </c:pt>
                <c:pt idx="186">
                  <c:v>5.4764512595837896E-4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1.0952902519167579E-3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4A-E84D-82D6-DC5D2EF2A100}"/>
            </c:ext>
          </c:extLst>
        </c:ser>
        <c:ser>
          <c:idx val="3"/>
          <c:order val="3"/>
          <c:tx>
            <c:v>🐶 Perro</c:v>
          </c:tx>
          <c:spPr>
            <a:ln w="25400" cap="rnd">
              <a:noFill/>
              <a:prstDash val="solid"/>
              <a:round/>
            </a:ln>
          </c:spPr>
          <c:marker>
            <c:symbol val="squar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</c:spPr>
          </c:marker>
          <c:xVal>
            <c:numRef>
              <c:f>'Menu Engineering'!$S$8:$S$207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9.9999999999999992E-2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2.3842857142857143</c:v>
                </c:pt>
                <c:pt idx="28">
                  <c:v>0.57999999999999996</c:v>
                </c:pt>
                <c:pt idx="29">
                  <c:v>1.6300000000000001</c:v>
                </c:pt>
                <c:pt idx="30">
                  <c:v>#N/A</c:v>
                </c:pt>
                <c:pt idx="31">
                  <c:v>#N/A</c:v>
                </c:pt>
                <c:pt idx="32">
                  <c:v>1.6199999999999999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2.29</c:v>
                </c:pt>
                <c:pt idx="37">
                  <c:v>#N/A</c:v>
                </c:pt>
                <c:pt idx="38">
                  <c:v>#N/A</c:v>
                </c:pt>
                <c:pt idx="39">
                  <c:v>2.23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2.19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2.1</c:v>
                </c:pt>
                <c:pt idx="62">
                  <c:v>2.0566666666666666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2.8699999999999997</c:v>
                </c:pt>
                <c:pt idx="68">
                  <c:v>3.1062500000000002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2.7050000000000001</c:v>
                </c:pt>
                <c:pt idx="73">
                  <c:v>1.9974999999999998</c:v>
                </c:pt>
                <c:pt idx="74">
                  <c:v>#N/A</c:v>
                </c:pt>
                <c:pt idx="75">
                  <c:v>0.70499999999999996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1.6700000000000002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-0.05</c:v>
                </c:pt>
                <c:pt idx="84">
                  <c:v>0.10999999999999999</c:v>
                </c:pt>
                <c:pt idx="85">
                  <c:v>1.27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1.9000000000000001</c:v>
                </c:pt>
                <c:pt idx="95">
                  <c:v>2.75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2.41</c:v>
                </c:pt>
                <c:pt idx="100">
                  <c:v>#N/A</c:v>
                </c:pt>
                <c:pt idx="101">
                  <c:v>#N/A</c:v>
                </c:pt>
                <c:pt idx="102">
                  <c:v>3.0000000000000009E-2</c:v>
                </c:pt>
                <c:pt idx="103">
                  <c:v>#N/A</c:v>
                </c:pt>
                <c:pt idx="104">
                  <c:v>2.08</c:v>
                </c:pt>
                <c:pt idx="105">
                  <c:v>#N/A</c:v>
                </c:pt>
                <c:pt idx="106">
                  <c:v>#N/A</c:v>
                </c:pt>
                <c:pt idx="107">
                  <c:v>3.0000000000000009E-2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1.615</c:v>
                </c:pt>
                <c:pt idx="114">
                  <c:v>2.63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2.54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1.59</c:v>
                </c:pt>
                <c:pt idx="124">
                  <c:v>#N/A</c:v>
                </c:pt>
                <c:pt idx="125">
                  <c:v>#N/A</c:v>
                </c:pt>
                <c:pt idx="126">
                  <c:v>2.0100000000000002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2.3374999999999999</c:v>
                </c:pt>
                <c:pt idx="134">
                  <c:v>1.9875</c:v>
                </c:pt>
                <c:pt idx="135">
                  <c:v>2.25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2.7366666666666664</c:v>
                </c:pt>
                <c:pt idx="141">
                  <c:v>-0.41</c:v>
                </c:pt>
                <c:pt idx="142">
                  <c:v>#N/A</c:v>
                </c:pt>
                <c:pt idx="143">
                  <c:v>1.9300000000000002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1.06</c:v>
                </c:pt>
                <c:pt idx="151">
                  <c:v>#N/A</c:v>
                </c:pt>
                <c:pt idx="152">
                  <c:v>2.4300000000000002</c:v>
                </c:pt>
                <c:pt idx="153">
                  <c:v>#N/A</c:v>
                </c:pt>
                <c:pt idx="154">
                  <c:v>#N/A</c:v>
                </c:pt>
                <c:pt idx="155">
                  <c:v>2.75</c:v>
                </c:pt>
                <c:pt idx="156">
                  <c:v>#N/A</c:v>
                </c:pt>
                <c:pt idx="157">
                  <c:v>#N/A</c:v>
                </c:pt>
                <c:pt idx="158">
                  <c:v>2.9625000000000004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3.05</c:v>
                </c:pt>
                <c:pt idx="163">
                  <c:v>2.5499999999999998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1.42</c:v>
                </c:pt>
                <c:pt idx="182">
                  <c:v>1.1800000000000002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-0.11</c:v>
                </c:pt>
                <c:pt idx="189">
                  <c:v>2.41</c:v>
                </c:pt>
                <c:pt idx="190">
                  <c:v>#N/A</c:v>
                </c:pt>
                <c:pt idx="191">
                  <c:v>2.57</c:v>
                </c:pt>
                <c:pt idx="192">
                  <c:v>#N/A</c:v>
                </c:pt>
                <c:pt idx="193">
                  <c:v>3.18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1.27</c:v>
                </c:pt>
                <c:pt idx="198">
                  <c:v>#N/A</c:v>
                </c:pt>
                <c:pt idx="199">
                  <c:v>#N/A</c:v>
                </c:pt>
              </c:numCache>
            </c:numRef>
          </c:xVal>
          <c:yVal>
            <c:numRef>
              <c:f>'Menu Engineering'!$T$8:$T$207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3.2858707557502738E-3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3.8335158817086527E-3</c:v>
                </c:pt>
                <c:pt idx="28">
                  <c:v>4.3811610076670317E-3</c:v>
                </c:pt>
                <c:pt idx="29">
                  <c:v>3.2858707557502738E-3</c:v>
                </c:pt>
                <c:pt idx="30">
                  <c:v>#N/A</c:v>
                </c:pt>
                <c:pt idx="31">
                  <c:v>#N/A</c:v>
                </c:pt>
                <c:pt idx="32">
                  <c:v>2.7382256297918948E-3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5.4764512595837896E-4</c:v>
                </c:pt>
                <c:pt idx="37">
                  <c:v>#N/A</c:v>
                </c:pt>
                <c:pt idx="38">
                  <c:v>#N/A</c:v>
                </c:pt>
                <c:pt idx="39">
                  <c:v>2.7382256297918948E-3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5.4764512595837896E-4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2.7382256297918948E-3</c:v>
                </c:pt>
                <c:pt idx="62">
                  <c:v>4.9288061336254111E-3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1.0952902519167579E-3</c:v>
                </c:pt>
                <c:pt idx="68">
                  <c:v>4.3811610076670317E-3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2.1905805038335158E-3</c:v>
                </c:pt>
                <c:pt idx="73">
                  <c:v>2.1905805038335158E-3</c:v>
                </c:pt>
                <c:pt idx="74">
                  <c:v>#N/A</c:v>
                </c:pt>
                <c:pt idx="75">
                  <c:v>1.0952902519167579E-3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1.0952902519167579E-3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1.0952902519167579E-3</c:v>
                </c:pt>
                <c:pt idx="84">
                  <c:v>5.4764512595837896E-4</c:v>
                </c:pt>
                <c:pt idx="85">
                  <c:v>2.7382256297918948E-3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1.0952902519167579E-3</c:v>
                </c:pt>
                <c:pt idx="95">
                  <c:v>1.0952902519167579E-3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2.7382256297918948E-3</c:v>
                </c:pt>
                <c:pt idx="100">
                  <c:v>#N/A</c:v>
                </c:pt>
                <c:pt idx="101">
                  <c:v>#N/A</c:v>
                </c:pt>
                <c:pt idx="102">
                  <c:v>3.8335158817086527E-3</c:v>
                </c:pt>
                <c:pt idx="103">
                  <c:v>#N/A</c:v>
                </c:pt>
                <c:pt idx="104">
                  <c:v>5.4764512595837896E-4</c:v>
                </c:pt>
                <c:pt idx="105">
                  <c:v>#N/A</c:v>
                </c:pt>
                <c:pt idx="106">
                  <c:v>#N/A</c:v>
                </c:pt>
                <c:pt idx="107">
                  <c:v>3.8335158817086527E-3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3.2858707557502738E-3</c:v>
                </c:pt>
                <c:pt idx="114">
                  <c:v>5.4764512595837896E-4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3.8335158817086527E-3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5.4764512595837896E-4</c:v>
                </c:pt>
                <c:pt idx="124">
                  <c:v>#N/A</c:v>
                </c:pt>
                <c:pt idx="125">
                  <c:v>#N/A</c:v>
                </c:pt>
                <c:pt idx="126">
                  <c:v>5.4764512595837896E-4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2.1905805038335158E-3</c:v>
                </c:pt>
                <c:pt idx="134">
                  <c:v>2.1905805038335158E-3</c:v>
                </c:pt>
                <c:pt idx="135">
                  <c:v>5.4764512595837896E-4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1.6429353778751369E-3</c:v>
                </c:pt>
                <c:pt idx="141">
                  <c:v>5.4764512595837896E-4</c:v>
                </c:pt>
                <c:pt idx="142">
                  <c:v>#N/A</c:v>
                </c:pt>
                <c:pt idx="143">
                  <c:v>5.4764512595837896E-4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2.1905805038335158E-3</c:v>
                </c:pt>
                <c:pt idx="151">
                  <c:v>#N/A</c:v>
                </c:pt>
                <c:pt idx="152">
                  <c:v>1.0952902519167579E-3</c:v>
                </c:pt>
                <c:pt idx="153">
                  <c:v>#N/A</c:v>
                </c:pt>
                <c:pt idx="154">
                  <c:v>#N/A</c:v>
                </c:pt>
                <c:pt idx="155">
                  <c:v>2.1905805038335158E-3</c:v>
                </c:pt>
                <c:pt idx="156">
                  <c:v>#N/A</c:v>
                </c:pt>
                <c:pt idx="157">
                  <c:v>#N/A</c:v>
                </c:pt>
                <c:pt idx="158">
                  <c:v>2.1905805038335158E-3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2.1905805038335158E-3</c:v>
                </c:pt>
                <c:pt idx="163">
                  <c:v>5.4764512595837896E-4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5.4764512595837896E-4</c:v>
                </c:pt>
                <c:pt idx="182">
                  <c:v>5.4764512595837896E-4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1.0952902519167579E-3</c:v>
                </c:pt>
                <c:pt idx="189">
                  <c:v>1.0952902519167579E-3</c:v>
                </c:pt>
                <c:pt idx="190">
                  <c:v>#N/A</c:v>
                </c:pt>
                <c:pt idx="191">
                  <c:v>5.4764512595837896E-4</c:v>
                </c:pt>
                <c:pt idx="192">
                  <c:v>#N/A</c:v>
                </c:pt>
                <c:pt idx="193">
                  <c:v>5.4764512595837896E-4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2.1905805038335158E-3</c:v>
                </c:pt>
                <c:pt idx="198">
                  <c:v>#N/A</c:v>
                </c:pt>
                <c:pt idx="1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4A-E84D-82D6-DC5D2EF2A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708895"/>
        <c:axId val="1649924736"/>
      </c:scatterChart>
      <c:valAx>
        <c:axId val="247708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MCU € (Rentabilidad →)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49924736"/>
        <c:crosses val="autoZero"/>
        <c:crossBetween val="midCat"/>
      </c:valAx>
      <c:valAx>
        <c:axId val="164992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% Mix Uds (Popularidad →)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47708895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292</xdr:row>
      <xdr:rowOff>114300</xdr:rowOff>
    </xdr:from>
    <xdr:to>
      <xdr:col>8</xdr:col>
      <xdr:colOff>825500</xdr:colOff>
      <xdr:row>322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romatelecom-my.sharepoint.com/personal/juan_rodenas_romatelecom_onmicrosoft_com/Documents/EMPRESA/ROMA%20GLOBAL%20TELECOM/DOCUMENTACION/COMPARTIDO%20GESTORIA/CONTABLE-FISCAL/FACTURAS%20RECIBIDAS/FACTURAS%20RECIBIDAS%202025/Desafio/tracker-operativo/ESTADISTICA%202025.xlsx" TargetMode="External"/><Relationship Id="rId2" Type="http://schemas.microsoft.com/office/2019/04/relationships/externalLinkLongPath" Target="ESTADISTICA%202025.xlsx?A518AE10" TargetMode="External"/><Relationship Id="rId1" Type="http://schemas.openxmlformats.org/officeDocument/2006/relationships/externalLinkPath" Target="file:///A518AE10/ESTADISTICA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Gráfica"/>
      <sheetName val="RATIOS"/>
      <sheetName val="Datos Generales 2025"/>
      <sheetName val="Arqueo"/>
      <sheetName val="Menu"/>
      <sheetName val="Caja (2)"/>
      <sheetName val="Delivery"/>
      <sheetName val="Caja"/>
      <sheetName val="Venta por dias"/>
      <sheetName val="Venta por familia"/>
      <sheetName val="Familias"/>
      <sheetName val="Hoja2"/>
      <sheetName val="Hoja3"/>
      <sheetName val="Hoja1"/>
      <sheetName val="Hoja4"/>
      <sheetName val="Hoja8"/>
      <sheetName val="Hoja7"/>
      <sheetName val="Hoja10"/>
      <sheetName val="Hoja5"/>
      <sheetName val="Hoja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G22">
            <v>5530.1213156408921</v>
          </cell>
        </row>
      </sheetData>
      <sheetData sheetId="18"/>
      <sheetData sheetId="1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4" displayName="Tabla14" ref="J17:T29" totalsRowShown="0" headerRowDxfId="226" dataDxfId="225">
  <autoFilter ref="J17:T29" xr:uid="{00000000-0009-0000-0100-000001000000}"/>
  <tableColumns count="11">
    <tableColumn id="1" xr3:uid="{00000000-0010-0000-0000-000001000000}" name="Mes" dataDxfId="224"/>
    <tableColumn id="2" xr3:uid="{00000000-0010-0000-0000-000002000000}" name="Ventas 2025" dataDxfId="223"/>
    <tableColumn id="3" xr3:uid="{00000000-0010-0000-0000-000003000000}" name="Previsión" dataDxfId="222"/>
    <tableColumn id="4" xr3:uid="{00000000-0010-0000-0000-000004000000}" name="Ventas 2026" dataDxfId="221"/>
    <tableColumn id="5" xr3:uid="{00000000-0010-0000-0000-000005000000}" name="% sobre 24" dataDxfId="220"/>
    <tableColumn id="6" xr3:uid="{00000000-0010-0000-0000-000006000000}" name="Diferencia" dataDxfId="219"/>
    <tableColumn id="7" xr3:uid="{00000000-0010-0000-0000-000007000000}" name="Días Trabajados" dataDxfId="218"/>
    <tableColumn id="8" xr3:uid="{00000000-0010-0000-0000-000008000000}" name="In Ven/Dia" dataDxfId="217"/>
    <tableColumn id="9" xr3:uid="{00000000-0010-0000-0000-000009000000}" name="Hasta objetivo" dataDxfId="216"/>
    <tableColumn id="10" xr3:uid="{00000000-0010-0000-0000-00000A000000}" name="Incentivo" dataDxfId="215"/>
    <tableColumn id="11" xr3:uid="{00000000-0010-0000-0000-00000B000000}" name="Efectivo" dataDxfId="21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15" displayName="Tabla15" ref="D33:AB398" totalsRowShown="0" headerRowDxfId="213" dataDxfId="212">
  <autoFilter ref="D33:AB398" xr:uid="{00000000-0009-0000-0100-000002000000}"/>
  <tableColumns count="25">
    <tableColumn id="1" xr3:uid="{00000000-0010-0000-0100-000001000000}" name="Fecha" dataDxfId="211"/>
    <tableColumn id="2" xr3:uid="{00000000-0010-0000-0100-000002000000}" name="Contado" dataDxfId="210"/>
    <tableColumn id="3" xr3:uid="{00000000-0010-0000-0100-000003000000}" name="Tickets" dataDxfId="209"/>
    <tableColumn id="4" xr3:uid="{00000000-0010-0000-0100-000004000000}" name="Visa" dataDxfId="208"/>
    <tableColumn id="5" xr3:uid="{00000000-0010-0000-0100-000005000000}" name="Eventos" dataDxfId="207"/>
    <tableColumn id="6" xr3:uid="{00000000-0010-0000-0100-000006000000}" name="Passo" dataDxfId="206"/>
    <tableColumn id="7" xr3:uid="{00000000-0010-0000-0100-000007000000}" name="Reciclajes" dataDxfId="205"/>
    <tableColumn id="8" xr3:uid="{00000000-0010-0000-0100-000008000000}" name="Invitaciones" dataDxfId="204"/>
    <tableColumn id="9" xr3:uid="{00000000-0010-0000-0100-000009000000}" name="Personal" dataDxfId="203"/>
    <tableColumn id="10" xr3:uid="{00000000-0010-0000-0100-00000A000000}" name="Retiros" dataDxfId="202"/>
    <tableColumn id="11" xr3:uid="{00000000-0010-0000-0100-00000B000000}" name="Ingreso" dataDxfId="201"/>
    <tableColumn id="12" xr3:uid="{00000000-0010-0000-0100-00000C000000}" name="Bbva" dataDxfId="200"/>
    <tableColumn id="13" xr3:uid="{00000000-0010-0000-0100-00000D000000}" name="Total Caja" dataDxfId="199">
      <calculatedColumnFormula>((Tabla15[[#This Row],[Contado]]+Tabla15[[#This Row],[Visa]]+Tabla15[[#This Row],[Eventos]]+Tabla15[[#This Row],[Passo]]+Tabla15[[#This Row],[Reciclajes]])/1.1)+Tabla15[[#This Row],[Tickets]]</calculatedColumnFormula>
    </tableColumn>
    <tableColumn id="14" xr3:uid="{00000000-0010-0000-0100-00000E000000}" name="Efectivo" dataDxfId="198"/>
    <tableColumn id="15" xr3:uid="{00000000-0010-0000-0100-00000F000000}" name="%Tickets" dataDxfId="197">
      <calculatedColumnFormula>IFERROR(F34/P34,0)</calculatedColumnFormula>
    </tableColumn>
    <tableColumn id="16" xr3:uid="{00000000-0010-0000-0100-000010000000}" name="Columna1" dataDxfId="196"/>
    <tableColumn id="17" xr3:uid="{00000000-0010-0000-0100-000011000000}" name="Facturació A/A" dataDxfId="195"/>
    <tableColumn id="18" xr3:uid="{00000000-0010-0000-0100-000012000000}" name="Diferencia" dataDxfId="194"/>
    <tableColumn id="19" xr3:uid="{00000000-0010-0000-0100-000013000000}" name="Resto" dataDxfId="193"/>
    <tableColumn id="20" xr3:uid="{00000000-0010-0000-0100-000014000000}" name="Dif%" dataDxfId="192"/>
    <tableColumn id="21" xr3:uid="{00000000-0010-0000-0100-000015000000}" name="Previsión" dataDxfId="191"/>
    <tableColumn id="22" xr3:uid="{00000000-0010-0000-0100-000016000000}" name="Resultado" dataDxfId="190"/>
    <tableColumn id="23" xr3:uid="{00000000-0010-0000-0100-000017000000}" name="Columna2" dataDxfId="189"/>
    <tableColumn id="24" xr3:uid="{00000000-0010-0000-0100-000018000000}" name="AA %" dataDxfId="188"/>
    <tableColumn id="25" xr3:uid="{00000000-0010-0000-0100-000019000000}" name="Observaciones" dataDxfId="187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6" displayName="Tabla6" ref="B3:J174" totalsRowCount="1" headerRowDxfId="186" totalsRowDxfId="184" tableBorderDxfId="185" totalsRowBorderDxfId="183">
  <autoFilter ref="B3:J173" xr:uid="{00000000-0009-0000-0100-000003000000}"/>
  <tableColumns count="9">
    <tableColumn id="1" xr3:uid="{00000000-0010-0000-0200-000001000000}" name="Día" totalsRowFunction="custom" dataDxfId="182" totalsRowDxfId="181">
      <calculatedColumnFormula>IF(A4="","",CHOOSE(WEEKDAY(A4,2),"Lun","Mar","Mié","Jue","Vie","Sáb","Dom"))</calculatedColumnFormula>
      <totalsRowFormula>IF(A174="","",CHOOSE(WEEKDAY(A174,2),"Lun","Mar","Mié","Jue","Vie","Sáb","Dom"))</totalsRowFormula>
    </tableColumn>
    <tableColumn id="2" xr3:uid="{00000000-0010-0000-0200-000002000000}" name="Turno" totalsRowLabel="Noche" dataDxfId="180" totalsRowDxfId="179"/>
    <tableColumn id="11" xr3:uid="{00000000-0010-0000-0200-00000B000000}" name="Nº Comensales" totalsRowFunction="custom" dataDxfId="178" totalsRowDxfId="177">
      <calculatedColumnFormula array="1">IF(A4="","",SUMPRODUCT(('Detalle Turnos'!$I$3:$I$5028=$A4)*('Detalle Turnos'!$N$3:$N$5028=C4)*'Detalle Turnos'!$L$3:$L$5028))</calculatedColumnFormula>
      <totalsRowFormula array="1">IF(A174="","",SUMPRODUCT(('Detalle Turnos'!$I$3:$I$5028=$A174)*('Detalle Turnos'!$N$3:$N$5028=C174)*'Detalle Turnos'!$L$3:$L$5028))</totalsRowFormula>
    </tableColumn>
    <tableColumn id="6" xr3:uid="{00000000-0010-0000-0200-000006000000}" name="Subtotal €" totalsRowFunction="custom" dataDxfId="176" totalsRowDxfId="175">
      <calculatedColumnFormula array="1">IF(A4="","",SUMPRODUCT(('Detalle Turnos'!$I$3:$I$5028=$A4)*('Detalle Turnos'!$N$3:$N$5028=C4)*'Detalle Turnos'!$K$3:$K$5028))</calculatedColumnFormula>
      <totalsRowFormula array="1">IF(A174="","",SUMPRODUCT(('Detalle Turnos'!$I$3:$I$5028=$A174)*('Detalle Turnos'!$N$3:$N$5028=C174)*'Detalle Turnos'!$K$3:$K$5028))</totalsRowFormula>
    </tableColumn>
    <tableColumn id="12" xr3:uid="{00000000-0010-0000-0200-00000C000000}" name="Ticket Medio €" totalsRowFunction="custom" dataDxfId="174" totalsRowDxfId="173">
      <calculatedColumnFormula>IFERROR(E4/D4,0)</calculatedColumnFormula>
      <totalsRowFormula>IFERROR(E174/D174,0)</totalsRowFormula>
    </tableColumn>
    <tableColumn id="7" xr3:uid="{00000000-0010-0000-0200-000007000000}" name="Coste Personal €" totalsRowFunction="custom" dataDxfId="172" totalsRowDxfId="171">
      <calculatedColumnFormula array="1">IF(E4="","",IFERROR(SUMPRODUCT(('Facturación 2026'!$A$4:$A$920=$A4)*'Facturación 2026'!$J$4:$J$920)*E4/(SUMPRODUCT(('Caja 1'!$A$4:$A$919=$A4)*'Caja 1'!$E$4:$E$919)+SUMPRODUCT(('Caja 2'!$A$4:$A$920=$A4)*'Caja 2'!$E$4:$E$920)),0))</calculatedColumnFormula>
      <totalsRowFormula array="1">IF(E174="","",IFERROR(SUMPRODUCT(('Facturación 2026'!$A$4:$A$920=$A174)*'Facturación 2026'!$J$4:$J$920)*E174/(SUMPRODUCT(('Caja 1'!$A$4:$A$919=$A174)*'Caja 1'!$E$4:$E$919)+SUMPRODUCT(('Caja 2'!$A$4:$A$920=$A174)*'Caja 2'!$E$4:$E$920)),0))</totalsRowFormula>
    </tableColumn>
    <tableColumn id="8" xr3:uid="{00000000-0010-0000-0200-000008000000}" name="Margen €" totalsRowFunction="custom" dataDxfId="170" totalsRowDxfId="169">
      <calculatedColumnFormula>IF(E4="","",E4-G4)</calculatedColumnFormula>
      <totalsRowFormula>IF(E174="","",E174-G174)</totalsRowFormula>
    </tableColumn>
    <tableColumn id="9" xr3:uid="{00000000-0010-0000-0200-000009000000}" name="% Coste" totalsRowFunction="custom" dataDxfId="168" totalsRowDxfId="167">
      <calculatedColumnFormula>IF(E4="","",IFERROR(G4/E4,0))</calculatedColumnFormula>
      <totalsRowFormula>IF(E174="","",IFERROR(G174/E174,0))</totalsRowFormula>
    </tableColumn>
    <tableColumn id="10" xr3:uid="{00000000-0010-0000-0200-00000A000000}" name="Notas / Evento" totalsRowFunction="custom" dataDxfId="166" totalsRowDxfId="165">
      <calculatedColumnFormula>IF(A4="","",IFERROR(INDEX('Facturación 2026'!$L$4:$L$500,MATCH($A4,'Facturación 2026'!$A$4:$A$500,0)),""))</calculatedColumnFormula>
      <totalsRowFormula>IF(A174="","",IFERROR(INDEX('Facturación 2026'!$L$4:$L$500,MATCH($A174,'Facturación 2026'!$A$4:$A$500,0)),""))</totalsRow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7" displayName="Tabla7" ref="A3:J165" totalsRowCount="1" headerRowDxfId="164">
  <autoFilter ref="A3:J164" xr:uid="{00000000-0009-0000-0100-000004000000}"/>
  <sortState xmlns:xlrd2="http://schemas.microsoft.com/office/spreadsheetml/2017/richdata2" ref="A4:J157">
    <sortCondition ref="A3:A157"/>
  </sortState>
  <tableColumns count="10">
    <tableColumn id="1" xr3:uid="{00000000-0010-0000-0300-000001000000}" name="Fecha" totalsRowFunction="custom" dataDxfId="163" totalsRowDxfId="162">
      <totalsRowFormula>46117</totalsRowFormula>
    </tableColumn>
    <tableColumn id="2" xr3:uid="{00000000-0010-0000-0300-000002000000}" name="Día" totalsRowFunction="custom" dataDxfId="161" totalsRowDxfId="160">
      <totalsRowFormula>IF(A165="","",CHOOSE(WEEKDAY(A165,2),"Lun","Mar","Mié","Jue","Vie","Sáb","Dom"))</totalsRowFormula>
    </tableColumn>
    <tableColumn id="3" xr3:uid="{00000000-0010-0000-0300-000003000000}" name="Turno" totalsRowLabel="Mañana" totalsRowDxfId="159"/>
    <tableColumn id="4" xr3:uid="{00000000-0010-0000-0300-000004000000}" name="Nº Comensales" totalsRowFunction="custom" dataDxfId="158" totalsRowDxfId="157">
      <totalsRowFormula array="1">IF(A165="","",SUMPRODUCT(('Detalle Turnos'!$Q$3:$Q$500=A165)*('Detalle Turnos'!$S$3:$S$500=C165)*'Detalle Turnos'!$T$3:$T$500))</totalsRowFormula>
    </tableColumn>
    <tableColumn id="5" xr3:uid="{00000000-0010-0000-0300-000005000000}" name="Subtotal €" totalsRowFunction="custom" dataDxfId="156" totalsRowDxfId="155">
      <totalsRowFormula array="1">IF(A165="","",SUMPRODUCT(('Detalle Turnos'!$Q$3:$Q$500=A165)*('Detalle Turnos'!$S$3:$S$500=C165)*'Detalle Turnos'!$U$3:$U$500))</totalsRowFormula>
    </tableColumn>
    <tableColumn id="6" xr3:uid="{00000000-0010-0000-0300-000006000000}" name="Ticket Medio €" totalsRowFunction="custom" dataDxfId="154" totalsRowDxfId="153">
      <calculatedColumnFormula>IFERROR(E4/D4,0)</calculatedColumnFormula>
      <totalsRowFormula>IFERROR(E165/D165,0)</totalsRowFormula>
    </tableColumn>
    <tableColumn id="7" xr3:uid="{00000000-0010-0000-0300-000007000000}" name="Coste Personal €" totalsRowFunction="custom" dataDxfId="152" totalsRowDxfId="151">
      <calculatedColumnFormula array="1">IFERROR(SUMPRODUCT(('Facturación 2026'!$A$4:$A$253=A4)*'Facturación 2026'!$J$4:$J$253)*E4/SUMPRODUCT(('Facturación 2026'!$A$4:$A$253=A4)*'Facturación 2026'!$F$4:$F$253),0)</calculatedColumnFormula>
      <totalsRowFormula array="1">IFERROR(SUMPRODUCT(('Facturación 2026'!$A$4:$A$253=A165)*'Facturación 2026'!$J$4:$J$253)*E165/SUMPRODUCT(('Facturación 2026'!$A$4:$A$253=A165)*'Facturación 2026'!$F$4:$F$253),0)</totalsRowFormula>
    </tableColumn>
    <tableColumn id="8" xr3:uid="{00000000-0010-0000-0300-000008000000}" name="Margen €" totalsRowFunction="custom" dataDxfId="150" totalsRowDxfId="149">
      <calculatedColumnFormula>E4-G4</calculatedColumnFormula>
      <totalsRowFormula>IF(E165="","",E165-G165)</totalsRowFormula>
    </tableColumn>
    <tableColumn id="9" xr3:uid="{00000000-0010-0000-0300-000009000000}" name="% Coste" totalsRowFunction="custom" dataDxfId="148" totalsRowDxfId="147">
      <calculatedColumnFormula>IFERROR(G4/E4,0)</calculatedColumnFormula>
      <totalsRowFormula>IFERROR(G165/E165,0)</totalsRowFormula>
    </tableColumn>
    <tableColumn id="10" xr3:uid="{00000000-0010-0000-0300-00000A000000}" name="Notas / Evento" totalsRowFunction="custom" dataDxfId="146" totalsRowDxfId="145">
      <calculatedColumnFormula>IFERROR(INDEX('Facturación 2026'!$L$4:$L$253,MATCH(A4,'Facturación 2026'!$A$4:$A$253,0)),"")</calculatedColumnFormula>
      <totalsRowFormula>IFERROR(INDEX('Facturación 2026'!$L$4:$L$253,MATCH(A165,'Facturación 2026'!$A$4:$A$253,0)),"")</totalsRow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_1" displayName="Tabla_1" ref="A4:N816" totalsRowShown="0">
  <autoFilter ref="A4:N816" xr:uid="{00000000-0009-0000-0100-000005000000}"/>
  <sortState xmlns:xlrd2="http://schemas.microsoft.com/office/spreadsheetml/2017/richdata2" ref="A5:N773">
    <sortCondition ref="A4:A773"/>
  </sortState>
  <tableColumns count="14">
    <tableColumn id="1" xr3:uid="{00000000-0010-0000-0400-000001000000}" name="Fecha" dataDxfId="144" totalsRowDxfId="143"/>
    <tableColumn id="2" xr3:uid="{00000000-0010-0000-0400-000002000000}" name="Dia Semana" totalsRowDxfId="142"/>
    <tableColumn id="3" xr3:uid="{00000000-0010-0000-0400-000003000000}" name="Turno" dataDxfId="141" totalsRowDxfId="140"/>
    <tableColumn id="4" xr3:uid="{00000000-0010-0000-0400-000004000000}" name="Nombre" totalsRowDxfId="139"/>
    <tableColumn id="5" xr3:uid="{00000000-0010-0000-0400-000005000000}" name="H. Entrada" totalsRowDxfId="138"/>
    <tableColumn id="6" xr3:uid="{00000000-0010-0000-0400-000006000000}" name="H. Salida" totalsRowDxfId="137"/>
    <tableColumn id="7" xr3:uid="{00000000-0010-0000-0400-000007000000}" name="Total Horas" dataDxfId="136" totalsRowDxfId="135"/>
    <tableColumn id="8" xr3:uid="{00000000-0010-0000-0400-000008000000}" name="€/Hora" dataDxfId="134" totalsRowDxfId="133"/>
    <tableColumn id="9" xr3:uid="{00000000-0010-0000-0400-000009000000}" name="Coste MA" dataDxfId="132" totalsRowDxfId="131"/>
    <tableColumn id="10" xr3:uid="{00000000-0010-0000-0400-00000A000000}" name="Coste MD" dataDxfId="130" totalsRowDxfId="129"/>
    <tableColumn id="11" xr3:uid="{00000000-0010-0000-0400-00000B000000}" name="Coste No" dataDxfId="128" totalsRowDxfId="127"/>
    <tableColumn id="12" xr3:uid="{00000000-0010-0000-0400-00000C000000}" name="Coste diario" dataDxfId="126" totalsRowDxfId="125"/>
    <tableColumn id="13" xr3:uid="{00000000-0010-0000-0400-00000D000000}" name="Alerta" totalsRowDxfId="124"/>
    <tableColumn id="14" xr3:uid="{00000000-0010-0000-0400-00000E000000}" name="Fecha_real" dataDxfId="123" totalsRowDxfId="122">
      <calculatedColumnFormula>IF(A5="","",IF(ISNUMBER(A5),A5,DATE(VALUE(RIGHT(A5,4)),VALUE(MID(A5,4,2)),VALUE(LEFT(A5,2)))))</calculatedColumnFormula>
    </tableColumn>
  </tableColumns>
  <tableStyleInfo name="TableStyleLight8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1" displayName="Tabla1" ref="A3:M18" headerRowDxfId="121" headerRowBorderDxfId="120" tableBorderDxfId="119">
  <tableColumns count="13">
    <tableColumn id="1" xr3:uid="{00000000-0010-0000-0500-000001000000}" name="Empleado"/>
    <tableColumn id="2" xr3:uid="{00000000-0010-0000-0500-000002000000}" name="€/hora"/>
    <tableColumn id="3" xr3:uid="{00000000-0010-0000-0500-000003000000}" name="Coste Mañana" dataDxfId="118">
      <calculatedColumnFormula array="1">SUMPRODUCT(('Horarios Personal'!$D$5:$D$816=$A4)*(MONTH('Horarios Personal'!$N$5:$N$816)=$G$1)*'Horarios Personal'!$I$5:$I$816)</calculatedColumnFormula>
    </tableColumn>
    <tableColumn id="4" xr3:uid="{00000000-0010-0000-0500-000004000000}" name="Coste Mediodía" dataDxfId="117">
      <calculatedColumnFormula array="1">SUMPRODUCT(('Horarios Personal'!$D$5:$D$816=$A4)*(MONTH('Horarios Personal'!$N$5:$N$816)=$G$1)*'Horarios Personal'!$J$5:$J$816)</calculatedColumnFormula>
    </tableColumn>
    <tableColumn id="5" xr3:uid="{00000000-0010-0000-0500-000005000000}" name="Coste Noche" dataDxfId="116">
      <calculatedColumnFormula array="1">SUMPRODUCT(('Horarios Personal'!$D$5:$D$816=$A4)*(MONTH('Horarios Personal'!$N$5:$N$816)=$G$1)*'Horarios Personal'!$K$5:$K$816)</calculatedColumnFormula>
    </tableColumn>
    <tableColumn id="6" xr3:uid="{00000000-0010-0000-0500-000006000000}" name="Total €" dataDxfId="115"/>
    <tableColumn id="7" xr3:uid="{00000000-0010-0000-0500-000007000000}" name="% s/total"/>
    <tableColumn id="13" xr3:uid="{00000000-0010-0000-0500-00000D000000}" name="% s/Ventas" dataDxfId="114">
      <calculatedColumnFormula>IFERROR(F4/$H$1,0)</calculatedColumnFormula>
    </tableColumn>
    <tableColumn id="8" xr3:uid="{00000000-0010-0000-0500-000008000000}" name="Horas Trabajadas" dataDxfId="113">
      <calculatedColumnFormula array="1">SUMPRODUCT(('Horarios Personal'!$D$5:$D$555=A4)*IF($F$1="Todos",1,MATCH($F$1,{"Enero","Febrero","Marzo","Abril","Mayo","Junio","Julio","Agosto","Septiembre","Octubre","Noviembre","Diciembre"},0)=IFERROR(MONTH('Horarios Personal'!$A$5:$A$555),0)),'Horarios Personal'!$G$5:$G$555)</calculatedColumnFormula>
    </tableColumn>
    <tableColumn id="10" xr3:uid="{00000000-0010-0000-0500-00000A000000}" name="Puesto" dataDxfId="112"/>
    <tableColumn id="12" xr3:uid="{00000000-0010-0000-0500-00000C000000}" name="Columna3" dataDxfId="111"/>
    <tableColumn id="11" xr3:uid="{00000000-0010-0000-0500-00000B000000}" name="Columna2" dataDxfId="110"/>
    <tableColumn id="9" xr3:uid="{00000000-0010-0000-0500-000009000000}" name="Columna1" dataDxfId="109">
      <calculatedColumnFormula>Tabla1[[#This Row],[Horas Trabajadas]]*Tabla1[[#This Row],[Columna2]]</calculatedColumnFormula>
    </tableColumn>
  </tableColumns>
  <tableStyleInfo name="Horarios Personal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4" displayName="Tabla4" ref="A3:I220" totalsRowShown="0" headerRowDxfId="108" tableBorderDxfId="107">
  <autoFilter ref="A3:I220" xr:uid="{00000000-0009-0000-0100-000007000000}"/>
  <sortState xmlns:xlrd2="http://schemas.microsoft.com/office/spreadsheetml/2017/richdata2" ref="A4:I220">
    <sortCondition ref="A4:A220"/>
  </sortState>
  <tableColumns count="9">
    <tableColumn id="1" xr3:uid="{00000000-0010-0000-0600-000001000000}" name="Fecha" dataDxfId="106"/>
    <tableColumn id="2" xr3:uid="{00000000-0010-0000-0600-000002000000}" name="Día" dataDxfId="105">
      <calculatedColumnFormula>TEXT($A4,"ddd")</calculatedColumnFormula>
    </tableColumn>
    <tableColumn id="3" xr3:uid="{00000000-0010-0000-0600-000003000000}" name="Mañana €" dataDxfId="104"/>
    <tableColumn id="4" xr3:uid="{00000000-0010-0000-0600-000004000000}" name="Mediodía €" dataDxfId="103"/>
    <tableColumn id="5" xr3:uid="{00000000-0010-0000-0600-000005000000}" name="Noche €" dataDxfId="102"/>
    <tableColumn id="6" xr3:uid="{00000000-0010-0000-0600-000006000000}" name="Total Día €" dataDxfId="101">
      <calculatedColumnFormula>SUM(C4:E4)</calculatedColumnFormula>
    </tableColumn>
    <tableColumn id="7" xr3:uid="{00000000-0010-0000-0600-000007000000}" name="Coste Personal" dataDxfId="100"/>
    <tableColumn id="8" xr3:uid="{00000000-0010-0000-0600-000008000000}" name="Margen €" dataDxfId="99"/>
    <tableColumn id="9" xr3:uid="{00000000-0010-0000-0600-000009000000}" name="Evento / Nota" dataDxfId="98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8" displayName="Tabla8" ref="I2:O1796" totalsRowShown="0" headerRowDxfId="97" dataDxfId="96">
  <autoFilter ref="I2:O1796" xr:uid="{00000000-0009-0000-0100-000008000000}"/>
  <sortState xmlns:xlrd2="http://schemas.microsoft.com/office/spreadsheetml/2017/richdata2" ref="I3:O1677">
    <sortCondition ref="I2:I1677"/>
  </sortState>
  <tableColumns count="7">
    <tableColumn id="1" xr3:uid="{00000000-0010-0000-0700-000001000000}" name="Fecha" dataDxfId="95"/>
    <tableColumn id="2" xr3:uid="{00000000-0010-0000-0700-000002000000}" name="Hora" dataDxfId="94"/>
    <tableColumn id="3" xr3:uid="{00000000-0010-0000-0700-000003000000}" name="Importe" dataDxfId="93"/>
    <tableColumn id="4" xr3:uid="{00000000-0010-0000-0700-000004000000}" name="Nº Comensales2" dataDxfId="92"/>
    <tableColumn id="5" xr3:uid="{00000000-0010-0000-0700-000005000000}" name="DIA" dataDxfId="91"/>
    <tableColumn id="6" xr3:uid="{00000000-0010-0000-0700-000006000000}" name="Turno" dataDxfId="90"/>
    <tableColumn id="7" xr3:uid="{00000000-0010-0000-0700-000007000000}" name="Columna1" dataDxfId="89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9" displayName="Tabla9" ref="Q2:V199" totalsRowShown="0" headerRowDxfId="88" dataDxfId="87" tableBorderDxfId="86">
  <autoFilter ref="Q2:V199" xr:uid="{00000000-0009-0000-0100-000009000000}"/>
  <sortState xmlns:xlrd2="http://schemas.microsoft.com/office/spreadsheetml/2017/richdata2" ref="Q3:V190">
    <sortCondition ref="Q2:Q190"/>
  </sortState>
  <tableColumns count="6">
    <tableColumn id="1" xr3:uid="{00000000-0010-0000-0800-000001000000}" name="Fecha" dataDxfId="85"/>
    <tableColumn id="2" xr3:uid="{00000000-0010-0000-0800-000002000000}" name="DIA" dataDxfId="84">
      <calculatedColumnFormula>TEXT(Tabla9[[#This Row],[Fecha]],"dddd")</calculatedColumnFormula>
    </tableColumn>
    <tableColumn id="3" xr3:uid="{00000000-0010-0000-0800-000003000000}" name="Turno" dataDxfId="83"/>
    <tableColumn id="4" xr3:uid="{00000000-0010-0000-0800-000004000000}" name="Nº Comensales2" dataDxfId="82"/>
    <tableColumn id="5" xr3:uid="{00000000-0010-0000-0800-000005000000}" name="Subtotal2" dataDxfId="81"/>
    <tableColumn id="6" xr3:uid="{00000000-0010-0000-0800-000006000000}" name="Columna1" dataDxfId="80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a10" displayName="Tabla10" ref="A2:E199" totalsRowCount="1" headerRowDxfId="79">
  <autoFilter ref="A2:E198" xr:uid="{00000000-0009-0000-0100-00000A000000}"/>
  <tableColumns count="5">
    <tableColumn id="1" xr3:uid="{00000000-0010-0000-0900-000001000000}" name="Fecha" totalsRowFunction="custom" dataDxfId="78" totalsRowDxfId="4">
      <totalsRowFormula>46135</totalsRowFormula>
    </tableColumn>
    <tableColumn id="2" xr3:uid="{00000000-0010-0000-0900-000002000000}" name="Turno" totalsRowLabel="Noche" totalsRowDxfId="3"/>
    <tableColumn id="3" xr3:uid="{00000000-0010-0000-0900-000003000000}" name="Importe Caja 1" totalsRowFunction="custom" dataDxfId="77" totalsRowDxfId="2">
      <totalsRowFormula array="1">SUMPRODUCT(($I$3:$I$5028=A199)*($N$3:$N$5028=B199)*$K$3:$K$5028)</totalsRowFormula>
    </tableColumn>
    <tableColumn id="4" xr3:uid="{00000000-0010-0000-0900-000004000000}" name="Importe Caja 2" totalsRowFunction="custom" dataDxfId="76" totalsRowDxfId="1">
      <totalsRowFormula array="1">SUMPRODUCT(($Q$3:$Q$4998=A199)*($S$3:$S$4998=B199)*$U$3:$U$4998)</totalsRowFormula>
    </tableColumn>
    <tableColumn id="5" xr3:uid="{00000000-0010-0000-0900-000005000000}" name="Total" totalsRowFunction="custom" dataDxfId="75" totalsRowDxfId="0">
      <calculatedColumnFormula>C3+D3</calculatedColumnFormula>
      <totalsRowFormula>C199+D199</totalsRowFormula>
    </tableColumn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a_Pivot_Facturacion" displayName="Tabla_Pivot_Facturacion" ref="Y2:Z927" totalsRowShown="0">
  <autoFilter ref="Y2:Z927" xr:uid="{00000000-0009-0000-0100-00000B000000}"/>
  <tableColumns count="2">
    <tableColumn id="1" xr3:uid="{00000000-0010-0000-0A00-000001000000}" name="Etiquetas de fila" dataDxfId="74"/>
    <tableColumn id="2" xr3:uid="{00000000-0010-0000-0A00-000002000000}" name="Suma de Total Facturación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a5" displayName="Tabla5" ref="A3:L253" totalsRowShown="0" headerRowDxfId="73" tableBorderDxfId="72">
  <autoFilter ref="A3:L253" xr:uid="{00000000-0009-0000-0100-00000C000000}"/>
  <sortState xmlns:xlrd2="http://schemas.microsoft.com/office/spreadsheetml/2017/richdata2" ref="A4:L253">
    <sortCondition ref="A4:A253"/>
  </sortState>
  <tableColumns count="12">
    <tableColumn id="1" xr3:uid="{00000000-0010-0000-0B00-000001000000}" name="Fecha" dataDxfId="71"/>
    <tableColumn id="2" xr3:uid="{00000000-0010-0000-0B00-000002000000}" name="Día" dataDxfId="70">
      <calculatedColumnFormula>TEXT($A4,"ddd")</calculatedColumnFormula>
    </tableColumn>
    <tableColumn id="3" xr3:uid="{00000000-0010-0000-0B00-000003000000}" name="Mañana €" dataDxfId="69">
      <calculatedColumnFormula>SUMIFS('Detalle Turnos'!$E:$E,'Detalle Turnos'!$A:$A,$A4,'Detalle Turnos'!$B:$B,"Mañana")</calculatedColumnFormula>
    </tableColumn>
    <tableColumn id="4" xr3:uid="{00000000-0010-0000-0B00-000004000000}" name="Mediodía €" dataDxfId="68">
      <calculatedColumnFormula>SUMIFS('Detalle Turnos'!$E:$E,'Detalle Turnos'!$A:$A,$A4,'Detalle Turnos'!$B:$B,"Mediodia")</calculatedColumnFormula>
    </tableColumn>
    <tableColumn id="5" xr3:uid="{00000000-0010-0000-0B00-000005000000}" name="Noche €" dataDxfId="67">
      <calculatedColumnFormula>SUMIFS('Detalle Turnos'!$E:$E,'Detalle Turnos'!$A:$A,$A4,'Detalle Turnos'!$B:$B,"Noche")</calculatedColumnFormula>
    </tableColumn>
    <tableColumn id="6" xr3:uid="{00000000-0010-0000-0B00-000006000000}" name="Total Real €" dataDxfId="66">
      <calculatedColumnFormula>SUM(C4:E4)</calculatedColumnFormula>
    </tableColumn>
    <tableColumn id="7" xr3:uid="{00000000-0010-0000-0B00-000007000000}" name="Previsto €" dataDxfId="65">
      <calculatedColumnFormula>IFERROR(IF(ISNUMBER(MATCH($A4,'Eventos y Previsión'!$B$4:$B$24,0)),INDEX('Eventos y Previsión'!$F$4:$F$24,MATCH($A4,'Eventos y Previsión'!$B$4:$B$24,0)),AVERAGEIFS('Facturación 2025'!$F$4:$F$303,'Facturación 2025'!$B$4:$B$303,$B4)),0)</calculatedColumnFormula>
    </tableColumn>
    <tableColumn id="8" xr3:uid="{00000000-0010-0000-0B00-000008000000}" name="Desviación €" dataDxfId="64">
      <calculatedColumnFormula>F4-G4</calculatedColumnFormula>
    </tableColumn>
    <tableColumn id="9" xr3:uid="{00000000-0010-0000-0B00-000009000000}" name="Desv. %" dataDxfId="63">
      <calculatedColumnFormula>IFERROR(H4/G4,0)</calculatedColumnFormula>
    </tableColumn>
    <tableColumn id="10" xr3:uid="{00000000-0010-0000-0B00-00000A000000}" name="Coste Personal" dataDxfId="62">
      <calculatedColumnFormula array="1">SUMPRODUCT(('Horarios Personal'!$A$5:$A$555=$A4)*IFERROR('Horarios Personal'!$L$5:$L$555*1,0))</calculatedColumnFormula>
    </tableColumn>
    <tableColumn id="13" xr3:uid="{00000000-0010-0000-0B00-00000D000000}" name="% Personal" dataDxfId="61">
      <calculatedColumnFormula>IFERROR(J4/F4,"")</calculatedColumnFormula>
    </tableColumn>
    <tableColumn id="11" xr3:uid="{00000000-0010-0000-0B00-00000B000000}" name="Evento" dataDxfId="60">
      <calculatedColumnFormula array="1">IFERROR(INDEX('Eventos y Previsión'!$C$4:$C$24,SUMPRODUCT((LOWER('Eventos y Previsión'!$A$4:$A$24)=LOWER(TEXT($A4,"mmmm")))*(ISNUMBER(SEARCH(TEXT(DAY($A4),"00")&amp;"/"&amp;TEXT(MONTH($A4),"00"),'Eventos y Previsión'!$B$4:$B$24)))*ROW('Eventos y Previsión'!$A$4:$A$24))-ROW('Eventos y Previsión'!$A$3)),"")</calculatedColumnFormula>
    </tableColumn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VentasCaja2" displayName="VentasCaja2" ref="A1:L1431" totalsRowShown="0" headerRowDxfId="59" dataDxfId="58" tableBorderDxfId="57">
  <autoFilter ref="A1:L1431" xr:uid="{00000000-0009-0000-0100-00000D000000}">
    <filterColumn colId="4">
      <filters>
        <filter val="Croqueta Cua de Bou"/>
      </filters>
    </filterColumn>
  </autoFilter>
  <sortState xmlns:xlrd2="http://schemas.microsoft.com/office/spreadsheetml/2017/richdata2" ref="A2:L1278">
    <sortCondition ref="B1:B1278"/>
  </sortState>
  <tableColumns count="12">
    <tableColumn id="1" xr3:uid="{00000000-0010-0000-0C00-000001000000}" name="Nº Semana" dataDxfId="14"/>
    <tableColumn id="2" xr3:uid="{00000000-0010-0000-0C00-000002000000}" name="Semana" dataDxfId="13"/>
    <tableColumn id="12" xr3:uid="{2A8D3C19-143B-BD40-B3F8-A479D999863C}" name="Columna1" dataDxfId="11"/>
    <tableColumn id="3" xr3:uid="{00000000-0010-0000-0C00-000003000000}" name="Ranking" dataDxfId="12"/>
    <tableColumn id="4" xr3:uid="{00000000-0010-0000-0C00-000004000000}" name="Producto" dataDxfId="56"/>
    <tableColumn id="5" xr3:uid="{00000000-0010-0000-0C00-000005000000}" name="Familia" dataDxfId="55"/>
    <tableColumn id="6" xr3:uid="{00000000-0010-0000-0C00-000006000000}" name="Unidades" dataDxfId="54"/>
    <tableColumn id="7" xr3:uid="{00000000-0010-0000-0C00-000007000000}" name="Cantidad" dataDxfId="53"/>
    <tableColumn id="8" xr3:uid="{00000000-0010-0000-0C00-000008000000}" name="Unidad" dataDxfId="52"/>
    <tableColumn id="9" xr3:uid="{00000000-0010-0000-0C00-000009000000}" name="Precio Venta" dataDxfId="51"/>
    <tableColumn id="10" xr3:uid="{00000000-0010-0000-0C00-00000A000000}" name="Importe" dataDxfId="50"/>
    <tableColumn id="11" xr3:uid="{00000000-0010-0000-0C00-00000B000000}" name="%" dataDxfId="4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a12" displayName="Tabla12" ref="B4:K5697" totalsRowShown="0" headerRowDxfId="48">
  <autoFilter ref="B4:K5697" xr:uid="{00000000-0009-0000-0100-00000E000000}"/>
  <sortState xmlns:xlrd2="http://schemas.microsoft.com/office/spreadsheetml/2017/richdata2" ref="B5:K5443">
    <sortCondition ref="B4:B5443"/>
  </sortState>
  <tableColumns count="10">
    <tableColumn id="1" xr3:uid="{00000000-0010-0000-0D00-000001000000}" name="FECHA" dataDxfId="47"/>
    <tableColumn id="2" xr3:uid="{00000000-0010-0000-0D00-000002000000}" name="Familia" dataDxfId="46"/>
    <tableColumn id="3" xr3:uid="{00000000-0010-0000-0D00-000003000000}" name="Producto" dataDxfId="45"/>
    <tableColumn id="4" xr3:uid="{00000000-0010-0000-0D00-000004000000}" name="CANTIDAD" dataDxfId="44"/>
    <tableColumn id="5" xr3:uid="{00000000-0010-0000-0D00-000005000000}" name=" PVP " dataDxfId="43"/>
    <tableColumn id="6" xr3:uid="{00000000-0010-0000-0D00-000006000000}" name=" TOTAL " dataDxfId="42"/>
    <tableColumn id="7" xr3:uid="{00000000-0010-0000-0D00-000007000000}" name=" NETO " dataDxfId="41">
      <calculatedColumnFormula>G5/1.1</calculatedColumnFormula>
    </tableColumn>
    <tableColumn id="8" xr3:uid="{00000000-0010-0000-0D00-000008000000}" name="% CONSUMOS" dataDxfId="40"/>
    <tableColumn id="9" xr3:uid="{00000000-0010-0000-0D00-000009000000}" name="COSTE" dataDxfId="39"/>
    <tableColumn id="10" xr3:uid="{00000000-0010-0000-0D00-00000A000000}" name=" T.Coste " dataDxfId="38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Ventas" displayName="TBL_Ventas" ref="A1:J6660" totalsRowShown="0">
  <autoFilter ref="A1:J6660" xr:uid="{00000000-0009-0000-0100-00000F000000}"/>
  <tableColumns count="10">
    <tableColumn id="1" xr3:uid="{00000000-0010-0000-0E00-000001000000}" name="Producto"/>
    <tableColumn id="2" xr3:uid="{00000000-0010-0000-0E00-000002000000}" name="Familia"/>
    <tableColumn id="3" xr3:uid="{00000000-0010-0000-0E00-000003000000}" name="Semana"/>
    <tableColumn id="4" xr3:uid="{00000000-0010-0000-0E00-000004000000}" name="Mes"/>
    <tableColumn id="5" xr3:uid="{00000000-0010-0000-0E00-000005000000}" name="Uds"/>
    <tableColumn id="6" xr3:uid="{00000000-0010-0000-0E00-000006000000}" name="Importe"/>
    <tableColumn id="7" xr3:uid="{00000000-0010-0000-0E00-000007000000}" name="Coste Unit (€)" dataDxfId="37">
      <calculatedColumnFormula>IFERROR(VLOOKUP(A2,$M$1:$P$1014,2,FALSE),0)</calculatedColumnFormula>
    </tableColumn>
    <tableColumn id="8" xr3:uid="{00000000-0010-0000-0E00-000008000000}" name="% Consumos" dataDxfId="36">
      <calculatedColumnFormula>IFERROR(VLOOKUP(A2,$M$1:$P$1014,3,FALSE),0)</calculatedColumnFormula>
    </tableColumn>
    <tableColumn id="9" xr3:uid="{00000000-0010-0000-0E00-000009000000}" name="Margen Unit (€)" dataDxfId="35">
      <calculatedColumnFormula>IFERROR(F2/E2-G2,0)</calculatedColumnFormula>
    </tableColumn>
    <tableColumn id="10" xr3:uid="{00000000-0010-0000-0E00-00000A000000}" name="Margen %" dataDxfId="34">
      <calculatedColumnFormula>IFERROR(1-G2*E2/F2,0)</calculatedColumnFormula>
    </tableColumn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a13" displayName="Tabla13" ref="A5:R205" totalsRowShown="0" headerRowDxfId="33">
  <autoFilter ref="A5:R205" xr:uid="{00000000-0009-0000-0100-000010000000}">
    <filterColumn colId="2">
      <filters>
        <filter val="Almuerzo"/>
      </filters>
    </filterColumn>
  </autoFilter>
  <tableColumns count="18">
    <tableColumn id="1" xr3:uid="{00000000-0010-0000-0F00-000001000000}" name="#"/>
    <tableColumn id="2" xr3:uid="{00000000-0010-0000-0F00-000002000000}" name="Producto"/>
    <tableColumn id="3" xr3:uid="{00000000-0010-0000-0F00-000003000000}" name="Familia"/>
    <tableColumn id="4" xr3:uid="{00000000-0010-0000-0F00-000004000000}" name="Uds Vendidas" dataDxfId="32">
      <calculatedColumnFormula>IF($B$3="Acumulado",SUMIF(TBL_Ventas[Producto],B6,TBL_Ventas[Uds]),IF($B$3="Semanal",IF($E$3="Todos",SUMIF(TBL_Ventas[Producto],B6,TBL_Ventas[Uds]),SUMIFS(TBL_Ventas[Uds],TBL_Ventas[Producto],B6,TBL_Ventas[Semana],$E$3)),IF($E$3="Todos",SUMIF(TBL_Ventas[Producto],B6,TBL_Ventas[Uds]),SUMIFS(TBL_Ventas[Uds],TBL_Ventas[Producto],B6,TBL_Ventas[Mes],$E$3))))</calculatedColumnFormula>
    </tableColumn>
    <tableColumn id="5" xr3:uid="{00000000-0010-0000-0F00-000005000000}" name="Importe (€)" dataDxfId="31">
      <calculatedColumnFormula>IF($B$3="Acumulado",SUMIF(TBL_Ventas[Producto],B6,TBL_Ventas[Importe]),IF($B$3="Semanal",IF($E$3="Todos",SUMIF(TBL_Ventas[Producto],B6,TBL_Ventas[Importe]),SUMIFS(TBL_Ventas[Importe],TBL_Ventas[Producto],B6,TBL_Ventas[Semana],$E$3)),IF($E$3="Todos",SUMIF(TBL_Ventas[Producto],B6,TBL_Ventas[Importe]),SUMIFS(TBL_Ventas[Importe],TBL_Ventas[Producto],B6,TBL_Ventas[Mes],$E$3))))</calculatedColumnFormula>
    </tableColumn>
    <tableColumn id="6" xr3:uid="{00000000-0010-0000-0F00-000006000000}" name="% Mix Uds" dataDxfId="30">
      <calculatedColumnFormula>IF(SUM(D$6:D$205)=0,0,D6/SUM(D$6:D$205))</calculatedColumnFormula>
    </tableColumn>
    <tableColumn id="7" xr3:uid="{00000000-0010-0000-0F00-000007000000}" name="% Mix Importe" dataDxfId="29">
      <calculatedColumnFormula>IF(SUM(E$6:E$205)=0,0,E6/SUM(E$6:E$205))</calculatedColumnFormula>
    </tableColumn>
    <tableColumn id="8" xr3:uid="{00000000-0010-0000-0F00-000008000000}" name="Ticket Medio (€)" dataDxfId="28">
      <calculatedColumnFormula>IF(D6=0,0,E6/D6)</calculatedColumnFormula>
    </tableColumn>
    <tableColumn id="9" xr3:uid="{00000000-0010-0000-0F00-000009000000}" name="Coste Total (€)" dataDxfId="27">
      <calculatedColumnFormula>J6*D6</calculatedColumnFormula>
    </tableColumn>
    <tableColumn id="10" xr3:uid="{00000000-0010-0000-0F00-00000A000000}" name="Coste Unit (€)" dataDxfId="26">
      <calculatedColumnFormula>IFERROR(VLOOKUP(B6,BD_Datos!$M$1:$N$1014,2,FALSE),0)</calculatedColumnFormula>
    </tableColumn>
    <tableColumn id="11" xr3:uid="{00000000-0010-0000-0F00-00000B000000}" name="Margen (€)" dataDxfId="25">
      <calculatedColumnFormula>E6-I6</calculatedColumnFormula>
    </tableColumn>
    <tableColumn id="12" xr3:uid="{00000000-0010-0000-0F00-00000C000000}" name="Margen %" dataDxfId="24">
      <calculatedColumnFormula>IF(E6=0,0,K6/E6)</calculatedColumnFormula>
    </tableColumn>
    <tableColumn id="13" xr3:uid="{00000000-0010-0000-0F00-00000D000000}" name="COS%" dataDxfId="23">
      <calculatedColumnFormula>IF(E6=0,0,I6/E6)</calculatedColumnFormula>
    </tableColumn>
    <tableColumn id="14" xr3:uid="{00000000-0010-0000-0F00-00000E000000}" name="Coste%T" dataDxfId="22">
      <calculatedColumnFormula>IF(SUM(I$6:I$205)=0,0,I6/SUM(I$6:I$205))</calculatedColumnFormula>
    </tableColumn>
    <tableColumn id="15" xr3:uid="{00000000-0010-0000-0F00-00000F000000}" name="MCU (€)" dataDxfId="21">
      <calculatedColumnFormula>IF(D6=0,0,K6/D6)</calculatedColumnFormula>
    </tableColumn>
    <tableColumn id="16" xr3:uid="{00000000-0010-0000-0F00-000010000000}" name="MCU%T" dataDxfId="20">
      <calculatedColumnFormula>IF(SUM(K$6:K$205)=0,0,K6/SUM(K$6:K$205))</calculatedColumnFormula>
    </tableColumn>
    <tableColumn id="17" xr3:uid="{00000000-0010-0000-0F00-000011000000}" name="Acum. Uds%" dataDxfId="19">
      <calculatedColumnFormula>SUM(F$6:F6)</calculatedColumnFormula>
    </tableColumn>
    <tableColumn id="18" xr3:uid="{00000000-0010-0000-0F00-000012000000}" name="Acum. Margen%" dataDxfId="18">
      <calculatedColumnFormula>SUM(P$6:P6)</calculatedColumnFormula>
    </tableColumn>
  </tableColumns>
  <tableStyleInfo name="TableStyleMedium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ProductMixUnificado" displayName="ProductMixUnificado" ref="A1:F1088" totalsRowShown="0" headerRowDxfId="17">
  <autoFilter ref="A1:F1088" xr:uid="{00000000-0009-0000-0100-000011000000}"/>
  <tableColumns count="6">
    <tableColumn id="1" xr3:uid="{00000000-0010-0000-1000-000001000000}" name="Período"/>
    <tableColumn id="2" xr3:uid="{00000000-0010-0000-1000-000002000000}" name="Ranking"/>
    <tableColumn id="3" xr3:uid="{00000000-0010-0000-1000-000003000000}" name="Producto"/>
    <tableColumn id="4" xr3:uid="{00000000-0010-0000-1000-000004000000}" name="Familia"/>
    <tableColumn id="5" xr3:uid="{00000000-0010-0000-1000-000005000000}" name="Unidades" dataDxfId="16"/>
    <tableColumn id="6" xr3:uid="{00000000-0010-0000-1000-000006000000}" name="Cantidad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2DBD53-0CF7-4243-A77D-07414BADC1D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6dff5f2-5fd4-4681-8504-1d91551f2e76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4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B981"/>
  </sheetPr>
  <dimension ref="A1:F50"/>
  <sheetViews>
    <sheetView topLeftCell="A26" zoomScale="163" workbookViewId="0">
      <selection activeCell="C36" sqref="C36"/>
    </sheetView>
  </sheetViews>
  <sheetFormatPr baseColWidth="10" defaultColWidth="11.5" defaultRowHeight="15"/>
  <cols>
    <col min="1" max="1" width="0.83203125" customWidth="1"/>
    <col min="2" max="2" width="30" customWidth="1"/>
    <col min="3" max="4" width="16.6640625" customWidth="1"/>
    <col min="5" max="6" width="20" customWidth="1"/>
  </cols>
  <sheetData>
    <row r="1" spans="1:6" ht="19" customHeight="1">
      <c r="A1" s="428"/>
      <c r="B1" s="543" t="s">
        <v>0</v>
      </c>
      <c r="C1" s="544"/>
      <c r="D1" s="544"/>
      <c r="E1" s="544"/>
      <c r="F1" s="544"/>
    </row>
    <row r="2" spans="1:6">
      <c r="A2" s="428"/>
      <c r="B2" s="545" t="s">
        <v>1</v>
      </c>
      <c r="C2" s="428"/>
      <c r="D2" s="428"/>
      <c r="E2" s="428"/>
      <c r="F2" s="428"/>
    </row>
    <row r="3" spans="1:6">
      <c r="A3" s="428"/>
      <c r="B3" s="428"/>
      <c r="C3" s="428"/>
      <c r="D3" s="428"/>
      <c r="E3" s="428"/>
      <c r="F3" s="428"/>
    </row>
    <row r="4" spans="1:6" ht="16" customHeight="1">
      <c r="A4" s="428"/>
      <c r="B4" s="546" t="s">
        <v>2</v>
      </c>
      <c r="C4" s="428"/>
      <c r="D4" s="428"/>
      <c r="E4" s="428"/>
      <c r="F4" s="428"/>
    </row>
    <row r="5" spans="1:6">
      <c r="A5" s="428"/>
      <c r="B5" s="177" t="s">
        <v>3</v>
      </c>
      <c r="C5" s="178" t="s">
        <v>4</v>
      </c>
      <c r="D5" s="178" t="s">
        <v>5</v>
      </c>
      <c r="E5" s="178" t="s">
        <v>6</v>
      </c>
      <c r="F5" s="179" t="s">
        <v>7</v>
      </c>
    </row>
    <row r="6" spans="1:6">
      <c r="A6" s="428"/>
      <c r="B6" s="180" t="s">
        <v>8</v>
      </c>
      <c r="C6" s="181">
        <f>COUNTA('Detalle Turnos'!I3:I5022)-1</f>
        <v>1793</v>
      </c>
      <c r="D6" s="196" t="str">
        <f>TEXT(MIN('Detalle Turnos'!I3:I5022),"dd/mm/yy")&amp;" → "&amp;TEXT(MAX('Detalle Turnos'!I3:I5022),"dd/mm/yy")</f>
        <v>02/01/yy → 01/05/yy</v>
      </c>
      <c r="E6" s="182" t="s">
        <v>9</v>
      </c>
      <c r="F6" s="183" t="str">
        <f>IF(C6&gt;0,"✅ "&amp;C6&amp;" tickets","❌ Vacío")</f>
        <v>✅ 1793 tickets</v>
      </c>
    </row>
    <row r="7" spans="1:6">
      <c r="A7" s="428"/>
      <c r="B7" s="184" t="s">
        <v>10</v>
      </c>
      <c r="C7" s="185">
        <f>COUNTA('Detalle Turnos'!Q3:Q4992)-1</f>
        <v>204</v>
      </c>
      <c r="D7" s="197" t="str">
        <f>TEXT(MIN('Detalle Turnos'!Q3:Q4992),"dd/mm/yy")&amp;" → "&amp;TEXT(MAX('Detalle Turnos'!Q3:Q4992),"dd/mm/yy")</f>
        <v>02/01/yy → 30/04/yy</v>
      </c>
      <c r="E7" s="186" t="s">
        <v>11</v>
      </c>
      <c r="F7" s="187" t="str">
        <f>IF(C7&gt;0,"✅ "&amp;C7&amp;" tickets","❌ Vacío")</f>
        <v>✅ 204 tickets</v>
      </c>
    </row>
    <row r="8" spans="1:6">
      <c r="A8" s="428"/>
      <c r="B8" s="188" t="s">
        <v>12</v>
      </c>
      <c r="C8" s="189">
        <f>COUNTA('Horarios Personal'!A5:A602)-COUNTBLANK('Horarios Personal'!A5:A602)</f>
        <v>598</v>
      </c>
      <c r="D8" s="198" t="str">
        <f>IFERROR(TEXT(MIN(DATEVALUE(LEFT('Horarios Personal'!A5,2)&amp;"/"&amp;MID('Horarios Personal'!A5,4,2)&amp;"/"&amp;RIGHT('Horarios Personal'!A5,4))),"dd/mm/yy")&amp;" → "&amp;'Horarios Personal'!A551,"Ene → Abr 2026")</f>
        <v>Ene → Abr 2026</v>
      </c>
      <c r="E8" s="190" t="s">
        <v>13</v>
      </c>
      <c r="F8" s="191" t="str">
        <f>IF(C8&gt;0,"✅ "&amp;C8&amp;" registros","❌ Vacío")</f>
        <v>✅ 598 registros</v>
      </c>
    </row>
    <row r="9" spans="1:6">
      <c r="A9" s="428"/>
      <c r="B9" s="192" t="s">
        <v>14</v>
      </c>
      <c r="C9" s="193">
        <f>COUNTA('Ventas Caja 1'!B5:B7550)</f>
        <v>5693</v>
      </c>
      <c r="D9" s="199" t="str">
        <f>IFERROR(TEXT(MIN('Ventas Caja 1'!B5:B7550),"dd/mm/yy")&amp;" → "&amp;TEXT(MAX('Ventas Caja 1'!B5:B7550),"dd/mm/yy"),"")</f>
        <v>02/01/yy → 01/05/yy</v>
      </c>
      <c r="E9" s="194" t="s">
        <v>15</v>
      </c>
      <c r="F9" s="195" t="str">
        <f>IF(C9&gt;0,"✅ "&amp;C9&amp;" líneas","❌ Vacío")</f>
        <v>✅ 5693 líneas</v>
      </c>
    </row>
    <row r="10" spans="1:6">
      <c r="A10" s="428"/>
      <c r="B10" s="428"/>
      <c r="C10" s="428"/>
      <c r="D10" s="428"/>
      <c r="E10" s="428"/>
      <c r="F10" s="428"/>
    </row>
    <row r="11" spans="1:6" ht="16" customHeight="1">
      <c r="A11" s="428"/>
      <c r="B11" s="546" t="s">
        <v>16</v>
      </c>
      <c r="C11" s="428"/>
      <c r="D11" s="428"/>
      <c r="E11" s="428"/>
      <c r="F11" s="428"/>
    </row>
    <row r="12" spans="1:6">
      <c r="A12" s="428"/>
      <c r="B12" s="428"/>
      <c r="C12" s="428"/>
      <c r="D12" s="428"/>
      <c r="E12" s="428"/>
      <c r="F12" s="428"/>
    </row>
    <row r="13" spans="1:6">
      <c r="A13" s="428"/>
      <c r="B13" s="547" t="s">
        <v>17</v>
      </c>
      <c r="C13" s="548"/>
      <c r="D13" s="548"/>
      <c r="E13" s="548"/>
      <c r="F13" s="548"/>
    </row>
    <row r="14" spans="1:6">
      <c r="A14" s="428"/>
      <c r="B14" s="549" t="s">
        <v>18</v>
      </c>
      <c r="C14" s="428" t="s">
        <v>19</v>
      </c>
      <c r="D14" s="428"/>
      <c r="E14" s="428"/>
      <c r="F14" s="428"/>
    </row>
    <row r="15" spans="1:6">
      <c r="A15" s="428"/>
      <c r="B15" s="549" t="s">
        <v>20</v>
      </c>
      <c r="C15" s="428" t="s">
        <v>21</v>
      </c>
      <c r="D15" s="428"/>
      <c r="E15" s="428"/>
      <c r="F15" s="428"/>
    </row>
    <row r="16" spans="1:6">
      <c r="A16" s="428"/>
      <c r="B16" s="549" t="s">
        <v>22</v>
      </c>
      <c r="C16" s="428" t="s">
        <v>23</v>
      </c>
      <c r="D16" s="428"/>
      <c r="E16" s="428"/>
      <c r="F16" s="428"/>
    </row>
    <row r="17" spans="1:6">
      <c r="A17" s="428"/>
      <c r="B17" s="549" t="s">
        <v>24</v>
      </c>
      <c r="C17" s="428" t="s">
        <v>25</v>
      </c>
      <c r="D17" s="428"/>
      <c r="E17" s="428"/>
      <c r="F17" s="428"/>
    </row>
    <row r="18" spans="1:6">
      <c r="A18" s="428"/>
      <c r="B18" s="428"/>
      <c r="C18" s="428"/>
      <c r="D18" s="428"/>
      <c r="E18" s="428"/>
      <c r="F18" s="428"/>
    </row>
    <row r="19" spans="1:6">
      <c r="A19" s="428"/>
      <c r="B19" s="550" t="s">
        <v>26</v>
      </c>
      <c r="C19" s="551"/>
      <c r="D19" s="551"/>
      <c r="E19" s="551"/>
      <c r="F19" s="551"/>
    </row>
    <row r="20" spans="1:6">
      <c r="A20" s="428"/>
      <c r="B20" s="549" t="s">
        <v>18</v>
      </c>
      <c r="C20" s="428" t="s">
        <v>19</v>
      </c>
      <c r="D20" s="428"/>
      <c r="E20" s="428"/>
      <c r="F20" s="428"/>
    </row>
    <row r="21" spans="1:6">
      <c r="A21" s="428"/>
      <c r="B21" s="549" t="s">
        <v>20</v>
      </c>
      <c r="C21" s="428" t="s">
        <v>27</v>
      </c>
      <c r="D21" s="428"/>
      <c r="E21" s="428"/>
      <c r="F21" s="428"/>
    </row>
    <row r="22" spans="1:6">
      <c r="A22" s="428"/>
      <c r="B22" s="549" t="s">
        <v>22</v>
      </c>
      <c r="C22" s="428" t="s">
        <v>28</v>
      </c>
      <c r="D22" s="428"/>
      <c r="E22" s="428"/>
      <c r="F22" s="428"/>
    </row>
    <row r="23" spans="1:6">
      <c r="A23" s="428"/>
      <c r="B23" s="549" t="s">
        <v>24</v>
      </c>
      <c r="C23" s="428" t="s">
        <v>29</v>
      </c>
      <c r="D23" s="428"/>
      <c r="E23" s="428"/>
      <c r="F23" s="428"/>
    </row>
    <row r="24" spans="1:6">
      <c r="A24" s="428"/>
      <c r="B24" s="428"/>
      <c r="C24" s="428"/>
      <c r="D24" s="428"/>
      <c r="E24" s="428"/>
      <c r="F24" s="428"/>
    </row>
    <row r="25" spans="1:6">
      <c r="A25" s="428"/>
      <c r="B25" s="552" t="s">
        <v>30</v>
      </c>
      <c r="C25" s="553"/>
      <c r="D25" s="553"/>
      <c r="E25" s="553"/>
      <c r="F25" s="553"/>
    </row>
    <row r="26" spans="1:6">
      <c r="A26" s="428"/>
      <c r="B26" s="549" t="s">
        <v>18</v>
      </c>
      <c r="C26" s="428" t="s">
        <v>31</v>
      </c>
      <c r="D26" s="428"/>
      <c r="E26" s="428"/>
      <c r="F26" s="428"/>
    </row>
    <row r="27" spans="1:6">
      <c r="A27" s="428"/>
      <c r="B27" s="549" t="s">
        <v>20</v>
      </c>
      <c r="C27" s="428" t="s">
        <v>32</v>
      </c>
      <c r="D27" s="428"/>
      <c r="E27" s="428"/>
      <c r="F27" s="428"/>
    </row>
    <row r="28" spans="1:6">
      <c r="A28" s="428"/>
      <c r="B28" s="549" t="s">
        <v>22</v>
      </c>
      <c r="C28" s="428" t="s">
        <v>33</v>
      </c>
      <c r="D28" s="428"/>
      <c r="E28" s="428"/>
      <c r="F28" s="428"/>
    </row>
    <row r="29" spans="1:6">
      <c r="A29" s="428"/>
      <c r="B29" s="549" t="s">
        <v>24</v>
      </c>
      <c r="C29" s="428" t="s">
        <v>34</v>
      </c>
      <c r="D29" s="428"/>
      <c r="E29" s="428"/>
      <c r="F29" s="428"/>
    </row>
    <row r="30" spans="1:6">
      <c r="A30" s="428"/>
      <c r="B30" s="554" t="s">
        <v>35</v>
      </c>
      <c r="C30" s="555" t="s">
        <v>36</v>
      </c>
      <c r="D30" s="428"/>
      <c r="E30" s="428"/>
      <c r="F30" s="428"/>
    </row>
    <row r="31" spans="1:6">
      <c r="A31" s="428"/>
      <c r="B31" s="428"/>
      <c r="C31" s="428"/>
      <c r="D31" s="428"/>
      <c r="E31" s="428"/>
      <c r="F31" s="428"/>
    </row>
    <row r="32" spans="1:6">
      <c r="A32" s="428"/>
      <c r="B32" s="556" t="s">
        <v>37</v>
      </c>
      <c r="C32" s="557"/>
      <c r="D32" s="557"/>
      <c r="E32" s="557"/>
      <c r="F32" s="557"/>
    </row>
    <row r="33" spans="1:6">
      <c r="A33" s="428"/>
      <c r="B33" s="549" t="s">
        <v>18</v>
      </c>
      <c r="C33" s="428" t="s">
        <v>38</v>
      </c>
      <c r="D33" s="428"/>
      <c r="E33" s="428"/>
      <c r="F33" s="428"/>
    </row>
    <row r="34" spans="1:6">
      <c r="A34" s="428"/>
      <c r="B34" s="549" t="s">
        <v>20</v>
      </c>
      <c r="C34" s="428" t="s">
        <v>39</v>
      </c>
      <c r="D34" s="428"/>
      <c r="E34" s="428"/>
      <c r="F34" s="428"/>
    </row>
    <row r="35" spans="1:6">
      <c r="A35" s="428"/>
      <c r="B35" s="549" t="s">
        <v>22</v>
      </c>
      <c r="C35" s="428" t="s">
        <v>40</v>
      </c>
      <c r="D35" s="428"/>
      <c r="E35" s="428"/>
      <c r="F35" s="428"/>
    </row>
    <row r="36" spans="1:6">
      <c r="A36" s="428"/>
      <c r="B36" s="549" t="s">
        <v>24</v>
      </c>
      <c r="C36" s="428" t="s">
        <v>41</v>
      </c>
      <c r="D36" s="428"/>
      <c r="E36" s="428"/>
      <c r="F36" s="428"/>
    </row>
    <row r="37" spans="1:6">
      <c r="A37" s="428"/>
      <c r="B37" s="428"/>
      <c r="C37" s="428"/>
      <c r="D37" s="428"/>
      <c r="E37" s="428"/>
      <c r="F37" s="428"/>
    </row>
    <row r="38" spans="1:6" ht="16" customHeight="1">
      <c r="A38" s="428"/>
      <c r="B38" s="546" t="s">
        <v>42</v>
      </c>
      <c r="C38" s="428"/>
      <c r="D38" s="428"/>
      <c r="E38" s="428"/>
      <c r="F38" s="428"/>
    </row>
    <row r="39" spans="1:6">
      <c r="A39" s="428"/>
      <c r="B39" s="558" t="s">
        <v>43</v>
      </c>
      <c r="C39" s="428"/>
      <c r="D39" s="428"/>
      <c r="E39" s="428"/>
      <c r="F39" s="428"/>
    </row>
    <row r="40" spans="1:6">
      <c r="A40" s="428"/>
      <c r="B40" s="428"/>
      <c r="C40" s="428"/>
      <c r="D40" s="428"/>
      <c r="E40" s="428"/>
      <c r="F40" s="428"/>
    </row>
    <row r="41" spans="1:6" ht="19" customHeight="1">
      <c r="A41" s="428"/>
      <c r="B41" s="559" t="s">
        <v>44</v>
      </c>
      <c r="C41" s="560" t="s">
        <v>45</v>
      </c>
      <c r="D41" s="561" t="s">
        <v>19</v>
      </c>
      <c r="E41" s="560" t="s">
        <v>45</v>
      </c>
      <c r="F41" s="562" t="s">
        <v>46</v>
      </c>
    </row>
    <row r="42" spans="1:6">
      <c r="A42" s="428"/>
      <c r="B42" s="563"/>
      <c r="C42" s="564"/>
      <c r="D42" s="565" t="s">
        <v>47</v>
      </c>
      <c r="E42" s="564"/>
      <c r="F42" s="566" t="s">
        <v>48</v>
      </c>
    </row>
    <row r="43" spans="1:6">
      <c r="A43" s="428"/>
      <c r="B43" s="428"/>
      <c r="C43" s="428"/>
      <c r="D43" s="428"/>
      <c r="E43" s="428"/>
      <c r="F43" s="428"/>
    </row>
    <row r="44" spans="1:6" ht="19" customHeight="1">
      <c r="A44" s="428"/>
      <c r="B44" s="567" t="s">
        <v>49</v>
      </c>
      <c r="C44" s="560" t="s">
        <v>45</v>
      </c>
      <c r="D44" s="568" t="s">
        <v>50</v>
      </c>
      <c r="E44" s="560" t="s">
        <v>45</v>
      </c>
      <c r="F44" s="569" t="s">
        <v>51</v>
      </c>
    </row>
    <row r="45" spans="1:6">
      <c r="A45" s="428"/>
      <c r="B45" s="570"/>
      <c r="C45" s="428"/>
      <c r="D45" s="571" t="s">
        <v>52</v>
      </c>
      <c r="E45" s="428"/>
      <c r="F45" s="572" t="s">
        <v>53</v>
      </c>
    </row>
    <row r="46" spans="1:6">
      <c r="A46" s="428"/>
      <c r="B46" s="428"/>
      <c r="C46" s="428"/>
      <c r="D46" s="428"/>
      <c r="E46" s="428"/>
      <c r="F46" s="428"/>
    </row>
    <row r="47" spans="1:6">
      <c r="A47" s="428"/>
      <c r="B47" s="428"/>
      <c r="C47" s="428"/>
      <c r="D47" s="428"/>
      <c r="E47" s="428"/>
      <c r="F47" s="428"/>
    </row>
    <row r="48" spans="1:6">
      <c r="A48" s="428"/>
      <c r="B48" s="428"/>
      <c r="C48" s="428"/>
      <c r="D48" s="428"/>
      <c r="E48" s="428"/>
      <c r="F48" s="428"/>
    </row>
    <row r="49" spans="1:6">
      <c r="A49" s="428"/>
      <c r="B49" s="428"/>
      <c r="C49" s="428"/>
      <c r="D49" s="428"/>
      <c r="E49" s="428"/>
      <c r="F49" s="428"/>
    </row>
    <row r="50" spans="1:6">
      <c r="A50" s="428"/>
      <c r="B50" s="428"/>
      <c r="C50" s="428"/>
      <c r="D50" s="428"/>
      <c r="E50" s="428"/>
      <c r="F50" s="4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60"/>
  <sheetViews>
    <sheetView showGridLines="0" topLeftCell="A129" zoomScale="150" workbookViewId="0">
      <selection activeCell="A3" sqref="A3:P46"/>
    </sheetView>
  </sheetViews>
  <sheetFormatPr baseColWidth="10" defaultColWidth="14.5" defaultRowHeight="15" customHeight="1"/>
  <cols>
    <col min="1" max="1" width="28.33203125" customWidth="1"/>
    <col min="2" max="2" width="32.5" customWidth="1"/>
    <col min="3" max="7" width="13" customWidth="1"/>
    <col min="8" max="8" width="20" customWidth="1"/>
    <col min="9" max="9" width="13" customWidth="1"/>
    <col min="10" max="10" width="14.1640625" customWidth="1"/>
    <col min="11" max="14" width="13" customWidth="1"/>
    <col min="15" max="26" width="8.6640625" customWidth="1"/>
  </cols>
  <sheetData>
    <row r="1" spans="1:14" ht="31.5" customHeight="1">
      <c r="A1" s="1168" t="s">
        <v>54</v>
      </c>
      <c r="B1" s="1140"/>
      <c r="C1" s="1140"/>
      <c r="D1" s="1140"/>
      <c r="E1" s="1140"/>
      <c r="F1" s="1140"/>
      <c r="G1" s="1140"/>
      <c r="H1" s="1140"/>
      <c r="I1" s="1140"/>
      <c r="J1" s="1140"/>
      <c r="K1" s="1140"/>
      <c r="L1" s="1140"/>
      <c r="M1" s="1140"/>
      <c r="N1" s="1140"/>
    </row>
    <row r="2" spans="1:14" ht="15.75" customHeight="1">
      <c r="A2" s="1186" t="s">
        <v>55</v>
      </c>
      <c r="B2" s="1140"/>
      <c r="C2" s="1140"/>
      <c r="D2" s="1140"/>
      <c r="E2" s="1140"/>
      <c r="F2" s="1140"/>
      <c r="G2" s="1140"/>
      <c r="H2" s="1140"/>
      <c r="I2" s="1140"/>
      <c r="J2" s="1140"/>
      <c r="K2" s="1140"/>
      <c r="L2" s="1140"/>
      <c r="M2" s="1140"/>
      <c r="N2" s="1140"/>
    </row>
    <row r="3" spans="1:14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</row>
    <row r="4" spans="1:14" ht="21.75" customHeight="1">
      <c r="A4" s="1144" t="s">
        <v>56</v>
      </c>
      <c r="B4" s="1140"/>
      <c r="C4" s="1140"/>
      <c r="D4" s="1140"/>
      <c r="E4" s="1140"/>
      <c r="F4" s="1140"/>
      <c r="G4" s="1140"/>
      <c r="H4" s="1140"/>
      <c r="I4" s="1140"/>
      <c r="J4" s="1140"/>
      <c r="K4" s="1140"/>
      <c r="L4" s="1140"/>
      <c r="M4" s="1140"/>
      <c r="N4" s="1140"/>
    </row>
    <row r="5" spans="1:14" ht="27.75" customHeight="1">
      <c r="A5" s="1188" t="s">
        <v>57</v>
      </c>
      <c r="B5" s="1140"/>
      <c r="C5" s="1164" t="s">
        <v>58</v>
      </c>
      <c r="D5" s="1140"/>
      <c r="E5" s="1165" t="s">
        <v>59</v>
      </c>
      <c r="F5" s="1140"/>
      <c r="G5" s="1193" t="s">
        <v>60</v>
      </c>
      <c r="H5" s="1140"/>
      <c r="I5" s="1193" t="s">
        <v>61</v>
      </c>
      <c r="J5" s="1140"/>
      <c r="K5" s="1176" t="s">
        <v>62</v>
      </c>
      <c r="L5" s="1140"/>
      <c r="M5" s="1178" t="s">
        <v>63</v>
      </c>
      <c r="N5" s="1140"/>
    </row>
    <row r="6" spans="1:14" ht="30" customHeight="1">
      <c r="A6" s="1153" t="str">
        <f>TEXT('Facturación 2026'!P16,"#.##0"&amp;" €")</f>
        <v>105.333 €</v>
      </c>
      <c r="B6" s="1140"/>
      <c r="C6" s="1182" t="str">
        <f>TEXT('Facturación 2026'!Q16,"#.##0"&amp;" €")</f>
        <v>390.218 €</v>
      </c>
      <c r="D6" s="1140"/>
      <c r="E6" s="1156" t="str">
        <f t="array" ref="E6">TEXT(SUMPRODUCT(('Facturación 2026'!$J$4:$J$253)*1),"#.##0"&amp;" €")</f>
        <v>25.355 €</v>
      </c>
      <c r="F6" s="1140"/>
      <c r="G6" s="1157" t="str">
        <f t="array" ref="G6">TEXT(IFERROR(SUMPRODUCT(('Facturación 2026'!$J$4:$J$253)*1)/'Facturación 2026'!P16,0),"0,0%")</f>
        <v>24,1%</v>
      </c>
      <c r="H6" s="1140"/>
      <c r="I6" s="1157" t="str">
        <f t="array" ref="I6">TEXT('Facturación 2026'!P16-SUMPRODUCT(('Facturación 2026'!$J$4:$J$253)*1),"#.##0"&amp;" €")</f>
        <v>79.978 €</v>
      </c>
      <c r="J6" s="1140"/>
      <c r="K6" s="1192" t="str">
        <f>TEXT(INDEX('Facturación 2026'!$A$4:$A$253,MATCH(MAX('Facturación 2026'!$F$4:$F$253),'Facturación 2026'!$F$4:$F$253,0)),"dd/mm")&amp;" — "&amp;TEXT(MAX('Facturación 2026'!$F$4:$F$253),"#.##0")&amp;"€"</f>
        <v>07/02 — 3.908€</v>
      </c>
      <c r="L6" s="1140"/>
      <c r="M6" s="1158" t="s">
        <v>64</v>
      </c>
      <c r="N6" s="1140"/>
    </row>
    <row r="7" spans="1:14" ht="9.75" customHeight="1">
      <c r="A7" s="1140"/>
      <c r="B7" s="1140"/>
      <c r="C7" s="1140"/>
      <c r="D7" s="1140"/>
      <c r="E7" s="1140"/>
      <c r="F7" s="1140"/>
      <c r="G7" s="1140"/>
      <c r="H7" s="1140"/>
      <c r="I7" s="1140"/>
      <c r="J7" s="1140"/>
      <c r="K7" s="1140"/>
      <c r="L7" s="1140"/>
      <c r="M7" s="1140"/>
      <c r="N7" s="1140"/>
    </row>
    <row r="8" spans="1:14">
      <c r="A8" s="145"/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</row>
    <row r="9" spans="1:14" ht="19.5" customHeight="1">
      <c r="A9" s="1144" t="s">
        <v>65</v>
      </c>
      <c r="B9" s="1140"/>
      <c r="C9" s="1140"/>
      <c r="D9" s="1140"/>
      <c r="E9" s="1140"/>
      <c r="F9" s="1140"/>
      <c r="G9" s="1140"/>
      <c r="H9" s="1140"/>
      <c r="I9" s="1140"/>
      <c r="J9" s="1140"/>
      <c r="K9" s="1140"/>
      <c r="L9" s="1140"/>
      <c r="M9" s="1140"/>
      <c r="N9" s="1140"/>
    </row>
    <row r="10" spans="1:14" ht="19.5" customHeight="1">
      <c r="A10" s="2" t="s">
        <v>66</v>
      </c>
      <c r="B10" s="3" t="s">
        <v>67</v>
      </c>
      <c r="C10" s="3" t="s">
        <v>68</v>
      </c>
      <c r="D10" s="3" t="s">
        <v>69</v>
      </c>
      <c r="E10" s="3" t="s">
        <v>70</v>
      </c>
      <c r="F10" s="3" t="s">
        <v>71</v>
      </c>
      <c r="G10" s="3" t="s">
        <v>72</v>
      </c>
      <c r="H10" s="3" t="s">
        <v>73</v>
      </c>
      <c r="I10" s="3" t="s">
        <v>74</v>
      </c>
      <c r="J10" s="3" t="s">
        <v>75</v>
      </c>
      <c r="K10" s="3" t="s">
        <v>76</v>
      </c>
      <c r="L10" s="4" t="s">
        <v>77</v>
      </c>
      <c r="M10" s="5"/>
      <c r="N10" s="5"/>
    </row>
    <row r="11" spans="1:14" ht="15" customHeight="1">
      <c r="A11" s="573" t="s">
        <v>78</v>
      </c>
      <c r="B11" s="574">
        <v>24020</v>
      </c>
      <c r="C11" s="574">
        <v>35000</v>
      </c>
      <c r="D11" s="575">
        <f>'Facturación 2026'!P4</f>
        <v>26444.12</v>
      </c>
      <c r="E11" s="576">
        <f t="array" ref="E11">SUMPRODUCT((MONTH('Facturación 2026'!$A$4:$A$253)=1)*('Facturación 2026'!$J$4:$J$253)*1)</f>
        <v>10707.092500000002</v>
      </c>
      <c r="F11" s="577">
        <f t="shared" ref="F11:F23" si="0">IFERROR(D11-E11,"")</f>
        <v>15737.027499999997</v>
      </c>
      <c r="G11" s="578">
        <f t="shared" ref="G11:G23" si="1">IFERROR(E11/D11,"")</f>
        <v>0.40489502014058337</v>
      </c>
      <c r="H11" s="579">
        <f t="shared" ref="H11:H22" si="2">IFERROR((D11-B11)/B11,"")</f>
        <v>0.10092089925062443</v>
      </c>
      <c r="I11" s="580">
        <f t="shared" ref="I11:I22" si="3">IFERROR((D11-C11)/C11,"")</f>
        <v>-0.2444537142857143</v>
      </c>
      <c r="J11" s="581">
        <v>0.72</v>
      </c>
      <c r="K11" s="582">
        <f t="array" ref="K11">SUMPRODUCT((MONTH('Facturación 2026'!$A$4:$A$253)=1)*('Facturación 2026'!$F$4:$F$253&gt;0)*1)</f>
        <v>22</v>
      </c>
      <c r="L11" s="583" t="s">
        <v>79</v>
      </c>
      <c r="M11" s="145"/>
      <c r="N11" s="145"/>
    </row>
    <row r="12" spans="1:14" ht="15" customHeight="1">
      <c r="A12" s="584" t="s">
        <v>80</v>
      </c>
      <c r="B12" s="585">
        <v>26309</v>
      </c>
      <c r="C12" s="585">
        <v>32000</v>
      </c>
      <c r="D12" s="586">
        <f>'Facturación 2026'!P5</f>
        <v>26991.510000000002</v>
      </c>
      <c r="E12" s="576">
        <f t="array" ref="E12">SUMPRODUCT((MONTH('Facturación 2026'!$A$4:$A$253)=2)*('Facturación 2026'!$J$4:$J$253)*1)</f>
        <v>8426.1450000000023</v>
      </c>
      <c r="F12" s="587">
        <f t="shared" si="0"/>
        <v>18565.364999999998</v>
      </c>
      <c r="G12" s="51">
        <f t="shared" si="1"/>
        <v>0.31217760695863261</v>
      </c>
      <c r="H12" s="579">
        <f t="shared" si="2"/>
        <v>2.594207305484823E-2</v>
      </c>
      <c r="I12" s="588">
        <f t="shared" si="3"/>
        <v>-0.15651531249999995</v>
      </c>
      <c r="J12" s="581">
        <v>0.88</v>
      </c>
      <c r="K12" s="50">
        <f t="array" ref="K12">SUMPRODUCT((MONTH('Facturación 2026'!$A$4:$A$253)=2)*('Facturación 2026'!$F$4:$F$253&gt;0)*1)</f>
        <v>16</v>
      </c>
      <c r="L12" s="589" t="s">
        <v>79</v>
      </c>
      <c r="M12" s="145"/>
      <c r="N12" s="145"/>
    </row>
    <row r="13" spans="1:14" ht="15" customHeight="1">
      <c r="A13" s="573" t="s">
        <v>81</v>
      </c>
      <c r="B13" s="574">
        <v>20665</v>
      </c>
      <c r="C13" s="574">
        <v>28000</v>
      </c>
      <c r="D13" s="590">
        <f>'Facturación 2026'!P6</f>
        <v>20240.310000000001</v>
      </c>
      <c r="E13" s="576">
        <f t="array" ref="E13">SUMPRODUCT((MONTH('Facturación 2026'!$A$4:$A$253)=3)*('Facturación 2026'!$J$4:$J$253)*1)</f>
        <v>6221.6925000000001</v>
      </c>
      <c r="F13" s="577">
        <f t="shared" si="0"/>
        <v>14018.6175</v>
      </c>
      <c r="G13" s="578">
        <f t="shared" si="1"/>
        <v>0.30739116643964443</v>
      </c>
      <c r="H13" s="579">
        <f t="shared" si="2"/>
        <v>-2.0551173481732334E-2</v>
      </c>
      <c r="I13" s="588">
        <f t="shared" si="3"/>
        <v>-0.27713178571428565</v>
      </c>
      <c r="J13" s="581">
        <v>0.95</v>
      </c>
      <c r="K13" s="582">
        <f t="array" ref="K13">SUMPRODUCT((MONTH('Facturación 2026'!$A$4:$A$253)=3)*('Facturación 2026'!$F$4:$F$253&gt;0)*1)</f>
        <v>15</v>
      </c>
      <c r="L13" s="583" t="s">
        <v>79</v>
      </c>
      <c r="M13" s="145"/>
      <c r="N13" s="145"/>
    </row>
    <row r="14" spans="1:14" ht="15" customHeight="1">
      <c r="A14" s="584" t="s">
        <v>82</v>
      </c>
      <c r="B14" s="585">
        <v>28883</v>
      </c>
      <c r="C14" s="585">
        <v>26000</v>
      </c>
      <c r="D14" s="591">
        <f>'Facturación 2026'!P7</f>
        <v>31581.436999999994</v>
      </c>
      <c r="E14" s="576">
        <f t="array" ref="E14">SUMPRODUCT((MONTH('Facturación 2026'!$A$4:$A$253)=4)*('Facturación 2026'!$J$4:$J$253)*1)</f>
        <v>0</v>
      </c>
      <c r="F14" s="587">
        <f t="shared" si="0"/>
        <v>31581.436999999994</v>
      </c>
      <c r="G14" s="51">
        <f t="shared" si="1"/>
        <v>0</v>
      </c>
      <c r="H14" s="592">
        <f t="shared" si="2"/>
        <v>9.3426479243845673E-2</v>
      </c>
      <c r="I14" s="588">
        <f t="shared" si="3"/>
        <v>0.21467065384615364</v>
      </c>
      <c r="J14" s="581">
        <v>0.98</v>
      </c>
      <c r="K14" s="50">
        <f t="array" ref="K14">SUMPRODUCT((MONTH('Facturación 2026'!$A$4:$A$253)=4)*('Facturación 2026'!$F$4:$F$253&gt;0)*1)</f>
        <v>22</v>
      </c>
      <c r="L14" s="589" t="s">
        <v>83</v>
      </c>
      <c r="M14" s="145"/>
      <c r="N14" s="145"/>
    </row>
    <row r="15" spans="1:14" ht="15" customHeight="1">
      <c r="A15" s="573" t="s">
        <v>84</v>
      </c>
      <c r="B15" s="574">
        <v>24855</v>
      </c>
      <c r="C15" s="574">
        <v>25000</v>
      </c>
      <c r="D15" s="590"/>
      <c r="E15" s="576"/>
      <c r="F15" s="577">
        <f t="shared" si="0"/>
        <v>0</v>
      </c>
      <c r="G15" s="578" t="str">
        <f t="shared" si="1"/>
        <v/>
      </c>
      <c r="H15" s="593">
        <f t="shared" si="2"/>
        <v>-1</v>
      </c>
      <c r="I15" s="578">
        <f t="shared" si="3"/>
        <v>-1</v>
      </c>
      <c r="J15" s="581">
        <v>0.92</v>
      </c>
      <c r="K15" s="582">
        <v>20</v>
      </c>
      <c r="L15" s="583" t="s">
        <v>85</v>
      </c>
      <c r="M15" s="145"/>
      <c r="N15" s="145"/>
    </row>
    <row r="16" spans="1:14" ht="15" customHeight="1">
      <c r="A16" s="584" t="s">
        <v>86</v>
      </c>
      <c r="B16" s="585">
        <v>34531</v>
      </c>
      <c r="C16" s="585">
        <v>30000</v>
      </c>
      <c r="D16" s="586"/>
      <c r="E16" s="576"/>
      <c r="F16" s="587">
        <f t="shared" si="0"/>
        <v>0</v>
      </c>
      <c r="G16" s="51" t="str">
        <f t="shared" si="1"/>
        <v/>
      </c>
      <c r="H16" s="594">
        <f t="shared" si="2"/>
        <v>-1</v>
      </c>
      <c r="I16" s="51">
        <f t="shared" si="3"/>
        <v>-1</v>
      </c>
      <c r="J16" s="595">
        <v>1.1000000000000001</v>
      </c>
      <c r="K16" s="50">
        <v>22</v>
      </c>
      <c r="L16" s="589" t="s">
        <v>85</v>
      </c>
      <c r="M16" s="145"/>
      <c r="N16" s="145"/>
    </row>
    <row r="17" spans="1:14" ht="15" customHeight="1">
      <c r="A17" s="573" t="s">
        <v>87</v>
      </c>
      <c r="B17" s="574">
        <v>44025</v>
      </c>
      <c r="C17" s="574">
        <v>50000</v>
      </c>
      <c r="D17" s="590"/>
      <c r="E17" s="576"/>
      <c r="F17" s="577">
        <f t="shared" si="0"/>
        <v>0</v>
      </c>
      <c r="G17" s="578" t="str">
        <f t="shared" si="1"/>
        <v/>
      </c>
      <c r="H17" s="593">
        <f t="shared" si="2"/>
        <v>-1</v>
      </c>
      <c r="I17" s="578">
        <f t="shared" si="3"/>
        <v>-1</v>
      </c>
      <c r="J17" s="596">
        <v>1.38</v>
      </c>
      <c r="K17" s="582">
        <v>23</v>
      </c>
      <c r="L17" s="583" t="s">
        <v>88</v>
      </c>
      <c r="M17" s="145"/>
      <c r="N17" s="145"/>
    </row>
    <row r="18" spans="1:14" ht="15" customHeight="1">
      <c r="A18" s="584" t="s">
        <v>89</v>
      </c>
      <c r="B18" s="585">
        <v>60081</v>
      </c>
      <c r="C18" s="585">
        <v>65000</v>
      </c>
      <c r="D18" s="586"/>
      <c r="E18" s="576"/>
      <c r="F18" s="587">
        <f t="shared" si="0"/>
        <v>0</v>
      </c>
      <c r="G18" s="51" t="str">
        <f t="shared" si="1"/>
        <v/>
      </c>
      <c r="H18" s="594">
        <f t="shared" si="2"/>
        <v>-1</v>
      </c>
      <c r="I18" s="51">
        <f t="shared" si="3"/>
        <v>-1</v>
      </c>
      <c r="J18" s="596">
        <v>1.48</v>
      </c>
      <c r="K18" s="50">
        <v>27</v>
      </c>
      <c r="L18" s="589" t="s">
        <v>90</v>
      </c>
      <c r="M18" s="145"/>
      <c r="N18" s="145"/>
    </row>
    <row r="19" spans="1:14" ht="15" customHeight="1">
      <c r="A19" s="573" t="s">
        <v>91</v>
      </c>
      <c r="B19" s="574">
        <v>30862</v>
      </c>
      <c r="C19" s="574">
        <v>38000</v>
      </c>
      <c r="D19" s="590"/>
      <c r="E19" s="576"/>
      <c r="F19" s="577">
        <f t="shared" si="0"/>
        <v>0</v>
      </c>
      <c r="G19" s="578" t="str">
        <f t="shared" si="1"/>
        <v/>
      </c>
      <c r="H19" s="593">
        <f t="shared" si="2"/>
        <v>-1</v>
      </c>
      <c r="I19" s="578">
        <f t="shared" si="3"/>
        <v>-1</v>
      </c>
      <c r="J19" s="595">
        <v>1.18</v>
      </c>
      <c r="K19" s="582">
        <v>21</v>
      </c>
      <c r="L19" s="583" t="s">
        <v>85</v>
      </c>
      <c r="M19" s="145"/>
      <c r="N19" s="145"/>
    </row>
    <row r="20" spans="1:14" ht="15" customHeight="1">
      <c r="A20" s="584" t="s">
        <v>92</v>
      </c>
      <c r="B20" s="585">
        <v>38013</v>
      </c>
      <c r="C20" s="585">
        <v>42000</v>
      </c>
      <c r="D20" s="586"/>
      <c r="E20" s="576"/>
      <c r="F20" s="587">
        <f t="shared" si="0"/>
        <v>0</v>
      </c>
      <c r="G20" s="51" t="str">
        <f t="shared" si="1"/>
        <v/>
      </c>
      <c r="H20" s="594">
        <f t="shared" si="2"/>
        <v>-1</v>
      </c>
      <c r="I20" s="51">
        <f t="shared" si="3"/>
        <v>-1</v>
      </c>
      <c r="J20" s="595">
        <v>1.22</v>
      </c>
      <c r="K20" s="50">
        <v>22</v>
      </c>
      <c r="L20" s="589" t="s">
        <v>93</v>
      </c>
      <c r="M20" s="145"/>
      <c r="N20" s="145"/>
    </row>
    <row r="21" spans="1:14" ht="15" customHeight="1">
      <c r="A21" s="573" t="s">
        <v>94</v>
      </c>
      <c r="B21" s="574">
        <v>19490</v>
      </c>
      <c r="C21" s="574">
        <v>28000</v>
      </c>
      <c r="D21" s="590"/>
      <c r="E21" s="576"/>
      <c r="F21" s="577">
        <f t="shared" si="0"/>
        <v>0</v>
      </c>
      <c r="G21" s="578" t="str">
        <f t="shared" si="1"/>
        <v/>
      </c>
      <c r="H21" s="593">
        <f t="shared" si="2"/>
        <v>-1</v>
      </c>
      <c r="I21" s="578">
        <f t="shared" si="3"/>
        <v>-1</v>
      </c>
      <c r="J21" s="595">
        <v>1.02</v>
      </c>
      <c r="K21" s="582">
        <v>12</v>
      </c>
      <c r="L21" s="583" t="s">
        <v>85</v>
      </c>
      <c r="M21" s="145"/>
      <c r="N21" s="145"/>
    </row>
    <row r="22" spans="1:14" ht="15" customHeight="1">
      <c r="A22" s="584" t="s">
        <v>95</v>
      </c>
      <c r="B22" s="585">
        <v>19797</v>
      </c>
      <c r="C22" s="585">
        <v>35000</v>
      </c>
      <c r="D22" s="586"/>
      <c r="E22" s="576"/>
      <c r="F22" s="587">
        <f t="shared" si="0"/>
        <v>0</v>
      </c>
      <c r="G22" s="51" t="str">
        <f t="shared" si="1"/>
        <v/>
      </c>
      <c r="H22" s="594">
        <f t="shared" si="2"/>
        <v>-1</v>
      </c>
      <c r="I22" s="51">
        <f t="shared" si="3"/>
        <v>-1</v>
      </c>
      <c r="J22" s="595">
        <v>1.18</v>
      </c>
      <c r="K22" s="50">
        <v>14</v>
      </c>
      <c r="L22" s="589" t="s">
        <v>96</v>
      </c>
      <c r="M22" s="145"/>
      <c r="N22" s="145"/>
    </row>
    <row r="23" spans="1:14" ht="15" customHeight="1">
      <c r="A23" s="597" t="s">
        <v>97</v>
      </c>
      <c r="B23" s="598">
        <f>SUM(B11:B22)</f>
        <v>371531</v>
      </c>
      <c r="C23" s="598">
        <f>SUM(C11:C22)</f>
        <v>434000</v>
      </c>
      <c r="D23" s="598">
        <f>SUM(D11:D22)</f>
        <v>105257.37699999999</v>
      </c>
      <c r="E23" s="598">
        <f>SUM(E11:E22)</f>
        <v>25354.930000000004</v>
      </c>
      <c r="F23" s="45">
        <f t="shared" si="0"/>
        <v>79902.446999999986</v>
      </c>
      <c r="G23" s="599">
        <f t="shared" si="1"/>
        <v>0.24088506404638987</v>
      </c>
      <c r="H23" s="600"/>
      <c r="I23" s="600"/>
      <c r="J23" s="600"/>
      <c r="K23" s="600"/>
      <c r="L23" s="601"/>
      <c r="M23" s="145"/>
      <c r="N23" s="145"/>
    </row>
    <row r="24" spans="1:14" ht="15.75" customHeight="1">
      <c r="A24" s="145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</row>
    <row r="25" spans="1:14" ht="19.5" customHeight="1">
      <c r="A25" s="1144" t="s">
        <v>98</v>
      </c>
      <c r="B25" s="1140"/>
      <c r="C25" s="1140"/>
      <c r="D25" s="1140"/>
      <c r="E25" s="1140"/>
      <c r="F25" s="1140"/>
      <c r="G25" s="1140"/>
      <c r="H25" s="1140"/>
      <c r="I25" s="1140"/>
      <c r="J25" s="145"/>
      <c r="K25" s="145"/>
      <c r="L25" s="145"/>
      <c r="M25" s="145"/>
      <c r="N25" s="145"/>
    </row>
    <row r="26" spans="1:14" ht="21.75" customHeight="1">
      <c r="A26" s="2" t="s">
        <v>99</v>
      </c>
      <c r="B26" s="3" t="s">
        <v>100</v>
      </c>
      <c r="C26" s="3" t="s">
        <v>101</v>
      </c>
      <c r="D26" s="3" t="s">
        <v>102</v>
      </c>
      <c r="E26" s="3" t="s">
        <v>103</v>
      </c>
      <c r="F26" s="3" t="s">
        <v>104</v>
      </c>
      <c r="G26" s="3" t="s">
        <v>7</v>
      </c>
      <c r="H26" s="3" t="s">
        <v>105</v>
      </c>
      <c r="I26" s="4" t="s">
        <v>106</v>
      </c>
      <c r="J26" s="145"/>
      <c r="K26" s="145"/>
      <c r="L26" s="145"/>
      <c r="M26" s="145"/>
      <c r="N26" s="145"/>
    </row>
    <row r="27" spans="1:14" ht="25.5" customHeight="1">
      <c r="A27" s="573" t="s">
        <v>107</v>
      </c>
      <c r="B27" s="602">
        <f t="array" ref="B27">IFERROR(SUMPRODUCT((WEEKDAY('Facturación 2026'!$A$4:$A$253,2)=3)*'Facturación 2026'!$F$4:$F$253)/SUMPRODUCT((WEEKDAY('Facturación 2026'!$A$4:$A$253,2)=3)*('Facturación 2026'!$F$4:$F$253&gt;0)*1),0)</f>
        <v>780.69440000000009</v>
      </c>
      <c r="C27" s="602">
        <f t="array" ref="C27">IFERROR(SUMPRODUCT((WEEKDAY('Facturación 2026'!$A$4:$A$253,2)=3)*'Facturación 2026'!$J$4:$J$253)/SUMPRODUCT((WEEKDAY('Facturación 2026'!$A$4:$A$253,2)=3)*('Facturación 2026'!$F$4:$F$253&gt;0)*1),0)</f>
        <v>288.97149999999999</v>
      </c>
      <c r="D27" s="603">
        <f t="shared" ref="D27:D33" si="4">IFERROR(C27/B27,"—")</f>
        <v>0.37014675652854684</v>
      </c>
      <c r="E27" s="604" t="str">
        <f t="shared" ref="E27:E33" si="5">IF(D27="—","",IF(D27&lt;=0.33,"🟢",IF(D27&lt;=0.38,"🟡","🔴")))</f>
        <v>🟡</v>
      </c>
      <c r="F27" s="605">
        <v>0.38</v>
      </c>
      <c r="G27" s="606" t="str">
        <f t="shared" ref="G27:G33" si="6">IF(B27=0,"—",IF(D27&lt;=F27,"🟢 OK","🔴 Excede"))</f>
        <v>🟢 OK</v>
      </c>
      <c r="H27" s="607" t="s">
        <v>108</v>
      </c>
      <c r="I27" s="608" t="s">
        <v>109</v>
      </c>
      <c r="J27" s="145"/>
      <c r="K27" s="145"/>
      <c r="L27" s="145"/>
      <c r="M27" s="145"/>
      <c r="N27" s="145"/>
    </row>
    <row r="28" spans="1:14" ht="25.5" customHeight="1">
      <c r="A28" s="584" t="s">
        <v>110</v>
      </c>
      <c r="B28" s="609">
        <f t="array" ref="B28">IFERROR(SUMPRODUCT((WEEKDAY('Facturación 2026'!$A$4:$A$253,2)=4)*'Facturación 2026'!$F$4:$F$253)/SUMPRODUCT((WEEKDAY('Facturación 2026'!$A$4:$A$253,2)=4)*('Facturación 2026'!$F$4:$F$253&gt;0)*1),0)</f>
        <v>1055.4892666666665</v>
      </c>
      <c r="C28" s="609">
        <f t="array" ref="C28">IFERROR(SUMPRODUCT((WEEKDAY('Facturación 2026'!$A$4:$A$253,2)=4)*'Facturación 2026'!$J$4:$J$253)/SUMPRODUCT((WEEKDAY('Facturación 2026'!$A$4:$A$253,2)=4)*('Facturación 2026'!$F$4:$F$253&gt;0)*1),0)</f>
        <v>293.04066666666665</v>
      </c>
      <c r="D28" s="610">
        <f t="shared" si="4"/>
        <v>0.27763490915650557</v>
      </c>
      <c r="E28" s="611" t="str">
        <f t="shared" si="5"/>
        <v>🟢</v>
      </c>
      <c r="F28" s="612">
        <v>0.35</v>
      </c>
      <c r="G28" s="613" t="str">
        <f t="shared" si="6"/>
        <v>🟢 OK</v>
      </c>
      <c r="H28" s="614" t="s">
        <v>111</v>
      </c>
      <c r="I28" s="615" t="s">
        <v>112</v>
      </c>
      <c r="J28" s="145"/>
      <c r="K28" s="145"/>
      <c r="L28" s="145"/>
      <c r="M28" s="145"/>
      <c r="N28" s="145"/>
    </row>
    <row r="29" spans="1:14" ht="39" customHeight="1">
      <c r="A29" s="573" t="s">
        <v>113</v>
      </c>
      <c r="B29" s="602">
        <f t="array" ref="B29">IFERROR(SUMPRODUCT((WEEKDAY('Facturación 2026'!$A$4:$A$253,2)=5)*'Facturación 2026'!$F$4:$F$253)/SUMPRODUCT((WEEKDAY('Facturación 2026'!$A$4:$A$253,2)=5)*('Facturación 2026'!$F$4:$F$253&gt;0)*1),0)</f>
        <v>1390.5263124999999</v>
      </c>
      <c r="C29" s="602">
        <f t="array" ref="C29">IFERROR(SUMPRODUCT((WEEKDAY('Facturación 2026'!$A$4:$A$253,2)=5)*'Facturación 2026'!$J$4:$J$253)/SUMPRODUCT((WEEKDAY('Facturación 2026'!$A$4:$A$253,2)=5)*('Facturación 2026'!$F$4:$F$253&gt;0)*1),0)</f>
        <v>364.64171875</v>
      </c>
      <c r="D29" s="610">
        <f t="shared" si="4"/>
        <v>0.26223287935804523</v>
      </c>
      <c r="E29" s="604" t="str">
        <f t="shared" si="5"/>
        <v>🟢</v>
      </c>
      <c r="F29" s="605">
        <v>0.32</v>
      </c>
      <c r="G29" s="606" t="str">
        <f t="shared" si="6"/>
        <v>🟢 OK</v>
      </c>
      <c r="H29" s="607" t="s">
        <v>114</v>
      </c>
      <c r="I29" s="608" t="s">
        <v>115</v>
      </c>
      <c r="J29" s="145"/>
      <c r="K29" s="145"/>
      <c r="L29" s="145"/>
      <c r="M29" s="145"/>
      <c r="N29" s="145"/>
    </row>
    <row r="30" spans="1:14" ht="39" customHeight="1">
      <c r="A30" s="584" t="s">
        <v>116</v>
      </c>
      <c r="B30" s="609">
        <f t="array" ref="B30">IFERROR(SUMPRODUCT((WEEKDAY('Facturación 2026'!$A$4:$A$253,2)=6)*'Facturación 2026'!$F$4:$F$253)/SUMPRODUCT((WEEKDAY('Facturación 2026'!$A$4:$A$253,2)=6)*('Facturación 2026'!$F$4:$F$253&gt;0)*1),0)</f>
        <v>2217.3901333333333</v>
      </c>
      <c r="C30" s="609">
        <f t="array" ref="C30">IFERROR(SUMPRODUCT((WEEKDAY('Facturación 2026'!$A$4:$A$253,2)=6)*'Facturación 2026'!$J$4:$J$253)/SUMPRODUCT((WEEKDAY('Facturación 2026'!$A$4:$A$253,2)=6)*('Facturación 2026'!$F$4:$F$253&gt;0)*1),0)</f>
        <v>406.70616666666672</v>
      </c>
      <c r="D30" s="616">
        <f t="shared" si="4"/>
        <v>0.18341660339909516</v>
      </c>
      <c r="E30" s="611" t="str">
        <f t="shared" si="5"/>
        <v>🟢</v>
      </c>
      <c r="F30" s="612">
        <v>0.3</v>
      </c>
      <c r="G30" s="613" t="str">
        <f t="shared" si="6"/>
        <v>🟢 OK</v>
      </c>
      <c r="H30" s="614" t="s">
        <v>117</v>
      </c>
      <c r="I30" s="615" t="s">
        <v>118</v>
      </c>
      <c r="J30" s="145"/>
      <c r="K30" s="145"/>
      <c r="L30" s="145"/>
      <c r="M30" s="145"/>
      <c r="N30" s="145"/>
    </row>
    <row r="31" spans="1:14" ht="39" customHeight="1">
      <c r="A31" s="573" t="s">
        <v>119</v>
      </c>
      <c r="B31" s="602">
        <f t="array" ref="B31">IFERROR(SUMPRODUCT((WEEKDAY('Facturación 2026'!$A$4:$A$253,2)=7)*'Facturación 2026'!$F$4:$F$253)/SUMPRODUCT((WEEKDAY('Facturación 2026'!$A$4:$A$253,2)=7)*('Facturación 2026'!$F$4:$F$253&gt;0)*1),0)</f>
        <v>1485.3766000000001</v>
      </c>
      <c r="C31" s="602">
        <f t="array" ref="C31">IFERROR(SUMPRODUCT((WEEKDAY('Facturación 2026'!$A$4:$A$253,2)=7)*'Facturación 2026'!$J$4:$J$253)/SUMPRODUCT((WEEKDAY('Facturación 2026'!$A$4:$A$253,2)=7)*('Facturación 2026'!$F$4:$F$253&gt;0)*1),0)</f>
        <v>312.65916666666669</v>
      </c>
      <c r="D31" s="610">
        <f t="shared" si="4"/>
        <v>0.2104915121637615</v>
      </c>
      <c r="E31" s="604" t="str">
        <f t="shared" si="5"/>
        <v>🟢</v>
      </c>
      <c r="F31" s="605">
        <v>0.33</v>
      </c>
      <c r="G31" s="606" t="str">
        <f t="shared" si="6"/>
        <v>🟢 OK</v>
      </c>
      <c r="H31" s="607" t="s">
        <v>114</v>
      </c>
      <c r="I31" s="608" t="s">
        <v>120</v>
      </c>
      <c r="J31" s="145"/>
      <c r="K31" s="145"/>
      <c r="L31" s="145"/>
      <c r="M31" s="145"/>
      <c r="N31" s="145"/>
    </row>
    <row r="32" spans="1:14" ht="15.75" customHeight="1">
      <c r="A32" s="617" t="s">
        <v>121</v>
      </c>
      <c r="B32" s="618">
        <f t="array" ref="B32">IFERROR(SUMPRODUCT((WEEKDAY('Facturación 2026'!$A$4:$A$253,2)=1)*'Facturación 2026'!$F$4:$F$253)/SUMPRODUCT((WEEKDAY('Facturación 2026'!$A$4:$A$253,2)=1)*('Facturación 2026'!$F$4:$F$253&gt;0)*1),0)</f>
        <v>0</v>
      </c>
      <c r="C32" s="618">
        <f t="array" ref="C32">IFERROR(SUMPRODUCT((WEEKDAY('Facturación 2026'!$A$4:$A$253,2)=1)*'Facturación 2026'!$J$4:$J$253)/SUMPRODUCT((WEEKDAY('Facturación 2026'!$A$4:$A$253,2)=1)*('Facturación 2026'!$F$4:$F$253&gt;0)*1),0)</f>
        <v>0</v>
      </c>
      <c r="D32" s="616" t="str">
        <f t="shared" si="4"/>
        <v>—</v>
      </c>
      <c r="E32" s="619" t="str">
        <f t="shared" si="5"/>
        <v/>
      </c>
      <c r="F32" s="620"/>
      <c r="G32" s="621" t="str">
        <f t="shared" si="6"/>
        <v>—</v>
      </c>
      <c r="H32" s="622" t="s">
        <v>122</v>
      </c>
      <c r="I32" s="623" t="s">
        <v>123</v>
      </c>
      <c r="J32" s="145"/>
      <c r="K32" s="145"/>
      <c r="L32" s="145"/>
      <c r="M32" s="145"/>
      <c r="N32" s="145"/>
    </row>
    <row r="33" spans="1:14" ht="15.75" customHeight="1">
      <c r="A33" s="617" t="s">
        <v>124</v>
      </c>
      <c r="B33" s="618">
        <f t="array" ref="B33">IFERROR(SUMPRODUCT((WEEKDAY('Facturación 2026'!$A$4:$A$253,2)=2)*'Facturación 2026'!$F$4:$F$253)/SUMPRODUCT((WEEKDAY('Facturación 2026'!$A$4:$A$253,2)=2)*('Facturación 2026'!$F$4:$F$253&gt;0)*1),0)</f>
        <v>0</v>
      </c>
      <c r="C33" s="618">
        <f t="array" ref="C33">IFERROR(SUMPRODUCT((WEEKDAY('Facturación 2026'!$A$4:$A$253,2)=2)*'Facturación 2026'!$J$4:$J$253)/SUMPRODUCT((WEEKDAY('Facturación 2026'!$A$4:$A$253,2)=2)*('Facturación 2026'!$F$4:$F$253&gt;0)*1),0)</f>
        <v>0</v>
      </c>
      <c r="D33" s="616" t="str">
        <f t="shared" si="4"/>
        <v>—</v>
      </c>
      <c r="E33" s="619" t="str">
        <f t="shared" si="5"/>
        <v/>
      </c>
      <c r="F33" s="620"/>
      <c r="G33" s="621" t="str">
        <f t="shared" si="6"/>
        <v>—</v>
      </c>
      <c r="H33" s="622" t="s">
        <v>122</v>
      </c>
      <c r="I33" s="623" t="s">
        <v>123</v>
      </c>
      <c r="J33" s="145"/>
      <c r="K33" s="145"/>
      <c r="L33" s="145"/>
      <c r="M33" s="145"/>
      <c r="N33" s="145"/>
    </row>
    <row r="34" spans="1:14" ht="15.75" customHeight="1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</row>
    <row r="35" spans="1:14" ht="15.75" customHeight="1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</row>
    <row r="36" spans="1:14" ht="19.5" customHeight="1">
      <c r="A36" s="1144" t="s">
        <v>125</v>
      </c>
      <c r="B36" s="1140"/>
      <c r="C36" s="1140"/>
      <c r="D36" s="1140"/>
      <c r="E36" s="1140"/>
      <c r="F36" s="1140"/>
      <c r="G36" s="1140"/>
      <c r="H36" s="1140"/>
      <c r="I36" s="1140"/>
      <c r="J36" s="145"/>
      <c r="K36" s="145"/>
      <c r="L36" s="145"/>
      <c r="M36" s="145"/>
      <c r="N36" s="145"/>
    </row>
    <row r="37" spans="1:14" ht="21.75" customHeight="1">
      <c r="A37" s="2" t="s">
        <v>126</v>
      </c>
      <c r="B37" s="3" t="s">
        <v>127</v>
      </c>
      <c r="C37" s="3" t="s">
        <v>128</v>
      </c>
      <c r="D37" s="3" t="s">
        <v>129</v>
      </c>
      <c r="E37" s="3" t="s">
        <v>130</v>
      </c>
      <c r="F37" s="3" t="s">
        <v>131</v>
      </c>
      <c r="G37" s="3" t="s">
        <v>132</v>
      </c>
      <c r="H37" s="4" t="s">
        <v>133</v>
      </c>
      <c r="I37" s="5"/>
      <c r="J37" s="145"/>
      <c r="K37" s="145"/>
      <c r="L37" s="145"/>
      <c r="M37" s="145"/>
      <c r="N37" s="145"/>
    </row>
    <row r="38" spans="1:14" ht="51.75" customHeight="1">
      <c r="A38" s="584" t="str">
        <f>'Resumen Empleado'!A4</f>
        <v>Sonia</v>
      </c>
      <c r="B38" s="44">
        <f>'Resumen Empleado'!B4</f>
        <v>16</v>
      </c>
      <c r="C38" s="624">
        <f t="array" ref="C38">SUMPRODUCT(('Horarios Personal'!$D$5:$D$816='Resumen Empleado'!A4)*IFERROR('Horarios Personal'!$L$5:$L$816*1,0))</f>
        <v>10981.333333333334</v>
      </c>
      <c r="D38" s="625">
        <f>IFERROR(C38/SUM(C38:C43),0)</f>
        <v>0.40103832454748289</v>
      </c>
      <c r="E38" s="626">
        <f>IFERROR(C38/'Facturación 2026'!P16,0)</f>
        <v>0.10425381416379775</v>
      </c>
      <c r="F38" s="614" t="s">
        <v>134</v>
      </c>
      <c r="G38" s="614" t="s">
        <v>135</v>
      </c>
      <c r="H38" s="627" t="s">
        <v>136</v>
      </c>
      <c r="I38" s="145"/>
      <c r="J38" s="145"/>
      <c r="K38" s="145"/>
      <c r="L38" s="145"/>
      <c r="M38" s="145"/>
      <c r="N38" s="145"/>
    </row>
    <row r="39" spans="1:14" ht="39" customHeight="1">
      <c r="A39" s="573" t="str">
        <f>'Resumen Empleado'!A5</f>
        <v>Lourdes</v>
      </c>
      <c r="B39" s="44">
        <f>'Resumen Empleado'!B5</f>
        <v>10</v>
      </c>
      <c r="C39" s="628">
        <f t="array" ref="C39">SUMPRODUCT(('Horarios Personal'!$D$5:$D$816='Resumen Empleado'!A5)*IFERROR('Horarios Personal'!$L$5:$L$816*1,0))</f>
        <v>6740</v>
      </c>
      <c r="D39" s="629">
        <f>IFERROR(C39/SUM(C38:C43),0)</f>
        <v>0.24614481915827174</v>
      </c>
      <c r="E39" s="626">
        <f>IFERROR(C39/'Facturación 2026'!P16,0)</f>
        <v>6.3987740480572805E-2</v>
      </c>
      <c r="F39" s="607" t="s">
        <v>137</v>
      </c>
      <c r="G39" s="607" t="s">
        <v>135</v>
      </c>
      <c r="H39" s="630" t="s">
        <v>138</v>
      </c>
      <c r="I39" s="145"/>
      <c r="J39" s="145"/>
      <c r="K39" s="145"/>
      <c r="L39" s="145"/>
      <c r="M39" s="145"/>
      <c r="N39" s="145"/>
    </row>
    <row r="40" spans="1:14" ht="39" customHeight="1">
      <c r="A40" s="584" t="str">
        <f>'Resumen Empleado'!A6</f>
        <v>Mireia M</v>
      </c>
      <c r="B40" s="44">
        <f>'Resumen Empleado'!B6</f>
        <v>17.13</v>
      </c>
      <c r="C40" s="624">
        <f t="array" ref="C40">SUMPRODUCT(('Horarios Personal'!$D$5:$D$816='Resumen Empleado'!A6)*IFERROR('Horarios Personal'!$L$5:$L$816*1,0))</f>
        <v>308.33999999999958</v>
      </c>
      <c r="D40" s="625">
        <f>IFERROR(C40/SUM(C38:C43),0)</f>
        <v>1.126057767644828E-2</v>
      </c>
      <c r="E40" s="626">
        <f>IFERROR(C40/'Facturación 2026'!P16,0)</f>
        <v>2.9272967210355774E-3</v>
      </c>
      <c r="F40" s="614" t="s">
        <v>139</v>
      </c>
      <c r="G40" s="614" t="s">
        <v>140</v>
      </c>
      <c r="H40" s="627" t="s">
        <v>141</v>
      </c>
      <c r="I40" s="145"/>
      <c r="J40" s="145"/>
      <c r="K40" s="145"/>
      <c r="L40" s="145"/>
      <c r="M40" s="145"/>
      <c r="N40" s="145"/>
    </row>
    <row r="41" spans="1:14" ht="39" customHeight="1">
      <c r="A41" s="573" t="str">
        <f>'Resumen Empleado'!A7</f>
        <v>Alejandra</v>
      </c>
      <c r="B41" s="44">
        <f>'Resumen Empleado'!B7</f>
        <v>6.39</v>
      </c>
      <c r="C41" s="628">
        <f t="array" ref="C41">SUMPRODUCT(('Horarios Personal'!$D$5:$D$816='Resumen Empleado'!A7)*IFERROR('Horarios Personal'!$L$5:$L$816*1,0))</f>
        <v>2317.9725000000008</v>
      </c>
      <c r="D41" s="629">
        <f>IFERROR(C41/SUM(C38:C43),0)</f>
        <v>8.4652362288775554E-2</v>
      </c>
      <c r="E41" s="626">
        <f>IFERROR(C41/'Facturación 2026'!P16,0)</f>
        <v>2.2006205158917595E-2</v>
      </c>
      <c r="F41" s="607" t="s">
        <v>142</v>
      </c>
      <c r="G41" s="607" t="s">
        <v>135</v>
      </c>
      <c r="H41" s="630" t="s">
        <v>143</v>
      </c>
      <c r="I41" s="145"/>
      <c r="J41" s="145"/>
      <c r="K41" s="145"/>
      <c r="L41" s="145"/>
      <c r="M41" s="145"/>
      <c r="N41" s="145"/>
    </row>
    <row r="42" spans="1:14" ht="39" customHeight="1">
      <c r="A42" s="584" t="str">
        <f>'Resumen Empleado'!A8</f>
        <v>Jonh</v>
      </c>
      <c r="B42" s="44">
        <f>'Resumen Empleado'!B8</f>
        <v>7.25</v>
      </c>
      <c r="C42" s="624">
        <f t="array" ref="C42">SUMPRODUCT(('Horarios Personal'!$D$5:$D$816='Resumen Empleado'!A8)*IFERROR('Horarios Personal'!$L$5:$L$816*1,0))</f>
        <v>4605.5675000000001</v>
      </c>
      <c r="D42" s="625">
        <f>IFERROR(C42/SUM(C38:C43),0)</f>
        <v>0.1681953381912038</v>
      </c>
      <c r="E42" s="626">
        <f>IFERROR(C42/'Facturación 2026'!P16,0)</f>
        <v>4.3724014533495621E-2</v>
      </c>
      <c r="F42" s="614" t="s">
        <v>144</v>
      </c>
      <c r="G42" s="614" t="s">
        <v>135</v>
      </c>
      <c r="H42" s="627" t="s">
        <v>145</v>
      </c>
      <c r="I42" s="145"/>
      <c r="J42" s="145"/>
      <c r="K42" s="145"/>
      <c r="L42" s="145"/>
      <c r="M42" s="145"/>
      <c r="N42" s="145"/>
    </row>
    <row r="43" spans="1:14" ht="51.75" customHeight="1">
      <c r="A43" s="573" t="str">
        <f>'Resumen Empleado'!A9</f>
        <v>Rubí</v>
      </c>
      <c r="B43" s="44">
        <f>'Resumen Empleado'!B9</f>
        <v>5.17</v>
      </c>
      <c r="C43" s="628">
        <f t="array" ref="C43">SUMPRODUCT(('Horarios Personal'!$D$5:$D$816='Resumen Empleado'!A9)*IFERROR('Horarios Personal'!$L$5:$L$816*1,0))</f>
        <v>2429.0408333333335</v>
      </c>
      <c r="D43" s="629">
        <f>IFERROR(C43/SUM(C38:C43),0)</f>
        <v>8.8708578137817656E-2</v>
      </c>
      <c r="E43" s="626">
        <f>IFERROR(C43/'Facturación 2026'!P16,0)</f>
        <v>2.3060657931757812E-2</v>
      </c>
      <c r="F43" s="607" t="s">
        <v>146</v>
      </c>
      <c r="G43" s="607" t="s">
        <v>135</v>
      </c>
      <c r="H43" s="630" t="s">
        <v>147</v>
      </c>
      <c r="I43" s="145"/>
      <c r="J43" s="145"/>
      <c r="K43" s="145"/>
      <c r="L43" s="145"/>
      <c r="M43" s="145"/>
      <c r="N43" s="145"/>
    </row>
    <row r="44" spans="1:14" ht="15.75" customHeight="1">
      <c r="A44" s="145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</row>
    <row r="45" spans="1:14" ht="15.75" customHeight="1">
      <c r="A45" s="145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</row>
    <row r="46" spans="1:14" ht="19.5" customHeight="1">
      <c r="A46" s="1144" t="s">
        <v>148</v>
      </c>
      <c r="B46" s="1140"/>
      <c r="C46" s="1140"/>
      <c r="D46" s="1140"/>
      <c r="E46" s="1140"/>
      <c r="F46" s="1140"/>
      <c r="G46" s="1140"/>
      <c r="H46" s="1140"/>
      <c r="I46" s="1140"/>
      <c r="J46" s="1140"/>
      <c r="K46" s="1140"/>
      <c r="L46" s="1140"/>
      <c r="M46" s="1140"/>
      <c r="N46" s="1140"/>
    </row>
    <row r="47" spans="1:14" ht="18" customHeight="1">
      <c r="A47" s="5"/>
      <c r="B47" s="5" t="s">
        <v>149</v>
      </c>
      <c r="C47" s="5" t="s">
        <v>150</v>
      </c>
      <c r="D47" s="5" t="s">
        <v>151</v>
      </c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4" ht="24.75" customHeight="1">
      <c r="A48" s="6" t="s">
        <v>152</v>
      </c>
      <c r="B48" s="1170" t="s">
        <v>153</v>
      </c>
      <c r="C48" s="1140"/>
      <c r="D48" s="1143" t="s">
        <v>154</v>
      </c>
      <c r="E48" s="1140"/>
      <c r="F48" s="1140"/>
      <c r="G48" s="1169" t="s">
        <v>155</v>
      </c>
      <c r="H48" s="1140"/>
      <c r="I48" s="1140"/>
      <c r="J48" s="1140"/>
      <c r="K48" s="1140"/>
      <c r="L48" s="1140"/>
      <c r="M48" s="1140"/>
      <c r="N48" s="1140"/>
    </row>
    <row r="49" spans="1:14" ht="24.75" customHeight="1">
      <c r="A49" s="7" t="s">
        <v>156</v>
      </c>
      <c r="B49" s="1145" t="s">
        <v>157</v>
      </c>
      <c r="C49" s="1140"/>
      <c r="D49" s="1161" t="s">
        <v>158</v>
      </c>
      <c r="E49" s="1140"/>
      <c r="F49" s="1140"/>
      <c r="G49" s="1181" t="s">
        <v>159</v>
      </c>
      <c r="H49" s="1140"/>
      <c r="I49" s="1140"/>
      <c r="J49" s="1140"/>
      <c r="K49" s="1140"/>
      <c r="L49" s="1140"/>
      <c r="M49" s="1140"/>
      <c r="N49" s="1140"/>
    </row>
    <row r="50" spans="1:14" ht="24.75" customHeight="1">
      <c r="A50" s="8" t="s">
        <v>160</v>
      </c>
      <c r="B50" s="1148" t="s">
        <v>161</v>
      </c>
      <c r="C50" s="1140"/>
      <c r="D50" s="1152" t="s">
        <v>162</v>
      </c>
      <c r="E50" s="1140"/>
      <c r="F50" s="1140"/>
      <c r="G50" s="1142" t="s">
        <v>163</v>
      </c>
      <c r="H50" s="1140"/>
      <c r="I50" s="1140"/>
      <c r="J50" s="1140"/>
      <c r="K50" s="1140"/>
      <c r="L50" s="1140"/>
      <c r="M50" s="1140"/>
      <c r="N50" s="1140"/>
    </row>
    <row r="51" spans="1:14" ht="24.75" customHeight="1">
      <c r="A51" s="9" t="s">
        <v>164</v>
      </c>
      <c r="B51" s="1149" t="s">
        <v>165</v>
      </c>
      <c r="C51" s="1140"/>
      <c r="D51" s="1172" t="s">
        <v>166</v>
      </c>
      <c r="E51" s="1140"/>
      <c r="F51" s="1140"/>
      <c r="G51" s="1154" t="s">
        <v>167</v>
      </c>
      <c r="H51" s="1140"/>
      <c r="I51" s="1140"/>
      <c r="J51" s="1140"/>
      <c r="K51" s="1140"/>
      <c r="L51" s="1140"/>
      <c r="M51" s="1140"/>
      <c r="N51" s="1140"/>
    </row>
    <row r="52" spans="1:14" ht="24.75" customHeight="1">
      <c r="A52" s="8" t="s">
        <v>168</v>
      </c>
      <c r="B52" s="1148" t="s">
        <v>169</v>
      </c>
      <c r="C52" s="1140"/>
      <c r="D52" s="1152" t="s">
        <v>170</v>
      </c>
      <c r="E52" s="1140"/>
      <c r="F52" s="1140"/>
      <c r="G52" s="1142" t="s">
        <v>171</v>
      </c>
      <c r="H52" s="1140"/>
      <c r="I52" s="1140"/>
      <c r="J52" s="1140"/>
      <c r="K52" s="1140"/>
      <c r="L52" s="1140"/>
      <c r="M52" s="1140"/>
      <c r="N52" s="1140"/>
    </row>
    <row r="53" spans="1:14" ht="24.75" customHeight="1">
      <c r="A53" s="6" t="s">
        <v>172</v>
      </c>
      <c r="B53" s="1170" t="s">
        <v>173</v>
      </c>
      <c r="C53" s="1140"/>
      <c r="D53" s="1143" t="s">
        <v>174</v>
      </c>
      <c r="E53" s="1140"/>
      <c r="F53" s="1140"/>
      <c r="G53" s="1169" t="s">
        <v>175</v>
      </c>
      <c r="H53" s="1140"/>
      <c r="I53" s="1140"/>
      <c r="J53" s="1140"/>
      <c r="K53" s="1140"/>
      <c r="L53" s="1140"/>
      <c r="M53" s="1140"/>
      <c r="N53" s="1140"/>
    </row>
    <row r="54" spans="1:14" ht="24.75" customHeight="1">
      <c r="A54" s="9" t="s">
        <v>176</v>
      </c>
      <c r="B54" s="1149" t="s">
        <v>177</v>
      </c>
      <c r="C54" s="1140"/>
      <c r="D54" s="1172" t="s">
        <v>178</v>
      </c>
      <c r="E54" s="1140"/>
      <c r="F54" s="1140"/>
      <c r="G54" s="1154" t="s">
        <v>179</v>
      </c>
      <c r="H54" s="1140"/>
      <c r="I54" s="1140"/>
      <c r="J54" s="1140"/>
      <c r="K54" s="1140"/>
      <c r="L54" s="1140"/>
      <c r="M54" s="1140"/>
      <c r="N54" s="1140"/>
    </row>
    <row r="55" spans="1:14" ht="24.75" customHeight="1">
      <c r="A55" s="8" t="s">
        <v>180</v>
      </c>
      <c r="B55" s="1148" t="s">
        <v>181</v>
      </c>
      <c r="C55" s="1140"/>
      <c r="D55" s="1152" t="s">
        <v>182</v>
      </c>
      <c r="E55" s="1140"/>
      <c r="F55" s="1140"/>
      <c r="G55" s="1142" t="s">
        <v>183</v>
      </c>
      <c r="H55" s="1140"/>
      <c r="I55" s="1140"/>
      <c r="J55" s="1140"/>
      <c r="K55" s="1140"/>
      <c r="L55" s="1140"/>
      <c r="M55" s="1140"/>
      <c r="N55" s="1140"/>
    </row>
    <row r="56" spans="1:14" ht="15.75" customHeight="1">
      <c r="A56" s="145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</row>
    <row r="57" spans="1:14" ht="19.5" customHeight="1">
      <c r="A57" s="1144" t="s">
        <v>184</v>
      </c>
      <c r="B57" s="1140"/>
      <c r="C57" s="1140"/>
      <c r="D57" s="1140"/>
      <c r="E57" s="1140"/>
      <c r="F57" s="1140"/>
      <c r="G57" s="1140"/>
      <c r="H57" s="1140"/>
      <c r="I57" s="1140"/>
      <c r="J57" s="1140"/>
      <c r="K57" s="145"/>
      <c r="L57" s="145"/>
      <c r="M57" s="145"/>
      <c r="N57" s="145"/>
    </row>
    <row r="58" spans="1:14" ht="19.5" customHeight="1">
      <c r="A58" s="5" t="s">
        <v>185</v>
      </c>
      <c r="B58" s="5" t="s">
        <v>186</v>
      </c>
      <c r="C58" s="5" t="s">
        <v>187</v>
      </c>
      <c r="D58" s="5" t="s">
        <v>7</v>
      </c>
      <c r="E58" s="5" t="s">
        <v>188</v>
      </c>
      <c r="F58" s="5" t="s">
        <v>77</v>
      </c>
      <c r="G58" s="5"/>
      <c r="H58" s="5"/>
      <c r="I58" s="5"/>
      <c r="J58" s="5"/>
      <c r="K58" s="145"/>
      <c r="L58" s="145"/>
      <c r="M58" s="145"/>
      <c r="N58" s="145"/>
    </row>
    <row r="59" spans="1:14" ht="51.75" customHeight="1">
      <c r="A59" s="10" t="s">
        <v>189</v>
      </c>
      <c r="B59" s="77">
        <f t="array" ref="B59">IFERROR(SUMPRODUCT(('Facturación 2026'!$J$4:$J$253)*1)/'Facturación 2026'!P16,0)</f>
        <v>0.24071286064437533</v>
      </c>
      <c r="C59" s="11" t="s">
        <v>190</v>
      </c>
      <c r="D59" s="12" t="str">
        <f>IF(B59&lt;=0.35,"🟢 OK",IF(B59&lt;=0.4,"🟡 Atención","🔴 Excede"))</f>
        <v>🟢 OK</v>
      </c>
      <c r="E59" s="13" t="s">
        <v>191</v>
      </c>
      <c r="F59" s="14" t="s">
        <v>192</v>
      </c>
      <c r="G59" s="145"/>
      <c r="H59" s="145"/>
      <c r="I59" s="145"/>
      <c r="J59" s="145"/>
      <c r="K59" s="145"/>
      <c r="L59" s="145"/>
      <c r="M59" s="145"/>
      <c r="N59" s="145"/>
    </row>
    <row r="60" spans="1:14" ht="39" customHeight="1">
      <c r="A60" s="584" t="s">
        <v>193</v>
      </c>
      <c r="B60" s="631">
        <f>IFERROR(1-B59,0)</f>
        <v>0.75928713935562464</v>
      </c>
      <c r="C60" s="632" t="s">
        <v>194</v>
      </c>
      <c r="D60" s="633" t="str">
        <f>IF(B60&gt;=0.65,"🟢 OK",IF(B60&gt;=0.6,"🟡 Atención","🔴 Bajo"))</f>
        <v>🟢 OK</v>
      </c>
      <c r="E60" s="50" t="s">
        <v>195</v>
      </c>
      <c r="F60" s="627" t="s">
        <v>196</v>
      </c>
      <c r="G60" s="145"/>
      <c r="H60" s="145"/>
      <c r="I60" s="145"/>
      <c r="J60" s="145"/>
      <c r="K60" s="145"/>
      <c r="L60" s="145"/>
      <c r="M60" s="145"/>
      <c r="N60" s="145"/>
    </row>
    <row r="61" spans="1:14" ht="39" customHeight="1">
      <c r="A61" s="573" t="s">
        <v>197</v>
      </c>
      <c r="B61" s="634">
        <f t="array" ref="B61">IFERROR('Facturación 2026'!P16/SUMPRODUCT(('Facturación 2026'!$F$4:$F$253&gt;0)*1),0)</f>
        <v>1385.9562763157894</v>
      </c>
      <c r="C61" s="635" t="s">
        <v>198</v>
      </c>
      <c r="D61" s="636" t="str">
        <f>IF(B61&gt;=1300,"🟢 OK",IF(B61&gt;=1000,"🟡 Atención","🔴 Bajo"))</f>
        <v>🟢 OK</v>
      </c>
      <c r="E61" s="582" t="s">
        <v>191</v>
      </c>
      <c r="F61" s="630" t="s">
        <v>199</v>
      </c>
      <c r="G61" s="145"/>
      <c r="H61" s="145"/>
      <c r="I61" s="145"/>
      <c r="J61" s="145"/>
      <c r="K61" s="145"/>
      <c r="L61" s="145"/>
      <c r="M61" s="145"/>
      <c r="N61" s="145"/>
    </row>
    <row r="62" spans="1:14" ht="39" customHeight="1">
      <c r="A62" s="584" t="s">
        <v>200</v>
      </c>
      <c r="B62" s="637">
        <f>IFERROR(('Facturación 2026'!P16-SUM('Facturación 2026'!T4:T7))/SUM('Facturación 2026'!T4:T7),0)</f>
        <v>5.4625752539402724E-2</v>
      </c>
      <c r="C62" s="632" t="s">
        <v>201</v>
      </c>
      <c r="D62" s="633" t="str">
        <f>IF(B62&gt;=0.1,"🟢 OK",IF(B62&gt;=0,"🟡 Atención","🔴 Caída"))</f>
        <v>🟡 Atención</v>
      </c>
      <c r="E62" s="50" t="s">
        <v>202</v>
      </c>
      <c r="F62" s="627" t="s">
        <v>203</v>
      </c>
      <c r="G62" s="145"/>
      <c r="H62" s="145"/>
      <c r="I62" s="145"/>
      <c r="J62" s="145"/>
      <c r="K62" s="145"/>
      <c r="L62" s="145"/>
      <c r="M62" s="145"/>
      <c r="N62" s="145"/>
    </row>
    <row r="63" spans="1:14" ht="51.75" customHeight="1">
      <c r="A63" s="573" t="s">
        <v>204</v>
      </c>
      <c r="B63" s="638">
        <f t="array" ref="B63">IFERROR(SUMPRODUCT(('Facturación 2026'!$L$4:$L$253&lt;&gt;"")*1)/SUMPRODUCT(('Facturación 2026'!$F$4:$F$253&gt;0)*1),0)</f>
        <v>0.15789473684210525</v>
      </c>
      <c r="C63" s="635" t="s">
        <v>205</v>
      </c>
      <c r="D63" s="636" t="str">
        <f>IF(B63&gt;=0.12,"🟢 OK",IF(B63&gt;=0.08,"🟡 Mejorar","🔴 Bajo"))</f>
        <v>🟢 OK</v>
      </c>
      <c r="E63" s="582" t="s">
        <v>195</v>
      </c>
      <c r="F63" s="630" t="s">
        <v>206</v>
      </c>
      <c r="G63" s="145"/>
      <c r="H63" s="145"/>
      <c r="I63" s="145"/>
      <c r="J63" s="145"/>
      <c r="K63" s="145"/>
      <c r="L63" s="145"/>
      <c r="M63" s="145"/>
      <c r="N63" s="145"/>
    </row>
    <row r="64" spans="1:14" ht="51.75" customHeight="1">
      <c r="A64" s="584" t="s">
        <v>207</v>
      </c>
      <c r="B64" s="639">
        <f t="array" ref="B64">IFERROR(SUMPRODUCT((WEEKDAY('Facturación 2026'!$A$4:$A$253,2)=5)*'Facturación 2026'!$E$4:$E$253)/SUMPRODUCT((WEEKDAY('Facturación 2026'!$A$4:$A$253,2)=5)*('Facturación 2026'!$E$4:$E$253&gt;0)*1),0)</f>
        <v>858.63925000000006</v>
      </c>
      <c r="C64" s="632" t="s">
        <v>208</v>
      </c>
      <c r="D64" s="633" t="str">
        <f>IF(B64&gt;=1000,"🟢 OK",IF(B64&gt;=700,"🟡 Atención","🔴 Bajo"))</f>
        <v>🟡 Atención</v>
      </c>
      <c r="E64" s="50" t="s">
        <v>191</v>
      </c>
      <c r="F64" s="627" t="s">
        <v>209</v>
      </c>
      <c r="G64" s="145"/>
      <c r="H64" s="145"/>
      <c r="I64" s="145"/>
      <c r="J64" s="145"/>
      <c r="K64" s="145"/>
      <c r="L64" s="145"/>
      <c r="M64" s="145"/>
      <c r="N64" s="145"/>
    </row>
    <row r="65" spans="1:14" ht="51.75" customHeight="1">
      <c r="A65" s="573" t="s">
        <v>210</v>
      </c>
      <c r="B65" s="639">
        <f t="array" ref="B65">IFERROR(SUMPRODUCT(('Facturación 2026'!$J$4:$J$253)*1)/SUMPRODUCT(('Facturación 2026'!$F$4:$F$253&gt;0)*1),0)</f>
        <v>333.61749999999995</v>
      </c>
      <c r="C65" s="635" t="s">
        <v>211</v>
      </c>
      <c r="D65" s="633" t="str">
        <f>IF(B65&lt;=400,"🟢 OK",IF(B65&lt;=500,"🟡 Atención","🔴 Alto"))</f>
        <v>🟢 OK</v>
      </c>
      <c r="E65" s="582" t="s">
        <v>191</v>
      </c>
      <c r="F65" s="630" t="s">
        <v>212</v>
      </c>
      <c r="G65" s="145"/>
      <c r="H65" s="145"/>
      <c r="I65" s="145"/>
      <c r="J65" s="145"/>
      <c r="K65" s="145"/>
      <c r="L65" s="145"/>
      <c r="M65" s="145"/>
      <c r="N65" s="145"/>
    </row>
    <row r="66" spans="1:14" ht="39" customHeight="1">
      <c r="A66" s="584" t="s">
        <v>213</v>
      </c>
      <c r="B66" s="638">
        <f t="array" ref="B66">IFERROR(SUMPRODUCT(('Facturación 2026'!$K$4:$K$253&gt;0.45)*('Facturación 2026'!$F$4:$F$253&gt;0)*1)/SUMPRODUCT(('Facturación 2026'!$F$4:$F$253&gt;0)*1),0)</f>
        <v>0.28947368421052633</v>
      </c>
      <c r="C66" s="632" t="s">
        <v>214</v>
      </c>
      <c r="D66" s="636" t="str">
        <f>IF(B66&lt;=0.1,"🟢 OK",IF(B66&lt;=0.15,"🟡 Atención","🔴 Muchos"))</f>
        <v>🔴 Muchos</v>
      </c>
      <c r="E66" s="50" t="s">
        <v>215</v>
      </c>
      <c r="F66" s="627" t="s">
        <v>216</v>
      </c>
      <c r="G66" s="145"/>
      <c r="H66" s="145"/>
      <c r="I66" s="145"/>
      <c r="J66" s="145"/>
      <c r="K66" s="145"/>
      <c r="L66" s="145"/>
      <c r="M66" s="145"/>
      <c r="N66" s="145"/>
    </row>
    <row r="67" spans="1:14" ht="15.75" customHeight="1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</row>
    <row r="68" spans="1:14" ht="15.75" customHeight="1">
      <c r="A68" s="640" t="s">
        <v>217</v>
      </c>
      <c r="B68" s="641"/>
      <c r="C68" s="641"/>
      <c r="D68" s="641"/>
      <c r="E68" s="641"/>
      <c r="F68" s="641"/>
      <c r="G68" s="145"/>
      <c r="H68" s="145"/>
      <c r="I68" s="145"/>
      <c r="J68" s="145"/>
      <c r="K68" s="145"/>
      <c r="L68" s="145"/>
      <c r="M68" s="145"/>
      <c r="N68" s="145"/>
    </row>
    <row r="69" spans="1:14" ht="15.75" customHeight="1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</row>
    <row r="70" spans="1:14" ht="15.75" customHeight="1" thickBot="1">
      <c r="A70" s="78" t="s">
        <v>218</v>
      </c>
      <c r="B70" s="79" t="s">
        <v>219</v>
      </c>
      <c r="C70" s="80" t="s">
        <v>220</v>
      </c>
      <c r="D70" s="81" t="s">
        <v>221</v>
      </c>
      <c r="E70" s="82" t="s">
        <v>222</v>
      </c>
      <c r="F70" s="82" t="s">
        <v>223</v>
      </c>
      <c r="G70" s="145"/>
      <c r="H70" s="145"/>
      <c r="I70" s="145"/>
      <c r="J70" s="145"/>
      <c r="K70" s="145"/>
      <c r="L70" s="145"/>
      <c r="M70" s="145"/>
      <c r="N70" s="145"/>
    </row>
    <row r="71" spans="1:14" ht="15.75" customHeight="1">
      <c r="A71" s="83" t="s">
        <v>224</v>
      </c>
      <c r="B71" s="84" t="str">
        <f>'Caja 1'!D191</f>
        <v/>
      </c>
      <c r="C71" s="85">
        <f>'Caja 2'!E173</f>
        <v>185.864</v>
      </c>
      <c r="D71" s="86" t="e">
        <f>B71+C71</f>
        <v>#VALUE!</v>
      </c>
      <c r="E71" s="87">
        <f>IFERROR(B71/D71,0)</f>
        <v>0</v>
      </c>
      <c r="F71" s="87">
        <f>IFERROR(C71/D71,0)</f>
        <v>0</v>
      </c>
      <c r="G71" s="145"/>
      <c r="H71" s="145"/>
      <c r="I71" s="145"/>
      <c r="J71" s="145"/>
      <c r="K71" s="145"/>
      <c r="L71" s="145"/>
      <c r="M71" s="145"/>
      <c r="N71" s="145"/>
    </row>
    <row r="72" spans="1:14" ht="15.75" customHeight="1">
      <c r="A72" s="88" t="s">
        <v>225</v>
      </c>
      <c r="B72" s="89">
        <f>IFERROR('Caja 1'!D191/'Caja 1'!B191,0)</f>
        <v>0</v>
      </c>
      <c r="C72" s="90">
        <f>IFERROR('Caja 2'!E173/'Caja 2'!D173,0)</f>
        <v>9.2932000000000006</v>
      </c>
      <c r="D72" s="91"/>
      <c r="E72" s="119" t="s">
        <v>226</v>
      </c>
      <c r="F72" s="119" t="s">
        <v>227</v>
      </c>
      <c r="G72" s="145"/>
      <c r="H72" s="145"/>
      <c r="I72" s="145"/>
      <c r="J72" s="145"/>
      <c r="K72" s="145"/>
      <c r="L72" s="145"/>
      <c r="M72" s="145"/>
      <c r="N72" s="145"/>
    </row>
    <row r="73" spans="1:14" ht="15.75" customHeight="1">
      <c r="A73" s="88" t="s">
        <v>228</v>
      </c>
      <c r="B73" s="92" t="s">
        <v>229</v>
      </c>
      <c r="C73" s="93" t="s">
        <v>229</v>
      </c>
      <c r="D73" s="94"/>
      <c r="E73" s="120">
        <f>IFERROR('Caja 1'!B202/'Caja 1'!D191,0)</f>
        <v>0</v>
      </c>
      <c r="F73" s="120">
        <f>IFERROR('Caja 2'!E178/'Caja 2'!E173,0)</f>
        <v>4.1552855851590405</v>
      </c>
      <c r="G73" s="145"/>
      <c r="H73" s="145"/>
      <c r="I73" s="145"/>
      <c r="J73" s="145"/>
      <c r="K73" s="145"/>
      <c r="L73" s="145"/>
      <c r="M73" s="145"/>
      <c r="N73" s="145"/>
    </row>
    <row r="74" spans="1:14" ht="15.75" customHeight="1">
      <c r="A74" s="88" t="s">
        <v>230</v>
      </c>
      <c r="B74" s="96">
        <f>'Caja 1'!F191</f>
        <v>0</v>
      </c>
      <c r="C74" s="97">
        <f>'Caja 2'!G173</f>
        <v>0</v>
      </c>
      <c r="D74" s="98">
        <f>B74+C74</f>
        <v>0</v>
      </c>
      <c r="E74" s="95">
        <f>IFERROR(B74/B71,0)</f>
        <v>0</v>
      </c>
      <c r="F74" s="95">
        <f>IFERROR(C74/C71,0)</f>
        <v>0</v>
      </c>
      <c r="G74" s="145"/>
      <c r="H74" s="145"/>
      <c r="I74" s="145"/>
      <c r="J74" s="145"/>
      <c r="K74" s="145"/>
      <c r="L74" s="145"/>
      <c r="M74" s="145"/>
      <c r="N74" s="145"/>
    </row>
    <row r="75" spans="1:14" ht="15.75" customHeight="1">
      <c r="A75" s="118" t="s">
        <v>231</v>
      </c>
      <c r="B75" s="99" t="e">
        <f>B71-B74</f>
        <v>#VALUE!</v>
      </c>
      <c r="C75" s="100">
        <f>C71-C74</f>
        <v>185.864</v>
      </c>
      <c r="D75" s="101" t="e">
        <f>D71-D74</f>
        <v>#VALUE!</v>
      </c>
      <c r="E75" s="102">
        <f>IFERROR(B75/B71,0)</f>
        <v>0</v>
      </c>
      <c r="F75" s="102">
        <f>IFERROR(C75/C71,0)</f>
        <v>1</v>
      </c>
      <c r="G75" s="145"/>
      <c r="H75" s="145"/>
      <c r="I75" s="145"/>
      <c r="J75" s="145"/>
      <c r="K75" s="145"/>
      <c r="L75" s="145"/>
      <c r="M75" s="145"/>
      <c r="N75" s="145"/>
    </row>
    <row r="76" spans="1:14" ht="15.75" customHeight="1">
      <c r="A76" s="88" t="s">
        <v>232</v>
      </c>
      <c r="B76" s="103" t="s">
        <v>122</v>
      </c>
      <c r="C76" s="104">
        <f>'Caja 2'!D173</f>
        <v>20</v>
      </c>
      <c r="D76" s="105">
        <f>C76</f>
        <v>20</v>
      </c>
      <c r="E76" s="106" t="s">
        <v>233</v>
      </c>
      <c r="F76" s="107">
        <f>IFERROR(C71/C76,0)</f>
        <v>9.2932000000000006</v>
      </c>
      <c r="G76" s="145"/>
      <c r="H76" s="145"/>
      <c r="I76" s="145"/>
      <c r="J76" s="145"/>
      <c r="K76" s="145"/>
      <c r="L76" s="145"/>
      <c r="M76" s="145"/>
      <c r="N76" s="145"/>
    </row>
    <row r="77" spans="1:14" ht="15.75" customHeight="1">
      <c r="A77" s="88" t="s">
        <v>234</v>
      </c>
      <c r="B77" s="108" t="e">
        <f t="array" ref="B77">INDEX({"Ene","Feb","Mar","Abr"},MATCH(MAX('Caja 1'!D187:'Caja 1'!D190),'Caja 1'!D187:'Caja 1'!D190,0))</f>
        <v>#N/A</v>
      </c>
      <c r="C77" s="109" t="str">
        <f t="array" ref="C77">INDEX({"Ene","Feb","Mar","Abr"},MATCH(MAX('Caja 2'!E169:'Caja 2'!E172),'Caja 2'!E169:'Caja 2'!E172,0))</f>
        <v>Feb</v>
      </c>
      <c r="D77" s="110"/>
      <c r="E77" s="111">
        <f>MAX('Caja 1'!D187:'Caja 1'!D190)</f>
        <v>0</v>
      </c>
      <c r="F77" s="111">
        <f>MAX('Caja 2'!E169:'Caja 2'!E172)</f>
        <v>214.773</v>
      </c>
      <c r="G77" s="145"/>
      <c r="H77" s="145"/>
      <c r="I77" s="145"/>
      <c r="J77" s="145"/>
      <c r="K77" s="145"/>
      <c r="L77" s="145"/>
      <c r="M77" s="145"/>
      <c r="N77" s="145"/>
    </row>
    <row r="78" spans="1:14" ht="15.75" customHeight="1" thickBot="1">
      <c r="A78" s="112" t="s">
        <v>235</v>
      </c>
      <c r="B78" s="113"/>
      <c r="C78" s="114"/>
      <c r="D78" s="115">
        <f>IFERROR(C71/B71,0)</f>
        <v>0</v>
      </c>
      <c r="E78" s="116" t="s">
        <v>236</v>
      </c>
      <c r="F78" s="117" t="s">
        <v>237</v>
      </c>
      <c r="G78" s="145"/>
      <c r="H78" s="145"/>
      <c r="I78" s="145"/>
      <c r="J78" s="145"/>
      <c r="K78" s="145"/>
      <c r="L78" s="145"/>
      <c r="M78" s="145"/>
      <c r="N78" s="145"/>
    </row>
    <row r="79" spans="1:14" ht="15.75" customHeight="1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</row>
    <row r="80" spans="1:14" ht="15.75" customHeight="1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</row>
    <row r="81" spans="1:14" ht="15.75" customHeight="1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</row>
    <row r="82" spans="1:14" ht="15.75" customHeight="1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</row>
    <row r="83" spans="1:14" ht="15.75" customHeight="1">
      <c r="A83" s="1146" t="s">
        <v>238</v>
      </c>
      <c r="B83" s="1140"/>
      <c r="C83" s="1140"/>
      <c r="D83" s="1140"/>
      <c r="E83" s="1140"/>
      <c r="F83" s="1140"/>
      <c r="G83" s="1140"/>
      <c r="H83" s="1140"/>
      <c r="I83" s="1140"/>
      <c r="J83" s="1140"/>
      <c r="K83" s="1140"/>
      <c r="L83" s="1140"/>
      <c r="M83" s="145"/>
      <c r="N83" s="145"/>
    </row>
    <row r="84" spans="1:14" ht="15.75" customHeight="1">
      <c r="A84" s="215" t="s">
        <v>239</v>
      </c>
      <c r="B84" s="215" t="s">
        <v>240</v>
      </c>
      <c r="C84" s="215" t="s">
        <v>241</v>
      </c>
      <c r="D84" s="215" t="s">
        <v>242</v>
      </c>
      <c r="E84" s="215" t="s">
        <v>243</v>
      </c>
      <c r="F84" s="215" t="s">
        <v>244</v>
      </c>
      <c r="G84" s="215" t="s">
        <v>245</v>
      </c>
      <c r="H84" s="215" t="s">
        <v>225</v>
      </c>
      <c r="I84" s="145"/>
      <c r="J84" s="145"/>
      <c r="K84" s="145"/>
      <c r="L84" s="145"/>
      <c r="M84" s="145"/>
      <c r="N84" s="145"/>
    </row>
    <row r="85" spans="1:14" ht="15.75" customHeight="1">
      <c r="A85" s="216">
        <v>1</v>
      </c>
      <c r="B85" s="217" t="s">
        <v>246</v>
      </c>
      <c r="C85" s="218" t="s">
        <v>247</v>
      </c>
      <c r="D85" s="219">
        <f>SUMIF(TBL_Ventas[Producto],B85,TBL_Ventas[Uds])</f>
        <v>3873.1</v>
      </c>
      <c r="E85" s="220">
        <f>SUMIF(TBL_Ventas[Producto],B85,TBL_Ventas[Importe])</f>
        <v>6610.84</v>
      </c>
      <c r="F85" s="221">
        <f t="shared" ref="F85:F99" si="7">IFERROR(D85/SUM(D$85:D$99),0)</f>
        <v>0.17370030855338692</v>
      </c>
      <c r="G85" s="221">
        <f t="shared" ref="G85:G99" si="8">IFERROR(E85/SUM(E$85:E$99),0)</f>
        <v>8.0703065106035962E-2</v>
      </c>
      <c r="H85" s="222">
        <f t="shared" ref="H85:H99" si="9">IFERROR(E85/D85,0)</f>
        <v>1.7068601378740544</v>
      </c>
      <c r="I85" s="145"/>
      <c r="J85" s="145"/>
      <c r="K85" s="145"/>
      <c r="L85" s="145"/>
      <c r="M85" s="145"/>
      <c r="N85" s="145"/>
    </row>
    <row r="86" spans="1:14" ht="15.75" customHeight="1">
      <c r="A86" s="223">
        <v>2</v>
      </c>
      <c r="B86" s="224" t="s">
        <v>248</v>
      </c>
      <c r="C86" s="225" t="s">
        <v>249</v>
      </c>
      <c r="D86" s="226">
        <f>SUMIF(TBL_Ventas[Producto],B86,TBL_Ventas[Uds])</f>
        <v>3382.5</v>
      </c>
      <c r="E86" s="227">
        <f>SUMIF(TBL_Ventas[Producto],B86,TBL_Ventas[Importe])</f>
        <v>5595.9700000000012</v>
      </c>
      <c r="F86" s="228">
        <f t="shared" si="7"/>
        <v>0.15169794058553387</v>
      </c>
      <c r="G86" s="228">
        <f t="shared" si="8"/>
        <v>6.8313849864982998E-2</v>
      </c>
      <c r="H86" s="229">
        <f t="shared" si="9"/>
        <v>1.6543887657058391</v>
      </c>
      <c r="I86" s="145"/>
      <c r="J86" s="145"/>
      <c r="K86" s="145"/>
      <c r="L86" s="145"/>
      <c r="M86" s="145"/>
      <c r="N86" s="145"/>
    </row>
    <row r="87" spans="1:14" ht="15.75" customHeight="1">
      <c r="A87" s="216">
        <v>3</v>
      </c>
      <c r="B87" s="217" t="s">
        <v>250</v>
      </c>
      <c r="C87" s="218" t="s">
        <v>251</v>
      </c>
      <c r="D87" s="219">
        <f>SUMIF(TBL_Ventas[Producto],B87,TBL_Ventas[Uds])</f>
        <v>1877</v>
      </c>
      <c r="E87" s="220">
        <f>SUMIF(TBL_Ventas[Producto],B87,TBL_Ventas[Importe])</f>
        <v>3827.4400000000005</v>
      </c>
      <c r="F87" s="221">
        <f t="shared" si="7"/>
        <v>8.417946326061998E-2</v>
      </c>
      <c r="G87" s="221">
        <f t="shared" si="8"/>
        <v>4.6724189287510563E-2</v>
      </c>
      <c r="H87" s="222">
        <f t="shared" si="9"/>
        <v>2.0391262653169955</v>
      </c>
      <c r="I87" s="145"/>
      <c r="J87" s="145"/>
      <c r="K87" s="145"/>
      <c r="L87" s="145"/>
      <c r="M87" s="145"/>
      <c r="N87" s="145"/>
    </row>
    <row r="88" spans="1:14" ht="15.75" customHeight="1">
      <c r="A88" s="223">
        <v>4</v>
      </c>
      <c r="B88" s="224" t="s">
        <v>252</v>
      </c>
      <c r="C88" s="225" t="s">
        <v>253</v>
      </c>
      <c r="D88" s="226">
        <f>SUMIF(TBL_Ventas[Producto],B88,TBL_Ventas[Uds])</f>
        <v>1796</v>
      </c>
      <c r="E88" s="227">
        <f>SUMIF(TBL_Ventas[Producto],B88,TBL_Ventas[Importe])</f>
        <v>15020.69</v>
      </c>
      <c r="F88" s="228">
        <f t="shared" si="7"/>
        <v>8.0546785304247998E-2</v>
      </c>
      <c r="G88" s="228">
        <f t="shared" si="8"/>
        <v>0.18336788108736307</v>
      </c>
      <c r="H88" s="229">
        <f t="shared" si="9"/>
        <v>8.3634131403118044</v>
      </c>
      <c r="I88" s="145"/>
      <c r="J88" s="145"/>
      <c r="K88" s="145"/>
      <c r="L88" s="145"/>
      <c r="M88" s="145"/>
      <c r="N88" s="145"/>
    </row>
    <row r="89" spans="1:14" ht="15.75" customHeight="1">
      <c r="A89" s="216">
        <v>5</v>
      </c>
      <c r="B89" s="217" t="s">
        <v>254</v>
      </c>
      <c r="C89" s="218" t="s">
        <v>254</v>
      </c>
      <c r="D89" s="219">
        <f>SUMIF(TBL_Ventas[Producto],B89,TBL_Ventas[Uds])</f>
        <v>1444</v>
      </c>
      <c r="E89" s="220">
        <f>SUMIF(TBL_Ventas[Producto],B89,TBL_Ventas[Importe])</f>
        <v>20938.859999999993</v>
      </c>
      <c r="F89" s="221">
        <f t="shared" si="7"/>
        <v>6.4760332950631466E-2</v>
      </c>
      <c r="G89" s="221">
        <f t="shared" si="8"/>
        <v>0.25561504768322507</v>
      </c>
      <c r="H89" s="222">
        <f t="shared" si="9"/>
        <v>14.500595567867032</v>
      </c>
      <c r="I89" s="145"/>
      <c r="J89" s="145"/>
      <c r="K89" s="145"/>
      <c r="L89" s="145"/>
      <c r="M89" s="145"/>
      <c r="N89" s="145"/>
    </row>
    <row r="90" spans="1:14" ht="15.75" customHeight="1">
      <c r="A90" s="223">
        <v>6</v>
      </c>
      <c r="B90" s="224" t="s">
        <v>255</v>
      </c>
      <c r="C90" s="225" t="s">
        <v>256</v>
      </c>
      <c r="D90" s="226">
        <f>SUMIF(TBL_Ventas[Producto],B90,TBL_Ventas[Uds])</f>
        <v>1368</v>
      </c>
      <c r="E90" s="227">
        <f>SUMIF(TBL_Ventas[Producto],B90,TBL_Ventas[Importe])</f>
        <v>7500.9000000000024</v>
      </c>
      <c r="F90" s="228">
        <f t="shared" si="7"/>
        <v>6.1351894374282435E-2</v>
      </c>
      <c r="G90" s="228">
        <f t="shared" si="8"/>
        <v>9.1568638940568117E-2</v>
      </c>
      <c r="H90" s="229">
        <f t="shared" si="9"/>
        <v>5.4831140350877208</v>
      </c>
      <c r="I90" s="145"/>
      <c r="J90" s="145"/>
      <c r="K90" s="145"/>
      <c r="L90" s="145"/>
      <c r="M90" s="145"/>
      <c r="N90" s="145"/>
    </row>
    <row r="91" spans="1:14" ht="15.75" customHeight="1">
      <c r="A91" s="216">
        <v>7</v>
      </c>
      <c r="B91" s="217" t="s">
        <v>257</v>
      </c>
      <c r="C91" s="218" t="s">
        <v>258</v>
      </c>
      <c r="D91" s="219">
        <f>SUMIF(TBL_Ventas[Producto],B91,TBL_Ventas[Uds])</f>
        <v>1917</v>
      </c>
      <c r="E91" s="220">
        <f>SUMIF(TBL_Ventas[Producto],B91,TBL_Ventas[Importe])</f>
        <v>2932.3900000000012</v>
      </c>
      <c r="F91" s="221">
        <f t="shared" si="7"/>
        <v>8.5973378300803677E-2</v>
      </c>
      <c r="G91" s="221">
        <f t="shared" si="8"/>
        <v>3.5797699095166259E-2</v>
      </c>
      <c r="H91" s="222">
        <f t="shared" si="9"/>
        <v>1.5296765779864379</v>
      </c>
      <c r="I91" s="145"/>
      <c r="J91" s="145"/>
      <c r="K91" s="145"/>
      <c r="L91" s="145"/>
      <c r="M91" s="145"/>
      <c r="N91" s="145"/>
    </row>
    <row r="92" spans="1:14" ht="15.75" customHeight="1">
      <c r="A92" s="223">
        <v>8</v>
      </c>
      <c r="B92" s="224" t="s">
        <v>259</v>
      </c>
      <c r="C92" s="225" t="s">
        <v>249</v>
      </c>
      <c r="D92" s="226">
        <f>SUMIF(TBL_Ventas[Producto],B92,TBL_Ventas[Uds])</f>
        <v>830</v>
      </c>
      <c r="E92" s="227">
        <f>SUMIF(TBL_Ventas[Producto],B92,TBL_Ventas[Importe])</f>
        <v>1092.6899999999998</v>
      </c>
      <c r="F92" s="228">
        <f t="shared" si="7"/>
        <v>3.7223737083811714E-2</v>
      </c>
      <c r="G92" s="228">
        <f t="shared" si="8"/>
        <v>1.3339217438436631E-2</v>
      </c>
      <c r="H92" s="229">
        <f t="shared" si="9"/>
        <v>1.3164939759036143</v>
      </c>
      <c r="I92" s="145"/>
      <c r="J92" s="145"/>
      <c r="K92" s="145"/>
      <c r="L92" s="145"/>
      <c r="M92" s="145"/>
      <c r="N92" s="145"/>
    </row>
    <row r="93" spans="1:14" ht="15.75" customHeight="1">
      <c r="A93" s="216">
        <v>9</v>
      </c>
      <c r="B93" s="217" t="s">
        <v>260</v>
      </c>
      <c r="C93" s="218" t="s">
        <v>247</v>
      </c>
      <c r="D93" s="219">
        <f>SUMIF(TBL_Ventas[Producto],B93,TBL_Ventas[Uds])</f>
        <v>1917</v>
      </c>
      <c r="E93" s="220">
        <f>SUMIF(TBL_Ventas[Producto],B93,TBL_Ventas[Importe])</f>
        <v>2932.3900000000012</v>
      </c>
      <c r="F93" s="221">
        <f t="shared" si="7"/>
        <v>8.5973378300803677E-2</v>
      </c>
      <c r="G93" s="221">
        <f t="shared" si="8"/>
        <v>3.5797699095166259E-2</v>
      </c>
      <c r="H93" s="222">
        <f t="shared" si="9"/>
        <v>1.5296765779864379</v>
      </c>
      <c r="I93" s="145"/>
      <c r="J93" s="145"/>
      <c r="K93" s="145"/>
      <c r="L93" s="145"/>
      <c r="M93" s="145"/>
      <c r="N93" s="145"/>
    </row>
    <row r="94" spans="1:14" ht="15.75" customHeight="1">
      <c r="A94" s="223">
        <v>10</v>
      </c>
      <c r="B94" s="224" t="s">
        <v>261</v>
      </c>
      <c r="C94" s="225" t="s">
        <v>256</v>
      </c>
      <c r="D94" s="226">
        <f>SUMIF(TBL_Ventas[Producto],B94,TBL_Ventas[Uds])</f>
        <v>754</v>
      </c>
      <c r="E94" s="227">
        <f>SUMIF(TBL_Ventas[Producto],B94,TBL_Ventas[Importe])</f>
        <v>2755.6400000000003</v>
      </c>
      <c r="F94" s="228">
        <f t="shared" si="7"/>
        <v>3.3815298507462691E-2</v>
      </c>
      <c r="G94" s="228">
        <f t="shared" si="8"/>
        <v>3.3639990429173441E-2</v>
      </c>
      <c r="H94" s="229">
        <f t="shared" si="9"/>
        <v>3.6546949602122019</v>
      </c>
      <c r="I94" s="145"/>
      <c r="J94" s="145"/>
      <c r="K94" s="145"/>
      <c r="L94" s="145"/>
      <c r="M94" s="145"/>
      <c r="N94" s="145"/>
    </row>
    <row r="95" spans="1:14" ht="15.75" customHeight="1">
      <c r="A95" s="216">
        <v>11</v>
      </c>
      <c r="B95" s="217" t="s">
        <v>262</v>
      </c>
      <c r="C95" s="218" t="s">
        <v>256</v>
      </c>
      <c r="D95" s="219">
        <f>SUMIF(TBL_Ventas[Producto],B95,TBL_Ventas[Uds])</f>
        <v>732</v>
      </c>
      <c r="E95" s="220">
        <f>SUMIF(TBL_Ventas[Producto],B95,TBL_Ventas[Importe])</f>
        <v>8008.3299999999981</v>
      </c>
      <c r="F95" s="221">
        <f t="shared" si="7"/>
        <v>3.2828645235361657E-2</v>
      </c>
      <c r="G95" s="221">
        <f t="shared" si="8"/>
        <v>9.7763185522659876E-2</v>
      </c>
      <c r="H95" s="222">
        <f t="shared" si="9"/>
        <v>10.940341530054642</v>
      </c>
      <c r="I95" s="145"/>
      <c r="J95" s="145"/>
      <c r="K95" s="145"/>
      <c r="L95" s="145"/>
      <c r="M95" s="145"/>
      <c r="N95" s="145"/>
    </row>
    <row r="96" spans="1:14" ht="15.75" customHeight="1">
      <c r="A96" s="223">
        <v>12</v>
      </c>
      <c r="B96" s="224" t="s">
        <v>263</v>
      </c>
      <c r="C96" s="225" t="s">
        <v>264</v>
      </c>
      <c r="D96" s="226">
        <f>SUMIF(TBL_Ventas[Producto],B96,TBL_Ventas[Uds])</f>
        <v>645</v>
      </c>
      <c r="E96" s="227">
        <f>SUMIF(TBL_Ventas[Producto],B96,TBL_Ventas[Importe])</f>
        <v>2220.58</v>
      </c>
      <c r="F96" s="228">
        <f t="shared" si="7"/>
        <v>2.8926880022962113E-2</v>
      </c>
      <c r="G96" s="228">
        <f t="shared" si="8"/>
        <v>2.7108145457031382E-2</v>
      </c>
      <c r="H96" s="229">
        <f t="shared" si="9"/>
        <v>3.4427596899224806</v>
      </c>
      <c r="I96" s="145"/>
      <c r="J96" s="145"/>
      <c r="K96" s="145"/>
      <c r="L96" s="145"/>
      <c r="M96" s="145"/>
      <c r="N96" s="145"/>
    </row>
    <row r="97" spans="1:14" ht="15.75" customHeight="1">
      <c r="A97" s="216">
        <v>13</v>
      </c>
      <c r="B97" s="217" t="s">
        <v>265</v>
      </c>
      <c r="C97" s="218" t="s">
        <v>266</v>
      </c>
      <c r="D97" s="219">
        <f>SUMIF(TBL_Ventas[Producto],B97,TBL_Ventas[Uds])</f>
        <v>605</v>
      </c>
      <c r="E97" s="220">
        <f>SUMIF(TBL_Ventas[Producto],B97,TBL_Ventas[Importe])</f>
        <v>1516.0200000000002</v>
      </c>
      <c r="F97" s="221">
        <f t="shared" si="7"/>
        <v>2.7132964982778417E-2</v>
      </c>
      <c r="G97" s="221">
        <f t="shared" si="8"/>
        <v>1.8507097549184771E-2</v>
      </c>
      <c r="H97" s="222">
        <f t="shared" si="9"/>
        <v>2.5058181818181819</v>
      </c>
      <c r="I97" s="145"/>
      <c r="J97" s="145"/>
      <c r="K97" s="145"/>
      <c r="L97" s="145"/>
      <c r="M97" s="145"/>
      <c r="N97" s="145"/>
    </row>
    <row r="98" spans="1:14" ht="15.75" customHeight="1">
      <c r="A98" s="223">
        <v>14</v>
      </c>
      <c r="B98" s="224" t="s">
        <v>267</v>
      </c>
      <c r="C98" s="225" t="s">
        <v>268</v>
      </c>
      <c r="D98" s="226">
        <f>SUMIF(TBL_Ventas[Producto],B98,TBL_Ventas[Uds])</f>
        <v>595</v>
      </c>
      <c r="E98" s="227">
        <f>SUMIF(TBL_Ventas[Producto],B98,TBL_Ventas[Importe])</f>
        <v>905.80999999999983</v>
      </c>
      <c r="F98" s="228">
        <f t="shared" si="7"/>
        <v>2.6684486222732492E-2</v>
      </c>
      <c r="G98" s="228">
        <f t="shared" si="8"/>
        <v>1.1057844903779009E-2</v>
      </c>
      <c r="H98" s="229">
        <f t="shared" si="9"/>
        <v>1.5223697478991594</v>
      </c>
      <c r="I98" s="145"/>
      <c r="J98" s="145"/>
      <c r="K98" s="145"/>
      <c r="L98" s="145"/>
      <c r="M98" s="145"/>
      <c r="N98" s="145"/>
    </row>
    <row r="99" spans="1:14" ht="15.75" customHeight="1">
      <c r="A99" s="230">
        <v>15</v>
      </c>
      <c r="B99" s="231" t="s">
        <v>269</v>
      </c>
      <c r="C99" s="232" t="s">
        <v>264</v>
      </c>
      <c r="D99" s="233">
        <f>SUMIF(TBL_Ventas[Producto],B99,TBL_Ventas[Uds])</f>
        <v>562</v>
      </c>
      <c r="E99" s="234">
        <f>SUMIF(TBL_Ventas[Producto],B99,TBL_Ventas[Importe])</f>
        <v>57.04999999999999</v>
      </c>
      <c r="F99" s="235">
        <f t="shared" si="7"/>
        <v>2.5204506314580943E-2</v>
      </c>
      <c r="G99" s="235">
        <f t="shared" si="8"/>
        <v>6.9644853971648853E-4</v>
      </c>
      <c r="H99" s="236">
        <f t="shared" si="9"/>
        <v>0.10151245551601422</v>
      </c>
      <c r="I99" s="145"/>
      <c r="J99" s="145"/>
      <c r="K99" s="145"/>
      <c r="L99" s="145"/>
      <c r="M99" s="145"/>
      <c r="N99" s="145"/>
    </row>
    <row r="100" spans="1:14" ht="8" customHeight="1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</row>
    <row r="101" spans="1:14" ht="15.75" customHeight="1">
      <c r="A101" s="1171" t="s">
        <v>270</v>
      </c>
      <c r="B101" s="1140"/>
      <c r="C101" s="1140"/>
      <c r="D101" s="1140"/>
      <c r="E101" s="1140"/>
      <c r="F101" s="1140"/>
      <c r="G101" s="1140"/>
      <c r="H101" s="1140"/>
      <c r="I101" s="145"/>
      <c r="J101" s="145"/>
      <c r="K101" s="145"/>
      <c r="L101" s="145"/>
      <c r="M101" s="145"/>
      <c r="N101" s="145"/>
    </row>
    <row r="102" spans="1:14" ht="15.75" customHeight="1">
      <c r="A102" s="237" t="s">
        <v>239</v>
      </c>
      <c r="B102" s="237" t="s">
        <v>241</v>
      </c>
      <c r="C102" s="237" t="s">
        <v>271</v>
      </c>
      <c r="D102" s="237" t="s">
        <v>242</v>
      </c>
      <c r="E102" s="237" t="s">
        <v>243</v>
      </c>
      <c r="F102" s="237" t="s">
        <v>272</v>
      </c>
      <c r="G102" s="237" t="s">
        <v>225</v>
      </c>
      <c r="H102" s="237" t="s">
        <v>273</v>
      </c>
      <c r="I102" s="145"/>
      <c r="J102" s="145"/>
      <c r="K102" s="145"/>
      <c r="L102" s="145"/>
      <c r="M102" s="145"/>
      <c r="N102" s="145"/>
    </row>
    <row r="103" spans="1:14" ht="15.75" customHeight="1">
      <c r="A103" s="216">
        <v>1</v>
      </c>
      <c r="B103" s="217" t="s">
        <v>256</v>
      </c>
      <c r="C103" s="238">
        <v>109</v>
      </c>
      <c r="D103" s="238">
        <f>SUMIF(TBL_Ventas[Familia],"Tapas Calientes",TBL_Ventas[Uds])</f>
        <v>8842</v>
      </c>
      <c r="E103" s="239">
        <f>SUMIF(TBL_Ventas[Familia],"Tapas Calientes",TBL_Ventas[Importe])</f>
        <v>61781.82000000008</v>
      </c>
      <c r="F103" s="240">
        <f t="shared" ref="F103:F112" si="10">IFERROR(E103/SUM(E$103:E$112),0)</f>
        <v>0.37282662750955858</v>
      </c>
      <c r="G103" s="241">
        <f t="shared" ref="G103:G112" si="11">IFERROR(E103/D103,0)</f>
        <v>6.9873128251526895</v>
      </c>
      <c r="H103" s="238">
        <f t="shared" ref="H103:H112" si="12">IFERROR(D103/48,0)</f>
        <v>184.20833333333334</v>
      </c>
      <c r="I103" s="145"/>
      <c r="J103" s="145"/>
      <c r="K103" s="145"/>
      <c r="L103" s="145"/>
      <c r="M103" s="145"/>
      <c r="N103" s="145"/>
    </row>
    <row r="104" spans="1:14" ht="15.75" customHeight="1">
      <c r="A104" s="223">
        <v>2</v>
      </c>
      <c r="B104" s="224" t="s">
        <v>253</v>
      </c>
      <c r="C104" s="242">
        <v>52</v>
      </c>
      <c r="D104" s="242">
        <f>SUMIF(TBL_Ventas[Familia],"Cervezas",TBL_Ventas[Uds])</f>
        <v>4485</v>
      </c>
      <c r="E104" s="243">
        <f>SUMIF(TBL_Ventas[Familia],"Cervezas",TBL_Ventas[Importe])</f>
        <v>23912.140000000047</v>
      </c>
      <c r="F104" s="244">
        <f t="shared" si="10"/>
        <v>0.14429944784301307</v>
      </c>
      <c r="G104" s="245">
        <f t="shared" si="11"/>
        <v>5.3315808249721401</v>
      </c>
      <c r="H104" s="242">
        <f t="shared" si="12"/>
        <v>93.4375</v>
      </c>
      <c r="I104" s="145"/>
      <c r="J104" s="145"/>
      <c r="K104" s="145"/>
      <c r="L104" s="145"/>
      <c r="M104" s="145"/>
      <c r="N104" s="145"/>
    </row>
    <row r="105" spans="1:14" ht="15.75" customHeight="1">
      <c r="A105" s="216">
        <v>3</v>
      </c>
      <c r="B105" s="217" t="s">
        <v>254</v>
      </c>
      <c r="C105" s="238">
        <v>3</v>
      </c>
      <c r="D105" s="238">
        <f>SUMIF(TBL_Ventas[Familia],"Menu",TBL_Ventas[Uds])</f>
        <v>1469</v>
      </c>
      <c r="E105" s="239">
        <f>SUMIF(TBL_Ventas[Familia],"Menu",TBL_Ventas[Importe])</f>
        <v>20942.499999999993</v>
      </c>
      <c r="F105" s="240">
        <f t="shared" si="10"/>
        <v>0.12637895171458075</v>
      </c>
      <c r="G105" s="241">
        <f t="shared" si="11"/>
        <v>14.256296800544582</v>
      </c>
      <c r="H105" s="238">
        <f t="shared" si="12"/>
        <v>30.604166666666668</v>
      </c>
      <c r="I105" s="145"/>
      <c r="J105" s="145"/>
      <c r="K105" s="145"/>
      <c r="L105" s="145"/>
      <c r="M105" s="145"/>
      <c r="N105" s="145"/>
    </row>
    <row r="106" spans="1:14" ht="15.75" customHeight="1">
      <c r="A106" s="223">
        <v>4</v>
      </c>
      <c r="B106" s="224" t="s">
        <v>251</v>
      </c>
      <c r="C106" s="242">
        <v>53</v>
      </c>
      <c r="D106" s="242">
        <f>SUMIF(TBL_Ventas[Familia],"Refrescos",TBL_Ventas[Uds])</f>
        <v>4978</v>
      </c>
      <c r="E106" s="243">
        <f>SUMIF(TBL_Ventas[Familia],"Refrescos",TBL_Ventas[Importe])</f>
        <v>10529.800000000005</v>
      </c>
      <c r="F106" s="244">
        <f t="shared" si="10"/>
        <v>6.354279984549091E-2</v>
      </c>
      <c r="G106" s="245">
        <f t="shared" si="11"/>
        <v>2.1152671755725199</v>
      </c>
      <c r="H106" s="242">
        <f t="shared" si="12"/>
        <v>103.70833333333333</v>
      </c>
      <c r="I106" s="145"/>
      <c r="J106" s="145"/>
      <c r="K106" s="145"/>
      <c r="L106" s="145"/>
      <c r="M106" s="145"/>
      <c r="N106" s="145"/>
    </row>
    <row r="107" spans="1:14" ht="15.75" customHeight="1">
      <c r="A107" s="216">
        <v>5</v>
      </c>
      <c r="B107" s="217" t="s">
        <v>247</v>
      </c>
      <c r="C107" s="238">
        <v>32</v>
      </c>
      <c r="D107" s="238">
        <f>SUMIF(TBL_Ventas[Familia],"Cafe",TBL_Ventas[Uds])</f>
        <v>5472.1</v>
      </c>
      <c r="E107" s="239">
        <f>SUMIF(TBL_Ventas[Familia],"Cafe",TBL_Ventas[Importe])</f>
        <v>9397.5499999999884</v>
      </c>
      <c r="F107" s="240">
        <f t="shared" si="10"/>
        <v>5.6710159612527497E-2</v>
      </c>
      <c r="G107" s="241">
        <f t="shared" si="11"/>
        <v>1.7173571389411721</v>
      </c>
      <c r="H107" s="238">
        <f t="shared" si="12"/>
        <v>114.00208333333335</v>
      </c>
      <c r="I107" s="145"/>
      <c r="J107" s="145"/>
      <c r="K107" s="145"/>
      <c r="L107" s="145"/>
      <c r="M107" s="145"/>
      <c r="N107" s="145"/>
    </row>
    <row r="108" spans="1:14" ht="15.75" customHeight="1">
      <c r="A108" s="223">
        <v>6</v>
      </c>
      <c r="B108" s="224" t="s">
        <v>274</v>
      </c>
      <c r="C108" s="242">
        <v>9</v>
      </c>
      <c r="D108" s="242">
        <f>SUMIF(TBL_Ventas[Familia],"Huevos estrellados",TBL_Ventas[Uds])</f>
        <v>918</v>
      </c>
      <c r="E108" s="243">
        <f>SUMIF(TBL_Ventas[Familia],"Huevos estrellados",TBL_Ventas[Importe])</f>
        <v>10926.939999999995</v>
      </c>
      <c r="F108" s="244">
        <f t="shared" si="10"/>
        <v>6.5939368396711023E-2</v>
      </c>
      <c r="G108" s="245">
        <f t="shared" si="11"/>
        <v>11.902984749455332</v>
      </c>
      <c r="H108" s="242">
        <f t="shared" si="12"/>
        <v>19.125</v>
      </c>
      <c r="I108" s="145"/>
      <c r="J108" s="145"/>
      <c r="K108" s="145"/>
      <c r="L108" s="145"/>
      <c r="M108" s="145"/>
      <c r="N108" s="145"/>
    </row>
    <row r="109" spans="1:14" ht="15.75" customHeight="1">
      <c r="A109" s="216">
        <v>7</v>
      </c>
      <c r="B109" s="217" t="s">
        <v>275</v>
      </c>
      <c r="C109" s="238">
        <v>49</v>
      </c>
      <c r="D109" s="238">
        <f>SUMIF(TBL_Ventas[Familia],"Postres",TBL_Ventas[Uds])</f>
        <v>1677</v>
      </c>
      <c r="E109" s="239">
        <f>SUMIF(TBL_Ventas[Familia],"Postres",TBL_Ventas[Importe])</f>
        <v>8031.1499999999933</v>
      </c>
      <c r="F109" s="240">
        <f t="shared" si="10"/>
        <v>4.8464525155189425E-2</v>
      </c>
      <c r="G109" s="241">
        <f t="shared" si="11"/>
        <v>4.7889982110912301</v>
      </c>
      <c r="H109" s="238">
        <f t="shared" si="12"/>
        <v>34.9375</v>
      </c>
      <c r="I109" s="145"/>
      <c r="J109" s="145"/>
      <c r="K109" s="145"/>
      <c r="L109" s="145"/>
      <c r="M109" s="145"/>
      <c r="N109" s="145"/>
    </row>
    <row r="110" spans="1:14" ht="15.75" customHeight="1">
      <c r="A110" s="223">
        <v>8</v>
      </c>
      <c r="B110" s="224" t="s">
        <v>249</v>
      </c>
      <c r="C110" s="242">
        <v>9</v>
      </c>
      <c r="D110" s="242">
        <f>SUMIF(TBL_Ventas[Familia],"Café",TBL_Ventas[Uds])</f>
        <v>4643.5</v>
      </c>
      <c r="E110" s="243">
        <f>SUMIF(TBL_Ventas[Familia],"Café",TBL_Ventas[Importe])</f>
        <v>7564.9399999999987</v>
      </c>
      <c r="F110" s="244">
        <f t="shared" si="10"/>
        <v>4.5651148954695027E-2</v>
      </c>
      <c r="G110" s="245">
        <f t="shared" si="11"/>
        <v>1.6291461182297833</v>
      </c>
      <c r="H110" s="242">
        <f t="shared" si="12"/>
        <v>96.739583333333329</v>
      </c>
      <c r="I110" s="145"/>
      <c r="J110" s="145"/>
      <c r="K110" s="145"/>
      <c r="L110" s="145"/>
      <c r="M110" s="145"/>
      <c r="N110" s="145"/>
    </row>
    <row r="111" spans="1:14" ht="19.5" customHeight="1">
      <c r="A111" s="252">
        <v>9</v>
      </c>
      <c r="B111" s="253" t="s">
        <v>276</v>
      </c>
      <c r="C111" s="254">
        <v>70</v>
      </c>
      <c r="D111" s="254">
        <f>SUMIF(TBL_Ventas[Familia],"Vinos",TBL_Ventas[Uds])</f>
        <v>1359</v>
      </c>
      <c r="E111" s="255">
        <f>SUMIF(TBL_Ventas[Familia],"Vinos",TBL_Ventas[Importe])</f>
        <v>6471.840000000002</v>
      </c>
      <c r="F111" s="256">
        <f t="shared" si="10"/>
        <v>3.9054762080195426E-2</v>
      </c>
      <c r="G111" s="257">
        <f t="shared" si="11"/>
        <v>4.7622075055187656</v>
      </c>
      <c r="H111" s="254">
        <f t="shared" si="12"/>
        <v>28.3125</v>
      </c>
      <c r="I111" s="642"/>
      <c r="J111" s="642"/>
      <c r="K111" s="145"/>
      <c r="L111" s="145"/>
      <c r="M111" s="145"/>
      <c r="N111" s="145"/>
    </row>
    <row r="112" spans="1:14" ht="21.75" customHeight="1">
      <c r="A112" s="246">
        <v>10</v>
      </c>
      <c r="B112" s="247" t="s">
        <v>277</v>
      </c>
      <c r="C112" s="248">
        <v>9</v>
      </c>
      <c r="D112" s="248">
        <f>SUMIF(TBL_Ventas[Familia],"Tosta Pizzas",TBL_Ventas[Uds])</f>
        <v>526</v>
      </c>
      <c r="E112" s="249">
        <f>SUMIF(TBL_Ventas[Familia],"Tosta Pizzas",TBL_Ventas[Importe])</f>
        <v>6153.2500000000027</v>
      </c>
      <c r="F112" s="250">
        <f t="shared" si="10"/>
        <v>3.7132208888038414E-2</v>
      </c>
      <c r="G112" s="251">
        <f t="shared" si="11"/>
        <v>11.698193916349815</v>
      </c>
      <c r="H112" s="248">
        <f t="shared" si="12"/>
        <v>10.958333333333334</v>
      </c>
      <c r="I112" s="5"/>
      <c r="J112" s="5"/>
      <c r="K112" s="145"/>
      <c r="L112" s="145"/>
      <c r="M112" s="145"/>
      <c r="N112" s="145"/>
    </row>
    <row r="113" spans="1:14" ht="15" customHeight="1">
      <c r="A113" s="15" t="s">
        <v>278</v>
      </c>
      <c r="B113" s="16" t="s">
        <v>279</v>
      </c>
      <c r="C113" s="13" t="s">
        <v>280</v>
      </c>
      <c r="D113" s="17" t="s">
        <v>281</v>
      </c>
      <c r="E113" s="18" t="s">
        <v>282</v>
      </c>
      <c r="F113" s="19" t="s">
        <v>283</v>
      </c>
      <c r="G113" s="145"/>
      <c r="H113" s="145"/>
      <c r="I113" s="145"/>
      <c r="J113" s="145"/>
      <c r="K113" s="145"/>
      <c r="L113" s="145"/>
      <c r="M113" s="145"/>
      <c r="N113" s="145"/>
    </row>
    <row r="114" spans="1:14" ht="15" customHeight="1">
      <c r="A114" s="643" t="s">
        <v>278</v>
      </c>
      <c r="B114" s="161" t="s">
        <v>284</v>
      </c>
      <c r="C114" s="50" t="s">
        <v>285</v>
      </c>
      <c r="D114" s="644" t="s">
        <v>286</v>
      </c>
      <c r="E114" s="645" t="s">
        <v>282</v>
      </c>
      <c r="F114" s="646" t="s">
        <v>287</v>
      </c>
      <c r="G114" s="145"/>
      <c r="H114" s="145"/>
      <c r="I114" s="145"/>
      <c r="J114" s="145"/>
      <c r="K114" s="145"/>
      <c r="L114" s="145"/>
      <c r="M114" s="145"/>
      <c r="N114" s="145"/>
    </row>
    <row r="115" spans="1:14" ht="15" customHeight="1">
      <c r="A115" s="647" t="s">
        <v>288</v>
      </c>
      <c r="B115" s="167" t="s">
        <v>289</v>
      </c>
      <c r="C115" s="582" t="s">
        <v>280</v>
      </c>
      <c r="D115" s="648" t="s">
        <v>290</v>
      </c>
      <c r="E115" s="649" t="s">
        <v>291</v>
      </c>
      <c r="F115" s="650" t="s">
        <v>292</v>
      </c>
      <c r="G115" s="145"/>
      <c r="H115" s="145"/>
      <c r="I115" s="145"/>
      <c r="J115" s="145"/>
      <c r="K115" s="145"/>
      <c r="L115" s="145"/>
      <c r="M115" s="145"/>
      <c r="N115" s="145"/>
    </row>
    <row r="116" spans="1:14" ht="15" customHeight="1">
      <c r="A116" s="647" t="s">
        <v>288</v>
      </c>
      <c r="B116" s="161" t="s">
        <v>293</v>
      </c>
      <c r="C116" s="50" t="s">
        <v>285</v>
      </c>
      <c r="D116" s="644" t="s">
        <v>294</v>
      </c>
      <c r="E116" s="645" t="s">
        <v>282</v>
      </c>
      <c r="F116" s="646" t="s">
        <v>295</v>
      </c>
      <c r="G116" s="145"/>
      <c r="H116" s="145"/>
      <c r="I116" s="145"/>
      <c r="J116" s="145"/>
      <c r="K116" s="145"/>
      <c r="L116" s="145"/>
      <c r="M116" s="145"/>
      <c r="N116" s="145"/>
    </row>
    <row r="117" spans="1:14" ht="15" customHeight="1">
      <c r="A117" s="647" t="s">
        <v>288</v>
      </c>
      <c r="B117" s="167" t="s">
        <v>296</v>
      </c>
      <c r="C117" s="582" t="s">
        <v>280</v>
      </c>
      <c r="D117" s="648" t="s">
        <v>297</v>
      </c>
      <c r="E117" s="649" t="s">
        <v>298</v>
      </c>
      <c r="F117" s="650" t="s">
        <v>299</v>
      </c>
      <c r="G117" s="145"/>
      <c r="H117" s="145"/>
      <c r="I117" s="145"/>
      <c r="J117" s="145"/>
      <c r="K117" s="145"/>
      <c r="L117" s="145"/>
      <c r="M117" s="145"/>
      <c r="N117" s="145"/>
    </row>
    <row r="118" spans="1:14" ht="15" customHeight="1">
      <c r="A118" s="651" t="s">
        <v>300</v>
      </c>
      <c r="B118" s="161" t="s">
        <v>301</v>
      </c>
      <c r="C118" s="50" t="s">
        <v>280</v>
      </c>
      <c r="D118" s="644" t="s">
        <v>302</v>
      </c>
      <c r="E118" s="645" t="s">
        <v>282</v>
      </c>
      <c r="F118" s="646" t="s">
        <v>303</v>
      </c>
      <c r="G118" s="145"/>
      <c r="H118" s="145"/>
      <c r="I118" s="145"/>
      <c r="J118" s="145"/>
      <c r="K118" s="145"/>
      <c r="L118" s="145"/>
      <c r="M118" s="145"/>
      <c r="N118" s="145"/>
    </row>
    <row r="119" spans="1:14" ht="15" customHeight="1">
      <c r="A119" s="651" t="s">
        <v>300</v>
      </c>
      <c r="B119" s="167" t="s">
        <v>304</v>
      </c>
      <c r="C119" s="582" t="s">
        <v>280</v>
      </c>
      <c r="D119" s="648" t="s">
        <v>286</v>
      </c>
      <c r="E119" s="645" t="s">
        <v>282</v>
      </c>
      <c r="F119" s="650" t="s">
        <v>305</v>
      </c>
      <c r="G119" s="145"/>
      <c r="H119" s="145"/>
      <c r="I119" s="145"/>
      <c r="J119" s="145"/>
      <c r="K119" s="145"/>
      <c r="L119" s="145"/>
      <c r="M119" s="145"/>
      <c r="N119" s="145"/>
    </row>
    <row r="120" spans="1:14" ht="15" customHeight="1">
      <c r="A120" s="651" t="s">
        <v>300</v>
      </c>
      <c r="B120" s="161" t="s">
        <v>306</v>
      </c>
      <c r="C120" s="50" t="s">
        <v>280</v>
      </c>
      <c r="D120" s="644" t="s">
        <v>290</v>
      </c>
      <c r="E120" s="645" t="s">
        <v>282</v>
      </c>
      <c r="F120" s="646" t="s">
        <v>307</v>
      </c>
      <c r="G120" s="145"/>
      <c r="H120" s="145"/>
      <c r="I120" s="145"/>
      <c r="J120" s="145"/>
      <c r="K120" s="145"/>
      <c r="L120" s="145"/>
      <c r="M120" s="145"/>
      <c r="N120" s="145"/>
    </row>
    <row r="121" spans="1:14" ht="8" customHeight="1">
      <c r="A121" s="292"/>
      <c r="B121" s="293"/>
      <c r="C121" s="46"/>
      <c r="D121" s="294"/>
      <c r="E121" s="295"/>
      <c r="F121" s="296"/>
      <c r="G121" s="145"/>
      <c r="H121" s="145"/>
      <c r="I121" s="145"/>
      <c r="J121" s="145"/>
      <c r="K121" s="145"/>
      <c r="L121" s="145"/>
      <c r="M121" s="145"/>
      <c r="N121" s="145"/>
    </row>
    <row r="122" spans="1:14" ht="15" customHeight="1">
      <c r="A122" s="1159" t="s">
        <v>308</v>
      </c>
      <c r="B122" s="1140"/>
      <c r="C122" s="1140"/>
      <c r="D122" s="1140"/>
      <c r="E122" s="1140"/>
      <c r="F122" s="1140"/>
      <c r="G122" s="1140"/>
      <c r="H122" s="1140"/>
      <c r="I122" s="1140"/>
      <c r="J122" s="1140"/>
      <c r="K122" s="74"/>
      <c r="L122" s="74"/>
      <c r="M122" s="145"/>
      <c r="N122" s="145"/>
    </row>
    <row r="123" spans="1:14" ht="15" customHeight="1">
      <c r="A123" s="298" t="s">
        <v>309</v>
      </c>
      <c r="B123" s="298" t="s">
        <v>310</v>
      </c>
      <c r="C123" s="298" t="s">
        <v>311</v>
      </c>
      <c r="D123" s="298" t="s">
        <v>312</v>
      </c>
      <c r="E123" s="298" t="s">
        <v>313</v>
      </c>
      <c r="F123" s="298" t="s">
        <v>314</v>
      </c>
      <c r="G123" s="298" t="s">
        <v>315</v>
      </c>
      <c r="H123" s="298" t="s">
        <v>316</v>
      </c>
      <c r="I123" s="298" t="s">
        <v>317</v>
      </c>
      <c r="J123" s="298" t="s">
        <v>149</v>
      </c>
      <c r="K123" s="74"/>
      <c r="L123" s="74"/>
      <c r="M123" s="145"/>
      <c r="N123" s="145"/>
    </row>
    <row r="124" spans="1:14" ht="15" customHeight="1">
      <c r="A124" s="258" t="s">
        <v>256</v>
      </c>
      <c r="B124" s="299">
        <v>92</v>
      </c>
      <c r="C124" s="259">
        <v>1.6</v>
      </c>
      <c r="D124" s="259">
        <v>16</v>
      </c>
      <c r="E124" s="260">
        <v>10</v>
      </c>
      <c r="F124" s="261" t="s">
        <v>318</v>
      </c>
      <c r="G124" s="262">
        <v>0.92</v>
      </c>
      <c r="H124" s="267" t="s">
        <v>319</v>
      </c>
      <c r="I124" s="300" t="s">
        <v>320</v>
      </c>
      <c r="J124" s="299" t="s">
        <v>288</v>
      </c>
      <c r="K124" s="74"/>
      <c r="L124" s="74"/>
      <c r="M124" s="145"/>
      <c r="N124" s="145"/>
    </row>
    <row r="125" spans="1:14" ht="15" customHeight="1">
      <c r="A125" s="263" t="s">
        <v>321</v>
      </c>
      <c r="B125" s="301">
        <v>17</v>
      </c>
      <c r="C125" s="264">
        <v>3.95</v>
      </c>
      <c r="D125" s="264">
        <v>14.9</v>
      </c>
      <c r="E125" s="265">
        <v>3.77</v>
      </c>
      <c r="F125" s="261" t="s">
        <v>318</v>
      </c>
      <c r="G125" s="266">
        <v>1.05</v>
      </c>
      <c r="H125" s="267" t="s">
        <v>319</v>
      </c>
      <c r="I125" s="302" t="s">
        <v>322</v>
      </c>
      <c r="J125" s="301" t="s">
        <v>288</v>
      </c>
      <c r="K125" s="74"/>
      <c r="L125" s="74"/>
      <c r="M125" s="145"/>
      <c r="N125" s="145"/>
    </row>
    <row r="126" spans="1:14" ht="15" customHeight="1">
      <c r="A126" s="258" t="s">
        <v>323</v>
      </c>
      <c r="B126" s="299">
        <v>7</v>
      </c>
      <c r="C126" s="259">
        <v>5.95</v>
      </c>
      <c r="D126" s="259">
        <v>12.65</v>
      </c>
      <c r="E126" s="260">
        <v>2.13</v>
      </c>
      <c r="F126" s="267" t="s">
        <v>319</v>
      </c>
      <c r="G126" s="262">
        <v>1.01</v>
      </c>
      <c r="H126" s="267" t="s">
        <v>319</v>
      </c>
      <c r="I126" s="300" t="s">
        <v>324</v>
      </c>
      <c r="J126" s="299" t="s">
        <v>325</v>
      </c>
      <c r="K126" s="74"/>
      <c r="L126" s="74"/>
      <c r="M126" s="145"/>
      <c r="N126" s="145"/>
    </row>
    <row r="127" spans="1:14" ht="15" customHeight="1">
      <c r="A127" s="263" t="s">
        <v>326</v>
      </c>
      <c r="B127" s="301">
        <v>12</v>
      </c>
      <c r="C127" s="264">
        <v>7.95</v>
      </c>
      <c r="D127" s="264">
        <v>14.9</v>
      </c>
      <c r="E127" s="265">
        <v>1.87</v>
      </c>
      <c r="F127" s="267" t="s">
        <v>319</v>
      </c>
      <c r="G127" s="266">
        <v>1</v>
      </c>
      <c r="H127" s="267" t="s">
        <v>319</v>
      </c>
      <c r="I127" s="302" t="s">
        <v>324</v>
      </c>
      <c r="J127" s="301" t="s">
        <v>325</v>
      </c>
      <c r="K127" s="74"/>
      <c r="L127" s="74"/>
      <c r="M127" s="145"/>
      <c r="N127" s="145"/>
    </row>
    <row r="128" spans="1:14" ht="15" customHeight="1">
      <c r="A128" s="258" t="s">
        <v>277</v>
      </c>
      <c r="B128" s="299">
        <v>8</v>
      </c>
      <c r="C128" s="259">
        <v>9.25</v>
      </c>
      <c r="D128" s="259">
        <v>12.9</v>
      </c>
      <c r="E128" s="260">
        <v>1.39</v>
      </c>
      <c r="F128" s="267" t="s">
        <v>319</v>
      </c>
      <c r="G128" s="262">
        <v>0.97</v>
      </c>
      <c r="H128" s="267" t="s">
        <v>319</v>
      </c>
      <c r="I128" s="300" t="s">
        <v>324</v>
      </c>
      <c r="J128" s="299" t="s">
        <v>325</v>
      </c>
      <c r="K128" s="74"/>
      <c r="L128" s="74"/>
      <c r="M128" s="145"/>
      <c r="N128" s="145"/>
    </row>
    <row r="129" spans="1:14" ht="15" customHeight="1">
      <c r="A129" s="263" t="s">
        <v>327</v>
      </c>
      <c r="B129" s="301">
        <v>32</v>
      </c>
      <c r="C129" s="264">
        <v>3.1</v>
      </c>
      <c r="D129" s="264">
        <v>7</v>
      </c>
      <c r="E129" s="265">
        <v>2.2599999999999998</v>
      </c>
      <c r="F129" s="267" t="s">
        <v>319</v>
      </c>
      <c r="G129" s="266">
        <v>0.93</v>
      </c>
      <c r="H129" s="267" t="s">
        <v>319</v>
      </c>
      <c r="I129" s="302" t="s">
        <v>324</v>
      </c>
      <c r="J129" s="301" t="s">
        <v>325</v>
      </c>
      <c r="K129" s="74"/>
      <c r="L129" s="74"/>
      <c r="M129" s="145"/>
      <c r="N129" s="145"/>
    </row>
    <row r="130" spans="1:14" ht="15" customHeight="1">
      <c r="A130" s="258" t="s">
        <v>328</v>
      </c>
      <c r="B130" s="299">
        <v>26</v>
      </c>
      <c r="C130" s="259">
        <v>2.9</v>
      </c>
      <c r="D130" s="259">
        <v>11.85</v>
      </c>
      <c r="E130" s="260">
        <v>4.09</v>
      </c>
      <c r="F130" s="261" t="s">
        <v>318</v>
      </c>
      <c r="G130" s="262">
        <v>0.89</v>
      </c>
      <c r="H130" s="267" t="s">
        <v>319</v>
      </c>
      <c r="I130" s="300" t="s">
        <v>329</v>
      </c>
      <c r="J130" s="299" t="s">
        <v>288</v>
      </c>
      <c r="K130" s="74"/>
      <c r="L130" s="74"/>
      <c r="M130" s="145"/>
      <c r="N130" s="145"/>
    </row>
    <row r="131" spans="1:14" ht="15" customHeight="1">
      <c r="A131" s="263" t="s">
        <v>275</v>
      </c>
      <c r="B131" s="301">
        <v>41</v>
      </c>
      <c r="C131" s="264">
        <v>1</v>
      </c>
      <c r="D131" s="264">
        <v>6.5</v>
      </c>
      <c r="E131" s="265">
        <v>6.5</v>
      </c>
      <c r="F131" s="261" t="s">
        <v>318</v>
      </c>
      <c r="G131" s="266">
        <v>1.02</v>
      </c>
      <c r="H131" s="267" t="s">
        <v>319</v>
      </c>
      <c r="I131" s="302" t="s">
        <v>330</v>
      </c>
      <c r="J131" s="301" t="s">
        <v>288</v>
      </c>
      <c r="K131" s="74"/>
      <c r="L131" s="74"/>
      <c r="M131" s="145"/>
      <c r="N131" s="145"/>
    </row>
    <row r="132" spans="1:14" ht="15" customHeight="1">
      <c r="A132" s="258" t="s">
        <v>331</v>
      </c>
      <c r="B132" s="299">
        <v>15</v>
      </c>
      <c r="C132" s="259">
        <v>2.5</v>
      </c>
      <c r="D132" s="259">
        <v>3.5</v>
      </c>
      <c r="E132" s="260">
        <v>1.4</v>
      </c>
      <c r="F132" s="267" t="s">
        <v>319</v>
      </c>
      <c r="G132" s="262">
        <v>0.93</v>
      </c>
      <c r="H132" s="267" t="s">
        <v>319</v>
      </c>
      <c r="I132" s="300" t="s">
        <v>324</v>
      </c>
      <c r="J132" s="299" t="s">
        <v>325</v>
      </c>
      <c r="K132" s="74"/>
      <c r="L132" s="74"/>
      <c r="M132" s="145"/>
      <c r="N132" s="145"/>
    </row>
    <row r="133" spans="1:14" ht="15" customHeight="1">
      <c r="A133" s="263" t="s">
        <v>332</v>
      </c>
      <c r="B133" s="301">
        <v>11</v>
      </c>
      <c r="C133" s="264">
        <v>2.0499999999999998</v>
      </c>
      <c r="D133" s="264">
        <v>4.1500000000000004</v>
      </c>
      <c r="E133" s="265">
        <v>2.02</v>
      </c>
      <c r="F133" s="267" t="s">
        <v>319</v>
      </c>
      <c r="G133" s="266">
        <v>0.77</v>
      </c>
      <c r="H133" s="261" t="s">
        <v>333</v>
      </c>
      <c r="I133" s="302" t="s">
        <v>334</v>
      </c>
      <c r="J133" s="301" t="s">
        <v>288</v>
      </c>
      <c r="K133" s="74"/>
      <c r="L133" s="74"/>
      <c r="M133" s="145"/>
      <c r="N133" s="145"/>
    </row>
    <row r="134" spans="1:14" ht="15" customHeight="1">
      <c r="A134" s="258" t="s">
        <v>335</v>
      </c>
      <c r="B134" s="299">
        <v>35</v>
      </c>
      <c r="C134" s="259">
        <v>3.25</v>
      </c>
      <c r="D134" s="259">
        <v>9.1</v>
      </c>
      <c r="E134" s="260">
        <v>2.8</v>
      </c>
      <c r="F134" s="267" t="s">
        <v>319</v>
      </c>
      <c r="G134" s="262">
        <v>0.92</v>
      </c>
      <c r="H134" s="267" t="s">
        <v>319</v>
      </c>
      <c r="I134" s="300" t="s">
        <v>324</v>
      </c>
      <c r="J134" s="299" t="s">
        <v>325</v>
      </c>
      <c r="K134" s="74"/>
      <c r="L134" s="74"/>
      <c r="M134" s="145"/>
      <c r="N134" s="145"/>
    </row>
    <row r="135" spans="1:14" ht="15" customHeight="1">
      <c r="A135" s="263" t="s">
        <v>336</v>
      </c>
      <c r="B135" s="301">
        <v>20</v>
      </c>
      <c r="C135" s="264">
        <v>15.15</v>
      </c>
      <c r="D135" s="264">
        <v>27.5</v>
      </c>
      <c r="E135" s="265">
        <v>1.82</v>
      </c>
      <c r="F135" s="267" t="s">
        <v>319</v>
      </c>
      <c r="G135" s="266">
        <v>0.93</v>
      </c>
      <c r="H135" s="267" t="s">
        <v>319</v>
      </c>
      <c r="I135" s="302" t="s">
        <v>324</v>
      </c>
      <c r="J135" s="301" t="s">
        <v>325</v>
      </c>
      <c r="K135" s="74"/>
      <c r="L135" s="74"/>
      <c r="M135" s="145"/>
      <c r="N135" s="145"/>
    </row>
    <row r="136" spans="1:14" ht="15" customHeight="1">
      <c r="A136" s="258" t="s">
        <v>337</v>
      </c>
      <c r="B136" s="299">
        <v>7</v>
      </c>
      <c r="C136" s="259">
        <v>1.55</v>
      </c>
      <c r="D136" s="259">
        <v>5</v>
      </c>
      <c r="E136" s="260">
        <v>3.23</v>
      </c>
      <c r="F136" s="261" t="s">
        <v>318</v>
      </c>
      <c r="G136" s="262">
        <v>0.82</v>
      </c>
      <c r="H136" s="261" t="s">
        <v>333</v>
      </c>
      <c r="I136" s="300" t="s">
        <v>338</v>
      </c>
      <c r="J136" s="299" t="s">
        <v>278</v>
      </c>
      <c r="K136" s="74"/>
      <c r="L136" s="74"/>
      <c r="M136" s="145"/>
      <c r="N136" s="145"/>
    </row>
    <row r="137" spans="1:14" ht="15" customHeight="1">
      <c r="A137" s="263" t="s">
        <v>251</v>
      </c>
      <c r="B137" s="301">
        <v>20</v>
      </c>
      <c r="C137" s="264">
        <v>2.1</v>
      </c>
      <c r="D137" s="264">
        <v>2.9</v>
      </c>
      <c r="E137" s="265">
        <v>1.38</v>
      </c>
      <c r="F137" s="267" t="s">
        <v>319</v>
      </c>
      <c r="G137" s="266">
        <v>1.05</v>
      </c>
      <c r="H137" s="267" t="s">
        <v>319</v>
      </c>
      <c r="I137" s="302" t="s">
        <v>324</v>
      </c>
      <c r="J137" s="301" t="s">
        <v>325</v>
      </c>
      <c r="K137" s="74"/>
      <c r="L137" s="74"/>
      <c r="M137" s="145"/>
      <c r="N137" s="145"/>
    </row>
    <row r="138" spans="1:14" ht="15" customHeight="1">
      <c r="A138" s="303" t="s">
        <v>339</v>
      </c>
      <c r="B138" s="304">
        <v>30</v>
      </c>
      <c r="C138" s="305">
        <v>1.24</v>
      </c>
      <c r="D138" s="305">
        <v>26.5</v>
      </c>
      <c r="E138" s="306">
        <v>21.37</v>
      </c>
      <c r="F138" s="268" t="s">
        <v>318</v>
      </c>
      <c r="G138" s="307">
        <v>0.6</v>
      </c>
      <c r="H138" s="268" t="s">
        <v>333</v>
      </c>
      <c r="I138" s="308" t="s">
        <v>340</v>
      </c>
      <c r="J138" s="304" t="s">
        <v>278</v>
      </c>
      <c r="K138" s="74"/>
      <c r="L138" s="74"/>
      <c r="M138" s="145"/>
      <c r="N138" s="145"/>
    </row>
    <row r="139" spans="1:14" ht="15.75" customHeight="1">
      <c r="A139" s="1189" t="s">
        <v>341</v>
      </c>
      <c r="B139" s="1140"/>
      <c r="C139" s="1140"/>
      <c r="D139" s="1140"/>
      <c r="E139" s="1140"/>
      <c r="F139" s="1140"/>
      <c r="G139" s="1140"/>
      <c r="H139" s="1140"/>
      <c r="I139" s="1140"/>
      <c r="J139" s="1140"/>
      <c r="K139" s="145"/>
      <c r="L139" s="145"/>
      <c r="M139" s="145"/>
      <c r="N139" s="145"/>
    </row>
    <row r="140" spans="1:14" ht="15.75" customHeight="1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</row>
    <row r="141" spans="1:14" ht="19.5" customHeight="1">
      <c r="A141" s="1175" t="s">
        <v>342</v>
      </c>
      <c r="B141" s="1140"/>
      <c r="C141" s="1140"/>
      <c r="D141" s="1140"/>
      <c r="E141" s="1140"/>
      <c r="F141" s="1140"/>
      <c r="G141" s="1140"/>
      <c r="H141" s="1140"/>
      <c r="I141" s="1140"/>
      <c r="J141" s="1140"/>
      <c r="K141" s="145"/>
      <c r="L141" s="145"/>
      <c r="M141" s="145"/>
      <c r="N141" s="145"/>
    </row>
    <row r="142" spans="1:14" ht="15" customHeight="1">
      <c r="A142" s="20"/>
      <c r="B142" s="1177" t="s">
        <v>343</v>
      </c>
      <c r="C142" s="1140"/>
      <c r="D142" s="1140"/>
      <c r="E142" s="1140"/>
      <c r="F142" s="145"/>
      <c r="G142" s="145"/>
      <c r="H142" s="145"/>
      <c r="I142" s="145"/>
      <c r="J142" s="145"/>
      <c r="K142" s="145"/>
      <c r="L142" s="145"/>
      <c r="M142" s="145"/>
      <c r="N142" s="145"/>
    </row>
    <row r="143" spans="1:14" ht="15" customHeight="1">
      <c r="A143" s="21"/>
      <c r="B143" s="1191" t="s">
        <v>344</v>
      </c>
      <c r="C143" s="1140"/>
      <c r="D143" s="1140"/>
      <c r="E143" s="1140"/>
      <c r="F143" s="145"/>
      <c r="G143" s="145"/>
      <c r="H143" s="145"/>
      <c r="I143" s="145"/>
      <c r="J143" s="145"/>
      <c r="K143" s="145"/>
      <c r="L143" s="145"/>
      <c r="M143" s="145"/>
      <c r="N143" s="145"/>
    </row>
    <row r="144" spans="1:14" ht="15" customHeight="1">
      <c r="A144" s="22"/>
      <c r="B144" s="1179" t="s">
        <v>345</v>
      </c>
      <c r="C144" s="1140"/>
      <c r="D144" s="1140"/>
      <c r="E144" s="1140"/>
      <c r="F144" s="145"/>
      <c r="G144" s="145"/>
      <c r="H144" s="145"/>
      <c r="I144" s="145"/>
      <c r="J144" s="145"/>
      <c r="K144" s="145"/>
      <c r="L144" s="145"/>
      <c r="M144" s="145"/>
      <c r="N144" s="145"/>
    </row>
    <row r="145" spans="1:14" ht="15" customHeight="1">
      <c r="A145" s="23"/>
      <c r="B145" s="1160" t="s">
        <v>346</v>
      </c>
      <c r="C145" s="1140"/>
      <c r="D145" s="1140"/>
      <c r="E145" s="1140"/>
      <c r="F145" s="145"/>
      <c r="G145" s="145"/>
      <c r="H145" s="145"/>
      <c r="I145" s="145"/>
      <c r="J145" s="145"/>
      <c r="K145" s="145"/>
      <c r="L145" s="145"/>
      <c r="M145" s="145"/>
      <c r="N145" s="145"/>
    </row>
    <row r="146" spans="1:14" ht="15" customHeight="1">
      <c r="A146" s="24"/>
      <c r="B146" s="1162" t="s">
        <v>347</v>
      </c>
      <c r="C146" s="1140"/>
      <c r="D146" s="1140"/>
      <c r="E146" s="1140"/>
      <c r="F146" s="145"/>
      <c r="G146" s="145"/>
      <c r="H146" s="145"/>
      <c r="I146" s="145"/>
      <c r="J146" s="145"/>
      <c r="K146" s="145"/>
      <c r="L146" s="145"/>
      <c r="M146" s="145"/>
      <c r="N146" s="145"/>
    </row>
    <row r="147" spans="1:14" ht="15" customHeight="1">
      <c r="A147" s="25"/>
      <c r="B147" s="1163" t="s">
        <v>348</v>
      </c>
      <c r="C147" s="1140"/>
      <c r="D147" s="1140"/>
      <c r="E147" s="1140"/>
      <c r="F147" s="145"/>
      <c r="G147" s="145"/>
      <c r="H147" s="145"/>
      <c r="I147" s="145"/>
      <c r="J147" s="145"/>
      <c r="K147" s="145"/>
      <c r="L147" s="145"/>
      <c r="M147" s="145"/>
      <c r="N147" s="145"/>
    </row>
    <row r="148" spans="1:14" ht="15.75" customHeight="1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</row>
    <row r="149" spans="1:14" ht="15.75" customHeight="1">
      <c r="A149" s="1173" t="s">
        <v>349</v>
      </c>
      <c r="B149" s="1140"/>
      <c r="C149" s="1140"/>
      <c r="D149" s="1140"/>
      <c r="E149" s="1140"/>
      <c r="F149" s="1140"/>
      <c r="G149" s="1140"/>
      <c r="H149" s="1140"/>
      <c r="I149" s="1140"/>
      <c r="J149" s="1140"/>
      <c r="K149" s="145"/>
      <c r="L149" s="145"/>
      <c r="M149" s="145"/>
      <c r="N149" s="145"/>
    </row>
    <row r="150" spans="1:14" ht="15.75" customHeight="1">
      <c r="A150" s="652" t="s">
        <v>350</v>
      </c>
      <c r="B150" s="652"/>
      <c r="C150" s="652" t="s">
        <v>351</v>
      </c>
      <c r="D150" s="652"/>
      <c r="E150" s="652" t="s">
        <v>352</v>
      </c>
      <c r="F150" s="652"/>
      <c r="G150" s="652"/>
      <c r="H150" s="652"/>
      <c r="I150" s="652"/>
      <c r="J150" s="652"/>
      <c r="K150" s="145"/>
      <c r="L150" s="145"/>
      <c r="M150" s="145"/>
      <c r="N150" s="145"/>
    </row>
    <row r="151" spans="1:14" ht="15.75" customHeight="1">
      <c r="A151" s="653">
        <f>COUNTIF('Menu Engineering'!D8:D207,"&gt;0")</f>
        <v>142</v>
      </c>
      <c r="B151" s="654"/>
      <c r="C151" s="655">
        <f>'Menu Engineering'!D5</f>
        <v>3.3302792990142409</v>
      </c>
      <c r="D151" s="654"/>
      <c r="E151" s="656">
        <f>'Menu Engineering'!E5</f>
        <v>4.9295774647887319E-3</v>
      </c>
      <c r="F151" s="654"/>
      <c r="G151" s="654"/>
      <c r="H151" s="654"/>
      <c r="I151" s="654"/>
      <c r="J151" s="654"/>
      <c r="K151" s="145"/>
      <c r="L151" s="145"/>
      <c r="M151" s="145"/>
      <c r="N151" s="145"/>
    </row>
    <row r="152" spans="1:14" ht="15.75" customHeight="1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</row>
    <row r="153" spans="1:14" ht="15.75" customHeight="1">
      <c r="A153" s="353" t="s">
        <v>353</v>
      </c>
      <c r="B153" s="353"/>
      <c r="C153" s="353" t="s">
        <v>354</v>
      </c>
      <c r="D153" s="353" t="s">
        <v>355</v>
      </c>
      <c r="E153" s="353" t="s">
        <v>356</v>
      </c>
      <c r="F153" s="353" t="s">
        <v>357</v>
      </c>
      <c r="G153" s="353" t="s">
        <v>358</v>
      </c>
      <c r="H153" s="353" t="s">
        <v>359</v>
      </c>
      <c r="I153" s="353" t="s">
        <v>360</v>
      </c>
      <c r="J153" s="353" t="s">
        <v>361</v>
      </c>
      <c r="K153" s="145"/>
      <c r="L153" s="145"/>
      <c r="M153" s="145"/>
      <c r="N153" s="145"/>
    </row>
    <row r="154" spans="1:14" ht="15.75" customHeight="1">
      <c r="A154" s="345" t="s">
        <v>362</v>
      </c>
      <c r="B154" s="346" t="s">
        <v>363</v>
      </c>
      <c r="C154" s="347">
        <f>'Menu Engineering'!C213</f>
        <v>25</v>
      </c>
      <c r="D154" s="348">
        <f>'Menu Engineering'!D213</f>
        <v>0.176056338028169</v>
      </c>
      <c r="E154" s="347">
        <f>'Menu Engineering'!E213</f>
        <v>495</v>
      </c>
      <c r="F154" s="348">
        <f>'Menu Engineering'!F213</f>
        <v>0.27108433734939757</v>
      </c>
      <c r="G154" s="349">
        <f>'Menu Engineering'!G213</f>
        <v>3225.9</v>
      </c>
      <c r="H154" s="350">
        <f>'Menu Engineering'!H213</f>
        <v>0.53048055529518523</v>
      </c>
      <c r="I154" s="351">
        <f>'Menu Engineering'!I213</f>
        <v>6.5169696969696975</v>
      </c>
      <c r="J154" s="352" t="s">
        <v>364</v>
      </c>
      <c r="K154" s="145"/>
      <c r="L154" s="145"/>
      <c r="M154" s="145"/>
      <c r="N154" s="145"/>
    </row>
    <row r="155" spans="1:14" ht="15.75" customHeight="1">
      <c r="A155" s="354" t="s">
        <v>365</v>
      </c>
      <c r="B155" s="355" t="s">
        <v>366</v>
      </c>
      <c r="C155" s="356">
        <f>'Menu Engineering'!C214</f>
        <v>29</v>
      </c>
      <c r="D155" s="357">
        <f>'Menu Engineering'!D214</f>
        <v>0.20422535211267606</v>
      </c>
      <c r="E155" s="356">
        <f>'Menu Engineering'!E214</f>
        <v>1018</v>
      </c>
      <c r="F155" s="357">
        <f>'Menu Engineering'!F214</f>
        <v>0.55750273822562979</v>
      </c>
      <c r="G155" s="358">
        <f>'Menu Engineering'!G214</f>
        <v>1547.2899999999997</v>
      </c>
      <c r="H155" s="359">
        <f>'Menu Engineering'!H214</f>
        <v>0.25444287126156639</v>
      </c>
      <c r="I155" s="360">
        <f>'Menu Engineering'!I214</f>
        <v>1.5199312377210215</v>
      </c>
      <c r="J155" s="361" t="s">
        <v>367</v>
      </c>
      <c r="K155" s="145"/>
      <c r="L155" s="145"/>
      <c r="M155" s="145"/>
      <c r="N155" s="145"/>
    </row>
    <row r="156" spans="1:14" ht="15.75" customHeight="1">
      <c r="A156" s="362" t="s">
        <v>368</v>
      </c>
      <c r="B156" s="363" t="s">
        <v>369</v>
      </c>
      <c r="C156" s="364">
        <f>'Menu Engineering'!C215</f>
        <v>39</v>
      </c>
      <c r="D156" s="365">
        <f>'Menu Engineering'!D215</f>
        <v>0.27464788732394368</v>
      </c>
      <c r="E156" s="364">
        <f>'Menu Engineering'!E215</f>
        <v>145</v>
      </c>
      <c r="F156" s="365">
        <f>'Menu Engineering'!F215</f>
        <v>7.9408543263964945E-2</v>
      </c>
      <c r="G156" s="366">
        <f>'Menu Engineering'!G215</f>
        <v>1011.3800000000002</v>
      </c>
      <c r="H156" s="367">
        <f>'Menu Engineering'!H215</f>
        <v>0.16631557829270732</v>
      </c>
      <c r="I156" s="368">
        <f>'Menu Engineering'!I215</f>
        <v>6.9750344827586224</v>
      </c>
      <c r="J156" s="369" t="s">
        <v>370</v>
      </c>
      <c r="K156" s="145"/>
      <c r="L156" s="145"/>
      <c r="M156" s="145"/>
      <c r="N156" s="145"/>
    </row>
    <row r="157" spans="1:14" ht="15.75" customHeight="1">
      <c r="A157" s="370" t="s">
        <v>371</v>
      </c>
      <c r="B157" s="371" t="s">
        <v>372</v>
      </c>
      <c r="C157" s="372">
        <f>'Menu Engineering'!C216</f>
        <v>49</v>
      </c>
      <c r="D157" s="373">
        <f>'Menu Engineering'!D216</f>
        <v>0.34507042253521125</v>
      </c>
      <c r="E157" s="372">
        <f>'Menu Engineering'!E216</f>
        <v>168</v>
      </c>
      <c r="F157" s="373">
        <f>'Menu Engineering'!F216</f>
        <v>9.2004381161007662E-2</v>
      </c>
      <c r="G157" s="374">
        <f>'Menu Engineering'!G216</f>
        <v>296.52000000000004</v>
      </c>
      <c r="H157" s="375">
        <f>'Menu Engineering'!H216</f>
        <v>4.8760995150540422E-2</v>
      </c>
      <c r="I157" s="376">
        <f>'Menu Engineering'!I216</f>
        <v>1.7650000000000001</v>
      </c>
      <c r="J157" s="377" t="s">
        <v>373</v>
      </c>
      <c r="K157" s="145"/>
      <c r="L157" s="145"/>
      <c r="M157" s="145"/>
      <c r="N157" s="145"/>
    </row>
    <row r="158" spans="1:14" ht="15.75" customHeight="1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</row>
    <row r="159" spans="1:14" ht="15.75" customHeight="1">
      <c r="A159" s="1155" t="s">
        <v>374</v>
      </c>
      <c r="B159" s="1140"/>
      <c r="C159" s="1140"/>
      <c r="D159" s="1140"/>
      <c r="E159" s="1140"/>
      <c r="F159" s="1140"/>
      <c r="G159" s="1140"/>
      <c r="H159" s="1140"/>
      <c r="I159" s="1140"/>
      <c r="J159" s="1140"/>
      <c r="K159" s="145"/>
      <c r="L159" s="145"/>
      <c r="M159" s="145"/>
      <c r="N159" s="145"/>
    </row>
    <row r="160" spans="1:14" ht="15.75" customHeight="1">
      <c r="A160" s="1174" t="s">
        <v>375</v>
      </c>
      <c r="B160" s="1140"/>
      <c r="C160" s="1140"/>
      <c r="D160" s="1140"/>
      <c r="E160" s="1140"/>
      <c r="F160" s="1140"/>
      <c r="G160" s="1140"/>
      <c r="H160" s="1140"/>
      <c r="I160" s="1140"/>
      <c r="J160" s="1140"/>
      <c r="K160" s="145"/>
      <c r="L160" s="145"/>
      <c r="M160" s="145"/>
      <c r="N160" s="145"/>
    </row>
    <row r="161" spans="1:14" ht="15.75" customHeight="1">
      <c r="A161" s="1167" t="s">
        <v>376</v>
      </c>
      <c r="B161" s="1140"/>
      <c r="C161" s="1140"/>
      <c r="D161" s="1140"/>
      <c r="E161" s="1140"/>
      <c r="F161" s="1140"/>
      <c r="G161" s="1140"/>
      <c r="H161" s="1140"/>
      <c r="I161" s="1140"/>
      <c r="J161" s="1140"/>
      <c r="K161" s="145"/>
      <c r="L161" s="145"/>
      <c r="M161" s="145"/>
      <c r="N161" s="145"/>
    </row>
    <row r="162" spans="1:14" ht="15.75" customHeight="1">
      <c r="A162" s="1187" t="s">
        <v>377</v>
      </c>
      <c r="B162" s="1140"/>
      <c r="C162" s="1140"/>
      <c r="D162" s="1140"/>
      <c r="E162" s="1140"/>
      <c r="F162" s="1140"/>
      <c r="G162" s="1140"/>
      <c r="H162" s="1140"/>
      <c r="I162" s="1140"/>
      <c r="J162" s="1140"/>
      <c r="K162" s="145"/>
      <c r="L162" s="145"/>
      <c r="M162" s="145"/>
      <c r="N162" s="145"/>
    </row>
    <row r="163" spans="1:14" ht="15.75" customHeight="1">
      <c r="A163" s="1190" t="s">
        <v>378</v>
      </c>
      <c r="B163" s="1140"/>
      <c r="C163" s="1140"/>
      <c r="D163" s="1140"/>
      <c r="E163" s="1140"/>
      <c r="F163" s="1140"/>
      <c r="G163" s="1140"/>
      <c r="H163" s="1140"/>
      <c r="I163" s="1140"/>
      <c r="J163" s="1140"/>
      <c r="K163" s="145"/>
      <c r="L163" s="145"/>
      <c r="M163" s="145"/>
      <c r="N163" s="145"/>
    </row>
    <row r="164" spans="1:14" ht="15.75" customHeight="1">
      <c r="A164" s="1189" t="s">
        <v>379</v>
      </c>
      <c r="B164" s="1140"/>
      <c r="C164" s="1140"/>
      <c r="D164" s="1140"/>
      <c r="E164" s="1140"/>
      <c r="F164" s="1140"/>
      <c r="G164" s="1140"/>
      <c r="H164" s="1140"/>
      <c r="I164" s="1140"/>
      <c r="J164" s="1140"/>
      <c r="K164" s="145"/>
      <c r="L164" s="145"/>
      <c r="M164" s="145"/>
      <c r="N164" s="145"/>
    </row>
    <row r="165" spans="1:14" ht="15.75" customHeight="1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</row>
    <row r="166" spans="1:14" ht="15.75" customHeight="1">
      <c r="A166" s="1184" t="s">
        <v>380</v>
      </c>
      <c r="B166" s="1140"/>
      <c r="C166" s="1140"/>
      <c r="D166" s="1140"/>
      <c r="E166" s="1140"/>
      <c r="F166" s="1140"/>
      <c r="G166" s="1140"/>
      <c r="H166" s="1140"/>
      <c r="I166" s="1140"/>
      <c r="J166" s="1140"/>
      <c r="K166" s="145"/>
      <c r="L166" s="145"/>
      <c r="M166" s="145"/>
      <c r="N166" s="145"/>
    </row>
    <row r="167" spans="1:14" ht="15.75" customHeight="1">
      <c r="A167" s="1180" t="s">
        <v>381</v>
      </c>
      <c r="B167" s="1140"/>
      <c r="C167" s="1140"/>
      <c r="D167" s="1140"/>
      <c r="E167" s="1140"/>
      <c r="F167" s="1140"/>
      <c r="G167" s="1140"/>
      <c r="H167" s="1140"/>
      <c r="I167" s="1140"/>
      <c r="J167" s="1140"/>
      <c r="K167" s="145"/>
      <c r="L167" s="145"/>
      <c r="M167" s="145"/>
      <c r="N167" s="145"/>
    </row>
    <row r="168" spans="1:14" ht="15.75" customHeight="1">
      <c r="A168" s="1147" t="s">
        <v>382</v>
      </c>
      <c r="B168" s="1140"/>
      <c r="C168" s="1147" t="s">
        <v>383</v>
      </c>
      <c r="D168" s="1140"/>
      <c r="E168" s="1147" t="s">
        <v>384</v>
      </c>
      <c r="F168" s="1140"/>
      <c r="G168" s="1147" t="s">
        <v>385</v>
      </c>
      <c r="H168" s="1140"/>
      <c r="I168" s="541" t="s">
        <v>386</v>
      </c>
      <c r="J168" s="541" t="s">
        <v>387</v>
      </c>
      <c r="K168" s="145"/>
      <c r="L168" s="145"/>
      <c r="M168" s="145"/>
      <c r="N168" s="145"/>
    </row>
    <row r="169" spans="1:14" ht="15.75" customHeight="1">
      <c r="A169" s="1166">
        <f ca="1">'P&amp;L EBITDA'!C4</f>
        <v>98512.15</v>
      </c>
      <c r="B169" s="1140"/>
      <c r="C169" s="1166">
        <f>'P&amp;L EBITDA'!C36</f>
        <v>0</v>
      </c>
      <c r="D169" s="1140"/>
      <c r="E169" s="1185">
        <f>'P&amp;L EBITDA'!C46</f>
        <v>0</v>
      </c>
      <c r="F169" s="1140"/>
      <c r="G169" s="1150">
        <f ca="1">IF('P&amp;L EBITDA'!C4=0,"-",E169/'P&amp;L EBITDA'!C4)</f>
        <v>0</v>
      </c>
      <c r="H169" s="1140"/>
      <c r="I169" s="542">
        <f ca="1">IF('P&amp;L EBITDA'!C4=0,"-",'P&amp;L EBITDA'!C6/'P&amp;L EBITDA'!C4)</f>
        <v>0.17366700452685274</v>
      </c>
      <c r="J169" s="542">
        <f ca="1">IF('P&amp;L EBITDA'!C4=0,"-",'P&amp;L EBITDA'!C30/'P&amp;L EBITDA'!C4)</f>
        <v>0</v>
      </c>
      <c r="K169" s="145"/>
      <c r="L169" s="145"/>
      <c r="M169" s="145"/>
      <c r="N169" s="145"/>
    </row>
    <row r="170" spans="1:14" ht="15.75" customHeight="1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</row>
    <row r="171" spans="1:14" ht="15.75" customHeight="1">
      <c r="A171" s="405" t="s">
        <v>150</v>
      </c>
      <c r="B171" s="215" t="s">
        <v>388</v>
      </c>
      <c r="C171" s="215" t="s">
        <v>389</v>
      </c>
      <c r="D171" s="215" t="s">
        <v>390</v>
      </c>
      <c r="E171" s="215" t="s">
        <v>391</v>
      </c>
      <c r="F171" s="215" t="s">
        <v>392</v>
      </c>
      <c r="G171" s="215" t="s">
        <v>393</v>
      </c>
      <c r="H171" s="215" t="s">
        <v>394</v>
      </c>
      <c r="I171" s="215" t="s">
        <v>395</v>
      </c>
      <c r="J171" s="215" t="s">
        <v>188</v>
      </c>
      <c r="K171" s="145"/>
      <c r="L171" s="145"/>
      <c r="M171" s="145"/>
      <c r="N171" s="145"/>
    </row>
    <row r="172" spans="1:14" ht="15.75" customHeight="1">
      <c r="A172" s="406" t="s">
        <v>396</v>
      </c>
      <c r="B172" s="407">
        <f>'P&amp;L EBITDA'!E4</f>
        <v>26444.02</v>
      </c>
      <c r="C172" s="408" t="str">
        <f>""</f>
        <v/>
      </c>
      <c r="D172" s="407">
        <f>'P&amp;L EBITDA'!F4</f>
        <v>26991.47</v>
      </c>
      <c r="E172" s="408" t="str">
        <f>""</f>
        <v/>
      </c>
      <c r="F172" s="407">
        <f ca="1">'P&amp;L EBITDA'!C4</f>
        <v>98512.15</v>
      </c>
      <c r="G172" s="408" t="str">
        <f>""</f>
        <v/>
      </c>
      <c r="H172" s="407">
        <f ca="1">IFERROR(F172/COUNTIF('P&amp;L EBITDA'!E4:P4,"&gt;"&amp;0),0)</f>
        <v>24628.037499999999</v>
      </c>
      <c r="I172" s="408" t="str">
        <f>""</f>
        <v/>
      </c>
      <c r="J172" s="406" t="str">
        <f>IF(OR(B172=0,D172=0),"-",IF(D172&gt;B172,"📈 +"&amp;TEXT((D172/B172-1),"0.0%"),"📉 "&amp;TEXT((D172/B172-1),"0.0%")))</f>
        <v>📈 +02%</v>
      </c>
      <c r="K172" s="145"/>
      <c r="L172" s="145"/>
      <c r="M172" s="145"/>
      <c r="N172" s="145"/>
    </row>
    <row r="173" spans="1:14" ht="15.75" customHeight="1">
      <c r="A173" s="409" t="s">
        <v>397</v>
      </c>
      <c r="B173" s="410">
        <f>'P&amp;L EBITDA'!E6</f>
        <v>3490.4799999999991</v>
      </c>
      <c r="C173" s="411">
        <f>IF('P&amp;L EBITDA'!E$4=0,"-",'P&amp;L EBITDA'!E6/'P&amp;L EBITDA'!E$4)</f>
        <v>0.1319950597526397</v>
      </c>
      <c r="D173" s="410">
        <f>'P&amp;L EBITDA'!F6</f>
        <v>4552.5899999999992</v>
      </c>
      <c r="E173" s="411">
        <f>IF('P&amp;L EBITDA'!F$4=0,"-",'P&amp;L EBITDA'!F6/'P&amp;L EBITDA'!F$4)</f>
        <v>0.16866773095351972</v>
      </c>
      <c r="F173" s="410">
        <f>'P&amp;L EBITDA'!C6</f>
        <v>17108.309999999994</v>
      </c>
      <c r="G173" s="411">
        <f ca="1">IF('P&amp;L EBITDA'!C$4=0,"-",'P&amp;L EBITDA'!C6/'P&amp;L EBITDA'!C$4)</f>
        <v>0.17366700452685274</v>
      </c>
      <c r="H173" s="410">
        <f>IFERROR(F173/COUNTIF('P&amp;L EBITDA'!E4:P4,"&gt;"&amp;0),0)</f>
        <v>4277.0774999999985</v>
      </c>
      <c r="I173" s="411">
        <f t="shared" ref="I173:I186" ca="1" si="13">G173</f>
        <v>0.17366700452685274</v>
      </c>
      <c r="J173" s="409" t="str">
        <f t="shared" ref="J173:J182" si="14">IF(OR(B173=0,D173=0),"-",IF(D173&lt;B173,"✅ "&amp;TEXT((D173/B173-1),"0.0%"),"⚠️ +"&amp;TEXT((D173/B173-1),"0.0%")))</f>
        <v>⚠️ +30%</v>
      </c>
      <c r="K173" s="145"/>
      <c r="L173" s="145"/>
      <c r="M173" s="145"/>
      <c r="N173" s="145"/>
    </row>
    <row r="174" spans="1:14" ht="15.75" customHeight="1">
      <c r="A174" s="412" t="s">
        <v>398</v>
      </c>
      <c r="B174" s="413">
        <f>'P&amp;L EBITDA'!E9</f>
        <v>0</v>
      </c>
      <c r="C174" s="414">
        <f>IF('P&amp;L EBITDA'!E$4=0,"-",'P&amp;L EBITDA'!E9/'P&amp;L EBITDA'!E$4)</f>
        <v>0</v>
      </c>
      <c r="D174" s="413">
        <f>'P&amp;L EBITDA'!F9</f>
        <v>0</v>
      </c>
      <c r="E174" s="414">
        <f>IF('P&amp;L EBITDA'!F$4=0,"-",'P&amp;L EBITDA'!F9/'P&amp;L EBITDA'!F$4)</f>
        <v>0</v>
      </c>
      <c r="F174" s="413">
        <f>'P&amp;L EBITDA'!C9</f>
        <v>0</v>
      </c>
      <c r="G174" s="414">
        <f ca="1">IF('P&amp;L EBITDA'!C$4=0,"-",'P&amp;L EBITDA'!C9/'P&amp;L EBITDA'!C$4)</f>
        <v>0</v>
      </c>
      <c r="H174" s="413">
        <f>IFERROR(F174/COUNTIF('P&amp;L EBITDA'!E4:P4,"&gt;"&amp;0),0)</f>
        <v>0</v>
      </c>
      <c r="I174" s="414">
        <f t="shared" ca="1" si="13"/>
        <v>0</v>
      </c>
      <c r="J174" s="412" t="str">
        <f t="shared" si="14"/>
        <v>-</v>
      </c>
      <c r="K174" s="145"/>
      <c r="L174" s="145"/>
      <c r="M174" s="145"/>
      <c r="N174" s="145"/>
    </row>
    <row r="175" spans="1:14" ht="15.75" customHeight="1">
      <c r="A175" s="409" t="s">
        <v>399</v>
      </c>
      <c r="B175" s="410">
        <f>'P&amp;L EBITDA'!E12</f>
        <v>0</v>
      </c>
      <c r="C175" s="411">
        <f>IF('P&amp;L EBITDA'!E$4=0,"-",'P&amp;L EBITDA'!E12/'P&amp;L EBITDA'!E$4)</f>
        <v>0</v>
      </c>
      <c r="D175" s="410">
        <f>'P&amp;L EBITDA'!F12</f>
        <v>0</v>
      </c>
      <c r="E175" s="411">
        <f>IF('P&amp;L EBITDA'!F$4=0,"-",'P&amp;L EBITDA'!F12/'P&amp;L EBITDA'!F$4)</f>
        <v>0</v>
      </c>
      <c r="F175" s="410">
        <f>'P&amp;L EBITDA'!C12</f>
        <v>0</v>
      </c>
      <c r="G175" s="411">
        <f ca="1">IF('P&amp;L EBITDA'!C$4=0,"-",'P&amp;L EBITDA'!C12/'P&amp;L EBITDA'!C$4)</f>
        <v>0</v>
      </c>
      <c r="H175" s="410">
        <f>IFERROR(F175/COUNTIF('P&amp;L EBITDA'!E4:P4,"&gt;"&amp;0),0)</f>
        <v>0</v>
      </c>
      <c r="I175" s="411">
        <f t="shared" ca="1" si="13"/>
        <v>0</v>
      </c>
      <c r="J175" s="409" t="str">
        <f t="shared" si="14"/>
        <v>-</v>
      </c>
      <c r="K175" s="145"/>
      <c r="L175" s="145"/>
      <c r="M175" s="145"/>
      <c r="N175" s="145"/>
    </row>
    <row r="176" spans="1:14" ht="15.75" customHeight="1">
      <c r="A176" s="412" t="s">
        <v>400</v>
      </c>
      <c r="B176" s="413">
        <f>'P&amp;L EBITDA'!E15</f>
        <v>0</v>
      </c>
      <c r="C176" s="414">
        <f>IF('P&amp;L EBITDA'!E$4=0,"-",'P&amp;L EBITDA'!E15/'P&amp;L EBITDA'!E$4)</f>
        <v>0</v>
      </c>
      <c r="D176" s="413">
        <f>'P&amp;L EBITDA'!F15</f>
        <v>0</v>
      </c>
      <c r="E176" s="414">
        <f>IF('P&amp;L EBITDA'!F$4=0,"-",'P&amp;L EBITDA'!F15/'P&amp;L EBITDA'!F$4)</f>
        <v>0</v>
      </c>
      <c r="F176" s="413">
        <f>'P&amp;L EBITDA'!C15</f>
        <v>0</v>
      </c>
      <c r="G176" s="414">
        <f ca="1">IF('P&amp;L EBITDA'!C$4=0,"-",'P&amp;L EBITDA'!C15/'P&amp;L EBITDA'!C$4)</f>
        <v>0</v>
      </c>
      <c r="H176" s="413">
        <f>IFERROR(F176/COUNTIF('P&amp;L EBITDA'!E4:P4,"&gt;"&amp;0),0)</f>
        <v>0</v>
      </c>
      <c r="I176" s="414">
        <f t="shared" ca="1" si="13"/>
        <v>0</v>
      </c>
      <c r="J176" s="412" t="str">
        <f t="shared" si="14"/>
        <v>-</v>
      </c>
      <c r="K176" s="145"/>
      <c r="L176" s="145"/>
      <c r="M176" s="145"/>
      <c r="N176" s="145"/>
    </row>
    <row r="177" spans="1:14" ht="15.75" customHeight="1">
      <c r="A177" s="409" t="s">
        <v>401</v>
      </c>
      <c r="B177" s="410">
        <f>'P&amp;L EBITDA'!E18</f>
        <v>0</v>
      </c>
      <c r="C177" s="411">
        <f>IF('P&amp;L EBITDA'!E$4=0,"-",'P&amp;L EBITDA'!E18/'P&amp;L EBITDA'!E$4)</f>
        <v>0</v>
      </c>
      <c r="D177" s="410">
        <f>'P&amp;L EBITDA'!F18</f>
        <v>0</v>
      </c>
      <c r="E177" s="411">
        <f>IF('P&amp;L EBITDA'!F$4=0,"-",'P&amp;L EBITDA'!F18/'P&amp;L EBITDA'!F$4)</f>
        <v>0</v>
      </c>
      <c r="F177" s="410">
        <f>'P&amp;L EBITDA'!C18</f>
        <v>0</v>
      </c>
      <c r="G177" s="411">
        <f ca="1">IF('P&amp;L EBITDA'!C$4=0,"-",'P&amp;L EBITDA'!C18/'P&amp;L EBITDA'!C$4)</f>
        <v>0</v>
      </c>
      <c r="H177" s="410">
        <f>IFERROR(F177/COUNTIF('P&amp;L EBITDA'!E4:P4,"&gt;"&amp;0),0)</f>
        <v>0</v>
      </c>
      <c r="I177" s="411">
        <f t="shared" ca="1" si="13"/>
        <v>0</v>
      </c>
      <c r="J177" s="409" t="str">
        <f t="shared" si="14"/>
        <v>-</v>
      </c>
      <c r="K177" s="145"/>
      <c r="L177" s="145"/>
      <c r="M177" s="145"/>
      <c r="N177" s="145"/>
    </row>
    <row r="178" spans="1:14" ht="15.75" customHeight="1">
      <c r="A178" s="412" t="s">
        <v>402</v>
      </c>
      <c r="B178" s="413">
        <f>'P&amp;L EBITDA'!E21</f>
        <v>0</v>
      </c>
      <c r="C178" s="414">
        <f>IF('P&amp;L EBITDA'!E$4=0,"-",'P&amp;L EBITDA'!E21/'P&amp;L EBITDA'!E$4)</f>
        <v>0</v>
      </c>
      <c r="D178" s="413">
        <f>'P&amp;L EBITDA'!F21</f>
        <v>0</v>
      </c>
      <c r="E178" s="414">
        <f>IF('P&amp;L EBITDA'!F$4=0,"-",'P&amp;L EBITDA'!F21/'P&amp;L EBITDA'!F$4)</f>
        <v>0</v>
      </c>
      <c r="F178" s="413">
        <f>'P&amp;L EBITDA'!C21</f>
        <v>0</v>
      </c>
      <c r="G178" s="414">
        <f ca="1">IF('P&amp;L EBITDA'!C$4=0,"-",'P&amp;L EBITDA'!C21/'P&amp;L EBITDA'!C$4)</f>
        <v>0</v>
      </c>
      <c r="H178" s="413">
        <f>IFERROR(F178/COUNTIF('P&amp;L EBITDA'!E4:P4,"&gt;"&amp;0),0)</f>
        <v>0</v>
      </c>
      <c r="I178" s="414">
        <f t="shared" ca="1" si="13"/>
        <v>0</v>
      </c>
      <c r="J178" s="412" t="str">
        <f t="shared" si="14"/>
        <v>-</v>
      </c>
      <c r="K178" s="145"/>
      <c r="L178" s="145"/>
      <c r="M178" s="145"/>
      <c r="N178" s="145"/>
    </row>
    <row r="179" spans="1:14" ht="15.75" customHeight="1">
      <c r="A179" s="409" t="s">
        <v>403</v>
      </c>
      <c r="B179" s="410">
        <f>'P&amp;L EBITDA'!E24</f>
        <v>0</v>
      </c>
      <c r="C179" s="411">
        <f>IF('P&amp;L EBITDA'!E$4=0,"-",'P&amp;L EBITDA'!E24/'P&amp;L EBITDA'!E$4)</f>
        <v>0</v>
      </c>
      <c r="D179" s="410">
        <f>'P&amp;L EBITDA'!F24</f>
        <v>0</v>
      </c>
      <c r="E179" s="411">
        <f>IF('P&amp;L EBITDA'!F$4=0,"-",'P&amp;L EBITDA'!F24/'P&amp;L EBITDA'!F$4)</f>
        <v>0</v>
      </c>
      <c r="F179" s="410">
        <f>'P&amp;L EBITDA'!C24</f>
        <v>0</v>
      </c>
      <c r="G179" s="411">
        <f ca="1">IF('P&amp;L EBITDA'!C$4=0,"-",'P&amp;L EBITDA'!C24/'P&amp;L EBITDA'!C$4)</f>
        <v>0</v>
      </c>
      <c r="H179" s="410">
        <f>IFERROR(F179/COUNTIF('P&amp;L EBITDA'!E4:P4,"&gt;"&amp;0),0)</f>
        <v>0</v>
      </c>
      <c r="I179" s="411">
        <f t="shared" ca="1" si="13"/>
        <v>0</v>
      </c>
      <c r="J179" s="409" t="str">
        <f t="shared" si="14"/>
        <v>-</v>
      </c>
      <c r="K179" s="145"/>
      <c r="L179" s="145"/>
      <c r="M179" s="145"/>
      <c r="N179" s="145"/>
    </row>
    <row r="180" spans="1:14" ht="15.75" customHeight="1">
      <c r="A180" s="412" t="s">
        <v>404</v>
      </c>
      <c r="B180" s="413">
        <f>'P&amp;L EBITDA'!E27</f>
        <v>0</v>
      </c>
      <c r="C180" s="414">
        <f>IF('P&amp;L EBITDA'!E$4=0,"-",'P&amp;L EBITDA'!E27/'P&amp;L EBITDA'!E$4)</f>
        <v>0</v>
      </c>
      <c r="D180" s="413">
        <f>'P&amp;L EBITDA'!F27</f>
        <v>0</v>
      </c>
      <c r="E180" s="414">
        <f>IF('P&amp;L EBITDA'!F$4=0,"-",'P&amp;L EBITDA'!F27/'P&amp;L EBITDA'!F$4)</f>
        <v>0</v>
      </c>
      <c r="F180" s="413">
        <f>'P&amp;L EBITDA'!C27</f>
        <v>0</v>
      </c>
      <c r="G180" s="414">
        <f ca="1">IF('P&amp;L EBITDA'!C$4=0,"-",'P&amp;L EBITDA'!C27/'P&amp;L EBITDA'!C$4)</f>
        <v>0</v>
      </c>
      <c r="H180" s="413">
        <f>IFERROR(F180/COUNTIF('P&amp;L EBITDA'!E4:P4,"&gt;"&amp;0),0)</f>
        <v>0</v>
      </c>
      <c r="I180" s="414">
        <f t="shared" ca="1" si="13"/>
        <v>0</v>
      </c>
      <c r="J180" s="412" t="str">
        <f t="shared" si="14"/>
        <v>-</v>
      </c>
      <c r="K180" s="145"/>
      <c r="L180" s="145"/>
      <c r="M180" s="145"/>
      <c r="N180" s="145"/>
    </row>
    <row r="181" spans="1:14" ht="15.75" customHeight="1">
      <c r="A181" s="409" t="s">
        <v>405</v>
      </c>
      <c r="B181" s="410">
        <f>'P&amp;L EBITDA'!E30</f>
        <v>0</v>
      </c>
      <c r="C181" s="411">
        <f>IF('P&amp;L EBITDA'!E$4=0,"-",'P&amp;L EBITDA'!E30/'P&amp;L EBITDA'!E$4)</f>
        <v>0</v>
      </c>
      <c r="D181" s="410">
        <f>'P&amp;L EBITDA'!F30</f>
        <v>0</v>
      </c>
      <c r="E181" s="411">
        <f>IF('P&amp;L EBITDA'!F$4=0,"-",'P&amp;L EBITDA'!F30/'P&amp;L EBITDA'!F$4)</f>
        <v>0</v>
      </c>
      <c r="F181" s="410">
        <f>'P&amp;L EBITDA'!C30</f>
        <v>0</v>
      </c>
      <c r="G181" s="411">
        <f ca="1">IF('P&amp;L EBITDA'!C$4=0,"-",'P&amp;L EBITDA'!C30/'P&amp;L EBITDA'!C$4)</f>
        <v>0</v>
      </c>
      <c r="H181" s="410">
        <f>IFERROR(F181/COUNTIF('P&amp;L EBITDA'!E4:P4,"&gt;"&amp;0),0)</f>
        <v>0</v>
      </c>
      <c r="I181" s="411">
        <f t="shared" ca="1" si="13"/>
        <v>0</v>
      </c>
      <c r="J181" s="409" t="str">
        <f t="shared" si="14"/>
        <v>-</v>
      </c>
      <c r="K181" s="145"/>
      <c r="L181" s="145"/>
      <c r="M181" s="145"/>
      <c r="N181" s="145"/>
    </row>
    <row r="182" spans="1:14" ht="15.75" customHeight="1" thickBot="1">
      <c r="A182" s="415" t="s">
        <v>406</v>
      </c>
      <c r="B182" s="416">
        <f>'P&amp;L EBITDA'!E33</f>
        <v>0</v>
      </c>
      <c r="C182" s="417">
        <f>IF('P&amp;L EBITDA'!E$4=0,"-",'P&amp;L EBITDA'!E33/'P&amp;L EBITDA'!E$4)</f>
        <v>0</v>
      </c>
      <c r="D182" s="416">
        <f>'P&amp;L EBITDA'!F33</f>
        <v>0</v>
      </c>
      <c r="E182" s="417">
        <f>IF('P&amp;L EBITDA'!F$4=0,"-",'P&amp;L EBITDA'!F33/'P&amp;L EBITDA'!F$4)</f>
        <v>0</v>
      </c>
      <c r="F182" s="416">
        <f>'P&amp;L EBITDA'!C33</f>
        <v>0</v>
      </c>
      <c r="G182" s="417">
        <f ca="1">IF('P&amp;L EBITDA'!C$4=0,"-",'P&amp;L EBITDA'!C33/'P&amp;L EBITDA'!C$4)</f>
        <v>0</v>
      </c>
      <c r="H182" s="416">
        <f>IFERROR(F182/COUNTIF('P&amp;L EBITDA'!E4:P4,"&gt;"&amp;0),0)</f>
        <v>0</v>
      </c>
      <c r="I182" s="417">
        <f t="shared" ca="1" si="13"/>
        <v>0</v>
      </c>
      <c r="J182" s="415" t="str">
        <f t="shared" si="14"/>
        <v>-</v>
      </c>
      <c r="K182" s="145"/>
      <c r="L182" s="145"/>
      <c r="M182" s="145"/>
      <c r="N182" s="145"/>
    </row>
    <row r="183" spans="1:14" ht="15.75" customHeight="1">
      <c r="A183" s="421" t="s">
        <v>407</v>
      </c>
      <c r="B183" s="422">
        <f>'P&amp;L EBITDA'!E36</f>
        <v>0</v>
      </c>
      <c r="C183" s="423">
        <f>IF('P&amp;L EBITDA'!E$4=0,"-",'P&amp;L EBITDA'!E36/'P&amp;L EBITDA'!E$4)</f>
        <v>0</v>
      </c>
      <c r="D183" s="422">
        <f>'P&amp;L EBITDA'!F36</f>
        <v>0</v>
      </c>
      <c r="E183" s="423">
        <f>IF('P&amp;L EBITDA'!F$4=0,"-",'P&amp;L EBITDA'!F36/'P&amp;L EBITDA'!F$4)</f>
        <v>0</v>
      </c>
      <c r="F183" s="422">
        <f>'P&amp;L EBITDA'!C36</f>
        <v>0</v>
      </c>
      <c r="G183" s="423">
        <f ca="1">IF('P&amp;L EBITDA'!C$4=0,"-",'P&amp;L EBITDA'!C36/'P&amp;L EBITDA'!C$4)</f>
        <v>0</v>
      </c>
      <c r="H183" s="422">
        <f>IFERROR(F183/COUNTIF('P&amp;L EBITDA'!E4:P4,"&gt;"&amp;0),0)</f>
        <v>0</v>
      </c>
      <c r="I183" s="423">
        <f t="shared" ca="1" si="13"/>
        <v>0</v>
      </c>
      <c r="J183" s="421" t="str">
        <f>IF(OR(B183=0,D183=0),"-",IF(D183&gt;B183,"✅ +"&amp;TEXT((D183/B183-1),"0.0%"),"⚠️ "&amp;TEXT((D183/B183-1),"0.0%")))</f>
        <v>-</v>
      </c>
      <c r="K183" s="145"/>
      <c r="L183" s="145"/>
      <c r="M183" s="145"/>
      <c r="N183" s="145"/>
    </row>
    <row r="184" spans="1:14" ht="15.75" customHeight="1">
      <c r="A184" s="418" t="s">
        <v>408</v>
      </c>
      <c r="B184" s="419">
        <f>'P&amp;L EBITDA'!E39</f>
        <v>0</v>
      </c>
      <c r="C184" s="420">
        <f>IF('P&amp;L EBITDA'!E$4=0,"-",'P&amp;L EBITDA'!E39/'P&amp;L EBITDA'!E$4)</f>
        <v>0</v>
      </c>
      <c r="D184" s="419">
        <f>'P&amp;L EBITDA'!F39</f>
        <v>0</v>
      </c>
      <c r="E184" s="420">
        <f>IF('P&amp;L EBITDA'!F$4=0,"-",'P&amp;L EBITDA'!F39/'P&amp;L EBITDA'!F$4)</f>
        <v>0</v>
      </c>
      <c r="F184" s="419">
        <f>'P&amp;L EBITDA'!C39</f>
        <v>0</v>
      </c>
      <c r="G184" s="420">
        <f ca="1">IF('P&amp;L EBITDA'!C$4=0,"-",'P&amp;L EBITDA'!C39/'P&amp;L EBITDA'!C$4)</f>
        <v>0</v>
      </c>
      <c r="H184" s="419">
        <f>IFERROR(F184/COUNTIF('P&amp;L EBITDA'!E4:P4,"&gt;"&amp;0),0)</f>
        <v>0</v>
      </c>
      <c r="I184" s="420">
        <f t="shared" ca="1" si="13"/>
        <v>0</v>
      </c>
      <c r="J184" s="418" t="str">
        <f>IF(OR(B184=0,D184=0),"-",IF(D184&lt;B184,"✅ "&amp;TEXT((D184/B184-1),"0.0%"),"⚠️ +"&amp;TEXT((D184/B184-1),"0.0%")))</f>
        <v>-</v>
      </c>
      <c r="K184" s="145"/>
      <c r="L184" s="145"/>
      <c r="M184" s="145"/>
      <c r="N184" s="145"/>
    </row>
    <row r="185" spans="1:14" ht="15.75" customHeight="1" thickBot="1">
      <c r="A185" s="415" t="s">
        <v>409</v>
      </c>
      <c r="B185" s="416">
        <f>'P&amp;L EBITDA'!E42</f>
        <v>0</v>
      </c>
      <c r="C185" s="417">
        <f>IF('P&amp;L EBITDA'!E$4=0,"-",'P&amp;L EBITDA'!E42/'P&amp;L EBITDA'!E$4)</f>
        <v>0</v>
      </c>
      <c r="D185" s="416">
        <f>'P&amp;L EBITDA'!F42</f>
        <v>0</v>
      </c>
      <c r="E185" s="417">
        <f>IF('P&amp;L EBITDA'!F$4=0,"-",'P&amp;L EBITDA'!F42/'P&amp;L EBITDA'!F$4)</f>
        <v>0</v>
      </c>
      <c r="F185" s="416">
        <f>'P&amp;L EBITDA'!C42</f>
        <v>0</v>
      </c>
      <c r="G185" s="417">
        <f ca="1">IF('P&amp;L EBITDA'!C$4=0,"-",'P&amp;L EBITDA'!C42/'P&amp;L EBITDA'!C$4)</f>
        <v>0</v>
      </c>
      <c r="H185" s="416">
        <f>IFERROR(F185/COUNTIF('P&amp;L EBITDA'!E4:P4,"&gt;"&amp;0),0)</f>
        <v>0</v>
      </c>
      <c r="I185" s="417">
        <f t="shared" ca="1" si="13"/>
        <v>0</v>
      </c>
      <c r="J185" s="415" t="str">
        <f>IF(OR(B185=0,D185=0),"-",IF(D185&lt;B185,"✅ "&amp;TEXT((D185/B185-1),"0.0%"),"⚠️ +"&amp;TEXT((D185/B185-1),"0.0%")))</f>
        <v>-</v>
      </c>
      <c r="K185" s="145"/>
      <c r="L185" s="145"/>
      <c r="M185" s="145"/>
      <c r="N185" s="145"/>
    </row>
    <row r="186" spans="1:14" ht="15.75" customHeight="1" thickTop="1" thickBot="1">
      <c r="A186" s="424" t="s">
        <v>410</v>
      </c>
      <c r="B186" s="425">
        <f>'P&amp;L EBITDA'!E46</f>
        <v>0</v>
      </c>
      <c r="C186" s="426">
        <f>IF('P&amp;L EBITDA'!E$4=0,"-",'P&amp;L EBITDA'!E46/'P&amp;L EBITDA'!E$4)</f>
        <v>0</v>
      </c>
      <c r="D186" s="425">
        <f>'P&amp;L EBITDA'!F46</f>
        <v>0</v>
      </c>
      <c r="E186" s="426">
        <f>IF('P&amp;L EBITDA'!F$4=0,"-",'P&amp;L EBITDA'!F46/'P&amp;L EBITDA'!F$4)</f>
        <v>0</v>
      </c>
      <c r="F186" s="425">
        <f>'P&amp;L EBITDA'!C46</f>
        <v>0</v>
      </c>
      <c r="G186" s="426">
        <f ca="1">IF('P&amp;L EBITDA'!C$4=0,"-",'P&amp;L EBITDA'!C46/'P&amp;L EBITDA'!C$4)</f>
        <v>0</v>
      </c>
      <c r="H186" s="425">
        <f>IFERROR(F186/COUNTIF('P&amp;L EBITDA'!E4:P4,"&gt;"&amp;0),0)</f>
        <v>0</v>
      </c>
      <c r="I186" s="426">
        <f t="shared" ca="1" si="13"/>
        <v>0</v>
      </c>
      <c r="J186" s="424" t="str">
        <f>IF(OR(B186=0,D186=0),"-",IF(D186&gt;B186,"✅ +"&amp;TEXT((D186/B186-1),"0.0%"),"⚠️ "&amp;TEXT((D186/B186-1),"0.0%")))</f>
        <v>-</v>
      </c>
      <c r="K186" s="145"/>
      <c r="L186" s="145"/>
      <c r="M186" s="145"/>
      <c r="N186" s="145"/>
    </row>
    <row r="187" spans="1:14" ht="15.75" customHeight="1" thickTop="1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</row>
    <row r="188" spans="1:14" ht="15.75" customHeight="1">
      <c r="A188" s="1183" t="s">
        <v>411</v>
      </c>
      <c r="B188" s="1140"/>
      <c r="C188" s="1140"/>
      <c r="D188" s="1140"/>
      <c r="E188" s="1140"/>
      <c r="F188" s="1140"/>
      <c r="G188" s="1140"/>
      <c r="H188" s="1140"/>
      <c r="I188" s="1140"/>
      <c r="J188" s="1140"/>
      <c r="K188" s="145"/>
      <c r="L188" s="145"/>
      <c r="M188" s="145"/>
      <c r="N188" s="145"/>
    </row>
    <row r="189" spans="1:14" ht="15.75" customHeight="1">
      <c r="A189" s="1151" t="str">
        <f ca="1">"🔴 CMV: "&amp;TEXT(IFERROR('P&amp;L EBITDA'!C6/'P&amp;L EBITDA'!C4,0),"0.0%")&amp;" del total — Ene "&amp;TEXT(IFERROR('P&amp;L EBITDA'!E6/'P&amp;L EBITDA'!E4,0),"0.0%")&amp;" vs Feb "&amp;TEXT(IFERROR('P&amp;L EBITDA'!F6/'P&amp;L EBITDA'!F4,0),"0.0%")&amp;IF(IFERROR('P&amp;L EBITDA'!F6/'P&amp;L EBITDA'!F4,0)&lt;IFERROR('P&amp;L EBITDA'!E6/'P&amp;L EBITDA'!E4,0)," ✅ Mejora"," ⚠️ Empeora")</f>
        <v>🔴 CMV: 17% del total — Ene 13% vs Feb 17% ⚠️ Empeora</v>
      </c>
      <c r="B189" s="1140"/>
      <c r="C189" s="1140"/>
      <c r="D189" s="1140"/>
      <c r="E189" s="1140"/>
      <c r="F189" s="1140"/>
      <c r="G189" s="1140"/>
      <c r="H189" s="1140"/>
      <c r="I189" s="1140"/>
      <c r="J189" s="1140"/>
      <c r="K189" s="145"/>
      <c r="L189" s="145"/>
      <c r="M189" s="145"/>
      <c r="N189" s="145"/>
    </row>
    <row r="190" spans="1:14" ht="15.75" customHeight="1">
      <c r="A190" s="1151" t="str">
        <f ca="1">"🟡 Personal: "&amp;TEXT(IFERROR('P&amp;L EBITDA'!C30/'P&amp;L EBITDA'!C4,0),"0.0%")&amp;" del total — Ene "&amp;TEXT(IFERROR('P&amp;L EBITDA'!E30/'P&amp;L EBITDA'!E4,0),"0.0%")&amp;" vs Feb "&amp;TEXT(IFERROR('P&amp;L EBITDA'!F30/'P&amp;L EBITDA'!F4,0),"0.0%")&amp;IF(IFERROR('P&amp;L EBITDA'!F30/'P&amp;L EBITDA'!F4,0)&lt;IFERROR('P&amp;L EBITDA'!E30/'P&amp;L EBITDA'!E4,0)," ✅ Mejora"," ⚠️ Empeora")</f>
        <v>🟡 Personal: 00% del total — Ene 00% vs Feb 00% ⚠️ Empeora</v>
      </c>
      <c r="B190" s="1140"/>
      <c r="C190" s="1140"/>
      <c r="D190" s="1140"/>
      <c r="E190" s="1140"/>
      <c r="F190" s="1140"/>
      <c r="G190" s="1140"/>
      <c r="H190" s="1140"/>
      <c r="I190" s="1140"/>
      <c r="J190" s="1140"/>
      <c r="K190" s="145"/>
      <c r="L190" s="145"/>
      <c r="M190" s="145"/>
      <c r="N190" s="145"/>
    </row>
    <row r="191" spans="1:14" ht="15.75" customHeight="1">
      <c r="A191" s="1151" t="str">
        <f ca="1">"💰 EBITDA: "&amp;TEXT(IFERROR('P&amp;L EBITDA'!C46/'P&amp;L EBITDA'!C4,0),"0.0%")&amp;" margen — Enero "&amp;TEXT(IFERROR('P&amp;L EBITDA'!E46/'P&amp;L EBITDA'!E4,0),"0.0%")&amp;" vs Febrero "&amp;TEXT(IFERROR('P&amp;L EBITDA'!F46/'P&amp;L EBITDA'!F4,0),"0.0%")&amp;IF('P&amp;L EBITDA'!F46/'P&amp;L EBITDA'!F4&gt;'P&amp;L EBITDA'!E46/'P&amp;L EBITDA'!E4," ✅ Mejora"," ⚠️ Empeora")</f>
        <v>💰 EBITDA: 00% margen — Enero 00% vs Febrero 00% ⚠️ Empeora</v>
      </c>
      <c r="B191" s="1140"/>
      <c r="C191" s="1140"/>
      <c r="D191" s="1140"/>
      <c r="E191" s="1140"/>
      <c r="F191" s="1140"/>
      <c r="G191" s="1140"/>
      <c r="H191" s="1140"/>
      <c r="I191" s="1140"/>
      <c r="J191" s="1140"/>
      <c r="K191" s="145"/>
      <c r="L191" s="145"/>
      <c r="M191" s="145"/>
      <c r="N191" s="145"/>
    </row>
    <row r="192" spans="1:14" ht="15.75" customHeight="1">
      <c r="A192" s="1151" t="str">
        <f>"📈 Ventas: Feb "&amp;TEXT('P&amp;L EBITDA'!F4,"#,##0")&amp;"€ vs Ene "&amp;TEXT('P&amp;L EBITDA'!E4,"#,##0")&amp;"€ → "&amp;IF('P&amp;L EBITDA'!F4&gt;'P&amp;L EBITDA'!E4,"+"&amp;TEXT('P&amp;L EBITDA'!F4/'P&amp;L EBITDA'!E4-1,"0.0%")&amp;" ✅",TEXT('P&amp;L EBITDA'!F4/'P&amp;L EBITDA'!E4-1,"0.0%")&amp;" ⚠️")</f>
        <v>📈 Ventas: Feb 26991,470€ vs Ene 26444,020€ → +02% ✅</v>
      </c>
      <c r="B192" s="1140"/>
      <c r="C192" s="1140"/>
      <c r="D192" s="1140"/>
      <c r="E192" s="1140"/>
      <c r="F192" s="1140"/>
      <c r="G192" s="1140"/>
      <c r="H192" s="1140"/>
      <c r="I192" s="1140"/>
      <c r="J192" s="1140"/>
      <c r="K192" s="145"/>
      <c r="L192" s="145"/>
      <c r="M192" s="145"/>
      <c r="N192" s="145"/>
    </row>
    <row r="193" spans="1:14" ht="15.75" customHeight="1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</row>
    <row r="194" spans="1:14" ht="15.75" customHeight="1">
      <c r="A194" s="1141" t="s">
        <v>412</v>
      </c>
      <c r="B194" s="1140"/>
      <c r="C194" s="1140"/>
      <c r="D194" s="1140"/>
      <c r="E194" s="1140"/>
      <c r="F194" s="1140"/>
      <c r="G194" s="1140"/>
      <c r="H194" s="1140"/>
      <c r="I194" s="1140"/>
      <c r="J194" s="1140"/>
      <c r="K194" s="145"/>
      <c r="L194" s="145"/>
      <c r="M194" s="145"/>
      <c r="N194" s="145"/>
    </row>
    <row r="195" spans="1:14" ht="15.75" customHeight="1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</row>
    <row r="196" spans="1:14" ht="15.75" customHeight="1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</row>
    <row r="197" spans="1:14" ht="15.75" customHeight="1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</row>
    <row r="198" spans="1:14" ht="15.75" customHeight="1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</row>
    <row r="199" spans="1:14" ht="15.75" customHeight="1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</row>
    <row r="200" spans="1:14" ht="15.75" customHeight="1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</row>
    <row r="201" spans="1:14" ht="15.75" customHeight="1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</row>
    <row r="202" spans="1:14" ht="15.75" customHeight="1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</row>
    <row r="203" spans="1:14" ht="15.75" customHeight="1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</row>
    <row r="204" spans="1:14" ht="15.75" customHeight="1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</row>
    <row r="205" spans="1:14" ht="15.75" customHeight="1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</row>
    <row r="206" spans="1:14" ht="15.75" customHeight="1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</row>
    <row r="207" spans="1:14" ht="15.75" customHeight="1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</row>
    <row r="208" spans="1:14" ht="15.75" customHeight="1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</row>
    <row r="209" spans="1:14" ht="15.75" customHeight="1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</row>
    <row r="210" spans="1:14" ht="15.75" customHeight="1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</row>
    <row r="211" spans="1:14" ht="15.75" customHeight="1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</row>
    <row r="212" spans="1:14" ht="15.75" customHeight="1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</row>
    <row r="213" spans="1:14" ht="15.75" customHeight="1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</row>
    <row r="214" spans="1:14" ht="15.75" customHeight="1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</row>
    <row r="215" spans="1:14" ht="15.75" customHeight="1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</row>
    <row r="216" spans="1:14" ht="15.75" customHeight="1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</row>
    <row r="217" spans="1:14" ht="15.75" customHeight="1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</row>
    <row r="218" spans="1:14" ht="15.75" customHeight="1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</row>
    <row r="219" spans="1:14" ht="15.75" customHeight="1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</row>
    <row r="220" spans="1:14" ht="15.75" customHeight="1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</row>
    <row r="221" spans="1:14" ht="15.75" customHeight="1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</row>
    <row r="222" spans="1:14" ht="15.75" customHeight="1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</row>
    <row r="223" spans="1:14" ht="15.75" customHeight="1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</row>
    <row r="224" spans="1:14" ht="15.75" customHeight="1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</row>
    <row r="225" spans="1:14" ht="15.75" customHeight="1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</row>
    <row r="226" spans="1:14" ht="15.75" customHeight="1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</row>
    <row r="227" spans="1:14" ht="15.75" customHeight="1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</row>
    <row r="228" spans="1:14" ht="15.75" customHeight="1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</row>
    <row r="229" spans="1:14" ht="15.75" customHeight="1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</row>
    <row r="230" spans="1:14" ht="15.75" customHeight="1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</row>
    <row r="231" spans="1:14" ht="15.75" customHeight="1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</row>
    <row r="232" spans="1:14" ht="15.75" customHeight="1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</row>
    <row r="233" spans="1:14" ht="15.75" customHeight="1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</row>
    <row r="234" spans="1:14" ht="15.75" customHeight="1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</row>
    <row r="235" spans="1:14" ht="15.75" customHeight="1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</row>
    <row r="236" spans="1:14" ht="15.75" customHeight="1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</row>
    <row r="237" spans="1:14" ht="15.75" customHeight="1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</row>
    <row r="238" spans="1:14" ht="15.75" customHeight="1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</row>
    <row r="239" spans="1:14" ht="15.75" customHeight="1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</row>
    <row r="240" spans="1:14" ht="15.75" customHeight="1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</row>
    <row r="241" spans="1:14" ht="15.75" customHeight="1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</row>
    <row r="242" spans="1:14" ht="15.75" customHeight="1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</row>
    <row r="243" spans="1:14" ht="15.75" customHeight="1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</row>
    <row r="244" spans="1:14" ht="15.75" customHeight="1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</row>
    <row r="245" spans="1:14" ht="15.75" customHeight="1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</row>
    <row r="246" spans="1:14" ht="15.75" customHeight="1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</row>
    <row r="247" spans="1:14" ht="15.75" customHeight="1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</row>
    <row r="248" spans="1:14" ht="15.75" customHeight="1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</row>
    <row r="249" spans="1:14" ht="15.75" customHeight="1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</row>
    <row r="250" spans="1:14" ht="15.75" customHeight="1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</row>
    <row r="251" spans="1:14" ht="15.75" customHeight="1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</row>
    <row r="252" spans="1:14" ht="15.75" customHeight="1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</row>
    <row r="253" spans="1:14" ht="15.75" customHeight="1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</row>
    <row r="254" spans="1:14" ht="15.75" customHeight="1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</row>
    <row r="255" spans="1:14" ht="15.75" customHeight="1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</row>
    <row r="256" spans="1:14" ht="15.75" customHeight="1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</row>
    <row r="257" spans="1:14" ht="15.75" customHeight="1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</row>
    <row r="258" spans="1:14" ht="15.75" customHeight="1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</row>
    <row r="259" spans="1:14" ht="15.75" customHeight="1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</row>
    <row r="260" spans="1:14" ht="15.75" customHeight="1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</row>
    <row r="261" spans="1:14" ht="15.75" customHeight="1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</row>
    <row r="262" spans="1:14" ht="15.75" customHeight="1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</row>
    <row r="263" spans="1:14" ht="15.75" customHeight="1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</row>
    <row r="264" spans="1:14" ht="15.75" customHeight="1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</row>
    <row r="265" spans="1:14" ht="15.75" customHeight="1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</row>
    <row r="266" spans="1:14" ht="15.75" customHeight="1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</row>
    <row r="267" spans="1:14" ht="15.75" customHeight="1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</row>
    <row r="268" spans="1:14" ht="15.75" customHeight="1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</row>
    <row r="269" spans="1:14" ht="15.75" customHeight="1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</row>
    <row r="270" spans="1:14" ht="15.75" customHeight="1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</row>
    <row r="271" spans="1:14" ht="15.75" customHeight="1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</row>
    <row r="272" spans="1:14" ht="15.75" customHeight="1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</row>
    <row r="273" spans="1:14" ht="15.75" customHeight="1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</row>
    <row r="274" spans="1:14" ht="15.75" customHeight="1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</row>
    <row r="275" spans="1:14" ht="15.75" customHeight="1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</row>
    <row r="276" spans="1:14" ht="15.75" customHeight="1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</row>
    <row r="277" spans="1:14" ht="15.75" customHeight="1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</row>
    <row r="278" spans="1:14" ht="15.75" customHeight="1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</row>
    <row r="279" spans="1:14" ht="15.75" customHeight="1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</row>
    <row r="280" spans="1:14" ht="15.75" customHeight="1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</row>
    <row r="281" spans="1:14" ht="15.75" customHeight="1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</row>
    <row r="282" spans="1:14" ht="15.75" customHeight="1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</row>
    <row r="283" spans="1:14" ht="15.75" customHeight="1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</row>
    <row r="284" spans="1:14" ht="15.75" customHeight="1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</row>
    <row r="285" spans="1:14" ht="15.75" customHeight="1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</row>
    <row r="286" spans="1:14" ht="15.75" customHeight="1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</row>
    <row r="287" spans="1:14" ht="15.75" customHeight="1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</row>
    <row r="288" spans="1:14" ht="15.75" customHeight="1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</row>
    <row r="289" spans="1:14" ht="15.75" customHeight="1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</row>
    <row r="290" spans="1:14" ht="15.75" customHeight="1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</row>
    <row r="291" spans="1:14" ht="15.75" customHeight="1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</row>
    <row r="292" spans="1:14" ht="15.75" customHeight="1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</row>
    <row r="293" spans="1:14" ht="15.75" customHeight="1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</row>
    <row r="294" spans="1:14" ht="15.75" customHeight="1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</row>
    <row r="295" spans="1:14" ht="15.75" customHeight="1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</row>
    <row r="296" spans="1:14" ht="15.75" customHeight="1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</row>
    <row r="297" spans="1:14" ht="15.75" customHeight="1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</row>
    <row r="298" spans="1:14" ht="15.75" customHeight="1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</row>
    <row r="299" spans="1:14" ht="15.75" customHeight="1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</row>
    <row r="300" spans="1:14" ht="15.75" customHeight="1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</row>
    <row r="301" spans="1:14" ht="15.75" customHeight="1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</row>
    <row r="302" spans="1:14" ht="15.75" customHeight="1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</row>
    <row r="303" spans="1:14" ht="15.75" customHeight="1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</row>
    <row r="304" spans="1:14" ht="15.75" customHeight="1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</row>
    <row r="305" spans="1:14" ht="15.75" customHeight="1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</row>
    <row r="306" spans="1:14" ht="15.75" customHeight="1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</row>
    <row r="307" spans="1:14" ht="15.75" customHeight="1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</row>
    <row r="308" spans="1:14" ht="15.75" customHeight="1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</row>
    <row r="309" spans="1:14" ht="15.75" customHeight="1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</row>
    <row r="310" spans="1:14" ht="15.75" customHeight="1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</row>
    <row r="311" spans="1:14" ht="15.75" customHeight="1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</row>
    <row r="312" spans="1:14" ht="15.75" customHeight="1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</row>
    <row r="313" spans="1:14" ht="15.75" customHeight="1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</row>
    <row r="314" spans="1:14" ht="15.75" customHeight="1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</row>
    <row r="315" spans="1:14" ht="15.75" customHeight="1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</row>
    <row r="316" spans="1:14" ht="15.75" customHeight="1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</row>
    <row r="317" spans="1:14" ht="15.75" customHeight="1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</row>
    <row r="318" spans="1:14" ht="15.75" customHeight="1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</row>
    <row r="319" spans="1:14" ht="15.75" customHeight="1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</row>
    <row r="320" spans="1:14" ht="15.75" customHeight="1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</row>
    <row r="321" spans="1:14" ht="15.75" customHeight="1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</row>
    <row r="322" spans="1:14" ht="15.75" customHeight="1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</row>
    <row r="323" spans="1:14" ht="15.75" customHeight="1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</row>
    <row r="324" spans="1:14" ht="15.75" customHeight="1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</row>
    <row r="325" spans="1:14" ht="15.75" customHeight="1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</row>
    <row r="326" spans="1:14" ht="15.75" customHeight="1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</row>
    <row r="327" spans="1:14" ht="15.75" customHeight="1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</row>
    <row r="328" spans="1:14" ht="15.75" customHeight="1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</row>
    <row r="329" spans="1:14" ht="15.75" customHeight="1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</row>
    <row r="330" spans="1:14" ht="15.75" customHeight="1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</row>
    <row r="331" spans="1:14" ht="15.75" customHeight="1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</row>
    <row r="332" spans="1:14" ht="15.75" customHeight="1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</row>
    <row r="333" spans="1:14" ht="15.75" customHeight="1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</row>
    <row r="334" spans="1:14" ht="15.75" customHeight="1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</row>
    <row r="335" spans="1:14" ht="15.75" customHeight="1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</row>
    <row r="336" spans="1:14" ht="15.75" customHeight="1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</row>
    <row r="337" spans="1:14" ht="15.75" customHeight="1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</row>
    <row r="338" spans="1:14" ht="15.75" customHeight="1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</row>
    <row r="339" spans="1:14" ht="15.75" customHeight="1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</row>
    <row r="340" spans="1:14" ht="15.75" customHeight="1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</row>
    <row r="341" spans="1:14" ht="15.75" customHeight="1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</row>
    <row r="342" spans="1:14" ht="15.75" customHeight="1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</row>
    <row r="343" spans="1:14" ht="15.75" customHeight="1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</row>
    <row r="344" spans="1:14" ht="15.75" customHeight="1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</row>
    <row r="345" spans="1:14" ht="15.75" customHeight="1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</row>
    <row r="346" spans="1:14" ht="15.75" customHeight="1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</row>
    <row r="347" spans="1:14" ht="15.75" customHeight="1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</row>
    <row r="348" spans="1:14" ht="15.75" customHeight="1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</row>
    <row r="349" spans="1:14" ht="15.75" customHeight="1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</row>
    <row r="350" spans="1:14" ht="15.75" customHeight="1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</row>
    <row r="351" spans="1:14" ht="15.75" customHeight="1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</row>
    <row r="352" spans="1:14" ht="15.75" customHeight="1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</row>
    <row r="353" spans="1:14" ht="15.75" customHeight="1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</row>
    <row r="354" spans="1:14" ht="15.75" customHeight="1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</row>
    <row r="355" spans="1:14" ht="15.75" customHeight="1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</row>
    <row r="356" spans="1:14" ht="15.75" customHeight="1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</row>
    <row r="357" spans="1:14" ht="15.75" customHeight="1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</row>
    <row r="358" spans="1:14" ht="15.75" customHeight="1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</row>
    <row r="359" spans="1:14" ht="15.75" customHeight="1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</row>
    <row r="360" spans="1:14" ht="15.75" customHeight="1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</row>
    <row r="361" spans="1:14" ht="15.75" customHeight="1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</row>
    <row r="362" spans="1:14" ht="15.75" customHeight="1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</row>
    <row r="363" spans="1:14" ht="15.75" customHeight="1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</row>
    <row r="364" spans="1:14" ht="15.75" customHeight="1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</row>
    <row r="365" spans="1:14" ht="15.75" customHeight="1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</row>
    <row r="366" spans="1:14" ht="15.75" customHeight="1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</row>
    <row r="367" spans="1:14" ht="15.75" customHeight="1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</row>
    <row r="368" spans="1:14" ht="15.75" customHeight="1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</row>
    <row r="369" spans="1:14" ht="15.75" customHeight="1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</row>
    <row r="370" spans="1:14" ht="15.75" customHeight="1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</row>
    <row r="371" spans="1:14" ht="15.75" customHeight="1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</row>
    <row r="372" spans="1:14" ht="15.75" customHeight="1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</row>
    <row r="373" spans="1:14" ht="15.75" customHeight="1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</row>
    <row r="374" spans="1:14" ht="15.75" customHeight="1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</row>
    <row r="375" spans="1:14" ht="15.75" customHeight="1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</row>
    <row r="376" spans="1:14" ht="15.75" customHeight="1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</row>
    <row r="377" spans="1:14" ht="15.75" customHeight="1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</row>
    <row r="378" spans="1:14" ht="15.75" customHeight="1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</row>
    <row r="379" spans="1:14" ht="15.75" customHeight="1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</row>
    <row r="380" spans="1:14" ht="15.75" customHeight="1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</row>
    <row r="381" spans="1:14" ht="15.75" customHeight="1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</row>
    <row r="382" spans="1:14" ht="15.75" customHeight="1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</row>
    <row r="383" spans="1:14" ht="15.75" customHeight="1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</row>
    <row r="384" spans="1:14" ht="15.75" customHeight="1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</row>
    <row r="385" spans="1:14" ht="15.75" customHeight="1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</row>
    <row r="386" spans="1:14" ht="15.75" customHeight="1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</row>
    <row r="387" spans="1:14" ht="15.75" customHeight="1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</row>
    <row r="388" spans="1:14" ht="15.75" customHeight="1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</row>
    <row r="389" spans="1:14" ht="15.75" customHeight="1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</row>
    <row r="390" spans="1:14" ht="15.75" customHeight="1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</row>
    <row r="391" spans="1:14" ht="15.75" customHeight="1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</row>
    <row r="392" spans="1:14" ht="15.75" customHeight="1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</row>
    <row r="393" spans="1:14" ht="15.75" customHeight="1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</row>
    <row r="394" spans="1:14" ht="15.75" customHeight="1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</row>
    <row r="395" spans="1:14" ht="15.75" customHeight="1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</row>
    <row r="396" spans="1:14" ht="15.75" customHeight="1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</row>
    <row r="397" spans="1:14" ht="15.75" customHeight="1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</row>
    <row r="398" spans="1:14" ht="15.75" customHeight="1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</row>
    <row r="399" spans="1:14" ht="15.75" customHeight="1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</row>
    <row r="400" spans="1:14" ht="15.75" customHeight="1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</row>
    <row r="401" spans="1:14" ht="15.75" customHeight="1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</row>
    <row r="402" spans="1:14" ht="15.75" customHeight="1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</row>
    <row r="403" spans="1:14" ht="15.75" customHeight="1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</row>
    <row r="404" spans="1:14" ht="15.75" customHeight="1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</row>
    <row r="405" spans="1:14" ht="15.75" customHeight="1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</row>
    <row r="406" spans="1:14" ht="15.75" customHeight="1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</row>
    <row r="407" spans="1:14" ht="15.75" customHeight="1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</row>
    <row r="408" spans="1:14" ht="15.75" customHeight="1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</row>
    <row r="409" spans="1:14" ht="15.75" customHeight="1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</row>
    <row r="410" spans="1:14" ht="15.75" customHeight="1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</row>
    <row r="411" spans="1:14" ht="15.75" customHeight="1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</row>
    <row r="412" spans="1:14" ht="15.75" customHeight="1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</row>
    <row r="413" spans="1:14" ht="15.75" customHeight="1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</row>
    <row r="414" spans="1:14" ht="15.75" customHeight="1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</row>
    <row r="415" spans="1:14" ht="15.75" customHeight="1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</row>
    <row r="416" spans="1:14" ht="15.75" customHeight="1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</row>
    <row r="417" spans="1:14" ht="15.75" customHeight="1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</row>
    <row r="418" spans="1:14" ht="15.75" customHeight="1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</row>
    <row r="419" spans="1:14" ht="15.75" customHeight="1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</row>
    <row r="420" spans="1:14" ht="15.75" customHeight="1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</row>
    <row r="421" spans="1:14" ht="15.75" customHeight="1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</row>
    <row r="422" spans="1:14" ht="15.75" customHeight="1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</row>
    <row r="423" spans="1:14" ht="15.75" customHeight="1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</row>
    <row r="424" spans="1:14" ht="15.75" customHeight="1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</row>
    <row r="425" spans="1:14" ht="15.75" customHeight="1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</row>
    <row r="426" spans="1:14" ht="15.75" customHeight="1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</row>
    <row r="427" spans="1:14" ht="15.75" customHeight="1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</row>
    <row r="428" spans="1:14" ht="15.75" customHeight="1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</row>
    <row r="429" spans="1:14" ht="15.75" customHeight="1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</row>
    <row r="430" spans="1:14" ht="15.75" customHeight="1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</row>
    <row r="431" spans="1:14" ht="15.75" customHeight="1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</row>
    <row r="432" spans="1:14" ht="15.75" customHeight="1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</row>
    <row r="433" spans="1:14" ht="15.75" customHeight="1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</row>
    <row r="434" spans="1:14" ht="15.75" customHeight="1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</row>
    <row r="435" spans="1:14" ht="15.75" customHeight="1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</row>
    <row r="436" spans="1:14" ht="15.75" customHeight="1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</row>
    <row r="437" spans="1:14" ht="15.75" customHeight="1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</row>
    <row r="438" spans="1:14" ht="15.75" customHeight="1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</row>
    <row r="439" spans="1:14" ht="15.75" customHeight="1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</row>
    <row r="440" spans="1:14" ht="15.75" customHeight="1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</row>
    <row r="441" spans="1:14" ht="15.75" customHeight="1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</row>
    <row r="442" spans="1:14" ht="15.75" customHeight="1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</row>
    <row r="443" spans="1:14" ht="15.75" customHeight="1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</row>
    <row r="444" spans="1:14" ht="15.75" customHeight="1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</row>
    <row r="445" spans="1:14" ht="15.75" customHeight="1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</row>
    <row r="446" spans="1:14" ht="15.75" customHeight="1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</row>
    <row r="447" spans="1:14" ht="15.75" customHeight="1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</row>
    <row r="448" spans="1:14" ht="15.75" customHeight="1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</row>
    <row r="449" spans="1:14" ht="15.75" customHeight="1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</row>
    <row r="450" spans="1:14" ht="15.75" customHeight="1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</row>
    <row r="451" spans="1:14" ht="15.75" customHeight="1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</row>
    <row r="452" spans="1:14" ht="15.75" customHeight="1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</row>
    <row r="453" spans="1:14" ht="15.75" customHeight="1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</row>
    <row r="454" spans="1:14" ht="15.75" customHeight="1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</row>
    <row r="455" spans="1:14" ht="15.75" customHeight="1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</row>
    <row r="456" spans="1:14" ht="15.75" customHeight="1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</row>
    <row r="457" spans="1:14" ht="15.75" customHeight="1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</row>
    <row r="458" spans="1:14" ht="15.75" customHeight="1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</row>
    <row r="459" spans="1:14" ht="15.75" customHeight="1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</row>
    <row r="460" spans="1:14" ht="15.75" customHeight="1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</row>
    <row r="461" spans="1:14" ht="15.75" customHeight="1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</row>
    <row r="462" spans="1:14" ht="15.75" customHeight="1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</row>
    <row r="463" spans="1:14" ht="15.75" customHeight="1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</row>
    <row r="464" spans="1:14" ht="15.75" customHeight="1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</row>
    <row r="465" spans="1:14" ht="15.75" customHeight="1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</row>
    <row r="466" spans="1:14" ht="15.75" customHeight="1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</row>
    <row r="467" spans="1:14" ht="15.75" customHeight="1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</row>
    <row r="468" spans="1:14" ht="15.75" customHeight="1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</row>
    <row r="469" spans="1:14" ht="15.75" customHeight="1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</row>
    <row r="470" spans="1:14" ht="15.75" customHeight="1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</row>
    <row r="471" spans="1:14" ht="15.75" customHeight="1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</row>
    <row r="472" spans="1:14" ht="15.75" customHeight="1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</row>
    <row r="473" spans="1:14" ht="15.75" customHeight="1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</row>
    <row r="474" spans="1:14" ht="15.75" customHeight="1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</row>
    <row r="475" spans="1:14" ht="15.75" customHeight="1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</row>
    <row r="476" spans="1:14" ht="15.75" customHeight="1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</row>
    <row r="477" spans="1:14" ht="15.75" customHeight="1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</row>
    <row r="478" spans="1:14" ht="15.75" customHeight="1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</row>
    <row r="479" spans="1:14" ht="15.75" customHeight="1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</row>
    <row r="480" spans="1:14" ht="15.75" customHeight="1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</row>
    <row r="481" spans="1:14" ht="15.75" customHeight="1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</row>
    <row r="482" spans="1:14" ht="15.75" customHeight="1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</row>
    <row r="483" spans="1:14" ht="15.75" customHeight="1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</row>
    <row r="484" spans="1:14" ht="15.75" customHeight="1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</row>
    <row r="485" spans="1:14" ht="15.75" customHeight="1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</row>
    <row r="486" spans="1:14" ht="15.75" customHeight="1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</row>
    <row r="487" spans="1:14" ht="15.75" customHeight="1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</row>
    <row r="488" spans="1:14" ht="15.75" customHeight="1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</row>
    <row r="489" spans="1:14" ht="15.75" customHeight="1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</row>
    <row r="490" spans="1:14" ht="15.75" customHeight="1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</row>
    <row r="491" spans="1:14" ht="15.75" customHeight="1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</row>
    <row r="492" spans="1:14" ht="15.75" customHeight="1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</row>
    <row r="493" spans="1:14" ht="15.75" customHeight="1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</row>
    <row r="494" spans="1:14" ht="15.75" customHeight="1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</row>
    <row r="495" spans="1:14" ht="15.75" customHeight="1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</row>
    <row r="496" spans="1:14" ht="15.75" customHeight="1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</row>
    <row r="497" spans="1:14" ht="15.75" customHeight="1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</row>
    <row r="498" spans="1:14" ht="15.75" customHeight="1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</row>
    <row r="499" spans="1:14" ht="15.75" customHeight="1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</row>
    <row r="500" spans="1:14" ht="15.75" customHeight="1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</row>
    <row r="501" spans="1:14" ht="15.75" customHeight="1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</row>
    <row r="502" spans="1:14" ht="15.75" customHeight="1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</row>
    <row r="503" spans="1:14" ht="15.75" customHeight="1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</row>
    <row r="504" spans="1:14" ht="15.75" customHeight="1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</row>
    <row r="505" spans="1:14" ht="15.75" customHeight="1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</row>
    <row r="506" spans="1:14" ht="15.75" customHeight="1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</row>
    <row r="507" spans="1:14" ht="15.75" customHeight="1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</row>
    <row r="508" spans="1:14" ht="15.75" customHeight="1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</row>
    <row r="509" spans="1:14" ht="15.75" customHeight="1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</row>
    <row r="510" spans="1:14" ht="15.75" customHeight="1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</row>
    <row r="511" spans="1:14" ht="15.75" customHeight="1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</row>
    <row r="512" spans="1:14" ht="15.75" customHeight="1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</row>
    <row r="513" spans="1:14" ht="15.75" customHeight="1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</row>
    <row r="514" spans="1:14" ht="15.75" customHeight="1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</row>
    <row r="515" spans="1:14" ht="15.75" customHeight="1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</row>
    <row r="516" spans="1:14" ht="15.75" customHeight="1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</row>
    <row r="517" spans="1:14" ht="15.75" customHeight="1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</row>
    <row r="518" spans="1:14" ht="15.75" customHeight="1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</row>
    <row r="519" spans="1:14" ht="15.75" customHeight="1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</row>
    <row r="520" spans="1:14" ht="15.75" customHeight="1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</row>
    <row r="521" spans="1:14" ht="15.75" customHeight="1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</row>
    <row r="522" spans="1:14" ht="15.75" customHeight="1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</row>
    <row r="523" spans="1:14" ht="15.75" customHeight="1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</row>
    <row r="524" spans="1:14" ht="15.75" customHeight="1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</row>
    <row r="525" spans="1:14" ht="15.75" customHeight="1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</row>
    <row r="526" spans="1:14" ht="15.75" customHeight="1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</row>
    <row r="527" spans="1:14" ht="15.75" customHeight="1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</row>
    <row r="528" spans="1:14" ht="15.75" customHeight="1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</row>
    <row r="529" spans="1:14" ht="15.75" customHeight="1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</row>
    <row r="530" spans="1:14" ht="15.75" customHeight="1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</row>
    <row r="531" spans="1:14" ht="15.75" customHeight="1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</row>
    <row r="532" spans="1:14" ht="15.75" customHeight="1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</row>
    <row r="533" spans="1:14" ht="15.75" customHeight="1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</row>
    <row r="534" spans="1:14" ht="15.75" customHeight="1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</row>
    <row r="535" spans="1:14" ht="15.75" customHeight="1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</row>
    <row r="536" spans="1:14" ht="15.75" customHeight="1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</row>
    <row r="537" spans="1:14" ht="15.75" customHeight="1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</row>
    <row r="538" spans="1:14" ht="15.75" customHeight="1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</row>
    <row r="539" spans="1:14" ht="15.75" customHeight="1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</row>
    <row r="540" spans="1:14" ht="15.75" customHeight="1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</row>
    <row r="541" spans="1:14" ht="15.75" customHeight="1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</row>
    <row r="542" spans="1:14" ht="15.75" customHeight="1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</row>
    <row r="543" spans="1:14" ht="15.75" customHeight="1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</row>
    <row r="544" spans="1:14" ht="15.75" customHeight="1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</row>
    <row r="545" spans="1:14" ht="15.75" customHeight="1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</row>
    <row r="546" spans="1:14" ht="15.75" customHeight="1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</row>
    <row r="547" spans="1:14" ht="15.75" customHeight="1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</row>
    <row r="548" spans="1:14" ht="15.75" customHeight="1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</row>
    <row r="549" spans="1:14" ht="15.75" customHeight="1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</row>
    <row r="550" spans="1:14" ht="15.75" customHeight="1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</row>
    <row r="551" spans="1:14" ht="15.75" customHeight="1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</row>
    <row r="552" spans="1:14" ht="15.75" customHeight="1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</row>
    <row r="553" spans="1:14" ht="15.75" customHeight="1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</row>
    <row r="554" spans="1:14" ht="15.75" customHeight="1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</row>
    <row r="555" spans="1:14" ht="15.75" customHeight="1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</row>
    <row r="556" spans="1:14" ht="15.75" customHeight="1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</row>
    <row r="557" spans="1:14" ht="15.75" customHeight="1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</row>
    <row r="558" spans="1:14" ht="15.75" customHeight="1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</row>
    <row r="559" spans="1:14" ht="15.75" customHeight="1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</row>
    <row r="560" spans="1:14" ht="15.75" customHeight="1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</row>
    <row r="561" spans="1:14" ht="15.75" customHeight="1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</row>
    <row r="562" spans="1:14" ht="15.75" customHeight="1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</row>
    <row r="563" spans="1:14" ht="15.75" customHeight="1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</row>
    <row r="564" spans="1:14" ht="15.75" customHeight="1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</row>
    <row r="565" spans="1:14" ht="15.75" customHeight="1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</row>
    <row r="566" spans="1:14" ht="15.75" customHeight="1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</row>
    <row r="567" spans="1:14" ht="15.75" customHeight="1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</row>
    <row r="568" spans="1:14" ht="15.75" customHeight="1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</row>
    <row r="569" spans="1:14" ht="15.75" customHeight="1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</row>
    <row r="570" spans="1:14" ht="15.75" customHeight="1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</row>
    <row r="571" spans="1:14" ht="15.75" customHeight="1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</row>
    <row r="572" spans="1:14" ht="15.75" customHeight="1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</row>
    <row r="573" spans="1:14" ht="15.75" customHeight="1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</row>
    <row r="574" spans="1:14" ht="15.75" customHeight="1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</row>
    <row r="575" spans="1:14" ht="15.75" customHeight="1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</row>
    <row r="576" spans="1:14" ht="15.75" customHeight="1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</row>
    <row r="577" spans="1:14" ht="15.75" customHeight="1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</row>
    <row r="578" spans="1:14" ht="15.75" customHeight="1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</row>
    <row r="579" spans="1:14" ht="15.75" customHeight="1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</row>
    <row r="580" spans="1:14" ht="15.75" customHeight="1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</row>
    <row r="581" spans="1:14" ht="15.75" customHeight="1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</row>
    <row r="582" spans="1:14" ht="15.75" customHeight="1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</row>
    <row r="583" spans="1:14" ht="15.75" customHeight="1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</row>
    <row r="584" spans="1:14" ht="15.75" customHeight="1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</row>
    <row r="585" spans="1:14" ht="15.75" customHeight="1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</row>
    <row r="586" spans="1:14" ht="15.75" customHeight="1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</row>
    <row r="587" spans="1:14" ht="15.75" customHeight="1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</row>
    <row r="588" spans="1:14" ht="15.75" customHeight="1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</row>
    <row r="589" spans="1:14" ht="15.75" customHeight="1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</row>
    <row r="590" spans="1:14" ht="15.75" customHeight="1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</row>
    <row r="591" spans="1:14" ht="15.75" customHeight="1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</row>
    <row r="592" spans="1:14" ht="15.75" customHeight="1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</row>
    <row r="593" spans="1:14" ht="15.75" customHeight="1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</row>
    <row r="594" spans="1:14" ht="15.75" customHeight="1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</row>
    <row r="595" spans="1:14" ht="15.75" customHeight="1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</row>
    <row r="596" spans="1:14" ht="15.75" customHeight="1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</row>
    <row r="597" spans="1:14" ht="15.75" customHeight="1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</row>
    <row r="598" spans="1:14" ht="15.75" customHeight="1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</row>
    <row r="599" spans="1:14" ht="15.75" customHeight="1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</row>
    <row r="600" spans="1:14" ht="15.75" customHeight="1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</row>
    <row r="601" spans="1:14" ht="15.75" customHeight="1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</row>
    <row r="602" spans="1:14" ht="15.75" customHeight="1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</row>
    <row r="603" spans="1:14" ht="15.75" customHeight="1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</row>
    <row r="604" spans="1:14" ht="15.75" customHeight="1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</row>
    <row r="605" spans="1:14" ht="15.75" customHeight="1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</row>
    <row r="606" spans="1:14" ht="15.75" customHeight="1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</row>
    <row r="607" spans="1:14" ht="15.75" customHeight="1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</row>
    <row r="608" spans="1:14" ht="15.75" customHeight="1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</row>
    <row r="609" spans="1:14" ht="15.75" customHeight="1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</row>
    <row r="610" spans="1:14" ht="15.75" customHeight="1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</row>
    <row r="611" spans="1:14" ht="15.75" customHeight="1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</row>
    <row r="612" spans="1:14" ht="15.75" customHeight="1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</row>
    <row r="613" spans="1:14" ht="15.75" customHeight="1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</row>
    <row r="614" spans="1:14" ht="15.75" customHeight="1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</row>
    <row r="615" spans="1:14" ht="15.75" customHeight="1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</row>
    <row r="616" spans="1:14" ht="15.75" customHeight="1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</row>
    <row r="617" spans="1:14" ht="15.75" customHeight="1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</row>
    <row r="618" spans="1:14" ht="15.75" customHeight="1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</row>
    <row r="619" spans="1:14" ht="15.75" customHeight="1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</row>
    <row r="620" spans="1:14" ht="15.75" customHeight="1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</row>
    <row r="621" spans="1:14" ht="15.75" customHeight="1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</row>
    <row r="622" spans="1:14" ht="15.75" customHeight="1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</row>
    <row r="623" spans="1:14" ht="15.75" customHeight="1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</row>
    <row r="624" spans="1:14" ht="15.75" customHeight="1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</row>
    <row r="625" spans="1:14" ht="15.75" customHeight="1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</row>
    <row r="626" spans="1:14" ht="15.75" customHeight="1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</row>
    <row r="627" spans="1:14" ht="15.75" customHeight="1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</row>
    <row r="628" spans="1:14" ht="15.75" customHeight="1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</row>
    <row r="629" spans="1:14" ht="15.75" customHeight="1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</row>
    <row r="630" spans="1:14" ht="15.75" customHeight="1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</row>
    <row r="631" spans="1:14" ht="15.75" customHeight="1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</row>
    <row r="632" spans="1:14" ht="15.75" customHeight="1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</row>
    <row r="633" spans="1:14" ht="15.75" customHeight="1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</row>
    <row r="634" spans="1:14" ht="15.75" customHeight="1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</row>
    <row r="635" spans="1:14" ht="15.75" customHeight="1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</row>
    <row r="636" spans="1:14" ht="15.75" customHeight="1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</row>
    <row r="637" spans="1:14" ht="15.75" customHeight="1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</row>
    <row r="638" spans="1:14" ht="15.75" customHeight="1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</row>
    <row r="639" spans="1:14" ht="15.75" customHeight="1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</row>
    <row r="640" spans="1:14" ht="15.75" customHeight="1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</row>
    <row r="641" spans="1:14" ht="15.75" customHeight="1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</row>
    <row r="642" spans="1:14" ht="15.75" customHeight="1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</row>
    <row r="643" spans="1:14" ht="15.75" customHeight="1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</row>
    <row r="644" spans="1:14" ht="15.75" customHeight="1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</row>
    <row r="645" spans="1:14" ht="15.75" customHeight="1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</row>
    <row r="646" spans="1:14" ht="15.75" customHeight="1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</row>
    <row r="647" spans="1:14" ht="15.75" customHeight="1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</row>
    <row r="648" spans="1:14" ht="15.75" customHeight="1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</row>
    <row r="649" spans="1:14" ht="15.75" customHeight="1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</row>
    <row r="650" spans="1:14" ht="15.75" customHeight="1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</row>
    <row r="651" spans="1:14" ht="15.75" customHeight="1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</row>
    <row r="652" spans="1:14" ht="15.75" customHeight="1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</row>
    <row r="653" spans="1:14" ht="15.75" customHeight="1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</row>
    <row r="654" spans="1:14" ht="15.75" customHeight="1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</row>
    <row r="655" spans="1:14" ht="15.75" customHeight="1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</row>
    <row r="656" spans="1:14" ht="15.75" customHeight="1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</row>
    <row r="657" spans="1:14" ht="15.75" customHeight="1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</row>
    <row r="658" spans="1:14" ht="15.75" customHeight="1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</row>
    <row r="659" spans="1:14" ht="15.75" customHeight="1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</row>
    <row r="660" spans="1:14" ht="15.75" customHeight="1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</row>
    <row r="661" spans="1:14" ht="15.75" customHeight="1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</row>
    <row r="662" spans="1:14" ht="15.75" customHeight="1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</row>
    <row r="663" spans="1:14" ht="15.75" customHeight="1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</row>
    <row r="664" spans="1:14" ht="15.75" customHeight="1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</row>
    <row r="665" spans="1:14" ht="15.75" customHeight="1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</row>
    <row r="666" spans="1:14" ht="15.75" customHeight="1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</row>
    <row r="667" spans="1:14" ht="15.75" customHeight="1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</row>
    <row r="668" spans="1:14" ht="15.75" customHeight="1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</row>
    <row r="669" spans="1:14" ht="15.75" customHeight="1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</row>
    <row r="670" spans="1:14" ht="15.75" customHeight="1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</row>
    <row r="671" spans="1:14" ht="15.75" customHeight="1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</row>
    <row r="672" spans="1:14" ht="15.75" customHeight="1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</row>
    <row r="673" spans="1:14" ht="15.75" customHeight="1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</row>
    <row r="674" spans="1:14" ht="15.75" customHeight="1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</row>
    <row r="675" spans="1:14" ht="15.75" customHeight="1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</row>
    <row r="676" spans="1:14" ht="15.75" customHeight="1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</row>
    <row r="677" spans="1:14" ht="15.75" customHeight="1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</row>
    <row r="678" spans="1:14" ht="15.75" customHeight="1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</row>
    <row r="679" spans="1:14" ht="15.75" customHeight="1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</row>
    <row r="680" spans="1:14" ht="15.75" customHeight="1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</row>
    <row r="681" spans="1:14" ht="15.75" customHeight="1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</row>
    <row r="682" spans="1:14" ht="15.75" customHeight="1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</row>
    <row r="683" spans="1:14" ht="15.75" customHeight="1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</row>
    <row r="684" spans="1:14" ht="15.75" customHeight="1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</row>
    <row r="685" spans="1:14" ht="15.75" customHeight="1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</row>
    <row r="686" spans="1:14" ht="15.75" customHeight="1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</row>
    <row r="687" spans="1:14" ht="15.75" customHeight="1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</row>
    <row r="688" spans="1:14" ht="15.75" customHeight="1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</row>
    <row r="689" spans="1:14" ht="15.75" customHeight="1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</row>
    <row r="690" spans="1:14" ht="15.75" customHeight="1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</row>
    <row r="691" spans="1:14" ht="15.75" customHeight="1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</row>
    <row r="692" spans="1:14" ht="15.75" customHeight="1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</row>
    <row r="693" spans="1:14" ht="15.75" customHeight="1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</row>
    <row r="694" spans="1:14" ht="15.75" customHeight="1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</row>
    <row r="695" spans="1:14" ht="15.75" customHeight="1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</row>
    <row r="696" spans="1:14" ht="15.75" customHeight="1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</row>
    <row r="697" spans="1:14" ht="15.75" customHeight="1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</row>
    <row r="698" spans="1:14" ht="15.75" customHeight="1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</row>
    <row r="699" spans="1:14" ht="15.75" customHeight="1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</row>
    <row r="700" spans="1:14" ht="15.75" customHeight="1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</row>
    <row r="701" spans="1:14" ht="15.75" customHeight="1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</row>
    <row r="702" spans="1:14" ht="15.75" customHeight="1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</row>
    <row r="703" spans="1:14" ht="15.75" customHeight="1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</row>
    <row r="704" spans="1:14" ht="15.75" customHeight="1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</row>
    <row r="705" spans="1:14" ht="15.75" customHeight="1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</row>
    <row r="706" spans="1:14" ht="15.75" customHeight="1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</row>
    <row r="707" spans="1:14" ht="15.75" customHeight="1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</row>
    <row r="708" spans="1:14" ht="15.75" customHeight="1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</row>
    <row r="709" spans="1:14" ht="15.75" customHeight="1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</row>
    <row r="710" spans="1:14" ht="15.75" customHeight="1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</row>
    <row r="711" spans="1:14" ht="15.75" customHeight="1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</row>
    <row r="712" spans="1:14" ht="15.75" customHeight="1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</row>
    <row r="713" spans="1:14" ht="15.75" customHeight="1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</row>
    <row r="714" spans="1:14" ht="15.75" customHeight="1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</row>
    <row r="715" spans="1:14" ht="15.75" customHeight="1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</row>
    <row r="716" spans="1:14" ht="15.75" customHeight="1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</row>
    <row r="717" spans="1:14" ht="15.75" customHeight="1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</row>
    <row r="718" spans="1:14" ht="15.75" customHeight="1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</row>
    <row r="719" spans="1:14" ht="15.75" customHeight="1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</row>
    <row r="720" spans="1:14" ht="15.75" customHeight="1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</row>
    <row r="721" spans="1:14" ht="15.75" customHeight="1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</row>
    <row r="722" spans="1:14" ht="15.75" customHeight="1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</row>
    <row r="723" spans="1:14" ht="15.75" customHeight="1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</row>
    <row r="724" spans="1:14" ht="15.75" customHeight="1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</row>
    <row r="725" spans="1:14" ht="15.75" customHeight="1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</row>
    <row r="726" spans="1:14" ht="15.75" customHeight="1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</row>
    <row r="727" spans="1:14" ht="15.75" customHeight="1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</row>
    <row r="728" spans="1:14" ht="15.75" customHeight="1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</row>
    <row r="729" spans="1:14" ht="15.75" customHeight="1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</row>
    <row r="730" spans="1:14" ht="15.75" customHeight="1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</row>
    <row r="731" spans="1:14" ht="15.75" customHeight="1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</row>
    <row r="732" spans="1:14" ht="15.75" customHeight="1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</row>
    <row r="733" spans="1:14" ht="15.75" customHeight="1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</row>
    <row r="734" spans="1:14" ht="15.75" customHeight="1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</row>
    <row r="735" spans="1:14" ht="15.75" customHeight="1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</row>
    <row r="736" spans="1:14" ht="15.75" customHeight="1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</row>
    <row r="737" spans="1:14" ht="15.75" customHeight="1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</row>
    <row r="738" spans="1:14" ht="15.75" customHeight="1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</row>
    <row r="739" spans="1:14" ht="15.75" customHeight="1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</row>
    <row r="740" spans="1:14" ht="15.75" customHeight="1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</row>
    <row r="741" spans="1:14" ht="15.75" customHeight="1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</row>
    <row r="742" spans="1:14" ht="15.75" customHeight="1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</row>
    <row r="743" spans="1:14" ht="15.75" customHeight="1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</row>
    <row r="744" spans="1:14" ht="15.75" customHeight="1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</row>
    <row r="745" spans="1:14" ht="15.75" customHeight="1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</row>
    <row r="746" spans="1:14" ht="15.75" customHeight="1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</row>
    <row r="747" spans="1:14" ht="15.75" customHeight="1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</row>
    <row r="748" spans="1:14" ht="15.75" customHeight="1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</row>
    <row r="749" spans="1:14" ht="15.75" customHeight="1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</row>
    <row r="750" spans="1:14" ht="15.75" customHeight="1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</row>
    <row r="751" spans="1:14" ht="15.75" customHeight="1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</row>
    <row r="752" spans="1:14" ht="15.75" customHeight="1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</row>
    <row r="753" spans="1:14" ht="15.75" customHeight="1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</row>
    <row r="754" spans="1:14" ht="15.75" customHeight="1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</row>
    <row r="755" spans="1:14" ht="15.75" customHeight="1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</row>
    <row r="756" spans="1:14" ht="15.75" customHeight="1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</row>
    <row r="757" spans="1:14" ht="15.75" customHeight="1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</row>
    <row r="758" spans="1:14" ht="15.75" customHeight="1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</row>
    <row r="759" spans="1:14" ht="15.75" customHeight="1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</row>
    <row r="760" spans="1:14" ht="15.75" customHeight="1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</row>
    <row r="761" spans="1:14" ht="15.75" customHeight="1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</row>
    <row r="762" spans="1:14" ht="15.75" customHeight="1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</row>
    <row r="763" spans="1:14" ht="15.75" customHeight="1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</row>
    <row r="764" spans="1:14" ht="15.75" customHeight="1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</row>
    <row r="765" spans="1:14" ht="15.75" customHeight="1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</row>
    <row r="766" spans="1:14" ht="15.75" customHeight="1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</row>
    <row r="767" spans="1:14" ht="15.75" customHeight="1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</row>
    <row r="768" spans="1:14" ht="15.75" customHeight="1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</row>
    <row r="769" spans="1:14" ht="15.75" customHeight="1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</row>
    <row r="770" spans="1:14" ht="15.75" customHeight="1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</row>
    <row r="771" spans="1:14" ht="15.75" customHeight="1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</row>
    <row r="772" spans="1:14" ht="15.75" customHeight="1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</row>
    <row r="773" spans="1:14" ht="15.75" customHeight="1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</row>
    <row r="774" spans="1:14" ht="15.75" customHeight="1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</row>
    <row r="775" spans="1:14" ht="15.75" customHeight="1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</row>
    <row r="776" spans="1:14" ht="15.75" customHeight="1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</row>
    <row r="777" spans="1:14" ht="15.75" customHeight="1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</row>
    <row r="778" spans="1:14" ht="15.75" customHeight="1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</row>
    <row r="779" spans="1:14" ht="15.75" customHeight="1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</row>
    <row r="780" spans="1:14" ht="15.75" customHeight="1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</row>
    <row r="781" spans="1:14" ht="15.75" customHeight="1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</row>
    <row r="782" spans="1:14" ht="15.75" customHeight="1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</row>
    <row r="783" spans="1:14" ht="15.75" customHeight="1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</row>
    <row r="784" spans="1:14" ht="15.75" customHeight="1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</row>
    <row r="785" spans="1:14" ht="15.75" customHeight="1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</row>
    <row r="786" spans="1:14" ht="15.75" customHeight="1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</row>
    <row r="787" spans="1:14" ht="15.75" customHeight="1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</row>
    <row r="788" spans="1:14" ht="15.75" customHeight="1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</row>
    <row r="789" spans="1:14" ht="15.75" customHeight="1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</row>
    <row r="790" spans="1:14" ht="15.75" customHeight="1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</row>
    <row r="791" spans="1:14" ht="15.75" customHeight="1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</row>
    <row r="792" spans="1:14" ht="15.75" customHeight="1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</row>
    <row r="793" spans="1:14" ht="15.75" customHeight="1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</row>
    <row r="794" spans="1:14" ht="15.75" customHeight="1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</row>
    <row r="795" spans="1:14" ht="15.75" customHeight="1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</row>
    <row r="796" spans="1:14" ht="15.75" customHeight="1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</row>
    <row r="797" spans="1:14" ht="15.75" customHeight="1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</row>
    <row r="798" spans="1:14" ht="15.75" customHeight="1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</row>
    <row r="799" spans="1:14" ht="15.75" customHeight="1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</row>
    <row r="800" spans="1:14" ht="15.75" customHeight="1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</row>
    <row r="801" spans="1:14" ht="15.75" customHeight="1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</row>
    <row r="802" spans="1:14" ht="15.75" customHeight="1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</row>
    <row r="803" spans="1:14" ht="15.75" customHeight="1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</row>
    <row r="804" spans="1:14" ht="15.75" customHeight="1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</row>
    <row r="805" spans="1:14" ht="15.75" customHeight="1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</row>
    <row r="806" spans="1:14" ht="15.75" customHeight="1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</row>
    <row r="807" spans="1:14" ht="15.75" customHeight="1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</row>
    <row r="808" spans="1:14" ht="15.75" customHeight="1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</row>
    <row r="809" spans="1:14" ht="15.75" customHeight="1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</row>
    <row r="810" spans="1:14" ht="15.75" customHeight="1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</row>
    <row r="811" spans="1:14" ht="15.75" customHeight="1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</row>
    <row r="812" spans="1:14" ht="15.75" customHeight="1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</row>
    <row r="813" spans="1:14" ht="15.75" customHeight="1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</row>
    <row r="814" spans="1:14" ht="15.75" customHeight="1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</row>
    <row r="815" spans="1:14" ht="15.75" customHeight="1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</row>
    <row r="816" spans="1:14" ht="15.75" customHeight="1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</row>
    <row r="817" spans="1:14" ht="15.75" customHeight="1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</row>
    <row r="818" spans="1:14" ht="15.75" customHeight="1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</row>
    <row r="819" spans="1:14" ht="15.75" customHeight="1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</row>
    <row r="820" spans="1:14" ht="15.75" customHeight="1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</row>
    <row r="821" spans="1:14" ht="15.75" customHeight="1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</row>
    <row r="822" spans="1:14" ht="15.75" customHeight="1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</row>
    <row r="823" spans="1:14" ht="15.75" customHeight="1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</row>
    <row r="824" spans="1:14" ht="15.75" customHeight="1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</row>
    <row r="825" spans="1:14" ht="15.75" customHeight="1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</row>
    <row r="826" spans="1:14" ht="15.75" customHeight="1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</row>
    <row r="827" spans="1:14" ht="15.75" customHeight="1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</row>
    <row r="828" spans="1:14" ht="15.75" customHeight="1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</row>
    <row r="829" spans="1:14" ht="15.75" customHeight="1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</row>
    <row r="830" spans="1:14" ht="15.75" customHeight="1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</row>
    <row r="831" spans="1:14" ht="15.75" customHeight="1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</row>
    <row r="832" spans="1:14" ht="15.75" customHeight="1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</row>
    <row r="833" spans="1:14" ht="15.75" customHeight="1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</row>
    <row r="834" spans="1:14" ht="15.75" customHeight="1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</row>
    <row r="835" spans="1:14" ht="15.75" customHeight="1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</row>
    <row r="836" spans="1:14" ht="15.75" customHeight="1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</row>
    <row r="837" spans="1:14" ht="15.75" customHeight="1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</row>
    <row r="838" spans="1:14" ht="15.75" customHeight="1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</row>
    <row r="839" spans="1:14" ht="15.75" customHeight="1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</row>
    <row r="840" spans="1:14" ht="15.75" customHeight="1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</row>
    <row r="841" spans="1:14" ht="15.75" customHeight="1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</row>
    <row r="842" spans="1:14" ht="15.75" customHeight="1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</row>
    <row r="843" spans="1:14" ht="15.75" customHeight="1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</row>
    <row r="844" spans="1:14" ht="15.75" customHeight="1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</row>
    <row r="845" spans="1:14" ht="15.75" customHeight="1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</row>
    <row r="846" spans="1:14" ht="15.75" customHeight="1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</row>
    <row r="847" spans="1:14" ht="15.75" customHeight="1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</row>
    <row r="848" spans="1:14" ht="15.75" customHeight="1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</row>
    <row r="849" spans="1:14" ht="15.75" customHeight="1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</row>
    <row r="850" spans="1:14" ht="15.75" customHeight="1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</row>
    <row r="851" spans="1:14" ht="15.75" customHeight="1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</row>
    <row r="852" spans="1:14" ht="15.75" customHeight="1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</row>
    <row r="853" spans="1:14" ht="15.75" customHeight="1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</row>
    <row r="854" spans="1:14" ht="15.75" customHeight="1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</row>
    <row r="855" spans="1:14" ht="15.75" customHeight="1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</row>
    <row r="856" spans="1:14" ht="15.75" customHeight="1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</row>
    <row r="857" spans="1:14" ht="15.75" customHeight="1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</row>
    <row r="858" spans="1:14" ht="15.75" customHeight="1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</row>
    <row r="859" spans="1:14" ht="15.75" customHeight="1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</row>
    <row r="860" spans="1:14" ht="15.75" customHeight="1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</row>
    <row r="861" spans="1:14" ht="15.75" customHeight="1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</row>
    <row r="862" spans="1:14" ht="15.75" customHeight="1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</row>
    <row r="863" spans="1:14" ht="15.75" customHeight="1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</row>
    <row r="864" spans="1:14" ht="15.75" customHeight="1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</row>
    <row r="865" spans="1:14" ht="15.75" customHeight="1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</row>
    <row r="866" spans="1:14" ht="15.75" customHeight="1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</row>
    <row r="867" spans="1:14" ht="15.75" customHeight="1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</row>
    <row r="868" spans="1:14" ht="15.75" customHeight="1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</row>
    <row r="869" spans="1:14" ht="15.75" customHeight="1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</row>
    <row r="870" spans="1:14" ht="15.75" customHeight="1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</row>
    <row r="871" spans="1:14" ht="15.75" customHeight="1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</row>
    <row r="872" spans="1:14" ht="15.75" customHeight="1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</row>
    <row r="873" spans="1:14" ht="15.75" customHeight="1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</row>
    <row r="874" spans="1:14" ht="15.75" customHeight="1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</row>
    <row r="875" spans="1:14" ht="15.75" customHeight="1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</row>
    <row r="876" spans="1:14" ht="15.75" customHeight="1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</row>
    <row r="877" spans="1:14" ht="15.75" customHeight="1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</row>
    <row r="878" spans="1:14" ht="15.75" customHeight="1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</row>
    <row r="879" spans="1:14" ht="15.75" customHeight="1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</row>
    <row r="880" spans="1:14" ht="15.75" customHeight="1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</row>
    <row r="881" spans="1:14" ht="15.75" customHeight="1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</row>
    <row r="882" spans="1:14" ht="15.75" customHeight="1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</row>
    <row r="883" spans="1:14" ht="15.75" customHeight="1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</row>
    <row r="884" spans="1:14" ht="15.75" customHeight="1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</row>
    <row r="885" spans="1:14" ht="15.75" customHeight="1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</row>
    <row r="886" spans="1:14" ht="15.75" customHeight="1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</row>
    <row r="887" spans="1:14" ht="15.75" customHeight="1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</row>
    <row r="888" spans="1:14" ht="15.75" customHeight="1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</row>
    <row r="889" spans="1:14" ht="15.75" customHeight="1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</row>
    <row r="890" spans="1:14" ht="15.75" customHeight="1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</row>
    <row r="891" spans="1:14" ht="15.75" customHeight="1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</row>
    <row r="892" spans="1:14" ht="15.75" customHeight="1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</row>
    <row r="893" spans="1:14" ht="15.75" customHeight="1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</row>
    <row r="894" spans="1:14" ht="15.75" customHeight="1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</row>
    <row r="895" spans="1:14" ht="15.75" customHeight="1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</row>
    <row r="896" spans="1:14" ht="15.75" customHeight="1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</row>
    <row r="897" spans="1:14" ht="15.75" customHeight="1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</row>
    <row r="898" spans="1:14" ht="15.75" customHeight="1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</row>
    <row r="899" spans="1:14" ht="15.75" customHeight="1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</row>
    <row r="900" spans="1:14" ht="15.75" customHeight="1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</row>
    <row r="901" spans="1:14" ht="15.75" customHeight="1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</row>
    <row r="902" spans="1:14" ht="15.75" customHeight="1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</row>
    <row r="903" spans="1:14" ht="15.75" customHeight="1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</row>
    <row r="904" spans="1:14" ht="15.75" customHeight="1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</row>
    <row r="905" spans="1:14" ht="15.75" customHeight="1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</row>
    <row r="906" spans="1:14" ht="15.75" customHeight="1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</row>
    <row r="907" spans="1:14" ht="15.75" customHeight="1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</row>
    <row r="908" spans="1:14" ht="15.75" customHeight="1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</row>
    <row r="909" spans="1:14" ht="15.75" customHeight="1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</row>
    <row r="910" spans="1:14" ht="15.75" customHeight="1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</row>
    <row r="911" spans="1:14" ht="15.75" customHeight="1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</row>
    <row r="912" spans="1:14" ht="15.75" customHeight="1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</row>
    <row r="913" spans="1:14" ht="15.75" customHeight="1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</row>
    <row r="914" spans="1:14" ht="15.75" customHeight="1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</row>
    <row r="915" spans="1:14" ht="15.75" customHeight="1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</row>
    <row r="916" spans="1:14" ht="15.75" customHeight="1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</row>
    <row r="917" spans="1:14" ht="15.75" customHeight="1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</row>
    <row r="918" spans="1:14" ht="15.75" customHeight="1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</row>
    <row r="919" spans="1:14" ht="15.75" customHeight="1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</row>
    <row r="920" spans="1:14" ht="15.75" customHeight="1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</row>
    <row r="921" spans="1:14" ht="15.75" customHeight="1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</row>
    <row r="922" spans="1:14" ht="15.75" customHeight="1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</row>
    <row r="923" spans="1:14" ht="15.75" customHeight="1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</row>
    <row r="924" spans="1:14" ht="15.75" customHeight="1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</row>
    <row r="925" spans="1:14" ht="15.75" customHeight="1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</row>
    <row r="926" spans="1:14" ht="15.75" customHeight="1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</row>
    <row r="927" spans="1:14" ht="15.75" customHeight="1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</row>
    <row r="928" spans="1:14" ht="15.75" customHeight="1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</row>
    <row r="929" spans="1:14" ht="15.75" customHeight="1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</row>
    <row r="930" spans="1:14" ht="15.75" customHeight="1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</row>
    <row r="931" spans="1:14" ht="15.75" customHeight="1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</row>
    <row r="932" spans="1:14" ht="15.75" customHeight="1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</row>
    <row r="933" spans="1:14" ht="15.75" customHeight="1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</row>
    <row r="934" spans="1:14" ht="15.75" customHeight="1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</row>
    <row r="935" spans="1:14" ht="15.75" customHeight="1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</row>
    <row r="936" spans="1:14" ht="15.75" customHeight="1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</row>
    <row r="937" spans="1:14" ht="15.75" customHeight="1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</row>
    <row r="938" spans="1:14" ht="15.75" customHeight="1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</row>
    <row r="939" spans="1:14" ht="15.75" customHeight="1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</row>
    <row r="940" spans="1:14" ht="15.75" customHeight="1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</row>
    <row r="941" spans="1:14" ht="15.75" customHeight="1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</row>
    <row r="942" spans="1:14" ht="15.75" customHeight="1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</row>
    <row r="943" spans="1:14" ht="15.75" customHeight="1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</row>
    <row r="944" spans="1:14" ht="15.75" customHeight="1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</row>
    <row r="945" spans="1:14" ht="15.75" customHeight="1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</row>
    <row r="946" spans="1:14" ht="15.75" customHeight="1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</row>
    <row r="947" spans="1:14" ht="15.75" customHeight="1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</row>
    <row r="948" spans="1:14" ht="15.75" customHeight="1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</row>
    <row r="949" spans="1:14" ht="15.75" customHeight="1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</row>
    <row r="950" spans="1:14" ht="15.75" customHeight="1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</row>
    <row r="951" spans="1:14" ht="15.75" customHeight="1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</row>
    <row r="952" spans="1:14" ht="15.75" customHeight="1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</row>
    <row r="953" spans="1:14" ht="15.75" customHeight="1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</row>
    <row r="954" spans="1:14" ht="15.75" customHeight="1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</row>
    <row r="955" spans="1:14" ht="15.75" customHeight="1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</row>
    <row r="956" spans="1:14" ht="15.75" customHeight="1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</row>
    <row r="957" spans="1:14" ht="15.75" customHeight="1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</row>
    <row r="958" spans="1:14" ht="15.75" customHeight="1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</row>
    <row r="959" spans="1:14" ht="15.75" customHeight="1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</row>
    <row r="960" spans="1:14" ht="15.75" customHeight="1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</row>
    <row r="961" spans="1:14" ht="15.75" customHeight="1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</row>
    <row r="962" spans="1:14" ht="15.75" customHeight="1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</row>
    <row r="963" spans="1:14" ht="15.75" customHeight="1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</row>
    <row r="964" spans="1:14" ht="15.75" customHeight="1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</row>
    <row r="965" spans="1:14" ht="15.75" customHeight="1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</row>
    <row r="966" spans="1:14" ht="15.75" customHeight="1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</row>
    <row r="967" spans="1:14" ht="15.75" customHeight="1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</row>
    <row r="968" spans="1:14" ht="15.75" customHeight="1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</row>
    <row r="969" spans="1:14" ht="15.75" customHeight="1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</row>
    <row r="970" spans="1:14" ht="15.75" customHeight="1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</row>
    <row r="971" spans="1:14" ht="15.75" customHeight="1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</row>
    <row r="972" spans="1:14" ht="15.75" customHeight="1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</row>
    <row r="973" spans="1:14" ht="15.75" customHeight="1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</row>
    <row r="974" spans="1:14" ht="15.75" customHeight="1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</row>
    <row r="975" spans="1:14" ht="15.75" customHeight="1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</row>
    <row r="976" spans="1:14" ht="15.75" customHeight="1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</row>
    <row r="977" spans="1:14" ht="15.75" customHeight="1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</row>
    <row r="978" spans="1:14" ht="15.75" customHeight="1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</row>
    <row r="979" spans="1:14" ht="15.75" customHeight="1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</row>
    <row r="980" spans="1:14" ht="15.75" customHeight="1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</row>
    <row r="981" spans="1:14" ht="15.75" customHeight="1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</row>
    <row r="982" spans="1:14" ht="15.75" customHeight="1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</row>
    <row r="983" spans="1:14" ht="15.75" customHeight="1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</row>
    <row r="984" spans="1:14" ht="15.75" customHeight="1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</row>
    <row r="985" spans="1:14" ht="15.75" customHeight="1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</row>
    <row r="986" spans="1:14" ht="15.75" customHeight="1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</row>
    <row r="987" spans="1:14" ht="15.75" customHeight="1">
      <c r="A987" s="145"/>
      <c r="B987" s="145"/>
      <c r="C987" s="145"/>
      <c r="D987" s="145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</row>
    <row r="988" spans="1:14" ht="15.75" customHeight="1">
      <c r="A988" s="145"/>
      <c r="B988" s="145"/>
      <c r="C988" s="145"/>
      <c r="D988" s="145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</row>
    <row r="989" spans="1:14" ht="15.75" customHeight="1">
      <c r="A989" s="145"/>
      <c r="B989" s="145"/>
      <c r="C989" s="145"/>
      <c r="D989" s="145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</row>
    <row r="990" spans="1:14" ht="15.75" customHeight="1">
      <c r="A990" s="145"/>
      <c r="B990" s="145"/>
      <c r="C990" s="145"/>
      <c r="D990" s="145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</row>
    <row r="991" spans="1:14" ht="15.75" customHeight="1">
      <c r="A991" s="145"/>
      <c r="B991" s="145"/>
      <c r="C991" s="145"/>
      <c r="D991" s="145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</row>
    <row r="992" spans="1:14" ht="15.75" customHeight="1">
      <c r="A992" s="145"/>
      <c r="B992" s="145"/>
      <c r="C992" s="145"/>
      <c r="D992" s="145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</row>
    <row r="993" spans="1:14" ht="15.75" customHeight="1">
      <c r="A993" s="145"/>
      <c r="B993" s="145"/>
      <c r="C993" s="145"/>
      <c r="D993" s="145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</row>
    <row r="994" spans="1:14" ht="15.75" customHeight="1">
      <c r="A994" s="145"/>
      <c r="B994" s="145"/>
      <c r="C994" s="145"/>
      <c r="D994" s="145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</row>
    <row r="995" spans="1:14" ht="15.75" customHeight="1">
      <c r="A995" s="145"/>
      <c r="B995" s="145"/>
      <c r="C995" s="145"/>
      <c r="D995" s="145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</row>
    <row r="996" spans="1:14" ht="15.75" customHeight="1">
      <c r="A996" s="145"/>
      <c r="B996" s="145"/>
      <c r="C996" s="145"/>
      <c r="D996" s="145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</row>
    <row r="997" spans="1:14" ht="15.75" customHeight="1">
      <c r="A997" s="145"/>
      <c r="B997" s="145"/>
      <c r="C997" s="145"/>
      <c r="D997" s="145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</row>
    <row r="998" spans="1:14" ht="15.75" customHeight="1">
      <c r="A998" s="145"/>
      <c r="B998" s="145"/>
      <c r="C998" s="145"/>
      <c r="D998" s="145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</row>
    <row r="999" spans="1:14" ht="15.75" customHeight="1">
      <c r="A999" s="145"/>
      <c r="B999" s="145"/>
      <c r="C999" s="145"/>
      <c r="D999" s="145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</row>
    <row r="1000" spans="1:14" ht="15.75" customHeight="1">
      <c r="A1000" s="145"/>
      <c r="B1000" s="145"/>
      <c r="C1000" s="145"/>
      <c r="D1000" s="145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</row>
    <row r="1001" spans="1:14" ht="15.75" customHeight="1">
      <c r="A1001" s="145"/>
      <c r="B1001" s="145"/>
      <c r="C1001" s="145"/>
      <c r="D1001" s="145"/>
      <c r="E1001" s="145"/>
      <c r="F1001" s="145"/>
      <c r="G1001" s="145"/>
      <c r="H1001" s="145"/>
      <c r="I1001" s="145"/>
      <c r="J1001" s="145"/>
      <c r="K1001" s="145"/>
      <c r="L1001" s="145"/>
      <c r="M1001" s="145"/>
      <c r="N1001" s="145"/>
    </row>
    <row r="1002" spans="1:14" ht="15.75" customHeight="1">
      <c r="A1002" s="145"/>
      <c r="B1002" s="145"/>
      <c r="C1002" s="145"/>
      <c r="D1002" s="145"/>
      <c r="E1002" s="145"/>
      <c r="F1002" s="145"/>
      <c r="G1002" s="145"/>
      <c r="H1002" s="145"/>
      <c r="I1002" s="145"/>
      <c r="J1002" s="145"/>
      <c r="K1002" s="145"/>
      <c r="L1002" s="145"/>
      <c r="M1002" s="145"/>
      <c r="N1002" s="145"/>
    </row>
    <row r="1003" spans="1:14" ht="15.75" customHeight="1">
      <c r="A1003" s="145"/>
      <c r="B1003" s="145"/>
      <c r="C1003" s="145"/>
      <c r="D1003" s="145"/>
      <c r="E1003" s="145"/>
      <c r="F1003" s="145"/>
      <c r="G1003" s="145"/>
      <c r="H1003" s="145"/>
      <c r="I1003" s="145"/>
      <c r="J1003" s="145"/>
      <c r="K1003" s="145"/>
      <c r="L1003" s="145"/>
      <c r="M1003" s="145"/>
      <c r="N1003" s="145"/>
    </row>
    <row r="1004" spans="1:14" ht="15.75" customHeight="1">
      <c r="A1004" s="145"/>
      <c r="B1004" s="145"/>
      <c r="C1004" s="145"/>
      <c r="D1004" s="145"/>
      <c r="E1004" s="145"/>
      <c r="F1004" s="145"/>
      <c r="G1004" s="145"/>
      <c r="H1004" s="145"/>
      <c r="I1004" s="145"/>
      <c r="J1004" s="145"/>
      <c r="K1004" s="145"/>
      <c r="L1004" s="145"/>
      <c r="M1004" s="145"/>
      <c r="N1004" s="145"/>
    </row>
    <row r="1005" spans="1:14" ht="15.75" customHeight="1">
      <c r="A1005" s="145"/>
      <c r="B1005" s="145"/>
      <c r="C1005" s="145"/>
      <c r="D1005" s="145"/>
      <c r="E1005" s="145"/>
      <c r="F1005" s="145"/>
      <c r="G1005" s="145"/>
      <c r="H1005" s="145"/>
      <c r="I1005" s="145"/>
      <c r="J1005" s="145"/>
      <c r="K1005" s="145"/>
      <c r="L1005" s="145"/>
      <c r="M1005" s="145"/>
      <c r="N1005" s="145"/>
    </row>
    <row r="1006" spans="1:14" ht="15.75" customHeight="1">
      <c r="A1006" s="145"/>
      <c r="B1006" s="145"/>
      <c r="C1006" s="145"/>
      <c r="D1006" s="145"/>
      <c r="E1006" s="145"/>
      <c r="F1006" s="145"/>
      <c r="G1006" s="145"/>
      <c r="H1006" s="145"/>
      <c r="I1006" s="145"/>
      <c r="J1006" s="145"/>
      <c r="K1006" s="145"/>
      <c r="L1006" s="145"/>
      <c r="M1006" s="145"/>
      <c r="N1006" s="145"/>
    </row>
    <row r="1007" spans="1:14" ht="15.75" customHeight="1">
      <c r="A1007" s="145"/>
      <c r="B1007" s="145"/>
      <c r="C1007" s="145"/>
      <c r="D1007" s="145"/>
      <c r="E1007" s="145"/>
      <c r="F1007" s="145"/>
      <c r="G1007" s="145"/>
      <c r="H1007" s="145"/>
      <c r="I1007" s="145"/>
      <c r="J1007" s="145"/>
      <c r="K1007" s="145"/>
      <c r="L1007" s="145"/>
      <c r="M1007" s="145"/>
      <c r="N1007" s="145"/>
    </row>
    <row r="1008" spans="1:14" ht="15.75" customHeight="1">
      <c r="A1008" s="145"/>
      <c r="B1008" s="145"/>
      <c r="C1008" s="145"/>
      <c r="D1008" s="145"/>
      <c r="E1008" s="145"/>
      <c r="F1008" s="145"/>
      <c r="G1008" s="145"/>
      <c r="H1008" s="145"/>
      <c r="I1008" s="145"/>
      <c r="J1008" s="145"/>
      <c r="K1008" s="145"/>
      <c r="L1008" s="145"/>
      <c r="M1008" s="145"/>
      <c r="N1008" s="145"/>
    </row>
    <row r="1009" spans="1:14" ht="15.75" customHeight="1">
      <c r="A1009" s="145"/>
      <c r="B1009" s="145"/>
      <c r="C1009" s="145"/>
      <c r="D1009" s="145"/>
      <c r="E1009" s="145"/>
      <c r="F1009" s="145"/>
      <c r="G1009" s="145"/>
      <c r="H1009" s="145"/>
      <c r="I1009" s="145"/>
      <c r="J1009" s="145"/>
      <c r="K1009" s="145"/>
      <c r="L1009" s="145"/>
      <c r="M1009" s="145"/>
      <c r="N1009" s="145"/>
    </row>
    <row r="1010" spans="1:14" ht="15.75" customHeight="1">
      <c r="A1010" s="145"/>
      <c r="B1010" s="145"/>
      <c r="C1010" s="145"/>
      <c r="D1010" s="145"/>
      <c r="E1010" s="145"/>
      <c r="F1010" s="145"/>
      <c r="G1010" s="145"/>
      <c r="H1010" s="145"/>
      <c r="I1010" s="145"/>
      <c r="J1010" s="145"/>
      <c r="K1010" s="145"/>
      <c r="L1010" s="145"/>
      <c r="M1010" s="145"/>
      <c r="N1010" s="145"/>
    </row>
    <row r="1011" spans="1:14" ht="15.75" customHeight="1">
      <c r="A1011" s="145"/>
      <c r="B1011" s="145"/>
      <c r="C1011" s="145"/>
      <c r="D1011" s="145"/>
      <c r="E1011" s="145"/>
      <c r="F1011" s="145"/>
      <c r="G1011" s="145"/>
      <c r="H1011" s="145"/>
      <c r="I1011" s="145"/>
      <c r="J1011" s="145"/>
      <c r="K1011" s="145"/>
      <c r="L1011" s="145"/>
      <c r="M1011" s="145"/>
      <c r="N1011" s="145"/>
    </row>
    <row r="1012" spans="1:14" ht="15.75" customHeight="1">
      <c r="A1012" s="145"/>
      <c r="B1012" s="145"/>
      <c r="C1012" s="145"/>
      <c r="D1012" s="145"/>
      <c r="E1012" s="145"/>
      <c r="F1012" s="145"/>
      <c r="G1012" s="145"/>
      <c r="H1012" s="145"/>
      <c r="I1012" s="145"/>
      <c r="J1012" s="145"/>
      <c r="K1012" s="145"/>
      <c r="L1012" s="145"/>
      <c r="M1012" s="145"/>
      <c r="N1012" s="145"/>
    </row>
    <row r="1013" spans="1:14" ht="15.75" customHeight="1">
      <c r="A1013" s="145"/>
      <c r="B1013" s="145"/>
      <c r="C1013" s="145"/>
      <c r="D1013" s="145"/>
      <c r="E1013" s="145"/>
      <c r="F1013" s="145"/>
      <c r="G1013" s="145"/>
      <c r="H1013" s="145"/>
      <c r="I1013" s="145"/>
      <c r="J1013" s="145"/>
      <c r="K1013" s="145"/>
      <c r="L1013" s="145"/>
      <c r="M1013" s="145"/>
      <c r="N1013" s="145"/>
    </row>
    <row r="1014" spans="1:14" ht="15.75" customHeight="1">
      <c r="A1014" s="145"/>
      <c r="B1014" s="145"/>
      <c r="C1014" s="145"/>
      <c r="D1014" s="145"/>
      <c r="E1014" s="145"/>
      <c r="F1014" s="145"/>
      <c r="G1014" s="145"/>
      <c r="H1014" s="145"/>
      <c r="I1014" s="145"/>
      <c r="J1014" s="145"/>
      <c r="K1014" s="145"/>
      <c r="L1014" s="145"/>
      <c r="M1014" s="145"/>
      <c r="N1014" s="145"/>
    </row>
    <row r="1015" spans="1:14" ht="15.75" customHeight="1">
      <c r="A1015" s="145"/>
      <c r="B1015" s="145"/>
      <c r="C1015" s="145"/>
      <c r="D1015" s="145"/>
      <c r="E1015" s="145"/>
      <c r="F1015" s="145"/>
      <c r="G1015" s="145"/>
      <c r="H1015" s="145"/>
      <c r="I1015" s="145"/>
      <c r="J1015" s="145"/>
      <c r="K1015" s="145"/>
      <c r="L1015" s="145"/>
      <c r="M1015" s="145"/>
      <c r="N1015" s="145"/>
    </row>
    <row r="1016" spans="1:14" ht="15.75" customHeight="1">
      <c r="A1016" s="145"/>
      <c r="B1016" s="145"/>
      <c r="C1016" s="145"/>
      <c r="D1016" s="145"/>
      <c r="E1016" s="145"/>
      <c r="F1016" s="145"/>
      <c r="G1016" s="145"/>
      <c r="H1016" s="145"/>
      <c r="I1016" s="145"/>
      <c r="J1016" s="145"/>
      <c r="K1016" s="145"/>
      <c r="L1016" s="145"/>
      <c r="M1016" s="145"/>
      <c r="N1016" s="145"/>
    </row>
    <row r="1017" spans="1:14" ht="15.75" customHeight="1">
      <c r="A1017" s="145"/>
      <c r="B1017" s="145"/>
      <c r="C1017" s="145"/>
      <c r="D1017" s="145"/>
      <c r="E1017" s="145"/>
      <c r="F1017" s="145"/>
      <c r="G1017" s="145"/>
      <c r="H1017" s="145"/>
      <c r="I1017" s="145"/>
      <c r="J1017" s="145"/>
      <c r="K1017" s="145"/>
      <c r="L1017" s="145"/>
      <c r="M1017" s="145"/>
      <c r="N1017" s="145"/>
    </row>
    <row r="1018" spans="1:14" ht="15.75" customHeight="1">
      <c r="A1018" s="145"/>
      <c r="B1018" s="145"/>
      <c r="C1018" s="145"/>
      <c r="D1018" s="145"/>
      <c r="E1018" s="145"/>
      <c r="F1018" s="145"/>
      <c r="G1018" s="145"/>
      <c r="H1018" s="145"/>
      <c r="I1018" s="145"/>
      <c r="J1018" s="145"/>
      <c r="K1018" s="145"/>
      <c r="L1018" s="145"/>
      <c r="M1018" s="145"/>
      <c r="N1018" s="145"/>
    </row>
    <row r="1019" spans="1:14" ht="15.75" customHeight="1">
      <c r="A1019" s="145"/>
      <c r="B1019" s="145"/>
      <c r="C1019" s="145"/>
      <c r="D1019" s="145"/>
      <c r="E1019" s="145"/>
      <c r="F1019" s="145"/>
      <c r="G1019" s="145"/>
      <c r="H1019" s="145"/>
      <c r="I1019" s="145"/>
      <c r="J1019" s="145"/>
      <c r="K1019" s="145"/>
      <c r="L1019" s="145"/>
      <c r="M1019" s="145"/>
      <c r="N1019" s="145"/>
    </row>
    <row r="1020" spans="1:14" ht="15.75" customHeight="1">
      <c r="A1020" s="145"/>
      <c r="B1020" s="145"/>
      <c r="C1020" s="145"/>
      <c r="D1020" s="145"/>
      <c r="E1020" s="145"/>
      <c r="F1020" s="145"/>
      <c r="G1020" s="145"/>
      <c r="H1020" s="145"/>
      <c r="I1020" s="145"/>
      <c r="J1020" s="145"/>
      <c r="K1020" s="145"/>
      <c r="L1020" s="145"/>
      <c r="M1020" s="145"/>
      <c r="N1020" s="145"/>
    </row>
    <row r="1021" spans="1:14" ht="15.75" customHeight="1">
      <c r="A1021" s="145"/>
      <c r="B1021" s="145"/>
      <c r="C1021" s="145"/>
      <c r="D1021" s="145"/>
      <c r="E1021" s="145"/>
      <c r="F1021" s="145"/>
      <c r="G1021" s="145"/>
      <c r="H1021" s="145"/>
      <c r="I1021" s="145"/>
      <c r="J1021" s="145"/>
      <c r="K1021" s="145"/>
      <c r="L1021" s="145"/>
      <c r="M1021" s="145"/>
      <c r="N1021" s="145"/>
    </row>
    <row r="1022" spans="1:14" ht="15.75" customHeight="1">
      <c r="A1022" s="145"/>
      <c r="B1022" s="145"/>
      <c r="C1022" s="145"/>
      <c r="D1022" s="145"/>
      <c r="E1022" s="145"/>
      <c r="F1022" s="145"/>
      <c r="G1022" s="145"/>
      <c r="H1022" s="145"/>
      <c r="I1022" s="145"/>
      <c r="J1022" s="145"/>
      <c r="K1022" s="145"/>
      <c r="L1022" s="145"/>
      <c r="M1022" s="145"/>
      <c r="N1022" s="145"/>
    </row>
    <row r="1023" spans="1:14" ht="15.75" customHeight="1">
      <c r="A1023" s="145"/>
      <c r="B1023" s="145"/>
      <c r="C1023" s="145"/>
      <c r="D1023" s="145"/>
      <c r="E1023" s="145"/>
      <c r="F1023" s="145"/>
      <c r="G1023" s="145"/>
      <c r="H1023" s="145"/>
      <c r="I1023" s="145"/>
      <c r="J1023" s="145"/>
      <c r="K1023" s="145"/>
      <c r="L1023" s="145"/>
      <c r="M1023" s="145"/>
      <c r="N1023" s="145"/>
    </row>
    <row r="1024" spans="1:14" ht="15.75" customHeight="1">
      <c r="A1024" s="145"/>
      <c r="B1024" s="145"/>
      <c r="C1024" s="145"/>
      <c r="D1024" s="145"/>
      <c r="E1024" s="145"/>
      <c r="F1024" s="145"/>
      <c r="G1024" s="145"/>
      <c r="H1024" s="145"/>
      <c r="I1024" s="145"/>
      <c r="J1024" s="145"/>
      <c r="K1024" s="145"/>
      <c r="L1024" s="145"/>
      <c r="M1024" s="145"/>
      <c r="N1024" s="145"/>
    </row>
    <row r="1025" spans="1:14" ht="15.75" customHeight="1">
      <c r="A1025" s="145"/>
      <c r="B1025" s="145"/>
      <c r="C1025" s="145"/>
      <c r="D1025" s="145"/>
      <c r="E1025" s="145"/>
      <c r="F1025" s="145"/>
      <c r="G1025" s="145"/>
      <c r="H1025" s="145"/>
      <c r="I1025" s="145"/>
      <c r="J1025" s="145"/>
      <c r="K1025" s="145"/>
      <c r="L1025" s="145"/>
      <c r="M1025" s="145"/>
      <c r="N1025" s="145"/>
    </row>
    <row r="1026" spans="1:14" ht="15.75" customHeight="1">
      <c r="A1026" s="145"/>
      <c r="B1026" s="145"/>
      <c r="C1026" s="145"/>
      <c r="D1026" s="145"/>
      <c r="E1026" s="145"/>
      <c r="F1026" s="145"/>
      <c r="G1026" s="145"/>
      <c r="H1026" s="145"/>
      <c r="I1026" s="145"/>
      <c r="J1026" s="145"/>
      <c r="K1026" s="145"/>
      <c r="L1026" s="145"/>
      <c r="M1026" s="145"/>
      <c r="N1026" s="145"/>
    </row>
    <row r="1027" spans="1:14" ht="15.75" customHeight="1">
      <c r="A1027" s="145"/>
      <c r="B1027" s="145"/>
      <c r="C1027" s="145"/>
      <c r="D1027" s="145"/>
      <c r="E1027" s="145"/>
      <c r="F1027" s="145"/>
      <c r="G1027" s="145"/>
      <c r="H1027" s="145"/>
      <c r="I1027" s="145"/>
      <c r="J1027" s="145"/>
      <c r="K1027" s="145"/>
      <c r="L1027" s="145"/>
      <c r="M1027" s="145"/>
      <c r="N1027" s="145"/>
    </row>
    <row r="1028" spans="1:14" ht="15.75" customHeight="1">
      <c r="A1028" s="145"/>
      <c r="B1028" s="145"/>
      <c r="C1028" s="145"/>
      <c r="D1028" s="145"/>
      <c r="E1028" s="145"/>
      <c r="F1028" s="145"/>
      <c r="G1028" s="145"/>
      <c r="H1028" s="145"/>
      <c r="I1028" s="145"/>
      <c r="J1028" s="145"/>
      <c r="K1028" s="145"/>
      <c r="L1028" s="145"/>
      <c r="M1028" s="145"/>
      <c r="N1028" s="145"/>
    </row>
    <row r="1029" spans="1:14" ht="15.75" customHeight="1">
      <c r="A1029" s="145"/>
      <c r="B1029" s="145"/>
      <c r="C1029" s="145"/>
      <c r="D1029" s="145"/>
      <c r="E1029" s="145"/>
      <c r="F1029" s="145"/>
      <c r="G1029" s="145"/>
      <c r="H1029" s="145"/>
      <c r="I1029" s="145"/>
      <c r="J1029" s="145"/>
      <c r="K1029" s="145"/>
      <c r="L1029" s="145"/>
      <c r="M1029" s="145"/>
      <c r="N1029" s="145"/>
    </row>
    <row r="1030" spans="1:14" ht="15.75" customHeight="1">
      <c r="A1030" s="145"/>
      <c r="B1030" s="145"/>
      <c r="C1030" s="145"/>
      <c r="D1030" s="145"/>
      <c r="E1030" s="145"/>
      <c r="F1030" s="145"/>
      <c r="G1030" s="145"/>
      <c r="H1030" s="145"/>
      <c r="I1030" s="145"/>
      <c r="J1030" s="145"/>
      <c r="K1030" s="145"/>
      <c r="L1030" s="145"/>
      <c r="M1030" s="145"/>
      <c r="N1030" s="145"/>
    </row>
    <row r="1031" spans="1:14" ht="15.75" customHeight="1">
      <c r="A1031" s="145"/>
      <c r="B1031" s="145"/>
      <c r="C1031" s="145"/>
      <c r="D1031" s="145"/>
      <c r="E1031" s="145"/>
      <c r="F1031" s="145"/>
      <c r="G1031" s="145"/>
      <c r="H1031" s="145"/>
      <c r="I1031" s="145"/>
      <c r="J1031" s="145"/>
      <c r="K1031" s="145"/>
      <c r="L1031" s="145"/>
      <c r="M1031" s="145"/>
      <c r="N1031" s="145"/>
    </row>
    <row r="1032" spans="1:14" ht="15.75" customHeight="1">
      <c r="A1032" s="145"/>
      <c r="B1032" s="145"/>
      <c r="C1032" s="145"/>
      <c r="D1032" s="145"/>
      <c r="E1032" s="145"/>
      <c r="F1032" s="145"/>
      <c r="G1032" s="145"/>
      <c r="H1032" s="145"/>
      <c r="I1032" s="145"/>
      <c r="J1032" s="145"/>
      <c r="K1032" s="145"/>
      <c r="L1032" s="145"/>
      <c r="M1032" s="145"/>
      <c r="N1032" s="145"/>
    </row>
    <row r="1033" spans="1:14" ht="15.75" customHeight="1">
      <c r="A1033" s="145"/>
      <c r="B1033" s="145"/>
      <c r="C1033" s="145"/>
      <c r="D1033" s="145"/>
      <c r="E1033" s="145"/>
      <c r="F1033" s="145"/>
      <c r="G1033" s="145"/>
      <c r="H1033" s="145"/>
      <c r="I1033" s="145"/>
      <c r="J1033" s="145"/>
      <c r="K1033" s="145"/>
      <c r="L1033" s="145"/>
      <c r="M1033" s="145"/>
      <c r="N1033" s="145"/>
    </row>
    <row r="1034" spans="1:14" ht="15.75" customHeight="1">
      <c r="A1034" s="145"/>
      <c r="B1034" s="145"/>
      <c r="C1034" s="145"/>
      <c r="D1034" s="145"/>
      <c r="E1034" s="145"/>
      <c r="F1034" s="145"/>
      <c r="G1034" s="145"/>
      <c r="H1034" s="145"/>
      <c r="I1034" s="145"/>
      <c r="J1034" s="145"/>
      <c r="K1034" s="145"/>
      <c r="L1034" s="145"/>
      <c r="M1034" s="145"/>
      <c r="N1034" s="145"/>
    </row>
    <row r="1035" spans="1:14" ht="15.75" customHeight="1">
      <c r="A1035" s="145"/>
      <c r="B1035" s="145"/>
      <c r="C1035" s="145"/>
      <c r="D1035" s="145"/>
      <c r="E1035" s="145"/>
      <c r="F1035" s="145"/>
      <c r="G1035" s="145"/>
      <c r="H1035" s="145"/>
      <c r="I1035" s="145"/>
      <c r="J1035" s="145"/>
      <c r="K1035" s="145"/>
      <c r="L1035" s="145"/>
      <c r="M1035" s="145"/>
      <c r="N1035" s="145"/>
    </row>
    <row r="1036" spans="1:14" ht="15.75" customHeight="1">
      <c r="A1036" s="145"/>
      <c r="B1036" s="145"/>
      <c r="C1036" s="145"/>
      <c r="D1036" s="145"/>
      <c r="E1036" s="145"/>
      <c r="F1036" s="145"/>
      <c r="G1036" s="145"/>
      <c r="H1036" s="145"/>
      <c r="I1036" s="145"/>
      <c r="J1036" s="145"/>
      <c r="K1036" s="145"/>
      <c r="L1036" s="145"/>
      <c r="M1036" s="145"/>
      <c r="N1036" s="145"/>
    </row>
    <row r="1037" spans="1:14" ht="15.75" customHeight="1">
      <c r="A1037" s="145"/>
      <c r="B1037" s="145"/>
      <c r="C1037" s="145"/>
      <c r="D1037" s="145"/>
      <c r="E1037" s="145"/>
      <c r="F1037" s="145"/>
      <c r="G1037" s="145"/>
      <c r="H1037" s="145"/>
      <c r="I1037" s="145"/>
      <c r="J1037" s="145"/>
      <c r="K1037" s="145"/>
      <c r="L1037" s="145"/>
      <c r="M1037" s="145"/>
      <c r="N1037" s="145"/>
    </row>
    <row r="1038" spans="1:14" ht="15.75" customHeight="1">
      <c r="A1038" s="145"/>
      <c r="B1038" s="145"/>
      <c r="C1038" s="145"/>
      <c r="D1038" s="145"/>
      <c r="E1038" s="145"/>
      <c r="F1038" s="145"/>
      <c r="G1038" s="145"/>
      <c r="H1038" s="145"/>
      <c r="I1038" s="145"/>
      <c r="J1038" s="145"/>
      <c r="K1038" s="145"/>
      <c r="L1038" s="145"/>
      <c r="M1038" s="145"/>
      <c r="N1038" s="145"/>
    </row>
    <row r="1039" spans="1:14" ht="15.75" customHeight="1">
      <c r="A1039" s="145"/>
      <c r="B1039" s="145"/>
      <c r="C1039" s="145"/>
      <c r="D1039" s="145"/>
      <c r="E1039" s="145"/>
      <c r="F1039" s="145"/>
      <c r="G1039" s="145"/>
      <c r="H1039" s="145"/>
      <c r="I1039" s="145"/>
      <c r="J1039" s="145"/>
      <c r="K1039" s="145"/>
      <c r="L1039" s="145"/>
      <c r="M1039" s="145"/>
      <c r="N1039" s="145"/>
    </row>
    <row r="1040" spans="1:14" ht="15.75" customHeight="1">
      <c r="A1040" s="145"/>
      <c r="B1040" s="145"/>
      <c r="C1040" s="145"/>
      <c r="D1040" s="145"/>
      <c r="E1040" s="145"/>
      <c r="F1040" s="145"/>
      <c r="G1040" s="145"/>
      <c r="H1040" s="145"/>
      <c r="I1040" s="145"/>
      <c r="J1040" s="145"/>
      <c r="K1040" s="145"/>
      <c r="L1040" s="145"/>
      <c r="M1040" s="145"/>
      <c r="N1040" s="145"/>
    </row>
    <row r="1041" spans="1:14" ht="15.75" customHeight="1">
      <c r="A1041" s="145"/>
      <c r="B1041" s="145"/>
      <c r="C1041" s="145"/>
      <c r="D1041" s="145"/>
      <c r="E1041" s="145"/>
      <c r="F1041" s="145"/>
      <c r="G1041" s="145"/>
      <c r="H1041" s="145"/>
      <c r="I1041" s="145"/>
      <c r="J1041" s="145"/>
      <c r="K1041" s="145"/>
      <c r="L1041" s="145"/>
      <c r="M1041" s="145"/>
      <c r="N1041" s="145"/>
    </row>
    <row r="1042" spans="1:14" ht="15.75" customHeight="1">
      <c r="A1042" s="145"/>
      <c r="B1042" s="145"/>
      <c r="C1042" s="145"/>
      <c r="D1042" s="145"/>
      <c r="E1042" s="145"/>
      <c r="F1042" s="145"/>
      <c r="G1042" s="145"/>
      <c r="H1042" s="145"/>
      <c r="I1042" s="145"/>
      <c r="J1042" s="145"/>
      <c r="K1042" s="145"/>
      <c r="L1042" s="145"/>
      <c r="M1042" s="145"/>
      <c r="N1042" s="145"/>
    </row>
    <row r="1043" spans="1:14" ht="15.75" customHeight="1">
      <c r="A1043" s="145"/>
      <c r="B1043" s="145"/>
      <c r="C1043" s="145"/>
      <c r="D1043" s="145"/>
      <c r="E1043" s="145"/>
      <c r="F1043" s="145"/>
      <c r="G1043" s="145"/>
      <c r="H1043" s="145"/>
      <c r="I1043" s="145"/>
      <c r="J1043" s="145"/>
      <c r="K1043" s="145"/>
      <c r="L1043" s="145"/>
      <c r="M1043" s="145"/>
      <c r="N1043" s="145"/>
    </row>
    <row r="1044" spans="1:14" ht="15.75" customHeight="1">
      <c r="A1044" s="145"/>
      <c r="B1044" s="145"/>
      <c r="C1044" s="145"/>
      <c r="D1044" s="145"/>
      <c r="E1044" s="145"/>
      <c r="F1044" s="145"/>
      <c r="G1044" s="145"/>
      <c r="H1044" s="145"/>
      <c r="I1044" s="145"/>
      <c r="J1044" s="145"/>
      <c r="K1044" s="145"/>
      <c r="L1044" s="145"/>
      <c r="M1044" s="145"/>
      <c r="N1044" s="145"/>
    </row>
    <row r="1045" spans="1:14" ht="15.75" customHeight="1">
      <c r="A1045" s="145"/>
      <c r="B1045" s="145"/>
      <c r="C1045" s="145"/>
      <c r="D1045" s="145"/>
      <c r="E1045" s="145"/>
      <c r="F1045" s="145"/>
      <c r="G1045" s="145"/>
      <c r="H1045" s="145"/>
      <c r="I1045" s="145"/>
      <c r="J1045" s="145"/>
      <c r="K1045" s="145"/>
      <c r="L1045" s="145"/>
      <c r="M1045" s="145"/>
      <c r="N1045" s="145"/>
    </row>
    <row r="1046" spans="1:14" ht="15.75" customHeight="1">
      <c r="A1046" s="145"/>
      <c r="B1046" s="145"/>
      <c r="C1046" s="145"/>
      <c r="D1046" s="145"/>
      <c r="E1046" s="145"/>
      <c r="F1046" s="145"/>
      <c r="G1046" s="145"/>
      <c r="H1046" s="145"/>
      <c r="I1046" s="145"/>
      <c r="J1046" s="145"/>
      <c r="K1046" s="145"/>
      <c r="L1046" s="145"/>
      <c r="M1046" s="145"/>
      <c r="N1046" s="145"/>
    </row>
    <row r="1047" spans="1:14" ht="15.75" customHeight="1">
      <c r="A1047" s="145"/>
      <c r="B1047" s="145"/>
      <c r="C1047" s="145"/>
      <c r="D1047" s="145"/>
      <c r="E1047" s="145"/>
      <c r="F1047" s="145"/>
      <c r="G1047" s="145"/>
      <c r="H1047" s="145"/>
      <c r="I1047" s="145"/>
      <c r="J1047" s="145"/>
      <c r="K1047" s="145"/>
      <c r="L1047" s="145"/>
      <c r="M1047" s="145"/>
      <c r="N1047" s="145"/>
    </row>
    <row r="1048" spans="1:14" ht="15.75" customHeight="1">
      <c r="A1048" s="145"/>
      <c r="B1048" s="145"/>
      <c r="C1048" s="145"/>
      <c r="D1048" s="145"/>
      <c r="E1048" s="145"/>
      <c r="F1048" s="145"/>
      <c r="G1048" s="145"/>
      <c r="H1048" s="145"/>
      <c r="I1048" s="145"/>
      <c r="J1048" s="145"/>
      <c r="K1048" s="145"/>
      <c r="L1048" s="145"/>
      <c r="M1048" s="145"/>
      <c r="N1048" s="145"/>
    </row>
    <row r="1049" spans="1:14" ht="15.75" customHeight="1">
      <c r="A1049" s="145"/>
      <c r="B1049" s="145"/>
      <c r="C1049" s="145"/>
      <c r="D1049" s="145"/>
      <c r="E1049" s="145"/>
      <c r="F1049" s="145"/>
      <c r="G1049" s="145"/>
      <c r="H1049" s="145"/>
      <c r="I1049" s="145"/>
      <c r="J1049" s="145"/>
      <c r="K1049" s="145"/>
      <c r="L1049" s="145"/>
      <c r="M1049" s="145"/>
      <c r="N1049" s="145"/>
    </row>
    <row r="1050" spans="1:14" ht="15.75" customHeight="1">
      <c r="A1050" s="145"/>
      <c r="B1050" s="145"/>
      <c r="C1050" s="145"/>
      <c r="D1050" s="145"/>
      <c r="E1050" s="145"/>
      <c r="F1050" s="145"/>
      <c r="G1050" s="145"/>
      <c r="H1050" s="145"/>
      <c r="I1050" s="145"/>
      <c r="J1050" s="145"/>
      <c r="K1050" s="145"/>
      <c r="L1050" s="145"/>
      <c r="M1050" s="145"/>
      <c r="N1050" s="145"/>
    </row>
    <row r="1051" spans="1:14" ht="15.75" customHeight="1">
      <c r="A1051" s="145"/>
      <c r="B1051" s="145"/>
      <c r="C1051" s="145"/>
      <c r="D1051" s="145"/>
      <c r="E1051" s="145"/>
      <c r="F1051" s="145"/>
      <c r="G1051" s="145"/>
      <c r="H1051" s="145"/>
      <c r="I1051" s="145"/>
      <c r="J1051" s="145"/>
      <c r="K1051" s="145"/>
      <c r="L1051" s="145"/>
      <c r="M1051" s="145"/>
      <c r="N1051" s="145"/>
    </row>
    <row r="1052" spans="1:14" ht="15.75" customHeight="1">
      <c r="A1052" s="145"/>
      <c r="B1052" s="145"/>
      <c r="C1052" s="145"/>
      <c r="D1052" s="145"/>
      <c r="E1052" s="145"/>
      <c r="F1052" s="145"/>
      <c r="G1052" s="145"/>
      <c r="H1052" s="145"/>
      <c r="I1052" s="145"/>
      <c r="J1052" s="145"/>
      <c r="K1052" s="145"/>
      <c r="L1052" s="145"/>
      <c r="M1052" s="145"/>
      <c r="N1052" s="145"/>
    </row>
    <row r="1053" spans="1:14" ht="15.75" customHeight="1">
      <c r="A1053" s="145"/>
      <c r="B1053" s="145"/>
      <c r="C1053" s="145"/>
      <c r="D1053" s="145"/>
      <c r="E1053" s="145"/>
      <c r="F1053" s="145"/>
      <c r="G1053" s="145"/>
      <c r="H1053" s="145"/>
      <c r="I1053" s="145"/>
      <c r="J1053" s="145"/>
      <c r="K1053" s="145"/>
      <c r="L1053" s="145"/>
      <c r="M1053" s="145"/>
      <c r="N1053" s="145"/>
    </row>
    <row r="1054" spans="1:14" ht="15.75" customHeight="1">
      <c r="A1054" s="145"/>
      <c r="B1054" s="145"/>
      <c r="C1054" s="145"/>
      <c r="D1054" s="145"/>
      <c r="E1054" s="145"/>
      <c r="F1054" s="145"/>
      <c r="G1054" s="145"/>
      <c r="H1054" s="145"/>
      <c r="I1054" s="145"/>
      <c r="J1054" s="145"/>
      <c r="K1054" s="145"/>
      <c r="L1054" s="145"/>
      <c r="M1054" s="145"/>
      <c r="N1054" s="145"/>
    </row>
    <row r="1055" spans="1:14" ht="15.75" customHeight="1">
      <c r="A1055" s="145"/>
      <c r="B1055" s="145"/>
      <c r="C1055" s="145"/>
      <c r="D1055" s="145"/>
      <c r="E1055" s="145"/>
      <c r="F1055" s="145"/>
      <c r="G1055" s="145"/>
      <c r="H1055" s="145"/>
      <c r="I1055" s="145"/>
      <c r="J1055" s="145"/>
      <c r="K1055" s="145"/>
      <c r="L1055" s="145"/>
      <c r="M1055" s="145"/>
      <c r="N1055" s="145"/>
    </row>
    <row r="1056" spans="1:14" ht="15.75" customHeight="1">
      <c r="A1056" s="145"/>
      <c r="B1056" s="145"/>
      <c r="C1056" s="145"/>
      <c r="D1056" s="145"/>
      <c r="E1056" s="145"/>
      <c r="F1056" s="145"/>
      <c r="G1056" s="145"/>
      <c r="H1056" s="145"/>
      <c r="I1056" s="145"/>
      <c r="J1056" s="145"/>
      <c r="K1056" s="145"/>
      <c r="L1056" s="145"/>
      <c r="M1056" s="145"/>
      <c r="N1056" s="145"/>
    </row>
    <row r="1057" spans="1:14" ht="15.75" customHeight="1">
      <c r="A1057" s="145"/>
      <c r="B1057" s="145"/>
      <c r="C1057" s="145"/>
      <c r="D1057" s="145"/>
      <c r="E1057" s="145"/>
      <c r="F1057" s="145"/>
      <c r="G1057" s="145"/>
      <c r="H1057" s="145"/>
      <c r="I1057" s="145"/>
      <c r="J1057" s="145"/>
      <c r="K1057" s="145"/>
      <c r="L1057" s="145"/>
      <c r="M1057" s="145"/>
      <c r="N1057" s="145"/>
    </row>
    <row r="1058" spans="1:14" ht="15.75" customHeight="1">
      <c r="A1058" s="145"/>
      <c r="B1058" s="145"/>
      <c r="C1058" s="145"/>
      <c r="D1058" s="145"/>
      <c r="E1058" s="145"/>
      <c r="F1058" s="145"/>
      <c r="G1058" s="145"/>
      <c r="H1058" s="145"/>
      <c r="I1058" s="145"/>
      <c r="J1058" s="145"/>
      <c r="K1058" s="145"/>
      <c r="L1058" s="145"/>
      <c r="M1058" s="145"/>
      <c r="N1058" s="145"/>
    </row>
    <row r="1059" spans="1:14" ht="15.75" customHeight="1">
      <c r="A1059" s="145"/>
      <c r="B1059" s="145"/>
      <c r="C1059" s="145"/>
      <c r="D1059" s="145"/>
      <c r="E1059" s="145"/>
      <c r="F1059" s="145"/>
      <c r="G1059" s="145"/>
      <c r="H1059" s="145"/>
      <c r="I1059" s="145"/>
      <c r="J1059" s="145"/>
      <c r="K1059" s="145"/>
      <c r="L1059" s="145"/>
      <c r="M1059" s="145"/>
      <c r="N1059" s="145"/>
    </row>
    <row r="1060" spans="1:14" ht="15.75" customHeight="1">
      <c r="A1060" s="145"/>
      <c r="B1060" s="145"/>
      <c r="C1060" s="145"/>
      <c r="D1060" s="145"/>
      <c r="E1060" s="145"/>
      <c r="F1060" s="145"/>
      <c r="G1060" s="145"/>
      <c r="H1060" s="145"/>
      <c r="I1060" s="145"/>
      <c r="J1060" s="145"/>
      <c r="K1060" s="145"/>
      <c r="L1060" s="145"/>
      <c r="M1060" s="145"/>
      <c r="N1060" s="145"/>
    </row>
  </sheetData>
  <mergeCells count="80">
    <mergeCell ref="A2:N2"/>
    <mergeCell ref="A162:J162"/>
    <mergeCell ref="A5:B5"/>
    <mergeCell ref="D50:F50"/>
    <mergeCell ref="A164:J164"/>
    <mergeCell ref="A139:J139"/>
    <mergeCell ref="A163:J163"/>
    <mergeCell ref="A25:I25"/>
    <mergeCell ref="B143:E143"/>
    <mergeCell ref="D48:F48"/>
    <mergeCell ref="G48:N48"/>
    <mergeCell ref="B48:C48"/>
    <mergeCell ref="I6:J7"/>
    <mergeCell ref="K6:L7"/>
    <mergeCell ref="G5:H5"/>
    <mergeCell ref="I5:J5"/>
    <mergeCell ref="K5:L5"/>
    <mergeCell ref="B142:E142"/>
    <mergeCell ref="M5:N5"/>
    <mergeCell ref="A190:J190"/>
    <mergeCell ref="A168:B168"/>
    <mergeCell ref="B52:C52"/>
    <mergeCell ref="B144:E144"/>
    <mergeCell ref="A167:J167"/>
    <mergeCell ref="D51:F51"/>
    <mergeCell ref="G49:N49"/>
    <mergeCell ref="C6:D7"/>
    <mergeCell ref="A188:J188"/>
    <mergeCell ref="C168:D168"/>
    <mergeCell ref="A166:J166"/>
    <mergeCell ref="C169:D169"/>
    <mergeCell ref="E169:F169"/>
    <mergeCell ref="C5:D5"/>
    <mergeCell ref="E5:F5"/>
    <mergeCell ref="A169:B169"/>
    <mergeCell ref="A161:J161"/>
    <mergeCell ref="A1:N1"/>
    <mergeCell ref="G53:N53"/>
    <mergeCell ref="B53:C53"/>
    <mergeCell ref="D55:F55"/>
    <mergeCell ref="A101:H101"/>
    <mergeCell ref="D54:F54"/>
    <mergeCell ref="A149:J149"/>
    <mergeCell ref="A4:N4"/>
    <mergeCell ref="A36:I36"/>
    <mergeCell ref="A160:J160"/>
    <mergeCell ref="B54:C54"/>
    <mergeCell ref="A141:J141"/>
    <mergeCell ref="A6:B7"/>
    <mergeCell ref="G54:N54"/>
    <mergeCell ref="A159:J159"/>
    <mergeCell ref="E6:F7"/>
    <mergeCell ref="G6:H7"/>
    <mergeCell ref="M6:N7"/>
    <mergeCell ref="A122:J122"/>
    <mergeCell ref="B145:E145"/>
    <mergeCell ref="G51:N51"/>
    <mergeCell ref="D49:F49"/>
    <mergeCell ref="B146:E146"/>
    <mergeCell ref="A9:N9"/>
    <mergeCell ref="B147:E147"/>
    <mergeCell ref="G50:N50"/>
    <mergeCell ref="A57:J57"/>
    <mergeCell ref="B50:C50"/>
    <mergeCell ref="A194:J194"/>
    <mergeCell ref="G52:N52"/>
    <mergeCell ref="D53:F53"/>
    <mergeCell ref="A46:N46"/>
    <mergeCell ref="B49:C49"/>
    <mergeCell ref="A83:L83"/>
    <mergeCell ref="E168:F168"/>
    <mergeCell ref="G168:H168"/>
    <mergeCell ref="G55:N55"/>
    <mergeCell ref="B55:C55"/>
    <mergeCell ref="B51:C51"/>
    <mergeCell ref="G169:H169"/>
    <mergeCell ref="A189:J189"/>
    <mergeCell ref="A191:J191"/>
    <mergeCell ref="A192:J192"/>
    <mergeCell ref="D52:F52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398"/>
  <sheetViews>
    <sheetView topLeftCell="B25" zoomScale="200" zoomScaleNormal="85" workbookViewId="0">
      <selection activeCell="G26" sqref="G26"/>
    </sheetView>
  </sheetViews>
  <sheetFormatPr baseColWidth="10" defaultColWidth="11.5" defaultRowHeight="15"/>
  <cols>
    <col min="4" max="4" width="15.5" customWidth="1"/>
    <col min="5" max="5" width="11.33203125" customWidth="1"/>
    <col min="7" max="7" width="13" customWidth="1"/>
    <col min="10" max="10" width="13.33203125" customWidth="1"/>
    <col min="11" max="11" width="14.83203125" customWidth="1"/>
    <col min="12" max="12" width="11.6640625" customWidth="1"/>
    <col min="13" max="13" width="13.6640625" customWidth="1"/>
    <col min="14" max="14" width="12.5" customWidth="1"/>
    <col min="15" max="15" width="12" customWidth="1"/>
    <col min="16" max="16" width="16.6640625" customWidth="1"/>
    <col min="17" max="17" width="12.33203125" customWidth="1"/>
    <col min="18" max="18" width="15.5" customWidth="1"/>
    <col min="19" max="19" width="13" customWidth="1"/>
    <col min="20" max="20" width="16.83203125" customWidth="1"/>
    <col min="21" max="21" width="13" customWidth="1"/>
    <col min="24" max="24" width="11.83203125" customWidth="1"/>
    <col min="25" max="26" width="13" customWidth="1"/>
    <col min="28" max="28" width="17.33203125" customWidth="1"/>
  </cols>
  <sheetData>
    <row r="1" spans="1:43" ht="16" customHeight="1">
      <c r="A1" s="427"/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7"/>
      <c r="AK1" s="427"/>
      <c r="AL1" s="427"/>
      <c r="AM1" s="427"/>
      <c r="AN1" s="427"/>
      <c r="AO1" s="427"/>
      <c r="AP1" s="427"/>
      <c r="AQ1" s="427"/>
    </row>
    <row r="2" spans="1:43" ht="16" customHeight="1">
      <c r="A2" s="427"/>
      <c r="B2" s="427"/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  <c r="AD2" s="427"/>
      <c r="AE2" s="427"/>
      <c r="AF2" s="427"/>
      <c r="AG2" s="427"/>
      <c r="AH2" s="427"/>
      <c r="AI2" s="427"/>
      <c r="AJ2" s="427"/>
      <c r="AK2" s="427"/>
      <c r="AL2" s="427"/>
      <c r="AM2" s="427"/>
      <c r="AN2" s="427"/>
      <c r="AO2" s="427"/>
      <c r="AP2" s="427"/>
      <c r="AQ2" s="427"/>
    </row>
    <row r="3" spans="1:43" ht="16" customHeight="1">
      <c r="A3" s="427"/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7"/>
      <c r="T3" s="427"/>
      <c r="U3" s="427"/>
      <c r="V3" s="427"/>
      <c r="W3" s="427"/>
      <c r="X3" s="427"/>
      <c r="Y3" s="427"/>
      <c r="Z3" s="427"/>
      <c r="AA3" s="427"/>
      <c r="AB3" s="427"/>
      <c r="AC3" s="427"/>
      <c r="AD3" s="427"/>
      <c r="AE3" s="427"/>
      <c r="AF3" s="427"/>
      <c r="AG3" s="427"/>
      <c r="AH3" s="427"/>
      <c r="AI3" s="427"/>
      <c r="AJ3" s="427"/>
      <c r="AK3" s="427"/>
      <c r="AL3" s="427"/>
      <c r="AM3" s="427"/>
      <c r="AN3" s="427"/>
      <c r="AO3" s="427"/>
      <c r="AP3" s="427"/>
      <c r="AQ3" s="427"/>
    </row>
    <row r="4" spans="1:43" ht="16" customHeight="1">
      <c r="A4" s="427"/>
      <c r="B4" s="427"/>
      <c r="C4" s="427"/>
      <c r="D4" s="427"/>
      <c r="E4" s="427"/>
      <c r="F4" s="427"/>
      <c r="G4" s="427"/>
      <c r="H4" s="427"/>
      <c r="I4" s="427"/>
      <c r="J4" s="427"/>
      <c r="K4" s="428">
        <v>2025</v>
      </c>
      <c r="L4" s="427"/>
      <c r="M4" s="428">
        <v>2026</v>
      </c>
      <c r="N4" s="427"/>
      <c r="O4" s="427"/>
      <c r="P4" s="427"/>
      <c r="Q4" s="427"/>
      <c r="R4" s="427"/>
      <c r="S4" s="427"/>
      <c r="T4" s="427"/>
      <c r="U4" s="427"/>
      <c r="V4" s="427"/>
      <c r="W4" s="427"/>
      <c r="X4" s="427"/>
      <c r="Y4" s="427"/>
      <c r="Z4" s="427"/>
      <c r="AA4" s="427"/>
      <c r="AB4" s="427"/>
      <c r="AC4" s="427"/>
      <c r="AD4" s="427"/>
      <c r="AE4" s="427"/>
      <c r="AF4" s="427"/>
      <c r="AG4" s="427"/>
      <c r="AH4" s="427"/>
      <c r="AI4" s="427"/>
      <c r="AJ4" s="427"/>
      <c r="AK4" s="427"/>
      <c r="AL4" s="427"/>
      <c r="AM4" s="427"/>
      <c r="AN4" s="427"/>
      <c r="AO4" s="427"/>
      <c r="AP4" s="427"/>
      <c r="AQ4" s="427"/>
    </row>
    <row r="5" spans="1:43" ht="16" customHeight="1">
      <c r="A5" s="427"/>
      <c r="B5" s="427"/>
      <c r="C5" s="427"/>
      <c r="D5" s="427"/>
      <c r="E5" s="427"/>
      <c r="F5" s="427"/>
      <c r="G5" s="427"/>
      <c r="H5" s="427"/>
      <c r="I5" s="427"/>
      <c r="J5" s="427"/>
      <c r="K5" s="428" t="s">
        <v>413</v>
      </c>
      <c r="L5" s="427"/>
      <c r="M5" s="427"/>
      <c r="N5" s="427"/>
      <c r="O5" s="427"/>
      <c r="P5" s="427"/>
      <c r="Q5" s="427"/>
      <c r="R5" s="427"/>
      <c r="S5" s="427"/>
      <c r="T5" s="427"/>
      <c r="U5" s="427"/>
      <c r="V5" s="427"/>
      <c r="W5" s="427"/>
      <c r="X5" s="427"/>
      <c r="Y5" s="427"/>
      <c r="Z5" s="427"/>
      <c r="AA5" s="427"/>
      <c r="AB5" s="427"/>
      <c r="AC5" s="427"/>
      <c r="AD5" s="427"/>
      <c r="AE5" s="427"/>
      <c r="AF5" s="427"/>
      <c r="AG5" s="427"/>
      <c r="AH5" s="427"/>
      <c r="AI5" s="427"/>
      <c r="AJ5" s="427"/>
      <c r="AK5" s="427"/>
      <c r="AL5" s="427"/>
      <c r="AM5" s="427"/>
      <c r="AN5" s="427"/>
      <c r="AO5" s="427"/>
      <c r="AP5" s="427"/>
      <c r="AQ5" s="427"/>
    </row>
    <row r="6" spans="1:43" ht="16" customHeight="1">
      <c r="A6" s="427"/>
      <c r="B6" s="427"/>
      <c r="C6" s="427"/>
      <c r="D6" s="427"/>
      <c r="E6" s="427"/>
      <c r="F6" s="427"/>
      <c r="G6" s="427"/>
      <c r="H6" s="427"/>
      <c r="I6" s="427"/>
      <c r="J6" s="427"/>
      <c r="K6" s="427"/>
      <c r="L6" s="427"/>
      <c r="M6" s="427"/>
      <c r="N6" s="427"/>
      <c r="O6" s="427"/>
      <c r="P6" s="427"/>
      <c r="Q6" s="427"/>
      <c r="R6" s="427"/>
      <c r="S6" s="427"/>
      <c r="T6" s="427"/>
      <c r="U6" s="427"/>
      <c r="V6" s="427"/>
      <c r="W6" s="427"/>
      <c r="X6" s="427"/>
      <c r="Y6" s="427"/>
      <c r="Z6" s="427"/>
      <c r="AA6" s="427"/>
      <c r="AB6" s="427"/>
      <c r="AC6" s="427"/>
      <c r="AD6" s="427"/>
      <c r="AE6" s="427"/>
      <c r="AF6" s="427"/>
      <c r="AG6" s="427"/>
      <c r="AH6" s="427"/>
      <c r="AI6" s="427"/>
      <c r="AJ6" s="427"/>
      <c r="AK6" s="427"/>
      <c r="AL6" s="427"/>
      <c r="AM6" s="427"/>
      <c r="AN6" s="427"/>
      <c r="AO6" s="427"/>
      <c r="AP6" s="427"/>
      <c r="AQ6" s="427"/>
    </row>
    <row r="7" spans="1:43" ht="16" customHeight="1">
      <c r="A7" s="427"/>
      <c r="B7" s="427"/>
      <c r="C7" s="427"/>
      <c r="D7" s="427"/>
      <c r="E7" s="427"/>
      <c r="F7" s="427"/>
      <c r="G7" s="427"/>
      <c r="H7" s="427"/>
      <c r="I7" s="427"/>
      <c r="J7" s="427"/>
      <c r="K7" s="428" t="s">
        <v>414</v>
      </c>
      <c r="L7" s="427"/>
      <c r="M7" s="428" t="s">
        <v>415</v>
      </c>
      <c r="N7" s="427"/>
      <c r="O7" s="427"/>
      <c r="P7" s="427"/>
      <c r="Q7" s="427"/>
      <c r="R7" s="427"/>
      <c r="S7" s="427"/>
      <c r="T7" s="427"/>
      <c r="U7" s="427"/>
      <c r="V7" s="427"/>
      <c r="W7" s="427"/>
      <c r="X7" s="427"/>
      <c r="Y7" s="427"/>
      <c r="Z7" s="427"/>
      <c r="AA7" s="427"/>
      <c r="AB7" s="427"/>
      <c r="AC7" s="427"/>
      <c r="AD7" s="427"/>
      <c r="AE7" s="427"/>
      <c r="AF7" s="427"/>
      <c r="AG7" s="427"/>
      <c r="AH7" s="427"/>
      <c r="AI7" s="427"/>
      <c r="AJ7" s="427"/>
      <c r="AK7" s="427"/>
      <c r="AL7" s="427"/>
      <c r="AM7" s="427"/>
      <c r="AN7" s="427"/>
      <c r="AO7" s="427"/>
      <c r="AP7" s="427"/>
      <c r="AQ7" s="427"/>
    </row>
    <row r="8" spans="1:43" ht="16" customHeight="1">
      <c r="A8" s="427"/>
      <c r="B8" s="427"/>
      <c r="C8" s="427"/>
      <c r="D8" s="427"/>
      <c r="E8" s="427"/>
      <c r="F8" s="427"/>
      <c r="G8" s="427"/>
      <c r="H8" s="427"/>
      <c r="I8" s="428" t="s">
        <v>416</v>
      </c>
      <c r="J8" s="427"/>
      <c r="K8" s="428" t="s">
        <v>417</v>
      </c>
      <c r="L8" s="427"/>
      <c r="M8" s="428" t="s">
        <v>418</v>
      </c>
      <c r="N8" s="427"/>
      <c r="O8" s="427"/>
      <c r="P8" s="427"/>
      <c r="Q8" s="427"/>
      <c r="R8" s="427"/>
      <c r="S8" s="427"/>
      <c r="T8" s="427"/>
      <c r="U8" s="427"/>
      <c r="V8" s="427"/>
      <c r="W8" s="427"/>
      <c r="X8" s="427"/>
      <c r="Y8" s="427"/>
      <c r="Z8" s="427"/>
      <c r="AA8" s="427"/>
      <c r="AB8" s="427"/>
      <c r="AC8" s="427"/>
      <c r="AD8" s="427"/>
      <c r="AE8" s="427"/>
      <c r="AF8" s="427"/>
      <c r="AG8" s="427"/>
      <c r="AH8" s="427"/>
      <c r="AI8" s="427"/>
      <c r="AJ8" s="427"/>
      <c r="AK8" s="427"/>
      <c r="AL8" s="427"/>
      <c r="AM8" s="427"/>
      <c r="AN8" s="427"/>
      <c r="AO8" s="427"/>
      <c r="AP8" s="427"/>
      <c r="AQ8" s="427"/>
    </row>
    <row r="9" spans="1:43" ht="16" customHeight="1">
      <c r="A9" s="427"/>
      <c r="B9" s="427"/>
      <c r="C9" s="427"/>
      <c r="D9" s="427"/>
      <c r="E9" s="427"/>
      <c r="F9" s="427"/>
      <c r="G9" s="427"/>
      <c r="H9" s="427"/>
      <c r="I9" s="427"/>
      <c r="J9" s="427"/>
      <c r="K9" s="428" t="s">
        <v>419</v>
      </c>
      <c r="L9" s="427"/>
      <c r="M9" s="428" t="s">
        <v>420</v>
      </c>
      <c r="N9" s="427"/>
      <c r="O9" s="427"/>
      <c r="P9" s="427"/>
      <c r="Q9" s="427"/>
      <c r="R9" s="427"/>
      <c r="S9" s="427"/>
      <c r="T9" s="427"/>
      <c r="U9" s="427"/>
      <c r="V9" s="427"/>
      <c r="W9" s="427"/>
      <c r="X9" s="427"/>
      <c r="Y9" s="427"/>
      <c r="Z9" s="427"/>
      <c r="AA9" s="427"/>
      <c r="AB9" s="427"/>
      <c r="AC9" s="427"/>
      <c r="AD9" s="427"/>
      <c r="AE9" s="427"/>
      <c r="AF9" s="427"/>
      <c r="AG9" s="427"/>
      <c r="AH9" s="427"/>
      <c r="AI9" s="427"/>
      <c r="AJ9" s="427"/>
      <c r="AK9" s="427"/>
      <c r="AL9" s="427"/>
      <c r="AM9" s="427"/>
      <c r="AN9" s="427"/>
      <c r="AO9" s="427"/>
      <c r="AP9" s="427"/>
      <c r="AQ9" s="427"/>
    </row>
    <row r="10" spans="1:43" ht="16" customHeight="1">
      <c r="A10" s="427"/>
      <c r="B10" s="427"/>
      <c r="C10" s="427"/>
      <c r="D10" s="427"/>
      <c r="E10" s="427"/>
      <c r="F10" s="427"/>
      <c r="G10" s="427"/>
      <c r="H10" s="427"/>
      <c r="I10" s="427"/>
      <c r="J10" s="427"/>
      <c r="K10" s="428" t="s">
        <v>421</v>
      </c>
      <c r="L10" s="427"/>
      <c r="M10" s="427"/>
      <c r="N10" s="427"/>
      <c r="O10" s="427"/>
      <c r="P10" s="427"/>
      <c r="Q10" s="427"/>
      <c r="R10" s="427"/>
      <c r="S10" s="427"/>
      <c r="T10" s="427"/>
      <c r="U10" s="427"/>
      <c r="V10" s="427"/>
      <c r="W10" s="427"/>
      <c r="X10" s="427"/>
      <c r="Y10" s="427"/>
      <c r="Z10" s="427"/>
      <c r="AA10" s="427"/>
      <c r="AB10" s="427"/>
      <c r="AC10" s="427"/>
      <c r="AD10" s="427"/>
      <c r="AE10" s="427"/>
      <c r="AF10" s="427"/>
      <c r="AG10" s="427"/>
      <c r="AH10" s="427"/>
      <c r="AI10" s="427"/>
      <c r="AJ10" s="427"/>
      <c r="AK10" s="427"/>
      <c r="AL10" s="427"/>
      <c r="AM10" s="427"/>
      <c r="AN10" s="427"/>
      <c r="AO10" s="427"/>
      <c r="AP10" s="427"/>
      <c r="AQ10" s="427"/>
    </row>
    <row r="11" spans="1:43" ht="16" customHeight="1">
      <c r="A11" s="427"/>
      <c r="B11" s="427"/>
      <c r="C11" s="427"/>
      <c r="D11" s="427"/>
      <c r="E11" s="427"/>
      <c r="F11" s="427"/>
      <c r="G11" s="427"/>
      <c r="H11" s="427"/>
      <c r="I11" s="427"/>
      <c r="J11" s="427"/>
      <c r="K11" s="428" t="s">
        <v>422</v>
      </c>
      <c r="L11" s="427"/>
      <c r="M11" s="427"/>
      <c r="N11" s="427"/>
      <c r="O11" s="427"/>
      <c r="P11" s="427"/>
      <c r="Q11" s="427"/>
      <c r="R11" s="427"/>
      <c r="S11" s="929">
        <v>-27177.279345454546</v>
      </c>
      <c r="T11" s="427"/>
      <c r="U11" s="427"/>
      <c r="V11" s="427"/>
      <c r="W11" s="427"/>
      <c r="X11" s="427"/>
      <c r="Y11" s="427"/>
      <c r="Z11" s="427"/>
      <c r="AA11" s="427"/>
      <c r="AB11" s="427"/>
      <c r="AC11" s="427"/>
      <c r="AD11" s="427"/>
      <c r="AE11" s="427"/>
      <c r="AF11" s="427"/>
      <c r="AG11" s="427"/>
      <c r="AH11" s="427"/>
      <c r="AI11" s="427"/>
      <c r="AJ11" s="427"/>
      <c r="AK11" s="427"/>
      <c r="AL11" s="427"/>
      <c r="AM11" s="427"/>
      <c r="AN11" s="427"/>
      <c r="AO11" s="427"/>
      <c r="AP11" s="427"/>
      <c r="AQ11" s="427"/>
    </row>
    <row r="12" spans="1:43" ht="16" customHeight="1">
      <c r="A12" s="427"/>
      <c r="B12" s="427"/>
      <c r="C12" s="427"/>
      <c r="D12" s="427"/>
      <c r="E12" s="427"/>
      <c r="F12" s="427"/>
      <c r="G12" s="427"/>
      <c r="H12" s="427"/>
      <c r="I12" s="427"/>
      <c r="J12" s="427"/>
      <c r="K12" s="427"/>
      <c r="L12" s="427"/>
      <c r="M12" s="427"/>
      <c r="N12" s="427"/>
      <c r="O12" s="427"/>
      <c r="P12" s="427"/>
      <c r="Q12" s="427"/>
      <c r="R12" s="427"/>
      <c r="S12" s="929"/>
      <c r="T12" s="427"/>
      <c r="U12" s="427"/>
      <c r="V12" s="427"/>
      <c r="W12" s="427"/>
      <c r="X12" s="427"/>
      <c r="Y12" s="427"/>
      <c r="Z12" s="427"/>
      <c r="AA12" s="427"/>
      <c r="AB12" s="427"/>
      <c r="AC12" s="427"/>
      <c r="AD12" s="427"/>
      <c r="AE12" s="427"/>
      <c r="AF12" s="427"/>
      <c r="AG12" s="427"/>
      <c r="AH12" s="427"/>
      <c r="AI12" s="427"/>
      <c r="AJ12" s="427"/>
      <c r="AK12" s="427"/>
      <c r="AL12" s="427"/>
      <c r="AM12" s="427"/>
      <c r="AN12" s="427"/>
      <c r="AO12" s="427"/>
      <c r="AP12" s="427"/>
      <c r="AQ12" s="427"/>
    </row>
    <row r="13" spans="1:43" ht="16" customHeight="1">
      <c r="A13" s="427"/>
      <c r="B13" s="427"/>
      <c r="C13" s="427"/>
      <c r="D13" s="427"/>
      <c r="E13" s="427"/>
      <c r="F13" s="427"/>
      <c r="G13" s="427"/>
      <c r="H13" s="427"/>
      <c r="I13" s="427"/>
      <c r="J13" s="427"/>
      <c r="K13" s="427"/>
      <c r="L13" s="427"/>
      <c r="M13" s="427"/>
      <c r="N13" s="427"/>
      <c r="O13" s="427"/>
      <c r="P13" s="427"/>
      <c r="Q13" s="427"/>
      <c r="R13" s="427"/>
      <c r="S13" s="427"/>
      <c r="T13" s="427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O13" s="427"/>
      <c r="AP13" s="427"/>
      <c r="AQ13" s="427"/>
    </row>
    <row r="14" spans="1:43" ht="16" customHeight="1">
      <c r="A14" s="427"/>
      <c r="B14" s="427"/>
      <c r="C14" s="427"/>
      <c r="D14" s="430"/>
      <c r="E14" s="430"/>
      <c r="F14" s="430"/>
      <c r="G14" s="430"/>
      <c r="H14" s="430"/>
      <c r="I14" s="430"/>
      <c r="J14" s="427"/>
      <c r="K14" s="427"/>
      <c r="L14" s="427">
        <v>30243.024799999999</v>
      </c>
      <c r="M14" s="427"/>
      <c r="N14" s="427"/>
      <c r="O14" s="427"/>
      <c r="P14" s="427"/>
      <c r="Q14" s="427"/>
      <c r="R14" s="427"/>
      <c r="S14" s="427"/>
      <c r="T14" s="427"/>
      <c r="U14" s="427"/>
      <c r="V14" s="427"/>
      <c r="W14" s="427"/>
      <c r="X14" s="427"/>
      <c r="Y14" s="427"/>
      <c r="Z14" s="427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</row>
    <row r="15" spans="1:43" ht="16" customHeight="1">
      <c r="A15" s="427"/>
      <c r="B15" s="427"/>
      <c r="C15" s="427"/>
      <c r="D15" s="430"/>
      <c r="E15" s="430"/>
      <c r="F15" s="430"/>
      <c r="G15" s="430"/>
      <c r="H15" s="430"/>
      <c r="I15" s="430"/>
      <c r="J15" s="427"/>
      <c r="K15" s="427"/>
      <c r="L15" s="427"/>
      <c r="M15" s="427"/>
      <c r="N15" s="427"/>
      <c r="O15" s="427"/>
      <c r="P15" s="427"/>
      <c r="Q15" s="427"/>
      <c r="R15" s="427"/>
      <c r="S15" s="427"/>
      <c r="T15" s="427"/>
      <c r="U15" s="427"/>
      <c r="V15" s="427"/>
      <c r="W15" s="427"/>
      <c r="X15" s="427"/>
      <c r="Y15" s="427"/>
      <c r="Z15" s="427"/>
      <c r="AA15" s="427"/>
      <c r="AB15" s="427"/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27"/>
      <c r="AP15" s="427"/>
      <c r="AQ15" s="427"/>
    </row>
    <row r="16" spans="1:43" ht="16" customHeight="1">
      <c r="A16" s="427"/>
      <c r="B16" s="427"/>
      <c r="C16" s="427"/>
      <c r="D16" s="430"/>
      <c r="E16" s="430"/>
      <c r="F16" s="430"/>
      <c r="G16" s="430"/>
      <c r="H16" s="430"/>
      <c r="I16" s="430"/>
      <c r="J16" s="430"/>
      <c r="K16" s="430"/>
      <c r="L16" s="430"/>
      <c r="M16" s="430"/>
      <c r="N16" s="427"/>
      <c r="O16" s="427"/>
      <c r="P16" s="427"/>
      <c r="Q16" s="427"/>
      <c r="R16" s="427"/>
      <c r="S16" s="427"/>
      <c r="T16" s="427"/>
      <c r="U16" s="427"/>
      <c r="V16" s="427"/>
      <c r="W16" s="427"/>
      <c r="X16" s="427"/>
      <c r="Y16" s="427"/>
      <c r="Z16" s="427"/>
      <c r="AA16" s="427"/>
      <c r="AB16" s="427"/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27"/>
      <c r="AP16" s="427"/>
      <c r="AQ16" s="427"/>
    </row>
    <row r="17" spans="1:43" ht="16" customHeight="1">
      <c r="A17" s="427"/>
      <c r="B17" s="427"/>
      <c r="C17" s="427"/>
      <c r="D17" s="430"/>
      <c r="E17" s="430"/>
      <c r="F17" s="430"/>
      <c r="G17" s="428" t="s">
        <v>423</v>
      </c>
      <c r="H17" s="431">
        <v>0.03</v>
      </c>
      <c r="I17" s="430"/>
      <c r="J17" s="432" t="s">
        <v>66</v>
      </c>
      <c r="K17" s="432" t="s">
        <v>424</v>
      </c>
      <c r="L17" s="432" t="s">
        <v>425</v>
      </c>
      <c r="M17" s="432" t="s">
        <v>426</v>
      </c>
      <c r="N17" s="432" t="s">
        <v>427</v>
      </c>
      <c r="O17" s="432" t="s">
        <v>428</v>
      </c>
      <c r="P17" s="432" t="s">
        <v>429</v>
      </c>
      <c r="Q17" s="432" t="s">
        <v>430</v>
      </c>
      <c r="R17" s="432" t="s">
        <v>431</v>
      </c>
      <c r="S17" s="432" t="s">
        <v>432</v>
      </c>
      <c r="T17" s="432" t="s">
        <v>433</v>
      </c>
      <c r="U17" s="427"/>
      <c r="V17" s="427"/>
      <c r="W17" s="427"/>
      <c r="X17" s="427"/>
      <c r="Y17" s="427"/>
      <c r="Z17" s="427"/>
      <c r="AA17" s="427"/>
      <c r="AB17" s="427"/>
      <c r="AC17" s="427"/>
      <c r="AD17" s="427"/>
      <c r="AE17" s="427"/>
      <c r="AF17" s="427"/>
      <c r="AG17" s="427"/>
      <c r="AH17" s="427"/>
      <c r="AI17" s="427"/>
      <c r="AJ17" s="427"/>
      <c r="AK17" s="427"/>
      <c r="AL17" s="427"/>
      <c r="AM17" s="427"/>
      <c r="AN17" s="427"/>
      <c r="AO17" s="427"/>
      <c r="AP17" s="427"/>
      <c r="AQ17" s="427"/>
    </row>
    <row r="18" spans="1:43" ht="16" customHeight="1">
      <c r="A18" s="427"/>
      <c r="B18" s="427"/>
      <c r="C18" s="427"/>
      <c r="D18" s="430"/>
      <c r="E18" s="430"/>
      <c r="F18" s="430"/>
      <c r="G18" s="430" t="s">
        <v>434</v>
      </c>
      <c r="H18" s="433">
        <v>0.1</v>
      </c>
      <c r="I18" s="430"/>
      <c r="J18" s="428" t="s">
        <v>78</v>
      </c>
      <c r="K18" s="429">
        <v>22382.26</v>
      </c>
      <c r="L18" s="429">
        <f t="shared" ref="L18:L29" si="0">K18*H$17+K18</f>
        <v>23053.727799999997</v>
      </c>
      <c r="M18" s="429">
        <f>SUMIFS($P:$P,$D:$D,"&gt;="&amp;DATE(2026,MATCH(LOWER(J18),{"enero","febrero","marzo","abril","mayo","junio","julio","agosto","septiembre","octubre","noviembre","diciembre"},0),1),$D:$D,"&lt;"&amp;DATE(2026,MATCH(LOWER(J18),{"enero","febrero","marzo","abril","mayo","junio","julio","agosto","septiembre","octubre","noviembre","diciembre"},0)+1,1))</f>
        <v>25876.454545454551</v>
      </c>
      <c r="N18" s="431">
        <f t="shared" ref="N18:N29" si="1">-1+M18/K18</f>
        <v>0.15611446500284387</v>
      </c>
      <c r="O18" s="429">
        <f>L18-K18</f>
        <v>671.46779999999853</v>
      </c>
      <c r="P18" s="428">
        <v>23</v>
      </c>
      <c r="Q18" s="429">
        <f t="shared" ref="Q18:Q29" si="2">O18/P18</f>
        <v>29.194252173912979</v>
      </c>
      <c r="R18" s="429">
        <f t="shared" ref="R18:R29" si="3">M18-L18</f>
        <v>2822.7267454545545</v>
      </c>
      <c r="S18" s="429">
        <f>Tabla14[[#This Row],[Hasta objetivo]]*H$18</f>
        <v>282.27267454545546</v>
      </c>
      <c r="T18" s="429">
        <f>SUMIFS($F:$F,$D:$D,"&gt;="&amp;DATE(2026,MATCH(LOWER(J18),{"enero","febrero","marzo","abril","mayo","junio","julio","agosto","septiembre","octubre","noviembre","diciembre"},0),1),$D:$D,"&lt;"&amp;DATE(2026,MATCH(LOWER(J18),{"enero","febrero","marzo","abril","mayo","junio","julio","agosto","septiembre","octubre","noviembre","diciembre"},0)+1,1))</f>
        <v>3138.9999999999991</v>
      </c>
      <c r="U18" s="427"/>
      <c r="V18" s="427"/>
      <c r="W18" s="427"/>
      <c r="X18" s="427"/>
      <c r="Y18" s="427"/>
      <c r="Z18" s="427"/>
      <c r="AA18" s="427"/>
      <c r="AB18" s="427"/>
      <c r="AC18" s="427"/>
      <c r="AD18" s="427"/>
      <c r="AE18" s="427"/>
      <c r="AF18" s="427"/>
      <c r="AG18" s="427"/>
      <c r="AH18" s="427"/>
      <c r="AI18" s="427"/>
      <c r="AJ18" s="427"/>
      <c r="AK18" s="427"/>
      <c r="AL18" s="427"/>
      <c r="AM18" s="427"/>
      <c r="AN18" s="427"/>
      <c r="AO18" s="427"/>
      <c r="AP18" s="427"/>
      <c r="AQ18" s="427"/>
    </row>
    <row r="19" spans="1:43" ht="16" customHeight="1">
      <c r="A19" s="427"/>
      <c r="B19" s="427"/>
      <c r="C19" s="427"/>
      <c r="D19" s="430"/>
      <c r="E19" s="430"/>
      <c r="F19" s="430"/>
      <c r="G19" s="430"/>
      <c r="H19" s="430"/>
      <c r="I19" s="427"/>
      <c r="J19" s="428" t="s">
        <v>80</v>
      </c>
      <c r="K19" s="429">
        <v>22499.24</v>
      </c>
      <c r="L19" s="429">
        <f t="shared" si="0"/>
        <v>23174.217200000003</v>
      </c>
      <c r="M19" s="429">
        <f>SUMIFS($P:$P,$D:$D,"&gt;="&amp;DATE(2026,MATCH(LOWER(J19),{"enero","febrero","marzo","abril","mayo","junio","julio","agosto","septiembre","octubre","noviembre","diciembre"},0),1),$D:$D,"&lt;"&amp;DATE(2026,MATCH(LOWER(J19),{"enero","febrero","marzo","abril","mayo","junio","julio","agosto","septiembre","octubre","noviembre","diciembre"},0)+1,1))</f>
        <v>26984.915454545462</v>
      </c>
      <c r="N19" s="431">
        <f t="shared" si="1"/>
        <v>0.19937008781387555</v>
      </c>
      <c r="O19" s="429">
        <v>674.98</v>
      </c>
      <c r="P19" s="428">
        <v>16</v>
      </c>
      <c r="Q19" s="429">
        <f t="shared" si="2"/>
        <v>42.186250000000001</v>
      </c>
      <c r="R19" s="429">
        <f t="shared" si="3"/>
        <v>3810.6982545454593</v>
      </c>
      <c r="S19" s="429">
        <f>Tabla14[[#This Row],[Hasta objetivo]]*H$18</f>
        <v>381.06982545454593</v>
      </c>
      <c r="T19" s="429">
        <f>SUMIFS($F:$F,$D:$D,"&gt;="&amp;DATE(2026,MATCH(LOWER(J19),{"enero","febrero","marzo","abril","mayo","junio","julio","agosto","septiembre","octubre","noviembre","diciembre"},0),1),$D:$D,"&lt;"&amp;DATE(2026,MATCH(LOWER(J19),{"enero","febrero","marzo","abril","mayo","junio","julio","agosto","septiembre","octubre","noviembre","diciembre"},0)+1,1))</f>
        <v>4526.17</v>
      </c>
      <c r="U19" s="427"/>
      <c r="V19" s="427"/>
      <c r="W19" s="427"/>
      <c r="X19" s="427"/>
      <c r="Y19" s="427"/>
      <c r="Z19" s="427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</row>
    <row r="20" spans="1:43" ht="16" customHeight="1">
      <c r="A20" s="427"/>
      <c r="B20" s="427"/>
      <c r="C20" s="427"/>
      <c r="D20" s="430"/>
      <c r="E20" s="430" t="s">
        <v>435</v>
      </c>
      <c r="F20" s="430"/>
      <c r="G20" s="434">
        <f>[1]Hoja10!$G$22</f>
        <v>5530.1213156408921</v>
      </c>
      <c r="H20" s="430"/>
      <c r="I20" s="430"/>
      <c r="J20" s="428" t="s">
        <v>81</v>
      </c>
      <c r="K20" s="429">
        <v>21443.45</v>
      </c>
      <c r="L20" s="429">
        <f t="shared" si="0"/>
        <v>22086.753499999999</v>
      </c>
      <c r="M20" s="429">
        <f>SUMIFS($P:$P,$D:$D,"&gt;="&amp;DATE(2026,MATCH(LOWER(J20),{"enero","febrero","marzo","abril","mayo","junio","julio","agosto","septiembre","octubre","noviembre","diciembre"},0),1),$D:$D,"&lt;"&amp;DATE(2026,MATCH(LOWER(J20),{"enero","febrero","marzo","abril","mayo","junio","julio","agosto","septiembre","octubre","noviembre","diciembre"},0)+1,1))</f>
        <v>19903.077272727274</v>
      </c>
      <c r="N20" s="431">
        <f t="shared" si="1"/>
        <v>-7.183418373781858E-2</v>
      </c>
      <c r="O20" s="429">
        <v>643.29999999999995</v>
      </c>
      <c r="P20" s="428">
        <v>15</v>
      </c>
      <c r="Q20" s="429">
        <f t="shared" si="2"/>
        <v>42.886666666666663</v>
      </c>
      <c r="R20" s="429">
        <f t="shared" si="3"/>
        <v>-2183.6762272727246</v>
      </c>
      <c r="S20" s="429">
        <f>Tabla14[[#This Row],[Hasta objetivo]]*H$18</f>
        <v>-218.36762272727248</v>
      </c>
      <c r="T20" s="429">
        <f>SUMIFS($F:$F,$D:$D,"&gt;="&amp;DATE(2026,MATCH(LOWER(J20),{"enero","febrero","marzo","abril","mayo","junio","julio","agosto","septiembre","octubre","noviembre","diciembre"},0),1),$D:$D,"&lt;"&amp;DATE(2026,MATCH(LOWER(J20),{"enero","febrero","marzo","abril","mayo","junio","julio","agosto","septiembre","octubre","noviembre","diciembre"},0)+1,1))</f>
        <v>3494.85</v>
      </c>
      <c r="U20" s="427"/>
      <c r="V20" s="427"/>
      <c r="W20" s="427"/>
      <c r="X20" s="427"/>
      <c r="Y20" s="427"/>
      <c r="Z20" s="427"/>
      <c r="AA20" s="427"/>
      <c r="AB20" s="427"/>
      <c r="AC20" s="427"/>
      <c r="AD20" s="427"/>
      <c r="AE20" s="427"/>
      <c r="AF20" s="427"/>
      <c r="AG20" s="427"/>
      <c r="AH20" s="427"/>
      <c r="AI20" s="427"/>
      <c r="AJ20" s="427"/>
      <c r="AK20" s="427"/>
      <c r="AL20" s="427"/>
      <c r="AM20" s="427"/>
      <c r="AN20" s="427"/>
      <c r="AO20" s="427"/>
      <c r="AP20" s="427"/>
      <c r="AQ20" s="427"/>
    </row>
    <row r="21" spans="1:43" ht="16" customHeight="1">
      <c r="A21" s="427"/>
      <c r="B21" s="427"/>
      <c r="C21" s="427"/>
      <c r="D21" s="430"/>
      <c r="E21" s="435" t="s">
        <v>436</v>
      </c>
      <c r="F21" s="430"/>
      <c r="G21" s="1122">
        <f>SUM(Tabla15[Ingreso])</f>
        <v>13048.680000000002</v>
      </c>
      <c r="H21" s="430"/>
      <c r="I21" s="430"/>
      <c r="J21" s="428" t="s">
        <v>82</v>
      </c>
      <c r="K21" s="429">
        <v>31530.01</v>
      </c>
      <c r="L21" s="429">
        <f t="shared" si="0"/>
        <v>32475.9103</v>
      </c>
      <c r="M21" s="429">
        <f>SUMIFS($P:$P,$D:$D,"&gt;="&amp;DATE(2026,MATCH(LOWER(J21),{"enero","febrero","marzo","abril","mayo","junio","julio","agosto","septiembre","octubre","noviembre","diciembre"},0),1),$D:$D,"&lt;"&amp;DATE(2026,MATCH(LOWER(J21),{"enero","febrero","marzo","abril","mayo","junio","julio","agosto","septiembre","octubre","noviembre","diciembre"},0)+1,1))</f>
        <v>30141.918181818182</v>
      </c>
      <c r="N21" s="431">
        <f t="shared" si="1"/>
        <v>-4.4024464888587578E-2</v>
      </c>
      <c r="O21" s="429">
        <v>945.9</v>
      </c>
      <c r="P21" s="428">
        <v>22</v>
      </c>
      <c r="Q21" s="429">
        <f t="shared" si="2"/>
        <v>42.995454545454542</v>
      </c>
      <c r="R21" s="429">
        <f t="shared" si="3"/>
        <v>-2333.9921181818172</v>
      </c>
      <c r="S21" s="429">
        <f>Tabla14[[#This Row],[Hasta objetivo]]*H$18</f>
        <v>-233.39921181818173</v>
      </c>
      <c r="T21" s="429">
        <f>SUMIFS($F:$F,$D:$D,"&gt;="&amp;DATE(2026,MATCH(LOWER(J21),{"enero","febrero","marzo","abril","mayo","junio","julio","agosto","septiembre","octubre","noviembre","diciembre"},0),1),$D:$D,"&lt;"&amp;DATE(2026,MATCH(LOWER(J21),{"enero","febrero","marzo","abril","mayo","junio","julio","agosto","septiembre","octubre","noviembre","diciembre"},0)+1,1))</f>
        <v>5390.6</v>
      </c>
      <c r="U21" s="427"/>
      <c r="V21" s="427"/>
      <c r="W21" s="427"/>
      <c r="X21" s="427"/>
      <c r="Y21" s="427"/>
      <c r="Z21" s="427"/>
      <c r="AA21" s="427"/>
      <c r="AB21" s="427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O21" s="427"/>
      <c r="AP21" s="427"/>
      <c r="AQ21" s="427"/>
    </row>
    <row r="22" spans="1:43" ht="16" customHeight="1">
      <c r="A22" s="427"/>
      <c r="B22" s="427"/>
      <c r="C22" s="427"/>
      <c r="D22" s="430"/>
      <c r="E22" s="430" t="s">
        <v>437</v>
      </c>
      <c r="F22" s="430"/>
      <c r="G22" s="1122">
        <v>0</v>
      </c>
      <c r="H22" s="430"/>
      <c r="I22" s="430"/>
      <c r="J22" s="428" t="s">
        <v>84</v>
      </c>
      <c r="K22" s="429">
        <v>29362.16</v>
      </c>
      <c r="L22" s="429">
        <f t="shared" si="0"/>
        <v>30243.024799999999</v>
      </c>
      <c r="M22" s="429">
        <f>SUMIFS($P:$P,$D:$D,"&gt;="&amp;DATE(2026,MATCH(LOWER(J22),{"enero","febrero","marzo","abril","mayo","junio","julio","agosto","septiembre","octubre","noviembre","diciembre"},0),1),$D:$D,"&lt;"&amp;DATE(2026,MATCH(LOWER(J22),{"enero","febrero","marzo","abril","mayo","junio","julio","agosto","septiembre","octubre","noviembre","diciembre"},0)+1,1))</f>
        <v>3065.7454545454539</v>
      </c>
      <c r="N22" s="431">
        <f t="shared" si="1"/>
        <v>-0.89558855838448348</v>
      </c>
      <c r="O22" s="429">
        <v>880.86</v>
      </c>
      <c r="P22" s="428">
        <v>23</v>
      </c>
      <c r="Q22" s="429">
        <f t="shared" si="2"/>
        <v>38.298260869565219</v>
      </c>
      <c r="R22" s="429">
        <f t="shared" si="3"/>
        <v>-27177.279345454546</v>
      </c>
      <c r="S22" s="429">
        <f>Tabla14[[#This Row],[Hasta objetivo]]*H$18</f>
        <v>-2717.7279345454549</v>
      </c>
      <c r="T22" s="429">
        <f>SUMIFS($F:$F,$D:$D,"&gt;="&amp;DATE(2026,MATCH(LOWER(J22),{"enero","febrero","marzo","abril","mayo","junio","julio","agosto","septiembre","octubre","noviembre","diciembre"},0),1),$D:$D,"&lt;"&amp;DATE(2026,MATCH(LOWER(J22),{"enero","febrero","marzo","abril","mayo","junio","julio","agosto","septiembre","octubre","noviembre","diciembre"},0)+1,1))</f>
        <v>77.699999999999989</v>
      </c>
      <c r="U22" s="427"/>
      <c r="V22" s="427"/>
      <c r="W22" s="427"/>
      <c r="X22" s="427"/>
      <c r="Y22" s="427"/>
      <c r="Z22" s="427"/>
      <c r="AA22" s="427"/>
      <c r="AB22" s="427"/>
      <c r="AC22" s="427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  <c r="AO22" s="427"/>
      <c r="AP22" s="427"/>
      <c r="AQ22" s="427"/>
    </row>
    <row r="23" spans="1:43" ht="16" customHeight="1">
      <c r="A23" s="427"/>
      <c r="B23" s="427"/>
      <c r="C23" s="427"/>
      <c r="D23" s="430"/>
      <c r="E23" s="430"/>
      <c r="F23" s="430"/>
      <c r="G23" s="1122">
        <f>G20+G21-G22</f>
        <v>18578.801315640892</v>
      </c>
      <c r="H23" s="430"/>
      <c r="I23" s="430"/>
      <c r="J23" s="428" t="s">
        <v>86</v>
      </c>
      <c r="K23" s="429">
        <v>33832.980000000003</v>
      </c>
      <c r="L23" s="429">
        <f t="shared" si="0"/>
        <v>34847.969400000002</v>
      </c>
      <c r="M23" s="429">
        <f>SUMIFS($P:$P,$D:$D,"&gt;="&amp;DATE(2026,MATCH(LOWER(J23),{"enero","febrero","marzo","abril","mayo","junio","julio","agosto","septiembre","octubre","noviembre","diciembre"},0),1),$D:$D,"&lt;"&amp;DATE(2026,MATCH(LOWER(J23),{"enero","febrero","marzo","abril","mayo","junio","julio","agosto","septiembre","octubre","noviembre","diciembre"},0)+1,1))</f>
        <v>0</v>
      </c>
      <c r="N23" s="431">
        <f t="shared" si="1"/>
        <v>-1</v>
      </c>
      <c r="O23" s="429">
        <v>1014.99</v>
      </c>
      <c r="P23" s="428">
        <v>20</v>
      </c>
      <c r="Q23" s="429">
        <f t="shared" si="2"/>
        <v>50.749499999999998</v>
      </c>
      <c r="R23" s="429">
        <f t="shared" si="3"/>
        <v>-34847.969400000002</v>
      </c>
      <c r="S23" s="429">
        <f>Tabla14[[#This Row],[Hasta objetivo]]*H$18</f>
        <v>-3484.7969400000002</v>
      </c>
      <c r="T23" s="429">
        <f>SUMIFS($F:$F,$D:$D,"&gt;="&amp;DATE(2026,MATCH(LOWER(J23),{"enero","febrero","marzo","abril","mayo","junio","julio","agosto","septiembre","octubre","noviembre","diciembre"},0),1),$D:$D,"&lt;"&amp;DATE(2026,MATCH(LOWER(J23),{"enero","febrero","marzo","abril","mayo","junio","julio","agosto","septiembre","octubre","noviembre","diciembre"},0)+1,1))</f>
        <v>0</v>
      </c>
      <c r="U23" s="427"/>
      <c r="V23" s="427"/>
      <c r="W23" s="427"/>
      <c r="X23" s="427"/>
      <c r="Y23" s="427"/>
      <c r="Z23" s="427"/>
      <c r="AA23" s="427"/>
      <c r="AB23" s="427"/>
      <c r="AC23" s="427"/>
      <c r="AD23" s="427"/>
      <c r="AE23" s="427"/>
      <c r="AF23" s="427"/>
      <c r="AG23" s="427"/>
      <c r="AH23" s="427"/>
      <c r="AI23" s="427"/>
      <c r="AJ23" s="427"/>
      <c r="AK23" s="427"/>
      <c r="AL23" s="427"/>
      <c r="AM23" s="427"/>
      <c r="AN23" s="427"/>
      <c r="AO23" s="427"/>
      <c r="AP23" s="427"/>
      <c r="AQ23" s="427"/>
    </row>
    <row r="24" spans="1:43" ht="16" customHeight="1">
      <c r="A24" s="427"/>
      <c r="B24" s="427"/>
      <c r="C24" s="427"/>
      <c r="D24" s="430"/>
      <c r="E24" s="430"/>
      <c r="F24" s="430"/>
      <c r="G24" s="74"/>
      <c r="H24" s="430"/>
      <c r="I24" s="430"/>
      <c r="J24" s="428" t="s">
        <v>87</v>
      </c>
      <c r="K24" s="429">
        <v>32495.01</v>
      </c>
      <c r="L24" s="429">
        <f t="shared" si="0"/>
        <v>33469.8603</v>
      </c>
      <c r="M24" s="429">
        <f>SUMIFS($P:$P,$D:$D,"&gt;="&amp;DATE(2026,MATCH(LOWER(J24),{"enero","febrero","marzo","abril","mayo","junio","julio","agosto","septiembre","octubre","noviembre","diciembre"},0),1),$D:$D,"&lt;"&amp;DATE(2026,MATCH(LOWER(J24),{"enero","febrero","marzo","abril","mayo","junio","julio","agosto","septiembre","octubre","noviembre","diciembre"},0)+1,1))</f>
        <v>0</v>
      </c>
      <c r="N24" s="431">
        <f t="shared" si="1"/>
        <v>-1</v>
      </c>
      <c r="O24" s="429">
        <v>974.85</v>
      </c>
      <c r="P24" s="428">
        <v>23</v>
      </c>
      <c r="Q24" s="429">
        <f t="shared" si="2"/>
        <v>42.384782608695652</v>
      </c>
      <c r="R24" s="429">
        <f t="shared" si="3"/>
        <v>-33469.8603</v>
      </c>
      <c r="S24" s="429">
        <f>Tabla14[[#This Row],[Hasta objetivo]]*H$18</f>
        <v>-3346.98603</v>
      </c>
      <c r="T24" s="429">
        <f>SUMIFS($F:$F,$D:$D,"&gt;="&amp;DATE(2026,MATCH(LOWER(J24),{"enero","febrero","marzo","abril","mayo","junio","julio","agosto","septiembre","octubre","noviembre","diciembre"},0),1),$D:$D,"&lt;"&amp;DATE(2026,MATCH(LOWER(J24),{"enero","febrero","marzo","abril","mayo","junio","julio","agosto","septiembre","octubre","noviembre","diciembre"},0)+1,1))</f>
        <v>0</v>
      </c>
      <c r="U24" s="427"/>
      <c r="V24" s="427"/>
      <c r="W24" s="427"/>
      <c r="X24" s="427"/>
      <c r="Y24" s="427"/>
      <c r="Z24" s="427"/>
      <c r="AA24" s="427"/>
      <c r="AB24" s="427"/>
      <c r="AC24" s="427"/>
      <c r="AD24" s="427"/>
      <c r="AE24" s="427"/>
      <c r="AF24" s="427"/>
      <c r="AG24" s="427"/>
      <c r="AH24" s="427"/>
      <c r="AI24" s="427"/>
      <c r="AJ24" s="427"/>
      <c r="AK24" s="427"/>
      <c r="AL24" s="427"/>
      <c r="AM24" s="427"/>
      <c r="AN24" s="427"/>
      <c r="AO24" s="427"/>
      <c r="AP24" s="427"/>
      <c r="AQ24" s="427"/>
    </row>
    <row r="25" spans="1:43" ht="16" customHeight="1">
      <c r="A25" s="427"/>
      <c r="B25" s="427"/>
      <c r="C25" s="427"/>
      <c r="D25" s="430"/>
      <c r="E25" s="430"/>
      <c r="F25" s="430"/>
      <c r="G25" s="430"/>
      <c r="H25" s="430"/>
      <c r="I25" s="430"/>
      <c r="J25" s="428" t="s">
        <v>89</v>
      </c>
      <c r="K25" s="429">
        <v>43459.73</v>
      </c>
      <c r="L25" s="429">
        <f t="shared" si="0"/>
        <v>44763.5219</v>
      </c>
      <c r="M25" s="429">
        <f>SUMIFS($P:$P,$D:$D,"&gt;="&amp;DATE(2026,MATCH(LOWER(J25),{"enero","febrero","marzo","abril","mayo","junio","julio","agosto","septiembre","octubre","noviembre","diciembre"},0),1),$D:$D,"&lt;"&amp;DATE(2026,MATCH(LOWER(J25),{"enero","febrero","marzo","abril","mayo","junio","julio","agosto","septiembre","octubre","noviembre","diciembre"},0)+1,1))</f>
        <v>0</v>
      </c>
      <c r="N25" s="431">
        <f t="shared" si="1"/>
        <v>-1</v>
      </c>
      <c r="O25" s="429">
        <v>1303.79</v>
      </c>
      <c r="P25" s="428">
        <v>22</v>
      </c>
      <c r="Q25" s="429">
        <f t="shared" si="2"/>
        <v>59.263181818181813</v>
      </c>
      <c r="R25" s="429">
        <f t="shared" si="3"/>
        <v>-44763.5219</v>
      </c>
      <c r="S25" s="429">
        <f>Tabla14[[#This Row],[Hasta objetivo]]*H$18</f>
        <v>-4476.3521900000005</v>
      </c>
      <c r="T25" s="429">
        <f>SUMIFS($F:$F,$D:$D,"&gt;="&amp;DATE(2026,MATCH(LOWER(J25),{"enero","febrero","marzo","abril","mayo","junio","julio","agosto","septiembre","octubre","noviembre","diciembre"},0),1),$D:$D,"&lt;"&amp;DATE(2026,MATCH(LOWER(J25),{"enero","febrero","marzo","abril","mayo","junio","julio","agosto","septiembre","octubre","noviembre","diciembre"},0)+1,1))</f>
        <v>0</v>
      </c>
      <c r="U25" s="427"/>
      <c r="V25" s="427"/>
      <c r="W25" s="427"/>
      <c r="X25" s="427"/>
      <c r="Y25" s="427"/>
      <c r="Z25" s="427"/>
      <c r="AA25" s="427"/>
      <c r="AB25" s="427"/>
      <c r="AC25" s="427"/>
      <c r="AD25" s="427"/>
      <c r="AE25" s="427"/>
      <c r="AF25" s="427"/>
      <c r="AG25" s="427"/>
      <c r="AH25" s="427"/>
      <c r="AI25" s="427"/>
      <c r="AJ25" s="427"/>
      <c r="AK25" s="427"/>
      <c r="AL25" s="427"/>
      <c r="AM25" s="427"/>
      <c r="AN25" s="427"/>
      <c r="AO25" s="427"/>
      <c r="AP25" s="427"/>
      <c r="AQ25" s="427"/>
    </row>
    <row r="26" spans="1:43" ht="16" customHeight="1">
      <c r="A26" s="427"/>
      <c r="B26" s="427"/>
      <c r="C26" s="427"/>
      <c r="D26" s="430"/>
      <c r="E26" s="430"/>
      <c r="F26" s="430"/>
      <c r="G26" s="430"/>
      <c r="H26" s="430"/>
      <c r="I26" s="430"/>
      <c r="J26" s="428" t="s">
        <v>91</v>
      </c>
      <c r="K26" s="429">
        <v>27943.16</v>
      </c>
      <c r="L26" s="429">
        <f t="shared" si="0"/>
        <v>28781.4548</v>
      </c>
      <c r="M26" s="429">
        <f>SUMIFS($P:$P,$D:$D,"&gt;="&amp;DATE(2026,MATCH(LOWER(J26),{"enero","febrero","marzo","abril","mayo","junio","julio","agosto","septiembre","octubre","noviembre","diciembre"},0),1),$D:$D,"&lt;"&amp;DATE(2026,MATCH(LOWER(J26),{"enero","febrero","marzo","abril","mayo","junio","julio","agosto","septiembre","octubre","noviembre","diciembre"},0)+1,1))</f>
        <v>0</v>
      </c>
      <c r="N26" s="431">
        <f t="shared" si="1"/>
        <v>-1</v>
      </c>
      <c r="O26" s="429">
        <v>838.29</v>
      </c>
      <c r="P26" s="428">
        <v>21</v>
      </c>
      <c r="Q26" s="429">
        <f t="shared" si="2"/>
        <v>39.918571428571425</v>
      </c>
      <c r="R26" s="429">
        <f t="shared" si="3"/>
        <v>-28781.4548</v>
      </c>
      <c r="S26" s="429">
        <f>Tabla14[[#This Row],[Hasta objetivo]]*H$18</f>
        <v>-2878.1454800000001</v>
      </c>
      <c r="T26" s="429">
        <f>SUMIFS($F:$F,$D:$D,"&gt;="&amp;DATE(2026,MATCH(LOWER(J26),{"enero","febrero","marzo","abril","mayo","junio","julio","agosto","septiembre","octubre","noviembre","diciembre"},0),1),$D:$D,"&lt;"&amp;DATE(2026,MATCH(LOWER(J26),{"enero","febrero","marzo","abril","mayo","junio","julio","agosto","septiembre","octubre","noviembre","diciembre"},0)+1,1))</f>
        <v>0</v>
      </c>
      <c r="U26" s="427"/>
      <c r="V26" s="427"/>
      <c r="W26" s="427"/>
      <c r="X26" s="427"/>
      <c r="Y26" s="427"/>
      <c r="Z26" s="427"/>
      <c r="AA26" s="427"/>
      <c r="AB26" s="427"/>
      <c r="AC26" s="427"/>
      <c r="AD26" s="427"/>
      <c r="AE26" s="427"/>
      <c r="AF26" s="427"/>
      <c r="AG26" s="427"/>
      <c r="AH26" s="427"/>
      <c r="AI26" s="427"/>
      <c r="AJ26" s="427"/>
      <c r="AK26" s="427"/>
      <c r="AL26" s="427"/>
      <c r="AM26" s="427"/>
      <c r="AN26" s="427"/>
      <c r="AO26" s="427"/>
      <c r="AP26" s="427"/>
      <c r="AQ26" s="427"/>
    </row>
    <row r="27" spans="1:43" ht="16" customHeight="1">
      <c r="A27" s="427"/>
      <c r="B27" s="427"/>
      <c r="C27" s="427"/>
      <c r="D27" s="430"/>
      <c r="E27" s="430"/>
      <c r="F27" s="430"/>
      <c r="G27" s="430"/>
      <c r="H27" s="430"/>
      <c r="I27" s="430"/>
      <c r="J27" s="428" t="s">
        <v>92</v>
      </c>
      <c r="K27" s="429">
        <v>27843.16</v>
      </c>
      <c r="L27" s="429">
        <f t="shared" si="0"/>
        <v>28678.4548</v>
      </c>
      <c r="M27" s="429">
        <f>SUMIFS($P:$P,$D:$D,"&gt;="&amp;DATE(2026,MATCH(LOWER(J27),{"enero","febrero","marzo","abril","mayo","junio","julio","agosto","septiembre","octubre","noviembre","diciembre"},0),1),$D:$D,"&lt;"&amp;DATE(2026,MATCH(LOWER(J27),{"enero","febrero","marzo","abril","mayo","junio","julio","agosto","septiembre","octubre","noviembre","diciembre"},0)+1,1))</f>
        <v>0</v>
      </c>
      <c r="N27" s="431">
        <f t="shared" si="1"/>
        <v>-1</v>
      </c>
      <c r="O27" s="429">
        <v>835.29</v>
      </c>
      <c r="P27" s="428">
        <v>23</v>
      </c>
      <c r="Q27" s="429">
        <f t="shared" si="2"/>
        <v>36.316956521739129</v>
      </c>
      <c r="R27" s="429">
        <f t="shared" si="3"/>
        <v>-28678.4548</v>
      </c>
      <c r="S27" s="429">
        <f>Tabla14[[#This Row],[Hasta objetivo]]*H$18</f>
        <v>-2867.84548</v>
      </c>
      <c r="T27" s="429">
        <f>SUMIFS($F:$F,$D:$D,"&gt;="&amp;DATE(2026,MATCH(LOWER(J27),{"enero","febrero","marzo","abril","mayo","junio","julio","agosto","septiembre","octubre","noviembre","diciembre"},0),1),$D:$D,"&lt;"&amp;DATE(2026,MATCH(LOWER(J27),{"enero","febrero","marzo","abril","mayo","junio","julio","agosto","septiembre","octubre","noviembre","diciembre"},0)+1,1))</f>
        <v>0</v>
      </c>
      <c r="U27" s="427"/>
      <c r="V27" s="427"/>
      <c r="W27" s="427"/>
      <c r="X27" s="427"/>
      <c r="Y27" s="427"/>
      <c r="Z27" s="427"/>
      <c r="AA27" s="427"/>
      <c r="AB27" s="427"/>
      <c r="AC27" s="427"/>
      <c r="AD27" s="427"/>
      <c r="AE27" s="427"/>
      <c r="AF27" s="427"/>
      <c r="AG27" s="427"/>
      <c r="AH27" s="427"/>
      <c r="AI27" s="427"/>
      <c r="AJ27" s="427"/>
      <c r="AK27" s="427"/>
      <c r="AL27" s="427"/>
      <c r="AM27" s="427"/>
      <c r="AN27" s="427"/>
      <c r="AO27" s="427"/>
      <c r="AP27" s="427"/>
      <c r="AQ27" s="427"/>
    </row>
    <row r="28" spans="1:43" ht="16" customHeight="1">
      <c r="A28" s="427"/>
      <c r="B28" s="427"/>
      <c r="C28" s="427"/>
      <c r="D28" s="430"/>
      <c r="E28" s="430"/>
      <c r="F28" s="430"/>
      <c r="G28" s="430"/>
      <c r="H28" s="430"/>
      <c r="I28" s="430"/>
      <c r="J28" s="428" t="s">
        <v>94</v>
      </c>
      <c r="K28" s="429">
        <v>34247.879999999997</v>
      </c>
      <c r="L28" s="429">
        <f t="shared" si="0"/>
        <v>35275.316399999996</v>
      </c>
      <c r="M28" s="429">
        <f>SUMIFS($P:$P,$D:$D,"&gt;="&amp;DATE(2026,MATCH(LOWER(J28),{"enero","febrero","marzo","abril","mayo","junio","julio","agosto","septiembre","octubre","noviembre","diciembre"},0),1),$D:$D,"&lt;"&amp;DATE(2026,MATCH(LOWER(J28),{"enero","febrero","marzo","abril","mayo","junio","julio","agosto","septiembre","octubre","noviembre","diciembre"},0)+1,1))</f>
        <v>0</v>
      </c>
      <c r="N28" s="431">
        <f t="shared" si="1"/>
        <v>-1</v>
      </c>
      <c r="O28" s="429">
        <v>1027.44</v>
      </c>
      <c r="P28" s="428">
        <v>11</v>
      </c>
      <c r="Q28" s="429">
        <f t="shared" si="2"/>
        <v>93.403636363636366</v>
      </c>
      <c r="R28" s="429">
        <f t="shared" si="3"/>
        <v>-35275.316399999996</v>
      </c>
      <c r="S28" s="429">
        <f>Tabla14[[#This Row],[Hasta objetivo]]*H$18</f>
        <v>-3527.5316399999997</v>
      </c>
      <c r="T28" s="429">
        <f>SUMIFS($F:$F,$D:$D,"&gt;="&amp;DATE(2026,MATCH(LOWER(J28),{"enero","febrero","marzo","abril","mayo","junio","julio","agosto","septiembre","octubre","noviembre","diciembre"},0),1),$D:$D,"&lt;"&amp;DATE(2026,MATCH(LOWER(J28),{"enero","febrero","marzo","abril","mayo","junio","julio","agosto","septiembre","octubre","noviembre","diciembre"},0)+1,1))</f>
        <v>0</v>
      </c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  <c r="AI28" s="427"/>
      <c r="AJ28" s="427"/>
      <c r="AK28" s="427"/>
      <c r="AL28" s="427"/>
      <c r="AM28" s="427"/>
      <c r="AN28" s="427"/>
      <c r="AO28" s="427"/>
      <c r="AP28" s="427"/>
      <c r="AQ28" s="427"/>
    </row>
    <row r="29" spans="1:43" ht="16" customHeight="1">
      <c r="A29" s="427"/>
      <c r="B29" s="427"/>
      <c r="C29" s="427"/>
      <c r="D29" s="430"/>
      <c r="E29" s="430"/>
      <c r="F29" s="430"/>
      <c r="G29" s="430"/>
      <c r="H29" s="430"/>
      <c r="I29" s="430"/>
      <c r="J29" s="428" t="s">
        <v>95</v>
      </c>
      <c r="K29" s="429">
        <v>36351.300000000003</v>
      </c>
      <c r="L29" s="429">
        <f t="shared" si="0"/>
        <v>37441.839</v>
      </c>
      <c r="M29" s="429">
        <f>SUMIFS($P:$P,$D:$D,"&gt;="&amp;DATE(2026,MATCH(LOWER(J29),{"enero","febrero","marzo","abril","mayo","junio","julio","agosto","septiembre","octubre","noviembre","diciembre"},0),1),$D:$D,"&lt;"&amp;DATE(2026,MATCH(LOWER(J29),{"enero","febrero","marzo","abril","mayo","junio","julio","agosto","septiembre","octubre","noviembre","diciembre"},0)+1,1))</f>
        <v>0</v>
      </c>
      <c r="N29" s="431">
        <f t="shared" si="1"/>
        <v>-1</v>
      </c>
      <c r="O29" s="429">
        <v>1090.54</v>
      </c>
      <c r="P29" s="428">
        <v>17</v>
      </c>
      <c r="Q29" s="429">
        <f t="shared" si="2"/>
        <v>64.149411764705874</v>
      </c>
      <c r="R29" s="429">
        <f t="shared" si="3"/>
        <v>-37441.839</v>
      </c>
      <c r="S29" s="429">
        <f>Tabla14[[#This Row],[Hasta objetivo]]*H$18</f>
        <v>-3744.1839</v>
      </c>
      <c r="T29" s="429">
        <f>SUMIFS($F:$F,$D:$D,"&gt;="&amp;DATE(2026,MATCH(LOWER(J29),{"enero","febrero","marzo","abril","mayo","junio","julio","agosto","septiembre","octubre","noviembre","diciembre"},0),1),$D:$D,"&lt;"&amp;DATE(2026,MATCH(LOWER(J29),{"enero","febrero","marzo","abril","mayo","junio","julio","agosto","septiembre","octubre","noviembre","diciembre"},0)+1,1))</f>
        <v>0</v>
      </c>
      <c r="U29" s="427"/>
      <c r="V29" s="427"/>
      <c r="W29" s="427"/>
      <c r="X29" s="427"/>
      <c r="Y29" s="427"/>
      <c r="Z29" s="427"/>
      <c r="AA29" s="427"/>
      <c r="AB29" s="427"/>
      <c r="AC29" s="427"/>
      <c r="AD29" s="427"/>
      <c r="AE29" s="427"/>
      <c r="AF29" s="427"/>
      <c r="AG29" s="427"/>
      <c r="AH29" s="427"/>
      <c r="AI29" s="427"/>
      <c r="AJ29" s="427"/>
      <c r="AK29" s="427"/>
      <c r="AL29" s="427"/>
      <c r="AM29" s="427"/>
      <c r="AN29" s="427"/>
      <c r="AO29" s="427"/>
      <c r="AP29" s="427"/>
      <c r="AQ29" s="427"/>
    </row>
    <row r="30" spans="1:43" ht="16" customHeight="1">
      <c r="A30" s="427"/>
      <c r="B30" s="427"/>
      <c r="C30" s="427"/>
      <c r="D30" s="430"/>
      <c r="E30" s="430"/>
      <c r="F30" s="430"/>
      <c r="G30" s="430"/>
      <c r="H30" s="430"/>
      <c r="I30" s="430"/>
      <c r="J30" s="430"/>
      <c r="K30" s="430"/>
      <c r="L30" s="430"/>
      <c r="M30" s="430"/>
      <c r="N30" s="427"/>
      <c r="O30" s="427"/>
      <c r="P30" s="427"/>
      <c r="Q30" s="427"/>
      <c r="R30" s="427"/>
      <c r="S30" s="427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  <c r="AM30" s="427"/>
      <c r="AN30" s="427"/>
      <c r="AO30" s="427"/>
      <c r="AP30" s="427"/>
      <c r="AQ30" s="427"/>
    </row>
    <row r="31" spans="1:43" ht="16" customHeight="1">
      <c r="A31" s="427"/>
      <c r="B31" s="427"/>
      <c r="C31" s="427"/>
      <c r="D31" s="430"/>
      <c r="E31" s="430"/>
      <c r="F31" s="430"/>
      <c r="G31" s="430"/>
      <c r="H31" s="430"/>
      <c r="I31" s="430"/>
      <c r="J31" s="430"/>
      <c r="K31" s="430"/>
      <c r="L31" s="430"/>
      <c r="M31" s="430"/>
      <c r="N31" s="427"/>
      <c r="O31" s="427"/>
      <c r="P31" s="427"/>
      <c r="Q31" s="427"/>
      <c r="R31" s="427"/>
      <c r="S31" s="427"/>
      <c r="T31" s="427"/>
      <c r="U31" s="427"/>
      <c r="V31" s="427"/>
      <c r="W31" s="427"/>
      <c r="X31" s="427"/>
      <c r="Y31" s="427"/>
      <c r="Z31" s="427"/>
      <c r="AA31" s="427"/>
      <c r="AB31" s="427"/>
      <c r="AC31" s="427"/>
      <c r="AD31" s="427"/>
      <c r="AE31" s="427"/>
      <c r="AF31" s="427"/>
      <c r="AG31" s="427"/>
      <c r="AH31" s="427"/>
      <c r="AI31" s="427"/>
      <c r="AJ31" s="427"/>
      <c r="AK31" s="427"/>
      <c r="AL31" s="427"/>
      <c r="AM31" s="427"/>
      <c r="AN31" s="427"/>
      <c r="AO31" s="427"/>
      <c r="AP31" s="427"/>
      <c r="AQ31" s="427"/>
    </row>
    <row r="32" spans="1:43" ht="16" customHeight="1">
      <c r="A32" s="427"/>
      <c r="B32" s="427"/>
      <c r="C32" s="427"/>
      <c r="D32" s="430"/>
      <c r="E32" s="430"/>
      <c r="F32" s="430"/>
      <c r="G32" s="430"/>
      <c r="H32" s="430"/>
      <c r="I32" s="430"/>
      <c r="J32" s="430"/>
      <c r="K32" s="430"/>
      <c r="L32" s="430"/>
      <c r="M32" s="430"/>
      <c r="N32" s="427"/>
      <c r="O32" s="427"/>
      <c r="P32" s="427"/>
      <c r="Q32" s="427"/>
      <c r="R32" s="427"/>
      <c r="S32" s="427"/>
      <c r="T32" s="427"/>
      <c r="U32" s="427"/>
      <c r="V32" s="427"/>
      <c r="W32" s="427"/>
      <c r="X32" s="427"/>
      <c r="Y32" s="427"/>
      <c r="Z32" s="427"/>
      <c r="AA32" s="427"/>
      <c r="AB32" s="427"/>
      <c r="AC32" s="427"/>
      <c r="AD32" s="427"/>
      <c r="AE32" s="427"/>
      <c r="AF32" s="427"/>
      <c r="AG32" s="427"/>
      <c r="AH32" s="427"/>
      <c r="AI32" s="427"/>
      <c r="AJ32" s="427"/>
      <c r="AK32" s="427"/>
      <c r="AL32" s="427"/>
      <c r="AM32" s="427"/>
      <c r="AN32" s="427"/>
      <c r="AO32" s="427"/>
      <c r="AP32" s="427"/>
      <c r="AQ32" s="427"/>
    </row>
    <row r="33" spans="1:43" ht="19" customHeight="1">
      <c r="A33" s="436"/>
      <c r="B33" s="436"/>
      <c r="C33" s="436"/>
      <c r="D33" s="437" t="s">
        <v>438</v>
      </c>
      <c r="E33" s="437" t="s">
        <v>439</v>
      </c>
      <c r="F33" s="437" t="s">
        <v>440</v>
      </c>
      <c r="G33" s="437" t="s">
        <v>441</v>
      </c>
      <c r="H33" s="437" t="s">
        <v>442</v>
      </c>
      <c r="I33" s="437" t="s">
        <v>443</v>
      </c>
      <c r="J33" s="437" t="s">
        <v>444</v>
      </c>
      <c r="K33" s="437" t="s">
        <v>445</v>
      </c>
      <c r="L33" s="437" t="s">
        <v>446</v>
      </c>
      <c r="M33" s="438" t="s">
        <v>447</v>
      </c>
      <c r="N33" s="437" t="s">
        <v>448</v>
      </c>
      <c r="O33" s="437" t="s">
        <v>449</v>
      </c>
      <c r="P33" s="437" t="s">
        <v>450</v>
      </c>
      <c r="Q33" s="437" t="s">
        <v>433</v>
      </c>
      <c r="R33" s="437" t="s">
        <v>451</v>
      </c>
      <c r="S33" s="437" t="s">
        <v>452</v>
      </c>
      <c r="T33" s="439" t="s">
        <v>453</v>
      </c>
      <c r="U33" s="439" t="s">
        <v>428</v>
      </c>
      <c r="V33" s="439" t="s">
        <v>454</v>
      </c>
      <c r="W33" s="439" t="s">
        <v>455</v>
      </c>
      <c r="X33" s="439" t="s">
        <v>425</v>
      </c>
      <c r="Y33" s="439" t="s">
        <v>456</v>
      </c>
      <c r="Z33" s="437" t="s">
        <v>457</v>
      </c>
      <c r="AA33" s="439" t="s">
        <v>458</v>
      </c>
      <c r="AB33" s="440" t="s">
        <v>459</v>
      </c>
      <c r="AC33" s="427"/>
      <c r="AD33" s="441"/>
      <c r="AE33" s="441"/>
      <c r="AF33" s="441"/>
      <c r="AG33" s="441"/>
      <c r="AH33" s="441"/>
      <c r="AI33" s="441"/>
      <c r="AJ33" s="436"/>
      <c r="AK33" s="436"/>
      <c r="AL33" s="436"/>
      <c r="AM33" s="436"/>
      <c r="AN33" s="436"/>
      <c r="AO33" s="436"/>
      <c r="AP33" s="436"/>
      <c r="AQ33" s="436"/>
    </row>
    <row r="34" spans="1:43" ht="16" customHeight="1">
      <c r="A34" s="427"/>
      <c r="B34" s="427"/>
      <c r="C34" s="428">
        <v>1</v>
      </c>
      <c r="D34" s="442">
        <v>46023</v>
      </c>
      <c r="E34" s="958">
        <v>0</v>
      </c>
      <c r="F34" s="958">
        <f>Tabla15[[#This Row],[Retiros]]-Tabla15[[#This Row],[Contado]]</f>
        <v>0</v>
      </c>
      <c r="G34" s="958">
        <v>0</v>
      </c>
      <c r="H34" s="958">
        <v>0</v>
      </c>
      <c r="I34" s="958">
        <v>0</v>
      </c>
      <c r="J34" s="958">
        <v>0</v>
      </c>
      <c r="K34" s="958">
        <v>0</v>
      </c>
      <c r="L34" s="958">
        <v>0</v>
      </c>
      <c r="M34" s="958">
        <v>0</v>
      </c>
      <c r="N34" s="959">
        <f>Tabla15[[#This Row],[Contado]]</f>
        <v>0</v>
      </c>
      <c r="O34" s="959"/>
      <c r="P34" s="443">
        <f>((Tabla15[[#This Row],[Contado]]+Tabla15[[#This Row],[Visa]]+Tabla15[[#This Row],[Eventos]]+Tabla15[[#This Row],[Passo]]+Tabla15[[#This Row],[Reciclajes]])/1.1)+Tabla15[[#This Row],[Tickets]]</f>
        <v>0</v>
      </c>
      <c r="Q34" s="444">
        <f>IFERROR(E34/G34,0)</f>
        <v>0</v>
      </c>
      <c r="R34" s="445">
        <f t="shared" ref="R34:R97" si="4">IFERROR(F34/P34,0)</f>
        <v>0</v>
      </c>
      <c r="S34" s="446"/>
      <c r="T34" s="447">
        <v>0</v>
      </c>
      <c r="U34" s="447">
        <f>Tabla15[[#This Row],[Total Caja]]-Tabla15[[#This Row],[Facturació A/A]]</f>
        <v>0</v>
      </c>
      <c r="V34" s="446">
        <v>0</v>
      </c>
      <c r="W34" s="450" t="e">
        <f>Tabla15[[#This Row],[Diferencia]]/Tabla15[[#This Row],[Facturació A/A]]</f>
        <v>#DIV/0!</v>
      </c>
      <c r="X34" s="447">
        <f>Tabla15[[#This Row],[Facturació A/A]]*H$17+Tabla15[[#This Row],[Facturació A/A]]</f>
        <v>0</v>
      </c>
      <c r="Y34" s="447">
        <f>Tabla15[[#This Row],[Total Caja]]-Tabla15[[#This Row],[Previsión]]</f>
        <v>0</v>
      </c>
      <c r="Z34" s="446"/>
      <c r="AA34" s="447" t="e">
        <f>SUM(INDEX(Tabla15[[#This Row],[Facturació A/A]],1):Tabla15[[#This Row],[Facturació A/A]]) / SUM(INDEX(Tabla15[[#This Row],[Diferencia]],1):Tabla15[[#This Row],[Diferencia]])</f>
        <v>#DIV/0!</v>
      </c>
      <c r="AB34" s="448" t="s">
        <v>460</v>
      </c>
      <c r="AC34" s="427"/>
      <c r="AD34" s="427"/>
      <c r="AE34" s="427"/>
      <c r="AF34" s="427"/>
      <c r="AG34" s="449"/>
      <c r="AH34" s="449"/>
      <c r="AI34" s="449"/>
      <c r="AJ34" s="427"/>
      <c r="AK34" s="427"/>
      <c r="AL34" s="427"/>
      <c r="AM34" s="427"/>
      <c r="AN34" s="427"/>
      <c r="AO34" s="427"/>
      <c r="AP34" s="427"/>
      <c r="AQ34" s="427"/>
    </row>
    <row r="35" spans="1:43" ht="16" customHeight="1">
      <c r="A35" s="427"/>
      <c r="B35" s="427"/>
      <c r="C35" s="428">
        <v>2</v>
      </c>
      <c r="D35" s="442">
        <v>46024</v>
      </c>
      <c r="E35" s="958">
        <v>133.5</v>
      </c>
      <c r="F35" s="958">
        <f>Tabla15[[#This Row],[Retiros]]-Tabla15[[#This Row],[Contado]]</f>
        <v>166.5</v>
      </c>
      <c r="G35" s="958">
        <v>1442.15</v>
      </c>
      <c r="H35" s="958">
        <v>0</v>
      </c>
      <c r="I35" s="958">
        <v>0</v>
      </c>
      <c r="J35" s="958">
        <v>0</v>
      </c>
      <c r="K35" s="958">
        <v>0</v>
      </c>
      <c r="L35" s="958">
        <v>0</v>
      </c>
      <c r="M35" s="958">
        <v>300</v>
      </c>
      <c r="N35" s="959">
        <f>Tabla15[[#This Row],[Contado]]</f>
        <v>133.5</v>
      </c>
      <c r="O35" s="959"/>
      <c r="P35" s="443">
        <f>((Tabla15[[#This Row],[Contado]]+Tabla15[[#This Row],[Visa]]+Tabla15[[#This Row],[Eventos]]+Tabla15[[#This Row],[Passo]]+Tabla15[[#This Row],[Reciclajes]])/1.1)+Tabla15[[#This Row],[Tickets]]</f>
        <v>1598.9090909090908</v>
      </c>
      <c r="Q35" s="444">
        <v>0.09</v>
      </c>
      <c r="R35" s="445">
        <f t="shared" si="4"/>
        <v>0.1041335001137139</v>
      </c>
      <c r="S35" s="446"/>
      <c r="T35" s="447">
        <v>1848.36</v>
      </c>
      <c r="U35" s="447">
        <f>Tabla15[[#This Row],[Total Caja]]-Tabla15[[#This Row],[Facturació A/A]]</f>
        <v>-249.45090909090914</v>
      </c>
      <c r="V35" s="447">
        <f t="shared" ref="V35:V98" si="5">U35+V34</f>
        <v>-249.45090909090914</v>
      </c>
      <c r="W35" s="450">
        <f>Tabla15[[#This Row],[Diferencia]]/Tabla15[[#This Row],[Facturació A/A]]</f>
        <v>-0.13495796765289725</v>
      </c>
      <c r="X35" s="447">
        <f>Tabla15[[#This Row],[Facturació A/A]]*H$17+Tabla15[[#This Row],[Facturació A/A]]</f>
        <v>1903.8108</v>
      </c>
      <c r="Y35" s="447">
        <f>Tabla15[[#This Row],[Total Caja]]-Tabla15[[#This Row],[Previsión]]</f>
        <v>-304.90170909090921</v>
      </c>
      <c r="Z35" s="446"/>
      <c r="AA35" s="447">
        <f>SUM(INDEX(Tabla15[[#This Row],[Facturació A/A]],1):Tabla15[[#This Row],[Facturació A/A]]) / SUM(INDEX(Tabla15[[#This Row],[Diferencia]],1):Tabla15[[#This Row],[Diferencia]])</f>
        <v>-7.4097144273240119</v>
      </c>
      <c r="AB35" s="448" t="s">
        <v>460</v>
      </c>
      <c r="AC35" s="427"/>
      <c r="AD35" s="427"/>
      <c r="AE35" s="427"/>
      <c r="AF35" s="427"/>
      <c r="AG35" s="449"/>
      <c r="AH35" s="449"/>
      <c r="AI35" s="449"/>
      <c r="AJ35" s="427"/>
      <c r="AK35" s="427"/>
      <c r="AL35" s="427"/>
      <c r="AM35" s="427"/>
      <c r="AN35" s="427"/>
      <c r="AO35" s="427"/>
      <c r="AP35" s="427"/>
      <c r="AQ35" s="427"/>
    </row>
    <row r="36" spans="1:43" ht="16" customHeight="1">
      <c r="A36" s="427"/>
      <c r="B36" s="427"/>
      <c r="C36" s="428">
        <v>3</v>
      </c>
      <c r="D36" s="442">
        <v>46025</v>
      </c>
      <c r="E36" s="958">
        <v>291.35000000000002</v>
      </c>
      <c r="F36" s="958">
        <f>Tabla15[[#This Row],[Retiros]]-Tabla15[[#This Row],[Contado]]</f>
        <v>98.649999999999977</v>
      </c>
      <c r="G36" s="958">
        <v>1271.95</v>
      </c>
      <c r="H36" s="958">
        <v>0</v>
      </c>
      <c r="I36" s="958">
        <v>99.1</v>
      </c>
      <c r="J36" s="958">
        <v>0</v>
      </c>
      <c r="K36" s="958">
        <v>0</v>
      </c>
      <c r="L36" s="958">
        <v>0</v>
      </c>
      <c r="M36" s="958">
        <v>390</v>
      </c>
      <c r="N36" s="959">
        <f>Tabla15[[#This Row],[Contado]]</f>
        <v>291.35000000000002</v>
      </c>
      <c r="O36" s="959"/>
      <c r="P36" s="443">
        <f>((Tabla15[[#This Row],[Contado]]+Tabla15[[#This Row],[Visa]]+Tabla15[[#This Row],[Eventos]]+Tabla15[[#This Row],[Passo]]+Tabla15[[#This Row],[Reciclajes]])/1.1)+Tabla15[[#This Row],[Tickets]]</f>
        <v>1609.9227272727271</v>
      </c>
      <c r="Q36" s="444">
        <v>0.23</v>
      </c>
      <c r="R36" s="445">
        <f t="shared" si="4"/>
        <v>6.1276232907847068E-2</v>
      </c>
      <c r="S36" s="446"/>
      <c r="T36" s="447">
        <v>2277.69</v>
      </c>
      <c r="U36" s="447">
        <f>Tabla15[[#This Row],[Total Caja]]-Tabla15[[#This Row],[Facturació A/A]]</f>
        <v>-667.76727272727294</v>
      </c>
      <c r="V36" s="447">
        <f t="shared" si="5"/>
        <v>-917.21818181818207</v>
      </c>
      <c r="W36" s="450">
        <f>Tabla15[[#This Row],[Diferencia]]/Tabla15[[#This Row],[Facturació A/A]]</f>
        <v>-0.29317741779051271</v>
      </c>
      <c r="X36" s="447">
        <f>Tabla15[[#This Row],[Facturació A/A]]*H$17+Tabla15[[#This Row],[Facturació A/A]]</f>
        <v>2346.0207</v>
      </c>
      <c r="Y36" s="447">
        <f>Tabla15[[#This Row],[Total Caja]]-Tabla15[[#This Row],[Previsión]]</f>
        <v>-736.09797272727292</v>
      </c>
      <c r="Z36" s="446"/>
      <c r="AA36" s="447">
        <f>SUM(INDEX(Tabla15[[#This Row],[Facturació A/A]],1):Tabla15[[#This Row],[Facturació A/A]]) / SUM(INDEX(Tabla15[[#This Row],[Diferencia]],1):Tabla15[[#This Row],[Diferencia]])</f>
        <v>-3.4109039077305092</v>
      </c>
      <c r="AB36" s="448" t="s">
        <v>460</v>
      </c>
      <c r="AC36" s="427"/>
      <c r="AD36" s="427"/>
      <c r="AE36" s="427"/>
      <c r="AF36" s="427"/>
      <c r="AG36" s="449"/>
      <c r="AH36" s="427"/>
      <c r="AI36" s="449"/>
      <c r="AJ36" s="427"/>
      <c r="AK36" s="427"/>
      <c r="AL36" s="427"/>
      <c r="AM36" s="427"/>
      <c r="AN36" s="427"/>
      <c r="AO36" s="427"/>
      <c r="AP36" s="427"/>
      <c r="AQ36" s="427"/>
    </row>
    <row r="37" spans="1:43" ht="16" customHeight="1">
      <c r="A37" s="427"/>
      <c r="B37" s="427"/>
      <c r="C37" s="428">
        <v>4</v>
      </c>
      <c r="D37" s="442">
        <v>46026</v>
      </c>
      <c r="E37" s="958">
        <v>9.75</v>
      </c>
      <c r="F37" s="958">
        <f>Tabla15[[#This Row],[Retiros]]-Tabla15[[#This Row],[Contado]]</f>
        <v>80.25</v>
      </c>
      <c r="G37" s="958">
        <v>940.15</v>
      </c>
      <c r="H37" s="958">
        <v>0</v>
      </c>
      <c r="I37" s="958">
        <v>0</v>
      </c>
      <c r="J37" s="958">
        <v>0</v>
      </c>
      <c r="K37" s="958">
        <v>0</v>
      </c>
      <c r="L37" s="958">
        <v>0</v>
      </c>
      <c r="M37" s="958">
        <v>90</v>
      </c>
      <c r="N37" s="959">
        <f>Tabla15[[#This Row],[Contado]]</f>
        <v>9.75</v>
      </c>
      <c r="O37" s="959"/>
      <c r="P37" s="443">
        <f>((Tabla15[[#This Row],[Contado]]+Tabla15[[#This Row],[Visa]]+Tabla15[[#This Row],[Eventos]]+Tabla15[[#This Row],[Passo]]+Tabla15[[#This Row],[Reciclajes]])/1.1)+Tabla15[[#This Row],[Tickets]]</f>
        <v>943.7954545454545</v>
      </c>
      <c r="Q37" s="444">
        <v>0.01</v>
      </c>
      <c r="R37" s="445">
        <f t="shared" si="4"/>
        <v>8.5029017265875223E-2</v>
      </c>
      <c r="S37" s="446"/>
      <c r="T37" s="447">
        <v>1352.24</v>
      </c>
      <c r="U37" s="447">
        <f>Tabla15[[#This Row],[Total Caja]]-Tabla15[[#This Row],[Facturació A/A]]</f>
        <v>-408.4445454545455</v>
      </c>
      <c r="V37" s="447">
        <f t="shared" si="5"/>
        <v>-1325.6627272727276</v>
      </c>
      <c r="W37" s="450">
        <f>Tabla15[[#This Row],[Diferencia]]/Tabla15[[#This Row],[Facturació A/A]]</f>
        <v>-0.3020503353358468</v>
      </c>
      <c r="X37" s="447">
        <f>Tabla15[[#This Row],[Facturació A/A]]*H$17+Tabla15[[#This Row],[Facturació A/A]]</f>
        <v>1392.8072</v>
      </c>
      <c r="Y37" s="447">
        <f>Tabla15[[#This Row],[Total Caja]]-Tabla15[[#This Row],[Previsión]]</f>
        <v>-449.01174545454546</v>
      </c>
      <c r="Z37" s="446"/>
      <c r="AA37" s="447">
        <f>SUM(INDEX(Tabla15[[#This Row],[Facturació A/A]],1):Tabla15[[#This Row],[Facturació A/A]]) / SUM(INDEX(Tabla15[[#This Row],[Diferencia]],1):Tabla15[[#This Row],[Diferencia]])</f>
        <v>-3.3107064717809691</v>
      </c>
      <c r="AB37" s="448" t="s">
        <v>460</v>
      </c>
      <c r="AC37" s="427"/>
      <c r="AD37" s="427"/>
      <c r="AE37" s="427"/>
      <c r="AF37" s="427"/>
      <c r="AG37" s="449"/>
      <c r="AH37" s="427"/>
      <c r="AI37" s="449"/>
      <c r="AJ37" s="427"/>
      <c r="AK37" s="427"/>
      <c r="AL37" s="427"/>
      <c r="AM37" s="427"/>
      <c r="AN37" s="427"/>
      <c r="AO37" s="427"/>
      <c r="AP37" s="427"/>
      <c r="AQ37" s="427"/>
    </row>
    <row r="38" spans="1:43" ht="16" customHeight="1">
      <c r="A38" s="427"/>
      <c r="B38" s="427"/>
      <c r="C38" s="428">
        <v>5</v>
      </c>
      <c r="D38" s="442">
        <v>46027</v>
      </c>
      <c r="E38" s="958">
        <v>0</v>
      </c>
      <c r="F38" s="958">
        <f>Tabla15[[#This Row],[Retiros]]-Tabla15[[#This Row],[Contado]]</f>
        <v>0</v>
      </c>
      <c r="G38" s="958">
        <v>0</v>
      </c>
      <c r="H38" s="958">
        <v>0</v>
      </c>
      <c r="I38" s="958">
        <v>0</v>
      </c>
      <c r="J38" s="958">
        <v>0</v>
      </c>
      <c r="K38" s="958">
        <v>0</v>
      </c>
      <c r="L38" s="958">
        <v>0</v>
      </c>
      <c r="M38" s="958">
        <v>0</v>
      </c>
      <c r="N38" s="959">
        <f>Tabla15[[#This Row],[Contado]]</f>
        <v>0</v>
      </c>
      <c r="O38" s="959"/>
      <c r="P38" s="443">
        <f>((Tabla15[[#This Row],[Contado]]+Tabla15[[#This Row],[Visa]]+Tabla15[[#This Row],[Eventos]]+Tabla15[[#This Row],[Passo]]+Tabla15[[#This Row],[Reciclajes]])/1.1)+Tabla15[[#This Row],[Tickets]]</f>
        <v>0</v>
      </c>
      <c r="Q38" s="444">
        <v>0</v>
      </c>
      <c r="R38" s="445">
        <f t="shared" si="4"/>
        <v>0</v>
      </c>
      <c r="S38" s="446"/>
      <c r="T38" s="447">
        <v>0</v>
      </c>
      <c r="U38" s="447">
        <f>Tabla15[[#This Row],[Total Caja]]-Tabla15[[#This Row],[Facturació A/A]]</f>
        <v>0</v>
      </c>
      <c r="V38" s="447">
        <f t="shared" si="5"/>
        <v>-1325.6627272727276</v>
      </c>
      <c r="W38" s="450" t="e">
        <f>Tabla15[[#This Row],[Diferencia]]/Tabla15[[#This Row],[Facturació A/A]]</f>
        <v>#DIV/0!</v>
      </c>
      <c r="X38" s="447">
        <f>Tabla15[[#This Row],[Facturació A/A]]*H$17+Tabla15[[#This Row],[Facturació A/A]]</f>
        <v>0</v>
      </c>
      <c r="Y38" s="447">
        <f>Tabla15[[#This Row],[Total Caja]]-Tabla15[[#This Row],[Previsión]]</f>
        <v>0</v>
      </c>
      <c r="Z38" s="446"/>
      <c r="AA38" s="447" t="e">
        <f>SUM(INDEX(Tabla15[[#This Row],[Facturació A/A]],1):Tabla15[[#This Row],[Facturació A/A]]) / SUM(INDEX(Tabla15[[#This Row],[Diferencia]],1):Tabla15[[#This Row],[Diferencia]])</f>
        <v>#DIV/0!</v>
      </c>
      <c r="AB38" s="448" t="s">
        <v>460</v>
      </c>
      <c r="AC38" s="427"/>
      <c r="AD38" s="427"/>
      <c r="AE38" s="427"/>
      <c r="AF38" s="427"/>
      <c r="AG38" s="449"/>
      <c r="AH38" s="427"/>
      <c r="AI38" s="449"/>
      <c r="AJ38" s="427"/>
      <c r="AK38" s="427"/>
      <c r="AL38" s="427"/>
      <c r="AM38" s="427"/>
      <c r="AN38" s="427"/>
      <c r="AO38" s="427"/>
      <c r="AP38" s="427"/>
      <c r="AQ38" s="427"/>
    </row>
    <row r="39" spans="1:43" ht="16" customHeight="1">
      <c r="A39" s="427"/>
      <c r="B39" s="427"/>
      <c r="C39" s="428">
        <v>6</v>
      </c>
      <c r="D39" s="442">
        <v>46028</v>
      </c>
      <c r="E39" s="958">
        <v>0</v>
      </c>
      <c r="F39" s="958">
        <f>Tabla15[[#This Row],[Retiros]]-Tabla15[[#This Row],[Contado]]</f>
        <v>0</v>
      </c>
      <c r="G39" s="958">
        <v>0</v>
      </c>
      <c r="H39" s="958">
        <v>0</v>
      </c>
      <c r="I39" s="958">
        <v>0</v>
      </c>
      <c r="J39" s="958">
        <v>0</v>
      </c>
      <c r="K39" s="958">
        <v>0</v>
      </c>
      <c r="L39" s="958">
        <v>0</v>
      </c>
      <c r="M39" s="958">
        <v>0</v>
      </c>
      <c r="N39" s="959">
        <f>Tabla15[[#This Row],[Contado]]</f>
        <v>0</v>
      </c>
      <c r="O39" s="959"/>
      <c r="P39" s="443">
        <f>((Tabla15[[#This Row],[Contado]]+Tabla15[[#This Row],[Visa]]+Tabla15[[#This Row],[Eventos]]+Tabla15[[#This Row],[Passo]]+Tabla15[[#This Row],[Reciclajes]])/1.1)+Tabla15[[#This Row],[Tickets]]</f>
        <v>0</v>
      </c>
      <c r="Q39" s="444">
        <v>0</v>
      </c>
      <c r="R39" s="445">
        <f t="shared" si="4"/>
        <v>0</v>
      </c>
      <c r="S39" s="446"/>
      <c r="T39" s="447">
        <v>0</v>
      </c>
      <c r="U39" s="447">
        <f>Tabla15[[#This Row],[Total Caja]]-Tabla15[[#This Row],[Facturació A/A]]</f>
        <v>0</v>
      </c>
      <c r="V39" s="447">
        <f t="shared" si="5"/>
        <v>-1325.6627272727276</v>
      </c>
      <c r="W39" s="450" t="e">
        <f>Tabla15[[#This Row],[Diferencia]]/Tabla15[[#This Row],[Facturació A/A]]</f>
        <v>#DIV/0!</v>
      </c>
      <c r="X39" s="447">
        <f>Tabla15[[#This Row],[Facturació A/A]]*H$17+Tabla15[[#This Row],[Facturació A/A]]</f>
        <v>0</v>
      </c>
      <c r="Y39" s="447">
        <f>Tabla15[[#This Row],[Total Caja]]-Tabla15[[#This Row],[Previsión]]</f>
        <v>0</v>
      </c>
      <c r="Z39" s="446"/>
      <c r="AA39" s="447" t="e">
        <f>SUM(INDEX(Tabla15[[#This Row],[Facturació A/A]],1):Tabla15[[#This Row],[Facturació A/A]]) / SUM(INDEX(Tabla15[[#This Row],[Diferencia]],1):Tabla15[[#This Row],[Diferencia]])</f>
        <v>#DIV/0!</v>
      </c>
      <c r="AB39" s="448" t="s">
        <v>460</v>
      </c>
      <c r="AC39" s="427"/>
      <c r="AD39" s="427"/>
      <c r="AE39" s="427"/>
      <c r="AF39" s="427"/>
      <c r="AG39" s="449"/>
      <c r="AH39" s="427"/>
      <c r="AI39" s="449"/>
      <c r="AJ39" s="427"/>
      <c r="AK39" s="427"/>
      <c r="AL39" s="427"/>
      <c r="AM39" s="427"/>
      <c r="AN39" s="427"/>
      <c r="AO39" s="427"/>
      <c r="AP39" s="427"/>
      <c r="AQ39" s="427"/>
    </row>
    <row r="40" spans="1:43" ht="16" customHeight="1">
      <c r="A40" s="427"/>
      <c r="B40" s="427"/>
      <c r="C40" s="428">
        <v>7</v>
      </c>
      <c r="D40" s="442">
        <v>46029</v>
      </c>
      <c r="E40" s="958">
        <v>26</v>
      </c>
      <c r="F40" s="958">
        <f>Tabla15[[#This Row],[Retiros]]-Tabla15[[#This Row],[Contado]]</f>
        <v>194</v>
      </c>
      <c r="G40" s="958">
        <v>361.5</v>
      </c>
      <c r="H40" s="958">
        <v>0</v>
      </c>
      <c r="I40" s="958">
        <v>39.35</v>
      </c>
      <c r="J40" s="958">
        <v>0</v>
      </c>
      <c r="K40" s="958">
        <v>0</v>
      </c>
      <c r="L40" s="958">
        <v>0</v>
      </c>
      <c r="M40" s="958">
        <v>220</v>
      </c>
      <c r="N40" s="959">
        <f>Tabla15[[#This Row],[Contado]]</f>
        <v>26</v>
      </c>
      <c r="O40" s="959"/>
      <c r="P40" s="443">
        <f>((Tabla15[[#This Row],[Contado]]+Tabla15[[#This Row],[Visa]]+Tabla15[[#This Row],[Eventos]]+Tabla15[[#This Row],[Passo]]+Tabla15[[#This Row],[Reciclajes]])/1.1)+Tabla15[[#This Row],[Tickets]]</f>
        <v>582.0454545454545</v>
      </c>
      <c r="Q40" s="444">
        <v>7.0000000000000007E-2</v>
      </c>
      <c r="R40" s="445">
        <f t="shared" si="4"/>
        <v>0.33330730183522062</v>
      </c>
      <c r="S40" s="446"/>
      <c r="T40" s="447">
        <v>322.79000000000002</v>
      </c>
      <c r="U40" s="447">
        <f>Tabla15[[#This Row],[Total Caja]]-Tabla15[[#This Row],[Facturació A/A]]</f>
        <v>259.25545454545448</v>
      </c>
      <c r="V40" s="447">
        <f t="shared" si="5"/>
        <v>-1066.407272727273</v>
      </c>
      <c r="W40" s="450">
        <f>Tabla15[[#This Row],[Diferencia]]/Tabla15[[#This Row],[Facturació A/A]]</f>
        <v>0.80317065133819032</v>
      </c>
      <c r="X40" s="447">
        <f>Tabla15[[#This Row],[Facturació A/A]]*H$17+Tabla15[[#This Row],[Facturació A/A]]</f>
        <v>332.47370000000001</v>
      </c>
      <c r="Y40" s="447">
        <f>Tabla15[[#This Row],[Total Caja]]-Tabla15[[#This Row],[Previsión]]</f>
        <v>249.5717545454545</v>
      </c>
      <c r="Z40" s="446"/>
      <c r="AA40" s="447">
        <f>SUM(INDEX(Tabla15[[#This Row],[Facturació A/A]],1):Tabla15[[#This Row],[Facturació A/A]]) / SUM(INDEX(Tabla15[[#This Row],[Diferencia]],1):Tabla15[[#This Row],[Diferencia]])</f>
        <v>1.2450654145963445</v>
      </c>
      <c r="AB40" s="448" t="s">
        <v>460</v>
      </c>
      <c r="AC40" s="427"/>
      <c r="AD40" s="427"/>
      <c r="AE40" s="427"/>
      <c r="AF40" s="427"/>
      <c r="AG40" s="427"/>
      <c r="AH40" s="427"/>
      <c r="AI40" s="427"/>
      <c r="AJ40" s="427"/>
      <c r="AK40" s="427"/>
      <c r="AL40" s="427"/>
      <c r="AM40" s="427"/>
      <c r="AN40" s="427"/>
      <c r="AO40" s="427"/>
      <c r="AP40" s="427"/>
      <c r="AQ40" s="427"/>
    </row>
    <row r="41" spans="1:43" ht="16" customHeight="1">
      <c r="A41" s="427"/>
      <c r="B41" s="427"/>
      <c r="C41" s="428">
        <v>8</v>
      </c>
      <c r="D41" s="442">
        <v>46030</v>
      </c>
      <c r="E41" s="958">
        <v>0</v>
      </c>
      <c r="F41" s="958">
        <f>Tabla15[[#This Row],[Retiros]]-Tabla15[[#This Row],[Contado]]</f>
        <v>243</v>
      </c>
      <c r="G41" s="958">
        <v>505.1</v>
      </c>
      <c r="H41" s="958">
        <v>0</v>
      </c>
      <c r="I41" s="958">
        <v>0</v>
      </c>
      <c r="J41" s="958">
        <v>0</v>
      </c>
      <c r="K41" s="958">
        <v>0</v>
      </c>
      <c r="L41" s="958">
        <v>0</v>
      </c>
      <c r="M41" s="958">
        <v>243</v>
      </c>
      <c r="N41" s="959">
        <f>Tabla15[[#This Row],[Contado]]</f>
        <v>0</v>
      </c>
      <c r="O41" s="959"/>
      <c r="P41" s="443">
        <f>((Tabla15[[#This Row],[Contado]]+Tabla15[[#This Row],[Visa]]+Tabla15[[#This Row],[Eventos]]+Tabla15[[#This Row],[Passo]]+Tabla15[[#This Row],[Reciclajes]])/1.1)+Tabla15[[#This Row],[Tickets]]</f>
        <v>702.18181818181824</v>
      </c>
      <c r="Q41" s="444">
        <v>0</v>
      </c>
      <c r="R41" s="445">
        <f t="shared" si="4"/>
        <v>0.34606421543241839</v>
      </c>
      <c r="S41" s="446"/>
      <c r="T41" s="447">
        <v>481.23</v>
      </c>
      <c r="U41" s="447">
        <f>Tabla15[[#This Row],[Total Caja]]-Tabla15[[#This Row],[Facturació A/A]]</f>
        <v>220.95181818181823</v>
      </c>
      <c r="V41" s="447">
        <f t="shared" si="5"/>
        <v>-845.45545454545481</v>
      </c>
      <c r="W41" s="450">
        <f>Tabla15[[#This Row],[Diferencia]]/Tabla15[[#This Row],[Facturació A/A]]</f>
        <v>0.45913974228917193</v>
      </c>
      <c r="X41" s="447">
        <f>Tabla15[[#This Row],[Facturació A/A]]*H$17+Tabla15[[#This Row],[Facturació A/A]]</f>
        <v>495.6669</v>
      </c>
      <c r="Y41" s="447">
        <f>Tabla15[[#This Row],[Total Caja]]-Tabla15[[#This Row],[Previsión]]</f>
        <v>206.51491818181825</v>
      </c>
      <c r="Z41" s="446"/>
      <c r="AA41" s="447">
        <f>SUM(INDEX(Tabla15[[#This Row],[Facturació A/A]],1):Tabla15[[#This Row],[Facturació A/A]]) / SUM(INDEX(Tabla15[[#This Row],[Diferencia]],1):Tabla15[[#This Row],[Diferencia]])</f>
        <v>2.1779861508267944</v>
      </c>
      <c r="AB41" s="448" t="s">
        <v>460</v>
      </c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</row>
    <row r="42" spans="1:43" ht="16" customHeight="1">
      <c r="A42" s="427"/>
      <c r="B42" s="427"/>
      <c r="C42" s="428">
        <v>9</v>
      </c>
      <c r="D42" s="442">
        <v>46031</v>
      </c>
      <c r="E42" s="958">
        <v>153.15</v>
      </c>
      <c r="F42" s="958">
        <f>Tabla15[[#This Row],[Retiros]]-Tabla15[[#This Row],[Contado]]</f>
        <v>216.85</v>
      </c>
      <c r="G42" s="958">
        <v>681.7</v>
      </c>
      <c r="H42" s="958">
        <v>0</v>
      </c>
      <c r="I42" s="958">
        <v>0</v>
      </c>
      <c r="J42" s="958">
        <v>0</v>
      </c>
      <c r="K42" s="958">
        <v>0</v>
      </c>
      <c r="L42" s="958">
        <v>0</v>
      </c>
      <c r="M42" s="959">
        <v>370</v>
      </c>
      <c r="N42" s="959">
        <f>Tabla15[[#This Row],[Contado]]</f>
        <v>153.15</v>
      </c>
      <c r="O42" s="959"/>
      <c r="P42" s="443">
        <f>((Tabla15[[#This Row],[Contado]]+Tabla15[[#This Row],[Visa]]+Tabla15[[#This Row],[Eventos]]+Tabla15[[#This Row],[Passo]]+Tabla15[[#This Row],[Reciclajes]])/1.1)+Tabla15[[#This Row],[Tickets]]</f>
        <v>975.8045454545454</v>
      </c>
      <c r="Q42" s="444">
        <v>0.22</v>
      </c>
      <c r="R42" s="445">
        <f t="shared" si="4"/>
        <v>0.22222688038308716</v>
      </c>
      <c r="S42" s="446"/>
      <c r="T42" s="447">
        <v>950.95</v>
      </c>
      <c r="U42" s="447">
        <f>Tabla15[[#This Row],[Total Caja]]-Tabla15[[#This Row],[Facturació A/A]]</f>
        <v>24.854545454545359</v>
      </c>
      <c r="V42" s="447">
        <f t="shared" si="5"/>
        <v>-820.60090909090945</v>
      </c>
      <c r="W42" s="450">
        <f>Tabla15[[#This Row],[Diferencia]]/Tabla15[[#This Row],[Facturació A/A]]</f>
        <v>2.6136542882954264E-2</v>
      </c>
      <c r="X42" s="447">
        <f>Tabla15[[#This Row],[Facturació A/A]]*H$17+Tabla15[[#This Row],[Facturació A/A]]</f>
        <v>979.47850000000005</v>
      </c>
      <c r="Y42" s="447">
        <f>Tabla15[[#This Row],[Total Caja]]-Tabla15[[#This Row],[Previsión]]</f>
        <v>-3.6739545454546487</v>
      </c>
      <c r="Z42" s="446"/>
      <c r="AA42" s="447">
        <f>SUM(INDEX(Tabla15[[#This Row],[Facturació A/A]],1):Tabla15[[#This Row],[Facturació A/A]]) / SUM(INDEX(Tabla15[[#This Row],[Diferencia]],1):Tabla15[[#This Row],[Diferencia]])</f>
        <v>38.26060716898332</v>
      </c>
      <c r="AB42" s="448" t="s">
        <v>460</v>
      </c>
      <c r="AC42" s="427"/>
      <c r="AD42" s="427"/>
      <c r="AE42" s="427"/>
      <c r="AF42" s="427"/>
      <c r="AG42" s="427"/>
      <c r="AH42" s="427"/>
      <c r="AI42" s="427"/>
      <c r="AJ42" s="427"/>
      <c r="AK42" s="427"/>
      <c r="AL42" s="427"/>
      <c r="AM42" s="427"/>
      <c r="AN42" s="427"/>
      <c r="AO42" s="427"/>
      <c r="AP42" s="427"/>
      <c r="AQ42" s="427"/>
    </row>
    <row r="43" spans="1:43" ht="16" customHeight="1">
      <c r="A43" s="427"/>
      <c r="B43" s="427"/>
      <c r="C43" s="428">
        <v>10</v>
      </c>
      <c r="D43" s="442">
        <v>46032</v>
      </c>
      <c r="E43" s="958">
        <v>595.70000000000005</v>
      </c>
      <c r="F43" s="958">
        <f>Tabla15[[#This Row],[Retiros]]-Tabla15[[#This Row],[Contado]]</f>
        <v>129.29999999999995</v>
      </c>
      <c r="G43" s="958">
        <v>1886.65</v>
      </c>
      <c r="H43" s="958">
        <v>0</v>
      </c>
      <c r="I43" s="958">
        <v>50.55</v>
      </c>
      <c r="J43" s="958">
        <v>0</v>
      </c>
      <c r="K43" s="958">
        <v>0</v>
      </c>
      <c r="L43" s="958">
        <v>0</v>
      </c>
      <c r="M43" s="958">
        <v>725</v>
      </c>
      <c r="N43" s="959">
        <f>Tabla15[[#This Row],[Contado]]</f>
        <v>595.70000000000005</v>
      </c>
      <c r="O43" s="959"/>
      <c r="P43" s="443">
        <f>((Tabla15[[#This Row],[Contado]]+Tabla15[[#This Row],[Visa]]+Tabla15[[#This Row],[Eventos]]+Tabla15[[#This Row],[Passo]]+Tabla15[[#This Row],[Reciclajes]])/1.1)+Tabla15[[#This Row],[Tickets]]</f>
        <v>2431.9363636363641</v>
      </c>
      <c r="Q43" s="444">
        <v>0.32</v>
      </c>
      <c r="R43" s="445">
        <f t="shared" si="4"/>
        <v>5.3167509616355066E-2</v>
      </c>
      <c r="S43" s="446"/>
      <c r="T43" s="447">
        <v>1330.08</v>
      </c>
      <c r="U43" s="447">
        <f>Tabla15[[#This Row],[Total Caja]]-Tabla15[[#This Row],[Facturació A/A]]</f>
        <v>1101.8563636363642</v>
      </c>
      <c r="V43" s="447">
        <f t="shared" si="5"/>
        <v>281.25545454545477</v>
      </c>
      <c r="W43" s="450">
        <f>Tabla15[[#This Row],[Diferencia]]/Tabla15[[#This Row],[Facturació A/A]]</f>
        <v>0.82841360191594815</v>
      </c>
      <c r="X43" s="447">
        <f>Tabla15[[#This Row],[Facturació A/A]]*H$17+Tabla15[[#This Row],[Facturació A/A]]</f>
        <v>1369.9823999999999</v>
      </c>
      <c r="Y43" s="447">
        <f>Tabla15[[#This Row],[Total Caja]]-Tabla15[[#This Row],[Previsión]]</f>
        <v>1061.9539636363643</v>
      </c>
      <c r="Z43" s="446"/>
      <c r="AA43" s="447">
        <f>SUM(INDEX(Tabla15[[#This Row],[Facturació A/A]],1):Tabla15[[#This Row],[Facturació A/A]]) / SUM(INDEX(Tabla15[[#This Row],[Diferencia]],1):Tabla15[[#This Row],[Diferencia]])</f>
        <v>1.2071264857158408</v>
      </c>
      <c r="AB43" s="448" t="s">
        <v>460</v>
      </c>
      <c r="AC43" s="427"/>
      <c r="AD43" s="427"/>
      <c r="AE43" s="427"/>
      <c r="AF43" s="427"/>
      <c r="AG43" s="427"/>
      <c r="AH43" s="427"/>
      <c r="AI43" s="427"/>
      <c r="AJ43" s="427"/>
      <c r="AK43" s="427"/>
      <c r="AL43" s="427"/>
      <c r="AM43" s="427"/>
      <c r="AN43" s="427"/>
      <c r="AO43" s="427"/>
      <c r="AP43" s="427"/>
      <c r="AQ43" s="427"/>
    </row>
    <row r="44" spans="1:43" ht="16" customHeight="1">
      <c r="A44" s="427"/>
      <c r="B44" s="427"/>
      <c r="C44" s="428">
        <v>11</v>
      </c>
      <c r="D44" s="442">
        <v>46033</v>
      </c>
      <c r="E44" s="958">
        <v>217.15</v>
      </c>
      <c r="F44" s="958">
        <f>Tabla15[[#This Row],[Retiros]]-Tabla15[[#This Row],[Contado]]</f>
        <v>77.849999999999994</v>
      </c>
      <c r="G44" s="965">
        <v>596</v>
      </c>
      <c r="H44" s="958">
        <v>0</v>
      </c>
      <c r="I44" s="958">
        <v>53.25</v>
      </c>
      <c r="J44" s="958">
        <v>0</v>
      </c>
      <c r="K44" s="958">
        <v>0</v>
      </c>
      <c r="L44" s="958">
        <v>0</v>
      </c>
      <c r="M44" s="958">
        <v>295</v>
      </c>
      <c r="N44" s="959">
        <f>Tabla15[[#This Row],[Contado]]</f>
        <v>217.15</v>
      </c>
      <c r="O44" s="959"/>
      <c r="P44" s="443">
        <f>((Tabla15[[#This Row],[Contado]]+Tabla15[[#This Row],[Visa]]+Tabla15[[#This Row],[Eventos]]+Tabla15[[#This Row],[Passo]]+Tabla15[[#This Row],[Reciclajes]])/1.1)+Tabla15[[#This Row],[Tickets]]</f>
        <v>865.48636363636354</v>
      </c>
      <c r="Q44" s="444">
        <v>0.36</v>
      </c>
      <c r="R44" s="445">
        <f t="shared" si="4"/>
        <v>8.9949424128314609E-2</v>
      </c>
      <c r="S44" s="446"/>
      <c r="T44" s="447">
        <v>1023.71</v>
      </c>
      <c r="U44" s="447">
        <f>Tabla15[[#This Row],[Total Caja]]-Tabla15[[#This Row],[Facturació A/A]]</f>
        <v>-158.2236363636365</v>
      </c>
      <c r="V44" s="447">
        <f t="shared" si="5"/>
        <v>123.03181818181827</v>
      </c>
      <c r="W44" s="450">
        <f>Tabla15[[#This Row],[Diferencia]]/Tabla15[[#This Row],[Facturació A/A]]</f>
        <v>-0.1545590414899107</v>
      </c>
      <c r="X44" s="447">
        <f>Tabla15[[#This Row],[Facturació A/A]]*H$17+Tabla15[[#This Row],[Facturació A/A]]</f>
        <v>1054.4213</v>
      </c>
      <c r="Y44" s="447">
        <f>Tabla15[[#This Row],[Total Caja]]-Tabla15[[#This Row],[Previsión]]</f>
        <v>-188.93493636363644</v>
      </c>
      <c r="Z44" s="446"/>
      <c r="AA44" s="447">
        <f>SUM(INDEX(Tabla15[[#This Row],[Facturació A/A]],1):Tabla15[[#This Row],[Facturació A/A]]) / SUM(INDEX(Tabla15[[#This Row],[Diferencia]],1):Tabla15[[#This Row],[Diferencia]])</f>
        <v>-6.470019420153287</v>
      </c>
      <c r="AB44" s="448" t="s">
        <v>460</v>
      </c>
      <c r="AC44" s="427"/>
      <c r="AD44" s="427"/>
      <c r="AE44" s="427"/>
      <c r="AF44" s="427"/>
      <c r="AG44" s="427"/>
      <c r="AH44" s="427"/>
      <c r="AI44" s="427"/>
      <c r="AJ44" s="427"/>
      <c r="AK44" s="427"/>
      <c r="AL44" s="427"/>
      <c r="AM44" s="427"/>
      <c r="AN44" s="427"/>
      <c r="AO44" s="427"/>
      <c r="AP44" s="427"/>
      <c r="AQ44" s="427"/>
    </row>
    <row r="45" spans="1:43" ht="16" customHeight="1">
      <c r="A45" s="427"/>
      <c r="B45" s="427"/>
      <c r="C45" s="428">
        <v>12</v>
      </c>
      <c r="D45" s="442">
        <v>46034</v>
      </c>
      <c r="E45" s="958">
        <v>0</v>
      </c>
      <c r="F45" s="958">
        <f>Tabla15[[#This Row],[Retiros]]-Tabla15[[#This Row],[Contado]]</f>
        <v>0</v>
      </c>
      <c r="G45" s="958">
        <v>0</v>
      </c>
      <c r="H45" s="958">
        <v>0</v>
      </c>
      <c r="I45" s="958">
        <v>0</v>
      </c>
      <c r="J45" s="958">
        <v>0</v>
      </c>
      <c r="K45" s="958">
        <v>0</v>
      </c>
      <c r="L45" s="958">
        <v>0</v>
      </c>
      <c r="M45" s="958">
        <v>0</v>
      </c>
      <c r="N45" s="959">
        <f>Tabla15[[#This Row],[Contado]]</f>
        <v>0</v>
      </c>
      <c r="O45" s="959"/>
      <c r="P45" s="443">
        <f>((Tabla15[[#This Row],[Contado]]+Tabla15[[#This Row],[Visa]]+Tabla15[[#This Row],[Eventos]]+Tabla15[[#This Row],[Passo]]+Tabla15[[#This Row],[Reciclajes]])/1.1)+Tabla15[[#This Row],[Tickets]]</f>
        <v>0</v>
      </c>
      <c r="Q45" s="444">
        <v>0</v>
      </c>
      <c r="R45" s="445">
        <f t="shared" si="4"/>
        <v>0</v>
      </c>
      <c r="S45" s="446"/>
      <c r="T45" s="447">
        <v>0</v>
      </c>
      <c r="U45" s="447">
        <f>Tabla15[[#This Row],[Total Caja]]-Tabla15[[#This Row],[Facturació A/A]]</f>
        <v>0</v>
      </c>
      <c r="V45" s="447">
        <f t="shared" si="5"/>
        <v>123.03181818181827</v>
      </c>
      <c r="W45" s="450" t="e">
        <f>Tabla15[[#This Row],[Diferencia]]/Tabla15[[#This Row],[Facturació A/A]]</f>
        <v>#DIV/0!</v>
      </c>
      <c r="X45" s="447">
        <f>Tabla15[[#This Row],[Facturació A/A]]*H$17+Tabla15[[#This Row],[Facturació A/A]]</f>
        <v>0</v>
      </c>
      <c r="Y45" s="447">
        <f>Tabla15[[#This Row],[Total Caja]]-Tabla15[[#This Row],[Previsión]]</f>
        <v>0</v>
      </c>
      <c r="Z45" s="446"/>
      <c r="AA45" s="447" t="e">
        <f>SUM(INDEX(Tabla15[[#This Row],[Facturació A/A]],1):Tabla15[[#This Row],[Facturació A/A]]) / SUM(INDEX(Tabla15[[#This Row],[Diferencia]],1):Tabla15[[#This Row],[Diferencia]])</f>
        <v>#DIV/0!</v>
      </c>
      <c r="AB45" s="448" t="s">
        <v>460</v>
      </c>
      <c r="AC45" s="427"/>
      <c r="AD45" s="427"/>
      <c r="AE45" s="427"/>
      <c r="AF45" s="427"/>
      <c r="AG45" s="427"/>
      <c r="AH45" s="427"/>
      <c r="AI45" s="427"/>
      <c r="AJ45" s="427"/>
      <c r="AK45" s="427"/>
      <c r="AL45" s="427"/>
      <c r="AM45" s="427"/>
      <c r="AN45" s="427"/>
      <c r="AO45" s="427"/>
      <c r="AP45" s="427"/>
      <c r="AQ45" s="427"/>
    </row>
    <row r="46" spans="1:43" ht="16" customHeight="1">
      <c r="A46" s="427"/>
      <c r="B46" s="427"/>
      <c r="C46" s="428">
        <v>13</v>
      </c>
      <c r="D46" s="442">
        <v>46035</v>
      </c>
      <c r="E46" s="958">
        <v>0</v>
      </c>
      <c r="F46" s="958">
        <f>Tabla15[[#This Row],[Retiros]]-Tabla15[[#This Row],[Contado]]</f>
        <v>0</v>
      </c>
      <c r="G46" s="958">
        <v>0</v>
      </c>
      <c r="H46" s="958">
        <v>0</v>
      </c>
      <c r="I46" s="958">
        <v>0</v>
      </c>
      <c r="J46" s="958">
        <v>0</v>
      </c>
      <c r="K46" s="958">
        <v>0</v>
      </c>
      <c r="L46" s="958">
        <v>0</v>
      </c>
      <c r="M46" s="958">
        <v>0</v>
      </c>
      <c r="N46" s="959">
        <f>Tabla15[[#This Row],[Contado]]</f>
        <v>0</v>
      </c>
      <c r="O46" s="959"/>
      <c r="P46" s="443">
        <f>((Tabla15[[#This Row],[Contado]]+Tabla15[[#This Row],[Visa]]+Tabla15[[#This Row],[Eventos]]+Tabla15[[#This Row],[Passo]]+Tabla15[[#This Row],[Reciclajes]])/1.1)+Tabla15[[#This Row],[Tickets]]</f>
        <v>0</v>
      </c>
      <c r="Q46" s="444">
        <v>0</v>
      </c>
      <c r="R46" s="445">
        <f t="shared" si="4"/>
        <v>0</v>
      </c>
      <c r="S46" s="446"/>
      <c r="T46" s="451">
        <v>0</v>
      </c>
      <c r="U46" s="447">
        <f>Tabla15[[#This Row],[Total Caja]]-Tabla15[[#This Row],[Facturació A/A]]</f>
        <v>0</v>
      </c>
      <c r="V46" s="447">
        <f t="shared" si="5"/>
        <v>123.03181818181827</v>
      </c>
      <c r="W46" s="450" t="e">
        <f>Tabla15[[#This Row],[Diferencia]]/Tabla15[[#This Row],[Facturació A/A]]</f>
        <v>#DIV/0!</v>
      </c>
      <c r="X46" s="447">
        <f>Tabla15[[#This Row],[Facturació A/A]]*H$17+Tabla15[[#This Row],[Facturació A/A]]</f>
        <v>0</v>
      </c>
      <c r="Y46" s="447">
        <f>Tabla15[[#This Row],[Total Caja]]-Tabla15[[#This Row],[Previsión]]</f>
        <v>0</v>
      </c>
      <c r="Z46" s="446"/>
      <c r="AA46" s="447" t="e">
        <f>SUM(INDEX(Tabla15[[#This Row],[Facturació A/A]],1):Tabla15[[#This Row],[Facturació A/A]]) / SUM(INDEX(Tabla15[[#This Row],[Diferencia]],1):Tabla15[[#This Row],[Diferencia]])</f>
        <v>#DIV/0!</v>
      </c>
      <c r="AB46" s="448" t="s">
        <v>460</v>
      </c>
      <c r="AC46" s="427"/>
      <c r="AD46" s="427"/>
      <c r="AE46" s="427"/>
      <c r="AF46" s="427"/>
      <c r="AG46" s="427"/>
      <c r="AH46" s="427"/>
      <c r="AI46" s="427"/>
      <c r="AJ46" s="427"/>
      <c r="AK46" s="427"/>
      <c r="AL46" s="427"/>
      <c r="AM46" s="427"/>
      <c r="AN46" s="427"/>
      <c r="AO46" s="427"/>
      <c r="AP46" s="427"/>
      <c r="AQ46" s="427"/>
    </row>
    <row r="47" spans="1:43" ht="16" customHeight="1">
      <c r="A47" s="427"/>
      <c r="B47" s="427"/>
      <c r="C47" s="428">
        <v>14</v>
      </c>
      <c r="D47" s="442">
        <v>46036</v>
      </c>
      <c r="E47" s="958">
        <v>0</v>
      </c>
      <c r="F47" s="958">
        <f>Tabla15[[#This Row],[Retiros]]-Tabla15[[#This Row],[Contado]]</f>
        <v>0</v>
      </c>
      <c r="G47" s="958">
        <v>234.85</v>
      </c>
      <c r="H47" s="958">
        <v>0</v>
      </c>
      <c r="I47" s="958">
        <v>134.35</v>
      </c>
      <c r="J47" s="958">
        <v>0</v>
      </c>
      <c r="K47" s="958">
        <v>0</v>
      </c>
      <c r="L47" s="958">
        <v>0</v>
      </c>
      <c r="M47" s="958">
        <v>0</v>
      </c>
      <c r="N47" s="959">
        <f>Tabla15[[#This Row],[Contado]]</f>
        <v>0</v>
      </c>
      <c r="O47" s="959"/>
      <c r="P47" s="443">
        <f>((Tabla15[[#This Row],[Contado]]+Tabla15[[#This Row],[Visa]]+Tabla15[[#This Row],[Eventos]]+Tabla15[[#This Row],[Passo]]+Tabla15[[#This Row],[Reciclajes]])/1.1)+Tabla15[[#This Row],[Tickets]]</f>
        <v>335.63636363636363</v>
      </c>
      <c r="Q47" s="444">
        <v>0</v>
      </c>
      <c r="R47" s="445">
        <f t="shared" si="4"/>
        <v>0</v>
      </c>
      <c r="S47" s="446"/>
      <c r="T47" s="447">
        <v>881.84</v>
      </c>
      <c r="U47" s="447">
        <f>Tabla15[[#This Row],[Total Caja]]-Tabla15[[#This Row],[Facturació A/A]]</f>
        <v>-546.20363636363641</v>
      </c>
      <c r="V47" s="447">
        <f t="shared" si="5"/>
        <v>-423.17181818181814</v>
      </c>
      <c r="W47" s="450">
        <f>Tabla15[[#This Row],[Diferencia]]/Tabla15[[#This Row],[Facturació A/A]]</f>
        <v>-0.61939086043231928</v>
      </c>
      <c r="X47" s="447">
        <f>Tabla15[[#This Row],[Facturació A/A]]*H$17+Tabla15[[#This Row],[Facturació A/A]]</f>
        <v>908.29520000000002</v>
      </c>
      <c r="Y47" s="447">
        <f>Tabla15[[#This Row],[Total Caja]]-Tabla15[[#This Row],[Previsión]]</f>
        <v>-572.6588363636364</v>
      </c>
      <c r="Z47" s="446"/>
      <c r="AA47" s="447">
        <f>SUM(INDEX(Tabla15[[#This Row],[Facturació A/A]],1):Tabla15[[#This Row],[Facturació A/A]]) / SUM(INDEX(Tabla15[[#This Row],[Diferencia]],1):Tabla15[[#This Row],[Diferencia]])</f>
        <v>-1.6144894345099396</v>
      </c>
      <c r="AB47" s="448" t="s">
        <v>460</v>
      </c>
      <c r="AC47" s="427"/>
      <c r="AD47" s="427"/>
      <c r="AE47" s="427"/>
      <c r="AF47" s="427"/>
      <c r="AG47" s="427"/>
      <c r="AH47" s="427"/>
      <c r="AI47" s="427"/>
      <c r="AJ47" s="427"/>
      <c r="AK47" s="427"/>
      <c r="AL47" s="427"/>
      <c r="AM47" s="427"/>
      <c r="AN47" s="427"/>
      <c r="AO47" s="427"/>
      <c r="AP47" s="427"/>
      <c r="AQ47" s="427"/>
    </row>
    <row r="48" spans="1:43" ht="16" customHeight="1">
      <c r="A48" s="427"/>
      <c r="B48" s="427"/>
      <c r="C48" s="428">
        <v>15</v>
      </c>
      <c r="D48" s="442">
        <v>46037</v>
      </c>
      <c r="E48" s="958">
        <v>0</v>
      </c>
      <c r="F48" s="958">
        <f>Tabla15[[#This Row],[Retiros]]-Tabla15[[#This Row],[Contado]]</f>
        <v>30</v>
      </c>
      <c r="G48" s="958">
        <v>743.1</v>
      </c>
      <c r="H48" s="958">
        <v>0</v>
      </c>
      <c r="I48" s="958">
        <v>20.5</v>
      </c>
      <c r="J48" s="958">
        <v>30</v>
      </c>
      <c r="K48" s="958">
        <v>0</v>
      </c>
      <c r="L48" s="958">
        <v>0</v>
      </c>
      <c r="M48" s="958">
        <v>30</v>
      </c>
      <c r="N48" s="959">
        <f>Tabla15[[#This Row],[Contado]]</f>
        <v>0</v>
      </c>
      <c r="O48" s="959"/>
      <c r="P48" s="443">
        <f>((Tabla15[[#This Row],[Contado]]+Tabla15[[#This Row],[Visa]]+Tabla15[[#This Row],[Eventos]]+Tabla15[[#This Row],[Passo]]+Tabla15[[#This Row],[Reciclajes]])/1.1)+Tabla15[[#This Row],[Tickets]]</f>
        <v>751.45454545454538</v>
      </c>
      <c r="Q48" s="444">
        <v>0</v>
      </c>
      <c r="R48" s="445">
        <f t="shared" si="4"/>
        <v>3.9922574401161391E-2</v>
      </c>
      <c r="S48" s="446"/>
      <c r="T48" s="447">
        <v>714.59</v>
      </c>
      <c r="U48" s="447">
        <f>Tabla15[[#This Row],[Total Caja]]-Tabla15[[#This Row],[Facturació A/A]]</f>
        <v>36.86454545454535</v>
      </c>
      <c r="V48" s="447">
        <f t="shared" si="5"/>
        <v>-386.30727272727279</v>
      </c>
      <c r="W48" s="450">
        <f>Tabla15[[#This Row],[Diferencia]]/Tabla15[[#This Row],[Facturació A/A]]</f>
        <v>5.1588386983508511E-2</v>
      </c>
      <c r="X48" s="447">
        <f>Tabla15[[#This Row],[Facturació A/A]]*H$17+Tabla15[[#This Row],[Facturació A/A]]</f>
        <v>736.02769999999998</v>
      </c>
      <c r="Y48" s="447">
        <f>Tabla15[[#This Row],[Total Caja]]-Tabla15[[#This Row],[Previsión]]</f>
        <v>15.426845454545401</v>
      </c>
      <c r="Z48" s="446"/>
      <c r="AA48" s="447">
        <f>SUM(INDEX(Tabla15[[#This Row],[Facturació A/A]],1):Tabla15[[#This Row],[Facturació A/A]]) / SUM(INDEX(Tabla15[[#This Row],[Diferencia]],1):Tabla15[[#This Row],[Diferencia]])</f>
        <v>19.384207541121114</v>
      </c>
      <c r="AB48" s="448" t="s">
        <v>460</v>
      </c>
      <c r="AC48" s="427"/>
      <c r="AD48" s="427"/>
      <c r="AE48" s="427"/>
      <c r="AF48" s="427"/>
      <c r="AG48" s="427"/>
      <c r="AH48" s="427"/>
      <c r="AI48" s="427"/>
      <c r="AJ48" s="427"/>
      <c r="AK48" s="427"/>
      <c r="AL48" s="427"/>
      <c r="AM48" s="427"/>
      <c r="AN48" s="427"/>
      <c r="AO48" s="427"/>
      <c r="AP48" s="427"/>
      <c r="AQ48" s="427"/>
    </row>
    <row r="49" spans="1:43" ht="16" customHeight="1">
      <c r="A49" s="427"/>
      <c r="B49" s="427"/>
      <c r="C49" s="428">
        <v>16</v>
      </c>
      <c r="D49" s="442">
        <v>46038</v>
      </c>
      <c r="E49" s="958">
        <v>599.1</v>
      </c>
      <c r="F49" s="958">
        <f>Tabla15[[#This Row],[Retiros]]-Tabla15[[#This Row],[Contado]]</f>
        <v>110.89999999999998</v>
      </c>
      <c r="G49" s="958">
        <v>599.1</v>
      </c>
      <c r="H49" s="958">
        <v>0</v>
      </c>
      <c r="I49" s="958">
        <v>102.6</v>
      </c>
      <c r="J49" s="958">
        <v>0</v>
      </c>
      <c r="K49" s="958">
        <v>0</v>
      </c>
      <c r="L49" s="958">
        <v>0</v>
      </c>
      <c r="M49" s="958">
        <v>710</v>
      </c>
      <c r="N49" s="959">
        <f>Tabla15[[#This Row],[Contado]]</f>
        <v>599.1</v>
      </c>
      <c r="O49" s="959"/>
      <c r="P49" s="443">
        <f>((Tabla15[[#This Row],[Contado]]+Tabla15[[#This Row],[Visa]]+Tabla15[[#This Row],[Eventos]]+Tabla15[[#This Row],[Passo]]+Tabla15[[#This Row],[Reciclajes]])/1.1)+Tabla15[[#This Row],[Tickets]]</f>
        <v>1293.4454545454546</v>
      </c>
      <c r="Q49" s="444">
        <v>1</v>
      </c>
      <c r="R49" s="445">
        <f t="shared" si="4"/>
        <v>8.5739989738471578E-2</v>
      </c>
      <c r="S49" s="446"/>
      <c r="T49" s="447">
        <v>1320.09</v>
      </c>
      <c r="U49" s="447">
        <f>Tabla15[[#This Row],[Total Caja]]-Tabla15[[#This Row],[Facturació A/A]]</f>
        <v>-26.644545454545323</v>
      </c>
      <c r="V49" s="447">
        <f t="shared" si="5"/>
        <v>-412.95181818181811</v>
      </c>
      <c r="W49" s="450">
        <f>Tabla15[[#This Row],[Diferencia]]/Tabla15[[#This Row],[Facturació A/A]]</f>
        <v>-2.0183885533975203E-2</v>
      </c>
      <c r="X49" s="447">
        <f>Tabla15[[#This Row],[Facturació A/A]]*H$17+Tabla15[[#This Row],[Facturació A/A]]</f>
        <v>1359.6926999999998</v>
      </c>
      <c r="Y49" s="447">
        <f>Tabla15[[#This Row],[Total Caja]]-Tabla15[[#This Row],[Previsión]]</f>
        <v>-66.247245454545236</v>
      </c>
      <c r="Z49" s="446"/>
      <c r="AA49" s="447">
        <f>SUM(INDEX(Tabla15[[#This Row],[Facturació A/A]],1):Tabla15[[#This Row],[Facturació A/A]]) / SUM(INDEX(Tabla15[[#This Row],[Diferencia]],1):Tabla15[[#This Row],[Diferencia]])</f>
        <v>-49.544474393531239</v>
      </c>
      <c r="AB49" s="448" t="s">
        <v>460</v>
      </c>
      <c r="AC49" s="427"/>
      <c r="AD49" s="427"/>
      <c r="AE49" s="427"/>
      <c r="AF49" s="427"/>
      <c r="AG49" s="427"/>
      <c r="AH49" s="427"/>
      <c r="AI49" s="427"/>
      <c r="AJ49" s="427"/>
      <c r="AK49" s="427"/>
      <c r="AL49" s="427"/>
      <c r="AM49" s="427"/>
      <c r="AN49" s="427"/>
      <c r="AO49" s="427"/>
      <c r="AP49" s="427"/>
      <c r="AQ49" s="427"/>
    </row>
    <row r="50" spans="1:43" ht="16" customHeight="1">
      <c r="A50" s="427"/>
      <c r="B50" s="427"/>
      <c r="C50" s="428">
        <v>17</v>
      </c>
      <c r="D50" s="442">
        <v>46039</v>
      </c>
      <c r="E50" s="958">
        <v>288.95</v>
      </c>
      <c r="F50" s="958">
        <f>Tabla15[[#This Row],[Retiros]]-Tabla15[[#This Row],[Contado]]</f>
        <v>46.050000000000011</v>
      </c>
      <c r="G50" s="958">
        <v>716.7</v>
      </c>
      <c r="H50" s="958">
        <v>0</v>
      </c>
      <c r="I50" s="958">
        <v>44.5</v>
      </c>
      <c r="J50" s="958">
        <v>0</v>
      </c>
      <c r="K50" s="958">
        <v>0</v>
      </c>
      <c r="L50" s="958">
        <v>0</v>
      </c>
      <c r="M50" s="958">
        <v>335</v>
      </c>
      <c r="N50" s="959">
        <f>Tabla15[[#This Row],[Contado]]</f>
        <v>288.95</v>
      </c>
      <c r="O50" s="959"/>
      <c r="P50" s="443">
        <f>((Tabla15[[#This Row],[Contado]]+Tabla15[[#This Row],[Visa]]+Tabla15[[#This Row],[Eventos]]+Tabla15[[#This Row],[Passo]]+Tabla15[[#This Row],[Reciclajes]])/1.1)+Tabla15[[#This Row],[Tickets]]</f>
        <v>1000.7318181818182</v>
      </c>
      <c r="Q50" s="444">
        <v>0.4</v>
      </c>
      <c r="R50" s="445">
        <f t="shared" si="4"/>
        <v>4.6016324417131112E-2</v>
      </c>
      <c r="S50" s="446"/>
      <c r="T50" s="447">
        <v>1340.31</v>
      </c>
      <c r="U50" s="447">
        <f>Tabla15[[#This Row],[Total Caja]]-Tabla15[[#This Row],[Facturació A/A]]</f>
        <v>-339.57818181818175</v>
      </c>
      <c r="V50" s="447">
        <f t="shared" si="5"/>
        <v>-752.52999999999986</v>
      </c>
      <c r="W50" s="450">
        <f>Tabla15[[#This Row],[Diferencia]]/Tabla15[[#This Row],[Facturació A/A]]</f>
        <v>-0.25335794093767994</v>
      </c>
      <c r="X50" s="447">
        <f>Tabla15[[#This Row],[Facturació A/A]]*H$17+Tabla15[[#This Row],[Facturació A/A]]</f>
        <v>1380.5192999999999</v>
      </c>
      <c r="Y50" s="447">
        <f>Tabla15[[#This Row],[Total Caja]]-Tabla15[[#This Row],[Previsión]]</f>
        <v>-379.78748181818173</v>
      </c>
      <c r="Z50" s="446"/>
      <c r="AA50" s="447">
        <f>SUM(INDEX(Tabla15[[#This Row],[Facturació A/A]],1):Tabla15[[#This Row],[Facturació A/A]]) / SUM(INDEX(Tabla15[[#This Row],[Diferencia]],1):Tabla15[[#This Row],[Diferencia]])</f>
        <v>-3.946985029555385</v>
      </c>
      <c r="AB50" s="448" t="s">
        <v>460</v>
      </c>
      <c r="AC50" s="427"/>
      <c r="AD50" s="427"/>
      <c r="AE50" s="427"/>
      <c r="AF50" s="452"/>
      <c r="AG50" s="427"/>
      <c r="AH50" s="427"/>
      <c r="AI50" s="427"/>
      <c r="AJ50" s="427"/>
      <c r="AK50" s="427"/>
      <c r="AL50" s="427"/>
      <c r="AM50" s="427"/>
      <c r="AN50" s="427"/>
      <c r="AO50" s="427"/>
      <c r="AP50" s="427"/>
      <c r="AQ50" s="427"/>
    </row>
    <row r="51" spans="1:43" ht="16" customHeight="1">
      <c r="A51" s="427"/>
      <c r="B51" s="427"/>
      <c r="C51" s="428">
        <v>18</v>
      </c>
      <c r="D51" s="442">
        <v>46040</v>
      </c>
      <c r="E51" s="958">
        <v>247.65</v>
      </c>
      <c r="F51" s="958">
        <f>Tabla15[[#This Row],[Retiros]]-Tabla15[[#This Row],[Contado]]</f>
        <v>117.35</v>
      </c>
      <c r="G51" s="958">
        <v>858.75</v>
      </c>
      <c r="H51" s="958">
        <v>0</v>
      </c>
      <c r="I51" s="958">
        <v>0</v>
      </c>
      <c r="J51" s="958">
        <v>0</v>
      </c>
      <c r="K51" s="958">
        <v>0</v>
      </c>
      <c r="L51" s="958">
        <v>0</v>
      </c>
      <c r="M51" s="958">
        <v>365</v>
      </c>
      <c r="N51" s="959">
        <f>Tabla15[[#This Row],[Contado]]</f>
        <v>247.65</v>
      </c>
      <c r="O51" s="959"/>
      <c r="P51" s="443">
        <f>((Tabla15[[#This Row],[Contado]]+Tabla15[[#This Row],[Visa]]+Tabla15[[#This Row],[Eventos]]+Tabla15[[#This Row],[Passo]]+Tabla15[[#This Row],[Reciclajes]])/1.1)+Tabla15[[#This Row],[Tickets]]</f>
        <v>1123.1681818181819</v>
      </c>
      <c r="Q51" s="444">
        <v>0.28999999999999998</v>
      </c>
      <c r="R51" s="445">
        <f t="shared" si="4"/>
        <v>0.10448123611375289</v>
      </c>
      <c r="S51" s="446"/>
      <c r="T51" s="447">
        <v>1361.87</v>
      </c>
      <c r="U51" s="447">
        <f>Tabla15[[#This Row],[Total Caja]]-Tabla15[[#This Row],[Facturació A/A]]</f>
        <v>-238.701818181818</v>
      </c>
      <c r="V51" s="447">
        <f t="shared" si="5"/>
        <v>-991.23181818181786</v>
      </c>
      <c r="W51" s="450">
        <f>Tabla15[[#This Row],[Diferencia]]/Tabla15[[#This Row],[Facturació A/A]]</f>
        <v>-0.17527503960129676</v>
      </c>
      <c r="X51" s="447">
        <f>Tabla15[[#This Row],[Facturació A/A]]*H$17+Tabla15[[#This Row],[Facturació A/A]]</f>
        <v>1402.7260999999999</v>
      </c>
      <c r="Y51" s="447">
        <f>Tabla15[[#This Row],[Total Caja]]-Tabla15[[#This Row],[Previsión]]</f>
        <v>-279.55791818181797</v>
      </c>
      <c r="Z51" s="446"/>
      <c r="AA51" s="447">
        <f>SUM(INDEX(Tabla15[[#This Row],[Facturació A/A]],1):Tabla15[[#This Row],[Facturació A/A]]) / SUM(INDEX(Tabla15[[#This Row],[Diferencia]],1):Tabla15[[#This Row],[Diferencia]])</f>
        <v>-5.7053189220480514</v>
      </c>
      <c r="AB51" s="448" t="s">
        <v>460</v>
      </c>
      <c r="AC51" s="427"/>
      <c r="AD51" s="427"/>
      <c r="AE51" s="427"/>
      <c r="AF51" s="427"/>
      <c r="AG51" s="427"/>
      <c r="AH51" s="427"/>
      <c r="AI51" s="427"/>
      <c r="AJ51" s="427"/>
      <c r="AK51" s="427"/>
      <c r="AL51" s="427"/>
      <c r="AM51" s="427"/>
      <c r="AN51" s="427"/>
      <c r="AO51" s="427"/>
      <c r="AP51" s="427"/>
      <c r="AQ51" s="427"/>
    </row>
    <row r="52" spans="1:43" ht="16" customHeight="1">
      <c r="A52" s="427"/>
      <c r="B52" s="427"/>
      <c r="C52" s="428">
        <v>19</v>
      </c>
      <c r="D52" s="442">
        <v>46041</v>
      </c>
      <c r="E52" s="958">
        <v>0</v>
      </c>
      <c r="F52" s="958">
        <f>Tabla15[[#This Row],[Retiros]]-Tabla15[[#This Row],[Contado]]</f>
        <v>0</v>
      </c>
      <c r="G52" s="958">
        <v>0</v>
      </c>
      <c r="H52" s="958">
        <v>0</v>
      </c>
      <c r="I52" s="958">
        <v>0</v>
      </c>
      <c r="J52" s="958">
        <v>0</v>
      </c>
      <c r="K52" s="958">
        <v>0</v>
      </c>
      <c r="L52" s="958">
        <v>0</v>
      </c>
      <c r="M52" s="958">
        <v>0</v>
      </c>
      <c r="N52" s="959">
        <f>Tabla15[[#This Row],[Contado]]</f>
        <v>0</v>
      </c>
      <c r="O52" s="959"/>
      <c r="P52" s="443">
        <f>((Tabla15[[#This Row],[Contado]]+Tabla15[[#This Row],[Visa]]+Tabla15[[#This Row],[Eventos]]+Tabla15[[#This Row],[Passo]]+Tabla15[[#This Row],[Reciclajes]])/1.1)+Tabla15[[#This Row],[Tickets]]</f>
        <v>0</v>
      </c>
      <c r="Q52" s="444">
        <v>0</v>
      </c>
      <c r="R52" s="445">
        <f t="shared" si="4"/>
        <v>0</v>
      </c>
      <c r="S52" s="446"/>
      <c r="T52" s="447">
        <v>0</v>
      </c>
      <c r="U52" s="447">
        <f>Tabla15[[#This Row],[Total Caja]]-Tabla15[[#This Row],[Facturació A/A]]</f>
        <v>0</v>
      </c>
      <c r="V52" s="447">
        <f t="shared" si="5"/>
        <v>-991.23181818181786</v>
      </c>
      <c r="W52" s="450" t="e">
        <f>Tabla15[[#This Row],[Diferencia]]/Tabla15[[#This Row],[Facturació A/A]]</f>
        <v>#DIV/0!</v>
      </c>
      <c r="X52" s="447">
        <f>Tabla15[[#This Row],[Facturació A/A]]*H$17+Tabla15[[#This Row],[Facturació A/A]]</f>
        <v>0</v>
      </c>
      <c r="Y52" s="447">
        <f>Tabla15[[#This Row],[Total Caja]]-Tabla15[[#This Row],[Previsión]]</f>
        <v>0</v>
      </c>
      <c r="Z52" s="446"/>
      <c r="AA52" s="447" t="e">
        <f>SUM(INDEX(Tabla15[[#This Row],[Facturació A/A]],1):Tabla15[[#This Row],[Facturació A/A]]) / SUM(INDEX(Tabla15[[#This Row],[Diferencia]],1):Tabla15[[#This Row],[Diferencia]])</f>
        <v>#DIV/0!</v>
      </c>
      <c r="AB52" s="448" t="s">
        <v>460</v>
      </c>
      <c r="AC52" s="427"/>
      <c r="AD52" s="427"/>
      <c r="AE52" s="427"/>
      <c r="AF52" s="427"/>
      <c r="AG52" s="427"/>
      <c r="AH52" s="427"/>
      <c r="AI52" s="427"/>
      <c r="AJ52" s="427"/>
      <c r="AK52" s="427"/>
      <c r="AL52" s="427"/>
      <c r="AM52" s="427"/>
      <c r="AN52" s="427"/>
      <c r="AO52" s="427"/>
      <c r="AP52" s="427"/>
      <c r="AQ52" s="427"/>
    </row>
    <row r="53" spans="1:43" ht="16" customHeight="1">
      <c r="A53" s="427"/>
      <c r="B53" s="427"/>
      <c r="C53" s="428">
        <v>20</v>
      </c>
      <c r="D53" s="442">
        <v>46042</v>
      </c>
      <c r="E53" s="958">
        <v>0</v>
      </c>
      <c r="F53" s="958">
        <f>Tabla15[[#This Row],[Retiros]]-Tabla15[[#This Row],[Contado]]</f>
        <v>0</v>
      </c>
      <c r="G53" s="958">
        <v>0</v>
      </c>
      <c r="H53" s="958">
        <v>0</v>
      </c>
      <c r="I53" s="958">
        <v>0</v>
      </c>
      <c r="J53" s="958">
        <v>0</v>
      </c>
      <c r="K53" s="958">
        <v>0</v>
      </c>
      <c r="L53" s="958">
        <v>0</v>
      </c>
      <c r="M53" s="958">
        <v>0</v>
      </c>
      <c r="N53" s="959">
        <f>Tabla15[[#This Row],[Contado]]</f>
        <v>0</v>
      </c>
      <c r="O53" s="959"/>
      <c r="P53" s="443">
        <f>((Tabla15[[#This Row],[Contado]]+Tabla15[[#This Row],[Visa]]+Tabla15[[#This Row],[Eventos]]+Tabla15[[#This Row],[Passo]]+Tabla15[[#This Row],[Reciclajes]])/1.1)+Tabla15[[#This Row],[Tickets]]</f>
        <v>0</v>
      </c>
      <c r="Q53" s="444">
        <v>0</v>
      </c>
      <c r="R53" s="445">
        <f t="shared" si="4"/>
        <v>0</v>
      </c>
      <c r="S53" s="446"/>
      <c r="T53" s="447">
        <v>0</v>
      </c>
      <c r="U53" s="447">
        <f>Tabla15[[#This Row],[Total Caja]]-Tabla15[[#This Row],[Facturació A/A]]</f>
        <v>0</v>
      </c>
      <c r="V53" s="447">
        <f t="shared" si="5"/>
        <v>-991.23181818181786</v>
      </c>
      <c r="W53" s="450" t="e">
        <f>Tabla15[[#This Row],[Diferencia]]/Tabla15[[#This Row],[Facturació A/A]]</f>
        <v>#DIV/0!</v>
      </c>
      <c r="X53" s="447">
        <f>Tabla15[[#This Row],[Facturació A/A]]*H$17+Tabla15[[#This Row],[Facturació A/A]]</f>
        <v>0</v>
      </c>
      <c r="Y53" s="447">
        <f>Tabla15[[#This Row],[Total Caja]]-Tabla15[[#This Row],[Previsión]]</f>
        <v>0</v>
      </c>
      <c r="Z53" s="446"/>
      <c r="AA53" s="447" t="e">
        <f>SUM(INDEX(Tabla15[[#This Row],[Facturació A/A]],1):Tabla15[[#This Row],[Facturació A/A]]) / SUM(INDEX(Tabla15[[#This Row],[Diferencia]],1):Tabla15[[#This Row],[Diferencia]])</f>
        <v>#DIV/0!</v>
      </c>
      <c r="AB53" s="448" t="s">
        <v>460</v>
      </c>
      <c r="AC53" s="427"/>
      <c r="AD53" s="427"/>
      <c r="AE53" s="427"/>
      <c r="AF53" s="427"/>
      <c r="AG53" s="427"/>
      <c r="AH53" s="427"/>
      <c r="AI53" s="427"/>
      <c r="AJ53" s="427"/>
      <c r="AK53" s="427"/>
      <c r="AL53" s="427"/>
      <c r="AM53" s="427"/>
      <c r="AN53" s="427"/>
      <c r="AO53" s="427"/>
      <c r="AP53" s="427"/>
      <c r="AQ53" s="427"/>
    </row>
    <row r="54" spans="1:43" ht="16" customHeight="1">
      <c r="A54" s="427"/>
      <c r="B54" s="427"/>
      <c r="C54" s="428">
        <v>21</v>
      </c>
      <c r="D54" s="442">
        <v>46043</v>
      </c>
      <c r="E54" s="958">
        <v>47.7</v>
      </c>
      <c r="F54" s="958">
        <f>Tabla15[[#This Row],[Retiros]]-Tabla15[[#This Row],[Contado]]</f>
        <v>183.3</v>
      </c>
      <c r="G54" s="958">
        <v>225</v>
      </c>
      <c r="H54" s="958">
        <v>0</v>
      </c>
      <c r="I54" s="958">
        <v>31.05</v>
      </c>
      <c r="J54" s="958">
        <v>0</v>
      </c>
      <c r="K54" s="958">
        <v>0</v>
      </c>
      <c r="L54" s="958">
        <v>0</v>
      </c>
      <c r="M54" s="958">
        <v>231</v>
      </c>
      <c r="N54" s="959">
        <f>Tabla15[[#This Row],[Contado]]</f>
        <v>47.7</v>
      </c>
      <c r="O54" s="959"/>
      <c r="P54" s="443">
        <f>((Tabla15[[#This Row],[Contado]]+Tabla15[[#This Row],[Visa]]+Tabla15[[#This Row],[Eventos]]+Tabla15[[#This Row],[Passo]]+Tabla15[[#This Row],[Reciclajes]])/1.1)+Tabla15[[#This Row],[Tickets]]</f>
        <v>459.43636363636364</v>
      </c>
      <c r="Q54" s="444">
        <v>0.21</v>
      </c>
      <c r="R54" s="445">
        <f t="shared" si="4"/>
        <v>0.39896711385492106</v>
      </c>
      <c r="S54" s="446"/>
      <c r="T54" s="447">
        <v>764.26</v>
      </c>
      <c r="U54" s="447">
        <f>Tabla15[[#This Row],[Total Caja]]-Tabla15[[#This Row],[Facturació A/A]]</f>
        <v>-304.82363636363635</v>
      </c>
      <c r="V54" s="447">
        <f t="shared" si="5"/>
        <v>-1296.0554545454543</v>
      </c>
      <c r="W54" s="450">
        <f>Tabla15[[#This Row],[Diferencia]]/Tabla15[[#This Row],[Facturació A/A]]</f>
        <v>-0.39884808358887858</v>
      </c>
      <c r="X54" s="447">
        <f>Tabla15[[#This Row],[Facturació A/A]]*H$17+Tabla15[[#This Row],[Facturació A/A]]</f>
        <v>787.18780000000004</v>
      </c>
      <c r="Y54" s="447">
        <f>Tabla15[[#This Row],[Total Caja]]-Tabla15[[#This Row],[Previsión]]</f>
        <v>-327.7514363636364</v>
      </c>
      <c r="Z54" s="446"/>
      <c r="AA54" s="447">
        <f>SUM(INDEX(Tabla15[[#This Row],[Facturació A/A]],1):Tabla15[[#This Row],[Facturació A/A]]) / SUM(INDEX(Tabla15[[#This Row],[Diferencia]],1):Tabla15[[#This Row],[Diferencia]])</f>
        <v>-2.507220270439539</v>
      </c>
      <c r="AB54" s="448" t="s">
        <v>460</v>
      </c>
      <c r="AC54" s="427"/>
      <c r="AD54" s="427"/>
      <c r="AE54" s="427"/>
      <c r="AF54" s="427"/>
      <c r="AG54" s="427"/>
      <c r="AH54" s="427"/>
      <c r="AI54" s="427"/>
      <c r="AJ54" s="427"/>
      <c r="AK54" s="427"/>
      <c r="AL54" s="427"/>
      <c r="AM54" s="427"/>
      <c r="AN54" s="427"/>
      <c r="AO54" s="427"/>
      <c r="AP54" s="427"/>
      <c r="AQ54" s="427"/>
    </row>
    <row r="55" spans="1:43" ht="16" customHeight="1">
      <c r="A55" s="427"/>
      <c r="B55" s="427"/>
      <c r="C55" s="428">
        <v>22</v>
      </c>
      <c r="D55" s="442">
        <v>46044</v>
      </c>
      <c r="E55" s="958">
        <v>51.65</v>
      </c>
      <c r="F55" s="958">
        <f>Tabla15[[#This Row],[Retiros]]-Tabla15[[#This Row],[Contado]]</f>
        <v>168.35</v>
      </c>
      <c r="G55" s="958">
        <v>678.4</v>
      </c>
      <c r="H55" s="958">
        <v>0</v>
      </c>
      <c r="I55" s="958">
        <v>0</v>
      </c>
      <c r="J55" s="958">
        <v>0</v>
      </c>
      <c r="K55" s="958">
        <v>0</v>
      </c>
      <c r="L55" s="958">
        <v>0</v>
      </c>
      <c r="M55" s="958">
        <v>220</v>
      </c>
      <c r="N55" s="959">
        <f>Tabla15[[#This Row],[Contado]]</f>
        <v>51.65</v>
      </c>
      <c r="O55" s="959"/>
      <c r="P55" s="443">
        <f>((Tabla15[[#This Row],[Contado]]+Tabla15[[#This Row],[Visa]]+Tabla15[[#This Row],[Eventos]]+Tabla15[[#This Row],[Passo]]+Tabla15[[#This Row],[Reciclajes]])/1.1)+Tabla15[[#This Row],[Tickets]]</f>
        <v>832.03181818181815</v>
      </c>
      <c r="Q55" s="444">
        <v>0.08</v>
      </c>
      <c r="R55" s="445">
        <f t="shared" si="4"/>
        <v>0.20233601206247576</v>
      </c>
      <c r="S55" s="446"/>
      <c r="T55" s="447">
        <v>467.08</v>
      </c>
      <c r="U55" s="447">
        <f>Tabla15[[#This Row],[Total Caja]]-Tabla15[[#This Row],[Facturació A/A]]</f>
        <v>364.95181818181817</v>
      </c>
      <c r="V55" s="447">
        <f t="shared" si="5"/>
        <v>-931.10363636363604</v>
      </c>
      <c r="W55" s="450">
        <f>Tabla15[[#This Row],[Diferencia]]/Tabla15[[#This Row],[Facturació A/A]]</f>
        <v>0.78134755969388148</v>
      </c>
      <c r="X55" s="447">
        <f>Tabla15[[#This Row],[Facturació A/A]]*H$17+Tabla15[[#This Row],[Facturació A/A]]</f>
        <v>481.0924</v>
      </c>
      <c r="Y55" s="447">
        <f>Tabla15[[#This Row],[Total Caja]]-Tabla15[[#This Row],[Previsión]]</f>
        <v>350.93941818181816</v>
      </c>
      <c r="Z55" s="446"/>
      <c r="AA55" s="447">
        <f>SUM(INDEX(Tabla15[[#This Row],[Facturació A/A]],1):Tabla15[[#This Row],[Facturació A/A]]) / SUM(INDEX(Tabla15[[#This Row],[Diferencia]],1):Tabla15[[#This Row],[Diferencia]])</f>
        <v>1.2798401781555224</v>
      </c>
      <c r="AB55" s="448"/>
      <c r="AC55" s="427"/>
      <c r="AD55" s="427"/>
      <c r="AE55" s="427"/>
      <c r="AF55" s="427"/>
      <c r="AG55" s="427"/>
      <c r="AH55" s="427"/>
      <c r="AI55" s="427"/>
      <c r="AJ55" s="427"/>
      <c r="AK55" s="427"/>
      <c r="AL55" s="427"/>
      <c r="AM55" s="427"/>
      <c r="AN55" s="427"/>
      <c r="AO55" s="427"/>
      <c r="AP55" s="427"/>
      <c r="AQ55" s="427"/>
    </row>
    <row r="56" spans="1:43" ht="16" customHeight="1">
      <c r="A56" s="427"/>
      <c r="B56" s="427"/>
      <c r="C56" s="428">
        <v>23</v>
      </c>
      <c r="D56" s="442">
        <v>46045</v>
      </c>
      <c r="E56" s="958">
        <v>18.899999999999999</v>
      </c>
      <c r="F56" s="958">
        <f>Tabla15[[#This Row],[Retiros]]-Tabla15[[#This Row],[Contado]]</f>
        <v>216.1</v>
      </c>
      <c r="G56" s="958">
        <v>1056.8499999999999</v>
      </c>
      <c r="H56" s="958">
        <v>0</v>
      </c>
      <c r="I56" s="958">
        <v>0</v>
      </c>
      <c r="J56" s="958">
        <v>0</v>
      </c>
      <c r="K56" s="958">
        <v>0</v>
      </c>
      <c r="L56" s="958">
        <v>0</v>
      </c>
      <c r="M56" s="958">
        <v>235</v>
      </c>
      <c r="N56" s="959">
        <f>Tabla15[[#This Row],[Contado]]</f>
        <v>18.899999999999999</v>
      </c>
      <c r="O56" s="959"/>
      <c r="P56" s="443">
        <f>((Tabla15[[#This Row],[Contado]]+Tabla15[[#This Row],[Visa]]+Tabla15[[#This Row],[Eventos]]+Tabla15[[#This Row],[Passo]]+Tabla15[[#This Row],[Reciclajes]])/1.1)+Tabla15[[#This Row],[Tickets]]</f>
        <v>1194.0545454545454</v>
      </c>
      <c r="Q56" s="444">
        <v>0.02</v>
      </c>
      <c r="R56" s="445">
        <f t="shared" si="4"/>
        <v>0.18098000700440059</v>
      </c>
      <c r="S56" s="446"/>
      <c r="T56" s="447">
        <v>1203.5</v>
      </c>
      <c r="U56" s="447">
        <f>Tabla15[[#This Row],[Total Caja]]-Tabla15[[#This Row],[Facturació A/A]]</f>
        <v>-9.4454545454545951</v>
      </c>
      <c r="V56" s="447">
        <f t="shared" si="5"/>
        <v>-940.54909090909064</v>
      </c>
      <c r="W56" s="450">
        <f>Tabla15[[#This Row],[Diferencia]]/Tabla15[[#This Row],[Facturació A/A]]</f>
        <v>-7.848321184424259E-3</v>
      </c>
      <c r="X56" s="447">
        <f>Tabla15[[#This Row],[Facturació A/A]]*H$17+Tabla15[[#This Row],[Facturació A/A]]</f>
        <v>1239.605</v>
      </c>
      <c r="Y56" s="447">
        <f>Tabla15[[#This Row],[Total Caja]]-Tabla15[[#This Row],[Previsión]]</f>
        <v>-45.550454545454613</v>
      </c>
      <c r="Z56" s="446"/>
      <c r="AA56" s="447">
        <f>SUM(INDEX(Tabla15[[#This Row],[Facturació A/A]],1):Tabla15[[#This Row],[Facturació A/A]]) / SUM(INDEX(Tabla15[[#This Row],[Diferencia]],1):Tabla15[[#This Row],[Diferencia]])</f>
        <v>-127.41578440808402</v>
      </c>
      <c r="AB56" s="448"/>
      <c r="AC56" s="427"/>
      <c r="AD56" s="427"/>
      <c r="AE56" s="427"/>
      <c r="AF56" s="427"/>
      <c r="AG56" s="427"/>
      <c r="AH56" s="427"/>
      <c r="AI56" s="427"/>
      <c r="AJ56" s="427"/>
      <c r="AK56" s="427"/>
      <c r="AL56" s="427"/>
      <c r="AM56" s="427"/>
      <c r="AN56" s="427"/>
      <c r="AO56" s="427"/>
      <c r="AP56" s="427"/>
      <c r="AQ56" s="427"/>
    </row>
    <row r="57" spans="1:43" ht="16" customHeight="1">
      <c r="A57" s="427"/>
      <c r="B57" s="427"/>
      <c r="C57" s="428">
        <v>24</v>
      </c>
      <c r="D57" s="442">
        <v>46046</v>
      </c>
      <c r="E57" s="958">
        <v>393.15</v>
      </c>
      <c r="F57" s="958">
        <f>Tabla15[[#This Row],[Retiros]]-Tabla15[[#This Row],[Contado]]</f>
        <v>86.850000000000023</v>
      </c>
      <c r="G57" s="958">
        <v>1203.05</v>
      </c>
      <c r="H57" s="958">
        <v>0</v>
      </c>
      <c r="I57" s="958">
        <v>17.5</v>
      </c>
      <c r="J57" s="958">
        <v>0</v>
      </c>
      <c r="K57" s="958">
        <v>0</v>
      </c>
      <c r="L57" s="958">
        <v>0</v>
      </c>
      <c r="M57" s="958">
        <v>480</v>
      </c>
      <c r="N57" s="959">
        <f>Tabla15[[#This Row],[Contado]]</f>
        <v>393.15</v>
      </c>
      <c r="O57" s="959"/>
      <c r="P57" s="443">
        <f>((Tabla15[[#This Row],[Contado]]+Tabla15[[#This Row],[Visa]]+Tabla15[[#This Row],[Eventos]]+Tabla15[[#This Row],[Passo]]+Tabla15[[#This Row],[Reciclajes]])/1.1)+Tabla15[[#This Row],[Tickets]]</f>
        <v>1553.85</v>
      </c>
      <c r="Q57" s="444">
        <v>0.33</v>
      </c>
      <c r="R57" s="445">
        <f t="shared" si="4"/>
        <v>5.5893426006371288E-2</v>
      </c>
      <c r="S57" s="446"/>
      <c r="T57" s="447">
        <v>2204.06</v>
      </c>
      <c r="U57" s="447">
        <f>Tabla15[[#This Row],[Total Caja]]-Tabla15[[#This Row],[Facturació A/A]]</f>
        <v>-650.21</v>
      </c>
      <c r="V57" s="447">
        <f t="shared" si="5"/>
        <v>-1590.7590909090907</v>
      </c>
      <c r="W57" s="450">
        <f>Tabla15[[#This Row],[Diferencia]]/Tabla15[[#This Row],[Facturació A/A]]</f>
        <v>-0.29500558061032822</v>
      </c>
      <c r="X57" s="447">
        <f>Tabla15[[#This Row],[Facturació A/A]]*H$17+Tabla15[[#This Row],[Facturació A/A]]</f>
        <v>2270.1817999999998</v>
      </c>
      <c r="Y57" s="447">
        <f>Tabla15[[#This Row],[Total Caja]]-Tabla15[[#This Row],[Previsión]]</f>
        <v>-716.33179999999993</v>
      </c>
      <c r="Z57" s="446"/>
      <c r="AA57" s="447">
        <f>SUM(INDEX(Tabla15[[#This Row],[Facturació A/A]],1):Tabla15[[#This Row],[Facturació A/A]]) / SUM(INDEX(Tabla15[[#This Row],[Diferencia]],1):Tabla15[[#This Row],[Diferencia]])</f>
        <v>-3.3897663831685145</v>
      </c>
      <c r="AB57" s="448"/>
      <c r="AC57" s="427"/>
      <c r="AD57" s="427"/>
      <c r="AE57" s="427"/>
      <c r="AF57" s="427"/>
      <c r="AG57" s="427"/>
      <c r="AH57" s="427"/>
      <c r="AI57" s="427"/>
      <c r="AJ57" s="427"/>
      <c r="AK57" s="427"/>
      <c r="AL57" s="427"/>
      <c r="AM57" s="427"/>
      <c r="AN57" s="427"/>
      <c r="AO57" s="427"/>
      <c r="AP57" s="427"/>
      <c r="AQ57" s="427"/>
    </row>
    <row r="58" spans="1:43" ht="16" customHeight="1">
      <c r="A58" s="427"/>
      <c r="B58" s="427"/>
      <c r="C58" s="428">
        <v>25</v>
      </c>
      <c r="D58" s="442">
        <v>46047</v>
      </c>
      <c r="E58" s="958">
        <v>759.1</v>
      </c>
      <c r="F58" s="958">
        <f>Tabla15[[#This Row],[Retiros]]-Tabla15[[#This Row],[Contado]]</f>
        <v>140.89999999999998</v>
      </c>
      <c r="G58" s="958">
        <v>1072.5</v>
      </c>
      <c r="H58" s="958">
        <v>0</v>
      </c>
      <c r="I58" s="958">
        <v>23.8</v>
      </c>
      <c r="J58" s="958">
        <v>0</v>
      </c>
      <c r="K58" s="958">
        <v>0</v>
      </c>
      <c r="L58" s="958">
        <v>0</v>
      </c>
      <c r="M58" s="958">
        <v>900</v>
      </c>
      <c r="N58" s="959">
        <f>Tabla15[[#This Row],[Contado]]</f>
        <v>759.1</v>
      </c>
      <c r="O58" s="959"/>
      <c r="P58" s="443">
        <f>((Tabla15[[#This Row],[Contado]]+Tabla15[[#This Row],[Visa]]+Tabla15[[#This Row],[Eventos]]+Tabla15[[#This Row],[Passo]]+Tabla15[[#This Row],[Reciclajes]])/1.1)+Tabla15[[#This Row],[Tickets]]</f>
        <v>1827.6272727272726</v>
      </c>
      <c r="Q58" s="444">
        <v>0.71</v>
      </c>
      <c r="R58" s="445">
        <f t="shared" si="4"/>
        <v>7.7094494103134209E-2</v>
      </c>
      <c r="S58" s="446"/>
      <c r="T58" s="447">
        <v>1303.8</v>
      </c>
      <c r="U58" s="447">
        <f>Tabla15[[#This Row],[Total Caja]]-Tabla15[[#This Row],[Facturació A/A]]</f>
        <v>523.82727272727266</v>
      </c>
      <c r="V58" s="447">
        <f t="shared" si="5"/>
        <v>-1066.931818181818</v>
      </c>
      <c r="W58" s="450">
        <f>Tabla15[[#This Row],[Diferencia]]/Tabla15[[#This Row],[Facturació A/A]]</f>
        <v>0.40176965234489392</v>
      </c>
      <c r="X58" s="447">
        <f>Tabla15[[#This Row],[Facturació A/A]]*H$17+Tabla15[[#This Row],[Facturació A/A]]</f>
        <v>1342.914</v>
      </c>
      <c r="Y58" s="447">
        <f>Tabla15[[#This Row],[Total Caja]]-Tabla15[[#This Row],[Previsión]]</f>
        <v>484.71327272727262</v>
      </c>
      <c r="Z58" s="446"/>
      <c r="AA58" s="447">
        <f>SUM(INDEX(Tabla15[[#This Row],[Facturació A/A]],1):Tabla15[[#This Row],[Facturació A/A]]) / SUM(INDEX(Tabla15[[#This Row],[Diferencia]],1):Tabla15[[#This Row],[Diferencia]])</f>
        <v>2.4889883896496072</v>
      </c>
      <c r="AB58" s="448"/>
      <c r="AC58" s="427"/>
      <c r="AD58" s="427"/>
      <c r="AE58" s="427"/>
      <c r="AF58" s="427"/>
      <c r="AG58" s="427"/>
      <c r="AH58" s="427"/>
      <c r="AI58" s="427"/>
      <c r="AJ58" s="427"/>
      <c r="AK58" s="427"/>
      <c r="AL58" s="427"/>
      <c r="AM58" s="427"/>
      <c r="AN58" s="427"/>
      <c r="AO58" s="427"/>
      <c r="AP58" s="427"/>
      <c r="AQ58" s="427"/>
    </row>
    <row r="59" spans="1:43" ht="16" customHeight="1">
      <c r="A59" s="427"/>
      <c r="B59" s="427"/>
      <c r="C59" s="428">
        <v>26</v>
      </c>
      <c r="D59" s="442">
        <v>46048</v>
      </c>
      <c r="E59" s="958">
        <v>0</v>
      </c>
      <c r="F59" s="958">
        <f>Tabla15[[#This Row],[Retiros]]-Tabla15[[#This Row],[Contado]]</f>
        <v>0</v>
      </c>
      <c r="G59" s="958">
        <v>0</v>
      </c>
      <c r="H59" s="958">
        <v>0</v>
      </c>
      <c r="I59" s="958">
        <v>0</v>
      </c>
      <c r="J59" s="958">
        <v>0</v>
      </c>
      <c r="K59" s="958">
        <v>0</v>
      </c>
      <c r="L59" s="958">
        <v>0</v>
      </c>
      <c r="M59" s="958">
        <v>0</v>
      </c>
      <c r="N59" s="959">
        <f>Tabla15[[#This Row],[Contado]]</f>
        <v>0</v>
      </c>
      <c r="O59" s="959"/>
      <c r="P59" s="443">
        <f>((Tabla15[[#This Row],[Contado]]+Tabla15[[#This Row],[Visa]]+Tabla15[[#This Row],[Eventos]]+Tabla15[[#This Row],[Passo]]+Tabla15[[#This Row],[Reciclajes]])/1.1)+Tabla15[[#This Row],[Tickets]]</f>
        <v>0</v>
      </c>
      <c r="Q59" s="444">
        <v>0</v>
      </c>
      <c r="R59" s="445">
        <f t="shared" si="4"/>
        <v>0</v>
      </c>
      <c r="S59" s="446"/>
      <c r="T59" s="447">
        <v>0</v>
      </c>
      <c r="U59" s="447">
        <f>Tabla15[[#This Row],[Total Caja]]-Tabla15[[#This Row],[Facturació A/A]]</f>
        <v>0</v>
      </c>
      <c r="V59" s="447">
        <f t="shared" si="5"/>
        <v>-1066.931818181818</v>
      </c>
      <c r="W59" s="450" t="e">
        <f>Tabla15[[#This Row],[Diferencia]]/Tabla15[[#This Row],[Facturació A/A]]</f>
        <v>#DIV/0!</v>
      </c>
      <c r="X59" s="447">
        <f>Tabla15[[#This Row],[Facturació A/A]]*H$17+Tabla15[[#This Row],[Facturació A/A]]</f>
        <v>0</v>
      </c>
      <c r="Y59" s="447">
        <f>Tabla15[[#This Row],[Total Caja]]-Tabla15[[#This Row],[Previsión]]</f>
        <v>0</v>
      </c>
      <c r="Z59" s="446"/>
      <c r="AA59" s="447" t="e">
        <f>SUM(INDEX(Tabla15[[#This Row],[Facturació A/A]],1):Tabla15[[#This Row],[Facturació A/A]]) / SUM(INDEX(Tabla15[[#This Row],[Diferencia]],1):Tabla15[[#This Row],[Diferencia]])</f>
        <v>#DIV/0!</v>
      </c>
      <c r="AB59" s="448"/>
      <c r="AC59" s="427"/>
      <c r="AD59" s="427"/>
      <c r="AE59" s="427"/>
      <c r="AF59" s="427"/>
      <c r="AG59" s="427"/>
      <c r="AH59" s="427"/>
      <c r="AI59" s="427"/>
      <c r="AJ59" s="427"/>
      <c r="AK59" s="427"/>
      <c r="AL59" s="427"/>
      <c r="AM59" s="427"/>
      <c r="AN59" s="427"/>
      <c r="AO59" s="427"/>
      <c r="AP59" s="427"/>
      <c r="AQ59" s="427"/>
    </row>
    <row r="60" spans="1:43" ht="16" customHeight="1">
      <c r="A60" s="427"/>
      <c r="B60" s="427"/>
      <c r="C60" s="428">
        <v>27</v>
      </c>
      <c r="D60" s="442">
        <v>46049</v>
      </c>
      <c r="E60" s="958">
        <v>0</v>
      </c>
      <c r="F60" s="958">
        <f>Tabla15[[#This Row],[Retiros]]-Tabla15[[#This Row],[Contado]]</f>
        <v>0</v>
      </c>
      <c r="G60" s="958">
        <v>0</v>
      </c>
      <c r="H60" s="958">
        <v>0</v>
      </c>
      <c r="I60" s="958">
        <v>0</v>
      </c>
      <c r="J60" s="958">
        <v>0</v>
      </c>
      <c r="K60" s="958">
        <v>0</v>
      </c>
      <c r="L60" s="958">
        <v>0</v>
      </c>
      <c r="M60" s="958">
        <v>0</v>
      </c>
      <c r="N60" s="959">
        <f>Tabla15[[#This Row],[Contado]]</f>
        <v>0</v>
      </c>
      <c r="O60" s="959"/>
      <c r="P60" s="443">
        <f>((Tabla15[[#This Row],[Contado]]+Tabla15[[#This Row],[Visa]]+Tabla15[[#This Row],[Eventos]]+Tabla15[[#This Row],[Passo]]+Tabla15[[#This Row],[Reciclajes]])/1.1)+Tabla15[[#This Row],[Tickets]]</f>
        <v>0</v>
      </c>
      <c r="Q60" s="444">
        <v>0</v>
      </c>
      <c r="R60" s="445">
        <f t="shared" si="4"/>
        <v>0</v>
      </c>
      <c r="S60" s="446"/>
      <c r="T60" s="447">
        <v>0</v>
      </c>
      <c r="U60" s="447">
        <f>Tabla15[[#This Row],[Total Caja]]-Tabla15[[#This Row],[Facturació A/A]]</f>
        <v>0</v>
      </c>
      <c r="V60" s="447">
        <f t="shared" si="5"/>
        <v>-1066.931818181818</v>
      </c>
      <c r="W60" s="450" t="e">
        <f>Tabla15[[#This Row],[Diferencia]]/Tabla15[[#This Row],[Facturació A/A]]</f>
        <v>#DIV/0!</v>
      </c>
      <c r="X60" s="447">
        <f>Tabla15[[#This Row],[Facturació A/A]]*H$17+Tabla15[[#This Row],[Facturació A/A]]</f>
        <v>0</v>
      </c>
      <c r="Y60" s="447">
        <f>Tabla15[[#This Row],[Total Caja]]-Tabla15[[#This Row],[Previsión]]</f>
        <v>0</v>
      </c>
      <c r="Z60" s="446"/>
      <c r="AA60" s="447" t="e">
        <f>SUM(INDEX(Tabla15[[#This Row],[Facturació A/A]],1):Tabla15[[#This Row],[Facturació A/A]]) / SUM(INDEX(Tabla15[[#This Row],[Diferencia]],1):Tabla15[[#This Row],[Diferencia]])</f>
        <v>#DIV/0!</v>
      </c>
      <c r="AB60" s="448"/>
      <c r="AC60" s="427"/>
      <c r="AD60" s="427"/>
      <c r="AE60" s="427"/>
      <c r="AF60" s="427"/>
      <c r="AG60" s="427"/>
      <c r="AH60" s="427"/>
      <c r="AI60" s="427"/>
      <c r="AJ60" s="427"/>
      <c r="AK60" s="427"/>
      <c r="AL60" s="427"/>
      <c r="AM60" s="427"/>
      <c r="AN60" s="427"/>
      <c r="AO60" s="427"/>
      <c r="AP60" s="427"/>
      <c r="AQ60" s="427"/>
    </row>
    <row r="61" spans="1:43" ht="16" customHeight="1">
      <c r="A61" s="427"/>
      <c r="B61" s="427"/>
      <c r="C61" s="428">
        <v>28</v>
      </c>
      <c r="D61" s="442">
        <v>46050</v>
      </c>
      <c r="E61" s="958">
        <v>0</v>
      </c>
      <c r="F61" s="958">
        <f>Tabla15[[#This Row],[Retiros]]-Tabla15[[#This Row],[Contado]]</f>
        <v>180</v>
      </c>
      <c r="G61" s="958">
        <v>294.75</v>
      </c>
      <c r="H61" s="958">
        <v>0</v>
      </c>
      <c r="I61" s="958">
        <v>54.7</v>
      </c>
      <c r="J61" s="958">
        <v>0</v>
      </c>
      <c r="K61" s="958">
        <v>0</v>
      </c>
      <c r="L61" s="958">
        <v>0</v>
      </c>
      <c r="M61" s="958">
        <v>180</v>
      </c>
      <c r="N61" s="959">
        <f>Tabla15[[#This Row],[Contado]]</f>
        <v>0</v>
      </c>
      <c r="O61" s="959"/>
      <c r="P61" s="443">
        <f>((Tabla15[[#This Row],[Contado]]+Tabla15[[#This Row],[Visa]]+Tabla15[[#This Row],[Eventos]]+Tabla15[[#This Row],[Passo]]+Tabla15[[#This Row],[Reciclajes]])/1.1)+Tabla15[[#This Row],[Tickets]]</f>
        <v>497.68181818181813</v>
      </c>
      <c r="Q61" s="444">
        <v>0</v>
      </c>
      <c r="R61" s="445">
        <f t="shared" si="4"/>
        <v>0.36167686546716599</v>
      </c>
      <c r="S61" s="446"/>
      <c r="T61" s="447">
        <v>736.25</v>
      </c>
      <c r="U61" s="447">
        <f>Tabla15[[#This Row],[Total Caja]]-Tabla15[[#This Row],[Facturació A/A]]</f>
        <v>-238.56818181818187</v>
      </c>
      <c r="V61" s="447">
        <f t="shared" si="5"/>
        <v>-1305.5</v>
      </c>
      <c r="W61" s="450">
        <f>Tabla15[[#This Row],[Diferencia]]/Tabla15[[#This Row],[Facturació A/A]]</f>
        <v>-0.32403148634048473</v>
      </c>
      <c r="X61" s="447">
        <f>Tabla15[[#This Row],[Facturació A/A]]*H$17+Tabla15[[#This Row],[Facturació A/A]]</f>
        <v>758.33749999999998</v>
      </c>
      <c r="Y61" s="447">
        <f>Tabla15[[#This Row],[Total Caja]]-Tabla15[[#This Row],[Previsión]]</f>
        <v>-260.65568181818185</v>
      </c>
      <c r="Z61" s="446"/>
      <c r="AA61" s="447">
        <f>SUM(INDEX(Tabla15[[#This Row],[Facturació A/A]],1):Tabla15[[#This Row],[Facturació A/A]]) / SUM(INDEX(Tabla15[[#This Row],[Diferencia]],1):Tabla15[[#This Row],[Diferencia]])</f>
        <v>-3.0861198437648847</v>
      </c>
      <c r="AB61" s="448"/>
      <c r="AC61" s="427"/>
      <c r="AD61" s="427"/>
      <c r="AE61" s="427"/>
      <c r="AF61" s="427"/>
      <c r="AG61" s="427"/>
      <c r="AH61" s="427"/>
      <c r="AI61" s="427"/>
      <c r="AJ61" s="427"/>
      <c r="AK61" s="427"/>
      <c r="AL61" s="427"/>
      <c r="AM61" s="427"/>
      <c r="AN61" s="427"/>
      <c r="AO61" s="427"/>
      <c r="AP61" s="427"/>
      <c r="AQ61" s="427"/>
    </row>
    <row r="62" spans="1:43" ht="16" customHeight="1">
      <c r="A62" s="427"/>
      <c r="B62" s="427"/>
      <c r="C62" s="428">
        <v>29</v>
      </c>
      <c r="D62" s="442">
        <v>46051</v>
      </c>
      <c r="E62" s="958">
        <v>7.8</v>
      </c>
      <c r="F62" s="958">
        <f>Tabla15[[#This Row],[Retiros]]-Tabla15[[#This Row],[Contado]]</f>
        <v>302.2</v>
      </c>
      <c r="G62" s="958">
        <v>1058.9000000000001</v>
      </c>
      <c r="H62" s="958">
        <v>0</v>
      </c>
      <c r="I62" s="958">
        <v>88.6</v>
      </c>
      <c r="J62" s="958">
        <v>0</v>
      </c>
      <c r="K62" s="958">
        <v>0</v>
      </c>
      <c r="L62" s="958">
        <v>0</v>
      </c>
      <c r="M62" s="958">
        <v>310</v>
      </c>
      <c r="N62" s="959">
        <f>Tabla15[[#This Row],[Contado]]</f>
        <v>7.8</v>
      </c>
      <c r="O62" s="959"/>
      <c r="P62" s="443">
        <f>((Tabla15[[#This Row],[Contado]]+Tabla15[[#This Row],[Visa]]+Tabla15[[#This Row],[Eventos]]+Tabla15[[#This Row],[Passo]]+Tabla15[[#This Row],[Reciclajes]])/1.1)+Tabla15[[#This Row],[Tickets]]</f>
        <v>1352.4727272727273</v>
      </c>
      <c r="Q62" s="444">
        <v>0.01</v>
      </c>
      <c r="R62" s="445">
        <f t="shared" si="4"/>
        <v>0.22344258328180033</v>
      </c>
      <c r="S62" s="446"/>
      <c r="T62" s="447">
        <v>497.56</v>
      </c>
      <c r="U62" s="447">
        <f>Tabla15[[#This Row],[Total Caja]]-Tabla15[[#This Row],[Facturació A/A]]</f>
        <v>854.91272727272735</v>
      </c>
      <c r="V62" s="447">
        <f t="shared" si="5"/>
        <v>-450.58727272727265</v>
      </c>
      <c r="W62" s="450">
        <f>Tabla15[[#This Row],[Diferencia]]/Tabla15[[#This Row],[Facturació A/A]]</f>
        <v>1.7182103209115027</v>
      </c>
      <c r="X62" s="447">
        <f>Tabla15[[#This Row],[Facturació A/A]]*H$17+Tabla15[[#This Row],[Facturació A/A]]</f>
        <v>512.48680000000002</v>
      </c>
      <c r="Y62" s="447">
        <f>Tabla15[[#This Row],[Total Caja]]-Tabla15[[#This Row],[Previsión]]</f>
        <v>839.98592727272728</v>
      </c>
      <c r="Z62" s="446"/>
      <c r="AA62" s="447">
        <f>SUM(INDEX(Tabla15[[#This Row],[Facturació A/A]],1):Tabla15[[#This Row],[Facturació A/A]]) / SUM(INDEX(Tabla15[[#This Row],[Diferencia]],1):Tabla15[[#This Row],[Diferencia]])</f>
        <v>0.58200092726104946</v>
      </c>
      <c r="AB62" s="448"/>
      <c r="AC62" s="427"/>
      <c r="AD62" s="427"/>
      <c r="AE62" s="427"/>
      <c r="AF62" s="427"/>
      <c r="AG62" s="427"/>
      <c r="AH62" s="427"/>
      <c r="AI62" s="427"/>
      <c r="AJ62" s="427"/>
      <c r="AK62" s="427"/>
      <c r="AL62" s="427"/>
      <c r="AM62" s="427"/>
      <c r="AN62" s="427"/>
      <c r="AO62" s="427"/>
      <c r="AP62" s="427"/>
      <c r="AQ62" s="427"/>
    </row>
    <row r="63" spans="1:43" ht="16" customHeight="1">
      <c r="A63" s="427"/>
      <c r="B63" s="427"/>
      <c r="C63" s="428">
        <v>30</v>
      </c>
      <c r="D63" s="442">
        <v>46052</v>
      </c>
      <c r="E63" s="958">
        <v>295.2</v>
      </c>
      <c r="F63" s="958">
        <f>Tabla15[[#This Row],[Retiros]]-Tabla15[[#This Row],[Contado]]</f>
        <v>259.8</v>
      </c>
      <c r="G63" s="958">
        <v>1525</v>
      </c>
      <c r="H63" s="958">
        <v>0</v>
      </c>
      <c r="I63" s="958">
        <v>74.8</v>
      </c>
      <c r="J63" s="958">
        <v>0</v>
      </c>
      <c r="K63" s="958">
        <v>0</v>
      </c>
      <c r="L63" s="958">
        <v>0</v>
      </c>
      <c r="M63" s="958">
        <v>555</v>
      </c>
      <c r="N63" s="959">
        <f>Tabla15[[#This Row],[Contado]]</f>
        <v>295.2</v>
      </c>
      <c r="O63" s="959"/>
      <c r="P63" s="443">
        <f>((Tabla15[[#This Row],[Contado]]+Tabla15[[#This Row],[Visa]]+Tabla15[[#This Row],[Eventos]]+Tabla15[[#This Row],[Passo]]+Tabla15[[#This Row],[Reciclajes]])/1.1)+Tabla15[[#This Row],[Tickets]]</f>
        <v>1982.5272727272725</v>
      </c>
      <c r="Q63" s="444">
        <v>0.19</v>
      </c>
      <c r="R63" s="445">
        <f t="shared" si="4"/>
        <v>0.13104485551041373</v>
      </c>
      <c r="S63" s="446"/>
      <c r="T63" s="447">
        <v>0</v>
      </c>
      <c r="U63" s="447">
        <f>Tabla15[[#This Row],[Total Caja]]-Tabla15[[#This Row],[Facturació A/A]]</f>
        <v>1982.5272727272725</v>
      </c>
      <c r="V63" s="447">
        <f t="shared" si="5"/>
        <v>1531.9399999999998</v>
      </c>
      <c r="W63" s="450" t="e">
        <f>Tabla15[[#This Row],[Diferencia]]/Tabla15[[#This Row],[Facturació A/A]]</f>
        <v>#DIV/0!</v>
      </c>
      <c r="X63" s="447">
        <f>Tabla15[[#This Row],[Facturació A/A]]*H$17+Tabla15[[#This Row],[Facturació A/A]]</f>
        <v>0</v>
      </c>
      <c r="Y63" s="447">
        <f>Tabla15[[#This Row],[Total Caja]]-Tabla15[[#This Row],[Previsión]]</f>
        <v>1982.5272727272725</v>
      </c>
      <c r="Z63" s="446"/>
      <c r="AA63" s="447">
        <f>SUM(INDEX(Tabla15[[#This Row],[Facturació A/A]],1):Tabla15[[#This Row],[Facturació A/A]]) / SUM(INDEX(Tabla15[[#This Row],[Diferencia]],1):Tabla15[[#This Row],[Diferencia]])</f>
        <v>0</v>
      </c>
      <c r="AB63" s="448"/>
      <c r="AC63" s="427"/>
      <c r="AD63" s="427"/>
      <c r="AE63" s="427"/>
      <c r="AF63" s="427"/>
      <c r="AG63" s="427"/>
      <c r="AH63" s="427"/>
      <c r="AI63" s="427"/>
      <c r="AJ63" s="427"/>
      <c r="AK63" s="427"/>
      <c r="AL63" s="427"/>
      <c r="AM63" s="427"/>
      <c r="AN63" s="427"/>
      <c r="AO63" s="427"/>
      <c r="AP63" s="427"/>
      <c r="AQ63" s="427"/>
    </row>
    <row r="64" spans="1:43" ht="16" customHeight="1">
      <c r="A64" s="427"/>
      <c r="B64" s="427"/>
      <c r="C64" s="428">
        <v>31</v>
      </c>
      <c r="D64" s="442">
        <v>46053</v>
      </c>
      <c r="E64" s="958">
        <v>549.20000000000005</v>
      </c>
      <c r="F64" s="958">
        <f>Tabla15[[#This Row],[Retiros]]-Tabla15[[#This Row],[Contado]]</f>
        <v>90.799999999999955</v>
      </c>
      <c r="G64" s="958">
        <v>1476.25</v>
      </c>
      <c r="H64" s="958">
        <v>0</v>
      </c>
      <c r="I64" s="958">
        <v>33.15</v>
      </c>
      <c r="J64" s="958">
        <v>0</v>
      </c>
      <c r="K64" s="958">
        <v>0</v>
      </c>
      <c r="L64" s="958">
        <v>0</v>
      </c>
      <c r="M64" s="958">
        <v>640</v>
      </c>
      <c r="N64" s="959">
        <f>Tabla15[[#This Row],[Contado]]</f>
        <v>549.20000000000005</v>
      </c>
      <c r="O64" s="959"/>
      <c r="P64" s="443">
        <f>((Tabla15[[#This Row],[Contado]]+Tabla15[[#This Row],[Visa]]+Tabla15[[#This Row],[Eventos]]+Tabla15[[#This Row],[Passo]]+Tabla15[[#This Row],[Reciclajes]])/1.1)+Tabla15[[#This Row],[Tickets]]</f>
        <v>1962.2545454545452</v>
      </c>
      <c r="Q64" s="444">
        <v>0.37</v>
      </c>
      <c r="R64" s="445">
        <f t="shared" si="4"/>
        <v>4.6273303435751069E-2</v>
      </c>
      <c r="S64" s="446"/>
      <c r="T64" s="447">
        <v>0</v>
      </c>
      <c r="U64" s="447">
        <f>Tabla15[[#This Row],[Total Caja]]-Tabla15[[#This Row],[Facturació A/A]]</f>
        <v>1962.2545454545452</v>
      </c>
      <c r="V64" s="447">
        <f t="shared" si="5"/>
        <v>3494.1945454545448</v>
      </c>
      <c r="W64" s="450" t="e">
        <f>Tabla15[[#This Row],[Diferencia]]/Tabla15[[#This Row],[Facturació A/A]]</f>
        <v>#DIV/0!</v>
      </c>
      <c r="X64" s="447">
        <f>Tabla15[[#This Row],[Facturació A/A]]*H$17+Tabla15[[#This Row],[Facturació A/A]]</f>
        <v>0</v>
      </c>
      <c r="Y64" s="447">
        <f>Tabla15[[#This Row],[Total Caja]]-Tabla15[[#This Row],[Previsión]]</f>
        <v>1962.2545454545452</v>
      </c>
      <c r="Z64" s="446"/>
      <c r="AA64" s="447">
        <f>SUM(INDEX(Tabla15[[#This Row],[Facturació A/A]],1):Tabla15[[#This Row],[Facturació A/A]]) / SUM(INDEX(Tabla15[[#This Row],[Diferencia]],1):Tabla15[[#This Row],[Diferencia]])</f>
        <v>0</v>
      </c>
      <c r="AB64" s="448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</row>
    <row r="65" spans="1:43" ht="16" customHeight="1">
      <c r="A65" s="427"/>
      <c r="B65" s="427"/>
      <c r="C65" s="428">
        <v>32</v>
      </c>
      <c r="D65" s="442">
        <v>46054</v>
      </c>
      <c r="E65" s="959">
        <v>296.25</v>
      </c>
      <c r="F65" s="958">
        <f>Tabla15[[#This Row],[Retiros]]-Tabla15[[#This Row],[Contado]]</f>
        <v>123.75</v>
      </c>
      <c r="G65" s="959">
        <v>812.6</v>
      </c>
      <c r="H65" s="958">
        <v>0</v>
      </c>
      <c r="I65" s="959">
        <v>49.35</v>
      </c>
      <c r="J65" s="958">
        <v>0</v>
      </c>
      <c r="K65" s="958">
        <v>0</v>
      </c>
      <c r="L65" s="958">
        <v>0</v>
      </c>
      <c r="M65" s="958">
        <v>420</v>
      </c>
      <c r="N65" s="959">
        <f>Tabla15[[#This Row],[Contado]]</f>
        <v>296.25</v>
      </c>
      <c r="O65" s="962"/>
      <c r="P65" s="443">
        <f>((Tabla15[[#This Row],[Contado]]+Tabla15[[#This Row],[Visa]]+Tabla15[[#This Row],[Eventos]]+Tabla15[[#This Row],[Passo]]+Tabla15[[#This Row],[Reciclajes]])/1.1)+Tabla15[[#This Row],[Tickets]]</f>
        <v>1176.6590909090908</v>
      </c>
      <c r="Q65" s="445">
        <v>0.36</v>
      </c>
      <c r="R65" s="445">
        <f t="shared" si="4"/>
        <v>0.10517064879377283</v>
      </c>
      <c r="S65" s="446"/>
      <c r="T65" s="447">
        <v>0</v>
      </c>
      <c r="U65" s="447">
        <f>Tabla15[[#This Row],[Total Caja]]-Tabla15[[#This Row],[Facturació A/A]]</f>
        <v>1176.6590909090908</v>
      </c>
      <c r="V65" s="447">
        <f t="shared" si="5"/>
        <v>4670.8536363636358</v>
      </c>
      <c r="W65" s="450" t="e">
        <f>Tabla15[[#This Row],[Diferencia]]/Tabla15[[#This Row],[Facturació A/A]]</f>
        <v>#DIV/0!</v>
      </c>
      <c r="X65" s="447">
        <f>Tabla15[[#This Row],[Facturació A/A]]*H$17+Tabla15[[#This Row],[Facturació A/A]]</f>
        <v>0</v>
      </c>
      <c r="Y65" s="447">
        <f>Tabla15[[#This Row],[Total Caja]]-Tabla15[[#This Row],[Previsión]]</f>
        <v>1176.6590909090908</v>
      </c>
      <c r="Z65" s="446"/>
      <c r="AA65" s="447">
        <f>SUM(INDEX(Tabla15[[#This Row],[Facturació A/A]],1):Tabla15[[#This Row],[Facturació A/A]]) / SUM(INDEX(Tabla15[[#This Row],[Diferencia]],1):Tabla15[[#This Row],[Diferencia]])</f>
        <v>0</v>
      </c>
      <c r="AB65" s="448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</row>
    <row r="66" spans="1:43" ht="16" customHeight="1">
      <c r="A66" s="427"/>
      <c r="B66" s="427"/>
      <c r="C66" s="428">
        <v>33</v>
      </c>
      <c r="D66" s="442">
        <v>46055</v>
      </c>
      <c r="E66" s="958">
        <v>0</v>
      </c>
      <c r="F66" s="958">
        <f>Tabla15[[#This Row],[Retiros]]-Tabla15[[#This Row],[Contado]]</f>
        <v>0</v>
      </c>
      <c r="G66" s="958">
        <v>0</v>
      </c>
      <c r="H66" s="958">
        <v>0</v>
      </c>
      <c r="I66" s="958">
        <v>0</v>
      </c>
      <c r="J66" s="958">
        <v>0</v>
      </c>
      <c r="K66" s="958">
        <v>0</v>
      </c>
      <c r="L66" s="958">
        <v>0</v>
      </c>
      <c r="M66" s="958">
        <v>0</v>
      </c>
      <c r="N66" s="959">
        <f>Tabla15[[#This Row],[Contado]]</f>
        <v>0</v>
      </c>
      <c r="O66" s="962"/>
      <c r="P66" s="443">
        <f>((Tabla15[[#This Row],[Contado]]+Tabla15[[#This Row],[Visa]]+Tabla15[[#This Row],[Eventos]]+Tabla15[[#This Row],[Passo]]+Tabla15[[#This Row],[Reciclajes]])/1.1)+Tabla15[[#This Row],[Tickets]]</f>
        <v>0</v>
      </c>
      <c r="Q66" s="445">
        <v>0</v>
      </c>
      <c r="R66" s="445">
        <f t="shared" si="4"/>
        <v>0</v>
      </c>
      <c r="S66" s="446"/>
      <c r="T66" s="447">
        <v>0</v>
      </c>
      <c r="U66" s="447">
        <f>Tabla15[[#This Row],[Total Caja]]-Tabla15[[#This Row],[Facturació A/A]]</f>
        <v>0</v>
      </c>
      <c r="V66" s="447">
        <f t="shared" si="5"/>
        <v>4670.8536363636358</v>
      </c>
      <c r="W66" s="450" t="e">
        <f>Tabla15[[#This Row],[Diferencia]]/Tabla15[[#This Row],[Facturació A/A]]</f>
        <v>#DIV/0!</v>
      </c>
      <c r="X66" s="447">
        <f>Tabla15[[#This Row],[Facturació A/A]]*H$17+Tabla15[[#This Row],[Facturació A/A]]</f>
        <v>0</v>
      </c>
      <c r="Y66" s="447">
        <f>Tabla15[[#This Row],[Total Caja]]-Tabla15[[#This Row],[Previsión]]</f>
        <v>0</v>
      </c>
      <c r="Z66" s="446"/>
      <c r="AA66" s="447" t="e">
        <f>SUM(INDEX(Tabla15[[#This Row],[Facturació A/A]],1):Tabla15[[#This Row],[Facturació A/A]]) / SUM(INDEX(Tabla15[[#This Row],[Diferencia]],1):Tabla15[[#This Row],[Diferencia]])</f>
        <v>#DIV/0!</v>
      </c>
      <c r="AB66" s="448"/>
      <c r="AC66" s="427"/>
      <c r="AD66" s="427"/>
      <c r="AE66" s="427"/>
      <c r="AF66" s="427"/>
      <c r="AG66" s="427"/>
      <c r="AH66" s="427"/>
      <c r="AI66" s="427"/>
      <c r="AJ66" s="427"/>
      <c r="AK66" s="427"/>
      <c r="AL66" s="427"/>
      <c r="AM66" s="427"/>
      <c r="AN66" s="427"/>
      <c r="AO66" s="427"/>
      <c r="AP66" s="427"/>
      <c r="AQ66" s="427"/>
    </row>
    <row r="67" spans="1:43" ht="16" customHeight="1">
      <c r="A67" s="427"/>
      <c r="B67" s="427"/>
      <c r="C67" s="428">
        <v>34</v>
      </c>
      <c r="D67" s="442">
        <v>46056</v>
      </c>
      <c r="E67" s="958">
        <v>0</v>
      </c>
      <c r="F67" s="958">
        <f>Tabla15[[#This Row],[Retiros]]-Tabla15[[#This Row],[Contado]]</f>
        <v>0</v>
      </c>
      <c r="G67" s="958">
        <v>0</v>
      </c>
      <c r="H67" s="958">
        <v>0</v>
      </c>
      <c r="I67" s="958">
        <v>0</v>
      </c>
      <c r="J67" s="958">
        <v>0</v>
      </c>
      <c r="K67" s="958">
        <v>0</v>
      </c>
      <c r="L67" s="958">
        <v>0</v>
      </c>
      <c r="M67" s="958">
        <v>0</v>
      </c>
      <c r="N67" s="959">
        <f>Tabla15[[#This Row],[Contado]]</f>
        <v>0</v>
      </c>
      <c r="O67" s="962"/>
      <c r="P67" s="443">
        <f>((Tabla15[[#This Row],[Contado]]+Tabla15[[#This Row],[Visa]]+Tabla15[[#This Row],[Eventos]]+Tabla15[[#This Row],[Passo]]+Tabla15[[#This Row],[Reciclajes]])/1.1)+Tabla15[[#This Row],[Tickets]]</f>
        <v>0</v>
      </c>
      <c r="Q67" s="445">
        <v>0</v>
      </c>
      <c r="R67" s="445">
        <f t="shared" si="4"/>
        <v>0</v>
      </c>
      <c r="S67" s="446"/>
      <c r="T67" s="447">
        <v>0</v>
      </c>
      <c r="U67" s="447">
        <f>Tabla15[[#This Row],[Total Caja]]-Tabla15[[#This Row],[Facturació A/A]]</f>
        <v>0</v>
      </c>
      <c r="V67" s="447">
        <f t="shared" si="5"/>
        <v>4670.8536363636358</v>
      </c>
      <c r="W67" s="450" t="e">
        <f>Tabla15[[#This Row],[Diferencia]]/Tabla15[[#This Row],[Facturació A/A]]</f>
        <v>#DIV/0!</v>
      </c>
      <c r="X67" s="447">
        <f>Tabla15[[#This Row],[Facturació A/A]]*H$17+Tabla15[[#This Row],[Facturació A/A]]</f>
        <v>0</v>
      </c>
      <c r="Y67" s="447">
        <f>Tabla15[[#This Row],[Total Caja]]-Tabla15[[#This Row],[Previsión]]</f>
        <v>0</v>
      </c>
      <c r="Z67" s="446"/>
      <c r="AA67" s="447" t="e">
        <f>SUM(INDEX(Tabla15[[#This Row],[Facturació A/A]],1):Tabla15[[#This Row],[Facturació A/A]]) / SUM(INDEX(Tabla15[[#This Row],[Diferencia]],1):Tabla15[[#This Row],[Diferencia]])</f>
        <v>#DIV/0!</v>
      </c>
      <c r="AB67" s="448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</row>
    <row r="68" spans="1:43" ht="16" customHeight="1">
      <c r="A68" s="427"/>
      <c r="B68" s="427"/>
      <c r="C68" s="428">
        <v>35</v>
      </c>
      <c r="D68" s="442">
        <v>46057</v>
      </c>
      <c r="E68" s="959">
        <v>0</v>
      </c>
      <c r="F68" s="958">
        <f>Tabla15[[#This Row],[Retiros]]-Tabla15[[#This Row],[Contado]]</f>
        <v>245</v>
      </c>
      <c r="G68" s="959">
        <v>219.55</v>
      </c>
      <c r="H68" s="959">
        <v>0</v>
      </c>
      <c r="I68" s="959">
        <v>85.5</v>
      </c>
      <c r="J68" s="958">
        <v>0</v>
      </c>
      <c r="K68" s="958">
        <v>0</v>
      </c>
      <c r="L68" s="958">
        <v>0</v>
      </c>
      <c r="M68" s="958">
        <v>245</v>
      </c>
      <c r="N68" s="959">
        <f>Tabla15[[#This Row],[Contado]]</f>
        <v>0</v>
      </c>
      <c r="O68" s="958"/>
      <c r="P68" s="443">
        <f>((Tabla15[[#This Row],[Contado]]+Tabla15[[#This Row],[Visa]]+Tabla15[[#This Row],[Eventos]]+Tabla15[[#This Row],[Passo]]+Tabla15[[#This Row],[Reciclajes]])/1.1)+Tabla15[[#This Row],[Tickets]]</f>
        <v>522.31818181818176</v>
      </c>
      <c r="Q68" s="445">
        <v>0</v>
      </c>
      <c r="R68" s="445">
        <f t="shared" si="4"/>
        <v>0.46906274475676624</v>
      </c>
      <c r="S68" s="446"/>
      <c r="T68" s="447">
        <v>0</v>
      </c>
      <c r="U68" s="447">
        <f>Tabla15[[#This Row],[Total Caja]]-Tabla15[[#This Row],[Facturació A/A]]</f>
        <v>522.31818181818176</v>
      </c>
      <c r="V68" s="447">
        <f t="shared" si="5"/>
        <v>5193.1718181818178</v>
      </c>
      <c r="W68" s="450" t="e">
        <f>Tabla15[[#This Row],[Diferencia]]/Tabla15[[#This Row],[Facturació A/A]]</f>
        <v>#DIV/0!</v>
      </c>
      <c r="X68" s="447">
        <f>Tabla15[[#This Row],[Facturació A/A]]*H$17+Tabla15[[#This Row],[Facturació A/A]]</f>
        <v>0</v>
      </c>
      <c r="Y68" s="447">
        <f>Tabla15[[#This Row],[Total Caja]]-Tabla15[[#This Row],[Previsión]]</f>
        <v>522.31818181818176</v>
      </c>
      <c r="Z68" s="446"/>
      <c r="AA68" s="447">
        <f>SUM(INDEX(Tabla15[[#This Row],[Facturació A/A]],1):Tabla15[[#This Row],[Facturació A/A]]) / SUM(INDEX(Tabla15[[#This Row],[Diferencia]],1):Tabla15[[#This Row],[Diferencia]])</f>
        <v>0</v>
      </c>
      <c r="AB68" s="448"/>
      <c r="AC68" s="427"/>
      <c r="AD68" s="453"/>
      <c r="AE68" s="427"/>
      <c r="AF68" s="427"/>
      <c r="AG68" s="427"/>
      <c r="AH68" s="427"/>
      <c r="AI68" s="427"/>
      <c r="AJ68" s="427"/>
      <c r="AK68" s="427"/>
      <c r="AL68" s="427"/>
      <c r="AM68" s="427"/>
      <c r="AN68" s="427"/>
      <c r="AO68" s="427"/>
      <c r="AP68" s="427"/>
      <c r="AQ68" s="427"/>
    </row>
    <row r="69" spans="1:43" ht="16" customHeight="1">
      <c r="A69" s="427"/>
      <c r="B69" s="427"/>
      <c r="C69" s="428">
        <v>36</v>
      </c>
      <c r="D69" s="442">
        <v>46058</v>
      </c>
      <c r="E69" s="959">
        <v>83</v>
      </c>
      <c r="F69" s="958">
        <f>Tabla15[[#This Row],[Retiros]]-Tabla15[[#This Row],[Contado]]</f>
        <v>322</v>
      </c>
      <c r="G69" s="959">
        <v>928.15</v>
      </c>
      <c r="H69" s="959">
        <v>0</v>
      </c>
      <c r="I69" s="959">
        <v>18.600000000000001</v>
      </c>
      <c r="J69" s="958">
        <v>0</v>
      </c>
      <c r="K69" s="958">
        <v>0</v>
      </c>
      <c r="L69" s="958">
        <v>0</v>
      </c>
      <c r="M69" s="959">
        <v>405</v>
      </c>
      <c r="N69" s="959">
        <f>Tabla15[[#This Row],[Contado]]</f>
        <v>83</v>
      </c>
      <c r="O69" s="962"/>
      <c r="P69" s="443">
        <f>((Tabla15[[#This Row],[Contado]]+Tabla15[[#This Row],[Visa]]+Tabla15[[#This Row],[Eventos]]+Tabla15[[#This Row],[Passo]]+Tabla15[[#This Row],[Reciclajes]])/1.1)+Tabla15[[#This Row],[Tickets]]</f>
        <v>1258.1363636363635</v>
      </c>
      <c r="Q69" s="445">
        <v>0.09</v>
      </c>
      <c r="R69" s="445">
        <f t="shared" si="4"/>
        <v>0.25593410166552261</v>
      </c>
      <c r="S69" s="446"/>
      <c r="T69" s="447">
        <v>595.77</v>
      </c>
      <c r="U69" s="447">
        <f>Tabla15[[#This Row],[Total Caja]]-Tabla15[[#This Row],[Facturació A/A]]</f>
        <v>662.36636363636353</v>
      </c>
      <c r="V69" s="447">
        <f t="shared" si="5"/>
        <v>5855.5381818181813</v>
      </c>
      <c r="W69" s="450">
        <f>Tabla15[[#This Row],[Diferencia]]/Tabla15[[#This Row],[Facturació A/A]]</f>
        <v>1.1117820025116463</v>
      </c>
      <c r="X69" s="447">
        <f>Tabla15[[#This Row],[Facturació A/A]]*H$17+Tabla15[[#This Row],[Facturació A/A]]</f>
        <v>613.6431</v>
      </c>
      <c r="Y69" s="447">
        <f>Tabla15[[#This Row],[Total Caja]]-Tabla15[[#This Row],[Previsión]]</f>
        <v>644.49326363636351</v>
      </c>
      <c r="Z69" s="446"/>
      <c r="AA69" s="447">
        <f>SUM(INDEX(Tabla15[[#This Row],[Facturació A/A]],1):Tabla15[[#This Row],[Facturació A/A]]) / SUM(INDEX(Tabla15[[#This Row],[Diferencia]],1):Tabla15[[#This Row],[Diferencia]])</f>
        <v>0.89945690588701954</v>
      </c>
      <c r="AB69" s="448"/>
      <c r="AC69" s="427"/>
      <c r="AD69" s="427"/>
      <c r="AE69" s="427"/>
      <c r="AF69" s="427"/>
      <c r="AG69" s="427"/>
      <c r="AH69" s="427"/>
      <c r="AI69" s="427"/>
      <c r="AJ69" s="427"/>
      <c r="AK69" s="427"/>
      <c r="AL69" s="427"/>
      <c r="AM69" s="427"/>
      <c r="AN69" s="427"/>
      <c r="AO69" s="427"/>
      <c r="AP69" s="427"/>
      <c r="AQ69" s="427"/>
    </row>
    <row r="70" spans="1:43" ht="16" customHeight="1">
      <c r="A70" s="427"/>
      <c r="B70" s="427"/>
      <c r="C70" s="428">
        <v>37</v>
      </c>
      <c r="D70" s="442">
        <v>46059</v>
      </c>
      <c r="E70" s="959">
        <v>214.6</v>
      </c>
      <c r="F70" s="958">
        <f>Tabla15[[#This Row],[Retiros]]-Tabla15[[#This Row],[Contado]]</f>
        <v>130.4</v>
      </c>
      <c r="G70" s="959">
        <v>1646.7</v>
      </c>
      <c r="H70" s="958">
        <v>0</v>
      </c>
      <c r="I70" s="959">
        <v>128.4</v>
      </c>
      <c r="J70" s="958">
        <v>0</v>
      </c>
      <c r="K70" s="958">
        <v>0</v>
      </c>
      <c r="L70" s="958">
        <v>0</v>
      </c>
      <c r="M70" s="959">
        <v>345</v>
      </c>
      <c r="N70" s="959">
        <f>Tabla15[[#This Row],[Contado]]</f>
        <v>214.6</v>
      </c>
      <c r="O70" s="962"/>
      <c r="P70" s="443">
        <f>((Tabla15[[#This Row],[Contado]]+Tabla15[[#This Row],[Visa]]+Tabla15[[#This Row],[Eventos]]+Tabla15[[#This Row],[Passo]]+Tabla15[[#This Row],[Reciclajes]])/1.1)+Tabla15[[#This Row],[Tickets]]</f>
        <v>1939.2181818181818</v>
      </c>
      <c r="Q70" s="445">
        <v>0.13</v>
      </c>
      <c r="R70" s="445">
        <f t="shared" si="4"/>
        <v>6.7243593950701785E-2</v>
      </c>
      <c r="S70" s="446"/>
      <c r="T70" s="447">
        <v>1277.05</v>
      </c>
      <c r="U70" s="447">
        <f>Tabla15[[#This Row],[Total Caja]]-Tabla15[[#This Row],[Facturació A/A]]</f>
        <v>662.16818181818189</v>
      </c>
      <c r="V70" s="447">
        <f t="shared" si="5"/>
        <v>6517.7063636363637</v>
      </c>
      <c r="W70" s="450">
        <f>Tabla15[[#This Row],[Diferencia]]/Tabla15[[#This Row],[Facturació A/A]]</f>
        <v>0.5185139045598699</v>
      </c>
      <c r="X70" s="447">
        <f>Tabla15[[#This Row],[Facturació A/A]]*H$17+Tabla15[[#This Row],[Facturació A/A]]</f>
        <v>1315.3615</v>
      </c>
      <c r="Y70" s="447">
        <f>Tabla15[[#This Row],[Total Caja]]-Tabla15[[#This Row],[Previsión]]</f>
        <v>623.85668181818187</v>
      </c>
      <c r="Z70" s="446"/>
      <c r="AA70" s="447">
        <f>SUM(INDEX(Tabla15[[#This Row],[Facturació A/A]],1):Tabla15[[#This Row],[Facturació A/A]]) / SUM(INDEX(Tabla15[[#This Row],[Diferencia]],1):Tabla15[[#This Row],[Diferencia]])</f>
        <v>1.9285885898254354</v>
      </c>
      <c r="AB70" s="448"/>
      <c r="AC70" s="427"/>
      <c r="AD70" s="427"/>
      <c r="AE70" s="427"/>
      <c r="AF70" s="427"/>
      <c r="AG70" s="427"/>
      <c r="AH70" s="427"/>
      <c r="AI70" s="427"/>
      <c r="AJ70" s="427"/>
      <c r="AK70" s="427"/>
      <c r="AL70" s="427"/>
      <c r="AM70" s="427"/>
      <c r="AN70" s="427"/>
      <c r="AO70" s="427"/>
      <c r="AP70" s="427"/>
      <c r="AQ70" s="427"/>
    </row>
    <row r="71" spans="1:43" ht="16" customHeight="1">
      <c r="A71" s="427"/>
      <c r="B71" s="427"/>
      <c r="C71" s="428">
        <v>38</v>
      </c>
      <c r="D71" s="442">
        <v>46060</v>
      </c>
      <c r="E71" s="959">
        <v>1516</v>
      </c>
      <c r="F71" s="958">
        <f>Tabla15[[#This Row],[Retiros]]-Tabla15[[#This Row],[Contado]]</f>
        <v>44</v>
      </c>
      <c r="G71" s="959">
        <v>2237.6999999999998</v>
      </c>
      <c r="H71" s="959">
        <v>480.4</v>
      </c>
      <c r="I71" s="959">
        <v>98.8</v>
      </c>
      <c r="J71" s="959">
        <v>0</v>
      </c>
      <c r="K71" s="958">
        <v>0</v>
      </c>
      <c r="L71" s="958">
        <v>0</v>
      </c>
      <c r="M71" s="959">
        <v>1560</v>
      </c>
      <c r="N71" s="959">
        <f>Tabla15[[#This Row],[Contado]]</f>
        <v>1516</v>
      </c>
      <c r="O71" s="962"/>
      <c r="P71" s="443">
        <f>((Tabla15[[#This Row],[Contado]]+Tabla15[[#This Row],[Visa]]+Tabla15[[#This Row],[Eventos]]+Tabla15[[#This Row],[Passo]]+Tabla15[[#This Row],[Reciclajes]])/1.1)+Tabla15[[#This Row],[Tickets]]</f>
        <v>3982.9999999999995</v>
      </c>
      <c r="Q71" s="445">
        <v>0.68</v>
      </c>
      <c r="R71" s="445">
        <f t="shared" si="4"/>
        <v>1.1046949535525987E-2</v>
      </c>
      <c r="S71" s="446"/>
      <c r="T71" s="447">
        <v>1724.43</v>
      </c>
      <c r="U71" s="447">
        <f>Tabla15[[#This Row],[Total Caja]]-Tabla15[[#This Row],[Facturació A/A]]</f>
        <v>2258.5699999999997</v>
      </c>
      <c r="V71" s="447">
        <f t="shared" si="5"/>
        <v>8776.2763636363634</v>
      </c>
      <c r="W71" s="450">
        <f>Tabla15[[#This Row],[Diferencia]]/Tabla15[[#This Row],[Facturació A/A]]</f>
        <v>1.3097487285653808</v>
      </c>
      <c r="X71" s="447">
        <f>Tabla15[[#This Row],[Facturació A/A]]*H$17+Tabla15[[#This Row],[Facturació A/A]]</f>
        <v>1776.1629</v>
      </c>
      <c r="Y71" s="447">
        <f>Tabla15[[#This Row],[Total Caja]]-Tabla15[[#This Row],[Previsión]]</f>
        <v>2206.8370999999997</v>
      </c>
      <c r="Z71" s="446"/>
      <c r="AA71" s="447">
        <f>SUM(INDEX(Tabla15[[#This Row],[Facturació A/A]],1):Tabla15[[#This Row],[Facturació A/A]]) / SUM(INDEX(Tabla15[[#This Row],[Diferencia]],1):Tabla15[[#This Row],[Diferencia]])</f>
        <v>0.76350522675852428</v>
      </c>
      <c r="AB71" s="448" t="s">
        <v>461</v>
      </c>
      <c r="AC71" s="427"/>
      <c r="AD71" s="427"/>
      <c r="AE71" s="427"/>
      <c r="AF71" s="427"/>
      <c r="AG71" s="427"/>
      <c r="AH71" s="427"/>
      <c r="AI71" s="427"/>
      <c r="AJ71" s="427"/>
      <c r="AK71" s="427"/>
      <c r="AL71" s="427"/>
      <c r="AM71" s="427"/>
      <c r="AN71" s="427"/>
      <c r="AO71" s="427"/>
      <c r="AP71" s="427"/>
      <c r="AQ71" s="427"/>
    </row>
    <row r="72" spans="1:43" ht="16" customHeight="1">
      <c r="A72" s="427"/>
      <c r="B72" s="427"/>
      <c r="C72" s="428">
        <v>39</v>
      </c>
      <c r="D72" s="442">
        <v>46061</v>
      </c>
      <c r="E72" s="959">
        <v>369.05</v>
      </c>
      <c r="F72" s="958">
        <f>Tabla15[[#This Row],[Retiros]]-Tabla15[[#This Row],[Contado]]</f>
        <v>130.94999999999999</v>
      </c>
      <c r="G72" s="959">
        <v>1754.75</v>
      </c>
      <c r="H72" s="959">
        <v>0</v>
      </c>
      <c r="I72" s="959">
        <v>23.55</v>
      </c>
      <c r="J72" s="959">
        <v>0</v>
      </c>
      <c r="K72" s="958">
        <v>0</v>
      </c>
      <c r="L72" s="958">
        <v>0</v>
      </c>
      <c r="M72" s="959">
        <v>500</v>
      </c>
      <c r="N72" s="959">
        <f>Tabla15[[#This Row],[Contado]]</f>
        <v>369.05</v>
      </c>
      <c r="O72" s="962"/>
      <c r="P72" s="443">
        <f>((Tabla15[[#This Row],[Contado]]+Tabla15[[#This Row],[Visa]]+Tabla15[[#This Row],[Eventos]]+Tabla15[[#This Row],[Passo]]+Tabla15[[#This Row],[Reciclajes]])/1.1)+Tabla15[[#This Row],[Tickets]]</f>
        <v>2083.0863636363638</v>
      </c>
      <c r="Q72" s="445">
        <v>0.21</v>
      </c>
      <c r="R72" s="445">
        <f t="shared" si="4"/>
        <v>6.2863452176512555E-2</v>
      </c>
      <c r="S72" s="446"/>
      <c r="T72" s="447">
        <v>1547.4</v>
      </c>
      <c r="U72" s="447">
        <f>Tabla15[[#This Row],[Total Caja]]-Tabla15[[#This Row],[Facturació A/A]]</f>
        <v>535.68636363636369</v>
      </c>
      <c r="V72" s="447">
        <f t="shared" si="5"/>
        <v>9311.9627272727266</v>
      </c>
      <c r="W72" s="450">
        <f>Tabla15[[#This Row],[Diferencia]]/Tabla15[[#This Row],[Facturació A/A]]</f>
        <v>0.34618480266018076</v>
      </c>
      <c r="X72" s="447">
        <f>Tabla15[[#This Row],[Facturació A/A]]*H$17+Tabla15[[#This Row],[Facturació A/A]]</f>
        <v>1593.8220000000001</v>
      </c>
      <c r="Y72" s="447">
        <f>Tabla15[[#This Row],[Total Caja]]-Tabla15[[#This Row],[Previsión]]</f>
        <v>489.26436363636367</v>
      </c>
      <c r="Z72" s="446"/>
      <c r="AA72" s="447">
        <f>SUM(INDEX(Tabla15[[#This Row],[Facturació A/A]],1):Tabla15[[#This Row],[Facturació A/A]]) / SUM(INDEX(Tabla15[[#This Row],[Diferencia]],1):Tabla15[[#This Row],[Diferencia]])</f>
        <v>2.8886305589261014</v>
      </c>
      <c r="AB72" s="448"/>
      <c r="AC72" s="427"/>
      <c r="AD72" s="427"/>
      <c r="AE72" s="427"/>
      <c r="AF72" s="427"/>
      <c r="AG72" s="427"/>
      <c r="AH72" s="427"/>
      <c r="AI72" s="427"/>
      <c r="AJ72" s="427"/>
      <c r="AK72" s="427"/>
      <c r="AL72" s="427"/>
      <c r="AM72" s="427"/>
      <c r="AN72" s="427"/>
      <c r="AO72" s="427"/>
      <c r="AP72" s="427"/>
      <c r="AQ72" s="427"/>
    </row>
    <row r="73" spans="1:43" ht="16" customHeight="1">
      <c r="A73" s="427"/>
      <c r="B73" s="427"/>
      <c r="C73" s="428">
        <v>40</v>
      </c>
      <c r="D73" s="442">
        <v>46062</v>
      </c>
      <c r="E73" s="958">
        <v>0</v>
      </c>
      <c r="F73" s="958">
        <f>Tabla15[[#This Row],[Retiros]]-Tabla15[[#This Row],[Contado]]</f>
        <v>0</v>
      </c>
      <c r="G73" s="958">
        <v>0</v>
      </c>
      <c r="H73" s="958">
        <v>0</v>
      </c>
      <c r="I73" s="958">
        <v>0</v>
      </c>
      <c r="J73" s="958">
        <v>0</v>
      </c>
      <c r="K73" s="958">
        <v>0</v>
      </c>
      <c r="L73" s="958">
        <v>0</v>
      </c>
      <c r="M73" s="958">
        <v>0</v>
      </c>
      <c r="N73" s="959">
        <f>Tabla15[[#This Row],[Contado]]</f>
        <v>0</v>
      </c>
      <c r="O73" s="962"/>
      <c r="P73" s="443">
        <f>((Tabla15[[#This Row],[Contado]]+Tabla15[[#This Row],[Visa]]+Tabla15[[#This Row],[Eventos]]+Tabla15[[#This Row],[Passo]]+Tabla15[[#This Row],[Reciclajes]])/1.1)+Tabla15[[#This Row],[Tickets]]</f>
        <v>0</v>
      </c>
      <c r="Q73" s="445">
        <v>0</v>
      </c>
      <c r="R73" s="445">
        <f t="shared" si="4"/>
        <v>0</v>
      </c>
      <c r="S73" s="446"/>
      <c r="T73" s="447">
        <v>0</v>
      </c>
      <c r="U73" s="447">
        <f>Tabla15[[#This Row],[Total Caja]]-Tabla15[[#This Row],[Facturació A/A]]</f>
        <v>0</v>
      </c>
      <c r="V73" s="447">
        <f t="shared" si="5"/>
        <v>9311.9627272727266</v>
      </c>
      <c r="W73" s="450" t="e">
        <f>Tabla15[[#This Row],[Diferencia]]/Tabla15[[#This Row],[Facturació A/A]]</f>
        <v>#DIV/0!</v>
      </c>
      <c r="X73" s="447">
        <f>Tabla15[[#This Row],[Facturació A/A]]*H$17+Tabla15[[#This Row],[Facturació A/A]]</f>
        <v>0</v>
      </c>
      <c r="Y73" s="447">
        <f>Tabla15[[#This Row],[Total Caja]]-Tabla15[[#This Row],[Previsión]]</f>
        <v>0</v>
      </c>
      <c r="Z73" s="446"/>
      <c r="AA73" s="447" t="e">
        <f>SUM(INDEX(Tabla15[[#This Row],[Facturació A/A]],1):Tabla15[[#This Row],[Facturació A/A]]) / SUM(INDEX(Tabla15[[#This Row],[Diferencia]],1):Tabla15[[#This Row],[Diferencia]])</f>
        <v>#DIV/0!</v>
      </c>
      <c r="AB73" s="448" t="s">
        <v>462</v>
      </c>
      <c r="AC73" s="427"/>
      <c r="AD73" s="427"/>
      <c r="AE73" s="427"/>
      <c r="AF73" s="427"/>
      <c r="AG73" s="427"/>
      <c r="AH73" s="427"/>
      <c r="AI73" s="427"/>
      <c r="AJ73" s="427"/>
      <c r="AK73" s="427"/>
      <c r="AL73" s="427"/>
      <c r="AM73" s="427"/>
      <c r="AN73" s="427"/>
      <c r="AO73" s="427"/>
      <c r="AP73" s="427"/>
      <c r="AQ73" s="427"/>
    </row>
    <row r="74" spans="1:43" ht="16" customHeight="1">
      <c r="A74" s="427"/>
      <c r="B74" s="427"/>
      <c r="C74" s="428">
        <v>41</v>
      </c>
      <c r="D74" s="442">
        <v>46063</v>
      </c>
      <c r="E74" s="958">
        <v>0</v>
      </c>
      <c r="F74" s="958">
        <f>Tabla15[[#This Row],[Retiros]]-Tabla15[[#This Row],[Contado]]</f>
        <v>0</v>
      </c>
      <c r="G74" s="958">
        <v>0</v>
      </c>
      <c r="H74" s="958">
        <v>0</v>
      </c>
      <c r="I74" s="958">
        <v>0</v>
      </c>
      <c r="J74" s="958">
        <v>0</v>
      </c>
      <c r="K74" s="958">
        <v>0</v>
      </c>
      <c r="L74" s="958">
        <v>0</v>
      </c>
      <c r="M74" s="958">
        <v>0</v>
      </c>
      <c r="N74" s="959">
        <f>Tabla15[[#This Row],[Contado]]</f>
        <v>0</v>
      </c>
      <c r="O74" s="962"/>
      <c r="P74" s="443">
        <f>((Tabla15[[#This Row],[Contado]]+Tabla15[[#This Row],[Visa]]+Tabla15[[#This Row],[Eventos]]+Tabla15[[#This Row],[Passo]]+Tabla15[[#This Row],[Reciclajes]])/1.1)+Tabla15[[#This Row],[Tickets]]</f>
        <v>0</v>
      </c>
      <c r="Q74" s="445">
        <v>0</v>
      </c>
      <c r="R74" s="445">
        <f t="shared" si="4"/>
        <v>0</v>
      </c>
      <c r="S74" s="446"/>
      <c r="T74" s="447">
        <v>0</v>
      </c>
      <c r="U74" s="447">
        <f>Tabla15[[#This Row],[Total Caja]]-Tabla15[[#This Row],[Facturació A/A]]</f>
        <v>0</v>
      </c>
      <c r="V74" s="447">
        <f t="shared" si="5"/>
        <v>9311.9627272727266</v>
      </c>
      <c r="W74" s="450" t="e">
        <f>Tabla15[[#This Row],[Diferencia]]/Tabla15[[#This Row],[Facturació A/A]]</f>
        <v>#DIV/0!</v>
      </c>
      <c r="X74" s="447">
        <f>Tabla15[[#This Row],[Facturació A/A]]*H$17+Tabla15[[#This Row],[Facturació A/A]]</f>
        <v>0</v>
      </c>
      <c r="Y74" s="447">
        <f>Tabla15[[#This Row],[Total Caja]]-Tabla15[[#This Row],[Previsión]]</f>
        <v>0</v>
      </c>
      <c r="Z74" s="446"/>
      <c r="AA74" s="447" t="e">
        <f>SUM(INDEX(Tabla15[[#This Row],[Facturació A/A]],1):Tabla15[[#This Row],[Facturació A/A]]) / SUM(INDEX(Tabla15[[#This Row],[Diferencia]],1):Tabla15[[#This Row],[Diferencia]])</f>
        <v>#DIV/0!</v>
      </c>
      <c r="AB74" s="448" t="s">
        <v>463</v>
      </c>
      <c r="AC74" s="427"/>
      <c r="AD74" s="427"/>
      <c r="AE74" s="427"/>
      <c r="AF74" s="427"/>
      <c r="AG74" s="427"/>
      <c r="AH74" s="427"/>
      <c r="AI74" s="427"/>
      <c r="AJ74" s="427"/>
      <c r="AK74" s="427"/>
      <c r="AL74" s="427"/>
      <c r="AM74" s="427"/>
      <c r="AN74" s="427"/>
      <c r="AO74" s="427"/>
      <c r="AP74" s="427"/>
      <c r="AQ74" s="427"/>
    </row>
    <row r="75" spans="1:43" ht="16" customHeight="1">
      <c r="A75" s="427"/>
      <c r="B75" s="427"/>
      <c r="C75" s="428">
        <v>42</v>
      </c>
      <c r="D75" s="442">
        <v>46064</v>
      </c>
      <c r="E75" s="959">
        <v>7.6</v>
      </c>
      <c r="F75" s="958">
        <f>Tabla15[[#This Row],[Retiros]]-Tabla15[[#This Row],[Contado]]</f>
        <v>112.4</v>
      </c>
      <c r="G75" s="959">
        <v>671.8</v>
      </c>
      <c r="H75" s="959">
        <v>382.25</v>
      </c>
      <c r="I75" s="959">
        <v>0</v>
      </c>
      <c r="J75" s="959">
        <v>0</v>
      </c>
      <c r="K75" s="958">
        <v>0</v>
      </c>
      <c r="L75" s="958">
        <v>0</v>
      </c>
      <c r="M75" s="959">
        <v>120</v>
      </c>
      <c r="N75" s="959">
        <f>Tabla15[[#This Row],[Contado]]</f>
        <v>7.6</v>
      </c>
      <c r="O75" s="962"/>
      <c r="P75" s="443">
        <f>((Tabla15[[#This Row],[Contado]]+Tabla15[[#This Row],[Visa]]+Tabla15[[#This Row],[Eventos]]+Tabla15[[#This Row],[Passo]]+Tabla15[[#This Row],[Reciclajes]])/1.1)+Tabla15[[#This Row],[Tickets]]</f>
        <v>1077.5363636363636</v>
      </c>
      <c r="Q75" s="445">
        <v>0.01</v>
      </c>
      <c r="R75" s="445">
        <f t="shared" si="4"/>
        <v>0.10431202490529745</v>
      </c>
      <c r="S75" s="446"/>
      <c r="T75" s="447">
        <v>364.05</v>
      </c>
      <c r="U75" s="447">
        <f>Tabla15[[#This Row],[Total Caja]]-Tabla15[[#This Row],[Facturació A/A]]</f>
        <v>713.48636363636365</v>
      </c>
      <c r="V75" s="447">
        <f t="shared" si="5"/>
        <v>10025.449090909091</v>
      </c>
      <c r="W75" s="450">
        <f>Tabla15[[#This Row],[Diferencia]]/Tabla15[[#This Row],[Facturació A/A]]</f>
        <v>1.9598581613414741</v>
      </c>
      <c r="X75" s="447">
        <f>Tabla15[[#This Row],[Facturació A/A]]*H$17+Tabla15[[#This Row],[Facturació A/A]]</f>
        <v>374.97149999999999</v>
      </c>
      <c r="Y75" s="447">
        <f>Tabla15[[#This Row],[Total Caja]]-Tabla15[[#This Row],[Previsión]]</f>
        <v>702.56486363636361</v>
      </c>
      <c r="Z75" s="446"/>
      <c r="AA75" s="447">
        <f>SUM(INDEX(Tabla15[[#This Row],[Facturació A/A]],1):Tabla15[[#This Row],[Facturació A/A]]) / SUM(INDEX(Tabla15[[#This Row],[Diferencia]],1):Tabla15[[#This Row],[Diferencia]])</f>
        <v>0.51024100607133982</v>
      </c>
      <c r="AB75" s="446"/>
      <c r="AC75" s="427"/>
      <c r="AD75" s="427"/>
      <c r="AE75" s="427"/>
      <c r="AF75" s="427"/>
      <c r="AG75" s="427"/>
      <c r="AH75" s="427"/>
      <c r="AI75" s="427"/>
      <c r="AJ75" s="427"/>
      <c r="AK75" s="427"/>
      <c r="AL75" s="427"/>
      <c r="AM75" s="427"/>
      <c r="AN75" s="427"/>
      <c r="AO75" s="427"/>
      <c r="AP75" s="427"/>
      <c r="AQ75" s="427"/>
    </row>
    <row r="76" spans="1:43" ht="16" customHeight="1">
      <c r="A76" s="427"/>
      <c r="B76" s="427"/>
      <c r="C76" s="428">
        <v>43</v>
      </c>
      <c r="D76" s="442">
        <v>46065</v>
      </c>
      <c r="E76" s="959">
        <v>0</v>
      </c>
      <c r="F76" s="958">
        <f>Tabla15[[#This Row],[Retiros]]-Tabla15[[#This Row],[Contado]]</f>
        <v>185</v>
      </c>
      <c r="G76" s="959">
        <v>435.25</v>
      </c>
      <c r="H76" s="959">
        <v>0</v>
      </c>
      <c r="I76" s="959">
        <v>71.8</v>
      </c>
      <c r="J76" s="959">
        <v>0</v>
      </c>
      <c r="K76" s="958">
        <v>0</v>
      </c>
      <c r="L76" s="958">
        <v>0</v>
      </c>
      <c r="M76" s="959">
        <v>185</v>
      </c>
      <c r="N76" s="959">
        <f>Tabla15[[#This Row],[Contado]]</f>
        <v>0</v>
      </c>
      <c r="O76" s="962"/>
      <c r="P76" s="443">
        <f>((Tabla15[[#This Row],[Contado]]+Tabla15[[#This Row],[Visa]]+Tabla15[[#This Row],[Eventos]]+Tabla15[[#This Row],[Passo]]+Tabla15[[#This Row],[Reciclajes]])/1.1)+Tabla15[[#This Row],[Tickets]]</f>
        <v>645.9545454545455</v>
      </c>
      <c r="Q76" s="445">
        <v>0</v>
      </c>
      <c r="R76" s="445">
        <f t="shared" si="4"/>
        <v>0.28639786081204699</v>
      </c>
      <c r="S76" s="446"/>
      <c r="T76" s="447">
        <v>670.12</v>
      </c>
      <c r="U76" s="447">
        <f>Tabla15[[#This Row],[Total Caja]]-Tabla15[[#This Row],[Facturació A/A]]</f>
        <v>-24.165454545454509</v>
      </c>
      <c r="V76" s="447">
        <f t="shared" si="5"/>
        <v>10001.283636363636</v>
      </c>
      <c r="W76" s="450">
        <f>Tabla15[[#This Row],[Diferencia]]/Tabla15[[#This Row],[Facturació A/A]]</f>
        <v>-3.6061383849839597E-2</v>
      </c>
      <c r="X76" s="447">
        <f>Tabla15[[#This Row],[Facturació A/A]]*H$17+Tabla15[[#This Row],[Facturació A/A]]</f>
        <v>690.22360000000003</v>
      </c>
      <c r="Y76" s="447">
        <f>Tabla15[[#This Row],[Total Caja]]-Tabla15[[#This Row],[Previsión]]</f>
        <v>-44.269054545454537</v>
      </c>
      <c r="Z76" s="446"/>
      <c r="AA76" s="447">
        <f>SUM(INDEX(Tabla15[[#This Row],[Facturació A/A]],1):Tabla15[[#This Row],[Facturació A/A]]) / SUM(INDEX(Tabla15[[#This Row],[Diferencia]],1):Tabla15[[#This Row],[Diferencia]])</f>
        <v>-27.730494319464341</v>
      </c>
      <c r="AB76" s="446"/>
      <c r="AC76" s="427"/>
      <c r="AD76" s="427"/>
      <c r="AE76" s="427"/>
      <c r="AF76" s="427"/>
      <c r="AG76" s="427"/>
      <c r="AH76" s="427"/>
      <c r="AI76" s="427"/>
      <c r="AJ76" s="427"/>
      <c r="AK76" s="427"/>
      <c r="AL76" s="427"/>
      <c r="AM76" s="427"/>
      <c r="AN76" s="427"/>
      <c r="AO76" s="427"/>
      <c r="AP76" s="427"/>
      <c r="AQ76" s="427"/>
    </row>
    <row r="77" spans="1:43" ht="16" customHeight="1">
      <c r="A77" s="427"/>
      <c r="B77" s="427"/>
      <c r="C77" s="428">
        <v>44</v>
      </c>
      <c r="D77" s="442">
        <v>46066</v>
      </c>
      <c r="E77" s="959">
        <v>46.25</v>
      </c>
      <c r="F77" s="958">
        <f>Tabla15[[#This Row],[Retiros]]-Tabla15[[#This Row],[Contado]]</f>
        <v>168.75</v>
      </c>
      <c r="G77" s="959">
        <v>920.25</v>
      </c>
      <c r="H77" s="959">
        <v>0</v>
      </c>
      <c r="I77" s="959">
        <v>75</v>
      </c>
      <c r="J77" s="959">
        <v>0</v>
      </c>
      <c r="K77" s="959">
        <v>0</v>
      </c>
      <c r="L77" s="958">
        <v>0</v>
      </c>
      <c r="M77" s="959">
        <v>215</v>
      </c>
      <c r="N77" s="959">
        <f>Tabla15[[#This Row],[Contado]]</f>
        <v>46.25</v>
      </c>
      <c r="O77" s="962"/>
      <c r="P77" s="443">
        <f>((Tabla15[[#This Row],[Contado]]+Tabla15[[#This Row],[Visa]]+Tabla15[[#This Row],[Eventos]]+Tabla15[[#This Row],[Passo]]+Tabla15[[#This Row],[Reciclajes]])/1.1)+Tabla15[[#This Row],[Tickets]]</f>
        <v>1115.5681818181818</v>
      </c>
      <c r="Q77" s="445">
        <v>0.05</v>
      </c>
      <c r="R77" s="445">
        <f t="shared" si="4"/>
        <v>0.15126820821024753</v>
      </c>
      <c r="S77" s="446"/>
      <c r="T77" s="447">
        <v>2482.1</v>
      </c>
      <c r="U77" s="447">
        <f>Tabla15[[#This Row],[Total Caja]]-Tabla15[[#This Row],[Facturació A/A]]</f>
        <v>-1366.5318181818182</v>
      </c>
      <c r="V77" s="447">
        <f t="shared" si="5"/>
        <v>8634.7518181818177</v>
      </c>
      <c r="W77" s="450">
        <f>Tabla15[[#This Row],[Diferencia]]/Tabla15[[#This Row],[Facturació A/A]]</f>
        <v>-0.55055469891697284</v>
      </c>
      <c r="X77" s="447">
        <f>Tabla15[[#This Row],[Facturació A/A]]*H$17+Tabla15[[#This Row],[Facturació A/A]]</f>
        <v>2556.5630000000001</v>
      </c>
      <c r="Y77" s="447">
        <f>Tabla15[[#This Row],[Total Caja]]-Tabla15[[#This Row],[Previsión]]</f>
        <v>-1440.9948181818183</v>
      </c>
      <c r="Z77" s="446"/>
      <c r="AA77" s="447">
        <f>SUM(INDEX(Tabla15[[#This Row],[Facturació A/A]],1):Tabla15[[#This Row],[Facturació A/A]]) / SUM(INDEX(Tabla15[[#This Row],[Diferencia]],1):Tabla15[[#This Row],[Diferencia]])</f>
        <v>-1.8163499502722553</v>
      </c>
      <c r="AB77" s="446"/>
      <c r="AC77" s="427"/>
      <c r="AD77" s="427"/>
      <c r="AE77" s="427"/>
      <c r="AF77" s="427"/>
      <c r="AG77" s="427"/>
      <c r="AH77" s="427"/>
      <c r="AI77" s="427"/>
      <c r="AJ77" s="427"/>
      <c r="AK77" s="427"/>
      <c r="AL77" s="427"/>
      <c r="AM77" s="427"/>
      <c r="AN77" s="427"/>
      <c r="AO77" s="427"/>
      <c r="AP77" s="427"/>
      <c r="AQ77" s="427"/>
    </row>
    <row r="78" spans="1:43" ht="16" customHeight="1">
      <c r="A78" s="427"/>
      <c r="B78" s="427"/>
      <c r="C78" s="428">
        <v>45</v>
      </c>
      <c r="D78" s="442">
        <v>46067</v>
      </c>
      <c r="E78" s="959">
        <v>624.1</v>
      </c>
      <c r="F78" s="958">
        <f>Tabla15[[#This Row],[Retiros]]-Tabla15[[#This Row],[Contado]]</f>
        <v>545.9</v>
      </c>
      <c r="G78" s="959">
        <v>2585.4</v>
      </c>
      <c r="H78" s="959">
        <v>0</v>
      </c>
      <c r="I78" s="959">
        <v>87.55</v>
      </c>
      <c r="J78" s="959">
        <v>0</v>
      </c>
      <c r="K78" s="959">
        <v>0</v>
      </c>
      <c r="L78" s="958">
        <v>0</v>
      </c>
      <c r="M78" s="959">
        <v>1170</v>
      </c>
      <c r="N78" s="959">
        <f>Tabla15[[#This Row],[Contado]]</f>
        <v>624.1</v>
      </c>
      <c r="O78" s="962"/>
      <c r="P78" s="443">
        <f>((Tabla15[[#This Row],[Contado]]+Tabla15[[#This Row],[Visa]]+Tabla15[[#This Row],[Eventos]]+Tabla15[[#This Row],[Passo]]+Tabla15[[#This Row],[Reciclajes]])/1.1)+Tabla15[[#This Row],[Tickets]]</f>
        <v>3543.2181818181816</v>
      </c>
      <c r="Q78" s="445">
        <v>0.24</v>
      </c>
      <c r="R78" s="445">
        <f t="shared" si="4"/>
        <v>0.15406897684180279</v>
      </c>
      <c r="S78" s="446"/>
      <c r="T78" s="447">
        <v>2505.2800000000002</v>
      </c>
      <c r="U78" s="447">
        <f>Tabla15[[#This Row],[Total Caja]]-Tabla15[[#This Row],[Facturació A/A]]</f>
        <v>1037.9381818181814</v>
      </c>
      <c r="V78" s="447">
        <f t="shared" si="5"/>
        <v>9672.6899999999987</v>
      </c>
      <c r="W78" s="450">
        <f>Tabla15[[#This Row],[Diferencia]]/Tabla15[[#This Row],[Facturació A/A]]</f>
        <v>0.41430027055585855</v>
      </c>
      <c r="X78" s="447">
        <f>Tabla15[[#This Row],[Facturació A/A]]*H$17+Tabla15[[#This Row],[Facturació A/A]]</f>
        <v>2580.4384</v>
      </c>
      <c r="Y78" s="447">
        <f>Tabla15[[#This Row],[Total Caja]]-Tabla15[[#This Row],[Previsión]]</f>
        <v>962.77978181818162</v>
      </c>
      <c r="Z78" s="446"/>
      <c r="AA78" s="447">
        <f>SUM(INDEX(Tabla15[[#This Row],[Facturació A/A]],1):Tabla15[[#This Row],[Facturació A/A]]) / SUM(INDEX(Tabla15[[#This Row],[Diferencia]],1):Tabla15[[#This Row],[Diferencia]])</f>
        <v>2.4137082958172331</v>
      </c>
      <c r="AB78" s="446" t="s">
        <v>464</v>
      </c>
      <c r="AC78" s="427"/>
      <c r="AD78" s="427"/>
      <c r="AE78" s="427"/>
      <c r="AF78" s="427"/>
      <c r="AG78" s="427"/>
      <c r="AH78" s="427"/>
      <c r="AI78" s="427"/>
      <c r="AJ78" s="427"/>
      <c r="AK78" s="427"/>
      <c r="AL78" s="427"/>
      <c r="AM78" s="427"/>
      <c r="AN78" s="427"/>
      <c r="AO78" s="427"/>
      <c r="AP78" s="427"/>
      <c r="AQ78" s="427"/>
    </row>
    <row r="79" spans="1:43" ht="16" customHeight="1">
      <c r="A79" s="427"/>
      <c r="B79" s="427"/>
      <c r="C79" s="428">
        <v>46</v>
      </c>
      <c r="D79" s="442">
        <v>46068</v>
      </c>
      <c r="E79" s="959">
        <v>51.55</v>
      </c>
      <c r="F79" s="958">
        <f>Tabla15[[#This Row],[Retiros]]-Tabla15[[#This Row],[Contado]]</f>
        <v>298.45</v>
      </c>
      <c r="G79" s="959">
        <v>1272.0999999999999</v>
      </c>
      <c r="H79" s="959">
        <v>0</v>
      </c>
      <c r="I79" s="959">
        <v>34.85</v>
      </c>
      <c r="J79" s="959">
        <v>0</v>
      </c>
      <c r="K79" s="959">
        <v>0</v>
      </c>
      <c r="L79" s="959">
        <v>0</v>
      </c>
      <c r="M79" s="959">
        <v>350</v>
      </c>
      <c r="N79" s="959">
        <f>Tabla15[[#This Row],[Contado]]</f>
        <v>51.55</v>
      </c>
      <c r="O79" s="962"/>
      <c r="P79" s="443">
        <f>((Tabla15[[#This Row],[Contado]]+Tabla15[[#This Row],[Visa]]+Tabla15[[#This Row],[Eventos]]+Tabla15[[#This Row],[Passo]]+Tabla15[[#This Row],[Reciclajes]])/1.1)+Tabla15[[#This Row],[Tickets]]</f>
        <v>1533.4499999999998</v>
      </c>
      <c r="Q79" s="445">
        <v>0.04</v>
      </c>
      <c r="R79" s="445">
        <f t="shared" si="4"/>
        <v>0.19462649581010141</v>
      </c>
      <c r="S79" s="446"/>
      <c r="T79" s="447">
        <v>1318.1</v>
      </c>
      <c r="U79" s="447">
        <f>Tabla15[[#This Row],[Total Caja]]-Tabla15[[#This Row],[Facturació A/A]]</f>
        <v>215.34999999999991</v>
      </c>
      <c r="V79" s="447">
        <f t="shared" si="5"/>
        <v>9888.0399999999991</v>
      </c>
      <c r="W79" s="450">
        <f>Tabla15[[#This Row],[Diferencia]]/Tabla15[[#This Row],[Facturació A/A]]</f>
        <v>0.16337910628935584</v>
      </c>
      <c r="X79" s="447">
        <f>Tabla15[[#This Row],[Facturació A/A]]*H$17+Tabla15[[#This Row],[Facturació A/A]]</f>
        <v>1357.6429999999998</v>
      </c>
      <c r="Y79" s="447">
        <f>Tabla15[[#This Row],[Total Caja]]-Tabla15[[#This Row],[Previsión]]</f>
        <v>175.80700000000002</v>
      </c>
      <c r="Z79" s="446"/>
      <c r="AA79" s="447">
        <f>SUM(INDEX(Tabla15[[#This Row],[Facturació A/A]],1):Tabla15[[#This Row],[Facturació A/A]]) / SUM(INDEX(Tabla15[[#This Row],[Diferencia]],1):Tabla15[[#This Row],[Diferencia]])</f>
        <v>6.1207336893429325</v>
      </c>
      <c r="AB79" s="446"/>
      <c r="AC79" s="427"/>
      <c r="AD79" s="427"/>
      <c r="AE79" s="427"/>
      <c r="AF79" s="427"/>
      <c r="AG79" s="427"/>
      <c r="AH79" s="427"/>
      <c r="AI79" s="427"/>
      <c r="AJ79" s="427"/>
      <c r="AK79" s="427"/>
      <c r="AL79" s="427"/>
      <c r="AM79" s="427"/>
      <c r="AN79" s="427"/>
      <c r="AO79" s="427"/>
      <c r="AP79" s="427"/>
      <c r="AQ79" s="427"/>
    </row>
    <row r="80" spans="1:43" ht="16" customHeight="1">
      <c r="A80" s="427"/>
      <c r="B80" s="427"/>
      <c r="C80" s="428">
        <v>47</v>
      </c>
      <c r="D80" s="442">
        <v>46069</v>
      </c>
      <c r="E80" s="958">
        <v>0</v>
      </c>
      <c r="F80" s="958">
        <f>Tabla15[[#This Row],[Retiros]]-Tabla15[[#This Row],[Contado]]</f>
        <v>0</v>
      </c>
      <c r="G80" s="958">
        <v>0</v>
      </c>
      <c r="H80" s="958">
        <v>0</v>
      </c>
      <c r="I80" s="958">
        <v>0</v>
      </c>
      <c r="J80" s="958">
        <v>0</v>
      </c>
      <c r="K80" s="958">
        <v>0</v>
      </c>
      <c r="L80" s="958">
        <v>0</v>
      </c>
      <c r="M80" s="958">
        <v>0</v>
      </c>
      <c r="N80" s="959">
        <f>Tabla15[[#This Row],[Contado]]</f>
        <v>0</v>
      </c>
      <c r="O80" s="962"/>
      <c r="P80" s="443">
        <f>((Tabla15[[#This Row],[Contado]]+Tabla15[[#This Row],[Visa]]+Tabla15[[#This Row],[Eventos]]+Tabla15[[#This Row],[Passo]]+Tabla15[[#This Row],[Reciclajes]])/1.1)+Tabla15[[#This Row],[Tickets]]</f>
        <v>0</v>
      </c>
      <c r="Q80" s="445">
        <v>0</v>
      </c>
      <c r="R80" s="445">
        <f t="shared" si="4"/>
        <v>0</v>
      </c>
      <c r="S80" s="446"/>
      <c r="T80" s="447">
        <v>0</v>
      </c>
      <c r="U80" s="447">
        <f>Tabla15[[#This Row],[Total Caja]]-Tabla15[[#This Row],[Facturació A/A]]</f>
        <v>0</v>
      </c>
      <c r="V80" s="447">
        <f t="shared" si="5"/>
        <v>9888.0399999999991</v>
      </c>
      <c r="W80" s="450" t="e">
        <f>Tabla15[[#This Row],[Diferencia]]/Tabla15[[#This Row],[Facturació A/A]]</f>
        <v>#DIV/0!</v>
      </c>
      <c r="X80" s="447">
        <f>Tabla15[[#This Row],[Facturació A/A]]*H$17+Tabla15[[#This Row],[Facturació A/A]]</f>
        <v>0</v>
      </c>
      <c r="Y80" s="447">
        <f>Tabla15[[#This Row],[Total Caja]]-Tabla15[[#This Row],[Previsión]]</f>
        <v>0</v>
      </c>
      <c r="Z80" s="446"/>
      <c r="AA80" s="447" t="e">
        <f>SUM(INDEX(Tabla15[[#This Row],[Facturació A/A]],1):Tabla15[[#This Row],[Facturació A/A]]) / SUM(INDEX(Tabla15[[#This Row],[Diferencia]],1):Tabla15[[#This Row],[Diferencia]])</f>
        <v>#DIV/0!</v>
      </c>
      <c r="AB80" s="446"/>
      <c r="AC80" s="427"/>
      <c r="AD80" s="427"/>
      <c r="AE80" s="427"/>
      <c r="AF80" s="427"/>
      <c r="AG80" s="427"/>
      <c r="AH80" s="427"/>
      <c r="AI80" s="427"/>
      <c r="AJ80" s="427"/>
      <c r="AK80" s="427"/>
      <c r="AL80" s="427"/>
      <c r="AM80" s="427"/>
      <c r="AN80" s="427"/>
      <c r="AO80" s="427"/>
      <c r="AP80" s="427"/>
      <c r="AQ80" s="427"/>
    </row>
    <row r="81" spans="1:43" ht="16" customHeight="1">
      <c r="A81" s="427"/>
      <c r="B81" s="427"/>
      <c r="C81" s="428">
        <v>48</v>
      </c>
      <c r="D81" s="442">
        <v>46070</v>
      </c>
      <c r="E81" s="958">
        <v>0</v>
      </c>
      <c r="F81" s="958">
        <f>Tabla15[[#This Row],[Retiros]]-Tabla15[[#This Row],[Contado]]</f>
        <v>0</v>
      </c>
      <c r="G81" s="958">
        <v>0</v>
      </c>
      <c r="H81" s="958">
        <v>0</v>
      </c>
      <c r="I81" s="958">
        <v>0</v>
      </c>
      <c r="J81" s="958">
        <v>0</v>
      </c>
      <c r="K81" s="958">
        <v>0</v>
      </c>
      <c r="L81" s="958">
        <v>0</v>
      </c>
      <c r="M81" s="958">
        <v>0</v>
      </c>
      <c r="N81" s="959">
        <f>Tabla15[[#This Row],[Contado]]</f>
        <v>0</v>
      </c>
      <c r="O81" s="962"/>
      <c r="P81" s="443">
        <f>((Tabla15[[#This Row],[Contado]]+Tabla15[[#This Row],[Visa]]+Tabla15[[#This Row],[Eventos]]+Tabla15[[#This Row],[Passo]]+Tabla15[[#This Row],[Reciclajes]])/1.1)+Tabla15[[#This Row],[Tickets]]</f>
        <v>0</v>
      </c>
      <c r="Q81" s="445">
        <v>0</v>
      </c>
      <c r="R81" s="445">
        <f t="shared" si="4"/>
        <v>0</v>
      </c>
      <c r="S81" s="446"/>
      <c r="T81" s="447">
        <v>0</v>
      </c>
      <c r="U81" s="447">
        <f>Tabla15[[#This Row],[Total Caja]]-Tabla15[[#This Row],[Facturació A/A]]</f>
        <v>0</v>
      </c>
      <c r="V81" s="447">
        <f t="shared" si="5"/>
        <v>9888.0399999999991</v>
      </c>
      <c r="W81" s="450" t="e">
        <f>Tabla15[[#This Row],[Diferencia]]/Tabla15[[#This Row],[Facturació A/A]]</f>
        <v>#DIV/0!</v>
      </c>
      <c r="X81" s="447">
        <f>Tabla15[[#This Row],[Facturació A/A]]*H$17+Tabla15[[#This Row],[Facturació A/A]]</f>
        <v>0</v>
      </c>
      <c r="Y81" s="447">
        <f>Tabla15[[#This Row],[Total Caja]]-Tabla15[[#This Row],[Previsión]]</f>
        <v>0</v>
      </c>
      <c r="Z81" s="446"/>
      <c r="AA81" s="447" t="e">
        <f>SUM(INDEX(Tabla15[[#This Row],[Facturació A/A]],1):Tabla15[[#This Row],[Facturació A/A]]) / SUM(INDEX(Tabla15[[#This Row],[Diferencia]],1):Tabla15[[#This Row],[Diferencia]])</f>
        <v>#DIV/0!</v>
      </c>
      <c r="AB81" s="446"/>
      <c r="AC81" s="427"/>
      <c r="AD81" s="427"/>
      <c r="AE81" s="427"/>
      <c r="AF81" s="427"/>
      <c r="AG81" s="427"/>
      <c r="AH81" s="427"/>
      <c r="AI81" s="427"/>
      <c r="AJ81" s="427"/>
      <c r="AK81" s="427"/>
      <c r="AL81" s="427"/>
      <c r="AM81" s="427"/>
      <c r="AN81" s="427"/>
      <c r="AO81" s="427"/>
      <c r="AP81" s="427"/>
      <c r="AQ81" s="427"/>
    </row>
    <row r="82" spans="1:43" ht="16" customHeight="1">
      <c r="A82" s="427"/>
      <c r="B82" s="427"/>
      <c r="C82" s="428">
        <v>49</v>
      </c>
      <c r="D82" s="442">
        <v>46071</v>
      </c>
      <c r="E82" s="959">
        <v>108.15</v>
      </c>
      <c r="F82" s="958">
        <f>Tabla15[[#This Row],[Retiros]]-Tabla15[[#This Row],[Contado]]</f>
        <v>321.85000000000002</v>
      </c>
      <c r="G82" s="959">
        <v>423.4</v>
      </c>
      <c r="H82" s="958">
        <v>0</v>
      </c>
      <c r="I82" s="958">
        <v>0</v>
      </c>
      <c r="J82" s="958">
        <v>0</v>
      </c>
      <c r="K82" s="958">
        <v>0</v>
      </c>
      <c r="L82" s="958">
        <v>0</v>
      </c>
      <c r="M82" s="959">
        <v>430</v>
      </c>
      <c r="N82" s="959">
        <f>Tabla15[[#This Row],[Contado]]</f>
        <v>108.15</v>
      </c>
      <c r="O82" s="962"/>
      <c r="P82" s="443">
        <f>((Tabla15[[#This Row],[Contado]]+Tabla15[[#This Row],[Visa]]+Tabla15[[#This Row],[Eventos]]+Tabla15[[#This Row],[Passo]]+Tabla15[[#This Row],[Reciclajes]])/1.1)+Tabla15[[#This Row],[Tickets]]</f>
        <v>805.07727272727266</v>
      </c>
      <c r="Q82" s="445">
        <v>0.26</v>
      </c>
      <c r="R82" s="445">
        <f t="shared" si="4"/>
        <v>0.39977528978020183</v>
      </c>
      <c r="S82" s="446"/>
      <c r="T82" s="447">
        <v>698.82</v>
      </c>
      <c r="U82" s="447">
        <f>Tabla15[[#This Row],[Total Caja]]-Tabla15[[#This Row],[Facturació A/A]]</f>
        <v>106.25727272727261</v>
      </c>
      <c r="V82" s="447">
        <f t="shared" si="5"/>
        <v>9994.2972727272718</v>
      </c>
      <c r="W82" s="450">
        <f>Tabla15[[#This Row],[Diferencia]]/Tabla15[[#This Row],[Facturació A/A]]</f>
        <v>0.15205242083408116</v>
      </c>
      <c r="X82" s="447">
        <f>Tabla15[[#This Row],[Facturació A/A]]*H$17+Tabla15[[#This Row],[Facturació A/A]]</f>
        <v>719.78460000000007</v>
      </c>
      <c r="Y82" s="447">
        <f>Tabla15[[#This Row],[Total Caja]]-Tabla15[[#This Row],[Previsión]]</f>
        <v>85.292672727272588</v>
      </c>
      <c r="Z82" s="446"/>
      <c r="AA82" s="447">
        <f>SUM(INDEX(Tabla15[[#This Row],[Facturació A/A]],1):Tabla15[[#This Row],[Facturació A/A]]) / SUM(INDEX(Tabla15[[#This Row],[Diferencia]],1):Tabla15[[#This Row],[Diferencia]])</f>
        <v>6.576679243345918</v>
      </c>
      <c r="AB82" s="446"/>
      <c r="AC82" s="427"/>
      <c r="AD82" s="427"/>
      <c r="AE82" s="427"/>
      <c r="AF82" s="427"/>
      <c r="AG82" s="427"/>
      <c r="AH82" s="427"/>
      <c r="AI82" s="427"/>
      <c r="AJ82" s="427"/>
      <c r="AK82" s="427"/>
      <c r="AL82" s="427"/>
      <c r="AM82" s="427"/>
      <c r="AN82" s="427"/>
      <c r="AO82" s="427"/>
      <c r="AP82" s="427"/>
      <c r="AQ82" s="427"/>
    </row>
    <row r="83" spans="1:43" ht="16" customHeight="1">
      <c r="A83" s="427"/>
      <c r="B83" s="427"/>
      <c r="C83" s="428">
        <v>50</v>
      </c>
      <c r="D83" s="442">
        <v>46072</v>
      </c>
      <c r="E83" s="959">
        <v>0</v>
      </c>
      <c r="F83" s="958">
        <f>Tabla15[[#This Row],[Retiros]]-Tabla15[[#This Row],[Contado]]</f>
        <v>275</v>
      </c>
      <c r="G83" s="959">
        <v>564.29999999999995</v>
      </c>
      <c r="H83" s="958">
        <v>0</v>
      </c>
      <c r="I83" s="958">
        <v>24.4</v>
      </c>
      <c r="J83" s="958">
        <v>0</v>
      </c>
      <c r="K83" s="958">
        <v>0</v>
      </c>
      <c r="L83" s="958">
        <v>0</v>
      </c>
      <c r="M83" s="959">
        <v>275</v>
      </c>
      <c r="N83" s="959">
        <f>Tabla15[[#This Row],[Contado]]</f>
        <v>0</v>
      </c>
      <c r="O83" s="962"/>
      <c r="P83" s="443">
        <f>((Tabla15[[#This Row],[Contado]]+Tabla15[[#This Row],[Visa]]+Tabla15[[#This Row],[Eventos]]+Tabla15[[#This Row],[Passo]]+Tabla15[[#This Row],[Reciclajes]])/1.1)+Tabla15[[#This Row],[Tickets]]</f>
        <v>810.18181818181813</v>
      </c>
      <c r="Q83" s="445">
        <v>0</v>
      </c>
      <c r="R83" s="445">
        <f t="shared" si="4"/>
        <v>0.33942998204667868</v>
      </c>
      <c r="S83" s="446"/>
      <c r="T83" s="447">
        <v>840.5</v>
      </c>
      <c r="U83" s="447">
        <f>Tabla15[[#This Row],[Total Caja]]-Tabla15[[#This Row],[Facturació A/A]]</f>
        <v>-30.31818181818187</v>
      </c>
      <c r="V83" s="447">
        <f t="shared" si="5"/>
        <v>9963.9790909090898</v>
      </c>
      <c r="W83" s="450">
        <f>Tabla15[[#This Row],[Diferencia]]/Tabla15[[#This Row],[Facturació A/A]]</f>
        <v>-3.6071602401168197E-2</v>
      </c>
      <c r="X83" s="447">
        <f>Tabla15[[#This Row],[Facturació A/A]]*H$17+Tabla15[[#This Row],[Facturació A/A]]</f>
        <v>865.71500000000003</v>
      </c>
      <c r="Y83" s="447">
        <f>Tabla15[[#This Row],[Total Caja]]-Tabla15[[#This Row],[Previsión]]</f>
        <v>-55.533181818181902</v>
      </c>
      <c r="Z83" s="446"/>
      <c r="AA83" s="447">
        <f>SUM(INDEX(Tabla15[[#This Row],[Facturació A/A]],1):Tabla15[[#This Row],[Facturació A/A]]) / SUM(INDEX(Tabla15[[#This Row],[Diferencia]],1):Tabla15[[#This Row],[Diferencia]])</f>
        <v>-27.722638680659625</v>
      </c>
      <c r="AB83" s="446"/>
      <c r="AC83" s="427"/>
      <c r="AD83" s="427"/>
      <c r="AE83" s="427"/>
      <c r="AF83" s="427"/>
      <c r="AG83" s="427"/>
      <c r="AH83" s="427"/>
      <c r="AI83" s="427"/>
      <c r="AJ83" s="427"/>
      <c r="AK83" s="427"/>
      <c r="AL83" s="427"/>
      <c r="AM83" s="427"/>
      <c r="AN83" s="427"/>
      <c r="AO83" s="427"/>
      <c r="AP83" s="427"/>
      <c r="AQ83" s="427"/>
    </row>
    <row r="84" spans="1:43" ht="16" customHeight="1">
      <c r="A84" s="427"/>
      <c r="B84" s="427"/>
      <c r="C84" s="428">
        <v>51</v>
      </c>
      <c r="D84" s="442">
        <v>46073</v>
      </c>
      <c r="E84" s="959">
        <v>24.23</v>
      </c>
      <c r="F84" s="958">
        <f>Tabla15[[#This Row],[Retiros]]-Tabla15[[#This Row],[Contado]]</f>
        <v>245.77</v>
      </c>
      <c r="G84" s="959">
        <v>1020.72</v>
      </c>
      <c r="H84" s="959">
        <v>0</v>
      </c>
      <c r="I84" s="959">
        <v>18.600000000000001</v>
      </c>
      <c r="J84" s="958">
        <v>0</v>
      </c>
      <c r="K84" s="958">
        <v>0</v>
      </c>
      <c r="L84" s="958">
        <v>0</v>
      </c>
      <c r="M84" s="959">
        <v>270</v>
      </c>
      <c r="N84" s="959">
        <f>Tabla15[[#This Row],[Contado]]</f>
        <v>24.23</v>
      </c>
      <c r="O84" s="962"/>
      <c r="P84" s="443">
        <f>((Tabla15[[#This Row],[Contado]]+Tabla15[[#This Row],[Visa]]+Tabla15[[#This Row],[Eventos]]+Tabla15[[#This Row],[Passo]]+Tabla15[[#This Row],[Reciclajes]])/1.1)+Tabla15[[#This Row],[Tickets]]</f>
        <v>1212.6336363636362</v>
      </c>
      <c r="Q84" s="445">
        <v>0.02</v>
      </c>
      <c r="R84" s="445">
        <f t="shared" si="4"/>
        <v>0.20267456932581754</v>
      </c>
      <c r="S84" s="446"/>
      <c r="T84" s="447">
        <v>1312.43</v>
      </c>
      <c r="U84" s="447">
        <f>Tabla15[[#This Row],[Total Caja]]-Tabla15[[#This Row],[Facturació A/A]]</f>
        <v>-99.796363636363822</v>
      </c>
      <c r="V84" s="447">
        <f t="shared" si="5"/>
        <v>9864.182727272726</v>
      </c>
      <c r="W84" s="450">
        <f>Tabla15[[#This Row],[Diferencia]]/Tabla15[[#This Row],[Facturació A/A]]</f>
        <v>-7.6039380108930618E-2</v>
      </c>
      <c r="X84" s="447">
        <f>Tabla15[[#This Row],[Facturació A/A]]*H$17+Tabla15[[#This Row],[Facturació A/A]]</f>
        <v>1351.8029000000001</v>
      </c>
      <c r="Y84" s="447">
        <f>Tabla15[[#This Row],[Total Caja]]-Tabla15[[#This Row],[Previsión]]</f>
        <v>-139.16926363636389</v>
      </c>
      <c r="Z84" s="446"/>
      <c r="AA84" s="447">
        <f>SUM(INDEX(Tabla15[[#This Row],[Facturació A/A]],1):Tabla15[[#This Row],[Facturació A/A]]) / SUM(INDEX(Tabla15[[#This Row],[Diferencia]],1):Tabla15[[#This Row],[Diferencia]])</f>
        <v>-13.151080381868509</v>
      </c>
      <c r="AB84" s="446"/>
      <c r="AC84" s="427"/>
      <c r="AD84" s="427"/>
      <c r="AE84" s="427"/>
      <c r="AF84" s="427"/>
      <c r="AG84" s="427"/>
      <c r="AH84" s="427"/>
      <c r="AI84" s="427"/>
      <c r="AJ84" s="427"/>
      <c r="AK84" s="427"/>
      <c r="AL84" s="427"/>
      <c r="AM84" s="427"/>
      <c r="AN84" s="427"/>
      <c r="AO84" s="427"/>
      <c r="AP84" s="427"/>
      <c r="AQ84" s="427"/>
    </row>
    <row r="85" spans="1:43" ht="16" customHeight="1">
      <c r="A85" s="427"/>
      <c r="B85" s="427"/>
      <c r="C85" s="428">
        <v>52</v>
      </c>
      <c r="D85" s="442">
        <v>46074</v>
      </c>
      <c r="E85" s="958">
        <v>0</v>
      </c>
      <c r="F85" s="958">
        <f>Tabla15[[#This Row],[Retiros]]-Tabla15[[#This Row],[Contado]]</f>
        <v>670</v>
      </c>
      <c r="G85" s="959">
        <v>2604.67</v>
      </c>
      <c r="H85" s="958">
        <v>0</v>
      </c>
      <c r="I85" s="959">
        <v>76.3</v>
      </c>
      <c r="J85" s="958">
        <v>0</v>
      </c>
      <c r="K85" s="958">
        <v>0</v>
      </c>
      <c r="L85" s="958">
        <v>0</v>
      </c>
      <c r="M85" s="959">
        <v>670</v>
      </c>
      <c r="N85" s="959">
        <f>Tabla15[[#This Row],[Contado]]</f>
        <v>0</v>
      </c>
      <c r="O85" s="962"/>
      <c r="P85" s="443">
        <f>((Tabla15[[#This Row],[Contado]]+Tabla15[[#This Row],[Visa]]+Tabla15[[#This Row],[Eventos]]+Tabla15[[#This Row],[Passo]]+Tabla15[[#This Row],[Reciclajes]])/1.1)+Tabla15[[#This Row],[Tickets]]</f>
        <v>3107.2454545454548</v>
      </c>
      <c r="Q85" s="445">
        <v>0</v>
      </c>
      <c r="R85" s="445">
        <f t="shared" si="4"/>
        <v>0.21562506399997658</v>
      </c>
      <c r="S85" s="446"/>
      <c r="T85" s="447">
        <v>2481.46</v>
      </c>
      <c r="U85" s="447">
        <f>Tabla15[[#This Row],[Total Caja]]-Tabla15[[#This Row],[Facturació A/A]]</f>
        <v>625.78545454545474</v>
      </c>
      <c r="V85" s="447">
        <f t="shared" si="5"/>
        <v>10489.968181818182</v>
      </c>
      <c r="W85" s="450">
        <f>Tabla15[[#This Row],[Diferencia]]/Tabla15[[#This Row],[Facturació A/A]]</f>
        <v>0.2521843811890801</v>
      </c>
      <c r="X85" s="447">
        <f>Tabla15[[#This Row],[Facturació A/A]]*H$17+Tabla15[[#This Row],[Facturació A/A]]</f>
        <v>2555.9038</v>
      </c>
      <c r="Y85" s="447">
        <f>Tabla15[[#This Row],[Total Caja]]-Tabla15[[#This Row],[Previsión]]</f>
        <v>551.34165454545473</v>
      </c>
      <c r="Z85" s="446"/>
      <c r="AA85" s="447">
        <f>SUM(INDEX(Tabla15[[#This Row],[Facturació A/A]],1):Tabla15[[#This Row],[Facturació A/A]]) / SUM(INDEX(Tabla15[[#This Row],[Diferencia]],1):Tabla15[[#This Row],[Diferencia]])</f>
        <v>3.9653526331998754</v>
      </c>
      <c r="AB85" s="446"/>
      <c r="AC85" s="427"/>
      <c r="AD85" s="427"/>
      <c r="AE85" s="427"/>
      <c r="AF85" s="427"/>
      <c r="AG85" s="427"/>
      <c r="AH85" s="427"/>
      <c r="AI85" s="427"/>
      <c r="AJ85" s="427"/>
      <c r="AK85" s="427"/>
      <c r="AL85" s="427"/>
      <c r="AM85" s="427"/>
      <c r="AN85" s="427"/>
      <c r="AO85" s="427"/>
      <c r="AP85" s="427"/>
      <c r="AQ85" s="427"/>
    </row>
    <row r="86" spans="1:43" ht="16" customHeight="1">
      <c r="A86" s="427"/>
      <c r="B86" s="427"/>
      <c r="C86" s="428">
        <v>53</v>
      </c>
      <c r="D86" s="442">
        <v>46075</v>
      </c>
      <c r="E86" s="959">
        <v>103.05</v>
      </c>
      <c r="F86" s="958">
        <f>Tabla15[[#This Row],[Retiros]]-Tabla15[[#This Row],[Contado]]</f>
        <v>706.95</v>
      </c>
      <c r="G86" s="959">
        <v>1477.6</v>
      </c>
      <c r="H86" s="958">
        <v>0</v>
      </c>
      <c r="I86" s="959">
        <v>30.5</v>
      </c>
      <c r="J86" s="958">
        <v>0</v>
      </c>
      <c r="K86" s="958">
        <v>0</v>
      </c>
      <c r="L86" s="958">
        <v>0</v>
      </c>
      <c r="M86" s="959">
        <v>810</v>
      </c>
      <c r="N86" s="959">
        <f>Tabla15[[#This Row],[Contado]]</f>
        <v>103.05</v>
      </c>
      <c r="O86" s="962"/>
      <c r="P86" s="443">
        <f>((Tabla15[[#This Row],[Contado]]+Tabla15[[#This Row],[Visa]]+Tabla15[[#This Row],[Eventos]]+Tabla15[[#This Row],[Passo]]+Tabla15[[#This Row],[Reciclajes]])/1.1)+Tabla15[[#This Row],[Tickets]]</f>
        <v>2171.6318181818178</v>
      </c>
      <c r="Q86" s="445">
        <v>7.0000000000000007E-2</v>
      </c>
      <c r="R86" s="445">
        <f t="shared" si="4"/>
        <v>0.32553860837786425</v>
      </c>
      <c r="S86" s="446"/>
      <c r="T86" s="447">
        <v>1606.82</v>
      </c>
      <c r="U86" s="447">
        <f>Tabla15[[#This Row],[Total Caja]]-Tabla15[[#This Row],[Facturació A/A]]</f>
        <v>564.8118181818179</v>
      </c>
      <c r="V86" s="447">
        <f t="shared" si="5"/>
        <v>11054.779999999999</v>
      </c>
      <c r="W86" s="450">
        <f>Tabla15[[#This Row],[Diferencia]]/Tabla15[[#This Row],[Facturació A/A]]</f>
        <v>0.35150907891476202</v>
      </c>
      <c r="X86" s="447">
        <f>Tabla15[[#This Row],[Facturació A/A]]*H$17+Tabla15[[#This Row],[Facturació A/A]]</f>
        <v>1655.0246</v>
      </c>
      <c r="Y86" s="447">
        <f>Tabla15[[#This Row],[Total Caja]]-Tabla15[[#This Row],[Previsión]]</f>
        <v>516.60721818181787</v>
      </c>
      <c r="Z86" s="446"/>
      <c r="AA86" s="447">
        <f>SUM(INDEX(Tabla15[[#This Row],[Facturació A/A]],1):Tabla15[[#This Row],[Facturació A/A]]) / SUM(INDEX(Tabla15[[#This Row],[Diferencia]],1):Tabla15[[#This Row],[Diferencia]])</f>
        <v>2.8448767328780478</v>
      </c>
      <c r="AB86" s="446"/>
      <c r="AC86" s="427"/>
      <c r="AD86" s="427"/>
      <c r="AE86" s="427"/>
      <c r="AF86" s="427"/>
      <c r="AG86" s="427"/>
      <c r="AH86" s="427"/>
      <c r="AI86" s="427"/>
      <c r="AJ86" s="427"/>
      <c r="AK86" s="427"/>
      <c r="AL86" s="427"/>
      <c r="AM86" s="427"/>
      <c r="AN86" s="427"/>
      <c r="AO86" s="427"/>
      <c r="AP86" s="427"/>
      <c r="AQ86" s="427"/>
    </row>
    <row r="87" spans="1:43" ht="16" customHeight="1">
      <c r="A87" s="427"/>
      <c r="B87" s="427"/>
      <c r="C87" s="428">
        <v>54</v>
      </c>
      <c r="D87" s="442">
        <v>46076</v>
      </c>
      <c r="E87" s="958">
        <v>0</v>
      </c>
      <c r="F87" s="958">
        <f>Tabla15[[#This Row],[Retiros]]-Tabla15[[#This Row],[Contado]]</f>
        <v>0</v>
      </c>
      <c r="G87" s="958">
        <v>0</v>
      </c>
      <c r="H87" s="958">
        <v>0</v>
      </c>
      <c r="I87" s="958">
        <v>0</v>
      </c>
      <c r="J87" s="958">
        <v>0</v>
      </c>
      <c r="K87" s="958">
        <v>0</v>
      </c>
      <c r="L87" s="958">
        <v>0</v>
      </c>
      <c r="M87" s="958">
        <v>0</v>
      </c>
      <c r="N87" s="959">
        <f>Tabla15[[#This Row],[Contado]]</f>
        <v>0</v>
      </c>
      <c r="O87" s="962"/>
      <c r="P87" s="443">
        <f>((Tabla15[[#This Row],[Contado]]+Tabla15[[#This Row],[Visa]]+Tabla15[[#This Row],[Eventos]]+Tabla15[[#This Row],[Passo]]+Tabla15[[#This Row],[Reciclajes]])/1.1)+Tabla15[[#This Row],[Tickets]]</f>
        <v>0</v>
      </c>
      <c r="Q87" s="445">
        <v>0</v>
      </c>
      <c r="R87" s="445">
        <f t="shared" si="4"/>
        <v>0</v>
      </c>
      <c r="S87" s="446"/>
      <c r="T87" s="447">
        <v>0</v>
      </c>
      <c r="U87" s="447">
        <f>Tabla15[[#This Row],[Total Caja]]-Tabla15[[#This Row],[Facturació A/A]]</f>
        <v>0</v>
      </c>
      <c r="V87" s="447">
        <f t="shared" si="5"/>
        <v>11054.779999999999</v>
      </c>
      <c r="W87" s="450" t="e">
        <f>Tabla15[[#This Row],[Diferencia]]/Tabla15[[#This Row],[Facturació A/A]]</f>
        <v>#DIV/0!</v>
      </c>
      <c r="X87" s="447">
        <f>Tabla15[[#This Row],[Facturació A/A]]*H$17+Tabla15[[#This Row],[Facturació A/A]]</f>
        <v>0</v>
      </c>
      <c r="Y87" s="447">
        <f>Tabla15[[#This Row],[Total Caja]]-Tabla15[[#This Row],[Previsión]]</f>
        <v>0</v>
      </c>
      <c r="Z87" s="446"/>
      <c r="AA87" s="447" t="e">
        <f>SUM(INDEX(Tabla15[[#This Row],[Facturació A/A]],1):Tabla15[[#This Row],[Facturació A/A]]) / SUM(INDEX(Tabla15[[#This Row],[Diferencia]],1):Tabla15[[#This Row],[Diferencia]])</f>
        <v>#DIV/0!</v>
      </c>
      <c r="AB87" s="446"/>
      <c r="AC87" s="427"/>
      <c r="AD87" s="427"/>
      <c r="AE87" s="427"/>
      <c r="AF87" s="427"/>
      <c r="AG87" s="427"/>
      <c r="AH87" s="427"/>
      <c r="AI87" s="427"/>
      <c r="AJ87" s="427"/>
      <c r="AK87" s="427"/>
      <c r="AL87" s="427"/>
      <c r="AM87" s="427"/>
      <c r="AN87" s="427"/>
      <c r="AO87" s="427"/>
      <c r="AP87" s="427"/>
      <c r="AQ87" s="427"/>
    </row>
    <row r="88" spans="1:43" ht="16" customHeight="1">
      <c r="A88" s="427"/>
      <c r="B88" s="427"/>
      <c r="C88" s="428">
        <v>55</v>
      </c>
      <c r="D88" s="442">
        <v>46077</v>
      </c>
      <c r="E88" s="958">
        <v>0</v>
      </c>
      <c r="F88" s="958">
        <f>Tabla15[[#This Row],[Retiros]]-Tabla15[[#This Row],[Contado]]</f>
        <v>0</v>
      </c>
      <c r="G88" s="958">
        <v>0</v>
      </c>
      <c r="H88" s="958">
        <v>0</v>
      </c>
      <c r="I88" s="958">
        <v>0</v>
      </c>
      <c r="J88" s="958">
        <v>0</v>
      </c>
      <c r="K88" s="958">
        <v>0</v>
      </c>
      <c r="L88" s="958">
        <v>0</v>
      </c>
      <c r="M88" s="958">
        <v>0</v>
      </c>
      <c r="N88" s="959">
        <f>Tabla15[[#This Row],[Contado]]</f>
        <v>0</v>
      </c>
      <c r="O88" s="962"/>
      <c r="P88" s="443">
        <f>((Tabla15[[#This Row],[Contado]]+Tabla15[[#This Row],[Visa]]+Tabla15[[#This Row],[Eventos]]+Tabla15[[#This Row],[Passo]]+Tabla15[[#This Row],[Reciclajes]])/1.1)+Tabla15[[#This Row],[Tickets]]</f>
        <v>0</v>
      </c>
      <c r="Q88" s="445">
        <v>0</v>
      </c>
      <c r="R88" s="445">
        <f t="shared" si="4"/>
        <v>0</v>
      </c>
      <c r="S88" s="446"/>
      <c r="T88" s="447">
        <v>0</v>
      </c>
      <c r="U88" s="447">
        <f>Tabla15[[#This Row],[Total Caja]]-Tabla15[[#This Row],[Facturació A/A]]</f>
        <v>0</v>
      </c>
      <c r="V88" s="447">
        <f t="shared" si="5"/>
        <v>11054.779999999999</v>
      </c>
      <c r="W88" s="450" t="e">
        <f>Tabla15[[#This Row],[Diferencia]]/Tabla15[[#This Row],[Facturació A/A]]</f>
        <v>#DIV/0!</v>
      </c>
      <c r="X88" s="447">
        <f>Tabla15[[#This Row],[Facturació A/A]]*H$17+Tabla15[[#This Row],[Facturació A/A]]</f>
        <v>0</v>
      </c>
      <c r="Y88" s="447">
        <f>Tabla15[[#This Row],[Total Caja]]-Tabla15[[#This Row],[Previsión]]</f>
        <v>0</v>
      </c>
      <c r="Z88" s="446"/>
      <c r="AA88" s="447" t="e">
        <f>SUM(INDEX(Tabla15[[#This Row],[Facturació A/A]],1):Tabla15[[#This Row],[Facturació A/A]]) / SUM(INDEX(Tabla15[[#This Row],[Diferencia]],1):Tabla15[[#This Row],[Diferencia]])</f>
        <v>#DIV/0!</v>
      </c>
      <c r="AB88" s="446"/>
      <c r="AC88" s="427"/>
      <c r="AD88" s="427"/>
      <c r="AE88" s="427"/>
      <c r="AF88" s="427"/>
      <c r="AG88" s="427"/>
      <c r="AH88" s="427"/>
      <c r="AI88" s="427"/>
      <c r="AJ88" s="427"/>
      <c r="AK88" s="427"/>
      <c r="AL88" s="427"/>
      <c r="AM88" s="427"/>
      <c r="AN88" s="427"/>
      <c r="AO88" s="427"/>
      <c r="AP88" s="427"/>
      <c r="AQ88" s="427"/>
    </row>
    <row r="89" spans="1:43" ht="16" customHeight="1">
      <c r="A89" s="427"/>
      <c r="B89" s="427"/>
      <c r="C89" s="428">
        <v>56</v>
      </c>
      <c r="D89" s="442">
        <v>46078</v>
      </c>
      <c r="E89" s="958">
        <v>0</v>
      </c>
      <c r="F89" s="958">
        <f>Tabla15[[#This Row],[Retiros]]-Tabla15[[#This Row],[Contado]]</f>
        <v>0</v>
      </c>
      <c r="G89" s="958">
        <v>0</v>
      </c>
      <c r="H89" s="958">
        <v>0</v>
      </c>
      <c r="I89" s="958">
        <v>0</v>
      </c>
      <c r="J89" s="958">
        <v>0</v>
      </c>
      <c r="K89" s="958">
        <v>0</v>
      </c>
      <c r="L89" s="958">
        <v>0</v>
      </c>
      <c r="M89" s="958">
        <v>0</v>
      </c>
      <c r="N89" s="959">
        <f>Tabla15[[#This Row],[Contado]]</f>
        <v>0</v>
      </c>
      <c r="O89" s="962"/>
      <c r="P89" s="443">
        <f>((Tabla15[[#This Row],[Contado]]+Tabla15[[#This Row],[Visa]]+Tabla15[[#This Row],[Eventos]]+Tabla15[[#This Row],[Passo]]+Tabla15[[#This Row],[Reciclajes]])/1.1)+Tabla15[[#This Row],[Tickets]]</f>
        <v>0</v>
      </c>
      <c r="Q89" s="445">
        <v>0</v>
      </c>
      <c r="R89" s="445">
        <f t="shared" si="4"/>
        <v>0</v>
      </c>
      <c r="S89" s="446"/>
      <c r="T89" s="447">
        <v>708.73</v>
      </c>
      <c r="U89" s="447">
        <f>Tabla15[[#This Row],[Total Caja]]-Tabla15[[#This Row],[Facturació A/A]]</f>
        <v>-708.73</v>
      </c>
      <c r="V89" s="447">
        <f t="shared" si="5"/>
        <v>10346.049999999999</v>
      </c>
      <c r="W89" s="450">
        <f>Tabla15[[#This Row],[Diferencia]]/Tabla15[[#This Row],[Facturació A/A]]</f>
        <v>-1</v>
      </c>
      <c r="X89" s="447">
        <f>Tabla15[[#This Row],[Facturació A/A]]*H$17+Tabla15[[#This Row],[Facturació A/A]]</f>
        <v>729.99189999999999</v>
      </c>
      <c r="Y89" s="447">
        <f>Tabla15[[#This Row],[Total Caja]]-Tabla15[[#This Row],[Previsión]]</f>
        <v>-729.99189999999999</v>
      </c>
      <c r="Z89" s="446"/>
      <c r="AA89" s="447">
        <f>SUM(INDEX(Tabla15[[#This Row],[Facturació A/A]],1):Tabla15[[#This Row],[Facturació A/A]]) / SUM(INDEX(Tabla15[[#This Row],[Diferencia]],1):Tabla15[[#This Row],[Diferencia]])</f>
        <v>-1</v>
      </c>
      <c r="AB89" s="446"/>
      <c r="AC89" s="427"/>
      <c r="AD89" s="427"/>
      <c r="AE89" s="427"/>
      <c r="AF89" s="427"/>
      <c r="AG89" s="427"/>
      <c r="AH89" s="427"/>
      <c r="AI89" s="427"/>
      <c r="AJ89" s="427"/>
      <c r="AK89" s="427"/>
      <c r="AL89" s="427"/>
      <c r="AM89" s="427"/>
      <c r="AN89" s="427"/>
      <c r="AO89" s="427"/>
      <c r="AP89" s="427"/>
      <c r="AQ89" s="427"/>
    </row>
    <row r="90" spans="1:43" ht="16" customHeight="1">
      <c r="A90" s="427"/>
      <c r="B90" s="427"/>
      <c r="C90" s="428">
        <v>57</v>
      </c>
      <c r="D90" s="442">
        <v>46079</v>
      </c>
      <c r="E90" s="958">
        <v>0</v>
      </c>
      <c r="F90" s="958">
        <f>Tabla15[[#This Row],[Retiros]]-Tabla15[[#This Row],[Contado]]</f>
        <v>0</v>
      </c>
      <c r="G90" s="958">
        <v>0</v>
      </c>
      <c r="H90" s="958">
        <v>0</v>
      </c>
      <c r="I90" s="958">
        <v>0</v>
      </c>
      <c r="J90" s="958">
        <v>0</v>
      </c>
      <c r="K90" s="958">
        <v>0</v>
      </c>
      <c r="L90" s="958">
        <v>0</v>
      </c>
      <c r="M90" s="958">
        <v>0</v>
      </c>
      <c r="N90" s="959">
        <f>Tabla15[[#This Row],[Contado]]</f>
        <v>0</v>
      </c>
      <c r="O90" s="962"/>
      <c r="P90" s="443">
        <f>((Tabla15[[#This Row],[Contado]]+Tabla15[[#This Row],[Visa]]+Tabla15[[#This Row],[Eventos]]+Tabla15[[#This Row],[Passo]]+Tabla15[[#This Row],[Reciclajes]])/1.1)+Tabla15[[#This Row],[Tickets]]</f>
        <v>0</v>
      </c>
      <c r="Q90" s="445">
        <v>0</v>
      </c>
      <c r="R90" s="445">
        <f t="shared" si="4"/>
        <v>0</v>
      </c>
      <c r="S90" s="446"/>
      <c r="T90" s="447">
        <v>834.5</v>
      </c>
      <c r="U90" s="447">
        <f>Tabla15[[#This Row],[Total Caja]]-Tabla15[[#This Row],[Facturació A/A]]</f>
        <v>-834.5</v>
      </c>
      <c r="V90" s="447">
        <f t="shared" si="5"/>
        <v>9511.5499999999993</v>
      </c>
      <c r="W90" s="450">
        <f>Tabla15[[#This Row],[Diferencia]]/Tabla15[[#This Row],[Facturació A/A]]</f>
        <v>-1</v>
      </c>
      <c r="X90" s="447">
        <f>Tabla15[[#This Row],[Facturació A/A]]*H$17+Tabla15[[#This Row],[Facturació A/A]]</f>
        <v>859.53499999999997</v>
      </c>
      <c r="Y90" s="447">
        <f>Tabla15[[#This Row],[Total Caja]]-Tabla15[[#This Row],[Previsión]]</f>
        <v>-859.53499999999997</v>
      </c>
      <c r="Z90" s="446"/>
      <c r="AA90" s="447">
        <f>SUM(INDEX(Tabla15[[#This Row],[Facturació A/A]],1):Tabla15[[#This Row],[Facturació A/A]]) / SUM(INDEX(Tabla15[[#This Row],[Diferencia]],1):Tabla15[[#This Row],[Diferencia]])</f>
        <v>-1</v>
      </c>
      <c r="AB90" s="446"/>
      <c r="AC90" s="427"/>
      <c r="AD90" s="427"/>
      <c r="AE90" s="427"/>
      <c r="AF90" s="427"/>
      <c r="AG90" s="427"/>
      <c r="AH90" s="427"/>
      <c r="AI90" s="427"/>
      <c r="AJ90" s="427"/>
      <c r="AK90" s="427"/>
      <c r="AL90" s="427"/>
      <c r="AM90" s="427"/>
      <c r="AN90" s="427"/>
      <c r="AO90" s="427"/>
      <c r="AP90" s="427"/>
      <c r="AQ90" s="427"/>
    </row>
    <row r="91" spans="1:43" ht="16" customHeight="1">
      <c r="A91" s="427"/>
      <c r="B91" s="427"/>
      <c r="C91" s="428">
        <v>58</v>
      </c>
      <c r="D91" s="442">
        <v>46080</v>
      </c>
      <c r="E91" s="958">
        <v>0</v>
      </c>
      <c r="F91" s="958">
        <f>Tabla15[[#This Row],[Retiros]]-Tabla15[[#This Row],[Contado]]</f>
        <v>0</v>
      </c>
      <c r="G91" s="958">
        <v>0</v>
      </c>
      <c r="H91" s="958">
        <v>0</v>
      </c>
      <c r="I91" s="958">
        <v>0</v>
      </c>
      <c r="J91" s="958">
        <v>0</v>
      </c>
      <c r="K91" s="958">
        <v>0</v>
      </c>
      <c r="L91" s="958">
        <v>0</v>
      </c>
      <c r="M91" s="958">
        <v>0</v>
      </c>
      <c r="N91" s="959">
        <f>Tabla15[[#This Row],[Contado]]</f>
        <v>0</v>
      </c>
      <c r="O91" s="962"/>
      <c r="P91" s="443">
        <f>((Tabla15[[#This Row],[Contado]]+Tabla15[[#This Row],[Visa]]+Tabla15[[#This Row],[Eventos]]+Tabla15[[#This Row],[Passo]]+Tabla15[[#This Row],[Reciclajes]])/1.1)+Tabla15[[#This Row],[Tickets]]</f>
        <v>0</v>
      </c>
      <c r="Q91" s="445">
        <v>0</v>
      </c>
      <c r="R91" s="445">
        <f t="shared" si="4"/>
        <v>0</v>
      </c>
      <c r="S91" s="446"/>
      <c r="T91" s="447">
        <v>1531.68</v>
      </c>
      <c r="U91" s="447">
        <f>Tabla15[[#This Row],[Total Caja]]-Tabla15[[#This Row],[Facturació A/A]]</f>
        <v>-1531.68</v>
      </c>
      <c r="V91" s="447">
        <f t="shared" si="5"/>
        <v>7979.869999999999</v>
      </c>
      <c r="W91" s="450">
        <f>Tabla15[[#This Row],[Diferencia]]/Tabla15[[#This Row],[Facturació A/A]]</f>
        <v>-1</v>
      </c>
      <c r="X91" s="447">
        <f>Tabla15[[#This Row],[Facturació A/A]]*H$17+Tabla15[[#This Row],[Facturació A/A]]</f>
        <v>1577.6304</v>
      </c>
      <c r="Y91" s="447">
        <f>Tabla15[[#This Row],[Total Caja]]-Tabla15[[#This Row],[Previsión]]</f>
        <v>-1577.6304</v>
      </c>
      <c r="Z91" s="446"/>
      <c r="AA91" s="447">
        <f>SUM(INDEX(Tabla15[[#This Row],[Facturació A/A]],1):Tabla15[[#This Row],[Facturació A/A]]) / SUM(INDEX(Tabla15[[#This Row],[Diferencia]],1):Tabla15[[#This Row],[Diferencia]])</f>
        <v>-1</v>
      </c>
      <c r="AB91" s="446"/>
      <c r="AC91" s="427"/>
      <c r="AD91" s="427"/>
      <c r="AE91" s="427"/>
      <c r="AF91" s="427"/>
      <c r="AG91" s="427"/>
      <c r="AH91" s="427"/>
      <c r="AI91" s="427"/>
      <c r="AJ91" s="427"/>
      <c r="AK91" s="427"/>
      <c r="AL91" s="427"/>
      <c r="AM91" s="427"/>
      <c r="AN91" s="427"/>
      <c r="AO91" s="427"/>
      <c r="AP91" s="427"/>
      <c r="AQ91" s="427"/>
    </row>
    <row r="92" spans="1:43" ht="16" customHeight="1">
      <c r="A92" s="427"/>
      <c r="B92" s="427"/>
      <c r="C92" s="428">
        <v>59</v>
      </c>
      <c r="D92" s="442">
        <v>46081</v>
      </c>
      <c r="E92" s="958">
        <v>0</v>
      </c>
      <c r="F92" s="958">
        <f>Tabla15[[#This Row],[Retiros]]-Tabla15[[#This Row],[Contado]]</f>
        <v>0</v>
      </c>
      <c r="G92" s="958">
        <v>0</v>
      </c>
      <c r="H92" s="958">
        <v>0</v>
      </c>
      <c r="I92" s="958">
        <v>0</v>
      </c>
      <c r="J92" s="958">
        <v>0</v>
      </c>
      <c r="K92" s="958">
        <v>0</v>
      </c>
      <c r="L92" s="958">
        <v>0</v>
      </c>
      <c r="M92" s="958">
        <v>0</v>
      </c>
      <c r="N92" s="959">
        <f>Tabla15[[#This Row],[Contado]]</f>
        <v>0</v>
      </c>
      <c r="O92" s="962"/>
      <c r="P92" s="443">
        <f>((Tabla15[[#This Row],[Contado]]+Tabla15[[#This Row],[Visa]]+Tabla15[[#This Row],[Eventos]]+Tabla15[[#This Row],[Passo]]+Tabla15[[#This Row],[Reciclajes]])/1.1)+Tabla15[[#This Row],[Tickets]]</f>
        <v>0</v>
      </c>
      <c r="Q92" s="445">
        <v>0</v>
      </c>
      <c r="R92" s="445">
        <f t="shared" si="4"/>
        <v>0</v>
      </c>
      <c r="S92" s="446"/>
      <c r="T92" s="447">
        <v>3344.44</v>
      </c>
      <c r="U92" s="447">
        <f>Tabla15[[#This Row],[Total Caja]]-Tabla15[[#This Row],[Facturació A/A]]</f>
        <v>-3344.44</v>
      </c>
      <c r="V92" s="447">
        <f t="shared" si="5"/>
        <v>4635.4299999999985</v>
      </c>
      <c r="W92" s="450">
        <f>Tabla15[[#This Row],[Diferencia]]/Tabla15[[#This Row],[Facturació A/A]]</f>
        <v>-1</v>
      </c>
      <c r="X92" s="447">
        <f>Tabla15[[#This Row],[Facturació A/A]]*H$17+Tabla15[[#This Row],[Facturació A/A]]</f>
        <v>3444.7732000000001</v>
      </c>
      <c r="Y92" s="447">
        <f>Tabla15[[#This Row],[Total Caja]]-Tabla15[[#This Row],[Previsión]]</f>
        <v>-3444.7732000000001</v>
      </c>
      <c r="Z92" s="446"/>
      <c r="AA92" s="447">
        <f>SUM(INDEX(Tabla15[[#This Row],[Facturació A/A]],1):Tabla15[[#This Row],[Facturació A/A]]) / SUM(INDEX(Tabla15[[#This Row],[Diferencia]],1):Tabla15[[#This Row],[Diferencia]])</f>
        <v>-1</v>
      </c>
      <c r="AB92" s="446"/>
      <c r="AC92" s="427"/>
      <c r="AD92" s="427"/>
      <c r="AE92" s="427"/>
      <c r="AF92" s="427"/>
      <c r="AG92" s="427"/>
      <c r="AH92" s="427"/>
      <c r="AI92" s="427"/>
      <c r="AJ92" s="427"/>
      <c r="AK92" s="427"/>
      <c r="AL92" s="427"/>
      <c r="AM92" s="427"/>
      <c r="AN92" s="427"/>
      <c r="AO92" s="427"/>
      <c r="AP92" s="427"/>
      <c r="AQ92" s="427"/>
    </row>
    <row r="93" spans="1:43" ht="16" customHeight="1">
      <c r="A93" s="427"/>
      <c r="B93" s="427"/>
      <c r="C93" s="428">
        <v>60</v>
      </c>
      <c r="D93" s="442">
        <v>46082</v>
      </c>
      <c r="E93" s="958">
        <v>0</v>
      </c>
      <c r="F93" s="958">
        <f>Tabla15[[#This Row],[Retiros]]-Tabla15[[#This Row],[Contado]]</f>
        <v>0</v>
      </c>
      <c r="G93" s="958">
        <v>0</v>
      </c>
      <c r="H93" s="958">
        <v>0</v>
      </c>
      <c r="I93" s="958">
        <v>0</v>
      </c>
      <c r="J93" s="958">
        <v>0</v>
      </c>
      <c r="K93" s="958">
        <v>0</v>
      </c>
      <c r="L93" s="958">
        <v>0</v>
      </c>
      <c r="M93" s="958">
        <v>0</v>
      </c>
      <c r="N93" s="959">
        <f>Tabla15[[#This Row],[Contado]]</f>
        <v>0</v>
      </c>
      <c r="O93" s="959"/>
      <c r="P93" s="443">
        <f>((Tabla15[[#This Row],[Contado]]+Tabla15[[#This Row],[Visa]]+Tabla15[[#This Row],[Eventos]]+Tabla15[[#This Row],[Passo]]+Tabla15[[#This Row],[Reciclajes]])/1.1)+Tabla15[[#This Row],[Tickets]]</f>
        <v>0</v>
      </c>
      <c r="Q93" s="445">
        <v>0</v>
      </c>
      <c r="R93" s="445">
        <f t="shared" si="4"/>
        <v>0</v>
      </c>
      <c r="S93" s="446"/>
      <c r="T93" s="447">
        <v>1061.9100000000001</v>
      </c>
      <c r="U93" s="447">
        <f>Tabla15[[#This Row],[Total Caja]]-Tabla15[[#This Row],[Facturació A/A]]</f>
        <v>-1061.9100000000001</v>
      </c>
      <c r="V93" s="447">
        <f t="shared" si="5"/>
        <v>3573.5199999999986</v>
      </c>
      <c r="W93" s="450">
        <f>Tabla15[[#This Row],[Diferencia]]/Tabla15[[#This Row],[Facturació A/A]]</f>
        <v>-1</v>
      </c>
      <c r="X93" s="447">
        <f>Tabla15[[#This Row],[Facturació A/A]]*H$17+Tabla15[[#This Row],[Facturació A/A]]</f>
        <v>1093.7673</v>
      </c>
      <c r="Y93" s="447">
        <f>Tabla15[[#This Row],[Total Caja]]-Tabla15[[#This Row],[Previsión]]</f>
        <v>-1093.7673</v>
      </c>
      <c r="Z93" s="446"/>
      <c r="AA93" s="447">
        <f>SUM(INDEX(Tabla15[[#This Row],[Facturació A/A]],1):Tabla15[[#This Row],[Facturació A/A]]) / SUM(INDEX(Tabla15[[#This Row],[Diferencia]],1):Tabla15[[#This Row],[Diferencia]])</f>
        <v>-1</v>
      </c>
      <c r="AB93" s="446"/>
      <c r="AC93" s="427"/>
      <c r="AD93" s="427"/>
      <c r="AE93" s="427"/>
      <c r="AF93" s="427"/>
      <c r="AG93" s="427"/>
      <c r="AH93" s="427"/>
      <c r="AI93" s="427"/>
      <c r="AJ93" s="427"/>
      <c r="AK93" s="427"/>
      <c r="AL93" s="427"/>
      <c r="AM93" s="427"/>
      <c r="AN93" s="427"/>
      <c r="AO93" s="427"/>
      <c r="AP93" s="427"/>
      <c r="AQ93" s="427"/>
    </row>
    <row r="94" spans="1:43" ht="16" customHeight="1">
      <c r="A94" s="427"/>
      <c r="B94" s="427"/>
      <c r="C94" s="428">
        <v>61</v>
      </c>
      <c r="D94" s="442">
        <v>46083</v>
      </c>
      <c r="E94" s="958">
        <v>0</v>
      </c>
      <c r="F94" s="958">
        <f>Tabla15[[#This Row],[Retiros]]-Tabla15[[#This Row],[Contado]]</f>
        <v>0</v>
      </c>
      <c r="G94" s="958">
        <v>0</v>
      </c>
      <c r="H94" s="958">
        <v>0</v>
      </c>
      <c r="I94" s="958">
        <v>0</v>
      </c>
      <c r="J94" s="958">
        <v>0</v>
      </c>
      <c r="K94" s="958">
        <v>0</v>
      </c>
      <c r="L94" s="958">
        <v>0</v>
      </c>
      <c r="M94" s="958">
        <v>0</v>
      </c>
      <c r="N94" s="959">
        <f>Tabla15[[#This Row],[Contado]]</f>
        <v>0</v>
      </c>
      <c r="O94" s="959"/>
      <c r="P94" s="443">
        <f>((Tabla15[[#This Row],[Contado]]+Tabla15[[#This Row],[Visa]]+Tabla15[[#This Row],[Eventos]]+Tabla15[[#This Row],[Passo]]+Tabla15[[#This Row],[Reciclajes]])/1.1)+Tabla15[[#This Row],[Tickets]]</f>
        <v>0</v>
      </c>
      <c r="Q94" s="445">
        <v>0</v>
      </c>
      <c r="R94" s="445">
        <f t="shared" si="4"/>
        <v>0</v>
      </c>
      <c r="S94" s="446"/>
      <c r="T94" s="447">
        <v>0</v>
      </c>
      <c r="U94" s="447">
        <f>Tabla15[[#This Row],[Total Caja]]-Tabla15[[#This Row],[Facturació A/A]]</f>
        <v>0</v>
      </c>
      <c r="V94" s="447">
        <f t="shared" si="5"/>
        <v>3573.5199999999986</v>
      </c>
      <c r="W94" s="450" t="e">
        <f>Tabla15[[#This Row],[Diferencia]]/Tabla15[[#This Row],[Facturació A/A]]</f>
        <v>#DIV/0!</v>
      </c>
      <c r="X94" s="447">
        <f>Tabla15[[#This Row],[Facturació A/A]]*H$17+Tabla15[[#This Row],[Facturació A/A]]</f>
        <v>0</v>
      </c>
      <c r="Y94" s="447">
        <f>Tabla15[[#This Row],[Total Caja]]-Tabla15[[#This Row],[Previsión]]</f>
        <v>0</v>
      </c>
      <c r="Z94" s="446"/>
      <c r="AA94" s="447" t="e">
        <f>SUM(INDEX(Tabla15[[#This Row],[Facturació A/A]],1):Tabla15[[#This Row],[Facturació A/A]]) / SUM(INDEX(Tabla15[[#This Row],[Diferencia]],1):Tabla15[[#This Row],[Diferencia]])</f>
        <v>#DIV/0!</v>
      </c>
      <c r="AB94" s="446"/>
      <c r="AC94" s="427"/>
      <c r="AD94" s="427"/>
      <c r="AE94" s="427"/>
      <c r="AF94" s="427"/>
      <c r="AG94" s="427"/>
      <c r="AH94" s="427"/>
      <c r="AI94" s="427"/>
      <c r="AJ94" s="427"/>
      <c r="AK94" s="427"/>
      <c r="AL94" s="427"/>
      <c r="AM94" s="427"/>
      <c r="AN94" s="427"/>
      <c r="AO94" s="427"/>
      <c r="AP94" s="427"/>
      <c r="AQ94" s="427"/>
    </row>
    <row r="95" spans="1:43" ht="16" customHeight="1">
      <c r="A95" s="427"/>
      <c r="B95" s="427"/>
      <c r="C95" s="428">
        <v>62</v>
      </c>
      <c r="D95" s="442">
        <v>46084</v>
      </c>
      <c r="E95" s="958">
        <v>0</v>
      </c>
      <c r="F95" s="958">
        <f>Tabla15[[#This Row],[Retiros]]-Tabla15[[#This Row],[Contado]]</f>
        <v>0</v>
      </c>
      <c r="G95" s="958">
        <v>0</v>
      </c>
      <c r="H95" s="958">
        <v>0</v>
      </c>
      <c r="I95" s="958">
        <v>0</v>
      </c>
      <c r="J95" s="958">
        <v>0</v>
      </c>
      <c r="K95" s="958">
        <v>0</v>
      </c>
      <c r="L95" s="958">
        <v>0</v>
      </c>
      <c r="M95" s="958">
        <v>0</v>
      </c>
      <c r="N95" s="959">
        <f>Tabla15[[#This Row],[Contado]]</f>
        <v>0</v>
      </c>
      <c r="O95" s="959"/>
      <c r="P95" s="443">
        <f>((Tabla15[[#This Row],[Contado]]+Tabla15[[#This Row],[Visa]]+Tabla15[[#This Row],[Eventos]]+Tabla15[[#This Row],[Passo]]+Tabla15[[#This Row],[Reciclajes]])/1.1)+Tabla15[[#This Row],[Tickets]]</f>
        <v>0</v>
      </c>
      <c r="Q95" s="445">
        <v>0</v>
      </c>
      <c r="R95" s="445">
        <f t="shared" si="4"/>
        <v>0</v>
      </c>
      <c r="S95" s="446"/>
      <c r="T95" s="447">
        <v>0</v>
      </c>
      <c r="U95" s="447">
        <f>Tabla15[[#This Row],[Total Caja]]-Tabla15[[#This Row],[Facturació A/A]]</f>
        <v>0</v>
      </c>
      <c r="V95" s="447">
        <f t="shared" si="5"/>
        <v>3573.5199999999986</v>
      </c>
      <c r="W95" s="450" t="e">
        <f>Tabla15[[#This Row],[Diferencia]]/Tabla15[[#This Row],[Facturació A/A]]</f>
        <v>#DIV/0!</v>
      </c>
      <c r="X95" s="447">
        <f>Tabla15[[#This Row],[Facturació A/A]]*H$17+Tabla15[[#This Row],[Facturació A/A]]</f>
        <v>0</v>
      </c>
      <c r="Y95" s="447">
        <f>Tabla15[[#This Row],[Total Caja]]-Tabla15[[#This Row],[Previsión]]</f>
        <v>0</v>
      </c>
      <c r="Z95" s="446"/>
      <c r="AA95" s="447" t="e">
        <f>SUM(INDEX(Tabla15[[#This Row],[Facturació A/A]],1):Tabla15[[#This Row],[Facturació A/A]]) / SUM(INDEX(Tabla15[[#This Row],[Diferencia]],1):Tabla15[[#This Row],[Diferencia]])</f>
        <v>#DIV/0!</v>
      </c>
      <c r="AB95" s="446"/>
      <c r="AC95" s="427"/>
      <c r="AD95" s="427"/>
      <c r="AE95" s="427"/>
      <c r="AF95" s="427"/>
      <c r="AG95" s="427"/>
      <c r="AH95" s="427"/>
      <c r="AI95" s="427"/>
      <c r="AJ95" s="427"/>
      <c r="AK95" s="427"/>
      <c r="AL95" s="427"/>
      <c r="AM95" s="427"/>
      <c r="AN95" s="427"/>
      <c r="AO95" s="427"/>
      <c r="AP95" s="427"/>
      <c r="AQ95" s="427"/>
    </row>
    <row r="96" spans="1:43" ht="16" customHeight="1">
      <c r="A96" s="427"/>
      <c r="B96" s="427"/>
      <c r="C96" s="428">
        <v>63</v>
      </c>
      <c r="D96" s="442">
        <v>46085</v>
      </c>
      <c r="E96" s="958">
        <v>0</v>
      </c>
      <c r="F96" s="958">
        <f>Tabla15[[#This Row],[Retiros]]-Tabla15[[#This Row],[Contado]]</f>
        <v>0</v>
      </c>
      <c r="G96" s="958">
        <v>0</v>
      </c>
      <c r="H96" s="958">
        <v>0</v>
      </c>
      <c r="I96" s="958">
        <v>0</v>
      </c>
      <c r="J96" s="958">
        <v>0</v>
      </c>
      <c r="K96" s="958">
        <v>0</v>
      </c>
      <c r="L96" s="958">
        <v>0</v>
      </c>
      <c r="M96" s="958">
        <v>0</v>
      </c>
      <c r="N96" s="959">
        <f>Tabla15[[#This Row],[Contado]]</f>
        <v>0</v>
      </c>
      <c r="O96" s="959"/>
      <c r="P96" s="443">
        <f>((Tabla15[[#This Row],[Contado]]+Tabla15[[#This Row],[Visa]]+Tabla15[[#This Row],[Eventos]]+Tabla15[[#This Row],[Passo]]+Tabla15[[#This Row],[Reciclajes]])/1.1)+Tabla15[[#This Row],[Tickets]]</f>
        <v>0</v>
      </c>
      <c r="Q96" s="445">
        <v>0</v>
      </c>
      <c r="R96" s="445">
        <f t="shared" si="4"/>
        <v>0</v>
      </c>
      <c r="S96" s="446"/>
      <c r="T96" s="447">
        <v>0</v>
      </c>
      <c r="U96" s="447">
        <f>Tabla15[[#This Row],[Total Caja]]-Tabla15[[#This Row],[Facturació A/A]]</f>
        <v>0</v>
      </c>
      <c r="V96" s="447">
        <f t="shared" si="5"/>
        <v>3573.5199999999986</v>
      </c>
      <c r="W96" s="450" t="e">
        <f>Tabla15[[#This Row],[Diferencia]]/Tabla15[[#This Row],[Facturació A/A]]</f>
        <v>#DIV/0!</v>
      </c>
      <c r="X96" s="447">
        <f>Tabla15[[#This Row],[Facturació A/A]]*H$17+Tabla15[[#This Row],[Facturació A/A]]</f>
        <v>0</v>
      </c>
      <c r="Y96" s="447">
        <f>Tabla15[[#This Row],[Total Caja]]-Tabla15[[#This Row],[Previsión]]</f>
        <v>0</v>
      </c>
      <c r="Z96" s="446"/>
      <c r="AA96" s="447" t="e">
        <f>SUM(INDEX(Tabla15[[#This Row],[Facturació A/A]],1):Tabla15[[#This Row],[Facturació A/A]]) / SUM(INDEX(Tabla15[[#This Row],[Diferencia]],1):Tabla15[[#This Row],[Diferencia]])</f>
        <v>#DIV/0!</v>
      </c>
      <c r="AB96" s="446"/>
      <c r="AC96" s="427"/>
      <c r="AD96" s="427"/>
      <c r="AE96" s="427"/>
      <c r="AF96" s="427"/>
      <c r="AG96" s="427"/>
      <c r="AH96" s="427"/>
      <c r="AI96" s="427"/>
      <c r="AJ96" s="427"/>
      <c r="AK96" s="427"/>
      <c r="AL96" s="427"/>
      <c r="AM96" s="427"/>
      <c r="AN96" s="427"/>
      <c r="AO96" s="427"/>
      <c r="AP96" s="427"/>
      <c r="AQ96" s="427"/>
    </row>
    <row r="97" spans="1:43" ht="16" customHeight="1">
      <c r="A97" s="427"/>
      <c r="B97" s="427"/>
      <c r="C97" s="428">
        <v>64</v>
      </c>
      <c r="D97" s="442">
        <v>46086</v>
      </c>
      <c r="E97" s="958">
        <v>0</v>
      </c>
      <c r="F97" s="958">
        <f>Tabla15[[#This Row],[Retiros]]-Tabla15[[#This Row],[Contado]]</f>
        <v>0</v>
      </c>
      <c r="G97" s="958">
        <v>0</v>
      </c>
      <c r="H97" s="958">
        <v>0</v>
      </c>
      <c r="I97" s="958">
        <v>0</v>
      </c>
      <c r="J97" s="958">
        <v>0</v>
      </c>
      <c r="K97" s="958">
        <v>0</v>
      </c>
      <c r="L97" s="958">
        <v>0</v>
      </c>
      <c r="M97" s="958">
        <v>0</v>
      </c>
      <c r="N97" s="959">
        <f>Tabla15[[#This Row],[Contado]]</f>
        <v>0</v>
      </c>
      <c r="O97" s="959"/>
      <c r="P97" s="443">
        <f>((Tabla15[[#This Row],[Contado]]+Tabla15[[#This Row],[Visa]]+Tabla15[[#This Row],[Eventos]]+Tabla15[[#This Row],[Passo]]+Tabla15[[#This Row],[Reciclajes]])/1.1)+Tabla15[[#This Row],[Tickets]]</f>
        <v>0</v>
      </c>
      <c r="Q97" s="445">
        <v>0</v>
      </c>
      <c r="R97" s="445">
        <f t="shared" si="4"/>
        <v>0</v>
      </c>
      <c r="S97" s="446"/>
      <c r="T97" s="447">
        <v>0</v>
      </c>
      <c r="U97" s="447">
        <f>Tabla15[[#This Row],[Total Caja]]-Tabla15[[#This Row],[Facturació A/A]]</f>
        <v>0</v>
      </c>
      <c r="V97" s="447">
        <f t="shared" si="5"/>
        <v>3573.5199999999986</v>
      </c>
      <c r="W97" s="450" t="e">
        <f>Tabla15[[#This Row],[Diferencia]]/Tabla15[[#This Row],[Facturació A/A]]</f>
        <v>#DIV/0!</v>
      </c>
      <c r="X97" s="447">
        <f>Tabla15[[#This Row],[Facturació A/A]]*H$17+Tabla15[[#This Row],[Facturació A/A]]</f>
        <v>0</v>
      </c>
      <c r="Y97" s="447">
        <f>Tabla15[[#This Row],[Total Caja]]-Tabla15[[#This Row],[Previsión]]</f>
        <v>0</v>
      </c>
      <c r="Z97" s="446"/>
      <c r="AA97" s="447" t="e">
        <f>SUM(INDEX(Tabla15[[#This Row],[Facturació A/A]],1):Tabla15[[#This Row],[Facturació A/A]]) / SUM(INDEX(Tabla15[[#This Row],[Diferencia]],1):Tabla15[[#This Row],[Diferencia]])</f>
        <v>#DIV/0!</v>
      </c>
      <c r="AB97" s="446"/>
      <c r="AC97" s="427"/>
      <c r="AD97" s="427"/>
      <c r="AE97" s="427"/>
      <c r="AF97" s="427"/>
      <c r="AG97" s="427"/>
      <c r="AH97" s="427"/>
      <c r="AI97" s="427"/>
      <c r="AJ97" s="427"/>
      <c r="AK97" s="427"/>
      <c r="AL97" s="427"/>
      <c r="AM97" s="427"/>
      <c r="AN97" s="427"/>
      <c r="AO97" s="427"/>
      <c r="AP97" s="427"/>
      <c r="AQ97" s="427"/>
    </row>
    <row r="98" spans="1:43" ht="16" customHeight="1">
      <c r="A98" s="427"/>
      <c r="B98" s="427"/>
      <c r="C98" s="428">
        <v>65</v>
      </c>
      <c r="D98" s="442">
        <v>46087</v>
      </c>
      <c r="E98" s="958">
        <v>0</v>
      </c>
      <c r="F98" s="958">
        <f>Tabla15[[#This Row],[Retiros]]-Tabla15[[#This Row],[Contado]]</f>
        <v>0</v>
      </c>
      <c r="G98" s="958">
        <v>0</v>
      </c>
      <c r="H98" s="958">
        <v>0</v>
      </c>
      <c r="I98" s="958">
        <v>0</v>
      </c>
      <c r="J98" s="958">
        <v>0</v>
      </c>
      <c r="K98" s="958">
        <v>0</v>
      </c>
      <c r="L98" s="958">
        <v>0</v>
      </c>
      <c r="M98" s="958">
        <v>0</v>
      </c>
      <c r="N98" s="959">
        <f>Tabla15[[#This Row],[Contado]]</f>
        <v>0</v>
      </c>
      <c r="O98" s="959"/>
      <c r="P98" s="443">
        <f>((Tabla15[[#This Row],[Contado]]+Tabla15[[#This Row],[Visa]]+Tabla15[[#This Row],[Eventos]]+Tabla15[[#This Row],[Passo]]+Tabla15[[#This Row],[Reciclajes]])/1.1)+Tabla15[[#This Row],[Tickets]]</f>
        <v>0</v>
      </c>
      <c r="Q98" s="445">
        <v>0</v>
      </c>
      <c r="R98" s="445">
        <f t="shared" ref="R98:R161" si="6">IFERROR(F98/P98,0)</f>
        <v>0</v>
      </c>
      <c r="S98" s="446"/>
      <c r="T98" s="447">
        <v>0</v>
      </c>
      <c r="U98" s="447">
        <f>Tabla15[[#This Row],[Total Caja]]-Tabla15[[#This Row],[Facturació A/A]]</f>
        <v>0</v>
      </c>
      <c r="V98" s="447">
        <f t="shared" si="5"/>
        <v>3573.5199999999986</v>
      </c>
      <c r="W98" s="450" t="e">
        <f>Tabla15[[#This Row],[Diferencia]]/Tabla15[[#This Row],[Facturació A/A]]</f>
        <v>#DIV/0!</v>
      </c>
      <c r="X98" s="447">
        <f>Tabla15[[#This Row],[Facturació A/A]]*H$17+Tabla15[[#This Row],[Facturació A/A]]</f>
        <v>0</v>
      </c>
      <c r="Y98" s="447">
        <f>Tabla15[[#This Row],[Total Caja]]-Tabla15[[#This Row],[Previsión]]</f>
        <v>0</v>
      </c>
      <c r="Z98" s="446"/>
      <c r="AA98" s="447" t="e">
        <f>SUM(INDEX(Tabla15[[#This Row],[Facturació A/A]],1):Tabla15[[#This Row],[Facturació A/A]]) / SUM(INDEX(Tabla15[[#This Row],[Diferencia]],1):Tabla15[[#This Row],[Diferencia]])</f>
        <v>#DIV/0!</v>
      </c>
      <c r="AB98" s="446"/>
      <c r="AC98" s="427"/>
      <c r="AD98" s="427"/>
      <c r="AE98" s="427"/>
      <c r="AF98" s="427"/>
      <c r="AG98" s="427"/>
      <c r="AH98" s="427"/>
      <c r="AI98" s="427"/>
      <c r="AJ98" s="427"/>
      <c r="AK98" s="427"/>
      <c r="AL98" s="427"/>
      <c r="AM98" s="427"/>
      <c r="AN98" s="427"/>
      <c r="AO98" s="427"/>
      <c r="AP98" s="427"/>
      <c r="AQ98" s="427"/>
    </row>
    <row r="99" spans="1:43" ht="16" customHeight="1">
      <c r="A99" s="427"/>
      <c r="B99" s="427"/>
      <c r="C99" s="428">
        <v>66</v>
      </c>
      <c r="D99" s="442">
        <v>46088</v>
      </c>
      <c r="E99" s="958">
        <v>0</v>
      </c>
      <c r="F99" s="958">
        <f>Tabla15[[#This Row],[Retiros]]-Tabla15[[#This Row],[Contado]]</f>
        <v>0</v>
      </c>
      <c r="G99" s="958">
        <v>0</v>
      </c>
      <c r="H99" s="958">
        <v>0</v>
      </c>
      <c r="I99" s="958">
        <v>0</v>
      </c>
      <c r="J99" s="958">
        <v>0</v>
      </c>
      <c r="K99" s="958">
        <v>0</v>
      </c>
      <c r="L99" s="958">
        <v>0</v>
      </c>
      <c r="M99" s="958">
        <v>0</v>
      </c>
      <c r="N99" s="959">
        <f>Tabla15[[#This Row],[Contado]]</f>
        <v>0</v>
      </c>
      <c r="O99" s="959"/>
      <c r="P99" s="443">
        <f>((Tabla15[[#This Row],[Contado]]+Tabla15[[#This Row],[Visa]]+Tabla15[[#This Row],[Eventos]]+Tabla15[[#This Row],[Passo]]+Tabla15[[#This Row],[Reciclajes]])/1.1)+Tabla15[[#This Row],[Tickets]]</f>
        <v>0</v>
      </c>
      <c r="Q99" s="445">
        <v>0</v>
      </c>
      <c r="R99" s="445">
        <f t="shared" si="6"/>
        <v>0</v>
      </c>
      <c r="S99" s="446"/>
      <c r="T99" s="447">
        <v>0</v>
      </c>
      <c r="U99" s="447">
        <f>Tabla15[[#This Row],[Total Caja]]-Tabla15[[#This Row],[Facturació A/A]]</f>
        <v>0</v>
      </c>
      <c r="V99" s="447">
        <f t="shared" ref="V99:V162" si="7">U99+V98</f>
        <v>3573.5199999999986</v>
      </c>
      <c r="W99" s="450" t="e">
        <f>Tabla15[[#This Row],[Diferencia]]/Tabla15[[#This Row],[Facturació A/A]]</f>
        <v>#DIV/0!</v>
      </c>
      <c r="X99" s="447">
        <f>Tabla15[[#This Row],[Facturació A/A]]*H$17+Tabla15[[#This Row],[Facturació A/A]]</f>
        <v>0</v>
      </c>
      <c r="Y99" s="447">
        <f>Tabla15[[#This Row],[Total Caja]]-Tabla15[[#This Row],[Previsión]]</f>
        <v>0</v>
      </c>
      <c r="Z99" s="446"/>
      <c r="AA99" s="447" t="e">
        <f>SUM(INDEX(Tabla15[[#This Row],[Facturació A/A]],1):Tabla15[[#This Row],[Facturació A/A]]) / SUM(INDEX(Tabla15[[#This Row],[Diferencia]],1):Tabla15[[#This Row],[Diferencia]])</f>
        <v>#DIV/0!</v>
      </c>
      <c r="AB99" s="446"/>
      <c r="AC99" s="427"/>
      <c r="AD99" s="427"/>
      <c r="AE99" s="427"/>
      <c r="AF99" s="427"/>
      <c r="AG99" s="427"/>
      <c r="AH99" s="427"/>
      <c r="AI99" s="427"/>
      <c r="AJ99" s="427"/>
      <c r="AK99" s="427"/>
      <c r="AL99" s="427"/>
      <c r="AM99" s="427"/>
      <c r="AN99" s="427"/>
      <c r="AO99" s="427"/>
      <c r="AP99" s="427"/>
      <c r="AQ99" s="427"/>
    </row>
    <row r="100" spans="1:43" ht="16" customHeight="1">
      <c r="A100" s="427"/>
      <c r="B100" s="427"/>
      <c r="C100" s="428">
        <v>67</v>
      </c>
      <c r="D100" s="442">
        <v>46089</v>
      </c>
      <c r="E100" s="958">
        <v>0</v>
      </c>
      <c r="F100" s="958">
        <f>Tabla15[[#This Row],[Retiros]]-Tabla15[[#This Row],[Contado]]</f>
        <v>0</v>
      </c>
      <c r="G100" s="958">
        <v>0</v>
      </c>
      <c r="H100" s="958">
        <v>0</v>
      </c>
      <c r="I100" s="958">
        <v>0</v>
      </c>
      <c r="J100" s="958">
        <v>0</v>
      </c>
      <c r="K100" s="958">
        <v>0</v>
      </c>
      <c r="L100" s="958">
        <v>0</v>
      </c>
      <c r="M100" s="958">
        <v>0</v>
      </c>
      <c r="N100" s="959">
        <f>Tabla15[[#This Row],[Contado]]</f>
        <v>0</v>
      </c>
      <c r="O100" s="959"/>
      <c r="P100" s="443">
        <f>((Tabla15[[#This Row],[Contado]]+Tabla15[[#This Row],[Visa]]+Tabla15[[#This Row],[Eventos]]+Tabla15[[#This Row],[Passo]]+Tabla15[[#This Row],[Reciclajes]])/1.1)+Tabla15[[#This Row],[Tickets]]</f>
        <v>0</v>
      </c>
      <c r="Q100" s="445">
        <v>0</v>
      </c>
      <c r="R100" s="445">
        <f t="shared" si="6"/>
        <v>0</v>
      </c>
      <c r="S100" s="446"/>
      <c r="T100" s="447">
        <v>0</v>
      </c>
      <c r="U100" s="447">
        <f>Tabla15[[#This Row],[Total Caja]]-Tabla15[[#This Row],[Facturació A/A]]</f>
        <v>0</v>
      </c>
      <c r="V100" s="447">
        <f t="shared" si="7"/>
        <v>3573.5199999999986</v>
      </c>
      <c r="W100" s="450" t="e">
        <f>Tabla15[[#This Row],[Diferencia]]/Tabla15[[#This Row],[Facturació A/A]]</f>
        <v>#DIV/0!</v>
      </c>
      <c r="X100" s="447">
        <f>Tabla15[[#This Row],[Facturació A/A]]*H$17+Tabla15[[#This Row],[Facturació A/A]]</f>
        <v>0</v>
      </c>
      <c r="Y100" s="447">
        <f>Tabla15[[#This Row],[Total Caja]]-Tabla15[[#This Row],[Previsión]]</f>
        <v>0</v>
      </c>
      <c r="Z100" s="446"/>
      <c r="AA100" s="447" t="e">
        <f>SUM(INDEX(Tabla15[[#This Row],[Facturació A/A]],1):Tabla15[[#This Row],[Facturació A/A]]) / SUM(INDEX(Tabla15[[#This Row],[Diferencia]],1):Tabla15[[#This Row],[Diferencia]])</f>
        <v>#DIV/0!</v>
      </c>
      <c r="AB100" s="446"/>
      <c r="AC100" s="427"/>
      <c r="AD100" s="427"/>
      <c r="AE100" s="427"/>
      <c r="AF100" s="427"/>
      <c r="AG100" s="427"/>
      <c r="AH100" s="427"/>
      <c r="AI100" s="427"/>
      <c r="AJ100" s="427"/>
      <c r="AK100" s="427"/>
      <c r="AL100" s="427"/>
      <c r="AM100" s="427"/>
      <c r="AN100" s="427"/>
      <c r="AO100" s="427"/>
      <c r="AP100" s="427"/>
      <c r="AQ100" s="427"/>
    </row>
    <row r="101" spans="1:43" ht="16" customHeight="1">
      <c r="A101" s="427"/>
      <c r="B101" s="427"/>
      <c r="C101" s="428">
        <v>68</v>
      </c>
      <c r="D101" s="442">
        <v>46090</v>
      </c>
      <c r="E101" s="958">
        <v>0</v>
      </c>
      <c r="F101" s="958">
        <f>Tabla15[[#This Row],[Retiros]]-Tabla15[[#This Row],[Contado]]</f>
        <v>0</v>
      </c>
      <c r="G101" s="958">
        <v>0</v>
      </c>
      <c r="H101" s="958">
        <v>0</v>
      </c>
      <c r="I101" s="958">
        <v>0</v>
      </c>
      <c r="J101" s="958">
        <v>0</v>
      </c>
      <c r="K101" s="958">
        <v>0</v>
      </c>
      <c r="L101" s="958">
        <v>0</v>
      </c>
      <c r="M101" s="958">
        <v>0</v>
      </c>
      <c r="N101" s="959">
        <f>Tabla15[[#This Row],[Contado]]</f>
        <v>0</v>
      </c>
      <c r="O101" s="959"/>
      <c r="P101" s="443">
        <f>((Tabla15[[#This Row],[Contado]]+Tabla15[[#This Row],[Visa]]+Tabla15[[#This Row],[Eventos]]+Tabla15[[#This Row],[Passo]]+Tabla15[[#This Row],[Reciclajes]])/1.1)+Tabla15[[#This Row],[Tickets]]</f>
        <v>0</v>
      </c>
      <c r="Q101" s="445">
        <v>0</v>
      </c>
      <c r="R101" s="445">
        <f t="shared" si="6"/>
        <v>0</v>
      </c>
      <c r="S101" s="446"/>
      <c r="T101" s="447">
        <v>0</v>
      </c>
      <c r="U101" s="447">
        <f>Tabla15[[#This Row],[Total Caja]]-Tabla15[[#This Row],[Facturació A/A]]</f>
        <v>0</v>
      </c>
      <c r="V101" s="447">
        <f t="shared" si="7"/>
        <v>3573.5199999999986</v>
      </c>
      <c r="W101" s="450" t="e">
        <f>Tabla15[[#This Row],[Diferencia]]/Tabla15[[#This Row],[Facturació A/A]]</f>
        <v>#DIV/0!</v>
      </c>
      <c r="X101" s="447">
        <f>Tabla15[[#This Row],[Facturació A/A]]*H$17+Tabla15[[#This Row],[Facturació A/A]]</f>
        <v>0</v>
      </c>
      <c r="Y101" s="447">
        <f>Tabla15[[#This Row],[Total Caja]]-Tabla15[[#This Row],[Previsión]]</f>
        <v>0</v>
      </c>
      <c r="Z101" s="446"/>
      <c r="AA101" s="447" t="e">
        <f>SUM(INDEX(Tabla15[[#This Row],[Facturació A/A]],1):Tabla15[[#This Row],[Facturació A/A]]) / SUM(INDEX(Tabla15[[#This Row],[Diferencia]],1):Tabla15[[#This Row],[Diferencia]])</f>
        <v>#DIV/0!</v>
      </c>
      <c r="AB101" s="446"/>
      <c r="AC101" s="427"/>
      <c r="AD101" s="427"/>
      <c r="AE101" s="427"/>
      <c r="AF101" s="427"/>
      <c r="AG101" s="427"/>
      <c r="AH101" s="427"/>
      <c r="AI101" s="427"/>
      <c r="AJ101" s="427"/>
      <c r="AK101" s="427"/>
      <c r="AL101" s="427"/>
      <c r="AM101" s="427"/>
      <c r="AN101" s="427"/>
      <c r="AO101" s="427"/>
      <c r="AP101" s="427"/>
      <c r="AQ101" s="427"/>
    </row>
    <row r="102" spans="1:43" ht="16" customHeight="1">
      <c r="A102" s="427"/>
      <c r="B102" s="427"/>
      <c r="C102" s="428">
        <v>69</v>
      </c>
      <c r="D102" s="442">
        <v>46091</v>
      </c>
      <c r="E102" s="958">
        <v>0</v>
      </c>
      <c r="F102" s="958">
        <f>Tabla15[[#This Row],[Retiros]]-Tabla15[[#This Row],[Contado]]</f>
        <v>0</v>
      </c>
      <c r="G102" s="958">
        <v>0</v>
      </c>
      <c r="H102" s="958">
        <v>0</v>
      </c>
      <c r="I102" s="958">
        <v>0</v>
      </c>
      <c r="J102" s="958">
        <v>0</v>
      </c>
      <c r="K102" s="958">
        <v>0</v>
      </c>
      <c r="L102" s="958">
        <v>0</v>
      </c>
      <c r="M102" s="958">
        <v>0</v>
      </c>
      <c r="N102" s="959">
        <f>Tabla15[[#This Row],[Contado]]</f>
        <v>0</v>
      </c>
      <c r="O102" s="959"/>
      <c r="P102" s="443">
        <f>((Tabla15[[#This Row],[Contado]]+Tabla15[[#This Row],[Visa]]+Tabla15[[#This Row],[Eventos]]+Tabla15[[#This Row],[Passo]]+Tabla15[[#This Row],[Reciclajes]])/1.1)+Tabla15[[#This Row],[Tickets]]</f>
        <v>0</v>
      </c>
      <c r="Q102" s="445">
        <v>0</v>
      </c>
      <c r="R102" s="445">
        <f t="shared" si="6"/>
        <v>0</v>
      </c>
      <c r="S102" s="446"/>
      <c r="T102" s="447">
        <v>0</v>
      </c>
      <c r="U102" s="447">
        <f>Tabla15[[#This Row],[Total Caja]]-Tabla15[[#This Row],[Facturació A/A]]</f>
        <v>0</v>
      </c>
      <c r="V102" s="447">
        <f t="shared" si="7"/>
        <v>3573.5199999999986</v>
      </c>
      <c r="W102" s="450" t="e">
        <f>Tabla15[[#This Row],[Diferencia]]/Tabla15[[#This Row],[Facturació A/A]]</f>
        <v>#DIV/0!</v>
      </c>
      <c r="X102" s="447">
        <f>Tabla15[[#This Row],[Facturació A/A]]*H$17+Tabla15[[#This Row],[Facturació A/A]]</f>
        <v>0</v>
      </c>
      <c r="Y102" s="447">
        <f>Tabla15[[#This Row],[Total Caja]]-Tabla15[[#This Row],[Previsión]]</f>
        <v>0</v>
      </c>
      <c r="Z102" s="446"/>
      <c r="AA102" s="447" t="e">
        <f>SUM(INDEX(Tabla15[[#This Row],[Facturació A/A]],1):Tabla15[[#This Row],[Facturació A/A]]) / SUM(INDEX(Tabla15[[#This Row],[Diferencia]],1):Tabla15[[#This Row],[Diferencia]])</f>
        <v>#DIV/0!</v>
      </c>
      <c r="AB102" s="446"/>
      <c r="AC102" s="427"/>
      <c r="AD102" s="427"/>
      <c r="AE102" s="427"/>
      <c r="AF102" s="427"/>
      <c r="AG102" s="427"/>
      <c r="AH102" s="427"/>
      <c r="AI102" s="427"/>
      <c r="AJ102" s="427"/>
      <c r="AK102" s="427"/>
      <c r="AL102" s="427"/>
      <c r="AM102" s="427"/>
      <c r="AN102" s="427"/>
      <c r="AO102" s="427"/>
      <c r="AP102" s="427"/>
      <c r="AQ102" s="427"/>
    </row>
    <row r="103" spans="1:43" ht="16" customHeight="1">
      <c r="A103" s="427"/>
      <c r="B103" s="427"/>
      <c r="C103" s="428">
        <v>70</v>
      </c>
      <c r="D103" s="442">
        <v>46092</v>
      </c>
      <c r="E103" s="959">
        <v>1.5</v>
      </c>
      <c r="F103" s="958">
        <f>Tabla15[[#This Row],[Retiros]]-Tabla15[[#This Row],[Contado]]</f>
        <v>253.5</v>
      </c>
      <c r="G103" s="959">
        <v>334.75</v>
      </c>
      <c r="H103" s="959">
        <v>0</v>
      </c>
      <c r="I103" s="959">
        <v>0</v>
      </c>
      <c r="J103" s="958">
        <v>0</v>
      </c>
      <c r="K103" s="958">
        <v>0</v>
      </c>
      <c r="L103" s="958">
        <v>0</v>
      </c>
      <c r="M103" s="959">
        <v>255</v>
      </c>
      <c r="N103" s="959">
        <f>Tabla15[[#This Row],[Contado]]</f>
        <v>1.5</v>
      </c>
      <c r="O103" s="959"/>
      <c r="P103" s="443">
        <f>((Tabla15[[#This Row],[Contado]]+Tabla15[[#This Row],[Visa]]+Tabla15[[#This Row],[Eventos]]+Tabla15[[#This Row],[Passo]]+Tabla15[[#This Row],[Reciclajes]])/1.1)+Tabla15[[#This Row],[Tickets]]</f>
        <v>559.18181818181813</v>
      </c>
      <c r="Q103" s="445">
        <v>0</v>
      </c>
      <c r="R103" s="445">
        <f t="shared" si="6"/>
        <v>0.45334092017558125</v>
      </c>
      <c r="S103" s="446"/>
      <c r="T103" s="447">
        <v>0</v>
      </c>
      <c r="U103" s="447">
        <f>Tabla15[[#This Row],[Total Caja]]-Tabla15[[#This Row],[Facturació A/A]]</f>
        <v>559.18181818181813</v>
      </c>
      <c r="V103" s="447">
        <f t="shared" si="7"/>
        <v>4132.7018181818166</v>
      </c>
      <c r="W103" s="450" t="e">
        <f>Tabla15[[#This Row],[Diferencia]]/Tabla15[[#This Row],[Facturació A/A]]</f>
        <v>#DIV/0!</v>
      </c>
      <c r="X103" s="447">
        <f>Tabla15[[#This Row],[Facturació A/A]]*H$17+Tabla15[[#This Row],[Facturació A/A]]</f>
        <v>0</v>
      </c>
      <c r="Y103" s="447">
        <f>Tabla15[[#This Row],[Total Caja]]-Tabla15[[#This Row],[Previsión]]</f>
        <v>559.18181818181813</v>
      </c>
      <c r="Z103" s="446"/>
      <c r="AA103" s="447">
        <f>SUM(INDEX(Tabla15[[#This Row],[Facturació A/A]],1):Tabla15[[#This Row],[Facturació A/A]]) / SUM(INDEX(Tabla15[[#This Row],[Diferencia]],1):Tabla15[[#This Row],[Diferencia]])</f>
        <v>0</v>
      </c>
      <c r="AB103" s="446"/>
      <c r="AC103" s="427"/>
      <c r="AD103" s="427"/>
      <c r="AE103" s="427"/>
      <c r="AF103" s="427"/>
      <c r="AG103" s="427"/>
      <c r="AH103" s="427"/>
      <c r="AI103" s="427"/>
      <c r="AJ103" s="427"/>
      <c r="AK103" s="427"/>
      <c r="AL103" s="427"/>
      <c r="AM103" s="427"/>
      <c r="AN103" s="427"/>
      <c r="AO103" s="427"/>
      <c r="AP103" s="427"/>
      <c r="AQ103" s="427"/>
    </row>
    <row r="104" spans="1:43" ht="16" customHeight="1">
      <c r="A104" s="427"/>
      <c r="B104" s="1139"/>
      <c r="C104" s="428">
        <v>71</v>
      </c>
      <c r="D104" s="442">
        <v>46093</v>
      </c>
      <c r="E104" s="959">
        <v>0</v>
      </c>
      <c r="F104" s="958">
        <f>Tabla15[[#This Row],[Retiros]]-Tabla15[[#This Row],[Contado]]</f>
        <v>110</v>
      </c>
      <c r="G104" s="959">
        <v>519.65</v>
      </c>
      <c r="H104" s="959">
        <v>0</v>
      </c>
      <c r="I104" s="959">
        <v>5.6</v>
      </c>
      <c r="J104" s="958">
        <v>0</v>
      </c>
      <c r="K104" s="958">
        <v>0</v>
      </c>
      <c r="L104" s="958">
        <v>0</v>
      </c>
      <c r="M104" s="959">
        <v>110</v>
      </c>
      <c r="N104" s="959">
        <f>Tabla15[[#This Row],[Contado]]</f>
        <v>0</v>
      </c>
      <c r="O104" s="959"/>
      <c r="P104" s="443">
        <f>((Tabla15[[#This Row],[Contado]]+Tabla15[[#This Row],[Visa]]+Tabla15[[#This Row],[Eventos]]+Tabla15[[#This Row],[Passo]]+Tabla15[[#This Row],[Reciclajes]])/1.1)+Tabla15[[#This Row],[Tickets]]</f>
        <v>587.5</v>
      </c>
      <c r="Q104" s="445">
        <v>0</v>
      </c>
      <c r="R104" s="445">
        <f t="shared" si="6"/>
        <v>0.18723404255319148</v>
      </c>
      <c r="S104" s="446"/>
      <c r="T104" s="447">
        <v>0</v>
      </c>
      <c r="U104" s="447">
        <f>Tabla15[[#This Row],[Total Caja]]-Tabla15[[#This Row],[Facturació A/A]]</f>
        <v>587.5</v>
      </c>
      <c r="V104" s="447">
        <f t="shared" si="7"/>
        <v>4720.2018181818166</v>
      </c>
      <c r="W104" s="450" t="e">
        <f>Tabla15[[#This Row],[Diferencia]]/Tabla15[[#This Row],[Facturació A/A]]</f>
        <v>#DIV/0!</v>
      </c>
      <c r="X104" s="447">
        <f>Tabla15[[#This Row],[Facturació A/A]]*H$17+Tabla15[[#This Row],[Facturació A/A]]</f>
        <v>0</v>
      </c>
      <c r="Y104" s="447">
        <f>Tabla15[[#This Row],[Total Caja]]-Tabla15[[#This Row],[Previsión]]</f>
        <v>587.5</v>
      </c>
      <c r="Z104" s="446"/>
      <c r="AA104" s="447">
        <f>SUM(INDEX(Tabla15[[#This Row],[Facturació A/A]],1):Tabla15[[#This Row],[Facturació A/A]]) / SUM(INDEX(Tabla15[[#This Row],[Diferencia]],1):Tabla15[[#This Row],[Diferencia]])</f>
        <v>0</v>
      </c>
      <c r="AB104" s="446"/>
      <c r="AC104" s="427"/>
      <c r="AD104" s="427"/>
      <c r="AE104" s="427"/>
      <c r="AF104" s="427"/>
      <c r="AG104" s="427"/>
      <c r="AH104" s="427"/>
      <c r="AI104" s="427"/>
      <c r="AJ104" s="427"/>
      <c r="AK104" s="427"/>
      <c r="AL104" s="427"/>
      <c r="AM104" s="427"/>
      <c r="AN104" s="427"/>
      <c r="AO104" s="427"/>
      <c r="AP104" s="427"/>
      <c r="AQ104" s="427"/>
    </row>
    <row r="105" spans="1:43" ht="16" customHeight="1">
      <c r="A105" s="427"/>
      <c r="B105" s="1140"/>
      <c r="C105" s="428">
        <v>72</v>
      </c>
      <c r="D105" s="442">
        <v>46094</v>
      </c>
      <c r="E105" s="959">
        <v>227.8</v>
      </c>
      <c r="F105" s="958">
        <f>Tabla15[[#This Row],[Retiros]]-Tabla15[[#This Row],[Contado]]</f>
        <v>177.2</v>
      </c>
      <c r="G105" s="959">
        <v>1069.45</v>
      </c>
      <c r="H105" s="959">
        <v>0</v>
      </c>
      <c r="I105" s="959">
        <v>20.399999999999999</v>
      </c>
      <c r="J105" s="958">
        <v>0</v>
      </c>
      <c r="K105" s="958">
        <v>0</v>
      </c>
      <c r="L105" s="958">
        <v>0</v>
      </c>
      <c r="M105" s="959">
        <v>405</v>
      </c>
      <c r="N105" s="959">
        <f>Tabla15[[#This Row],[Contado]]</f>
        <v>227.8</v>
      </c>
      <c r="O105" s="959"/>
      <c r="P105" s="443">
        <f>((Tabla15[[#This Row],[Contado]]+Tabla15[[#This Row],[Visa]]+Tabla15[[#This Row],[Eventos]]+Tabla15[[#This Row],[Passo]]+Tabla15[[#This Row],[Reciclajes]])/1.1)+Tabla15[[#This Row],[Tickets]]</f>
        <v>1375.0636363636363</v>
      </c>
      <c r="Q105" s="445">
        <v>0.21</v>
      </c>
      <c r="R105" s="445">
        <f t="shared" si="6"/>
        <v>0.12886676319112503</v>
      </c>
      <c r="S105" s="446"/>
      <c r="T105" s="447">
        <v>736.73</v>
      </c>
      <c r="U105" s="447">
        <f>Tabla15[[#This Row],[Total Caja]]-Tabla15[[#This Row],[Facturació A/A]]</f>
        <v>638.33363636363629</v>
      </c>
      <c r="V105" s="447">
        <f t="shared" si="7"/>
        <v>5358.5354545454529</v>
      </c>
      <c r="W105" s="450">
        <f>Tabla15[[#This Row],[Diferencia]]/Tabla15[[#This Row],[Facturació A/A]]</f>
        <v>0.86644175798954337</v>
      </c>
      <c r="X105" s="447">
        <f>Tabla15[[#This Row],[Facturació A/A]]*H$17+Tabla15[[#This Row],[Facturació A/A]]</f>
        <v>758.83190000000002</v>
      </c>
      <c r="Y105" s="447">
        <f>Tabla15[[#This Row],[Total Caja]]-Tabla15[[#This Row],[Previsión]]</f>
        <v>616.23173636363629</v>
      </c>
      <c r="Z105" s="446"/>
      <c r="AA105" s="447">
        <f>SUM(INDEX(Tabla15[[#This Row],[Facturació A/A]],1):Tabla15[[#This Row],[Facturació A/A]]) / SUM(INDEX(Tabla15[[#This Row],[Diferencia]],1):Tabla15[[#This Row],[Diferencia]])</f>
        <v>1.1541456662019152</v>
      </c>
      <c r="AB105" s="446"/>
      <c r="AC105" s="427"/>
      <c r="AD105" s="427"/>
      <c r="AE105" s="427"/>
      <c r="AF105" s="427"/>
      <c r="AG105" s="427"/>
      <c r="AH105" s="427"/>
      <c r="AI105" s="427"/>
      <c r="AJ105" s="427"/>
      <c r="AK105" s="427"/>
      <c r="AL105" s="427"/>
      <c r="AM105" s="427"/>
      <c r="AN105" s="427"/>
      <c r="AO105" s="427"/>
      <c r="AP105" s="427"/>
      <c r="AQ105" s="427"/>
    </row>
    <row r="106" spans="1:43" ht="16" customHeight="1">
      <c r="A106" s="427"/>
      <c r="B106" s="1140"/>
      <c r="C106" s="428">
        <v>73</v>
      </c>
      <c r="D106" s="442">
        <v>46095</v>
      </c>
      <c r="E106" s="959">
        <v>0</v>
      </c>
      <c r="F106" s="958">
        <f>Tabla15[[#This Row],[Retiros]]-Tabla15[[#This Row],[Contado]]</f>
        <v>345</v>
      </c>
      <c r="G106" s="959">
        <v>1990.3</v>
      </c>
      <c r="H106" s="959">
        <v>0</v>
      </c>
      <c r="I106" s="959">
        <v>93.5</v>
      </c>
      <c r="J106" s="958">
        <v>0</v>
      </c>
      <c r="K106" s="958">
        <v>0</v>
      </c>
      <c r="L106" s="958">
        <v>0</v>
      </c>
      <c r="M106" s="959">
        <v>345</v>
      </c>
      <c r="N106" s="959">
        <f>Tabla15[[#This Row],[Contado]]</f>
        <v>0</v>
      </c>
      <c r="O106" s="959"/>
      <c r="P106" s="443">
        <f>((Tabla15[[#This Row],[Contado]]+Tabla15[[#This Row],[Visa]]+Tabla15[[#This Row],[Eventos]]+Tabla15[[#This Row],[Passo]]+Tabla15[[#This Row],[Reciclajes]])/1.1)+Tabla15[[#This Row],[Tickets]]</f>
        <v>2239.3636363636365</v>
      </c>
      <c r="Q106" s="445">
        <v>0</v>
      </c>
      <c r="R106" s="445">
        <f t="shared" si="6"/>
        <v>0.15406162464985992</v>
      </c>
      <c r="S106" s="446"/>
      <c r="T106" s="447">
        <v>2440.06</v>
      </c>
      <c r="U106" s="447">
        <f>Tabla15[[#This Row],[Total Caja]]-Tabla15[[#This Row],[Facturació A/A]]</f>
        <v>-200.69636363636346</v>
      </c>
      <c r="V106" s="447">
        <f t="shared" si="7"/>
        <v>5157.8390909090895</v>
      </c>
      <c r="W106" s="450">
        <f>Tabla15[[#This Row],[Diferencia]]/Tabla15[[#This Row],[Facturació A/A]]</f>
        <v>-8.2250585492308986E-2</v>
      </c>
      <c r="X106" s="447">
        <f>Tabla15[[#This Row],[Facturació A/A]]*H$17+Tabla15[[#This Row],[Facturació A/A]]</f>
        <v>2513.2617999999998</v>
      </c>
      <c r="Y106" s="447">
        <f>Tabla15[[#This Row],[Total Caja]]-Tabla15[[#This Row],[Previsión]]</f>
        <v>-273.89816363636328</v>
      </c>
      <c r="Z106" s="446"/>
      <c r="AA106" s="447">
        <f>SUM(INDEX(Tabla15[[#This Row],[Facturació A/A]],1):Tabla15[[#This Row],[Facturació A/A]]) / SUM(INDEX(Tabla15[[#This Row],[Diferencia]],1):Tabla15[[#This Row],[Diferencia]])</f>
        <v>-12.157968165387796</v>
      </c>
      <c r="AB106" s="446"/>
      <c r="AC106" s="427"/>
      <c r="AD106" s="427"/>
      <c r="AE106" s="427"/>
      <c r="AF106" s="427"/>
      <c r="AG106" s="427"/>
      <c r="AH106" s="427"/>
      <c r="AI106" s="427"/>
      <c r="AJ106" s="427"/>
      <c r="AK106" s="427"/>
      <c r="AL106" s="427"/>
      <c r="AM106" s="427"/>
      <c r="AN106" s="427"/>
      <c r="AO106" s="427"/>
      <c r="AP106" s="427"/>
      <c r="AQ106" s="427"/>
    </row>
    <row r="107" spans="1:43" ht="16" customHeight="1">
      <c r="A107" s="427"/>
      <c r="B107" s="1140"/>
      <c r="C107" s="428">
        <v>74</v>
      </c>
      <c r="D107" s="442">
        <v>46096</v>
      </c>
      <c r="E107" s="959">
        <v>566.65</v>
      </c>
      <c r="F107" s="958">
        <f>Tabla15[[#This Row],[Retiros]]-Tabla15[[#This Row],[Contado]]</f>
        <v>63.350000000000023</v>
      </c>
      <c r="G107" s="959">
        <v>2140.35</v>
      </c>
      <c r="H107" s="959">
        <v>0</v>
      </c>
      <c r="I107" s="959">
        <v>7.9</v>
      </c>
      <c r="J107" s="958">
        <v>0</v>
      </c>
      <c r="K107" s="958">
        <v>0</v>
      </c>
      <c r="L107" s="958">
        <v>0</v>
      </c>
      <c r="M107" s="959">
        <v>630</v>
      </c>
      <c r="N107" s="959">
        <f>Tabla15[[#This Row],[Contado]]</f>
        <v>566.65</v>
      </c>
      <c r="O107" s="959"/>
      <c r="P107" s="443">
        <f>((Tabla15[[#This Row],[Contado]]+Tabla15[[#This Row],[Visa]]+Tabla15[[#This Row],[Eventos]]+Tabla15[[#This Row],[Passo]]+Tabla15[[#This Row],[Reciclajes]])/1.1)+Tabla15[[#This Row],[Tickets]]</f>
        <v>2531.4409090909089</v>
      </c>
      <c r="Q107" s="445">
        <v>0.26</v>
      </c>
      <c r="R107" s="445">
        <f t="shared" si="6"/>
        <v>2.5025273065824902E-2</v>
      </c>
      <c r="S107" s="446"/>
      <c r="T107" s="447">
        <v>1583.12</v>
      </c>
      <c r="U107" s="447">
        <f>Tabla15[[#This Row],[Total Caja]]-Tabla15[[#This Row],[Facturació A/A]]</f>
        <v>948.32090909090903</v>
      </c>
      <c r="V107" s="447">
        <f t="shared" si="7"/>
        <v>6106.159999999998</v>
      </c>
      <c r="W107" s="450">
        <f>Tabla15[[#This Row],[Diferencia]]/Tabla15[[#This Row],[Facturació A/A]]</f>
        <v>0.5990202316254668</v>
      </c>
      <c r="X107" s="447">
        <f>Tabla15[[#This Row],[Facturació A/A]]*H$17+Tabla15[[#This Row],[Facturació A/A]]</f>
        <v>1630.6135999999999</v>
      </c>
      <c r="Y107" s="447">
        <f>Tabla15[[#This Row],[Total Caja]]-Tabla15[[#This Row],[Previsión]]</f>
        <v>900.82730909090901</v>
      </c>
      <c r="Z107" s="446"/>
      <c r="AA107" s="447">
        <f>SUM(INDEX(Tabla15[[#This Row],[Facturació A/A]],1):Tabla15[[#This Row],[Facturació A/A]]) / SUM(INDEX(Tabla15[[#This Row],[Diferencia]],1):Tabla15[[#This Row],[Diferencia]])</f>
        <v>1.6693926969485779</v>
      </c>
      <c r="AB107" s="446"/>
      <c r="AC107" s="427"/>
      <c r="AD107" s="427"/>
      <c r="AE107" s="427"/>
      <c r="AF107" s="427"/>
      <c r="AG107" s="427"/>
      <c r="AH107" s="427"/>
      <c r="AI107" s="427"/>
      <c r="AJ107" s="427"/>
      <c r="AK107" s="427"/>
      <c r="AL107" s="427"/>
      <c r="AM107" s="427"/>
      <c r="AN107" s="427"/>
      <c r="AO107" s="427"/>
      <c r="AP107" s="427"/>
      <c r="AQ107" s="427"/>
    </row>
    <row r="108" spans="1:43" ht="16" customHeight="1">
      <c r="A108" s="427"/>
      <c r="B108" s="454"/>
      <c r="C108" s="428">
        <v>75</v>
      </c>
      <c r="D108" s="442">
        <v>46097</v>
      </c>
      <c r="E108" s="958">
        <v>0</v>
      </c>
      <c r="F108" s="958">
        <f>Tabla15[[#This Row],[Retiros]]-Tabla15[[#This Row],[Contado]]</f>
        <v>0</v>
      </c>
      <c r="G108" s="958">
        <v>0</v>
      </c>
      <c r="H108" s="958">
        <v>0</v>
      </c>
      <c r="I108" s="958">
        <v>0</v>
      </c>
      <c r="J108" s="958">
        <v>0</v>
      </c>
      <c r="K108" s="958">
        <v>0</v>
      </c>
      <c r="L108" s="958">
        <v>0</v>
      </c>
      <c r="M108" s="958">
        <v>0</v>
      </c>
      <c r="N108" s="959">
        <f>Tabla15[[#This Row],[Contado]]</f>
        <v>0</v>
      </c>
      <c r="O108" s="959"/>
      <c r="P108" s="443">
        <f>((Tabla15[[#This Row],[Contado]]+Tabla15[[#This Row],[Visa]]+Tabla15[[#This Row],[Eventos]]+Tabla15[[#This Row],[Passo]]+Tabla15[[#This Row],[Reciclajes]])/1.1)+Tabla15[[#This Row],[Tickets]]</f>
        <v>0</v>
      </c>
      <c r="Q108" s="445">
        <v>0</v>
      </c>
      <c r="R108" s="445">
        <f t="shared" si="6"/>
        <v>0</v>
      </c>
      <c r="S108" s="446"/>
      <c r="T108" s="447">
        <v>0</v>
      </c>
      <c r="U108" s="447">
        <f>Tabla15[[#This Row],[Total Caja]]-Tabla15[[#This Row],[Facturació A/A]]</f>
        <v>0</v>
      </c>
      <c r="V108" s="447">
        <f t="shared" si="7"/>
        <v>6106.159999999998</v>
      </c>
      <c r="W108" s="450" t="e">
        <f>Tabla15[[#This Row],[Diferencia]]/Tabla15[[#This Row],[Facturació A/A]]</f>
        <v>#DIV/0!</v>
      </c>
      <c r="X108" s="447">
        <f>Tabla15[[#This Row],[Facturació A/A]]*H$17+Tabla15[[#This Row],[Facturació A/A]]</f>
        <v>0</v>
      </c>
      <c r="Y108" s="447">
        <f>Tabla15[[#This Row],[Total Caja]]-Tabla15[[#This Row],[Previsión]]</f>
        <v>0</v>
      </c>
      <c r="Z108" s="446"/>
      <c r="AA108" s="447" t="e">
        <f>SUM(INDEX(Tabla15[[#This Row],[Facturació A/A]],1):Tabla15[[#This Row],[Facturació A/A]]) / SUM(INDEX(Tabla15[[#This Row],[Diferencia]],1):Tabla15[[#This Row],[Diferencia]])</f>
        <v>#DIV/0!</v>
      </c>
      <c r="AB108" s="446"/>
      <c r="AC108" s="427"/>
      <c r="AD108" s="427"/>
      <c r="AE108" s="427"/>
      <c r="AF108" s="427"/>
      <c r="AG108" s="427"/>
      <c r="AH108" s="427"/>
      <c r="AI108" s="427"/>
      <c r="AJ108" s="427"/>
      <c r="AK108" s="427"/>
      <c r="AL108" s="427"/>
      <c r="AM108" s="427"/>
      <c r="AN108" s="427"/>
      <c r="AO108" s="427"/>
      <c r="AP108" s="427"/>
      <c r="AQ108" s="427"/>
    </row>
    <row r="109" spans="1:43" ht="16" customHeight="1">
      <c r="A109" s="427"/>
      <c r="B109" s="454"/>
      <c r="C109" s="428">
        <v>76</v>
      </c>
      <c r="D109" s="442">
        <v>46098</v>
      </c>
      <c r="E109" s="958">
        <v>0</v>
      </c>
      <c r="F109" s="958">
        <f>Tabla15[[#This Row],[Retiros]]-Tabla15[[#This Row],[Contado]]</f>
        <v>0</v>
      </c>
      <c r="G109" s="958">
        <v>0</v>
      </c>
      <c r="H109" s="958">
        <v>0</v>
      </c>
      <c r="I109" s="958">
        <v>0</v>
      </c>
      <c r="J109" s="958">
        <v>0</v>
      </c>
      <c r="K109" s="958">
        <v>0</v>
      </c>
      <c r="L109" s="958">
        <v>0</v>
      </c>
      <c r="M109" s="958">
        <v>0</v>
      </c>
      <c r="N109" s="959">
        <f>Tabla15[[#This Row],[Contado]]</f>
        <v>0</v>
      </c>
      <c r="O109" s="959"/>
      <c r="P109" s="443">
        <f>((Tabla15[[#This Row],[Contado]]+Tabla15[[#This Row],[Visa]]+Tabla15[[#This Row],[Eventos]]+Tabla15[[#This Row],[Passo]]+Tabla15[[#This Row],[Reciclajes]])/1.1)+Tabla15[[#This Row],[Tickets]]</f>
        <v>0</v>
      </c>
      <c r="Q109" s="445">
        <v>0</v>
      </c>
      <c r="R109" s="445">
        <f t="shared" si="6"/>
        <v>0</v>
      </c>
      <c r="S109" s="446"/>
      <c r="T109" s="447">
        <v>0</v>
      </c>
      <c r="U109" s="447">
        <f>Tabla15[[#This Row],[Total Caja]]-Tabla15[[#This Row],[Facturació A/A]]</f>
        <v>0</v>
      </c>
      <c r="V109" s="447">
        <f t="shared" si="7"/>
        <v>6106.159999999998</v>
      </c>
      <c r="W109" s="450" t="e">
        <f>Tabla15[[#This Row],[Diferencia]]/Tabla15[[#This Row],[Facturació A/A]]</f>
        <v>#DIV/0!</v>
      </c>
      <c r="X109" s="447">
        <f>Tabla15[[#This Row],[Facturació A/A]]*H$17+Tabla15[[#This Row],[Facturació A/A]]</f>
        <v>0</v>
      </c>
      <c r="Y109" s="447">
        <f>Tabla15[[#This Row],[Total Caja]]-Tabla15[[#This Row],[Previsión]]</f>
        <v>0</v>
      </c>
      <c r="Z109" s="446"/>
      <c r="AA109" s="447" t="e">
        <f>SUM(INDEX(Tabla15[[#This Row],[Facturació A/A]],1):Tabla15[[#This Row],[Facturació A/A]]) / SUM(INDEX(Tabla15[[#This Row],[Diferencia]],1):Tabla15[[#This Row],[Diferencia]])</f>
        <v>#DIV/0!</v>
      </c>
      <c r="AB109" s="446"/>
      <c r="AC109" s="427"/>
      <c r="AD109" s="427"/>
      <c r="AE109" s="427"/>
      <c r="AF109" s="427"/>
      <c r="AG109" s="427"/>
      <c r="AH109" s="427"/>
      <c r="AI109" s="427"/>
      <c r="AJ109" s="427"/>
      <c r="AK109" s="427"/>
      <c r="AL109" s="427"/>
      <c r="AM109" s="427"/>
      <c r="AN109" s="427"/>
      <c r="AO109" s="427"/>
      <c r="AP109" s="427"/>
      <c r="AQ109" s="427"/>
    </row>
    <row r="110" spans="1:43" ht="16" customHeight="1">
      <c r="A110" s="427"/>
      <c r="B110" s="427"/>
      <c r="C110" s="428">
        <v>77</v>
      </c>
      <c r="D110" s="442">
        <v>46099</v>
      </c>
      <c r="E110" s="959">
        <v>4</v>
      </c>
      <c r="F110" s="958">
        <f>Tabla15[[#This Row],[Retiros]]-Tabla15[[#This Row],[Contado]]</f>
        <v>226</v>
      </c>
      <c r="G110" s="958">
        <v>776.8</v>
      </c>
      <c r="H110" s="958">
        <v>0</v>
      </c>
      <c r="I110" s="959">
        <v>0</v>
      </c>
      <c r="J110" s="958">
        <v>0</v>
      </c>
      <c r="K110" s="958">
        <v>0</v>
      </c>
      <c r="L110" s="958">
        <v>0</v>
      </c>
      <c r="M110" s="959">
        <v>230</v>
      </c>
      <c r="N110" s="959">
        <f>Tabla15[[#This Row],[Contado]]</f>
        <v>4</v>
      </c>
      <c r="O110" s="959"/>
      <c r="P110" s="443">
        <f>((Tabla15[[#This Row],[Contado]]+Tabla15[[#This Row],[Visa]]+Tabla15[[#This Row],[Eventos]]+Tabla15[[#This Row],[Passo]]+Tabla15[[#This Row],[Reciclajes]])/1.1)+Tabla15[[#This Row],[Tickets]]</f>
        <v>935.81818181818176</v>
      </c>
      <c r="Q110" s="445">
        <v>0.01</v>
      </c>
      <c r="R110" s="445">
        <f t="shared" si="6"/>
        <v>0.24149990285603265</v>
      </c>
      <c r="S110" s="446"/>
      <c r="T110" s="447">
        <v>883.47</v>
      </c>
      <c r="U110" s="447">
        <f>Tabla15[[#This Row],[Total Caja]]-Tabla15[[#This Row],[Facturació A/A]]</f>
        <v>52.348181818181729</v>
      </c>
      <c r="V110" s="447">
        <f t="shared" si="7"/>
        <v>6158.5081818181798</v>
      </c>
      <c r="W110" s="450">
        <f>Tabla15[[#This Row],[Diferencia]]/Tabla15[[#This Row],[Facturació A/A]]</f>
        <v>5.9252925190647933E-2</v>
      </c>
      <c r="X110" s="447">
        <f>Tabla15[[#This Row],[Facturació A/A]]*H$17+Tabla15[[#This Row],[Facturació A/A]]</f>
        <v>909.97410000000002</v>
      </c>
      <c r="Y110" s="447">
        <f>Tabla15[[#This Row],[Total Caja]]-Tabla15[[#This Row],[Previsión]]</f>
        <v>25.844081818181735</v>
      </c>
      <c r="Z110" s="446"/>
      <c r="AA110" s="447">
        <f>SUM(INDEX(Tabla15[[#This Row],[Facturació A/A]],1):Tabla15[[#This Row],[Facturació A/A]]) / SUM(INDEX(Tabla15[[#This Row],[Diferencia]],1):Tabla15[[#This Row],[Diferencia]])</f>
        <v>16.876803917822997</v>
      </c>
      <c r="AB110" s="446"/>
      <c r="AC110" s="427"/>
      <c r="AD110" s="427"/>
      <c r="AE110" s="427"/>
      <c r="AF110" s="427"/>
      <c r="AG110" s="427"/>
      <c r="AH110" s="427"/>
      <c r="AI110" s="427"/>
      <c r="AJ110" s="427"/>
      <c r="AK110" s="427"/>
      <c r="AL110" s="427"/>
      <c r="AM110" s="427"/>
      <c r="AN110" s="427"/>
      <c r="AO110" s="427"/>
      <c r="AP110" s="427"/>
      <c r="AQ110" s="427"/>
    </row>
    <row r="111" spans="1:43" ht="16" customHeight="1">
      <c r="A111" s="427"/>
      <c r="B111" s="427"/>
      <c r="C111" s="428">
        <v>78</v>
      </c>
      <c r="D111" s="442">
        <v>46100</v>
      </c>
      <c r="E111" s="959">
        <v>0</v>
      </c>
      <c r="F111" s="958">
        <f>Tabla15[[#This Row],[Retiros]]-Tabla15[[#This Row],[Contado]]</f>
        <v>165</v>
      </c>
      <c r="G111" s="959">
        <v>434.55</v>
      </c>
      <c r="H111" s="959">
        <v>0</v>
      </c>
      <c r="I111" s="959">
        <v>82.5</v>
      </c>
      <c r="J111" s="958">
        <v>0</v>
      </c>
      <c r="K111" s="958">
        <v>0</v>
      </c>
      <c r="L111" s="958">
        <v>0</v>
      </c>
      <c r="M111" s="959">
        <v>165</v>
      </c>
      <c r="N111" s="959">
        <f>Tabla15[[#This Row],[Contado]]</f>
        <v>0</v>
      </c>
      <c r="O111" s="959"/>
      <c r="P111" s="443">
        <f>((Tabla15[[#This Row],[Contado]]+Tabla15[[#This Row],[Visa]]+Tabla15[[#This Row],[Eventos]]+Tabla15[[#This Row],[Passo]]+Tabla15[[#This Row],[Reciclajes]])/1.1)+Tabla15[[#This Row],[Tickets]]</f>
        <v>635.0454545454545</v>
      </c>
      <c r="Q111" s="445">
        <v>0</v>
      </c>
      <c r="R111" s="445">
        <f t="shared" si="6"/>
        <v>0.25982392097917117</v>
      </c>
      <c r="S111" s="446"/>
      <c r="T111" s="447">
        <v>361.82</v>
      </c>
      <c r="U111" s="447">
        <f>Tabla15[[#This Row],[Total Caja]]-Tabla15[[#This Row],[Facturació A/A]]</f>
        <v>273.22545454545451</v>
      </c>
      <c r="V111" s="447">
        <f t="shared" si="7"/>
        <v>6431.7336363636341</v>
      </c>
      <c r="W111" s="450">
        <f>Tabla15[[#This Row],[Diferencia]]/Tabla15[[#This Row],[Facturació A/A]]</f>
        <v>0.75514193396013074</v>
      </c>
      <c r="X111" s="447">
        <f>Tabla15[[#This Row],[Facturació A/A]]*H$17+Tabla15[[#This Row],[Facturació A/A]]</f>
        <v>372.6746</v>
      </c>
      <c r="Y111" s="447">
        <f>Tabla15[[#This Row],[Total Caja]]-Tabla15[[#This Row],[Previsión]]</f>
        <v>262.37085454545451</v>
      </c>
      <c r="Z111" s="446"/>
      <c r="AA111" s="447">
        <f>SUM(INDEX(Tabla15[[#This Row],[Facturació A/A]],1):Tabla15[[#This Row],[Facturació A/A]]) / SUM(INDEX(Tabla15[[#This Row],[Diferencia]],1):Tabla15[[#This Row],[Diferencia]])</f>
        <v>1.3242543620320217</v>
      </c>
      <c r="AB111" s="446"/>
      <c r="AC111" s="427"/>
      <c r="AD111" s="427"/>
      <c r="AE111" s="427"/>
      <c r="AF111" s="427"/>
      <c r="AG111" s="427"/>
      <c r="AH111" s="427"/>
      <c r="AI111" s="427"/>
      <c r="AJ111" s="427"/>
      <c r="AK111" s="427"/>
      <c r="AL111" s="427"/>
      <c r="AM111" s="427"/>
      <c r="AN111" s="427"/>
      <c r="AO111" s="427"/>
      <c r="AP111" s="427"/>
      <c r="AQ111" s="427"/>
    </row>
    <row r="112" spans="1:43" ht="16" customHeight="1">
      <c r="A112" s="427"/>
      <c r="B112" s="427"/>
      <c r="C112" s="428">
        <v>79</v>
      </c>
      <c r="D112" s="442">
        <v>46101</v>
      </c>
      <c r="E112" s="959">
        <v>37.25</v>
      </c>
      <c r="F112" s="958">
        <f>Tabla15[[#This Row],[Retiros]]-Tabla15[[#This Row],[Contado]]</f>
        <v>472.75</v>
      </c>
      <c r="G112" s="959">
        <v>1252.5</v>
      </c>
      <c r="H112" s="959">
        <v>0</v>
      </c>
      <c r="I112" s="959">
        <v>0</v>
      </c>
      <c r="J112" s="958">
        <v>0</v>
      </c>
      <c r="K112" s="958">
        <v>0</v>
      </c>
      <c r="L112" s="958">
        <v>0</v>
      </c>
      <c r="M112" s="959">
        <v>510</v>
      </c>
      <c r="N112" s="959">
        <f>Tabla15[[#This Row],[Contado]]</f>
        <v>37.25</v>
      </c>
      <c r="O112" s="959"/>
      <c r="P112" s="443">
        <f>((Tabla15[[#This Row],[Contado]]+Tabla15[[#This Row],[Visa]]+Tabla15[[#This Row],[Eventos]]+Tabla15[[#This Row],[Passo]]+Tabla15[[#This Row],[Reciclajes]])/1.1)+Tabla15[[#This Row],[Tickets]]</f>
        <v>1645.25</v>
      </c>
      <c r="Q112" s="445">
        <v>0.03</v>
      </c>
      <c r="R112" s="445">
        <f t="shared" si="6"/>
        <v>0.28734234918705365</v>
      </c>
      <c r="S112" s="446"/>
      <c r="T112" s="447">
        <v>1131.55</v>
      </c>
      <c r="U112" s="447">
        <f>Tabla15[[#This Row],[Total Caja]]-Tabla15[[#This Row],[Facturació A/A]]</f>
        <v>513.70000000000005</v>
      </c>
      <c r="V112" s="447">
        <f t="shared" si="7"/>
        <v>6945.4336363636339</v>
      </c>
      <c r="W112" s="450">
        <f>Tabla15[[#This Row],[Diferencia]]/Tabla15[[#This Row],[Facturació A/A]]</f>
        <v>0.45397905527815835</v>
      </c>
      <c r="X112" s="447">
        <f>Tabla15[[#This Row],[Facturació A/A]]*H$17+Tabla15[[#This Row],[Facturació A/A]]</f>
        <v>1165.4965</v>
      </c>
      <c r="Y112" s="447">
        <f>Tabla15[[#This Row],[Total Caja]]-Tabla15[[#This Row],[Previsión]]</f>
        <v>479.75350000000003</v>
      </c>
      <c r="Z112" s="446"/>
      <c r="AA112" s="447">
        <f>SUM(INDEX(Tabla15[[#This Row],[Facturació A/A]],1):Tabla15[[#This Row],[Facturació A/A]]) / SUM(INDEX(Tabla15[[#This Row],[Diferencia]],1):Tabla15[[#This Row],[Diferencia]])</f>
        <v>2.2027447926805528</v>
      </c>
      <c r="AB112" s="446"/>
      <c r="AC112" s="427"/>
      <c r="AD112" s="427"/>
      <c r="AE112" s="427"/>
      <c r="AF112" s="427"/>
      <c r="AG112" s="427"/>
      <c r="AH112" s="427"/>
      <c r="AI112" s="427"/>
      <c r="AJ112" s="427"/>
      <c r="AK112" s="427"/>
      <c r="AL112" s="427"/>
      <c r="AM112" s="427"/>
      <c r="AN112" s="427"/>
      <c r="AO112" s="427"/>
      <c r="AP112" s="427"/>
      <c r="AQ112" s="427"/>
    </row>
    <row r="113" spans="1:43" ht="16" customHeight="1">
      <c r="A113" s="427"/>
      <c r="B113" s="455"/>
      <c r="C113" s="428">
        <v>80</v>
      </c>
      <c r="D113" s="442">
        <v>46102</v>
      </c>
      <c r="E113" s="959">
        <v>439.05</v>
      </c>
      <c r="F113" s="958">
        <f>Tabla15[[#This Row],[Retiros]]-Tabla15[[#This Row],[Contado]]</f>
        <v>215.95</v>
      </c>
      <c r="G113" s="959">
        <v>1319.7</v>
      </c>
      <c r="H113" s="959">
        <v>0</v>
      </c>
      <c r="I113" s="959">
        <v>0</v>
      </c>
      <c r="J113" s="958">
        <v>0</v>
      </c>
      <c r="K113" s="958">
        <v>0</v>
      </c>
      <c r="L113" s="958">
        <v>0</v>
      </c>
      <c r="M113" s="959">
        <v>655</v>
      </c>
      <c r="N113" s="959">
        <f>Tabla15[[#This Row],[Contado]]</f>
        <v>439.05</v>
      </c>
      <c r="O113" s="959"/>
      <c r="P113" s="443">
        <f>((Tabla15[[#This Row],[Contado]]+Tabla15[[#This Row],[Visa]]+Tabla15[[#This Row],[Eventos]]+Tabla15[[#This Row],[Passo]]+Tabla15[[#This Row],[Reciclajes]])/1.1)+Tabla15[[#This Row],[Tickets]]</f>
        <v>1814.8136363636363</v>
      </c>
      <c r="Q113" s="445">
        <v>0.33</v>
      </c>
      <c r="R113" s="445">
        <f t="shared" si="6"/>
        <v>0.11899293441099637</v>
      </c>
      <c r="S113" s="446"/>
      <c r="T113" s="447">
        <v>2698.07</v>
      </c>
      <c r="U113" s="447">
        <f>Tabla15[[#This Row],[Total Caja]]-Tabla15[[#This Row],[Facturació A/A]]</f>
        <v>-883.25636363636386</v>
      </c>
      <c r="V113" s="447">
        <f t="shared" si="7"/>
        <v>6062.1772727272701</v>
      </c>
      <c r="W113" s="450">
        <f>Tabla15[[#This Row],[Diferencia]]/Tabla15[[#This Row],[Facturació A/A]]</f>
        <v>-0.32736599259335886</v>
      </c>
      <c r="X113" s="447">
        <f>Tabla15[[#This Row],[Facturació A/A]]*H$17+Tabla15[[#This Row],[Facturació A/A]]</f>
        <v>2779.0121000000004</v>
      </c>
      <c r="Y113" s="447">
        <f>Tabla15[[#This Row],[Total Caja]]-Tabla15[[#This Row],[Previsión]]</f>
        <v>-964.19846363636407</v>
      </c>
      <c r="Z113" s="446"/>
      <c r="AA113" s="447">
        <f>SUM(INDEX(Tabla15[[#This Row],[Facturació A/A]],1):Tabla15[[#This Row],[Facturació A/A]]) / SUM(INDEX(Tabla15[[#This Row],[Diferencia]],1):Tabla15[[#This Row],[Diferencia]])</f>
        <v>-3.0546850394511216</v>
      </c>
      <c r="AB113" s="446"/>
      <c r="AC113" s="427"/>
      <c r="AD113" s="427"/>
      <c r="AE113" s="427"/>
      <c r="AF113" s="427"/>
      <c r="AG113" s="427"/>
      <c r="AH113" s="427"/>
      <c r="AI113" s="427"/>
      <c r="AJ113" s="427"/>
      <c r="AK113" s="427"/>
      <c r="AL113" s="427"/>
      <c r="AM113" s="427"/>
      <c r="AN113" s="427"/>
      <c r="AO113" s="427"/>
      <c r="AP113" s="427"/>
      <c r="AQ113" s="427"/>
    </row>
    <row r="114" spans="1:43" ht="16" customHeight="1">
      <c r="A114" s="427"/>
      <c r="B114" s="427"/>
      <c r="C114" s="428">
        <v>81</v>
      </c>
      <c r="D114" s="442">
        <v>46103</v>
      </c>
      <c r="E114" s="959">
        <v>0</v>
      </c>
      <c r="F114" s="958">
        <f>Tabla15[[#This Row],[Retiros]]-Tabla15[[#This Row],[Contado]]</f>
        <v>165</v>
      </c>
      <c r="G114" s="959">
        <v>581.70000000000005</v>
      </c>
      <c r="H114" s="959">
        <v>0</v>
      </c>
      <c r="I114" s="959">
        <v>21</v>
      </c>
      <c r="J114" s="958">
        <v>0</v>
      </c>
      <c r="K114" s="958">
        <v>0</v>
      </c>
      <c r="L114" s="958">
        <v>0</v>
      </c>
      <c r="M114" s="959">
        <v>165</v>
      </c>
      <c r="N114" s="959">
        <f>Tabla15[[#This Row],[Contado]]</f>
        <v>0</v>
      </c>
      <c r="O114" s="959"/>
      <c r="P114" s="443">
        <f>((Tabla15[[#This Row],[Contado]]+Tabla15[[#This Row],[Visa]]+Tabla15[[#This Row],[Eventos]]+Tabla15[[#This Row],[Passo]]+Tabla15[[#This Row],[Reciclajes]])/1.1)+Tabla15[[#This Row],[Tickets]]</f>
        <v>712.90909090909088</v>
      </c>
      <c r="Q114" s="445">
        <v>0</v>
      </c>
      <c r="R114" s="445">
        <f t="shared" si="6"/>
        <v>0.23144605967865342</v>
      </c>
      <c r="S114" s="446"/>
      <c r="T114" s="447">
        <v>722.8</v>
      </c>
      <c r="U114" s="447">
        <f>Tabla15[[#This Row],[Total Caja]]-Tabla15[[#This Row],[Facturació A/A]]</f>
        <v>-9.8909090909090764</v>
      </c>
      <c r="V114" s="447">
        <f t="shared" si="7"/>
        <v>6052.2863636363609</v>
      </c>
      <c r="W114" s="450">
        <f>Tabla15[[#This Row],[Diferencia]]/Tabla15[[#This Row],[Facturació A/A]]</f>
        <v>-1.3684157569049636E-2</v>
      </c>
      <c r="X114" s="447">
        <f>Tabla15[[#This Row],[Facturació A/A]]*H$17+Tabla15[[#This Row],[Facturació A/A]]</f>
        <v>744.48399999999992</v>
      </c>
      <c r="Y114" s="447">
        <f>Tabla15[[#This Row],[Total Caja]]-Tabla15[[#This Row],[Previsión]]</f>
        <v>-31.574909090909046</v>
      </c>
      <c r="Z114" s="446"/>
      <c r="AA114" s="447">
        <f>SUM(INDEX(Tabla15[[#This Row],[Facturació A/A]],1):Tabla15[[#This Row],[Facturació A/A]]) / SUM(INDEX(Tabla15[[#This Row],[Diferencia]],1):Tabla15[[#This Row],[Diferencia]])</f>
        <v>-73.077205882353041</v>
      </c>
      <c r="AB114" s="446"/>
      <c r="AC114" s="427"/>
      <c r="AD114" s="427"/>
      <c r="AE114" s="427"/>
      <c r="AF114" s="427"/>
      <c r="AG114" s="427"/>
      <c r="AH114" s="427"/>
      <c r="AI114" s="427"/>
      <c r="AJ114" s="427"/>
      <c r="AK114" s="427"/>
      <c r="AL114" s="427"/>
      <c r="AM114" s="427"/>
      <c r="AN114" s="427"/>
      <c r="AO114" s="427"/>
      <c r="AP114" s="427"/>
      <c r="AQ114" s="427"/>
    </row>
    <row r="115" spans="1:43" ht="16" customHeight="1">
      <c r="A115" s="427"/>
      <c r="B115" s="427"/>
      <c r="C115" s="428">
        <v>82</v>
      </c>
      <c r="D115" s="442">
        <v>46104</v>
      </c>
      <c r="E115" s="958">
        <v>0</v>
      </c>
      <c r="F115" s="958">
        <f>Tabla15[[#This Row],[Retiros]]-Tabla15[[#This Row],[Contado]]</f>
        <v>0</v>
      </c>
      <c r="G115" s="958">
        <v>0</v>
      </c>
      <c r="H115" s="958">
        <v>0</v>
      </c>
      <c r="I115" s="958">
        <v>0</v>
      </c>
      <c r="J115" s="958">
        <v>0</v>
      </c>
      <c r="K115" s="958">
        <v>0</v>
      </c>
      <c r="L115" s="958">
        <v>0</v>
      </c>
      <c r="M115" s="958">
        <v>0</v>
      </c>
      <c r="N115" s="959">
        <f>Tabla15[[#This Row],[Contado]]</f>
        <v>0</v>
      </c>
      <c r="O115" s="959"/>
      <c r="P115" s="443">
        <f>((Tabla15[[#This Row],[Contado]]+Tabla15[[#This Row],[Visa]]+Tabla15[[#This Row],[Eventos]]+Tabla15[[#This Row],[Passo]]+Tabla15[[#This Row],[Reciclajes]])/1.1)+Tabla15[[#This Row],[Tickets]]</f>
        <v>0</v>
      </c>
      <c r="Q115" s="445">
        <v>0</v>
      </c>
      <c r="R115" s="445">
        <f t="shared" si="6"/>
        <v>0</v>
      </c>
      <c r="S115" s="446"/>
      <c r="T115" s="447">
        <v>0</v>
      </c>
      <c r="U115" s="447">
        <f>Tabla15[[#This Row],[Total Caja]]-Tabla15[[#This Row],[Facturació A/A]]</f>
        <v>0</v>
      </c>
      <c r="V115" s="447">
        <f t="shared" si="7"/>
        <v>6052.2863636363609</v>
      </c>
      <c r="W115" s="450" t="e">
        <f>Tabla15[[#This Row],[Diferencia]]/Tabla15[[#This Row],[Facturació A/A]]</f>
        <v>#DIV/0!</v>
      </c>
      <c r="X115" s="447">
        <f>Tabla15[[#This Row],[Facturació A/A]]*H$17+Tabla15[[#This Row],[Facturació A/A]]</f>
        <v>0</v>
      </c>
      <c r="Y115" s="447">
        <f>Tabla15[[#This Row],[Total Caja]]-Tabla15[[#This Row],[Previsión]]</f>
        <v>0</v>
      </c>
      <c r="Z115" s="446"/>
      <c r="AA115" s="447" t="e">
        <f>SUM(INDEX(Tabla15[[#This Row],[Facturació A/A]],1):Tabla15[[#This Row],[Facturació A/A]]) / SUM(INDEX(Tabla15[[#This Row],[Diferencia]],1):Tabla15[[#This Row],[Diferencia]])</f>
        <v>#DIV/0!</v>
      </c>
      <c r="AB115" s="446"/>
      <c r="AC115" s="427"/>
      <c r="AD115" s="427"/>
      <c r="AE115" s="427"/>
      <c r="AF115" s="427"/>
      <c r="AG115" s="427"/>
      <c r="AH115" s="427"/>
      <c r="AI115" s="427"/>
      <c r="AJ115" s="427"/>
      <c r="AK115" s="427"/>
      <c r="AL115" s="427"/>
      <c r="AM115" s="427"/>
      <c r="AN115" s="427"/>
      <c r="AO115" s="427"/>
      <c r="AP115" s="427"/>
      <c r="AQ115" s="427"/>
    </row>
    <row r="116" spans="1:43" ht="16" customHeight="1">
      <c r="A116" s="427"/>
      <c r="B116" s="427"/>
      <c r="C116" s="428">
        <v>83</v>
      </c>
      <c r="D116" s="442">
        <v>46105</v>
      </c>
      <c r="E116" s="958">
        <v>0</v>
      </c>
      <c r="F116" s="958">
        <f>Tabla15[[#This Row],[Retiros]]-Tabla15[[#This Row],[Contado]]</f>
        <v>0</v>
      </c>
      <c r="G116" s="958">
        <v>0</v>
      </c>
      <c r="H116" s="958">
        <v>0</v>
      </c>
      <c r="I116" s="958">
        <v>0</v>
      </c>
      <c r="J116" s="958">
        <v>0</v>
      </c>
      <c r="K116" s="958">
        <v>0</v>
      </c>
      <c r="L116" s="958">
        <v>0</v>
      </c>
      <c r="M116" s="958">
        <v>0</v>
      </c>
      <c r="N116" s="959">
        <f>Tabla15[[#This Row],[Contado]]</f>
        <v>0</v>
      </c>
      <c r="O116" s="959"/>
      <c r="P116" s="443">
        <f>((Tabla15[[#This Row],[Contado]]+Tabla15[[#This Row],[Visa]]+Tabla15[[#This Row],[Eventos]]+Tabla15[[#This Row],[Passo]]+Tabla15[[#This Row],[Reciclajes]])/1.1)+Tabla15[[#This Row],[Tickets]]</f>
        <v>0</v>
      </c>
      <c r="Q116" s="445">
        <v>0</v>
      </c>
      <c r="R116" s="445">
        <f t="shared" si="6"/>
        <v>0</v>
      </c>
      <c r="S116" s="446"/>
      <c r="T116" s="447">
        <v>0</v>
      </c>
      <c r="U116" s="447">
        <f>Tabla15[[#This Row],[Total Caja]]-Tabla15[[#This Row],[Facturació A/A]]</f>
        <v>0</v>
      </c>
      <c r="V116" s="447">
        <f t="shared" si="7"/>
        <v>6052.2863636363609</v>
      </c>
      <c r="W116" s="450" t="e">
        <f>Tabla15[[#This Row],[Diferencia]]/Tabla15[[#This Row],[Facturació A/A]]</f>
        <v>#DIV/0!</v>
      </c>
      <c r="X116" s="447">
        <f>Tabla15[[#This Row],[Facturació A/A]]*H$17+Tabla15[[#This Row],[Facturació A/A]]</f>
        <v>0</v>
      </c>
      <c r="Y116" s="447">
        <f>Tabla15[[#This Row],[Total Caja]]-Tabla15[[#This Row],[Previsión]]</f>
        <v>0</v>
      </c>
      <c r="Z116" s="446"/>
      <c r="AA116" s="447" t="e">
        <f>SUM(INDEX(Tabla15[[#This Row],[Facturació A/A]],1):Tabla15[[#This Row],[Facturació A/A]]) / SUM(INDEX(Tabla15[[#This Row],[Diferencia]],1):Tabla15[[#This Row],[Diferencia]])</f>
        <v>#DIV/0!</v>
      </c>
      <c r="AB116" s="446"/>
      <c r="AC116" s="427"/>
      <c r="AD116" s="427"/>
      <c r="AE116" s="427"/>
      <c r="AF116" s="427"/>
      <c r="AG116" s="427"/>
      <c r="AH116" s="427"/>
      <c r="AI116" s="427"/>
      <c r="AJ116" s="427"/>
      <c r="AK116" s="427"/>
      <c r="AL116" s="427"/>
      <c r="AM116" s="427"/>
      <c r="AN116" s="427"/>
      <c r="AO116" s="427"/>
      <c r="AP116" s="427"/>
      <c r="AQ116" s="427"/>
    </row>
    <row r="117" spans="1:43" ht="16" customHeight="1">
      <c r="A117" s="427"/>
      <c r="B117" s="427"/>
      <c r="C117" s="428">
        <v>84</v>
      </c>
      <c r="D117" s="442">
        <v>46106</v>
      </c>
      <c r="E117" s="959">
        <v>21.15</v>
      </c>
      <c r="F117" s="958">
        <f>Tabla15[[#This Row],[Retiros]]-Tabla15[[#This Row],[Contado]]</f>
        <v>199.85</v>
      </c>
      <c r="G117" s="959">
        <v>616.79999999999995</v>
      </c>
      <c r="H117" s="958">
        <v>0</v>
      </c>
      <c r="I117" s="958">
        <v>0</v>
      </c>
      <c r="J117" s="958">
        <v>0</v>
      </c>
      <c r="K117" s="958">
        <v>0</v>
      </c>
      <c r="L117" s="958">
        <v>0</v>
      </c>
      <c r="M117" s="959">
        <v>221</v>
      </c>
      <c r="N117" s="959">
        <f>Tabla15[[#This Row],[Contado]]</f>
        <v>21.15</v>
      </c>
      <c r="O117" s="959"/>
      <c r="P117" s="443">
        <f>((Tabla15[[#This Row],[Contado]]+Tabla15[[#This Row],[Visa]]+Tabla15[[#This Row],[Eventos]]+Tabla15[[#This Row],[Passo]]+Tabla15[[#This Row],[Reciclajes]])/1.1)+Tabla15[[#This Row],[Tickets]]</f>
        <v>779.8045454545454</v>
      </c>
      <c r="Q117" s="445">
        <v>0.03</v>
      </c>
      <c r="R117" s="445">
        <f t="shared" si="6"/>
        <v>0.25628216860868402</v>
      </c>
      <c r="S117" s="446"/>
      <c r="T117" s="447">
        <v>890.59</v>
      </c>
      <c r="U117" s="447">
        <f>Tabla15[[#This Row],[Total Caja]]-Tabla15[[#This Row],[Facturació A/A]]</f>
        <v>-110.78545454545463</v>
      </c>
      <c r="V117" s="447">
        <f t="shared" si="7"/>
        <v>5941.5009090909061</v>
      </c>
      <c r="W117" s="450">
        <f>Tabla15[[#This Row],[Diferencia]]/Tabla15[[#This Row],[Facturació A/A]]</f>
        <v>-0.12439557433325618</v>
      </c>
      <c r="X117" s="447">
        <f>Tabla15[[#This Row],[Facturació A/A]]*H$17+Tabla15[[#This Row],[Facturació A/A]]</f>
        <v>917.30770000000007</v>
      </c>
      <c r="Y117" s="447">
        <f>Tabla15[[#This Row],[Total Caja]]-Tabla15[[#This Row],[Previsión]]</f>
        <v>-137.50315454545466</v>
      </c>
      <c r="Z117" s="446"/>
      <c r="AA117" s="447">
        <f>SUM(INDEX(Tabla15[[#This Row],[Facturació A/A]],1):Tabla15[[#This Row],[Facturació A/A]]) / SUM(INDEX(Tabla15[[#This Row],[Diferencia]],1):Tabla15[[#This Row],[Diferencia]])</f>
        <v>-8.0388712006827223</v>
      </c>
      <c r="AB117" s="446"/>
      <c r="AC117" s="427"/>
      <c r="AD117" s="427"/>
      <c r="AE117" s="427"/>
      <c r="AF117" s="427"/>
      <c r="AG117" s="427"/>
      <c r="AH117" s="427"/>
      <c r="AI117" s="427"/>
      <c r="AJ117" s="427"/>
      <c r="AK117" s="427"/>
      <c r="AL117" s="427"/>
      <c r="AM117" s="427"/>
      <c r="AN117" s="427"/>
      <c r="AO117" s="427"/>
      <c r="AP117" s="427"/>
      <c r="AQ117" s="427"/>
    </row>
    <row r="118" spans="1:43" ht="16" customHeight="1">
      <c r="A118" s="427"/>
      <c r="B118" s="427"/>
      <c r="C118" s="428">
        <v>85</v>
      </c>
      <c r="D118" s="442">
        <v>46107</v>
      </c>
      <c r="E118" s="959">
        <v>2.7</v>
      </c>
      <c r="F118" s="958">
        <f>Tabla15[[#This Row],[Retiros]]-Tabla15[[#This Row],[Contado]]</f>
        <v>282.3</v>
      </c>
      <c r="G118" s="959">
        <v>387.65</v>
      </c>
      <c r="H118" s="958">
        <v>0</v>
      </c>
      <c r="I118" s="959">
        <v>115.7</v>
      </c>
      <c r="J118" s="958">
        <v>0</v>
      </c>
      <c r="K118" s="958">
        <v>0</v>
      </c>
      <c r="L118" s="958">
        <v>0</v>
      </c>
      <c r="M118" s="959">
        <v>285</v>
      </c>
      <c r="N118" s="959">
        <f>Tabla15[[#This Row],[Contado]]</f>
        <v>2.7</v>
      </c>
      <c r="O118" s="959"/>
      <c r="P118" s="443">
        <f>((Tabla15[[#This Row],[Contado]]+Tabla15[[#This Row],[Visa]]+Tabla15[[#This Row],[Eventos]]+Tabla15[[#This Row],[Passo]]+Tabla15[[#This Row],[Reciclajes]])/1.1)+Tabla15[[#This Row],[Tickets]]</f>
        <v>742.34545454545446</v>
      </c>
      <c r="Q118" s="445">
        <v>0.01</v>
      </c>
      <c r="R118" s="445">
        <f t="shared" si="6"/>
        <v>0.38028117269587797</v>
      </c>
      <c r="S118" s="446"/>
      <c r="T118" s="447">
        <v>564.27</v>
      </c>
      <c r="U118" s="447">
        <f>Tabla15[[#This Row],[Total Caja]]-Tabla15[[#This Row],[Facturació A/A]]</f>
        <v>178.07545454545448</v>
      </c>
      <c r="V118" s="447">
        <f t="shared" si="7"/>
        <v>6119.5763636363608</v>
      </c>
      <c r="W118" s="450">
        <f>Tabla15[[#This Row],[Diferencia]]/Tabla15[[#This Row],[Facturació A/A]]</f>
        <v>0.31558554334884803</v>
      </c>
      <c r="X118" s="447">
        <f>Tabla15[[#This Row],[Facturació A/A]]*H$17+Tabla15[[#This Row],[Facturació A/A]]</f>
        <v>581.19809999999995</v>
      </c>
      <c r="Y118" s="447">
        <f>Tabla15[[#This Row],[Total Caja]]-Tabla15[[#This Row],[Previsión]]</f>
        <v>161.1473545454545</v>
      </c>
      <c r="Z118" s="446"/>
      <c r="AA118" s="447">
        <f>SUM(INDEX(Tabla15[[#This Row],[Facturació A/A]],1):Tabla15[[#This Row],[Facturació A/A]]) / SUM(INDEX(Tabla15[[#This Row],[Diferencia]],1):Tabla15[[#This Row],[Diferencia]])</f>
        <v>3.1687129562034491</v>
      </c>
      <c r="AB118" s="446"/>
      <c r="AC118" s="427"/>
      <c r="AD118" s="427"/>
      <c r="AE118" s="427"/>
      <c r="AF118" s="427"/>
      <c r="AG118" s="427"/>
      <c r="AH118" s="427"/>
      <c r="AI118" s="427"/>
      <c r="AJ118" s="427"/>
      <c r="AK118" s="427"/>
      <c r="AL118" s="427"/>
      <c r="AM118" s="427"/>
      <c r="AN118" s="427"/>
      <c r="AO118" s="427"/>
      <c r="AP118" s="427"/>
      <c r="AQ118" s="427"/>
    </row>
    <row r="119" spans="1:43" ht="16" customHeight="1">
      <c r="A119" s="427"/>
      <c r="B119" s="427"/>
      <c r="C119" s="428">
        <v>86</v>
      </c>
      <c r="D119" s="442">
        <v>46108</v>
      </c>
      <c r="E119" s="959">
        <v>269.89999999999998</v>
      </c>
      <c r="F119" s="958">
        <f>Tabla15[[#This Row],[Retiros]]-Tabla15[[#This Row],[Contado]]</f>
        <v>250.10000000000002</v>
      </c>
      <c r="G119" s="959">
        <v>1652</v>
      </c>
      <c r="H119" s="958">
        <v>0</v>
      </c>
      <c r="I119" s="959">
        <v>5.25</v>
      </c>
      <c r="J119" s="958">
        <v>0</v>
      </c>
      <c r="K119" s="958">
        <v>0</v>
      </c>
      <c r="L119" s="958">
        <v>0</v>
      </c>
      <c r="M119" s="959">
        <v>520</v>
      </c>
      <c r="N119" s="959">
        <f>Tabla15[[#This Row],[Contado]]</f>
        <v>269.89999999999998</v>
      </c>
      <c r="O119" s="959"/>
      <c r="P119" s="443">
        <f>((Tabla15[[#This Row],[Contado]]+Tabla15[[#This Row],[Visa]]+Tabla15[[#This Row],[Eventos]]+Tabla15[[#This Row],[Passo]]+Tabla15[[#This Row],[Reciclajes]])/1.1)+Tabla15[[#This Row],[Tickets]]</f>
        <v>2002.0545454545454</v>
      </c>
      <c r="Q119" s="445">
        <v>0.16</v>
      </c>
      <c r="R119" s="445">
        <f t="shared" si="6"/>
        <v>0.12492167137395223</v>
      </c>
      <c r="S119" s="446"/>
      <c r="T119" s="447">
        <v>1626.59</v>
      </c>
      <c r="U119" s="447">
        <f>Tabla15[[#This Row],[Total Caja]]-Tabla15[[#This Row],[Facturació A/A]]</f>
        <v>375.46454545454549</v>
      </c>
      <c r="V119" s="447">
        <f t="shared" si="7"/>
        <v>6495.0409090909061</v>
      </c>
      <c r="W119" s="450">
        <f>Tabla15[[#This Row],[Diferencia]]/Tabla15[[#This Row],[Facturació A/A]]</f>
        <v>0.23082924735461641</v>
      </c>
      <c r="X119" s="447">
        <f>Tabla15[[#This Row],[Facturació A/A]]*H$17+Tabla15[[#This Row],[Facturació A/A]]</f>
        <v>1675.3877</v>
      </c>
      <c r="Y119" s="447">
        <f>Tabla15[[#This Row],[Total Caja]]-Tabla15[[#This Row],[Previsión]]</f>
        <v>326.66684545454541</v>
      </c>
      <c r="Z119" s="446"/>
      <c r="AA119" s="447">
        <f>SUM(INDEX(Tabla15[[#This Row],[Facturació A/A]],1):Tabla15[[#This Row],[Facturació A/A]]) / SUM(INDEX(Tabla15[[#This Row],[Diferencia]],1):Tabla15[[#This Row],[Diferencia]])</f>
        <v>4.3322066482490778</v>
      </c>
      <c r="AB119" s="446"/>
      <c r="AC119" s="427"/>
      <c r="AD119" s="427"/>
      <c r="AE119" s="427"/>
      <c r="AF119" s="427"/>
      <c r="AG119" s="427"/>
      <c r="AH119" s="427"/>
      <c r="AI119" s="427"/>
      <c r="AJ119" s="427"/>
      <c r="AK119" s="427"/>
      <c r="AL119" s="427"/>
      <c r="AM119" s="427"/>
      <c r="AN119" s="427"/>
      <c r="AO119" s="427"/>
      <c r="AP119" s="427"/>
      <c r="AQ119" s="427"/>
    </row>
    <row r="120" spans="1:43" ht="16" customHeight="1">
      <c r="A120" s="427"/>
      <c r="B120" s="427"/>
      <c r="C120" s="428">
        <v>87</v>
      </c>
      <c r="D120" s="442">
        <v>46109</v>
      </c>
      <c r="E120" s="959">
        <v>30.55</v>
      </c>
      <c r="F120" s="958">
        <f>Tabla15[[#This Row],[Retiros]]-Tabla15[[#This Row],[Contado]]</f>
        <v>414.45</v>
      </c>
      <c r="G120" s="959">
        <v>1423.1</v>
      </c>
      <c r="H120" s="958">
        <v>0</v>
      </c>
      <c r="I120" s="959">
        <v>66.7</v>
      </c>
      <c r="J120" s="958">
        <v>0</v>
      </c>
      <c r="K120" s="958">
        <v>0</v>
      </c>
      <c r="L120" s="958">
        <v>0</v>
      </c>
      <c r="M120" s="959">
        <v>445</v>
      </c>
      <c r="N120" s="959">
        <f>Tabla15[[#This Row],[Contado]]</f>
        <v>30.55</v>
      </c>
      <c r="O120" s="959"/>
      <c r="P120" s="443">
        <f>((Tabla15[[#This Row],[Contado]]+Tabla15[[#This Row],[Visa]]+Tabla15[[#This Row],[Eventos]]+Tabla15[[#This Row],[Passo]]+Tabla15[[#This Row],[Reciclajes]])/1.1)+Tabla15[[#This Row],[Tickets]]</f>
        <v>1796.5863636363636</v>
      </c>
      <c r="Q120" s="445">
        <v>0.02</v>
      </c>
      <c r="R120" s="445">
        <f t="shared" si="6"/>
        <v>0.23068749067043814</v>
      </c>
      <c r="S120" s="446"/>
      <c r="T120" s="447">
        <v>2103.41</v>
      </c>
      <c r="U120" s="447">
        <f>Tabla15[[#This Row],[Total Caja]]-Tabla15[[#This Row],[Facturació A/A]]</f>
        <v>-306.8236363636363</v>
      </c>
      <c r="V120" s="447">
        <f t="shared" si="7"/>
        <v>6188.21727272727</v>
      </c>
      <c r="W120" s="450">
        <f>Tabla15[[#This Row],[Diferencia]]/Tabla15[[#This Row],[Facturació A/A]]</f>
        <v>-0.14586962901366654</v>
      </c>
      <c r="X120" s="447">
        <f>Tabla15[[#This Row],[Facturació A/A]]*H$17+Tabla15[[#This Row],[Facturació A/A]]</f>
        <v>2166.5122999999999</v>
      </c>
      <c r="Y120" s="447">
        <f>Tabla15[[#This Row],[Total Caja]]-Tabla15[[#This Row],[Previsión]]</f>
        <v>-369.92593636363631</v>
      </c>
      <c r="Z120" s="446"/>
      <c r="AA120" s="447">
        <f>SUM(INDEX(Tabla15[[#This Row],[Facturació A/A]],1):Tabla15[[#This Row],[Facturació A/A]]) / SUM(INDEX(Tabla15[[#This Row],[Diferencia]],1):Tabla15[[#This Row],[Diferencia]])</f>
        <v>-6.8554366440892913</v>
      </c>
      <c r="AB120" s="446"/>
      <c r="AC120" s="427"/>
      <c r="AD120" s="427"/>
      <c r="AE120" s="427"/>
      <c r="AF120" s="427"/>
      <c r="AG120" s="427"/>
      <c r="AH120" s="427"/>
      <c r="AI120" s="427"/>
      <c r="AJ120" s="427"/>
      <c r="AK120" s="427"/>
      <c r="AL120" s="427"/>
      <c r="AM120" s="427"/>
      <c r="AN120" s="427"/>
      <c r="AO120" s="427"/>
      <c r="AP120" s="427"/>
      <c r="AQ120" s="427"/>
    </row>
    <row r="121" spans="1:43" ht="16" customHeight="1">
      <c r="A121" s="427"/>
      <c r="B121" s="427"/>
      <c r="C121" s="428">
        <v>88</v>
      </c>
      <c r="D121" s="442">
        <v>46110</v>
      </c>
      <c r="E121" s="959">
        <v>420.6</v>
      </c>
      <c r="F121" s="958">
        <f>Tabla15[[#This Row],[Retiros]]-Tabla15[[#This Row],[Contado]]</f>
        <v>154.39999999999998</v>
      </c>
      <c r="G121" s="959">
        <v>1080.05</v>
      </c>
      <c r="H121" s="958">
        <v>0</v>
      </c>
      <c r="I121" s="959">
        <v>30</v>
      </c>
      <c r="J121" s="958">
        <v>0</v>
      </c>
      <c r="K121" s="958">
        <v>0</v>
      </c>
      <c r="L121" s="958">
        <v>0</v>
      </c>
      <c r="M121" s="959">
        <v>575</v>
      </c>
      <c r="N121" s="959">
        <f>Tabla15[[#This Row],[Contado]]</f>
        <v>420.6</v>
      </c>
      <c r="O121" s="959"/>
      <c r="P121" s="443">
        <f>((Tabla15[[#This Row],[Contado]]+Tabla15[[#This Row],[Visa]]+Tabla15[[#This Row],[Eventos]]+Tabla15[[#This Row],[Passo]]+Tabla15[[#This Row],[Reciclajes]])/1.1)+Tabla15[[#This Row],[Tickets]]</f>
        <v>1545.9</v>
      </c>
      <c r="Q121" s="445">
        <v>0.39</v>
      </c>
      <c r="R121" s="445">
        <f t="shared" si="6"/>
        <v>9.987709424930459E-2</v>
      </c>
      <c r="S121" s="446"/>
      <c r="T121" s="447">
        <v>1294.6300000000001</v>
      </c>
      <c r="U121" s="447">
        <f>Tabla15[[#This Row],[Total Caja]]-Tabla15[[#This Row],[Facturació A/A]]</f>
        <v>251.26999999999998</v>
      </c>
      <c r="V121" s="447">
        <f t="shared" si="7"/>
        <v>6439.4872727272705</v>
      </c>
      <c r="W121" s="450">
        <f>Tabla15[[#This Row],[Diferencia]]/Tabla15[[#This Row],[Facturació A/A]]</f>
        <v>0.19408634127125121</v>
      </c>
      <c r="X121" s="447">
        <f>Tabla15[[#This Row],[Facturació A/A]]*H$17+Tabla15[[#This Row],[Facturació A/A]]</f>
        <v>1333.4689000000001</v>
      </c>
      <c r="Y121" s="447">
        <f>Tabla15[[#This Row],[Total Caja]]-Tabla15[[#This Row],[Previsión]]</f>
        <v>212.43110000000001</v>
      </c>
      <c r="Z121" s="446"/>
      <c r="AA121" s="447">
        <f>SUM(INDEX(Tabla15[[#This Row],[Facturació A/A]],1):Tabla15[[#This Row],[Facturació A/A]]) / SUM(INDEX(Tabla15[[#This Row],[Diferencia]],1):Tabla15[[#This Row],[Diferencia]])</f>
        <v>5.1523460819039286</v>
      </c>
      <c r="AB121" s="446"/>
      <c r="AC121" s="427"/>
      <c r="AD121" s="427"/>
      <c r="AE121" s="427"/>
      <c r="AF121" s="427"/>
      <c r="AG121" s="427"/>
      <c r="AH121" s="427"/>
      <c r="AI121" s="427"/>
      <c r="AJ121" s="427"/>
      <c r="AK121" s="427"/>
      <c r="AL121" s="427"/>
      <c r="AM121" s="427"/>
      <c r="AN121" s="427"/>
      <c r="AO121" s="427"/>
      <c r="AP121" s="427"/>
      <c r="AQ121" s="427"/>
    </row>
    <row r="122" spans="1:43" ht="16" customHeight="1">
      <c r="A122" s="427"/>
      <c r="B122" s="427"/>
      <c r="C122" s="428">
        <v>89</v>
      </c>
      <c r="D122" s="442">
        <v>46111</v>
      </c>
      <c r="E122" s="958">
        <v>0</v>
      </c>
      <c r="F122" s="958">
        <f>Tabla15[[#This Row],[Retiros]]-Tabla15[[#This Row],[Contado]]</f>
        <v>0</v>
      </c>
      <c r="G122" s="958">
        <v>0</v>
      </c>
      <c r="H122" s="958">
        <v>0</v>
      </c>
      <c r="I122" s="958">
        <v>0</v>
      </c>
      <c r="J122" s="958">
        <v>0</v>
      </c>
      <c r="K122" s="958">
        <v>0</v>
      </c>
      <c r="L122" s="958">
        <v>0</v>
      </c>
      <c r="M122" s="958">
        <v>0</v>
      </c>
      <c r="N122" s="959">
        <f>Tabla15[[#This Row],[Contado]]</f>
        <v>0</v>
      </c>
      <c r="O122" s="959"/>
      <c r="P122" s="443">
        <f>((Tabla15[[#This Row],[Contado]]+Tabla15[[#This Row],[Visa]]+Tabla15[[#This Row],[Eventos]]+Tabla15[[#This Row],[Passo]]+Tabla15[[#This Row],[Reciclajes]])/1.1)+Tabla15[[#This Row],[Tickets]]</f>
        <v>0</v>
      </c>
      <c r="Q122" s="445">
        <v>0</v>
      </c>
      <c r="R122" s="445">
        <f t="shared" si="6"/>
        <v>0</v>
      </c>
      <c r="S122" s="446"/>
      <c r="T122" s="447">
        <v>0</v>
      </c>
      <c r="U122" s="447">
        <f>Tabla15[[#This Row],[Total Caja]]-Tabla15[[#This Row],[Facturació A/A]]</f>
        <v>0</v>
      </c>
      <c r="V122" s="447">
        <f t="shared" si="7"/>
        <v>6439.4872727272705</v>
      </c>
      <c r="W122" s="450" t="e">
        <f>Tabla15[[#This Row],[Diferencia]]/Tabla15[[#This Row],[Facturació A/A]]</f>
        <v>#DIV/0!</v>
      </c>
      <c r="X122" s="447">
        <f>Tabla15[[#This Row],[Facturació A/A]]*H$17+Tabla15[[#This Row],[Facturació A/A]]</f>
        <v>0</v>
      </c>
      <c r="Y122" s="447">
        <f>Tabla15[[#This Row],[Total Caja]]-Tabla15[[#This Row],[Previsión]]</f>
        <v>0</v>
      </c>
      <c r="Z122" s="446"/>
      <c r="AA122" s="447" t="e">
        <f>SUM(INDEX(Tabla15[[#This Row],[Facturació A/A]],1):Tabla15[[#This Row],[Facturació A/A]]) / SUM(INDEX(Tabla15[[#This Row],[Diferencia]],1):Tabla15[[#This Row],[Diferencia]])</f>
        <v>#DIV/0!</v>
      </c>
      <c r="AB122" s="446"/>
      <c r="AC122" s="427"/>
      <c r="AD122" s="427"/>
      <c r="AE122" s="427"/>
      <c r="AF122" s="427"/>
      <c r="AG122" s="427"/>
      <c r="AH122" s="427"/>
      <c r="AI122" s="427"/>
      <c r="AJ122" s="427"/>
      <c r="AK122" s="427"/>
      <c r="AL122" s="427"/>
      <c r="AM122" s="427"/>
      <c r="AN122" s="427"/>
      <c r="AO122" s="427"/>
      <c r="AP122" s="427"/>
      <c r="AQ122" s="427"/>
    </row>
    <row r="123" spans="1:43" ht="16" customHeight="1">
      <c r="A123" s="427"/>
      <c r="B123" s="427"/>
      <c r="C123" s="428">
        <v>90</v>
      </c>
      <c r="D123" s="442">
        <v>46112</v>
      </c>
      <c r="E123" s="958">
        <v>0</v>
      </c>
      <c r="F123" s="958">
        <f>Tabla15[[#This Row],[Retiros]]-Tabla15[[#This Row],[Contado]]</f>
        <v>0</v>
      </c>
      <c r="G123" s="958">
        <v>0</v>
      </c>
      <c r="H123" s="958">
        <v>0</v>
      </c>
      <c r="I123" s="958">
        <v>0</v>
      </c>
      <c r="J123" s="958">
        <v>0</v>
      </c>
      <c r="K123" s="958">
        <v>0</v>
      </c>
      <c r="L123" s="958">
        <v>0</v>
      </c>
      <c r="M123" s="958">
        <v>0</v>
      </c>
      <c r="N123" s="959">
        <f>Tabla15[[#This Row],[Contado]]</f>
        <v>0</v>
      </c>
      <c r="O123" s="959"/>
      <c r="P123" s="443">
        <f>((Tabla15[[#This Row],[Contado]]+Tabla15[[#This Row],[Visa]]+Tabla15[[#This Row],[Eventos]]+Tabla15[[#This Row],[Passo]]+Tabla15[[#This Row],[Reciclajes]])/1.1)+Tabla15[[#This Row],[Tickets]]</f>
        <v>0</v>
      </c>
      <c r="Q123" s="445">
        <v>0</v>
      </c>
      <c r="R123" s="445">
        <f t="shared" si="6"/>
        <v>0</v>
      </c>
      <c r="S123" s="446"/>
      <c r="T123" s="447">
        <v>0</v>
      </c>
      <c r="U123" s="447">
        <f>Tabla15[[#This Row],[Total Caja]]-Tabla15[[#This Row],[Facturació A/A]]</f>
        <v>0</v>
      </c>
      <c r="V123" s="447">
        <f t="shared" si="7"/>
        <v>6439.4872727272705</v>
      </c>
      <c r="W123" s="450" t="e">
        <f>Tabla15[[#This Row],[Diferencia]]/Tabla15[[#This Row],[Facturació A/A]]</f>
        <v>#DIV/0!</v>
      </c>
      <c r="X123" s="447">
        <f>Tabla15[[#This Row],[Facturació A/A]]*H$17+Tabla15[[#This Row],[Facturació A/A]]</f>
        <v>0</v>
      </c>
      <c r="Y123" s="447">
        <f>Tabla15[[#This Row],[Total Caja]]-Tabla15[[#This Row],[Previsión]]</f>
        <v>0</v>
      </c>
      <c r="Z123" s="446"/>
      <c r="AA123" s="447" t="e">
        <f>SUM(INDEX(Tabla15[[#This Row],[Facturació A/A]],1):Tabla15[[#This Row],[Facturació A/A]]) / SUM(INDEX(Tabla15[[#This Row],[Diferencia]],1):Tabla15[[#This Row],[Diferencia]])</f>
        <v>#DIV/0!</v>
      </c>
      <c r="AB123" s="446"/>
      <c r="AC123" s="427"/>
      <c r="AD123" s="427"/>
      <c r="AE123" s="427"/>
      <c r="AF123" s="427"/>
      <c r="AG123" s="427"/>
      <c r="AH123" s="427"/>
      <c r="AI123" s="427"/>
      <c r="AJ123" s="427"/>
      <c r="AK123" s="427"/>
      <c r="AL123" s="427"/>
      <c r="AM123" s="427"/>
      <c r="AN123" s="427"/>
      <c r="AO123" s="427"/>
      <c r="AP123" s="427"/>
      <c r="AQ123" s="427"/>
    </row>
    <row r="124" spans="1:43" ht="16" customHeight="1">
      <c r="A124" s="427"/>
      <c r="B124" s="427"/>
      <c r="C124" s="428">
        <v>91</v>
      </c>
      <c r="D124" s="442">
        <v>46113</v>
      </c>
      <c r="E124" s="959">
        <v>0</v>
      </c>
      <c r="F124" s="958">
        <f>Tabla15[[#This Row],[Retiros]]-Tabla15[[#This Row],[Contado]]</f>
        <v>435</v>
      </c>
      <c r="G124" s="959">
        <v>1146.8</v>
      </c>
      <c r="H124" s="958">
        <v>0</v>
      </c>
      <c r="I124" s="958">
        <v>0</v>
      </c>
      <c r="J124" s="958">
        <v>0</v>
      </c>
      <c r="K124" s="958">
        <v>0</v>
      </c>
      <c r="L124" s="958">
        <v>0</v>
      </c>
      <c r="M124" s="959">
        <v>435</v>
      </c>
      <c r="N124" s="959">
        <f>Tabla15[[#This Row],[Contado]]</f>
        <v>0</v>
      </c>
      <c r="O124" s="959"/>
      <c r="P124" s="443">
        <f>((Tabla15[[#This Row],[Contado]]+Tabla15[[#This Row],[Visa]]+Tabla15[[#This Row],[Eventos]]+Tabla15[[#This Row],[Passo]]+Tabla15[[#This Row],[Reciclajes]])/1.1)+Tabla15[[#This Row],[Tickets]]</f>
        <v>1477.5454545454545</v>
      </c>
      <c r="Q124" s="445">
        <v>0</v>
      </c>
      <c r="R124" s="445">
        <f t="shared" si="6"/>
        <v>0.29440718636559404</v>
      </c>
      <c r="S124" s="446"/>
      <c r="T124" s="447">
        <v>899.45</v>
      </c>
      <c r="U124" s="447">
        <f>Tabla15[[#This Row],[Total Caja]]-Tabla15[[#This Row],[Facturació A/A]]</f>
        <v>578.09545454545446</v>
      </c>
      <c r="V124" s="447">
        <f t="shared" si="7"/>
        <v>7017.5827272727247</v>
      </c>
      <c r="W124" s="450">
        <f>Tabla15[[#This Row],[Diferencia]]/Tabla15[[#This Row],[Facturació A/A]]</f>
        <v>0.64272105680744285</v>
      </c>
      <c r="X124" s="447">
        <f>Tabla15[[#This Row],[Facturació A/A]]*H$17+Tabla15[[#This Row],[Facturació A/A]]</f>
        <v>926.43350000000009</v>
      </c>
      <c r="Y124" s="447">
        <f>Tabla15[[#This Row],[Total Caja]]-Tabla15[[#This Row],[Previsión]]</f>
        <v>551.11195454545441</v>
      </c>
      <c r="Z124" s="446"/>
      <c r="AA124" s="447">
        <f>SUM(INDEX(Tabla15[[#This Row],[Facturació A/A]],1):Tabla15[[#This Row],[Facturació A/A]]) / SUM(INDEX(Tabla15[[#This Row],[Diferencia]],1):Tabla15[[#This Row],[Diferencia]])</f>
        <v>1.5558849199172835</v>
      </c>
      <c r="AB124" s="446"/>
      <c r="AC124" s="427"/>
      <c r="AD124" s="427"/>
      <c r="AE124" s="427"/>
      <c r="AF124" s="427"/>
      <c r="AG124" s="427"/>
      <c r="AH124" s="427"/>
      <c r="AI124" s="427"/>
      <c r="AJ124" s="427"/>
      <c r="AK124" s="427"/>
      <c r="AL124" s="427"/>
      <c r="AM124" s="427"/>
      <c r="AN124" s="427"/>
      <c r="AO124" s="427"/>
      <c r="AP124" s="427"/>
      <c r="AQ124" s="427"/>
    </row>
    <row r="125" spans="1:43" ht="16" customHeight="1">
      <c r="A125" s="427"/>
      <c r="B125" s="427"/>
      <c r="C125" s="428">
        <v>92</v>
      </c>
      <c r="D125" s="456">
        <v>46114</v>
      </c>
      <c r="E125" s="959">
        <v>276.95</v>
      </c>
      <c r="F125" s="958">
        <f>Tabla15[[#This Row],[Retiros]]-Tabla15[[#This Row],[Contado]]</f>
        <v>53.050000000000011</v>
      </c>
      <c r="G125" s="959">
        <v>1227.05</v>
      </c>
      <c r="H125" s="958">
        <v>0</v>
      </c>
      <c r="I125" s="959">
        <v>38.549999999999997</v>
      </c>
      <c r="J125" s="958">
        <v>0</v>
      </c>
      <c r="K125" s="958">
        <v>0</v>
      </c>
      <c r="L125" s="958">
        <v>0</v>
      </c>
      <c r="M125" s="959">
        <v>330</v>
      </c>
      <c r="N125" s="959">
        <f>Tabla15[[#This Row],[Contado]]</f>
        <v>276.95</v>
      </c>
      <c r="O125" s="959"/>
      <c r="P125" s="443">
        <f>((Tabla15[[#This Row],[Contado]]+Tabla15[[#This Row],[Visa]]+Tabla15[[#This Row],[Eventos]]+Tabla15[[#This Row],[Passo]]+Tabla15[[#This Row],[Reciclajes]])/1.1)+Tabla15[[#This Row],[Tickets]]</f>
        <v>1455.3681818181817</v>
      </c>
      <c r="Q125" s="445">
        <v>0.23</v>
      </c>
      <c r="R125" s="445">
        <f t="shared" si="6"/>
        <v>3.6451257257613674E-2</v>
      </c>
      <c r="S125" s="446"/>
      <c r="T125" s="447">
        <v>1026.45</v>
      </c>
      <c r="U125" s="447">
        <f>Tabla15[[#This Row],[Total Caja]]-Tabla15[[#This Row],[Facturació A/A]]</f>
        <v>428.91818181818167</v>
      </c>
      <c r="V125" s="447">
        <f t="shared" si="7"/>
        <v>7446.5009090909061</v>
      </c>
      <c r="W125" s="450">
        <f>Tabla15[[#This Row],[Diferencia]]/Tabla15[[#This Row],[Facturació A/A]]</f>
        <v>0.41786563575252728</v>
      </c>
      <c r="X125" s="447">
        <f>Tabla15[[#This Row],[Facturació A/A]]*H$17+Tabla15[[#This Row],[Facturació A/A]]</f>
        <v>1057.2435</v>
      </c>
      <c r="Y125" s="447">
        <f>Tabla15[[#This Row],[Total Caja]]-Tabla15[[#This Row],[Previsión]]</f>
        <v>398.12468181818167</v>
      </c>
      <c r="Z125" s="446"/>
      <c r="AA125" s="447">
        <f>SUM(INDEX(Tabla15[[#This Row],[Facturació A/A]],1):Tabla15[[#This Row],[Facturació A/A]]) / SUM(INDEX(Tabla15[[#This Row],[Diferencia]],1):Tabla15[[#This Row],[Diferencia]])</f>
        <v>2.3931137534176905</v>
      </c>
      <c r="AB125" s="446"/>
      <c r="AC125" s="427"/>
      <c r="AD125" s="427"/>
      <c r="AE125" s="427"/>
      <c r="AF125" s="427"/>
      <c r="AG125" s="427"/>
      <c r="AH125" s="427"/>
      <c r="AI125" s="427"/>
      <c r="AJ125" s="427"/>
      <c r="AK125" s="427"/>
      <c r="AL125" s="427"/>
      <c r="AM125" s="427"/>
      <c r="AN125" s="427"/>
      <c r="AO125" s="427"/>
      <c r="AP125" s="427"/>
      <c r="AQ125" s="427"/>
    </row>
    <row r="126" spans="1:43" ht="16" customHeight="1">
      <c r="A126" s="427"/>
      <c r="B126" s="427"/>
      <c r="C126" s="428">
        <v>93</v>
      </c>
      <c r="D126" s="456">
        <v>46115</v>
      </c>
      <c r="E126" s="959">
        <v>242.8</v>
      </c>
      <c r="F126" s="958">
        <f>Tabla15[[#This Row],[Retiros]]-Tabla15[[#This Row],[Contado]]</f>
        <v>137.19999999999999</v>
      </c>
      <c r="G126" s="959">
        <v>2166</v>
      </c>
      <c r="H126" s="958">
        <v>0</v>
      </c>
      <c r="I126" s="958">
        <v>18.899999999999999</v>
      </c>
      <c r="J126" s="958">
        <v>0</v>
      </c>
      <c r="K126" s="958">
        <v>0</v>
      </c>
      <c r="L126" s="958">
        <v>0</v>
      </c>
      <c r="M126" s="959">
        <v>380</v>
      </c>
      <c r="N126" s="959">
        <f>Tabla15[[#This Row],[Contado]]</f>
        <v>242.8</v>
      </c>
      <c r="O126" s="959"/>
      <c r="P126" s="443">
        <f>((Tabla15[[#This Row],[Contado]]+Tabla15[[#This Row],[Visa]]+Tabla15[[#This Row],[Eventos]]+Tabla15[[#This Row],[Passo]]+Tabla15[[#This Row],[Reciclajes]])/1.1)+Tabla15[[#This Row],[Tickets]]</f>
        <v>2344.1999999999998</v>
      </c>
      <c r="Q126" s="445">
        <v>0.11</v>
      </c>
      <c r="R126" s="445">
        <f t="shared" si="6"/>
        <v>5.8527429400221827E-2</v>
      </c>
      <c r="S126" s="446"/>
      <c r="T126" s="447">
        <v>1593.15</v>
      </c>
      <c r="U126" s="447">
        <f>Tabla15[[#This Row],[Total Caja]]-Tabla15[[#This Row],[Facturació A/A]]</f>
        <v>751.04999999999973</v>
      </c>
      <c r="V126" s="447">
        <f t="shared" si="7"/>
        <v>8197.5509090909054</v>
      </c>
      <c r="W126" s="450">
        <f>Tabla15[[#This Row],[Diferencia]]/Tabla15[[#This Row],[Facturació A/A]]</f>
        <v>0.4714245362960171</v>
      </c>
      <c r="X126" s="447">
        <f>Tabla15[[#This Row],[Facturació A/A]]*H$17+Tabla15[[#This Row],[Facturació A/A]]</f>
        <v>1640.9445000000001</v>
      </c>
      <c r="Y126" s="447">
        <f>Tabla15[[#This Row],[Total Caja]]-Tabla15[[#This Row],[Previsión]]</f>
        <v>703.25549999999976</v>
      </c>
      <c r="Z126" s="446"/>
      <c r="AA126" s="447">
        <f>SUM(INDEX(Tabla15[[#This Row],[Facturació A/A]],1):Tabla15[[#This Row],[Facturació A/A]]) / SUM(INDEX(Tabla15[[#This Row],[Diferencia]],1):Tabla15[[#This Row],[Diferencia]])</f>
        <v>2.1212302776113452</v>
      </c>
      <c r="AB126" s="446"/>
      <c r="AC126" s="427"/>
      <c r="AD126" s="427"/>
      <c r="AE126" s="427"/>
      <c r="AF126" s="427"/>
      <c r="AG126" s="427"/>
      <c r="AH126" s="427"/>
      <c r="AI126" s="427"/>
      <c r="AJ126" s="427"/>
      <c r="AK126" s="427"/>
      <c r="AL126" s="427"/>
      <c r="AM126" s="427"/>
      <c r="AN126" s="427"/>
      <c r="AO126" s="427"/>
      <c r="AP126" s="427"/>
      <c r="AQ126" s="427"/>
    </row>
    <row r="127" spans="1:43" ht="16" customHeight="1">
      <c r="A127" s="427"/>
      <c r="B127" s="427"/>
      <c r="C127" s="428">
        <v>94</v>
      </c>
      <c r="D127" s="456">
        <v>46116</v>
      </c>
      <c r="E127" s="959">
        <v>97.45</v>
      </c>
      <c r="F127" s="958">
        <f>Tabla15[[#This Row],[Retiros]]-Tabla15[[#This Row],[Contado]]</f>
        <v>457.55</v>
      </c>
      <c r="G127" s="959">
        <v>1480.45</v>
      </c>
      <c r="H127" s="958">
        <v>0</v>
      </c>
      <c r="I127" s="958">
        <v>0</v>
      </c>
      <c r="J127" s="958">
        <v>0</v>
      </c>
      <c r="K127" s="958">
        <v>0</v>
      </c>
      <c r="L127" s="958">
        <v>0</v>
      </c>
      <c r="M127" s="959">
        <v>555</v>
      </c>
      <c r="N127" s="959">
        <f>Tabla15[[#This Row],[Contado]]</f>
        <v>97.45</v>
      </c>
      <c r="O127" s="959"/>
      <c r="P127" s="443">
        <f>((Tabla15[[#This Row],[Contado]]+Tabla15[[#This Row],[Visa]]+Tabla15[[#This Row],[Eventos]]+Tabla15[[#This Row],[Passo]]+Tabla15[[#This Row],[Reciclajes]])/1.1)+Tabla15[[#This Row],[Tickets]]</f>
        <v>1892.0045454545455</v>
      </c>
      <c r="Q127" s="445">
        <v>7.0000000000000007E-2</v>
      </c>
      <c r="R127" s="445">
        <f t="shared" si="6"/>
        <v>0.24183345705973222</v>
      </c>
      <c r="S127" s="446"/>
      <c r="T127" s="447">
        <v>2064.36</v>
      </c>
      <c r="U127" s="447">
        <f>Tabla15[[#This Row],[Total Caja]]-Tabla15[[#This Row],[Facturació A/A]]</f>
        <v>-172.35545454545468</v>
      </c>
      <c r="V127" s="447">
        <f t="shared" si="7"/>
        <v>8025.195454545451</v>
      </c>
      <c r="W127" s="450">
        <f>Tabla15[[#This Row],[Diferencia]]/Tabla15[[#This Row],[Facturació A/A]]</f>
        <v>-8.3490987301369265E-2</v>
      </c>
      <c r="X127" s="447">
        <f>Tabla15[[#This Row],[Facturació A/A]]*H$17+Tabla15[[#This Row],[Facturació A/A]]</f>
        <v>2126.2908000000002</v>
      </c>
      <c r="Y127" s="447">
        <f>Tabla15[[#This Row],[Total Caja]]-Tabla15[[#This Row],[Previsión]]</f>
        <v>-234.28625454545477</v>
      </c>
      <c r="Z127" s="446"/>
      <c r="AA127" s="447">
        <f>SUM(INDEX(Tabla15[[#This Row],[Facturació A/A]],1):Tabla15[[#This Row],[Facturació A/A]]) / SUM(INDEX(Tabla15[[#This Row],[Diferencia]],1):Tabla15[[#This Row],[Diferencia]])</f>
        <v>-11.977340696552043</v>
      </c>
      <c r="AB127" s="446"/>
      <c r="AC127" s="427"/>
      <c r="AD127" s="427"/>
      <c r="AE127" s="427"/>
      <c r="AF127" s="427"/>
      <c r="AG127" s="427"/>
      <c r="AH127" s="427"/>
      <c r="AI127" s="427"/>
      <c r="AJ127" s="427"/>
      <c r="AK127" s="427"/>
      <c r="AL127" s="427"/>
      <c r="AM127" s="427"/>
      <c r="AN127" s="427"/>
      <c r="AO127" s="427"/>
      <c r="AP127" s="427"/>
      <c r="AQ127" s="427"/>
    </row>
    <row r="128" spans="1:43" ht="16" customHeight="1">
      <c r="A128" s="427"/>
      <c r="B128" s="427"/>
      <c r="C128" s="428">
        <v>95</v>
      </c>
      <c r="D128" s="456">
        <v>46117</v>
      </c>
      <c r="E128" s="958">
        <v>347.95</v>
      </c>
      <c r="F128" s="958">
        <f>Tabla15[[#This Row],[Retiros]]-Tabla15[[#This Row],[Contado]]</f>
        <v>247.05</v>
      </c>
      <c r="G128" s="958">
        <v>1889.55</v>
      </c>
      <c r="H128" s="958">
        <v>0</v>
      </c>
      <c r="I128" s="958">
        <v>0</v>
      </c>
      <c r="J128" s="958">
        <v>0</v>
      </c>
      <c r="K128" s="958">
        <v>0</v>
      </c>
      <c r="L128" s="958">
        <v>0</v>
      </c>
      <c r="M128" s="958">
        <v>595</v>
      </c>
      <c r="N128" s="959">
        <f>Tabla15[[#This Row],[Contado]]</f>
        <v>347.95</v>
      </c>
      <c r="O128" s="959"/>
      <c r="P128" s="443">
        <f>((Tabla15[[#This Row],[Contado]]+Tabla15[[#This Row],[Visa]]+Tabla15[[#This Row],[Eventos]]+Tabla15[[#This Row],[Passo]]+Tabla15[[#This Row],[Reciclajes]])/1.1)+Tabla15[[#This Row],[Tickets]]</f>
        <v>2281.1409090909092</v>
      </c>
      <c r="Q128" s="445">
        <v>0</v>
      </c>
      <c r="R128" s="445">
        <f t="shared" si="6"/>
        <v>0.10830106944092968</v>
      </c>
      <c r="S128" s="446"/>
      <c r="T128" s="447">
        <v>1341.29</v>
      </c>
      <c r="U128" s="447">
        <f>Tabla15[[#This Row],[Total Caja]]-Tabla15[[#This Row],[Facturació A/A]]</f>
        <v>939.85090909090923</v>
      </c>
      <c r="V128" s="447">
        <f t="shared" si="7"/>
        <v>8965.0463636363602</v>
      </c>
      <c r="W128" s="450">
        <f>Tabla15[[#This Row],[Diferencia]]/Tabla15[[#This Row],[Facturació A/A]]</f>
        <v>0.70070671449940669</v>
      </c>
      <c r="X128" s="447">
        <f>Tabla15[[#This Row],[Facturació A/A]]*H$17+Tabla15[[#This Row],[Facturació A/A]]</f>
        <v>1381.5286999999998</v>
      </c>
      <c r="Y128" s="447">
        <f>Tabla15[[#This Row],[Total Caja]]-Tabla15[[#This Row],[Previsión]]</f>
        <v>899.61220909090935</v>
      </c>
      <c r="Z128" s="446"/>
      <c r="AA128" s="447">
        <f>SUM(INDEX(Tabla15[[#This Row],[Facturació A/A]],1):Tabla15[[#This Row],[Facturació A/A]]) / SUM(INDEX(Tabla15[[#This Row],[Diferencia]],1):Tabla15[[#This Row],[Diferencia]])</f>
        <v>1.4271306087232403</v>
      </c>
      <c r="AB128" s="446"/>
      <c r="AC128" s="427"/>
      <c r="AD128" s="427"/>
      <c r="AE128" s="427"/>
      <c r="AF128" s="427"/>
      <c r="AG128" s="427"/>
      <c r="AH128" s="427"/>
      <c r="AI128" s="427"/>
      <c r="AJ128" s="427"/>
      <c r="AK128" s="427"/>
      <c r="AL128" s="427"/>
      <c r="AM128" s="427"/>
      <c r="AN128" s="427"/>
      <c r="AO128" s="427"/>
      <c r="AP128" s="427"/>
      <c r="AQ128" s="427"/>
    </row>
    <row r="129" spans="1:43" ht="16" customHeight="1">
      <c r="A129" s="427"/>
      <c r="B129" s="427"/>
      <c r="C129" s="428">
        <v>96</v>
      </c>
      <c r="D129" s="456">
        <v>46118</v>
      </c>
      <c r="E129" s="958">
        <v>0</v>
      </c>
      <c r="F129" s="958">
        <f>Tabla15[[#This Row],[Retiros]]-Tabla15[[#This Row],[Contado]]</f>
        <v>0</v>
      </c>
      <c r="G129" s="958">
        <v>0</v>
      </c>
      <c r="H129" s="958">
        <v>0</v>
      </c>
      <c r="I129" s="958">
        <v>0</v>
      </c>
      <c r="J129" s="958">
        <v>0</v>
      </c>
      <c r="K129" s="958">
        <v>0</v>
      </c>
      <c r="L129" s="958">
        <v>0</v>
      </c>
      <c r="M129" s="958">
        <v>0</v>
      </c>
      <c r="N129" s="959">
        <f>Tabla15[[#This Row],[Contado]]</f>
        <v>0</v>
      </c>
      <c r="O129" s="959"/>
      <c r="P129" s="443">
        <f>((Tabla15[[#This Row],[Contado]]+Tabla15[[#This Row],[Visa]]+Tabla15[[#This Row],[Eventos]]+Tabla15[[#This Row],[Passo]]+Tabla15[[#This Row],[Reciclajes]])/1.1)+Tabla15[[#This Row],[Tickets]]</f>
        <v>0</v>
      </c>
      <c r="Q129" s="445">
        <v>0</v>
      </c>
      <c r="R129" s="445">
        <f t="shared" si="6"/>
        <v>0</v>
      </c>
      <c r="S129" s="446"/>
      <c r="T129" s="447">
        <v>0</v>
      </c>
      <c r="U129" s="447">
        <f>Tabla15[[#This Row],[Total Caja]]-Tabla15[[#This Row],[Facturació A/A]]</f>
        <v>0</v>
      </c>
      <c r="V129" s="447">
        <f t="shared" si="7"/>
        <v>8965.0463636363602</v>
      </c>
      <c r="W129" s="450" t="e">
        <f>Tabla15[[#This Row],[Diferencia]]/Tabla15[[#This Row],[Facturació A/A]]</f>
        <v>#DIV/0!</v>
      </c>
      <c r="X129" s="447">
        <f>Tabla15[[#This Row],[Facturació A/A]]*H$17+Tabla15[[#This Row],[Facturació A/A]]</f>
        <v>0</v>
      </c>
      <c r="Y129" s="447">
        <f>Tabla15[[#This Row],[Total Caja]]-Tabla15[[#This Row],[Previsión]]</f>
        <v>0</v>
      </c>
      <c r="Z129" s="446"/>
      <c r="AA129" s="447" t="e">
        <f>SUM(INDEX(Tabla15[[#This Row],[Facturació A/A]],1):Tabla15[[#This Row],[Facturació A/A]]) / SUM(INDEX(Tabla15[[#This Row],[Diferencia]],1):Tabla15[[#This Row],[Diferencia]])</f>
        <v>#DIV/0!</v>
      </c>
      <c r="AB129" s="446"/>
      <c r="AC129" s="427"/>
      <c r="AD129" s="427"/>
      <c r="AE129" s="427"/>
      <c r="AF129" s="427"/>
      <c r="AG129" s="427"/>
      <c r="AH129" s="427"/>
      <c r="AI129" s="427"/>
      <c r="AJ129" s="427"/>
      <c r="AK129" s="427"/>
      <c r="AL129" s="427"/>
      <c r="AM129" s="427"/>
      <c r="AN129" s="427"/>
      <c r="AO129" s="427"/>
      <c r="AP129" s="427"/>
      <c r="AQ129" s="427"/>
    </row>
    <row r="130" spans="1:43" ht="16" customHeight="1">
      <c r="A130" s="427"/>
      <c r="B130" s="427"/>
      <c r="C130" s="428">
        <v>97</v>
      </c>
      <c r="D130" s="456">
        <v>46119</v>
      </c>
      <c r="E130" s="958">
        <v>0</v>
      </c>
      <c r="F130" s="958">
        <f>Tabla15[[#This Row],[Retiros]]-Tabla15[[#This Row],[Contado]]</f>
        <v>0</v>
      </c>
      <c r="G130" s="958">
        <v>0</v>
      </c>
      <c r="H130" s="958">
        <v>0</v>
      </c>
      <c r="I130" s="958">
        <v>0</v>
      </c>
      <c r="J130" s="958">
        <v>0</v>
      </c>
      <c r="K130" s="958">
        <v>0</v>
      </c>
      <c r="L130" s="958">
        <v>0</v>
      </c>
      <c r="M130" s="958">
        <v>0</v>
      </c>
      <c r="N130" s="959">
        <f>Tabla15[[#This Row],[Contado]]</f>
        <v>0</v>
      </c>
      <c r="O130" s="959"/>
      <c r="P130" s="443">
        <f>((Tabla15[[#This Row],[Contado]]+Tabla15[[#This Row],[Visa]]+Tabla15[[#This Row],[Eventos]]+Tabla15[[#This Row],[Passo]]+Tabla15[[#This Row],[Reciclajes]])/1.1)+Tabla15[[#This Row],[Tickets]]</f>
        <v>0</v>
      </c>
      <c r="Q130" s="445">
        <v>0</v>
      </c>
      <c r="R130" s="445">
        <f t="shared" si="6"/>
        <v>0</v>
      </c>
      <c r="S130" s="446"/>
      <c r="T130" s="447">
        <v>0</v>
      </c>
      <c r="U130" s="447">
        <f>Tabla15[[#This Row],[Total Caja]]-Tabla15[[#This Row],[Facturació A/A]]</f>
        <v>0</v>
      </c>
      <c r="V130" s="447">
        <f t="shared" si="7"/>
        <v>8965.0463636363602</v>
      </c>
      <c r="W130" s="450" t="e">
        <f>Tabla15[[#This Row],[Diferencia]]/Tabla15[[#This Row],[Facturació A/A]]</f>
        <v>#DIV/0!</v>
      </c>
      <c r="X130" s="447">
        <f>Tabla15[[#This Row],[Facturació A/A]]*H$17+Tabla15[[#This Row],[Facturació A/A]]</f>
        <v>0</v>
      </c>
      <c r="Y130" s="447">
        <f>Tabla15[[#This Row],[Total Caja]]-Tabla15[[#This Row],[Previsión]]</f>
        <v>0</v>
      </c>
      <c r="Z130" s="446"/>
      <c r="AA130" s="447" t="e">
        <f>SUM(INDEX(Tabla15[[#This Row],[Facturació A/A]],1):Tabla15[[#This Row],[Facturació A/A]]) / SUM(INDEX(Tabla15[[#This Row],[Diferencia]],1):Tabla15[[#This Row],[Diferencia]])</f>
        <v>#DIV/0!</v>
      </c>
      <c r="AB130" s="446"/>
      <c r="AC130" s="427"/>
      <c r="AD130" s="427"/>
      <c r="AE130" s="427"/>
      <c r="AF130" s="427"/>
      <c r="AG130" s="427"/>
      <c r="AH130" s="427"/>
      <c r="AI130" s="427"/>
      <c r="AJ130" s="427"/>
      <c r="AK130" s="427"/>
      <c r="AL130" s="427"/>
      <c r="AM130" s="427"/>
      <c r="AN130" s="427"/>
      <c r="AO130" s="427"/>
      <c r="AP130" s="427"/>
      <c r="AQ130" s="427"/>
    </row>
    <row r="131" spans="1:43" ht="16" customHeight="1">
      <c r="A131" s="427"/>
      <c r="B131" s="427"/>
      <c r="C131" s="428">
        <v>98</v>
      </c>
      <c r="D131" s="456">
        <v>46120</v>
      </c>
      <c r="E131" s="959">
        <v>22.35</v>
      </c>
      <c r="F131" s="958">
        <f>Tabla15[[#This Row],[Retiros]]-Tabla15[[#This Row],[Contado]]</f>
        <v>17.649999999999999</v>
      </c>
      <c r="G131" s="959">
        <v>351</v>
      </c>
      <c r="H131" s="958">
        <v>0</v>
      </c>
      <c r="I131" s="958">
        <v>0</v>
      </c>
      <c r="J131" s="958">
        <v>0</v>
      </c>
      <c r="K131" s="958">
        <v>0</v>
      </c>
      <c r="L131" s="958">
        <v>29.65</v>
      </c>
      <c r="M131" s="958">
        <v>40</v>
      </c>
      <c r="N131" s="959">
        <f>Tabla15[[#This Row],[Contado]]</f>
        <v>22.35</v>
      </c>
      <c r="O131" s="959"/>
      <c r="P131" s="443">
        <f>((Tabla15[[#This Row],[Contado]]+Tabla15[[#This Row],[Visa]]+Tabla15[[#This Row],[Eventos]]+Tabla15[[#This Row],[Passo]]+Tabla15[[#This Row],[Reciclajes]])/1.1)+Tabla15[[#This Row],[Tickets]]</f>
        <v>357.05909090909086</v>
      </c>
      <c r="Q131" s="445">
        <v>0</v>
      </c>
      <c r="R131" s="445">
        <f t="shared" si="6"/>
        <v>4.9431593955673245E-2</v>
      </c>
      <c r="S131" s="446"/>
      <c r="T131" s="447">
        <v>843.69</v>
      </c>
      <c r="U131" s="447">
        <f>Tabla15[[#This Row],[Total Caja]]-Tabla15[[#This Row],[Facturació A/A]]</f>
        <v>-486.6309090909092</v>
      </c>
      <c r="V131" s="447">
        <f t="shared" si="7"/>
        <v>8478.4154545454512</v>
      </c>
      <c r="W131" s="450">
        <f>Tabla15[[#This Row],[Diferencia]]/Tabla15[[#This Row],[Facturació A/A]]</f>
        <v>-0.57678876019735825</v>
      </c>
      <c r="X131" s="447">
        <f>Tabla15[[#This Row],[Facturació A/A]]*H$17+Tabla15[[#This Row],[Facturació A/A]]</f>
        <v>869.00070000000005</v>
      </c>
      <c r="Y131" s="447">
        <f>Tabla15[[#This Row],[Total Caja]]-Tabla15[[#This Row],[Previsión]]</f>
        <v>-511.9416090909092</v>
      </c>
      <c r="Z131" s="446"/>
      <c r="AA131" s="447">
        <f>SUM(INDEX(Tabla15[[#This Row],[Facturació A/A]],1):Tabla15[[#This Row],[Facturació A/A]]) / SUM(INDEX(Tabla15[[#This Row],[Diferencia]],1):Tabla15[[#This Row],[Diferencia]])</f>
        <v>-1.7337369744476865</v>
      </c>
      <c r="AB131" s="446"/>
      <c r="AC131" s="427"/>
      <c r="AD131" s="427"/>
      <c r="AE131" s="427"/>
      <c r="AF131" s="427"/>
      <c r="AG131" s="427"/>
      <c r="AH131" s="427"/>
      <c r="AI131" s="427"/>
      <c r="AJ131" s="427"/>
      <c r="AK131" s="427"/>
      <c r="AL131" s="427"/>
      <c r="AM131" s="427"/>
      <c r="AN131" s="427"/>
      <c r="AO131" s="427"/>
      <c r="AP131" s="427"/>
      <c r="AQ131" s="427"/>
    </row>
    <row r="132" spans="1:43" ht="16" customHeight="1">
      <c r="A132" s="427"/>
      <c r="B132" s="427"/>
      <c r="C132" s="428">
        <v>99</v>
      </c>
      <c r="D132" s="456">
        <v>46121</v>
      </c>
      <c r="E132" s="868">
        <v>0</v>
      </c>
      <c r="F132" s="960">
        <f>Tabla15[[#This Row],[Retiros]]-Tabla15[[#This Row],[Contado]]</f>
        <v>75</v>
      </c>
      <c r="G132" s="868">
        <v>552</v>
      </c>
      <c r="H132" s="960">
        <v>0</v>
      </c>
      <c r="I132" s="960">
        <v>0</v>
      </c>
      <c r="J132" s="960">
        <v>0</v>
      </c>
      <c r="K132" s="960">
        <v>0</v>
      </c>
      <c r="L132" s="960">
        <v>0</v>
      </c>
      <c r="M132" s="868">
        <v>75</v>
      </c>
      <c r="N132" s="959">
        <f>Tabla15[[#This Row],[Contado]]</f>
        <v>0</v>
      </c>
      <c r="O132" s="959"/>
      <c r="P132" s="443">
        <f>((Tabla15[[#This Row],[Contado]]+Tabla15[[#This Row],[Visa]]+Tabla15[[#This Row],[Eventos]]+Tabla15[[#This Row],[Passo]]+Tabla15[[#This Row],[Reciclajes]])/1.1)+Tabla15[[#This Row],[Tickets]]</f>
        <v>576.81818181818176</v>
      </c>
      <c r="Q132" s="445">
        <v>0</v>
      </c>
      <c r="R132" s="445">
        <f t="shared" si="6"/>
        <v>0.13002364066193856</v>
      </c>
      <c r="S132" s="446"/>
      <c r="T132" s="447">
        <v>562.49</v>
      </c>
      <c r="U132" s="447">
        <f>Tabla15[[#This Row],[Total Caja]]-Tabla15[[#This Row],[Facturació A/A]]</f>
        <v>14.328181818181747</v>
      </c>
      <c r="V132" s="447">
        <f t="shared" si="7"/>
        <v>8492.7436363636334</v>
      </c>
      <c r="W132" s="450">
        <f>Tabla15[[#This Row],[Diferencia]]/Tabla15[[#This Row],[Facturació A/A]]</f>
        <v>2.5472776081675669E-2</v>
      </c>
      <c r="X132" s="447">
        <f>Tabla15[[#This Row],[Facturació A/A]]*H$17+Tabla15[[#This Row],[Facturació A/A]]</f>
        <v>579.36469999999997</v>
      </c>
      <c r="Y132" s="447">
        <f>Tabla15[[#This Row],[Total Caja]]-Tabla15[[#This Row],[Previsión]]</f>
        <v>-2.5465181818182145</v>
      </c>
      <c r="Z132" s="446"/>
      <c r="AA132" s="447">
        <f>SUM(INDEX(Tabla15[[#This Row],[Facturació A/A]],1):Tabla15[[#This Row],[Facturació A/A]]) / SUM(INDEX(Tabla15[[#This Row],[Diferencia]],1):Tabla15[[#This Row],[Diferencia]])</f>
        <v>39.25759786815577</v>
      </c>
      <c r="AB132" s="446"/>
      <c r="AC132" s="427"/>
      <c r="AD132" s="427"/>
      <c r="AE132" s="427"/>
      <c r="AF132" s="427"/>
      <c r="AG132" s="427"/>
      <c r="AH132" s="427"/>
      <c r="AI132" s="427"/>
      <c r="AJ132" s="427"/>
      <c r="AK132" s="427"/>
      <c r="AL132" s="427"/>
      <c r="AM132" s="427"/>
      <c r="AN132" s="427"/>
      <c r="AO132" s="427"/>
      <c r="AP132" s="427"/>
      <c r="AQ132" s="427"/>
    </row>
    <row r="133" spans="1:43" ht="16" customHeight="1">
      <c r="A133" s="427"/>
      <c r="B133" s="427"/>
      <c r="C133" s="428">
        <v>100</v>
      </c>
      <c r="D133" s="456">
        <v>46122</v>
      </c>
      <c r="E133" s="869">
        <v>164.25</v>
      </c>
      <c r="F133" s="961">
        <f>Tabla15[[#This Row],[Retiros]]-Tabla15[[#This Row],[Contado]]</f>
        <v>80.75</v>
      </c>
      <c r="G133" s="869">
        <v>610.1</v>
      </c>
      <c r="H133" s="961">
        <v>0</v>
      </c>
      <c r="I133" s="961">
        <v>0</v>
      </c>
      <c r="J133" s="961">
        <v>0</v>
      </c>
      <c r="K133" s="961">
        <v>0</v>
      </c>
      <c r="L133" s="961">
        <v>0</v>
      </c>
      <c r="M133" s="869">
        <v>245</v>
      </c>
      <c r="N133" s="959">
        <f>Tabla15[[#This Row],[Contado]]</f>
        <v>164.25</v>
      </c>
      <c r="O133" s="959"/>
      <c r="P133" s="443">
        <f>((Tabla15[[#This Row],[Contado]]+Tabla15[[#This Row],[Visa]]+Tabla15[[#This Row],[Eventos]]+Tabla15[[#This Row],[Passo]]+Tabla15[[#This Row],[Reciclajes]])/1.1)+Tabla15[[#This Row],[Tickets]]</f>
        <v>784.70454545454538</v>
      </c>
      <c r="Q133" s="445">
        <v>0</v>
      </c>
      <c r="R133" s="445">
        <f t="shared" si="6"/>
        <v>0.10290497291974397</v>
      </c>
      <c r="S133" s="446"/>
      <c r="T133" s="447">
        <v>1901.78</v>
      </c>
      <c r="U133" s="447">
        <f>Tabla15[[#This Row],[Total Caja]]-Tabla15[[#This Row],[Facturació A/A]]</f>
        <v>-1117.0754545454547</v>
      </c>
      <c r="V133" s="447">
        <f t="shared" si="7"/>
        <v>7375.6681818181787</v>
      </c>
      <c r="W133" s="450">
        <f>Tabla15[[#This Row],[Diferencia]]/Tabla15[[#This Row],[Facturació A/A]]</f>
        <v>-0.58738416354439249</v>
      </c>
      <c r="X133" s="447">
        <f>Tabla15[[#This Row],[Facturació A/A]]*H$17+Tabla15[[#This Row],[Facturació A/A]]</f>
        <v>1958.8334</v>
      </c>
      <c r="Y133" s="447">
        <f>Tabla15[[#This Row],[Total Caja]]-Tabla15[[#This Row],[Previsión]]</f>
        <v>-1174.1288545454545</v>
      </c>
      <c r="Z133" s="446"/>
      <c r="AA133" s="447">
        <f>SUM(INDEX(Tabla15[[#This Row],[Facturació A/A]],1):Tabla15[[#This Row],[Facturació A/A]]) / SUM(INDEX(Tabla15[[#This Row],[Diferencia]],1):Tabla15[[#This Row],[Diferencia]])</f>
        <v>-1.7024633316053361</v>
      </c>
      <c r="AB133" s="446"/>
      <c r="AC133" s="427"/>
      <c r="AD133" s="427"/>
      <c r="AE133" s="427"/>
      <c r="AF133" s="427"/>
      <c r="AG133" s="427"/>
      <c r="AH133" s="427"/>
      <c r="AI133" s="427"/>
      <c r="AJ133" s="427"/>
      <c r="AK133" s="427"/>
      <c r="AL133" s="427"/>
      <c r="AM133" s="427"/>
      <c r="AN133" s="427"/>
      <c r="AO133" s="427"/>
      <c r="AP133" s="427"/>
      <c r="AQ133" s="427"/>
    </row>
    <row r="134" spans="1:43" ht="16" customHeight="1">
      <c r="A134" s="427"/>
      <c r="B134" s="427"/>
      <c r="C134" s="428">
        <v>101</v>
      </c>
      <c r="D134" s="456">
        <v>46123</v>
      </c>
      <c r="E134" s="868">
        <v>42.85</v>
      </c>
      <c r="F134" s="960">
        <f>Tabla15[[#This Row],[Retiros]]-Tabla15[[#This Row],[Contado]]</f>
        <v>562.15</v>
      </c>
      <c r="G134" s="966">
        <v>1901.35</v>
      </c>
      <c r="H134" s="960">
        <v>0</v>
      </c>
      <c r="I134" s="868">
        <v>41.9</v>
      </c>
      <c r="J134" s="960">
        <v>0</v>
      </c>
      <c r="K134" s="960">
        <v>0</v>
      </c>
      <c r="L134" s="960">
        <v>0</v>
      </c>
      <c r="M134" s="868">
        <v>605</v>
      </c>
      <c r="N134" s="959">
        <f>Tabla15[[#This Row],[Contado]]</f>
        <v>42.85</v>
      </c>
      <c r="O134" s="959"/>
      <c r="P134" s="443">
        <f>((Tabla15[[#This Row],[Contado]]+Tabla15[[#This Row],[Visa]]+Tabla15[[#This Row],[Eventos]]+Tabla15[[#This Row],[Passo]]+Tabla15[[#This Row],[Reciclajes]])/1.1)+Tabla15[[#This Row],[Tickets]]</f>
        <v>2367.6954545454541</v>
      </c>
      <c r="Q134" s="445">
        <v>0</v>
      </c>
      <c r="R134" s="445">
        <f t="shared" si="6"/>
        <v>0.23742496059651411</v>
      </c>
      <c r="S134" s="446"/>
      <c r="T134" s="447">
        <v>2159.7600000000002</v>
      </c>
      <c r="U134" s="447">
        <f>Tabla15[[#This Row],[Total Caja]]-Tabla15[[#This Row],[Facturació A/A]]</f>
        <v>207.93545454545392</v>
      </c>
      <c r="V134" s="447">
        <f t="shared" si="7"/>
        <v>7583.6036363636322</v>
      </c>
      <c r="W134" s="450">
        <f>Tabla15[[#This Row],[Diferencia]]/Tabla15[[#This Row],[Facturació A/A]]</f>
        <v>9.6277111598258094E-2</v>
      </c>
      <c r="X134" s="447">
        <f>Tabla15[[#This Row],[Facturació A/A]]*H$17+Tabla15[[#This Row],[Facturació A/A]]</f>
        <v>2224.5528000000004</v>
      </c>
      <c r="Y134" s="447">
        <f>Tabla15[[#This Row],[Total Caja]]-Tabla15[[#This Row],[Previsión]]</f>
        <v>143.14265454545375</v>
      </c>
      <c r="Z134" s="446"/>
      <c r="AA134" s="447">
        <f>SUM(INDEX(Tabla15[[#This Row],[Facturació A/A]],1):Tabla15[[#This Row],[Facturació A/A]]) / SUM(INDEX(Tabla15[[#This Row],[Diferencia]],1):Tabla15[[#This Row],[Diferencia]])</f>
        <v>10.386684679249274</v>
      </c>
      <c r="AB134" s="446"/>
      <c r="AC134" s="427"/>
      <c r="AD134" s="427"/>
      <c r="AE134" s="427"/>
      <c r="AF134" s="427"/>
      <c r="AG134" s="427"/>
      <c r="AH134" s="427"/>
      <c r="AI134" s="427"/>
      <c r="AJ134" s="427"/>
      <c r="AK134" s="427"/>
      <c r="AL134" s="427"/>
      <c r="AM134" s="427"/>
      <c r="AN134" s="427"/>
      <c r="AO134" s="427"/>
      <c r="AP134" s="427"/>
      <c r="AQ134" s="427"/>
    </row>
    <row r="135" spans="1:43" ht="16" customHeight="1">
      <c r="A135" s="427"/>
      <c r="B135" s="427"/>
      <c r="C135" s="428">
        <v>102</v>
      </c>
      <c r="D135" s="456">
        <v>46124</v>
      </c>
      <c r="E135" s="961">
        <v>0</v>
      </c>
      <c r="F135" s="961">
        <f>Tabla15[[#This Row],[Retiros]]-Tabla15[[#This Row],[Contado]]</f>
        <v>250</v>
      </c>
      <c r="G135" s="869">
        <v>638.85</v>
      </c>
      <c r="H135" s="961">
        <v>0</v>
      </c>
      <c r="I135" s="869">
        <v>93.65</v>
      </c>
      <c r="J135" s="961">
        <v>0</v>
      </c>
      <c r="K135" s="961">
        <v>0</v>
      </c>
      <c r="L135" s="961">
        <v>0</v>
      </c>
      <c r="M135" s="869">
        <v>250</v>
      </c>
      <c r="N135" s="959">
        <f>Tabla15[[#This Row],[Contado]]</f>
        <v>0</v>
      </c>
      <c r="O135" s="959"/>
      <c r="P135" s="443">
        <f>((Tabla15[[#This Row],[Contado]]+Tabla15[[#This Row],[Visa]]+Tabla15[[#This Row],[Eventos]]+Tabla15[[#This Row],[Passo]]+Tabla15[[#This Row],[Reciclajes]])/1.1)+Tabla15[[#This Row],[Tickets]]</f>
        <v>915.90909090909088</v>
      </c>
      <c r="Q135" s="445">
        <v>0</v>
      </c>
      <c r="R135" s="445">
        <f t="shared" si="6"/>
        <v>0.27295285359801491</v>
      </c>
      <c r="S135" s="446"/>
      <c r="T135" s="447">
        <v>1876.9</v>
      </c>
      <c r="U135" s="447">
        <f>Tabla15[[#This Row],[Total Caja]]-Tabla15[[#This Row],[Facturació A/A]]</f>
        <v>-960.99090909090921</v>
      </c>
      <c r="V135" s="447">
        <f t="shared" si="7"/>
        <v>6622.6127272727226</v>
      </c>
      <c r="W135" s="450">
        <f>Tabla15[[#This Row],[Diferencia]]/Tabla15[[#This Row],[Facturació A/A]]</f>
        <v>-0.51200964840476804</v>
      </c>
      <c r="X135" s="447">
        <f>Tabla15[[#This Row],[Facturació A/A]]*H$17+Tabla15[[#This Row],[Facturació A/A]]</f>
        <v>1933.2070000000001</v>
      </c>
      <c r="Y135" s="447">
        <f>Tabla15[[#This Row],[Total Caja]]-Tabla15[[#This Row],[Previsión]]</f>
        <v>-1017.2979090909092</v>
      </c>
      <c r="Z135" s="446"/>
      <c r="AA135" s="447">
        <f>SUM(INDEX(Tabla15[[#This Row],[Facturació A/A]],1):Tabla15[[#This Row],[Facturació A/A]]) / SUM(INDEX(Tabla15[[#This Row],[Diferencia]],1):Tabla15[[#This Row],[Diferencia]])</f>
        <v>-1.9530881949502878</v>
      </c>
      <c r="AB135" s="446"/>
      <c r="AC135" s="427"/>
      <c r="AD135" s="427"/>
      <c r="AE135" s="427"/>
      <c r="AF135" s="427"/>
      <c r="AG135" s="427"/>
      <c r="AH135" s="427"/>
      <c r="AI135" s="427"/>
      <c r="AJ135" s="427"/>
      <c r="AK135" s="427"/>
      <c r="AL135" s="427"/>
      <c r="AM135" s="427"/>
      <c r="AN135" s="427"/>
      <c r="AO135" s="427"/>
      <c r="AP135" s="427"/>
      <c r="AQ135" s="427"/>
    </row>
    <row r="136" spans="1:43" ht="16" customHeight="1">
      <c r="A136" s="427"/>
      <c r="B136" s="427"/>
      <c r="C136" s="428">
        <v>103</v>
      </c>
      <c r="D136" s="456">
        <v>46125</v>
      </c>
      <c r="E136" s="960">
        <v>0</v>
      </c>
      <c r="F136" s="960">
        <f>Tabla15[[#This Row],[Retiros]]-Tabla15[[#This Row],[Contado]]</f>
        <v>0</v>
      </c>
      <c r="G136" s="960">
        <v>0</v>
      </c>
      <c r="H136" s="960">
        <v>0</v>
      </c>
      <c r="I136" s="960">
        <v>0</v>
      </c>
      <c r="J136" s="960">
        <v>0</v>
      </c>
      <c r="K136" s="960">
        <v>0</v>
      </c>
      <c r="L136" s="960">
        <v>0</v>
      </c>
      <c r="M136" s="960">
        <v>0</v>
      </c>
      <c r="N136" s="959">
        <f>Tabla15[[#This Row],[Contado]]</f>
        <v>0</v>
      </c>
      <c r="O136" s="959"/>
      <c r="P136" s="443">
        <f>((Tabla15[[#This Row],[Contado]]+Tabla15[[#This Row],[Visa]]+Tabla15[[#This Row],[Eventos]]+Tabla15[[#This Row],[Passo]]+Tabla15[[#This Row],[Reciclajes]])/1.1)+Tabla15[[#This Row],[Tickets]]</f>
        <v>0</v>
      </c>
      <c r="Q136" s="445">
        <v>0</v>
      </c>
      <c r="R136" s="445">
        <f t="shared" si="6"/>
        <v>0</v>
      </c>
      <c r="S136" s="446"/>
      <c r="T136" s="447">
        <v>0</v>
      </c>
      <c r="U136" s="447">
        <f>Tabla15[[#This Row],[Total Caja]]-Tabla15[[#This Row],[Facturació A/A]]</f>
        <v>0</v>
      </c>
      <c r="V136" s="447">
        <f t="shared" si="7"/>
        <v>6622.6127272727226</v>
      </c>
      <c r="W136" s="450" t="e">
        <f>Tabla15[[#This Row],[Diferencia]]/Tabla15[[#This Row],[Facturació A/A]]</f>
        <v>#DIV/0!</v>
      </c>
      <c r="X136" s="447">
        <f>Tabla15[[#This Row],[Facturació A/A]]*H$17+Tabla15[[#This Row],[Facturació A/A]]</f>
        <v>0</v>
      </c>
      <c r="Y136" s="447">
        <f>Tabla15[[#This Row],[Total Caja]]-Tabla15[[#This Row],[Previsión]]</f>
        <v>0</v>
      </c>
      <c r="Z136" s="446"/>
      <c r="AA136" s="447" t="e">
        <f>SUM(INDEX(Tabla15[[#This Row],[Facturació A/A]],1):Tabla15[[#This Row],[Facturació A/A]]) / SUM(INDEX(Tabla15[[#This Row],[Diferencia]],1):Tabla15[[#This Row],[Diferencia]])</f>
        <v>#DIV/0!</v>
      </c>
      <c r="AB136" s="446"/>
      <c r="AC136" s="427"/>
      <c r="AD136" s="427"/>
      <c r="AE136" s="427"/>
      <c r="AF136" s="427"/>
      <c r="AG136" s="427"/>
      <c r="AH136" s="427"/>
      <c r="AI136" s="427"/>
      <c r="AJ136" s="427"/>
      <c r="AK136" s="427"/>
      <c r="AL136" s="427"/>
      <c r="AM136" s="427"/>
      <c r="AN136" s="427"/>
      <c r="AO136" s="427"/>
      <c r="AP136" s="427"/>
      <c r="AQ136" s="427"/>
    </row>
    <row r="137" spans="1:43" ht="16" customHeight="1">
      <c r="A137" s="427"/>
      <c r="B137" s="427"/>
      <c r="C137" s="428">
        <v>104</v>
      </c>
      <c r="D137" s="456">
        <v>46126</v>
      </c>
      <c r="E137" s="961">
        <v>0</v>
      </c>
      <c r="F137" s="961">
        <f>Tabla15[[#This Row],[Retiros]]-Tabla15[[#This Row],[Contado]]</f>
        <v>0</v>
      </c>
      <c r="G137" s="961">
        <v>0</v>
      </c>
      <c r="H137" s="961">
        <v>0</v>
      </c>
      <c r="I137" s="961">
        <v>0</v>
      </c>
      <c r="J137" s="961">
        <v>0</v>
      </c>
      <c r="K137" s="961">
        <v>0</v>
      </c>
      <c r="L137" s="961">
        <v>0</v>
      </c>
      <c r="M137" s="961">
        <v>0</v>
      </c>
      <c r="N137" s="959">
        <f>Tabla15[[#This Row],[Contado]]</f>
        <v>0</v>
      </c>
      <c r="O137" s="959"/>
      <c r="P137" s="443">
        <f>((Tabla15[[#This Row],[Contado]]+Tabla15[[#This Row],[Visa]]+Tabla15[[#This Row],[Eventos]]+Tabla15[[#This Row],[Passo]]+Tabla15[[#This Row],[Reciclajes]])/1.1)+Tabla15[[#This Row],[Tickets]]</f>
        <v>0</v>
      </c>
      <c r="Q137" s="445">
        <v>0</v>
      </c>
      <c r="R137" s="445">
        <f t="shared" si="6"/>
        <v>0</v>
      </c>
      <c r="S137" s="446"/>
      <c r="T137" s="447">
        <v>0</v>
      </c>
      <c r="U137" s="447">
        <f>Tabla15[[#This Row],[Total Caja]]-Tabla15[[#This Row],[Facturació A/A]]</f>
        <v>0</v>
      </c>
      <c r="V137" s="447">
        <f t="shared" si="7"/>
        <v>6622.6127272727226</v>
      </c>
      <c r="W137" s="450" t="e">
        <f>Tabla15[[#This Row],[Diferencia]]/Tabla15[[#This Row],[Facturació A/A]]</f>
        <v>#DIV/0!</v>
      </c>
      <c r="X137" s="447">
        <f>Tabla15[[#This Row],[Facturació A/A]]*H$17+Tabla15[[#This Row],[Facturació A/A]]</f>
        <v>0</v>
      </c>
      <c r="Y137" s="447">
        <f>Tabla15[[#This Row],[Total Caja]]-Tabla15[[#This Row],[Previsión]]</f>
        <v>0</v>
      </c>
      <c r="Z137" s="446"/>
      <c r="AA137" s="447" t="e">
        <f>SUM(INDEX(Tabla15[[#This Row],[Facturació A/A]],1):Tabla15[[#This Row],[Facturació A/A]]) / SUM(INDEX(Tabla15[[#This Row],[Diferencia]],1):Tabla15[[#This Row],[Diferencia]])</f>
        <v>#DIV/0!</v>
      </c>
      <c r="AB137" s="446"/>
      <c r="AC137" s="427"/>
      <c r="AD137" s="427"/>
      <c r="AE137" s="427"/>
      <c r="AF137" s="427"/>
      <c r="AG137" s="427"/>
      <c r="AH137" s="427"/>
      <c r="AI137" s="427"/>
      <c r="AJ137" s="427"/>
      <c r="AK137" s="427"/>
      <c r="AL137" s="427"/>
      <c r="AM137" s="427"/>
      <c r="AN137" s="427"/>
      <c r="AO137" s="427"/>
      <c r="AP137" s="427"/>
      <c r="AQ137" s="427"/>
    </row>
    <row r="138" spans="1:43" ht="16" customHeight="1">
      <c r="A138" s="427"/>
      <c r="B138" s="427"/>
      <c r="C138" s="428">
        <v>105</v>
      </c>
      <c r="D138" s="456">
        <v>46127</v>
      </c>
      <c r="E138" s="960">
        <v>0</v>
      </c>
      <c r="F138" s="960">
        <f>Tabla15[[#This Row],[Retiros]]-Tabla15[[#This Row],[Contado]]</f>
        <v>300</v>
      </c>
      <c r="G138" s="868">
        <v>474.1</v>
      </c>
      <c r="H138" s="960">
        <v>0</v>
      </c>
      <c r="I138" s="868">
        <v>64.599999999999994</v>
      </c>
      <c r="J138" s="960">
        <v>0</v>
      </c>
      <c r="K138" s="960">
        <v>0</v>
      </c>
      <c r="L138" s="960">
        <v>0</v>
      </c>
      <c r="M138" s="960">
        <v>300</v>
      </c>
      <c r="N138" s="959">
        <f>Tabla15[[#This Row],[Contado]]</f>
        <v>0</v>
      </c>
      <c r="O138" s="959"/>
      <c r="P138" s="443">
        <f>((Tabla15[[#This Row],[Contado]]+Tabla15[[#This Row],[Visa]]+Tabla15[[#This Row],[Eventos]]+Tabla15[[#This Row],[Passo]]+Tabla15[[#This Row],[Reciclajes]])/1.1)+Tabla15[[#This Row],[Tickets]]</f>
        <v>789.72727272727275</v>
      </c>
      <c r="Q138" s="445">
        <v>0</v>
      </c>
      <c r="R138" s="445">
        <f t="shared" si="6"/>
        <v>0.37987797858869576</v>
      </c>
      <c r="S138" s="446"/>
      <c r="T138" s="447">
        <v>1139.25</v>
      </c>
      <c r="U138" s="447">
        <f>Tabla15[[#This Row],[Total Caja]]-Tabla15[[#This Row],[Facturació A/A]]</f>
        <v>-349.52272727272725</v>
      </c>
      <c r="V138" s="447">
        <f t="shared" si="7"/>
        <v>6273.0899999999956</v>
      </c>
      <c r="W138" s="450">
        <f>Tabla15[[#This Row],[Diferencia]]/Tabla15[[#This Row],[Facturació A/A]]</f>
        <v>-0.30680072615556486</v>
      </c>
      <c r="X138" s="447">
        <f>Tabla15[[#This Row],[Facturació A/A]]*H$17+Tabla15[[#This Row],[Facturació A/A]]</f>
        <v>1173.4275</v>
      </c>
      <c r="Y138" s="447">
        <f>Tabla15[[#This Row],[Total Caja]]-Tabla15[[#This Row],[Previsión]]</f>
        <v>-383.70022727272726</v>
      </c>
      <c r="Z138" s="446"/>
      <c r="AA138" s="447">
        <f>SUM(INDEX(Tabla15[[#This Row],[Facturació A/A]],1):Tabla15[[#This Row],[Facturació A/A]]) / SUM(INDEX(Tabla15[[#This Row],[Diferencia]],1):Tabla15[[#This Row],[Diferencia]])</f>
        <v>-3.2594446973145201</v>
      </c>
      <c r="AB138" s="446"/>
      <c r="AC138" s="427"/>
      <c r="AD138" s="427"/>
      <c r="AE138" s="427"/>
      <c r="AF138" s="427"/>
      <c r="AG138" s="427"/>
      <c r="AH138" s="427"/>
      <c r="AI138" s="427"/>
      <c r="AJ138" s="427"/>
      <c r="AK138" s="427"/>
      <c r="AL138" s="427"/>
      <c r="AM138" s="427"/>
      <c r="AN138" s="427"/>
      <c r="AO138" s="427"/>
      <c r="AP138" s="427"/>
      <c r="AQ138" s="427"/>
    </row>
    <row r="139" spans="1:43" ht="16" customHeight="1">
      <c r="A139" s="427"/>
      <c r="B139" s="427"/>
      <c r="C139" s="428">
        <v>106</v>
      </c>
      <c r="D139" s="456">
        <v>46128</v>
      </c>
      <c r="E139" s="958">
        <v>0</v>
      </c>
      <c r="F139" s="960">
        <f>Tabla15[[#This Row],[Retiros]]-Tabla15[[#This Row],[Contado]]</f>
        <v>50</v>
      </c>
      <c r="G139" s="959">
        <v>892.6</v>
      </c>
      <c r="H139" s="958">
        <v>0</v>
      </c>
      <c r="I139" s="959">
        <v>14.9</v>
      </c>
      <c r="J139" s="958">
        <v>0</v>
      </c>
      <c r="K139" s="958">
        <v>0</v>
      </c>
      <c r="L139" s="958">
        <v>0</v>
      </c>
      <c r="M139" s="958">
        <v>50</v>
      </c>
      <c r="N139" s="959">
        <f>Tabla15[[#This Row],[Contado]]</f>
        <v>0</v>
      </c>
      <c r="O139" s="959"/>
      <c r="P139" s="443">
        <f>((Tabla15[[#This Row],[Contado]]+Tabla15[[#This Row],[Visa]]+Tabla15[[#This Row],[Eventos]]+Tabla15[[#This Row],[Passo]]+Tabla15[[#This Row],[Reciclajes]])/1.1)+Tabla15[[#This Row],[Tickets]]</f>
        <v>874.99999999999989</v>
      </c>
      <c r="Q139" s="445">
        <v>0</v>
      </c>
      <c r="R139" s="445">
        <f t="shared" si="6"/>
        <v>5.7142857142857148E-2</v>
      </c>
      <c r="S139" s="446"/>
      <c r="T139" s="447">
        <v>1316.09</v>
      </c>
      <c r="U139" s="447">
        <f>Tabla15[[#This Row],[Total Caja]]-Tabla15[[#This Row],[Facturació A/A]]</f>
        <v>-441.09000000000003</v>
      </c>
      <c r="V139" s="447">
        <f t="shared" si="7"/>
        <v>5831.9999999999955</v>
      </c>
      <c r="W139" s="450">
        <f>Tabla15[[#This Row],[Diferencia]]/Tabla15[[#This Row],[Facturació A/A]]</f>
        <v>-0.33515185131715919</v>
      </c>
      <c r="X139" s="447">
        <f>Tabla15[[#This Row],[Facturació A/A]]*H$17+Tabla15[[#This Row],[Facturació A/A]]</f>
        <v>1355.5726999999999</v>
      </c>
      <c r="Y139" s="447">
        <f>Tabla15[[#This Row],[Total Caja]]-Tabla15[[#This Row],[Previsión]]</f>
        <v>-480.57270000000005</v>
      </c>
      <c r="Z139" s="446"/>
      <c r="AA139" s="447">
        <f>SUM(INDEX(Tabla15[[#This Row],[Facturació A/A]],1):Tabla15[[#This Row],[Facturació A/A]]) / SUM(INDEX(Tabla15[[#This Row],[Diferencia]],1):Tabla15[[#This Row],[Diferencia]])</f>
        <v>-2.983722142873336</v>
      </c>
      <c r="AB139" s="446"/>
      <c r="AC139" s="427"/>
      <c r="AD139" s="427"/>
      <c r="AE139" s="427"/>
      <c r="AF139" s="427"/>
      <c r="AG139" s="427"/>
      <c r="AH139" s="427"/>
      <c r="AI139" s="427"/>
      <c r="AJ139" s="427"/>
      <c r="AK139" s="427"/>
      <c r="AL139" s="427"/>
      <c r="AM139" s="427"/>
      <c r="AN139" s="427"/>
      <c r="AO139" s="427"/>
      <c r="AP139" s="427"/>
      <c r="AQ139" s="427"/>
    </row>
    <row r="140" spans="1:43" ht="16" customHeight="1">
      <c r="A140" s="427"/>
      <c r="B140" s="427"/>
      <c r="C140" s="428">
        <v>107</v>
      </c>
      <c r="D140" s="456">
        <v>46129</v>
      </c>
      <c r="E140" s="958">
        <v>0</v>
      </c>
      <c r="F140" s="960">
        <f>Tabla15[[#This Row],[Retiros]]-Tabla15[[#This Row],[Contado]]</f>
        <v>170</v>
      </c>
      <c r="G140" s="959">
        <v>1262.2</v>
      </c>
      <c r="H140" s="958">
        <v>0</v>
      </c>
      <c r="I140" s="959">
        <v>74.45</v>
      </c>
      <c r="J140" s="958">
        <v>0</v>
      </c>
      <c r="K140" s="958">
        <v>0</v>
      </c>
      <c r="L140" s="958">
        <v>0</v>
      </c>
      <c r="M140" s="958">
        <v>170</v>
      </c>
      <c r="N140" s="959">
        <f>Tabla15[[#This Row],[Contado]]</f>
        <v>0</v>
      </c>
      <c r="O140" s="959"/>
      <c r="P140" s="443">
        <f>((Tabla15[[#This Row],[Contado]]+Tabla15[[#This Row],[Visa]]+Tabla15[[#This Row],[Eventos]]+Tabla15[[#This Row],[Passo]]+Tabla15[[#This Row],[Reciclajes]])/1.1)+Tabla15[[#This Row],[Tickets]]</f>
        <v>1385.1363636363635</v>
      </c>
      <c r="Q140" s="445">
        <v>0</v>
      </c>
      <c r="R140" s="445">
        <f t="shared" si="6"/>
        <v>0.12273159846421423</v>
      </c>
      <c r="S140" s="446"/>
      <c r="T140" s="447">
        <v>1835.06</v>
      </c>
      <c r="U140" s="447">
        <f>Tabla15[[#This Row],[Total Caja]]-Tabla15[[#This Row],[Facturació A/A]]</f>
        <v>-449.92363636363643</v>
      </c>
      <c r="V140" s="447">
        <f t="shared" si="7"/>
        <v>5382.076363636359</v>
      </c>
      <c r="W140" s="450">
        <f>Tabla15[[#This Row],[Diferencia]]/Tabla15[[#This Row],[Facturació A/A]]</f>
        <v>-0.24518197571939687</v>
      </c>
      <c r="X140" s="447">
        <f>Tabla15[[#This Row],[Facturació A/A]]*H$17+Tabla15[[#This Row],[Facturació A/A]]</f>
        <v>1890.1117999999999</v>
      </c>
      <c r="Y140" s="447">
        <f>Tabla15[[#This Row],[Total Caja]]-Tabla15[[#This Row],[Previsión]]</f>
        <v>-504.97543636363639</v>
      </c>
      <c r="Z140" s="446"/>
      <c r="AA140" s="447">
        <f>SUM(INDEX(Tabla15[[#This Row],[Facturació A/A]],1):Tabla15[[#This Row],[Facturació A/A]]) / SUM(INDEX(Tabla15[[#This Row],[Diferencia]],1):Tabla15[[#This Row],[Diferencia]])</f>
        <v>-4.0786032377211479</v>
      </c>
      <c r="AB140" s="446"/>
      <c r="AC140" s="427"/>
      <c r="AD140" s="427"/>
      <c r="AE140" s="427"/>
      <c r="AF140" s="427"/>
      <c r="AG140" s="427"/>
      <c r="AH140" s="427"/>
      <c r="AI140" s="427"/>
      <c r="AJ140" s="427"/>
      <c r="AK140" s="427"/>
      <c r="AL140" s="427"/>
      <c r="AM140" s="427"/>
      <c r="AN140" s="427"/>
      <c r="AO140" s="427"/>
      <c r="AP140" s="427"/>
      <c r="AQ140" s="427"/>
    </row>
    <row r="141" spans="1:43" ht="16" customHeight="1">
      <c r="A141" s="427"/>
      <c r="B141" s="427"/>
      <c r="C141" s="428">
        <v>108</v>
      </c>
      <c r="D141" s="456">
        <v>46130</v>
      </c>
      <c r="E141" s="959">
        <v>56.1</v>
      </c>
      <c r="F141" s="958">
        <f>Tabla15[[#This Row],[Retiros]]-Tabla15[[#This Row],[Contado]]</f>
        <v>498.9</v>
      </c>
      <c r="G141" s="959">
        <v>1384.7</v>
      </c>
      <c r="H141" s="958">
        <v>0</v>
      </c>
      <c r="I141" s="959">
        <v>99.3</v>
      </c>
      <c r="J141" s="958">
        <v>0</v>
      </c>
      <c r="K141" s="958">
        <v>0</v>
      </c>
      <c r="L141" s="958">
        <v>0</v>
      </c>
      <c r="M141" s="958">
        <v>555</v>
      </c>
      <c r="N141" s="959">
        <f>Tabla15[[#This Row],[Contado]]</f>
        <v>56.1</v>
      </c>
      <c r="O141" s="959"/>
      <c r="P141" s="443">
        <f>((Tabla15[[#This Row],[Contado]]+Tabla15[[#This Row],[Visa]]+Tabla15[[#This Row],[Eventos]]+Tabla15[[#This Row],[Passo]]+Tabla15[[#This Row],[Reciclajes]])/1.1)+Tabla15[[#This Row],[Tickets]]</f>
        <v>1898.9909090909091</v>
      </c>
      <c r="Q141" s="445">
        <v>0</v>
      </c>
      <c r="R141" s="445">
        <f t="shared" si="6"/>
        <v>0.26271847727740572</v>
      </c>
      <c r="S141" s="446"/>
      <c r="T141" s="447">
        <v>1954.73</v>
      </c>
      <c r="U141" s="447">
        <f>Tabla15[[#This Row],[Total Caja]]-Tabla15[[#This Row],[Facturació A/A]]</f>
        <v>-55.739090909090919</v>
      </c>
      <c r="V141" s="447">
        <f t="shared" si="7"/>
        <v>5326.3372727272681</v>
      </c>
      <c r="W141" s="450">
        <f>Tabla15[[#This Row],[Diferencia]]/Tabla15[[#This Row],[Facturació A/A]]</f>
        <v>-2.8514982073785597E-2</v>
      </c>
      <c r="X141" s="447">
        <f>Tabla15[[#This Row],[Facturació A/A]]*H$17+Tabla15[[#This Row],[Facturació A/A]]</f>
        <v>2013.3719000000001</v>
      </c>
      <c r="Y141" s="447">
        <f>Tabla15[[#This Row],[Total Caja]]-Tabla15[[#This Row],[Previsión]]</f>
        <v>-114.380990909091</v>
      </c>
      <c r="Z141" s="446"/>
      <c r="AA141" s="447">
        <f>SUM(INDEX(Tabla15[[#This Row],[Facturació A/A]],1):Tabla15[[#This Row],[Facturació A/A]]) / SUM(INDEX(Tabla15[[#This Row],[Diferencia]],1):Tabla15[[#This Row],[Diferencia]])</f>
        <v>-35.0692838386639</v>
      </c>
      <c r="AB141" s="446"/>
      <c r="AC141" s="427"/>
      <c r="AD141" s="427"/>
      <c r="AE141" s="427"/>
      <c r="AF141" s="427"/>
      <c r="AG141" s="427"/>
      <c r="AH141" s="427"/>
      <c r="AI141" s="427"/>
      <c r="AJ141" s="427"/>
      <c r="AK141" s="427"/>
      <c r="AL141" s="427"/>
      <c r="AM141" s="427"/>
      <c r="AN141" s="427"/>
      <c r="AO141" s="427"/>
      <c r="AP141" s="427"/>
      <c r="AQ141" s="427"/>
    </row>
    <row r="142" spans="1:43" ht="16" customHeight="1">
      <c r="A142" s="427"/>
      <c r="B142" s="427"/>
      <c r="C142" s="428">
        <v>109</v>
      </c>
      <c r="D142" s="456">
        <v>46131</v>
      </c>
      <c r="E142" s="959">
        <v>0</v>
      </c>
      <c r="F142" s="958">
        <f>Tabla15[[#This Row],[Retiros]]-Tabla15[[#This Row],[Contado]]</f>
        <v>560</v>
      </c>
      <c r="G142" s="959">
        <v>1005</v>
      </c>
      <c r="H142" s="958">
        <v>0</v>
      </c>
      <c r="I142" s="959">
        <v>52.45</v>
      </c>
      <c r="J142" s="958">
        <v>0</v>
      </c>
      <c r="K142" s="958">
        <v>0</v>
      </c>
      <c r="L142" s="958">
        <v>0</v>
      </c>
      <c r="M142" s="958">
        <v>560</v>
      </c>
      <c r="N142" s="959">
        <f>Tabla15[[#This Row],[Contado]]</f>
        <v>0</v>
      </c>
      <c r="O142" s="959"/>
      <c r="P142" s="443">
        <f>((Tabla15[[#This Row],[Contado]]+Tabla15[[#This Row],[Visa]]+Tabla15[[#This Row],[Eventos]]+Tabla15[[#This Row],[Passo]]+Tabla15[[#This Row],[Reciclajes]])/1.1)+Tabla15[[#This Row],[Tickets]]</f>
        <v>1521.3181818181818</v>
      </c>
      <c r="Q142" s="445">
        <v>0</v>
      </c>
      <c r="R142" s="445">
        <f t="shared" si="6"/>
        <v>0.36810182556993037</v>
      </c>
      <c r="S142" s="446"/>
      <c r="T142" s="447">
        <v>2476.41</v>
      </c>
      <c r="U142" s="447">
        <f>Tabla15[[#This Row],[Total Caja]]-Tabla15[[#This Row],[Facturació A/A]]</f>
        <v>-955.0918181818181</v>
      </c>
      <c r="V142" s="447">
        <f t="shared" si="7"/>
        <v>4371.2454545454502</v>
      </c>
      <c r="W142" s="450">
        <f>Tabla15[[#This Row],[Diferencia]]/Tabla15[[#This Row],[Facturació A/A]]</f>
        <v>-0.38567596568493029</v>
      </c>
      <c r="X142" s="447">
        <f>Tabla15[[#This Row],[Facturació A/A]]*H$17+Tabla15[[#This Row],[Facturació A/A]]</f>
        <v>2550.7022999999999</v>
      </c>
      <c r="Y142" s="447">
        <f>Tabla15[[#This Row],[Total Caja]]-Tabla15[[#This Row],[Previsión]]</f>
        <v>-1029.3841181818182</v>
      </c>
      <c r="Z142" s="446"/>
      <c r="AA142" s="447">
        <f>SUM(INDEX(Tabla15[[#This Row],[Facturació A/A]],1):Tabla15[[#This Row],[Facturació A/A]]) / SUM(INDEX(Tabla15[[#This Row],[Diferencia]],1):Tabla15[[#This Row],[Diferencia]])</f>
        <v>-2.5928501876544949</v>
      </c>
      <c r="AB142" s="446"/>
      <c r="AC142" s="427"/>
      <c r="AD142" s="427"/>
      <c r="AE142" s="427"/>
      <c r="AF142" s="427"/>
      <c r="AG142" s="427"/>
      <c r="AH142" s="427"/>
      <c r="AI142" s="427"/>
      <c r="AJ142" s="427"/>
      <c r="AK142" s="427"/>
      <c r="AL142" s="427"/>
      <c r="AM142" s="427"/>
      <c r="AN142" s="427"/>
      <c r="AO142" s="427"/>
      <c r="AP142" s="427"/>
      <c r="AQ142" s="427"/>
    </row>
    <row r="143" spans="1:43" ht="16" customHeight="1">
      <c r="A143" s="427"/>
      <c r="B143" s="427"/>
      <c r="C143" s="428">
        <v>110</v>
      </c>
      <c r="D143" s="456">
        <v>46132</v>
      </c>
      <c r="E143" s="958">
        <v>0</v>
      </c>
      <c r="F143" s="958">
        <f>Tabla15[[#This Row],[Retiros]]-Tabla15[[#This Row],[Contado]]</f>
        <v>0</v>
      </c>
      <c r="G143" s="958">
        <v>0</v>
      </c>
      <c r="H143" s="958">
        <v>0</v>
      </c>
      <c r="I143" s="958">
        <v>0</v>
      </c>
      <c r="J143" s="958">
        <v>0</v>
      </c>
      <c r="K143" s="958">
        <v>0</v>
      </c>
      <c r="L143" s="958">
        <v>0</v>
      </c>
      <c r="M143" s="958">
        <v>0</v>
      </c>
      <c r="N143" s="959">
        <f>Tabla15[[#This Row],[Contado]]</f>
        <v>0</v>
      </c>
      <c r="O143" s="959"/>
      <c r="P143" s="443">
        <f>((Tabla15[[#This Row],[Contado]]+Tabla15[[#This Row],[Visa]]+Tabla15[[#This Row],[Eventos]]+Tabla15[[#This Row],[Passo]]+Tabla15[[#This Row],[Reciclajes]])/1.1)+Tabla15[[#This Row],[Tickets]]</f>
        <v>0</v>
      </c>
      <c r="Q143" s="445">
        <v>0</v>
      </c>
      <c r="R143" s="445">
        <f t="shared" si="6"/>
        <v>0</v>
      </c>
      <c r="S143" s="446"/>
      <c r="T143" s="447">
        <v>0</v>
      </c>
      <c r="U143" s="447">
        <f>Tabla15[[#This Row],[Total Caja]]-Tabla15[[#This Row],[Facturació A/A]]</f>
        <v>0</v>
      </c>
      <c r="V143" s="447">
        <f t="shared" si="7"/>
        <v>4371.2454545454502</v>
      </c>
      <c r="W143" s="450" t="e">
        <f>Tabla15[[#This Row],[Diferencia]]/Tabla15[[#This Row],[Facturació A/A]]</f>
        <v>#DIV/0!</v>
      </c>
      <c r="X143" s="447">
        <f>Tabla15[[#This Row],[Facturació A/A]]*H$17+Tabla15[[#This Row],[Facturació A/A]]</f>
        <v>0</v>
      </c>
      <c r="Y143" s="447">
        <f>Tabla15[[#This Row],[Total Caja]]-Tabla15[[#This Row],[Previsión]]</f>
        <v>0</v>
      </c>
      <c r="Z143" s="446"/>
      <c r="AA143" s="447" t="e">
        <f>SUM(INDEX(Tabla15[[#This Row],[Facturació A/A]],1):Tabla15[[#This Row],[Facturació A/A]]) / SUM(INDEX(Tabla15[[#This Row],[Diferencia]],1):Tabla15[[#This Row],[Diferencia]])</f>
        <v>#DIV/0!</v>
      </c>
      <c r="AB143" s="446"/>
      <c r="AC143" s="427"/>
      <c r="AD143" s="427"/>
      <c r="AE143" s="427"/>
      <c r="AF143" s="427"/>
      <c r="AG143" s="427"/>
      <c r="AH143" s="427"/>
      <c r="AI143" s="427"/>
      <c r="AJ143" s="427"/>
      <c r="AK143" s="427"/>
      <c r="AL143" s="427"/>
      <c r="AM143" s="427"/>
      <c r="AN143" s="427"/>
      <c r="AO143" s="427"/>
      <c r="AP143" s="427"/>
      <c r="AQ143" s="427"/>
    </row>
    <row r="144" spans="1:43" ht="16" customHeight="1">
      <c r="A144" s="427"/>
      <c r="B144" s="427"/>
      <c r="C144" s="428">
        <v>111</v>
      </c>
      <c r="D144" s="456">
        <v>46133</v>
      </c>
      <c r="E144" s="958">
        <v>0</v>
      </c>
      <c r="F144" s="958">
        <f>Tabla15[[#This Row],[Retiros]]-Tabla15[[#This Row],[Contado]]</f>
        <v>0</v>
      </c>
      <c r="G144" s="958">
        <v>0</v>
      </c>
      <c r="H144" s="958">
        <v>0</v>
      </c>
      <c r="I144" s="958">
        <v>0</v>
      </c>
      <c r="J144" s="958">
        <v>0</v>
      </c>
      <c r="K144" s="958">
        <v>0</v>
      </c>
      <c r="L144" s="958">
        <v>0</v>
      </c>
      <c r="M144" s="958">
        <v>0</v>
      </c>
      <c r="N144" s="959">
        <f>Tabla15[[#This Row],[Contado]]</f>
        <v>0</v>
      </c>
      <c r="O144" s="959"/>
      <c r="P144" s="443">
        <f>((Tabla15[[#This Row],[Contado]]+Tabla15[[#This Row],[Visa]]+Tabla15[[#This Row],[Eventos]]+Tabla15[[#This Row],[Passo]]+Tabla15[[#This Row],[Reciclajes]])/1.1)+Tabla15[[#This Row],[Tickets]]</f>
        <v>0</v>
      </c>
      <c r="Q144" s="445">
        <v>0</v>
      </c>
      <c r="R144" s="445">
        <f t="shared" si="6"/>
        <v>0</v>
      </c>
      <c r="S144" s="446"/>
      <c r="T144" s="447">
        <v>0</v>
      </c>
      <c r="U144" s="447">
        <f>Tabla15[[#This Row],[Total Caja]]-Tabla15[[#This Row],[Facturació A/A]]</f>
        <v>0</v>
      </c>
      <c r="V144" s="447">
        <f t="shared" si="7"/>
        <v>4371.2454545454502</v>
      </c>
      <c r="W144" s="450" t="e">
        <f>Tabla15[[#This Row],[Diferencia]]/Tabla15[[#This Row],[Facturació A/A]]</f>
        <v>#DIV/0!</v>
      </c>
      <c r="X144" s="447">
        <f>Tabla15[[#This Row],[Facturació A/A]]*H$17+Tabla15[[#This Row],[Facturació A/A]]</f>
        <v>0</v>
      </c>
      <c r="Y144" s="447">
        <f>Tabla15[[#This Row],[Total Caja]]-Tabla15[[#This Row],[Previsión]]</f>
        <v>0</v>
      </c>
      <c r="Z144" s="446"/>
      <c r="AA144" s="447" t="e">
        <f>SUM(INDEX(Tabla15[[#This Row],[Facturació A/A]],1):Tabla15[[#This Row],[Facturació A/A]]) / SUM(INDEX(Tabla15[[#This Row],[Diferencia]],1):Tabla15[[#This Row],[Diferencia]])</f>
        <v>#DIV/0!</v>
      </c>
      <c r="AB144" s="446"/>
      <c r="AC144" s="427"/>
      <c r="AD144" s="427"/>
      <c r="AE144" s="427"/>
      <c r="AF144" s="427"/>
      <c r="AG144" s="427"/>
      <c r="AH144" s="427"/>
      <c r="AI144" s="427"/>
      <c r="AJ144" s="427"/>
      <c r="AK144" s="427"/>
      <c r="AL144" s="427"/>
      <c r="AM144" s="427"/>
      <c r="AN144" s="427"/>
      <c r="AO144" s="427"/>
      <c r="AP144" s="427"/>
      <c r="AQ144" s="427"/>
    </row>
    <row r="145" spans="1:43" ht="16" customHeight="1">
      <c r="A145" s="427"/>
      <c r="B145" s="427"/>
      <c r="C145" s="428">
        <v>112</v>
      </c>
      <c r="D145" s="456">
        <v>46134</v>
      </c>
      <c r="E145" s="958">
        <v>0</v>
      </c>
      <c r="F145" s="958">
        <f>Tabla15[[#This Row],[Retiros]]-Tabla15[[#This Row],[Contado]]</f>
        <v>150</v>
      </c>
      <c r="G145" s="959">
        <v>537.29999999999995</v>
      </c>
      <c r="H145" s="958">
        <v>0</v>
      </c>
      <c r="I145" s="959">
        <v>65.7</v>
      </c>
      <c r="J145" s="958">
        <v>0</v>
      </c>
      <c r="K145" s="958">
        <v>0</v>
      </c>
      <c r="L145" s="958">
        <v>0</v>
      </c>
      <c r="M145" s="958">
        <v>150</v>
      </c>
      <c r="N145" s="959">
        <f>Tabla15[[#This Row],[Contado]]</f>
        <v>0</v>
      </c>
      <c r="O145" s="959"/>
      <c r="P145" s="443">
        <f>((Tabla15[[#This Row],[Contado]]+Tabla15[[#This Row],[Visa]]+Tabla15[[#This Row],[Eventos]]+Tabla15[[#This Row],[Passo]]+Tabla15[[#This Row],[Reciclajes]])/1.1)+Tabla15[[#This Row],[Tickets]]</f>
        <v>698.18181818181813</v>
      </c>
      <c r="Q145" s="445">
        <v>0</v>
      </c>
      <c r="R145" s="445">
        <f t="shared" si="6"/>
        <v>0.21484375000000003</v>
      </c>
      <c r="S145" s="446"/>
      <c r="T145" s="447">
        <v>1557.98</v>
      </c>
      <c r="U145" s="447">
        <f>Tabla15[[#This Row],[Total Caja]]-Tabla15[[#This Row],[Facturació A/A]]</f>
        <v>-859.79818181818189</v>
      </c>
      <c r="V145" s="447">
        <f t="shared" si="7"/>
        <v>3511.4472727272682</v>
      </c>
      <c r="W145" s="450">
        <f>Tabla15[[#This Row],[Diferencia]]/Tabla15[[#This Row],[Facturació A/A]]</f>
        <v>-0.55186727802550861</v>
      </c>
      <c r="X145" s="447">
        <f>Tabla15[[#This Row],[Facturació A/A]]*H$17+Tabla15[[#This Row],[Facturació A/A]]</f>
        <v>1604.7194</v>
      </c>
      <c r="Y145" s="447">
        <f>Tabla15[[#This Row],[Total Caja]]-Tabla15[[#This Row],[Previsión]]</f>
        <v>-906.53758181818182</v>
      </c>
      <c r="Z145" s="446"/>
      <c r="AA145" s="447">
        <f>SUM(INDEX(Tabla15[[#This Row],[Facturació A/A]],1):Tabla15[[#This Row],[Facturació A/A]]) / SUM(INDEX(Tabla15[[#This Row],[Diferencia]],1):Tabla15[[#This Row],[Diferencia]])</f>
        <v>-1.8120298843914744</v>
      </c>
      <c r="AB145" s="446"/>
      <c r="AC145" s="427"/>
      <c r="AD145" s="427"/>
      <c r="AE145" s="427"/>
      <c r="AF145" s="427"/>
      <c r="AG145" s="427"/>
      <c r="AH145" s="427"/>
      <c r="AI145" s="427"/>
      <c r="AJ145" s="427"/>
      <c r="AK145" s="427"/>
      <c r="AL145" s="427"/>
      <c r="AM145" s="427"/>
      <c r="AN145" s="427"/>
      <c r="AO145" s="427"/>
      <c r="AP145" s="427"/>
      <c r="AQ145" s="427"/>
    </row>
    <row r="146" spans="1:43" ht="16" customHeight="1">
      <c r="A146" s="427"/>
      <c r="B146" s="427"/>
      <c r="C146" s="428">
        <v>113</v>
      </c>
      <c r="D146" s="456">
        <v>46135</v>
      </c>
      <c r="E146" s="959">
        <v>332.5</v>
      </c>
      <c r="F146" s="958">
        <f>Tabla15[[#This Row],[Retiros]]-Tabla15[[#This Row],[Contado]]</f>
        <v>377.5</v>
      </c>
      <c r="G146" s="959">
        <v>1898.75</v>
      </c>
      <c r="H146" s="958">
        <v>0</v>
      </c>
      <c r="I146" s="959">
        <v>98.1</v>
      </c>
      <c r="J146" s="958">
        <v>0</v>
      </c>
      <c r="K146" s="958">
        <v>0</v>
      </c>
      <c r="L146" s="958">
        <v>0</v>
      </c>
      <c r="M146" s="959">
        <v>710</v>
      </c>
      <c r="N146" s="959">
        <f>Tabla15[[#This Row],[Contado]]</f>
        <v>332.5</v>
      </c>
      <c r="O146" s="959"/>
      <c r="P146" s="443">
        <f>((Tabla15[[#This Row],[Contado]]+Tabla15[[#This Row],[Visa]]+Tabla15[[#This Row],[Eventos]]+Tabla15[[#This Row],[Passo]]+Tabla15[[#This Row],[Reciclajes]])/1.1)+Tabla15[[#This Row],[Tickets]]</f>
        <v>2495.090909090909</v>
      </c>
      <c r="Q146" s="445">
        <v>0</v>
      </c>
      <c r="R146" s="445">
        <f t="shared" si="6"/>
        <v>0.15129709247249143</v>
      </c>
      <c r="S146" s="446"/>
      <c r="T146" s="447">
        <v>537.73</v>
      </c>
      <c r="U146" s="447">
        <f>Tabla15[[#This Row],[Total Caja]]-Tabla15[[#This Row],[Facturació A/A]]</f>
        <v>1957.360909090909</v>
      </c>
      <c r="V146" s="447">
        <f t="shared" si="7"/>
        <v>5468.8081818181772</v>
      </c>
      <c r="W146" s="450">
        <f>Tabla15[[#This Row],[Diferencia]]/Tabla15[[#This Row],[Facturació A/A]]</f>
        <v>3.6400440910696985</v>
      </c>
      <c r="X146" s="447">
        <f>Tabla15[[#This Row],[Facturació A/A]]*H$17+Tabla15[[#This Row],[Facturació A/A]]</f>
        <v>553.86189999999999</v>
      </c>
      <c r="Y146" s="447">
        <f>Tabla15[[#This Row],[Total Caja]]-Tabla15[[#This Row],[Previsión]]</f>
        <v>1941.2290090909091</v>
      </c>
      <c r="Z146" s="446"/>
      <c r="AA146" s="447">
        <f>SUM(INDEX(Tabla15[[#This Row],[Facturació A/A]],1):Tabla15[[#This Row],[Facturació A/A]]) / SUM(INDEX(Tabla15[[#This Row],[Diferencia]],1):Tabla15[[#This Row],[Diferencia]])</f>
        <v>0.2747219470372213</v>
      </c>
      <c r="AB146" s="446"/>
      <c r="AC146" s="427"/>
      <c r="AD146" s="427"/>
      <c r="AE146" s="427"/>
      <c r="AF146" s="427"/>
      <c r="AG146" s="427"/>
      <c r="AH146" s="427"/>
      <c r="AI146" s="427"/>
      <c r="AJ146" s="427"/>
      <c r="AK146" s="427"/>
      <c r="AL146" s="427"/>
      <c r="AM146" s="427"/>
      <c r="AN146" s="427"/>
      <c r="AO146" s="427"/>
      <c r="AP146" s="427"/>
      <c r="AQ146" s="427"/>
    </row>
    <row r="147" spans="1:43" ht="16" customHeight="1">
      <c r="A147" s="427"/>
      <c r="B147" s="427"/>
      <c r="C147" s="428">
        <v>114</v>
      </c>
      <c r="D147" s="456">
        <v>46136</v>
      </c>
      <c r="E147" s="959">
        <v>45.7</v>
      </c>
      <c r="F147" s="958">
        <f>Tabla15[[#This Row],[Retiros]]-Tabla15[[#This Row],[Contado]]</f>
        <v>241.3</v>
      </c>
      <c r="G147" s="959">
        <v>963.45</v>
      </c>
      <c r="H147" s="958">
        <v>0</v>
      </c>
      <c r="I147" s="959">
        <v>0</v>
      </c>
      <c r="J147" s="958">
        <v>0</v>
      </c>
      <c r="K147" s="958">
        <v>0</v>
      </c>
      <c r="L147" s="958">
        <v>0</v>
      </c>
      <c r="M147" s="959">
        <v>287</v>
      </c>
      <c r="N147" s="959">
        <f>Tabla15[[#This Row],[Contado]]</f>
        <v>45.7</v>
      </c>
      <c r="O147" s="959"/>
      <c r="P147" s="443">
        <f>((Tabla15[[#This Row],[Contado]]+Tabla15[[#This Row],[Visa]]+Tabla15[[#This Row],[Eventos]]+Tabla15[[#This Row],[Passo]]+Tabla15[[#This Row],[Reciclajes]])/1.1)+Tabla15[[#This Row],[Tickets]]</f>
        <v>1158.7090909090909</v>
      </c>
      <c r="Q147" s="445">
        <v>0</v>
      </c>
      <c r="R147" s="445">
        <f t="shared" si="6"/>
        <v>0.20824899182475795</v>
      </c>
      <c r="S147" s="446"/>
      <c r="T147" s="447">
        <v>2330.33</v>
      </c>
      <c r="U147" s="447">
        <f>Tabla15[[#This Row],[Total Caja]]-Tabla15[[#This Row],[Facturació A/A]]</f>
        <v>-1171.620909090909</v>
      </c>
      <c r="V147" s="447">
        <f t="shared" si="7"/>
        <v>4297.1872727272685</v>
      </c>
      <c r="W147" s="450">
        <f>Tabla15[[#This Row],[Diferencia]]/Tabla15[[#This Row],[Facturació A/A]]</f>
        <v>-0.50277038406187491</v>
      </c>
      <c r="X147" s="447">
        <f>Tabla15[[#This Row],[Facturació A/A]]*H$17+Tabla15[[#This Row],[Facturació A/A]]</f>
        <v>2400.2399</v>
      </c>
      <c r="Y147" s="447">
        <f>Tabla15[[#This Row],[Total Caja]]-Tabla15[[#This Row],[Previsión]]</f>
        <v>-1241.5308090909091</v>
      </c>
      <c r="Z147" s="446"/>
      <c r="AA147" s="447">
        <f>SUM(INDEX(Tabla15[[#This Row],[Facturació A/A]],1):Tabla15[[#This Row],[Facturació A/A]]) / SUM(INDEX(Tabla15[[#This Row],[Diferencia]],1):Tabla15[[#This Row],[Diferencia]])</f>
        <v>-1.9889795256455123</v>
      </c>
      <c r="AB147" s="446"/>
      <c r="AC147" s="427"/>
      <c r="AD147" s="427"/>
      <c r="AE147" s="427"/>
      <c r="AF147" s="427"/>
      <c r="AG147" s="427"/>
      <c r="AH147" s="427"/>
      <c r="AI147" s="427"/>
      <c r="AJ147" s="427"/>
      <c r="AK147" s="427"/>
      <c r="AL147" s="427"/>
      <c r="AM147" s="427"/>
      <c r="AN147" s="427"/>
      <c r="AO147" s="427"/>
      <c r="AP147" s="427"/>
      <c r="AQ147" s="427"/>
    </row>
    <row r="148" spans="1:43" ht="16" customHeight="1">
      <c r="A148" s="427"/>
      <c r="B148" s="427"/>
      <c r="C148" s="428">
        <v>115</v>
      </c>
      <c r="D148" s="456">
        <v>46137</v>
      </c>
      <c r="E148" s="959">
        <v>558.79999999999995</v>
      </c>
      <c r="F148" s="958">
        <f>Tabla15[[#This Row],[Retiros]]-Tabla15[[#This Row],[Contado]]</f>
        <v>81.200000000000045</v>
      </c>
      <c r="G148" s="959">
        <v>1319.25</v>
      </c>
      <c r="H148" s="958">
        <v>0</v>
      </c>
      <c r="I148" s="959">
        <v>88.2</v>
      </c>
      <c r="J148" s="958">
        <v>0</v>
      </c>
      <c r="K148" s="958">
        <v>0</v>
      </c>
      <c r="L148" s="958">
        <v>0</v>
      </c>
      <c r="M148" s="959">
        <v>640</v>
      </c>
      <c r="N148" s="959">
        <f>Tabla15[[#This Row],[Contado]]</f>
        <v>558.79999999999995</v>
      </c>
      <c r="O148" s="959"/>
      <c r="P148" s="443">
        <f>((Tabla15[[#This Row],[Contado]]+Tabla15[[#This Row],[Visa]]+Tabla15[[#This Row],[Eventos]]+Tabla15[[#This Row],[Passo]]+Tabla15[[#This Row],[Reciclajes]])/1.1)+Tabla15[[#This Row],[Tickets]]</f>
        <v>1868.6999999999998</v>
      </c>
      <c r="Q148" s="445">
        <v>0</v>
      </c>
      <c r="R148" s="445">
        <f t="shared" si="6"/>
        <v>4.3452667629903172E-2</v>
      </c>
      <c r="S148" s="446"/>
      <c r="T148" s="447">
        <v>1109.77</v>
      </c>
      <c r="U148" s="447">
        <f>Tabla15[[#This Row],[Total Caja]]-Tabla15[[#This Row],[Facturació A/A]]</f>
        <v>758.92999999999984</v>
      </c>
      <c r="V148" s="447">
        <f t="shared" si="7"/>
        <v>5056.1172727272678</v>
      </c>
      <c r="W148" s="450">
        <f>Tabla15[[#This Row],[Diferencia]]/Tabla15[[#This Row],[Facturació A/A]]</f>
        <v>0.68386242194328539</v>
      </c>
      <c r="X148" s="447">
        <f>Tabla15[[#This Row],[Facturació A/A]]*H$17+Tabla15[[#This Row],[Facturació A/A]]</f>
        <v>1143.0631000000001</v>
      </c>
      <c r="Y148" s="447">
        <f>Tabla15[[#This Row],[Total Caja]]-Tabla15[[#This Row],[Previsión]]</f>
        <v>725.63689999999974</v>
      </c>
      <c r="Z148" s="446"/>
      <c r="AA148" s="447">
        <f>SUM(INDEX(Tabla15[[#This Row],[Facturació A/A]],1):Tabla15[[#This Row],[Facturació A/A]]) / SUM(INDEX(Tabla15[[#This Row],[Diferencia]],1):Tabla15[[#This Row],[Diferencia]])</f>
        <v>1.4622824239389669</v>
      </c>
      <c r="AB148" s="446"/>
      <c r="AC148" s="427"/>
      <c r="AD148" s="427"/>
      <c r="AE148" s="427"/>
      <c r="AF148" s="427"/>
      <c r="AG148" s="427"/>
      <c r="AH148" s="427"/>
      <c r="AI148" s="427"/>
      <c r="AJ148" s="427"/>
      <c r="AK148" s="427"/>
      <c r="AL148" s="427"/>
      <c r="AM148" s="427"/>
      <c r="AN148" s="427"/>
      <c r="AO148" s="427"/>
      <c r="AP148" s="427"/>
      <c r="AQ148" s="427"/>
    </row>
    <row r="149" spans="1:43" ht="16" customHeight="1">
      <c r="A149" s="427"/>
      <c r="B149" s="427"/>
      <c r="C149" s="428">
        <v>116</v>
      </c>
      <c r="D149" s="456">
        <v>46138</v>
      </c>
      <c r="E149" s="959">
        <v>292</v>
      </c>
      <c r="F149" s="958">
        <f>Tabla15[[#This Row],[Retiros]]-Tabla15[[#This Row],[Contado]]</f>
        <v>213</v>
      </c>
      <c r="G149" s="959">
        <v>730.8</v>
      </c>
      <c r="H149" s="961">
        <v>0</v>
      </c>
      <c r="I149" s="959">
        <v>42.45</v>
      </c>
      <c r="J149" s="961">
        <v>0</v>
      </c>
      <c r="K149" s="961">
        <v>0</v>
      </c>
      <c r="L149" s="961">
        <v>0</v>
      </c>
      <c r="M149" s="959">
        <v>505</v>
      </c>
      <c r="N149" s="959">
        <f>Tabla15[[#This Row],[Contado]]</f>
        <v>292</v>
      </c>
      <c r="O149" s="959"/>
      <c r="P149" s="443">
        <f>((Tabla15[[#This Row],[Contado]]+Tabla15[[#This Row],[Visa]]+Tabla15[[#This Row],[Eventos]]+Tabla15[[#This Row],[Passo]]+Tabla15[[#This Row],[Reciclajes]])/1.1)+Tabla15[[#This Row],[Tickets]]</f>
        <v>1181.409090909091</v>
      </c>
      <c r="Q149" s="445">
        <v>0</v>
      </c>
      <c r="R149" s="445">
        <f t="shared" si="6"/>
        <v>0.18029317840791043</v>
      </c>
      <c r="S149" s="446"/>
      <c r="T149" s="447">
        <v>1539.75</v>
      </c>
      <c r="U149" s="447">
        <f>Tabla15[[#This Row],[Total Caja]]-Tabla15[[#This Row],[Facturació A/A]]</f>
        <v>-358.34090909090901</v>
      </c>
      <c r="V149" s="447">
        <f t="shared" si="7"/>
        <v>4697.7763636363588</v>
      </c>
      <c r="W149" s="450">
        <f>Tabla15[[#This Row],[Diferencia]]/Tabla15[[#This Row],[Facturació A/A]]</f>
        <v>-0.232726682312654</v>
      </c>
      <c r="X149" s="447">
        <f>Tabla15[[#This Row],[Facturació A/A]]*H$17+Tabla15[[#This Row],[Facturació A/A]]</f>
        <v>1585.9425000000001</v>
      </c>
      <c r="Y149" s="447">
        <f>Tabla15[[#This Row],[Total Caja]]-Tabla15[[#This Row],[Previsión]]</f>
        <v>-404.53340909090912</v>
      </c>
      <c r="Z149" s="446"/>
      <c r="AA149" s="447">
        <f>SUM(INDEX(Tabla15[[#This Row],[Facturació A/A]],1):Tabla15[[#This Row],[Facturació A/A]]) / SUM(INDEX(Tabla15[[#This Row],[Diferencia]],1):Tabla15[[#This Row],[Diferencia]])</f>
        <v>-4.2968859009323284</v>
      </c>
      <c r="AB149" s="446"/>
      <c r="AC149" s="427"/>
      <c r="AD149" s="427"/>
      <c r="AE149" s="427"/>
      <c r="AF149" s="427"/>
      <c r="AG149" s="427"/>
      <c r="AH149" s="427"/>
      <c r="AI149" s="427"/>
      <c r="AJ149" s="427"/>
      <c r="AK149" s="427"/>
      <c r="AL149" s="427"/>
      <c r="AM149" s="427"/>
      <c r="AN149" s="427"/>
      <c r="AO149" s="427"/>
      <c r="AP149" s="427"/>
      <c r="AQ149" s="427"/>
    </row>
    <row r="150" spans="1:43" ht="16" customHeight="1">
      <c r="A150" s="427"/>
      <c r="B150" s="427"/>
      <c r="C150" s="428">
        <v>117</v>
      </c>
      <c r="D150" s="456">
        <v>46139</v>
      </c>
      <c r="E150" s="961">
        <v>0</v>
      </c>
      <c r="F150" s="961">
        <f>Tabla15[[#This Row],[Retiros]]-Tabla15[[#This Row],[Contado]]</f>
        <v>0</v>
      </c>
      <c r="G150" s="961">
        <v>0</v>
      </c>
      <c r="H150" s="961">
        <v>0</v>
      </c>
      <c r="I150" s="961">
        <v>0</v>
      </c>
      <c r="J150" s="961">
        <v>0</v>
      </c>
      <c r="K150" s="961">
        <v>0</v>
      </c>
      <c r="L150" s="961">
        <v>0</v>
      </c>
      <c r="M150" s="961">
        <v>0</v>
      </c>
      <c r="N150" s="959">
        <f>Tabla15[[#This Row],[Contado]]</f>
        <v>0</v>
      </c>
      <c r="O150" s="959"/>
      <c r="P150" s="443">
        <f>((Tabla15[[#This Row],[Contado]]+Tabla15[[#This Row],[Visa]]+Tabla15[[#This Row],[Eventos]]+Tabla15[[#This Row],[Passo]]+Tabla15[[#This Row],[Reciclajes]])/1.1)+Tabla15[[#This Row],[Tickets]]</f>
        <v>0</v>
      </c>
      <c r="Q150" s="445">
        <v>0</v>
      </c>
      <c r="R150" s="445">
        <f t="shared" si="6"/>
        <v>0</v>
      </c>
      <c r="S150" s="446"/>
      <c r="T150" s="447">
        <v>0</v>
      </c>
      <c r="U150" s="447">
        <f>Tabla15[[#This Row],[Total Caja]]-Tabla15[[#This Row],[Facturació A/A]]</f>
        <v>0</v>
      </c>
      <c r="V150" s="447">
        <f t="shared" si="7"/>
        <v>4697.7763636363588</v>
      </c>
      <c r="W150" s="450" t="e">
        <f>Tabla15[[#This Row],[Diferencia]]/Tabla15[[#This Row],[Facturació A/A]]</f>
        <v>#DIV/0!</v>
      </c>
      <c r="X150" s="447">
        <f>Tabla15[[#This Row],[Facturació A/A]]*H$17+Tabla15[[#This Row],[Facturació A/A]]</f>
        <v>0</v>
      </c>
      <c r="Y150" s="447">
        <f>Tabla15[[#This Row],[Total Caja]]-Tabla15[[#This Row],[Previsión]]</f>
        <v>0</v>
      </c>
      <c r="Z150" s="446"/>
      <c r="AA150" s="447" t="e">
        <f>SUM(INDEX(Tabla15[[#This Row],[Facturació A/A]],1):Tabla15[[#This Row],[Facturació A/A]]) / SUM(INDEX(Tabla15[[#This Row],[Diferencia]],1):Tabla15[[#This Row],[Diferencia]])</f>
        <v>#DIV/0!</v>
      </c>
      <c r="AB150" s="446"/>
      <c r="AC150" s="427"/>
      <c r="AD150" s="427"/>
      <c r="AE150" s="427"/>
      <c r="AF150" s="427"/>
      <c r="AG150" s="427"/>
      <c r="AH150" s="427"/>
      <c r="AI150" s="427"/>
      <c r="AJ150" s="427"/>
      <c r="AK150" s="427"/>
      <c r="AL150" s="427"/>
      <c r="AM150" s="427"/>
      <c r="AN150" s="427"/>
      <c r="AO150" s="427"/>
      <c r="AP150" s="427"/>
      <c r="AQ150" s="427"/>
    </row>
    <row r="151" spans="1:43" ht="16" customHeight="1">
      <c r="A151" s="427"/>
      <c r="B151" s="427"/>
      <c r="C151" s="428">
        <v>118</v>
      </c>
      <c r="D151" s="456">
        <v>46140</v>
      </c>
      <c r="E151" s="961">
        <v>0</v>
      </c>
      <c r="F151" s="961">
        <f>Tabla15[[#This Row],[Retiros]]-Tabla15[[#This Row],[Contado]]</f>
        <v>0</v>
      </c>
      <c r="G151" s="961">
        <v>0</v>
      </c>
      <c r="H151" s="961">
        <v>0</v>
      </c>
      <c r="I151" s="961">
        <v>0</v>
      </c>
      <c r="J151" s="961">
        <v>0</v>
      </c>
      <c r="K151" s="961">
        <v>0</v>
      </c>
      <c r="L151" s="961">
        <v>0</v>
      </c>
      <c r="M151" s="961">
        <v>0</v>
      </c>
      <c r="N151" s="959">
        <f>Tabla15[[#This Row],[Contado]]</f>
        <v>0</v>
      </c>
      <c r="O151" s="959"/>
      <c r="P151" s="443">
        <f>((Tabla15[[#This Row],[Contado]]+Tabla15[[#This Row],[Visa]]+Tabla15[[#This Row],[Eventos]]+Tabla15[[#This Row],[Passo]]+Tabla15[[#This Row],[Reciclajes]])/1.1)+Tabla15[[#This Row],[Tickets]]</f>
        <v>0</v>
      </c>
      <c r="Q151" s="445">
        <v>0</v>
      </c>
      <c r="R151" s="445">
        <f t="shared" si="6"/>
        <v>0</v>
      </c>
      <c r="S151" s="446"/>
      <c r="T151" s="447">
        <v>0</v>
      </c>
      <c r="U151" s="447">
        <f>Tabla15[[#This Row],[Total Caja]]-Tabla15[[#This Row],[Facturació A/A]]</f>
        <v>0</v>
      </c>
      <c r="V151" s="447">
        <f t="shared" si="7"/>
        <v>4697.7763636363588</v>
      </c>
      <c r="W151" s="450" t="e">
        <f>Tabla15[[#This Row],[Diferencia]]/Tabla15[[#This Row],[Facturació A/A]]</f>
        <v>#DIV/0!</v>
      </c>
      <c r="X151" s="447">
        <f>Tabla15[[#This Row],[Facturació A/A]]*H$17+Tabla15[[#This Row],[Facturació A/A]]</f>
        <v>0</v>
      </c>
      <c r="Y151" s="447">
        <f>Tabla15[[#This Row],[Total Caja]]-Tabla15[[#This Row],[Previsión]]</f>
        <v>0</v>
      </c>
      <c r="Z151" s="446"/>
      <c r="AA151" s="447" t="e">
        <f>SUM(INDEX(Tabla15[[#This Row],[Facturació A/A]],1):Tabla15[[#This Row],[Facturació A/A]]) / SUM(INDEX(Tabla15[[#This Row],[Diferencia]],1):Tabla15[[#This Row],[Diferencia]])</f>
        <v>#DIV/0!</v>
      </c>
      <c r="AB151" s="446"/>
      <c r="AC151" s="427"/>
      <c r="AD151" s="427"/>
      <c r="AE151" s="427"/>
      <c r="AF151" s="427"/>
      <c r="AG151" s="427"/>
      <c r="AH151" s="427"/>
      <c r="AI151" s="427"/>
      <c r="AJ151" s="427"/>
      <c r="AK151" s="427"/>
      <c r="AL151" s="427"/>
      <c r="AM151" s="427"/>
      <c r="AN151" s="427"/>
      <c r="AO151" s="427"/>
      <c r="AP151" s="427"/>
      <c r="AQ151" s="427"/>
    </row>
    <row r="152" spans="1:43" ht="16" customHeight="1">
      <c r="A152" s="427"/>
      <c r="B152" s="427"/>
      <c r="C152" s="428">
        <v>119</v>
      </c>
      <c r="D152" s="456">
        <v>46141</v>
      </c>
      <c r="E152" s="959">
        <v>46.7</v>
      </c>
      <c r="F152" s="958">
        <f>Tabla15[[#This Row],[Retiros]]-Tabla15[[#This Row],[Contado]]</f>
        <v>158.30000000000001</v>
      </c>
      <c r="G152" s="959">
        <v>448.2</v>
      </c>
      <c r="H152" s="961">
        <v>0</v>
      </c>
      <c r="I152" s="959">
        <v>63.05</v>
      </c>
      <c r="J152" s="961">
        <v>0</v>
      </c>
      <c r="K152" s="961">
        <v>0</v>
      </c>
      <c r="L152" s="961">
        <v>0</v>
      </c>
      <c r="M152" s="959">
        <v>205</v>
      </c>
      <c r="N152" s="959">
        <f>Tabla15[[#This Row],[Contado]]</f>
        <v>46.7</v>
      </c>
      <c r="O152" s="959"/>
      <c r="P152" s="443">
        <f>((Tabla15[[#This Row],[Contado]]+Tabla15[[#This Row],[Visa]]+Tabla15[[#This Row],[Eventos]]+Tabla15[[#This Row],[Passo]]+Tabla15[[#This Row],[Reciclajes]])/1.1)+Tabla15[[#This Row],[Tickets]]</f>
        <v>665.5272727272727</v>
      </c>
      <c r="Q152" s="445">
        <v>0</v>
      </c>
      <c r="R152" s="445">
        <f t="shared" si="6"/>
        <v>0.2378565184132882</v>
      </c>
      <c r="S152" s="446"/>
      <c r="T152" s="447">
        <v>1463.58</v>
      </c>
      <c r="U152" s="447">
        <f>Tabla15[[#This Row],[Total Caja]]-Tabla15[[#This Row],[Facturació A/A]]</f>
        <v>-798.05272727272722</v>
      </c>
      <c r="V152" s="447">
        <f t="shared" si="7"/>
        <v>3899.7236363636316</v>
      </c>
      <c r="W152" s="450">
        <f>Tabla15[[#This Row],[Diferencia]]/Tabla15[[#This Row],[Facturació A/A]]</f>
        <v>-0.54527441429421508</v>
      </c>
      <c r="X152" s="447">
        <f>Tabla15[[#This Row],[Facturació A/A]]*H$17+Tabla15[[#This Row],[Facturació A/A]]</f>
        <v>1507.4874</v>
      </c>
      <c r="Y152" s="447">
        <f>Tabla15[[#This Row],[Total Caja]]-Tabla15[[#This Row],[Previsión]]</f>
        <v>-841.96012727272728</v>
      </c>
      <c r="Z152" s="446"/>
      <c r="AA152" s="447">
        <f>SUM(INDEX(Tabla15[[#This Row],[Facturació A/A]],1):Tabla15[[#This Row],[Facturació A/A]]) / SUM(INDEX(Tabla15[[#This Row],[Diferencia]],1):Tabla15[[#This Row],[Diferencia]])</f>
        <v>-1.833938974184891</v>
      </c>
      <c r="AB152" s="446"/>
      <c r="AC152" s="427"/>
      <c r="AD152" s="427"/>
      <c r="AE152" s="427"/>
      <c r="AF152" s="427"/>
      <c r="AG152" s="427"/>
      <c r="AH152" s="427"/>
      <c r="AI152" s="427"/>
      <c r="AJ152" s="427"/>
      <c r="AK152" s="427"/>
      <c r="AL152" s="427"/>
      <c r="AM152" s="427"/>
      <c r="AN152" s="427"/>
      <c r="AO152" s="427"/>
      <c r="AP152" s="427"/>
      <c r="AQ152" s="427"/>
    </row>
    <row r="153" spans="1:43" ht="16" customHeight="1">
      <c r="A153" s="427"/>
      <c r="B153" s="427"/>
      <c r="C153" s="428">
        <v>120</v>
      </c>
      <c r="D153" s="456">
        <v>46142</v>
      </c>
      <c r="E153" s="959">
        <v>0</v>
      </c>
      <c r="F153" s="958">
        <f>Tabla15[[#This Row],[Retiros]]-Tabla15[[#This Row],[Contado]]</f>
        <v>275</v>
      </c>
      <c r="G153" s="959">
        <v>941.45</v>
      </c>
      <c r="H153" s="961">
        <v>0</v>
      </c>
      <c r="I153" s="959">
        <v>22.9</v>
      </c>
      <c r="J153" s="961">
        <v>0</v>
      </c>
      <c r="K153" s="961">
        <v>0</v>
      </c>
      <c r="L153" s="961">
        <v>0</v>
      </c>
      <c r="M153" s="959">
        <v>275</v>
      </c>
      <c r="N153" s="959">
        <f>Tabla15[[#This Row],[Contado]]</f>
        <v>0</v>
      </c>
      <c r="O153" s="959"/>
      <c r="P153" s="443">
        <f>((Tabla15[[#This Row],[Contado]]+Tabla15[[#This Row],[Visa]]+Tabla15[[#This Row],[Eventos]]+Tabla15[[#This Row],[Passo]]+Tabla15[[#This Row],[Reciclajes]])/1.1)+Tabla15[[#This Row],[Tickets]]</f>
        <v>1151.681818181818</v>
      </c>
      <c r="Q153" s="445">
        <v>0</v>
      </c>
      <c r="R153" s="445">
        <f t="shared" si="6"/>
        <v>0.23878122903264004</v>
      </c>
      <c r="S153" s="446"/>
      <c r="T153" s="447">
        <v>2267.09</v>
      </c>
      <c r="U153" s="447">
        <f>Tabla15[[#This Row],[Total Caja]]-Tabla15[[#This Row],[Facturació A/A]]</f>
        <v>-1115.4081818181821</v>
      </c>
      <c r="V153" s="447">
        <f t="shared" si="7"/>
        <v>2784.3154545454495</v>
      </c>
      <c r="W153" s="450">
        <f>Tabla15[[#This Row],[Diferencia]]/Tabla15[[#This Row],[Facturació A/A]]</f>
        <v>-0.4919999566925804</v>
      </c>
      <c r="X153" s="447">
        <f>Tabla15[[#This Row],[Facturació A/A]]*H$17+Tabla15[[#This Row],[Facturació A/A]]</f>
        <v>2335.1027000000004</v>
      </c>
      <c r="Y153" s="447">
        <f>Tabla15[[#This Row],[Total Caja]]-Tabla15[[#This Row],[Previsión]]</f>
        <v>-1183.4208818181824</v>
      </c>
      <c r="Z153" s="446"/>
      <c r="AA153" s="447">
        <f>SUM(INDEX(Tabla15[[#This Row],[Facturació A/A]],1):Tabla15[[#This Row],[Facturació A/A]]) / SUM(INDEX(Tabla15[[#This Row],[Diferencia]],1):Tabla15[[#This Row],[Diferencia]])</f>
        <v>-2.0325205041122323</v>
      </c>
      <c r="AB153" s="446"/>
      <c r="AC153" s="427"/>
      <c r="AD153" s="427"/>
      <c r="AE153" s="427"/>
      <c r="AF153" s="427"/>
      <c r="AG153" s="427"/>
      <c r="AH153" s="427"/>
      <c r="AI153" s="427"/>
      <c r="AJ153" s="427"/>
      <c r="AK153" s="427"/>
      <c r="AL153" s="427"/>
      <c r="AM153" s="427"/>
      <c r="AN153" s="427"/>
      <c r="AO153" s="427"/>
      <c r="AP153" s="427"/>
      <c r="AQ153" s="427"/>
    </row>
    <row r="154" spans="1:43" ht="16" customHeight="1">
      <c r="A154" s="427"/>
      <c r="B154" s="427"/>
      <c r="C154" s="428">
        <v>121</v>
      </c>
      <c r="D154" s="442">
        <v>46143</v>
      </c>
      <c r="E154" s="959">
        <v>372.3</v>
      </c>
      <c r="F154" s="958">
        <f>Tabla15[[#This Row],[Retiros]]-Tabla15[[#This Row],[Contado]]</f>
        <v>77.699999999999989</v>
      </c>
      <c r="G154" s="959">
        <v>2796.85</v>
      </c>
      <c r="H154" s="961">
        <v>0</v>
      </c>
      <c r="I154" s="959">
        <v>117.7</v>
      </c>
      <c r="J154" s="961">
        <v>0</v>
      </c>
      <c r="K154" s="961">
        <v>0</v>
      </c>
      <c r="L154" s="961">
        <v>0</v>
      </c>
      <c r="M154" s="959">
        <v>450</v>
      </c>
      <c r="N154" s="959">
        <f>Tabla15[[#This Row],[Contado]]</f>
        <v>372.3</v>
      </c>
      <c r="O154" s="959"/>
      <c r="P154" s="443">
        <f>((Tabla15[[#This Row],[Contado]]+Tabla15[[#This Row],[Visa]]+Tabla15[[#This Row],[Eventos]]+Tabla15[[#This Row],[Passo]]+Tabla15[[#This Row],[Reciclajes]])/1.1)+Tabla15[[#This Row],[Tickets]]</f>
        <v>3065.7454545454539</v>
      </c>
      <c r="Q154" s="445">
        <v>0</v>
      </c>
      <c r="R154" s="445">
        <f t="shared" si="6"/>
        <v>2.5344569910328796E-2</v>
      </c>
      <c r="S154" s="446"/>
      <c r="T154" s="447">
        <v>1291.6300000000001</v>
      </c>
      <c r="U154" s="447">
        <f>Tabla15[[#This Row],[Total Caja]]-Tabla15[[#This Row],[Facturació A/A]]</f>
        <v>1774.1154545454538</v>
      </c>
      <c r="V154" s="447">
        <f t="shared" si="7"/>
        <v>4558.4309090909028</v>
      </c>
      <c r="W154" s="450">
        <f>Tabla15[[#This Row],[Diferencia]]/Tabla15[[#This Row],[Facturació A/A]]</f>
        <v>1.3735477300352683</v>
      </c>
      <c r="X154" s="447">
        <f>Tabla15[[#This Row],[Facturació A/A]]*H$17+Tabla15[[#This Row],[Facturació A/A]]</f>
        <v>1330.3789000000002</v>
      </c>
      <c r="Y154" s="447">
        <f>Tabla15[[#This Row],[Total Caja]]-Tabla15[[#This Row],[Previsión]]</f>
        <v>1735.3665545454537</v>
      </c>
      <c r="Z154" s="446"/>
      <c r="AA154" s="447">
        <f>SUM(INDEX(Tabla15[[#This Row],[Facturació A/A]],1):Tabla15[[#This Row],[Facturació A/A]]) / SUM(INDEX(Tabla15[[#This Row],[Diferencia]],1):Tabla15[[#This Row],[Diferencia]])</f>
        <v>0.72804168223140175</v>
      </c>
      <c r="AB154" s="446"/>
      <c r="AC154" s="427"/>
      <c r="AD154" s="427"/>
      <c r="AE154" s="427"/>
      <c r="AF154" s="427"/>
      <c r="AG154" s="427"/>
      <c r="AH154" s="427"/>
      <c r="AI154" s="427"/>
      <c r="AJ154" s="427"/>
      <c r="AK154" s="427"/>
      <c r="AL154" s="427"/>
      <c r="AM154" s="427"/>
      <c r="AN154" s="427"/>
      <c r="AO154" s="427"/>
      <c r="AP154" s="427"/>
      <c r="AQ154" s="427"/>
    </row>
    <row r="155" spans="1:43" ht="16" customHeight="1">
      <c r="A155" s="427"/>
      <c r="B155" s="427"/>
      <c r="C155" s="428">
        <v>122</v>
      </c>
      <c r="D155" s="456">
        <v>46144</v>
      </c>
      <c r="E155" s="959"/>
      <c r="F155" s="958">
        <f>Tabla15[[#This Row],[Retiros]]-Tabla15[[#This Row],[Contado]]</f>
        <v>0</v>
      </c>
      <c r="G155" s="959"/>
      <c r="H155" s="959"/>
      <c r="I155" s="959"/>
      <c r="J155" s="959"/>
      <c r="K155" s="958"/>
      <c r="L155" s="958"/>
      <c r="M155" s="959"/>
      <c r="N155" s="959">
        <f>Tabla15[[#This Row],[Contado]]</f>
        <v>0</v>
      </c>
      <c r="O155" s="959"/>
      <c r="P155" s="443">
        <f>((Tabla15[[#This Row],[Contado]]+Tabla15[[#This Row],[Visa]]+Tabla15[[#This Row],[Eventos]]+Tabla15[[#This Row],[Passo]]+Tabla15[[#This Row],[Reciclajes]])/1.1)+Tabla15[[#This Row],[Tickets]]</f>
        <v>0</v>
      </c>
      <c r="Q155" s="445">
        <v>0</v>
      </c>
      <c r="R155" s="445">
        <f t="shared" si="6"/>
        <v>0</v>
      </c>
      <c r="S155" s="446"/>
      <c r="T155" s="447">
        <v>2091.9299999999998</v>
      </c>
      <c r="U155" s="447">
        <f>Tabla15[[#This Row],[Total Caja]]-Tabla15[[#This Row],[Facturació A/A]]</f>
        <v>-2091.9299999999998</v>
      </c>
      <c r="V155" s="447">
        <f t="shared" si="7"/>
        <v>2466.500909090903</v>
      </c>
      <c r="W155" s="450">
        <f>Tabla15[[#This Row],[Diferencia]]/Tabla15[[#This Row],[Facturació A/A]]</f>
        <v>-1</v>
      </c>
      <c r="X155" s="447">
        <f>Tabla15[[#This Row],[Facturació A/A]]*H$17+Tabla15[[#This Row],[Facturació A/A]]</f>
        <v>2154.6878999999999</v>
      </c>
      <c r="Y155" s="447">
        <f>Tabla15[[#This Row],[Total Caja]]-Tabla15[[#This Row],[Previsión]]</f>
        <v>-2154.6878999999999</v>
      </c>
      <c r="Z155" s="446"/>
      <c r="AA155" s="447">
        <f>SUM(INDEX(Tabla15[[#This Row],[Facturació A/A]],1):Tabla15[[#This Row],[Facturació A/A]]) / SUM(INDEX(Tabla15[[#This Row],[Diferencia]],1):Tabla15[[#This Row],[Diferencia]])</f>
        <v>-1</v>
      </c>
      <c r="AB155" s="446"/>
      <c r="AC155" s="427"/>
      <c r="AD155" s="427"/>
      <c r="AE155" s="427"/>
      <c r="AF155" s="427"/>
      <c r="AG155" s="427"/>
      <c r="AH155" s="427"/>
      <c r="AI155" s="427"/>
      <c r="AJ155" s="427"/>
      <c r="AK155" s="427"/>
      <c r="AL155" s="427"/>
      <c r="AM155" s="427"/>
      <c r="AN155" s="427"/>
      <c r="AO155" s="427"/>
      <c r="AP155" s="427"/>
      <c r="AQ155" s="427"/>
    </row>
    <row r="156" spans="1:43" ht="16" customHeight="1">
      <c r="A156" s="427"/>
      <c r="B156" s="427"/>
      <c r="C156" s="428">
        <v>123</v>
      </c>
      <c r="D156" s="456">
        <v>46145</v>
      </c>
      <c r="E156" s="959"/>
      <c r="F156" s="958">
        <f>Tabla15[[#This Row],[Retiros]]-Tabla15[[#This Row],[Contado]]</f>
        <v>0</v>
      </c>
      <c r="G156" s="959"/>
      <c r="H156" s="959"/>
      <c r="I156" s="959"/>
      <c r="J156" s="959"/>
      <c r="K156" s="958"/>
      <c r="L156" s="958"/>
      <c r="M156" s="959"/>
      <c r="N156" s="959">
        <f>Tabla15[[#This Row],[Contado]]</f>
        <v>0</v>
      </c>
      <c r="O156" s="959"/>
      <c r="P156" s="443">
        <f>((Tabla15[[#This Row],[Contado]]+Tabla15[[#This Row],[Visa]]+Tabla15[[#This Row],[Eventos]]+Tabla15[[#This Row],[Passo]]+Tabla15[[#This Row],[Reciclajes]])/1.1)+Tabla15[[#This Row],[Tickets]]</f>
        <v>0</v>
      </c>
      <c r="Q156" s="445">
        <v>0</v>
      </c>
      <c r="R156" s="445">
        <f t="shared" si="6"/>
        <v>0</v>
      </c>
      <c r="S156" s="446"/>
      <c r="T156" s="447">
        <v>1222.3599999999999</v>
      </c>
      <c r="U156" s="447">
        <f>Tabla15[[#This Row],[Total Caja]]-Tabla15[[#This Row],[Facturació A/A]]</f>
        <v>-1222.3599999999999</v>
      </c>
      <c r="V156" s="447">
        <f t="shared" si="7"/>
        <v>1244.1409090909031</v>
      </c>
      <c r="W156" s="450">
        <f>Tabla15[[#This Row],[Diferencia]]/Tabla15[[#This Row],[Facturació A/A]]</f>
        <v>-1</v>
      </c>
      <c r="X156" s="447">
        <f>Tabla15[[#This Row],[Facturació A/A]]*H$17+Tabla15[[#This Row],[Facturació A/A]]</f>
        <v>1259.0308</v>
      </c>
      <c r="Y156" s="447">
        <f>Tabla15[[#This Row],[Total Caja]]-Tabla15[[#This Row],[Previsión]]</f>
        <v>-1259.0308</v>
      </c>
      <c r="Z156" s="446"/>
      <c r="AA156" s="447">
        <f>SUM(INDEX(Tabla15[[#This Row],[Facturació A/A]],1):Tabla15[[#This Row],[Facturació A/A]]) / SUM(INDEX(Tabla15[[#This Row],[Diferencia]],1):Tabla15[[#This Row],[Diferencia]])</f>
        <v>-1</v>
      </c>
      <c r="AB156" s="446"/>
      <c r="AC156" s="427"/>
      <c r="AD156" s="427"/>
      <c r="AE156" s="427"/>
      <c r="AF156" s="427"/>
      <c r="AG156" s="427"/>
      <c r="AH156" s="427"/>
      <c r="AI156" s="427"/>
      <c r="AJ156" s="427"/>
      <c r="AK156" s="427"/>
      <c r="AL156" s="427"/>
      <c r="AM156" s="427"/>
      <c r="AN156" s="427"/>
      <c r="AO156" s="427"/>
      <c r="AP156" s="427"/>
      <c r="AQ156" s="427"/>
    </row>
    <row r="157" spans="1:43" ht="16" customHeight="1">
      <c r="A157" s="427"/>
      <c r="B157" s="427"/>
      <c r="C157" s="428">
        <v>124</v>
      </c>
      <c r="D157" s="456">
        <v>46146</v>
      </c>
      <c r="E157" s="959"/>
      <c r="F157" s="958">
        <f>Tabla15[[#This Row],[Retiros]]-Tabla15[[#This Row],[Contado]]</f>
        <v>0</v>
      </c>
      <c r="G157" s="959"/>
      <c r="H157" s="959"/>
      <c r="I157" s="959"/>
      <c r="J157" s="959"/>
      <c r="K157" s="958"/>
      <c r="L157" s="958"/>
      <c r="M157" s="959"/>
      <c r="N157" s="959">
        <f>Tabla15[[#This Row],[Contado]]</f>
        <v>0</v>
      </c>
      <c r="O157" s="959"/>
      <c r="P157" s="443">
        <f>((Tabla15[[#This Row],[Contado]]+Tabla15[[#This Row],[Visa]]+Tabla15[[#This Row],[Eventos]]+Tabla15[[#This Row],[Passo]]+Tabla15[[#This Row],[Reciclajes]])/1.1)+Tabla15[[#This Row],[Tickets]]</f>
        <v>0</v>
      </c>
      <c r="Q157" s="445">
        <v>0</v>
      </c>
      <c r="R157" s="445">
        <f t="shared" si="6"/>
        <v>0</v>
      </c>
      <c r="S157" s="446"/>
      <c r="T157" s="447">
        <v>0</v>
      </c>
      <c r="U157" s="447">
        <f>Tabla15[[#This Row],[Total Caja]]-Tabla15[[#This Row],[Facturació A/A]]</f>
        <v>0</v>
      </c>
      <c r="V157" s="447">
        <f t="shared" si="7"/>
        <v>1244.1409090909031</v>
      </c>
      <c r="W157" s="450" t="e">
        <f>Tabla15[[#This Row],[Diferencia]]/Tabla15[[#This Row],[Facturació A/A]]</f>
        <v>#DIV/0!</v>
      </c>
      <c r="X157" s="447">
        <f>Tabla15[[#This Row],[Facturació A/A]]*H$17+Tabla15[[#This Row],[Facturació A/A]]</f>
        <v>0</v>
      </c>
      <c r="Y157" s="447">
        <f>Tabla15[[#This Row],[Total Caja]]-Tabla15[[#This Row],[Previsión]]</f>
        <v>0</v>
      </c>
      <c r="Z157" s="446"/>
      <c r="AA157" s="447" t="e">
        <f>SUM(INDEX(Tabla15[[#This Row],[Facturació A/A]],1):Tabla15[[#This Row],[Facturació A/A]]) / SUM(INDEX(Tabla15[[#This Row],[Diferencia]],1):Tabla15[[#This Row],[Diferencia]])</f>
        <v>#DIV/0!</v>
      </c>
      <c r="AB157" s="446"/>
      <c r="AC157" s="427"/>
      <c r="AD157" s="427"/>
      <c r="AE157" s="427"/>
      <c r="AF157" s="427"/>
      <c r="AG157" s="427"/>
      <c r="AH157" s="427"/>
      <c r="AI157" s="427"/>
      <c r="AJ157" s="427"/>
      <c r="AK157" s="427"/>
      <c r="AL157" s="427"/>
      <c r="AM157" s="427"/>
      <c r="AN157" s="427"/>
      <c r="AO157" s="427"/>
      <c r="AP157" s="427"/>
      <c r="AQ157" s="427"/>
    </row>
    <row r="158" spans="1:43" ht="16" customHeight="1">
      <c r="A158" s="427"/>
      <c r="B158" s="427"/>
      <c r="C158" s="428">
        <v>125</v>
      </c>
      <c r="D158" s="456">
        <v>46147</v>
      </c>
      <c r="E158" s="959"/>
      <c r="F158" s="958">
        <f>Tabla15[[#This Row],[Retiros]]-Tabla15[[#This Row],[Contado]]</f>
        <v>0</v>
      </c>
      <c r="G158" s="959"/>
      <c r="H158" s="959"/>
      <c r="I158" s="959"/>
      <c r="J158" s="959"/>
      <c r="K158" s="958"/>
      <c r="L158" s="958"/>
      <c r="M158" s="959"/>
      <c r="N158" s="959">
        <f>Tabla15[[#This Row],[Contado]]</f>
        <v>0</v>
      </c>
      <c r="O158" s="959"/>
      <c r="P158" s="443">
        <f>((Tabla15[[#This Row],[Contado]]+Tabla15[[#This Row],[Visa]]+Tabla15[[#This Row],[Eventos]]+Tabla15[[#This Row],[Passo]]+Tabla15[[#This Row],[Reciclajes]])/1.1)+Tabla15[[#This Row],[Tickets]]</f>
        <v>0</v>
      </c>
      <c r="Q158" s="445">
        <v>0</v>
      </c>
      <c r="R158" s="445">
        <f t="shared" si="6"/>
        <v>0</v>
      </c>
      <c r="S158" s="446"/>
      <c r="T158" s="447">
        <v>0</v>
      </c>
      <c r="U158" s="447">
        <f>Tabla15[[#This Row],[Total Caja]]-Tabla15[[#This Row],[Facturació A/A]]</f>
        <v>0</v>
      </c>
      <c r="V158" s="447">
        <f t="shared" si="7"/>
        <v>1244.1409090909031</v>
      </c>
      <c r="W158" s="450" t="e">
        <f>Tabla15[[#This Row],[Diferencia]]/Tabla15[[#This Row],[Facturació A/A]]</f>
        <v>#DIV/0!</v>
      </c>
      <c r="X158" s="447">
        <f>Tabla15[[#This Row],[Facturació A/A]]*H$17+Tabla15[[#This Row],[Facturació A/A]]</f>
        <v>0</v>
      </c>
      <c r="Y158" s="447">
        <f>Tabla15[[#This Row],[Total Caja]]-Tabla15[[#This Row],[Previsión]]</f>
        <v>0</v>
      </c>
      <c r="Z158" s="446"/>
      <c r="AA158" s="447" t="e">
        <f>SUM(INDEX(Tabla15[[#This Row],[Facturació A/A]],1):Tabla15[[#This Row],[Facturació A/A]]) / SUM(INDEX(Tabla15[[#This Row],[Diferencia]],1):Tabla15[[#This Row],[Diferencia]])</f>
        <v>#DIV/0!</v>
      </c>
      <c r="AB158" s="446"/>
      <c r="AC158" s="427"/>
      <c r="AD158" s="427"/>
      <c r="AE158" s="427"/>
      <c r="AF158" s="427"/>
      <c r="AG158" s="427"/>
      <c r="AH158" s="427"/>
      <c r="AI158" s="427"/>
      <c r="AJ158" s="427"/>
      <c r="AK158" s="427"/>
      <c r="AL158" s="427"/>
      <c r="AM158" s="427"/>
      <c r="AN158" s="427"/>
      <c r="AO158" s="427"/>
      <c r="AP158" s="427"/>
      <c r="AQ158" s="427"/>
    </row>
    <row r="159" spans="1:43" ht="16" customHeight="1">
      <c r="A159" s="427"/>
      <c r="B159" s="427"/>
      <c r="C159" s="428">
        <v>126</v>
      </c>
      <c r="D159" s="456">
        <v>46148</v>
      </c>
      <c r="E159" s="959"/>
      <c r="F159" s="958">
        <f>Tabla15[[#This Row],[Retiros]]-Tabla15[[#This Row],[Contado]]</f>
        <v>0</v>
      </c>
      <c r="G159" s="959"/>
      <c r="H159" s="959"/>
      <c r="I159" s="959"/>
      <c r="J159" s="959"/>
      <c r="K159" s="958"/>
      <c r="L159" s="958"/>
      <c r="M159" s="959"/>
      <c r="N159" s="959">
        <f>Tabla15[[#This Row],[Contado]]</f>
        <v>0</v>
      </c>
      <c r="O159" s="959"/>
      <c r="P159" s="443">
        <f>((Tabla15[[#This Row],[Contado]]+Tabla15[[#This Row],[Visa]]+Tabla15[[#This Row],[Eventos]]+Tabla15[[#This Row],[Passo]]+Tabla15[[#This Row],[Reciclajes]])/1.1)+Tabla15[[#This Row],[Tickets]]</f>
        <v>0</v>
      </c>
      <c r="Q159" s="445">
        <v>0</v>
      </c>
      <c r="R159" s="445">
        <f t="shared" si="6"/>
        <v>0</v>
      </c>
      <c r="S159" s="446"/>
      <c r="T159" s="447">
        <v>372.08</v>
      </c>
      <c r="U159" s="447">
        <f>Tabla15[[#This Row],[Total Caja]]-Tabla15[[#This Row],[Facturació A/A]]</f>
        <v>-372.08</v>
      </c>
      <c r="V159" s="447">
        <f t="shared" si="7"/>
        <v>872.06090909090312</v>
      </c>
      <c r="W159" s="450">
        <f>Tabla15[[#This Row],[Diferencia]]/Tabla15[[#This Row],[Facturació A/A]]</f>
        <v>-1</v>
      </c>
      <c r="X159" s="447">
        <f>Tabla15[[#This Row],[Facturació A/A]]*H$17+Tabla15[[#This Row],[Facturació A/A]]</f>
        <v>383.24239999999998</v>
      </c>
      <c r="Y159" s="447">
        <f>Tabla15[[#This Row],[Total Caja]]-Tabla15[[#This Row],[Previsión]]</f>
        <v>-383.24239999999998</v>
      </c>
      <c r="Z159" s="446"/>
      <c r="AA159" s="447">
        <f>SUM(INDEX(Tabla15[[#This Row],[Facturació A/A]],1):Tabla15[[#This Row],[Facturació A/A]]) / SUM(INDEX(Tabla15[[#This Row],[Diferencia]],1):Tabla15[[#This Row],[Diferencia]])</f>
        <v>-1</v>
      </c>
      <c r="AB159" s="446"/>
      <c r="AC159" s="427"/>
      <c r="AD159" s="427"/>
      <c r="AE159" s="427"/>
      <c r="AF159" s="427"/>
      <c r="AG159" s="427"/>
      <c r="AH159" s="427"/>
      <c r="AI159" s="427"/>
      <c r="AJ159" s="427"/>
      <c r="AK159" s="427"/>
      <c r="AL159" s="427"/>
      <c r="AM159" s="427"/>
      <c r="AN159" s="427"/>
      <c r="AO159" s="427"/>
      <c r="AP159" s="427"/>
      <c r="AQ159" s="427"/>
    </row>
    <row r="160" spans="1:43" ht="16" customHeight="1">
      <c r="A160" s="427"/>
      <c r="B160" s="427"/>
      <c r="C160" s="428">
        <v>127</v>
      </c>
      <c r="D160" s="456">
        <v>46149</v>
      </c>
      <c r="E160" s="959"/>
      <c r="F160" s="958">
        <f>Tabla15[[#This Row],[Retiros]]-Tabla15[[#This Row],[Contado]]</f>
        <v>0</v>
      </c>
      <c r="G160" s="959"/>
      <c r="H160" s="959"/>
      <c r="I160" s="959"/>
      <c r="J160" s="959"/>
      <c r="K160" s="958"/>
      <c r="L160" s="958"/>
      <c r="M160" s="959"/>
      <c r="N160" s="959">
        <f>Tabla15[[#This Row],[Contado]]</f>
        <v>0</v>
      </c>
      <c r="O160" s="959"/>
      <c r="P160" s="443">
        <f>((Tabla15[[#This Row],[Contado]]+Tabla15[[#This Row],[Visa]]+Tabla15[[#This Row],[Eventos]]+Tabla15[[#This Row],[Passo]]+Tabla15[[#This Row],[Reciclajes]])/1.1)+Tabla15[[#This Row],[Tickets]]</f>
        <v>0</v>
      </c>
      <c r="Q160" s="445">
        <v>0</v>
      </c>
      <c r="R160" s="445">
        <f t="shared" si="6"/>
        <v>0</v>
      </c>
      <c r="S160" s="446"/>
      <c r="T160" s="447">
        <v>451.41</v>
      </c>
      <c r="U160" s="447">
        <f>Tabla15[[#This Row],[Total Caja]]-Tabla15[[#This Row],[Facturació A/A]]</f>
        <v>-451.41</v>
      </c>
      <c r="V160" s="447">
        <f t="shared" si="7"/>
        <v>420.6509090909031</v>
      </c>
      <c r="W160" s="450">
        <f>Tabla15[[#This Row],[Diferencia]]/Tabla15[[#This Row],[Facturació A/A]]</f>
        <v>-1</v>
      </c>
      <c r="X160" s="447">
        <f>Tabla15[[#This Row],[Facturació A/A]]*H$17+Tabla15[[#This Row],[Facturació A/A]]</f>
        <v>464.95230000000004</v>
      </c>
      <c r="Y160" s="447">
        <f>Tabla15[[#This Row],[Total Caja]]-Tabla15[[#This Row],[Previsión]]</f>
        <v>-464.95230000000004</v>
      </c>
      <c r="Z160" s="446"/>
      <c r="AA160" s="447">
        <f>SUM(INDEX(Tabla15[[#This Row],[Facturació A/A]],1):Tabla15[[#This Row],[Facturació A/A]]) / SUM(INDEX(Tabla15[[#This Row],[Diferencia]],1):Tabla15[[#This Row],[Diferencia]])</f>
        <v>-1</v>
      </c>
      <c r="AB160" s="446"/>
      <c r="AC160" s="427"/>
      <c r="AD160" s="427"/>
      <c r="AE160" s="427"/>
      <c r="AF160" s="427"/>
      <c r="AG160" s="427"/>
      <c r="AH160" s="427"/>
      <c r="AI160" s="427"/>
      <c r="AJ160" s="427"/>
      <c r="AK160" s="427"/>
      <c r="AL160" s="427"/>
      <c r="AM160" s="427"/>
      <c r="AN160" s="427"/>
      <c r="AO160" s="427"/>
      <c r="AP160" s="427"/>
      <c r="AQ160" s="427"/>
    </row>
    <row r="161" spans="1:43" ht="16" customHeight="1">
      <c r="A161" s="427"/>
      <c r="B161" s="427"/>
      <c r="C161" s="428">
        <v>128</v>
      </c>
      <c r="D161" s="456">
        <v>46150</v>
      </c>
      <c r="E161" s="959"/>
      <c r="F161" s="958">
        <f>Tabla15[[#This Row],[Retiros]]-Tabla15[[#This Row],[Contado]]</f>
        <v>0</v>
      </c>
      <c r="G161" s="959"/>
      <c r="H161" s="959"/>
      <c r="I161" s="959"/>
      <c r="J161" s="959"/>
      <c r="K161" s="958"/>
      <c r="L161" s="958"/>
      <c r="M161" s="959"/>
      <c r="N161" s="959">
        <f>Tabla15[[#This Row],[Contado]]</f>
        <v>0</v>
      </c>
      <c r="O161" s="959"/>
      <c r="P161" s="443">
        <f>((Tabla15[[#This Row],[Contado]]+Tabla15[[#This Row],[Visa]]+Tabla15[[#This Row],[Eventos]]+Tabla15[[#This Row],[Passo]]+Tabla15[[#This Row],[Reciclajes]])/1.1)+Tabla15[[#This Row],[Tickets]]</f>
        <v>0</v>
      </c>
      <c r="Q161" s="445">
        <v>0</v>
      </c>
      <c r="R161" s="445">
        <f t="shared" si="6"/>
        <v>0</v>
      </c>
      <c r="S161" s="446"/>
      <c r="T161" s="447">
        <v>1565.5</v>
      </c>
      <c r="U161" s="447">
        <f>Tabla15[[#This Row],[Total Caja]]-Tabla15[[#This Row],[Facturació A/A]]</f>
        <v>-1565.5</v>
      </c>
      <c r="V161" s="447">
        <f t="shared" si="7"/>
        <v>-1144.849090909097</v>
      </c>
      <c r="W161" s="450">
        <f>Tabla15[[#This Row],[Diferencia]]/Tabla15[[#This Row],[Facturació A/A]]</f>
        <v>-1</v>
      </c>
      <c r="X161" s="447">
        <f>Tabla15[[#This Row],[Facturació A/A]]*H$17+Tabla15[[#This Row],[Facturació A/A]]</f>
        <v>1612.4649999999999</v>
      </c>
      <c r="Y161" s="447">
        <f>Tabla15[[#This Row],[Total Caja]]-Tabla15[[#This Row],[Previsión]]</f>
        <v>-1612.4649999999999</v>
      </c>
      <c r="Z161" s="446"/>
      <c r="AA161" s="447">
        <f>SUM(INDEX(Tabla15[[#This Row],[Facturació A/A]],1):Tabla15[[#This Row],[Facturació A/A]]) / SUM(INDEX(Tabla15[[#This Row],[Diferencia]],1):Tabla15[[#This Row],[Diferencia]])</f>
        <v>-1</v>
      </c>
      <c r="AB161" s="446"/>
      <c r="AC161" s="427"/>
      <c r="AD161" s="427"/>
      <c r="AE161" s="427"/>
      <c r="AF161" s="427"/>
      <c r="AG161" s="427"/>
      <c r="AH161" s="427"/>
      <c r="AI161" s="427"/>
      <c r="AJ161" s="427"/>
      <c r="AK161" s="427"/>
      <c r="AL161" s="427"/>
      <c r="AM161" s="427"/>
      <c r="AN161" s="427"/>
      <c r="AO161" s="427"/>
      <c r="AP161" s="427"/>
      <c r="AQ161" s="427"/>
    </row>
    <row r="162" spans="1:43" ht="16" customHeight="1">
      <c r="A162" s="427"/>
      <c r="B162" s="427"/>
      <c r="C162" s="428">
        <v>129</v>
      </c>
      <c r="D162" s="456">
        <v>46151</v>
      </c>
      <c r="E162" s="959"/>
      <c r="F162" s="958">
        <f>Tabla15[[#This Row],[Retiros]]-Tabla15[[#This Row],[Contado]]</f>
        <v>0</v>
      </c>
      <c r="G162" s="959"/>
      <c r="H162" s="959"/>
      <c r="I162" s="959"/>
      <c r="J162" s="959"/>
      <c r="K162" s="958"/>
      <c r="L162" s="958"/>
      <c r="M162" s="959"/>
      <c r="N162" s="959">
        <f>Tabla15[[#This Row],[Contado]]</f>
        <v>0</v>
      </c>
      <c r="O162" s="959"/>
      <c r="P162" s="443">
        <f>((Tabla15[[#This Row],[Contado]]+Tabla15[[#This Row],[Visa]]+Tabla15[[#This Row],[Eventos]]+Tabla15[[#This Row],[Passo]]+Tabla15[[#This Row],[Reciclajes]])/1.1)+Tabla15[[#This Row],[Tickets]]</f>
        <v>0</v>
      </c>
      <c r="Q162" s="445">
        <v>0</v>
      </c>
      <c r="R162" s="445">
        <f t="shared" ref="R162:R225" si="8">IFERROR(F162/P162,0)</f>
        <v>0</v>
      </c>
      <c r="S162" s="446"/>
      <c r="T162" s="447">
        <v>1378.34</v>
      </c>
      <c r="U162" s="447">
        <f>Tabla15[[#This Row],[Total Caja]]-Tabla15[[#This Row],[Facturació A/A]]</f>
        <v>-1378.34</v>
      </c>
      <c r="V162" s="447">
        <f t="shared" si="7"/>
        <v>-2523.1890909090971</v>
      </c>
      <c r="W162" s="450">
        <f>Tabla15[[#This Row],[Diferencia]]/Tabla15[[#This Row],[Facturació A/A]]</f>
        <v>-1</v>
      </c>
      <c r="X162" s="447">
        <f>Tabla15[[#This Row],[Facturació A/A]]*H$17+Tabla15[[#This Row],[Facturació A/A]]</f>
        <v>1419.6902</v>
      </c>
      <c r="Y162" s="447">
        <f>Tabla15[[#This Row],[Total Caja]]-Tabla15[[#This Row],[Previsión]]</f>
        <v>-1419.6902</v>
      </c>
      <c r="Z162" s="446"/>
      <c r="AA162" s="447">
        <f>SUM(INDEX(Tabla15[[#This Row],[Facturació A/A]],1):Tabla15[[#This Row],[Facturació A/A]]) / SUM(INDEX(Tabla15[[#This Row],[Diferencia]],1):Tabla15[[#This Row],[Diferencia]])</f>
        <v>-1</v>
      </c>
      <c r="AB162" s="446"/>
      <c r="AC162" s="427"/>
      <c r="AD162" s="427"/>
      <c r="AE162" s="427"/>
      <c r="AF162" s="427"/>
      <c r="AG162" s="427"/>
      <c r="AH162" s="427"/>
      <c r="AI162" s="427"/>
      <c r="AJ162" s="427"/>
      <c r="AK162" s="427"/>
      <c r="AL162" s="427"/>
      <c r="AM162" s="427"/>
      <c r="AN162" s="427"/>
      <c r="AO162" s="427"/>
      <c r="AP162" s="427"/>
      <c r="AQ162" s="427"/>
    </row>
    <row r="163" spans="1:43" ht="16" customHeight="1">
      <c r="A163" s="427"/>
      <c r="B163" s="427"/>
      <c r="C163" s="428">
        <v>130</v>
      </c>
      <c r="D163" s="456">
        <v>46152</v>
      </c>
      <c r="E163" s="959"/>
      <c r="F163" s="958">
        <f>Tabla15[[#This Row],[Retiros]]-Tabla15[[#This Row],[Contado]]</f>
        <v>0</v>
      </c>
      <c r="G163" s="959"/>
      <c r="H163" s="959"/>
      <c r="I163" s="959"/>
      <c r="J163" s="959"/>
      <c r="K163" s="958"/>
      <c r="L163" s="958"/>
      <c r="M163" s="959"/>
      <c r="N163" s="959">
        <f>Tabla15[[#This Row],[Contado]]</f>
        <v>0</v>
      </c>
      <c r="O163" s="959"/>
      <c r="P163" s="443">
        <f>((Tabla15[[#This Row],[Contado]]+Tabla15[[#This Row],[Visa]]+Tabla15[[#This Row],[Eventos]]+Tabla15[[#This Row],[Passo]]+Tabla15[[#This Row],[Reciclajes]])/1.1)+Tabla15[[#This Row],[Tickets]]</f>
        <v>0</v>
      </c>
      <c r="Q163" s="445">
        <v>0</v>
      </c>
      <c r="R163" s="445">
        <f t="shared" si="8"/>
        <v>0</v>
      </c>
      <c r="S163" s="446"/>
      <c r="T163" s="447">
        <v>1092.43</v>
      </c>
      <c r="U163" s="447">
        <f>Tabla15[[#This Row],[Total Caja]]-Tabla15[[#This Row],[Facturació A/A]]</f>
        <v>-1092.43</v>
      </c>
      <c r="V163" s="447">
        <f t="shared" ref="V163:V226" si="9">U163+V162</f>
        <v>-3615.6190909090974</v>
      </c>
      <c r="W163" s="450">
        <f>Tabla15[[#This Row],[Diferencia]]/Tabla15[[#This Row],[Facturació A/A]]</f>
        <v>-1</v>
      </c>
      <c r="X163" s="447">
        <f>Tabla15[[#This Row],[Facturació A/A]]*H$17+Tabla15[[#This Row],[Facturació A/A]]</f>
        <v>1125.2029</v>
      </c>
      <c r="Y163" s="447">
        <f>Tabla15[[#This Row],[Total Caja]]-Tabla15[[#This Row],[Previsión]]</f>
        <v>-1125.2029</v>
      </c>
      <c r="Z163" s="446"/>
      <c r="AA163" s="447">
        <f>SUM(INDEX(Tabla15[[#This Row],[Facturació A/A]],1):Tabla15[[#This Row],[Facturació A/A]]) / SUM(INDEX(Tabla15[[#This Row],[Diferencia]],1):Tabla15[[#This Row],[Diferencia]])</f>
        <v>-1</v>
      </c>
      <c r="AB163" s="446"/>
      <c r="AC163" s="427"/>
      <c r="AD163" s="427"/>
      <c r="AE163" s="427"/>
      <c r="AF163" s="427"/>
      <c r="AG163" s="427"/>
      <c r="AH163" s="427"/>
      <c r="AI163" s="427"/>
      <c r="AJ163" s="427"/>
      <c r="AK163" s="427"/>
      <c r="AL163" s="427"/>
      <c r="AM163" s="427"/>
      <c r="AN163" s="427"/>
      <c r="AO163" s="427"/>
      <c r="AP163" s="427"/>
      <c r="AQ163" s="427"/>
    </row>
    <row r="164" spans="1:43" ht="16" customHeight="1">
      <c r="A164" s="427"/>
      <c r="B164" s="427"/>
      <c r="C164" s="428">
        <v>131</v>
      </c>
      <c r="D164" s="456">
        <v>46153</v>
      </c>
      <c r="E164" s="959"/>
      <c r="F164" s="958">
        <f>Tabla15[[#This Row],[Retiros]]-Tabla15[[#This Row],[Contado]]</f>
        <v>0</v>
      </c>
      <c r="G164" s="967"/>
      <c r="H164" s="959"/>
      <c r="I164" s="959"/>
      <c r="J164" s="959"/>
      <c r="K164" s="958"/>
      <c r="L164" s="958"/>
      <c r="M164" s="959"/>
      <c r="N164" s="959">
        <f>Tabla15[[#This Row],[Contado]]</f>
        <v>0</v>
      </c>
      <c r="O164" s="959"/>
      <c r="P164" s="443">
        <f>((Tabla15[[#This Row],[Contado]]+Tabla15[[#This Row],[Visa]]+Tabla15[[#This Row],[Eventos]]+Tabla15[[#This Row],[Passo]]+Tabla15[[#This Row],[Reciclajes]])/1.1)+Tabla15[[#This Row],[Tickets]]</f>
        <v>0</v>
      </c>
      <c r="Q164" s="445">
        <v>0</v>
      </c>
      <c r="R164" s="445">
        <f t="shared" si="8"/>
        <v>0</v>
      </c>
      <c r="S164" s="446"/>
      <c r="T164" s="447">
        <v>0</v>
      </c>
      <c r="U164" s="447">
        <f>Tabla15[[#This Row],[Total Caja]]-Tabla15[[#This Row],[Facturació A/A]]</f>
        <v>0</v>
      </c>
      <c r="V164" s="447">
        <f t="shared" si="9"/>
        <v>-3615.6190909090974</v>
      </c>
      <c r="W164" s="450" t="e">
        <f>Tabla15[[#This Row],[Diferencia]]/Tabla15[[#This Row],[Facturació A/A]]</f>
        <v>#DIV/0!</v>
      </c>
      <c r="X164" s="447">
        <f>Tabla15[[#This Row],[Facturació A/A]]*H$17+Tabla15[[#This Row],[Facturació A/A]]</f>
        <v>0</v>
      </c>
      <c r="Y164" s="447">
        <f>Tabla15[[#This Row],[Total Caja]]-Tabla15[[#This Row],[Previsión]]</f>
        <v>0</v>
      </c>
      <c r="Z164" s="446"/>
      <c r="AA164" s="447" t="e">
        <f>SUM(INDEX(Tabla15[[#This Row],[Facturació A/A]],1):Tabla15[[#This Row],[Facturació A/A]]) / SUM(INDEX(Tabla15[[#This Row],[Diferencia]],1):Tabla15[[#This Row],[Diferencia]])</f>
        <v>#DIV/0!</v>
      </c>
      <c r="AB164" s="446"/>
      <c r="AC164" s="427"/>
      <c r="AD164" s="427"/>
      <c r="AE164" s="427"/>
      <c r="AF164" s="427"/>
      <c r="AG164" s="427"/>
      <c r="AH164" s="427"/>
      <c r="AI164" s="427"/>
      <c r="AJ164" s="427"/>
      <c r="AK164" s="427"/>
      <c r="AL164" s="427"/>
      <c r="AM164" s="427"/>
      <c r="AN164" s="427"/>
      <c r="AO164" s="427"/>
      <c r="AP164" s="427"/>
      <c r="AQ164" s="427"/>
    </row>
    <row r="165" spans="1:43" ht="16" customHeight="1">
      <c r="A165" s="427"/>
      <c r="B165" s="427"/>
      <c r="C165" s="428">
        <v>132</v>
      </c>
      <c r="D165" s="456">
        <v>46154</v>
      </c>
      <c r="E165" s="959"/>
      <c r="F165" s="958">
        <f>Tabla15[[#This Row],[Retiros]]-Tabla15[[#This Row],[Contado]]</f>
        <v>0</v>
      </c>
      <c r="G165" s="959"/>
      <c r="H165" s="959"/>
      <c r="I165" s="959"/>
      <c r="J165" s="959"/>
      <c r="K165" s="958"/>
      <c r="L165" s="958"/>
      <c r="M165" s="959"/>
      <c r="N165" s="959">
        <f>Tabla15[[#This Row],[Contado]]</f>
        <v>0</v>
      </c>
      <c r="O165" s="959"/>
      <c r="P165" s="443">
        <f>((Tabla15[[#This Row],[Contado]]+Tabla15[[#This Row],[Visa]]+Tabla15[[#This Row],[Eventos]]+Tabla15[[#This Row],[Passo]]+Tabla15[[#This Row],[Reciclajes]])/1.1)+Tabla15[[#This Row],[Tickets]]</f>
        <v>0</v>
      </c>
      <c r="Q165" s="445">
        <v>0</v>
      </c>
      <c r="R165" s="445">
        <f t="shared" si="8"/>
        <v>0</v>
      </c>
      <c r="S165" s="446"/>
      <c r="T165" s="447">
        <v>0</v>
      </c>
      <c r="U165" s="447">
        <f>Tabla15[[#This Row],[Total Caja]]-Tabla15[[#This Row],[Facturació A/A]]</f>
        <v>0</v>
      </c>
      <c r="V165" s="447">
        <f t="shared" si="9"/>
        <v>-3615.6190909090974</v>
      </c>
      <c r="W165" s="450" t="e">
        <f>Tabla15[[#This Row],[Diferencia]]/Tabla15[[#This Row],[Facturació A/A]]</f>
        <v>#DIV/0!</v>
      </c>
      <c r="X165" s="447">
        <f>Tabla15[[#This Row],[Facturació A/A]]*H$17+Tabla15[[#This Row],[Facturació A/A]]</f>
        <v>0</v>
      </c>
      <c r="Y165" s="447">
        <f>Tabla15[[#This Row],[Total Caja]]-Tabla15[[#This Row],[Previsión]]</f>
        <v>0</v>
      </c>
      <c r="Z165" s="446"/>
      <c r="AA165" s="447" t="e">
        <f>SUM(INDEX(Tabla15[[#This Row],[Facturació A/A]],1):Tabla15[[#This Row],[Facturació A/A]]) / SUM(INDEX(Tabla15[[#This Row],[Diferencia]],1):Tabla15[[#This Row],[Diferencia]])</f>
        <v>#DIV/0!</v>
      </c>
      <c r="AB165" s="446"/>
      <c r="AC165" s="427"/>
      <c r="AD165" s="427"/>
      <c r="AE165" s="427"/>
      <c r="AF165" s="427"/>
      <c r="AG165" s="427"/>
      <c r="AH165" s="427"/>
      <c r="AI165" s="427"/>
      <c r="AJ165" s="427"/>
      <c r="AK165" s="427"/>
      <c r="AL165" s="427"/>
      <c r="AM165" s="427"/>
      <c r="AN165" s="427"/>
      <c r="AO165" s="427"/>
      <c r="AP165" s="427"/>
      <c r="AQ165" s="427"/>
    </row>
    <row r="166" spans="1:43" ht="16" customHeight="1">
      <c r="A166" s="427"/>
      <c r="B166" s="427"/>
      <c r="C166" s="428">
        <v>133</v>
      </c>
      <c r="D166" s="456">
        <v>46155</v>
      </c>
      <c r="E166" s="959"/>
      <c r="F166" s="958">
        <f>Tabla15[[#This Row],[Retiros]]-Tabla15[[#This Row],[Contado]]</f>
        <v>0</v>
      </c>
      <c r="G166" s="959"/>
      <c r="H166" s="959"/>
      <c r="I166" s="959"/>
      <c r="J166" s="959"/>
      <c r="K166" s="958"/>
      <c r="L166" s="958"/>
      <c r="M166" s="959"/>
      <c r="N166" s="959">
        <f>Tabla15[[#This Row],[Contado]]</f>
        <v>0</v>
      </c>
      <c r="O166" s="959"/>
      <c r="P166" s="443">
        <f>((Tabla15[[#This Row],[Contado]]+Tabla15[[#This Row],[Visa]]+Tabla15[[#This Row],[Eventos]]+Tabla15[[#This Row],[Passo]]+Tabla15[[#This Row],[Reciclajes]])/1.1)+Tabla15[[#This Row],[Tickets]]</f>
        <v>0</v>
      </c>
      <c r="Q166" s="445">
        <v>0</v>
      </c>
      <c r="R166" s="445">
        <f t="shared" si="8"/>
        <v>0</v>
      </c>
      <c r="S166" s="446"/>
      <c r="T166" s="447">
        <v>1046.5</v>
      </c>
      <c r="U166" s="447">
        <f>Tabla15[[#This Row],[Total Caja]]-Tabla15[[#This Row],[Facturació A/A]]</f>
        <v>-1046.5</v>
      </c>
      <c r="V166" s="447">
        <f t="shared" si="9"/>
        <v>-4662.1190909090974</v>
      </c>
      <c r="W166" s="450">
        <f>Tabla15[[#This Row],[Diferencia]]/Tabla15[[#This Row],[Facturació A/A]]</f>
        <v>-1</v>
      </c>
      <c r="X166" s="447">
        <f>Tabla15[[#This Row],[Facturació A/A]]*H$17+Tabla15[[#This Row],[Facturació A/A]]</f>
        <v>1077.895</v>
      </c>
      <c r="Y166" s="447">
        <f>Tabla15[[#This Row],[Total Caja]]-Tabla15[[#This Row],[Previsión]]</f>
        <v>-1077.895</v>
      </c>
      <c r="Z166" s="446"/>
      <c r="AA166" s="447">
        <f>SUM(INDEX(Tabla15[[#This Row],[Facturació A/A]],1):Tabla15[[#This Row],[Facturació A/A]]) / SUM(INDEX(Tabla15[[#This Row],[Diferencia]],1):Tabla15[[#This Row],[Diferencia]])</f>
        <v>-1</v>
      </c>
      <c r="AB166" s="446"/>
      <c r="AC166" s="427"/>
      <c r="AD166" s="427"/>
      <c r="AE166" s="427"/>
      <c r="AF166" s="427"/>
      <c r="AG166" s="427"/>
      <c r="AH166" s="427"/>
      <c r="AI166" s="427"/>
      <c r="AJ166" s="427"/>
      <c r="AK166" s="427"/>
      <c r="AL166" s="427"/>
      <c r="AM166" s="427"/>
      <c r="AN166" s="427"/>
      <c r="AO166" s="427"/>
      <c r="AP166" s="427"/>
      <c r="AQ166" s="427"/>
    </row>
    <row r="167" spans="1:43" ht="16" customHeight="1">
      <c r="A167" s="427"/>
      <c r="B167" s="427"/>
      <c r="C167" s="428">
        <v>134</v>
      </c>
      <c r="D167" s="456">
        <v>46156</v>
      </c>
      <c r="E167" s="959"/>
      <c r="F167" s="958">
        <f>Tabla15[[#This Row],[Retiros]]-Tabla15[[#This Row],[Contado]]</f>
        <v>0</v>
      </c>
      <c r="G167" s="959"/>
      <c r="H167" s="959"/>
      <c r="I167" s="959"/>
      <c r="J167" s="959"/>
      <c r="K167" s="958"/>
      <c r="L167" s="958"/>
      <c r="M167" s="959"/>
      <c r="N167" s="959">
        <f>Tabla15[[#This Row],[Contado]]</f>
        <v>0</v>
      </c>
      <c r="O167" s="959"/>
      <c r="P167" s="443">
        <f>((Tabla15[[#This Row],[Contado]]+Tabla15[[#This Row],[Visa]]+Tabla15[[#This Row],[Eventos]]+Tabla15[[#This Row],[Passo]]+Tabla15[[#This Row],[Reciclajes]])/1.1)+Tabla15[[#This Row],[Tickets]]</f>
        <v>0</v>
      </c>
      <c r="Q167" s="445">
        <v>0</v>
      </c>
      <c r="R167" s="445">
        <f t="shared" si="8"/>
        <v>0</v>
      </c>
      <c r="S167" s="446"/>
      <c r="T167" s="447">
        <v>852.26</v>
      </c>
      <c r="U167" s="447">
        <f>Tabla15[[#This Row],[Total Caja]]-Tabla15[[#This Row],[Facturació A/A]]</f>
        <v>-852.26</v>
      </c>
      <c r="V167" s="447">
        <f t="shared" si="9"/>
        <v>-5514.3790909090976</v>
      </c>
      <c r="W167" s="450">
        <f>Tabla15[[#This Row],[Diferencia]]/Tabla15[[#This Row],[Facturació A/A]]</f>
        <v>-1</v>
      </c>
      <c r="X167" s="447">
        <f>Tabla15[[#This Row],[Facturació A/A]]*H$17+Tabla15[[#This Row],[Facturació A/A]]</f>
        <v>877.82780000000002</v>
      </c>
      <c r="Y167" s="447">
        <f>Tabla15[[#This Row],[Total Caja]]-Tabla15[[#This Row],[Previsión]]</f>
        <v>-877.82780000000002</v>
      </c>
      <c r="Z167" s="446"/>
      <c r="AA167" s="447">
        <f>SUM(INDEX(Tabla15[[#This Row],[Facturació A/A]],1):Tabla15[[#This Row],[Facturació A/A]]) / SUM(INDEX(Tabla15[[#This Row],[Diferencia]],1):Tabla15[[#This Row],[Diferencia]])</f>
        <v>-1</v>
      </c>
      <c r="AB167" s="446"/>
      <c r="AC167" s="427"/>
      <c r="AD167" s="427"/>
      <c r="AE167" s="427"/>
      <c r="AF167" s="427"/>
      <c r="AG167" s="427"/>
      <c r="AH167" s="427"/>
      <c r="AI167" s="427"/>
      <c r="AJ167" s="427"/>
      <c r="AK167" s="427"/>
      <c r="AL167" s="427"/>
      <c r="AM167" s="427"/>
      <c r="AN167" s="427"/>
      <c r="AO167" s="427"/>
      <c r="AP167" s="427"/>
      <c r="AQ167" s="427"/>
    </row>
    <row r="168" spans="1:43" ht="16" customHeight="1">
      <c r="A168" s="427"/>
      <c r="B168" s="427"/>
      <c r="C168" s="428">
        <v>135</v>
      </c>
      <c r="D168" s="456">
        <v>46157</v>
      </c>
      <c r="E168" s="959"/>
      <c r="F168" s="958">
        <f>Tabla15[[#This Row],[Retiros]]-Tabla15[[#This Row],[Contado]]</f>
        <v>0</v>
      </c>
      <c r="G168" s="959"/>
      <c r="H168" s="959"/>
      <c r="I168" s="959"/>
      <c r="J168" s="959"/>
      <c r="K168" s="958"/>
      <c r="L168" s="958"/>
      <c r="M168" s="959"/>
      <c r="N168" s="959">
        <f>Tabla15[[#This Row],[Contado]]</f>
        <v>0</v>
      </c>
      <c r="O168" s="959"/>
      <c r="P168" s="443">
        <f>((Tabla15[[#This Row],[Contado]]+Tabla15[[#This Row],[Visa]]+Tabla15[[#This Row],[Eventos]]+Tabla15[[#This Row],[Passo]]+Tabla15[[#This Row],[Reciclajes]])/1.1)+Tabla15[[#This Row],[Tickets]]</f>
        <v>0</v>
      </c>
      <c r="Q168" s="445">
        <v>0</v>
      </c>
      <c r="R168" s="445">
        <f t="shared" si="8"/>
        <v>0</v>
      </c>
      <c r="S168" s="446"/>
      <c r="T168" s="447">
        <v>919.79</v>
      </c>
      <c r="U168" s="447">
        <f>Tabla15[[#This Row],[Total Caja]]-Tabla15[[#This Row],[Facturació A/A]]</f>
        <v>-919.79</v>
      </c>
      <c r="V168" s="447">
        <f t="shared" si="9"/>
        <v>-6434.1690909090976</v>
      </c>
      <c r="W168" s="450">
        <f>Tabla15[[#This Row],[Diferencia]]/Tabla15[[#This Row],[Facturació A/A]]</f>
        <v>-1</v>
      </c>
      <c r="X168" s="447">
        <f>Tabla15[[#This Row],[Facturació A/A]]*H$17+Tabla15[[#This Row],[Facturació A/A]]</f>
        <v>947.38369999999998</v>
      </c>
      <c r="Y168" s="447">
        <f>Tabla15[[#This Row],[Total Caja]]-Tabla15[[#This Row],[Previsión]]</f>
        <v>-947.38369999999998</v>
      </c>
      <c r="Z168" s="446"/>
      <c r="AA168" s="447">
        <f>SUM(INDEX(Tabla15[[#This Row],[Facturació A/A]],1):Tabla15[[#This Row],[Facturació A/A]]) / SUM(INDEX(Tabla15[[#This Row],[Diferencia]],1):Tabla15[[#This Row],[Diferencia]])</f>
        <v>-1</v>
      </c>
      <c r="AB168" s="446"/>
      <c r="AC168" s="427"/>
      <c r="AD168" s="427"/>
      <c r="AE168" s="427"/>
      <c r="AF168" s="427"/>
      <c r="AG168" s="427"/>
      <c r="AH168" s="427"/>
      <c r="AI168" s="427"/>
      <c r="AJ168" s="427"/>
      <c r="AK168" s="427"/>
      <c r="AL168" s="427"/>
      <c r="AM168" s="427"/>
      <c r="AN168" s="427"/>
      <c r="AO168" s="427"/>
      <c r="AP168" s="427"/>
      <c r="AQ168" s="427"/>
    </row>
    <row r="169" spans="1:43" ht="16" customHeight="1">
      <c r="A169" s="427"/>
      <c r="B169" s="427"/>
      <c r="C169" s="428">
        <v>136</v>
      </c>
      <c r="D169" s="456">
        <v>46158</v>
      </c>
      <c r="E169" s="959"/>
      <c r="F169" s="958">
        <f>Tabla15[[#This Row],[Retiros]]-Tabla15[[#This Row],[Contado]]</f>
        <v>0</v>
      </c>
      <c r="G169" s="959"/>
      <c r="H169" s="959"/>
      <c r="I169" s="959"/>
      <c r="J169" s="959"/>
      <c r="K169" s="958"/>
      <c r="L169" s="958"/>
      <c r="M169" s="959"/>
      <c r="N169" s="959">
        <f>Tabla15[[#This Row],[Contado]]</f>
        <v>0</v>
      </c>
      <c r="O169" s="959"/>
      <c r="P169" s="443">
        <f>((Tabla15[[#This Row],[Contado]]+Tabla15[[#This Row],[Visa]]+Tabla15[[#This Row],[Eventos]]+Tabla15[[#This Row],[Passo]]+Tabla15[[#This Row],[Reciclajes]])/1.1)+Tabla15[[#This Row],[Tickets]]</f>
        <v>0</v>
      </c>
      <c r="Q169" s="445">
        <v>0</v>
      </c>
      <c r="R169" s="445">
        <f t="shared" si="8"/>
        <v>0</v>
      </c>
      <c r="S169" s="446"/>
      <c r="T169" s="447">
        <v>1955.44</v>
      </c>
      <c r="U169" s="447">
        <f>Tabla15[[#This Row],[Total Caja]]-Tabla15[[#This Row],[Facturació A/A]]</f>
        <v>-1955.44</v>
      </c>
      <c r="V169" s="447">
        <f t="shared" si="9"/>
        <v>-8389.6090909090981</v>
      </c>
      <c r="W169" s="450">
        <f>Tabla15[[#This Row],[Diferencia]]/Tabla15[[#This Row],[Facturació A/A]]</f>
        <v>-1</v>
      </c>
      <c r="X169" s="447">
        <f>Tabla15[[#This Row],[Facturació A/A]]*H$17+Tabla15[[#This Row],[Facturació A/A]]</f>
        <v>2014.1032</v>
      </c>
      <c r="Y169" s="447">
        <f>Tabla15[[#This Row],[Total Caja]]-Tabla15[[#This Row],[Previsión]]</f>
        <v>-2014.1032</v>
      </c>
      <c r="Z169" s="446"/>
      <c r="AA169" s="447">
        <f>SUM(INDEX(Tabla15[[#This Row],[Facturació A/A]],1):Tabla15[[#This Row],[Facturació A/A]]) / SUM(INDEX(Tabla15[[#This Row],[Diferencia]],1):Tabla15[[#This Row],[Diferencia]])</f>
        <v>-1</v>
      </c>
      <c r="AB169" s="446"/>
      <c r="AC169" s="427"/>
      <c r="AD169" s="427"/>
      <c r="AE169" s="427"/>
      <c r="AF169" s="427"/>
      <c r="AG169" s="427"/>
      <c r="AH169" s="427"/>
      <c r="AI169" s="427"/>
      <c r="AJ169" s="427"/>
      <c r="AK169" s="427"/>
      <c r="AL169" s="427"/>
      <c r="AM169" s="427"/>
      <c r="AN169" s="427"/>
      <c r="AO169" s="427"/>
      <c r="AP169" s="427"/>
      <c r="AQ169" s="427"/>
    </row>
    <row r="170" spans="1:43" ht="16" customHeight="1">
      <c r="A170" s="427"/>
      <c r="B170" s="427"/>
      <c r="C170" s="428">
        <v>137</v>
      </c>
      <c r="D170" s="456">
        <v>46159</v>
      </c>
      <c r="E170" s="959"/>
      <c r="F170" s="958">
        <f>Tabla15[[#This Row],[Retiros]]-Tabla15[[#This Row],[Contado]]</f>
        <v>0</v>
      </c>
      <c r="G170" s="959"/>
      <c r="H170" s="959"/>
      <c r="I170" s="959"/>
      <c r="J170" s="959"/>
      <c r="K170" s="958"/>
      <c r="L170" s="958"/>
      <c r="M170" s="959"/>
      <c r="N170" s="959">
        <f>Tabla15[[#This Row],[Contado]]</f>
        <v>0</v>
      </c>
      <c r="O170" s="959"/>
      <c r="P170" s="443">
        <f>((Tabla15[[#This Row],[Contado]]+Tabla15[[#This Row],[Visa]]+Tabla15[[#This Row],[Eventos]]+Tabla15[[#This Row],[Passo]]+Tabla15[[#This Row],[Reciclajes]])/1.1)+Tabla15[[#This Row],[Tickets]]</f>
        <v>0</v>
      </c>
      <c r="Q170" s="445">
        <v>0</v>
      </c>
      <c r="R170" s="445">
        <f t="shared" si="8"/>
        <v>0</v>
      </c>
      <c r="S170" s="446"/>
      <c r="T170" s="447">
        <v>1184.6500000000001</v>
      </c>
      <c r="U170" s="447">
        <f>Tabla15[[#This Row],[Total Caja]]-Tabla15[[#This Row],[Facturació A/A]]</f>
        <v>-1184.6500000000001</v>
      </c>
      <c r="V170" s="447">
        <f t="shared" si="9"/>
        <v>-9574.2590909090977</v>
      </c>
      <c r="W170" s="450">
        <f>Tabla15[[#This Row],[Diferencia]]/Tabla15[[#This Row],[Facturació A/A]]</f>
        <v>-1</v>
      </c>
      <c r="X170" s="447">
        <f>Tabla15[[#This Row],[Facturació A/A]]*H$17+Tabla15[[#This Row],[Facturació A/A]]</f>
        <v>1220.1895000000002</v>
      </c>
      <c r="Y170" s="447">
        <f>Tabla15[[#This Row],[Total Caja]]-Tabla15[[#This Row],[Previsión]]</f>
        <v>-1220.1895000000002</v>
      </c>
      <c r="Z170" s="446"/>
      <c r="AA170" s="447">
        <f>SUM(INDEX(Tabla15[[#This Row],[Facturació A/A]],1):Tabla15[[#This Row],[Facturació A/A]]) / SUM(INDEX(Tabla15[[#This Row],[Diferencia]],1):Tabla15[[#This Row],[Diferencia]])</f>
        <v>-1</v>
      </c>
      <c r="AB170" s="446"/>
      <c r="AC170" s="427"/>
      <c r="AD170" s="427"/>
      <c r="AE170" s="427"/>
      <c r="AF170" s="427"/>
      <c r="AG170" s="427"/>
      <c r="AH170" s="427"/>
      <c r="AI170" s="427"/>
      <c r="AJ170" s="427"/>
      <c r="AK170" s="427"/>
      <c r="AL170" s="427"/>
      <c r="AM170" s="427"/>
      <c r="AN170" s="427"/>
      <c r="AO170" s="427"/>
      <c r="AP170" s="427"/>
      <c r="AQ170" s="427"/>
    </row>
    <row r="171" spans="1:43" ht="16" customHeight="1">
      <c r="A171" s="427"/>
      <c r="B171" s="427"/>
      <c r="C171" s="428">
        <v>138</v>
      </c>
      <c r="D171" s="456">
        <v>46160</v>
      </c>
      <c r="E171" s="959"/>
      <c r="F171" s="958">
        <f>Tabla15[[#This Row],[Retiros]]-Tabla15[[#This Row],[Contado]]</f>
        <v>0</v>
      </c>
      <c r="G171" s="959"/>
      <c r="H171" s="959"/>
      <c r="I171" s="959"/>
      <c r="J171" s="959"/>
      <c r="K171" s="958"/>
      <c r="L171" s="958"/>
      <c r="M171" s="959"/>
      <c r="N171" s="959">
        <f>Tabla15[[#This Row],[Contado]]</f>
        <v>0</v>
      </c>
      <c r="O171" s="959"/>
      <c r="P171" s="443">
        <f>((Tabla15[[#This Row],[Contado]]+Tabla15[[#This Row],[Visa]]+Tabla15[[#This Row],[Eventos]]+Tabla15[[#This Row],[Passo]]+Tabla15[[#This Row],[Reciclajes]])/1.1)+Tabla15[[#This Row],[Tickets]]</f>
        <v>0</v>
      </c>
      <c r="Q171" s="445">
        <v>0</v>
      </c>
      <c r="R171" s="445">
        <f t="shared" si="8"/>
        <v>0</v>
      </c>
      <c r="S171" s="446"/>
      <c r="T171" s="447">
        <v>0</v>
      </c>
      <c r="U171" s="447">
        <f>Tabla15[[#This Row],[Total Caja]]-Tabla15[[#This Row],[Facturació A/A]]</f>
        <v>0</v>
      </c>
      <c r="V171" s="447">
        <f t="shared" si="9"/>
        <v>-9574.2590909090977</v>
      </c>
      <c r="W171" s="450" t="e">
        <f>Tabla15[[#This Row],[Diferencia]]/Tabla15[[#This Row],[Facturació A/A]]</f>
        <v>#DIV/0!</v>
      </c>
      <c r="X171" s="447">
        <f>Tabla15[[#This Row],[Facturació A/A]]*H$17+Tabla15[[#This Row],[Facturació A/A]]</f>
        <v>0</v>
      </c>
      <c r="Y171" s="447">
        <f>Tabla15[[#This Row],[Total Caja]]-Tabla15[[#This Row],[Previsión]]</f>
        <v>0</v>
      </c>
      <c r="Z171" s="446"/>
      <c r="AA171" s="447" t="e">
        <f>SUM(INDEX(Tabla15[[#This Row],[Facturació A/A]],1):Tabla15[[#This Row],[Facturació A/A]]) / SUM(INDEX(Tabla15[[#This Row],[Diferencia]],1):Tabla15[[#This Row],[Diferencia]])</f>
        <v>#DIV/0!</v>
      </c>
      <c r="AB171" s="446"/>
      <c r="AC171" s="427"/>
      <c r="AD171" s="427"/>
      <c r="AE171" s="427"/>
      <c r="AF171" s="427"/>
      <c r="AG171" s="427"/>
      <c r="AH171" s="427"/>
      <c r="AI171" s="427"/>
      <c r="AJ171" s="427"/>
      <c r="AK171" s="427"/>
      <c r="AL171" s="427"/>
      <c r="AM171" s="427"/>
      <c r="AN171" s="427"/>
      <c r="AO171" s="427"/>
      <c r="AP171" s="427"/>
      <c r="AQ171" s="427"/>
    </row>
    <row r="172" spans="1:43" ht="16" customHeight="1">
      <c r="A172" s="427"/>
      <c r="B172" s="427"/>
      <c r="C172" s="428">
        <v>139</v>
      </c>
      <c r="D172" s="456">
        <v>46161</v>
      </c>
      <c r="E172" s="959"/>
      <c r="F172" s="958">
        <f>Tabla15[[#This Row],[Retiros]]-Tabla15[[#This Row],[Contado]]</f>
        <v>0</v>
      </c>
      <c r="G172" s="959"/>
      <c r="H172" s="959"/>
      <c r="I172" s="959"/>
      <c r="J172" s="959"/>
      <c r="K172" s="958"/>
      <c r="L172" s="958"/>
      <c r="M172" s="959"/>
      <c r="N172" s="959">
        <f>Tabla15[[#This Row],[Contado]]</f>
        <v>0</v>
      </c>
      <c r="O172" s="959"/>
      <c r="P172" s="443">
        <f>((Tabla15[[#This Row],[Contado]]+Tabla15[[#This Row],[Visa]]+Tabla15[[#This Row],[Eventos]]+Tabla15[[#This Row],[Passo]]+Tabla15[[#This Row],[Reciclajes]])/1.1)+Tabla15[[#This Row],[Tickets]]</f>
        <v>0</v>
      </c>
      <c r="Q172" s="445">
        <v>0</v>
      </c>
      <c r="R172" s="445">
        <f t="shared" si="8"/>
        <v>0</v>
      </c>
      <c r="S172" s="446"/>
      <c r="T172" s="447">
        <v>0</v>
      </c>
      <c r="U172" s="447">
        <f>Tabla15[[#This Row],[Total Caja]]-Tabla15[[#This Row],[Facturació A/A]]</f>
        <v>0</v>
      </c>
      <c r="V172" s="447">
        <f t="shared" si="9"/>
        <v>-9574.2590909090977</v>
      </c>
      <c r="W172" s="450" t="e">
        <f>Tabla15[[#This Row],[Diferencia]]/Tabla15[[#This Row],[Facturació A/A]]</f>
        <v>#DIV/0!</v>
      </c>
      <c r="X172" s="447">
        <f>Tabla15[[#This Row],[Facturació A/A]]*H$17+Tabla15[[#This Row],[Facturació A/A]]</f>
        <v>0</v>
      </c>
      <c r="Y172" s="447">
        <f>Tabla15[[#This Row],[Total Caja]]-Tabla15[[#This Row],[Previsión]]</f>
        <v>0</v>
      </c>
      <c r="Z172" s="446"/>
      <c r="AA172" s="447" t="e">
        <f>SUM(INDEX(Tabla15[[#This Row],[Facturació A/A]],1):Tabla15[[#This Row],[Facturació A/A]]) / SUM(INDEX(Tabla15[[#This Row],[Diferencia]],1):Tabla15[[#This Row],[Diferencia]])</f>
        <v>#DIV/0!</v>
      </c>
      <c r="AB172" s="446"/>
      <c r="AC172" s="427"/>
      <c r="AD172" s="427"/>
      <c r="AE172" s="427"/>
      <c r="AF172" s="427"/>
      <c r="AG172" s="427"/>
      <c r="AH172" s="427"/>
      <c r="AI172" s="427"/>
      <c r="AJ172" s="427"/>
      <c r="AK172" s="427"/>
      <c r="AL172" s="427"/>
      <c r="AM172" s="427"/>
      <c r="AN172" s="427"/>
      <c r="AO172" s="427"/>
      <c r="AP172" s="427"/>
      <c r="AQ172" s="427"/>
    </row>
    <row r="173" spans="1:43" ht="16" customHeight="1">
      <c r="A173" s="427"/>
      <c r="B173" s="427"/>
      <c r="C173" s="428">
        <v>140</v>
      </c>
      <c r="D173" s="456">
        <v>46162</v>
      </c>
      <c r="E173" s="959"/>
      <c r="F173" s="958">
        <f>Tabla15[[#This Row],[Retiros]]-Tabla15[[#This Row],[Contado]]</f>
        <v>0</v>
      </c>
      <c r="G173" s="959"/>
      <c r="H173" s="959"/>
      <c r="I173" s="959"/>
      <c r="J173" s="959"/>
      <c r="K173" s="958"/>
      <c r="L173" s="958"/>
      <c r="M173" s="959"/>
      <c r="N173" s="959">
        <f>Tabla15[[#This Row],[Contado]]</f>
        <v>0</v>
      </c>
      <c r="O173" s="959"/>
      <c r="P173" s="443">
        <f>((Tabla15[[#This Row],[Contado]]+Tabla15[[#This Row],[Visa]]+Tabla15[[#This Row],[Eventos]]+Tabla15[[#This Row],[Passo]]+Tabla15[[#This Row],[Reciclajes]])/1.1)+Tabla15[[#This Row],[Tickets]]</f>
        <v>0</v>
      </c>
      <c r="Q173" s="445">
        <v>0</v>
      </c>
      <c r="R173" s="445">
        <f t="shared" si="8"/>
        <v>0</v>
      </c>
      <c r="S173" s="446"/>
      <c r="T173" s="447">
        <v>622.25</v>
      </c>
      <c r="U173" s="447">
        <f>Tabla15[[#This Row],[Total Caja]]-Tabla15[[#This Row],[Facturació A/A]]</f>
        <v>-622.25</v>
      </c>
      <c r="V173" s="447">
        <f t="shared" si="9"/>
        <v>-10196.509090909098</v>
      </c>
      <c r="W173" s="450">
        <f>Tabla15[[#This Row],[Diferencia]]/Tabla15[[#This Row],[Facturació A/A]]</f>
        <v>-1</v>
      </c>
      <c r="X173" s="447">
        <f>Tabla15[[#This Row],[Facturació A/A]]*H$17+Tabla15[[#This Row],[Facturació A/A]]</f>
        <v>640.91750000000002</v>
      </c>
      <c r="Y173" s="447">
        <f>Tabla15[[#This Row],[Total Caja]]-Tabla15[[#This Row],[Previsión]]</f>
        <v>-640.91750000000002</v>
      </c>
      <c r="Z173" s="446"/>
      <c r="AA173" s="447">
        <f>SUM(INDEX(Tabla15[[#This Row],[Facturació A/A]],1):Tabla15[[#This Row],[Facturació A/A]]) / SUM(INDEX(Tabla15[[#This Row],[Diferencia]],1):Tabla15[[#This Row],[Diferencia]])</f>
        <v>-1</v>
      </c>
      <c r="AB173" s="446"/>
      <c r="AC173" s="427"/>
      <c r="AD173" s="427"/>
      <c r="AE173" s="427"/>
      <c r="AF173" s="427"/>
      <c r="AG173" s="427"/>
      <c r="AH173" s="427"/>
      <c r="AI173" s="427"/>
      <c r="AJ173" s="427"/>
      <c r="AK173" s="427"/>
      <c r="AL173" s="427"/>
      <c r="AM173" s="427"/>
      <c r="AN173" s="427"/>
      <c r="AO173" s="427"/>
      <c r="AP173" s="427"/>
      <c r="AQ173" s="427"/>
    </row>
    <row r="174" spans="1:43" ht="16" customHeight="1">
      <c r="A174" s="427"/>
      <c r="B174" s="427"/>
      <c r="C174" s="428">
        <v>141</v>
      </c>
      <c r="D174" s="456">
        <v>46163</v>
      </c>
      <c r="E174" s="959"/>
      <c r="F174" s="958">
        <f>Tabla15[[#This Row],[Retiros]]-Tabla15[[#This Row],[Contado]]</f>
        <v>0</v>
      </c>
      <c r="G174" s="959"/>
      <c r="H174" s="959"/>
      <c r="I174" s="959"/>
      <c r="J174" s="959"/>
      <c r="K174" s="958"/>
      <c r="L174" s="958"/>
      <c r="M174" s="959"/>
      <c r="N174" s="959">
        <f>Tabla15[[#This Row],[Contado]]</f>
        <v>0</v>
      </c>
      <c r="O174" s="959"/>
      <c r="P174" s="443">
        <f>((Tabla15[[#This Row],[Contado]]+Tabla15[[#This Row],[Visa]]+Tabla15[[#This Row],[Eventos]]+Tabla15[[#This Row],[Passo]]+Tabla15[[#This Row],[Reciclajes]])/1.1)+Tabla15[[#This Row],[Tickets]]</f>
        <v>0</v>
      </c>
      <c r="Q174" s="445">
        <v>0</v>
      </c>
      <c r="R174" s="445">
        <f t="shared" si="8"/>
        <v>0</v>
      </c>
      <c r="S174" s="446"/>
      <c r="T174" s="447">
        <v>709.86</v>
      </c>
      <c r="U174" s="447">
        <f>Tabla15[[#This Row],[Total Caja]]-Tabla15[[#This Row],[Facturació A/A]]</f>
        <v>-709.86</v>
      </c>
      <c r="V174" s="447">
        <f t="shared" si="9"/>
        <v>-10906.369090909098</v>
      </c>
      <c r="W174" s="450">
        <f>Tabla15[[#This Row],[Diferencia]]/Tabla15[[#This Row],[Facturació A/A]]</f>
        <v>-1</v>
      </c>
      <c r="X174" s="447">
        <f>Tabla15[[#This Row],[Facturació A/A]]*H$17+Tabla15[[#This Row],[Facturació A/A]]</f>
        <v>731.1558</v>
      </c>
      <c r="Y174" s="447">
        <f>Tabla15[[#This Row],[Total Caja]]-Tabla15[[#This Row],[Previsión]]</f>
        <v>-731.1558</v>
      </c>
      <c r="Z174" s="446"/>
      <c r="AA174" s="447">
        <f>SUM(INDEX(Tabla15[[#This Row],[Facturació A/A]],1):Tabla15[[#This Row],[Facturació A/A]]) / SUM(INDEX(Tabla15[[#This Row],[Diferencia]],1):Tabla15[[#This Row],[Diferencia]])</f>
        <v>-1</v>
      </c>
      <c r="AB174" s="446"/>
      <c r="AC174" s="427"/>
      <c r="AD174" s="427"/>
      <c r="AE174" s="427"/>
      <c r="AF174" s="427"/>
      <c r="AG174" s="427"/>
      <c r="AH174" s="427"/>
      <c r="AI174" s="427"/>
      <c r="AJ174" s="427"/>
      <c r="AK174" s="427"/>
      <c r="AL174" s="427"/>
      <c r="AM174" s="427"/>
      <c r="AN174" s="427"/>
      <c r="AO174" s="427"/>
      <c r="AP174" s="427"/>
      <c r="AQ174" s="427"/>
    </row>
    <row r="175" spans="1:43" ht="16" customHeight="1">
      <c r="A175" s="427"/>
      <c r="B175" s="427"/>
      <c r="C175" s="428">
        <v>142</v>
      </c>
      <c r="D175" s="456">
        <v>46164</v>
      </c>
      <c r="E175" s="959"/>
      <c r="F175" s="958">
        <f>Tabla15[[#This Row],[Retiros]]-Tabla15[[#This Row],[Contado]]</f>
        <v>0</v>
      </c>
      <c r="G175" s="959"/>
      <c r="H175" s="959"/>
      <c r="I175" s="959"/>
      <c r="J175" s="959"/>
      <c r="K175" s="958"/>
      <c r="L175" s="958"/>
      <c r="M175" s="959"/>
      <c r="N175" s="959">
        <f>Tabla15[[#This Row],[Contado]]</f>
        <v>0</v>
      </c>
      <c r="O175" s="959"/>
      <c r="P175" s="443">
        <f>((Tabla15[[#This Row],[Contado]]+Tabla15[[#This Row],[Visa]]+Tabla15[[#This Row],[Eventos]]+Tabla15[[#This Row],[Passo]]+Tabla15[[#This Row],[Reciclajes]])/1.1)+Tabla15[[#This Row],[Tickets]]</f>
        <v>0</v>
      </c>
      <c r="Q175" s="445">
        <v>0</v>
      </c>
      <c r="R175" s="445">
        <f t="shared" si="8"/>
        <v>0</v>
      </c>
      <c r="S175" s="446"/>
      <c r="T175" s="447">
        <v>1174.03</v>
      </c>
      <c r="U175" s="447">
        <f>Tabla15[[#This Row],[Total Caja]]-Tabla15[[#This Row],[Facturació A/A]]</f>
        <v>-1174.03</v>
      </c>
      <c r="V175" s="447">
        <f t="shared" si="9"/>
        <v>-12080.399090909099</v>
      </c>
      <c r="W175" s="450">
        <f>Tabla15[[#This Row],[Diferencia]]/Tabla15[[#This Row],[Facturació A/A]]</f>
        <v>-1</v>
      </c>
      <c r="X175" s="447">
        <f>Tabla15[[#This Row],[Facturació A/A]]*H$17+Tabla15[[#This Row],[Facturació A/A]]</f>
        <v>1209.2509</v>
      </c>
      <c r="Y175" s="447">
        <f>Tabla15[[#This Row],[Total Caja]]-Tabla15[[#This Row],[Previsión]]</f>
        <v>-1209.2509</v>
      </c>
      <c r="Z175" s="446"/>
      <c r="AA175" s="447">
        <f>SUM(INDEX(Tabla15[[#This Row],[Facturació A/A]],1):Tabla15[[#This Row],[Facturació A/A]]) / SUM(INDEX(Tabla15[[#This Row],[Diferencia]],1):Tabla15[[#This Row],[Diferencia]])</f>
        <v>-1</v>
      </c>
      <c r="AB175" s="446"/>
      <c r="AC175" s="427"/>
      <c r="AD175" s="427"/>
      <c r="AE175" s="427"/>
      <c r="AF175" s="427"/>
      <c r="AG175" s="427"/>
      <c r="AH175" s="427"/>
      <c r="AI175" s="427"/>
      <c r="AJ175" s="427"/>
      <c r="AK175" s="427"/>
      <c r="AL175" s="427"/>
      <c r="AM175" s="427"/>
      <c r="AN175" s="427"/>
      <c r="AO175" s="427"/>
      <c r="AP175" s="427"/>
      <c r="AQ175" s="427"/>
    </row>
    <row r="176" spans="1:43" ht="16" customHeight="1">
      <c r="A176" s="427"/>
      <c r="B176" s="427"/>
      <c r="C176" s="428">
        <v>143</v>
      </c>
      <c r="D176" s="456">
        <v>46165</v>
      </c>
      <c r="E176" s="959"/>
      <c r="F176" s="958">
        <f>Tabla15[[#This Row],[Retiros]]-Tabla15[[#This Row],[Contado]]</f>
        <v>0</v>
      </c>
      <c r="G176" s="959"/>
      <c r="H176" s="959"/>
      <c r="I176" s="959"/>
      <c r="J176" s="959"/>
      <c r="K176" s="958"/>
      <c r="L176" s="958"/>
      <c r="M176" s="959"/>
      <c r="N176" s="959">
        <f>Tabla15[[#This Row],[Contado]]</f>
        <v>0</v>
      </c>
      <c r="O176" s="959"/>
      <c r="P176" s="443">
        <f>((Tabla15[[#This Row],[Contado]]+Tabla15[[#This Row],[Visa]]+Tabla15[[#This Row],[Eventos]]+Tabla15[[#This Row],[Passo]]+Tabla15[[#This Row],[Reciclajes]])/1.1)+Tabla15[[#This Row],[Tickets]]</f>
        <v>0</v>
      </c>
      <c r="Q176" s="445">
        <v>0</v>
      </c>
      <c r="R176" s="445">
        <f t="shared" si="8"/>
        <v>0</v>
      </c>
      <c r="S176" s="446"/>
      <c r="T176" s="447">
        <v>2926.95</v>
      </c>
      <c r="U176" s="447">
        <f>Tabla15[[#This Row],[Total Caja]]-Tabla15[[#This Row],[Facturació A/A]]</f>
        <v>-2926.95</v>
      </c>
      <c r="V176" s="447">
        <f t="shared" si="9"/>
        <v>-15007.349090909098</v>
      </c>
      <c r="W176" s="450">
        <f>Tabla15[[#This Row],[Diferencia]]/Tabla15[[#This Row],[Facturació A/A]]</f>
        <v>-1</v>
      </c>
      <c r="X176" s="447">
        <f>Tabla15[[#This Row],[Facturació A/A]]*H$17+Tabla15[[#This Row],[Facturació A/A]]</f>
        <v>3014.7584999999999</v>
      </c>
      <c r="Y176" s="447">
        <f>Tabla15[[#This Row],[Total Caja]]-Tabla15[[#This Row],[Previsión]]</f>
        <v>-3014.7584999999999</v>
      </c>
      <c r="Z176" s="446"/>
      <c r="AA176" s="447">
        <f>SUM(INDEX(Tabla15[[#This Row],[Facturació A/A]],1):Tabla15[[#This Row],[Facturació A/A]]) / SUM(INDEX(Tabla15[[#This Row],[Diferencia]],1):Tabla15[[#This Row],[Diferencia]])</f>
        <v>-1</v>
      </c>
      <c r="AB176" s="446"/>
      <c r="AC176" s="427"/>
      <c r="AD176" s="427"/>
      <c r="AE176" s="427"/>
      <c r="AF176" s="427"/>
      <c r="AG176" s="427"/>
      <c r="AH176" s="427"/>
      <c r="AI176" s="427"/>
      <c r="AJ176" s="427"/>
      <c r="AK176" s="427"/>
      <c r="AL176" s="427"/>
      <c r="AM176" s="427"/>
      <c r="AN176" s="427"/>
      <c r="AO176" s="427"/>
      <c r="AP176" s="427"/>
      <c r="AQ176" s="427"/>
    </row>
    <row r="177" spans="1:43" ht="16" customHeight="1">
      <c r="A177" s="427"/>
      <c r="B177" s="427"/>
      <c r="C177" s="428">
        <v>144</v>
      </c>
      <c r="D177" s="456">
        <v>46166</v>
      </c>
      <c r="E177" s="959"/>
      <c r="F177" s="958">
        <f>Tabla15[[#This Row],[Retiros]]-Tabla15[[#This Row],[Contado]]</f>
        <v>0</v>
      </c>
      <c r="G177" s="959"/>
      <c r="H177" s="959"/>
      <c r="I177" s="959"/>
      <c r="J177" s="959"/>
      <c r="K177" s="958"/>
      <c r="L177" s="958"/>
      <c r="M177" s="959"/>
      <c r="N177" s="959">
        <f>Tabla15[[#This Row],[Contado]]</f>
        <v>0</v>
      </c>
      <c r="O177" s="959"/>
      <c r="P177" s="443">
        <f>((Tabla15[[#This Row],[Contado]]+Tabla15[[#This Row],[Visa]]+Tabla15[[#This Row],[Eventos]]+Tabla15[[#This Row],[Passo]]+Tabla15[[#This Row],[Reciclajes]])/1.1)+Tabla15[[#This Row],[Tickets]]</f>
        <v>0</v>
      </c>
      <c r="Q177" s="445">
        <v>0</v>
      </c>
      <c r="R177" s="445">
        <f t="shared" si="8"/>
        <v>0</v>
      </c>
      <c r="S177" s="446"/>
      <c r="T177" s="447">
        <v>1286.3800000000001</v>
      </c>
      <c r="U177" s="447">
        <f>Tabla15[[#This Row],[Total Caja]]-Tabla15[[#This Row],[Facturació A/A]]</f>
        <v>-1286.3800000000001</v>
      </c>
      <c r="V177" s="447">
        <f t="shared" si="9"/>
        <v>-16293.729090909099</v>
      </c>
      <c r="W177" s="450">
        <f>Tabla15[[#This Row],[Diferencia]]/Tabla15[[#This Row],[Facturació A/A]]</f>
        <v>-1</v>
      </c>
      <c r="X177" s="447">
        <f>Tabla15[[#This Row],[Facturació A/A]]*H$17+Tabla15[[#This Row],[Facturació A/A]]</f>
        <v>1324.9714000000001</v>
      </c>
      <c r="Y177" s="447">
        <f>Tabla15[[#This Row],[Total Caja]]-Tabla15[[#This Row],[Previsión]]</f>
        <v>-1324.9714000000001</v>
      </c>
      <c r="Z177" s="446"/>
      <c r="AA177" s="447">
        <f>SUM(INDEX(Tabla15[[#This Row],[Facturació A/A]],1):Tabla15[[#This Row],[Facturació A/A]]) / SUM(INDEX(Tabla15[[#This Row],[Diferencia]],1):Tabla15[[#This Row],[Diferencia]])</f>
        <v>-1</v>
      </c>
      <c r="AB177" s="446"/>
      <c r="AC177" s="427"/>
      <c r="AD177" s="427"/>
      <c r="AE177" s="427"/>
      <c r="AF177" s="427"/>
      <c r="AG177" s="427"/>
      <c r="AH177" s="427"/>
      <c r="AI177" s="427"/>
      <c r="AJ177" s="427"/>
      <c r="AK177" s="427"/>
      <c r="AL177" s="427"/>
      <c r="AM177" s="427"/>
      <c r="AN177" s="427"/>
      <c r="AO177" s="427"/>
      <c r="AP177" s="427"/>
      <c r="AQ177" s="427"/>
    </row>
    <row r="178" spans="1:43" ht="16" customHeight="1">
      <c r="A178" s="427"/>
      <c r="B178" s="427"/>
      <c r="C178" s="428">
        <v>145</v>
      </c>
      <c r="D178" s="456">
        <v>46167</v>
      </c>
      <c r="E178" s="959"/>
      <c r="F178" s="958">
        <f>Tabla15[[#This Row],[Retiros]]-Tabla15[[#This Row],[Contado]]</f>
        <v>0</v>
      </c>
      <c r="G178" s="959"/>
      <c r="H178" s="959"/>
      <c r="I178" s="959"/>
      <c r="J178" s="959"/>
      <c r="K178" s="958"/>
      <c r="L178" s="958"/>
      <c r="M178" s="959"/>
      <c r="N178" s="959">
        <f>Tabla15[[#This Row],[Contado]]</f>
        <v>0</v>
      </c>
      <c r="O178" s="959"/>
      <c r="P178" s="443">
        <f>((Tabla15[[#This Row],[Contado]]+Tabla15[[#This Row],[Visa]]+Tabla15[[#This Row],[Eventos]]+Tabla15[[#This Row],[Passo]]+Tabla15[[#This Row],[Reciclajes]])/1.1)+Tabla15[[#This Row],[Tickets]]</f>
        <v>0</v>
      </c>
      <c r="Q178" s="445">
        <v>0</v>
      </c>
      <c r="R178" s="445">
        <f t="shared" si="8"/>
        <v>0</v>
      </c>
      <c r="S178" s="446"/>
      <c r="T178" s="447">
        <v>0</v>
      </c>
      <c r="U178" s="447">
        <f>Tabla15[[#This Row],[Total Caja]]-Tabla15[[#This Row],[Facturació A/A]]</f>
        <v>0</v>
      </c>
      <c r="V178" s="447">
        <f t="shared" si="9"/>
        <v>-16293.729090909099</v>
      </c>
      <c r="W178" s="450" t="e">
        <f>Tabla15[[#This Row],[Diferencia]]/Tabla15[[#This Row],[Facturació A/A]]</f>
        <v>#DIV/0!</v>
      </c>
      <c r="X178" s="447">
        <f>Tabla15[[#This Row],[Facturació A/A]]*H$17+Tabla15[[#This Row],[Facturació A/A]]</f>
        <v>0</v>
      </c>
      <c r="Y178" s="447">
        <f>Tabla15[[#This Row],[Total Caja]]-Tabla15[[#This Row],[Previsión]]</f>
        <v>0</v>
      </c>
      <c r="Z178" s="446"/>
      <c r="AA178" s="447" t="e">
        <f>SUM(INDEX(Tabla15[[#This Row],[Facturació A/A]],1):Tabla15[[#This Row],[Facturació A/A]]) / SUM(INDEX(Tabla15[[#This Row],[Diferencia]],1):Tabla15[[#This Row],[Diferencia]])</f>
        <v>#DIV/0!</v>
      </c>
      <c r="AB178" s="446"/>
      <c r="AC178" s="427"/>
      <c r="AD178" s="427"/>
      <c r="AE178" s="427"/>
      <c r="AF178" s="427"/>
      <c r="AG178" s="427"/>
      <c r="AH178" s="427"/>
      <c r="AI178" s="427"/>
      <c r="AJ178" s="427"/>
      <c r="AK178" s="427"/>
      <c r="AL178" s="427"/>
      <c r="AM178" s="427"/>
      <c r="AN178" s="427"/>
      <c r="AO178" s="427"/>
      <c r="AP178" s="427"/>
      <c r="AQ178" s="427"/>
    </row>
    <row r="179" spans="1:43" ht="16" customHeight="1">
      <c r="A179" s="427"/>
      <c r="B179" s="427"/>
      <c r="C179" s="428">
        <v>146</v>
      </c>
      <c r="D179" s="456">
        <v>46168</v>
      </c>
      <c r="E179" s="959"/>
      <c r="F179" s="958">
        <f>Tabla15[[#This Row],[Retiros]]-Tabla15[[#This Row],[Contado]]</f>
        <v>0</v>
      </c>
      <c r="G179" s="959"/>
      <c r="H179" s="959"/>
      <c r="I179" s="959"/>
      <c r="J179" s="959"/>
      <c r="K179" s="958"/>
      <c r="L179" s="958"/>
      <c r="M179" s="959"/>
      <c r="N179" s="959">
        <f>Tabla15[[#This Row],[Contado]]</f>
        <v>0</v>
      </c>
      <c r="O179" s="959"/>
      <c r="P179" s="443">
        <f>((Tabla15[[#This Row],[Contado]]+Tabla15[[#This Row],[Visa]]+Tabla15[[#This Row],[Eventos]]+Tabla15[[#This Row],[Passo]]+Tabla15[[#This Row],[Reciclajes]])/1.1)+Tabla15[[#This Row],[Tickets]]</f>
        <v>0</v>
      </c>
      <c r="Q179" s="445">
        <v>0</v>
      </c>
      <c r="R179" s="445">
        <f t="shared" si="8"/>
        <v>0</v>
      </c>
      <c r="S179" s="446"/>
      <c r="T179" s="447">
        <v>0</v>
      </c>
      <c r="U179" s="447">
        <f>Tabla15[[#This Row],[Total Caja]]-Tabla15[[#This Row],[Facturació A/A]]</f>
        <v>0</v>
      </c>
      <c r="V179" s="447">
        <f t="shared" si="9"/>
        <v>-16293.729090909099</v>
      </c>
      <c r="W179" s="450" t="e">
        <f>Tabla15[[#This Row],[Diferencia]]/Tabla15[[#This Row],[Facturació A/A]]</f>
        <v>#DIV/0!</v>
      </c>
      <c r="X179" s="447">
        <f>Tabla15[[#This Row],[Facturació A/A]]*H$17+Tabla15[[#This Row],[Facturació A/A]]</f>
        <v>0</v>
      </c>
      <c r="Y179" s="447">
        <f>Tabla15[[#This Row],[Total Caja]]-Tabla15[[#This Row],[Previsión]]</f>
        <v>0</v>
      </c>
      <c r="Z179" s="446"/>
      <c r="AA179" s="447" t="e">
        <f>SUM(INDEX(Tabla15[[#This Row],[Facturació A/A]],1):Tabla15[[#This Row],[Facturació A/A]]) / SUM(INDEX(Tabla15[[#This Row],[Diferencia]],1):Tabla15[[#This Row],[Diferencia]])</f>
        <v>#DIV/0!</v>
      </c>
      <c r="AB179" s="446"/>
      <c r="AC179" s="427"/>
      <c r="AD179" s="427"/>
      <c r="AE179" s="427"/>
      <c r="AF179" s="427"/>
      <c r="AG179" s="427"/>
      <c r="AH179" s="427"/>
      <c r="AI179" s="427"/>
      <c r="AJ179" s="427"/>
      <c r="AK179" s="427"/>
      <c r="AL179" s="427"/>
      <c r="AM179" s="427"/>
      <c r="AN179" s="427"/>
      <c r="AO179" s="427"/>
      <c r="AP179" s="427"/>
      <c r="AQ179" s="427"/>
    </row>
    <row r="180" spans="1:43" ht="16" customHeight="1">
      <c r="A180" s="427"/>
      <c r="B180" s="427"/>
      <c r="C180" s="428">
        <v>147</v>
      </c>
      <c r="D180" s="456">
        <v>46169</v>
      </c>
      <c r="E180" s="959"/>
      <c r="F180" s="958">
        <f>Tabla15[[#This Row],[Retiros]]-Tabla15[[#This Row],[Contado]]</f>
        <v>0</v>
      </c>
      <c r="G180" s="959"/>
      <c r="H180" s="959"/>
      <c r="I180" s="959"/>
      <c r="J180" s="959"/>
      <c r="K180" s="958"/>
      <c r="L180" s="958"/>
      <c r="M180" s="959"/>
      <c r="N180" s="959">
        <f>Tabla15[[#This Row],[Contado]]</f>
        <v>0</v>
      </c>
      <c r="O180" s="959"/>
      <c r="P180" s="443">
        <f>((Tabla15[[#This Row],[Contado]]+Tabla15[[#This Row],[Visa]]+Tabla15[[#This Row],[Eventos]]+Tabla15[[#This Row],[Passo]]+Tabla15[[#This Row],[Reciclajes]])/1.1)+Tabla15[[#This Row],[Tickets]]</f>
        <v>0</v>
      </c>
      <c r="Q180" s="445">
        <v>0</v>
      </c>
      <c r="R180" s="445">
        <f t="shared" si="8"/>
        <v>0</v>
      </c>
      <c r="S180" s="446"/>
      <c r="T180" s="447">
        <v>748.09</v>
      </c>
      <c r="U180" s="447">
        <f>Tabla15[[#This Row],[Total Caja]]-Tabla15[[#This Row],[Facturació A/A]]</f>
        <v>-748.09</v>
      </c>
      <c r="V180" s="447">
        <f t="shared" si="9"/>
        <v>-17041.819090909099</v>
      </c>
      <c r="W180" s="450">
        <f>Tabla15[[#This Row],[Diferencia]]/Tabla15[[#This Row],[Facturació A/A]]</f>
        <v>-1</v>
      </c>
      <c r="X180" s="447">
        <f>Tabla15[[#This Row],[Facturació A/A]]*H$17+Tabla15[[#This Row],[Facturació A/A]]</f>
        <v>770.53269999999998</v>
      </c>
      <c r="Y180" s="447">
        <f>Tabla15[[#This Row],[Total Caja]]-Tabla15[[#This Row],[Previsión]]</f>
        <v>-770.53269999999998</v>
      </c>
      <c r="Z180" s="446"/>
      <c r="AA180" s="447">
        <f>SUM(INDEX(Tabla15[[#This Row],[Facturació A/A]],1):Tabla15[[#This Row],[Facturació A/A]]) / SUM(INDEX(Tabla15[[#This Row],[Diferencia]],1):Tabla15[[#This Row],[Diferencia]])</f>
        <v>-1</v>
      </c>
      <c r="AB180" s="446"/>
      <c r="AC180" s="427"/>
      <c r="AD180" s="427"/>
      <c r="AE180" s="427"/>
      <c r="AF180" s="427"/>
      <c r="AG180" s="427"/>
      <c r="AH180" s="427"/>
      <c r="AI180" s="427"/>
      <c r="AJ180" s="427"/>
      <c r="AK180" s="427"/>
      <c r="AL180" s="427"/>
      <c r="AM180" s="427"/>
      <c r="AN180" s="427"/>
      <c r="AO180" s="427"/>
      <c r="AP180" s="427"/>
      <c r="AQ180" s="427"/>
    </row>
    <row r="181" spans="1:43" ht="16" customHeight="1">
      <c r="A181" s="427"/>
      <c r="B181" s="427"/>
      <c r="C181" s="428">
        <v>148</v>
      </c>
      <c r="D181" s="456">
        <v>46170</v>
      </c>
      <c r="E181" s="959"/>
      <c r="F181" s="958">
        <f>Tabla15[[#This Row],[Retiros]]-Tabla15[[#This Row],[Contado]]</f>
        <v>0</v>
      </c>
      <c r="G181" s="959"/>
      <c r="H181" s="959"/>
      <c r="I181" s="959"/>
      <c r="J181" s="959"/>
      <c r="K181" s="958"/>
      <c r="L181" s="958"/>
      <c r="M181" s="959"/>
      <c r="N181" s="959">
        <f>Tabla15[[#This Row],[Contado]]</f>
        <v>0</v>
      </c>
      <c r="O181" s="959"/>
      <c r="P181" s="443">
        <f>((Tabla15[[#This Row],[Contado]]+Tabla15[[#This Row],[Visa]]+Tabla15[[#This Row],[Eventos]]+Tabla15[[#This Row],[Passo]]+Tabla15[[#This Row],[Reciclajes]])/1.1)+Tabla15[[#This Row],[Tickets]]</f>
        <v>0</v>
      </c>
      <c r="Q181" s="445">
        <v>0</v>
      </c>
      <c r="R181" s="445">
        <f t="shared" si="8"/>
        <v>0</v>
      </c>
      <c r="S181" s="446"/>
      <c r="T181" s="447">
        <v>786.82</v>
      </c>
      <c r="U181" s="447">
        <f>Tabla15[[#This Row],[Total Caja]]-Tabla15[[#This Row],[Facturació A/A]]</f>
        <v>-786.82</v>
      </c>
      <c r="V181" s="447">
        <f t="shared" si="9"/>
        <v>-17828.639090909099</v>
      </c>
      <c r="W181" s="450">
        <f>Tabla15[[#This Row],[Diferencia]]/Tabla15[[#This Row],[Facturació A/A]]</f>
        <v>-1</v>
      </c>
      <c r="X181" s="447">
        <f>Tabla15[[#This Row],[Facturació A/A]]*H$17+Tabla15[[#This Row],[Facturació A/A]]</f>
        <v>810.42460000000005</v>
      </c>
      <c r="Y181" s="447">
        <f>Tabla15[[#This Row],[Total Caja]]-Tabla15[[#This Row],[Previsión]]</f>
        <v>-810.42460000000005</v>
      </c>
      <c r="Z181" s="446"/>
      <c r="AA181" s="447">
        <f>SUM(INDEX(Tabla15[[#This Row],[Facturació A/A]],1):Tabla15[[#This Row],[Facturació A/A]]) / SUM(INDEX(Tabla15[[#This Row],[Diferencia]],1):Tabla15[[#This Row],[Diferencia]])</f>
        <v>-1</v>
      </c>
      <c r="AB181" s="446"/>
      <c r="AC181" s="427"/>
      <c r="AD181" s="427"/>
      <c r="AE181" s="427"/>
      <c r="AF181" s="427"/>
      <c r="AG181" s="427"/>
      <c r="AH181" s="427"/>
      <c r="AI181" s="427"/>
      <c r="AJ181" s="427"/>
      <c r="AK181" s="427"/>
      <c r="AL181" s="427"/>
      <c r="AM181" s="427"/>
      <c r="AN181" s="427"/>
      <c r="AO181" s="427"/>
      <c r="AP181" s="427"/>
      <c r="AQ181" s="427"/>
    </row>
    <row r="182" spans="1:43" ht="16" customHeight="1">
      <c r="A182" s="427"/>
      <c r="B182" s="427"/>
      <c r="C182" s="428">
        <v>149</v>
      </c>
      <c r="D182" s="456">
        <v>46171</v>
      </c>
      <c r="E182" s="959"/>
      <c r="F182" s="958">
        <f>Tabla15[[#This Row],[Retiros]]-Tabla15[[#This Row],[Contado]]</f>
        <v>0</v>
      </c>
      <c r="G182" s="959"/>
      <c r="H182" s="959"/>
      <c r="I182" s="959"/>
      <c r="J182" s="959"/>
      <c r="K182" s="958"/>
      <c r="L182" s="958"/>
      <c r="M182" s="959"/>
      <c r="N182" s="959">
        <f>Tabla15[[#This Row],[Contado]]</f>
        <v>0</v>
      </c>
      <c r="O182" s="959"/>
      <c r="P182" s="443">
        <f>((Tabla15[[#This Row],[Contado]]+Tabla15[[#This Row],[Visa]]+Tabla15[[#This Row],[Eventos]]+Tabla15[[#This Row],[Passo]]+Tabla15[[#This Row],[Reciclajes]])/1.1)+Tabla15[[#This Row],[Tickets]]</f>
        <v>0</v>
      </c>
      <c r="Q182" s="445">
        <v>0</v>
      </c>
      <c r="R182" s="445">
        <f t="shared" si="8"/>
        <v>0</v>
      </c>
      <c r="S182" s="446"/>
      <c r="T182" s="447">
        <v>1653.64</v>
      </c>
      <c r="U182" s="447">
        <f>Tabla15[[#This Row],[Total Caja]]-Tabla15[[#This Row],[Facturació A/A]]</f>
        <v>-1653.64</v>
      </c>
      <c r="V182" s="447">
        <f t="shared" si="9"/>
        <v>-19482.279090909098</v>
      </c>
      <c r="W182" s="450">
        <f>Tabla15[[#This Row],[Diferencia]]/Tabla15[[#This Row],[Facturació A/A]]</f>
        <v>-1</v>
      </c>
      <c r="X182" s="447">
        <f>Tabla15[[#This Row],[Facturació A/A]]*H$17+Tabla15[[#This Row],[Facturació A/A]]</f>
        <v>1703.2492000000002</v>
      </c>
      <c r="Y182" s="447">
        <f>Tabla15[[#This Row],[Total Caja]]-Tabla15[[#This Row],[Previsión]]</f>
        <v>-1703.2492000000002</v>
      </c>
      <c r="Z182" s="446"/>
      <c r="AA182" s="447">
        <f>SUM(INDEX(Tabla15[[#This Row],[Facturació A/A]],1):Tabla15[[#This Row],[Facturació A/A]]) / SUM(INDEX(Tabla15[[#This Row],[Diferencia]],1):Tabla15[[#This Row],[Diferencia]])</f>
        <v>-1</v>
      </c>
      <c r="AB182" s="446"/>
      <c r="AC182" s="427"/>
      <c r="AD182" s="427"/>
      <c r="AE182" s="427"/>
      <c r="AF182" s="427"/>
      <c r="AG182" s="427"/>
      <c r="AH182" s="427"/>
      <c r="AI182" s="427"/>
      <c r="AJ182" s="427"/>
      <c r="AK182" s="427"/>
      <c r="AL182" s="427"/>
      <c r="AM182" s="427"/>
      <c r="AN182" s="427"/>
      <c r="AO182" s="427"/>
      <c r="AP182" s="427"/>
      <c r="AQ182" s="427"/>
    </row>
    <row r="183" spans="1:43" ht="16" customHeight="1">
      <c r="A183" s="427"/>
      <c r="B183" s="427"/>
      <c r="C183" s="428">
        <v>150</v>
      </c>
      <c r="D183" s="456">
        <v>46172</v>
      </c>
      <c r="E183" s="959"/>
      <c r="F183" s="958">
        <f>Tabla15[[#This Row],[Retiros]]-Tabla15[[#This Row],[Contado]]</f>
        <v>0</v>
      </c>
      <c r="G183" s="959"/>
      <c r="H183" s="959"/>
      <c r="I183" s="959"/>
      <c r="J183" s="959"/>
      <c r="K183" s="958"/>
      <c r="L183" s="958"/>
      <c r="M183" s="959"/>
      <c r="N183" s="959">
        <f>Tabla15[[#This Row],[Contado]]</f>
        <v>0</v>
      </c>
      <c r="O183" s="959"/>
      <c r="P183" s="443">
        <f>((Tabla15[[#This Row],[Contado]]+Tabla15[[#This Row],[Visa]]+Tabla15[[#This Row],[Eventos]]+Tabla15[[#This Row],[Passo]]+Tabla15[[#This Row],[Reciclajes]])/1.1)+Tabla15[[#This Row],[Tickets]]</f>
        <v>0</v>
      </c>
      <c r="Q183" s="445">
        <v>0</v>
      </c>
      <c r="R183" s="445">
        <f t="shared" si="8"/>
        <v>0</v>
      </c>
      <c r="S183" s="446"/>
      <c r="T183" s="447">
        <v>1762.73</v>
      </c>
      <c r="U183" s="447">
        <f>Tabla15[[#This Row],[Total Caja]]-Tabla15[[#This Row],[Facturació A/A]]</f>
        <v>-1762.73</v>
      </c>
      <c r="V183" s="447">
        <f t="shared" si="9"/>
        <v>-21245.009090909098</v>
      </c>
      <c r="W183" s="450">
        <f>Tabla15[[#This Row],[Diferencia]]/Tabla15[[#This Row],[Facturació A/A]]</f>
        <v>-1</v>
      </c>
      <c r="X183" s="447">
        <f>Tabla15[[#This Row],[Facturació A/A]]*H$17+Tabla15[[#This Row],[Facturació A/A]]</f>
        <v>1815.6119000000001</v>
      </c>
      <c r="Y183" s="447">
        <f>Tabla15[[#This Row],[Total Caja]]-Tabla15[[#This Row],[Previsión]]</f>
        <v>-1815.6119000000001</v>
      </c>
      <c r="Z183" s="446"/>
      <c r="AA183" s="447">
        <f>SUM(INDEX(Tabla15[[#This Row],[Facturació A/A]],1):Tabla15[[#This Row],[Facturació A/A]]) / SUM(INDEX(Tabla15[[#This Row],[Diferencia]],1):Tabla15[[#This Row],[Diferencia]])</f>
        <v>-1</v>
      </c>
      <c r="AB183" s="446"/>
      <c r="AC183" s="427"/>
      <c r="AD183" s="427"/>
      <c r="AE183" s="427"/>
      <c r="AF183" s="427"/>
      <c r="AG183" s="427"/>
      <c r="AH183" s="427"/>
      <c r="AI183" s="427"/>
      <c r="AJ183" s="427"/>
      <c r="AK183" s="427"/>
      <c r="AL183" s="427"/>
      <c r="AM183" s="427"/>
      <c r="AN183" s="427"/>
      <c r="AO183" s="427"/>
      <c r="AP183" s="427"/>
      <c r="AQ183" s="427"/>
    </row>
    <row r="184" spans="1:43" ht="16" customHeight="1">
      <c r="A184" s="427"/>
      <c r="B184" s="427"/>
      <c r="C184" s="428">
        <v>151</v>
      </c>
      <c r="D184" s="456">
        <v>46173</v>
      </c>
      <c r="E184" s="959"/>
      <c r="F184" s="958">
        <f>Tabla15[[#This Row],[Retiros]]-Tabla15[[#This Row],[Contado]]</f>
        <v>0</v>
      </c>
      <c r="G184" s="959"/>
      <c r="H184" s="959"/>
      <c r="I184" s="959"/>
      <c r="J184" s="959"/>
      <c r="K184" s="958"/>
      <c r="L184" s="958"/>
      <c r="M184" s="959"/>
      <c r="N184" s="959">
        <f>Tabla15[[#This Row],[Contado]]</f>
        <v>0</v>
      </c>
      <c r="O184" s="959"/>
      <c r="P184" s="443">
        <f>((Tabla15[[#This Row],[Contado]]+Tabla15[[#This Row],[Visa]]+Tabla15[[#This Row],[Eventos]]+Tabla15[[#This Row],[Passo]]+Tabla15[[#This Row],[Reciclajes]])/1.1)+Tabla15[[#This Row],[Tickets]]</f>
        <v>0</v>
      </c>
      <c r="Q184" s="445">
        <v>0</v>
      </c>
      <c r="R184" s="445">
        <f t="shared" si="8"/>
        <v>0</v>
      </c>
      <c r="S184" s="446"/>
      <c r="T184" s="447">
        <v>1378.48</v>
      </c>
      <c r="U184" s="447">
        <f>Tabla15[[#This Row],[Total Caja]]-Tabla15[[#This Row],[Facturació A/A]]</f>
        <v>-1378.48</v>
      </c>
      <c r="V184" s="447">
        <f t="shared" si="9"/>
        <v>-22623.489090909097</v>
      </c>
      <c r="W184" s="450">
        <f>Tabla15[[#This Row],[Diferencia]]/Tabla15[[#This Row],[Facturació A/A]]</f>
        <v>-1</v>
      </c>
      <c r="X184" s="447">
        <f>Tabla15[[#This Row],[Facturació A/A]]*H$17+Tabla15[[#This Row],[Facturació A/A]]</f>
        <v>1419.8344</v>
      </c>
      <c r="Y184" s="447">
        <f>Tabla15[[#This Row],[Total Caja]]-Tabla15[[#This Row],[Previsión]]</f>
        <v>-1419.8344</v>
      </c>
      <c r="Z184" s="446"/>
      <c r="AA184" s="447">
        <f>SUM(INDEX(Tabla15[[#This Row],[Facturació A/A]],1):Tabla15[[#This Row],[Facturació A/A]]) / SUM(INDEX(Tabla15[[#This Row],[Diferencia]],1):Tabla15[[#This Row],[Diferencia]])</f>
        <v>-1</v>
      </c>
      <c r="AB184" s="446"/>
      <c r="AC184" s="427"/>
      <c r="AD184" s="427"/>
      <c r="AE184" s="427"/>
      <c r="AF184" s="427"/>
      <c r="AG184" s="427"/>
      <c r="AH184" s="427"/>
      <c r="AI184" s="427"/>
      <c r="AJ184" s="427"/>
      <c r="AK184" s="427"/>
      <c r="AL184" s="427"/>
      <c r="AM184" s="427"/>
      <c r="AN184" s="427"/>
      <c r="AO184" s="427"/>
      <c r="AP184" s="427"/>
      <c r="AQ184" s="427"/>
    </row>
    <row r="185" spans="1:43" ht="16" customHeight="1">
      <c r="A185" s="427"/>
      <c r="B185" s="427"/>
      <c r="C185" s="428">
        <v>152</v>
      </c>
      <c r="D185" s="442">
        <v>46174</v>
      </c>
      <c r="E185" s="959"/>
      <c r="F185" s="958">
        <f>Tabla15[[#This Row],[Retiros]]-Tabla15[[#This Row],[Contado]]</f>
        <v>0</v>
      </c>
      <c r="G185" s="959"/>
      <c r="H185" s="959"/>
      <c r="I185" s="959"/>
      <c r="J185" s="959"/>
      <c r="K185" s="958"/>
      <c r="L185" s="958"/>
      <c r="M185" s="959"/>
      <c r="N185" s="959">
        <f>Tabla15[[#This Row],[Contado]]</f>
        <v>0</v>
      </c>
      <c r="O185" s="959"/>
      <c r="P185" s="443">
        <f>((Tabla15[[#This Row],[Contado]]+Tabla15[[#This Row],[Visa]]+Tabla15[[#This Row],[Eventos]]+Tabla15[[#This Row],[Passo]]+Tabla15[[#This Row],[Reciclajes]])/1.1)+Tabla15[[#This Row],[Tickets]]</f>
        <v>0</v>
      </c>
      <c r="Q185" s="445">
        <v>0</v>
      </c>
      <c r="R185" s="445">
        <f t="shared" si="8"/>
        <v>0</v>
      </c>
      <c r="S185" s="446"/>
      <c r="T185" s="447">
        <v>0</v>
      </c>
      <c r="U185" s="447">
        <f>Tabla15[[#This Row],[Total Caja]]-Tabla15[[#This Row],[Facturació A/A]]</f>
        <v>0</v>
      </c>
      <c r="V185" s="447">
        <f t="shared" si="9"/>
        <v>-22623.489090909097</v>
      </c>
      <c r="W185" s="450" t="e">
        <f>Tabla15[[#This Row],[Diferencia]]/Tabla15[[#This Row],[Facturació A/A]]</f>
        <v>#DIV/0!</v>
      </c>
      <c r="X185" s="447">
        <f>Tabla15[[#This Row],[Facturació A/A]]*H$17+Tabla15[[#This Row],[Facturació A/A]]</f>
        <v>0</v>
      </c>
      <c r="Y185" s="447">
        <f>Tabla15[[#This Row],[Total Caja]]-Tabla15[[#This Row],[Previsión]]</f>
        <v>0</v>
      </c>
      <c r="Z185" s="446"/>
      <c r="AA185" s="447" t="e">
        <f>SUM(INDEX(Tabla15[[#This Row],[Facturació A/A]],1):Tabla15[[#This Row],[Facturació A/A]]) / SUM(INDEX(Tabla15[[#This Row],[Diferencia]],1):Tabla15[[#This Row],[Diferencia]])</f>
        <v>#DIV/0!</v>
      </c>
      <c r="AB185" s="446"/>
      <c r="AC185" s="427"/>
      <c r="AD185" s="427"/>
      <c r="AE185" s="427"/>
      <c r="AF185" s="427"/>
      <c r="AG185" s="427"/>
      <c r="AH185" s="427"/>
      <c r="AI185" s="427"/>
      <c r="AJ185" s="427"/>
      <c r="AK185" s="427"/>
      <c r="AL185" s="427"/>
      <c r="AM185" s="427"/>
      <c r="AN185" s="427"/>
      <c r="AO185" s="427"/>
      <c r="AP185" s="427"/>
      <c r="AQ185" s="427"/>
    </row>
    <row r="186" spans="1:43" ht="16" customHeight="1">
      <c r="A186" s="427"/>
      <c r="B186" s="427"/>
      <c r="C186" s="428">
        <v>153</v>
      </c>
      <c r="D186" s="456">
        <v>46175</v>
      </c>
      <c r="E186" s="959"/>
      <c r="F186" s="958">
        <f>Tabla15[[#This Row],[Retiros]]-Tabla15[[#This Row],[Contado]]</f>
        <v>0</v>
      </c>
      <c r="G186" s="959"/>
      <c r="H186" s="959"/>
      <c r="I186" s="959"/>
      <c r="J186" s="959"/>
      <c r="K186" s="958"/>
      <c r="L186" s="958"/>
      <c r="M186" s="959"/>
      <c r="N186" s="959">
        <f>Tabla15[[#This Row],[Contado]]</f>
        <v>0</v>
      </c>
      <c r="O186" s="959"/>
      <c r="P186" s="443">
        <f>((Tabla15[[#This Row],[Contado]]+Tabla15[[#This Row],[Visa]]+Tabla15[[#This Row],[Eventos]]+Tabla15[[#This Row],[Passo]]+Tabla15[[#This Row],[Reciclajes]])/1.1)+Tabla15[[#This Row],[Tickets]]</f>
        <v>0</v>
      </c>
      <c r="Q186" s="445">
        <v>0</v>
      </c>
      <c r="R186" s="445">
        <f t="shared" si="8"/>
        <v>0</v>
      </c>
      <c r="S186" s="446"/>
      <c r="T186" s="447">
        <v>0</v>
      </c>
      <c r="U186" s="447">
        <f>Tabla15[[#This Row],[Total Caja]]-Tabla15[[#This Row],[Facturació A/A]]</f>
        <v>0</v>
      </c>
      <c r="V186" s="447">
        <f t="shared" si="9"/>
        <v>-22623.489090909097</v>
      </c>
      <c r="W186" s="450" t="e">
        <f>Tabla15[[#This Row],[Diferencia]]/Tabla15[[#This Row],[Facturació A/A]]</f>
        <v>#DIV/0!</v>
      </c>
      <c r="X186" s="447">
        <f>Tabla15[[#This Row],[Facturació A/A]]*H$17+Tabla15[[#This Row],[Facturació A/A]]</f>
        <v>0</v>
      </c>
      <c r="Y186" s="447">
        <f>Tabla15[[#This Row],[Total Caja]]-Tabla15[[#This Row],[Previsión]]</f>
        <v>0</v>
      </c>
      <c r="Z186" s="446"/>
      <c r="AA186" s="447" t="e">
        <f>SUM(INDEX(Tabla15[[#This Row],[Facturació A/A]],1):Tabla15[[#This Row],[Facturació A/A]]) / SUM(INDEX(Tabla15[[#This Row],[Diferencia]],1):Tabla15[[#This Row],[Diferencia]])</f>
        <v>#DIV/0!</v>
      </c>
      <c r="AB186" s="446"/>
      <c r="AC186" s="427"/>
      <c r="AD186" s="427"/>
      <c r="AE186" s="427"/>
      <c r="AF186" s="427"/>
      <c r="AG186" s="427"/>
      <c r="AH186" s="427"/>
      <c r="AI186" s="427"/>
      <c r="AJ186" s="427"/>
      <c r="AK186" s="427"/>
      <c r="AL186" s="427"/>
      <c r="AM186" s="427"/>
      <c r="AN186" s="427"/>
      <c r="AO186" s="427"/>
      <c r="AP186" s="427"/>
      <c r="AQ186" s="427"/>
    </row>
    <row r="187" spans="1:43" ht="16" customHeight="1">
      <c r="A187" s="427"/>
      <c r="B187" s="427"/>
      <c r="C187" s="428">
        <v>154</v>
      </c>
      <c r="D187" s="456">
        <v>46176</v>
      </c>
      <c r="E187" s="959"/>
      <c r="F187" s="958">
        <f>Tabla15[[#This Row],[Retiros]]-Tabla15[[#This Row],[Contado]]</f>
        <v>0</v>
      </c>
      <c r="G187" s="959"/>
      <c r="H187" s="959"/>
      <c r="I187" s="959"/>
      <c r="J187" s="959"/>
      <c r="K187" s="958"/>
      <c r="L187" s="958"/>
      <c r="M187" s="959"/>
      <c r="N187" s="959">
        <f>Tabla15[[#This Row],[Contado]]</f>
        <v>0</v>
      </c>
      <c r="O187" s="959"/>
      <c r="P187" s="443">
        <f>((Tabla15[[#This Row],[Contado]]+Tabla15[[#This Row],[Visa]]+Tabla15[[#This Row],[Eventos]]+Tabla15[[#This Row],[Passo]]+Tabla15[[#This Row],[Reciclajes]])/1.1)+Tabla15[[#This Row],[Tickets]]</f>
        <v>0</v>
      </c>
      <c r="Q187" s="445">
        <v>0</v>
      </c>
      <c r="R187" s="445">
        <f t="shared" si="8"/>
        <v>0</v>
      </c>
      <c r="S187" s="446"/>
      <c r="T187" s="447">
        <v>1329.5</v>
      </c>
      <c r="U187" s="447">
        <f>Tabla15[[#This Row],[Total Caja]]-Tabla15[[#This Row],[Facturació A/A]]</f>
        <v>-1329.5</v>
      </c>
      <c r="V187" s="447">
        <f t="shared" si="9"/>
        <v>-23952.989090909097</v>
      </c>
      <c r="W187" s="450">
        <f>Tabla15[[#This Row],[Diferencia]]/Tabla15[[#This Row],[Facturació A/A]]</f>
        <v>-1</v>
      </c>
      <c r="X187" s="447">
        <f>Tabla15[[#This Row],[Facturació A/A]]*H$17+Tabla15[[#This Row],[Facturació A/A]]</f>
        <v>1369.385</v>
      </c>
      <c r="Y187" s="447">
        <f>Tabla15[[#This Row],[Total Caja]]-Tabla15[[#This Row],[Previsión]]</f>
        <v>-1369.385</v>
      </c>
      <c r="Z187" s="446"/>
      <c r="AA187" s="447">
        <f>SUM(INDEX(Tabla15[[#This Row],[Facturació A/A]],1):Tabla15[[#This Row],[Facturació A/A]]) / SUM(INDEX(Tabla15[[#This Row],[Diferencia]],1):Tabla15[[#This Row],[Diferencia]])</f>
        <v>-1</v>
      </c>
      <c r="AB187" s="446"/>
      <c r="AC187" s="427"/>
      <c r="AD187" s="427"/>
      <c r="AE187" s="427"/>
      <c r="AF187" s="427"/>
      <c r="AG187" s="427"/>
      <c r="AH187" s="427"/>
      <c r="AI187" s="427"/>
      <c r="AJ187" s="427"/>
      <c r="AK187" s="427"/>
      <c r="AL187" s="427"/>
      <c r="AM187" s="427"/>
      <c r="AN187" s="427"/>
      <c r="AO187" s="427"/>
      <c r="AP187" s="427"/>
      <c r="AQ187" s="427"/>
    </row>
    <row r="188" spans="1:43" ht="16" customHeight="1">
      <c r="A188" s="427"/>
      <c r="B188" s="427"/>
      <c r="C188" s="428">
        <v>155</v>
      </c>
      <c r="D188" s="456">
        <v>46177</v>
      </c>
      <c r="E188" s="959"/>
      <c r="F188" s="958">
        <f>Tabla15[[#This Row],[Retiros]]-Tabla15[[#This Row],[Contado]]</f>
        <v>0</v>
      </c>
      <c r="G188" s="959"/>
      <c r="H188" s="959"/>
      <c r="I188" s="959"/>
      <c r="J188" s="959"/>
      <c r="K188" s="958"/>
      <c r="L188" s="958"/>
      <c r="M188" s="959"/>
      <c r="N188" s="959">
        <f>Tabla15[[#This Row],[Contado]]</f>
        <v>0</v>
      </c>
      <c r="O188" s="959"/>
      <c r="P188" s="443">
        <f>((Tabla15[[#This Row],[Contado]]+Tabla15[[#This Row],[Visa]]+Tabla15[[#This Row],[Eventos]]+Tabla15[[#This Row],[Passo]]+Tabla15[[#This Row],[Reciclajes]])/1.1)+Tabla15[[#This Row],[Tickets]]</f>
        <v>0</v>
      </c>
      <c r="Q188" s="445">
        <v>0</v>
      </c>
      <c r="R188" s="445">
        <f t="shared" si="8"/>
        <v>0</v>
      </c>
      <c r="S188" s="446"/>
      <c r="T188" s="447">
        <v>766.43</v>
      </c>
      <c r="U188" s="447">
        <f>Tabla15[[#This Row],[Total Caja]]-Tabla15[[#This Row],[Facturació A/A]]</f>
        <v>-766.43</v>
      </c>
      <c r="V188" s="447">
        <f t="shared" si="9"/>
        <v>-24719.419090909098</v>
      </c>
      <c r="W188" s="450">
        <f>Tabla15[[#This Row],[Diferencia]]/Tabla15[[#This Row],[Facturació A/A]]</f>
        <v>-1</v>
      </c>
      <c r="X188" s="447">
        <f>Tabla15[[#This Row],[Facturació A/A]]*H$17+Tabla15[[#This Row],[Facturació A/A]]</f>
        <v>789.42289999999991</v>
      </c>
      <c r="Y188" s="447">
        <f>Tabla15[[#This Row],[Total Caja]]-Tabla15[[#This Row],[Previsión]]</f>
        <v>-789.42289999999991</v>
      </c>
      <c r="Z188" s="446"/>
      <c r="AA188" s="447">
        <f>SUM(INDEX(Tabla15[[#This Row],[Facturació A/A]],1):Tabla15[[#This Row],[Facturació A/A]]) / SUM(INDEX(Tabla15[[#This Row],[Diferencia]],1):Tabla15[[#This Row],[Diferencia]])</f>
        <v>-1</v>
      </c>
      <c r="AB188" s="446"/>
      <c r="AC188" s="427"/>
      <c r="AD188" s="427"/>
      <c r="AE188" s="427"/>
      <c r="AF188" s="427"/>
      <c r="AG188" s="427"/>
      <c r="AH188" s="427"/>
      <c r="AI188" s="427"/>
      <c r="AJ188" s="427"/>
      <c r="AK188" s="427"/>
      <c r="AL188" s="427"/>
      <c r="AM188" s="427"/>
      <c r="AN188" s="427"/>
      <c r="AO188" s="427"/>
      <c r="AP188" s="427"/>
      <c r="AQ188" s="427"/>
    </row>
    <row r="189" spans="1:43" ht="16" customHeight="1">
      <c r="A189" s="427"/>
      <c r="B189" s="427"/>
      <c r="C189" s="428">
        <v>156</v>
      </c>
      <c r="D189" s="456">
        <v>46178</v>
      </c>
      <c r="E189" s="959"/>
      <c r="F189" s="958">
        <f>Tabla15[[#This Row],[Retiros]]-Tabla15[[#This Row],[Contado]]</f>
        <v>0</v>
      </c>
      <c r="G189" s="959"/>
      <c r="H189" s="959"/>
      <c r="I189" s="959"/>
      <c r="J189" s="959"/>
      <c r="K189" s="958"/>
      <c r="L189" s="958"/>
      <c r="M189" s="959"/>
      <c r="N189" s="959">
        <f>Tabla15[[#This Row],[Contado]]</f>
        <v>0</v>
      </c>
      <c r="O189" s="959"/>
      <c r="P189" s="443">
        <f>((Tabla15[[#This Row],[Contado]]+Tabla15[[#This Row],[Visa]]+Tabla15[[#This Row],[Eventos]]+Tabla15[[#This Row],[Passo]]+Tabla15[[#This Row],[Reciclajes]])/1.1)+Tabla15[[#This Row],[Tickets]]</f>
        <v>0</v>
      </c>
      <c r="Q189" s="445">
        <v>0</v>
      </c>
      <c r="R189" s="445">
        <f t="shared" si="8"/>
        <v>0</v>
      </c>
      <c r="S189" s="446"/>
      <c r="T189" s="447">
        <v>1886.67</v>
      </c>
      <c r="U189" s="447">
        <f>Tabla15[[#This Row],[Total Caja]]-Tabla15[[#This Row],[Facturació A/A]]</f>
        <v>-1886.67</v>
      </c>
      <c r="V189" s="447">
        <f t="shared" si="9"/>
        <v>-26606.089090909096</v>
      </c>
      <c r="W189" s="450">
        <f>Tabla15[[#This Row],[Diferencia]]/Tabla15[[#This Row],[Facturació A/A]]</f>
        <v>-1</v>
      </c>
      <c r="X189" s="447">
        <f>Tabla15[[#This Row],[Facturació A/A]]*H$17+Tabla15[[#This Row],[Facturació A/A]]</f>
        <v>1943.2701000000002</v>
      </c>
      <c r="Y189" s="447">
        <f>Tabla15[[#This Row],[Total Caja]]-Tabla15[[#This Row],[Previsión]]</f>
        <v>-1943.2701000000002</v>
      </c>
      <c r="Z189" s="446"/>
      <c r="AA189" s="447">
        <f>SUM(INDEX(Tabla15[[#This Row],[Facturació A/A]],1):Tabla15[[#This Row],[Facturació A/A]]) / SUM(INDEX(Tabla15[[#This Row],[Diferencia]],1):Tabla15[[#This Row],[Diferencia]])</f>
        <v>-1</v>
      </c>
      <c r="AB189" s="446"/>
      <c r="AC189" s="427"/>
      <c r="AD189" s="427"/>
      <c r="AE189" s="427"/>
      <c r="AF189" s="427"/>
      <c r="AG189" s="427"/>
      <c r="AH189" s="427"/>
      <c r="AI189" s="427"/>
      <c r="AJ189" s="427"/>
      <c r="AK189" s="427"/>
      <c r="AL189" s="427"/>
      <c r="AM189" s="427"/>
      <c r="AN189" s="427"/>
      <c r="AO189" s="427"/>
      <c r="AP189" s="427"/>
      <c r="AQ189" s="427"/>
    </row>
    <row r="190" spans="1:43" ht="16" customHeight="1">
      <c r="A190" s="427"/>
      <c r="B190" s="427"/>
      <c r="C190" s="428">
        <v>157</v>
      </c>
      <c r="D190" s="456">
        <v>46179</v>
      </c>
      <c r="E190" s="959"/>
      <c r="F190" s="958">
        <f>Tabla15[[#This Row],[Retiros]]-Tabla15[[#This Row],[Contado]]</f>
        <v>0</v>
      </c>
      <c r="G190" s="959"/>
      <c r="H190" s="959"/>
      <c r="I190" s="959"/>
      <c r="J190" s="959"/>
      <c r="K190" s="958"/>
      <c r="L190" s="958"/>
      <c r="M190" s="959"/>
      <c r="N190" s="959">
        <f>Tabla15[[#This Row],[Contado]]</f>
        <v>0</v>
      </c>
      <c r="O190" s="959"/>
      <c r="P190" s="443">
        <f>((Tabla15[[#This Row],[Contado]]+Tabla15[[#This Row],[Visa]]+Tabla15[[#This Row],[Eventos]]+Tabla15[[#This Row],[Passo]]+Tabla15[[#This Row],[Reciclajes]])/1.1)+Tabla15[[#This Row],[Tickets]]</f>
        <v>0</v>
      </c>
      <c r="Q190" s="445">
        <v>0</v>
      </c>
      <c r="R190" s="445">
        <f t="shared" si="8"/>
        <v>0</v>
      </c>
      <c r="S190" s="446"/>
      <c r="T190" s="447">
        <v>2458.02</v>
      </c>
      <c r="U190" s="447">
        <f>Tabla15[[#This Row],[Total Caja]]-Tabla15[[#This Row],[Facturació A/A]]</f>
        <v>-2458.02</v>
      </c>
      <c r="V190" s="447">
        <f t="shared" si="9"/>
        <v>-29064.109090909096</v>
      </c>
      <c r="W190" s="450">
        <f>Tabla15[[#This Row],[Diferencia]]/Tabla15[[#This Row],[Facturació A/A]]</f>
        <v>-1</v>
      </c>
      <c r="X190" s="447">
        <f>Tabla15[[#This Row],[Facturació A/A]]*H$17+Tabla15[[#This Row],[Facturació A/A]]</f>
        <v>2531.7606000000001</v>
      </c>
      <c r="Y190" s="447">
        <f>Tabla15[[#This Row],[Total Caja]]-Tabla15[[#This Row],[Previsión]]</f>
        <v>-2531.7606000000001</v>
      </c>
      <c r="Z190" s="446"/>
      <c r="AA190" s="447">
        <f>SUM(INDEX(Tabla15[[#This Row],[Facturació A/A]],1):Tabla15[[#This Row],[Facturació A/A]]) / SUM(INDEX(Tabla15[[#This Row],[Diferencia]],1):Tabla15[[#This Row],[Diferencia]])</f>
        <v>-1</v>
      </c>
      <c r="AB190" s="446"/>
      <c r="AC190" s="427"/>
      <c r="AD190" s="427"/>
      <c r="AE190" s="427"/>
      <c r="AF190" s="427"/>
      <c r="AG190" s="427"/>
      <c r="AH190" s="427"/>
      <c r="AI190" s="427"/>
      <c r="AJ190" s="427"/>
      <c r="AK190" s="427"/>
      <c r="AL190" s="427"/>
      <c r="AM190" s="427"/>
      <c r="AN190" s="427"/>
      <c r="AO190" s="427"/>
      <c r="AP190" s="427"/>
      <c r="AQ190" s="427"/>
    </row>
    <row r="191" spans="1:43" ht="16" customHeight="1">
      <c r="A191" s="427"/>
      <c r="B191" s="427"/>
      <c r="C191" s="428">
        <v>158</v>
      </c>
      <c r="D191" s="456">
        <v>46180</v>
      </c>
      <c r="E191" s="959"/>
      <c r="F191" s="958">
        <f>Tabla15[[#This Row],[Retiros]]-Tabla15[[#This Row],[Contado]]</f>
        <v>0</v>
      </c>
      <c r="G191" s="959"/>
      <c r="H191" s="959"/>
      <c r="I191" s="959"/>
      <c r="J191" s="959"/>
      <c r="K191" s="958"/>
      <c r="L191" s="958"/>
      <c r="M191" s="959"/>
      <c r="N191" s="959">
        <f>Tabla15[[#This Row],[Contado]]</f>
        <v>0</v>
      </c>
      <c r="O191" s="959"/>
      <c r="P191" s="443">
        <f>((Tabla15[[#This Row],[Contado]]+Tabla15[[#This Row],[Visa]]+Tabla15[[#This Row],[Eventos]]+Tabla15[[#This Row],[Passo]]+Tabla15[[#This Row],[Reciclajes]])/1.1)+Tabla15[[#This Row],[Tickets]]</f>
        <v>0</v>
      </c>
      <c r="Q191" s="445">
        <v>0</v>
      </c>
      <c r="R191" s="445">
        <f t="shared" si="8"/>
        <v>0</v>
      </c>
      <c r="S191" s="446"/>
      <c r="T191" s="447">
        <v>1983.79</v>
      </c>
      <c r="U191" s="447">
        <f>Tabla15[[#This Row],[Total Caja]]-Tabla15[[#This Row],[Facturació A/A]]</f>
        <v>-1983.79</v>
      </c>
      <c r="V191" s="447">
        <f t="shared" si="9"/>
        <v>-31047.899090909097</v>
      </c>
      <c r="W191" s="450">
        <f>Tabla15[[#This Row],[Diferencia]]/Tabla15[[#This Row],[Facturació A/A]]</f>
        <v>-1</v>
      </c>
      <c r="X191" s="447">
        <f>Tabla15[[#This Row],[Facturació A/A]]*H$17+Tabla15[[#This Row],[Facturació A/A]]</f>
        <v>2043.3036999999999</v>
      </c>
      <c r="Y191" s="447">
        <f>Tabla15[[#This Row],[Total Caja]]-Tabla15[[#This Row],[Previsión]]</f>
        <v>-2043.3036999999999</v>
      </c>
      <c r="Z191" s="446"/>
      <c r="AA191" s="447">
        <f>SUM(INDEX(Tabla15[[#This Row],[Facturació A/A]],1):Tabla15[[#This Row],[Facturació A/A]]) / SUM(INDEX(Tabla15[[#This Row],[Diferencia]],1):Tabla15[[#This Row],[Diferencia]])</f>
        <v>-1</v>
      </c>
      <c r="AB191" s="446"/>
      <c r="AC191" s="427"/>
      <c r="AD191" s="427"/>
      <c r="AE191" s="427"/>
      <c r="AF191" s="427"/>
      <c r="AG191" s="427"/>
      <c r="AH191" s="427"/>
      <c r="AI191" s="427"/>
      <c r="AJ191" s="427"/>
      <c r="AK191" s="427"/>
      <c r="AL191" s="427"/>
      <c r="AM191" s="427"/>
      <c r="AN191" s="427"/>
      <c r="AO191" s="427"/>
      <c r="AP191" s="427"/>
      <c r="AQ191" s="427"/>
    </row>
    <row r="192" spans="1:43" ht="16" customHeight="1">
      <c r="A192" s="427"/>
      <c r="B192" s="427"/>
      <c r="C192" s="428">
        <v>159</v>
      </c>
      <c r="D192" s="456">
        <v>46181</v>
      </c>
      <c r="E192" s="959"/>
      <c r="F192" s="958">
        <f>Tabla15[[#This Row],[Retiros]]-Tabla15[[#This Row],[Contado]]</f>
        <v>0</v>
      </c>
      <c r="G192" s="959"/>
      <c r="H192" s="959"/>
      <c r="I192" s="959"/>
      <c r="J192" s="959"/>
      <c r="K192" s="958"/>
      <c r="L192" s="958"/>
      <c r="M192" s="959"/>
      <c r="N192" s="959">
        <f>Tabla15[[#This Row],[Contado]]</f>
        <v>0</v>
      </c>
      <c r="O192" s="959"/>
      <c r="P192" s="443">
        <f>((Tabla15[[#This Row],[Contado]]+Tabla15[[#This Row],[Visa]]+Tabla15[[#This Row],[Eventos]]+Tabla15[[#This Row],[Passo]]+Tabla15[[#This Row],[Reciclajes]])/1.1)+Tabla15[[#This Row],[Tickets]]</f>
        <v>0</v>
      </c>
      <c r="Q192" s="445">
        <v>0</v>
      </c>
      <c r="R192" s="445">
        <f t="shared" si="8"/>
        <v>0</v>
      </c>
      <c r="S192" s="446"/>
      <c r="T192" s="447">
        <v>0</v>
      </c>
      <c r="U192" s="447">
        <f>Tabla15[[#This Row],[Total Caja]]-Tabla15[[#This Row],[Facturació A/A]]</f>
        <v>0</v>
      </c>
      <c r="V192" s="447">
        <f t="shared" si="9"/>
        <v>-31047.899090909097</v>
      </c>
      <c r="W192" s="450" t="e">
        <f>Tabla15[[#This Row],[Diferencia]]/Tabla15[[#This Row],[Facturació A/A]]</f>
        <v>#DIV/0!</v>
      </c>
      <c r="X192" s="447">
        <f>Tabla15[[#This Row],[Facturació A/A]]*H$17+Tabla15[[#This Row],[Facturació A/A]]</f>
        <v>0</v>
      </c>
      <c r="Y192" s="447">
        <f>Tabla15[[#This Row],[Total Caja]]-Tabla15[[#This Row],[Previsión]]</f>
        <v>0</v>
      </c>
      <c r="Z192" s="446"/>
      <c r="AA192" s="447" t="e">
        <f>SUM(INDEX(Tabla15[[#This Row],[Facturació A/A]],1):Tabla15[[#This Row],[Facturació A/A]]) / SUM(INDEX(Tabla15[[#This Row],[Diferencia]],1):Tabla15[[#This Row],[Diferencia]])</f>
        <v>#DIV/0!</v>
      </c>
      <c r="AB192" s="446"/>
      <c r="AC192" s="427"/>
      <c r="AD192" s="427"/>
      <c r="AE192" s="427"/>
      <c r="AF192" s="427"/>
      <c r="AG192" s="427"/>
      <c r="AH192" s="427"/>
      <c r="AI192" s="427"/>
      <c r="AJ192" s="427"/>
      <c r="AK192" s="427"/>
      <c r="AL192" s="427"/>
      <c r="AM192" s="427"/>
      <c r="AN192" s="427"/>
      <c r="AO192" s="427"/>
      <c r="AP192" s="427"/>
      <c r="AQ192" s="427"/>
    </row>
    <row r="193" spans="1:43" ht="16" customHeight="1">
      <c r="A193" s="427"/>
      <c r="B193" s="427"/>
      <c r="C193" s="428">
        <v>160</v>
      </c>
      <c r="D193" s="456">
        <v>46182</v>
      </c>
      <c r="E193" s="959"/>
      <c r="F193" s="958">
        <f>Tabla15[[#This Row],[Retiros]]-Tabla15[[#This Row],[Contado]]</f>
        <v>0</v>
      </c>
      <c r="G193" s="959"/>
      <c r="H193" s="959"/>
      <c r="I193" s="959"/>
      <c r="J193" s="959"/>
      <c r="K193" s="958"/>
      <c r="L193" s="958"/>
      <c r="M193" s="959"/>
      <c r="N193" s="959">
        <f>Tabla15[[#This Row],[Contado]]</f>
        <v>0</v>
      </c>
      <c r="O193" s="959"/>
      <c r="P193" s="443">
        <f>((Tabla15[[#This Row],[Contado]]+Tabla15[[#This Row],[Visa]]+Tabla15[[#This Row],[Eventos]]+Tabla15[[#This Row],[Passo]]+Tabla15[[#This Row],[Reciclajes]])/1.1)+Tabla15[[#This Row],[Tickets]]</f>
        <v>0</v>
      </c>
      <c r="Q193" s="445">
        <v>0</v>
      </c>
      <c r="R193" s="445">
        <f t="shared" si="8"/>
        <v>0</v>
      </c>
      <c r="S193" s="446"/>
      <c r="T193" s="447">
        <v>0</v>
      </c>
      <c r="U193" s="447">
        <f>Tabla15[[#This Row],[Total Caja]]-Tabla15[[#This Row],[Facturació A/A]]</f>
        <v>0</v>
      </c>
      <c r="V193" s="447">
        <f t="shared" si="9"/>
        <v>-31047.899090909097</v>
      </c>
      <c r="W193" s="450" t="e">
        <f>Tabla15[[#This Row],[Diferencia]]/Tabla15[[#This Row],[Facturació A/A]]</f>
        <v>#DIV/0!</v>
      </c>
      <c r="X193" s="447">
        <f>Tabla15[[#This Row],[Facturació A/A]]*H$17+Tabla15[[#This Row],[Facturació A/A]]</f>
        <v>0</v>
      </c>
      <c r="Y193" s="447">
        <f>Tabla15[[#This Row],[Total Caja]]-Tabla15[[#This Row],[Previsión]]</f>
        <v>0</v>
      </c>
      <c r="Z193" s="446"/>
      <c r="AA193" s="447" t="e">
        <f>SUM(INDEX(Tabla15[[#This Row],[Facturació A/A]],1):Tabla15[[#This Row],[Facturació A/A]]) / SUM(INDEX(Tabla15[[#This Row],[Diferencia]],1):Tabla15[[#This Row],[Diferencia]])</f>
        <v>#DIV/0!</v>
      </c>
      <c r="AB193" s="446"/>
      <c r="AC193" s="427"/>
      <c r="AD193" s="427"/>
      <c r="AE193" s="427"/>
      <c r="AF193" s="427"/>
      <c r="AG193" s="427"/>
      <c r="AH193" s="427"/>
      <c r="AI193" s="427"/>
      <c r="AJ193" s="427"/>
      <c r="AK193" s="427"/>
      <c r="AL193" s="427"/>
      <c r="AM193" s="427"/>
      <c r="AN193" s="427"/>
      <c r="AO193" s="427"/>
      <c r="AP193" s="427"/>
      <c r="AQ193" s="427"/>
    </row>
    <row r="194" spans="1:43" ht="16" customHeight="1">
      <c r="A194" s="427"/>
      <c r="B194" s="427"/>
      <c r="C194" s="428">
        <v>161</v>
      </c>
      <c r="D194" s="456">
        <v>46183</v>
      </c>
      <c r="E194" s="959"/>
      <c r="F194" s="958">
        <f>Tabla15[[#This Row],[Retiros]]-Tabla15[[#This Row],[Contado]]</f>
        <v>0</v>
      </c>
      <c r="G194" s="959"/>
      <c r="H194" s="959"/>
      <c r="I194" s="959"/>
      <c r="J194" s="959"/>
      <c r="K194" s="958"/>
      <c r="L194" s="958"/>
      <c r="M194" s="959"/>
      <c r="N194" s="959">
        <f>Tabla15[[#This Row],[Contado]]</f>
        <v>0</v>
      </c>
      <c r="O194" s="959"/>
      <c r="P194" s="443">
        <f>((Tabla15[[#This Row],[Contado]]+Tabla15[[#This Row],[Visa]]+Tabla15[[#This Row],[Eventos]]+Tabla15[[#This Row],[Passo]]+Tabla15[[#This Row],[Reciclajes]])/1.1)+Tabla15[[#This Row],[Tickets]]</f>
        <v>0</v>
      </c>
      <c r="Q194" s="445">
        <v>0</v>
      </c>
      <c r="R194" s="445">
        <f t="shared" si="8"/>
        <v>0</v>
      </c>
      <c r="S194" s="446"/>
      <c r="T194" s="447">
        <v>1242.23</v>
      </c>
      <c r="U194" s="447">
        <f>Tabla15[[#This Row],[Total Caja]]-Tabla15[[#This Row],[Facturació A/A]]</f>
        <v>-1242.23</v>
      </c>
      <c r="V194" s="447">
        <f t="shared" si="9"/>
        <v>-32290.129090909097</v>
      </c>
      <c r="W194" s="450">
        <f>Tabla15[[#This Row],[Diferencia]]/Tabla15[[#This Row],[Facturació A/A]]</f>
        <v>-1</v>
      </c>
      <c r="X194" s="447">
        <f>Tabla15[[#This Row],[Facturació A/A]]*H$17+Tabla15[[#This Row],[Facturació A/A]]</f>
        <v>1279.4969000000001</v>
      </c>
      <c r="Y194" s="447">
        <f>Tabla15[[#This Row],[Total Caja]]-Tabla15[[#This Row],[Previsión]]</f>
        <v>-1279.4969000000001</v>
      </c>
      <c r="Z194" s="446"/>
      <c r="AA194" s="447">
        <f>SUM(INDEX(Tabla15[[#This Row],[Facturació A/A]],1):Tabla15[[#This Row],[Facturació A/A]]) / SUM(INDEX(Tabla15[[#This Row],[Diferencia]],1):Tabla15[[#This Row],[Diferencia]])</f>
        <v>-1</v>
      </c>
      <c r="AB194" s="446"/>
      <c r="AC194" s="427"/>
      <c r="AD194" s="427"/>
      <c r="AE194" s="427"/>
      <c r="AF194" s="427"/>
      <c r="AG194" s="427"/>
      <c r="AH194" s="427"/>
      <c r="AI194" s="427"/>
      <c r="AJ194" s="427"/>
      <c r="AK194" s="427"/>
      <c r="AL194" s="427"/>
      <c r="AM194" s="427"/>
      <c r="AN194" s="427"/>
      <c r="AO194" s="427"/>
      <c r="AP194" s="427"/>
      <c r="AQ194" s="427"/>
    </row>
    <row r="195" spans="1:43" ht="16" customHeight="1">
      <c r="A195" s="427"/>
      <c r="B195" s="427"/>
      <c r="C195" s="428">
        <v>162</v>
      </c>
      <c r="D195" s="456">
        <v>46184</v>
      </c>
      <c r="E195" s="959"/>
      <c r="F195" s="958">
        <f>Tabla15[[#This Row],[Retiros]]-Tabla15[[#This Row],[Contado]]</f>
        <v>0</v>
      </c>
      <c r="G195" s="967"/>
      <c r="H195" s="959"/>
      <c r="I195" s="959"/>
      <c r="J195" s="959"/>
      <c r="K195" s="958"/>
      <c r="L195" s="958"/>
      <c r="M195" s="959"/>
      <c r="N195" s="959">
        <f>Tabla15[[#This Row],[Contado]]</f>
        <v>0</v>
      </c>
      <c r="O195" s="959"/>
      <c r="P195" s="443">
        <f>((Tabla15[[#This Row],[Contado]]+Tabla15[[#This Row],[Visa]]+Tabla15[[#This Row],[Eventos]]+Tabla15[[#This Row],[Passo]]+Tabla15[[#This Row],[Reciclajes]])/1.1)+Tabla15[[#This Row],[Tickets]]</f>
        <v>0</v>
      </c>
      <c r="Q195" s="445">
        <v>0</v>
      </c>
      <c r="R195" s="445">
        <f t="shared" si="8"/>
        <v>0</v>
      </c>
      <c r="S195" s="446"/>
      <c r="T195" s="447">
        <v>879.22</v>
      </c>
      <c r="U195" s="447">
        <f>Tabla15[[#This Row],[Total Caja]]-Tabla15[[#This Row],[Facturació A/A]]</f>
        <v>-879.22</v>
      </c>
      <c r="V195" s="447">
        <f t="shared" si="9"/>
        <v>-33169.349090909098</v>
      </c>
      <c r="W195" s="450">
        <f>Tabla15[[#This Row],[Diferencia]]/Tabla15[[#This Row],[Facturació A/A]]</f>
        <v>-1</v>
      </c>
      <c r="X195" s="447">
        <f>Tabla15[[#This Row],[Facturació A/A]]*H$17+Tabla15[[#This Row],[Facturació A/A]]</f>
        <v>905.59660000000008</v>
      </c>
      <c r="Y195" s="447">
        <f>Tabla15[[#This Row],[Total Caja]]-Tabla15[[#This Row],[Previsión]]</f>
        <v>-905.59660000000008</v>
      </c>
      <c r="Z195" s="446"/>
      <c r="AA195" s="447">
        <f>SUM(INDEX(Tabla15[[#This Row],[Facturació A/A]],1):Tabla15[[#This Row],[Facturació A/A]]) / SUM(INDEX(Tabla15[[#This Row],[Diferencia]],1):Tabla15[[#This Row],[Diferencia]])</f>
        <v>-1</v>
      </c>
      <c r="AB195" s="446"/>
      <c r="AC195" s="427"/>
      <c r="AD195" s="427"/>
      <c r="AE195" s="427"/>
      <c r="AF195" s="427"/>
      <c r="AG195" s="427"/>
      <c r="AH195" s="427"/>
      <c r="AI195" s="427"/>
      <c r="AJ195" s="427"/>
      <c r="AK195" s="427"/>
      <c r="AL195" s="427"/>
      <c r="AM195" s="427"/>
      <c r="AN195" s="427"/>
      <c r="AO195" s="427"/>
      <c r="AP195" s="427"/>
      <c r="AQ195" s="427"/>
    </row>
    <row r="196" spans="1:43" ht="16" customHeight="1">
      <c r="A196" s="427"/>
      <c r="B196" s="427"/>
      <c r="C196" s="428">
        <v>163</v>
      </c>
      <c r="D196" s="456">
        <v>46185</v>
      </c>
      <c r="E196" s="959"/>
      <c r="F196" s="958">
        <f>Tabla15[[#This Row],[Retiros]]-Tabla15[[#This Row],[Contado]]</f>
        <v>0</v>
      </c>
      <c r="G196" s="959"/>
      <c r="H196" s="959"/>
      <c r="I196" s="959"/>
      <c r="J196" s="959"/>
      <c r="K196" s="958"/>
      <c r="L196" s="958"/>
      <c r="M196" s="959"/>
      <c r="N196" s="959">
        <f>Tabla15[[#This Row],[Contado]]</f>
        <v>0</v>
      </c>
      <c r="O196" s="959"/>
      <c r="P196" s="443">
        <f>((Tabla15[[#This Row],[Contado]]+Tabla15[[#This Row],[Visa]]+Tabla15[[#This Row],[Eventos]]+Tabla15[[#This Row],[Passo]]+Tabla15[[#This Row],[Reciclajes]])/1.1)+Tabla15[[#This Row],[Tickets]]</f>
        <v>0</v>
      </c>
      <c r="Q196" s="445">
        <v>0</v>
      </c>
      <c r="R196" s="445">
        <f t="shared" si="8"/>
        <v>0</v>
      </c>
      <c r="S196" s="446"/>
      <c r="T196" s="447">
        <v>1712.59</v>
      </c>
      <c r="U196" s="447">
        <f>Tabla15[[#This Row],[Total Caja]]-Tabla15[[#This Row],[Facturació A/A]]</f>
        <v>-1712.59</v>
      </c>
      <c r="V196" s="447">
        <f t="shared" si="9"/>
        <v>-34881.939090909094</v>
      </c>
      <c r="W196" s="450">
        <f>Tabla15[[#This Row],[Diferencia]]/Tabla15[[#This Row],[Facturació A/A]]</f>
        <v>-1</v>
      </c>
      <c r="X196" s="447">
        <f>Tabla15[[#This Row],[Facturació A/A]]*H$17+Tabla15[[#This Row],[Facturació A/A]]</f>
        <v>1763.9676999999999</v>
      </c>
      <c r="Y196" s="447">
        <f>Tabla15[[#This Row],[Total Caja]]-Tabla15[[#This Row],[Previsión]]</f>
        <v>-1763.9676999999999</v>
      </c>
      <c r="Z196" s="446"/>
      <c r="AA196" s="447">
        <f>SUM(INDEX(Tabla15[[#This Row],[Facturació A/A]],1):Tabla15[[#This Row],[Facturació A/A]]) / SUM(INDEX(Tabla15[[#This Row],[Diferencia]],1):Tabla15[[#This Row],[Diferencia]])</f>
        <v>-1</v>
      </c>
      <c r="AB196" s="446"/>
      <c r="AC196" s="427"/>
      <c r="AD196" s="427"/>
      <c r="AE196" s="427"/>
      <c r="AF196" s="427"/>
      <c r="AG196" s="427"/>
      <c r="AH196" s="427"/>
      <c r="AI196" s="427"/>
      <c r="AJ196" s="427"/>
      <c r="AK196" s="427"/>
      <c r="AL196" s="427"/>
      <c r="AM196" s="427"/>
      <c r="AN196" s="427"/>
      <c r="AO196" s="427"/>
      <c r="AP196" s="427"/>
      <c r="AQ196" s="427"/>
    </row>
    <row r="197" spans="1:43" ht="16" customHeight="1">
      <c r="A197" s="427"/>
      <c r="B197" s="427"/>
      <c r="C197" s="428">
        <v>164</v>
      </c>
      <c r="D197" s="456">
        <v>46186</v>
      </c>
      <c r="E197" s="959"/>
      <c r="F197" s="958">
        <f>Tabla15[[#This Row],[Retiros]]-Tabla15[[#This Row],[Contado]]</f>
        <v>0</v>
      </c>
      <c r="G197" s="959"/>
      <c r="H197" s="959"/>
      <c r="I197" s="959"/>
      <c r="J197" s="959"/>
      <c r="K197" s="958"/>
      <c r="L197" s="958"/>
      <c r="M197" s="959"/>
      <c r="N197" s="959">
        <f>Tabla15[[#This Row],[Contado]]</f>
        <v>0</v>
      </c>
      <c r="O197" s="959"/>
      <c r="P197" s="443">
        <f>((Tabla15[[#This Row],[Contado]]+Tabla15[[#This Row],[Visa]]+Tabla15[[#This Row],[Eventos]]+Tabla15[[#This Row],[Passo]]+Tabla15[[#This Row],[Reciclajes]])/1.1)+Tabla15[[#This Row],[Tickets]]</f>
        <v>0</v>
      </c>
      <c r="Q197" s="445">
        <v>0</v>
      </c>
      <c r="R197" s="445">
        <f t="shared" si="8"/>
        <v>0</v>
      </c>
      <c r="S197" s="446"/>
      <c r="T197" s="447">
        <v>1793.6</v>
      </c>
      <c r="U197" s="447">
        <f>Tabla15[[#This Row],[Total Caja]]-Tabla15[[#This Row],[Facturació A/A]]</f>
        <v>-1793.6</v>
      </c>
      <c r="V197" s="447">
        <f t="shared" si="9"/>
        <v>-36675.539090909093</v>
      </c>
      <c r="W197" s="450">
        <f>Tabla15[[#This Row],[Diferencia]]/Tabla15[[#This Row],[Facturació A/A]]</f>
        <v>-1</v>
      </c>
      <c r="X197" s="447">
        <f>Tabla15[[#This Row],[Facturació A/A]]*H$17+Tabla15[[#This Row],[Facturació A/A]]</f>
        <v>1847.4079999999999</v>
      </c>
      <c r="Y197" s="447">
        <f>Tabla15[[#This Row],[Total Caja]]-Tabla15[[#This Row],[Previsión]]</f>
        <v>-1847.4079999999999</v>
      </c>
      <c r="Z197" s="446"/>
      <c r="AA197" s="447">
        <f>SUM(INDEX(Tabla15[[#This Row],[Facturació A/A]],1):Tabla15[[#This Row],[Facturació A/A]]) / SUM(INDEX(Tabla15[[#This Row],[Diferencia]],1):Tabla15[[#This Row],[Diferencia]])</f>
        <v>-1</v>
      </c>
      <c r="AB197" s="446"/>
      <c r="AC197" s="427"/>
      <c r="AD197" s="427"/>
      <c r="AE197" s="427"/>
      <c r="AF197" s="427"/>
      <c r="AG197" s="427"/>
      <c r="AH197" s="427"/>
      <c r="AI197" s="427"/>
      <c r="AJ197" s="427"/>
      <c r="AK197" s="427"/>
      <c r="AL197" s="427"/>
      <c r="AM197" s="427"/>
      <c r="AN197" s="427"/>
      <c r="AO197" s="427"/>
      <c r="AP197" s="427"/>
      <c r="AQ197" s="427"/>
    </row>
    <row r="198" spans="1:43" ht="16" customHeight="1">
      <c r="A198" s="427"/>
      <c r="B198" s="427"/>
      <c r="C198" s="428">
        <v>165</v>
      </c>
      <c r="D198" s="456">
        <v>46187</v>
      </c>
      <c r="E198" s="959"/>
      <c r="F198" s="958">
        <f>Tabla15[[#This Row],[Retiros]]-Tabla15[[#This Row],[Contado]]</f>
        <v>0</v>
      </c>
      <c r="G198" s="959"/>
      <c r="H198" s="959"/>
      <c r="I198" s="959"/>
      <c r="J198" s="959"/>
      <c r="K198" s="958"/>
      <c r="L198" s="958"/>
      <c r="M198" s="959"/>
      <c r="N198" s="959">
        <f>Tabla15[[#This Row],[Contado]]</f>
        <v>0</v>
      </c>
      <c r="O198" s="959"/>
      <c r="P198" s="443">
        <f>((Tabla15[[#This Row],[Contado]]+Tabla15[[#This Row],[Visa]]+Tabla15[[#This Row],[Eventos]]+Tabla15[[#This Row],[Passo]]+Tabla15[[#This Row],[Reciclajes]])/1.1)+Tabla15[[#This Row],[Tickets]]</f>
        <v>0</v>
      </c>
      <c r="Q198" s="445">
        <v>0</v>
      </c>
      <c r="R198" s="445">
        <f t="shared" si="8"/>
        <v>0</v>
      </c>
      <c r="S198" s="446"/>
      <c r="T198" s="447">
        <v>1832.84</v>
      </c>
      <c r="U198" s="447">
        <f>Tabla15[[#This Row],[Total Caja]]-Tabla15[[#This Row],[Facturació A/A]]</f>
        <v>-1832.84</v>
      </c>
      <c r="V198" s="447">
        <f t="shared" si="9"/>
        <v>-38508.379090909089</v>
      </c>
      <c r="W198" s="450">
        <f>Tabla15[[#This Row],[Diferencia]]/Tabla15[[#This Row],[Facturació A/A]]</f>
        <v>-1</v>
      </c>
      <c r="X198" s="447">
        <f>Tabla15[[#This Row],[Facturació A/A]]*H$17+Tabla15[[#This Row],[Facturació A/A]]</f>
        <v>1887.8252</v>
      </c>
      <c r="Y198" s="447">
        <f>Tabla15[[#This Row],[Total Caja]]-Tabla15[[#This Row],[Previsión]]</f>
        <v>-1887.8252</v>
      </c>
      <c r="Z198" s="446"/>
      <c r="AA198" s="447">
        <f>SUM(INDEX(Tabla15[[#This Row],[Facturació A/A]],1):Tabla15[[#This Row],[Facturació A/A]]) / SUM(INDEX(Tabla15[[#This Row],[Diferencia]],1):Tabla15[[#This Row],[Diferencia]])</f>
        <v>-1</v>
      </c>
      <c r="AB198" s="446"/>
      <c r="AC198" s="427"/>
      <c r="AD198" s="427"/>
      <c r="AE198" s="427"/>
      <c r="AF198" s="427"/>
      <c r="AG198" s="427"/>
      <c r="AH198" s="427"/>
      <c r="AI198" s="427"/>
      <c r="AJ198" s="427"/>
      <c r="AK198" s="427"/>
      <c r="AL198" s="427"/>
      <c r="AM198" s="427"/>
      <c r="AN198" s="427"/>
      <c r="AO198" s="427"/>
      <c r="AP198" s="427"/>
      <c r="AQ198" s="427"/>
    </row>
    <row r="199" spans="1:43" ht="16" customHeight="1">
      <c r="A199" s="427"/>
      <c r="B199" s="427"/>
      <c r="C199" s="428">
        <v>166</v>
      </c>
      <c r="D199" s="456">
        <v>46188</v>
      </c>
      <c r="E199" s="959"/>
      <c r="F199" s="958">
        <f>Tabla15[[#This Row],[Retiros]]-Tabla15[[#This Row],[Contado]]</f>
        <v>0</v>
      </c>
      <c r="G199" s="959"/>
      <c r="H199" s="959"/>
      <c r="I199" s="959"/>
      <c r="J199" s="959"/>
      <c r="K199" s="958"/>
      <c r="L199" s="958"/>
      <c r="M199" s="959"/>
      <c r="N199" s="959">
        <f>Tabla15[[#This Row],[Contado]]</f>
        <v>0</v>
      </c>
      <c r="O199" s="959"/>
      <c r="P199" s="443">
        <f>((Tabla15[[#This Row],[Contado]]+Tabla15[[#This Row],[Visa]]+Tabla15[[#This Row],[Eventos]]+Tabla15[[#This Row],[Passo]]+Tabla15[[#This Row],[Reciclajes]])/1.1)+Tabla15[[#This Row],[Tickets]]</f>
        <v>0</v>
      </c>
      <c r="Q199" s="445">
        <v>0</v>
      </c>
      <c r="R199" s="445">
        <f t="shared" si="8"/>
        <v>0</v>
      </c>
      <c r="S199" s="446"/>
      <c r="T199" s="447">
        <v>0</v>
      </c>
      <c r="U199" s="447">
        <f>Tabla15[[#This Row],[Total Caja]]-Tabla15[[#This Row],[Facturació A/A]]</f>
        <v>0</v>
      </c>
      <c r="V199" s="447">
        <f t="shared" si="9"/>
        <v>-38508.379090909089</v>
      </c>
      <c r="W199" s="450" t="e">
        <f>Tabla15[[#This Row],[Diferencia]]/Tabla15[[#This Row],[Facturació A/A]]</f>
        <v>#DIV/0!</v>
      </c>
      <c r="X199" s="447">
        <f>Tabla15[[#This Row],[Facturació A/A]]*H$17+Tabla15[[#This Row],[Facturació A/A]]</f>
        <v>0</v>
      </c>
      <c r="Y199" s="447">
        <f>Tabla15[[#This Row],[Total Caja]]-Tabla15[[#This Row],[Previsión]]</f>
        <v>0</v>
      </c>
      <c r="Z199" s="446"/>
      <c r="AA199" s="447" t="e">
        <f>SUM(INDEX(Tabla15[[#This Row],[Facturació A/A]],1):Tabla15[[#This Row],[Facturació A/A]]) / SUM(INDEX(Tabla15[[#This Row],[Diferencia]],1):Tabla15[[#This Row],[Diferencia]])</f>
        <v>#DIV/0!</v>
      </c>
      <c r="AB199" s="446"/>
      <c r="AC199" s="427"/>
      <c r="AD199" s="427"/>
      <c r="AE199" s="427"/>
      <c r="AF199" s="427"/>
      <c r="AG199" s="427"/>
      <c r="AH199" s="427"/>
      <c r="AI199" s="427"/>
      <c r="AJ199" s="427"/>
      <c r="AK199" s="427"/>
      <c r="AL199" s="427"/>
      <c r="AM199" s="427"/>
      <c r="AN199" s="427"/>
      <c r="AO199" s="427"/>
      <c r="AP199" s="427"/>
      <c r="AQ199" s="427"/>
    </row>
    <row r="200" spans="1:43" ht="16" customHeight="1">
      <c r="A200" s="427"/>
      <c r="B200" s="427"/>
      <c r="C200" s="428">
        <v>167</v>
      </c>
      <c r="D200" s="456">
        <v>46189</v>
      </c>
      <c r="E200" s="959"/>
      <c r="F200" s="958">
        <f>Tabla15[[#This Row],[Retiros]]-Tabla15[[#This Row],[Contado]]</f>
        <v>0</v>
      </c>
      <c r="G200" s="959"/>
      <c r="H200" s="959"/>
      <c r="I200" s="959"/>
      <c r="J200" s="959"/>
      <c r="K200" s="958"/>
      <c r="L200" s="958"/>
      <c r="M200" s="959"/>
      <c r="N200" s="959">
        <f>Tabla15[[#This Row],[Contado]]</f>
        <v>0</v>
      </c>
      <c r="O200" s="959"/>
      <c r="P200" s="443">
        <f>((Tabla15[[#This Row],[Contado]]+Tabla15[[#This Row],[Visa]]+Tabla15[[#This Row],[Eventos]]+Tabla15[[#This Row],[Passo]]+Tabla15[[#This Row],[Reciclajes]])/1.1)+Tabla15[[#This Row],[Tickets]]</f>
        <v>0</v>
      </c>
      <c r="Q200" s="445">
        <v>0</v>
      </c>
      <c r="R200" s="445">
        <f t="shared" si="8"/>
        <v>0</v>
      </c>
      <c r="S200" s="446"/>
      <c r="T200" s="447">
        <v>0</v>
      </c>
      <c r="U200" s="447">
        <f>Tabla15[[#This Row],[Total Caja]]-Tabla15[[#This Row],[Facturació A/A]]</f>
        <v>0</v>
      </c>
      <c r="V200" s="447">
        <f t="shared" si="9"/>
        <v>-38508.379090909089</v>
      </c>
      <c r="W200" s="450" t="e">
        <f>Tabla15[[#This Row],[Diferencia]]/Tabla15[[#This Row],[Facturació A/A]]</f>
        <v>#DIV/0!</v>
      </c>
      <c r="X200" s="447">
        <f>Tabla15[[#This Row],[Facturació A/A]]*H$17+Tabla15[[#This Row],[Facturació A/A]]</f>
        <v>0</v>
      </c>
      <c r="Y200" s="447">
        <f>Tabla15[[#This Row],[Total Caja]]-Tabla15[[#This Row],[Previsión]]</f>
        <v>0</v>
      </c>
      <c r="Z200" s="446"/>
      <c r="AA200" s="447" t="e">
        <f>SUM(INDEX(Tabla15[[#This Row],[Facturació A/A]],1):Tabla15[[#This Row],[Facturació A/A]]) / SUM(INDEX(Tabla15[[#This Row],[Diferencia]],1):Tabla15[[#This Row],[Diferencia]])</f>
        <v>#DIV/0!</v>
      </c>
      <c r="AB200" s="446"/>
      <c r="AC200" s="427"/>
      <c r="AD200" s="427"/>
      <c r="AE200" s="427"/>
      <c r="AF200" s="427"/>
      <c r="AG200" s="427"/>
      <c r="AH200" s="427"/>
      <c r="AI200" s="427"/>
      <c r="AJ200" s="427"/>
      <c r="AK200" s="427"/>
      <c r="AL200" s="427"/>
      <c r="AM200" s="427"/>
      <c r="AN200" s="427"/>
      <c r="AO200" s="427"/>
      <c r="AP200" s="427"/>
      <c r="AQ200" s="427"/>
    </row>
    <row r="201" spans="1:43" ht="16" customHeight="1">
      <c r="A201" s="427"/>
      <c r="B201" s="427"/>
      <c r="C201" s="428">
        <v>168</v>
      </c>
      <c r="D201" s="456">
        <v>46190</v>
      </c>
      <c r="E201" s="959"/>
      <c r="F201" s="958">
        <f>Tabla15[[#This Row],[Retiros]]-Tabla15[[#This Row],[Contado]]</f>
        <v>0</v>
      </c>
      <c r="G201" s="959"/>
      <c r="H201" s="959"/>
      <c r="I201" s="959"/>
      <c r="J201" s="959"/>
      <c r="K201" s="958"/>
      <c r="L201" s="958"/>
      <c r="M201" s="959"/>
      <c r="N201" s="959">
        <f>Tabla15[[#This Row],[Contado]]</f>
        <v>0</v>
      </c>
      <c r="O201" s="959"/>
      <c r="P201" s="443">
        <f>((Tabla15[[#This Row],[Contado]]+Tabla15[[#This Row],[Visa]]+Tabla15[[#This Row],[Eventos]]+Tabla15[[#This Row],[Passo]]+Tabla15[[#This Row],[Reciclajes]])/1.1)+Tabla15[[#This Row],[Tickets]]</f>
        <v>0</v>
      </c>
      <c r="Q201" s="445">
        <v>0</v>
      </c>
      <c r="R201" s="445">
        <f t="shared" si="8"/>
        <v>0</v>
      </c>
      <c r="S201" s="446"/>
      <c r="T201" s="447">
        <v>832.36</v>
      </c>
      <c r="U201" s="447">
        <f>Tabla15[[#This Row],[Total Caja]]-Tabla15[[#This Row],[Facturació A/A]]</f>
        <v>-832.36</v>
      </c>
      <c r="V201" s="447">
        <f t="shared" si="9"/>
        <v>-39340.73909090909</v>
      </c>
      <c r="W201" s="450">
        <f>Tabla15[[#This Row],[Diferencia]]/Tabla15[[#This Row],[Facturació A/A]]</f>
        <v>-1</v>
      </c>
      <c r="X201" s="447">
        <f>Tabla15[[#This Row],[Facturació A/A]]*H$17+Tabla15[[#This Row],[Facturació A/A]]</f>
        <v>857.33080000000007</v>
      </c>
      <c r="Y201" s="447">
        <f>Tabla15[[#This Row],[Total Caja]]-Tabla15[[#This Row],[Previsión]]</f>
        <v>-857.33080000000007</v>
      </c>
      <c r="Z201" s="446"/>
      <c r="AA201" s="447">
        <f>SUM(INDEX(Tabla15[[#This Row],[Facturació A/A]],1):Tabla15[[#This Row],[Facturació A/A]]) / SUM(INDEX(Tabla15[[#This Row],[Diferencia]],1):Tabla15[[#This Row],[Diferencia]])</f>
        <v>-1</v>
      </c>
      <c r="AB201" s="446"/>
      <c r="AC201" s="427"/>
      <c r="AD201" s="427"/>
      <c r="AE201" s="427"/>
      <c r="AF201" s="427"/>
      <c r="AG201" s="427"/>
      <c r="AH201" s="427"/>
      <c r="AI201" s="427"/>
      <c r="AJ201" s="427"/>
      <c r="AK201" s="427"/>
      <c r="AL201" s="427"/>
      <c r="AM201" s="427"/>
      <c r="AN201" s="427"/>
      <c r="AO201" s="427"/>
      <c r="AP201" s="427"/>
      <c r="AQ201" s="427"/>
    </row>
    <row r="202" spans="1:43" ht="16" customHeight="1">
      <c r="A202" s="427"/>
      <c r="B202" s="427"/>
      <c r="C202" s="428">
        <v>169</v>
      </c>
      <c r="D202" s="456">
        <v>46191</v>
      </c>
      <c r="E202" s="959"/>
      <c r="F202" s="958">
        <f>Tabla15[[#This Row],[Retiros]]-Tabla15[[#This Row],[Contado]]</f>
        <v>0</v>
      </c>
      <c r="G202" s="959"/>
      <c r="H202" s="959"/>
      <c r="I202" s="959"/>
      <c r="J202" s="959"/>
      <c r="K202" s="958"/>
      <c r="L202" s="958"/>
      <c r="M202" s="959"/>
      <c r="N202" s="959">
        <f>Tabla15[[#This Row],[Contado]]</f>
        <v>0</v>
      </c>
      <c r="O202" s="959"/>
      <c r="P202" s="443">
        <f>((Tabla15[[#This Row],[Contado]]+Tabla15[[#This Row],[Visa]]+Tabla15[[#This Row],[Eventos]]+Tabla15[[#This Row],[Passo]]+Tabla15[[#This Row],[Reciclajes]])/1.1)+Tabla15[[#This Row],[Tickets]]</f>
        <v>0</v>
      </c>
      <c r="Q202" s="445">
        <v>0</v>
      </c>
      <c r="R202" s="445">
        <f t="shared" si="8"/>
        <v>0</v>
      </c>
      <c r="S202" s="446"/>
      <c r="T202" s="447">
        <v>954.27</v>
      </c>
      <c r="U202" s="447">
        <f>Tabla15[[#This Row],[Total Caja]]-Tabla15[[#This Row],[Facturació A/A]]</f>
        <v>-954.27</v>
      </c>
      <c r="V202" s="447">
        <f t="shared" si="9"/>
        <v>-40295.009090909087</v>
      </c>
      <c r="W202" s="450">
        <f>Tabla15[[#This Row],[Diferencia]]/Tabla15[[#This Row],[Facturació A/A]]</f>
        <v>-1</v>
      </c>
      <c r="X202" s="447">
        <f>Tabla15[[#This Row],[Facturació A/A]]*H$17+Tabla15[[#This Row],[Facturació A/A]]</f>
        <v>982.8981</v>
      </c>
      <c r="Y202" s="447">
        <f>Tabla15[[#This Row],[Total Caja]]-Tabla15[[#This Row],[Previsión]]</f>
        <v>-982.8981</v>
      </c>
      <c r="Z202" s="446"/>
      <c r="AA202" s="447">
        <f>SUM(INDEX(Tabla15[[#This Row],[Facturació A/A]],1):Tabla15[[#This Row],[Facturació A/A]]) / SUM(INDEX(Tabla15[[#This Row],[Diferencia]],1):Tabla15[[#This Row],[Diferencia]])</f>
        <v>-1</v>
      </c>
      <c r="AB202" s="446"/>
      <c r="AC202" s="427"/>
      <c r="AD202" s="427"/>
      <c r="AE202" s="427"/>
      <c r="AF202" s="427"/>
      <c r="AG202" s="427"/>
      <c r="AH202" s="427"/>
      <c r="AI202" s="427"/>
      <c r="AJ202" s="427"/>
      <c r="AK202" s="427"/>
      <c r="AL202" s="427"/>
      <c r="AM202" s="427"/>
      <c r="AN202" s="427"/>
      <c r="AO202" s="427"/>
      <c r="AP202" s="427"/>
      <c r="AQ202" s="427"/>
    </row>
    <row r="203" spans="1:43" ht="16" customHeight="1">
      <c r="A203" s="427"/>
      <c r="B203" s="427"/>
      <c r="C203" s="428">
        <v>170</v>
      </c>
      <c r="D203" s="456">
        <v>46192</v>
      </c>
      <c r="E203" s="959"/>
      <c r="F203" s="958">
        <f>Tabla15[[#This Row],[Retiros]]-Tabla15[[#This Row],[Contado]]</f>
        <v>0</v>
      </c>
      <c r="G203" s="959"/>
      <c r="H203" s="959"/>
      <c r="I203" s="959"/>
      <c r="J203" s="959"/>
      <c r="K203" s="958"/>
      <c r="L203" s="958"/>
      <c r="M203" s="959"/>
      <c r="N203" s="959">
        <f>Tabla15[[#This Row],[Contado]]</f>
        <v>0</v>
      </c>
      <c r="O203" s="959"/>
      <c r="P203" s="443">
        <f>((Tabla15[[#This Row],[Contado]]+Tabla15[[#This Row],[Visa]]+Tabla15[[#This Row],[Eventos]]+Tabla15[[#This Row],[Passo]]+Tabla15[[#This Row],[Reciclajes]])/1.1)+Tabla15[[#This Row],[Tickets]]</f>
        <v>0</v>
      </c>
      <c r="Q203" s="445">
        <v>0</v>
      </c>
      <c r="R203" s="445">
        <f t="shared" si="8"/>
        <v>0</v>
      </c>
      <c r="S203" s="446"/>
      <c r="T203" s="447">
        <v>2000.31</v>
      </c>
      <c r="U203" s="447">
        <f>Tabla15[[#This Row],[Total Caja]]-Tabla15[[#This Row],[Facturació A/A]]</f>
        <v>-2000.31</v>
      </c>
      <c r="V203" s="447">
        <f t="shared" si="9"/>
        <v>-42295.319090909084</v>
      </c>
      <c r="W203" s="450">
        <f>Tabla15[[#This Row],[Diferencia]]/Tabla15[[#This Row],[Facturació A/A]]</f>
        <v>-1</v>
      </c>
      <c r="X203" s="447">
        <f>Tabla15[[#This Row],[Facturació A/A]]*H$17+Tabla15[[#This Row],[Facturació A/A]]</f>
        <v>2060.3193000000001</v>
      </c>
      <c r="Y203" s="447">
        <f>Tabla15[[#This Row],[Total Caja]]-Tabla15[[#This Row],[Previsión]]</f>
        <v>-2060.3193000000001</v>
      </c>
      <c r="Z203" s="446"/>
      <c r="AA203" s="447">
        <f>SUM(INDEX(Tabla15[[#This Row],[Facturació A/A]],1):Tabla15[[#This Row],[Facturació A/A]]) / SUM(INDEX(Tabla15[[#This Row],[Diferencia]],1):Tabla15[[#This Row],[Diferencia]])</f>
        <v>-1</v>
      </c>
      <c r="AB203" s="446"/>
      <c r="AC203" s="427"/>
      <c r="AD203" s="427"/>
      <c r="AE203" s="427"/>
      <c r="AF203" s="427"/>
      <c r="AG203" s="427"/>
      <c r="AH203" s="427"/>
      <c r="AI203" s="427"/>
      <c r="AJ203" s="427"/>
      <c r="AK203" s="427"/>
      <c r="AL203" s="427"/>
      <c r="AM203" s="427"/>
      <c r="AN203" s="427"/>
      <c r="AO203" s="427"/>
      <c r="AP203" s="427"/>
      <c r="AQ203" s="427"/>
    </row>
    <row r="204" spans="1:43" ht="16" customHeight="1">
      <c r="A204" s="427"/>
      <c r="B204" s="427"/>
      <c r="C204" s="428">
        <v>171</v>
      </c>
      <c r="D204" s="456">
        <v>46193</v>
      </c>
      <c r="E204" s="959"/>
      <c r="F204" s="958">
        <f>Tabla15[[#This Row],[Retiros]]-Tabla15[[#This Row],[Contado]]</f>
        <v>0</v>
      </c>
      <c r="G204" s="959"/>
      <c r="H204" s="959"/>
      <c r="I204" s="959"/>
      <c r="J204" s="959"/>
      <c r="K204" s="958"/>
      <c r="L204" s="958"/>
      <c r="M204" s="959"/>
      <c r="N204" s="959">
        <f>Tabla15[[#This Row],[Contado]]</f>
        <v>0</v>
      </c>
      <c r="O204" s="959"/>
      <c r="P204" s="443">
        <f>((Tabla15[[#This Row],[Contado]]+Tabla15[[#This Row],[Visa]]+Tabla15[[#This Row],[Eventos]]+Tabla15[[#This Row],[Passo]]+Tabla15[[#This Row],[Reciclajes]])/1.1)+Tabla15[[#This Row],[Tickets]]</f>
        <v>0</v>
      </c>
      <c r="Q204" s="445">
        <v>0</v>
      </c>
      <c r="R204" s="445">
        <f t="shared" si="8"/>
        <v>0</v>
      </c>
      <c r="S204" s="446"/>
      <c r="T204" s="447">
        <v>2504.56</v>
      </c>
      <c r="U204" s="447">
        <f>Tabla15[[#This Row],[Total Caja]]-Tabla15[[#This Row],[Facturació A/A]]</f>
        <v>-2504.56</v>
      </c>
      <c r="V204" s="447">
        <f t="shared" si="9"/>
        <v>-44799.879090909082</v>
      </c>
      <c r="W204" s="450">
        <f>Tabla15[[#This Row],[Diferencia]]/Tabla15[[#This Row],[Facturació A/A]]</f>
        <v>-1</v>
      </c>
      <c r="X204" s="447">
        <f>Tabla15[[#This Row],[Facturació A/A]]*H$17+Tabla15[[#This Row],[Facturació A/A]]</f>
        <v>2579.6967999999997</v>
      </c>
      <c r="Y204" s="447">
        <f>Tabla15[[#This Row],[Total Caja]]-Tabla15[[#This Row],[Previsión]]</f>
        <v>-2579.6967999999997</v>
      </c>
      <c r="Z204" s="446"/>
      <c r="AA204" s="447">
        <f>SUM(INDEX(Tabla15[[#This Row],[Facturació A/A]],1):Tabla15[[#This Row],[Facturació A/A]]) / SUM(INDEX(Tabla15[[#This Row],[Diferencia]],1):Tabla15[[#This Row],[Diferencia]])</f>
        <v>-1</v>
      </c>
      <c r="AB204" s="446"/>
      <c r="AC204" s="427"/>
      <c r="AD204" s="427"/>
      <c r="AE204" s="427"/>
      <c r="AF204" s="427"/>
      <c r="AG204" s="427"/>
      <c r="AH204" s="427"/>
      <c r="AI204" s="427"/>
      <c r="AJ204" s="427"/>
      <c r="AK204" s="427"/>
      <c r="AL204" s="427"/>
      <c r="AM204" s="427"/>
      <c r="AN204" s="427"/>
      <c r="AO204" s="427"/>
      <c r="AP204" s="427"/>
      <c r="AQ204" s="427"/>
    </row>
    <row r="205" spans="1:43" ht="16" customHeight="1">
      <c r="A205" s="427"/>
      <c r="B205" s="427"/>
      <c r="C205" s="428">
        <v>172</v>
      </c>
      <c r="D205" s="456">
        <v>46194</v>
      </c>
      <c r="E205" s="959"/>
      <c r="F205" s="958">
        <f>Tabla15[[#This Row],[Retiros]]-Tabla15[[#This Row],[Contado]]</f>
        <v>0</v>
      </c>
      <c r="G205" s="959"/>
      <c r="H205" s="959"/>
      <c r="I205" s="959"/>
      <c r="J205" s="959"/>
      <c r="K205" s="958"/>
      <c r="L205" s="958"/>
      <c r="M205" s="959"/>
      <c r="N205" s="959">
        <f>Tabla15[[#This Row],[Contado]]</f>
        <v>0</v>
      </c>
      <c r="O205" s="959"/>
      <c r="P205" s="443">
        <f>((Tabla15[[#This Row],[Contado]]+Tabla15[[#This Row],[Visa]]+Tabla15[[#This Row],[Eventos]]+Tabla15[[#This Row],[Passo]]+Tabla15[[#This Row],[Reciclajes]])/1.1)+Tabla15[[#This Row],[Tickets]]</f>
        <v>0</v>
      </c>
      <c r="Q205" s="445">
        <v>0</v>
      </c>
      <c r="R205" s="445">
        <f t="shared" si="8"/>
        <v>0</v>
      </c>
      <c r="S205" s="446"/>
      <c r="T205" s="447">
        <v>1882.78</v>
      </c>
      <c r="U205" s="447">
        <f>Tabla15[[#This Row],[Total Caja]]-Tabla15[[#This Row],[Facturació A/A]]</f>
        <v>-1882.78</v>
      </c>
      <c r="V205" s="447">
        <f t="shared" si="9"/>
        <v>-46682.659090909081</v>
      </c>
      <c r="W205" s="450">
        <f>Tabla15[[#This Row],[Diferencia]]/Tabla15[[#This Row],[Facturació A/A]]</f>
        <v>-1</v>
      </c>
      <c r="X205" s="447">
        <f>Tabla15[[#This Row],[Facturació A/A]]*H$17+Tabla15[[#This Row],[Facturació A/A]]</f>
        <v>1939.2634</v>
      </c>
      <c r="Y205" s="447">
        <f>Tabla15[[#This Row],[Total Caja]]-Tabla15[[#This Row],[Previsión]]</f>
        <v>-1939.2634</v>
      </c>
      <c r="Z205" s="446"/>
      <c r="AA205" s="447">
        <f>SUM(INDEX(Tabla15[[#This Row],[Facturació A/A]],1):Tabla15[[#This Row],[Facturació A/A]]) / SUM(INDEX(Tabla15[[#This Row],[Diferencia]],1):Tabla15[[#This Row],[Diferencia]])</f>
        <v>-1</v>
      </c>
      <c r="AB205" s="446"/>
      <c r="AC205" s="427"/>
      <c r="AD205" s="427"/>
      <c r="AE205" s="427"/>
      <c r="AF205" s="427"/>
      <c r="AG205" s="427"/>
      <c r="AH205" s="427"/>
      <c r="AI205" s="427"/>
      <c r="AJ205" s="427"/>
      <c r="AK205" s="427"/>
      <c r="AL205" s="427"/>
      <c r="AM205" s="427"/>
      <c r="AN205" s="427"/>
      <c r="AO205" s="427"/>
      <c r="AP205" s="427"/>
      <c r="AQ205" s="427"/>
    </row>
    <row r="206" spans="1:43" ht="16" customHeight="1">
      <c r="A206" s="427"/>
      <c r="B206" s="427"/>
      <c r="C206" s="428">
        <v>173</v>
      </c>
      <c r="D206" s="456">
        <v>46195</v>
      </c>
      <c r="E206" s="959"/>
      <c r="F206" s="958">
        <f>Tabla15[[#This Row],[Retiros]]-Tabla15[[#This Row],[Contado]]</f>
        <v>0</v>
      </c>
      <c r="G206" s="959"/>
      <c r="H206" s="959"/>
      <c r="I206" s="959"/>
      <c r="J206" s="959"/>
      <c r="K206" s="958"/>
      <c r="L206" s="958"/>
      <c r="M206" s="958"/>
      <c r="N206" s="959">
        <f>Tabla15[[#This Row],[Contado]]</f>
        <v>0</v>
      </c>
      <c r="O206" s="959"/>
      <c r="P206" s="443">
        <f>((Tabla15[[#This Row],[Contado]]+Tabla15[[#This Row],[Visa]]+Tabla15[[#This Row],[Eventos]]+Tabla15[[#This Row],[Passo]]+Tabla15[[#This Row],[Reciclajes]])/1.1)+Tabla15[[#This Row],[Tickets]]</f>
        <v>0</v>
      </c>
      <c r="Q206" s="445">
        <v>0</v>
      </c>
      <c r="R206" s="445">
        <f t="shared" si="8"/>
        <v>0</v>
      </c>
      <c r="S206" s="446"/>
      <c r="T206" s="447">
        <v>0</v>
      </c>
      <c r="U206" s="447">
        <f>Tabla15[[#This Row],[Total Caja]]-Tabla15[[#This Row],[Facturació A/A]]</f>
        <v>0</v>
      </c>
      <c r="V206" s="447">
        <f t="shared" si="9"/>
        <v>-46682.659090909081</v>
      </c>
      <c r="W206" s="450" t="e">
        <f>Tabla15[[#This Row],[Diferencia]]/Tabla15[[#This Row],[Facturació A/A]]</f>
        <v>#DIV/0!</v>
      </c>
      <c r="X206" s="447">
        <f>Tabla15[[#This Row],[Facturació A/A]]*H$17+Tabla15[[#This Row],[Facturació A/A]]</f>
        <v>0</v>
      </c>
      <c r="Y206" s="447">
        <f>Tabla15[[#This Row],[Total Caja]]-Tabla15[[#This Row],[Previsión]]</f>
        <v>0</v>
      </c>
      <c r="Z206" s="446"/>
      <c r="AA206" s="447" t="e">
        <f>SUM(INDEX(Tabla15[[#This Row],[Facturació A/A]],1):Tabla15[[#This Row],[Facturació A/A]]) / SUM(INDEX(Tabla15[[#This Row],[Diferencia]],1):Tabla15[[#This Row],[Diferencia]])</f>
        <v>#DIV/0!</v>
      </c>
      <c r="AB206" s="446"/>
      <c r="AC206" s="427"/>
      <c r="AD206" s="427"/>
      <c r="AE206" s="427"/>
      <c r="AF206" s="427"/>
      <c r="AG206" s="427"/>
      <c r="AH206" s="427"/>
      <c r="AI206" s="427"/>
      <c r="AJ206" s="427"/>
      <c r="AK206" s="427"/>
      <c r="AL206" s="427"/>
      <c r="AM206" s="427"/>
      <c r="AN206" s="427"/>
      <c r="AO206" s="427"/>
      <c r="AP206" s="427"/>
      <c r="AQ206" s="427"/>
    </row>
    <row r="207" spans="1:43" ht="16" customHeight="1">
      <c r="A207" s="427"/>
      <c r="B207" s="427"/>
      <c r="C207" s="428">
        <v>174</v>
      </c>
      <c r="D207" s="456">
        <v>46196</v>
      </c>
      <c r="E207" s="959"/>
      <c r="F207" s="958">
        <f>Tabla15[[#This Row],[Retiros]]-Tabla15[[#This Row],[Contado]]</f>
        <v>0</v>
      </c>
      <c r="G207" s="959"/>
      <c r="H207" s="959"/>
      <c r="I207" s="959"/>
      <c r="J207" s="959"/>
      <c r="K207" s="958"/>
      <c r="L207" s="958"/>
      <c r="M207" s="959"/>
      <c r="N207" s="959">
        <f>Tabla15[[#This Row],[Contado]]</f>
        <v>0</v>
      </c>
      <c r="O207" s="959"/>
      <c r="P207" s="443">
        <f>((Tabla15[[#This Row],[Contado]]+Tabla15[[#This Row],[Visa]]+Tabla15[[#This Row],[Eventos]]+Tabla15[[#This Row],[Passo]]+Tabla15[[#This Row],[Reciclajes]])/1.1)+Tabla15[[#This Row],[Tickets]]</f>
        <v>0</v>
      </c>
      <c r="Q207" s="445">
        <v>0</v>
      </c>
      <c r="R207" s="445">
        <f t="shared" si="8"/>
        <v>0</v>
      </c>
      <c r="S207" s="446"/>
      <c r="T207" s="447">
        <v>0</v>
      </c>
      <c r="U207" s="447">
        <f>Tabla15[[#This Row],[Total Caja]]-Tabla15[[#This Row],[Facturació A/A]]</f>
        <v>0</v>
      </c>
      <c r="V207" s="447">
        <f t="shared" si="9"/>
        <v>-46682.659090909081</v>
      </c>
      <c r="W207" s="450" t="e">
        <f>Tabla15[[#This Row],[Diferencia]]/Tabla15[[#This Row],[Facturació A/A]]</f>
        <v>#DIV/0!</v>
      </c>
      <c r="X207" s="447">
        <f>Tabla15[[#This Row],[Facturació A/A]]*H$17+Tabla15[[#This Row],[Facturació A/A]]</f>
        <v>0</v>
      </c>
      <c r="Y207" s="447">
        <f>Tabla15[[#This Row],[Total Caja]]-Tabla15[[#This Row],[Previsión]]</f>
        <v>0</v>
      </c>
      <c r="Z207" s="446"/>
      <c r="AA207" s="447" t="e">
        <f>SUM(INDEX(Tabla15[[#This Row],[Facturació A/A]],1):Tabla15[[#This Row],[Facturació A/A]]) / SUM(INDEX(Tabla15[[#This Row],[Diferencia]],1):Tabla15[[#This Row],[Diferencia]])</f>
        <v>#DIV/0!</v>
      </c>
      <c r="AB207" s="446"/>
      <c r="AC207" s="427"/>
      <c r="AD207" s="427"/>
      <c r="AE207" s="427"/>
      <c r="AF207" s="427"/>
      <c r="AG207" s="427"/>
      <c r="AH207" s="427"/>
      <c r="AI207" s="427"/>
      <c r="AJ207" s="427"/>
      <c r="AK207" s="427"/>
      <c r="AL207" s="427"/>
      <c r="AM207" s="427"/>
      <c r="AN207" s="427"/>
      <c r="AO207" s="427"/>
      <c r="AP207" s="427"/>
      <c r="AQ207" s="427"/>
    </row>
    <row r="208" spans="1:43" ht="16" customHeight="1">
      <c r="A208" s="427"/>
      <c r="B208" s="427"/>
      <c r="C208" s="428">
        <v>175</v>
      </c>
      <c r="D208" s="456">
        <v>46197</v>
      </c>
      <c r="E208" s="959"/>
      <c r="F208" s="958">
        <f>Tabla15[[#This Row],[Retiros]]-Tabla15[[#This Row],[Contado]]</f>
        <v>0</v>
      </c>
      <c r="G208" s="959"/>
      <c r="H208" s="959"/>
      <c r="I208" s="959"/>
      <c r="J208" s="959"/>
      <c r="K208" s="958"/>
      <c r="L208" s="958"/>
      <c r="M208" s="959"/>
      <c r="N208" s="959">
        <f>Tabla15[[#This Row],[Contado]]</f>
        <v>0</v>
      </c>
      <c r="O208" s="959"/>
      <c r="P208" s="443">
        <f>((Tabla15[[#This Row],[Contado]]+Tabla15[[#This Row],[Visa]]+Tabla15[[#This Row],[Eventos]]+Tabla15[[#This Row],[Passo]]+Tabla15[[#This Row],[Reciclajes]])/1.1)+Tabla15[[#This Row],[Tickets]]</f>
        <v>0</v>
      </c>
      <c r="Q208" s="445">
        <v>0</v>
      </c>
      <c r="R208" s="445">
        <f t="shared" si="8"/>
        <v>0</v>
      </c>
      <c r="S208" s="446"/>
      <c r="T208" s="447">
        <v>1033.1400000000001</v>
      </c>
      <c r="U208" s="447">
        <f>Tabla15[[#This Row],[Total Caja]]-Tabla15[[#This Row],[Facturació A/A]]</f>
        <v>-1033.1400000000001</v>
      </c>
      <c r="V208" s="447">
        <f t="shared" si="9"/>
        <v>-47715.79909090908</v>
      </c>
      <c r="W208" s="450">
        <f>Tabla15[[#This Row],[Diferencia]]/Tabla15[[#This Row],[Facturació A/A]]</f>
        <v>-1</v>
      </c>
      <c r="X208" s="447">
        <f>Tabla15[[#This Row],[Facturació A/A]]*H$17+Tabla15[[#This Row],[Facturació A/A]]</f>
        <v>1064.1342000000002</v>
      </c>
      <c r="Y208" s="447">
        <f>Tabla15[[#This Row],[Total Caja]]-Tabla15[[#This Row],[Previsión]]</f>
        <v>-1064.1342000000002</v>
      </c>
      <c r="Z208" s="446"/>
      <c r="AA208" s="447">
        <f>SUM(INDEX(Tabla15[[#This Row],[Facturació A/A]],1):Tabla15[[#This Row],[Facturació A/A]]) / SUM(INDEX(Tabla15[[#This Row],[Diferencia]],1):Tabla15[[#This Row],[Diferencia]])</f>
        <v>-1</v>
      </c>
      <c r="AB208" s="446"/>
      <c r="AC208" s="427"/>
      <c r="AD208" s="427"/>
      <c r="AE208" s="427"/>
      <c r="AF208" s="427"/>
      <c r="AG208" s="427"/>
      <c r="AH208" s="427"/>
      <c r="AI208" s="427"/>
      <c r="AJ208" s="427"/>
      <c r="AK208" s="427"/>
      <c r="AL208" s="427"/>
      <c r="AM208" s="427"/>
      <c r="AN208" s="427"/>
      <c r="AO208" s="427"/>
      <c r="AP208" s="427"/>
      <c r="AQ208" s="427"/>
    </row>
    <row r="209" spans="1:43" ht="16" customHeight="1">
      <c r="A209" s="427"/>
      <c r="B209" s="427"/>
      <c r="C209" s="428">
        <v>176</v>
      </c>
      <c r="D209" s="456">
        <v>46198</v>
      </c>
      <c r="E209" s="959"/>
      <c r="F209" s="958">
        <f>Tabla15[[#This Row],[Retiros]]-Tabla15[[#This Row],[Contado]]</f>
        <v>0</v>
      </c>
      <c r="G209" s="959"/>
      <c r="H209" s="959"/>
      <c r="I209" s="959"/>
      <c r="J209" s="959"/>
      <c r="K209" s="958"/>
      <c r="L209" s="958"/>
      <c r="M209" s="959"/>
      <c r="N209" s="959">
        <f>Tabla15[[#This Row],[Contado]]</f>
        <v>0</v>
      </c>
      <c r="O209" s="959"/>
      <c r="P209" s="443">
        <f>((Tabla15[[#This Row],[Contado]]+Tabla15[[#This Row],[Visa]]+Tabla15[[#This Row],[Eventos]]+Tabla15[[#This Row],[Passo]]+Tabla15[[#This Row],[Reciclajes]])/1.1)+Tabla15[[#This Row],[Tickets]]</f>
        <v>0</v>
      </c>
      <c r="Q209" s="445">
        <v>0</v>
      </c>
      <c r="R209" s="445">
        <f t="shared" si="8"/>
        <v>0</v>
      </c>
      <c r="S209" s="446"/>
      <c r="T209" s="447">
        <v>1556.38</v>
      </c>
      <c r="U209" s="447">
        <f>Tabla15[[#This Row],[Total Caja]]-Tabla15[[#This Row],[Facturació A/A]]</f>
        <v>-1556.38</v>
      </c>
      <c r="V209" s="447">
        <f t="shared" si="9"/>
        <v>-49272.179090909078</v>
      </c>
      <c r="W209" s="450">
        <f>Tabla15[[#This Row],[Diferencia]]/Tabla15[[#This Row],[Facturació A/A]]</f>
        <v>-1</v>
      </c>
      <c r="X209" s="447">
        <f>Tabla15[[#This Row],[Facturació A/A]]*H$17+Tabla15[[#This Row],[Facturació A/A]]</f>
        <v>1603.0714</v>
      </c>
      <c r="Y209" s="447">
        <f>Tabla15[[#This Row],[Total Caja]]-Tabla15[[#This Row],[Previsión]]</f>
        <v>-1603.0714</v>
      </c>
      <c r="Z209" s="446"/>
      <c r="AA209" s="447">
        <f>SUM(INDEX(Tabla15[[#This Row],[Facturació A/A]],1):Tabla15[[#This Row],[Facturació A/A]]) / SUM(INDEX(Tabla15[[#This Row],[Diferencia]],1):Tabla15[[#This Row],[Diferencia]])</f>
        <v>-1</v>
      </c>
      <c r="AB209" s="446"/>
      <c r="AC209" s="427"/>
      <c r="AD209" s="427"/>
      <c r="AE209" s="427"/>
      <c r="AF209" s="427"/>
      <c r="AG209" s="427"/>
      <c r="AH209" s="427"/>
      <c r="AI209" s="427"/>
      <c r="AJ209" s="427"/>
      <c r="AK209" s="427"/>
      <c r="AL209" s="427"/>
      <c r="AM209" s="427"/>
      <c r="AN209" s="427"/>
      <c r="AO209" s="427"/>
      <c r="AP209" s="427"/>
      <c r="AQ209" s="427"/>
    </row>
    <row r="210" spans="1:43" ht="16" customHeight="1">
      <c r="A210" s="427"/>
      <c r="B210" s="427"/>
      <c r="C210" s="428">
        <v>177</v>
      </c>
      <c r="D210" s="456">
        <v>46199</v>
      </c>
      <c r="E210" s="959"/>
      <c r="F210" s="958">
        <f>Tabla15[[#This Row],[Retiros]]-Tabla15[[#This Row],[Contado]]</f>
        <v>0</v>
      </c>
      <c r="G210" s="959"/>
      <c r="H210" s="959"/>
      <c r="I210" s="959"/>
      <c r="J210" s="959"/>
      <c r="K210" s="958"/>
      <c r="L210" s="958"/>
      <c r="M210" s="959"/>
      <c r="N210" s="959">
        <f>Tabla15[[#This Row],[Contado]]</f>
        <v>0</v>
      </c>
      <c r="O210" s="959"/>
      <c r="P210" s="443">
        <f>((Tabla15[[#This Row],[Contado]]+Tabla15[[#This Row],[Visa]]+Tabla15[[#This Row],[Eventos]]+Tabla15[[#This Row],[Passo]]+Tabla15[[#This Row],[Reciclajes]])/1.1)+Tabla15[[#This Row],[Tickets]]</f>
        <v>0</v>
      </c>
      <c r="Q210" s="445">
        <v>0</v>
      </c>
      <c r="R210" s="445">
        <f t="shared" si="8"/>
        <v>0</v>
      </c>
      <c r="S210" s="446"/>
      <c r="T210" s="447">
        <v>1971.36</v>
      </c>
      <c r="U210" s="447">
        <f>Tabla15[[#This Row],[Total Caja]]-Tabla15[[#This Row],[Facturació A/A]]</f>
        <v>-1971.36</v>
      </c>
      <c r="V210" s="447">
        <f t="shared" si="9"/>
        <v>-51243.539090909078</v>
      </c>
      <c r="W210" s="450">
        <f>Tabla15[[#This Row],[Diferencia]]/Tabla15[[#This Row],[Facturació A/A]]</f>
        <v>-1</v>
      </c>
      <c r="X210" s="447">
        <f>Tabla15[[#This Row],[Facturació A/A]]*H$17+Tabla15[[#This Row],[Facturació A/A]]</f>
        <v>2030.5007999999998</v>
      </c>
      <c r="Y210" s="447">
        <f>Tabla15[[#This Row],[Total Caja]]-Tabla15[[#This Row],[Previsión]]</f>
        <v>-2030.5007999999998</v>
      </c>
      <c r="Z210" s="446"/>
      <c r="AA210" s="447">
        <f>SUM(INDEX(Tabla15[[#This Row],[Facturació A/A]],1):Tabla15[[#This Row],[Facturació A/A]]) / SUM(INDEX(Tabla15[[#This Row],[Diferencia]],1):Tabla15[[#This Row],[Diferencia]])</f>
        <v>-1</v>
      </c>
      <c r="AB210" s="446"/>
      <c r="AC210" s="427"/>
      <c r="AD210" s="427"/>
      <c r="AE210" s="427"/>
      <c r="AF210" s="427"/>
      <c r="AG210" s="427"/>
      <c r="AH210" s="427"/>
      <c r="AI210" s="427"/>
      <c r="AJ210" s="427"/>
      <c r="AK210" s="427"/>
      <c r="AL210" s="427"/>
      <c r="AM210" s="427"/>
      <c r="AN210" s="427"/>
      <c r="AO210" s="427"/>
      <c r="AP210" s="427"/>
      <c r="AQ210" s="427"/>
    </row>
    <row r="211" spans="1:43" ht="16" customHeight="1">
      <c r="A211" s="427"/>
      <c r="B211" s="427"/>
      <c r="C211" s="428">
        <v>178</v>
      </c>
      <c r="D211" s="456">
        <v>46200</v>
      </c>
      <c r="E211" s="959"/>
      <c r="F211" s="958">
        <f>Tabla15[[#This Row],[Retiros]]-Tabla15[[#This Row],[Contado]]</f>
        <v>0</v>
      </c>
      <c r="G211" s="959"/>
      <c r="H211" s="959"/>
      <c r="I211" s="959"/>
      <c r="J211" s="959"/>
      <c r="K211" s="958"/>
      <c r="L211" s="958"/>
      <c r="M211" s="959"/>
      <c r="N211" s="959">
        <f>Tabla15[[#This Row],[Contado]]</f>
        <v>0</v>
      </c>
      <c r="O211" s="959"/>
      <c r="P211" s="443">
        <f>((Tabla15[[#This Row],[Contado]]+Tabla15[[#This Row],[Visa]]+Tabla15[[#This Row],[Eventos]]+Tabla15[[#This Row],[Passo]]+Tabla15[[#This Row],[Reciclajes]])/1.1)+Tabla15[[#This Row],[Tickets]]</f>
        <v>0</v>
      </c>
      <c r="Q211" s="445">
        <v>0</v>
      </c>
      <c r="R211" s="445">
        <f t="shared" si="8"/>
        <v>0</v>
      </c>
      <c r="S211" s="446"/>
      <c r="T211" s="447">
        <v>2410.14</v>
      </c>
      <c r="U211" s="447">
        <f>Tabla15[[#This Row],[Total Caja]]-Tabla15[[#This Row],[Facturació A/A]]</f>
        <v>-2410.14</v>
      </c>
      <c r="V211" s="447">
        <f t="shared" si="9"/>
        <v>-53653.679090909078</v>
      </c>
      <c r="W211" s="450">
        <f>Tabla15[[#This Row],[Diferencia]]/Tabla15[[#This Row],[Facturació A/A]]</f>
        <v>-1</v>
      </c>
      <c r="X211" s="447">
        <f>Tabla15[[#This Row],[Facturació A/A]]*H$17+Tabla15[[#This Row],[Facturació A/A]]</f>
        <v>2482.4441999999999</v>
      </c>
      <c r="Y211" s="447">
        <f>Tabla15[[#This Row],[Total Caja]]-Tabla15[[#This Row],[Previsión]]</f>
        <v>-2482.4441999999999</v>
      </c>
      <c r="Z211" s="446"/>
      <c r="AA211" s="447">
        <f>SUM(INDEX(Tabla15[[#This Row],[Facturació A/A]],1):Tabla15[[#This Row],[Facturació A/A]]) / SUM(INDEX(Tabla15[[#This Row],[Diferencia]],1):Tabla15[[#This Row],[Diferencia]])</f>
        <v>-1</v>
      </c>
      <c r="AB211" s="446"/>
      <c r="AC211" s="427"/>
      <c r="AD211" s="427"/>
      <c r="AE211" s="427"/>
      <c r="AF211" s="427"/>
      <c r="AG211" s="427"/>
      <c r="AH211" s="427"/>
      <c r="AI211" s="427"/>
      <c r="AJ211" s="427"/>
      <c r="AK211" s="427"/>
      <c r="AL211" s="427"/>
      <c r="AM211" s="427"/>
      <c r="AN211" s="427"/>
      <c r="AO211" s="427"/>
      <c r="AP211" s="427"/>
      <c r="AQ211" s="427"/>
    </row>
    <row r="212" spans="1:43" ht="16" customHeight="1">
      <c r="A212" s="427"/>
      <c r="B212" s="427"/>
      <c r="C212" s="428">
        <v>179</v>
      </c>
      <c r="D212" s="456">
        <v>46201</v>
      </c>
      <c r="E212" s="959"/>
      <c r="F212" s="958">
        <f>Tabla15[[#This Row],[Retiros]]-Tabla15[[#This Row],[Contado]]</f>
        <v>0</v>
      </c>
      <c r="G212" s="959"/>
      <c r="H212" s="959"/>
      <c r="I212" s="959"/>
      <c r="J212" s="959"/>
      <c r="K212" s="958"/>
      <c r="L212" s="958"/>
      <c r="M212" s="959"/>
      <c r="N212" s="959">
        <f>Tabla15[[#This Row],[Contado]]</f>
        <v>0</v>
      </c>
      <c r="O212" s="959"/>
      <c r="P212" s="443">
        <f>((Tabla15[[#This Row],[Contado]]+Tabla15[[#This Row],[Visa]]+Tabla15[[#This Row],[Eventos]]+Tabla15[[#This Row],[Passo]]+Tabla15[[#This Row],[Reciclajes]])/1.1)+Tabla15[[#This Row],[Tickets]]</f>
        <v>0</v>
      </c>
      <c r="Q212" s="445">
        <v>0</v>
      </c>
      <c r="R212" s="445">
        <f t="shared" si="8"/>
        <v>0</v>
      </c>
      <c r="S212" s="446"/>
      <c r="T212" s="447">
        <v>1424.31</v>
      </c>
      <c r="U212" s="447">
        <f>Tabla15[[#This Row],[Total Caja]]-Tabla15[[#This Row],[Facturació A/A]]</f>
        <v>-1424.31</v>
      </c>
      <c r="V212" s="447">
        <f t="shared" si="9"/>
        <v>-55077.989090909075</v>
      </c>
      <c r="W212" s="450">
        <f>Tabla15[[#This Row],[Diferencia]]/Tabla15[[#This Row],[Facturació A/A]]</f>
        <v>-1</v>
      </c>
      <c r="X212" s="447">
        <f>Tabla15[[#This Row],[Facturació A/A]]*H$17+Tabla15[[#This Row],[Facturació A/A]]</f>
        <v>1467.0392999999999</v>
      </c>
      <c r="Y212" s="447">
        <f>Tabla15[[#This Row],[Total Caja]]-Tabla15[[#This Row],[Previsión]]</f>
        <v>-1467.0392999999999</v>
      </c>
      <c r="Z212" s="446"/>
      <c r="AA212" s="447">
        <f>SUM(INDEX(Tabla15[[#This Row],[Facturació A/A]],1):Tabla15[[#This Row],[Facturació A/A]]) / SUM(INDEX(Tabla15[[#This Row],[Diferencia]],1):Tabla15[[#This Row],[Diferencia]])</f>
        <v>-1</v>
      </c>
      <c r="AB212" s="446"/>
      <c r="AC212" s="427"/>
      <c r="AD212" s="427"/>
      <c r="AE212" s="427"/>
      <c r="AF212" s="427"/>
      <c r="AG212" s="427"/>
      <c r="AH212" s="427"/>
      <c r="AI212" s="427"/>
      <c r="AJ212" s="427"/>
      <c r="AK212" s="427"/>
      <c r="AL212" s="427"/>
      <c r="AM212" s="427"/>
      <c r="AN212" s="427"/>
      <c r="AO212" s="427"/>
      <c r="AP212" s="427"/>
      <c r="AQ212" s="427"/>
    </row>
    <row r="213" spans="1:43" ht="16" customHeight="1">
      <c r="A213" s="427"/>
      <c r="B213" s="427"/>
      <c r="C213" s="428">
        <v>180</v>
      </c>
      <c r="D213" s="456">
        <v>46202</v>
      </c>
      <c r="E213" s="959"/>
      <c r="F213" s="958">
        <f>Tabla15[[#This Row],[Retiros]]-Tabla15[[#This Row],[Contado]]</f>
        <v>0</v>
      </c>
      <c r="G213" s="959"/>
      <c r="H213" s="959"/>
      <c r="I213" s="959"/>
      <c r="J213" s="959"/>
      <c r="K213" s="958"/>
      <c r="L213" s="958"/>
      <c r="M213" s="959"/>
      <c r="N213" s="959">
        <f>Tabla15[[#This Row],[Contado]]</f>
        <v>0</v>
      </c>
      <c r="O213" s="959"/>
      <c r="P213" s="443">
        <f>((Tabla15[[#This Row],[Contado]]+Tabla15[[#This Row],[Visa]]+Tabla15[[#This Row],[Eventos]]+Tabla15[[#This Row],[Passo]]+Tabla15[[#This Row],[Reciclajes]])/1.1)+Tabla15[[#This Row],[Tickets]]</f>
        <v>0</v>
      </c>
      <c r="Q213" s="445">
        <v>0</v>
      </c>
      <c r="R213" s="445">
        <f t="shared" si="8"/>
        <v>0</v>
      </c>
      <c r="S213" s="446"/>
      <c r="T213" s="447">
        <v>0</v>
      </c>
      <c r="U213" s="447">
        <f>Tabla15[[#This Row],[Total Caja]]-Tabla15[[#This Row],[Facturació A/A]]</f>
        <v>0</v>
      </c>
      <c r="V213" s="447">
        <f t="shared" si="9"/>
        <v>-55077.989090909075</v>
      </c>
      <c r="W213" s="450" t="e">
        <f>Tabla15[[#This Row],[Diferencia]]/Tabla15[[#This Row],[Facturació A/A]]</f>
        <v>#DIV/0!</v>
      </c>
      <c r="X213" s="447">
        <f>Tabla15[[#This Row],[Facturació A/A]]*H$17+Tabla15[[#This Row],[Facturació A/A]]</f>
        <v>0</v>
      </c>
      <c r="Y213" s="447">
        <f>Tabla15[[#This Row],[Total Caja]]-Tabla15[[#This Row],[Previsión]]</f>
        <v>0</v>
      </c>
      <c r="Z213" s="446"/>
      <c r="AA213" s="447" t="e">
        <f>SUM(INDEX(Tabla15[[#This Row],[Facturació A/A]],1):Tabla15[[#This Row],[Facturació A/A]]) / SUM(INDEX(Tabla15[[#This Row],[Diferencia]],1):Tabla15[[#This Row],[Diferencia]])</f>
        <v>#DIV/0!</v>
      </c>
      <c r="AB213" s="446"/>
      <c r="AC213" s="427"/>
      <c r="AD213" s="427"/>
      <c r="AE213" s="427"/>
      <c r="AF213" s="427"/>
      <c r="AG213" s="427"/>
      <c r="AH213" s="427"/>
      <c r="AI213" s="427"/>
      <c r="AJ213" s="427"/>
      <c r="AK213" s="427"/>
      <c r="AL213" s="427"/>
      <c r="AM213" s="427"/>
      <c r="AN213" s="427"/>
      <c r="AO213" s="427"/>
      <c r="AP213" s="427"/>
      <c r="AQ213" s="427"/>
    </row>
    <row r="214" spans="1:43" ht="16" customHeight="1">
      <c r="A214" s="427"/>
      <c r="B214" s="427"/>
      <c r="C214" s="428">
        <v>181</v>
      </c>
      <c r="D214" s="456">
        <v>46203</v>
      </c>
      <c r="E214" s="959"/>
      <c r="F214" s="958">
        <f>Tabla15[[#This Row],[Retiros]]-Tabla15[[#This Row],[Contado]]</f>
        <v>0</v>
      </c>
      <c r="G214" s="959"/>
      <c r="H214" s="959"/>
      <c r="I214" s="959"/>
      <c r="J214" s="959"/>
      <c r="K214" s="958"/>
      <c r="L214" s="958"/>
      <c r="M214" s="959"/>
      <c r="N214" s="959">
        <f>Tabla15[[#This Row],[Contado]]</f>
        <v>0</v>
      </c>
      <c r="O214" s="959"/>
      <c r="P214" s="443">
        <f>((Tabla15[[#This Row],[Contado]]+Tabla15[[#This Row],[Visa]]+Tabla15[[#This Row],[Eventos]]+Tabla15[[#This Row],[Passo]]+Tabla15[[#This Row],[Reciclajes]])/1.1)+Tabla15[[#This Row],[Tickets]]</f>
        <v>0</v>
      </c>
      <c r="Q214" s="445">
        <v>0</v>
      </c>
      <c r="R214" s="445">
        <f t="shared" si="8"/>
        <v>0</v>
      </c>
      <c r="S214" s="446"/>
      <c r="T214" s="447">
        <v>0</v>
      </c>
      <c r="U214" s="447">
        <f>Tabla15[[#This Row],[Total Caja]]-Tabla15[[#This Row],[Facturació A/A]]</f>
        <v>0</v>
      </c>
      <c r="V214" s="447">
        <f t="shared" si="9"/>
        <v>-55077.989090909075</v>
      </c>
      <c r="W214" s="450" t="e">
        <f>Tabla15[[#This Row],[Diferencia]]/Tabla15[[#This Row],[Facturació A/A]]</f>
        <v>#DIV/0!</v>
      </c>
      <c r="X214" s="447">
        <f>Tabla15[[#This Row],[Facturació A/A]]*H$17+Tabla15[[#This Row],[Facturació A/A]]</f>
        <v>0</v>
      </c>
      <c r="Y214" s="447">
        <f>Tabla15[[#This Row],[Total Caja]]-Tabla15[[#This Row],[Previsión]]</f>
        <v>0</v>
      </c>
      <c r="Z214" s="446"/>
      <c r="AA214" s="447" t="e">
        <f>SUM(INDEX(Tabla15[[#This Row],[Facturació A/A]],1):Tabla15[[#This Row],[Facturació A/A]]) / SUM(INDEX(Tabla15[[#This Row],[Diferencia]],1):Tabla15[[#This Row],[Diferencia]])</f>
        <v>#DIV/0!</v>
      </c>
      <c r="AB214" s="446"/>
      <c r="AC214" s="427"/>
      <c r="AD214" s="427"/>
      <c r="AE214" s="427"/>
      <c r="AF214" s="427"/>
      <c r="AG214" s="427"/>
      <c r="AH214" s="427"/>
      <c r="AI214" s="427"/>
      <c r="AJ214" s="427"/>
      <c r="AK214" s="427"/>
      <c r="AL214" s="427"/>
      <c r="AM214" s="427"/>
      <c r="AN214" s="427"/>
      <c r="AO214" s="427"/>
      <c r="AP214" s="427"/>
      <c r="AQ214" s="427"/>
    </row>
    <row r="215" spans="1:43" ht="16" customHeight="1">
      <c r="A215" s="427"/>
      <c r="B215" s="427"/>
      <c r="C215" s="428">
        <v>182</v>
      </c>
      <c r="D215" s="456">
        <v>46204</v>
      </c>
      <c r="E215" s="959"/>
      <c r="F215" s="958">
        <f>Tabla15[[#This Row],[Retiros]]-Tabla15[[#This Row],[Contado]]</f>
        <v>0</v>
      </c>
      <c r="G215" s="959"/>
      <c r="H215" s="959"/>
      <c r="I215" s="959"/>
      <c r="J215" s="959"/>
      <c r="K215" s="958"/>
      <c r="L215" s="958"/>
      <c r="M215" s="959"/>
      <c r="N215" s="959">
        <f>Tabla15[[#This Row],[Contado]]</f>
        <v>0</v>
      </c>
      <c r="O215" s="959"/>
      <c r="P215" s="443">
        <f>((Tabla15[[#This Row],[Contado]]+Tabla15[[#This Row],[Visa]]+Tabla15[[#This Row],[Eventos]]+Tabla15[[#This Row],[Passo]]+Tabla15[[#This Row],[Reciclajes]])/1.1)+Tabla15[[#This Row],[Tickets]]</f>
        <v>0</v>
      </c>
      <c r="Q215" s="445">
        <v>0</v>
      </c>
      <c r="R215" s="445">
        <f t="shared" si="8"/>
        <v>0</v>
      </c>
      <c r="S215" s="446"/>
      <c r="T215" s="447">
        <v>533.41</v>
      </c>
      <c r="U215" s="447">
        <f>Tabla15[[#This Row],[Total Caja]]-Tabla15[[#This Row],[Facturació A/A]]</f>
        <v>-533.41</v>
      </c>
      <c r="V215" s="447">
        <f t="shared" si="9"/>
        <v>-55611.399090909079</v>
      </c>
      <c r="W215" s="450">
        <f>Tabla15[[#This Row],[Diferencia]]/Tabla15[[#This Row],[Facturació A/A]]</f>
        <v>-1</v>
      </c>
      <c r="X215" s="447">
        <f>Tabla15[[#This Row],[Facturació A/A]]*H$17+Tabla15[[#This Row],[Facturació A/A]]</f>
        <v>549.41229999999996</v>
      </c>
      <c r="Y215" s="447">
        <f>Tabla15[[#This Row],[Total Caja]]-Tabla15[[#This Row],[Previsión]]</f>
        <v>-549.41229999999996</v>
      </c>
      <c r="Z215" s="446"/>
      <c r="AA215" s="447">
        <f>SUM(INDEX(Tabla15[[#This Row],[Facturació A/A]],1):Tabla15[[#This Row],[Facturació A/A]]) / SUM(INDEX(Tabla15[[#This Row],[Diferencia]],1):Tabla15[[#This Row],[Diferencia]])</f>
        <v>-1</v>
      </c>
      <c r="AB215" s="446"/>
      <c r="AC215" s="427"/>
      <c r="AD215" s="427"/>
      <c r="AE215" s="427"/>
      <c r="AF215" s="427"/>
      <c r="AG215" s="427"/>
      <c r="AH215" s="427"/>
      <c r="AI215" s="427"/>
      <c r="AJ215" s="427"/>
      <c r="AK215" s="427"/>
      <c r="AL215" s="427"/>
      <c r="AM215" s="427"/>
      <c r="AN215" s="427"/>
      <c r="AO215" s="427"/>
      <c r="AP215" s="427"/>
      <c r="AQ215" s="427"/>
    </row>
    <row r="216" spans="1:43" ht="16" customHeight="1">
      <c r="A216" s="427"/>
      <c r="B216" s="427"/>
      <c r="C216" s="428">
        <v>183</v>
      </c>
      <c r="D216" s="456">
        <v>46205</v>
      </c>
      <c r="E216" s="959"/>
      <c r="F216" s="958">
        <f>Tabla15[[#This Row],[Retiros]]-Tabla15[[#This Row],[Contado]]</f>
        <v>0</v>
      </c>
      <c r="G216" s="959"/>
      <c r="H216" s="959"/>
      <c r="I216" s="959"/>
      <c r="J216" s="959"/>
      <c r="K216" s="958"/>
      <c r="L216" s="958"/>
      <c r="M216" s="959"/>
      <c r="N216" s="959">
        <f>Tabla15[[#This Row],[Contado]]</f>
        <v>0</v>
      </c>
      <c r="O216" s="959"/>
      <c r="P216" s="443">
        <f>((Tabla15[[#This Row],[Contado]]+Tabla15[[#This Row],[Visa]]+Tabla15[[#This Row],[Eventos]]+Tabla15[[#This Row],[Passo]]+Tabla15[[#This Row],[Reciclajes]])/1.1)+Tabla15[[#This Row],[Tickets]]</f>
        <v>0</v>
      </c>
      <c r="Q216" s="445">
        <v>0</v>
      </c>
      <c r="R216" s="445">
        <f t="shared" si="8"/>
        <v>0</v>
      </c>
      <c r="S216" s="446"/>
      <c r="T216" s="447">
        <v>1106.3399999999999</v>
      </c>
      <c r="U216" s="447">
        <f>Tabla15[[#This Row],[Total Caja]]-Tabla15[[#This Row],[Facturació A/A]]</f>
        <v>-1106.3399999999999</v>
      </c>
      <c r="V216" s="447">
        <f t="shared" si="9"/>
        <v>-56717.739090909075</v>
      </c>
      <c r="W216" s="450">
        <f>Tabla15[[#This Row],[Diferencia]]/Tabla15[[#This Row],[Facturació A/A]]</f>
        <v>-1</v>
      </c>
      <c r="X216" s="447">
        <f>Tabla15[[#This Row],[Facturació A/A]]*H$17+Tabla15[[#This Row],[Facturació A/A]]</f>
        <v>1139.5301999999999</v>
      </c>
      <c r="Y216" s="447">
        <f>Tabla15[[#This Row],[Total Caja]]-Tabla15[[#This Row],[Previsión]]</f>
        <v>-1139.5301999999999</v>
      </c>
      <c r="Z216" s="446"/>
      <c r="AA216" s="447">
        <f>SUM(INDEX(Tabla15[[#This Row],[Facturació A/A]],1):Tabla15[[#This Row],[Facturació A/A]]) / SUM(INDEX(Tabla15[[#This Row],[Diferencia]],1):Tabla15[[#This Row],[Diferencia]])</f>
        <v>-1</v>
      </c>
      <c r="AB216" s="446"/>
      <c r="AC216" s="427"/>
      <c r="AD216" s="427"/>
      <c r="AE216" s="427"/>
      <c r="AF216" s="427"/>
      <c r="AG216" s="427"/>
      <c r="AH216" s="427"/>
      <c r="AI216" s="427"/>
      <c r="AJ216" s="427"/>
      <c r="AK216" s="427"/>
      <c r="AL216" s="427"/>
      <c r="AM216" s="427"/>
      <c r="AN216" s="427"/>
      <c r="AO216" s="427"/>
      <c r="AP216" s="427"/>
      <c r="AQ216" s="427"/>
    </row>
    <row r="217" spans="1:43" ht="16" customHeight="1">
      <c r="A217" s="427"/>
      <c r="B217" s="427"/>
      <c r="C217" s="428">
        <v>184</v>
      </c>
      <c r="D217" s="456">
        <v>46206</v>
      </c>
      <c r="E217" s="959"/>
      <c r="F217" s="958">
        <f>Tabla15[[#This Row],[Retiros]]-Tabla15[[#This Row],[Contado]]</f>
        <v>0</v>
      </c>
      <c r="G217" s="959"/>
      <c r="H217" s="959"/>
      <c r="I217" s="959"/>
      <c r="J217" s="959"/>
      <c r="K217" s="959"/>
      <c r="L217" s="959"/>
      <c r="M217" s="959"/>
      <c r="N217" s="959">
        <f>Tabla15[[#This Row],[Contado]]</f>
        <v>0</v>
      </c>
      <c r="O217" s="959"/>
      <c r="P217" s="443">
        <f>((Tabla15[[#This Row],[Contado]]+Tabla15[[#This Row],[Visa]]+Tabla15[[#This Row],[Eventos]]+Tabla15[[#This Row],[Passo]]+Tabla15[[#This Row],[Reciclajes]])/1.1)+Tabla15[[#This Row],[Tickets]]</f>
        <v>0</v>
      </c>
      <c r="Q217" s="445">
        <v>0</v>
      </c>
      <c r="R217" s="445">
        <f t="shared" si="8"/>
        <v>0</v>
      </c>
      <c r="S217" s="446"/>
      <c r="T217" s="447">
        <v>2065.1999999999998</v>
      </c>
      <c r="U217" s="447">
        <f>Tabla15[[#This Row],[Total Caja]]-Tabla15[[#This Row],[Facturació A/A]]</f>
        <v>-2065.1999999999998</v>
      </c>
      <c r="V217" s="447">
        <f t="shared" si="9"/>
        <v>-58782.939090909073</v>
      </c>
      <c r="W217" s="450">
        <f>Tabla15[[#This Row],[Diferencia]]/Tabla15[[#This Row],[Facturació A/A]]</f>
        <v>-1</v>
      </c>
      <c r="X217" s="447">
        <f>Tabla15[[#This Row],[Facturació A/A]]*H$17+Tabla15[[#This Row],[Facturació A/A]]</f>
        <v>2127.1559999999999</v>
      </c>
      <c r="Y217" s="447">
        <f>Tabla15[[#This Row],[Total Caja]]-Tabla15[[#This Row],[Previsión]]</f>
        <v>-2127.1559999999999</v>
      </c>
      <c r="Z217" s="446"/>
      <c r="AA217" s="447">
        <f>SUM(INDEX(Tabla15[[#This Row],[Facturació A/A]],1):Tabla15[[#This Row],[Facturació A/A]]) / SUM(INDEX(Tabla15[[#This Row],[Diferencia]],1):Tabla15[[#This Row],[Diferencia]])</f>
        <v>-1</v>
      </c>
      <c r="AB217" s="446"/>
      <c r="AC217" s="427"/>
      <c r="AD217" s="427"/>
      <c r="AE217" s="427"/>
      <c r="AF217" s="427"/>
      <c r="AG217" s="427"/>
      <c r="AH217" s="427"/>
      <c r="AI217" s="427"/>
      <c r="AJ217" s="427"/>
      <c r="AK217" s="427"/>
      <c r="AL217" s="427"/>
      <c r="AM217" s="427"/>
      <c r="AN217" s="427"/>
      <c r="AO217" s="427"/>
      <c r="AP217" s="427"/>
      <c r="AQ217" s="427"/>
    </row>
    <row r="218" spans="1:43" ht="16" customHeight="1">
      <c r="A218" s="427"/>
      <c r="B218" s="427"/>
      <c r="C218" s="428">
        <v>185</v>
      </c>
      <c r="D218" s="456">
        <v>46207</v>
      </c>
      <c r="E218" s="959"/>
      <c r="F218" s="958">
        <f>Tabla15[[#This Row],[Retiros]]-Tabla15[[#This Row],[Contado]]</f>
        <v>0</v>
      </c>
      <c r="G218" s="959"/>
      <c r="H218" s="959"/>
      <c r="I218" s="959"/>
      <c r="J218" s="959"/>
      <c r="K218" s="959"/>
      <c r="L218" s="959"/>
      <c r="M218" s="959"/>
      <c r="N218" s="959">
        <f>Tabla15[[#This Row],[Contado]]</f>
        <v>0</v>
      </c>
      <c r="O218" s="959"/>
      <c r="P218" s="443">
        <f>((Tabla15[[#This Row],[Contado]]+Tabla15[[#This Row],[Visa]]+Tabla15[[#This Row],[Eventos]]+Tabla15[[#This Row],[Passo]]+Tabla15[[#This Row],[Reciclajes]])/1.1)+Tabla15[[#This Row],[Tickets]]</f>
        <v>0</v>
      </c>
      <c r="Q218" s="445">
        <v>0</v>
      </c>
      <c r="R218" s="445">
        <f t="shared" si="8"/>
        <v>0</v>
      </c>
      <c r="S218" s="446"/>
      <c r="T218" s="447">
        <v>2747.26</v>
      </c>
      <c r="U218" s="447">
        <f>Tabla15[[#This Row],[Total Caja]]-Tabla15[[#This Row],[Facturació A/A]]</f>
        <v>-2747.26</v>
      </c>
      <c r="V218" s="447">
        <f t="shared" si="9"/>
        <v>-61530.199090909075</v>
      </c>
      <c r="W218" s="450">
        <f>Tabla15[[#This Row],[Diferencia]]/Tabla15[[#This Row],[Facturació A/A]]</f>
        <v>-1</v>
      </c>
      <c r="X218" s="447">
        <f>Tabla15[[#This Row],[Facturació A/A]]*H$17+Tabla15[[#This Row],[Facturació A/A]]</f>
        <v>2829.6778000000004</v>
      </c>
      <c r="Y218" s="447">
        <f>Tabla15[[#This Row],[Total Caja]]-Tabla15[[#This Row],[Previsión]]</f>
        <v>-2829.6778000000004</v>
      </c>
      <c r="Z218" s="446"/>
      <c r="AA218" s="447">
        <f>SUM(INDEX(Tabla15[[#This Row],[Facturació A/A]],1):Tabla15[[#This Row],[Facturació A/A]]) / SUM(INDEX(Tabla15[[#This Row],[Diferencia]],1):Tabla15[[#This Row],[Diferencia]])</f>
        <v>-1</v>
      </c>
      <c r="AB218" s="446"/>
      <c r="AC218" s="427"/>
      <c r="AD218" s="427"/>
      <c r="AE218" s="427"/>
      <c r="AF218" s="427"/>
      <c r="AG218" s="427"/>
      <c r="AH218" s="427"/>
      <c r="AI218" s="427"/>
      <c r="AJ218" s="427"/>
      <c r="AK218" s="427"/>
      <c r="AL218" s="427"/>
      <c r="AM218" s="427"/>
      <c r="AN218" s="427"/>
      <c r="AO218" s="427"/>
      <c r="AP218" s="427"/>
      <c r="AQ218" s="427"/>
    </row>
    <row r="219" spans="1:43" ht="16" customHeight="1">
      <c r="A219" s="427"/>
      <c r="B219" s="427"/>
      <c r="C219" s="428">
        <v>186</v>
      </c>
      <c r="D219" s="456">
        <v>46208</v>
      </c>
      <c r="E219" s="959"/>
      <c r="F219" s="958">
        <f>Tabla15[[#This Row],[Retiros]]-Tabla15[[#This Row],[Contado]]</f>
        <v>0</v>
      </c>
      <c r="G219" s="959"/>
      <c r="H219" s="959"/>
      <c r="I219" s="962"/>
      <c r="J219" s="959"/>
      <c r="K219" s="959"/>
      <c r="L219" s="959"/>
      <c r="M219" s="959"/>
      <c r="N219" s="959">
        <f>Tabla15[[#This Row],[Contado]]</f>
        <v>0</v>
      </c>
      <c r="O219" s="959"/>
      <c r="P219" s="443">
        <f>((Tabla15[[#This Row],[Contado]]+Tabla15[[#This Row],[Visa]]+Tabla15[[#This Row],[Eventos]]+Tabla15[[#This Row],[Passo]]+Tabla15[[#This Row],[Reciclajes]])/1.1)+Tabla15[[#This Row],[Tickets]]</f>
        <v>0</v>
      </c>
      <c r="Q219" s="445">
        <v>0</v>
      </c>
      <c r="R219" s="445">
        <f t="shared" si="8"/>
        <v>0</v>
      </c>
      <c r="S219" s="446"/>
      <c r="T219" s="447">
        <v>1608.88</v>
      </c>
      <c r="U219" s="447">
        <f>Tabla15[[#This Row],[Total Caja]]-Tabla15[[#This Row],[Facturació A/A]]</f>
        <v>-1608.88</v>
      </c>
      <c r="V219" s="447">
        <f t="shared" si="9"/>
        <v>-63139.079090909072</v>
      </c>
      <c r="W219" s="450">
        <f>Tabla15[[#This Row],[Diferencia]]/Tabla15[[#This Row],[Facturació A/A]]</f>
        <v>-1</v>
      </c>
      <c r="X219" s="447">
        <f>Tabla15[[#This Row],[Facturació A/A]]*H$17+Tabla15[[#This Row],[Facturació A/A]]</f>
        <v>1657.1464000000001</v>
      </c>
      <c r="Y219" s="447">
        <f>Tabla15[[#This Row],[Total Caja]]-Tabla15[[#This Row],[Previsión]]</f>
        <v>-1657.1464000000001</v>
      </c>
      <c r="Z219" s="446"/>
      <c r="AA219" s="447">
        <f>SUM(INDEX(Tabla15[[#This Row],[Facturació A/A]],1):Tabla15[[#This Row],[Facturació A/A]]) / SUM(INDEX(Tabla15[[#This Row],[Diferencia]],1):Tabla15[[#This Row],[Diferencia]])</f>
        <v>-1</v>
      </c>
      <c r="AB219" s="446"/>
      <c r="AC219" s="427"/>
      <c r="AD219" s="427"/>
      <c r="AE219" s="427"/>
      <c r="AF219" s="427"/>
      <c r="AG219" s="427"/>
      <c r="AH219" s="427"/>
      <c r="AI219" s="427"/>
      <c r="AJ219" s="427"/>
      <c r="AK219" s="427"/>
      <c r="AL219" s="427"/>
      <c r="AM219" s="427"/>
      <c r="AN219" s="427"/>
      <c r="AO219" s="427"/>
      <c r="AP219" s="427"/>
      <c r="AQ219" s="427"/>
    </row>
    <row r="220" spans="1:43" ht="16" customHeight="1">
      <c r="A220" s="427"/>
      <c r="B220" s="427"/>
      <c r="C220" s="428">
        <v>187</v>
      </c>
      <c r="D220" s="456">
        <v>46209</v>
      </c>
      <c r="E220" s="962"/>
      <c r="F220" s="958">
        <f>Tabla15[[#This Row],[Retiros]]-Tabla15[[#This Row],[Contado]]</f>
        <v>0</v>
      </c>
      <c r="G220" s="962"/>
      <c r="H220" s="962"/>
      <c r="I220" s="962"/>
      <c r="J220" s="959"/>
      <c r="K220" s="959"/>
      <c r="L220" s="959"/>
      <c r="M220" s="962"/>
      <c r="N220" s="959">
        <f>Tabla15[[#This Row],[Contado]]</f>
        <v>0</v>
      </c>
      <c r="O220" s="962"/>
      <c r="P220" s="443">
        <f>((Tabla15[[#This Row],[Contado]]+Tabla15[[#This Row],[Visa]]+Tabla15[[#This Row],[Eventos]]+Tabla15[[#This Row],[Passo]]+Tabla15[[#This Row],[Reciclajes]])/1.1)+Tabla15[[#This Row],[Tickets]]</f>
        <v>0</v>
      </c>
      <c r="Q220" s="450">
        <v>0</v>
      </c>
      <c r="R220" s="445">
        <f t="shared" si="8"/>
        <v>0</v>
      </c>
      <c r="S220" s="446"/>
      <c r="T220" s="447">
        <v>1536.84</v>
      </c>
      <c r="U220" s="447">
        <f>Tabla15[[#This Row],[Total Caja]]-Tabla15[[#This Row],[Facturació A/A]]</f>
        <v>-1536.84</v>
      </c>
      <c r="V220" s="447">
        <f t="shared" si="9"/>
        <v>-64675.919090909068</v>
      </c>
      <c r="W220" s="450">
        <f>Tabla15[[#This Row],[Diferencia]]/Tabla15[[#This Row],[Facturació A/A]]</f>
        <v>-1</v>
      </c>
      <c r="X220" s="447">
        <f>Tabla15[[#This Row],[Facturació A/A]]*H$17+Tabla15[[#This Row],[Facturació A/A]]</f>
        <v>1582.9451999999999</v>
      </c>
      <c r="Y220" s="447">
        <f>Tabla15[[#This Row],[Total Caja]]-Tabla15[[#This Row],[Previsión]]</f>
        <v>-1582.9451999999999</v>
      </c>
      <c r="Z220" s="446"/>
      <c r="AA220" s="447">
        <f>SUM(INDEX(Tabla15[[#This Row],[Facturació A/A]],1):Tabla15[[#This Row],[Facturació A/A]]) / SUM(INDEX(Tabla15[[#This Row],[Diferencia]],1):Tabla15[[#This Row],[Diferencia]])</f>
        <v>-1</v>
      </c>
      <c r="AB220" s="446"/>
      <c r="AC220" s="427"/>
      <c r="AD220" s="427"/>
      <c r="AE220" s="427"/>
      <c r="AF220" s="427"/>
      <c r="AG220" s="427"/>
      <c r="AH220" s="427"/>
      <c r="AI220" s="427"/>
      <c r="AJ220" s="427"/>
      <c r="AK220" s="427"/>
      <c r="AL220" s="427"/>
      <c r="AM220" s="427"/>
      <c r="AN220" s="427"/>
      <c r="AO220" s="427"/>
      <c r="AP220" s="427"/>
      <c r="AQ220" s="427"/>
    </row>
    <row r="221" spans="1:43" ht="16" customHeight="1">
      <c r="A221" s="427"/>
      <c r="B221" s="427"/>
      <c r="C221" s="428">
        <v>188</v>
      </c>
      <c r="D221" s="456">
        <v>46210</v>
      </c>
      <c r="E221" s="962"/>
      <c r="F221" s="958">
        <f>Tabla15[[#This Row],[Retiros]]-Tabla15[[#This Row],[Contado]]</f>
        <v>0</v>
      </c>
      <c r="G221" s="962"/>
      <c r="H221" s="962"/>
      <c r="I221" s="962"/>
      <c r="J221" s="959"/>
      <c r="K221" s="959"/>
      <c r="L221" s="959"/>
      <c r="M221" s="962"/>
      <c r="N221" s="959">
        <f>Tabla15[[#This Row],[Contado]]</f>
        <v>0</v>
      </c>
      <c r="O221" s="962"/>
      <c r="P221" s="443">
        <f>((Tabla15[[#This Row],[Contado]]+Tabla15[[#This Row],[Visa]]+Tabla15[[#This Row],[Eventos]]+Tabla15[[#This Row],[Passo]]+Tabla15[[#This Row],[Reciclajes]])/1.1)+Tabla15[[#This Row],[Tickets]]</f>
        <v>0</v>
      </c>
      <c r="Q221" s="450">
        <v>0</v>
      </c>
      <c r="R221" s="445">
        <f t="shared" si="8"/>
        <v>0</v>
      </c>
      <c r="S221" s="446"/>
      <c r="T221" s="447">
        <v>1114.26</v>
      </c>
      <c r="U221" s="447">
        <f>Tabla15[[#This Row],[Total Caja]]-Tabla15[[#This Row],[Facturació A/A]]</f>
        <v>-1114.26</v>
      </c>
      <c r="V221" s="447">
        <f t="shared" si="9"/>
        <v>-65790.179090909063</v>
      </c>
      <c r="W221" s="450">
        <f>Tabla15[[#This Row],[Diferencia]]/Tabla15[[#This Row],[Facturació A/A]]</f>
        <v>-1</v>
      </c>
      <c r="X221" s="447">
        <f>Tabla15[[#This Row],[Facturació A/A]]*H$17+Tabla15[[#This Row],[Facturació A/A]]</f>
        <v>1147.6877999999999</v>
      </c>
      <c r="Y221" s="447">
        <f>Tabla15[[#This Row],[Total Caja]]-Tabla15[[#This Row],[Previsión]]</f>
        <v>-1147.6877999999999</v>
      </c>
      <c r="Z221" s="446"/>
      <c r="AA221" s="447">
        <f>SUM(INDEX(Tabla15[[#This Row],[Facturació A/A]],1):Tabla15[[#This Row],[Facturació A/A]]) / SUM(INDEX(Tabla15[[#This Row],[Diferencia]],1):Tabla15[[#This Row],[Diferencia]])</f>
        <v>-1</v>
      </c>
      <c r="AB221" s="446"/>
      <c r="AC221" s="427"/>
      <c r="AD221" s="427"/>
      <c r="AE221" s="427"/>
      <c r="AF221" s="427"/>
      <c r="AG221" s="427"/>
      <c r="AH221" s="427"/>
      <c r="AI221" s="427"/>
      <c r="AJ221" s="427"/>
      <c r="AK221" s="427"/>
      <c r="AL221" s="427"/>
      <c r="AM221" s="427"/>
      <c r="AN221" s="427"/>
      <c r="AO221" s="427"/>
      <c r="AP221" s="427"/>
      <c r="AQ221" s="427"/>
    </row>
    <row r="222" spans="1:43" ht="16" customHeight="1">
      <c r="A222" s="427"/>
      <c r="B222" s="427"/>
      <c r="C222" s="428">
        <v>189</v>
      </c>
      <c r="D222" s="456">
        <v>46211</v>
      </c>
      <c r="E222" s="962"/>
      <c r="F222" s="958">
        <f>Tabla15[[#This Row],[Retiros]]-Tabla15[[#This Row],[Contado]]</f>
        <v>0</v>
      </c>
      <c r="G222" s="962"/>
      <c r="H222" s="962"/>
      <c r="I222" s="962"/>
      <c r="J222" s="959"/>
      <c r="K222" s="959"/>
      <c r="L222" s="959"/>
      <c r="M222" s="962"/>
      <c r="N222" s="959">
        <f>Tabla15[[#This Row],[Contado]]</f>
        <v>0</v>
      </c>
      <c r="O222" s="962"/>
      <c r="P222" s="443">
        <f>((Tabla15[[#This Row],[Contado]]+Tabla15[[#This Row],[Visa]]+Tabla15[[#This Row],[Eventos]]+Tabla15[[#This Row],[Passo]]+Tabla15[[#This Row],[Reciclajes]])/1.1)+Tabla15[[#This Row],[Tickets]]</f>
        <v>0</v>
      </c>
      <c r="Q222" s="450">
        <v>0</v>
      </c>
      <c r="R222" s="445">
        <f t="shared" si="8"/>
        <v>0</v>
      </c>
      <c r="S222" s="446"/>
      <c r="T222" s="447">
        <v>0</v>
      </c>
      <c r="U222" s="447">
        <f>Tabla15[[#This Row],[Total Caja]]-Tabla15[[#This Row],[Facturació A/A]]</f>
        <v>0</v>
      </c>
      <c r="V222" s="447">
        <f t="shared" si="9"/>
        <v>-65790.179090909063</v>
      </c>
      <c r="W222" s="450" t="e">
        <f>Tabla15[[#This Row],[Diferencia]]/Tabla15[[#This Row],[Facturació A/A]]</f>
        <v>#DIV/0!</v>
      </c>
      <c r="X222" s="447">
        <f>Tabla15[[#This Row],[Facturació A/A]]*H$17+Tabla15[[#This Row],[Facturació A/A]]</f>
        <v>0</v>
      </c>
      <c r="Y222" s="447">
        <f>Tabla15[[#This Row],[Total Caja]]-Tabla15[[#This Row],[Previsión]]</f>
        <v>0</v>
      </c>
      <c r="Z222" s="446"/>
      <c r="AA222" s="447" t="e">
        <f>SUM(INDEX(Tabla15[[#This Row],[Facturació A/A]],1):Tabla15[[#This Row],[Facturació A/A]]) / SUM(INDEX(Tabla15[[#This Row],[Diferencia]],1):Tabla15[[#This Row],[Diferencia]])</f>
        <v>#DIV/0!</v>
      </c>
      <c r="AB222" s="446"/>
      <c r="AC222" s="427"/>
      <c r="AD222" s="427"/>
      <c r="AE222" s="427"/>
      <c r="AF222" s="427"/>
      <c r="AG222" s="427"/>
      <c r="AH222" s="427"/>
      <c r="AI222" s="427"/>
      <c r="AJ222" s="427"/>
      <c r="AK222" s="427"/>
      <c r="AL222" s="427"/>
      <c r="AM222" s="427"/>
      <c r="AN222" s="427"/>
      <c r="AO222" s="427"/>
      <c r="AP222" s="427"/>
      <c r="AQ222" s="427"/>
    </row>
    <row r="223" spans="1:43" ht="16" customHeight="1">
      <c r="A223" s="427"/>
      <c r="B223" s="427"/>
      <c r="C223" s="428">
        <v>190</v>
      </c>
      <c r="D223" s="456">
        <v>46212</v>
      </c>
      <c r="E223" s="962"/>
      <c r="F223" s="958">
        <f>Tabla15[[#This Row],[Retiros]]-Tabla15[[#This Row],[Contado]]</f>
        <v>0</v>
      </c>
      <c r="G223" s="962"/>
      <c r="H223" s="962"/>
      <c r="I223" s="962"/>
      <c r="J223" s="959"/>
      <c r="K223" s="959"/>
      <c r="L223" s="959"/>
      <c r="M223" s="962"/>
      <c r="N223" s="959">
        <f>Tabla15[[#This Row],[Contado]]</f>
        <v>0</v>
      </c>
      <c r="O223" s="962"/>
      <c r="P223" s="443">
        <f>((Tabla15[[#This Row],[Contado]]+Tabla15[[#This Row],[Visa]]+Tabla15[[#This Row],[Eventos]]+Tabla15[[#This Row],[Passo]]+Tabla15[[#This Row],[Reciclajes]])/1.1)+Tabla15[[#This Row],[Tickets]]</f>
        <v>0</v>
      </c>
      <c r="Q223" s="450">
        <v>0</v>
      </c>
      <c r="R223" s="445">
        <f t="shared" si="8"/>
        <v>0</v>
      </c>
      <c r="S223" s="446"/>
      <c r="T223" s="447">
        <v>0</v>
      </c>
      <c r="U223" s="447">
        <f>Tabla15[[#This Row],[Total Caja]]-Tabla15[[#This Row],[Facturació A/A]]</f>
        <v>0</v>
      </c>
      <c r="V223" s="447">
        <f t="shared" si="9"/>
        <v>-65790.179090909063</v>
      </c>
      <c r="W223" s="450" t="e">
        <f>Tabla15[[#This Row],[Diferencia]]/Tabla15[[#This Row],[Facturació A/A]]</f>
        <v>#DIV/0!</v>
      </c>
      <c r="X223" s="447">
        <f>Tabla15[[#This Row],[Facturació A/A]]*H$17+Tabla15[[#This Row],[Facturació A/A]]</f>
        <v>0</v>
      </c>
      <c r="Y223" s="447">
        <f>Tabla15[[#This Row],[Total Caja]]-Tabla15[[#This Row],[Previsión]]</f>
        <v>0</v>
      </c>
      <c r="Z223" s="446"/>
      <c r="AA223" s="447" t="e">
        <f>SUM(INDEX(Tabla15[[#This Row],[Facturació A/A]],1):Tabla15[[#This Row],[Facturació A/A]]) / SUM(INDEX(Tabla15[[#This Row],[Diferencia]],1):Tabla15[[#This Row],[Diferencia]])</f>
        <v>#DIV/0!</v>
      </c>
      <c r="AB223" s="446"/>
      <c r="AC223" s="427"/>
      <c r="AD223" s="427"/>
      <c r="AE223" s="427"/>
      <c r="AF223" s="427"/>
      <c r="AG223" s="427"/>
      <c r="AH223" s="427"/>
      <c r="AI223" s="427"/>
      <c r="AJ223" s="427"/>
      <c r="AK223" s="427"/>
      <c r="AL223" s="427"/>
      <c r="AM223" s="427"/>
      <c r="AN223" s="427"/>
      <c r="AO223" s="427"/>
      <c r="AP223" s="427"/>
      <c r="AQ223" s="427"/>
    </row>
    <row r="224" spans="1:43" ht="16" customHeight="1">
      <c r="A224" s="427"/>
      <c r="B224" s="427"/>
      <c r="C224" s="428">
        <v>191</v>
      </c>
      <c r="D224" s="456">
        <v>46213</v>
      </c>
      <c r="E224" s="962"/>
      <c r="F224" s="958">
        <f>Tabla15[[#This Row],[Retiros]]-Tabla15[[#This Row],[Contado]]</f>
        <v>0</v>
      </c>
      <c r="G224" s="962"/>
      <c r="H224" s="962"/>
      <c r="I224" s="962"/>
      <c r="J224" s="959"/>
      <c r="K224" s="959"/>
      <c r="L224" s="959"/>
      <c r="M224" s="962"/>
      <c r="N224" s="959">
        <f>Tabla15[[#This Row],[Contado]]</f>
        <v>0</v>
      </c>
      <c r="O224" s="962"/>
      <c r="P224" s="443">
        <f>((Tabla15[[#This Row],[Contado]]+Tabla15[[#This Row],[Visa]]+Tabla15[[#This Row],[Eventos]]+Tabla15[[#This Row],[Passo]]+Tabla15[[#This Row],[Reciclajes]])/1.1)+Tabla15[[#This Row],[Tickets]]</f>
        <v>0</v>
      </c>
      <c r="Q224" s="450">
        <v>0</v>
      </c>
      <c r="R224" s="445">
        <f t="shared" si="8"/>
        <v>0</v>
      </c>
      <c r="S224" s="446"/>
      <c r="T224" s="447">
        <v>1778.81</v>
      </c>
      <c r="U224" s="447">
        <f>Tabla15[[#This Row],[Total Caja]]-Tabla15[[#This Row],[Facturació A/A]]</f>
        <v>-1778.81</v>
      </c>
      <c r="V224" s="447">
        <f t="shared" si="9"/>
        <v>-67568.989090909061</v>
      </c>
      <c r="W224" s="450">
        <f>Tabla15[[#This Row],[Diferencia]]/Tabla15[[#This Row],[Facturació A/A]]</f>
        <v>-1</v>
      </c>
      <c r="X224" s="447">
        <f>Tabla15[[#This Row],[Facturació A/A]]*H$17+Tabla15[[#This Row],[Facturació A/A]]</f>
        <v>1832.1742999999999</v>
      </c>
      <c r="Y224" s="447">
        <f>Tabla15[[#This Row],[Total Caja]]-Tabla15[[#This Row],[Previsión]]</f>
        <v>-1832.1742999999999</v>
      </c>
      <c r="Z224" s="446"/>
      <c r="AA224" s="447">
        <f>SUM(INDEX(Tabla15[[#This Row],[Facturació A/A]],1):Tabla15[[#This Row],[Facturació A/A]]) / SUM(INDEX(Tabla15[[#This Row],[Diferencia]],1):Tabla15[[#This Row],[Diferencia]])</f>
        <v>-1</v>
      </c>
      <c r="AB224" s="446"/>
      <c r="AC224" s="427"/>
      <c r="AD224" s="427"/>
      <c r="AE224" s="427"/>
      <c r="AF224" s="427"/>
      <c r="AG224" s="427"/>
      <c r="AH224" s="427"/>
      <c r="AI224" s="427"/>
      <c r="AJ224" s="427"/>
      <c r="AK224" s="427"/>
      <c r="AL224" s="427"/>
      <c r="AM224" s="427"/>
      <c r="AN224" s="427"/>
      <c r="AO224" s="427"/>
      <c r="AP224" s="427"/>
      <c r="AQ224" s="427"/>
    </row>
    <row r="225" spans="1:43" ht="16" customHeight="1">
      <c r="A225" s="427"/>
      <c r="B225" s="427"/>
      <c r="C225" s="428">
        <v>192</v>
      </c>
      <c r="D225" s="456">
        <v>46214</v>
      </c>
      <c r="E225" s="962"/>
      <c r="F225" s="958">
        <f>Tabla15[[#This Row],[Retiros]]-Tabla15[[#This Row],[Contado]]</f>
        <v>0</v>
      </c>
      <c r="G225" s="962"/>
      <c r="H225" s="962"/>
      <c r="I225" s="962"/>
      <c r="J225" s="959"/>
      <c r="K225" s="959"/>
      <c r="L225" s="959"/>
      <c r="M225" s="962"/>
      <c r="N225" s="959">
        <f>Tabla15[[#This Row],[Contado]]</f>
        <v>0</v>
      </c>
      <c r="O225" s="962"/>
      <c r="P225" s="443">
        <f>((Tabla15[[#This Row],[Contado]]+Tabla15[[#This Row],[Visa]]+Tabla15[[#This Row],[Eventos]]+Tabla15[[#This Row],[Passo]]+Tabla15[[#This Row],[Reciclajes]])/1.1)+Tabla15[[#This Row],[Tickets]]</f>
        <v>0</v>
      </c>
      <c r="Q225" s="450">
        <v>0</v>
      </c>
      <c r="R225" s="445">
        <f t="shared" si="8"/>
        <v>0</v>
      </c>
      <c r="S225" s="446"/>
      <c r="T225" s="447">
        <v>2827.7</v>
      </c>
      <c r="U225" s="447">
        <f>Tabla15[[#This Row],[Total Caja]]-Tabla15[[#This Row],[Facturació A/A]]</f>
        <v>-2827.7</v>
      </c>
      <c r="V225" s="447">
        <f t="shared" si="9"/>
        <v>-70396.689090909058</v>
      </c>
      <c r="W225" s="450">
        <f>Tabla15[[#This Row],[Diferencia]]/Tabla15[[#This Row],[Facturació A/A]]</f>
        <v>-1</v>
      </c>
      <c r="X225" s="447">
        <f>Tabla15[[#This Row],[Facturació A/A]]*H$17+Tabla15[[#This Row],[Facturació A/A]]</f>
        <v>2912.5309999999999</v>
      </c>
      <c r="Y225" s="447">
        <f>Tabla15[[#This Row],[Total Caja]]-Tabla15[[#This Row],[Previsión]]</f>
        <v>-2912.5309999999999</v>
      </c>
      <c r="Z225" s="446"/>
      <c r="AA225" s="447">
        <f>SUM(INDEX(Tabla15[[#This Row],[Facturació A/A]],1):Tabla15[[#This Row],[Facturació A/A]]) / SUM(INDEX(Tabla15[[#This Row],[Diferencia]],1):Tabla15[[#This Row],[Diferencia]])</f>
        <v>-1</v>
      </c>
      <c r="AB225" s="446"/>
      <c r="AC225" s="427"/>
      <c r="AD225" s="427"/>
      <c r="AE225" s="427"/>
      <c r="AF225" s="427"/>
      <c r="AG225" s="427"/>
      <c r="AH225" s="427"/>
      <c r="AI225" s="427"/>
      <c r="AJ225" s="427"/>
      <c r="AK225" s="427"/>
      <c r="AL225" s="427"/>
      <c r="AM225" s="427"/>
      <c r="AN225" s="427"/>
      <c r="AO225" s="427"/>
      <c r="AP225" s="427"/>
      <c r="AQ225" s="427"/>
    </row>
    <row r="226" spans="1:43" ht="16" customHeight="1">
      <c r="A226" s="427"/>
      <c r="B226" s="427"/>
      <c r="C226" s="428">
        <v>193</v>
      </c>
      <c r="D226" s="456">
        <v>46215</v>
      </c>
      <c r="E226" s="962"/>
      <c r="F226" s="958">
        <f>Tabla15[[#This Row],[Retiros]]-Tabla15[[#This Row],[Contado]]</f>
        <v>0</v>
      </c>
      <c r="G226" s="962"/>
      <c r="H226" s="962"/>
      <c r="I226" s="962"/>
      <c r="J226" s="959"/>
      <c r="K226" s="959"/>
      <c r="L226" s="959"/>
      <c r="M226" s="962"/>
      <c r="N226" s="959">
        <f>Tabla15[[#This Row],[Contado]]</f>
        <v>0</v>
      </c>
      <c r="O226" s="962"/>
      <c r="P226" s="443">
        <f>((Tabla15[[#This Row],[Contado]]+Tabla15[[#This Row],[Visa]]+Tabla15[[#This Row],[Eventos]]+Tabla15[[#This Row],[Passo]]+Tabla15[[#This Row],[Reciclajes]])/1.1)+Tabla15[[#This Row],[Tickets]]</f>
        <v>0</v>
      </c>
      <c r="Q226" s="450">
        <v>0</v>
      </c>
      <c r="R226" s="445">
        <f t="shared" ref="R226:R289" si="10">IFERROR(F226/P226,0)</f>
        <v>0</v>
      </c>
      <c r="S226" s="446"/>
      <c r="T226" s="447">
        <v>2116.02</v>
      </c>
      <c r="U226" s="447">
        <f>Tabla15[[#This Row],[Total Caja]]-Tabla15[[#This Row],[Facturació A/A]]</f>
        <v>-2116.02</v>
      </c>
      <c r="V226" s="447">
        <f t="shared" si="9"/>
        <v>-72512.709090909062</v>
      </c>
      <c r="W226" s="450">
        <f>Tabla15[[#This Row],[Diferencia]]/Tabla15[[#This Row],[Facturació A/A]]</f>
        <v>-1</v>
      </c>
      <c r="X226" s="447">
        <f>Tabla15[[#This Row],[Facturació A/A]]*H$17+Tabla15[[#This Row],[Facturació A/A]]</f>
        <v>2179.5005999999998</v>
      </c>
      <c r="Y226" s="447">
        <f>Tabla15[[#This Row],[Total Caja]]-Tabla15[[#This Row],[Previsión]]</f>
        <v>-2179.5005999999998</v>
      </c>
      <c r="Z226" s="446"/>
      <c r="AA226" s="447">
        <f>SUM(INDEX(Tabla15[[#This Row],[Facturació A/A]],1):Tabla15[[#This Row],[Facturació A/A]]) / SUM(INDEX(Tabla15[[#This Row],[Diferencia]],1):Tabla15[[#This Row],[Diferencia]])</f>
        <v>-1</v>
      </c>
      <c r="AB226" s="446"/>
      <c r="AC226" s="427"/>
      <c r="AD226" s="427"/>
      <c r="AE226" s="427"/>
      <c r="AF226" s="427"/>
      <c r="AG226" s="427"/>
      <c r="AH226" s="427"/>
      <c r="AI226" s="427"/>
      <c r="AJ226" s="427"/>
      <c r="AK226" s="427"/>
      <c r="AL226" s="427"/>
      <c r="AM226" s="427"/>
      <c r="AN226" s="427"/>
      <c r="AO226" s="427"/>
      <c r="AP226" s="427"/>
      <c r="AQ226" s="427"/>
    </row>
    <row r="227" spans="1:43" ht="16" customHeight="1">
      <c r="A227" s="427"/>
      <c r="B227" s="427"/>
      <c r="C227" s="428">
        <v>194</v>
      </c>
      <c r="D227" s="456">
        <v>46216</v>
      </c>
      <c r="E227" s="962"/>
      <c r="F227" s="958">
        <f>Tabla15[[#This Row],[Retiros]]-Tabla15[[#This Row],[Contado]]</f>
        <v>0</v>
      </c>
      <c r="G227" s="962"/>
      <c r="H227" s="962"/>
      <c r="I227" s="962"/>
      <c r="J227" s="959"/>
      <c r="K227" s="959"/>
      <c r="L227" s="959"/>
      <c r="M227" s="962"/>
      <c r="N227" s="959">
        <f>Tabla15[[#This Row],[Contado]]</f>
        <v>0</v>
      </c>
      <c r="O227" s="962"/>
      <c r="P227" s="443">
        <f>((Tabla15[[#This Row],[Contado]]+Tabla15[[#This Row],[Visa]]+Tabla15[[#This Row],[Eventos]]+Tabla15[[#This Row],[Passo]]+Tabla15[[#This Row],[Reciclajes]])/1.1)+Tabla15[[#This Row],[Tickets]]</f>
        <v>0</v>
      </c>
      <c r="Q227" s="450">
        <v>0</v>
      </c>
      <c r="R227" s="445">
        <f t="shared" si="10"/>
        <v>0</v>
      </c>
      <c r="S227" s="446"/>
      <c r="T227" s="447">
        <v>0</v>
      </c>
      <c r="U227" s="447">
        <f>Tabla15[[#This Row],[Total Caja]]-Tabla15[[#This Row],[Facturació A/A]]</f>
        <v>0</v>
      </c>
      <c r="V227" s="447">
        <f t="shared" ref="V227:V290" si="11">U227+V226</f>
        <v>-72512.709090909062</v>
      </c>
      <c r="W227" s="450" t="e">
        <f>Tabla15[[#This Row],[Diferencia]]/Tabla15[[#This Row],[Facturació A/A]]</f>
        <v>#DIV/0!</v>
      </c>
      <c r="X227" s="447">
        <f>Tabla15[[#This Row],[Facturació A/A]]*H$17+Tabla15[[#This Row],[Facturació A/A]]</f>
        <v>0</v>
      </c>
      <c r="Y227" s="447">
        <f>Tabla15[[#This Row],[Total Caja]]-Tabla15[[#This Row],[Previsión]]</f>
        <v>0</v>
      </c>
      <c r="Z227" s="446"/>
      <c r="AA227" s="447" t="e">
        <f>SUM(INDEX(Tabla15[[#This Row],[Facturació A/A]],1):Tabla15[[#This Row],[Facturació A/A]]) / SUM(INDEX(Tabla15[[#This Row],[Diferencia]],1):Tabla15[[#This Row],[Diferencia]])</f>
        <v>#DIV/0!</v>
      </c>
      <c r="AB227" s="446"/>
      <c r="AC227" s="427"/>
      <c r="AD227" s="427"/>
      <c r="AE227" s="427"/>
      <c r="AF227" s="427"/>
      <c r="AG227" s="427"/>
      <c r="AH227" s="427"/>
      <c r="AI227" s="427"/>
      <c r="AJ227" s="427"/>
      <c r="AK227" s="427"/>
      <c r="AL227" s="427"/>
      <c r="AM227" s="427"/>
      <c r="AN227" s="427"/>
      <c r="AO227" s="427"/>
      <c r="AP227" s="427"/>
      <c r="AQ227" s="427"/>
    </row>
    <row r="228" spans="1:43" ht="16" customHeight="1">
      <c r="A228" s="427"/>
      <c r="B228" s="427"/>
      <c r="C228" s="428">
        <v>195</v>
      </c>
      <c r="D228" s="456">
        <v>46217</v>
      </c>
      <c r="E228" s="958"/>
      <c r="F228" s="958">
        <f>Tabla15[[#This Row],[Retiros]]-Tabla15[[#This Row],[Contado]]</f>
        <v>0</v>
      </c>
      <c r="G228" s="958"/>
      <c r="H228" s="962"/>
      <c r="I228" s="959"/>
      <c r="J228" s="959"/>
      <c r="K228" s="959"/>
      <c r="L228" s="959"/>
      <c r="M228" s="958"/>
      <c r="N228" s="959">
        <f>Tabla15[[#This Row],[Contado]]</f>
        <v>0</v>
      </c>
      <c r="O228" s="959"/>
      <c r="P228" s="443">
        <f>((Tabla15[[#This Row],[Contado]]+Tabla15[[#This Row],[Visa]]+Tabla15[[#This Row],[Eventos]]+Tabla15[[#This Row],[Passo]]+Tabla15[[#This Row],[Reciclajes]])/1.1)+Tabla15[[#This Row],[Tickets]]</f>
        <v>0</v>
      </c>
      <c r="Q228" s="450">
        <v>0</v>
      </c>
      <c r="R228" s="445">
        <f t="shared" si="10"/>
        <v>0</v>
      </c>
      <c r="S228" s="446"/>
      <c r="T228" s="447">
        <v>0</v>
      </c>
      <c r="U228" s="447">
        <f>Tabla15[[#This Row],[Total Caja]]-Tabla15[[#This Row],[Facturació A/A]]</f>
        <v>0</v>
      </c>
      <c r="V228" s="447">
        <f t="shared" si="11"/>
        <v>-72512.709090909062</v>
      </c>
      <c r="W228" s="450" t="e">
        <f>Tabla15[[#This Row],[Diferencia]]/Tabla15[[#This Row],[Facturació A/A]]</f>
        <v>#DIV/0!</v>
      </c>
      <c r="X228" s="447">
        <f>Tabla15[[#This Row],[Facturació A/A]]*H$17+Tabla15[[#This Row],[Facturació A/A]]</f>
        <v>0</v>
      </c>
      <c r="Y228" s="447">
        <f>Tabla15[[#This Row],[Total Caja]]-Tabla15[[#This Row],[Previsión]]</f>
        <v>0</v>
      </c>
      <c r="Z228" s="446"/>
      <c r="AA228" s="447" t="e">
        <f>SUM(INDEX(Tabla15[[#This Row],[Facturació A/A]],1):Tabla15[[#This Row],[Facturació A/A]]) / SUM(INDEX(Tabla15[[#This Row],[Diferencia]],1):Tabla15[[#This Row],[Diferencia]])</f>
        <v>#DIV/0!</v>
      </c>
      <c r="AB228" s="446"/>
      <c r="AC228" s="427"/>
      <c r="AD228" s="427"/>
      <c r="AE228" s="427"/>
      <c r="AF228" s="427"/>
      <c r="AG228" s="427"/>
      <c r="AH228" s="427"/>
      <c r="AI228" s="427"/>
      <c r="AJ228" s="427"/>
      <c r="AK228" s="427"/>
      <c r="AL228" s="427"/>
      <c r="AM228" s="427"/>
      <c r="AN228" s="427"/>
      <c r="AO228" s="427"/>
      <c r="AP228" s="427"/>
      <c r="AQ228" s="427"/>
    </row>
    <row r="229" spans="1:43" ht="16" customHeight="1">
      <c r="A229" s="427"/>
      <c r="B229" s="427"/>
      <c r="C229" s="428">
        <v>196</v>
      </c>
      <c r="D229" s="456">
        <v>46218</v>
      </c>
      <c r="E229" s="958"/>
      <c r="F229" s="958">
        <f>Tabla15[[#This Row],[Retiros]]-Tabla15[[#This Row],[Contado]]</f>
        <v>0</v>
      </c>
      <c r="G229" s="958"/>
      <c r="H229" s="962"/>
      <c r="I229" s="959"/>
      <c r="J229" s="959"/>
      <c r="K229" s="959"/>
      <c r="L229" s="959"/>
      <c r="M229" s="958"/>
      <c r="N229" s="959">
        <f>Tabla15[[#This Row],[Contado]]</f>
        <v>0</v>
      </c>
      <c r="O229" s="959"/>
      <c r="P229" s="443">
        <f>((Tabla15[[#This Row],[Contado]]+Tabla15[[#This Row],[Visa]]+Tabla15[[#This Row],[Eventos]]+Tabla15[[#This Row],[Passo]]+Tabla15[[#This Row],[Reciclajes]])/1.1)+Tabla15[[#This Row],[Tickets]]</f>
        <v>0</v>
      </c>
      <c r="Q229" s="450">
        <v>0</v>
      </c>
      <c r="R229" s="445">
        <f t="shared" si="10"/>
        <v>0</v>
      </c>
      <c r="S229" s="446"/>
      <c r="T229" s="447">
        <v>939.95</v>
      </c>
      <c r="U229" s="447">
        <f>Tabla15[[#This Row],[Total Caja]]-Tabla15[[#This Row],[Facturació A/A]]</f>
        <v>-939.95</v>
      </c>
      <c r="V229" s="447">
        <f t="shared" si="11"/>
        <v>-73452.659090909059</v>
      </c>
      <c r="W229" s="450">
        <f>Tabla15[[#This Row],[Diferencia]]/Tabla15[[#This Row],[Facturació A/A]]</f>
        <v>-1</v>
      </c>
      <c r="X229" s="447">
        <f>Tabla15[[#This Row],[Facturació A/A]]*H$17+Tabla15[[#This Row],[Facturació A/A]]</f>
        <v>968.14850000000001</v>
      </c>
      <c r="Y229" s="447">
        <f>Tabla15[[#This Row],[Total Caja]]-Tabla15[[#This Row],[Previsión]]</f>
        <v>-968.14850000000001</v>
      </c>
      <c r="Z229" s="446"/>
      <c r="AA229" s="447">
        <f>SUM(INDEX(Tabla15[[#This Row],[Facturació A/A]],1):Tabla15[[#This Row],[Facturació A/A]]) / SUM(INDEX(Tabla15[[#This Row],[Diferencia]],1):Tabla15[[#This Row],[Diferencia]])</f>
        <v>-1</v>
      </c>
      <c r="AB229" s="446"/>
      <c r="AC229" s="427"/>
      <c r="AD229" s="427"/>
      <c r="AE229" s="427"/>
      <c r="AF229" s="427"/>
      <c r="AG229" s="427"/>
      <c r="AH229" s="427"/>
      <c r="AI229" s="427"/>
      <c r="AJ229" s="427"/>
      <c r="AK229" s="427"/>
      <c r="AL229" s="427"/>
      <c r="AM229" s="427"/>
      <c r="AN229" s="427"/>
      <c r="AO229" s="427"/>
      <c r="AP229" s="427"/>
      <c r="AQ229" s="427"/>
    </row>
    <row r="230" spans="1:43" ht="16" customHeight="1">
      <c r="A230" s="427"/>
      <c r="B230" s="427"/>
      <c r="C230" s="428">
        <v>197</v>
      </c>
      <c r="D230" s="456">
        <v>46219</v>
      </c>
      <c r="E230" s="962"/>
      <c r="F230" s="958">
        <f>Tabla15[[#This Row],[Retiros]]-Tabla15[[#This Row],[Contado]]</f>
        <v>0</v>
      </c>
      <c r="G230" s="962"/>
      <c r="H230" s="962"/>
      <c r="I230" s="959"/>
      <c r="J230" s="959"/>
      <c r="K230" s="959"/>
      <c r="L230" s="959"/>
      <c r="M230" s="962"/>
      <c r="N230" s="959">
        <f>Tabla15[[#This Row],[Contado]]</f>
        <v>0</v>
      </c>
      <c r="O230" s="962"/>
      <c r="P230" s="443">
        <f>((Tabla15[[#This Row],[Contado]]+Tabla15[[#This Row],[Visa]]+Tabla15[[#This Row],[Eventos]]+Tabla15[[#This Row],[Passo]]+Tabla15[[#This Row],[Reciclajes]])/1.1)+Tabla15[[#This Row],[Tickets]]</f>
        <v>0</v>
      </c>
      <c r="Q230" s="450">
        <v>0</v>
      </c>
      <c r="R230" s="445">
        <f t="shared" si="10"/>
        <v>0</v>
      </c>
      <c r="S230" s="446"/>
      <c r="T230" s="447">
        <v>1109.0899999999999</v>
      </c>
      <c r="U230" s="447">
        <f>Tabla15[[#This Row],[Total Caja]]-Tabla15[[#This Row],[Facturació A/A]]</f>
        <v>-1109.0899999999999</v>
      </c>
      <c r="V230" s="447">
        <f t="shared" si="11"/>
        <v>-74561.749090909056</v>
      </c>
      <c r="W230" s="450">
        <f>Tabla15[[#This Row],[Diferencia]]/Tabla15[[#This Row],[Facturació A/A]]</f>
        <v>-1</v>
      </c>
      <c r="X230" s="447">
        <f>Tabla15[[#This Row],[Facturació A/A]]*H$17+Tabla15[[#This Row],[Facturació A/A]]</f>
        <v>1142.3626999999999</v>
      </c>
      <c r="Y230" s="447">
        <f>Tabla15[[#This Row],[Total Caja]]-Tabla15[[#This Row],[Previsión]]</f>
        <v>-1142.3626999999999</v>
      </c>
      <c r="Z230" s="446"/>
      <c r="AA230" s="447">
        <f>SUM(INDEX(Tabla15[[#This Row],[Facturació A/A]],1):Tabla15[[#This Row],[Facturació A/A]]) / SUM(INDEX(Tabla15[[#This Row],[Diferencia]],1):Tabla15[[#This Row],[Diferencia]])</f>
        <v>-1</v>
      </c>
      <c r="AB230" s="446"/>
      <c r="AC230" s="427"/>
      <c r="AD230" s="427"/>
      <c r="AE230" s="427"/>
      <c r="AF230" s="427"/>
      <c r="AG230" s="427"/>
      <c r="AH230" s="427"/>
      <c r="AI230" s="427"/>
      <c r="AJ230" s="427"/>
      <c r="AK230" s="427"/>
      <c r="AL230" s="427"/>
      <c r="AM230" s="427"/>
      <c r="AN230" s="427"/>
      <c r="AO230" s="427"/>
      <c r="AP230" s="427"/>
      <c r="AQ230" s="427"/>
    </row>
    <row r="231" spans="1:43" ht="16" customHeight="1">
      <c r="A231" s="427"/>
      <c r="B231" s="427"/>
      <c r="C231" s="428">
        <v>198</v>
      </c>
      <c r="D231" s="456">
        <v>46220</v>
      </c>
      <c r="E231" s="962"/>
      <c r="F231" s="958">
        <f>Tabla15[[#This Row],[Retiros]]-Tabla15[[#This Row],[Contado]]</f>
        <v>0</v>
      </c>
      <c r="G231" s="962"/>
      <c r="H231" s="962"/>
      <c r="I231" s="962"/>
      <c r="J231" s="959"/>
      <c r="K231" s="959"/>
      <c r="L231" s="959"/>
      <c r="M231" s="962"/>
      <c r="N231" s="959">
        <f>Tabla15[[#This Row],[Contado]]</f>
        <v>0</v>
      </c>
      <c r="O231" s="962"/>
      <c r="P231" s="443">
        <f>((Tabla15[[#This Row],[Contado]]+Tabla15[[#This Row],[Visa]]+Tabla15[[#This Row],[Eventos]]+Tabla15[[#This Row],[Passo]]+Tabla15[[#This Row],[Reciclajes]])/1.1)+Tabla15[[#This Row],[Tickets]]</f>
        <v>0</v>
      </c>
      <c r="Q231" s="450">
        <v>0</v>
      </c>
      <c r="R231" s="445">
        <f t="shared" si="10"/>
        <v>0</v>
      </c>
      <c r="S231" s="446"/>
      <c r="T231" s="447">
        <v>1129.9100000000001</v>
      </c>
      <c r="U231" s="447">
        <f>Tabla15[[#This Row],[Total Caja]]-Tabla15[[#This Row],[Facturació A/A]]</f>
        <v>-1129.9100000000001</v>
      </c>
      <c r="V231" s="447">
        <f t="shared" si="11"/>
        <v>-75691.659090909059</v>
      </c>
      <c r="W231" s="450">
        <f>Tabla15[[#This Row],[Diferencia]]/Tabla15[[#This Row],[Facturació A/A]]</f>
        <v>-1</v>
      </c>
      <c r="X231" s="447">
        <f>Tabla15[[#This Row],[Facturació A/A]]*H$17+Tabla15[[#This Row],[Facturació A/A]]</f>
        <v>1163.8073000000002</v>
      </c>
      <c r="Y231" s="447">
        <f>Tabla15[[#This Row],[Total Caja]]-Tabla15[[#This Row],[Previsión]]</f>
        <v>-1163.8073000000002</v>
      </c>
      <c r="Z231" s="446"/>
      <c r="AA231" s="447">
        <f>SUM(INDEX(Tabla15[[#This Row],[Facturació A/A]],1):Tabla15[[#This Row],[Facturació A/A]]) / SUM(INDEX(Tabla15[[#This Row],[Diferencia]],1):Tabla15[[#This Row],[Diferencia]])</f>
        <v>-1</v>
      </c>
      <c r="AB231" s="446"/>
      <c r="AC231" s="427"/>
      <c r="AD231" s="427"/>
      <c r="AE231" s="427"/>
      <c r="AF231" s="427"/>
      <c r="AG231" s="427"/>
      <c r="AH231" s="427"/>
      <c r="AI231" s="427"/>
      <c r="AJ231" s="427"/>
      <c r="AK231" s="427"/>
      <c r="AL231" s="427"/>
      <c r="AM231" s="427"/>
      <c r="AN231" s="427"/>
      <c r="AO231" s="427"/>
      <c r="AP231" s="427"/>
      <c r="AQ231" s="427"/>
    </row>
    <row r="232" spans="1:43" ht="16" customHeight="1">
      <c r="A232" s="427"/>
      <c r="B232" s="427"/>
      <c r="C232" s="428">
        <v>199</v>
      </c>
      <c r="D232" s="456">
        <v>46221</v>
      </c>
      <c r="E232" s="962"/>
      <c r="F232" s="958">
        <f>Tabla15[[#This Row],[Retiros]]-Tabla15[[#This Row],[Contado]]</f>
        <v>0</v>
      </c>
      <c r="G232" s="962"/>
      <c r="H232" s="962"/>
      <c r="I232" s="959"/>
      <c r="J232" s="959"/>
      <c r="K232" s="959"/>
      <c r="L232" s="959"/>
      <c r="M232" s="962"/>
      <c r="N232" s="959">
        <f>Tabla15[[#This Row],[Contado]]</f>
        <v>0</v>
      </c>
      <c r="O232" s="962"/>
      <c r="P232" s="443">
        <f>((Tabla15[[#This Row],[Contado]]+Tabla15[[#This Row],[Visa]]+Tabla15[[#This Row],[Eventos]]+Tabla15[[#This Row],[Passo]]+Tabla15[[#This Row],[Reciclajes]])/1.1)+Tabla15[[#This Row],[Tickets]]</f>
        <v>0</v>
      </c>
      <c r="Q232" s="450">
        <v>0</v>
      </c>
      <c r="R232" s="445">
        <f t="shared" si="10"/>
        <v>0</v>
      </c>
      <c r="S232" s="446"/>
      <c r="T232" s="447">
        <v>2164.83</v>
      </c>
      <c r="U232" s="447">
        <f>Tabla15[[#This Row],[Total Caja]]-Tabla15[[#This Row],[Facturació A/A]]</f>
        <v>-2164.83</v>
      </c>
      <c r="V232" s="447">
        <f t="shared" si="11"/>
        <v>-77856.489090909061</v>
      </c>
      <c r="W232" s="450">
        <f>Tabla15[[#This Row],[Diferencia]]/Tabla15[[#This Row],[Facturació A/A]]</f>
        <v>-1</v>
      </c>
      <c r="X232" s="447">
        <f>Tabla15[[#This Row],[Facturació A/A]]*H$17+Tabla15[[#This Row],[Facturació A/A]]</f>
        <v>2229.7748999999999</v>
      </c>
      <c r="Y232" s="447">
        <f>Tabla15[[#This Row],[Total Caja]]-Tabla15[[#This Row],[Previsión]]</f>
        <v>-2229.7748999999999</v>
      </c>
      <c r="Z232" s="446"/>
      <c r="AA232" s="447">
        <f>SUM(INDEX(Tabla15[[#This Row],[Facturació A/A]],1):Tabla15[[#This Row],[Facturació A/A]]) / SUM(INDEX(Tabla15[[#This Row],[Diferencia]],1):Tabla15[[#This Row],[Diferencia]])</f>
        <v>-1</v>
      </c>
      <c r="AB232" s="446"/>
      <c r="AC232" s="427"/>
      <c r="AD232" s="427"/>
      <c r="AE232" s="427"/>
      <c r="AF232" s="427"/>
      <c r="AG232" s="427"/>
      <c r="AH232" s="427"/>
      <c r="AI232" s="427"/>
      <c r="AJ232" s="427"/>
      <c r="AK232" s="427"/>
      <c r="AL232" s="427"/>
      <c r="AM232" s="427"/>
      <c r="AN232" s="427"/>
      <c r="AO232" s="427"/>
      <c r="AP232" s="427"/>
      <c r="AQ232" s="427"/>
    </row>
    <row r="233" spans="1:43" ht="16" customHeight="1">
      <c r="A233" s="427"/>
      <c r="B233" s="427"/>
      <c r="C233" s="428">
        <v>200</v>
      </c>
      <c r="D233" s="456">
        <v>46222</v>
      </c>
      <c r="E233" s="962"/>
      <c r="F233" s="958">
        <f>Tabla15[[#This Row],[Retiros]]-Tabla15[[#This Row],[Contado]]</f>
        <v>0</v>
      </c>
      <c r="G233" s="962"/>
      <c r="H233" s="962"/>
      <c r="I233" s="959"/>
      <c r="J233" s="959"/>
      <c r="K233" s="959"/>
      <c r="L233" s="959"/>
      <c r="M233" s="962"/>
      <c r="N233" s="959">
        <f>Tabla15[[#This Row],[Contado]]</f>
        <v>0</v>
      </c>
      <c r="O233" s="962"/>
      <c r="P233" s="443">
        <f>((Tabla15[[#This Row],[Contado]]+Tabla15[[#This Row],[Visa]]+Tabla15[[#This Row],[Eventos]]+Tabla15[[#This Row],[Passo]]+Tabla15[[#This Row],[Reciclajes]])/1.1)+Tabla15[[#This Row],[Tickets]]</f>
        <v>0</v>
      </c>
      <c r="Q233" s="450">
        <v>0</v>
      </c>
      <c r="R233" s="445">
        <f t="shared" si="10"/>
        <v>0</v>
      </c>
      <c r="S233" s="446"/>
      <c r="T233" s="447">
        <v>1449.09</v>
      </c>
      <c r="U233" s="447">
        <f>Tabla15[[#This Row],[Total Caja]]-Tabla15[[#This Row],[Facturació A/A]]</f>
        <v>-1449.09</v>
      </c>
      <c r="V233" s="447">
        <f t="shared" si="11"/>
        <v>-79305.579090909057</v>
      </c>
      <c r="W233" s="450">
        <f>Tabla15[[#This Row],[Diferencia]]/Tabla15[[#This Row],[Facturació A/A]]</f>
        <v>-1</v>
      </c>
      <c r="X233" s="447">
        <f>Tabla15[[#This Row],[Facturació A/A]]*H$17+Tabla15[[#This Row],[Facturació A/A]]</f>
        <v>1492.5626999999999</v>
      </c>
      <c r="Y233" s="447">
        <f>Tabla15[[#This Row],[Total Caja]]-Tabla15[[#This Row],[Previsión]]</f>
        <v>-1492.5626999999999</v>
      </c>
      <c r="Z233" s="446"/>
      <c r="AA233" s="447">
        <f>SUM(INDEX(Tabla15[[#This Row],[Facturació A/A]],1):Tabla15[[#This Row],[Facturació A/A]]) / SUM(INDEX(Tabla15[[#This Row],[Diferencia]],1):Tabla15[[#This Row],[Diferencia]])</f>
        <v>-1</v>
      </c>
      <c r="AB233" s="446"/>
      <c r="AC233" s="427"/>
      <c r="AD233" s="427"/>
      <c r="AE233" s="427"/>
      <c r="AF233" s="427"/>
      <c r="AG233" s="427"/>
      <c r="AH233" s="427"/>
      <c r="AI233" s="427"/>
      <c r="AJ233" s="427"/>
      <c r="AK233" s="427"/>
      <c r="AL233" s="427"/>
      <c r="AM233" s="427"/>
      <c r="AN233" s="427"/>
      <c r="AO233" s="427"/>
      <c r="AP233" s="427"/>
      <c r="AQ233" s="427"/>
    </row>
    <row r="234" spans="1:43" ht="16" customHeight="1">
      <c r="A234" s="427"/>
      <c r="B234" s="427"/>
      <c r="C234" s="428">
        <v>201</v>
      </c>
      <c r="D234" s="456">
        <v>46223</v>
      </c>
      <c r="E234" s="962"/>
      <c r="F234" s="958">
        <f>Tabla15[[#This Row],[Retiros]]-Tabla15[[#This Row],[Contado]]</f>
        <v>0</v>
      </c>
      <c r="G234" s="962"/>
      <c r="H234" s="962"/>
      <c r="I234" s="962"/>
      <c r="J234" s="959"/>
      <c r="K234" s="959"/>
      <c r="L234" s="959"/>
      <c r="M234" s="962"/>
      <c r="N234" s="959">
        <f>Tabla15[[#This Row],[Contado]]</f>
        <v>0</v>
      </c>
      <c r="O234" s="962"/>
      <c r="P234" s="443">
        <f>((Tabla15[[#This Row],[Contado]]+Tabla15[[#This Row],[Visa]]+Tabla15[[#This Row],[Eventos]]+Tabla15[[#This Row],[Passo]]+Tabla15[[#This Row],[Reciclajes]])/1.1)+Tabla15[[#This Row],[Tickets]]</f>
        <v>0</v>
      </c>
      <c r="Q234" s="450">
        <v>0</v>
      </c>
      <c r="R234" s="445">
        <f t="shared" si="10"/>
        <v>0</v>
      </c>
      <c r="S234" s="446"/>
      <c r="T234" s="447">
        <v>713.38</v>
      </c>
      <c r="U234" s="447">
        <f>Tabla15[[#This Row],[Total Caja]]-Tabla15[[#This Row],[Facturació A/A]]</f>
        <v>-713.38</v>
      </c>
      <c r="V234" s="447">
        <f t="shared" si="11"/>
        <v>-80018.959090909062</v>
      </c>
      <c r="W234" s="450">
        <f>Tabla15[[#This Row],[Diferencia]]/Tabla15[[#This Row],[Facturació A/A]]</f>
        <v>-1</v>
      </c>
      <c r="X234" s="447">
        <f>Tabla15[[#This Row],[Facturació A/A]]*H$17+Tabla15[[#This Row],[Facturació A/A]]</f>
        <v>734.78139999999996</v>
      </c>
      <c r="Y234" s="447">
        <f>Tabla15[[#This Row],[Total Caja]]-Tabla15[[#This Row],[Previsión]]</f>
        <v>-734.78139999999996</v>
      </c>
      <c r="Z234" s="446"/>
      <c r="AA234" s="447">
        <f>SUM(INDEX(Tabla15[[#This Row],[Facturació A/A]],1):Tabla15[[#This Row],[Facturació A/A]]) / SUM(INDEX(Tabla15[[#This Row],[Diferencia]],1):Tabla15[[#This Row],[Diferencia]])</f>
        <v>-1</v>
      </c>
      <c r="AB234" s="446"/>
      <c r="AC234" s="427"/>
      <c r="AD234" s="427"/>
      <c r="AE234" s="427"/>
      <c r="AF234" s="427"/>
      <c r="AG234" s="427"/>
      <c r="AH234" s="427"/>
      <c r="AI234" s="427"/>
      <c r="AJ234" s="427"/>
      <c r="AK234" s="427"/>
      <c r="AL234" s="427"/>
      <c r="AM234" s="427"/>
      <c r="AN234" s="427"/>
      <c r="AO234" s="427"/>
      <c r="AP234" s="427"/>
      <c r="AQ234" s="427"/>
    </row>
    <row r="235" spans="1:43" ht="16" customHeight="1">
      <c r="A235" s="427"/>
      <c r="B235" s="427"/>
      <c r="C235" s="428">
        <v>202</v>
      </c>
      <c r="D235" s="456">
        <v>46224</v>
      </c>
      <c r="E235" s="962"/>
      <c r="F235" s="958">
        <f>Tabla15[[#This Row],[Retiros]]-Tabla15[[#This Row],[Contado]]</f>
        <v>0</v>
      </c>
      <c r="G235" s="962"/>
      <c r="H235" s="962"/>
      <c r="I235" s="962"/>
      <c r="J235" s="959"/>
      <c r="K235" s="959"/>
      <c r="L235" s="959"/>
      <c r="M235" s="962"/>
      <c r="N235" s="959">
        <f>Tabla15[[#This Row],[Contado]]</f>
        <v>0</v>
      </c>
      <c r="O235" s="962"/>
      <c r="P235" s="443">
        <f>((Tabla15[[#This Row],[Contado]]+Tabla15[[#This Row],[Visa]]+Tabla15[[#This Row],[Eventos]]+Tabla15[[#This Row],[Passo]]+Tabla15[[#This Row],[Reciclajes]])/1.1)+Tabla15[[#This Row],[Tickets]]</f>
        <v>0</v>
      </c>
      <c r="Q235" s="450">
        <v>0</v>
      </c>
      <c r="R235" s="445">
        <f t="shared" si="10"/>
        <v>0</v>
      </c>
      <c r="S235" s="446"/>
      <c r="T235" s="447">
        <v>886.59</v>
      </c>
      <c r="U235" s="447">
        <f>Tabla15[[#This Row],[Total Caja]]-Tabla15[[#This Row],[Facturació A/A]]</f>
        <v>-886.59</v>
      </c>
      <c r="V235" s="447">
        <f t="shared" si="11"/>
        <v>-80905.549090909059</v>
      </c>
      <c r="W235" s="450">
        <f>Tabla15[[#This Row],[Diferencia]]/Tabla15[[#This Row],[Facturació A/A]]</f>
        <v>-1</v>
      </c>
      <c r="X235" s="447">
        <f>Tabla15[[#This Row],[Facturació A/A]]*H$17+Tabla15[[#This Row],[Facturació A/A]]</f>
        <v>913.18770000000006</v>
      </c>
      <c r="Y235" s="447">
        <f>Tabla15[[#This Row],[Total Caja]]-Tabla15[[#This Row],[Previsión]]</f>
        <v>-913.18770000000006</v>
      </c>
      <c r="Z235" s="446"/>
      <c r="AA235" s="447">
        <f>SUM(INDEX(Tabla15[[#This Row],[Facturació A/A]],1):Tabla15[[#This Row],[Facturació A/A]]) / SUM(INDEX(Tabla15[[#This Row],[Diferencia]],1):Tabla15[[#This Row],[Diferencia]])</f>
        <v>-1</v>
      </c>
      <c r="AB235" s="446"/>
      <c r="AC235" s="427"/>
      <c r="AD235" s="427"/>
      <c r="AE235" s="427"/>
      <c r="AF235" s="427"/>
      <c r="AG235" s="427"/>
      <c r="AH235" s="427"/>
      <c r="AI235" s="427"/>
      <c r="AJ235" s="427"/>
      <c r="AK235" s="427"/>
      <c r="AL235" s="427"/>
      <c r="AM235" s="427"/>
      <c r="AN235" s="427"/>
      <c r="AO235" s="427"/>
      <c r="AP235" s="427"/>
      <c r="AQ235" s="427"/>
    </row>
    <row r="236" spans="1:43" ht="16" customHeight="1">
      <c r="A236" s="427"/>
      <c r="B236" s="427"/>
      <c r="C236" s="428">
        <v>203</v>
      </c>
      <c r="D236" s="456">
        <v>46225</v>
      </c>
      <c r="E236" s="959"/>
      <c r="F236" s="958">
        <f>Tabla15[[#This Row],[Retiros]]-Tabla15[[#This Row],[Contado]]</f>
        <v>0</v>
      </c>
      <c r="G236" s="962"/>
      <c r="H236" s="962"/>
      <c r="I236" s="962"/>
      <c r="J236" s="959"/>
      <c r="K236" s="959"/>
      <c r="L236" s="959"/>
      <c r="M236" s="962"/>
      <c r="N236" s="959">
        <f>Tabla15[[#This Row],[Contado]]</f>
        <v>0</v>
      </c>
      <c r="O236" s="962"/>
      <c r="P236" s="443">
        <f>((Tabla15[[#This Row],[Contado]]+Tabla15[[#This Row],[Visa]]+Tabla15[[#This Row],[Eventos]]+Tabla15[[#This Row],[Passo]]+Tabla15[[#This Row],[Reciclajes]])/1.1)+Tabla15[[#This Row],[Tickets]]</f>
        <v>0</v>
      </c>
      <c r="Q236" s="450">
        <v>0</v>
      </c>
      <c r="R236" s="445">
        <f t="shared" si="10"/>
        <v>0</v>
      </c>
      <c r="S236" s="446"/>
      <c r="T236" s="447">
        <v>0</v>
      </c>
      <c r="U236" s="447">
        <f>Tabla15[[#This Row],[Total Caja]]-Tabla15[[#This Row],[Facturació A/A]]</f>
        <v>0</v>
      </c>
      <c r="V236" s="447">
        <f t="shared" si="11"/>
        <v>-80905.549090909059</v>
      </c>
      <c r="W236" s="450" t="e">
        <f>Tabla15[[#This Row],[Diferencia]]/Tabla15[[#This Row],[Facturació A/A]]</f>
        <v>#DIV/0!</v>
      </c>
      <c r="X236" s="447">
        <f>Tabla15[[#This Row],[Facturació A/A]]*H$17+Tabla15[[#This Row],[Facturació A/A]]</f>
        <v>0</v>
      </c>
      <c r="Y236" s="447">
        <f>Tabla15[[#This Row],[Total Caja]]-Tabla15[[#This Row],[Previsión]]</f>
        <v>0</v>
      </c>
      <c r="Z236" s="446"/>
      <c r="AA236" s="447" t="e">
        <f>SUM(INDEX(Tabla15[[#This Row],[Facturació A/A]],1):Tabla15[[#This Row],[Facturació A/A]]) / SUM(INDEX(Tabla15[[#This Row],[Diferencia]],1):Tabla15[[#This Row],[Diferencia]])</f>
        <v>#DIV/0!</v>
      </c>
      <c r="AB236" s="446"/>
      <c r="AC236" s="427"/>
      <c r="AD236" s="427"/>
      <c r="AE236" s="427"/>
      <c r="AF236" s="427"/>
      <c r="AG236" s="427"/>
      <c r="AH236" s="427"/>
      <c r="AI236" s="427"/>
      <c r="AJ236" s="427"/>
      <c r="AK236" s="427"/>
      <c r="AL236" s="427"/>
      <c r="AM236" s="427"/>
      <c r="AN236" s="427"/>
      <c r="AO236" s="427"/>
      <c r="AP236" s="427"/>
      <c r="AQ236" s="427"/>
    </row>
    <row r="237" spans="1:43" ht="16" customHeight="1">
      <c r="A237" s="427"/>
      <c r="B237" s="427"/>
      <c r="C237" s="428">
        <v>204</v>
      </c>
      <c r="D237" s="456">
        <v>46226</v>
      </c>
      <c r="E237" s="962"/>
      <c r="F237" s="958">
        <f>Tabla15[[#This Row],[Retiros]]-Tabla15[[#This Row],[Contado]]</f>
        <v>0</v>
      </c>
      <c r="G237" s="962"/>
      <c r="H237" s="962"/>
      <c r="I237" s="962"/>
      <c r="J237" s="959"/>
      <c r="K237" s="959"/>
      <c r="L237" s="959"/>
      <c r="M237" s="962"/>
      <c r="N237" s="959">
        <f>Tabla15[[#This Row],[Contado]]</f>
        <v>0</v>
      </c>
      <c r="O237" s="962"/>
      <c r="P237" s="443">
        <f>((Tabla15[[#This Row],[Contado]]+Tabla15[[#This Row],[Visa]]+Tabla15[[#This Row],[Eventos]]+Tabla15[[#This Row],[Passo]]+Tabla15[[#This Row],[Reciclajes]])/1.1)+Tabla15[[#This Row],[Tickets]]</f>
        <v>0</v>
      </c>
      <c r="Q237" s="450">
        <v>0</v>
      </c>
      <c r="R237" s="445">
        <f t="shared" si="10"/>
        <v>0</v>
      </c>
      <c r="S237" s="446"/>
      <c r="T237" s="447">
        <v>0</v>
      </c>
      <c r="U237" s="447">
        <f>Tabla15[[#This Row],[Total Caja]]-Tabla15[[#This Row],[Facturació A/A]]</f>
        <v>0</v>
      </c>
      <c r="V237" s="447">
        <f t="shared" si="11"/>
        <v>-80905.549090909059</v>
      </c>
      <c r="W237" s="450" t="e">
        <f>Tabla15[[#This Row],[Diferencia]]/Tabla15[[#This Row],[Facturació A/A]]</f>
        <v>#DIV/0!</v>
      </c>
      <c r="X237" s="447">
        <f>Tabla15[[#This Row],[Facturació A/A]]*H$17+Tabla15[[#This Row],[Facturació A/A]]</f>
        <v>0</v>
      </c>
      <c r="Y237" s="447">
        <f>Tabla15[[#This Row],[Total Caja]]-Tabla15[[#This Row],[Previsión]]</f>
        <v>0</v>
      </c>
      <c r="Z237" s="446"/>
      <c r="AA237" s="447" t="e">
        <f>SUM(INDEX(Tabla15[[#This Row],[Facturació A/A]],1):Tabla15[[#This Row],[Facturació A/A]]) / SUM(INDEX(Tabla15[[#This Row],[Diferencia]],1):Tabla15[[#This Row],[Diferencia]])</f>
        <v>#DIV/0!</v>
      </c>
      <c r="AB237" s="446"/>
      <c r="AC237" s="427"/>
      <c r="AD237" s="427"/>
      <c r="AE237" s="427"/>
      <c r="AF237" s="427"/>
      <c r="AG237" s="427"/>
      <c r="AH237" s="427"/>
      <c r="AI237" s="427"/>
      <c r="AJ237" s="427"/>
      <c r="AK237" s="427"/>
      <c r="AL237" s="427"/>
      <c r="AM237" s="427"/>
      <c r="AN237" s="427"/>
      <c r="AO237" s="427"/>
      <c r="AP237" s="427"/>
      <c r="AQ237" s="427"/>
    </row>
    <row r="238" spans="1:43" ht="16" customHeight="1">
      <c r="A238" s="427"/>
      <c r="B238" s="427"/>
      <c r="C238" s="428">
        <v>205</v>
      </c>
      <c r="D238" s="456">
        <v>46227</v>
      </c>
      <c r="E238" s="959"/>
      <c r="F238" s="958">
        <f>Tabla15[[#This Row],[Retiros]]-Tabla15[[#This Row],[Contado]]</f>
        <v>0</v>
      </c>
      <c r="G238" s="962"/>
      <c r="H238" s="962"/>
      <c r="I238" s="962"/>
      <c r="J238" s="959"/>
      <c r="K238" s="959"/>
      <c r="L238" s="959"/>
      <c r="M238" s="962"/>
      <c r="N238" s="959">
        <f>Tabla15[[#This Row],[Contado]]</f>
        <v>0</v>
      </c>
      <c r="O238" s="962"/>
      <c r="P238" s="443">
        <f>((Tabla15[[#This Row],[Contado]]+Tabla15[[#This Row],[Visa]]+Tabla15[[#This Row],[Eventos]]+Tabla15[[#This Row],[Passo]]+Tabla15[[#This Row],[Reciclajes]])/1.1)+Tabla15[[#This Row],[Tickets]]</f>
        <v>0</v>
      </c>
      <c r="Q238" s="450">
        <v>0</v>
      </c>
      <c r="R238" s="445">
        <f t="shared" si="10"/>
        <v>0</v>
      </c>
      <c r="S238" s="446"/>
      <c r="T238" s="447">
        <v>1127.6300000000001</v>
      </c>
      <c r="U238" s="447">
        <f>Tabla15[[#This Row],[Total Caja]]-Tabla15[[#This Row],[Facturació A/A]]</f>
        <v>-1127.6300000000001</v>
      </c>
      <c r="V238" s="447">
        <f t="shared" si="11"/>
        <v>-82033.179090909063</v>
      </c>
      <c r="W238" s="450">
        <f>Tabla15[[#This Row],[Diferencia]]/Tabla15[[#This Row],[Facturació A/A]]</f>
        <v>-1</v>
      </c>
      <c r="X238" s="447">
        <f>Tabla15[[#This Row],[Facturació A/A]]*H$17+Tabla15[[#This Row],[Facturació A/A]]</f>
        <v>1161.4589000000001</v>
      </c>
      <c r="Y238" s="447">
        <f>Tabla15[[#This Row],[Total Caja]]-Tabla15[[#This Row],[Previsión]]</f>
        <v>-1161.4589000000001</v>
      </c>
      <c r="Z238" s="446"/>
      <c r="AA238" s="447">
        <f>SUM(INDEX(Tabla15[[#This Row],[Facturació A/A]],1):Tabla15[[#This Row],[Facturació A/A]]) / SUM(INDEX(Tabla15[[#This Row],[Diferencia]],1):Tabla15[[#This Row],[Diferencia]])</f>
        <v>-1</v>
      </c>
      <c r="AB238" s="446"/>
      <c r="AC238" s="427"/>
      <c r="AD238" s="427"/>
      <c r="AE238" s="427"/>
      <c r="AF238" s="427"/>
      <c r="AG238" s="427"/>
      <c r="AH238" s="427"/>
      <c r="AI238" s="427"/>
      <c r="AJ238" s="427"/>
      <c r="AK238" s="427"/>
      <c r="AL238" s="427"/>
      <c r="AM238" s="427"/>
      <c r="AN238" s="427"/>
      <c r="AO238" s="427"/>
      <c r="AP238" s="427"/>
      <c r="AQ238" s="427"/>
    </row>
    <row r="239" spans="1:43" ht="16" customHeight="1">
      <c r="A239" s="427"/>
      <c r="B239" s="427"/>
      <c r="C239" s="428">
        <v>206</v>
      </c>
      <c r="D239" s="456">
        <v>46228</v>
      </c>
      <c r="E239" s="962"/>
      <c r="F239" s="958">
        <f>Tabla15[[#This Row],[Retiros]]-Tabla15[[#This Row],[Contado]]</f>
        <v>0</v>
      </c>
      <c r="G239" s="962"/>
      <c r="H239" s="959"/>
      <c r="I239" s="962"/>
      <c r="J239" s="959"/>
      <c r="K239" s="959"/>
      <c r="L239" s="959"/>
      <c r="M239" s="962"/>
      <c r="N239" s="959">
        <f>Tabla15[[#This Row],[Contado]]</f>
        <v>0</v>
      </c>
      <c r="O239" s="962"/>
      <c r="P239" s="443">
        <f>((Tabla15[[#This Row],[Contado]]+Tabla15[[#This Row],[Visa]]+Tabla15[[#This Row],[Eventos]]+Tabla15[[#This Row],[Passo]]+Tabla15[[#This Row],[Reciclajes]])/1.1)+Tabla15[[#This Row],[Tickets]]</f>
        <v>0</v>
      </c>
      <c r="Q239" s="450">
        <v>0</v>
      </c>
      <c r="R239" s="445">
        <f t="shared" si="10"/>
        <v>0</v>
      </c>
      <c r="S239" s="446"/>
      <c r="T239" s="447">
        <v>1879.65</v>
      </c>
      <c r="U239" s="447">
        <f>Tabla15[[#This Row],[Total Caja]]-Tabla15[[#This Row],[Facturació A/A]]</f>
        <v>-1879.65</v>
      </c>
      <c r="V239" s="447">
        <f t="shared" si="11"/>
        <v>-83912.829090909057</v>
      </c>
      <c r="W239" s="450">
        <f>Tabla15[[#This Row],[Diferencia]]/Tabla15[[#This Row],[Facturació A/A]]</f>
        <v>-1</v>
      </c>
      <c r="X239" s="447">
        <f>Tabla15[[#This Row],[Facturació A/A]]*H$17+Tabla15[[#This Row],[Facturació A/A]]</f>
        <v>1936.0395000000001</v>
      </c>
      <c r="Y239" s="447">
        <f>Tabla15[[#This Row],[Total Caja]]-Tabla15[[#This Row],[Previsión]]</f>
        <v>-1936.0395000000001</v>
      </c>
      <c r="Z239" s="446"/>
      <c r="AA239" s="447">
        <f>SUM(INDEX(Tabla15[[#This Row],[Facturació A/A]],1):Tabla15[[#This Row],[Facturació A/A]]) / SUM(INDEX(Tabla15[[#This Row],[Diferencia]],1):Tabla15[[#This Row],[Diferencia]])</f>
        <v>-1</v>
      </c>
      <c r="AB239" s="446"/>
      <c r="AC239" s="427"/>
      <c r="AD239" s="427"/>
      <c r="AE239" s="427"/>
      <c r="AF239" s="427"/>
      <c r="AG239" s="427"/>
      <c r="AH239" s="427"/>
      <c r="AI239" s="427"/>
      <c r="AJ239" s="427"/>
      <c r="AK239" s="427"/>
      <c r="AL239" s="427"/>
      <c r="AM239" s="427"/>
      <c r="AN239" s="427"/>
      <c r="AO239" s="427"/>
      <c r="AP239" s="427"/>
      <c r="AQ239" s="427"/>
    </row>
    <row r="240" spans="1:43" ht="16" customHeight="1">
      <c r="A240" s="427"/>
      <c r="B240" s="427"/>
      <c r="C240" s="428">
        <v>207</v>
      </c>
      <c r="D240" s="456">
        <v>46229</v>
      </c>
      <c r="E240" s="959"/>
      <c r="F240" s="958">
        <f>Tabla15[[#This Row],[Retiros]]-Tabla15[[#This Row],[Contado]]</f>
        <v>0</v>
      </c>
      <c r="G240" s="959"/>
      <c r="H240" s="959"/>
      <c r="I240" s="959"/>
      <c r="J240" s="959"/>
      <c r="K240" s="959"/>
      <c r="L240" s="959"/>
      <c r="M240" s="959"/>
      <c r="N240" s="959">
        <f>Tabla15[[#This Row],[Contado]]</f>
        <v>0</v>
      </c>
      <c r="O240" s="959"/>
      <c r="P240" s="443">
        <f>((Tabla15[[#This Row],[Contado]]+Tabla15[[#This Row],[Visa]]+Tabla15[[#This Row],[Eventos]]+Tabla15[[#This Row],[Passo]]+Tabla15[[#This Row],[Reciclajes]])/1.1)+Tabla15[[#This Row],[Tickets]]</f>
        <v>0</v>
      </c>
      <c r="Q240" s="450">
        <v>0</v>
      </c>
      <c r="R240" s="445">
        <f t="shared" si="10"/>
        <v>0</v>
      </c>
      <c r="S240" s="446"/>
      <c r="T240" s="447">
        <v>1428.18</v>
      </c>
      <c r="U240" s="447">
        <f>Tabla15[[#This Row],[Total Caja]]-Tabla15[[#This Row],[Facturació A/A]]</f>
        <v>-1428.18</v>
      </c>
      <c r="V240" s="447">
        <f t="shared" si="11"/>
        <v>-85341.00909090905</v>
      </c>
      <c r="W240" s="450">
        <f>Tabla15[[#This Row],[Diferencia]]/Tabla15[[#This Row],[Facturació A/A]]</f>
        <v>-1</v>
      </c>
      <c r="X240" s="447">
        <f>Tabla15[[#This Row],[Facturació A/A]]*H$17+Tabla15[[#This Row],[Facturació A/A]]</f>
        <v>1471.0254</v>
      </c>
      <c r="Y240" s="447">
        <f>Tabla15[[#This Row],[Total Caja]]-Tabla15[[#This Row],[Previsión]]</f>
        <v>-1471.0254</v>
      </c>
      <c r="Z240" s="446"/>
      <c r="AA240" s="447">
        <f>SUM(INDEX(Tabla15[[#This Row],[Facturació A/A]],1):Tabla15[[#This Row],[Facturació A/A]]) / SUM(INDEX(Tabla15[[#This Row],[Diferencia]],1):Tabla15[[#This Row],[Diferencia]])</f>
        <v>-1</v>
      </c>
      <c r="AB240" s="446"/>
      <c r="AC240" s="427"/>
      <c r="AD240" s="427"/>
      <c r="AE240" s="427"/>
      <c r="AF240" s="427"/>
      <c r="AG240" s="427"/>
      <c r="AH240" s="427"/>
      <c r="AI240" s="427"/>
      <c r="AJ240" s="427"/>
      <c r="AK240" s="427"/>
      <c r="AL240" s="427"/>
      <c r="AM240" s="427"/>
      <c r="AN240" s="427"/>
      <c r="AO240" s="427"/>
      <c r="AP240" s="427"/>
      <c r="AQ240" s="427"/>
    </row>
    <row r="241" spans="1:43" ht="16" customHeight="1">
      <c r="A241" s="427"/>
      <c r="B241" s="427"/>
      <c r="C241" s="428">
        <v>208</v>
      </c>
      <c r="D241" s="456">
        <v>46230</v>
      </c>
      <c r="E241" s="959"/>
      <c r="F241" s="958">
        <f>Tabla15[[#This Row],[Retiros]]-Tabla15[[#This Row],[Contado]]</f>
        <v>0</v>
      </c>
      <c r="G241" s="959"/>
      <c r="H241" s="959"/>
      <c r="I241" s="959"/>
      <c r="J241" s="959"/>
      <c r="K241" s="959"/>
      <c r="L241" s="959"/>
      <c r="M241" s="959"/>
      <c r="N241" s="959">
        <f>Tabla15[[#This Row],[Contado]]</f>
        <v>0</v>
      </c>
      <c r="O241" s="959"/>
      <c r="P241" s="443">
        <f>((Tabla15[[#This Row],[Contado]]+Tabla15[[#This Row],[Visa]]+Tabla15[[#This Row],[Eventos]]+Tabla15[[#This Row],[Passo]]+Tabla15[[#This Row],[Reciclajes]])/1.1)+Tabla15[[#This Row],[Tickets]]</f>
        <v>0</v>
      </c>
      <c r="Q241" s="450">
        <v>0</v>
      </c>
      <c r="R241" s="445">
        <f t="shared" si="10"/>
        <v>0</v>
      </c>
      <c r="S241" s="446"/>
      <c r="T241" s="447">
        <v>0</v>
      </c>
      <c r="U241" s="447">
        <f>Tabla15[[#This Row],[Total Caja]]-Tabla15[[#This Row],[Facturació A/A]]</f>
        <v>0</v>
      </c>
      <c r="V241" s="447">
        <f t="shared" si="11"/>
        <v>-85341.00909090905</v>
      </c>
      <c r="W241" s="450" t="e">
        <f>Tabla15[[#This Row],[Diferencia]]/Tabla15[[#This Row],[Facturació A/A]]</f>
        <v>#DIV/0!</v>
      </c>
      <c r="X241" s="447">
        <f>Tabla15[[#This Row],[Facturació A/A]]*H$17+Tabla15[[#This Row],[Facturació A/A]]</f>
        <v>0</v>
      </c>
      <c r="Y241" s="447">
        <f>Tabla15[[#This Row],[Total Caja]]-Tabla15[[#This Row],[Previsión]]</f>
        <v>0</v>
      </c>
      <c r="Z241" s="446"/>
      <c r="AA241" s="447" t="e">
        <f>SUM(INDEX(Tabla15[[#This Row],[Facturació A/A]],1):Tabla15[[#This Row],[Facturació A/A]]) / SUM(INDEX(Tabla15[[#This Row],[Diferencia]],1):Tabla15[[#This Row],[Diferencia]])</f>
        <v>#DIV/0!</v>
      </c>
      <c r="AB241" s="446"/>
      <c r="AC241" s="427"/>
      <c r="AD241" s="427"/>
      <c r="AE241" s="427"/>
      <c r="AF241" s="427"/>
      <c r="AG241" s="427"/>
      <c r="AH241" s="427"/>
      <c r="AI241" s="427"/>
      <c r="AJ241" s="427"/>
      <c r="AK241" s="427"/>
      <c r="AL241" s="427"/>
      <c r="AM241" s="427"/>
      <c r="AN241" s="427"/>
      <c r="AO241" s="427"/>
      <c r="AP241" s="427"/>
      <c r="AQ241" s="427"/>
    </row>
    <row r="242" spans="1:43" ht="16" customHeight="1">
      <c r="A242" s="427"/>
      <c r="B242" s="427"/>
      <c r="C242" s="428">
        <v>209</v>
      </c>
      <c r="D242" s="456">
        <v>46231</v>
      </c>
      <c r="E242" s="962"/>
      <c r="F242" s="958">
        <f>Tabla15[[#This Row],[Retiros]]-Tabla15[[#This Row],[Contado]]</f>
        <v>0</v>
      </c>
      <c r="G242" s="962"/>
      <c r="H242" s="962"/>
      <c r="I242" s="962"/>
      <c r="J242" s="962"/>
      <c r="K242" s="963"/>
      <c r="L242" s="963"/>
      <c r="M242" s="962"/>
      <c r="N242" s="959">
        <f>Tabla15[[#This Row],[Contado]]</f>
        <v>0</v>
      </c>
      <c r="O242" s="962"/>
      <c r="P242" s="443">
        <f>((Tabla15[[#This Row],[Contado]]+Tabla15[[#This Row],[Visa]]+Tabla15[[#This Row],[Eventos]]+Tabla15[[#This Row],[Passo]]+Tabla15[[#This Row],[Reciclajes]])/1.1)+Tabla15[[#This Row],[Tickets]]</f>
        <v>0</v>
      </c>
      <c r="Q242" s="450">
        <v>0</v>
      </c>
      <c r="R242" s="445">
        <f t="shared" si="10"/>
        <v>0</v>
      </c>
      <c r="S242" s="446"/>
      <c r="T242" s="447">
        <v>0</v>
      </c>
      <c r="U242" s="447">
        <f>Tabla15[[#This Row],[Total Caja]]-Tabla15[[#This Row],[Facturació A/A]]</f>
        <v>0</v>
      </c>
      <c r="V242" s="447">
        <f t="shared" si="11"/>
        <v>-85341.00909090905</v>
      </c>
      <c r="W242" s="450" t="e">
        <f>Tabla15[[#This Row],[Diferencia]]/Tabla15[[#This Row],[Facturació A/A]]</f>
        <v>#DIV/0!</v>
      </c>
      <c r="X242" s="447">
        <f>Tabla15[[#This Row],[Facturació A/A]]*H$17+Tabla15[[#This Row],[Facturació A/A]]</f>
        <v>0</v>
      </c>
      <c r="Y242" s="447">
        <f>Tabla15[[#This Row],[Total Caja]]-Tabla15[[#This Row],[Previsión]]</f>
        <v>0</v>
      </c>
      <c r="Z242" s="446"/>
      <c r="AA242" s="447" t="e">
        <f>SUM(INDEX(Tabla15[[#This Row],[Facturació A/A]],1):Tabla15[[#This Row],[Facturació A/A]]) / SUM(INDEX(Tabla15[[#This Row],[Diferencia]],1):Tabla15[[#This Row],[Diferencia]])</f>
        <v>#DIV/0!</v>
      </c>
      <c r="AB242" s="446"/>
      <c r="AC242" s="427"/>
      <c r="AD242" s="427"/>
      <c r="AE242" s="427"/>
      <c r="AF242" s="427"/>
      <c r="AG242" s="427"/>
      <c r="AH242" s="427"/>
      <c r="AI242" s="427"/>
      <c r="AJ242" s="427"/>
      <c r="AK242" s="427"/>
      <c r="AL242" s="427"/>
      <c r="AM242" s="427"/>
      <c r="AN242" s="427"/>
      <c r="AO242" s="427"/>
      <c r="AP242" s="427"/>
      <c r="AQ242" s="427"/>
    </row>
    <row r="243" spans="1:43" ht="16" customHeight="1">
      <c r="A243" s="427"/>
      <c r="B243" s="427"/>
      <c r="C243" s="428">
        <v>210</v>
      </c>
      <c r="D243" s="456">
        <v>46232</v>
      </c>
      <c r="E243" s="963"/>
      <c r="F243" s="958">
        <f>Tabla15[[#This Row],[Retiros]]-Tabla15[[#This Row],[Contado]]</f>
        <v>0</v>
      </c>
      <c r="G243" s="963"/>
      <c r="H243" s="963"/>
      <c r="I243" s="963"/>
      <c r="J243" s="963"/>
      <c r="K243" s="963"/>
      <c r="L243" s="963"/>
      <c r="M243" s="963"/>
      <c r="N243" s="959">
        <f>Tabla15[[#This Row],[Contado]]</f>
        <v>0</v>
      </c>
      <c r="O243" s="962"/>
      <c r="P243" s="443">
        <f>((Tabla15[[#This Row],[Contado]]+Tabla15[[#This Row],[Visa]]+Tabla15[[#This Row],[Eventos]]+Tabla15[[#This Row],[Passo]]+Tabla15[[#This Row],[Reciclajes]])/1.1)+Tabla15[[#This Row],[Tickets]]</f>
        <v>0</v>
      </c>
      <c r="Q243" s="450">
        <v>0</v>
      </c>
      <c r="R243" s="445">
        <f t="shared" si="10"/>
        <v>0</v>
      </c>
      <c r="S243" s="446"/>
      <c r="T243" s="447">
        <v>1464.91</v>
      </c>
      <c r="U243" s="447">
        <f>Tabla15[[#This Row],[Total Caja]]-Tabla15[[#This Row],[Facturació A/A]]</f>
        <v>-1464.91</v>
      </c>
      <c r="V243" s="447">
        <f t="shared" si="11"/>
        <v>-86805.919090909054</v>
      </c>
      <c r="W243" s="450">
        <f>Tabla15[[#This Row],[Diferencia]]/Tabla15[[#This Row],[Facturació A/A]]</f>
        <v>-1</v>
      </c>
      <c r="X243" s="447">
        <f>Tabla15[[#This Row],[Facturació A/A]]*H$17+Tabla15[[#This Row],[Facturació A/A]]</f>
        <v>1508.8573000000001</v>
      </c>
      <c r="Y243" s="447">
        <f>Tabla15[[#This Row],[Total Caja]]-Tabla15[[#This Row],[Previsión]]</f>
        <v>-1508.8573000000001</v>
      </c>
      <c r="Z243" s="446"/>
      <c r="AA243" s="447">
        <f>SUM(INDEX(Tabla15[[#This Row],[Facturació A/A]],1):Tabla15[[#This Row],[Facturació A/A]]) / SUM(INDEX(Tabla15[[#This Row],[Diferencia]],1):Tabla15[[#This Row],[Diferencia]])</f>
        <v>-1</v>
      </c>
      <c r="AB243" s="446"/>
      <c r="AC243" s="427"/>
      <c r="AD243" s="427"/>
      <c r="AE243" s="427"/>
      <c r="AF243" s="427"/>
      <c r="AG243" s="427"/>
      <c r="AH243" s="427"/>
      <c r="AI243" s="427"/>
      <c r="AJ243" s="427"/>
      <c r="AK243" s="427"/>
      <c r="AL243" s="427"/>
      <c r="AM243" s="427"/>
      <c r="AN243" s="427"/>
      <c r="AO243" s="427"/>
      <c r="AP243" s="427"/>
      <c r="AQ243" s="427"/>
    </row>
    <row r="244" spans="1:43" ht="16" customHeight="1">
      <c r="A244" s="427"/>
      <c r="B244" s="427"/>
      <c r="C244" s="428">
        <v>211</v>
      </c>
      <c r="D244" s="456">
        <v>46233</v>
      </c>
      <c r="E244" s="962"/>
      <c r="F244" s="958">
        <f>Tabla15[[#This Row],[Retiros]]-Tabla15[[#This Row],[Contado]]</f>
        <v>0</v>
      </c>
      <c r="G244" s="962"/>
      <c r="H244" s="959"/>
      <c r="I244" s="962"/>
      <c r="J244" s="959"/>
      <c r="K244" s="959"/>
      <c r="L244" s="959"/>
      <c r="M244" s="962"/>
      <c r="N244" s="959">
        <f>Tabla15[[#This Row],[Contado]]</f>
        <v>0</v>
      </c>
      <c r="O244" s="962"/>
      <c r="P244" s="443">
        <f>((Tabla15[[#This Row],[Contado]]+Tabla15[[#This Row],[Visa]]+Tabla15[[#This Row],[Eventos]]+Tabla15[[#This Row],[Passo]]+Tabla15[[#This Row],[Reciclajes]])/1.1)+Tabla15[[#This Row],[Tickets]]</f>
        <v>0</v>
      </c>
      <c r="Q244" s="450">
        <v>0</v>
      </c>
      <c r="R244" s="445">
        <f t="shared" si="10"/>
        <v>0</v>
      </c>
      <c r="S244" s="446"/>
      <c r="T244" s="447">
        <v>767.07</v>
      </c>
      <c r="U244" s="447">
        <f>Tabla15[[#This Row],[Total Caja]]-Tabla15[[#This Row],[Facturació A/A]]</f>
        <v>-767.07</v>
      </c>
      <c r="V244" s="447">
        <f t="shared" si="11"/>
        <v>-87572.989090909061</v>
      </c>
      <c r="W244" s="450">
        <f>Tabla15[[#This Row],[Diferencia]]/Tabla15[[#This Row],[Facturació A/A]]</f>
        <v>-1</v>
      </c>
      <c r="X244" s="447">
        <f>Tabla15[[#This Row],[Facturació A/A]]*H$17+Tabla15[[#This Row],[Facturació A/A]]</f>
        <v>790.08210000000008</v>
      </c>
      <c r="Y244" s="447">
        <f>Tabla15[[#This Row],[Total Caja]]-Tabla15[[#This Row],[Previsión]]</f>
        <v>-790.08210000000008</v>
      </c>
      <c r="Z244" s="446"/>
      <c r="AA244" s="447">
        <f>SUM(INDEX(Tabla15[[#This Row],[Facturació A/A]],1):Tabla15[[#This Row],[Facturació A/A]]) / SUM(INDEX(Tabla15[[#This Row],[Diferencia]],1):Tabla15[[#This Row],[Diferencia]])</f>
        <v>-1</v>
      </c>
      <c r="AB244" s="446"/>
      <c r="AC244" s="427"/>
      <c r="AD244" s="427"/>
      <c r="AE244" s="427"/>
      <c r="AF244" s="427"/>
      <c r="AG244" s="427"/>
      <c r="AH244" s="427"/>
      <c r="AI244" s="427"/>
      <c r="AJ244" s="427"/>
      <c r="AK244" s="427"/>
      <c r="AL244" s="427"/>
      <c r="AM244" s="427"/>
      <c r="AN244" s="427"/>
      <c r="AO244" s="427"/>
      <c r="AP244" s="427"/>
      <c r="AQ244" s="427"/>
    </row>
    <row r="245" spans="1:43" ht="16" customHeight="1">
      <c r="A245" s="427"/>
      <c r="B245" s="427"/>
      <c r="C245" s="428">
        <v>212</v>
      </c>
      <c r="D245" s="456">
        <v>46234</v>
      </c>
      <c r="E245" s="962"/>
      <c r="F245" s="958">
        <f>Tabla15[[#This Row],[Retiros]]-Tabla15[[#This Row],[Contado]]</f>
        <v>0</v>
      </c>
      <c r="G245" s="962"/>
      <c r="H245" s="959"/>
      <c r="I245" s="962"/>
      <c r="J245" s="959"/>
      <c r="K245" s="959"/>
      <c r="L245" s="959"/>
      <c r="M245" s="962"/>
      <c r="N245" s="959">
        <f>Tabla15[[#This Row],[Contado]]</f>
        <v>0</v>
      </c>
      <c r="O245" s="962"/>
      <c r="P245" s="443">
        <f>((Tabla15[[#This Row],[Contado]]+Tabla15[[#This Row],[Visa]]+Tabla15[[#This Row],[Eventos]]+Tabla15[[#This Row],[Passo]]+Tabla15[[#This Row],[Reciclajes]])/1.1)+Tabla15[[#This Row],[Tickets]]</f>
        <v>0</v>
      </c>
      <c r="Q245" s="450">
        <v>0</v>
      </c>
      <c r="R245" s="445">
        <f t="shared" si="10"/>
        <v>0</v>
      </c>
      <c r="S245" s="446"/>
      <c r="T245" s="447">
        <v>2184.8200000000002</v>
      </c>
      <c r="U245" s="447">
        <f>Tabla15[[#This Row],[Total Caja]]-Tabla15[[#This Row],[Facturació A/A]]</f>
        <v>-2184.8200000000002</v>
      </c>
      <c r="V245" s="447">
        <f t="shared" si="11"/>
        <v>-89757.809090909068</v>
      </c>
      <c r="W245" s="450">
        <f>Tabla15[[#This Row],[Diferencia]]/Tabla15[[#This Row],[Facturació A/A]]</f>
        <v>-1</v>
      </c>
      <c r="X245" s="447">
        <f>Tabla15[[#This Row],[Facturació A/A]]*H$17+Tabla15[[#This Row],[Facturació A/A]]</f>
        <v>2250.3646000000003</v>
      </c>
      <c r="Y245" s="447">
        <f>Tabla15[[#This Row],[Total Caja]]-Tabla15[[#This Row],[Previsión]]</f>
        <v>-2250.3646000000003</v>
      </c>
      <c r="Z245" s="446"/>
      <c r="AA245" s="447">
        <f>SUM(INDEX(Tabla15[[#This Row],[Facturació A/A]],1):Tabla15[[#This Row],[Facturació A/A]]) / SUM(INDEX(Tabla15[[#This Row],[Diferencia]],1):Tabla15[[#This Row],[Diferencia]])</f>
        <v>-1</v>
      </c>
      <c r="AB245" s="446"/>
      <c r="AC245" s="427"/>
      <c r="AD245" s="427"/>
      <c r="AE245" s="427"/>
      <c r="AF245" s="427"/>
      <c r="AG245" s="427"/>
      <c r="AH245" s="427"/>
      <c r="AI245" s="427"/>
      <c r="AJ245" s="427"/>
      <c r="AK245" s="427"/>
      <c r="AL245" s="427"/>
      <c r="AM245" s="427"/>
      <c r="AN245" s="427"/>
      <c r="AO245" s="427"/>
      <c r="AP245" s="427"/>
      <c r="AQ245" s="427"/>
    </row>
    <row r="246" spans="1:43" ht="16" customHeight="1">
      <c r="A246" s="427"/>
      <c r="B246" s="427"/>
      <c r="C246" s="428">
        <v>213</v>
      </c>
      <c r="D246" s="456">
        <v>46235</v>
      </c>
      <c r="E246" s="962"/>
      <c r="F246" s="958">
        <f>Tabla15[[#This Row],[Retiros]]-Tabla15[[#This Row],[Contado]]</f>
        <v>0</v>
      </c>
      <c r="G246" s="962"/>
      <c r="H246" s="959"/>
      <c r="I246" s="962"/>
      <c r="J246" s="959"/>
      <c r="K246" s="959"/>
      <c r="L246" s="959"/>
      <c r="M246" s="962"/>
      <c r="N246" s="959">
        <f>Tabla15[[#This Row],[Contado]]</f>
        <v>0</v>
      </c>
      <c r="O246" s="962"/>
      <c r="P246" s="443">
        <f>((Tabla15[[#This Row],[Contado]]+Tabla15[[#This Row],[Visa]]+Tabla15[[#This Row],[Eventos]]+Tabla15[[#This Row],[Passo]]+Tabla15[[#This Row],[Reciclajes]])/1.1)+Tabla15[[#This Row],[Tickets]]</f>
        <v>0</v>
      </c>
      <c r="Q246" s="450">
        <v>0</v>
      </c>
      <c r="R246" s="445">
        <f t="shared" si="10"/>
        <v>0</v>
      </c>
      <c r="S246" s="446"/>
      <c r="T246" s="447">
        <v>2060.5100000000002</v>
      </c>
      <c r="U246" s="447">
        <f>Tabla15[[#This Row],[Total Caja]]-Tabla15[[#This Row],[Facturació A/A]]</f>
        <v>-2060.5100000000002</v>
      </c>
      <c r="V246" s="447">
        <f t="shared" si="11"/>
        <v>-91818.319090909063</v>
      </c>
      <c r="W246" s="450">
        <f>Tabla15[[#This Row],[Diferencia]]/Tabla15[[#This Row],[Facturació A/A]]</f>
        <v>-1</v>
      </c>
      <c r="X246" s="447">
        <f>Tabla15[[#This Row],[Facturació A/A]]*H$17+Tabla15[[#This Row],[Facturació A/A]]</f>
        <v>2122.3253000000004</v>
      </c>
      <c r="Y246" s="447">
        <f>Tabla15[[#This Row],[Total Caja]]-Tabla15[[#This Row],[Previsión]]</f>
        <v>-2122.3253000000004</v>
      </c>
      <c r="Z246" s="446"/>
      <c r="AA246" s="447">
        <f>SUM(INDEX(Tabla15[[#This Row],[Facturació A/A]],1):Tabla15[[#This Row],[Facturació A/A]]) / SUM(INDEX(Tabla15[[#This Row],[Diferencia]],1):Tabla15[[#This Row],[Diferencia]])</f>
        <v>-1</v>
      </c>
      <c r="AB246" s="446"/>
      <c r="AC246" s="427"/>
      <c r="AD246" s="427"/>
      <c r="AE246" s="427"/>
      <c r="AF246" s="427"/>
      <c r="AG246" s="427"/>
      <c r="AH246" s="427"/>
      <c r="AI246" s="427"/>
      <c r="AJ246" s="427"/>
      <c r="AK246" s="427"/>
      <c r="AL246" s="427"/>
      <c r="AM246" s="427"/>
      <c r="AN246" s="427"/>
      <c r="AO246" s="427"/>
      <c r="AP246" s="427"/>
      <c r="AQ246" s="427"/>
    </row>
    <row r="247" spans="1:43" ht="16" customHeight="1">
      <c r="A247" s="427"/>
      <c r="B247" s="427"/>
      <c r="C247" s="428">
        <v>214</v>
      </c>
      <c r="D247" s="456">
        <v>46236</v>
      </c>
      <c r="E247" s="962"/>
      <c r="F247" s="958">
        <f>Tabla15[[#This Row],[Retiros]]-Tabla15[[#This Row],[Contado]]</f>
        <v>0</v>
      </c>
      <c r="G247" s="962"/>
      <c r="H247" s="959"/>
      <c r="I247" s="963"/>
      <c r="J247" s="959"/>
      <c r="K247" s="959"/>
      <c r="L247" s="959"/>
      <c r="M247" s="962"/>
      <c r="N247" s="959">
        <f>Tabla15[[#This Row],[Contado]]</f>
        <v>0</v>
      </c>
      <c r="O247" s="962"/>
      <c r="P247" s="443">
        <f>((Tabla15[[#This Row],[Contado]]+Tabla15[[#This Row],[Visa]]+Tabla15[[#This Row],[Eventos]]+Tabla15[[#This Row],[Passo]]+Tabla15[[#This Row],[Reciclajes]])/1.1)+Tabla15[[#This Row],[Tickets]]</f>
        <v>0</v>
      </c>
      <c r="Q247" s="450">
        <v>0</v>
      </c>
      <c r="R247" s="445">
        <f t="shared" si="10"/>
        <v>0</v>
      </c>
      <c r="S247" s="446"/>
      <c r="T247" s="447">
        <v>1303.6300000000001</v>
      </c>
      <c r="U247" s="447">
        <f>Tabla15[[#This Row],[Total Caja]]-Tabla15[[#This Row],[Facturació A/A]]</f>
        <v>-1303.6300000000001</v>
      </c>
      <c r="V247" s="447">
        <f t="shared" si="11"/>
        <v>-93121.949090909067</v>
      </c>
      <c r="W247" s="450">
        <f>Tabla15[[#This Row],[Diferencia]]/Tabla15[[#This Row],[Facturació A/A]]</f>
        <v>-1</v>
      </c>
      <c r="X247" s="447">
        <f>Tabla15[[#This Row],[Facturació A/A]]*H$17+Tabla15[[#This Row],[Facturació A/A]]</f>
        <v>1342.7389000000001</v>
      </c>
      <c r="Y247" s="447">
        <f>Tabla15[[#This Row],[Total Caja]]-Tabla15[[#This Row],[Previsión]]</f>
        <v>-1342.7389000000001</v>
      </c>
      <c r="Z247" s="446"/>
      <c r="AA247" s="447">
        <f>SUM(INDEX(Tabla15[[#This Row],[Facturació A/A]],1):Tabla15[[#This Row],[Facturació A/A]]) / SUM(INDEX(Tabla15[[#This Row],[Diferencia]],1):Tabla15[[#This Row],[Diferencia]])</f>
        <v>-1</v>
      </c>
      <c r="AB247" s="446"/>
      <c r="AC247" s="427"/>
      <c r="AD247" s="427"/>
      <c r="AE247" s="427"/>
      <c r="AF247" s="427"/>
      <c r="AG247" s="427"/>
      <c r="AH247" s="427"/>
      <c r="AI247" s="427"/>
      <c r="AJ247" s="427"/>
      <c r="AK247" s="427"/>
      <c r="AL247" s="427"/>
      <c r="AM247" s="427"/>
      <c r="AN247" s="427"/>
      <c r="AO247" s="427"/>
      <c r="AP247" s="427"/>
      <c r="AQ247" s="427"/>
    </row>
    <row r="248" spans="1:43" ht="16" customHeight="1">
      <c r="A248" s="427"/>
      <c r="B248" s="427"/>
      <c r="C248" s="428">
        <v>215</v>
      </c>
      <c r="D248" s="456">
        <v>46237</v>
      </c>
      <c r="E248" s="962"/>
      <c r="F248" s="958">
        <f>Tabla15[[#This Row],[Retiros]]-Tabla15[[#This Row],[Contado]]</f>
        <v>0</v>
      </c>
      <c r="G248" s="962"/>
      <c r="H248" s="959"/>
      <c r="I248" s="962"/>
      <c r="J248" s="959"/>
      <c r="K248" s="959"/>
      <c r="L248" s="959"/>
      <c r="M248" s="962"/>
      <c r="N248" s="959">
        <f>Tabla15[[#This Row],[Contado]]</f>
        <v>0</v>
      </c>
      <c r="O248" s="962"/>
      <c r="P248" s="443">
        <f>((Tabla15[[#This Row],[Contado]]+Tabla15[[#This Row],[Visa]]+Tabla15[[#This Row],[Eventos]]+Tabla15[[#This Row],[Passo]]+Tabla15[[#This Row],[Reciclajes]])/1.1)+Tabla15[[#This Row],[Tickets]]</f>
        <v>0</v>
      </c>
      <c r="Q248" s="450">
        <v>0</v>
      </c>
      <c r="R248" s="445">
        <f t="shared" si="10"/>
        <v>0</v>
      </c>
      <c r="S248" s="446"/>
      <c r="T248" s="447">
        <v>0</v>
      </c>
      <c r="U248" s="447">
        <f>Tabla15[[#This Row],[Total Caja]]-Tabla15[[#This Row],[Facturació A/A]]</f>
        <v>0</v>
      </c>
      <c r="V248" s="447">
        <f t="shared" si="11"/>
        <v>-93121.949090909067</v>
      </c>
      <c r="W248" s="450" t="e">
        <f>Tabla15[[#This Row],[Diferencia]]/Tabla15[[#This Row],[Facturació A/A]]</f>
        <v>#DIV/0!</v>
      </c>
      <c r="X248" s="447">
        <f>Tabla15[[#This Row],[Facturació A/A]]*H$17+Tabla15[[#This Row],[Facturació A/A]]</f>
        <v>0</v>
      </c>
      <c r="Y248" s="447">
        <f>Tabla15[[#This Row],[Total Caja]]-Tabla15[[#This Row],[Previsión]]</f>
        <v>0</v>
      </c>
      <c r="Z248" s="446"/>
      <c r="AA248" s="447" t="e">
        <f>SUM(INDEX(Tabla15[[#This Row],[Facturació A/A]],1):Tabla15[[#This Row],[Facturació A/A]]) / SUM(INDEX(Tabla15[[#This Row],[Diferencia]],1):Tabla15[[#This Row],[Diferencia]])</f>
        <v>#DIV/0!</v>
      </c>
      <c r="AB248" s="446"/>
      <c r="AC248" s="427"/>
      <c r="AD248" s="427"/>
      <c r="AE248" s="427"/>
      <c r="AF248" s="427"/>
      <c r="AG248" s="427"/>
      <c r="AH248" s="427"/>
      <c r="AI248" s="427"/>
      <c r="AJ248" s="427"/>
      <c r="AK248" s="427"/>
      <c r="AL248" s="427"/>
      <c r="AM248" s="427"/>
      <c r="AN248" s="427"/>
      <c r="AO248" s="427"/>
      <c r="AP248" s="427"/>
      <c r="AQ248" s="427"/>
    </row>
    <row r="249" spans="1:43" ht="16" customHeight="1">
      <c r="A249" s="427"/>
      <c r="B249" s="427"/>
      <c r="C249" s="428">
        <v>216</v>
      </c>
      <c r="D249" s="456">
        <v>46238</v>
      </c>
      <c r="E249" s="962"/>
      <c r="F249" s="958">
        <f>Tabla15[[#This Row],[Retiros]]-Tabla15[[#This Row],[Contado]]</f>
        <v>0</v>
      </c>
      <c r="G249" s="962"/>
      <c r="H249" s="962"/>
      <c r="I249" s="962"/>
      <c r="J249" s="962"/>
      <c r="K249" s="962"/>
      <c r="L249" s="962"/>
      <c r="M249" s="962"/>
      <c r="N249" s="959">
        <f>Tabla15[[#This Row],[Contado]]</f>
        <v>0</v>
      </c>
      <c r="O249" s="962"/>
      <c r="P249" s="443">
        <f>((Tabla15[[#This Row],[Contado]]+Tabla15[[#This Row],[Visa]]+Tabla15[[#This Row],[Eventos]]+Tabla15[[#This Row],[Passo]]+Tabla15[[#This Row],[Reciclajes]])/1.1)+Tabla15[[#This Row],[Tickets]]</f>
        <v>0</v>
      </c>
      <c r="Q249" s="450">
        <v>0</v>
      </c>
      <c r="R249" s="445">
        <f t="shared" si="10"/>
        <v>0</v>
      </c>
      <c r="S249" s="446"/>
      <c r="T249" s="447">
        <v>0</v>
      </c>
      <c r="U249" s="447">
        <f>Tabla15[[#This Row],[Total Caja]]-Tabla15[[#This Row],[Facturació A/A]]</f>
        <v>0</v>
      </c>
      <c r="V249" s="447">
        <f t="shared" si="11"/>
        <v>-93121.949090909067</v>
      </c>
      <c r="W249" s="450" t="e">
        <f>Tabla15[[#This Row],[Diferencia]]/Tabla15[[#This Row],[Facturació A/A]]</f>
        <v>#DIV/0!</v>
      </c>
      <c r="X249" s="447">
        <f>Tabla15[[#This Row],[Facturació A/A]]*H$17+Tabla15[[#This Row],[Facturació A/A]]</f>
        <v>0</v>
      </c>
      <c r="Y249" s="447">
        <f>Tabla15[[#This Row],[Total Caja]]-Tabla15[[#This Row],[Previsión]]</f>
        <v>0</v>
      </c>
      <c r="Z249" s="446"/>
      <c r="AA249" s="447" t="e">
        <f>SUM(INDEX(Tabla15[[#This Row],[Facturació A/A]],1):Tabla15[[#This Row],[Facturació A/A]]) / SUM(INDEX(Tabla15[[#This Row],[Diferencia]],1):Tabla15[[#This Row],[Diferencia]])</f>
        <v>#DIV/0!</v>
      </c>
      <c r="AB249" s="446"/>
      <c r="AC249" s="427"/>
      <c r="AD249" s="427"/>
      <c r="AE249" s="427"/>
      <c r="AF249" s="427"/>
      <c r="AG249" s="427"/>
      <c r="AH249" s="427"/>
      <c r="AI249" s="427"/>
      <c r="AJ249" s="427"/>
      <c r="AK249" s="427"/>
      <c r="AL249" s="427"/>
      <c r="AM249" s="427"/>
      <c r="AN249" s="427"/>
      <c r="AO249" s="427"/>
      <c r="AP249" s="427"/>
      <c r="AQ249" s="427"/>
    </row>
    <row r="250" spans="1:43" ht="16" customHeight="1">
      <c r="A250" s="427"/>
      <c r="B250" s="427"/>
      <c r="C250" s="428">
        <v>217</v>
      </c>
      <c r="D250" s="456">
        <v>46239</v>
      </c>
      <c r="E250" s="962"/>
      <c r="F250" s="958">
        <f>Tabla15[[#This Row],[Retiros]]-Tabla15[[#This Row],[Contado]]</f>
        <v>0</v>
      </c>
      <c r="G250" s="962"/>
      <c r="H250" s="962"/>
      <c r="I250" s="962"/>
      <c r="J250" s="962"/>
      <c r="K250" s="962"/>
      <c r="L250" s="962"/>
      <c r="M250" s="962"/>
      <c r="N250" s="959">
        <f>Tabla15[[#This Row],[Contado]]</f>
        <v>0</v>
      </c>
      <c r="O250" s="962"/>
      <c r="P250" s="443">
        <f>((Tabla15[[#This Row],[Contado]]+Tabla15[[#This Row],[Visa]]+Tabla15[[#This Row],[Eventos]]+Tabla15[[#This Row],[Passo]]+Tabla15[[#This Row],[Reciclajes]])/1.1)+Tabla15[[#This Row],[Tickets]]</f>
        <v>0</v>
      </c>
      <c r="Q250" s="450">
        <v>0</v>
      </c>
      <c r="R250" s="445">
        <f t="shared" si="10"/>
        <v>0</v>
      </c>
      <c r="S250" s="446"/>
      <c r="T250" s="447">
        <v>1386.75</v>
      </c>
      <c r="U250" s="447">
        <f>Tabla15[[#This Row],[Total Caja]]-Tabla15[[#This Row],[Facturació A/A]]</f>
        <v>-1386.75</v>
      </c>
      <c r="V250" s="447">
        <f t="shared" si="11"/>
        <v>-94508.699090909067</v>
      </c>
      <c r="W250" s="450">
        <f>Tabla15[[#This Row],[Diferencia]]/Tabla15[[#This Row],[Facturació A/A]]</f>
        <v>-1</v>
      </c>
      <c r="X250" s="447">
        <f>Tabla15[[#This Row],[Facturació A/A]]*H$17+Tabla15[[#This Row],[Facturació A/A]]</f>
        <v>1428.3525</v>
      </c>
      <c r="Y250" s="447">
        <f>Tabla15[[#This Row],[Total Caja]]-Tabla15[[#This Row],[Previsión]]</f>
        <v>-1428.3525</v>
      </c>
      <c r="Z250" s="446"/>
      <c r="AA250" s="447">
        <f>SUM(INDEX(Tabla15[[#This Row],[Facturació A/A]],1):Tabla15[[#This Row],[Facturació A/A]]) / SUM(INDEX(Tabla15[[#This Row],[Diferencia]],1):Tabla15[[#This Row],[Diferencia]])</f>
        <v>-1</v>
      </c>
      <c r="AB250" s="446"/>
      <c r="AC250" s="427"/>
      <c r="AD250" s="427"/>
      <c r="AE250" s="427"/>
      <c r="AF250" s="427"/>
      <c r="AG250" s="427"/>
      <c r="AH250" s="427"/>
      <c r="AI250" s="427"/>
      <c r="AJ250" s="427"/>
      <c r="AK250" s="427"/>
      <c r="AL250" s="427"/>
      <c r="AM250" s="427"/>
      <c r="AN250" s="427"/>
      <c r="AO250" s="427"/>
      <c r="AP250" s="427"/>
      <c r="AQ250" s="427"/>
    </row>
    <row r="251" spans="1:43" ht="16" customHeight="1">
      <c r="A251" s="427"/>
      <c r="B251" s="427"/>
      <c r="C251" s="428">
        <v>218</v>
      </c>
      <c r="D251" s="456">
        <v>46240</v>
      </c>
      <c r="E251" s="962"/>
      <c r="F251" s="958">
        <f>Tabla15[[#This Row],[Retiros]]-Tabla15[[#This Row],[Contado]]</f>
        <v>0</v>
      </c>
      <c r="G251" s="962"/>
      <c r="H251" s="959"/>
      <c r="I251" s="962"/>
      <c r="J251" s="959"/>
      <c r="K251" s="959"/>
      <c r="L251" s="959"/>
      <c r="M251" s="962"/>
      <c r="N251" s="959">
        <f>Tabla15[[#This Row],[Contado]]</f>
        <v>0</v>
      </c>
      <c r="O251" s="962"/>
      <c r="P251" s="443">
        <f>((Tabla15[[#This Row],[Contado]]+Tabla15[[#This Row],[Visa]]+Tabla15[[#This Row],[Eventos]]+Tabla15[[#This Row],[Passo]]+Tabla15[[#This Row],[Reciclajes]])/1.1)+Tabla15[[#This Row],[Tickets]]</f>
        <v>0</v>
      </c>
      <c r="Q251" s="450">
        <v>0</v>
      </c>
      <c r="R251" s="445">
        <f t="shared" si="10"/>
        <v>0</v>
      </c>
      <c r="S251" s="446"/>
      <c r="T251" s="447">
        <v>1573.56</v>
      </c>
      <c r="U251" s="447">
        <f>Tabla15[[#This Row],[Total Caja]]-Tabla15[[#This Row],[Facturació A/A]]</f>
        <v>-1573.56</v>
      </c>
      <c r="V251" s="447">
        <f t="shared" si="11"/>
        <v>-96082.259090909065</v>
      </c>
      <c r="W251" s="450">
        <f>Tabla15[[#This Row],[Diferencia]]/Tabla15[[#This Row],[Facturació A/A]]</f>
        <v>-1</v>
      </c>
      <c r="X251" s="447">
        <f>Tabla15[[#This Row],[Facturació A/A]]*H$17+Tabla15[[#This Row],[Facturació A/A]]</f>
        <v>1620.7667999999999</v>
      </c>
      <c r="Y251" s="447">
        <f>Tabla15[[#This Row],[Total Caja]]-Tabla15[[#This Row],[Previsión]]</f>
        <v>-1620.7667999999999</v>
      </c>
      <c r="Z251" s="446"/>
      <c r="AA251" s="447">
        <f>SUM(INDEX(Tabla15[[#This Row],[Facturació A/A]],1):Tabla15[[#This Row],[Facturació A/A]]) / SUM(INDEX(Tabla15[[#This Row],[Diferencia]],1):Tabla15[[#This Row],[Diferencia]])</f>
        <v>-1</v>
      </c>
      <c r="AB251" s="446"/>
      <c r="AC251" s="427"/>
      <c r="AD251" s="427"/>
      <c r="AE251" s="427"/>
      <c r="AF251" s="427"/>
      <c r="AG251" s="427"/>
      <c r="AH251" s="427"/>
      <c r="AI251" s="427"/>
      <c r="AJ251" s="427"/>
      <c r="AK251" s="427"/>
      <c r="AL251" s="427"/>
      <c r="AM251" s="427"/>
      <c r="AN251" s="427"/>
      <c r="AO251" s="427"/>
      <c r="AP251" s="427"/>
      <c r="AQ251" s="427"/>
    </row>
    <row r="252" spans="1:43" ht="16" customHeight="1">
      <c r="A252" s="427"/>
      <c r="B252" s="427"/>
      <c r="C252" s="428">
        <v>219</v>
      </c>
      <c r="D252" s="456">
        <v>46241</v>
      </c>
      <c r="E252" s="962"/>
      <c r="F252" s="958">
        <f>Tabla15[[#This Row],[Retiros]]-Tabla15[[#This Row],[Contado]]</f>
        <v>0</v>
      </c>
      <c r="G252" s="962"/>
      <c r="H252" s="962"/>
      <c r="I252" s="963"/>
      <c r="J252" s="962"/>
      <c r="K252" s="963"/>
      <c r="L252" s="963"/>
      <c r="M252" s="962"/>
      <c r="N252" s="959">
        <f>Tabla15[[#This Row],[Contado]]</f>
        <v>0</v>
      </c>
      <c r="O252" s="962"/>
      <c r="P252" s="443">
        <f>((Tabla15[[#This Row],[Contado]]+Tabla15[[#This Row],[Visa]]+Tabla15[[#This Row],[Eventos]]+Tabla15[[#This Row],[Passo]]+Tabla15[[#This Row],[Reciclajes]])/1.1)+Tabla15[[#This Row],[Tickets]]</f>
        <v>0</v>
      </c>
      <c r="Q252" s="450">
        <v>0</v>
      </c>
      <c r="R252" s="445">
        <f t="shared" si="10"/>
        <v>0</v>
      </c>
      <c r="S252" s="446"/>
      <c r="T252" s="447">
        <v>1727.98</v>
      </c>
      <c r="U252" s="447">
        <f>Tabla15[[#This Row],[Total Caja]]-Tabla15[[#This Row],[Facturació A/A]]</f>
        <v>-1727.98</v>
      </c>
      <c r="V252" s="447">
        <f t="shared" si="11"/>
        <v>-97810.239090909061</v>
      </c>
      <c r="W252" s="450">
        <f>Tabla15[[#This Row],[Diferencia]]/Tabla15[[#This Row],[Facturació A/A]]</f>
        <v>-1</v>
      </c>
      <c r="X252" s="447">
        <f>Tabla15[[#This Row],[Facturació A/A]]*H$17+Tabla15[[#This Row],[Facturació A/A]]</f>
        <v>1779.8194000000001</v>
      </c>
      <c r="Y252" s="447">
        <f>Tabla15[[#This Row],[Total Caja]]-Tabla15[[#This Row],[Previsión]]</f>
        <v>-1779.8194000000001</v>
      </c>
      <c r="Z252" s="446"/>
      <c r="AA252" s="447">
        <f>SUM(INDEX(Tabla15[[#This Row],[Facturació A/A]],1):Tabla15[[#This Row],[Facturació A/A]]) / SUM(INDEX(Tabla15[[#This Row],[Diferencia]],1):Tabla15[[#This Row],[Diferencia]])</f>
        <v>-1</v>
      </c>
      <c r="AB252" s="446"/>
      <c r="AC252" s="427"/>
      <c r="AD252" s="427"/>
      <c r="AE252" s="427"/>
      <c r="AF252" s="427"/>
      <c r="AG252" s="427"/>
      <c r="AH252" s="427"/>
      <c r="AI252" s="427"/>
      <c r="AJ252" s="427"/>
      <c r="AK252" s="427"/>
      <c r="AL252" s="427"/>
      <c r="AM252" s="427"/>
      <c r="AN252" s="427"/>
      <c r="AO252" s="427"/>
      <c r="AP252" s="427"/>
      <c r="AQ252" s="427"/>
    </row>
    <row r="253" spans="1:43" ht="16" customHeight="1">
      <c r="A253" s="427"/>
      <c r="B253" s="427"/>
      <c r="C253" s="428">
        <v>220</v>
      </c>
      <c r="D253" s="456">
        <v>46242</v>
      </c>
      <c r="E253" s="963"/>
      <c r="F253" s="958">
        <f>Tabla15[[#This Row],[Retiros]]-Tabla15[[#This Row],[Contado]]</f>
        <v>0</v>
      </c>
      <c r="G253" s="962"/>
      <c r="H253" s="962"/>
      <c r="I253" s="963"/>
      <c r="J253" s="962"/>
      <c r="K253" s="963"/>
      <c r="L253" s="963"/>
      <c r="M253" s="962"/>
      <c r="N253" s="959">
        <f>Tabla15[[#This Row],[Contado]]</f>
        <v>0</v>
      </c>
      <c r="O253" s="962"/>
      <c r="P253" s="443">
        <f>((Tabla15[[#This Row],[Contado]]+Tabla15[[#This Row],[Visa]]+Tabla15[[#This Row],[Eventos]]+Tabla15[[#This Row],[Passo]]+Tabla15[[#This Row],[Reciclajes]])/1.1)+Tabla15[[#This Row],[Tickets]]</f>
        <v>0</v>
      </c>
      <c r="Q253" s="450">
        <v>0</v>
      </c>
      <c r="R253" s="445">
        <f t="shared" si="10"/>
        <v>0</v>
      </c>
      <c r="S253" s="446"/>
      <c r="T253" s="447">
        <v>2165.94</v>
      </c>
      <c r="U253" s="447">
        <f>Tabla15[[#This Row],[Total Caja]]-Tabla15[[#This Row],[Facturació A/A]]</f>
        <v>-2165.94</v>
      </c>
      <c r="V253" s="447">
        <f t="shared" si="11"/>
        <v>-99976.179090909063</v>
      </c>
      <c r="W253" s="450">
        <f>Tabla15[[#This Row],[Diferencia]]/Tabla15[[#This Row],[Facturació A/A]]</f>
        <v>-1</v>
      </c>
      <c r="X253" s="447">
        <f>Tabla15[[#This Row],[Facturació A/A]]*H$17+Tabla15[[#This Row],[Facturació A/A]]</f>
        <v>2230.9182000000001</v>
      </c>
      <c r="Y253" s="447">
        <f>Tabla15[[#This Row],[Total Caja]]-Tabla15[[#This Row],[Previsión]]</f>
        <v>-2230.9182000000001</v>
      </c>
      <c r="Z253" s="446"/>
      <c r="AA253" s="447">
        <f>SUM(INDEX(Tabla15[[#This Row],[Facturació A/A]],1):Tabla15[[#This Row],[Facturació A/A]]) / SUM(INDEX(Tabla15[[#This Row],[Diferencia]],1):Tabla15[[#This Row],[Diferencia]])</f>
        <v>-1</v>
      </c>
      <c r="AB253" s="446"/>
      <c r="AC253" s="427"/>
      <c r="AD253" s="427"/>
      <c r="AE253" s="427"/>
      <c r="AF253" s="427"/>
      <c r="AG253" s="427"/>
      <c r="AH253" s="427"/>
      <c r="AI253" s="427"/>
      <c r="AJ253" s="427"/>
      <c r="AK253" s="427"/>
      <c r="AL253" s="427"/>
      <c r="AM253" s="427"/>
      <c r="AN253" s="427"/>
      <c r="AO253" s="427"/>
      <c r="AP253" s="427"/>
      <c r="AQ253" s="427"/>
    </row>
    <row r="254" spans="1:43" ht="16" customHeight="1">
      <c r="A254" s="427"/>
      <c r="B254" s="427"/>
      <c r="C254" s="428">
        <v>221</v>
      </c>
      <c r="D254" s="456">
        <v>46243</v>
      </c>
      <c r="E254" s="962"/>
      <c r="F254" s="958">
        <f>Tabla15[[#This Row],[Retiros]]-Tabla15[[#This Row],[Contado]]</f>
        <v>0</v>
      </c>
      <c r="G254" s="962"/>
      <c r="H254" s="962"/>
      <c r="I254" s="962"/>
      <c r="J254" s="962"/>
      <c r="K254" s="963"/>
      <c r="L254" s="963"/>
      <c r="M254" s="962"/>
      <c r="N254" s="959">
        <f>Tabla15[[#This Row],[Contado]]</f>
        <v>0</v>
      </c>
      <c r="O254" s="962"/>
      <c r="P254" s="443">
        <f>((Tabla15[[#This Row],[Contado]]+Tabla15[[#This Row],[Visa]]+Tabla15[[#This Row],[Eventos]]+Tabla15[[#This Row],[Passo]]+Tabla15[[#This Row],[Reciclajes]])/1.1)+Tabla15[[#This Row],[Tickets]]</f>
        <v>0</v>
      </c>
      <c r="Q254" s="450">
        <v>0</v>
      </c>
      <c r="R254" s="445">
        <f t="shared" si="10"/>
        <v>0</v>
      </c>
      <c r="S254" s="446"/>
      <c r="T254" s="447">
        <v>2275.6799999999998</v>
      </c>
      <c r="U254" s="447">
        <f>Tabla15[[#This Row],[Total Caja]]-Tabla15[[#This Row],[Facturació A/A]]</f>
        <v>-2275.6799999999998</v>
      </c>
      <c r="V254" s="447">
        <f t="shared" si="11"/>
        <v>-102251.85909090906</v>
      </c>
      <c r="W254" s="450">
        <f>Tabla15[[#This Row],[Diferencia]]/Tabla15[[#This Row],[Facturació A/A]]</f>
        <v>-1</v>
      </c>
      <c r="X254" s="447">
        <f>Tabla15[[#This Row],[Facturació A/A]]*H$17+Tabla15[[#This Row],[Facturació A/A]]</f>
        <v>2343.9503999999997</v>
      </c>
      <c r="Y254" s="447">
        <f>Tabla15[[#This Row],[Total Caja]]-Tabla15[[#This Row],[Previsión]]</f>
        <v>-2343.9503999999997</v>
      </c>
      <c r="Z254" s="446"/>
      <c r="AA254" s="447">
        <f>SUM(INDEX(Tabla15[[#This Row],[Facturació A/A]],1):Tabla15[[#This Row],[Facturació A/A]]) / SUM(INDEX(Tabla15[[#This Row],[Diferencia]],1):Tabla15[[#This Row],[Diferencia]])</f>
        <v>-1</v>
      </c>
      <c r="AB254" s="446"/>
      <c r="AC254" s="427"/>
      <c r="AD254" s="427"/>
      <c r="AE254" s="427"/>
      <c r="AF254" s="427"/>
      <c r="AG254" s="427"/>
      <c r="AH254" s="427"/>
      <c r="AI254" s="427"/>
      <c r="AJ254" s="427"/>
      <c r="AK254" s="427"/>
      <c r="AL254" s="427"/>
      <c r="AM254" s="427"/>
      <c r="AN254" s="427"/>
      <c r="AO254" s="427"/>
      <c r="AP254" s="427"/>
      <c r="AQ254" s="427"/>
    </row>
    <row r="255" spans="1:43" ht="16" customHeight="1">
      <c r="A255" s="427"/>
      <c r="B255" s="427"/>
      <c r="C255" s="428">
        <v>222</v>
      </c>
      <c r="D255" s="456">
        <v>46244</v>
      </c>
      <c r="E255" s="962"/>
      <c r="F255" s="958">
        <f>Tabla15[[#This Row],[Retiros]]-Tabla15[[#This Row],[Contado]]</f>
        <v>0</v>
      </c>
      <c r="G255" s="962"/>
      <c r="H255" s="962"/>
      <c r="I255" s="962"/>
      <c r="J255" s="962"/>
      <c r="K255" s="963"/>
      <c r="L255" s="963"/>
      <c r="M255" s="962"/>
      <c r="N255" s="959">
        <f>Tabla15[[#This Row],[Contado]]</f>
        <v>0</v>
      </c>
      <c r="O255" s="962"/>
      <c r="P255" s="443">
        <f>((Tabla15[[#This Row],[Contado]]+Tabla15[[#This Row],[Visa]]+Tabla15[[#This Row],[Eventos]]+Tabla15[[#This Row],[Passo]]+Tabla15[[#This Row],[Reciclajes]])/1.1)+Tabla15[[#This Row],[Tickets]]</f>
        <v>0</v>
      </c>
      <c r="Q255" s="450">
        <v>0</v>
      </c>
      <c r="R255" s="445">
        <f t="shared" si="10"/>
        <v>0</v>
      </c>
      <c r="S255" s="446"/>
      <c r="T255" s="447">
        <v>0</v>
      </c>
      <c r="U255" s="447">
        <f>Tabla15[[#This Row],[Total Caja]]-Tabla15[[#This Row],[Facturació A/A]]</f>
        <v>0</v>
      </c>
      <c r="V255" s="447">
        <f t="shared" si="11"/>
        <v>-102251.85909090906</v>
      </c>
      <c r="W255" s="450" t="e">
        <f>Tabla15[[#This Row],[Diferencia]]/Tabla15[[#This Row],[Facturació A/A]]</f>
        <v>#DIV/0!</v>
      </c>
      <c r="X255" s="447">
        <f>Tabla15[[#This Row],[Facturació A/A]]*H$17+Tabla15[[#This Row],[Facturació A/A]]</f>
        <v>0</v>
      </c>
      <c r="Y255" s="447">
        <f>Tabla15[[#This Row],[Total Caja]]-Tabla15[[#This Row],[Previsión]]</f>
        <v>0</v>
      </c>
      <c r="Z255" s="446"/>
      <c r="AA255" s="447" t="e">
        <f>SUM(INDEX(Tabla15[[#This Row],[Facturació A/A]],1):Tabla15[[#This Row],[Facturació A/A]]) / SUM(INDEX(Tabla15[[#This Row],[Diferencia]],1):Tabla15[[#This Row],[Diferencia]])</f>
        <v>#DIV/0!</v>
      </c>
      <c r="AB255" s="446"/>
      <c r="AC255" s="427"/>
      <c r="AD255" s="427"/>
      <c r="AE255" s="427"/>
      <c r="AF255" s="427"/>
      <c r="AG255" s="427"/>
      <c r="AH255" s="427"/>
      <c r="AI255" s="427"/>
      <c r="AJ255" s="427"/>
      <c r="AK255" s="427"/>
      <c r="AL255" s="427"/>
      <c r="AM255" s="427"/>
      <c r="AN255" s="427"/>
      <c r="AO255" s="427"/>
      <c r="AP255" s="427"/>
      <c r="AQ255" s="427"/>
    </row>
    <row r="256" spans="1:43" ht="16" customHeight="1">
      <c r="A256" s="427"/>
      <c r="B256" s="427"/>
      <c r="C256" s="428">
        <v>223</v>
      </c>
      <c r="D256" s="456">
        <v>46245</v>
      </c>
      <c r="E256" s="962"/>
      <c r="F256" s="958">
        <f>Tabla15[[#This Row],[Retiros]]-Tabla15[[#This Row],[Contado]]</f>
        <v>0</v>
      </c>
      <c r="G256" s="962"/>
      <c r="H256" s="962"/>
      <c r="I256" s="962"/>
      <c r="J256" s="962"/>
      <c r="K256" s="963"/>
      <c r="L256" s="963"/>
      <c r="M256" s="962"/>
      <c r="N256" s="959">
        <f>Tabla15[[#This Row],[Contado]]</f>
        <v>0</v>
      </c>
      <c r="O256" s="962"/>
      <c r="P256" s="443">
        <f>((Tabla15[[#This Row],[Contado]]+Tabla15[[#This Row],[Visa]]+Tabla15[[#This Row],[Eventos]]+Tabla15[[#This Row],[Passo]]+Tabla15[[#This Row],[Reciclajes]])/1.1)+Tabla15[[#This Row],[Tickets]]</f>
        <v>0</v>
      </c>
      <c r="Q256" s="450">
        <v>0</v>
      </c>
      <c r="R256" s="445">
        <f t="shared" si="10"/>
        <v>0</v>
      </c>
      <c r="S256" s="446"/>
      <c r="T256" s="447">
        <v>0</v>
      </c>
      <c r="U256" s="447">
        <f>Tabla15[[#This Row],[Total Caja]]-Tabla15[[#This Row],[Facturació A/A]]</f>
        <v>0</v>
      </c>
      <c r="V256" s="447">
        <f t="shared" si="11"/>
        <v>-102251.85909090906</v>
      </c>
      <c r="W256" s="450" t="e">
        <f>Tabla15[[#This Row],[Diferencia]]/Tabla15[[#This Row],[Facturació A/A]]</f>
        <v>#DIV/0!</v>
      </c>
      <c r="X256" s="447">
        <f>Tabla15[[#This Row],[Facturació A/A]]*H$17+Tabla15[[#This Row],[Facturació A/A]]</f>
        <v>0</v>
      </c>
      <c r="Y256" s="447">
        <f>Tabla15[[#This Row],[Total Caja]]-Tabla15[[#This Row],[Previsión]]</f>
        <v>0</v>
      </c>
      <c r="Z256" s="446"/>
      <c r="AA256" s="447" t="e">
        <f>SUM(INDEX(Tabla15[[#This Row],[Facturació A/A]],1):Tabla15[[#This Row],[Facturació A/A]]) / SUM(INDEX(Tabla15[[#This Row],[Diferencia]],1):Tabla15[[#This Row],[Diferencia]])</f>
        <v>#DIV/0!</v>
      </c>
      <c r="AB256" s="446"/>
      <c r="AC256" s="427"/>
      <c r="AD256" s="427"/>
      <c r="AE256" s="427"/>
      <c r="AF256" s="427"/>
      <c r="AG256" s="427"/>
      <c r="AH256" s="427"/>
      <c r="AI256" s="427"/>
      <c r="AJ256" s="427"/>
      <c r="AK256" s="427"/>
      <c r="AL256" s="427"/>
      <c r="AM256" s="427"/>
      <c r="AN256" s="427"/>
      <c r="AO256" s="427"/>
      <c r="AP256" s="427"/>
      <c r="AQ256" s="427"/>
    </row>
    <row r="257" spans="1:43" ht="16" customHeight="1">
      <c r="A257" s="427"/>
      <c r="B257" s="427"/>
      <c r="C257" s="428">
        <v>224</v>
      </c>
      <c r="D257" s="456">
        <v>46246</v>
      </c>
      <c r="E257" s="963"/>
      <c r="F257" s="958">
        <f>Tabla15[[#This Row],[Retiros]]-Tabla15[[#This Row],[Contado]]</f>
        <v>0</v>
      </c>
      <c r="G257" s="963"/>
      <c r="H257" s="963"/>
      <c r="I257" s="963"/>
      <c r="J257" s="963"/>
      <c r="K257" s="963"/>
      <c r="L257" s="963"/>
      <c r="M257" s="963"/>
      <c r="N257" s="959">
        <f>Tabla15[[#This Row],[Contado]]</f>
        <v>0</v>
      </c>
      <c r="O257" s="962"/>
      <c r="P257" s="443">
        <f>((Tabla15[[#This Row],[Contado]]+Tabla15[[#This Row],[Visa]]+Tabla15[[#This Row],[Eventos]]+Tabla15[[#This Row],[Passo]]+Tabla15[[#This Row],[Reciclajes]])/1.1)+Tabla15[[#This Row],[Tickets]]</f>
        <v>0</v>
      </c>
      <c r="Q257" s="450">
        <v>0</v>
      </c>
      <c r="R257" s="445">
        <f t="shared" si="10"/>
        <v>0</v>
      </c>
      <c r="S257" s="446"/>
      <c r="T257" s="447">
        <v>1502.07</v>
      </c>
      <c r="U257" s="447">
        <f>Tabla15[[#This Row],[Total Caja]]-Tabla15[[#This Row],[Facturació A/A]]</f>
        <v>-1502.07</v>
      </c>
      <c r="V257" s="447">
        <f t="shared" si="11"/>
        <v>-103753.92909090906</v>
      </c>
      <c r="W257" s="450">
        <f>Tabla15[[#This Row],[Diferencia]]/Tabla15[[#This Row],[Facturació A/A]]</f>
        <v>-1</v>
      </c>
      <c r="X257" s="447">
        <f>Tabla15[[#This Row],[Facturació A/A]]*H$17+Tabla15[[#This Row],[Facturació A/A]]</f>
        <v>1547.1321</v>
      </c>
      <c r="Y257" s="447">
        <f>Tabla15[[#This Row],[Total Caja]]-Tabla15[[#This Row],[Previsión]]</f>
        <v>-1547.1321</v>
      </c>
      <c r="Z257" s="446"/>
      <c r="AA257" s="447">
        <f>SUM(INDEX(Tabla15[[#This Row],[Facturació A/A]],1):Tabla15[[#This Row],[Facturació A/A]]) / SUM(INDEX(Tabla15[[#This Row],[Diferencia]],1):Tabla15[[#This Row],[Diferencia]])</f>
        <v>-1</v>
      </c>
      <c r="AB257" s="446"/>
      <c r="AC257" s="427"/>
      <c r="AD257" s="427"/>
      <c r="AE257" s="427"/>
      <c r="AF257" s="427"/>
      <c r="AG257" s="427"/>
      <c r="AH257" s="427"/>
      <c r="AI257" s="427"/>
      <c r="AJ257" s="427"/>
      <c r="AK257" s="427"/>
      <c r="AL257" s="427"/>
      <c r="AM257" s="427"/>
      <c r="AN257" s="427"/>
      <c r="AO257" s="427"/>
      <c r="AP257" s="427"/>
      <c r="AQ257" s="427"/>
    </row>
    <row r="258" spans="1:43" ht="16" customHeight="1">
      <c r="A258" s="427"/>
      <c r="B258" s="427"/>
      <c r="C258" s="428">
        <v>225</v>
      </c>
      <c r="D258" s="456">
        <v>46247</v>
      </c>
      <c r="E258" s="962"/>
      <c r="F258" s="958">
        <f>Tabla15[[#This Row],[Retiros]]-Tabla15[[#This Row],[Contado]]</f>
        <v>0</v>
      </c>
      <c r="G258" s="962"/>
      <c r="H258" s="962"/>
      <c r="I258" s="962"/>
      <c r="J258" s="962"/>
      <c r="K258" s="963"/>
      <c r="L258" s="963"/>
      <c r="M258" s="962"/>
      <c r="N258" s="959">
        <f>Tabla15[[#This Row],[Contado]]</f>
        <v>0</v>
      </c>
      <c r="O258" s="962"/>
      <c r="P258" s="443">
        <f>((Tabla15[[#This Row],[Contado]]+Tabla15[[#This Row],[Visa]]+Tabla15[[#This Row],[Eventos]]+Tabla15[[#This Row],[Passo]]+Tabla15[[#This Row],[Reciclajes]])/1.1)+Tabla15[[#This Row],[Tickets]]</f>
        <v>0</v>
      </c>
      <c r="Q258" s="450">
        <v>0</v>
      </c>
      <c r="R258" s="445">
        <f t="shared" si="10"/>
        <v>0</v>
      </c>
      <c r="S258" s="446"/>
      <c r="T258" s="447">
        <v>2441.92</v>
      </c>
      <c r="U258" s="447">
        <f>Tabla15[[#This Row],[Total Caja]]-Tabla15[[#This Row],[Facturació A/A]]</f>
        <v>-2441.92</v>
      </c>
      <c r="V258" s="447">
        <f t="shared" si="11"/>
        <v>-106195.84909090906</v>
      </c>
      <c r="W258" s="450">
        <f>Tabla15[[#This Row],[Diferencia]]/Tabla15[[#This Row],[Facturació A/A]]</f>
        <v>-1</v>
      </c>
      <c r="X258" s="447">
        <f>Tabla15[[#This Row],[Facturació A/A]]*H$17+Tabla15[[#This Row],[Facturació A/A]]</f>
        <v>2515.1776</v>
      </c>
      <c r="Y258" s="447">
        <f>Tabla15[[#This Row],[Total Caja]]-Tabla15[[#This Row],[Previsión]]</f>
        <v>-2515.1776</v>
      </c>
      <c r="Z258" s="446"/>
      <c r="AA258" s="447">
        <f>SUM(INDEX(Tabla15[[#This Row],[Facturació A/A]],1):Tabla15[[#This Row],[Facturació A/A]]) / SUM(INDEX(Tabla15[[#This Row],[Diferencia]],1):Tabla15[[#This Row],[Diferencia]])</f>
        <v>-1</v>
      </c>
      <c r="AB258" s="446"/>
      <c r="AC258" s="427"/>
      <c r="AD258" s="427"/>
      <c r="AE258" s="427"/>
      <c r="AF258" s="427"/>
      <c r="AG258" s="427"/>
      <c r="AH258" s="427"/>
      <c r="AI258" s="427"/>
      <c r="AJ258" s="427"/>
      <c r="AK258" s="427"/>
      <c r="AL258" s="427"/>
      <c r="AM258" s="427"/>
      <c r="AN258" s="427"/>
      <c r="AO258" s="427"/>
      <c r="AP258" s="427"/>
      <c r="AQ258" s="427"/>
    </row>
    <row r="259" spans="1:43" ht="16" customHeight="1">
      <c r="A259" s="427"/>
      <c r="B259" s="427"/>
      <c r="C259" s="428">
        <v>226</v>
      </c>
      <c r="D259" s="456">
        <v>46248</v>
      </c>
      <c r="E259" s="962"/>
      <c r="F259" s="958">
        <f>Tabla15[[#This Row],[Retiros]]-Tabla15[[#This Row],[Contado]]</f>
        <v>0</v>
      </c>
      <c r="G259" s="963"/>
      <c r="H259" s="962"/>
      <c r="I259" s="963"/>
      <c r="J259" s="962"/>
      <c r="K259" s="963"/>
      <c r="L259" s="963"/>
      <c r="M259" s="962"/>
      <c r="N259" s="959">
        <f>Tabla15[[#This Row],[Contado]]</f>
        <v>0</v>
      </c>
      <c r="O259" s="962"/>
      <c r="P259" s="443">
        <f>((Tabla15[[#This Row],[Contado]]+Tabla15[[#This Row],[Visa]]+Tabla15[[#This Row],[Eventos]]+Tabla15[[#This Row],[Passo]]+Tabla15[[#This Row],[Reciclajes]])/1.1)+Tabla15[[#This Row],[Tickets]]</f>
        <v>0</v>
      </c>
      <c r="Q259" s="450">
        <v>0</v>
      </c>
      <c r="R259" s="445">
        <f t="shared" si="10"/>
        <v>0</v>
      </c>
      <c r="S259" s="446"/>
      <c r="T259" s="447">
        <v>2324.33</v>
      </c>
      <c r="U259" s="447">
        <f>Tabla15[[#This Row],[Total Caja]]-Tabla15[[#This Row],[Facturació A/A]]</f>
        <v>-2324.33</v>
      </c>
      <c r="V259" s="447">
        <f t="shared" si="11"/>
        <v>-108520.17909090906</v>
      </c>
      <c r="W259" s="450">
        <f>Tabla15[[#This Row],[Diferencia]]/Tabla15[[#This Row],[Facturació A/A]]</f>
        <v>-1</v>
      </c>
      <c r="X259" s="447">
        <f>Tabla15[[#This Row],[Facturació A/A]]*H$17+Tabla15[[#This Row],[Facturació A/A]]</f>
        <v>2394.0598999999997</v>
      </c>
      <c r="Y259" s="447">
        <f>Tabla15[[#This Row],[Total Caja]]-Tabla15[[#This Row],[Previsión]]</f>
        <v>-2394.0598999999997</v>
      </c>
      <c r="Z259" s="446"/>
      <c r="AA259" s="447">
        <f>SUM(INDEX(Tabla15[[#This Row],[Facturació A/A]],1):Tabla15[[#This Row],[Facturació A/A]]) / SUM(INDEX(Tabla15[[#This Row],[Diferencia]],1):Tabla15[[#This Row],[Diferencia]])</f>
        <v>-1</v>
      </c>
      <c r="AB259" s="446"/>
      <c r="AC259" s="427"/>
      <c r="AD259" s="427"/>
      <c r="AE259" s="427"/>
      <c r="AF259" s="427"/>
      <c r="AG259" s="427"/>
      <c r="AH259" s="427"/>
      <c r="AI259" s="427"/>
      <c r="AJ259" s="427"/>
      <c r="AK259" s="427"/>
      <c r="AL259" s="427"/>
      <c r="AM259" s="427"/>
      <c r="AN259" s="427"/>
      <c r="AO259" s="427"/>
      <c r="AP259" s="427"/>
      <c r="AQ259" s="427"/>
    </row>
    <row r="260" spans="1:43" ht="16" customHeight="1">
      <c r="A260" s="427"/>
      <c r="B260" s="427"/>
      <c r="C260" s="428">
        <v>227</v>
      </c>
      <c r="D260" s="456">
        <v>46249</v>
      </c>
      <c r="E260" s="962"/>
      <c r="F260" s="958">
        <f>Tabla15[[#This Row],[Retiros]]-Tabla15[[#This Row],[Contado]]</f>
        <v>0</v>
      </c>
      <c r="G260" s="962"/>
      <c r="H260" s="962"/>
      <c r="I260" s="962"/>
      <c r="J260" s="962"/>
      <c r="K260" s="963"/>
      <c r="L260" s="963"/>
      <c r="M260" s="962"/>
      <c r="N260" s="959">
        <f>Tabla15[[#This Row],[Contado]]</f>
        <v>0</v>
      </c>
      <c r="O260" s="962"/>
      <c r="P260" s="443">
        <f>((Tabla15[[#This Row],[Contado]]+Tabla15[[#This Row],[Visa]]+Tabla15[[#This Row],[Eventos]]+Tabla15[[#This Row],[Passo]]+Tabla15[[#This Row],[Reciclajes]])/1.1)+Tabla15[[#This Row],[Tickets]]</f>
        <v>0</v>
      </c>
      <c r="Q260" s="450">
        <v>0</v>
      </c>
      <c r="R260" s="445">
        <f t="shared" si="10"/>
        <v>0</v>
      </c>
      <c r="S260" s="446"/>
      <c r="T260" s="447">
        <v>2543.37</v>
      </c>
      <c r="U260" s="447">
        <f>Tabla15[[#This Row],[Total Caja]]-Tabla15[[#This Row],[Facturació A/A]]</f>
        <v>-2543.37</v>
      </c>
      <c r="V260" s="447">
        <f t="shared" si="11"/>
        <v>-111063.54909090906</v>
      </c>
      <c r="W260" s="450">
        <f>Tabla15[[#This Row],[Diferencia]]/Tabla15[[#This Row],[Facturació A/A]]</f>
        <v>-1</v>
      </c>
      <c r="X260" s="447">
        <f>Tabla15[[#This Row],[Facturació A/A]]*H$17+Tabla15[[#This Row],[Facturació A/A]]</f>
        <v>2619.6711</v>
      </c>
      <c r="Y260" s="447">
        <f>Tabla15[[#This Row],[Total Caja]]-Tabla15[[#This Row],[Previsión]]</f>
        <v>-2619.6711</v>
      </c>
      <c r="Z260" s="446"/>
      <c r="AA260" s="447">
        <f>SUM(INDEX(Tabla15[[#This Row],[Facturació A/A]],1):Tabla15[[#This Row],[Facturació A/A]]) / SUM(INDEX(Tabla15[[#This Row],[Diferencia]],1):Tabla15[[#This Row],[Diferencia]])</f>
        <v>-1</v>
      </c>
      <c r="AB260" s="446"/>
      <c r="AC260" s="427"/>
      <c r="AD260" s="427"/>
      <c r="AE260" s="427"/>
      <c r="AF260" s="427"/>
      <c r="AG260" s="427"/>
      <c r="AH260" s="427"/>
      <c r="AI260" s="427"/>
      <c r="AJ260" s="427"/>
      <c r="AK260" s="427"/>
      <c r="AL260" s="427"/>
      <c r="AM260" s="427"/>
      <c r="AN260" s="427"/>
      <c r="AO260" s="427"/>
      <c r="AP260" s="427"/>
      <c r="AQ260" s="427"/>
    </row>
    <row r="261" spans="1:43" ht="16" customHeight="1">
      <c r="A261" s="427"/>
      <c r="B261" s="427"/>
      <c r="C261" s="428">
        <v>228</v>
      </c>
      <c r="D261" s="456">
        <v>46250</v>
      </c>
      <c r="E261" s="962"/>
      <c r="F261" s="958">
        <f>Tabla15[[#This Row],[Retiros]]-Tabla15[[#This Row],[Contado]]</f>
        <v>0</v>
      </c>
      <c r="G261" s="962"/>
      <c r="H261" s="962"/>
      <c r="I261" s="962"/>
      <c r="J261" s="962"/>
      <c r="K261" s="963"/>
      <c r="L261" s="963"/>
      <c r="M261" s="962"/>
      <c r="N261" s="959">
        <f>Tabla15[[#This Row],[Contado]]</f>
        <v>0</v>
      </c>
      <c r="O261" s="962"/>
      <c r="P261" s="443">
        <f>((Tabla15[[#This Row],[Contado]]+Tabla15[[#This Row],[Visa]]+Tabla15[[#This Row],[Eventos]]+Tabla15[[#This Row],[Passo]]+Tabla15[[#This Row],[Reciclajes]])/1.1)+Tabla15[[#This Row],[Tickets]]</f>
        <v>0</v>
      </c>
      <c r="Q261" s="450">
        <v>0</v>
      </c>
      <c r="R261" s="445">
        <f t="shared" si="10"/>
        <v>0</v>
      </c>
      <c r="S261" s="446"/>
      <c r="T261" s="447">
        <v>2725.15</v>
      </c>
      <c r="U261" s="447">
        <f>Tabla15[[#This Row],[Total Caja]]-Tabla15[[#This Row],[Facturació A/A]]</f>
        <v>-2725.15</v>
      </c>
      <c r="V261" s="447">
        <f t="shared" si="11"/>
        <v>-113788.69909090905</v>
      </c>
      <c r="W261" s="450">
        <f>Tabla15[[#This Row],[Diferencia]]/Tabla15[[#This Row],[Facturació A/A]]</f>
        <v>-1</v>
      </c>
      <c r="X261" s="447">
        <f>Tabla15[[#This Row],[Facturació A/A]]*H$17+Tabla15[[#This Row],[Facturació A/A]]</f>
        <v>2806.9045000000001</v>
      </c>
      <c r="Y261" s="447">
        <f>Tabla15[[#This Row],[Total Caja]]-Tabla15[[#This Row],[Previsión]]</f>
        <v>-2806.9045000000001</v>
      </c>
      <c r="Z261" s="446"/>
      <c r="AA261" s="447">
        <f>SUM(INDEX(Tabla15[[#This Row],[Facturació A/A]],1):Tabla15[[#This Row],[Facturació A/A]]) / SUM(INDEX(Tabla15[[#This Row],[Diferencia]],1):Tabla15[[#This Row],[Diferencia]])</f>
        <v>-1</v>
      </c>
      <c r="AB261" s="446"/>
      <c r="AC261" s="427"/>
      <c r="AD261" s="427"/>
      <c r="AE261" s="427"/>
      <c r="AF261" s="427"/>
      <c r="AG261" s="427"/>
      <c r="AH261" s="427"/>
      <c r="AI261" s="427"/>
      <c r="AJ261" s="427"/>
      <c r="AK261" s="427"/>
      <c r="AL261" s="427"/>
      <c r="AM261" s="427"/>
      <c r="AN261" s="427"/>
      <c r="AO261" s="427"/>
      <c r="AP261" s="427"/>
      <c r="AQ261" s="427"/>
    </row>
    <row r="262" spans="1:43" ht="16" customHeight="1">
      <c r="A262" s="427"/>
      <c r="B262" s="427"/>
      <c r="C262" s="428">
        <v>229</v>
      </c>
      <c r="D262" s="456">
        <v>46251</v>
      </c>
      <c r="E262" s="962"/>
      <c r="F262" s="958">
        <f>Tabla15[[#This Row],[Retiros]]-Tabla15[[#This Row],[Contado]]</f>
        <v>0</v>
      </c>
      <c r="G262" s="962"/>
      <c r="H262" s="962"/>
      <c r="I262" s="962"/>
      <c r="J262" s="962"/>
      <c r="K262" s="963"/>
      <c r="L262" s="963"/>
      <c r="M262" s="962"/>
      <c r="N262" s="959">
        <f>Tabla15[[#This Row],[Contado]]</f>
        <v>0</v>
      </c>
      <c r="O262" s="962"/>
      <c r="P262" s="443">
        <f>((Tabla15[[#This Row],[Contado]]+Tabla15[[#This Row],[Visa]]+Tabla15[[#This Row],[Eventos]]+Tabla15[[#This Row],[Passo]]+Tabla15[[#This Row],[Reciclajes]])/1.1)+Tabla15[[#This Row],[Tickets]]</f>
        <v>0</v>
      </c>
      <c r="Q262" s="450">
        <v>0</v>
      </c>
      <c r="R262" s="445">
        <f t="shared" si="10"/>
        <v>0</v>
      </c>
      <c r="S262" s="446"/>
      <c r="T262" s="447">
        <v>0</v>
      </c>
      <c r="U262" s="447">
        <f>Tabla15[[#This Row],[Total Caja]]-Tabla15[[#This Row],[Facturació A/A]]</f>
        <v>0</v>
      </c>
      <c r="V262" s="447">
        <f t="shared" si="11"/>
        <v>-113788.69909090905</v>
      </c>
      <c r="W262" s="450" t="e">
        <f>Tabla15[[#This Row],[Diferencia]]/Tabla15[[#This Row],[Facturació A/A]]</f>
        <v>#DIV/0!</v>
      </c>
      <c r="X262" s="447">
        <f>Tabla15[[#This Row],[Facturació A/A]]*H$17+Tabla15[[#This Row],[Facturació A/A]]</f>
        <v>0</v>
      </c>
      <c r="Y262" s="447">
        <f>Tabla15[[#This Row],[Total Caja]]-Tabla15[[#This Row],[Previsión]]</f>
        <v>0</v>
      </c>
      <c r="Z262" s="446"/>
      <c r="AA262" s="447" t="e">
        <f>SUM(INDEX(Tabla15[[#This Row],[Facturació A/A]],1):Tabla15[[#This Row],[Facturació A/A]]) / SUM(INDEX(Tabla15[[#This Row],[Diferencia]],1):Tabla15[[#This Row],[Diferencia]])</f>
        <v>#DIV/0!</v>
      </c>
      <c r="AB262" s="446"/>
      <c r="AC262" s="427"/>
      <c r="AD262" s="427"/>
      <c r="AE262" s="427"/>
      <c r="AF262" s="427"/>
      <c r="AG262" s="427"/>
      <c r="AH262" s="427"/>
      <c r="AI262" s="427"/>
      <c r="AJ262" s="427"/>
      <c r="AK262" s="427"/>
      <c r="AL262" s="427"/>
      <c r="AM262" s="427"/>
      <c r="AN262" s="427"/>
      <c r="AO262" s="427"/>
      <c r="AP262" s="427"/>
      <c r="AQ262" s="427"/>
    </row>
    <row r="263" spans="1:43" ht="16" customHeight="1">
      <c r="A263" s="427"/>
      <c r="B263" s="427"/>
      <c r="C263" s="428">
        <v>230</v>
      </c>
      <c r="D263" s="456">
        <v>46252</v>
      </c>
      <c r="E263" s="962"/>
      <c r="F263" s="958">
        <f>Tabla15[[#This Row],[Retiros]]-Tabla15[[#This Row],[Contado]]</f>
        <v>0</v>
      </c>
      <c r="G263" s="962"/>
      <c r="H263" s="962"/>
      <c r="I263" s="962"/>
      <c r="J263" s="962"/>
      <c r="K263" s="962"/>
      <c r="L263" s="962"/>
      <c r="M263" s="962"/>
      <c r="N263" s="959">
        <f>Tabla15[[#This Row],[Contado]]</f>
        <v>0</v>
      </c>
      <c r="O263" s="962"/>
      <c r="P263" s="443">
        <f>((Tabla15[[#This Row],[Contado]]+Tabla15[[#This Row],[Visa]]+Tabla15[[#This Row],[Eventos]]+Tabla15[[#This Row],[Passo]]+Tabla15[[#This Row],[Reciclajes]])/1.1)+Tabla15[[#This Row],[Tickets]]</f>
        <v>0</v>
      </c>
      <c r="Q263" s="450">
        <v>0</v>
      </c>
      <c r="R263" s="445">
        <f t="shared" si="10"/>
        <v>0</v>
      </c>
      <c r="S263" s="446"/>
      <c r="T263" s="447">
        <v>0</v>
      </c>
      <c r="U263" s="447">
        <f>Tabla15[[#This Row],[Total Caja]]-Tabla15[[#This Row],[Facturació A/A]]</f>
        <v>0</v>
      </c>
      <c r="V263" s="447">
        <f t="shared" si="11"/>
        <v>-113788.69909090905</v>
      </c>
      <c r="W263" s="450" t="e">
        <f>Tabla15[[#This Row],[Diferencia]]/Tabla15[[#This Row],[Facturació A/A]]</f>
        <v>#DIV/0!</v>
      </c>
      <c r="X263" s="447">
        <f>Tabla15[[#This Row],[Facturació A/A]]*H$17+Tabla15[[#This Row],[Facturació A/A]]</f>
        <v>0</v>
      </c>
      <c r="Y263" s="447">
        <f>Tabla15[[#This Row],[Total Caja]]-Tabla15[[#This Row],[Previsión]]</f>
        <v>0</v>
      </c>
      <c r="Z263" s="446"/>
      <c r="AA263" s="447" t="e">
        <f>SUM(INDEX(Tabla15[[#This Row],[Facturació A/A]],1):Tabla15[[#This Row],[Facturació A/A]]) / SUM(INDEX(Tabla15[[#This Row],[Diferencia]],1):Tabla15[[#This Row],[Diferencia]])</f>
        <v>#DIV/0!</v>
      </c>
      <c r="AB263" s="446"/>
      <c r="AC263" s="427"/>
      <c r="AD263" s="427"/>
      <c r="AE263" s="427"/>
      <c r="AF263" s="427"/>
      <c r="AG263" s="427"/>
      <c r="AH263" s="427"/>
      <c r="AI263" s="427"/>
      <c r="AJ263" s="427"/>
      <c r="AK263" s="427"/>
      <c r="AL263" s="427"/>
      <c r="AM263" s="427"/>
      <c r="AN263" s="427"/>
      <c r="AO263" s="427"/>
      <c r="AP263" s="427"/>
      <c r="AQ263" s="427"/>
    </row>
    <row r="264" spans="1:43" ht="16" customHeight="1">
      <c r="A264" s="427"/>
      <c r="B264" s="427"/>
      <c r="C264" s="428">
        <v>231</v>
      </c>
      <c r="D264" s="456">
        <v>46253</v>
      </c>
      <c r="E264" s="962"/>
      <c r="F264" s="958">
        <f>Tabla15[[#This Row],[Retiros]]-Tabla15[[#This Row],[Contado]]</f>
        <v>0</v>
      </c>
      <c r="G264" s="962"/>
      <c r="H264" s="962"/>
      <c r="I264" s="962"/>
      <c r="J264" s="962"/>
      <c r="K264" s="962"/>
      <c r="L264" s="962"/>
      <c r="M264" s="962"/>
      <c r="N264" s="959">
        <f>Tabla15[[#This Row],[Contado]]</f>
        <v>0</v>
      </c>
      <c r="O264" s="962"/>
      <c r="P264" s="443">
        <f>((Tabla15[[#This Row],[Contado]]+Tabla15[[#This Row],[Visa]]+Tabla15[[#This Row],[Eventos]]+Tabla15[[#This Row],[Passo]]+Tabla15[[#This Row],[Reciclajes]])/1.1)+Tabla15[[#This Row],[Tickets]]</f>
        <v>0</v>
      </c>
      <c r="Q264" s="450">
        <v>0</v>
      </c>
      <c r="R264" s="445">
        <f t="shared" si="10"/>
        <v>0</v>
      </c>
      <c r="S264" s="446"/>
      <c r="T264" s="447">
        <v>1618.72</v>
      </c>
      <c r="U264" s="447">
        <f>Tabla15[[#This Row],[Total Caja]]-Tabla15[[#This Row],[Facturació A/A]]</f>
        <v>-1618.72</v>
      </c>
      <c r="V264" s="447">
        <f t="shared" si="11"/>
        <v>-115407.41909090905</v>
      </c>
      <c r="W264" s="450">
        <f>Tabla15[[#This Row],[Diferencia]]/Tabla15[[#This Row],[Facturació A/A]]</f>
        <v>-1</v>
      </c>
      <c r="X264" s="447">
        <f>Tabla15[[#This Row],[Facturació A/A]]*H$17+Tabla15[[#This Row],[Facturació A/A]]</f>
        <v>1667.2816</v>
      </c>
      <c r="Y264" s="447">
        <f>Tabla15[[#This Row],[Total Caja]]-Tabla15[[#This Row],[Previsión]]</f>
        <v>-1667.2816</v>
      </c>
      <c r="Z264" s="446"/>
      <c r="AA264" s="447">
        <f>SUM(INDEX(Tabla15[[#This Row],[Facturació A/A]],1):Tabla15[[#This Row],[Facturació A/A]]) / SUM(INDEX(Tabla15[[#This Row],[Diferencia]],1):Tabla15[[#This Row],[Diferencia]])</f>
        <v>-1</v>
      </c>
      <c r="AB264" s="446"/>
      <c r="AC264" s="427"/>
      <c r="AD264" s="427"/>
      <c r="AE264" s="427"/>
      <c r="AF264" s="427"/>
      <c r="AG264" s="427"/>
      <c r="AH264" s="427"/>
      <c r="AI264" s="427"/>
      <c r="AJ264" s="427"/>
      <c r="AK264" s="427"/>
      <c r="AL264" s="427"/>
      <c r="AM264" s="427"/>
      <c r="AN264" s="427"/>
      <c r="AO264" s="427"/>
      <c r="AP264" s="427"/>
      <c r="AQ264" s="427"/>
    </row>
    <row r="265" spans="1:43" ht="16" customHeight="1">
      <c r="A265" s="427"/>
      <c r="B265" s="427"/>
      <c r="C265" s="428">
        <v>232</v>
      </c>
      <c r="D265" s="456">
        <v>46254</v>
      </c>
      <c r="E265" s="962"/>
      <c r="F265" s="958">
        <f>Tabla15[[#This Row],[Retiros]]-Tabla15[[#This Row],[Contado]]</f>
        <v>0</v>
      </c>
      <c r="G265" s="962"/>
      <c r="H265" s="962"/>
      <c r="I265" s="962"/>
      <c r="J265" s="962"/>
      <c r="K265" s="962"/>
      <c r="L265" s="962"/>
      <c r="M265" s="962"/>
      <c r="N265" s="959">
        <f>Tabla15[[#This Row],[Contado]]</f>
        <v>0</v>
      </c>
      <c r="O265" s="962"/>
      <c r="P265" s="443">
        <f>((Tabla15[[#This Row],[Contado]]+Tabla15[[#This Row],[Visa]]+Tabla15[[#This Row],[Eventos]]+Tabla15[[#This Row],[Passo]]+Tabla15[[#This Row],[Reciclajes]])/1.1)+Tabla15[[#This Row],[Tickets]]</f>
        <v>0</v>
      </c>
      <c r="Q265" s="450">
        <v>0</v>
      </c>
      <c r="R265" s="445">
        <f t="shared" si="10"/>
        <v>0</v>
      </c>
      <c r="S265" s="446"/>
      <c r="T265" s="447">
        <v>1707.27</v>
      </c>
      <c r="U265" s="447">
        <f>Tabla15[[#This Row],[Total Caja]]-Tabla15[[#This Row],[Facturació A/A]]</f>
        <v>-1707.27</v>
      </c>
      <c r="V265" s="447">
        <f t="shared" si="11"/>
        <v>-117114.68909090906</v>
      </c>
      <c r="W265" s="450">
        <f>Tabla15[[#This Row],[Diferencia]]/Tabla15[[#This Row],[Facturació A/A]]</f>
        <v>-1</v>
      </c>
      <c r="X265" s="447">
        <f>Tabla15[[#This Row],[Facturació A/A]]*H$17+Tabla15[[#This Row],[Facturació A/A]]</f>
        <v>1758.4881</v>
      </c>
      <c r="Y265" s="447">
        <f>Tabla15[[#This Row],[Total Caja]]-Tabla15[[#This Row],[Previsión]]</f>
        <v>-1758.4881</v>
      </c>
      <c r="Z265" s="446"/>
      <c r="AA265" s="447">
        <f>SUM(INDEX(Tabla15[[#This Row],[Facturació A/A]],1):Tabla15[[#This Row],[Facturació A/A]]) / SUM(INDEX(Tabla15[[#This Row],[Diferencia]],1):Tabla15[[#This Row],[Diferencia]])</f>
        <v>-1</v>
      </c>
      <c r="AB265" s="446"/>
      <c r="AC265" s="427"/>
      <c r="AD265" s="427"/>
      <c r="AE265" s="427"/>
      <c r="AF265" s="427"/>
      <c r="AG265" s="427"/>
      <c r="AH265" s="427"/>
      <c r="AI265" s="427"/>
      <c r="AJ265" s="427"/>
      <c r="AK265" s="427"/>
      <c r="AL265" s="427"/>
      <c r="AM265" s="427"/>
      <c r="AN265" s="427"/>
      <c r="AO265" s="427"/>
      <c r="AP265" s="427"/>
      <c r="AQ265" s="427"/>
    </row>
    <row r="266" spans="1:43" ht="16" customHeight="1">
      <c r="A266" s="427"/>
      <c r="B266" s="427"/>
      <c r="C266" s="428">
        <v>233</v>
      </c>
      <c r="D266" s="456">
        <v>46255</v>
      </c>
      <c r="E266" s="962"/>
      <c r="F266" s="958">
        <f>Tabla15[[#This Row],[Retiros]]-Tabla15[[#This Row],[Contado]]</f>
        <v>0</v>
      </c>
      <c r="G266" s="962"/>
      <c r="H266" s="962"/>
      <c r="I266" s="962"/>
      <c r="J266" s="962"/>
      <c r="K266" s="962"/>
      <c r="L266" s="962"/>
      <c r="M266" s="962"/>
      <c r="N266" s="959">
        <f>Tabla15[[#This Row],[Contado]]</f>
        <v>0</v>
      </c>
      <c r="O266" s="962"/>
      <c r="P266" s="443">
        <f>((Tabla15[[#This Row],[Contado]]+Tabla15[[#This Row],[Visa]]+Tabla15[[#This Row],[Eventos]]+Tabla15[[#This Row],[Passo]]+Tabla15[[#This Row],[Reciclajes]])/1.1)+Tabla15[[#This Row],[Tickets]]</f>
        <v>0</v>
      </c>
      <c r="Q266" s="450">
        <v>0</v>
      </c>
      <c r="R266" s="445">
        <f t="shared" si="10"/>
        <v>0</v>
      </c>
      <c r="S266" s="446"/>
      <c r="T266" s="447">
        <v>2425.31</v>
      </c>
      <c r="U266" s="447">
        <f>Tabla15[[#This Row],[Total Caja]]-Tabla15[[#This Row],[Facturació A/A]]</f>
        <v>-2425.31</v>
      </c>
      <c r="V266" s="447">
        <f t="shared" si="11"/>
        <v>-119539.99909090906</v>
      </c>
      <c r="W266" s="450">
        <f>Tabla15[[#This Row],[Diferencia]]/Tabla15[[#This Row],[Facturació A/A]]</f>
        <v>-1</v>
      </c>
      <c r="X266" s="447">
        <f>Tabla15[[#This Row],[Facturació A/A]]*H$17+Tabla15[[#This Row],[Facturació A/A]]</f>
        <v>2498.0693000000001</v>
      </c>
      <c r="Y266" s="447">
        <f>Tabla15[[#This Row],[Total Caja]]-Tabla15[[#This Row],[Previsión]]</f>
        <v>-2498.0693000000001</v>
      </c>
      <c r="Z266" s="446"/>
      <c r="AA266" s="447">
        <f>SUM(INDEX(Tabla15[[#This Row],[Facturació A/A]],1):Tabla15[[#This Row],[Facturació A/A]]) / SUM(INDEX(Tabla15[[#This Row],[Diferencia]],1):Tabla15[[#This Row],[Diferencia]])</f>
        <v>-1</v>
      </c>
      <c r="AB266" s="446"/>
      <c r="AC266" s="427"/>
      <c r="AD266" s="427"/>
      <c r="AE266" s="427"/>
      <c r="AF266" s="427"/>
      <c r="AG266" s="427"/>
      <c r="AH266" s="427"/>
      <c r="AI266" s="427"/>
      <c r="AJ266" s="427"/>
      <c r="AK266" s="427"/>
      <c r="AL266" s="427"/>
      <c r="AM266" s="427"/>
      <c r="AN266" s="427"/>
      <c r="AO266" s="427"/>
      <c r="AP266" s="427"/>
      <c r="AQ266" s="427"/>
    </row>
    <row r="267" spans="1:43" ht="16" customHeight="1">
      <c r="A267" s="427"/>
      <c r="B267" s="427"/>
      <c r="C267" s="428">
        <v>234</v>
      </c>
      <c r="D267" s="456">
        <v>46256</v>
      </c>
      <c r="E267" s="962"/>
      <c r="F267" s="958">
        <f>Tabla15[[#This Row],[Retiros]]-Tabla15[[#This Row],[Contado]]</f>
        <v>0</v>
      </c>
      <c r="G267" s="962"/>
      <c r="H267" s="962"/>
      <c r="I267" s="962"/>
      <c r="J267" s="962"/>
      <c r="K267" s="962"/>
      <c r="L267" s="962"/>
      <c r="M267" s="962"/>
      <c r="N267" s="959">
        <f>Tabla15[[#This Row],[Contado]]</f>
        <v>0</v>
      </c>
      <c r="O267" s="962"/>
      <c r="P267" s="443">
        <f>((Tabla15[[#This Row],[Contado]]+Tabla15[[#This Row],[Visa]]+Tabla15[[#This Row],[Eventos]]+Tabla15[[#This Row],[Passo]]+Tabla15[[#This Row],[Reciclajes]])/1.1)+Tabla15[[#This Row],[Tickets]]</f>
        <v>0</v>
      </c>
      <c r="Q267" s="450">
        <v>0</v>
      </c>
      <c r="R267" s="445">
        <f t="shared" si="10"/>
        <v>0</v>
      </c>
      <c r="S267" s="446"/>
      <c r="T267" s="447">
        <v>2351.85</v>
      </c>
      <c r="U267" s="447">
        <f>Tabla15[[#This Row],[Total Caja]]-Tabla15[[#This Row],[Facturació A/A]]</f>
        <v>-2351.85</v>
      </c>
      <c r="V267" s="447">
        <f t="shared" si="11"/>
        <v>-121891.84909090906</v>
      </c>
      <c r="W267" s="450">
        <f>Tabla15[[#This Row],[Diferencia]]/Tabla15[[#This Row],[Facturació A/A]]</f>
        <v>-1</v>
      </c>
      <c r="X267" s="447">
        <f>Tabla15[[#This Row],[Facturació A/A]]*H$17+Tabla15[[#This Row],[Facturació A/A]]</f>
        <v>2422.4054999999998</v>
      </c>
      <c r="Y267" s="447">
        <f>Tabla15[[#This Row],[Total Caja]]-Tabla15[[#This Row],[Previsión]]</f>
        <v>-2422.4054999999998</v>
      </c>
      <c r="Z267" s="446"/>
      <c r="AA267" s="447">
        <f>SUM(INDEX(Tabla15[[#This Row],[Facturació A/A]],1):Tabla15[[#This Row],[Facturació A/A]]) / SUM(INDEX(Tabla15[[#This Row],[Diferencia]],1):Tabla15[[#This Row],[Diferencia]])</f>
        <v>-1</v>
      </c>
      <c r="AB267" s="446"/>
      <c r="AC267" s="427"/>
      <c r="AD267" s="427"/>
      <c r="AE267" s="427"/>
      <c r="AF267" s="427"/>
      <c r="AG267" s="427"/>
      <c r="AH267" s="427"/>
      <c r="AI267" s="427"/>
      <c r="AJ267" s="427"/>
      <c r="AK267" s="427"/>
      <c r="AL267" s="427"/>
      <c r="AM267" s="427"/>
      <c r="AN267" s="427"/>
      <c r="AO267" s="427"/>
      <c r="AP267" s="427"/>
      <c r="AQ267" s="427"/>
    </row>
    <row r="268" spans="1:43" ht="16" customHeight="1">
      <c r="A268" s="427"/>
      <c r="B268" s="427"/>
      <c r="C268" s="428">
        <v>235</v>
      </c>
      <c r="D268" s="456">
        <v>46257</v>
      </c>
      <c r="E268" s="962"/>
      <c r="F268" s="958">
        <f>Tabla15[[#This Row],[Retiros]]-Tabla15[[#This Row],[Contado]]</f>
        <v>0</v>
      </c>
      <c r="G268" s="962"/>
      <c r="H268" s="962"/>
      <c r="I268" s="962"/>
      <c r="J268" s="962"/>
      <c r="K268" s="962"/>
      <c r="L268" s="962"/>
      <c r="M268" s="962"/>
      <c r="N268" s="959">
        <f>Tabla15[[#This Row],[Contado]]</f>
        <v>0</v>
      </c>
      <c r="O268" s="962"/>
      <c r="P268" s="443">
        <f>((Tabla15[[#This Row],[Contado]]+Tabla15[[#This Row],[Visa]]+Tabla15[[#This Row],[Eventos]]+Tabla15[[#This Row],[Passo]]+Tabla15[[#This Row],[Reciclajes]])/1.1)+Tabla15[[#This Row],[Tickets]]</f>
        <v>0</v>
      </c>
      <c r="Q268" s="450">
        <v>0</v>
      </c>
      <c r="R268" s="445">
        <f t="shared" si="10"/>
        <v>0</v>
      </c>
      <c r="S268" s="446"/>
      <c r="T268" s="447">
        <v>1689.66</v>
      </c>
      <c r="U268" s="447">
        <f>Tabla15[[#This Row],[Total Caja]]-Tabla15[[#This Row],[Facturació A/A]]</f>
        <v>-1689.66</v>
      </c>
      <c r="V268" s="447">
        <f t="shared" si="11"/>
        <v>-123581.50909090906</v>
      </c>
      <c r="W268" s="450">
        <f>Tabla15[[#This Row],[Diferencia]]/Tabla15[[#This Row],[Facturació A/A]]</f>
        <v>-1</v>
      </c>
      <c r="X268" s="447">
        <f>Tabla15[[#This Row],[Facturació A/A]]*H$17+Tabla15[[#This Row],[Facturació A/A]]</f>
        <v>1740.3498000000002</v>
      </c>
      <c r="Y268" s="447">
        <f>Tabla15[[#This Row],[Total Caja]]-Tabla15[[#This Row],[Previsión]]</f>
        <v>-1740.3498000000002</v>
      </c>
      <c r="Z268" s="446"/>
      <c r="AA268" s="447">
        <f>SUM(INDEX(Tabla15[[#This Row],[Facturació A/A]],1):Tabla15[[#This Row],[Facturació A/A]]) / SUM(INDEX(Tabla15[[#This Row],[Diferencia]],1):Tabla15[[#This Row],[Diferencia]])</f>
        <v>-1</v>
      </c>
      <c r="AB268" s="446"/>
      <c r="AC268" s="427"/>
      <c r="AD268" s="427"/>
      <c r="AE268" s="427"/>
      <c r="AF268" s="427"/>
      <c r="AG268" s="427"/>
      <c r="AH268" s="427"/>
      <c r="AI268" s="427"/>
      <c r="AJ268" s="427"/>
      <c r="AK268" s="427"/>
      <c r="AL268" s="427"/>
      <c r="AM268" s="427"/>
      <c r="AN268" s="427"/>
      <c r="AO268" s="427"/>
      <c r="AP268" s="427"/>
      <c r="AQ268" s="427"/>
    </row>
    <row r="269" spans="1:43" ht="16" customHeight="1">
      <c r="A269" s="427"/>
      <c r="B269" s="427"/>
      <c r="C269" s="428">
        <v>236</v>
      </c>
      <c r="D269" s="456">
        <v>46258</v>
      </c>
      <c r="E269" s="962"/>
      <c r="F269" s="958">
        <f>Tabla15[[#This Row],[Retiros]]-Tabla15[[#This Row],[Contado]]</f>
        <v>0</v>
      </c>
      <c r="G269" s="962"/>
      <c r="H269" s="962"/>
      <c r="I269" s="962"/>
      <c r="J269" s="962"/>
      <c r="K269" s="963"/>
      <c r="L269" s="963"/>
      <c r="M269" s="962"/>
      <c r="N269" s="959">
        <f>Tabla15[[#This Row],[Contado]]</f>
        <v>0</v>
      </c>
      <c r="O269" s="962"/>
      <c r="P269" s="443">
        <f>((Tabla15[[#This Row],[Contado]]+Tabla15[[#This Row],[Visa]]+Tabla15[[#This Row],[Eventos]]+Tabla15[[#This Row],[Passo]]+Tabla15[[#This Row],[Reciclajes]])/1.1)+Tabla15[[#This Row],[Tickets]]</f>
        <v>0</v>
      </c>
      <c r="Q269" s="450">
        <v>0</v>
      </c>
      <c r="R269" s="445">
        <f t="shared" si="10"/>
        <v>0</v>
      </c>
      <c r="S269" s="446"/>
      <c r="T269" s="447">
        <v>0</v>
      </c>
      <c r="U269" s="447">
        <f>Tabla15[[#This Row],[Total Caja]]-Tabla15[[#This Row],[Facturació A/A]]</f>
        <v>0</v>
      </c>
      <c r="V269" s="447">
        <f t="shared" si="11"/>
        <v>-123581.50909090906</v>
      </c>
      <c r="W269" s="450" t="e">
        <f>Tabla15[[#This Row],[Diferencia]]/Tabla15[[#This Row],[Facturació A/A]]</f>
        <v>#DIV/0!</v>
      </c>
      <c r="X269" s="447">
        <f>Tabla15[[#This Row],[Facturació A/A]]*H$17+Tabla15[[#This Row],[Facturació A/A]]</f>
        <v>0</v>
      </c>
      <c r="Y269" s="447">
        <f>Tabla15[[#This Row],[Total Caja]]-Tabla15[[#This Row],[Previsión]]</f>
        <v>0</v>
      </c>
      <c r="Z269" s="446"/>
      <c r="AA269" s="447" t="e">
        <f>SUM(INDEX(Tabla15[[#This Row],[Facturació A/A]],1):Tabla15[[#This Row],[Facturació A/A]]) / SUM(INDEX(Tabla15[[#This Row],[Diferencia]],1):Tabla15[[#This Row],[Diferencia]])</f>
        <v>#DIV/0!</v>
      </c>
      <c r="AB269" s="446"/>
      <c r="AC269" s="427"/>
      <c r="AD269" s="427"/>
      <c r="AE269" s="427"/>
      <c r="AF269" s="427"/>
      <c r="AG269" s="427"/>
      <c r="AH269" s="427"/>
      <c r="AI269" s="427"/>
      <c r="AJ269" s="427"/>
      <c r="AK269" s="427"/>
      <c r="AL269" s="427"/>
      <c r="AM269" s="427"/>
      <c r="AN269" s="427"/>
      <c r="AO269" s="427"/>
      <c r="AP269" s="427"/>
      <c r="AQ269" s="427"/>
    </row>
    <row r="270" spans="1:43" ht="16" customHeight="1">
      <c r="A270" s="427"/>
      <c r="B270" s="427"/>
      <c r="C270" s="428">
        <v>237</v>
      </c>
      <c r="D270" s="456">
        <v>46259</v>
      </c>
      <c r="E270" s="963"/>
      <c r="F270" s="958">
        <f>Tabla15[[#This Row],[Retiros]]-Tabla15[[#This Row],[Contado]]</f>
        <v>0</v>
      </c>
      <c r="G270" s="963"/>
      <c r="H270" s="963"/>
      <c r="I270" s="963"/>
      <c r="J270" s="963"/>
      <c r="K270" s="963"/>
      <c r="L270" s="963"/>
      <c r="M270" s="963"/>
      <c r="N270" s="959">
        <f>Tabla15[[#This Row],[Contado]]</f>
        <v>0</v>
      </c>
      <c r="O270" s="962"/>
      <c r="P270" s="443">
        <f>((Tabla15[[#This Row],[Contado]]+Tabla15[[#This Row],[Visa]]+Tabla15[[#This Row],[Eventos]]+Tabla15[[#This Row],[Passo]]+Tabla15[[#This Row],[Reciclajes]])/1.1)+Tabla15[[#This Row],[Tickets]]</f>
        <v>0</v>
      </c>
      <c r="Q270" s="450">
        <v>0</v>
      </c>
      <c r="R270" s="445">
        <f t="shared" si="10"/>
        <v>0</v>
      </c>
      <c r="S270" s="446"/>
      <c r="T270" s="447">
        <v>0</v>
      </c>
      <c r="U270" s="447">
        <f>Tabla15[[#This Row],[Total Caja]]-Tabla15[[#This Row],[Facturació A/A]]</f>
        <v>0</v>
      </c>
      <c r="V270" s="447">
        <f t="shared" si="11"/>
        <v>-123581.50909090906</v>
      </c>
      <c r="W270" s="450" t="e">
        <f>Tabla15[[#This Row],[Diferencia]]/Tabla15[[#This Row],[Facturació A/A]]</f>
        <v>#DIV/0!</v>
      </c>
      <c r="X270" s="447">
        <f>Tabla15[[#This Row],[Facturació A/A]]*H$17+Tabla15[[#This Row],[Facturació A/A]]</f>
        <v>0</v>
      </c>
      <c r="Y270" s="447">
        <f>Tabla15[[#This Row],[Total Caja]]-Tabla15[[#This Row],[Previsión]]</f>
        <v>0</v>
      </c>
      <c r="Z270" s="446"/>
      <c r="AA270" s="447" t="e">
        <f>SUM(INDEX(Tabla15[[#This Row],[Facturació A/A]],1):Tabla15[[#This Row],[Facturació A/A]]) / SUM(INDEX(Tabla15[[#This Row],[Diferencia]],1):Tabla15[[#This Row],[Diferencia]])</f>
        <v>#DIV/0!</v>
      </c>
      <c r="AB270" s="446"/>
      <c r="AC270" s="427"/>
      <c r="AD270" s="427"/>
      <c r="AE270" s="427"/>
      <c r="AF270" s="427"/>
      <c r="AG270" s="427"/>
      <c r="AH270" s="427"/>
      <c r="AI270" s="427"/>
      <c r="AJ270" s="427"/>
      <c r="AK270" s="427"/>
      <c r="AL270" s="427"/>
      <c r="AM270" s="427"/>
      <c r="AN270" s="427"/>
      <c r="AO270" s="427"/>
      <c r="AP270" s="427"/>
      <c r="AQ270" s="427"/>
    </row>
    <row r="271" spans="1:43" ht="16" customHeight="1">
      <c r="A271" s="427"/>
      <c r="B271" s="427"/>
      <c r="C271" s="428">
        <v>238</v>
      </c>
      <c r="D271" s="456">
        <v>46260</v>
      </c>
      <c r="E271" s="963"/>
      <c r="F271" s="958">
        <f>Tabla15[[#This Row],[Retiros]]-Tabla15[[#This Row],[Contado]]</f>
        <v>0</v>
      </c>
      <c r="G271" s="963"/>
      <c r="H271" s="963"/>
      <c r="I271" s="963"/>
      <c r="J271" s="963"/>
      <c r="K271" s="963"/>
      <c r="L271" s="963"/>
      <c r="M271" s="963"/>
      <c r="N271" s="959">
        <f>Tabla15[[#This Row],[Contado]]</f>
        <v>0</v>
      </c>
      <c r="O271" s="962"/>
      <c r="P271" s="443">
        <f>((Tabla15[[#This Row],[Contado]]+Tabla15[[#This Row],[Visa]]+Tabla15[[#This Row],[Eventos]]+Tabla15[[#This Row],[Passo]]+Tabla15[[#This Row],[Reciclajes]])/1.1)+Tabla15[[#This Row],[Tickets]]</f>
        <v>0</v>
      </c>
      <c r="Q271" s="450">
        <v>0</v>
      </c>
      <c r="R271" s="445">
        <f t="shared" si="10"/>
        <v>0</v>
      </c>
      <c r="S271" s="446"/>
      <c r="T271" s="447">
        <v>1399.2</v>
      </c>
      <c r="U271" s="447">
        <f>Tabla15[[#This Row],[Total Caja]]-Tabla15[[#This Row],[Facturació A/A]]</f>
        <v>-1399.2</v>
      </c>
      <c r="V271" s="447">
        <f t="shared" si="11"/>
        <v>-124980.70909090906</v>
      </c>
      <c r="W271" s="450">
        <f>Tabla15[[#This Row],[Diferencia]]/Tabla15[[#This Row],[Facturació A/A]]</f>
        <v>-1</v>
      </c>
      <c r="X271" s="447">
        <f>Tabla15[[#This Row],[Facturació A/A]]*H$17+Tabla15[[#This Row],[Facturació A/A]]</f>
        <v>1441.1759999999999</v>
      </c>
      <c r="Y271" s="447">
        <f>Tabla15[[#This Row],[Total Caja]]-Tabla15[[#This Row],[Previsión]]</f>
        <v>-1441.1759999999999</v>
      </c>
      <c r="Z271" s="446"/>
      <c r="AA271" s="447">
        <f>SUM(INDEX(Tabla15[[#This Row],[Facturació A/A]],1):Tabla15[[#This Row],[Facturació A/A]]) / SUM(INDEX(Tabla15[[#This Row],[Diferencia]],1):Tabla15[[#This Row],[Diferencia]])</f>
        <v>-1</v>
      </c>
      <c r="AB271" s="446"/>
      <c r="AC271" s="427"/>
      <c r="AD271" s="427"/>
      <c r="AE271" s="427"/>
      <c r="AF271" s="427"/>
      <c r="AG271" s="427"/>
      <c r="AH271" s="427"/>
      <c r="AI271" s="427"/>
      <c r="AJ271" s="427"/>
      <c r="AK271" s="427"/>
      <c r="AL271" s="427"/>
      <c r="AM271" s="427"/>
      <c r="AN271" s="427"/>
      <c r="AO271" s="427"/>
      <c r="AP271" s="427"/>
      <c r="AQ271" s="427"/>
    </row>
    <row r="272" spans="1:43" ht="16" customHeight="1">
      <c r="A272" s="427"/>
      <c r="B272" s="427"/>
      <c r="C272" s="428">
        <v>239</v>
      </c>
      <c r="D272" s="456">
        <v>46261</v>
      </c>
      <c r="E272" s="962"/>
      <c r="F272" s="958">
        <f>Tabla15[[#This Row],[Retiros]]-Tabla15[[#This Row],[Contado]]</f>
        <v>0</v>
      </c>
      <c r="G272" s="962"/>
      <c r="H272" s="963"/>
      <c r="I272" s="962"/>
      <c r="J272" s="963"/>
      <c r="K272" s="963"/>
      <c r="L272" s="963"/>
      <c r="M272" s="962"/>
      <c r="N272" s="959">
        <f>Tabla15[[#This Row],[Contado]]</f>
        <v>0</v>
      </c>
      <c r="O272" s="962"/>
      <c r="P272" s="443">
        <f>((Tabla15[[#This Row],[Contado]]+Tabla15[[#This Row],[Visa]]+Tabla15[[#This Row],[Eventos]]+Tabla15[[#This Row],[Passo]]+Tabla15[[#This Row],[Reciclajes]])/1.1)+Tabla15[[#This Row],[Tickets]]</f>
        <v>0</v>
      </c>
      <c r="Q272" s="450">
        <v>0</v>
      </c>
      <c r="R272" s="445">
        <f t="shared" si="10"/>
        <v>0</v>
      </c>
      <c r="S272" s="446"/>
      <c r="T272" s="447">
        <v>896.04</v>
      </c>
      <c r="U272" s="447">
        <f>Tabla15[[#This Row],[Total Caja]]-Tabla15[[#This Row],[Facturació A/A]]</f>
        <v>-896.04</v>
      </c>
      <c r="V272" s="447">
        <f t="shared" si="11"/>
        <v>-125876.74909090906</v>
      </c>
      <c r="W272" s="450">
        <f>Tabla15[[#This Row],[Diferencia]]/Tabla15[[#This Row],[Facturació A/A]]</f>
        <v>-1</v>
      </c>
      <c r="X272" s="447">
        <f>Tabla15[[#This Row],[Facturació A/A]]*H$17+Tabla15[[#This Row],[Facturació A/A]]</f>
        <v>922.9212</v>
      </c>
      <c r="Y272" s="447">
        <f>Tabla15[[#This Row],[Total Caja]]-Tabla15[[#This Row],[Previsión]]</f>
        <v>-922.9212</v>
      </c>
      <c r="Z272" s="446"/>
      <c r="AA272" s="447">
        <f>SUM(INDEX(Tabla15[[#This Row],[Facturació A/A]],1):Tabla15[[#This Row],[Facturació A/A]]) / SUM(INDEX(Tabla15[[#This Row],[Diferencia]],1):Tabla15[[#This Row],[Diferencia]])</f>
        <v>-1</v>
      </c>
      <c r="AB272" s="446"/>
      <c r="AC272" s="427"/>
      <c r="AD272" s="427"/>
      <c r="AE272" s="427"/>
      <c r="AF272" s="427"/>
      <c r="AG272" s="427"/>
      <c r="AH272" s="427"/>
      <c r="AI272" s="427"/>
      <c r="AJ272" s="427"/>
      <c r="AK272" s="427"/>
      <c r="AL272" s="427"/>
      <c r="AM272" s="427"/>
      <c r="AN272" s="427"/>
      <c r="AO272" s="427"/>
      <c r="AP272" s="427"/>
      <c r="AQ272" s="427"/>
    </row>
    <row r="273" spans="1:43" ht="16" customHeight="1">
      <c r="A273" s="427"/>
      <c r="B273" s="427"/>
      <c r="C273" s="428">
        <v>240</v>
      </c>
      <c r="D273" s="456">
        <v>46262</v>
      </c>
      <c r="E273" s="962"/>
      <c r="F273" s="958">
        <f>Tabla15[[#This Row],[Retiros]]-Tabla15[[#This Row],[Contado]]</f>
        <v>0</v>
      </c>
      <c r="G273" s="962"/>
      <c r="H273" s="963"/>
      <c r="I273" s="962"/>
      <c r="J273" s="963"/>
      <c r="K273" s="963"/>
      <c r="L273" s="963"/>
      <c r="M273" s="962"/>
      <c r="N273" s="959">
        <f>Tabla15[[#This Row],[Contado]]</f>
        <v>0</v>
      </c>
      <c r="O273" s="962"/>
      <c r="P273" s="443">
        <f>((Tabla15[[#This Row],[Contado]]+Tabla15[[#This Row],[Visa]]+Tabla15[[#This Row],[Eventos]]+Tabla15[[#This Row],[Passo]]+Tabla15[[#This Row],[Reciclajes]])/1.1)+Tabla15[[#This Row],[Tickets]]</f>
        <v>0</v>
      </c>
      <c r="Q273" s="450">
        <v>0</v>
      </c>
      <c r="R273" s="445">
        <f t="shared" si="10"/>
        <v>0</v>
      </c>
      <c r="S273" s="446"/>
      <c r="T273" s="447">
        <v>1707.08</v>
      </c>
      <c r="U273" s="447">
        <f>Tabla15[[#This Row],[Total Caja]]-Tabla15[[#This Row],[Facturació A/A]]</f>
        <v>-1707.08</v>
      </c>
      <c r="V273" s="447">
        <f t="shared" si="11"/>
        <v>-127583.82909090906</v>
      </c>
      <c r="W273" s="450">
        <f>Tabla15[[#This Row],[Diferencia]]/Tabla15[[#This Row],[Facturació A/A]]</f>
        <v>-1</v>
      </c>
      <c r="X273" s="447">
        <f>Tabla15[[#This Row],[Facturació A/A]]*H$17+Tabla15[[#This Row],[Facturació A/A]]</f>
        <v>1758.2923999999998</v>
      </c>
      <c r="Y273" s="447">
        <f>Tabla15[[#This Row],[Total Caja]]-Tabla15[[#This Row],[Previsión]]</f>
        <v>-1758.2923999999998</v>
      </c>
      <c r="Z273" s="446"/>
      <c r="AA273" s="447">
        <f>SUM(INDEX(Tabla15[[#This Row],[Facturació A/A]],1):Tabla15[[#This Row],[Facturació A/A]]) / SUM(INDEX(Tabla15[[#This Row],[Diferencia]],1):Tabla15[[#This Row],[Diferencia]])</f>
        <v>-1</v>
      </c>
      <c r="AB273" s="446"/>
      <c r="AC273" s="427"/>
      <c r="AD273" s="427"/>
      <c r="AE273" s="427"/>
      <c r="AF273" s="427"/>
      <c r="AG273" s="427"/>
      <c r="AH273" s="427"/>
      <c r="AI273" s="427"/>
      <c r="AJ273" s="427"/>
      <c r="AK273" s="427"/>
      <c r="AL273" s="427"/>
      <c r="AM273" s="427"/>
      <c r="AN273" s="427"/>
      <c r="AO273" s="427"/>
      <c r="AP273" s="427"/>
      <c r="AQ273" s="427"/>
    </row>
    <row r="274" spans="1:43" ht="16" customHeight="1">
      <c r="A274" s="427"/>
      <c r="B274" s="427"/>
      <c r="C274" s="428">
        <v>241</v>
      </c>
      <c r="D274" s="456">
        <v>46263</v>
      </c>
      <c r="E274" s="962"/>
      <c r="F274" s="958">
        <f>Tabla15[[#This Row],[Retiros]]-Tabla15[[#This Row],[Contado]]</f>
        <v>0</v>
      </c>
      <c r="G274" s="962"/>
      <c r="H274" s="963"/>
      <c r="I274" s="962"/>
      <c r="J274" s="963"/>
      <c r="K274" s="963"/>
      <c r="L274" s="963"/>
      <c r="M274" s="962"/>
      <c r="N274" s="959">
        <f>Tabla15[[#This Row],[Contado]]</f>
        <v>0</v>
      </c>
      <c r="O274" s="962"/>
      <c r="P274" s="443">
        <f>((Tabla15[[#This Row],[Contado]]+Tabla15[[#This Row],[Visa]]+Tabla15[[#This Row],[Eventos]]+Tabla15[[#This Row],[Passo]]+Tabla15[[#This Row],[Reciclajes]])/1.1)+Tabla15[[#This Row],[Tickets]]</f>
        <v>0</v>
      </c>
      <c r="Q274" s="450">
        <v>0</v>
      </c>
      <c r="R274" s="445">
        <f t="shared" si="10"/>
        <v>0</v>
      </c>
      <c r="S274" s="446"/>
      <c r="T274" s="447">
        <v>2064.31</v>
      </c>
      <c r="U274" s="447">
        <f>Tabla15[[#This Row],[Total Caja]]-Tabla15[[#This Row],[Facturació A/A]]</f>
        <v>-2064.31</v>
      </c>
      <c r="V274" s="447">
        <f t="shared" si="11"/>
        <v>-129648.13909090906</v>
      </c>
      <c r="W274" s="450">
        <f>Tabla15[[#This Row],[Diferencia]]/Tabla15[[#This Row],[Facturació A/A]]</f>
        <v>-1</v>
      </c>
      <c r="X274" s="447">
        <f>Tabla15[[#This Row],[Facturació A/A]]*H$17+Tabla15[[#This Row],[Facturació A/A]]</f>
        <v>2126.2392999999997</v>
      </c>
      <c r="Y274" s="447">
        <f>Tabla15[[#This Row],[Total Caja]]-Tabla15[[#This Row],[Previsión]]</f>
        <v>-2126.2392999999997</v>
      </c>
      <c r="Z274" s="446"/>
      <c r="AA274" s="447">
        <f>SUM(INDEX(Tabla15[[#This Row],[Facturació A/A]],1):Tabla15[[#This Row],[Facturació A/A]]) / SUM(INDEX(Tabla15[[#This Row],[Diferencia]],1):Tabla15[[#This Row],[Diferencia]])</f>
        <v>-1</v>
      </c>
      <c r="AB274" s="446"/>
      <c r="AC274" s="427"/>
      <c r="AD274" s="427"/>
      <c r="AE274" s="427"/>
      <c r="AF274" s="427"/>
      <c r="AG274" s="427"/>
      <c r="AH274" s="427"/>
      <c r="AI274" s="427"/>
      <c r="AJ274" s="427"/>
      <c r="AK274" s="427"/>
      <c r="AL274" s="427"/>
      <c r="AM274" s="427"/>
      <c r="AN274" s="427"/>
      <c r="AO274" s="427"/>
      <c r="AP274" s="427"/>
      <c r="AQ274" s="427"/>
    </row>
    <row r="275" spans="1:43" ht="16" customHeight="1">
      <c r="A275" s="427"/>
      <c r="B275" s="427"/>
      <c r="C275" s="428">
        <v>242</v>
      </c>
      <c r="D275" s="456">
        <v>46264</v>
      </c>
      <c r="E275" s="962"/>
      <c r="F275" s="958">
        <f>Tabla15[[#This Row],[Retiros]]-Tabla15[[#This Row],[Contado]]</f>
        <v>0</v>
      </c>
      <c r="G275" s="962"/>
      <c r="H275" s="963"/>
      <c r="I275" s="962"/>
      <c r="J275" s="963"/>
      <c r="K275" s="963"/>
      <c r="L275" s="963"/>
      <c r="M275" s="962"/>
      <c r="N275" s="959">
        <f>Tabla15[[#This Row],[Contado]]</f>
        <v>0</v>
      </c>
      <c r="O275" s="962"/>
      <c r="P275" s="443">
        <f>((Tabla15[[#This Row],[Contado]]+Tabla15[[#This Row],[Visa]]+Tabla15[[#This Row],[Eventos]]+Tabla15[[#This Row],[Passo]]+Tabla15[[#This Row],[Reciclajes]])/1.1)+Tabla15[[#This Row],[Tickets]]</f>
        <v>0</v>
      </c>
      <c r="Q275" s="450">
        <v>0</v>
      </c>
      <c r="R275" s="445">
        <f t="shared" si="10"/>
        <v>0</v>
      </c>
      <c r="S275" s="446"/>
      <c r="T275" s="447">
        <v>1474.58</v>
      </c>
      <c r="U275" s="447">
        <f>Tabla15[[#This Row],[Total Caja]]-Tabla15[[#This Row],[Facturació A/A]]</f>
        <v>-1474.58</v>
      </c>
      <c r="V275" s="447">
        <f t="shared" si="11"/>
        <v>-131122.71909090906</v>
      </c>
      <c r="W275" s="450">
        <f>Tabla15[[#This Row],[Diferencia]]/Tabla15[[#This Row],[Facturació A/A]]</f>
        <v>-1</v>
      </c>
      <c r="X275" s="447">
        <f>Tabla15[[#This Row],[Facturació A/A]]*H$17+Tabla15[[#This Row],[Facturació A/A]]</f>
        <v>1518.8173999999999</v>
      </c>
      <c r="Y275" s="447">
        <f>Tabla15[[#This Row],[Total Caja]]-Tabla15[[#This Row],[Previsión]]</f>
        <v>-1518.8173999999999</v>
      </c>
      <c r="Z275" s="446"/>
      <c r="AA275" s="447">
        <f>SUM(INDEX(Tabla15[[#This Row],[Facturació A/A]],1):Tabla15[[#This Row],[Facturació A/A]]) / SUM(INDEX(Tabla15[[#This Row],[Diferencia]],1):Tabla15[[#This Row],[Diferencia]])</f>
        <v>-1</v>
      </c>
      <c r="AB275" s="446"/>
      <c r="AC275" s="427"/>
      <c r="AD275" s="427"/>
      <c r="AE275" s="427"/>
      <c r="AF275" s="427"/>
      <c r="AG275" s="427"/>
      <c r="AH275" s="427"/>
      <c r="AI275" s="427"/>
      <c r="AJ275" s="427"/>
      <c r="AK275" s="427"/>
      <c r="AL275" s="427"/>
      <c r="AM275" s="427"/>
      <c r="AN275" s="427"/>
      <c r="AO275" s="427"/>
      <c r="AP275" s="427"/>
      <c r="AQ275" s="427"/>
    </row>
    <row r="276" spans="1:43" ht="16" customHeight="1">
      <c r="A276" s="427"/>
      <c r="B276" s="427"/>
      <c r="C276" s="428">
        <v>243</v>
      </c>
      <c r="D276" s="456">
        <v>46265</v>
      </c>
      <c r="E276" s="962"/>
      <c r="F276" s="958">
        <f>Tabla15[[#This Row],[Retiros]]-Tabla15[[#This Row],[Contado]]</f>
        <v>0</v>
      </c>
      <c r="G276" s="962"/>
      <c r="H276" s="962"/>
      <c r="I276" s="962"/>
      <c r="J276" s="963"/>
      <c r="K276" s="963"/>
      <c r="L276" s="963"/>
      <c r="M276" s="962"/>
      <c r="N276" s="959">
        <f>Tabla15[[#This Row],[Contado]]</f>
        <v>0</v>
      </c>
      <c r="O276" s="962"/>
      <c r="P276" s="443">
        <f>((Tabla15[[#This Row],[Contado]]+Tabla15[[#This Row],[Visa]]+Tabla15[[#This Row],[Eventos]]+Tabla15[[#This Row],[Passo]]+Tabla15[[#This Row],[Reciclajes]])/1.1)+Tabla15[[#This Row],[Tickets]]</f>
        <v>0</v>
      </c>
      <c r="Q276" s="450">
        <v>0</v>
      </c>
      <c r="R276" s="445">
        <f t="shared" si="10"/>
        <v>0</v>
      </c>
      <c r="S276" s="446"/>
      <c r="T276" s="447">
        <v>0</v>
      </c>
      <c r="U276" s="447">
        <f>Tabla15[[#This Row],[Total Caja]]-Tabla15[[#This Row],[Facturació A/A]]</f>
        <v>0</v>
      </c>
      <c r="V276" s="447">
        <f t="shared" si="11"/>
        <v>-131122.71909090906</v>
      </c>
      <c r="W276" s="450" t="e">
        <f>Tabla15[[#This Row],[Diferencia]]/Tabla15[[#This Row],[Facturació A/A]]</f>
        <v>#DIV/0!</v>
      </c>
      <c r="X276" s="447">
        <f>Tabla15[[#This Row],[Facturació A/A]]*H$17+Tabla15[[#This Row],[Facturació A/A]]</f>
        <v>0</v>
      </c>
      <c r="Y276" s="447">
        <f>Tabla15[[#This Row],[Total Caja]]-Tabla15[[#This Row],[Previsión]]</f>
        <v>0</v>
      </c>
      <c r="Z276" s="446"/>
      <c r="AA276" s="447" t="e">
        <f>SUM(INDEX(Tabla15[[#This Row],[Facturació A/A]],1):Tabla15[[#This Row],[Facturació A/A]]) / SUM(INDEX(Tabla15[[#This Row],[Diferencia]],1):Tabla15[[#This Row],[Diferencia]])</f>
        <v>#DIV/0!</v>
      </c>
      <c r="AB276" s="446"/>
      <c r="AC276" s="427"/>
      <c r="AD276" s="427"/>
      <c r="AE276" s="427"/>
      <c r="AF276" s="427"/>
      <c r="AG276" s="427"/>
      <c r="AH276" s="427"/>
      <c r="AI276" s="427"/>
      <c r="AJ276" s="427"/>
      <c r="AK276" s="427"/>
      <c r="AL276" s="427"/>
      <c r="AM276" s="427"/>
      <c r="AN276" s="427"/>
      <c r="AO276" s="427"/>
      <c r="AP276" s="427"/>
      <c r="AQ276" s="427"/>
    </row>
    <row r="277" spans="1:43" ht="16" customHeight="1">
      <c r="A277" s="427"/>
      <c r="B277" s="427"/>
      <c r="C277" s="428">
        <v>244</v>
      </c>
      <c r="D277" s="456">
        <v>46266</v>
      </c>
      <c r="E277" s="963"/>
      <c r="F277" s="958">
        <f>Tabla15[[#This Row],[Retiros]]-Tabla15[[#This Row],[Contado]]</f>
        <v>0</v>
      </c>
      <c r="G277" s="963"/>
      <c r="H277" s="963"/>
      <c r="I277" s="963"/>
      <c r="J277" s="963"/>
      <c r="K277" s="963"/>
      <c r="L277" s="963"/>
      <c r="M277" s="963"/>
      <c r="N277" s="959">
        <f>Tabla15[[#This Row],[Contado]]</f>
        <v>0</v>
      </c>
      <c r="O277" s="962"/>
      <c r="P277" s="443">
        <f>((Tabla15[[#This Row],[Contado]]+Tabla15[[#This Row],[Visa]]+Tabla15[[#This Row],[Eventos]]+Tabla15[[#This Row],[Passo]]+Tabla15[[#This Row],[Reciclajes]])/1.1)+Tabla15[[#This Row],[Tickets]]</f>
        <v>0</v>
      </c>
      <c r="Q277" s="450">
        <v>0</v>
      </c>
      <c r="R277" s="445">
        <f t="shared" si="10"/>
        <v>0</v>
      </c>
      <c r="S277" s="446"/>
      <c r="T277" s="447">
        <v>0</v>
      </c>
      <c r="U277" s="447">
        <f>Tabla15[[#This Row],[Total Caja]]-Tabla15[[#This Row],[Facturació A/A]]</f>
        <v>0</v>
      </c>
      <c r="V277" s="447">
        <f t="shared" si="11"/>
        <v>-131122.71909090906</v>
      </c>
      <c r="W277" s="450" t="e">
        <f>Tabla15[[#This Row],[Diferencia]]/Tabla15[[#This Row],[Facturació A/A]]</f>
        <v>#DIV/0!</v>
      </c>
      <c r="X277" s="447">
        <f>Tabla15[[#This Row],[Facturació A/A]]*H$17+Tabla15[[#This Row],[Facturació A/A]]</f>
        <v>0</v>
      </c>
      <c r="Y277" s="447">
        <f>Tabla15[[#This Row],[Total Caja]]-Tabla15[[#This Row],[Previsión]]</f>
        <v>0</v>
      </c>
      <c r="Z277" s="446"/>
      <c r="AA277" s="447" t="e">
        <f>SUM(INDEX(Tabla15[[#This Row],[Facturació A/A]],1):Tabla15[[#This Row],[Facturació A/A]]) / SUM(INDEX(Tabla15[[#This Row],[Diferencia]],1):Tabla15[[#This Row],[Diferencia]])</f>
        <v>#DIV/0!</v>
      </c>
      <c r="AB277" s="446"/>
      <c r="AC277" s="427"/>
      <c r="AD277" s="427"/>
      <c r="AE277" s="427"/>
      <c r="AF277" s="427"/>
      <c r="AG277" s="427"/>
      <c r="AH277" s="427"/>
      <c r="AI277" s="427"/>
      <c r="AJ277" s="427"/>
      <c r="AK277" s="427"/>
      <c r="AL277" s="427"/>
      <c r="AM277" s="427"/>
      <c r="AN277" s="427"/>
      <c r="AO277" s="427"/>
      <c r="AP277" s="427"/>
      <c r="AQ277" s="427"/>
    </row>
    <row r="278" spans="1:43" ht="16" customHeight="1">
      <c r="A278" s="427"/>
      <c r="B278" s="427"/>
      <c r="C278" s="428">
        <v>245</v>
      </c>
      <c r="D278" s="456">
        <v>46267</v>
      </c>
      <c r="E278" s="963"/>
      <c r="F278" s="958">
        <f>Tabla15[[#This Row],[Retiros]]-Tabla15[[#This Row],[Contado]]</f>
        <v>0</v>
      </c>
      <c r="G278" s="963"/>
      <c r="H278" s="963"/>
      <c r="I278" s="963"/>
      <c r="J278" s="963"/>
      <c r="K278" s="963"/>
      <c r="L278" s="963"/>
      <c r="M278" s="963"/>
      <c r="N278" s="959">
        <f>Tabla15[[#This Row],[Contado]]</f>
        <v>0</v>
      </c>
      <c r="O278" s="962"/>
      <c r="P278" s="443">
        <f>((Tabla15[[#This Row],[Contado]]+Tabla15[[#This Row],[Visa]]+Tabla15[[#This Row],[Eventos]]+Tabla15[[#This Row],[Passo]]+Tabla15[[#This Row],[Reciclajes]])/1.1)+Tabla15[[#This Row],[Tickets]]</f>
        <v>0</v>
      </c>
      <c r="Q278" s="450">
        <v>0</v>
      </c>
      <c r="R278" s="445">
        <f t="shared" si="10"/>
        <v>0</v>
      </c>
      <c r="S278" s="446"/>
      <c r="T278" s="447">
        <v>1845.28</v>
      </c>
      <c r="U278" s="447">
        <f>Tabla15[[#This Row],[Total Caja]]-Tabla15[[#This Row],[Facturació A/A]]</f>
        <v>-1845.28</v>
      </c>
      <c r="V278" s="447">
        <f t="shared" si="11"/>
        <v>-132967.99909090906</v>
      </c>
      <c r="W278" s="450">
        <f>Tabla15[[#This Row],[Diferencia]]/Tabla15[[#This Row],[Facturació A/A]]</f>
        <v>-1</v>
      </c>
      <c r="X278" s="447">
        <f>Tabla15[[#This Row],[Facturació A/A]]*H$17+Tabla15[[#This Row],[Facturació A/A]]</f>
        <v>1900.6384</v>
      </c>
      <c r="Y278" s="447">
        <f>Tabla15[[#This Row],[Total Caja]]-Tabla15[[#This Row],[Previsión]]</f>
        <v>-1900.6384</v>
      </c>
      <c r="Z278" s="446"/>
      <c r="AA278" s="447">
        <f>SUM(INDEX(Tabla15[[#This Row],[Facturació A/A]],1):Tabla15[[#This Row],[Facturació A/A]]) / SUM(INDEX(Tabla15[[#This Row],[Diferencia]],1):Tabla15[[#This Row],[Diferencia]])</f>
        <v>-1</v>
      </c>
      <c r="AB278" s="446"/>
      <c r="AC278" s="427"/>
      <c r="AD278" s="427"/>
      <c r="AE278" s="427"/>
      <c r="AF278" s="427"/>
      <c r="AG278" s="427"/>
      <c r="AH278" s="427"/>
      <c r="AI278" s="427"/>
      <c r="AJ278" s="427"/>
      <c r="AK278" s="427"/>
      <c r="AL278" s="427"/>
      <c r="AM278" s="427"/>
      <c r="AN278" s="427"/>
      <c r="AO278" s="427"/>
      <c r="AP278" s="427"/>
      <c r="AQ278" s="427"/>
    </row>
    <row r="279" spans="1:43" ht="16" customHeight="1">
      <c r="A279" s="427"/>
      <c r="B279" s="427"/>
      <c r="C279" s="428">
        <v>246</v>
      </c>
      <c r="D279" s="456">
        <v>46268</v>
      </c>
      <c r="E279" s="962"/>
      <c r="F279" s="958">
        <f>Tabla15[[#This Row],[Retiros]]-Tabla15[[#This Row],[Contado]]</f>
        <v>0</v>
      </c>
      <c r="G279" s="962"/>
      <c r="H279" s="963"/>
      <c r="I279" s="962"/>
      <c r="J279" s="963"/>
      <c r="K279" s="963"/>
      <c r="L279" s="963"/>
      <c r="M279" s="962"/>
      <c r="N279" s="959">
        <f>Tabla15[[#This Row],[Contado]]</f>
        <v>0</v>
      </c>
      <c r="O279" s="962"/>
      <c r="P279" s="443">
        <f>((Tabla15[[#This Row],[Contado]]+Tabla15[[#This Row],[Visa]]+Tabla15[[#This Row],[Eventos]]+Tabla15[[#This Row],[Passo]]+Tabla15[[#This Row],[Reciclajes]])/1.1)+Tabla15[[#This Row],[Tickets]]</f>
        <v>0</v>
      </c>
      <c r="Q279" s="450">
        <v>0</v>
      </c>
      <c r="R279" s="445">
        <f t="shared" si="10"/>
        <v>0</v>
      </c>
      <c r="S279" s="446"/>
      <c r="T279" s="447">
        <v>1055.46</v>
      </c>
      <c r="U279" s="447">
        <f>Tabla15[[#This Row],[Total Caja]]-Tabla15[[#This Row],[Facturació A/A]]</f>
        <v>-1055.46</v>
      </c>
      <c r="V279" s="447">
        <f t="shared" si="11"/>
        <v>-134023.45909090905</v>
      </c>
      <c r="W279" s="450">
        <f>Tabla15[[#This Row],[Diferencia]]/Tabla15[[#This Row],[Facturació A/A]]</f>
        <v>-1</v>
      </c>
      <c r="X279" s="447">
        <f>Tabla15[[#This Row],[Facturació A/A]]*H$17+Tabla15[[#This Row],[Facturació A/A]]</f>
        <v>1087.1238000000001</v>
      </c>
      <c r="Y279" s="447">
        <f>Tabla15[[#This Row],[Total Caja]]-Tabla15[[#This Row],[Previsión]]</f>
        <v>-1087.1238000000001</v>
      </c>
      <c r="Z279" s="446"/>
      <c r="AA279" s="447">
        <f>SUM(INDEX(Tabla15[[#This Row],[Facturació A/A]],1):Tabla15[[#This Row],[Facturació A/A]]) / SUM(INDEX(Tabla15[[#This Row],[Diferencia]],1):Tabla15[[#This Row],[Diferencia]])</f>
        <v>-1</v>
      </c>
      <c r="AB279" s="446"/>
      <c r="AC279" s="427"/>
      <c r="AD279" s="427"/>
      <c r="AE279" s="427"/>
      <c r="AF279" s="427"/>
      <c r="AG279" s="427"/>
      <c r="AH279" s="427"/>
      <c r="AI279" s="427"/>
      <c r="AJ279" s="427"/>
      <c r="AK279" s="427"/>
      <c r="AL279" s="427"/>
      <c r="AM279" s="427"/>
      <c r="AN279" s="427"/>
      <c r="AO279" s="427"/>
      <c r="AP279" s="427"/>
      <c r="AQ279" s="427"/>
    </row>
    <row r="280" spans="1:43" ht="16" customHeight="1">
      <c r="A280" s="427"/>
      <c r="B280" s="427"/>
      <c r="C280" s="428">
        <v>247</v>
      </c>
      <c r="D280" s="456">
        <v>46269</v>
      </c>
      <c r="E280" s="962"/>
      <c r="F280" s="958">
        <f>Tabla15[[#This Row],[Retiros]]-Tabla15[[#This Row],[Contado]]</f>
        <v>0</v>
      </c>
      <c r="G280" s="962"/>
      <c r="H280" s="963"/>
      <c r="I280" s="962"/>
      <c r="J280" s="963"/>
      <c r="K280" s="963"/>
      <c r="L280" s="963"/>
      <c r="M280" s="962"/>
      <c r="N280" s="959">
        <f>Tabla15[[#This Row],[Contado]]</f>
        <v>0</v>
      </c>
      <c r="O280" s="962"/>
      <c r="P280" s="443">
        <f>((Tabla15[[#This Row],[Contado]]+Tabla15[[#This Row],[Visa]]+Tabla15[[#This Row],[Eventos]]+Tabla15[[#This Row],[Passo]]+Tabla15[[#This Row],[Reciclajes]])/1.1)+Tabla15[[#This Row],[Tickets]]</f>
        <v>0</v>
      </c>
      <c r="Q280" s="450">
        <v>0</v>
      </c>
      <c r="R280" s="445">
        <f t="shared" si="10"/>
        <v>0</v>
      </c>
      <c r="S280" s="446"/>
      <c r="T280" s="447">
        <v>1588.46</v>
      </c>
      <c r="U280" s="447">
        <f>Tabla15[[#This Row],[Total Caja]]-Tabla15[[#This Row],[Facturació A/A]]</f>
        <v>-1588.46</v>
      </c>
      <c r="V280" s="447">
        <f t="shared" si="11"/>
        <v>-135611.91909090904</v>
      </c>
      <c r="W280" s="450">
        <f>Tabla15[[#This Row],[Diferencia]]/Tabla15[[#This Row],[Facturació A/A]]</f>
        <v>-1</v>
      </c>
      <c r="X280" s="447">
        <f>Tabla15[[#This Row],[Facturació A/A]]*H$17+Tabla15[[#This Row],[Facturació A/A]]</f>
        <v>1636.1138000000001</v>
      </c>
      <c r="Y280" s="447">
        <f>Tabla15[[#This Row],[Total Caja]]-Tabla15[[#This Row],[Previsión]]</f>
        <v>-1636.1138000000001</v>
      </c>
      <c r="Z280" s="446"/>
      <c r="AA280" s="447">
        <f>SUM(INDEX(Tabla15[[#This Row],[Facturació A/A]],1):Tabla15[[#This Row],[Facturació A/A]]) / SUM(INDEX(Tabla15[[#This Row],[Diferencia]],1):Tabla15[[#This Row],[Diferencia]])</f>
        <v>-1</v>
      </c>
      <c r="AB280" s="446"/>
      <c r="AC280" s="427"/>
      <c r="AD280" s="427"/>
      <c r="AE280" s="427"/>
      <c r="AF280" s="427"/>
      <c r="AG280" s="427"/>
      <c r="AH280" s="427"/>
      <c r="AI280" s="427"/>
      <c r="AJ280" s="427"/>
      <c r="AK280" s="427"/>
      <c r="AL280" s="427"/>
      <c r="AM280" s="427"/>
      <c r="AN280" s="427"/>
      <c r="AO280" s="427"/>
      <c r="AP280" s="427"/>
      <c r="AQ280" s="427"/>
    </row>
    <row r="281" spans="1:43" ht="16" customHeight="1">
      <c r="A281" s="427"/>
      <c r="B281" s="427"/>
      <c r="C281" s="428">
        <v>248</v>
      </c>
      <c r="D281" s="456">
        <v>46270</v>
      </c>
      <c r="E281" s="962"/>
      <c r="F281" s="958">
        <f>Tabla15[[#This Row],[Retiros]]-Tabla15[[#This Row],[Contado]]</f>
        <v>0</v>
      </c>
      <c r="G281" s="962"/>
      <c r="H281" s="963"/>
      <c r="I281" s="962"/>
      <c r="J281" s="963"/>
      <c r="K281" s="963"/>
      <c r="L281" s="963"/>
      <c r="M281" s="962"/>
      <c r="N281" s="959">
        <f>Tabla15[[#This Row],[Contado]]</f>
        <v>0</v>
      </c>
      <c r="O281" s="962"/>
      <c r="P281" s="443">
        <f>((Tabla15[[#This Row],[Contado]]+Tabla15[[#This Row],[Visa]]+Tabla15[[#This Row],[Eventos]]+Tabla15[[#This Row],[Passo]]+Tabla15[[#This Row],[Reciclajes]])/1.1)+Tabla15[[#This Row],[Tickets]]</f>
        <v>0</v>
      </c>
      <c r="Q281" s="450">
        <v>0</v>
      </c>
      <c r="R281" s="445">
        <f t="shared" si="10"/>
        <v>0</v>
      </c>
      <c r="S281" s="446"/>
      <c r="T281" s="447">
        <v>1728.73</v>
      </c>
      <c r="U281" s="447">
        <f>Tabla15[[#This Row],[Total Caja]]-Tabla15[[#This Row],[Facturació A/A]]</f>
        <v>-1728.73</v>
      </c>
      <c r="V281" s="447">
        <f t="shared" si="11"/>
        <v>-137340.64909090905</v>
      </c>
      <c r="W281" s="450">
        <f>Tabla15[[#This Row],[Diferencia]]/Tabla15[[#This Row],[Facturació A/A]]</f>
        <v>-1</v>
      </c>
      <c r="X281" s="447">
        <f>Tabla15[[#This Row],[Facturació A/A]]*H$17+Tabla15[[#This Row],[Facturació A/A]]</f>
        <v>1780.5919000000001</v>
      </c>
      <c r="Y281" s="447">
        <f>Tabla15[[#This Row],[Total Caja]]-Tabla15[[#This Row],[Previsión]]</f>
        <v>-1780.5919000000001</v>
      </c>
      <c r="Z281" s="446"/>
      <c r="AA281" s="447">
        <f>SUM(INDEX(Tabla15[[#This Row],[Facturació A/A]],1):Tabla15[[#This Row],[Facturació A/A]]) / SUM(INDEX(Tabla15[[#This Row],[Diferencia]],1):Tabla15[[#This Row],[Diferencia]])</f>
        <v>-1</v>
      </c>
      <c r="AB281" s="446"/>
      <c r="AC281" s="427"/>
      <c r="AD281" s="427"/>
      <c r="AE281" s="427"/>
      <c r="AF281" s="427"/>
      <c r="AG281" s="427"/>
      <c r="AH281" s="427"/>
      <c r="AI281" s="427"/>
      <c r="AJ281" s="427"/>
      <c r="AK281" s="427"/>
      <c r="AL281" s="427"/>
      <c r="AM281" s="427"/>
      <c r="AN281" s="427"/>
      <c r="AO281" s="427"/>
      <c r="AP281" s="427"/>
      <c r="AQ281" s="427"/>
    </row>
    <row r="282" spans="1:43" ht="16" customHeight="1">
      <c r="A282" s="427"/>
      <c r="B282" s="427"/>
      <c r="C282" s="428">
        <v>249</v>
      </c>
      <c r="D282" s="456">
        <v>46271</v>
      </c>
      <c r="E282" s="962"/>
      <c r="F282" s="958">
        <f>Tabla15[[#This Row],[Retiros]]-Tabla15[[#This Row],[Contado]]</f>
        <v>0</v>
      </c>
      <c r="G282" s="962"/>
      <c r="H282" s="963"/>
      <c r="I282" s="963"/>
      <c r="J282" s="963"/>
      <c r="K282" s="963"/>
      <c r="L282" s="963"/>
      <c r="M282" s="962"/>
      <c r="N282" s="959">
        <f>Tabla15[[#This Row],[Contado]]</f>
        <v>0</v>
      </c>
      <c r="O282" s="962"/>
      <c r="P282" s="443">
        <f>((Tabla15[[#This Row],[Contado]]+Tabla15[[#This Row],[Visa]]+Tabla15[[#This Row],[Eventos]]+Tabla15[[#This Row],[Passo]]+Tabla15[[#This Row],[Reciclajes]])/1.1)+Tabla15[[#This Row],[Tickets]]</f>
        <v>0</v>
      </c>
      <c r="Q282" s="450">
        <v>0</v>
      </c>
      <c r="R282" s="445">
        <f t="shared" si="10"/>
        <v>0</v>
      </c>
      <c r="S282" s="446"/>
      <c r="T282" s="447">
        <v>1522.15</v>
      </c>
      <c r="U282" s="447">
        <f>Tabla15[[#This Row],[Total Caja]]-Tabla15[[#This Row],[Facturació A/A]]</f>
        <v>-1522.15</v>
      </c>
      <c r="V282" s="447">
        <f t="shared" si="11"/>
        <v>-138862.79909090904</v>
      </c>
      <c r="W282" s="450">
        <f>Tabla15[[#This Row],[Diferencia]]/Tabla15[[#This Row],[Facturació A/A]]</f>
        <v>-1</v>
      </c>
      <c r="X282" s="447">
        <f>Tabla15[[#This Row],[Facturació A/A]]*H$17+Tabla15[[#This Row],[Facturació A/A]]</f>
        <v>1567.8145000000002</v>
      </c>
      <c r="Y282" s="447">
        <f>Tabla15[[#This Row],[Total Caja]]-Tabla15[[#This Row],[Previsión]]</f>
        <v>-1567.8145000000002</v>
      </c>
      <c r="Z282" s="446"/>
      <c r="AA282" s="447">
        <f>SUM(INDEX(Tabla15[[#This Row],[Facturació A/A]],1):Tabla15[[#This Row],[Facturació A/A]]) / SUM(INDEX(Tabla15[[#This Row],[Diferencia]],1):Tabla15[[#This Row],[Diferencia]])</f>
        <v>-1</v>
      </c>
      <c r="AB282" s="446"/>
      <c r="AC282" s="427"/>
      <c r="AD282" s="427"/>
      <c r="AE282" s="427"/>
      <c r="AF282" s="427"/>
      <c r="AG282" s="427"/>
      <c r="AH282" s="427"/>
      <c r="AI282" s="427"/>
      <c r="AJ282" s="427"/>
      <c r="AK282" s="427"/>
      <c r="AL282" s="427"/>
      <c r="AM282" s="427"/>
      <c r="AN282" s="427"/>
      <c r="AO282" s="427"/>
      <c r="AP282" s="427"/>
      <c r="AQ282" s="427"/>
    </row>
    <row r="283" spans="1:43" ht="16" customHeight="1">
      <c r="A283" s="427"/>
      <c r="B283" s="427"/>
      <c r="C283" s="428">
        <v>250</v>
      </c>
      <c r="D283" s="456">
        <v>46272</v>
      </c>
      <c r="E283" s="962"/>
      <c r="F283" s="958">
        <f>Tabla15[[#This Row],[Retiros]]-Tabla15[[#This Row],[Contado]]</f>
        <v>0</v>
      </c>
      <c r="G283" s="962"/>
      <c r="H283" s="963"/>
      <c r="I283" s="963"/>
      <c r="J283" s="963"/>
      <c r="K283" s="963"/>
      <c r="L283" s="963"/>
      <c r="M283" s="962"/>
      <c r="N283" s="959">
        <f>Tabla15[[#This Row],[Contado]]</f>
        <v>0</v>
      </c>
      <c r="O283" s="962"/>
      <c r="P283" s="443">
        <f>((Tabla15[[#This Row],[Contado]]+Tabla15[[#This Row],[Visa]]+Tabla15[[#This Row],[Eventos]]+Tabla15[[#This Row],[Passo]]+Tabla15[[#This Row],[Reciclajes]])/1.1)+Tabla15[[#This Row],[Tickets]]</f>
        <v>0</v>
      </c>
      <c r="Q283" s="450">
        <v>0</v>
      </c>
      <c r="R283" s="445">
        <f t="shared" si="10"/>
        <v>0</v>
      </c>
      <c r="S283" s="446"/>
      <c r="T283" s="447">
        <v>0</v>
      </c>
      <c r="U283" s="447">
        <f>Tabla15[[#This Row],[Total Caja]]-Tabla15[[#This Row],[Facturació A/A]]</f>
        <v>0</v>
      </c>
      <c r="V283" s="447">
        <f t="shared" si="11"/>
        <v>-138862.79909090904</v>
      </c>
      <c r="W283" s="450" t="e">
        <f>Tabla15[[#This Row],[Diferencia]]/Tabla15[[#This Row],[Facturació A/A]]</f>
        <v>#DIV/0!</v>
      </c>
      <c r="X283" s="447">
        <f>Tabla15[[#This Row],[Facturació A/A]]*H$17+Tabla15[[#This Row],[Facturació A/A]]</f>
        <v>0</v>
      </c>
      <c r="Y283" s="447">
        <f>Tabla15[[#This Row],[Total Caja]]-Tabla15[[#This Row],[Previsión]]</f>
        <v>0</v>
      </c>
      <c r="Z283" s="446"/>
      <c r="AA283" s="447" t="e">
        <f>SUM(INDEX(Tabla15[[#This Row],[Facturació A/A]],1):Tabla15[[#This Row],[Facturació A/A]]) / SUM(INDEX(Tabla15[[#This Row],[Diferencia]],1):Tabla15[[#This Row],[Diferencia]])</f>
        <v>#DIV/0!</v>
      </c>
      <c r="AB283" s="446"/>
      <c r="AC283" s="427"/>
      <c r="AD283" s="427"/>
      <c r="AE283" s="427"/>
      <c r="AF283" s="427"/>
      <c r="AG283" s="427"/>
      <c r="AH283" s="427"/>
      <c r="AI283" s="427"/>
      <c r="AJ283" s="427"/>
      <c r="AK283" s="427"/>
      <c r="AL283" s="427"/>
      <c r="AM283" s="427"/>
      <c r="AN283" s="427"/>
      <c r="AO283" s="427"/>
      <c r="AP283" s="427"/>
      <c r="AQ283" s="427"/>
    </row>
    <row r="284" spans="1:43" ht="16" customHeight="1">
      <c r="A284" s="427"/>
      <c r="B284" s="427"/>
      <c r="C284" s="428">
        <v>251</v>
      </c>
      <c r="D284" s="456">
        <v>46273</v>
      </c>
      <c r="E284" s="963"/>
      <c r="F284" s="958">
        <f>Tabla15[[#This Row],[Retiros]]-Tabla15[[#This Row],[Contado]]</f>
        <v>0</v>
      </c>
      <c r="G284" s="963"/>
      <c r="H284" s="963"/>
      <c r="I284" s="963"/>
      <c r="J284" s="963"/>
      <c r="K284" s="963"/>
      <c r="L284" s="963"/>
      <c r="M284" s="963"/>
      <c r="N284" s="959">
        <f>Tabla15[[#This Row],[Contado]]</f>
        <v>0</v>
      </c>
      <c r="O284" s="962"/>
      <c r="P284" s="443">
        <f>((Tabla15[[#This Row],[Contado]]+Tabla15[[#This Row],[Visa]]+Tabla15[[#This Row],[Eventos]]+Tabla15[[#This Row],[Passo]]+Tabla15[[#This Row],[Reciclajes]])/1.1)+Tabla15[[#This Row],[Tickets]]</f>
        <v>0</v>
      </c>
      <c r="Q284" s="450">
        <v>0</v>
      </c>
      <c r="R284" s="445">
        <f t="shared" si="10"/>
        <v>0</v>
      </c>
      <c r="S284" s="446"/>
      <c r="T284" s="447">
        <v>0</v>
      </c>
      <c r="U284" s="447">
        <f>Tabla15[[#This Row],[Total Caja]]-Tabla15[[#This Row],[Facturació A/A]]</f>
        <v>0</v>
      </c>
      <c r="V284" s="447">
        <f t="shared" si="11"/>
        <v>-138862.79909090904</v>
      </c>
      <c r="W284" s="450" t="e">
        <f>Tabla15[[#This Row],[Diferencia]]/Tabla15[[#This Row],[Facturació A/A]]</f>
        <v>#DIV/0!</v>
      </c>
      <c r="X284" s="447">
        <f>Tabla15[[#This Row],[Facturació A/A]]*H$17+Tabla15[[#This Row],[Facturació A/A]]</f>
        <v>0</v>
      </c>
      <c r="Y284" s="447">
        <f>Tabla15[[#This Row],[Total Caja]]-Tabla15[[#This Row],[Previsión]]</f>
        <v>0</v>
      </c>
      <c r="Z284" s="446"/>
      <c r="AA284" s="447" t="e">
        <f>SUM(INDEX(Tabla15[[#This Row],[Facturació A/A]],1):Tabla15[[#This Row],[Facturació A/A]]) / SUM(INDEX(Tabla15[[#This Row],[Diferencia]],1):Tabla15[[#This Row],[Diferencia]])</f>
        <v>#DIV/0!</v>
      </c>
      <c r="AB284" s="446"/>
      <c r="AC284" s="427"/>
      <c r="AD284" s="427"/>
      <c r="AE284" s="427"/>
      <c r="AF284" s="427"/>
      <c r="AG284" s="427"/>
      <c r="AH284" s="427"/>
      <c r="AI284" s="427"/>
      <c r="AJ284" s="427"/>
      <c r="AK284" s="427"/>
      <c r="AL284" s="427"/>
      <c r="AM284" s="427"/>
      <c r="AN284" s="427"/>
      <c r="AO284" s="427"/>
      <c r="AP284" s="427"/>
      <c r="AQ284" s="427"/>
    </row>
    <row r="285" spans="1:43" ht="16" customHeight="1">
      <c r="A285" s="427"/>
      <c r="B285" s="427"/>
      <c r="C285" s="428">
        <v>252</v>
      </c>
      <c r="D285" s="456">
        <v>46274</v>
      </c>
      <c r="E285" s="963"/>
      <c r="F285" s="958">
        <f>Tabla15[[#This Row],[Retiros]]-Tabla15[[#This Row],[Contado]]</f>
        <v>0</v>
      </c>
      <c r="G285" s="963"/>
      <c r="H285" s="963"/>
      <c r="I285" s="963"/>
      <c r="J285" s="963"/>
      <c r="K285" s="963"/>
      <c r="L285" s="963"/>
      <c r="M285" s="963"/>
      <c r="N285" s="959">
        <f>Tabla15[[#This Row],[Contado]]</f>
        <v>0</v>
      </c>
      <c r="O285" s="962"/>
      <c r="P285" s="443">
        <f>((Tabla15[[#This Row],[Contado]]+Tabla15[[#This Row],[Visa]]+Tabla15[[#This Row],[Eventos]]+Tabla15[[#This Row],[Passo]]+Tabla15[[#This Row],[Reciclajes]])/1.1)+Tabla15[[#This Row],[Tickets]]</f>
        <v>0</v>
      </c>
      <c r="Q285" s="450">
        <v>0</v>
      </c>
      <c r="R285" s="445">
        <f t="shared" si="10"/>
        <v>0</v>
      </c>
      <c r="S285" s="446"/>
      <c r="T285" s="447">
        <v>1491.37</v>
      </c>
      <c r="U285" s="447">
        <f>Tabla15[[#This Row],[Total Caja]]-Tabla15[[#This Row],[Facturació A/A]]</f>
        <v>-1491.37</v>
      </c>
      <c r="V285" s="447">
        <f t="shared" si="11"/>
        <v>-140354.16909090904</v>
      </c>
      <c r="W285" s="450">
        <f>Tabla15[[#This Row],[Diferencia]]/Tabla15[[#This Row],[Facturació A/A]]</f>
        <v>-1</v>
      </c>
      <c r="X285" s="447">
        <f>Tabla15[[#This Row],[Facturació A/A]]*H$17+Tabla15[[#This Row],[Facturació A/A]]</f>
        <v>1536.1110999999999</v>
      </c>
      <c r="Y285" s="447">
        <f>Tabla15[[#This Row],[Total Caja]]-Tabla15[[#This Row],[Previsión]]</f>
        <v>-1536.1110999999999</v>
      </c>
      <c r="Z285" s="446"/>
      <c r="AA285" s="447">
        <f>SUM(INDEX(Tabla15[[#This Row],[Facturació A/A]],1):Tabla15[[#This Row],[Facturació A/A]]) / SUM(INDEX(Tabla15[[#This Row],[Diferencia]],1):Tabla15[[#This Row],[Diferencia]])</f>
        <v>-1</v>
      </c>
      <c r="AB285" s="446"/>
      <c r="AC285" s="427"/>
      <c r="AD285" s="427"/>
      <c r="AE285" s="427"/>
      <c r="AF285" s="427"/>
      <c r="AG285" s="427"/>
      <c r="AH285" s="427"/>
      <c r="AI285" s="427"/>
      <c r="AJ285" s="427"/>
      <c r="AK285" s="427"/>
      <c r="AL285" s="427"/>
      <c r="AM285" s="427"/>
      <c r="AN285" s="427"/>
      <c r="AO285" s="427"/>
      <c r="AP285" s="427"/>
      <c r="AQ285" s="427"/>
    </row>
    <row r="286" spans="1:43" ht="16" customHeight="1">
      <c r="A286" s="427"/>
      <c r="B286" s="427"/>
      <c r="C286" s="428">
        <v>253</v>
      </c>
      <c r="D286" s="456">
        <v>46275</v>
      </c>
      <c r="E286" s="962"/>
      <c r="F286" s="958">
        <f>Tabla15[[#This Row],[Retiros]]-Tabla15[[#This Row],[Contado]]</f>
        <v>0</v>
      </c>
      <c r="G286" s="962"/>
      <c r="H286" s="963"/>
      <c r="I286" s="962"/>
      <c r="J286" s="963"/>
      <c r="K286" s="963"/>
      <c r="L286" s="963"/>
      <c r="M286" s="962"/>
      <c r="N286" s="959">
        <f>Tabla15[[#This Row],[Contado]]</f>
        <v>0</v>
      </c>
      <c r="O286" s="962"/>
      <c r="P286" s="443">
        <f>((Tabla15[[#This Row],[Contado]]+Tabla15[[#This Row],[Visa]]+Tabla15[[#This Row],[Eventos]]+Tabla15[[#This Row],[Passo]]+Tabla15[[#This Row],[Reciclajes]])/1.1)+Tabla15[[#This Row],[Tickets]]</f>
        <v>0</v>
      </c>
      <c r="Q286" s="450">
        <v>0</v>
      </c>
      <c r="R286" s="445">
        <f t="shared" si="10"/>
        <v>0</v>
      </c>
      <c r="S286" s="446"/>
      <c r="T286" s="447">
        <v>1807.62</v>
      </c>
      <c r="U286" s="447">
        <f>Tabla15[[#This Row],[Total Caja]]-Tabla15[[#This Row],[Facturació A/A]]</f>
        <v>-1807.62</v>
      </c>
      <c r="V286" s="447">
        <f t="shared" si="11"/>
        <v>-142161.78909090903</v>
      </c>
      <c r="W286" s="450">
        <f>Tabla15[[#This Row],[Diferencia]]/Tabla15[[#This Row],[Facturació A/A]]</f>
        <v>-1</v>
      </c>
      <c r="X286" s="447">
        <f>Tabla15[[#This Row],[Facturació A/A]]*H$17+Tabla15[[#This Row],[Facturació A/A]]</f>
        <v>1861.8485999999998</v>
      </c>
      <c r="Y286" s="447">
        <f>Tabla15[[#This Row],[Total Caja]]-Tabla15[[#This Row],[Previsión]]</f>
        <v>-1861.8485999999998</v>
      </c>
      <c r="Z286" s="446"/>
      <c r="AA286" s="447">
        <f>SUM(INDEX(Tabla15[[#This Row],[Facturació A/A]],1):Tabla15[[#This Row],[Facturació A/A]]) / SUM(INDEX(Tabla15[[#This Row],[Diferencia]],1):Tabla15[[#This Row],[Diferencia]])</f>
        <v>-1</v>
      </c>
      <c r="AB286" s="446"/>
      <c r="AC286" s="427"/>
      <c r="AD286" s="427"/>
      <c r="AE286" s="427"/>
      <c r="AF286" s="427"/>
      <c r="AG286" s="427"/>
      <c r="AH286" s="427"/>
      <c r="AI286" s="427"/>
      <c r="AJ286" s="427"/>
      <c r="AK286" s="427"/>
      <c r="AL286" s="427"/>
      <c r="AM286" s="427"/>
      <c r="AN286" s="427"/>
      <c r="AO286" s="427"/>
      <c r="AP286" s="427"/>
      <c r="AQ286" s="427"/>
    </row>
    <row r="287" spans="1:43" ht="16" customHeight="1">
      <c r="A287" s="427"/>
      <c r="B287" s="427"/>
      <c r="C287" s="428">
        <v>254</v>
      </c>
      <c r="D287" s="456">
        <v>46276</v>
      </c>
      <c r="E287" s="962"/>
      <c r="F287" s="958">
        <f>Tabla15[[#This Row],[Retiros]]-Tabla15[[#This Row],[Contado]]</f>
        <v>0</v>
      </c>
      <c r="G287" s="962"/>
      <c r="H287" s="963"/>
      <c r="I287" s="962"/>
      <c r="J287" s="963"/>
      <c r="K287" s="963"/>
      <c r="L287" s="963"/>
      <c r="M287" s="962"/>
      <c r="N287" s="959">
        <f>Tabla15[[#This Row],[Contado]]</f>
        <v>0</v>
      </c>
      <c r="O287" s="962"/>
      <c r="P287" s="443">
        <f>((Tabla15[[#This Row],[Contado]]+Tabla15[[#This Row],[Visa]]+Tabla15[[#This Row],[Eventos]]+Tabla15[[#This Row],[Passo]]+Tabla15[[#This Row],[Reciclajes]])/1.1)+Tabla15[[#This Row],[Tickets]]</f>
        <v>0</v>
      </c>
      <c r="Q287" s="450">
        <v>0</v>
      </c>
      <c r="R287" s="445">
        <f t="shared" si="10"/>
        <v>0</v>
      </c>
      <c r="S287" s="446"/>
      <c r="T287" s="447">
        <v>1277.8699999999999</v>
      </c>
      <c r="U287" s="447">
        <f>Tabla15[[#This Row],[Total Caja]]-Tabla15[[#This Row],[Facturació A/A]]</f>
        <v>-1277.8699999999999</v>
      </c>
      <c r="V287" s="447">
        <f t="shared" si="11"/>
        <v>-143439.65909090903</v>
      </c>
      <c r="W287" s="450">
        <f>Tabla15[[#This Row],[Diferencia]]/Tabla15[[#This Row],[Facturació A/A]]</f>
        <v>-1</v>
      </c>
      <c r="X287" s="447">
        <f>Tabla15[[#This Row],[Facturació A/A]]*H$17+Tabla15[[#This Row],[Facturació A/A]]</f>
        <v>1316.2060999999999</v>
      </c>
      <c r="Y287" s="447">
        <f>Tabla15[[#This Row],[Total Caja]]-Tabla15[[#This Row],[Previsión]]</f>
        <v>-1316.2060999999999</v>
      </c>
      <c r="Z287" s="446"/>
      <c r="AA287" s="447">
        <f>SUM(INDEX(Tabla15[[#This Row],[Facturació A/A]],1):Tabla15[[#This Row],[Facturació A/A]]) / SUM(INDEX(Tabla15[[#This Row],[Diferencia]],1):Tabla15[[#This Row],[Diferencia]])</f>
        <v>-1</v>
      </c>
      <c r="AB287" s="446"/>
      <c r="AC287" s="427"/>
      <c r="AD287" s="427"/>
      <c r="AE287" s="427"/>
      <c r="AF287" s="427"/>
      <c r="AG287" s="427"/>
      <c r="AH287" s="427"/>
      <c r="AI287" s="427"/>
      <c r="AJ287" s="427"/>
      <c r="AK287" s="427"/>
      <c r="AL287" s="427"/>
      <c r="AM287" s="427"/>
      <c r="AN287" s="427"/>
      <c r="AO287" s="427"/>
      <c r="AP287" s="427"/>
      <c r="AQ287" s="427"/>
    </row>
    <row r="288" spans="1:43" ht="16" customHeight="1">
      <c r="A288" s="427"/>
      <c r="B288" s="427"/>
      <c r="C288" s="428">
        <v>255</v>
      </c>
      <c r="D288" s="456">
        <v>46277</v>
      </c>
      <c r="E288" s="962"/>
      <c r="F288" s="958">
        <f>Tabla15[[#This Row],[Retiros]]-Tabla15[[#This Row],[Contado]]</f>
        <v>0</v>
      </c>
      <c r="G288" s="962"/>
      <c r="H288" s="963"/>
      <c r="I288" s="962"/>
      <c r="J288" s="963"/>
      <c r="K288" s="963"/>
      <c r="L288" s="963"/>
      <c r="M288" s="962"/>
      <c r="N288" s="959">
        <f>Tabla15[[#This Row],[Contado]]</f>
        <v>0</v>
      </c>
      <c r="O288" s="962"/>
      <c r="P288" s="443">
        <f>((Tabla15[[#This Row],[Contado]]+Tabla15[[#This Row],[Visa]]+Tabla15[[#This Row],[Eventos]]+Tabla15[[#This Row],[Passo]]+Tabla15[[#This Row],[Reciclajes]])/1.1)+Tabla15[[#This Row],[Tickets]]</f>
        <v>0</v>
      </c>
      <c r="Q288" s="450">
        <v>0</v>
      </c>
      <c r="R288" s="445">
        <f t="shared" si="10"/>
        <v>0</v>
      </c>
      <c r="S288" s="446"/>
      <c r="T288" s="447">
        <v>2102.94</v>
      </c>
      <c r="U288" s="447">
        <f>Tabla15[[#This Row],[Total Caja]]-Tabla15[[#This Row],[Facturació A/A]]</f>
        <v>-2102.94</v>
      </c>
      <c r="V288" s="447">
        <f t="shared" si="11"/>
        <v>-145542.59909090903</v>
      </c>
      <c r="W288" s="450">
        <f>Tabla15[[#This Row],[Diferencia]]/Tabla15[[#This Row],[Facturació A/A]]</f>
        <v>-1</v>
      </c>
      <c r="X288" s="447">
        <f>Tabla15[[#This Row],[Facturació A/A]]*H$17+Tabla15[[#This Row],[Facturació A/A]]</f>
        <v>2166.0282000000002</v>
      </c>
      <c r="Y288" s="447">
        <f>Tabla15[[#This Row],[Total Caja]]-Tabla15[[#This Row],[Previsión]]</f>
        <v>-2166.0282000000002</v>
      </c>
      <c r="Z288" s="446"/>
      <c r="AA288" s="447">
        <f>SUM(INDEX(Tabla15[[#This Row],[Facturació A/A]],1):Tabla15[[#This Row],[Facturació A/A]]) / SUM(INDEX(Tabla15[[#This Row],[Diferencia]],1):Tabla15[[#This Row],[Diferencia]])</f>
        <v>-1</v>
      </c>
      <c r="AB288" s="446"/>
      <c r="AC288" s="427"/>
      <c r="AD288" s="427"/>
      <c r="AE288" s="427"/>
      <c r="AF288" s="427"/>
      <c r="AG288" s="427"/>
      <c r="AH288" s="427"/>
      <c r="AI288" s="427"/>
      <c r="AJ288" s="427"/>
      <c r="AK288" s="427"/>
      <c r="AL288" s="427"/>
      <c r="AM288" s="427"/>
      <c r="AN288" s="427"/>
      <c r="AO288" s="427"/>
      <c r="AP288" s="427"/>
      <c r="AQ288" s="427"/>
    </row>
    <row r="289" spans="1:43" ht="16" customHeight="1">
      <c r="A289" s="427"/>
      <c r="B289" s="427"/>
      <c r="C289" s="428">
        <v>256</v>
      </c>
      <c r="D289" s="456">
        <v>46278</v>
      </c>
      <c r="E289" s="962"/>
      <c r="F289" s="958">
        <f>Tabla15[[#This Row],[Retiros]]-Tabla15[[#This Row],[Contado]]</f>
        <v>0</v>
      </c>
      <c r="G289" s="962"/>
      <c r="H289" s="962"/>
      <c r="I289" s="962"/>
      <c r="J289" s="963"/>
      <c r="K289" s="963"/>
      <c r="L289" s="963"/>
      <c r="M289" s="962"/>
      <c r="N289" s="959">
        <f>Tabla15[[#This Row],[Contado]]</f>
        <v>0</v>
      </c>
      <c r="O289" s="962"/>
      <c r="P289" s="443">
        <f>((Tabla15[[#This Row],[Contado]]+Tabla15[[#This Row],[Visa]]+Tabla15[[#This Row],[Eventos]]+Tabla15[[#This Row],[Passo]]+Tabla15[[#This Row],[Reciclajes]])/1.1)+Tabla15[[#This Row],[Tickets]]</f>
        <v>0</v>
      </c>
      <c r="Q289" s="450">
        <v>0</v>
      </c>
      <c r="R289" s="445">
        <f t="shared" si="10"/>
        <v>0</v>
      </c>
      <c r="S289" s="446"/>
      <c r="T289" s="447">
        <v>0</v>
      </c>
      <c r="U289" s="447">
        <f>Tabla15[[#This Row],[Total Caja]]-Tabla15[[#This Row],[Facturació A/A]]</f>
        <v>0</v>
      </c>
      <c r="V289" s="447">
        <f t="shared" si="11"/>
        <v>-145542.59909090903</v>
      </c>
      <c r="W289" s="450" t="e">
        <f>Tabla15[[#This Row],[Diferencia]]/Tabla15[[#This Row],[Facturació A/A]]</f>
        <v>#DIV/0!</v>
      </c>
      <c r="X289" s="447">
        <f>Tabla15[[#This Row],[Facturació A/A]]*H$17+Tabla15[[#This Row],[Facturació A/A]]</f>
        <v>0</v>
      </c>
      <c r="Y289" s="447">
        <f>Tabla15[[#This Row],[Total Caja]]-Tabla15[[#This Row],[Previsión]]</f>
        <v>0</v>
      </c>
      <c r="Z289" s="446"/>
      <c r="AA289" s="447" t="e">
        <f>SUM(INDEX(Tabla15[[#This Row],[Facturació A/A]],1):Tabla15[[#This Row],[Facturació A/A]]) / SUM(INDEX(Tabla15[[#This Row],[Diferencia]],1):Tabla15[[#This Row],[Diferencia]])</f>
        <v>#DIV/0!</v>
      </c>
      <c r="AB289" s="446"/>
      <c r="AC289" s="427"/>
      <c r="AD289" s="427"/>
      <c r="AE289" s="427"/>
      <c r="AF289" s="427"/>
      <c r="AG289" s="427"/>
      <c r="AH289" s="427"/>
      <c r="AI289" s="427"/>
      <c r="AJ289" s="427"/>
      <c r="AK289" s="427"/>
      <c r="AL289" s="427"/>
      <c r="AM289" s="427"/>
      <c r="AN289" s="427"/>
      <c r="AO289" s="427"/>
      <c r="AP289" s="427"/>
      <c r="AQ289" s="427"/>
    </row>
    <row r="290" spans="1:43" ht="16" customHeight="1">
      <c r="A290" s="427"/>
      <c r="B290" s="427"/>
      <c r="C290" s="428">
        <v>257</v>
      </c>
      <c r="D290" s="456">
        <v>46279</v>
      </c>
      <c r="E290" s="962"/>
      <c r="F290" s="958">
        <f>Tabla15[[#This Row],[Retiros]]-Tabla15[[#This Row],[Contado]]</f>
        <v>0</v>
      </c>
      <c r="G290" s="962"/>
      <c r="H290" s="962"/>
      <c r="I290" s="962"/>
      <c r="J290" s="962"/>
      <c r="K290" s="962"/>
      <c r="L290" s="962"/>
      <c r="M290" s="962"/>
      <c r="N290" s="959">
        <f>Tabla15[[#This Row],[Contado]]</f>
        <v>0</v>
      </c>
      <c r="O290" s="962"/>
      <c r="P290" s="443">
        <f>((Tabla15[[#This Row],[Contado]]+Tabla15[[#This Row],[Visa]]+Tabla15[[#This Row],[Eventos]]+Tabla15[[#This Row],[Passo]]+Tabla15[[#This Row],[Reciclajes]])/1.1)+Tabla15[[#This Row],[Tickets]]</f>
        <v>0</v>
      </c>
      <c r="Q290" s="450">
        <v>0</v>
      </c>
      <c r="R290" s="445">
        <f t="shared" ref="R290:R353" si="12">IFERROR(F290/P290,0)</f>
        <v>0</v>
      </c>
      <c r="S290" s="446"/>
      <c r="T290" s="447">
        <v>0</v>
      </c>
      <c r="U290" s="447">
        <f>Tabla15[[#This Row],[Total Caja]]-Tabla15[[#This Row],[Facturació A/A]]</f>
        <v>0</v>
      </c>
      <c r="V290" s="447">
        <f t="shared" si="11"/>
        <v>-145542.59909090903</v>
      </c>
      <c r="W290" s="450" t="e">
        <f>Tabla15[[#This Row],[Diferencia]]/Tabla15[[#This Row],[Facturació A/A]]</f>
        <v>#DIV/0!</v>
      </c>
      <c r="X290" s="447">
        <f>Tabla15[[#This Row],[Facturació A/A]]*H$17+Tabla15[[#This Row],[Facturació A/A]]</f>
        <v>0</v>
      </c>
      <c r="Y290" s="447">
        <f>Tabla15[[#This Row],[Total Caja]]-Tabla15[[#This Row],[Previsión]]</f>
        <v>0</v>
      </c>
      <c r="Z290" s="446"/>
      <c r="AA290" s="447" t="e">
        <f>SUM(INDEX(Tabla15[[#This Row],[Facturació A/A]],1):Tabla15[[#This Row],[Facturació A/A]]) / SUM(INDEX(Tabla15[[#This Row],[Diferencia]],1):Tabla15[[#This Row],[Diferencia]])</f>
        <v>#DIV/0!</v>
      </c>
      <c r="AB290" s="446"/>
      <c r="AC290" s="427"/>
      <c r="AD290" s="427"/>
      <c r="AE290" s="427"/>
      <c r="AF290" s="427"/>
      <c r="AG290" s="427"/>
      <c r="AH290" s="427"/>
      <c r="AI290" s="427"/>
      <c r="AJ290" s="427"/>
      <c r="AK290" s="427"/>
      <c r="AL290" s="427"/>
      <c r="AM290" s="427"/>
      <c r="AN290" s="427"/>
      <c r="AO290" s="427"/>
      <c r="AP290" s="427"/>
      <c r="AQ290" s="427"/>
    </row>
    <row r="291" spans="1:43" ht="16" customHeight="1">
      <c r="A291" s="427"/>
      <c r="B291" s="427"/>
      <c r="C291" s="428">
        <v>258</v>
      </c>
      <c r="D291" s="456">
        <v>46280</v>
      </c>
      <c r="E291" s="962"/>
      <c r="F291" s="958">
        <f>Tabla15[[#This Row],[Retiros]]-Tabla15[[#This Row],[Contado]]</f>
        <v>0</v>
      </c>
      <c r="G291" s="962"/>
      <c r="H291" s="962"/>
      <c r="I291" s="962"/>
      <c r="J291" s="962"/>
      <c r="K291" s="962"/>
      <c r="L291" s="962"/>
      <c r="M291" s="962"/>
      <c r="N291" s="959">
        <f>Tabla15[[#This Row],[Contado]]</f>
        <v>0</v>
      </c>
      <c r="O291" s="962"/>
      <c r="P291" s="443">
        <f>((Tabla15[[#This Row],[Contado]]+Tabla15[[#This Row],[Visa]]+Tabla15[[#This Row],[Eventos]]+Tabla15[[#This Row],[Passo]]+Tabla15[[#This Row],[Reciclajes]])/1.1)+Tabla15[[#This Row],[Tickets]]</f>
        <v>0</v>
      </c>
      <c r="Q291" s="450">
        <v>0</v>
      </c>
      <c r="R291" s="445">
        <f t="shared" si="12"/>
        <v>0</v>
      </c>
      <c r="S291" s="446"/>
      <c r="T291" s="447">
        <v>1427.38</v>
      </c>
      <c r="U291" s="447">
        <f>Tabla15[[#This Row],[Total Caja]]-Tabla15[[#This Row],[Facturació A/A]]</f>
        <v>-1427.38</v>
      </c>
      <c r="V291" s="447">
        <f t="shared" ref="V291:V354" si="13">U291+V290</f>
        <v>-146969.97909090904</v>
      </c>
      <c r="W291" s="450">
        <f>Tabla15[[#This Row],[Diferencia]]/Tabla15[[#This Row],[Facturació A/A]]</f>
        <v>-1</v>
      </c>
      <c r="X291" s="447">
        <f>Tabla15[[#This Row],[Facturació A/A]]*H$17+Tabla15[[#This Row],[Facturació A/A]]</f>
        <v>1470.2014000000001</v>
      </c>
      <c r="Y291" s="447">
        <f>Tabla15[[#This Row],[Total Caja]]-Tabla15[[#This Row],[Previsión]]</f>
        <v>-1470.2014000000001</v>
      </c>
      <c r="Z291" s="446"/>
      <c r="AA291" s="447">
        <f>SUM(INDEX(Tabla15[[#This Row],[Facturació A/A]],1):Tabla15[[#This Row],[Facturació A/A]]) / SUM(INDEX(Tabla15[[#This Row],[Diferencia]],1):Tabla15[[#This Row],[Diferencia]])</f>
        <v>-1</v>
      </c>
      <c r="AB291" s="446"/>
      <c r="AC291" s="427"/>
      <c r="AD291" s="427"/>
      <c r="AE291" s="427"/>
      <c r="AF291" s="427"/>
      <c r="AG291" s="427"/>
      <c r="AH291" s="427"/>
      <c r="AI291" s="427"/>
      <c r="AJ291" s="427"/>
      <c r="AK291" s="427"/>
      <c r="AL291" s="427"/>
      <c r="AM291" s="427"/>
      <c r="AN291" s="427"/>
      <c r="AO291" s="427"/>
      <c r="AP291" s="427"/>
      <c r="AQ291" s="427"/>
    </row>
    <row r="292" spans="1:43" ht="16" customHeight="1">
      <c r="A292" s="427"/>
      <c r="B292" s="427"/>
      <c r="C292" s="428">
        <v>259</v>
      </c>
      <c r="D292" s="456">
        <v>46281</v>
      </c>
      <c r="E292" s="962"/>
      <c r="F292" s="958">
        <f>Tabla15[[#This Row],[Retiros]]-Tabla15[[#This Row],[Contado]]</f>
        <v>0</v>
      </c>
      <c r="G292" s="962"/>
      <c r="H292" s="962"/>
      <c r="I292" s="962"/>
      <c r="J292" s="962"/>
      <c r="K292" s="962"/>
      <c r="L292" s="962"/>
      <c r="M292" s="962"/>
      <c r="N292" s="959">
        <f>Tabla15[[#This Row],[Contado]]</f>
        <v>0</v>
      </c>
      <c r="O292" s="962"/>
      <c r="P292" s="443">
        <f>((Tabla15[[#This Row],[Contado]]+Tabla15[[#This Row],[Visa]]+Tabla15[[#This Row],[Eventos]]+Tabla15[[#This Row],[Passo]]+Tabla15[[#This Row],[Reciclajes]])/1.1)+Tabla15[[#This Row],[Tickets]]</f>
        <v>0</v>
      </c>
      <c r="Q292" s="450">
        <v>0</v>
      </c>
      <c r="R292" s="445">
        <f t="shared" si="12"/>
        <v>0</v>
      </c>
      <c r="S292" s="446"/>
      <c r="T292" s="447">
        <v>872.05</v>
      </c>
      <c r="U292" s="447">
        <f>Tabla15[[#This Row],[Total Caja]]-Tabla15[[#This Row],[Facturació A/A]]</f>
        <v>-872.05</v>
      </c>
      <c r="V292" s="447">
        <f t="shared" si="13"/>
        <v>-147842.02909090903</v>
      </c>
      <c r="W292" s="450">
        <f>Tabla15[[#This Row],[Diferencia]]/Tabla15[[#This Row],[Facturació A/A]]</f>
        <v>-1</v>
      </c>
      <c r="X292" s="447">
        <f>Tabla15[[#This Row],[Facturació A/A]]*H$17+Tabla15[[#This Row],[Facturació A/A]]</f>
        <v>898.2115</v>
      </c>
      <c r="Y292" s="447">
        <f>Tabla15[[#This Row],[Total Caja]]-Tabla15[[#This Row],[Previsión]]</f>
        <v>-898.2115</v>
      </c>
      <c r="Z292" s="446"/>
      <c r="AA292" s="447">
        <f>SUM(INDEX(Tabla15[[#This Row],[Facturació A/A]],1):Tabla15[[#This Row],[Facturació A/A]]) / SUM(INDEX(Tabla15[[#This Row],[Diferencia]],1):Tabla15[[#This Row],[Diferencia]])</f>
        <v>-1</v>
      </c>
      <c r="AB292" s="446"/>
      <c r="AC292" s="427"/>
      <c r="AD292" s="427"/>
      <c r="AE292" s="427"/>
      <c r="AF292" s="427"/>
      <c r="AG292" s="427"/>
      <c r="AH292" s="427"/>
      <c r="AI292" s="427"/>
      <c r="AJ292" s="427"/>
      <c r="AK292" s="427"/>
      <c r="AL292" s="427"/>
      <c r="AM292" s="427"/>
      <c r="AN292" s="427"/>
      <c r="AO292" s="427"/>
      <c r="AP292" s="427"/>
      <c r="AQ292" s="427"/>
    </row>
    <row r="293" spans="1:43" ht="16" customHeight="1">
      <c r="A293" s="427"/>
      <c r="B293" s="427"/>
      <c r="C293" s="428">
        <v>260</v>
      </c>
      <c r="D293" s="456">
        <v>46282</v>
      </c>
      <c r="E293" s="962"/>
      <c r="F293" s="958">
        <f>Tabla15[[#This Row],[Retiros]]-Tabla15[[#This Row],[Contado]]</f>
        <v>0</v>
      </c>
      <c r="G293" s="962"/>
      <c r="H293" s="962"/>
      <c r="I293" s="962"/>
      <c r="J293" s="962"/>
      <c r="K293" s="962"/>
      <c r="L293" s="962"/>
      <c r="M293" s="962"/>
      <c r="N293" s="959">
        <f>Tabla15[[#This Row],[Contado]]</f>
        <v>0</v>
      </c>
      <c r="O293" s="962"/>
      <c r="P293" s="443">
        <f>((Tabla15[[#This Row],[Contado]]+Tabla15[[#This Row],[Visa]]+Tabla15[[#This Row],[Eventos]]+Tabla15[[#This Row],[Passo]]+Tabla15[[#This Row],[Reciclajes]])/1.1)+Tabla15[[#This Row],[Tickets]]</f>
        <v>0</v>
      </c>
      <c r="Q293" s="450">
        <v>0</v>
      </c>
      <c r="R293" s="445">
        <f t="shared" si="12"/>
        <v>0</v>
      </c>
      <c r="S293" s="446"/>
      <c r="T293" s="447">
        <v>944.79</v>
      </c>
      <c r="U293" s="447">
        <f>Tabla15[[#This Row],[Total Caja]]-Tabla15[[#This Row],[Facturació A/A]]</f>
        <v>-944.79</v>
      </c>
      <c r="V293" s="447">
        <f t="shared" si="13"/>
        <v>-148786.81909090903</v>
      </c>
      <c r="W293" s="450">
        <f>Tabla15[[#This Row],[Diferencia]]/Tabla15[[#This Row],[Facturació A/A]]</f>
        <v>-1</v>
      </c>
      <c r="X293" s="447">
        <f>Tabla15[[#This Row],[Facturació A/A]]*H$17+Tabla15[[#This Row],[Facturació A/A]]</f>
        <v>973.13369999999998</v>
      </c>
      <c r="Y293" s="447">
        <f>Tabla15[[#This Row],[Total Caja]]-Tabla15[[#This Row],[Previsión]]</f>
        <v>-973.13369999999998</v>
      </c>
      <c r="Z293" s="446"/>
      <c r="AA293" s="447">
        <f>SUM(INDEX(Tabla15[[#This Row],[Facturació A/A]],1):Tabla15[[#This Row],[Facturació A/A]]) / SUM(INDEX(Tabla15[[#This Row],[Diferencia]],1):Tabla15[[#This Row],[Diferencia]])</f>
        <v>-1</v>
      </c>
      <c r="AB293" s="446"/>
      <c r="AC293" s="427"/>
      <c r="AD293" s="427"/>
      <c r="AE293" s="427"/>
      <c r="AF293" s="427"/>
      <c r="AG293" s="427"/>
      <c r="AH293" s="427"/>
      <c r="AI293" s="427"/>
      <c r="AJ293" s="427"/>
      <c r="AK293" s="427"/>
      <c r="AL293" s="427"/>
      <c r="AM293" s="427"/>
      <c r="AN293" s="427"/>
      <c r="AO293" s="427"/>
      <c r="AP293" s="427"/>
      <c r="AQ293" s="427"/>
    </row>
    <row r="294" spans="1:43" ht="16" customHeight="1">
      <c r="A294" s="427"/>
      <c r="B294" s="427"/>
      <c r="C294" s="428">
        <v>261</v>
      </c>
      <c r="D294" s="456">
        <v>46283</v>
      </c>
      <c r="E294" s="962"/>
      <c r="F294" s="958">
        <f>Tabla15[[#This Row],[Retiros]]-Tabla15[[#This Row],[Contado]]</f>
        <v>0</v>
      </c>
      <c r="G294" s="962"/>
      <c r="H294" s="962"/>
      <c r="I294" s="962"/>
      <c r="J294" s="962"/>
      <c r="K294" s="962"/>
      <c r="L294" s="962"/>
      <c r="M294" s="962"/>
      <c r="N294" s="959">
        <f>Tabla15[[#This Row],[Contado]]</f>
        <v>0</v>
      </c>
      <c r="O294" s="962"/>
      <c r="P294" s="443">
        <f>((Tabla15[[#This Row],[Contado]]+Tabla15[[#This Row],[Visa]]+Tabla15[[#This Row],[Eventos]]+Tabla15[[#This Row],[Passo]]+Tabla15[[#This Row],[Reciclajes]])/1.1)+Tabla15[[#This Row],[Tickets]]</f>
        <v>0</v>
      </c>
      <c r="Q294" s="450">
        <v>0</v>
      </c>
      <c r="R294" s="445">
        <f t="shared" si="12"/>
        <v>0</v>
      </c>
      <c r="S294" s="446"/>
      <c r="T294" s="447">
        <v>1911.34</v>
      </c>
      <c r="U294" s="447">
        <f>Tabla15[[#This Row],[Total Caja]]-Tabla15[[#This Row],[Facturació A/A]]</f>
        <v>-1911.34</v>
      </c>
      <c r="V294" s="447">
        <f t="shared" si="13"/>
        <v>-150698.15909090903</v>
      </c>
      <c r="W294" s="450">
        <f>Tabla15[[#This Row],[Diferencia]]/Tabla15[[#This Row],[Facturació A/A]]</f>
        <v>-1</v>
      </c>
      <c r="X294" s="447">
        <f>Tabla15[[#This Row],[Facturació A/A]]*H$17+Tabla15[[#This Row],[Facturació A/A]]</f>
        <v>1968.6802</v>
      </c>
      <c r="Y294" s="447">
        <f>Tabla15[[#This Row],[Total Caja]]-Tabla15[[#This Row],[Previsión]]</f>
        <v>-1968.6802</v>
      </c>
      <c r="Z294" s="446"/>
      <c r="AA294" s="447">
        <f>SUM(INDEX(Tabla15[[#This Row],[Facturació A/A]],1):Tabla15[[#This Row],[Facturació A/A]]) / SUM(INDEX(Tabla15[[#This Row],[Diferencia]],1):Tabla15[[#This Row],[Diferencia]])</f>
        <v>-1</v>
      </c>
      <c r="AB294" s="446"/>
      <c r="AC294" s="427"/>
      <c r="AD294" s="427"/>
      <c r="AE294" s="427"/>
      <c r="AF294" s="427"/>
      <c r="AG294" s="427"/>
      <c r="AH294" s="427"/>
      <c r="AI294" s="427"/>
      <c r="AJ294" s="427"/>
      <c r="AK294" s="427"/>
      <c r="AL294" s="427"/>
      <c r="AM294" s="427"/>
      <c r="AN294" s="427"/>
      <c r="AO294" s="427"/>
      <c r="AP294" s="427"/>
      <c r="AQ294" s="427"/>
    </row>
    <row r="295" spans="1:43" ht="16" customHeight="1">
      <c r="A295" s="427"/>
      <c r="B295" s="427"/>
      <c r="C295" s="428">
        <v>262</v>
      </c>
      <c r="D295" s="456">
        <v>46284</v>
      </c>
      <c r="E295" s="962"/>
      <c r="F295" s="958">
        <f>Tabla15[[#This Row],[Retiros]]-Tabla15[[#This Row],[Contado]]</f>
        <v>0</v>
      </c>
      <c r="G295" s="962"/>
      <c r="H295" s="962"/>
      <c r="I295" s="962"/>
      <c r="J295" s="962"/>
      <c r="K295" s="962"/>
      <c r="L295" s="962"/>
      <c r="M295" s="962"/>
      <c r="N295" s="959">
        <f>Tabla15[[#This Row],[Contado]]</f>
        <v>0</v>
      </c>
      <c r="O295" s="962"/>
      <c r="P295" s="443">
        <f>((Tabla15[[#This Row],[Contado]]+Tabla15[[#This Row],[Visa]]+Tabla15[[#This Row],[Eventos]]+Tabla15[[#This Row],[Passo]]+Tabla15[[#This Row],[Reciclajes]])/1.1)+Tabla15[[#This Row],[Tickets]]</f>
        <v>0</v>
      </c>
      <c r="Q295" s="450">
        <v>0</v>
      </c>
      <c r="R295" s="445">
        <f t="shared" si="12"/>
        <v>0</v>
      </c>
      <c r="S295" s="446"/>
      <c r="T295" s="447">
        <v>1508.07</v>
      </c>
      <c r="U295" s="447">
        <f>Tabla15[[#This Row],[Total Caja]]-Tabla15[[#This Row],[Facturació A/A]]</f>
        <v>-1508.07</v>
      </c>
      <c r="V295" s="447">
        <f t="shared" si="13"/>
        <v>-152206.22909090904</v>
      </c>
      <c r="W295" s="450">
        <f>Tabla15[[#This Row],[Diferencia]]/Tabla15[[#This Row],[Facturació A/A]]</f>
        <v>-1</v>
      </c>
      <c r="X295" s="447">
        <f>Tabla15[[#This Row],[Facturació A/A]]*H$17+Tabla15[[#This Row],[Facturació A/A]]</f>
        <v>1553.3120999999999</v>
      </c>
      <c r="Y295" s="447">
        <f>Tabla15[[#This Row],[Total Caja]]-Tabla15[[#This Row],[Previsión]]</f>
        <v>-1553.3120999999999</v>
      </c>
      <c r="Z295" s="446"/>
      <c r="AA295" s="447">
        <f>SUM(INDEX(Tabla15[[#This Row],[Facturació A/A]],1):Tabla15[[#This Row],[Facturació A/A]]) / SUM(INDEX(Tabla15[[#This Row],[Diferencia]],1):Tabla15[[#This Row],[Diferencia]])</f>
        <v>-1</v>
      </c>
      <c r="AB295" s="446"/>
      <c r="AC295" s="427"/>
      <c r="AD295" s="427"/>
      <c r="AE295" s="427"/>
      <c r="AF295" s="427"/>
      <c r="AG295" s="427"/>
      <c r="AH295" s="427"/>
      <c r="AI295" s="427"/>
      <c r="AJ295" s="427"/>
      <c r="AK295" s="427"/>
      <c r="AL295" s="427"/>
      <c r="AM295" s="427"/>
      <c r="AN295" s="427"/>
      <c r="AO295" s="427"/>
      <c r="AP295" s="427"/>
      <c r="AQ295" s="427"/>
    </row>
    <row r="296" spans="1:43" ht="16" customHeight="1">
      <c r="A296" s="427"/>
      <c r="B296" s="427"/>
      <c r="C296" s="428">
        <v>263</v>
      </c>
      <c r="D296" s="456">
        <v>46285</v>
      </c>
      <c r="E296" s="962"/>
      <c r="F296" s="958">
        <f>Tabla15[[#This Row],[Retiros]]-Tabla15[[#This Row],[Contado]]</f>
        <v>0</v>
      </c>
      <c r="G296" s="962"/>
      <c r="H296" s="962"/>
      <c r="I296" s="962"/>
      <c r="J296" s="962"/>
      <c r="K296" s="962"/>
      <c r="L296" s="962"/>
      <c r="M296" s="962"/>
      <c r="N296" s="959">
        <f>Tabla15[[#This Row],[Contado]]</f>
        <v>0</v>
      </c>
      <c r="O296" s="962"/>
      <c r="P296" s="443">
        <f>((Tabla15[[#This Row],[Contado]]+Tabla15[[#This Row],[Visa]]+Tabla15[[#This Row],[Eventos]]+Tabla15[[#This Row],[Passo]]+Tabla15[[#This Row],[Reciclajes]])/1.1)+Tabla15[[#This Row],[Tickets]]</f>
        <v>0</v>
      </c>
      <c r="Q296" s="450">
        <v>0</v>
      </c>
      <c r="R296" s="445">
        <f t="shared" si="12"/>
        <v>0</v>
      </c>
      <c r="S296" s="446"/>
      <c r="T296" s="447">
        <v>799.85</v>
      </c>
      <c r="U296" s="447">
        <f>Tabla15[[#This Row],[Total Caja]]-Tabla15[[#This Row],[Facturació A/A]]</f>
        <v>-799.85</v>
      </c>
      <c r="V296" s="447">
        <f t="shared" si="13"/>
        <v>-153006.07909090904</v>
      </c>
      <c r="W296" s="450">
        <f>Tabla15[[#This Row],[Diferencia]]/Tabla15[[#This Row],[Facturació A/A]]</f>
        <v>-1</v>
      </c>
      <c r="X296" s="447">
        <f>Tabla15[[#This Row],[Facturació A/A]]*H$17+Tabla15[[#This Row],[Facturació A/A]]</f>
        <v>823.84550000000002</v>
      </c>
      <c r="Y296" s="447">
        <f>Tabla15[[#This Row],[Total Caja]]-Tabla15[[#This Row],[Previsión]]</f>
        <v>-823.84550000000002</v>
      </c>
      <c r="Z296" s="446"/>
      <c r="AA296" s="447">
        <f>SUM(INDEX(Tabla15[[#This Row],[Facturació A/A]],1):Tabla15[[#This Row],[Facturació A/A]]) / SUM(INDEX(Tabla15[[#This Row],[Diferencia]],1):Tabla15[[#This Row],[Diferencia]])</f>
        <v>-1</v>
      </c>
      <c r="AB296" s="446"/>
      <c r="AC296" s="427"/>
      <c r="AD296" s="427"/>
      <c r="AE296" s="427"/>
      <c r="AF296" s="427"/>
      <c r="AG296" s="427"/>
      <c r="AH296" s="427"/>
      <c r="AI296" s="427"/>
      <c r="AJ296" s="427"/>
      <c r="AK296" s="427"/>
      <c r="AL296" s="427"/>
      <c r="AM296" s="427"/>
      <c r="AN296" s="427"/>
      <c r="AO296" s="427"/>
      <c r="AP296" s="427"/>
      <c r="AQ296" s="427"/>
    </row>
    <row r="297" spans="1:43" ht="16" customHeight="1">
      <c r="A297" s="427"/>
      <c r="B297" s="427"/>
      <c r="C297" s="428">
        <v>264</v>
      </c>
      <c r="D297" s="456">
        <v>46286</v>
      </c>
      <c r="E297" s="962"/>
      <c r="F297" s="958">
        <f>Tabla15[[#This Row],[Retiros]]-Tabla15[[#This Row],[Contado]]</f>
        <v>0</v>
      </c>
      <c r="G297" s="962"/>
      <c r="H297" s="962"/>
      <c r="I297" s="962"/>
      <c r="J297" s="962"/>
      <c r="K297" s="962"/>
      <c r="L297" s="962"/>
      <c r="M297" s="962"/>
      <c r="N297" s="959">
        <f>Tabla15[[#This Row],[Contado]]</f>
        <v>0</v>
      </c>
      <c r="O297" s="962"/>
      <c r="P297" s="443">
        <f>((Tabla15[[#This Row],[Contado]]+Tabla15[[#This Row],[Visa]]+Tabla15[[#This Row],[Eventos]]+Tabla15[[#This Row],[Passo]]+Tabla15[[#This Row],[Reciclajes]])/1.1)+Tabla15[[#This Row],[Tickets]]</f>
        <v>0</v>
      </c>
      <c r="Q297" s="450">
        <v>0</v>
      </c>
      <c r="R297" s="445">
        <f t="shared" si="12"/>
        <v>0</v>
      </c>
      <c r="S297" s="446"/>
      <c r="T297" s="447">
        <v>0</v>
      </c>
      <c r="U297" s="447">
        <f>Tabla15[[#This Row],[Total Caja]]-Tabla15[[#This Row],[Facturació A/A]]</f>
        <v>0</v>
      </c>
      <c r="V297" s="447">
        <f t="shared" si="13"/>
        <v>-153006.07909090904</v>
      </c>
      <c r="W297" s="450" t="e">
        <f>Tabla15[[#This Row],[Diferencia]]/Tabla15[[#This Row],[Facturació A/A]]</f>
        <v>#DIV/0!</v>
      </c>
      <c r="X297" s="447">
        <f>Tabla15[[#This Row],[Facturació A/A]]*H$17+Tabla15[[#This Row],[Facturació A/A]]</f>
        <v>0</v>
      </c>
      <c r="Y297" s="447">
        <f>Tabla15[[#This Row],[Total Caja]]-Tabla15[[#This Row],[Previsión]]</f>
        <v>0</v>
      </c>
      <c r="Z297" s="446"/>
      <c r="AA297" s="447" t="e">
        <f>SUM(INDEX(Tabla15[[#This Row],[Facturació A/A]],1):Tabla15[[#This Row],[Facturació A/A]]) / SUM(INDEX(Tabla15[[#This Row],[Diferencia]],1):Tabla15[[#This Row],[Diferencia]])</f>
        <v>#DIV/0!</v>
      </c>
      <c r="AB297" s="446"/>
      <c r="AC297" s="427"/>
      <c r="AD297" s="427"/>
      <c r="AE297" s="427"/>
      <c r="AF297" s="427"/>
      <c r="AG297" s="427"/>
      <c r="AH297" s="427"/>
      <c r="AI297" s="427"/>
      <c r="AJ297" s="427"/>
      <c r="AK297" s="427"/>
      <c r="AL297" s="427"/>
      <c r="AM297" s="427"/>
      <c r="AN297" s="427"/>
      <c r="AO297" s="427"/>
      <c r="AP297" s="427"/>
      <c r="AQ297" s="427"/>
    </row>
    <row r="298" spans="1:43" ht="16" customHeight="1">
      <c r="A298" s="427"/>
      <c r="B298" s="427"/>
      <c r="C298" s="428">
        <v>265</v>
      </c>
      <c r="D298" s="456">
        <v>46287</v>
      </c>
      <c r="E298" s="962"/>
      <c r="F298" s="958">
        <f>Tabla15[[#This Row],[Retiros]]-Tabla15[[#This Row],[Contado]]</f>
        <v>0</v>
      </c>
      <c r="G298" s="962"/>
      <c r="H298" s="962"/>
      <c r="I298" s="962"/>
      <c r="J298" s="962"/>
      <c r="K298" s="962"/>
      <c r="L298" s="962"/>
      <c r="M298" s="962"/>
      <c r="N298" s="959">
        <f>Tabla15[[#This Row],[Contado]]</f>
        <v>0</v>
      </c>
      <c r="O298" s="962"/>
      <c r="P298" s="443">
        <f>((Tabla15[[#This Row],[Contado]]+Tabla15[[#This Row],[Visa]]+Tabla15[[#This Row],[Eventos]]+Tabla15[[#This Row],[Passo]]+Tabla15[[#This Row],[Reciclajes]])/1.1)+Tabla15[[#This Row],[Tickets]]</f>
        <v>0</v>
      </c>
      <c r="Q298" s="450">
        <v>0</v>
      </c>
      <c r="R298" s="445">
        <f t="shared" si="12"/>
        <v>0</v>
      </c>
      <c r="S298" s="446"/>
      <c r="T298" s="447">
        <v>0</v>
      </c>
      <c r="U298" s="447">
        <f>Tabla15[[#This Row],[Total Caja]]-Tabla15[[#This Row],[Facturació A/A]]</f>
        <v>0</v>
      </c>
      <c r="V298" s="447">
        <f t="shared" si="13"/>
        <v>-153006.07909090904</v>
      </c>
      <c r="W298" s="450" t="e">
        <f>Tabla15[[#This Row],[Diferencia]]/Tabla15[[#This Row],[Facturació A/A]]</f>
        <v>#DIV/0!</v>
      </c>
      <c r="X298" s="447">
        <f>Tabla15[[#This Row],[Facturació A/A]]*H$17+Tabla15[[#This Row],[Facturació A/A]]</f>
        <v>0</v>
      </c>
      <c r="Y298" s="447">
        <f>Tabla15[[#This Row],[Total Caja]]-Tabla15[[#This Row],[Previsión]]</f>
        <v>0</v>
      </c>
      <c r="Z298" s="446"/>
      <c r="AA298" s="447" t="e">
        <f>SUM(INDEX(Tabla15[[#This Row],[Facturació A/A]],1):Tabla15[[#This Row],[Facturació A/A]]) / SUM(INDEX(Tabla15[[#This Row],[Diferencia]],1):Tabla15[[#This Row],[Diferencia]])</f>
        <v>#DIV/0!</v>
      </c>
      <c r="AB298" s="446"/>
      <c r="AC298" s="427"/>
      <c r="AD298" s="427"/>
      <c r="AE298" s="427"/>
      <c r="AF298" s="427"/>
      <c r="AG298" s="427"/>
      <c r="AH298" s="427"/>
      <c r="AI298" s="427"/>
      <c r="AJ298" s="427"/>
      <c r="AK298" s="427"/>
      <c r="AL298" s="427"/>
      <c r="AM298" s="427"/>
      <c r="AN298" s="427"/>
      <c r="AO298" s="427"/>
      <c r="AP298" s="427"/>
      <c r="AQ298" s="427"/>
    </row>
    <row r="299" spans="1:43" ht="16" customHeight="1">
      <c r="A299" s="427"/>
      <c r="B299" s="427"/>
      <c r="C299" s="428">
        <v>266</v>
      </c>
      <c r="D299" s="456">
        <v>46288</v>
      </c>
      <c r="E299" s="962"/>
      <c r="F299" s="958">
        <f>Tabla15[[#This Row],[Retiros]]-Tabla15[[#This Row],[Contado]]</f>
        <v>0</v>
      </c>
      <c r="G299" s="962"/>
      <c r="H299" s="962"/>
      <c r="I299" s="962"/>
      <c r="J299" s="962"/>
      <c r="K299" s="962"/>
      <c r="L299" s="962"/>
      <c r="M299" s="962"/>
      <c r="N299" s="959">
        <f>Tabla15[[#This Row],[Contado]]</f>
        <v>0</v>
      </c>
      <c r="O299" s="962"/>
      <c r="P299" s="443">
        <f>((Tabla15[[#This Row],[Contado]]+Tabla15[[#This Row],[Visa]]+Tabla15[[#This Row],[Eventos]]+Tabla15[[#This Row],[Passo]]+Tabla15[[#This Row],[Reciclajes]])/1.1)+Tabla15[[#This Row],[Tickets]]</f>
        <v>0</v>
      </c>
      <c r="Q299" s="450">
        <v>0</v>
      </c>
      <c r="R299" s="445">
        <f t="shared" si="12"/>
        <v>0</v>
      </c>
      <c r="S299" s="446"/>
      <c r="T299" s="447">
        <v>1237.47</v>
      </c>
      <c r="U299" s="447">
        <f>Tabla15[[#This Row],[Total Caja]]-Tabla15[[#This Row],[Facturació A/A]]</f>
        <v>-1237.47</v>
      </c>
      <c r="V299" s="447">
        <f t="shared" si="13"/>
        <v>-154243.54909090904</v>
      </c>
      <c r="W299" s="450">
        <f>Tabla15[[#This Row],[Diferencia]]/Tabla15[[#This Row],[Facturació A/A]]</f>
        <v>-1</v>
      </c>
      <c r="X299" s="447">
        <f>Tabla15[[#This Row],[Facturació A/A]]*H$17+Tabla15[[#This Row],[Facturació A/A]]</f>
        <v>1274.5941</v>
      </c>
      <c r="Y299" s="447">
        <f>Tabla15[[#This Row],[Total Caja]]-Tabla15[[#This Row],[Previsión]]</f>
        <v>-1274.5941</v>
      </c>
      <c r="Z299" s="446"/>
      <c r="AA299" s="447">
        <f>SUM(INDEX(Tabla15[[#This Row],[Facturació A/A]],1):Tabla15[[#This Row],[Facturació A/A]]) / SUM(INDEX(Tabla15[[#This Row],[Diferencia]],1):Tabla15[[#This Row],[Diferencia]])</f>
        <v>-1</v>
      </c>
      <c r="AB299" s="446"/>
      <c r="AC299" s="427"/>
      <c r="AD299" s="427"/>
      <c r="AE299" s="427"/>
      <c r="AF299" s="427"/>
      <c r="AG299" s="427"/>
      <c r="AH299" s="427"/>
      <c r="AI299" s="427"/>
      <c r="AJ299" s="427"/>
      <c r="AK299" s="427"/>
      <c r="AL299" s="427"/>
      <c r="AM299" s="427"/>
      <c r="AN299" s="427"/>
      <c r="AO299" s="427"/>
      <c r="AP299" s="427"/>
      <c r="AQ299" s="427"/>
    </row>
    <row r="300" spans="1:43" ht="16" customHeight="1">
      <c r="A300" s="427"/>
      <c r="B300" s="427"/>
      <c r="C300" s="428">
        <v>267</v>
      </c>
      <c r="D300" s="456">
        <v>46289</v>
      </c>
      <c r="E300" s="962"/>
      <c r="F300" s="958">
        <f>Tabla15[[#This Row],[Retiros]]-Tabla15[[#This Row],[Contado]]</f>
        <v>0</v>
      </c>
      <c r="G300" s="962"/>
      <c r="H300" s="962"/>
      <c r="I300" s="962"/>
      <c r="J300" s="962"/>
      <c r="K300" s="962"/>
      <c r="L300" s="962"/>
      <c r="M300" s="962"/>
      <c r="N300" s="959">
        <f>Tabla15[[#This Row],[Contado]]</f>
        <v>0</v>
      </c>
      <c r="O300" s="962"/>
      <c r="P300" s="443">
        <f>((Tabla15[[#This Row],[Contado]]+Tabla15[[#This Row],[Visa]]+Tabla15[[#This Row],[Eventos]]+Tabla15[[#This Row],[Passo]]+Tabla15[[#This Row],[Reciclajes]])/1.1)+Tabla15[[#This Row],[Tickets]]</f>
        <v>0</v>
      </c>
      <c r="Q300" s="450">
        <v>0</v>
      </c>
      <c r="R300" s="445">
        <f t="shared" si="12"/>
        <v>0</v>
      </c>
      <c r="S300" s="446"/>
      <c r="T300" s="447">
        <v>838.75</v>
      </c>
      <c r="U300" s="447">
        <f>Tabla15[[#This Row],[Total Caja]]-Tabla15[[#This Row],[Facturació A/A]]</f>
        <v>-838.75</v>
      </c>
      <c r="V300" s="447">
        <f t="shared" si="13"/>
        <v>-155082.29909090904</v>
      </c>
      <c r="W300" s="450">
        <f>Tabla15[[#This Row],[Diferencia]]/Tabla15[[#This Row],[Facturació A/A]]</f>
        <v>-1</v>
      </c>
      <c r="X300" s="447">
        <f>Tabla15[[#This Row],[Facturació A/A]]*H$17+Tabla15[[#This Row],[Facturació A/A]]</f>
        <v>863.91250000000002</v>
      </c>
      <c r="Y300" s="447">
        <f>Tabla15[[#This Row],[Total Caja]]-Tabla15[[#This Row],[Previsión]]</f>
        <v>-863.91250000000002</v>
      </c>
      <c r="Z300" s="446"/>
      <c r="AA300" s="447">
        <f>SUM(INDEX(Tabla15[[#This Row],[Facturació A/A]],1):Tabla15[[#This Row],[Facturació A/A]]) / SUM(INDEX(Tabla15[[#This Row],[Diferencia]],1):Tabla15[[#This Row],[Diferencia]])</f>
        <v>-1</v>
      </c>
      <c r="AB300" s="446"/>
      <c r="AC300" s="427"/>
      <c r="AD300" s="427"/>
      <c r="AE300" s="427"/>
      <c r="AF300" s="427"/>
      <c r="AG300" s="427"/>
      <c r="AH300" s="427"/>
      <c r="AI300" s="427"/>
      <c r="AJ300" s="427"/>
      <c r="AK300" s="427"/>
      <c r="AL300" s="427"/>
      <c r="AM300" s="427"/>
      <c r="AN300" s="427"/>
      <c r="AO300" s="427"/>
      <c r="AP300" s="427"/>
      <c r="AQ300" s="427"/>
    </row>
    <row r="301" spans="1:43" ht="16" customHeight="1">
      <c r="A301" s="427"/>
      <c r="B301" s="427"/>
      <c r="C301" s="428">
        <v>268</v>
      </c>
      <c r="D301" s="456">
        <v>46290</v>
      </c>
      <c r="E301" s="962"/>
      <c r="F301" s="958">
        <f>Tabla15[[#This Row],[Retiros]]-Tabla15[[#This Row],[Contado]]</f>
        <v>0</v>
      </c>
      <c r="G301" s="962"/>
      <c r="H301" s="962"/>
      <c r="I301" s="962"/>
      <c r="J301" s="962"/>
      <c r="K301" s="962"/>
      <c r="L301" s="962"/>
      <c r="M301" s="962"/>
      <c r="N301" s="959">
        <f>Tabla15[[#This Row],[Contado]]</f>
        <v>0</v>
      </c>
      <c r="O301" s="962"/>
      <c r="P301" s="443">
        <f>((Tabla15[[#This Row],[Contado]]+Tabla15[[#This Row],[Visa]]+Tabla15[[#This Row],[Eventos]]+Tabla15[[#This Row],[Passo]]+Tabla15[[#This Row],[Reciclajes]])/1.1)+Tabla15[[#This Row],[Tickets]]</f>
        <v>0</v>
      </c>
      <c r="Q301" s="450">
        <v>0</v>
      </c>
      <c r="R301" s="445">
        <f t="shared" si="12"/>
        <v>0</v>
      </c>
      <c r="S301" s="446"/>
      <c r="T301" s="447">
        <v>566.54999999999995</v>
      </c>
      <c r="U301" s="447">
        <f>Tabla15[[#This Row],[Total Caja]]-Tabla15[[#This Row],[Facturació A/A]]</f>
        <v>-566.54999999999995</v>
      </c>
      <c r="V301" s="447">
        <f t="shared" si="13"/>
        <v>-155648.84909090903</v>
      </c>
      <c r="W301" s="450">
        <f>Tabla15[[#This Row],[Diferencia]]/Tabla15[[#This Row],[Facturació A/A]]</f>
        <v>-1</v>
      </c>
      <c r="X301" s="447">
        <f>Tabla15[[#This Row],[Facturació A/A]]*H$17+Tabla15[[#This Row],[Facturació A/A]]</f>
        <v>583.54649999999992</v>
      </c>
      <c r="Y301" s="447">
        <f>Tabla15[[#This Row],[Total Caja]]-Tabla15[[#This Row],[Previsión]]</f>
        <v>-583.54649999999992</v>
      </c>
      <c r="Z301" s="446"/>
      <c r="AA301" s="447">
        <f>SUM(INDEX(Tabla15[[#This Row],[Facturació A/A]],1):Tabla15[[#This Row],[Facturació A/A]]) / SUM(INDEX(Tabla15[[#This Row],[Diferencia]],1):Tabla15[[#This Row],[Diferencia]])</f>
        <v>-1</v>
      </c>
      <c r="AB301" s="446"/>
      <c r="AC301" s="427"/>
      <c r="AD301" s="427"/>
      <c r="AE301" s="427"/>
      <c r="AF301" s="427"/>
      <c r="AG301" s="427"/>
      <c r="AH301" s="427"/>
      <c r="AI301" s="427"/>
      <c r="AJ301" s="427"/>
      <c r="AK301" s="427"/>
      <c r="AL301" s="427"/>
      <c r="AM301" s="427"/>
      <c r="AN301" s="427"/>
      <c r="AO301" s="427"/>
      <c r="AP301" s="427"/>
      <c r="AQ301" s="427"/>
    </row>
    <row r="302" spans="1:43" ht="16" customHeight="1">
      <c r="A302" s="427"/>
      <c r="B302" s="427"/>
      <c r="C302" s="428">
        <v>269</v>
      </c>
      <c r="D302" s="456">
        <v>46291</v>
      </c>
      <c r="E302" s="962"/>
      <c r="F302" s="958">
        <f>Tabla15[[#This Row],[Retiros]]-Tabla15[[#This Row],[Contado]]</f>
        <v>0</v>
      </c>
      <c r="G302" s="962"/>
      <c r="H302" s="962"/>
      <c r="I302" s="962"/>
      <c r="J302" s="962"/>
      <c r="K302" s="962"/>
      <c r="L302" s="962"/>
      <c r="M302" s="962"/>
      <c r="N302" s="959">
        <f>Tabla15[[#This Row],[Contado]]</f>
        <v>0</v>
      </c>
      <c r="O302" s="962"/>
      <c r="P302" s="443">
        <f>((Tabla15[[#This Row],[Contado]]+Tabla15[[#This Row],[Visa]]+Tabla15[[#This Row],[Eventos]]+Tabla15[[#This Row],[Passo]]+Tabla15[[#This Row],[Reciclajes]])/1.1)+Tabla15[[#This Row],[Tickets]]</f>
        <v>0</v>
      </c>
      <c r="Q302" s="450">
        <v>0</v>
      </c>
      <c r="R302" s="445">
        <f t="shared" si="12"/>
        <v>0</v>
      </c>
      <c r="S302" s="446"/>
      <c r="T302" s="447">
        <v>1707.78</v>
      </c>
      <c r="U302" s="447">
        <f>Tabla15[[#This Row],[Total Caja]]-Tabla15[[#This Row],[Facturació A/A]]</f>
        <v>-1707.78</v>
      </c>
      <c r="V302" s="447">
        <f t="shared" si="13"/>
        <v>-157356.62909090903</v>
      </c>
      <c r="W302" s="450">
        <f>Tabla15[[#This Row],[Diferencia]]/Tabla15[[#This Row],[Facturació A/A]]</f>
        <v>-1</v>
      </c>
      <c r="X302" s="447">
        <f>Tabla15[[#This Row],[Facturació A/A]]*H$17+Tabla15[[#This Row],[Facturació A/A]]</f>
        <v>1759.0134</v>
      </c>
      <c r="Y302" s="447">
        <f>Tabla15[[#This Row],[Total Caja]]-Tabla15[[#This Row],[Previsión]]</f>
        <v>-1759.0134</v>
      </c>
      <c r="Z302" s="446"/>
      <c r="AA302" s="447">
        <f>SUM(INDEX(Tabla15[[#This Row],[Facturació A/A]],1):Tabla15[[#This Row],[Facturació A/A]]) / SUM(INDEX(Tabla15[[#This Row],[Diferencia]],1):Tabla15[[#This Row],[Diferencia]])</f>
        <v>-1</v>
      </c>
      <c r="AB302" s="446"/>
      <c r="AC302" s="427"/>
      <c r="AD302" s="427"/>
      <c r="AE302" s="427"/>
      <c r="AF302" s="427"/>
      <c r="AG302" s="427"/>
      <c r="AH302" s="427"/>
      <c r="AI302" s="427"/>
      <c r="AJ302" s="427"/>
      <c r="AK302" s="427"/>
      <c r="AL302" s="427"/>
      <c r="AM302" s="427"/>
      <c r="AN302" s="427"/>
      <c r="AO302" s="427"/>
      <c r="AP302" s="427"/>
      <c r="AQ302" s="427"/>
    </row>
    <row r="303" spans="1:43" ht="16" customHeight="1">
      <c r="A303" s="427"/>
      <c r="B303" s="427"/>
      <c r="C303" s="428">
        <v>270</v>
      </c>
      <c r="D303" s="456">
        <v>46292</v>
      </c>
      <c r="E303" s="962"/>
      <c r="F303" s="958">
        <f>Tabla15[[#This Row],[Retiros]]-Tabla15[[#This Row],[Contado]]</f>
        <v>0</v>
      </c>
      <c r="G303" s="962"/>
      <c r="H303" s="962"/>
      <c r="I303" s="962"/>
      <c r="J303" s="962"/>
      <c r="K303" s="962"/>
      <c r="L303" s="962"/>
      <c r="M303" s="962"/>
      <c r="N303" s="959">
        <f>Tabla15[[#This Row],[Contado]]</f>
        <v>0</v>
      </c>
      <c r="O303" s="962"/>
      <c r="P303" s="443">
        <f>((Tabla15[[#This Row],[Contado]]+Tabla15[[#This Row],[Visa]]+Tabla15[[#This Row],[Eventos]]+Tabla15[[#This Row],[Passo]]+Tabla15[[#This Row],[Reciclajes]])/1.1)+Tabla15[[#This Row],[Tickets]]</f>
        <v>0</v>
      </c>
      <c r="Q303" s="450">
        <v>0</v>
      </c>
      <c r="R303" s="445">
        <f t="shared" si="12"/>
        <v>0</v>
      </c>
      <c r="S303" s="446"/>
      <c r="T303" s="447">
        <v>1609.26</v>
      </c>
      <c r="U303" s="447">
        <f>Tabla15[[#This Row],[Total Caja]]-Tabla15[[#This Row],[Facturació A/A]]</f>
        <v>-1609.26</v>
      </c>
      <c r="V303" s="447">
        <f t="shared" si="13"/>
        <v>-158965.88909090904</v>
      </c>
      <c r="W303" s="450">
        <f>Tabla15[[#This Row],[Diferencia]]/Tabla15[[#This Row],[Facturació A/A]]</f>
        <v>-1</v>
      </c>
      <c r="X303" s="447">
        <f>Tabla15[[#This Row],[Facturació A/A]]*H$17+Tabla15[[#This Row],[Facturació A/A]]</f>
        <v>1657.5378000000001</v>
      </c>
      <c r="Y303" s="447">
        <f>Tabla15[[#This Row],[Total Caja]]-Tabla15[[#This Row],[Previsión]]</f>
        <v>-1657.5378000000001</v>
      </c>
      <c r="Z303" s="446"/>
      <c r="AA303" s="447">
        <f>SUM(INDEX(Tabla15[[#This Row],[Facturació A/A]],1):Tabla15[[#This Row],[Facturació A/A]]) / SUM(INDEX(Tabla15[[#This Row],[Diferencia]],1):Tabla15[[#This Row],[Diferencia]])</f>
        <v>-1</v>
      </c>
      <c r="AB303" s="446"/>
      <c r="AC303" s="427"/>
      <c r="AD303" s="427"/>
      <c r="AE303" s="427"/>
      <c r="AF303" s="427"/>
      <c r="AG303" s="427"/>
      <c r="AH303" s="427"/>
      <c r="AI303" s="427"/>
      <c r="AJ303" s="427"/>
      <c r="AK303" s="427"/>
      <c r="AL303" s="427"/>
      <c r="AM303" s="427"/>
      <c r="AN303" s="427"/>
      <c r="AO303" s="427"/>
      <c r="AP303" s="427"/>
      <c r="AQ303" s="427"/>
    </row>
    <row r="304" spans="1:43" ht="16" customHeight="1">
      <c r="A304" s="427"/>
      <c r="B304" s="427"/>
      <c r="C304" s="428">
        <v>271</v>
      </c>
      <c r="D304" s="456">
        <v>46293</v>
      </c>
      <c r="E304" s="962"/>
      <c r="F304" s="958">
        <f>Tabla15[[#This Row],[Retiros]]-Tabla15[[#This Row],[Contado]]</f>
        <v>0</v>
      </c>
      <c r="G304" s="962"/>
      <c r="H304" s="962"/>
      <c r="I304" s="962"/>
      <c r="J304" s="962"/>
      <c r="K304" s="962"/>
      <c r="L304" s="962"/>
      <c r="M304" s="962"/>
      <c r="N304" s="959">
        <f>Tabla15[[#This Row],[Contado]]</f>
        <v>0</v>
      </c>
      <c r="O304" s="962"/>
      <c r="P304" s="443">
        <f>((Tabla15[[#This Row],[Contado]]+Tabla15[[#This Row],[Visa]]+Tabla15[[#This Row],[Eventos]]+Tabla15[[#This Row],[Passo]]+Tabla15[[#This Row],[Reciclajes]])/1.1)+Tabla15[[#This Row],[Tickets]]</f>
        <v>0</v>
      </c>
      <c r="Q304" s="450">
        <v>0</v>
      </c>
      <c r="R304" s="445">
        <f t="shared" si="12"/>
        <v>0</v>
      </c>
      <c r="S304" s="446"/>
      <c r="T304" s="447">
        <v>0</v>
      </c>
      <c r="U304" s="447">
        <f>Tabla15[[#This Row],[Total Caja]]-Tabla15[[#This Row],[Facturació A/A]]</f>
        <v>0</v>
      </c>
      <c r="V304" s="447">
        <f t="shared" si="13"/>
        <v>-158965.88909090904</v>
      </c>
      <c r="W304" s="450" t="e">
        <f>Tabla15[[#This Row],[Diferencia]]/Tabla15[[#This Row],[Facturació A/A]]</f>
        <v>#DIV/0!</v>
      </c>
      <c r="X304" s="447">
        <f>Tabla15[[#This Row],[Facturació A/A]]*H$17+Tabla15[[#This Row],[Facturació A/A]]</f>
        <v>0</v>
      </c>
      <c r="Y304" s="447">
        <f>Tabla15[[#This Row],[Total Caja]]-Tabla15[[#This Row],[Previsión]]</f>
        <v>0</v>
      </c>
      <c r="Z304" s="446"/>
      <c r="AA304" s="447" t="e">
        <f>SUM(INDEX(Tabla15[[#This Row],[Facturació A/A]],1):Tabla15[[#This Row],[Facturació A/A]]) / SUM(INDEX(Tabla15[[#This Row],[Diferencia]],1):Tabla15[[#This Row],[Diferencia]])</f>
        <v>#DIV/0!</v>
      </c>
      <c r="AB304" s="446"/>
      <c r="AC304" s="427"/>
      <c r="AD304" s="427"/>
      <c r="AE304" s="427"/>
      <c r="AF304" s="427"/>
      <c r="AG304" s="427"/>
      <c r="AH304" s="427"/>
      <c r="AI304" s="427"/>
      <c r="AJ304" s="427"/>
      <c r="AK304" s="427"/>
      <c r="AL304" s="427"/>
      <c r="AM304" s="427"/>
      <c r="AN304" s="427"/>
      <c r="AO304" s="427"/>
      <c r="AP304" s="427"/>
      <c r="AQ304" s="427"/>
    </row>
    <row r="305" spans="1:43" ht="16" customHeight="1">
      <c r="A305" s="427"/>
      <c r="B305" s="427"/>
      <c r="C305" s="428">
        <v>272</v>
      </c>
      <c r="D305" s="456">
        <v>46294</v>
      </c>
      <c r="E305" s="962"/>
      <c r="F305" s="958">
        <f>Tabla15[[#This Row],[Retiros]]-Tabla15[[#This Row],[Contado]]</f>
        <v>0</v>
      </c>
      <c r="G305" s="962"/>
      <c r="H305" s="962"/>
      <c r="I305" s="962"/>
      <c r="J305" s="962"/>
      <c r="K305" s="962"/>
      <c r="L305" s="962"/>
      <c r="M305" s="962"/>
      <c r="N305" s="959">
        <f>Tabla15[[#This Row],[Contado]]</f>
        <v>0</v>
      </c>
      <c r="O305" s="962"/>
      <c r="P305" s="443">
        <f>((Tabla15[[#This Row],[Contado]]+Tabla15[[#This Row],[Visa]]+Tabla15[[#This Row],[Eventos]]+Tabla15[[#This Row],[Passo]]+Tabla15[[#This Row],[Reciclajes]])/1.1)+Tabla15[[#This Row],[Tickets]]</f>
        <v>0</v>
      </c>
      <c r="Q305" s="450">
        <v>0</v>
      </c>
      <c r="R305" s="445">
        <f t="shared" si="12"/>
        <v>0</v>
      </c>
      <c r="S305" s="446"/>
      <c r="T305" s="447">
        <v>0</v>
      </c>
      <c r="U305" s="447">
        <f>Tabla15[[#This Row],[Total Caja]]-Tabla15[[#This Row],[Facturació A/A]]</f>
        <v>0</v>
      </c>
      <c r="V305" s="447">
        <f t="shared" si="13"/>
        <v>-158965.88909090904</v>
      </c>
      <c r="W305" s="450" t="e">
        <f>Tabla15[[#This Row],[Diferencia]]/Tabla15[[#This Row],[Facturació A/A]]</f>
        <v>#DIV/0!</v>
      </c>
      <c r="X305" s="447">
        <f>Tabla15[[#This Row],[Facturació A/A]]*H$17+Tabla15[[#This Row],[Facturació A/A]]</f>
        <v>0</v>
      </c>
      <c r="Y305" s="447">
        <f>Tabla15[[#This Row],[Total Caja]]-Tabla15[[#This Row],[Previsión]]</f>
        <v>0</v>
      </c>
      <c r="Z305" s="446"/>
      <c r="AA305" s="447" t="e">
        <f>SUM(INDEX(Tabla15[[#This Row],[Facturació A/A]],1):Tabla15[[#This Row],[Facturació A/A]]) / SUM(INDEX(Tabla15[[#This Row],[Diferencia]],1):Tabla15[[#This Row],[Diferencia]])</f>
        <v>#DIV/0!</v>
      </c>
      <c r="AB305" s="446"/>
      <c r="AC305" s="427"/>
      <c r="AD305" s="427"/>
      <c r="AE305" s="427"/>
      <c r="AF305" s="427"/>
      <c r="AG305" s="427"/>
      <c r="AH305" s="427"/>
      <c r="AI305" s="427"/>
      <c r="AJ305" s="427"/>
      <c r="AK305" s="427"/>
      <c r="AL305" s="427"/>
      <c r="AM305" s="427"/>
      <c r="AN305" s="427"/>
      <c r="AO305" s="427"/>
      <c r="AP305" s="427"/>
      <c r="AQ305" s="427"/>
    </row>
    <row r="306" spans="1:43" ht="16" customHeight="1">
      <c r="A306" s="427"/>
      <c r="B306" s="427"/>
      <c r="C306" s="428">
        <v>273</v>
      </c>
      <c r="D306" s="456">
        <v>46295</v>
      </c>
      <c r="E306" s="962"/>
      <c r="F306" s="958">
        <f>Tabla15[[#This Row],[Retiros]]-Tabla15[[#This Row],[Contado]]</f>
        <v>0</v>
      </c>
      <c r="G306" s="962"/>
      <c r="H306" s="962"/>
      <c r="I306" s="962"/>
      <c r="J306" s="962"/>
      <c r="K306" s="962"/>
      <c r="L306" s="962"/>
      <c r="M306" s="962"/>
      <c r="N306" s="959">
        <f>Tabla15[[#This Row],[Contado]]</f>
        <v>0</v>
      </c>
      <c r="O306" s="962"/>
      <c r="P306" s="443">
        <f>((Tabla15[[#This Row],[Contado]]+Tabla15[[#This Row],[Visa]]+Tabla15[[#This Row],[Eventos]]+Tabla15[[#This Row],[Passo]]+Tabla15[[#This Row],[Reciclajes]])/1.1)+Tabla15[[#This Row],[Tickets]]</f>
        <v>0</v>
      </c>
      <c r="Q306" s="450">
        <v>0</v>
      </c>
      <c r="R306" s="445">
        <f t="shared" si="12"/>
        <v>0</v>
      </c>
      <c r="S306" s="446"/>
      <c r="T306" s="447">
        <v>722.18</v>
      </c>
      <c r="U306" s="447">
        <f>Tabla15[[#This Row],[Total Caja]]-Tabla15[[#This Row],[Facturació A/A]]</f>
        <v>-722.18</v>
      </c>
      <c r="V306" s="447">
        <f t="shared" si="13"/>
        <v>-159688.06909090903</v>
      </c>
      <c r="W306" s="450">
        <f>Tabla15[[#This Row],[Diferencia]]/Tabla15[[#This Row],[Facturació A/A]]</f>
        <v>-1</v>
      </c>
      <c r="X306" s="447">
        <f>Tabla15[[#This Row],[Facturació A/A]]*H$17+Tabla15[[#This Row],[Facturació A/A]]</f>
        <v>743.84539999999993</v>
      </c>
      <c r="Y306" s="447">
        <f>Tabla15[[#This Row],[Total Caja]]-Tabla15[[#This Row],[Previsión]]</f>
        <v>-743.84539999999993</v>
      </c>
      <c r="Z306" s="446"/>
      <c r="AA306" s="447">
        <f>SUM(INDEX(Tabla15[[#This Row],[Facturació A/A]],1):Tabla15[[#This Row],[Facturació A/A]]) / SUM(INDEX(Tabla15[[#This Row],[Diferencia]],1):Tabla15[[#This Row],[Diferencia]])</f>
        <v>-1</v>
      </c>
      <c r="AB306" s="446"/>
      <c r="AC306" s="427"/>
      <c r="AD306" s="427"/>
      <c r="AE306" s="427"/>
      <c r="AF306" s="427"/>
      <c r="AG306" s="427"/>
      <c r="AH306" s="427"/>
      <c r="AI306" s="427"/>
      <c r="AJ306" s="427"/>
      <c r="AK306" s="427"/>
      <c r="AL306" s="427"/>
      <c r="AM306" s="427"/>
      <c r="AN306" s="427"/>
      <c r="AO306" s="427"/>
      <c r="AP306" s="427"/>
      <c r="AQ306" s="427"/>
    </row>
    <row r="307" spans="1:43" ht="16" customHeight="1">
      <c r="A307" s="427"/>
      <c r="B307" s="427"/>
      <c r="C307" s="428">
        <v>274</v>
      </c>
      <c r="D307" s="456">
        <v>46296</v>
      </c>
      <c r="E307" s="962"/>
      <c r="F307" s="958">
        <f>Tabla15[[#This Row],[Retiros]]-Tabla15[[#This Row],[Contado]]</f>
        <v>0</v>
      </c>
      <c r="G307" s="962"/>
      <c r="H307" s="962"/>
      <c r="I307" s="962"/>
      <c r="J307" s="962"/>
      <c r="K307" s="962"/>
      <c r="L307" s="962"/>
      <c r="M307" s="962"/>
      <c r="N307" s="959">
        <f>Tabla15[[#This Row],[Contado]]</f>
        <v>0</v>
      </c>
      <c r="O307" s="962"/>
      <c r="P307" s="443">
        <f>((Tabla15[[#This Row],[Contado]]+Tabla15[[#This Row],[Visa]]+Tabla15[[#This Row],[Eventos]]+Tabla15[[#This Row],[Passo]]+Tabla15[[#This Row],[Reciclajes]])/1.1)+Tabla15[[#This Row],[Tickets]]</f>
        <v>0</v>
      </c>
      <c r="Q307" s="450">
        <v>0</v>
      </c>
      <c r="R307" s="445">
        <f t="shared" si="12"/>
        <v>0</v>
      </c>
      <c r="S307" s="446"/>
      <c r="T307" s="447">
        <v>624.72</v>
      </c>
      <c r="U307" s="447">
        <f>Tabla15[[#This Row],[Total Caja]]-Tabla15[[#This Row],[Facturació A/A]]</f>
        <v>-624.72</v>
      </c>
      <c r="V307" s="447">
        <f t="shared" si="13"/>
        <v>-160312.78909090903</v>
      </c>
      <c r="W307" s="450">
        <f>Tabla15[[#This Row],[Diferencia]]/Tabla15[[#This Row],[Facturació A/A]]</f>
        <v>-1</v>
      </c>
      <c r="X307" s="447">
        <f>Tabla15[[#This Row],[Facturació A/A]]*H$17+Tabla15[[#This Row],[Facturació A/A]]</f>
        <v>643.46159999999998</v>
      </c>
      <c r="Y307" s="447">
        <f>Tabla15[[#This Row],[Total Caja]]-Tabla15[[#This Row],[Previsión]]</f>
        <v>-643.46159999999998</v>
      </c>
      <c r="Z307" s="446"/>
      <c r="AA307" s="447">
        <f>SUM(INDEX(Tabla15[[#This Row],[Facturació A/A]],1):Tabla15[[#This Row],[Facturació A/A]]) / SUM(INDEX(Tabla15[[#This Row],[Diferencia]],1):Tabla15[[#This Row],[Diferencia]])</f>
        <v>-1</v>
      </c>
      <c r="AB307" s="446"/>
      <c r="AC307" s="427"/>
      <c r="AD307" s="427"/>
      <c r="AE307" s="427"/>
      <c r="AF307" s="427"/>
      <c r="AG307" s="427"/>
      <c r="AH307" s="427"/>
      <c r="AI307" s="427"/>
      <c r="AJ307" s="427"/>
      <c r="AK307" s="427"/>
      <c r="AL307" s="427"/>
      <c r="AM307" s="427"/>
      <c r="AN307" s="427"/>
      <c r="AO307" s="427"/>
      <c r="AP307" s="427"/>
      <c r="AQ307" s="427"/>
    </row>
    <row r="308" spans="1:43" ht="16" customHeight="1">
      <c r="A308" s="427"/>
      <c r="B308" s="427"/>
      <c r="C308" s="428">
        <v>275</v>
      </c>
      <c r="D308" s="456">
        <v>46297</v>
      </c>
      <c r="E308" s="962"/>
      <c r="F308" s="958">
        <f>Tabla15[[#This Row],[Retiros]]-Tabla15[[#This Row],[Contado]]</f>
        <v>0</v>
      </c>
      <c r="G308" s="962"/>
      <c r="H308" s="962"/>
      <c r="I308" s="962"/>
      <c r="J308" s="962"/>
      <c r="K308" s="962"/>
      <c r="L308" s="962"/>
      <c r="M308" s="962"/>
      <c r="N308" s="959">
        <f>Tabla15[[#This Row],[Contado]]</f>
        <v>0</v>
      </c>
      <c r="O308" s="962"/>
      <c r="P308" s="443">
        <f>((Tabla15[[#This Row],[Contado]]+Tabla15[[#This Row],[Visa]]+Tabla15[[#This Row],[Eventos]]+Tabla15[[#This Row],[Passo]]+Tabla15[[#This Row],[Reciclajes]])/1.1)+Tabla15[[#This Row],[Tickets]]</f>
        <v>0</v>
      </c>
      <c r="Q308" s="450">
        <v>0</v>
      </c>
      <c r="R308" s="445">
        <f t="shared" si="12"/>
        <v>0</v>
      </c>
      <c r="S308" s="446"/>
      <c r="T308" s="447">
        <v>1695.16</v>
      </c>
      <c r="U308" s="447">
        <f>Tabla15[[#This Row],[Total Caja]]-Tabla15[[#This Row],[Facturació A/A]]</f>
        <v>-1695.16</v>
      </c>
      <c r="V308" s="447">
        <f t="shared" si="13"/>
        <v>-162007.94909090904</v>
      </c>
      <c r="W308" s="450">
        <f>Tabla15[[#This Row],[Diferencia]]/Tabla15[[#This Row],[Facturació A/A]]</f>
        <v>-1</v>
      </c>
      <c r="X308" s="447">
        <f>Tabla15[[#This Row],[Facturació A/A]]*H$17+Tabla15[[#This Row],[Facturació A/A]]</f>
        <v>1746.0148000000002</v>
      </c>
      <c r="Y308" s="447">
        <f>Tabla15[[#This Row],[Total Caja]]-Tabla15[[#This Row],[Previsión]]</f>
        <v>-1746.0148000000002</v>
      </c>
      <c r="Z308" s="446"/>
      <c r="AA308" s="447">
        <f>SUM(INDEX(Tabla15[[#This Row],[Facturació A/A]],1):Tabla15[[#This Row],[Facturació A/A]]) / SUM(INDEX(Tabla15[[#This Row],[Diferencia]],1):Tabla15[[#This Row],[Diferencia]])</f>
        <v>-1</v>
      </c>
      <c r="AB308" s="446"/>
      <c r="AC308" s="427"/>
      <c r="AD308" s="427"/>
      <c r="AE308" s="427"/>
      <c r="AF308" s="427"/>
      <c r="AG308" s="427"/>
      <c r="AH308" s="427"/>
      <c r="AI308" s="427"/>
      <c r="AJ308" s="427"/>
      <c r="AK308" s="427"/>
      <c r="AL308" s="427"/>
      <c r="AM308" s="427"/>
      <c r="AN308" s="427"/>
      <c r="AO308" s="427"/>
      <c r="AP308" s="427"/>
      <c r="AQ308" s="427"/>
    </row>
    <row r="309" spans="1:43" ht="16" customHeight="1">
      <c r="A309" s="427"/>
      <c r="B309" s="427"/>
      <c r="C309" s="428">
        <v>276</v>
      </c>
      <c r="D309" s="456">
        <v>46298</v>
      </c>
      <c r="E309" s="962"/>
      <c r="F309" s="958">
        <f>Tabla15[[#This Row],[Retiros]]-Tabla15[[#This Row],[Contado]]</f>
        <v>0</v>
      </c>
      <c r="G309" s="962"/>
      <c r="H309" s="962"/>
      <c r="I309" s="962"/>
      <c r="J309" s="962"/>
      <c r="K309" s="962"/>
      <c r="L309" s="962"/>
      <c r="M309" s="962"/>
      <c r="N309" s="959">
        <f>Tabla15[[#This Row],[Contado]]</f>
        <v>0</v>
      </c>
      <c r="O309" s="962"/>
      <c r="P309" s="443">
        <f>((Tabla15[[#This Row],[Contado]]+Tabla15[[#This Row],[Visa]]+Tabla15[[#This Row],[Eventos]]+Tabla15[[#This Row],[Passo]]+Tabla15[[#This Row],[Reciclajes]])/1.1)+Tabla15[[#This Row],[Tickets]]</f>
        <v>0</v>
      </c>
      <c r="Q309" s="450">
        <v>0</v>
      </c>
      <c r="R309" s="445">
        <f t="shared" si="12"/>
        <v>0</v>
      </c>
      <c r="S309" s="446"/>
      <c r="T309" s="447">
        <v>1708.85</v>
      </c>
      <c r="U309" s="447">
        <f>Tabla15[[#This Row],[Total Caja]]-Tabla15[[#This Row],[Facturació A/A]]</f>
        <v>-1708.85</v>
      </c>
      <c r="V309" s="447">
        <f t="shared" si="13"/>
        <v>-163716.79909090904</v>
      </c>
      <c r="W309" s="450">
        <f>Tabla15[[#This Row],[Diferencia]]/Tabla15[[#This Row],[Facturació A/A]]</f>
        <v>-1</v>
      </c>
      <c r="X309" s="447">
        <f>Tabla15[[#This Row],[Facturació A/A]]*H$17+Tabla15[[#This Row],[Facturació A/A]]</f>
        <v>1760.1154999999999</v>
      </c>
      <c r="Y309" s="447">
        <f>Tabla15[[#This Row],[Total Caja]]-Tabla15[[#This Row],[Previsión]]</f>
        <v>-1760.1154999999999</v>
      </c>
      <c r="Z309" s="446"/>
      <c r="AA309" s="447">
        <f>SUM(INDEX(Tabla15[[#This Row],[Facturació A/A]],1):Tabla15[[#This Row],[Facturació A/A]]) / SUM(INDEX(Tabla15[[#This Row],[Diferencia]],1):Tabla15[[#This Row],[Diferencia]])</f>
        <v>-1</v>
      </c>
      <c r="AB309" s="446"/>
      <c r="AC309" s="427"/>
      <c r="AD309" s="427"/>
      <c r="AE309" s="427"/>
      <c r="AF309" s="427"/>
      <c r="AG309" s="427"/>
      <c r="AH309" s="427"/>
      <c r="AI309" s="427"/>
      <c r="AJ309" s="427"/>
      <c r="AK309" s="427"/>
      <c r="AL309" s="427"/>
      <c r="AM309" s="427"/>
      <c r="AN309" s="427"/>
      <c r="AO309" s="427"/>
      <c r="AP309" s="427"/>
      <c r="AQ309" s="427"/>
    </row>
    <row r="310" spans="1:43" ht="16" customHeight="1">
      <c r="A310" s="427"/>
      <c r="B310" s="427"/>
      <c r="C310" s="428">
        <v>277</v>
      </c>
      <c r="D310" s="456">
        <v>46299</v>
      </c>
      <c r="E310" s="962"/>
      <c r="F310" s="958">
        <f>Tabla15[[#This Row],[Retiros]]-Tabla15[[#This Row],[Contado]]</f>
        <v>0</v>
      </c>
      <c r="G310" s="962"/>
      <c r="H310" s="962"/>
      <c r="I310" s="962"/>
      <c r="J310" s="962"/>
      <c r="K310" s="962"/>
      <c r="L310" s="962"/>
      <c r="M310" s="962"/>
      <c r="N310" s="959">
        <f>Tabla15[[#This Row],[Contado]]</f>
        <v>0</v>
      </c>
      <c r="O310" s="962"/>
      <c r="P310" s="443">
        <f>((Tabla15[[#This Row],[Contado]]+Tabla15[[#This Row],[Visa]]+Tabla15[[#This Row],[Eventos]]+Tabla15[[#This Row],[Passo]]+Tabla15[[#This Row],[Reciclajes]])/1.1)+Tabla15[[#This Row],[Tickets]]</f>
        <v>0</v>
      </c>
      <c r="Q310" s="450">
        <v>0</v>
      </c>
      <c r="R310" s="445">
        <f t="shared" si="12"/>
        <v>0</v>
      </c>
      <c r="S310" s="446"/>
      <c r="T310" s="447">
        <v>1919.39</v>
      </c>
      <c r="U310" s="447">
        <f>Tabla15[[#This Row],[Total Caja]]-Tabla15[[#This Row],[Facturació A/A]]</f>
        <v>-1919.39</v>
      </c>
      <c r="V310" s="447">
        <f t="shared" si="13"/>
        <v>-165636.18909090906</v>
      </c>
      <c r="W310" s="450">
        <f>Tabla15[[#This Row],[Diferencia]]/Tabla15[[#This Row],[Facturació A/A]]</f>
        <v>-1</v>
      </c>
      <c r="X310" s="447">
        <f>Tabla15[[#This Row],[Facturació A/A]]*H$17+Tabla15[[#This Row],[Facturació A/A]]</f>
        <v>1976.9717000000001</v>
      </c>
      <c r="Y310" s="447">
        <f>Tabla15[[#This Row],[Total Caja]]-Tabla15[[#This Row],[Previsión]]</f>
        <v>-1976.9717000000001</v>
      </c>
      <c r="Z310" s="446"/>
      <c r="AA310" s="447">
        <f>SUM(INDEX(Tabla15[[#This Row],[Facturació A/A]],1):Tabla15[[#This Row],[Facturació A/A]]) / SUM(INDEX(Tabla15[[#This Row],[Diferencia]],1):Tabla15[[#This Row],[Diferencia]])</f>
        <v>-1</v>
      </c>
      <c r="AB310" s="446"/>
      <c r="AC310" s="427"/>
      <c r="AD310" s="427"/>
      <c r="AE310" s="427"/>
      <c r="AF310" s="427"/>
      <c r="AG310" s="427"/>
      <c r="AH310" s="427"/>
      <c r="AI310" s="427"/>
      <c r="AJ310" s="427"/>
      <c r="AK310" s="427"/>
      <c r="AL310" s="427"/>
      <c r="AM310" s="427"/>
      <c r="AN310" s="427"/>
      <c r="AO310" s="427"/>
      <c r="AP310" s="427"/>
      <c r="AQ310" s="427"/>
    </row>
    <row r="311" spans="1:43" ht="16" customHeight="1">
      <c r="A311" s="427"/>
      <c r="B311" s="427"/>
      <c r="C311" s="428">
        <v>278</v>
      </c>
      <c r="D311" s="456">
        <v>46300</v>
      </c>
      <c r="E311" s="962"/>
      <c r="F311" s="958">
        <f>Tabla15[[#This Row],[Retiros]]-Tabla15[[#This Row],[Contado]]</f>
        <v>0</v>
      </c>
      <c r="G311" s="962"/>
      <c r="H311" s="962"/>
      <c r="I311" s="962"/>
      <c r="J311" s="962"/>
      <c r="K311" s="962"/>
      <c r="L311" s="962"/>
      <c r="M311" s="962"/>
      <c r="N311" s="959">
        <f>Tabla15[[#This Row],[Contado]]</f>
        <v>0</v>
      </c>
      <c r="O311" s="962"/>
      <c r="P311" s="443">
        <f>((Tabla15[[#This Row],[Contado]]+Tabla15[[#This Row],[Visa]]+Tabla15[[#This Row],[Eventos]]+Tabla15[[#This Row],[Passo]]+Tabla15[[#This Row],[Reciclajes]])/1.1)+Tabla15[[#This Row],[Tickets]]</f>
        <v>0</v>
      </c>
      <c r="Q311" s="450">
        <v>0</v>
      </c>
      <c r="R311" s="445">
        <f t="shared" si="12"/>
        <v>0</v>
      </c>
      <c r="S311" s="446"/>
      <c r="T311" s="447">
        <v>0</v>
      </c>
      <c r="U311" s="447">
        <f>Tabla15[[#This Row],[Total Caja]]-Tabla15[[#This Row],[Facturació A/A]]</f>
        <v>0</v>
      </c>
      <c r="V311" s="447">
        <f t="shared" si="13"/>
        <v>-165636.18909090906</v>
      </c>
      <c r="W311" s="450" t="e">
        <f>Tabla15[[#This Row],[Diferencia]]/Tabla15[[#This Row],[Facturació A/A]]</f>
        <v>#DIV/0!</v>
      </c>
      <c r="X311" s="447">
        <f>Tabla15[[#This Row],[Facturació A/A]]*H$17+Tabla15[[#This Row],[Facturació A/A]]</f>
        <v>0</v>
      </c>
      <c r="Y311" s="447">
        <f>Tabla15[[#This Row],[Total Caja]]-Tabla15[[#This Row],[Previsión]]</f>
        <v>0</v>
      </c>
      <c r="Z311" s="446"/>
      <c r="AA311" s="447" t="e">
        <f>SUM(INDEX(Tabla15[[#This Row],[Facturació A/A]],1):Tabla15[[#This Row],[Facturació A/A]]) / SUM(INDEX(Tabla15[[#This Row],[Diferencia]],1):Tabla15[[#This Row],[Diferencia]])</f>
        <v>#DIV/0!</v>
      </c>
      <c r="AB311" s="446"/>
      <c r="AC311" s="427"/>
      <c r="AD311" s="427"/>
      <c r="AE311" s="427"/>
      <c r="AF311" s="427"/>
      <c r="AG311" s="427"/>
      <c r="AH311" s="427"/>
      <c r="AI311" s="427"/>
      <c r="AJ311" s="427"/>
      <c r="AK311" s="427"/>
      <c r="AL311" s="427"/>
      <c r="AM311" s="427"/>
      <c r="AN311" s="427"/>
      <c r="AO311" s="427"/>
      <c r="AP311" s="427"/>
      <c r="AQ311" s="427"/>
    </row>
    <row r="312" spans="1:43" ht="16" customHeight="1">
      <c r="A312" s="427"/>
      <c r="B312" s="427"/>
      <c r="C312" s="428">
        <v>279</v>
      </c>
      <c r="D312" s="456">
        <v>46301</v>
      </c>
      <c r="E312" s="962"/>
      <c r="F312" s="958">
        <f>Tabla15[[#This Row],[Retiros]]-Tabla15[[#This Row],[Contado]]</f>
        <v>0</v>
      </c>
      <c r="G312" s="962"/>
      <c r="H312" s="962"/>
      <c r="I312" s="962"/>
      <c r="J312" s="962"/>
      <c r="K312" s="962"/>
      <c r="L312" s="962"/>
      <c r="M312" s="962"/>
      <c r="N312" s="959">
        <f>Tabla15[[#This Row],[Contado]]</f>
        <v>0</v>
      </c>
      <c r="O312" s="962"/>
      <c r="P312" s="443">
        <f>((Tabla15[[#This Row],[Contado]]+Tabla15[[#This Row],[Visa]]+Tabla15[[#This Row],[Eventos]]+Tabla15[[#This Row],[Passo]]+Tabla15[[#This Row],[Reciclajes]])/1.1)+Tabla15[[#This Row],[Tickets]]</f>
        <v>0</v>
      </c>
      <c r="Q312" s="450">
        <v>0</v>
      </c>
      <c r="R312" s="445">
        <f t="shared" si="12"/>
        <v>0</v>
      </c>
      <c r="S312" s="446"/>
      <c r="T312" s="447">
        <v>0</v>
      </c>
      <c r="U312" s="447">
        <f>Tabla15[[#This Row],[Total Caja]]-Tabla15[[#This Row],[Facturació A/A]]</f>
        <v>0</v>
      </c>
      <c r="V312" s="447">
        <f t="shared" si="13"/>
        <v>-165636.18909090906</v>
      </c>
      <c r="W312" s="450" t="e">
        <f>Tabla15[[#This Row],[Diferencia]]/Tabla15[[#This Row],[Facturació A/A]]</f>
        <v>#DIV/0!</v>
      </c>
      <c r="X312" s="447">
        <f>Tabla15[[#This Row],[Facturació A/A]]*H$17+Tabla15[[#This Row],[Facturació A/A]]</f>
        <v>0</v>
      </c>
      <c r="Y312" s="447">
        <f>Tabla15[[#This Row],[Total Caja]]-Tabla15[[#This Row],[Previsión]]</f>
        <v>0</v>
      </c>
      <c r="Z312" s="446"/>
      <c r="AA312" s="447" t="e">
        <f>SUM(INDEX(Tabla15[[#This Row],[Facturació A/A]],1):Tabla15[[#This Row],[Facturació A/A]]) / SUM(INDEX(Tabla15[[#This Row],[Diferencia]],1):Tabla15[[#This Row],[Diferencia]])</f>
        <v>#DIV/0!</v>
      </c>
      <c r="AB312" s="446"/>
      <c r="AC312" s="427"/>
      <c r="AD312" s="427"/>
      <c r="AE312" s="427"/>
      <c r="AF312" s="427"/>
      <c r="AG312" s="427"/>
      <c r="AH312" s="427"/>
      <c r="AI312" s="427"/>
      <c r="AJ312" s="427"/>
      <c r="AK312" s="427"/>
      <c r="AL312" s="427"/>
      <c r="AM312" s="427"/>
      <c r="AN312" s="427"/>
      <c r="AO312" s="427"/>
      <c r="AP312" s="427"/>
      <c r="AQ312" s="427"/>
    </row>
    <row r="313" spans="1:43" ht="16" customHeight="1">
      <c r="A313" s="427"/>
      <c r="B313" s="427"/>
      <c r="C313" s="428">
        <v>280</v>
      </c>
      <c r="D313" s="456">
        <v>46302</v>
      </c>
      <c r="E313" s="962"/>
      <c r="F313" s="958">
        <f>Tabla15[[#This Row],[Retiros]]-Tabla15[[#This Row],[Contado]]</f>
        <v>0</v>
      </c>
      <c r="G313" s="962"/>
      <c r="H313" s="962"/>
      <c r="I313" s="962"/>
      <c r="J313" s="962"/>
      <c r="K313" s="962"/>
      <c r="L313" s="962"/>
      <c r="M313" s="962"/>
      <c r="N313" s="959">
        <f>Tabla15[[#This Row],[Contado]]</f>
        <v>0</v>
      </c>
      <c r="O313" s="962"/>
      <c r="P313" s="443">
        <f>((Tabla15[[#This Row],[Contado]]+Tabla15[[#This Row],[Visa]]+Tabla15[[#This Row],[Eventos]]+Tabla15[[#This Row],[Passo]]+Tabla15[[#This Row],[Reciclajes]])/1.1)+Tabla15[[#This Row],[Tickets]]</f>
        <v>0</v>
      </c>
      <c r="Q313" s="450">
        <v>0</v>
      </c>
      <c r="R313" s="445">
        <f t="shared" si="12"/>
        <v>0</v>
      </c>
      <c r="S313" s="446"/>
      <c r="T313" s="447">
        <v>1029.4100000000001</v>
      </c>
      <c r="U313" s="447">
        <f>Tabla15[[#This Row],[Total Caja]]-Tabla15[[#This Row],[Facturació A/A]]</f>
        <v>-1029.4100000000001</v>
      </c>
      <c r="V313" s="447">
        <f t="shared" si="13"/>
        <v>-166665.59909090906</v>
      </c>
      <c r="W313" s="450">
        <f>Tabla15[[#This Row],[Diferencia]]/Tabla15[[#This Row],[Facturació A/A]]</f>
        <v>-1</v>
      </c>
      <c r="X313" s="447">
        <f>Tabla15[[#This Row],[Facturació A/A]]*H$17+Tabla15[[#This Row],[Facturació A/A]]</f>
        <v>1060.2923000000001</v>
      </c>
      <c r="Y313" s="447">
        <f>Tabla15[[#This Row],[Total Caja]]-Tabla15[[#This Row],[Previsión]]</f>
        <v>-1060.2923000000001</v>
      </c>
      <c r="Z313" s="446"/>
      <c r="AA313" s="447">
        <f>SUM(INDEX(Tabla15[[#This Row],[Facturació A/A]],1):Tabla15[[#This Row],[Facturació A/A]]) / SUM(INDEX(Tabla15[[#This Row],[Diferencia]],1):Tabla15[[#This Row],[Diferencia]])</f>
        <v>-1</v>
      </c>
      <c r="AB313" s="446"/>
      <c r="AC313" s="427"/>
      <c r="AD313" s="427"/>
      <c r="AE313" s="427"/>
      <c r="AF313" s="427"/>
      <c r="AG313" s="427"/>
      <c r="AH313" s="427"/>
      <c r="AI313" s="427"/>
      <c r="AJ313" s="427"/>
      <c r="AK313" s="427"/>
      <c r="AL313" s="427"/>
      <c r="AM313" s="427"/>
      <c r="AN313" s="427"/>
      <c r="AO313" s="427"/>
      <c r="AP313" s="427"/>
      <c r="AQ313" s="427"/>
    </row>
    <row r="314" spans="1:43" ht="16" customHeight="1">
      <c r="A314" s="427"/>
      <c r="B314" s="427"/>
      <c r="C314" s="428">
        <v>281</v>
      </c>
      <c r="D314" s="456">
        <v>46303</v>
      </c>
      <c r="E314" s="962"/>
      <c r="F314" s="958">
        <f>Tabla15[[#This Row],[Retiros]]-Tabla15[[#This Row],[Contado]]</f>
        <v>0</v>
      </c>
      <c r="G314" s="962"/>
      <c r="H314" s="962"/>
      <c r="I314" s="962"/>
      <c r="J314" s="962"/>
      <c r="K314" s="962"/>
      <c r="L314" s="962"/>
      <c r="M314" s="962"/>
      <c r="N314" s="959">
        <f>Tabla15[[#This Row],[Contado]]</f>
        <v>0</v>
      </c>
      <c r="O314" s="962"/>
      <c r="P314" s="443">
        <f>((Tabla15[[#This Row],[Contado]]+Tabla15[[#This Row],[Visa]]+Tabla15[[#This Row],[Eventos]]+Tabla15[[#This Row],[Passo]]+Tabla15[[#This Row],[Reciclajes]])/1.1)+Tabla15[[#This Row],[Tickets]]</f>
        <v>0</v>
      </c>
      <c r="Q314" s="450">
        <v>0</v>
      </c>
      <c r="R314" s="445">
        <f t="shared" si="12"/>
        <v>0</v>
      </c>
      <c r="S314" s="446"/>
      <c r="T314" s="447">
        <v>821.77</v>
      </c>
      <c r="U314" s="447">
        <f>Tabla15[[#This Row],[Total Caja]]-Tabla15[[#This Row],[Facturació A/A]]</f>
        <v>-821.77</v>
      </c>
      <c r="V314" s="447">
        <f t="shared" si="13"/>
        <v>-167487.36909090905</v>
      </c>
      <c r="W314" s="450">
        <f>Tabla15[[#This Row],[Diferencia]]/Tabla15[[#This Row],[Facturació A/A]]</f>
        <v>-1</v>
      </c>
      <c r="X314" s="447">
        <f>Tabla15[[#This Row],[Facturació A/A]]*H$17+Tabla15[[#This Row],[Facturació A/A]]</f>
        <v>846.42309999999998</v>
      </c>
      <c r="Y314" s="447">
        <f>Tabla15[[#This Row],[Total Caja]]-Tabla15[[#This Row],[Previsión]]</f>
        <v>-846.42309999999998</v>
      </c>
      <c r="Z314" s="446"/>
      <c r="AA314" s="447">
        <f>SUM(INDEX(Tabla15[[#This Row],[Facturació A/A]],1):Tabla15[[#This Row],[Facturació A/A]]) / SUM(INDEX(Tabla15[[#This Row],[Diferencia]],1):Tabla15[[#This Row],[Diferencia]])</f>
        <v>-1</v>
      </c>
      <c r="AB314" s="446"/>
      <c r="AC314" s="427"/>
      <c r="AD314" s="427"/>
      <c r="AE314" s="427"/>
      <c r="AF314" s="427"/>
      <c r="AG314" s="427"/>
      <c r="AH314" s="427"/>
      <c r="AI314" s="427"/>
      <c r="AJ314" s="427"/>
      <c r="AK314" s="427"/>
      <c r="AL314" s="427"/>
      <c r="AM314" s="427"/>
      <c r="AN314" s="427"/>
      <c r="AO314" s="427"/>
      <c r="AP314" s="427"/>
      <c r="AQ314" s="427"/>
    </row>
    <row r="315" spans="1:43" ht="16" customHeight="1">
      <c r="A315" s="427"/>
      <c r="B315" s="427"/>
      <c r="C315" s="428">
        <v>282</v>
      </c>
      <c r="D315" s="456">
        <v>46304</v>
      </c>
      <c r="E315" s="962"/>
      <c r="F315" s="958">
        <f>Tabla15[[#This Row],[Retiros]]-Tabla15[[#This Row],[Contado]]</f>
        <v>0</v>
      </c>
      <c r="G315" s="962"/>
      <c r="H315" s="962"/>
      <c r="I315" s="962"/>
      <c r="J315" s="962"/>
      <c r="K315" s="962"/>
      <c r="L315" s="962"/>
      <c r="M315" s="962"/>
      <c r="N315" s="959">
        <f>Tabla15[[#This Row],[Contado]]</f>
        <v>0</v>
      </c>
      <c r="O315" s="962"/>
      <c r="P315" s="443">
        <f>((Tabla15[[#This Row],[Contado]]+Tabla15[[#This Row],[Visa]]+Tabla15[[#This Row],[Eventos]]+Tabla15[[#This Row],[Passo]]+Tabla15[[#This Row],[Reciclajes]])/1.1)+Tabla15[[#This Row],[Tickets]]</f>
        <v>0</v>
      </c>
      <c r="Q315" s="450">
        <v>0</v>
      </c>
      <c r="R315" s="445">
        <f t="shared" si="12"/>
        <v>0</v>
      </c>
      <c r="S315" s="446"/>
      <c r="T315" s="447">
        <v>2029.91</v>
      </c>
      <c r="U315" s="447">
        <f>Tabla15[[#This Row],[Total Caja]]-Tabla15[[#This Row],[Facturació A/A]]</f>
        <v>-2029.91</v>
      </c>
      <c r="V315" s="447">
        <f t="shared" si="13"/>
        <v>-169517.27909090905</v>
      </c>
      <c r="W315" s="450">
        <f>Tabla15[[#This Row],[Diferencia]]/Tabla15[[#This Row],[Facturació A/A]]</f>
        <v>-1</v>
      </c>
      <c r="X315" s="447">
        <f>Tabla15[[#This Row],[Facturació A/A]]*H$17+Tabla15[[#This Row],[Facturació A/A]]</f>
        <v>2090.8072999999999</v>
      </c>
      <c r="Y315" s="447">
        <f>Tabla15[[#This Row],[Total Caja]]-Tabla15[[#This Row],[Previsión]]</f>
        <v>-2090.8072999999999</v>
      </c>
      <c r="Z315" s="446"/>
      <c r="AA315" s="447">
        <f>SUM(INDEX(Tabla15[[#This Row],[Facturació A/A]],1):Tabla15[[#This Row],[Facturació A/A]]) / SUM(INDEX(Tabla15[[#This Row],[Diferencia]],1):Tabla15[[#This Row],[Diferencia]])</f>
        <v>-1</v>
      </c>
      <c r="AB315" s="446"/>
      <c r="AC315" s="427"/>
      <c r="AD315" s="427"/>
      <c r="AE315" s="427"/>
      <c r="AF315" s="427"/>
      <c r="AG315" s="427"/>
      <c r="AH315" s="427"/>
      <c r="AI315" s="427"/>
      <c r="AJ315" s="427"/>
      <c r="AK315" s="427"/>
      <c r="AL315" s="427"/>
      <c r="AM315" s="427"/>
      <c r="AN315" s="427"/>
      <c r="AO315" s="427"/>
      <c r="AP315" s="427"/>
      <c r="AQ315" s="427"/>
    </row>
    <row r="316" spans="1:43" ht="16" customHeight="1">
      <c r="A316" s="427"/>
      <c r="B316" s="427"/>
      <c r="C316" s="428">
        <v>283</v>
      </c>
      <c r="D316" s="456">
        <v>46305</v>
      </c>
      <c r="E316" s="962"/>
      <c r="F316" s="958">
        <f>Tabla15[[#This Row],[Retiros]]-Tabla15[[#This Row],[Contado]]</f>
        <v>0</v>
      </c>
      <c r="G316" s="962"/>
      <c r="H316" s="962"/>
      <c r="I316" s="962"/>
      <c r="J316" s="962"/>
      <c r="K316" s="962"/>
      <c r="L316" s="962"/>
      <c r="M316" s="962"/>
      <c r="N316" s="959">
        <f>Tabla15[[#This Row],[Contado]]</f>
        <v>0</v>
      </c>
      <c r="O316" s="962"/>
      <c r="P316" s="443">
        <f>((Tabla15[[#This Row],[Contado]]+Tabla15[[#This Row],[Visa]]+Tabla15[[#This Row],[Eventos]]+Tabla15[[#This Row],[Passo]]+Tabla15[[#This Row],[Reciclajes]])/1.1)+Tabla15[[#This Row],[Tickets]]</f>
        <v>0</v>
      </c>
      <c r="Q316" s="450">
        <v>0</v>
      </c>
      <c r="R316" s="445">
        <f t="shared" si="12"/>
        <v>0</v>
      </c>
      <c r="S316" s="446"/>
      <c r="T316" s="447">
        <v>4572.53</v>
      </c>
      <c r="U316" s="447">
        <f>Tabla15[[#This Row],[Total Caja]]-Tabla15[[#This Row],[Facturació A/A]]</f>
        <v>-4572.53</v>
      </c>
      <c r="V316" s="447">
        <f t="shared" si="13"/>
        <v>-174089.80909090905</v>
      </c>
      <c r="W316" s="450">
        <f>Tabla15[[#This Row],[Diferencia]]/Tabla15[[#This Row],[Facturació A/A]]</f>
        <v>-1</v>
      </c>
      <c r="X316" s="447">
        <f>Tabla15[[#This Row],[Facturació A/A]]*H$17+Tabla15[[#This Row],[Facturació A/A]]</f>
        <v>4709.7058999999999</v>
      </c>
      <c r="Y316" s="447">
        <f>Tabla15[[#This Row],[Total Caja]]-Tabla15[[#This Row],[Previsión]]</f>
        <v>-4709.7058999999999</v>
      </c>
      <c r="Z316" s="446"/>
      <c r="AA316" s="447">
        <f>SUM(INDEX(Tabla15[[#This Row],[Facturació A/A]],1):Tabla15[[#This Row],[Facturació A/A]]) / SUM(INDEX(Tabla15[[#This Row],[Diferencia]],1):Tabla15[[#This Row],[Diferencia]])</f>
        <v>-1</v>
      </c>
      <c r="AB316" s="446"/>
      <c r="AC316" s="427"/>
      <c r="AD316" s="427"/>
      <c r="AE316" s="427"/>
      <c r="AF316" s="427"/>
      <c r="AG316" s="427"/>
      <c r="AH316" s="427"/>
      <c r="AI316" s="427"/>
      <c r="AJ316" s="427"/>
      <c r="AK316" s="427"/>
      <c r="AL316" s="427"/>
      <c r="AM316" s="427"/>
      <c r="AN316" s="427"/>
      <c r="AO316" s="427"/>
      <c r="AP316" s="427"/>
      <c r="AQ316" s="427"/>
    </row>
    <row r="317" spans="1:43" ht="16" customHeight="1">
      <c r="A317" s="427"/>
      <c r="B317" s="427"/>
      <c r="C317" s="428">
        <v>284</v>
      </c>
      <c r="D317" s="456">
        <v>46306</v>
      </c>
      <c r="E317" s="962"/>
      <c r="F317" s="958">
        <f>Tabla15[[#This Row],[Retiros]]-Tabla15[[#This Row],[Contado]]</f>
        <v>0</v>
      </c>
      <c r="G317" s="962"/>
      <c r="H317" s="962"/>
      <c r="I317" s="962"/>
      <c r="J317" s="962"/>
      <c r="K317" s="962"/>
      <c r="L317" s="962"/>
      <c r="M317" s="962"/>
      <c r="N317" s="959">
        <f>Tabla15[[#This Row],[Contado]]</f>
        <v>0</v>
      </c>
      <c r="O317" s="962"/>
      <c r="P317" s="443">
        <f>((Tabla15[[#This Row],[Contado]]+Tabla15[[#This Row],[Visa]]+Tabla15[[#This Row],[Eventos]]+Tabla15[[#This Row],[Passo]]+Tabla15[[#This Row],[Reciclajes]])/1.1)+Tabla15[[#This Row],[Tickets]]</f>
        <v>0</v>
      </c>
      <c r="Q317" s="450">
        <v>0</v>
      </c>
      <c r="R317" s="445">
        <f t="shared" si="12"/>
        <v>0</v>
      </c>
      <c r="S317" s="446"/>
      <c r="T317" s="447">
        <v>2075.44</v>
      </c>
      <c r="U317" s="447">
        <f>Tabla15[[#This Row],[Total Caja]]-Tabla15[[#This Row],[Facturació A/A]]</f>
        <v>-2075.44</v>
      </c>
      <c r="V317" s="447">
        <f t="shared" si="13"/>
        <v>-176165.24909090906</v>
      </c>
      <c r="W317" s="450">
        <f>Tabla15[[#This Row],[Diferencia]]/Tabla15[[#This Row],[Facturació A/A]]</f>
        <v>-1</v>
      </c>
      <c r="X317" s="447">
        <f>Tabla15[[#This Row],[Facturació A/A]]*H$17+Tabla15[[#This Row],[Facturació A/A]]</f>
        <v>2137.7031999999999</v>
      </c>
      <c r="Y317" s="447">
        <f>Tabla15[[#This Row],[Total Caja]]-Tabla15[[#This Row],[Previsión]]</f>
        <v>-2137.7031999999999</v>
      </c>
      <c r="Z317" s="446"/>
      <c r="AA317" s="447">
        <f>SUM(INDEX(Tabla15[[#This Row],[Facturació A/A]],1):Tabla15[[#This Row],[Facturació A/A]]) / SUM(INDEX(Tabla15[[#This Row],[Diferencia]],1):Tabla15[[#This Row],[Diferencia]])</f>
        <v>-1</v>
      </c>
      <c r="AB317" s="446"/>
      <c r="AC317" s="427"/>
      <c r="AD317" s="427"/>
      <c r="AE317" s="427"/>
      <c r="AF317" s="427"/>
      <c r="AG317" s="427"/>
      <c r="AH317" s="427"/>
      <c r="AI317" s="427"/>
      <c r="AJ317" s="427"/>
      <c r="AK317" s="427"/>
      <c r="AL317" s="427"/>
      <c r="AM317" s="427"/>
      <c r="AN317" s="427"/>
      <c r="AO317" s="427"/>
      <c r="AP317" s="427"/>
      <c r="AQ317" s="427"/>
    </row>
    <row r="318" spans="1:43" ht="16" customHeight="1">
      <c r="A318" s="427"/>
      <c r="B318" s="427"/>
      <c r="C318" s="428">
        <v>285</v>
      </c>
      <c r="D318" s="456">
        <v>46307</v>
      </c>
      <c r="E318" s="962"/>
      <c r="F318" s="958">
        <f>Tabla15[[#This Row],[Retiros]]-Tabla15[[#This Row],[Contado]]</f>
        <v>0</v>
      </c>
      <c r="G318" s="962"/>
      <c r="H318" s="962"/>
      <c r="I318" s="962"/>
      <c r="J318" s="962"/>
      <c r="K318" s="962"/>
      <c r="L318" s="962"/>
      <c r="M318" s="962"/>
      <c r="N318" s="959">
        <f>Tabla15[[#This Row],[Contado]]</f>
        <v>0</v>
      </c>
      <c r="O318" s="962"/>
      <c r="P318" s="443">
        <f>((Tabla15[[#This Row],[Contado]]+Tabla15[[#This Row],[Visa]]+Tabla15[[#This Row],[Eventos]]+Tabla15[[#This Row],[Passo]]+Tabla15[[#This Row],[Reciclajes]])/1.1)+Tabla15[[#This Row],[Tickets]]</f>
        <v>0</v>
      </c>
      <c r="Q318" s="450">
        <v>0</v>
      </c>
      <c r="R318" s="445">
        <f t="shared" si="12"/>
        <v>0</v>
      </c>
      <c r="S318" s="446"/>
      <c r="T318" s="447">
        <v>0</v>
      </c>
      <c r="U318" s="447">
        <f>Tabla15[[#This Row],[Total Caja]]-Tabla15[[#This Row],[Facturació A/A]]</f>
        <v>0</v>
      </c>
      <c r="V318" s="447">
        <f t="shared" si="13"/>
        <v>-176165.24909090906</v>
      </c>
      <c r="W318" s="450" t="e">
        <f>Tabla15[[#This Row],[Diferencia]]/Tabla15[[#This Row],[Facturació A/A]]</f>
        <v>#DIV/0!</v>
      </c>
      <c r="X318" s="447">
        <f>Tabla15[[#This Row],[Facturació A/A]]*H$17+Tabla15[[#This Row],[Facturació A/A]]</f>
        <v>0</v>
      </c>
      <c r="Y318" s="447">
        <f>Tabla15[[#This Row],[Total Caja]]-Tabla15[[#This Row],[Previsión]]</f>
        <v>0</v>
      </c>
      <c r="Z318" s="446"/>
      <c r="AA318" s="447" t="e">
        <f>SUM(INDEX(Tabla15[[#This Row],[Facturació A/A]],1):Tabla15[[#This Row],[Facturació A/A]]) / SUM(INDEX(Tabla15[[#This Row],[Diferencia]],1):Tabla15[[#This Row],[Diferencia]])</f>
        <v>#DIV/0!</v>
      </c>
      <c r="AB318" s="446"/>
      <c r="AC318" s="428" t="e">
        <v>#REF!</v>
      </c>
      <c r="AD318" s="427"/>
      <c r="AE318" s="427"/>
      <c r="AF318" s="427"/>
      <c r="AG318" s="427"/>
      <c r="AH318" s="427"/>
      <c r="AI318" s="427"/>
      <c r="AJ318" s="427"/>
      <c r="AK318" s="427"/>
      <c r="AL318" s="427"/>
      <c r="AM318" s="427"/>
      <c r="AN318" s="427"/>
      <c r="AO318" s="427"/>
      <c r="AP318" s="427"/>
      <c r="AQ318" s="427"/>
    </row>
    <row r="319" spans="1:43" ht="16" customHeight="1">
      <c r="A319" s="427"/>
      <c r="B319" s="427"/>
      <c r="C319" s="428">
        <v>286</v>
      </c>
      <c r="D319" s="456">
        <v>46308</v>
      </c>
      <c r="E319" s="962"/>
      <c r="F319" s="958">
        <f>Tabla15[[#This Row],[Retiros]]-Tabla15[[#This Row],[Contado]]</f>
        <v>0</v>
      </c>
      <c r="G319" s="962"/>
      <c r="H319" s="962"/>
      <c r="I319" s="962"/>
      <c r="J319" s="962"/>
      <c r="K319" s="962"/>
      <c r="L319" s="962"/>
      <c r="M319" s="962"/>
      <c r="N319" s="959">
        <f>Tabla15[[#This Row],[Contado]]</f>
        <v>0</v>
      </c>
      <c r="O319" s="962"/>
      <c r="P319" s="443">
        <f>((Tabla15[[#This Row],[Contado]]+Tabla15[[#This Row],[Visa]]+Tabla15[[#This Row],[Eventos]]+Tabla15[[#This Row],[Passo]]+Tabla15[[#This Row],[Reciclajes]])/1.1)+Tabla15[[#This Row],[Tickets]]</f>
        <v>0</v>
      </c>
      <c r="Q319" s="450">
        <v>0</v>
      </c>
      <c r="R319" s="445">
        <f t="shared" si="12"/>
        <v>0</v>
      </c>
      <c r="S319" s="446"/>
      <c r="T319" s="447">
        <v>0</v>
      </c>
      <c r="U319" s="447">
        <f>Tabla15[[#This Row],[Total Caja]]-Tabla15[[#This Row],[Facturació A/A]]</f>
        <v>0</v>
      </c>
      <c r="V319" s="447">
        <f t="shared" si="13"/>
        <v>-176165.24909090906</v>
      </c>
      <c r="W319" s="450" t="e">
        <f>Tabla15[[#This Row],[Diferencia]]/Tabla15[[#This Row],[Facturació A/A]]</f>
        <v>#DIV/0!</v>
      </c>
      <c r="X319" s="447">
        <f>Tabla15[[#This Row],[Facturació A/A]]*H$17+Tabla15[[#This Row],[Facturació A/A]]</f>
        <v>0</v>
      </c>
      <c r="Y319" s="447">
        <f>Tabla15[[#This Row],[Total Caja]]-Tabla15[[#This Row],[Previsión]]</f>
        <v>0</v>
      </c>
      <c r="Z319" s="446"/>
      <c r="AA319" s="447" t="e">
        <f>SUM(INDEX(Tabla15[[#This Row],[Facturació A/A]],1):Tabla15[[#This Row],[Facturació A/A]]) / SUM(INDEX(Tabla15[[#This Row],[Diferencia]],1):Tabla15[[#This Row],[Diferencia]])</f>
        <v>#DIV/0!</v>
      </c>
      <c r="AB319" s="446"/>
      <c r="AC319" s="427"/>
      <c r="AD319" s="427"/>
      <c r="AE319" s="427"/>
      <c r="AF319" s="427"/>
      <c r="AG319" s="427"/>
      <c r="AH319" s="427"/>
      <c r="AI319" s="427"/>
      <c r="AJ319" s="427"/>
      <c r="AK319" s="427"/>
      <c r="AL319" s="427"/>
      <c r="AM319" s="427"/>
      <c r="AN319" s="427"/>
      <c r="AO319" s="427"/>
      <c r="AP319" s="427"/>
      <c r="AQ319" s="427"/>
    </row>
    <row r="320" spans="1:43" ht="16" customHeight="1">
      <c r="A320" s="427"/>
      <c r="B320" s="427"/>
      <c r="C320" s="428">
        <v>287</v>
      </c>
      <c r="D320" s="456">
        <v>46309</v>
      </c>
      <c r="E320" s="962"/>
      <c r="F320" s="958">
        <f>Tabla15[[#This Row],[Retiros]]-Tabla15[[#This Row],[Contado]]</f>
        <v>0</v>
      </c>
      <c r="G320" s="962"/>
      <c r="H320" s="962"/>
      <c r="I320" s="962"/>
      <c r="J320" s="962"/>
      <c r="K320" s="962"/>
      <c r="L320" s="962"/>
      <c r="M320" s="962"/>
      <c r="N320" s="959">
        <f>Tabla15[[#This Row],[Contado]]</f>
        <v>0</v>
      </c>
      <c r="O320" s="962"/>
      <c r="P320" s="443">
        <f>((Tabla15[[#This Row],[Contado]]+Tabla15[[#This Row],[Visa]]+Tabla15[[#This Row],[Eventos]]+Tabla15[[#This Row],[Passo]]+Tabla15[[#This Row],[Reciclajes]])/1.1)+Tabla15[[#This Row],[Tickets]]</f>
        <v>0</v>
      </c>
      <c r="Q320" s="450">
        <v>0</v>
      </c>
      <c r="R320" s="445">
        <f t="shared" si="12"/>
        <v>0</v>
      </c>
      <c r="S320" s="446"/>
      <c r="T320" s="447">
        <v>978.3</v>
      </c>
      <c r="U320" s="447">
        <f>Tabla15[[#This Row],[Total Caja]]-Tabla15[[#This Row],[Facturació A/A]]</f>
        <v>-978.3</v>
      </c>
      <c r="V320" s="447">
        <f t="shared" si="13"/>
        <v>-177143.54909090904</v>
      </c>
      <c r="W320" s="450">
        <f>Tabla15[[#This Row],[Diferencia]]/Tabla15[[#This Row],[Facturació A/A]]</f>
        <v>-1</v>
      </c>
      <c r="X320" s="447">
        <f>Tabla15[[#This Row],[Facturació A/A]]*H$17+Tabla15[[#This Row],[Facturació A/A]]</f>
        <v>1007.649</v>
      </c>
      <c r="Y320" s="447">
        <f>Tabla15[[#This Row],[Total Caja]]-Tabla15[[#This Row],[Previsión]]</f>
        <v>-1007.649</v>
      </c>
      <c r="Z320" s="446"/>
      <c r="AA320" s="447">
        <f>SUM(INDEX(Tabla15[[#This Row],[Facturació A/A]],1):Tabla15[[#This Row],[Facturació A/A]]) / SUM(INDEX(Tabla15[[#This Row],[Diferencia]],1):Tabla15[[#This Row],[Diferencia]])</f>
        <v>-1</v>
      </c>
      <c r="AB320" s="446"/>
      <c r="AC320" s="427"/>
      <c r="AD320" s="427"/>
      <c r="AE320" s="427"/>
      <c r="AF320" s="427"/>
      <c r="AG320" s="427"/>
      <c r="AH320" s="427"/>
      <c r="AI320" s="427"/>
      <c r="AJ320" s="427"/>
      <c r="AK320" s="427"/>
      <c r="AL320" s="427"/>
      <c r="AM320" s="427"/>
      <c r="AN320" s="427"/>
      <c r="AO320" s="427"/>
      <c r="AP320" s="427"/>
      <c r="AQ320" s="427"/>
    </row>
    <row r="321" spans="1:43" ht="16" customHeight="1">
      <c r="A321" s="427"/>
      <c r="B321" s="427"/>
      <c r="C321" s="428">
        <v>288</v>
      </c>
      <c r="D321" s="456">
        <v>46310</v>
      </c>
      <c r="E321" s="962"/>
      <c r="F321" s="958">
        <f>Tabla15[[#This Row],[Retiros]]-Tabla15[[#This Row],[Contado]]</f>
        <v>0</v>
      </c>
      <c r="G321" s="962"/>
      <c r="H321" s="962"/>
      <c r="I321" s="962"/>
      <c r="J321" s="962"/>
      <c r="K321" s="962"/>
      <c r="L321" s="962"/>
      <c r="M321" s="962"/>
      <c r="N321" s="959">
        <f>Tabla15[[#This Row],[Contado]]</f>
        <v>0</v>
      </c>
      <c r="O321" s="962"/>
      <c r="P321" s="443">
        <f>((Tabla15[[#This Row],[Contado]]+Tabla15[[#This Row],[Visa]]+Tabla15[[#This Row],[Eventos]]+Tabla15[[#This Row],[Passo]]+Tabla15[[#This Row],[Reciclajes]])/1.1)+Tabla15[[#This Row],[Tickets]]</f>
        <v>0</v>
      </c>
      <c r="Q321" s="450">
        <v>0</v>
      </c>
      <c r="R321" s="445">
        <f t="shared" si="12"/>
        <v>0</v>
      </c>
      <c r="S321" s="446"/>
      <c r="T321" s="447">
        <v>773.45</v>
      </c>
      <c r="U321" s="447">
        <f>Tabla15[[#This Row],[Total Caja]]-Tabla15[[#This Row],[Facturació A/A]]</f>
        <v>-773.45</v>
      </c>
      <c r="V321" s="447">
        <f t="shared" si="13"/>
        <v>-177916.99909090906</v>
      </c>
      <c r="W321" s="450">
        <f>Tabla15[[#This Row],[Diferencia]]/Tabla15[[#This Row],[Facturació A/A]]</f>
        <v>-1</v>
      </c>
      <c r="X321" s="447">
        <f>Tabla15[[#This Row],[Facturació A/A]]*H$17+Tabla15[[#This Row],[Facturació A/A]]</f>
        <v>796.65350000000001</v>
      </c>
      <c r="Y321" s="447">
        <f>Tabla15[[#This Row],[Total Caja]]-Tabla15[[#This Row],[Previsión]]</f>
        <v>-796.65350000000001</v>
      </c>
      <c r="Z321" s="446"/>
      <c r="AA321" s="447">
        <f>SUM(INDEX(Tabla15[[#This Row],[Facturació A/A]],1):Tabla15[[#This Row],[Facturació A/A]]) / SUM(INDEX(Tabla15[[#This Row],[Diferencia]],1):Tabla15[[#This Row],[Diferencia]])</f>
        <v>-1</v>
      </c>
      <c r="AB321" s="446"/>
      <c r="AC321" s="427"/>
      <c r="AD321" s="427"/>
      <c r="AE321" s="427"/>
      <c r="AF321" s="427"/>
      <c r="AG321" s="427"/>
      <c r="AH321" s="427"/>
      <c r="AI321" s="427"/>
      <c r="AJ321" s="427"/>
      <c r="AK321" s="427"/>
      <c r="AL321" s="427"/>
      <c r="AM321" s="427"/>
      <c r="AN321" s="427"/>
      <c r="AO321" s="427"/>
      <c r="AP321" s="427"/>
      <c r="AQ321" s="427"/>
    </row>
    <row r="322" spans="1:43" ht="16" customHeight="1">
      <c r="A322" s="427"/>
      <c r="B322" s="427"/>
      <c r="C322" s="428">
        <v>289</v>
      </c>
      <c r="D322" s="456">
        <v>46311</v>
      </c>
      <c r="E322" s="962"/>
      <c r="F322" s="958">
        <f>Tabla15[[#This Row],[Retiros]]-Tabla15[[#This Row],[Contado]]</f>
        <v>0</v>
      </c>
      <c r="G322" s="962"/>
      <c r="H322" s="962"/>
      <c r="I322" s="962"/>
      <c r="J322" s="962"/>
      <c r="K322" s="962"/>
      <c r="L322" s="962"/>
      <c r="M322" s="962"/>
      <c r="N322" s="959">
        <f>Tabla15[[#This Row],[Contado]]</f>
        <v>0</v>
      </c>
      <c r="O322" s="962"/>
      <c r="P322" s="443">
        <f>((Tabla15[[#This Row],[Contado]]+Tabla15[[#This Row],[Visa]]+Tabla15[[#This Row],[Eventos]]+Tabla15[[#This Row],[Passo]]+Tabla15[[#This Row],[Reciclajes]])/1.1)+Tabla15[[#This Row],[Tickets]]</f>
        <v>0</v>
      </c>
      <c r="Q322" s="450">
        <v>0</v>
      </c>
      <c r="R322" s="445">
        <f t="shared" si="12"/>
        <v>0</v>
      </c>
      <c r="S322" s="446"/>
      <c r="T322" s="447">
        <v>1260.6099999999999</v>
      </c>
      <c r="U322" s="447">
        <f>Tabla15[[#This Row],[Total Caja]]-Tabla15[[#This Row],[Facturació A/A]]</f>
        <v>-1260.6099999999999</v>
      </c>
      <c r="V322" s="447">
        <f t="shared" si="13"/>
        <v>-179177.60909090904</v>
      </c>
      <c r="W322" s="450">
        <f>Tabla15[[#This Row],[Diferencia]]/Tabla15[[#This Row],[Facturació A/A]]</f>
        <v>-1</v>
      </c>
      <c r="X322" s="447">
        <f>Tabla15[[#This Row],[Facturació A/A]]*H$17+Tabla15[[#This Row],[Facturació A/A]]</f>
        <v>1298.4282999999998</v>
      </c>
      <c r="Y322" s="447">
        <f>Tabla15[[#This Row],[Total Caja]]-Tabla15[[#This Row],[Previsión]]</f>
        <v>-1298.4282999999998</v>
      </c>
      <c r="Z322" s="446"/>
      <c r="AA322" s="447">
        <f>SUM(INDEX(Tabla15[[#This Row],[Facturació A/A]],1):Tabla15[[#This Row],[Facturació A/A]]) / SUM(INDEX(Tabla15[[#This Row],[Diferencia]],1):Tabla15[[#This Row],[Diferencia]])</f>
        <v>-1</v>
      </c>
      <c r="AB322" s="446"/>
      <c r="AC322" s="427"/>
      <c r="AD322" s="427"/>
      <c r="AE322" s="427"/>
      <c r="AF322" s="427"/>
      <c r="AG322" s="427"/>
      <c r="AH322" s="427"/>
      <c r="AI322" s="427"/>
      <c r="AJ322" s="427"/>
      <c r="AK322" s="427"/>
      <c r="AL322" s="427"/>
      <c r="AM322" s="427"/>
      <c r="AN322" s="427"/>
      <c r="AO322" s="427"/>
      <c r="AP322" s="427"/>
      <c r="AQ322" s="427"/>
    </row>
    <row r="323" spans="1:43" ht="16" customHeight="1">
      <c r="A323" s="427"/>
      <c r="B323" s="427"/>
      <c r="C323" s="428">
        <v>290</v>
      </c>
      <c r="D323" s="456">
        <v>46312</v>
      </c>
      <c r="E323" s="962"/>
      <c r="F323" s="958">
        <f>Tabla15[[#This Row],[Retiros]]-Tabla15[[#This Row],[Contado]]</f>
        <v>0</v>
      </c>
      <c r="G323" s="962"/>
      <c r="H323" s="962"/>
      <c r="I323" s="962"/>
      <c r="J323" s="962"/>
      <c r="K323" s="962"/>
      <c r="L323" s="962"/>
      <c r="M323" s="962"/>
      <c r="N323" s="959">
        <f>Tabla15[[#This Row],[Contado]]</f>
        <v>0</v>
      </c>
      <c r="O323" s="962"/>
      <c r="P323" s="443">
        <f>((Tabla15[[#This Row],[Contado]]+Tabla15[[#This Row],[Visa]]+Tabla15[[#This Row],[Eventos]]+Tabla15[[#This Row],[Passo]]+Tabla15[[#This Row],[Reciclajes]])/1.1)+Tabla15[[#This Row],[Tickets]]</f>
        <v>0</v>
      </c>
      <c r="Q323" s="450">
        <v>0</v>
      </c>
      <c r="R323" s="445">
        <f t="shared" si="12"/>
        <v>0</v>
      </c>
      <c r="S323" s="446"/>
      <c r="T323" s="447">
        <v>2375.7399999999998</v>
      </c>
      <c r="U323" s="447">
        <f>Tabla15[[#This Row],[Total Caja]]-Tabla15[[#This Row],[Facturació A/A]]</f>
        <v>-2375.7399999999998</v>
      </c>
      <c r="V323" s="447">
        <f t="shared" si="13"/>
        <v>-181553.34909090903</v>
      </c>
      <c r="W323" s="450">
        <f>Tabla15[[#This Row],[Diferencia]]/Tabla15[[#This Row],[Facturació A/A]]</f>
        <v>-1</v>
      </c>
      <c r="X323" s="447">
        <f>Tabla15[[#This Row],[Facturació A/A]]*H$17+Tabla15[[#This Row],[Facturació A/A]]</f>
        <v>2447.0121999999997</v>
      </c>
      <c r="Y323" s="447">
        <f>Tabla15[[#This Row],[Total Caja]]-Tabla15[[#This Row],[Previsión]]</f>
        <v>-2447.0121999999997</v>
      </c>
      <c r="Z323" s="446"/>
      <c r="AA323" s="447">
        <f>SUM(INDEX(Tabla15[[#This Row],[Facturació A/A]],1):Tabla15[[#This Row],[Facturació A/A]]) / SUM(INDEX(Tabla15[[#This Row],[Diferencia]],1):Tabla15[[#This Row],[Diferencia]])</f>
        <v>-1</v>
      </c>
      <c r="AB323" s="446"/>
      <c r="AC323" s="427"/>
      <c r="AD323" s="427"/>
      <c r="AE323" s="427"/>
      <c r="AF323" s="427"/>
      <c r="AG323" s="427"/>
      <c r="AH323" s="427"/>
      <c r="AI323" s="427"/>
      <c r="AJ323" s="427"/>
      <c r="AK323" s="427"/>
      <c r="AL323" s="427"/>
      <c r="AM323" s="427"/>
      <c r="AN323" s="427"/>
      <c r="AO323" s="427"/>
      <c r="AP323" s="427"/>
      <c r="AQ323" s="427"/>
    </row>
    <row r="324" spans="1:43" ht="16" customHeight="1">
      <c r="A324" s="427"/>
      <c r="B324" s="427"/>
      <c r="C324" s="428">
        <v>291</v>
      </c>
      <c r="D324" s="456">
        <v>46313</v>
      </c>
      <c r="E324" s="962"/>
      <c r="F324" s="958">
        <f>Tabla15[[#This Row],[Retiros]]-Tabla15[[#This Row],[Contado]]</f>
        <v>0</v>
      </c>
      <c r="G324" s="962"/>
      <c r="H324" s="962"/>
      <c r="I324" s="962"/>
      <c r="J324" s="962"/>
      <c r="K324" s="962"/>
      <c r="L324" s="962"/>
      <c r="M324" s="962"/>
      <c r="N324" s="959">
        <f>Tabla15[[#This Row],[Contado]]</f>
        <v>0</v>
      </c>
      <c r="O324" s="962"/>
      <c r="P324" s="443">
        <f>((Tabla15[[#This Row],[Contado]]+Tabla15[[#This Row],[Visa]]+Tabla15[[#This Row],[Eventos]]+Tabla15[[#This Row],[Passo]]+Tabla15[[#This Row],[Reciclajes]])/1.1)+Tabla15[[#This Row],[Tickets]]</f>
        <v>0</v>
      </c>
      <c r="Q324" s="450">
        <v>0</v>
      </c>
      <c r="R324" s="445">
        <f t="shared" si="12"/>
        <v>0</v>
      </c>
      <c r="S324" s="446"/>
      <c r="T324" s="447">
        <v>1931.89</v>
      </c>
      <c r="U324" s="447">
        <f>Tabla15[[#This Row],[Total Caja]]-Tabla15[[#This Row],[Facturació A/A]]</f>
        <v>-1931.89</v>
      </c>
      <c r="V324" s="447">
        <f t="shared" si="13"/>
        <v>-183485.23909090905</v>
      </c>
      <c r="W324" s="450">
        <f>Tabla15[[#This Row],[Diferencia]]/Tabla15[[#This Row],[Facturació A/A]]</f>
        <v>-1</v>
      </c>
      <c r="X324" s="447">
        <f>Tabla15[[#This Row],[Facturació A/A]]*H$17+Tabla15[[#This Row],[Facturació A/A]]</f>
        <v>1989.8467000000001</v>
      </c>
      <c r="Y324" s="447">
        <f>Tabla15[[#This Row],[Total Caja]]-Tabla15[[#This Row],[Previsión]]</f>
        <v>-1989.8467000000001</v>
      </c>
      <c r="Z324" s="446"/>
      <c r="AA324" s="447">
        <f>SUM(INDEX(Tabla15[[#This Row],[Facturació A/A]],1):Tabla15[[#This Row],[Facturació A/A]]) / SUM(INDEX(Tabla15[[#This Row],[Diferencia]],1):Tabla15[[#This Row],[Diferencia]])</f>
        <v>-1</v>
      </c>
      <c r="AB324" s="446"/>
      <c r="AC324" s="427"/>
      <c r="AD324" s="427"/>
      <c r="AE324" s="427"/>
      <c r="AF324" s="427"/>
      <c r="AG324" s="427"/>
      <c r="AH324" s="427"/>
      <c r="AI324" s="427"/>
      <c r="AJ324" s="427"/>
      <c r="AK324" s="427"/>
      <c r="AL324" s="427"/>
      <c r="AM324" s="427"/>
      <c r="AN324" s="427"/>
      <c r="AO324" s="427"/>
      <c r="AP324" s="427"/>
      <c r="AQ324" s="427"/>
    </row>
    <row r="325" spans="1:43" ht="16" customHeight="1">
      <c r="A325" s="427"/>
      <c r="B325" s="427"/>
      <c r="C325" s="428">
        <v>292</v>
      </c>
      <c r="D325" s="456">
        <v>46314</v>
      </c>
      <c r="E325" s="962"/>
      <c r="F325" s="958">
        <f>Tabla15[[#This Row],[Retiros]]-Tabla15[[#This Row],[Contado]]</f>
        <v>0</v>
      </c>
      <c r="G325" s="962"/>
      <c r="H325" s="962"/>
      <c r="I325" s="962"/>
      <c r="J325" s="962"/>
      <c r="K325" s="962"/>
      <c r="L325" s="962"/>
      <c r="M325" s="962"/>
      <c r="N325" s="959">
        <f>Tabla15[[#This Row],[Contado]]</f>
        <v>0</v>
      </c>
      <c r="O325" s="962"/>
      <c r="P325" s="443">
        <f>((Tabla15[[#This Row],[Contado]]+Tabla15[[#This Row],[Visa]]+Tabla15[[#This Row],[Eventos]]+Tabla15[[#This Row],[Passo]]+Tabla15[[#This Row],[Reciclajes]])/1.1)+Tabla15[[#This Row],[Tickets]]</f>
        <v>0</v>
      </c>
      <c r="Q325" s="450">
        <v>0</v>
      </c>
      <c r="R325" s="445">
        <f t="shared" si="12"/>
        <v>0</v>
      </c>
      <c r="S325" s="446"/>
      <c r="T325" s="447">
        <v>0</v>
      </c>
      <c r="U325" s="447">
        <f>Tabla15[[#This Row],[Total Caja]]-Tabla15[[#This Row],[Facturació A/A]]</f>
        <v>0</v>
      </c>
      <c r="V325" s="447">
        <f t="shared" si="13"/>
        <v>-183485.23909090905</v>
      </c>
      <c r="W325" s="450" t="e">
        <f>Tabla15[[#This Row],[Diferencia]]/Tabla15[[#This Row],[Facturació A/A]]</f>
        <v>#DIV/0!</v>
      </c>
      <c r="X325" s="447">
        <f>Tabla15[[#This Row],[Facturació A/A]]*H$17+Tabla15[[#This Row],[Facturació A/A]]</f>
        <v>0</v>
      </c>
      <c r="Y325" s="447">
        <f>Tabla15[[#This Row],[Total Caja]]-Tabla15[[#This Row],[Previsión]]</f>
        <v>0</v>
      </c>
      <c r="Z325" s="446"/>
      <c r="AA325" s="447" t="e">
        <f>SUM(INDEX(Tabla15[[#This Row],[Facturació A/A]],1):Tabla15[[#This Row],[Facturació A/A]]) / SUM(INDEX(Tabla15[[#This Row],[Diferencia]],1):Tabla15[[#This Row],[Diferencia]])</f>
        <v>#DIV/0!</v>
      </c>
      <c r="AB325" s="446"/>
      <c r="AC325" s="427"/>
      <c r="AD325" s="427"/>
      <c r="AE325" s="427"/>
      <c r="AF325" s="427"/>
      <c r="AG325" s="427"/>
      <c r="AH325" s="427"/>
      <c r="AI325" s="427"/>
      <c r="AJ325" s="427"/>
      <c r="AK325" s="427"/>
      <c r="AL325" s="427"/>
      <c r="AM325" s="427"/>
      <c r="AN325" s="427"/>
      <c r="AO325" s="427"/>
      <c r="AP325" s="427"/>
      <c r="AQ325" s="427"/>
    </row>
    <row r="326" spans="1:43" ht="16" customHeight="1">
      <c r="A326" s="427"/>
      <c r="B326" s="427"/>
      <c r="C326" s="428">
        <v>293</v>
      </c>
      <c r="D326" s="456">
        <v>46315</v>
      </c>
      <c r="E326" s="962"/>
      <c r="F326" s="958">
        <f>Tabla15[[#This Row],[Retiros]]-Tabla15[[#This Row],[Contado]]</f>
        <v>0</v>
      </c>
      <c r="G326" s="962"/>
      <c r="H326" s="962"/>
      <c r="I326" s="962"/>
      <c r="J326" s="962"/>
      <c r="K326" s="962"/>
      <c r="L326" s="962"/>
      <c r="M326" s="962"/>
      <c r="N326" s="959">
        <f>Tabla15[[#This Row],[Contado]]</f>
        <v>0</v>
      </c>
      <c r="O326" s="962"/>
      <c r="P326" s="443">
        <f>((Tabla15[[#This Row],[Contado]]+Tabla15[[#This Row],[Visa]]+Tabla15[[#This Row],[Eventos]]+Tabla15[[#This Row],[Passo]]+Tabla15[[#This Row],[Reciclajes]])/1.1)+Tabla15[[#This Row],[Tickets]]</f>
        <v>0</v>
      </c>
      <c r="Q326" s="450">
        <v>0</v>
      </c>
      <c r="R326" s="445">
        <f t="shared" si="12"/>
        <v>0</v>
      </c>
      <c r="S326" s="446"/>
      <c r="T326" s="447">
        <v>0</v>
      </c>
      <c r="U326" s="447">
        <f>Tabla15[[#This Row],[Total Caja]]-Tabla15[[#This Row],[Facturació A/A]]</f>
        <v>0</v>
      </c>
      <c r="V326" s="447">
        <f t="shared" si="13"/>
        <v>-183485.23909090905</v>
      </c>
      <c r="W326" s="450" t="e">
        <f>Tabla15[[#This Row],[Diferencia]]/Tabla15[[#This Row],[Facturació A/A]]</f>
        <v>#DIV/0!</v>
      </c>
      <c r="X326" s="447">
        <f>Tabla15[[#This Row],[Facturació A/A]]*H$17+Tabla15[[#This Row],[Facturació A/A]]</f>
        <v>0</v>
      </c>
      <c r="Y326" s="447">
        <f>Tabla15[[#This Row],[Total Caja]]-Tabla15[[#This Row],[Previsión]]</f>
        <v>0</v>
      </c>
      <c r="Z326" s="446"/>
      <c r="AA326" s="447" t="e">
        <f>SUM(INDEX(Tabla15[[#This Row],[Facturació A/A]],1):Tabla15[[#This Row],[Facturació A/A]]) / SUM(INDEX(Tabla15[[#This Row],[Diferencia]],1):Tabla15[[#This Row],[Diferencia]])</f>
        <v>#DIV/0!</v>
      </c>
      <c r="AB326" s="446"/>
      <c r="AC326" s="427"/>
      <c r="AD326" s="427"/>
      <c r="AE326" s="427"/>
      <c r="AF326" s="427"/>
      <c r="AG326" s="427"/>
      <c r="AH326" s="427"/>
      <c r="AI326" s="427"/>
      <c r="AJ326" s="427"/>
      <c r="AK326" s="427"/>
      <c r="AL326" s="427"/>
      <c r="AM326" s="427"/>
      <c r="AN326" s="427"/>
      <c r="AO326" s="427"/>
      <c r="AP326" s="427"/>
      <c r="AQ326" s="427"/>
    </row>
    <row r="327" spans="1:43" ht="16" customHeight="1">
      <c r="A327" s="427"/>
      <c r="B327" s="427"/>
      <c r="C327" s="428">
        <v>294</v>
      </c>
      <c r="D327" s="456">
        <v>46316</v>
      </c>
      <c r="E327" s="962"/>
      <c r="F327" s="958">
        <f>Tabla15[[#This Row],[Retiros]]-Tabla15[[#This Row],[Contado]]</f>
        <v>0</v>
      </c>
      <c r="G327" s="962"/>
      <c r="H327" s="962"/>
      <c r="I327" s="962"/>
      <c r="J327" s="962"/>
      <c r="K327" s="962"/>
      <c r="L327" s="962"/>
      <c r="M327" s="962"/>
      <c r="N327" s="959">
        <f>Tabla15[[#This Row],[Contado]]</f>
        <v>0</v>
      </c>
      <c r="O327" s="962"/>
      <c r="P327" s="443">
        <f>((Tabla15[[#This Row],[Contado]]+Tabla15[[#This Row],[Visa]]+Tabla15[[#This Row],[Eventos]]+Tabla15[[#This Row],[Passo]]+Tabla15[[#This Row],[Reciclajes]])/1.1)+Tabla15[[#This Row],[Tickets]]</f>
        <v>0</v>
      </c>
      <c r="Q327" s="450">
        <v>0</v>
      </c>
      <c r="R327" s="445">
        <f t="shared" si="12"/>
        <v>0</v>
      </c>
      <c r="S327" s="446"/>
      <c r="T327" s="447">
        <v>652.91</v>
      </c>
      <c r="U327" s="447">
        <f>Tabla15[[#This Row],[Total Caja]]-Tabla15[[#This Row],[Facturació A/A]]</f>
        <v>-652.91</v>
      </c>
      <c r="V327" s="447">
        <f t="shared" si="13"/>
        <v>-184138.14909090905</v>
      </c>
      <c r="W327" s="450">
        <f>Tabla15[[#This Row],[Diferencia]]/Tabla15[[#This Row],[Facturació A/A]]</f>
        <v>-1</v>
      </c>
      <c r="X327" s="447">
        <f>Tabla15[[#This Row],[Facturació A/A]]*H$17+Tabla15[[#This Row],[Facturació A/A]]</f>
        <v>672.4973</v>
      </c>
      <c r="Y327" s="447">
        <f>Tabla15[[#This Row],[Total Caja]]-Tabla15[[#This Row],[Previsión]]</f>
        <v>-672.4973</v>
      </c>
      <c r="Z327" s="446"/>
      <c r="AA327" s="447">
        <f>SUM(INDEX(Tabla15[[#This Row],[Facturació A/A]],1):Tabla15[[#This Row],[Facturació A/A]]) / SUM(INDEX(Tabla15[[#This Row],[Diferencia]],1):Tabla15[[#This Row],[Diferencia]])</f>
        <v>-1</v>
      </c>
      <c r="AB327" s="446"/>
      <c r="AC327" s="427"/>
      <c r="AD327" s="427"/>
      <c r="AE327" s="427"/>
      <c r="AF327" s="427"/>
      <c r="AG327" s="427"/>
      <c r="AH327" s="427"/>
      <c r="AI327" s="427"/>
      <c r="AJ327" s="427"/>
      <c r="AK327" s="427"/>
      <c r="AL327" s="427"/>
      <c r="AM327" s="427"/>
      <c r="AN327" s="427"/>
      <c r="AO327" s="427"/>
      <c r="AP327" s="427"/>
      <c r="AQ327" s="427"/>
    </row>
    <row r="328" spans="1:43" ht="16" customHeight="1">
      <c r="A328" s="427"/>
      <c r="B328" s="428">
        <v>145</v>
      </c>
      <c r="C328" s="428">
        <v>295</v>
      </c>
      <c r="D328" s="456">
        <v>46317</v>
      </c>
      <c r="E328" s="962"/>
      <c r="F328" s="958">
        <f>Tabla15[[#This Row],[Retiros]]-Tabla15[[#This Row],[Contado]]</f>
        <v>0</v>
      </c>
      <c r="G328" s="962"/>
      <c r="H328" s="962"/>
      <c r="I328" s="962"/>
      <c r="J328" s="962"/>
      <c r="K328" s="962"/>
      <c r="L328" s="962"/>
      <c r="M328" s="962"/>
      <c r="N328" s="959">
        <f>Tabla15[[#This Row],[Contado]]</f>
        <v>0</v>
      </c>
      <c r="O328" s="962"/>
      <c r="P328" s="443">
        <f>((Tabla15[[#This Row],[Contado]]+Tabla15[[#This Row],[Visa]]+Tabla15[[#This Row],[Eventos]]+Tabla15[[#This Row],[Passo]]+Tabla15[[#This Row],[Reciclajes]])/1.1)+Tabla15[[#This Row],[Tickets]]</f>
        <v>0</v>
      </c>
      <c r="Q328" s="450">
        <v>0</v>
      </c>
      <c r="R328" s="445">
        <f t="shared" si="12"/>
        <v>0</v>
      </c>
      <c r="S328" s="446"/>
      <c r="T328" s="447">
        <v>699.21</v>
      </c>
      <c r="U328" s="447">
        <f>Tabla15[[#This Row],[Total Caja]]-Tabla15[[#This Row],[Facturació A/A]]</f>
        <v>-699.21</v>
      </c>
      <c r="V328" s="447">
        <f t="shared" si="13"/>
        <v>-184837.35909090904</v>
      </c>
      <c r="W328" s="450">
        <f>Tabla15[[#This Row],[Diferencia]]/Tabla15[[#This Row],[Facturació A/A]]</f>
        <v>-1</v>
      </c>
      <c r="X328" s="447">
        <f>Tabla15[[#This Row],[Facturació A/A]]*H$17+Tabla15[[#This Row],[Facturació A/A]]</f>
        <v>720.18630000000007</v>
      </c>
      <c r="Y328" s="447">
        <f>Tabla15[[#This Row],[Total Caja]]-Tabla15[[#This Row],[Previsión]]</f>
        <v>-720.18630000000007</v>
      </c>
      <c r="Z328" s="446"/>
      <c r="AA328" s="447">
        <f>SUM(INDEX(Tabla15[[#This Row],[Facturació A/A]],1):Tabla15[[#This Row],[Facturació A/A]]) / SUM(INDEX(Tabla15[[#This Row],[Diferencia]],1):Tabla15[[#This Row],[Diferencia]])</f>
        <v>-1</v>
      </c>
      <c r="AB328" s="446"/>
      <c r="AC328" s="427"/>
      <c r="AD328" s="427"/>
      <c r="AE328" s="427"/>
      <c r="AF328" s="427"/>
      <c r="AG328" s="427"/>
      <c r="AH328" s="427"/>
      <c r="AI328" s="427"/>
      <c r="AJ328" s="427"/>
      <c r="AK328" s="427"/>
      <c r="AL328" s="427"/>
      <c r="AM328" s="427"/>
      <c r="AN328" s="427"/>
      <c r="AO328" s="427"/>
      <c r="AP328" s="427"/>
      <c r="AQ328" s="427"/>
    </row>
    <row r="329" spans="1:43" ht="16" customHeight="1">
      <c r="A329" s="427"/>
      <c r="B329" s="427"/>
      <c r="C329" s="428">
        <v>296</v>
      </c>
      <c r="D329" s="456">
        <v>46318</v>
      </c>
      <c r="E329" s="962"/>
      <c r="F329" s="958">
        <f>Tabla15[[#This Row],[Retiros]]-Tabla15[[#This Row],[Contado]]</f>
        <v>0</v>
      </c>
      <c r="G329" s="962"/>
      <c r="H329" s="962"/>
      <c r="I329" s="962"/>
      <c r="J329" s="962"/>
      <c r="K329" s="962"/>
      <c r="L329" s="962"/>
      <c r="M329" s="962"/>
      <c r="N329" s="959">
        <f>Tabla15[[#This Row],[Contado]]</f>
        <v>0</v>
      </c>
      <c r="O329" s="962"/>
      <c r="P329" s="443">
        <f>((Tabla15[[#This Row],[Contado]]+Tabla15[[#This Row],[Visa]]+Tabla15[[#This Row],[Eventos]]+Tabla15[[#This Row],[Passo]]+Tabla15[[#This Row],[Reciclajes]])/1.1)+Tabla15[[#This Row],[Tickets]]</f>
        <v>0</v>
      </c>
      <c r="Q329" s="450">
        <v>0</v>
      </c>
      <c r="R329" s="445">
        <f t="shared" si="12"/>
        <v>0</v>
      </c>
      <c r="S329" s="446"/>
      <c r="T329" s="447">
        <v>1174.1099999999999</v>
      </c>
      <c r="U329" s="447">
        <f>Tabla15[[#This Row],[Total Caja]]-Tabla15[[#This Row],[Facturació A/A]]</f>
        <v>-1174.1099999999999</v>
      </c>
      <c r="V329" s="447">
        <f t="shared" si="13"/>
        <v>-186011.46909090903</v>
      </c>
      <c r="W329" s="450">
        <f>Tabla15[[#This Row],[Diferencia]]/Tabla15[[#This Row],[Facturació A/A]]</f>
        <v>-1</v>
      </c>
      <c r="X329" s="447">
        <f>Tabla15[[#This Row],[Facturació A/A]]*H$17+Tabla15[[#This Row],[Facturació A/A]]</f>
        <v>1209.3332999999998</v>
      </c>
      <c r="Y329" s="447">
        <f>Tabla15[[#This Row],[Total Caja]]-Tabla15[[#This Row],[Previsión]]</f>
        <v>-1209.3332999999998</v>
      </c>
      <c r="Z329" s="446"/>
      <c r="AA329" s="447">
        <f>SUM(INDEX(Tabla15[[#This Row],[Facturació A/A]],1):Tabla15[[#This Row],[Facturació A/A]]) / SUM(INDEX(Tabla15[[#This Row],[Diferencia]],1):Tabla15[[#This Row],[Diferencia]])</f>
        <v>-1</v>
      </c>
      <c r="AB329" s="446"/>
      <c r="AC329" s="427"/>
      <c r="AD329" s="427"/>
      <c r="AE329" s="427"/>
      <c r="AF329" s="427"/>
      <c r="AG329" s="427"/>
      <c r="AH329" s="427"/>
      <c r="AI329" s="427"/>
      <c r="AJ329" s="427"/>
      <c r="AK329" s="427"/>
      <c r="AL329" s="427"/>
      <c r="AM329" s="427"/>
      <c r="AN329" s="427"/>
      <c r="AO329" s="427"/>
      <c r="AP329" s="427"/>
      <c r="AQ329" s="427"/>
    </row>
    <row r="330" spans="1:43" ht="16" customHeight="1">
      <c r="A330" s="427"/>
      <c r="B330" s="427"/>
      <c r="C330" s="428">
        <v>297</v>
      </c>
      <c r="D330" s="456">
        <v>46319</v>
      </c>
      <c r="E330" s="962"/>
      <c r="F330" s="958">
        <f>Tabla15[[#This Row],[Retiros]]-Tabla15[[#This Row],[Contado]]</f>
        <v>0</v>
      </c>
      <c r="G330" s="962"/>
      <c r="H330" s="962"/>
      <c r="I330" s="962"/>
      <c r="J330" s="962"/>
      <c r="K330" s="962"/>
      <c r="L330" s="962"/>
      <c r="M330" s="962"/>
      <c r="N330" s="959">
        <f>Tabla15[[#This Row],[Contado]]</f>
        <v>0</v>
      </c>
      <c r="O330" s="962"/>
      <c r="P330" s="443">
        <f>((Tabla15[[#This Row],[Contado]]+Tabla15[[#This Row],[Visa]]+Tabla15[[#This Row],[Eventos]]+Tabla15[[#This Row],[Passo]]+Tabla15[[#This Row],[Reciclajes]])/1.1)+Tabla15[[#This Row],[Tickets]]</f>
        <v>0</v>
      </c>
      <c r="Q330" s="450">
        <v>0</v>
      </c>
      <c r="R330" s="445">
        <f t="shared" si="12"/>
        <v>0</v>
      </c>
      <c r="S330" s="446"/>
      <c r="T330" s="447">
        <v>1763.05</v>
      </c>
      <c r="U330" s="447">
        <f>Tabla15[[#This Row],[Total Caja]]-Tabla15[[#This Row],[Facturació A/A]]</f>
        <v>-1763.05</v>
      </c>
      <c r="V330" s="447">
        <f t="shared" si="13"/>
        <v>-187774.51909090902</v>
      </c>
      <c r="W330" s="450">
        <f>Tabla15[[#This Row],[Diferencia]]/Tabla15[[#This Row],[Facturació A/A]]</f>
        <v>-1</v>
      </c>
      <c r="X330" s="447">
        <f>Tabla15[[#This Row],[Facturació A/A]]*H$17+Tabla15[[#This Row],[Facturació A/A]]</f>
        <v>1815.9414999999999</v>
      </c>
      <c r="Y330" s="447">
        <f>Tabla15[[#This Row],[Total Caja]]-Tabla15[[#This Row],[Previsión]]</f>
        <v>-1815.9414999999999</v>
      </c>
      <c r="Z330" s="446"/>
      <c r="AA330" s="447">
        <f>SUM(INDEX(Tabla15[[#This Row],[Facturació A/A]],1):Tabla15[[#This Row],[Facturació A/A]]) / SUM(INDEX(Tabla15[[#This Row],[Diferencia]],1):Tabla15[[#This Row],[Diferencia]])</f>
        <v>-1</v>
      </c>
      <c r="AB330" s="446"/>
      <c r="AC330" s="427"/>
      <c r="AD330" s="427"/>
      <c r="AE330" s="427"/>
      <c r="AF330" s="427"/>
      <c r="AG330" s="427"/>
      <c r="AH330" s="427"/>
      <c r="AI330" s="427"/>
      <c r="AJ330" s="427"/>
      <c r="AK330" s="427"/>
      <c r="AL330" s="427"/>
      <c r="AM330" s="427"/>
      <c r="AN330" s="427"/>
      <c r="AO330" s="427"/>
      <c r="AP330" s="427"/>
      <c r="AQ330" s="427"/>
    </row>
    <row r="331" spans="1:43" ht="16" customHeight="1">
      <c r="A331" s="427"/>
      <c r="B331" s="427"/>
      <c r="C331" s="428">
        <v>298</v>
      </c>
      <c r="D331" s="456">
        <v>46320</v>
      </c>
      <c r="E331" s="962"/>
      <c r="F331" s="958">
        <f>Tabla15[[#This Row],[Retiros]]-Tabla15[[#This Row],[Contado]]</f>
        <v>0</v>
      </c>
      <c r="G331" s="962"/>
      <c r="H331" s="962"/>
      <c r="I331" s="962"/>
      <c r="J331" s="962"/>
      <c r="K331" s="962"/>
      <c r="L331" s="962"/>
      <c r="M331" s="962"/>
      <c r="N331" s="959">
        <f>Tabla15[[#This Row],[Contado]]</f>
        <v>0</v>
      </c>
      <c r="O331" s="962"/>
      <c r="P331" s="443">
        <f>((Tabla15[[#This Row],[Contado]]+Tabla15[[#This Row],[Visa]]+Tabla15[[#This Row],[Eventos]]+Tabla15[[#This Row],[Passo]]+Tabla15[[#This Row],[Reciclajes]])/1.1)+Tabla15[[#This Row],[Tickets]]</f>
        <v>0</v>
      </c>
      <c r="Q331" s="450">
        <v>0</v>
      </c>
      <c r="R331" s="445">
        <f t="shared" si="12"/>
        <v>0</v>
      </c>
      <c r="S331" s="446"/>
      <c r="T331" s="447">
        <v>1490.57</v>
      </c>
      <c r="U331" s="447">
        <f>Tabla15[[#This Row],[Total Caja]]-Tabla15[[#This Row],[Facturació A/A]]</f>
        <v>-1490.57</v>
      </c>
      <c r="V331" s="447">
        <f t="shared" si="13"/>
        <v>-189265.08909090902</v>
      </c>
      <c r="W331" s="450">
        <f>Tabla15[[#This Row],[Diferencia]]/Tabla15[[#This Row],[Facturació A/A]]</f>
        <v>-1</v>
      </c>
      <c r="X331" s="447">
        <f>Tabla15[[#This Row],[Facturació A/A]]*H$17+Tabla15[[#This Row],[Facturació A/A]]</f>
        <v>1535.2871</v>
      </c>
      <c r="Y331" s="447">
        <f>Tabla15[[#This Row],[Total Caja]]-Tabla15[[#This Row],[Previsión]]</f>
        <v>-1535.2871</v>
      </c>
      <c r="Z331" s="446"/>
      <c r="AA331" s="447">
        <f>SUM(INDEX(Tabla15[[#This Row],[Facturació A/A]],1):Tabla15[[#This Row],[Facturació A/A]]) / SUM(INDEX(Tabla15[[#This Row],[Diferencia]],1):Tabla15[[#This Row],[Diferencia]])</f>
        <v>-1</v>
      </c>
      <c r="AB331" s="446"/>
      <c r="AC331" s="427"/>
      <c r="AD331" s="427"/>
      <c r="AE331" s="427"/>
      <c r="AF331" s="427"/>
      <c r="AG331" s="427"/>
      <c r="AH331" s="427"/>
      <c r="AI331" s="427"/>
      <c r="AJ331" s="427"/>
      <c r="AK331" s="427"/>
      <c r="AL331" s="427"/>
      <c r="AM331" s="427"/>
      <c r="AN331" s="427"/>
      <c r="AO331" s="427"/>
      <c r="AP331" s="427"/>
      <c r="AQ331" s="427"/>
    </row>
    <row r="332" spans="1:43" ht="16" customHeight="1">
      <c r="A332" s="427"/>
      <c r="B332" s="427"/>
      <c r="C332" s="428">
        <v>299</v>
      </c>
      <c r="D332" s="456">
        <v>46321</v>
      </c>
      <c r="E332" s="962"/>
      <c r="F332" s="958">
        <f>Tabla15[[#This Row],[Retiros]]-Tabla15[[#This Row],[Contado]]</f>
        <v>0</v>
      </c>
      <c r="G332" s="962"/>
      <c r="H332" s="962"/>
      <c r="I332" s="962"/>
      <c r="J332" s="962"/>
      <c r="K332" s="962"/>
      <c r="L332" s="962"/>
      <c r="M332" s="962"/>
      <c r="N332" s="959">
        <f>Tabla15[[#This Row],[Contado]]</f>
        <v>0</v>
      </c>
      <c r="O332" s="962"/>
      <c r="P332" s="443">
        <f>((Tabla15[[#This Row],[Contado]]+Tabla15[[#This Row],[Visa]]+Tabla15[[#This Row],[Eventos]]+Tabla15[[#This Row],[Passo]]+Tabla15[[#This Row],[Reciclajes]])/1.1)+Tabla15[[#This Row],[Tickets]]</f>
        <v>0</v>
      </c>
      <c r="Q332" s="450">
        <v>0</v>
      </c>
      <c r="R332" s="445">
        <f t="shared" si="12"/>
        <v>0</v>
      </c>
      <c r="S332" s="446"/>
      <c r="T332" s="447">
        <v>0</v>
      </c>
      <c r="U332" s="447">
        <f>Tabla15[[#This Row],[Total Caja]]-Tabla15[[#This Row],[Facturació A/A]]</f>
        <v>0</v>
      </c>
      <c r="V332" s="447">
        <f t="shared" si="13"/>
        <v>-189265.08909090902</v>
      </c>
      <c r="W332" s="450" t="e">
        <f>Tabla15[[#This Row],[Diferencia]]/Tabla15[[#This Row],[Facturació A/A]]</f>
        <v>#DIV/0!</v>
      </c>
      <c r="X332" s="447">
        <f>Tabla15[[#This Row],[Facturació A/A]]*H$17+Tabla15[[#This Row],[Facturació A/A]]</f>
        <v>0</v>
      </c>
      <c r="Y332" s="447">
        <f>Tabla15[[#This Row],[Total Caja]]-Tabla15[[#This Row],[Previsión]]</f>
        <v>0</v>
      </c>
      <c r="Z332" s="446"/>
      <c r="AA332" s="447" t="e">
        <f>SUM(INDEX(Tabla15[[#This Row],[Facturació A/A]],1):Tabla15[[#This Row],[Facturació A/A]]) / SUM(INDEX(Tabla15[[#This Row],[Diferencia]],1):Tabla15[[#This Row],[Diferencia]])</f>
        <v>#DIV/0!</v>
      </c>
      <c r="AB332" s="446"/>
      <c r="AC332" s="427"/>
      <c r="AD332" s="427"/>
      <c r="AE332" s="427"/>
      <c r="AF332" s="427"/>
      <c r="AG332" s="427"/>
      <c r="AH332" s="427"/>
      <c r="AI332" s="427"/>
      <c r="AJ332" s="427"/>
      <c r="AK332" s="427"/>
      <c r="AL332" s="427"/>
      <c r="AM332" s="427"/>
      <c r="AN332" s="427"/>
      <c r="AO332" s="427"/>
      <c r="AP332" s="427"/>
      <c r="AQ332" s="427"/>
    </row>
    <row r="333" spans="1:43" ht="16" customHeight="1">
      <c r="A333" s="427"/>
      <c r="B333" s="427"/>
      <c r="C333" s="428">
        <v>300</v>
      </c>
      <c r="D333" s="456">
        <v>46322</v>
      </c>
      <c r="E333" s="962"/>
      <c r="F333" s="958">
        <f>Tabla15[[#This Row],[Retiros]]-Tabla15[[#This Row],[Contado]]</f>
        <v>0</v>
      </c>
      <c r="G333" s="962"/>
      <c r="H333" s="962"/>
      <c r="I333" s="962"/>
      <c r="J333" s="962"/>
      <c r="K333" s="962"/>
      <c r="L333" s="962"/>
      <c r="M333" s="962"/>
      <c r="N333" s="959">
        <f>Tabla15[[#This Row],[Contado]]</f>
        <v>0</v>
      </c>
      <c r="O333" s="962"/>
      <c r="P333" s="443">
        <f>((Tabla15[[#This Row],[Contado]]+Tabla15[[#This Row],[Visa]]+Tabla15[[#This Row],[Eventos]]+Tabla15[[#This Row],[Passo]]+Tabla15[[#This Row],[Reciclajes]])/1.1)+Tabla15[[#This Row],[Tickets]]</f>
        <v>0</v>
      </c>
      <c r="Q333" s="450">
        <v>0</v>
      </c>
      <c r="R333" s="445">
        <f t="shared" si="12"/>
        <v>0</v>
      </c>
      <c r="S333" s="446"/>
      <c r="T333" s="447">
        <v>0</v>
      </c>
      <c r="U333" s="447">
        <f>Tabla15[[#This Row],[Total Caja]]-Tabla15[[#This Row],[Facturació A/A]]</f>
        <v>0</v>
      </c>
      <c r="V333" s="447">
        <f t="shared" si="13"/>
        <v>-189265.08909090902</v>
      </c>
      <c r="W333" s="450" t="e">
        <f>Tabla15[[#This Row],[Diferencia]]/Tabla15[[#This Row],[Facturació A/A]]</f>
        <v>#DIV/0!</v>
      </c>
      <c r="X333" s="447">
        <f>Tabla15[[#This Row],[Facturació A/A]]*H$17+Tabla15[[#This Row],[Facturació A/A]]</f>
        <v>0</v>
      </c>
      <c r="Y333" s="447">
        <f>Tabla15[[#This Row],[Total Caja]]-Tabla15[[#This Row],[Previsión]]</f>
        <v>0</v>
      </c>
      <c r="Z333" s="446"/>
      <c r="AA333" s="447" t="e">
        <f>SUM(INDEX(Tabla15[[#This Row],[Facturació A/A]],1):Tabla15[[#This Row],[Facturació A/A]]) / SUM(INDEX(Tabla15[[#This Row],[Diferencia]],1):Tabla15[[#This Row],[Diferencia]])</f>
        <v>#DIV/0!</v>
      </c>
      <c r="AB333" s="448"/>
      <c r="AC333" s="457">
        <v>194.45</v>
      </c>
      <c r="AD333" s="457">
        <v>31.09</v>
      </c>
      <c r="AE333" s="457">
        <v>0</v>
      </c>
      <c r="AF333" s="427"/>
      <c r="AG333" s="427"/>
      <c r="AH333" s="427"/>
      <c r="AI333" s="427"/>
      <c r="AJ333" s="427"/>
      <c r="AK333" s="427"/>
      <c r="AL333" s="427"/>
      <c r="AM333" s="427"/>
      <c r="AN333" s="427"/>
      <c r="AO333" s="427"/>
      <c r="AP333" s="427"/>
      <c r="AQ333" s="427"/>
    </row>
    <row r="334" spans="1:43" ht="16" customHeight="1">
      <c r="A334" s="427"/>
      <c r="B334" s="427"/>
      <c r="C334" s="428">
        <v>301</v>
      </c>
      <c r="D334" s="456">
        <v>46323</v>
      </c>
      <c r="E334" s="962"/>
      <c r="F334" s="958">
        <f>Tabla15[[#This Row],[Retiros]]-Tabla15[[#This Row],[Contado]]</f>
        <v>0</v>
      </c>
      <c r="G334" s="962"/>
      <c r="H334" s="962"/>
      <c r="I334" s="962"/>
      <c r="J334" s="962"/>
      <c r="K334" s="962"/>
      <c r="L334" s="962"/>
      <c r="M334" s="962"/>
      <c r="N334" s="959">
        <f>Tabla15[[#This Row],[Contado]]</f>
        <v>0</v>
      </c>
      <c r="O334" s="962"/>
      <c r="P334" s="443">
        <f>((Tabla15[[#This Row],[Contado]]+Tabla15[[#This Row],[Visa]]+Tabla15[[#This Row],[Eventos]]+Tabla15[[#This Row],[Passo]]+Tabla15[[#This Row],[Reciclajes]])/1.1)+Tabla15[[#This Row],[Tickets]]</f>
        <v>0</v>
      </c>
      <c r="Q334" s="450">
        <v>0</v>
      </c>
      <c r="R334" s="445">
        <f t="shared" si="12"/>
        <v>0</v>
      </c>
      <c r="S334" s="446"/>
      <c r="T334" s="447">
        <v>901.95</v>
      </c>
      <c r="U334" s="447">
        <f>Tabla15[[#This Row],[Total Caja]]-Tabla15[[#This Row],[Facturació A/A]]</f>
        <v>-901.95</v>
      </c>
      <c r="V334" s="447">
        <f t="shared" si="13"/>
        <v>-190167.03909090903</v>
      </c>
      <c r="W334" s="450">
        <f>Tabla15[[#This Row],[Diferencia]]/Tabla15[[#This Row],[Facturació A/A]]</f>
        <v>-1</v>
      </c>
      <c r="X334" s="447">
        <f>Tabla15[[#This Row],[Facturació A/A]]*H$17+Tabla15[[#This Row],[Facturació A/A]]</f>
        <v>929.00850000000003</v>
      </c>
      <c r="Y334" s="447">
        <f>Tabla15[[#This Row],[Total Caja]]-Tabla15[[#This Row],[Previsión]]</f>
        <v>-929.00850000000003</v>
      </c>
      <c r="Z334" s="446"/>
      <c r="AA334" s="447">
        <f>SUM(INDEX(Tabla15[[#This Row],[Facturació A/A]],1):Tabla15[[#This Row],[Facturació A/A]]) / SUM(INDEX(Tabla15[[#This Row],[Diferencia]],1):Tabla15[[#This Row],[Diferencia]])</f>
        <v>-1</v>
      </c>
      <c r="AB334" s="448"/>
      <c r="AC334" s="458">
        <v>455.55</v>
      </c>
      <c r="AD334" s="458">
        <v>358.91</v>
      </c>
      <c r="AE334" s="458">
        <v>210</v>
      </c>
      <c r="AF334" s="427"/>
      <c r="AG334" s="427"/>
      <c r="AH334" s="427"/>
      <c r="AI334" s="427"/>
      <c r="AJ334" s="427"/>
      <c r="AK334" s="427"/>
      <c r="AL334" s="427"/>
      <c r="AM334" s="427"/>
      <c r="AN334" s="427"/>
      <c r="AO334" s="427"/>
      <c r="AP334" s="427"/>
      <c r="AQ334" s="427"/>
    </row>
    <row r="335" spans="1:43" ht="16" customHeight="1">
      <c r="A335" s="427"/>
      <c r="B335" s="427"/>
      <c r="C335" s="428">
        <v>302</v>
      </c>
      <c r="D335" s="456">
        <v>46324</v>
      </c>
      <c r="E335" s="962"/>
      <c r="F335" s="958">
        <f>Tabla15[[#This Row],[Retiros]]-Tabla15[[#This Row],[Contado]]</f>
        <v>0</v>
      </c>
      <c r="G335" s="962"/>
      <c r="H335" s="962"/>
      <c r="I335" s="962"/>
      <c r="J335" s="962"/>
      <c r="K335" s="962"/>
      <c r="L335" s="962"/>
      <c r="M335" s="962"/>
      <c r="N335" s="959">
        <f>Tabla15[[#This Row],[Contado]]</f>
        <v>0</v>
      </c>
      <c r="O335" s="962"/>
      <c r="P335" s="443">
        <f>((Tabla15[[#This Row],[Contado]]+Tabla15[[#This Row],[Visa]]+Tabla15[[#This Row],[Eventos]]+Tabla15[[#This Row],[Passo]]+Tabla15[[#This Row],[Reciclajes]])/1.1)+Tabla15[[#This Row],[Tickets]]</f>
        <v>0</v>
      </c>
      <c r="Q335" s="450">
        <v>0</v>
      </c>
      <c r="R335" s="445">
        <f t="shared" si="12"/>
        <v>0</v>
      </c>
      <c r="S335" s="446"/>
      <c r="T335" s="447">
        <v>1046.8499999999999</v>
      </c>
      <c r="U335" s="447">
        <f>Tabla15[[#This Row],[Total Caja]]-Tabla15[[#This Row],[Facturació A/A]]</f>
        <v>-1046.8499999999999</v>
      </c>
      <c r="V335" s="447">
        <f t="shared" si="13"/>
        <v>-191213.88909090904</v>
      </c>
      <c r="W335" s="450">
        <f>Tabla15[[#This Row],[Diferencia]]/Tabla15[[#This Row],[Facturació A/A]]</f>
        <v>-1</v>
      </c>
      <c r="X335" s="447">
        <f>Tabla15[[#This Row],[Facturació A/A]]*H$17+Tabla15[[#This Row],[Facturació A/A]]</f>
        <v>1078.2555</v>
      </c>
      <c r="Y335" s="447">
        <f>Tabla15[[#This Row],[Total Caja]]-Tabla15[[#This Row],[Previsión]]</f>
        <v>-1078.2555</v>
      </c>
      <c r="Z335" s="446"/>
      <c r="AA335" s="447">
        <f>SUM(INDEX(Tabla15[[#This Row],[Facturació A/A]],1):Tabla15[[#This Row],[Facturació A/A]]) / SUM(INDEX(Tabla15[[#This Row],[Diferencia]],1):Tabla15[[#This Row],[Diferencia]])</f>
        <v>-1</v>
      </c>
      <c r="AB335" s="448"/>
      <c r="AC335" s="458">
        <v>1089.75</v>
      </c>
      <c r="AD335" s="458">
        <v>1533.61</v>
      </c>
      <c r="AE335" s="458">
        <v>876.05</v>
      </c>
      <c r="AF335" s="427"/>
      <c r="AG335" s="427"/>
      <c r="AH335" s="427"/>
      <c r="AI335" s="427"/>
      <c r="AJ335" s="427"/>
      <c r="AK335" s="427"/>
      <c r="AL335" s="427"/>
      <c r="AM335" s="427"/>
      <c r="AN335" s="427"/>
      <c r="AO335" s="427"/>
      <c r="AP335" s="427"/>
      <c r="AQ335" s="427"/>
    </row>
    <row r="336" spans="1:43" ht="16" customHeight="1">
      <c r="A336" s="427"/>
      <c r="B336" s="427"/>
      <c r="C336" s="428">
        <v>303</v>
      </c>
      <c r="D336" s="456">
        <v>46325</v>
      </c>
      <c r="E336" s="962"/>
      <c r="F336" s="958">
        <f>Tabla15[[#This Row],[Retiros]]-Tabla15[[#This Row],[Contado]]</f>
        <v>0</v>
      </c>
      <c r="G336" s="962"/>
      <c r="H336" s="962"/>
      <c r="I336" s="962"/>
      <c r="J336" s="962"/>
      <c r="K336" s="962"/>
      <c r="L336" s="962"/>
      <c r="M336" s="962"/>
      <c r="N336" s="959">
        <f>Tabla15[[#This Row],[Contado]]</f>
        <v>0</v>
      </c>
      <c r="O336" s="962"/>
      <c r="P336" s="443">
        <f>((Tabla15[[#This Row],[Contado]]+Tabla15[[#This Row],[Visa]]+Tabla15[[#This Row],[Eventos]]+Tabla15[[#This Row],[Passo]]+Tabla15[[#This Row],[Reciclajes]])/1.1)+Tabla15[[#This Row],[Tickets]]</f>
        <v>0</v>
      </c>
      <c r="Q336" s="450">
        <v>0</v>
      </c>
      <c r="R336" s="445">
        <f t="shared" si="12"/>
        <v>0</v>
      </c>
      <c r="S336" s="446"/>
      <c r="T336" s="447">
        <v>1999.88</v>
      </c>
      <c r="U336" s="447">
        <f>Tabla15[[#This Row],[Total Caja]]-Tabla15[[#This Row],[Facturació A/A]]</f>
        <v>-1999.88</v>
      </c>
      <c r="V336" s="447">
        <f t="shared" si="13"/>
        <v>-193213.76909090905</v>
      </c>
      <c r="W336" s="450">
        <f>Tabla15[[#This Row],[Diferencia]]/Tabla15[[#This Row],[Facturació A/A]]</f>
        <v>-1</v>
      </c>
      <c r="X336" s="447">
        <f>Tabla15[[#This Row],[Facturació A/A]]*H$17+Tabla15[[#This Row],[Facturació A/A]]</f>
        <v>2059.8764000000001</v>
      </c>
      <c r="Y336" s="447">
        <f>Tabla15[[#This Row],[Total Caja]]-Tabla15[[#This Row],[Previsión]]</f>
        <v>-2059.8764000000001</v>
      </c>
      <c r="Z336" s="446"/>
      <c r="AA336" s="447">
        <f>SUM(INDEX(Tabla15[[#This Row],[Facturació A/A]],1):Tabla15[[#This Row],[Facturació A/A]]) / SUM(INDEX(Tabla15[[#This Row],[Diferencia]],1):Tabla15[[#This Row],[Diferencia]])</f>
        <v>-1</v>
      </c>
      <c r="AB336" s="448"/>
      <c r="AC336" s="458">
        <v>0</v>
      </c>
      <c r="AD336" s="458">
        <v>0</v>
      </c>
      <c r="AE336" s="458">
        <v>0</v>
      </c>
      <c r="AF336" s="427"/>
      <c r="AG336" s="427"/>
      <c r="AH336" s="427"/>
      <c r="AI336" s="427"/>
      <c r="AJ336" s="427"/>
      <c r="AK336" s="427"/>
      <c r="AL336" s="427"/>
      <c r="AM336" s="427"/>
      <c r="AN336" s="427"/>
      <c r="AO336" s="427"/>
      <c r="AP336" s="427"/>
      <c r="AQ336" s="427"/>
    </row>
    <row r="337" spans="1:43" ht="16" customHeight="1">
      <c r="A337" s="427"/>
      <c r="B337" s="427"/>
      <c r="C337" s="428">
        <v>304</v>
      </c>
      <c r="D337" s="456">
        <v>46326</v>
      </c>
      <c r="E337" s="962"/>
      <c r="F337" s="958">
        <f>Tabla15[[#This Row],[Retiros]]-Tabla15[[#This Row],[Contado]]</f>
        <v>0</v>
      </c>
      <c r="G337" s="962"/>
      <c r="H337" s="962"/>
      <c r="I337" s="962"/>
      <c r="J337" s="962"/>
      <c r="K337" s="962"/>
      <c r="L337" s="962"/>
      <c r="M337" s="962"/>
      <c r="N337" s="959">
        <f>Tabla15[[#This Row],[Contado]]</f>
        <v>0</v>
      </c>
      <c r="O337" s="962"/>
      <c r="P337" s="443">
        <f>((Tabla15[[#This Row],[Contado]]+Tabla15[[#This Row],[Visa]]+Tabla15[[#This Row],[Eventos]]+Tabla15[[#This Row],[Passo]]+Tabla15[[#This Row],[Reciclajes]])/1.1)+Tabla15[[#This Row],[Tickets]]</f>
        <v>0</v>
      </c>
      <c r="Q337" s="450">
        <v>0</v>
      </c>
      <c r="R337" s="445">
        <f t="shared" si="12"/>
        <v>0</v>
      </c>
      <c r="S337" s="446"/>
      <c r="T337" s="447">
        <v>2318.66</v>
      </c>
      <c r="U337" s="447">
        <f>Tabla15[[#This Row],[Total Caja]]-Tabla15[[#This Row],[Facturació A/A]]</f>
        <v>-2318.66</v>
      </c>
      <c r="V337" s="447">
        <f t="shared" si="13"/>
        <v>-195532.42909090905</v>
      </c>
      <c r="W337" s="450">
        <f>Tabla15[[#This Row],[Diferencia]]/Tabla15[[#This Row],[Facturació A/A]]</f>
        <v>-1</v>
      </c>
      <c r="X337" s="447">
        <f>Tabla15[[#This Row],[Facturació A/A]]*H$17+Tabla15[[#This Row],[Facturació A/A]]</f>
        <v>2388.2197999999999</v>
      </c>
      <c r="Y337" s="447">
        <f>Tabla15[[#This Row],[Total Caja]]-Tabla15[[#This Row],[Previsión]]</f>
        <v>-2388.2197999999999</v>
      </c>
      <c r="Z337" s="446"/>
      <c r="AA337" s="447">
        <f>SUM(INDEX(Tabla15[[#This Row],[Facturació A/A]],1):Tabla15[[#This Row],[Facturació A/A]]) / SUM(INDEX(Tabla15[[#This Row],[Diferencia]],1):Tabla15[[#This Row],[Diferencia]])</f>
        <v>-1</v>
      </c>
      <c r="AB337" s="448"/>
      <c r="AC337" s="458">
        <v>132.1</v>
      </c>
      <c r="AD337" s="458">
        <v>0</v>
      </c>
      <c r="AE337" s="458">
        <v>16.149999999999999</v>
      </c>
      <c r="AF337" s="427"/>
      <c r="AG337" s="427"/>
      <c r="AH337" s="427"/>
      <c r="AI337" s="427"/>
      <c r="AJ337" s="427"/>
      <c r="AK337" s="427"/>
      <c r="AL337" s="427"/>
      <c r="AM337" s="427"/>
      <c r="AN337" s="427"/>
      <c r="AO337" s="427"/>
      <c r="AP337" s="427"/>
      <c r="AQ337" s="427"/>
    </row>
    <row r="338" spans="1:43" ht="16" customHeight="1">
      <c r="A338" s="427"/>
      <c r="B338" s="427"/>
      <c r="C338" s="428">
        <v>305</v>
      </c>
      <c r="D338" s="456">
        <v>46327</v>
      </c>
      <c r="E338" s="962"/>
      <c r="F338" s="958">
        <f>Tabla15[[#This Row],[Retiros]]-Tabla15[[#This Row],[Contado]]</f>
        <v>0</v>
      </c>
      <c r="G338" s="962"/>
      <c r="H338" s="962"/>
      <c r="I338" s="962"/>
      <c r="J338" s="962"/>
      <c r="K338" s="962"/>
      <c r="L338" s="962"/>
      <c r="M338" s="962"/>
      <c r="N338" s="959">
        <f>Tabla15[[#This Row],[Contado]]</f>
        <v>0</v>
      </c>
      <c r="O338" s="962"/>
      <c r="P338" s="443">
        <f>((Tabla15[[#This Row],[Contado]]+Tabla15[[#This Row],[Visa]]+Tabla15[[#This Row],[Eventos]]+Tabla15[[#This Row],[Passo]]+Tabla15[[#This Row],[Reciclajes]])/1.1)+Tabla15[[#This Row],[Tickets]]</f>
        <v>0</v>
      </c>
      <c r="Q338" s="450">
        <v>0</v>
      </c>
      <c r="R338" s="445">
        <f t="shared" si="12"/>
        <v>0</v>
      </c>
      <c r="S338" s="446"/>
      <c r="T338" s="447">
        <v>1781.13</v>
      </c>
      <c r="U338" s="447">
        <f>Tabla15[[#This Row],[Total Caja]]-Tabla15[[#This Row],[Facturació A/A]]</f>
        <v>-1781.13</v>
      </c>
      <c r="V338" s="447">
        <f t="shared" si="13"/>
        <v>-197313.55909090905</v>
      </c>
      <c r="W338" s="450">
        <f>Tabla15[[#This Row],[Diferencia]]/Tabla15[[#This Row],[Facturació A/A]]</f>
        <v>-1</v>
      </c>
      <c r="X338" s="447">
        <f>Tabla15[[#This Row],[Facturació A/A]]*H$17+Tabla15[[#This Row],[Facturació A/A]]</f>
        <v>1834.5639000000001</v>
      </c>
      <c r="Y338" s="447">
        <f>Tabla15[[#This Row],[Total Caja]]-Tabla15[[#This Row],[Previsión]]</f>
        <v>-1834.5639000000001</v>
      </c>
      <c r="Z338" s="446"/>
      <c r="AA338" s="447">
        <f>SUM(INDEX(Tabla15[[#This Row],[Facturació A/A]],1):Tabla15[[#This Row],[Facturació A/A]]) / SUM(INDEX(Tabla15[[#This Row],[Diferencia]],1):Tabla15[[#This Row],[Diferencia]])</f>
        <v>-1</v>
      </c>
      <c r="AB338" s="448"/>
      <c r="AC338" s="458">
        <v>0</v>
      </c>
      <c r="AD338" s="458">
        <v>0</v>
      </c>
      <c r="AE338" s="458">
        <v>0</v>
      </c>
      <c r="AF338" s="427"/>
      <c r="AG338" s="427"/>
      <c r="AH338" s="427"/>
      <c r="AI338" s="427"/>
      <c r="AJ338" s="427"/>
      <c r="AK338" s="427"/>
      <c r="AL338" s="427"/>
      <c r="AM338" s="427"/>
      <c r="AN338" s="427"/>
      <c r="AO338" s="427"/>
      <c r="AP338" s="427"/>
      <c r="AQ338" s="427"/>
    </row>
    <row r="339" spans="1:43" ht="16" customHeight="1">
      <c r="A339" s="427"/>
      <c r="B339" s="427"/>
      <c r="C339" s="428">
        <v>306</v>
      </c>
      <c r="D339" s="456">
        <v>46328</v>
      </c>
      <c r="E339" s="962"/>
      <c r="F339" s="958">
        <f>Tabla15[[#This Row],[Retiros]]-Tabla15[[#This Row],[Contado]]</f>
        <v>0</v>
      </c>
      <c r="G339" s="962"/>
      <c r="H339" s="962"/>
      <c r="I339" s="962"/>
      <c r="J339" s="962"/>
      <c r="K339" s="962"/>
      <c r="L339" s="962"/>
      <c r="M339" s="962"/>
      <c r="N339" s="959">
        <f>Tabla15[[#This Row],[Contado]]</f>
        <v>0</v>
      </c>
      <c r="O339" s="962"/>
      <c r="P339" s="443">
        <f>((Tabla15[[#This Row],[Contado]]+Tabla15[[#This Row],[Visa]]+Tabla15[[#This Row],[Eventos]]+Tabla15[[#This Row],[Passo]]+Tabla15[[#This Row],[Reciclajes]])/1.1)+Tabla15[[#This Row],[Tickets]]</f>
        <v>0</v>
      </c>
      <c r="Q339" s="450">
        <v>0</v>
      </c>
      <c r="R339" s="445">
        <f t="shared" si="12"/>
        <v>0</v>
      </c>
      <c r="S339" s="446"/>
      <c r="T339" s="447">
        <v>0</v>
      </c>
      <c r="U339" s="447">
        <f>Tabla15[[#This Row],[Total Caja]]-Tabla15[[#This Row],[Facturació A/A]]</f>
        <v>0</v>
      </c>
      <c r="V339" s="447">
        <f t="shared" si="13"/>
        <v>-197313.55909090905</v>
      </c>
      <c r="W339" s="450" t="e">
        <f>Tabla15[[#This Row],[Diferencia]]/Tabla15[[#This Row],[Facturació A/A]]</f>
        <v>#DIV/0!</v>
      </c>
      <c r="X339" s="447">
        <f>Tabla15[[#This Row],[Facturació A/A]]*H$17+Tabla15[[#This Row],[Facturació A/A]]</f>
        <v>0</v>
      </c>
      <c r="Y339" s="447">
        <f>Tabla15[[#This Row],[Total Caja]]-Tabla15[[#This Row],[Previsión]]</f>
        <v>0</v>
      </c>
      <c r="Z339" s="446"/>
      <c r="AA339" s="447" t="e">
        <f>SUM(INDEX(Tabla15[[#This Row],[Facturació A/A]],1):Tabla15[[#This Row],[Facturació A/A]]) / SUM(INDEX(Tabla15[[#This Row],[Diferencia]],1):Tabla15[[#This Row],[Diferencia]])</f>
        <v>#DIV/0!</v>
      </c>
      <c r="AB339" s="446"/>
      <c r="AC339" s="427"/>
      <c r="AD339" s="427"/>
      <c r="AE339" s="427"/>
      <c r="AF339" s="427"/>
      <c r="AG339" s="427"/>
      <c r="AH339" s="427"/>
      <c r="AI339" s="427"/>
      <c r="AJ339" s="427"/>
      <c r="AK339" s="427"/>
      <c r="AL339" s="427"/>
      <c r="AM339" s="427"/>
      <c r="AN339" s="427"/>
      <c r="AO339" s="427"/>
      <c r="AP339" s="427"/>
      <c r="AQ339" s="427"/>
    </row>
    <row r="340" spans="1:43" ht="16" customHeight="1">
      <c r="A340" s="427"/>
      <c r="B340" s="427"/>
      <c r="C340" s="428">
        <v>307</v>
      </c>
      <c r="D340" s="456">
        <v>46329</v>
      </c>
      <c r="E340" s="962"/>
      <c r="F340" s="958">
        <f>Tabla15[[#This Row],[Retiros]]-Tabla15[[#This Row],[Contado]]</f>
        <v>0</v>
      </c>
      <c r="G340" s="962"/>
      <c r="H340" s="962"/>
      <c r="I340" s="962"/>
      <c r="J340" s="962"/>
      <c r="K340" s="962"/>
      <c r="L340" s="962"/>
      <c r="M340" s="962"/>
      <c r="N340" s="959">
        <f>Tabla15[[#This Row],[Contado]]</f>
        <v>0</v>
      </c>
      <c r="O340" s="962"/>
      <c r="P340" s="443">
        <f>((Tabla15[[#This Row],[Contado]]+Tabla15[[#This Row],[Visa]]+Tabla15[[#This Row],[Eventos]]+Tabla15[[#This Row],[Passo]]+Tabla15[[#This Row],[Reciclajes]])/1.1)+Tabla15[[#This Row],[Tickets]]</f>
        <v>0</v>
      </c>
      <c r="Q340" s="450">
        <v>0</v>
      </c>
      <c r="R340" s="445">
        <f t="shared" si="12"/>
        <v>0</v>
      </c>
      <c r="S340" s="446"/>
      <c r="T340" s="447">
        <v>0</v>
      </c>
      <c r="U340" s="447">
        <f>Tabla15[[#This Row],[Total Caja]]-Tabla15[[#This Row],[Facturació A/A]]</f>
        <v>0</v>
      </c>
      <c r="V340" s="447">
        <f t="shared" si="13"/>
        <v>-197313.55909090905</v>
      </c>
      <c r="W340" s="450" t="e">
        <f>Tabla15[[#This Row],[Diferencia]]/Tabla15[[#This Row],[Facturació A/A]]</f>
        <v>#DIV/0!</v>
      </c>
      <c r="X340" s="447">
        <f>Tabla15[[#This Row],[Facturació A/A]]*H$17+Tabla15[[#This Row],[Facturació A/A]]</f>
        <v>0</v>
      </c>
      <c r="Y340" s="447">
        <f>Tabla15[[#This Row],[Total Caja]]-Tabla15[[#This Row],[Previsión]]</f>
        <v>0</v>
      </c>
      <c r="Z340" s="446"/>
      <c r="AA340" s="447" t="e">
        <f>SUM(INDEX(Tabla15[[#This Row],[Facturació A/A]],1):Tabla15[[#This Row],[Facturació A/A]]) / SUM(INDEX(Tabla15[[#This Row],[Diferencia]],1):Tabla15[[#This Row],[Diferencia]])</f>
        <v>#DIV/0!</v>
      </c>
      <c r="AB340" s="446"/>
      <c r="AC340" s="459">
        <v>1701.68</v>
      </c>
      <c r="AD340" s="459">
        <v>1748.74</v>
      </c>
      <c r="AE340" s="459">
        <v>1002</v>
      </c>
      <c r="AF340" s="427"/>
      <c r="AG340" s="427"/>
      <c r="AH340" s="427"/>
      <c r="AI340" s="427"/>
      <c r="AJ340" s="427"/>
      <c r="AK340" s="427"/>
      <c r="AL340" s="427"/>
      <c r="AM340" s="427"/>
      <c r="AN340" s="427"/>
      <c r="AO340" s="427"/>
      <c r="AP340" s="427"/>
      <c r="AQ340" s="427"/>
    </row>
    <row r="341" spans="1:43" ht="16" customHeight="1">
      <c r="A341" s="427"/>
      <c r="B341" s="427"/>
      <c r="C341" s="428">
        <v>308</v>
      </c>
      <c r="D341" s="456">
        <v>46330</v>
      </c>
      <c r="E341" s="962"/>
      <c r="F341" s="958">
        <f>Tabla15[[#This Row],[Retiros]]-Tabla15[[#This Row],[Contado]]</f>
        <v>0</v>
      </c>
      <c r="G341" s="962"/>
      <c r="H341" s="962"/>
      <c r="I341" s="962"/>
      <c r="J341" s="962"/>
      <c r="K341" s="962"/>
      <c r="L341" s="962"/>
      <c r="M341" s="962"/>
      <c r="N341" s="959">
        <f>Tabla15[[#This Row],[Contado]]</f>
        <v>0</v>
      </c>
      <c r="O341" s="962"/>
      <c r="P341" s="443">
        <f>((Tabla15[[#This Row],[Contado]]+Tabla15[[#This Row],[Visa]]+Tabla15[[#This Row],[Eventos]]+Tabla15[[#This Row],[Passo]]+Tabla15[[#This Row],[Reciclajes]])/1.1)+Tabla15[[#This Row],[Tickets]]</f>
        <v>0</v>
      </c>
      <c r="Q341" s="450">
        <v>0</v>
      </c>
      <c r="R341" s="445">
        <f t="shared" si="12"/>
        <v>0</v>
      </c>
      <c r="S341" s="446"/>
      <c r="T341" s="447">
        <v>927.23</v>
      </c>
      <c r="U341" s="447">
        <f>Tabla15[[#This Row],[Total Caja]]-Tabla15[[#This Row],[Facturació A/A]]</f>
        <v>-927.23</v>
      </c>
      <c r="V341" s="447">
        <f t="shared" si="13"/>
        <v>-198240.78909090906</v>
      </c>
      <c r="W341" s="450">
        <f>Tabla15[[#This Row],[Diferencia]]/Tabla15[[#This Row],[Facturació A/A]]</f>
        <v>-1</v>
      </c>
      <c r="X341" s="447">
        <f>Tabla15[[#This Row],[Facturació A/A]]*H$17+Tabla15[[#This Row],[Facturació A/A]]</f>
        <v>955.04690000000005</v>
      </c>
      <c r="Y341" s="447">
        <f>Tabla15[[#This Row],[Total Caja]]-Tabla15[[#This Row],[Previsión]]</f>
        <v>-955.04690000000005</v>
      </c>
      <c r="Z341" s="446"/>
      <c r="AA341" s="447">
        <f>SUM(INDEX(Tabla15[[#This Row],[Facturació A/A]],1):Tabla15[[#This Row],[Facturació A/A]]) / SUM(INDEX(Tabla15[[#This Row],[Diferencia]],1):Tabla15[[#This Row],[Diferencia]])</f>
        <v>-1</v>
      </c>
      <c r="AB341" s="446"/>
      <c r="AC341" s="427"/>
      <c r="AD341" s="427"/>
      <c r="AE341" s="427"/>
      <c r="AF341" s="427"/>
      <c r="AG341" s="427"/>
      <c r="AH341" s="427"/>
      <c r="AI341" s="427"/>
      <c r="AJ341" s="427"/>
      <c r="AK341" s="427"/>
      <c r="AL341" s="427"/>
      <c r="AM341" s="427"/>
      <c r="AN341" s="427"/>
      <c r="AO341" s="427"/>
      <c r="AP341" s="427"/>
      <c r="AQ341" s="427"/>
    </row>
    <row r="342" spans="1:43" ht="16" customHeight="1">
      <c r="A342" s="427"/>
      <c r="B342" s="427"/>
      <c r="C342" s="428">
        <v>309</v>
      </c>
      <c r="D342" s="456">
        <v>46331</v>
      </c>
      <c r="E342" s="962"/>
      <c r="F342" s="958">
        <f>Tabla15[[#This Row],[Retiros]]-Tabla15[[#This Row],[Contado]]</f>
        <v>0</v>
      </c>
      <c r="G342" s="962"/>
      <c r="H342" s="962"/>
      <c r="I342" s="962"/>
      <c r="J342" s="962"/>
      <c r="K342" s="962"/>
      <c r="L342" s="962"/>
      <c r="M342" s="962"/>
      <c r="N342" s="959">
        <f>Tabla15[[#This Row],[Contado]]</f>
        <v>0</v>
      </c>
      <c r="O342" s="962"/>
      <c r="P342" s="443">
        <f>((Tabla15[[#This Row],[Contado]]+Tabla15[[#This Row],[Visa]]+Tabla15[[#This Row],[Eventos]]+Tabla15[[#This Row],[Passo]]+Tabla15[[#This Row],[Reciclajes]])/1.1)+Tabla15[[#This Row],[Tickets]]</f>
        <v>0</v>
      </c>
      <c r="Q342" s="450">
        <v>0</v>
      </c>
      <c r="R342" s="445">
        <f t="shared" si="12"/>
        <v>0</v>
      </c>
      <c r="S342" s="446"/>
      <c r="T342" s="447">
        <v>442.23</v>
      </c>
      <c r="U342" s="447">
        <f>Tabla15[[#This Row],[Total Caja]]-Tabla15[[#This Row],[Facturació A/A]]</f>
        <v>-442.23</v>
      </c>
      <c r="V342" s="447">
        <f t="shared" si="13"/>
        <v>-198683.01909090907</v>
      </c>
      <c r="W342" s="450">
        <f>Tabla15[[#This Row],[Diferencia]]/Tabla15[[#This Row],[Facturació A/A]]</f>
        <v>-1</v>
      </c>
      <c r="X342" s="447">
        <f>Tabla15[[#This Row],[Facturació A/A]]*H$17+Tabla15[[#This Row],[Facturació A/A]]</f>
        <v>455.49690000000004</v>
      </c>
      <c r="Y342" s="447">
        <f>Tabla15[[#This Row],[Total Caja]]-Tabla15[[#This Row],[Previsión]]</f>
        <v>-455.49690000000004</v>
      </c>
      <c r="Z342" s="446"/>
      <c r="AA342" s="447">
        <f>SUM(INDEX(Tabla15[[#This Row],[Facturació A/A]],1):Tabla15[[#This Row],[Facturació A/A]]) / SUM(INDEX(Tabla15[[#This Row],[Diferencia]],1):Tabla15[[#This Row],[Diferencia]])</f>
        <v>-1</v>
      </c>
      <c r="AB342" s="446"/>
      <c r="AC342" s="427"/>
      <c r="AD342" s="427"/>
      <c r="AE342" s="427"/>
      <c r="AF342" s="427"/>
      <c r="AG342" s="427"/>
      <c r="AH342" s="427"/>
      <c r="AI342" s="427"/>
      <c r="AJ342" s="427"/>
      <c r="AK342" s="427"/>
      <c r="AL342" s="427"/>
      <c r="AM342" s="427"/>
      <c r="AN342" s="427"/>
      <c r="AO342" s="427"/>
      <c r="AP342" s="427"/>
      <c r="AQ342" s="427"/>
    </row>
    <row r="343" spans="1:43" ht="16" customHeight="1">
      <c r="A343" s="427"/>
      <c r="B343" s="427"/>
      <c r="C343" s="428">
        <v>310</v>
      </c>
      <c r="D343" s="456">
        <v>46332</v>
      </c>
      <c r="E343" s="962"/>
      <c r="F343" s="958">
        <f>Tabla15[[#This Row],[Retiros]]-Tabla15[[#This Row],[Contado]]</f>
        <v>0</v>
      </c>
      <c r="G343" s="962"/>
      <c r="H343" s="962"/>
      <c r="I343" s="962"/>
      <c r="J343" s="962"/>
      <c r="K343" s="962"/>
      <c r="L343" s="962"/>
      <c r="M343" s="962"/>
      <c r="N343" s="959">
        <f>Tabla15[[#This Row],[Contado]]</f>
        <v>0</v>
      </c>
      <c r="O343" s="962"/>
      <c r="P343" s="443">
        <f>((Tabla15[[#This Row],[Contado]]+Tabla15[[#This Row],[Visa]]+Tabla15[[#This Row],[Eventos]]+Tabla15[[#This Row],[Passo]]+Tabla15[[#This Row],[Reciclajes]])/1.1)+Tabla15[[#This Row],[Tickets]]</f>
        <v>0</v>
      </c>
      <c r="Q343" s="450">
        <v>0</v>
      </c>
      <c r="R343" s="445">
        <f t="shared" si="12"/>
        <v>0</v>
      </c>
      <c r="S343" s="446" t="s">
        <v>465</v>
      </c>
      <c r="T343" s="447">
        <v>1477.17</v>
      </c>
      <c r="U343" s="447">
        <f>Tabla15[[#This Row],[Total Caja]]-Tabla15[[#This Row],[Facturació A/A]]</f>
        <v>-1477.17</v>
      </c>
      <c r="V343" s="447">
        <f t="shared" si="13"/>
        <v>-200160.18909090909</v>
      </c>
      <c r="W343" s="450">
        <f>Tabla15[[#This Row],[Diferencia]]/Tabla15[[#This Row],[Facturació A/A]]</f>
        <v>-1</v>
      </c>
      <c r="X343" s="447">
        <f>Tabla15[[#This Row],[Facturació A/A]]*H$17+Tabla15[[#This Row],[Facturació A/A]]</f>
        <v>1521.4851000000001</v>
      </c>
      <c r="Y343" s="447">
        <f>Tabla15[[#This Row],[Total Caja]]-Tabla15[[#This Row],[Previsión]]</f>
        <v>-1521.4851000000001</v>
      </c>
      <c r="Z343" s="446"/>
      <c r="AA343" s="447">
        <f>SUM(INDEX(Tabla15[[#This Row],[Facturació A/A]],1):Tabla15[[#This Row],[Facturació A/A]]) / SUM(INDEX(Tabla15[[#This Row],[Diferencia]],1):Tabla15[[#This Row],[Diferencia]])</f>
        <v>-1</v>
      </c>
      <c r="AB343" s="446"/>
      <c r="AC343" s="427"/>
      <c r="AD343" s="427"/>
      <c r="AE343" s="427"/>
      <c r="AF343" s="427"/>
      <c r="AG343" s="427"/>
      <c r="AH343" s="427"/>
      <c r="AI343" s="427"/>
      <c r="AJ343" s="427"/>
      <c r="AK343" s="427"/>
      <c r="AL343" s="427"/>
      <c r="AM343" s="427"/>
      <c r="AN343" s="427"/>
      <c r="AO343" s="427"/>
      <c r="AP343" s="427"/>
      <c r="AQ343" s="427"/>
    </row>
    <row r="344" spans="1:43" ht="16" customHeight="1">
      <c r="A344" s="427"/>
      <c r="B344" s="427"/>
      <c r="C344" s="428">
        <v>311</v>
      </c>
      <c r="D344" s="456">
        <v>46333</v>
      </c>
      <c r="E344" s="962"/>
      <c r="F344" s="958">
        <f>Tabla15[[#This Row],[Retiros]]-Tabla15[[#This Row],[Contado]]</f>
        <v>0</v>
      </c>
      <c r="G344" s="962"/>
      <c r="H344" s="962"/>
      <c r="I344" s="962"/>
      <c r="J344" s="962"/>
      <c r="K344" s="962"/>
      <c r="L344" s="962"/>
      <c r="M344" s="962"/>
      <c r="N344" s="959">
        <f>Tabla15[[#This Row],[Contado]]</f>
        <v>0</v>
      </c>
      <c r="O344" s="962"/>
      <c r="P344" s="443">
        <f>((Tabla15[[#This Row],[Contado]]+Tabla15[[#This Row],[Visa]]+Tabla15[[#This Row],[Eventos]]+Tabla15[[#This Row],[Passo]]+Tabla15[[#This Row],[Reciclajes]])/1.1)+Tabla15[[#This Row],[Tickets]]</f>
        <v>0</v>
      </c>
      <c r="Q344" s="450">
        <v>0</v>
      </c>
      <c r="R344" s="445">
        <f t="shared" si="12"/>
        <v>0</v>
      </c>
      <c r="S344" s="446"/>
      <c r="T344" s="447">
        <v>2024.93</v>
      </c>
      <c r="U344" s="447">
        <f>Tabla15[[#This Row],[Total Caja]]-Tabla15[[#This Row],[Facturació A/A]]</f>
        <v>-2024.93</v>
      </c>
      <c r="V344" s="447">
        <f t="shared" si="13"/>
        <v>-202185.11909090908</v>
      </c>
      <c r="W344" s="450">
        <f>Tabla15[[#This Row],[Diferencia]]/Tabla15[[#This Row],[Facturació A/A]]</f>
        <v>-1</v>
      </c>
      <c r="X344" s="447">
        <f>Tabla15[[#This Row],[Facturació A/A]]*H$17+Tabla15[[#This Row],[Facturació A/A]]</f>
        <v>2085.6779000000001</v>
      </c>
      <c r="Y344" s="447">
        <f>Tabla15[[#This Row],[Total Caja]]-Tabla15[[#This Row],[Previsión]]</f>
        <v>-2085.6779000000001</v>
      </c>
      <c r="Z344" s="446"/>
      <c r="AA344" s="447">
        <f>SUM(INDEX(Tabla15[[#This Row],[Facturació A/A]],1):Tabla15[[#This Row],[Facturació A/A]]) / SUM(INDEX(Tabla15[[#This Row],[Diferencia]],1):Tabla15[[#This Row],[Diferencia]])</f>
        <v>-1</v>
      </c>
      <c r="AB344" s="446"/>
      <c r="AC344" s="427"/>
      <c r="AD344" s="427"/>
      <c r="AE344" s="427"/>
      <c r="AF344" s="427"/>
      <c r="AG344" s="427"/>
      <c r="AH344" s="427"/>
      <c r="AI344" s="427"/>
      <c r="AJ344" s="427"/>
      <c r="AK344" s="427"/>
      <c r="AL344" s="427"/>
      <c r="AM344" s="427"/>
      <c r="AN344" s="427"/>
      <c r="AO344" s="427"/>
      <c r="AP344" s="427"/>
      <c r="AQ344" s="427"/>
    </row>
    <row r="345" spans="1:43" ht="16" customHeight="1">
      <c r="A345" s="427"/>
      <c r="B345" s="427"/>
      <c r="C345" s="428">
        <v>312</v>
      </c>
      <c r="D345" s="456">
        <v>46334</v>
      </c>
      <c r="E345" s="962"/>
      <c r="F345" s="958">
        <f>Tabla15[[#This Row],[Retiros]]-Tabla15[[#This Row],[Contado]]</f>
        <v>0</v>
      </c>
      <c r="G345" s="962"/>
      <c r="H345" s="962"/>
      <c r="I345" s="962"/>
      <c r="J345" s="962"/>
      <c r="K345" s="962"/>
      <c r="L345" s="962"/>
      <c r="M345" s="962"/>
      <c r="N345" s="959">
        <f>Tabla15[[#This Row],[Contado]]</f>
        <v>0</v>
      </c>
      <c r="O345" s="962"/>
      <c r="P345" s="443">
        <f>((Tabla15[[#This Row],[Contado]]+Tabla15[[#This Row],[Visa]]+Tabla15[[#This Row],[Eventos]]+Tabla15[[#This Row],[Passo]]+Tabla15[[#This Row],[Reciclajes]])/1.1)+Tabla15[[#This Row],[Tickets]]</f>
        <v>0</v>
      </c>
      <c r="Q345" s="450">
        <v>0</v>
      </c>
      <c r="R345" s="445">
        <f t="shared" si="12"/>
        <v>0</v>
      </c>
      <c r="S345" s="446"/>
      <c r="T345" s="447">
        <v>903.2</v>
      </c>
      <c r="U345" s="447">
        <f>Tabla15[[#This Row],[Total Caja]]-Tabla15[[#This Row],[Facturació A/A]]</f>
        <v>-903.2</v>
      </c>
      <c r="V345" s="447">
        <f t="shared" si="13"/>
        <v>-203088.31909090909</v>
      </c>
      <c r="W345" s="450">
        <f>Tabla15[[#This Row],[Diferencia]]/Tabla15[[#This Row],[Facturació A/A]]</f>
        <v>-1</v>
      </c>
      <c r="X345" s="447">
        <f>Tabla15[[#This Row],[Facturació A/A]]*H$17+Tabla15[[#This Row],[Facturació A/A]]</f>
        <v>930.29600000000005</v>
      </c>
      <c r="Y345" s="447">
        <f>Tabla15[[#This Row],[Total Caja]]-Tabla15[[#This Row],[Previsión]]</f>
        <v>-930.29600000000005</v>
      </c>
      <c r="Z345" s="446"/>
      <c r="AA345" s="447">
        <f>SUM(INDEX(Tabla15[[#This Row],[Facturació A/A]],1):Tabla15[[#This Row],[Facturació A/A]]) / SUM(INDEX(Tabla15[[#This Row],[Diferencia]],1):Tabla15[[#This Row],[Diferencia]])</f>
        <v>-1</v>
      </c>
      <c r="AB345" s="446"/>
      <c r="AC345" s="427"/>
      <c r="AD345" s="427"/>
      <c r="AE345" s="427"/>
      <c r="AF345" s="427"/>
      <c r="AG345" s="428">
        <v>175</v>
      </c>
      <c r="AH345" s="427"/>
      <c r="AI345" s="427"/>
      <c r="AJ345" s="427"/>
      <c r="AK345" s="427"/>
      <c r="AL345" s="427"/>
      <c r="AM345" s="427"/>
      <c r="AN345" s="427"/>
      <c r="AO345" s="427"/>
      <c r="AP345" s="427"/>
      <c r="AQ345" s="427"/>
    </row>
    <row r="346" spans="1:43" ht="16" customHeight="1">
      <c r="A346" s="427"/>
      <c r="B346" s="427"/>
      <c r="C346" s="428">
        <v>313</v>
      </c>
      <c r="D346" s="456">
        <v>46335</v>
      </c>
      <c r="E346" s="962"/>
      <c r="F346" s="958">
        <f>Tabla15[[#This Row],[Retiros]]-Tabla15[[#This Row],[Contado]]</f>
        <v>0</v>
      </c>
      <c r="G346" s="962"/>
      <c r="H346" s="962"/>
      <c r="I346" s="962"/>
      <c r="J346" s="962"/>
      <c r="K346" s="962"/>
      <c r="L346" s="962"/>
      <c r="M346" s="962"/>
      <c r="N346" s="959">
        <f>Tabla15[[#This Row],[Contado]]</f>
        <v>0</v>
      </c>
      <c r="O346" s="962"/>
      <c r="P346" s="443">
        <f>((Tabla15[[#This Row],[Contado]]+Tabla15[[#This Row],[Visa]]+Tabla15[[#This Row],[Eventos]]+Tabla15[[#This Row],[Passo]]+Tabla15[[#This Row],[Reciclajes]])/1.1)+Tabla15[[#This Row],[Tickets]]</f>
        <v>0</v>
      </c>
      <c r="Q346" s="450">
        <v>0</v>
      </c>
      <c r="R346" s="445">
        <f t="shared" si="12"/>
        <v>0</v>
      </c>
      <c r="S346" s="446"/>
      <c r="T346" s="447">
        <v>0</v>
      </c>
      <c r="U346" s="447">
        <f>Tabla15[[#This Row],[Total Caja]]-Tabla15[[#This Row],[Facturació A/A]]</f>
        <v>0</v>
      </c>
      <c r="V346" s="447">
        <f t="shared" si="13"/>
        <v>-203088.31909090909</v>
      </c>
      <c r="W346" s="450" t="e">
        <f>Tabla15[[#This Row],[Diferencia]]/Tabla15[[#This Row],[Facturació A/A]]</f>
        <v>#DIV/0!</v>
      </c>
      <c r="X346" s="447">
        <f>Tabla15[[#This Row],[Facturació A/A]]*H$17+Tabla15[[#This Row],[Facturació A/A]]</f>
        <v>0</v>
      </c>
      <c r="Y346" s="447">
        <f>Tabla15[[#This Row],[Total Caja]]-Tabla15[[#This Row],[Previsión]]</f>
        <v>0</v>
      </c>
      <c r="Z346" s="446"/>
      <c r="AA346" s="447" t="e">
        <f>SUM(INDEX(Tabla15[[#This Row],[Facturació A/A]],1):Tabla15[[#This Row],[Facturació A/A]]) / SUM(INDEX(Tabla15[[#This Row],[Diferencia]],1):Tabla15[[#This Row],[Diferencia]])</f>
        <v>#DIV/0!</v>
      </c>
      <c r="AB346" s="446"/>
      <c r="AC346" s="427"/>
      <c r="AD346" s="427"/>
      <c r="AE346" s="427"/>
      <c r="AF346" s="427"/>
      <c r="AG346" s="428">
        <v>60</v>
      </c>
      <c r="AH346" s="427"/>
      <c r="AI346" s="427"/>
      <c r="AJ346" s="427"/>
      <c r="AK346" s="427"/>
      <c r="AL346" s="427"/>
      <c r="AM346" s="427"/>
      <c r="AN346" s="427"/>
      <c r="AO346" s="427"/>
      <c r="AP346" s="427"/>
      <c r="AQ346" s="427"/>
    </row>
    <row r="347" spans="1:43" ht="16" customHeight="1">
      <c r="A347" s="427"/>
      <c r="B347" s="427"/>
      <c r="C347" s="428">
        <v>314</v>
      </c>
      <c r="D347" s="456">
        <v>46336</v>
      </c>
      <c r="E347" s="962"/>
      <c r="F347" s="958">
        <f>Tabla15[[#This Row],[Retiros]]-Tabla15[[#This Row],[Contado]]</f>
        <v>0</v>
      </c>
      <c r="G347" s="962"/>
      <c r="H347" s="962"/>
      <c r="I347" s="962"/>
      <c r="J347" s="962"/>
      <c r="K347" s="962"/>
      <c r="L347" s="962"/>
      <c r="M347" s="962"/>
      <c r="N347" s="959">
        <f>Tabla15[[#This Row],[Contado]]</f>
        <v>0</v>
      </c>
      <c r="O347" s="962"/>
      <c r="P347" s="443">
        <f>((Tabla15[[#This Row],[Contado]]+Tabla15[[#This Row],[Visa]]+Tabla15[[#This Row],[Eventos]]+Tabla15[[#This Row],[Passo]]+Tabla15[[#This Row],[Reciclajes]])/1.1)+Tabla15[[#This Row],[Tickets]]</f>
        <v>0</v>
      </c>
      <c r="Q347" s="450">
        <v>0</v>
      </c>
      <c r="R347" s="445">
        <f t="shared" si="12"/>
        <v>0</v>
      </c>
      <c r="S347" s="446"/>
      <c r="T347" s="447">
        <v>0</v>
      </c>
      <c r="U347" s="447">
        <f>Tabla15[[#This Row],[Total Caja]]-Tabla15[[#This Row],[Facturació A/A]]</f>
        <v>0</v>
      </c>
      <c r="V347" s="447">
        <f t="shared" si="13"/>
        <v>-203088.31909090909</v>
      </c>
      <c r="W347" s="450" t="e">
        <f>Tabla15[[#This Row],[Diferencia]]/Tabla15[[#This Row],[Facturació A/A]]</f>
        <v>#DIV/0!</v>
      </c>
      <c r="X347" s="447">
        <f>Tabla15[[#This Row],[Facturació A/A]]*H$17+Tabla15[[#This Row],[Facturació A/A]]</f>
        <v>0</v>
      </c>
      <c r="Y347" s="447">
        <f>Tabla15[[#This Row],[Total Caja]]-Tabla15[[#This Row],[Previsión]]</f>
        <v>0</v>
      </c>
      <c r="Z347" s="446"/>
      <c r="AA347" s="447" t="e">
        <f>SUM(INDEX(Tabla15[[#This Row],[Facturació A/A]],1):Tabla15[[#This Row],[Facturació A/A]]) / SUM(INDEX(Tabla15[[#This Row],[Diferencia]],1):Tabla15[[#This Row],[Diferencia]])</f>
        <v>#DIV/0!</v>
      </c>
      <c r="AB347" s="446"/>
      <c r="AC347" s="427"/>
      <c r="AD347" s="427"/>
      <c r="AE347" s="427"/>
      <c r="AF347" s="427"/>
      <c r="AG347" s="428">
        <v>65</v>
      </c>
      <c r="AH347" s="427"/>
      <c r="AI347" s="427"/>
      <c r="AJ347" s="427"/>
      <c r="AK347" s="427"/>
      <c r="AL347" s="427"/>
      <c r="AM347" s="427"/>
      <c r="AN347" s="427"/>
      <c r="AO347" s="427"/>
      <c r="AP347" s="427"/>
      <c r="AQ347" s="427"/>
    </row>
    <row r="348" spans="1:43" ht="16" customHeight="1">
      <c r="A348" s="427"/>
      <c r="B348" s="427"/>
      <c r="C348" s="428">
        <v>315</v>
      </c>
      <c r="D348" s="456">
        <v>46337</v>
      </c>
      <c r="E348" s="962"/>
      <c r="F348" s="958">
        <f>Tabla15[[#This Row],[Retiros]]-Tabla15[[#This Row],[Contado]]</f>
        <v>0</v>
      </c>
      <c r="G348" s="962"/>
      <c r="H348" s="962"/>
      <c r="I348" s="962"/>
      <c r="J348" s="962"/>
      <c r="K348" s="962"/>
      <c r="L348" s="962"/>
      <c r="M348" s="962"/>
      <c r="N348" s="959">
        <f>Tabla15[[#This Row],[Contado]]</f>
        <v>0</v>
      </c>
      <c r="O348" s="962"/>
      <c r="P348" s="443">
        <f>((Tabla15[[#This Row],[Contado]]+Tabla15[[#This Row],[Visa]]+Tabla15[[#This Row],[Eventos]]+Tabla15[[#This Row],[Passo]]+Tabla15[[#This Row],[Reciclajes]])/1.1)+Tabla15[[#This Row],[Tickets]]</f>
        <v>0</v>
      </c>
      <c r="Q348" s="450">
        <v>0</v>
      </c>
      <c r="R348" s="445">
        <f t="shared" si="12"/>
        <v>0</v>
      </c>
      <c r="S348" s="446"/>
      <c r="T348" s="447">
        <v>0</v>
      </c>
      <c r="U348" s="447">
        <f>Tabla15[[#This Row],[Total Caja]]-Tabla15[[#This Row],[Facturació A/A]]</f>
        <v>0</v>
      </c>
      <c r="V348" s="447">
        <f t="shared" si="13"/>
        <v>-203088.31909090909</v>
      </c>
      <c r="W348" s="450" t="e">
        <f>Tabla15[[#This Row],[Diferencia]]/Tabla15[[#This Row],[Facturació A/A]]</f>
        <v>#DIV/0!</v>
      </c>
      <c r="X348" s="447">
        <f>Tabla15[[#This Row],[Facturació A/A]]*H$17+Tabla15[[#This Row],[Facturació A/A]]</f>
        <v>0</v>
      </c>
      <c r="Y348" s="447">
        <f>Tabla15[[#This Row],[Total Caja]]-Tabla15[[#This Row],[Previsión]]</f>
        <v>0</v>
      </c>
      <c r="Z348" s="446"/>
      <c r="AA348" s="447" t="e">
        <f>SUM(INDEX(Tabla15[[#This Row],[Facturació A/A]],1):Tabla15[[#This Row],[Facturació A/A]]) / SUM(INDEX(Tabla15[[#This Row],[Diferencia]],1):Tabla15[[#This Row],[Diferencia]])</f>
        <v>#DIV/0!</v>
      </c>
      <c r="AB348" s="446"/>
      <c r="AC348" s="427"/>
      <c r="AD348" s="427"/>
      <c r="AE348" s="427"/>
      <c r="AF348" s="427"/>
      <c r="AG348" s="427"/>
      <c r="AH348" s="427"/>
      <c r="AI348" s="427"/>
      <c r="AJ348" s="427"/>
      <c r="AK348" s="427"/>
      <c r="AL348" s="427"/>
      <c r="AM348" s="427"/>
      <c r="AN348" s="427"/>
      <c r="AO348" s="427"/>
      <c r="AP348" s="427"/>
      <c r="AQ348" s="427"/>
    </row>
    <row r="349" spans="1:43" ht="16" customHeight="1">
      <c r="A349" s="427"/>
      <c r="B349" s="427"/>
      <c r="C349" s="428">
        <v>316</v>
      </c>
      <c r="D349" s="456">
        <v>46338</v>
      </c>
      <c r="E349" s="962"/>
      <c r="F349" s="958">
        <f>Tabla15[[#This Row],[Retiros]]-Tabla15[[#This Row],[Contado]]</f>
        <v>0</v>
      </c>
      <c r="G349" s="962"/>
      <c r="H349" s="962"/>
      <c r="I349" s="962"/>
      <c r="J349" s="962"/>
      <c r="K349" s="962"/>
      <c r="L349" s="962"/>
      <c r="M349" s="962"/>
      <c r="N349" s="959">
        <f>Tabla15[[#This Row],[Contado]]</f>
        <v>0</v>
      </c>
      <c r="O349" s="962"/>
      <c r="P349" s="443">
        <f>((Tabla15[[#This Row],[Contado]]+Tabla15[[#This Row],[Visa]]+Tabla15[[#This Row],[Eventos]]+Tabla15[[#This Row],[Passo]]+Tabla15[[#This Row],[Reciclajes]])/1.1)+Tabla15[[#This Row],[Tickets]]</f>
        <v>0</v>
      </c>
      <c r="Q349" s="450">
        <v>0</v>
      </c>
      <c r="R349" s="445">
        <f t="shared" si="12"/>
        <v>0</v>
      </c>
      <c r="S349" s="446"/>
      <c r="T349" s="447">
        <v>0</v>
      </c>
      <c r="U349" s="447">
        <f>Tabla15[[#This Row],[Total Caja]]-Tabla15[[#This Row],[Facturació A/A]]</f>
        <v>0</v>
      </c>
      <c r="V349" s="447">
        <f t="shared" si="13"/>
        <v>-203088.31909090909</v>
      </c>
      <c r="W349" s="450" t="e">
        <f>Tabla15[[#This Row],[Diferencia]]/Tabla15[[#This Row],[Facturació A/A]]</f>
        <v>#DIV/0!</v>
      </c>
      <c r="X349" s="447">
        <f>Tabla15[[#This Row],[Facturació A/A]]*H$17+Tabla15[[#This Row],[Facturació A/A]]</f>
        <v>0</v>
      </c>
      <c r="Y349" s="447">
        <f>Tabla15[[#This Row],[Total Caja]]-Tabla15[[#This Row],[Previsión]]</f>
        <v>0</v>
      </c>
      <c r="Z349" s="446"/>
      <c r="AA349" s="447" t="e">
        <f>SUM(INDEX(Tabla15[[#This Row],[Facturació A/A]],1):Tabla15[[#This Row],[Facturació A/A]]) / SUM(INDEX(Tabla15[[#This Row],[Diferencia]],1):Tabla15[[#This Row],[Diferencia]])</f>
        <v>#DIV/0!</v>
      </c>
      <c r="AB349" s="448"/>
      <c r="AC349" s="457">
        <v>73.7</v>
      </c>
      <c r="AD349" s="457">
        <v>92.35</v>
      </c>
      <c r="AE349" s="457">
        <v>29.55</v>
      </c>
      <c r="AF349" s="427"/>
      <c r="AG349" s="427"/>
      <c r="AH349" s="427"/>
      <c r="AI349" s="427"/>
      <c r="AJ349" s="427"/>
      <c r="AK349" s="427"/>
      <c r="AL349" s="427"/>
      <c r="AM349" s="427"/>
      <c r="AN349" s="427"/>
      <c r="AO349" s="427"/>
      <c r="AP349" s="427"/>
      <c r="AQ349" s="427"/>
    </row>
    <row r="350" spans="1:43" ht="16" customHeight="1">
      <c r="A350" s="427"/>
      <c r="B350" s="427"/>
      <c r="C350" s="428">
        <v>317</v>
      </c>
      <c r="D350" s="456">
        <v>46339</v>
      </c>
      <c r="E350" s="962"/>
      <c r="F350" s="958">
        <f>Tabla15[[#This Row],[Retiros]]-Tabla15[[#This Row],[Contado]]</f>
        <v>0</v>
      </c>
      <c r="G350" s="962"/>
      <c r="H350" s="962"/>
      <c r="I350" s="962"/>
      <c r="J350" s="962"/>
      <c r="K350" s="962"/>
      <c r="L350" s="962"/>
      <c r="M350" s="962"/>
      <c r="N350" s="959">
        <f>Tabla15[[#This Row],[Contado]]</f>
        <v>0</v>
      </c>
      <c r="O350" s="962"/>
      <c r="P350" s="443">
        <f>((Tabla15[[#This Row],[Contado]]+Tabla15[[#This Row],[Visa]]+Tabla15[[#This Row],[Eventos]]+Tabla15[[#This Row],[Passo]]+Tabla15[[#This Row],[Reciclajes]])/1.1)+Tabla15[[#This Row],[Tickets]]</f>
        <v>0</v>
      </c>
      <c r="Q350" s="450">
        <v>0</v>
      </c>
      <c r="R350" s="445">
        <f t="shared" si="12"/>
        <v>0</v>
      </c>
      <c r="S350" s="446"/>
      <c r="T350" s="447">
        <v>0</v>
      </c>
      <c r="U350" s="447">
        <f>Tabla15[[#This Row],[Total Caja]]-Tabla15[[#This Row],[Facturació A/A]]</f>
        <v>0</v>
      </c>
      <c r="V350" s="447">
        <f t="shared" si="13"/>
        <v>-203088.31909090909</v>
      </c>
      <c r="W350" s="450" t="e">
        <f>Tabla15[[#This Row],[Diferencia]]/Tabla15[[#This Row],[Facturació A/A]]</f>
        <v>#DIV/0!</v>
      </c>
      <c r="X350" s="447">
        <f>Tabla15[[#This Row],[Facturació A/A]]*H$17+Tabla15[[#This Row],[Facturació A/A]]</f>
        <v>0</v>
      </c>
      <c r="Y350" s="447">
        <f>Tabla15[[#This Row],[Total Caja]]-Tabla15[[#This Row],[Previsión]]</f>
        <v>0</v>
      </c>
      <c r="Z350" s="446"/>
      <c r="AA350" s="447" t="e">
        <f>SUM(INDEX(Tabla15[[#This Row],[Facturació A/A]],1):Tabla15[[#This Row],[Facturació A/A]]) / SUM(INDEX(Tabla15[[#This Row],[Diferencia]],1):Tabla15[[#This Row],[Diferencia]])</f>
        <v>#DIV/0!</v>
      </c>
      <c r="AB350" s="448"/>
      <c r="AC350" s="458">
        <v>320</v>
      </c>
      <c r="AD350" s="458">
        <v>250</v>
      </c>
      <c r="AE350" s="458">
        <v>657</v>
      </c>
      <c r="AF350" s="427"/>
      <c r="AG350" s="427"/>
      <c r="AH350" s="427"/>
      <c r="AI350" s="427"/>
      <c r="AJ350" s="427"/>
      <c r="AK350" s="427"/>
      <c r="AL350" s="427"/>
      <c r="AM350" s="427"/>
      <c r="AN350" s="427"/>
      <c r="AO350" s="427"/>
      <c r="AP350" s="427"/>
      <c r="AQ350" s="427"/>
    </row>
    <row r="351" spans="1:43" ht="16" customHeight="1">
      <c r="A351" s="427"/>
      <c r="B351" s="427"/>
      <c r="C351" s="428">
        <v>318</v>
      </c>
      <c r="D351" s="456">
        <v>46340</v>
      </c>
      <c r="E351" s="962"/>
      <c r="F351" s="958">
        <f>Tabla15[[#This Row],[Retiros]]-Tabla15[[#This Row],[Contado]]</f>
        <v>0</v>
      </c>
      <c r="G351" s="962"/>
      <c r="H351" s="962"/>
      <c r="I351" s="962"/>
      <c r="J351" s="962"/>
      <c r="K351" s="962"/>
      <c r="L351" s="962"/>
      <c r="M351" s="962"/>
      <c r="N351" s="959">
        <f>Tabla15[[#This Row],[Contado]]</f>
        <v>0</v>
      </c>
      <c r="O351" s="962"/>
      <c r="P351" s="443">
        <f>((Tabla15[[#This Row],[Contado]]+Tabla15[[#This Row],[Visa]]+Tabla15[[#This Row],[Eventos]]+Tabla15[[#This Row],[Passo]]+Tabla15[[#This Row],[Reciclajes]])/1.1)+Tabla15[[#This Row],[Tickets]]</f>
        <v>0</v>
      </c>
      <c r="Q351" s="450">
        <v>0</v>
      </c>
      <c r="R351" s="445">
        <f t="shared" si="12"/>
        <v>0</v>
      </c>
      <c r="S351" s="446"/>
      <c r="T351" s="447">
        <v>0</v>
      </c>
      <c r="U351" s="447">
        <f>Tabla15[[#This Row],[Total Caja]]-Tabla15[[#This Row],[Facturació A/A]]</f>
        <v>0</v>
      </c>
      <c r="V351" s="447">
        <f t="shared" si="13"/>
        <v>-203088.31909090909</v>
      </c>
      <c r="W351" s="450" t="e">
        <f>Tabla15[[#This Row],[Diferencia]]/Tabla15[[#This Row],[Facturació A/A]]</f>
        <v>#DIV/0!</v>
      </c>
      <c r="X351" s="447">
        <f>Tabla15[[#This Row],[Facturació A/A]]*H$17+Tabla15[[#This Row],[Facturació A/A]]</f>
        <v>0</v>
      </c>
      <c r="Y351" s="447">
        <f>Tabla15[[#This Row],[Total Caja]]-Tabla15[[#This Row],[Previsión]]</f>
        <v>0</v>
      </c>
      <c r="Z351" s="446"/>
      <c r="AA351" s="447" t="e">
        <f>SUM(INDEX(Tabla15[[#This Row],[Facturació A/A]],1):Tabla15[[#This Row],[Facturació A/A]]) / SUM(INDEX(Tabla15[[#This Row],[Diferencia]],1):Tabla15[[#This Row],[Diferencia]])</f>
        <v>#DIV/0!</v>
      </c>
      <c r="AB351" s="448"/>
      <c r="AC351" s="458">
        <v>1542.1</v>
      </c>
      <c r="AD351" s="458">
        <v>1905.15</v>
      </c>
      <c r="AE351" s="458">
        <v>1151.6500000000001</v>
      </c>
      <c r="AF351" s="427"/>
      <c r="AG351" s="427"/>
      <c r="AH351" s="427"/>
      <c r="AI351" s="427"/>
      <c r="AJ351" s="427"/>
      <c r="AK351" s="427"/>
      <c r="AL351" s="427"/>
      <c r="AM351" s="427"/>
      <c r="AN351" s="427"/>
      <c r="AO351" s="427"/>
      <c r="AP351" s="427"/>
      <c r="AQ351" s="427"/>
    </row>
    <row r="352" spans="1:43" ht="16" customHeight="1">
      <c r="A352" s="427"/>
      <c r="B352" s="427"/>
      <c r="C352" s="428">
        <v>319</v>
      </c>
      <c r="D352" s="456">
        <v>46341</v>
      </c>
      <c r="E352" s="962"/>
      <c r="F352" s="958">
        <f>Tabla15[[#This Row],[Retiros]]-Tabla15[[#This Row],[Contado]]</f>
        <v>0</v>
      </c>
      <c r="G352" s="962"/>
      <c r="H352" s="962"/>
      <c r="I352" s="962"/>
      <c r="J352" s="962"/>
      <c r="K352" s="962"/>
      <c r="L352" s="962"/>
      <c r="M352" s="962"/>
      <c r="N352" s="959">
        <f>Tabla15[[#This Row],[Contado]]</f>
        <v>0</v>
      </c>
      <c r="O352" s="962"/>
      <c r="P352" s="443">
        <f>((Tabla15[[#This Row],[Contado]]+Tabla15[[#This Row],[Visa]]+Tabla15[[#This Row],[Eventos]]+Tabla15[[#This Row],[Passo]]+Tabla15[[#This Row],[Reciclajes]])/1.1)+Tabla15[[#This Row],[Tickets]]</f>
        <v>0</v>
      </c>
      <c r="Q352" s="450">
        <v>0</v>
      </c>
      <c r="R352" s="445">
        <f t="shared" si="12"/>
        <v>0</v>
      </c>
      <c r="S352" s="446"/>
      <c r="T352" s="447">
        <v>0</v>
      </c>
      <c r="U352" s="447">
        <f>Tabla15[[#This Row],[Total Caja]]-Tabla15[[#This Row],[Facturació A/A]]</f>
        <v>0</v>
      </c>
      <c r="V352" s="447">
        <f t="shared" si="13"/>
        <v>-203088.31909090909</v>
      </c>
      <c r="W352" s="450" t="e">
        <f>Tabla15[[#This Row],[Diferencia]]/Tabla15[[#This Row],[Facturació A/A]]</f>
        <v>#DIV/0!</v>
      </c>
      <c r="X352" s="447">
        <f>Tabla15[[#This Row],[Facturació A/A]]*H$17+Tabla15[[#This Row],[Facturació A/A]]</f>
        <v>0</v>
      </c>
      <c r="Y352" s="447">
        <f>Tabla15[[#This Row],[Total Caja]]-Tabla15[[#This Row],[Previsión]]</f>
        <v>0</v>
      </c>
      <c r="Z352" s="446"/>
      <c r="AA352" s="447" t="e">
        <f>SUM(INDEX(Tabla15[[#This Row],[Facturació A/A]],1):Tabla15[[#This Row],[Facturació A/A]]) / SUM(INDEX(Tabla15[[#This Row],[Diferencia]],1):Tabla15[[#This Row],[Diferencia]])</f>
        <v>#DIV/0!</v>
      </c>
      <c r="AB352" s="448"/>
      <c r="AC352" s="458">
        <v>0</v>
      </c>
      <c r="AD352" s="458">
        <v>0</v>
      </c>
      <c r="AE352" s="458">
        <v>0</v>
      </c>
      <c r="AF352" s="427"/>
      <c r="AG352" s="427"/>
      <c r="AH352" s="427"/>
      <c r="AI352" s="427"/>
      <c r="AJ352" s="427"/>
      <c r="AK352" s="427"/>
      <c r="AL352" s="427"/>
      <c r="AM352" s="427"/>
      <c r="AN352" s="427"/>
      <c r="AO352" s="427"/>
      <c r="AP352" s="427"/>
      <c r="AQ352" s="427"/>
    </row>
    <row r="353" spans="1:43" ht="16" customHeight="1">
      <c r="A353" s="427"/>
      <c r="B353" s="427"/>
      <c r="C353" s="428">
        <v>320</v>
      </c>
      <c r="D353" s="456">
        <v>46342</v>
      </c>
      <c r="E353" s="962"/>
      <c r="F353" s="958">
        <f>Tabla15[[#This Row],[Retiros]]-Tabla15[[#This Row],[Contado]]</f>
        <v>0</v>
      </c>
      <c r="G353" s="962"/>
      <c r="H353" s="962"/>
      <c r="I353" s="962"/>
      <c r="J353" s="962"/>
      <c r="K353" s="962"/>
      <c r="L353" s="962"/>
      <c r="M353" s="962"/>
      <c r="N353" s="959">
        <f>Tabla15[[#This Row],[Contado]]</f>
        <v>0</v>
      </c>
      <c r="O353" s="962"/>
      <c r="P353" s="443">
        <f>((Tabla15[[#This Row],[Contado]]+Tabla15[[#This Row],[Visa]]+Tabla15[[#This Row],[Eventos]]+Tabla15[[#This Row],[Passo]]+Tabla15[[#This Row],[Reciclajes]])/1.1)+Tabla15[[#This Row],[Tickets]]</f>
        <v>0</v>
      </c>
      <c r="Q353" s="450">
        <v>0</v>
      </c>
      <c r="R353" s="445">
        <f t="shared" si="12"/>
        <v>0</v>
      </c>
      <c r="S353" s="446"/>
      <c r="T353" s="447">
        <v>0</v>
      </c>
      <c r="U353" s="447">
        <f>Tabla15[[#This Row],[Total Caja]]-Tabla15[[#This Row],[Facturació A/A]]</f>
        <v>0</v>
      </c>
      <c r="V353" s="447">
        <f t="shared" si="13"/>
        <v>-203088.31909090909</v>
      </c>
      <c r="W353" s="450" t="e">
        <f>Tabla15[[#This Row],[Diferencia]]/Tabla15[[#This Row],[Facturació A/A]]</f>
        <v>#DIV/0!</v>
      </c>
      <c r="X353" s="447">
        <f>Tabla15[[#This Row],[Facturació A/A]]*H$17+Tabla15[[#This Row],[Facturació A/A]]</f>
        <v>0</v>
      </c>
      <c r="Y353" s="447">
        <f>Tabla15[[#This Row],[Total Caja]]-Tabla15[[#This Row],[Previsión]]</f>
        <v>0</v>
      </c>
      <c r="Z353" s="446"/>
      <c r="AA353" s="447" t="e">
        <f>SUM(INDEX(Tabla15[[#This Row],[Facturació A/A]],1):Tabla15[[#This Row],[Facturació A/A]]) / SUM(INDEX(Tabla15[[#This Row],[Diferencia]],1):Tabla15[[#This Row],[Diferencia]])</f>
        <v>#DIV/0!</v>
      </c>
      <c r="AB353" s="448"/>
      <c r="AC353" s="458">
        <v>139.6</v>
      </c>
      <c r="AD353" s="458">
        <v>46.15</v>
      </c>
      <c r="AE353" s="458">
        <v>0</v>
      </c>
      <c r="AF353" s="427"/>
      <c r="AG353" s="427"/>
      <c r="AH353" s="427"/>
      <c r="AI353" s="427"/>
      <c r="AJ353" s="427"/>
      <c r="AK353" s="427"/>
      <c r="AL353" s="427"/>
      <c r="AM353" s="427"/>
      <c r="AN353" s="427"/>
      <c r="AO353" s="427"/>
      <c r="AP353" s="427"/>
      <c r="AQ353" s="427"/>
    </row>
    <row r="354" spans="1:43" ht="16" customHeight="1">
      <c r="A354" s="427"/>
      <c r="B354" s="427"/>
      <c r="C354" s="428">
        <v>321</v>
      </c>
      <c r="D354" s="456">
        <v>46343</v>
      </c>
      <c r="E354" s="962"/>
      <c r="F354" s="958">
        <f>Tabla15[[#This Row],[Retiros]]-Tabla15[[#This Row],[Contado]]</f>
        <v>0</v>
      </c>
      <c r="G354" s="962"/>
      <c r="H354" s="962"/>
      <c r="I354" s="962"/>
      <c r="J354" s="962"/>
      <c r="K354" s="962"/>
      <c r="L354" s="962"/>
      <c r="M354" s="962"/>
      <c r="N354" s="959">
        <f>Tabla15[[#This Row],[Contado]]</f>
        <v>0</v>
      </c>
      <c r="O354" s="962"/>
      <c r="P354" s="443">
        <f>((Tabla15[[#This Row],[Contado]]+Tabla15[[#This Row],[Visa]]+Tabla15[[#This Row],[Eventos]]+Tabla15[[#This Row],[Passo]]+Tabla15[[#This Row],[Reciclajes]])/1.1)+Tabla15[[#This Row],[Tickets]]</f>
        <v>0</v>
      </c>
      <c r="Q354" s="450">
        <v>0</v>
      </c>
      <c r="R354" s="445">
        <f t="shared" ref="R354:R398" si="14">IFERROR(F354/P354,0)</f>
        <v>0</v>
      </c>
      <c r="S354" s="446"/>
      <c r="T354" s="447">
        <v>0</v>
      </c>
      <c r="U354" s="447">
        <f>Tabla15[[#This Row],[Total Caja]]-Tabla15[[#This Row],[Facturació A/A]]</f>
        <v>0</v>
      </c>
      <c r="V354" s="447">
        <f t="shared" si="13"/>
        <v>-203088.31909090909</v>
      </c>
      <c r="W354" s="450" t="e">
        <f>Tabla15[[#This Row],[Diferencia]]/Tabla15[[#This Row],[Facturació A/A]]</f>
        <v>#DIV/0!</v>
      </c>
      <c r="X354" s="447">
        <f>Tabla15[[#This Row],[Facturació A/A]]*H$17+Tabla15[[#This Row],[Facturació A/A]]</f>
        <v>0</v>
      </c>
      <c r="Y354" s="447">
        <f>Tabla15[[#This Row],[Total Caja]]-Tabla15[[#This Row],[Previsión]]</f>
        <v>0</v>
      </c>
      <c r="Z354" s="446"/>
      <c r="AA354" s="447" t="e">
        <f>SUM(INDEX(Tabla15[[#This Row],[Facturació A/A]],1):Tabla15[[#This Row],[Facturació A/A]]) / SUM(INDEX(Tabla15[[#This Row],[Diferencia]],1):Tabla15[[#This Row],[Diferencia]])</f>
        <v>#DIV/0!</v>
      </c>
      <c r="AB354" s="448"/>
      <c r="AC354" s="458">
        <v>0</v>
      </c>
      <c r="AD354" s="458">
        <v>0</v>
      </c>
      <c r="AE354" s="458">
        <v>0</v>
      </c>
      <c r="AF354" s="427"/>
      <c r="AG354" s="427"/>
      <c r="AH354" s="427"/>
      <c r="AI354" s="427"/>
      <c r="AJ354" s="427"/>
      <c r="AK354" s="427"/>
      <c r="AL354" s="427"/>
      <c r="AM354" s="427"/>
      <c r="AN354" s="427"/>
      <c r="AO354" s="427"/>
      <c r="AP354" s="427"/>
      <c r="AQ354" s="427"/>
    </row>
    <row r="355" spans="1:43" ht="16" customHeight="1">
      <c r="A355" s="427"/>
      <c r="B355" s="427"/>
      <c r="C355" s="428">
        <v>322</v>
      </c>
      <c r="D355" s="456">
        <v>46344</v>
      </c>
      <c r="E355" s="962"/>
      <c r="F355" s="958">
        <f>Tabla15[[#This Row],[Retiros]]-Tabla15[[#This Row],[Contado]]</f>
        <v>0</v>
      </c>
      <c r="G355" s="962"/>
      <c r="H355" s="962"/>
      <c r="I355" s="962"/>
      <c r="J355" s="962"/>
      <c r="K355" s="962"/>
      <c r="L355" s="962"/>
      <c r="M355" s="962"/>
      <c r="N355" s="959">
        <f>Tabla15[[#This Row],[Contado]]</f>
        <v>0</v>
      </c>
      <c r="O355" s="962"/>
      <c r="P355" s="443">
        <f>((Tabla15[[#This Row],[Contado]]+Tabla15[[#This Row],[Visa]]+Tabla15[[#This Row],[Eventos]]+Tabla15[[#This Row],[Passo]]+Tabla15[[#This Row],[Reciclajes]])/1.1)+Tabla15[[#This Row],[Tickets]]</f>
        <v>0</v>
      </c>
      <c r="Q355" s="450">
        <v>0</v>
      </c>
      <c r="R355" s="445">
        <f t="shared" si="14"/>
        <v>0</v>
      </c>
      <c r="S355" s="446"/>
      <c r="T355" s="447">
        <v>0</v>
      </c>
      <c r="U355" s="447">
        <f>Tabla15[[#This Row],[Total Caja]]-Tabla15[[#This Row],[Facturació A/A]]</f>
        <v>0</v>
      </c>
      <c r="V355" s="447">
        <f t="shared" ref="V355:V398" si="15">U355+V354</f>
        <v>-203088.31909090909</v>
      </c>
      <c r="W355" s="450" t="e">
        <f>Tabla15[[#This Row],[Diferencia]]/Tabla15[[#This Row],[Facturació A/A]]</f>
        <v>#DIV/0!</v>
      </c>
      <c r="X355" s="447">
        <f>Tabla15[[#This Row],[Facturació A/A]]*H$17+Tabla15[[#This Row],[Facturació A/A]]</f>
        <v>0</v>
      </c>
      <c r="Y355" s="447">
        <f>Tabla15[[#This Row],[Total Caja]]-Tabla15[[#This Row],[Previsión]]</f>
        <v>0</v>
      </c>
      <c r="Z355" s="446"/>
      <c r="AA355" s="447" t="e">
        <f>SUM(INDEX(Tabla15[[#This Row],[Facturació A/A]],1):Tabla15[[#This Row],[Facturació A/A]]) / SUM(INDEX(Tabla15[[#This Row],[Diferencia]],1):Tabla15[[#This Row],[Diferencia]])</f>
        <v>#DIV/0!</v>
      </c>
      <c r="AB355" s="446"/>
      <c r="AC355" s="427"/>
      <c r="AD355" s="427"/>
      <c r="AE355" s="427"/>
      <c r="AF355" s="427"/>
      <c r="AG355" s="427"/>
      <c r="AH355" s="427"/>
      <c r="AI355" s="427"/>
      <c r="AJ355" s="427"/>
      <c r="AK355" s="427"/>
      <c r="AL355" s="427"/>
      <c r="AM355" s="427"/>
      <c r="AN355" s="427"/>
      <c r="AO355" s="427"/>
      <c r="AP355" s="427"/>
      <c r="AQ355" s="427"/>
    </row>
    <row r="356" spans="1:43" ht="16" customHeight="1">
      <c r="A356" s="427"/>
      <c r="B356" s="427"/>
      <c r="C356" s="428">
        <v>323</v>
      </c>
      <c r="D356" s="456">
        <v>46345</v>
      </c>
      <c r="E356" s="962"/>
      <c r="F356" s="958">
        <f>Tabla15[[#This Row],[Retiros]]-Tabla15[[#This Row],[Contado]]</f>
        <v>0</v>
      </c>
      <c r="G356" s="962"/>
      <c r="H356" s="962"/>
      <c r="I356" s="962"/>
      <c r="J356" s="962"/>
      <c r="K356" s="962"/>
      <c r="L356" s="962"/>
      <c r="M356" s="962"/>
      <c r="N356" s="959">
        <f>Tabla15[[#This Row],[Contado]]</f>
        <v>0</v>
      </c>
      <c r="O356" s="962"/>
      <c r="P356" s="443">
        <f>((Tabla15[[#This Row],[Contado]]+Tabla15[[#This Row],[Visa]]+Tabla15[[#This Row],[Eventos]]+Tabla15[[#This Row],[Passo]]+Tabla15[[#This Row],[Reciclajes]])/1.1)+Tabla15[[#This Row],[Tickets]]</f>
        <v>0</v>
      </c>
      <c r="Q356" s="450">
        <v>0</v>
      </c>
      <c r="R356" s="445">
        <f t="shared" si="14"/>
        <v>0</v>
      </c>
      <c r="S356" s="446"/>
      <c r="T356" s="447">
        <v>0</v>
      </c>
      <c r="U356" s="447">
        <f>Tabla15[[#This Row],[Total Caja]]-Tabla15[[#This Row],[Facturació A/A]]</f>
        <v>0</v>
      </c>
      <c r="V356" s="447">
        <f t="shared" si="15"/>
        <v>-203088.31909090909</v>
      </c>
      <c r="W356" s="450" t="e">
        <f>Tabla15[[#This Row],[Diferencia]]/Tabla15[[#This Row],[Facturació A/A]]</f>
        <v>#DIV/0!</v>
      </c>
      <c r="X356" s="447">
        <f>Tabla15[[#This Row],[Facturació A/A]]*H$17+Tabla15[[#This Row],[Facturació A/A]]</f>
        <v>0</v>
      </c>
      <c r="Y356" s="447">
        <f>Tabla15[[#This Row],[Total Caja]]-Tabla15[[#This Row],[Previsión]]</f>
        <v>0</v>
      </c>
      <c r="Z356" s="446"/>
      <c r="AA356" s="447" t="e">
        <f>SUM(INDEX(Tabla15[[#This Row],[Facturació A/A]],1):Tabla15[[#This Row],[Facturació A/A]]) / SUM(INDEX(Tabla15[[#This Row],[Diferencia]],1):Tabla15[[#This Row],[Diferencia]])</f>
        <v>#DIV/0!</v>
      </c>
      <c r="AB356" s="446"/>
      <c r="AC356" s="459">
        <v>1886.73</v>
      </c>
      <c r="AD356" s="459">
        <v>2085.14</v>
      </c>
      <c r="AE356" s="459">
        <v>1671.09</v>
      </c>
      <c r="AF356" s="427"/>
      <c r="AG356" s="427"/>
      <c r="AH356" s="427"/>
      <c r="AI356" s="427"/>
      <c r="AJ356" s="427"/>
      <c r="AK356" s="427"/>
      <c r="AL356" s="427"/>
      <c r="AM356" s="427"/>
      <c r="AN356" s="427"/>
      <c r="AO356" s="427"/>
      <c r="AP356" s="427"/>
      <c r="AQ356" s="427"/>
    </row>
    <row r="357" spans="1:43" ht="16" customHeight="1">
      <c r="A357" s="427"/>
      <c r="B357" s="427"/>
      <c r="C357" s="428">
        <v>324</v>
      </c>
      <c r="D357" s="456">
        <v>46346</v>
      </c>
      <c r="E357" s="962"/>
      <c r="F357" s="958">
        <f>Tabla15[[#This Row],[Retiros]]-Tabla15[[#This Row],[Contado]]</f>
        <v>0</v>
      </c>
      <c r="G357" s="962"/>
      <c r="H357" s="962"/>
      <c r="I357" s="962"/>
      <c r="J357" s="962"/>
      <c r="K357" s="962"/>
      <c r="L357" s="962"/>
      <c r="M357" s="962"/>
      <c r="N357" s="959">
        <f>Tabla15[[#This Row],[Contado]]</f>
        <v>0</v>
      </c>
      <c r="O357" s="962"/>
      <c r="P357" s="443">
        <f>((Tabla15[[#This Row],[Contado]]+Tabla15[[#This Row],[Visa]]+Tabla15[[#This Row],[Eventos]]+Tabla15[[#This Row],[Passo]]+Tabla15[[#This Row],[Reciclajes]])/1.1)+Tabla15[[#This Row],[Tickets]]</f>
        <v>0</v>
      </c>
      <c r="Q357" s="450">
        <v>0</v>
      </c>
      <c r="R357" s="445">
        <f t="shared" si="14"/>
        <v>0</v>
      </c>
      <c r="S357" s="446"/>
      <c r="T357" s="447">
        <v>0</v>
      </c>
      <c r="U357" s="447">
        <f>Tabla15[[#This Row],[Total Caja]]-Tabla15[[#This Row],[Facturació A/A]]</f>
        <v>0</v>
      </c>
      <c r="V357" s="447">
        <f t="shared" si="15"/>
        <v>-203088.31909090909</v>
      </c>
      <c r="W357" s="450" t="e">
        <f>Tabla15[[#This Row],[Diferencia]]/Tabla15[[#This Row],[Facturació A/A]]</f>
        <v>#DIV/0!</v>
      </c>
      <c r="X357" s="447">
        <f>Tabla15[[#This Row],[Facturació A/A]]*H$17+Tabla15[[#This Row],[Facturació A/A]]</f>
        <v>0</v>
      </c>
      <c r="Y357" s="447">
        <f>Tabla15[[#This Row],[Total Caja]]-Tabla15[[#This Row],[Previsión]]</f>
        <v>0</v>
      </c>
      <c r="Z357" s="446"/>
      <c r="AA357" s="447" t="e">
        <f>SUM(INDEX(Tabla15[[#This Row],[Facturació A/A]],1):Tabla15[[#This Row],[Facturació A/A]]) / SUM(INDEX(Tabla15[[#This Row],[Diferencia]],1):Tabla15[[#This Row],[Diferencia]])</f>
        <v>#DIV/0!</v>
      </c>
      <c r="AB357" s="446"/>
      <c r="AC357" s="429">
        <v>1477.17</v>
      </c>
      <c r="AD357" s="429">
        <v>2024.93</v>
      </c>
      <c r="AE357" s="427"/>
      <c r="AF357" s="427"/>
      <c r="AG357" s="427"/>
      <c r="AH357" s="427"/>
      <c r="AI357" s="427"/>
      <c r="AJ357" s="427"/>
      <c r="AK357" s="427"/>
      <c r="AL357" s="427"/>
      <c r="AM357" s="427"/>
      <c r="AN357" s="427"/>
      <c r="AO357" s="427"/>
      <c r="AP357" s="427"/>
      <c r="AQ357" s="427"/>
    </row>
    <row r="358" spans="1:43" ht="16" customHeight="1">
      <c r="A358" s="427"/>
      <c r="B358" s="427"/>
      <c r="C358" s="428">
        <v>325</v>
      </c>
      <c r="D358" s="456">
        <v>46347</v>
      </c>
      <c r="E358" s="962"/>
      <c r="F358" s="958">
        <f>Tabla15[[#This Row],[Retiros]]-Tabla15[[#This Row],[Contado]]</f>
        <v>0</v>
      </c>
      <c r="G358" s="962"/>
      <c r="H358" s="962"/>
      <c r="I358" s="962"/>
      <c r="J358" s="962"/>
      <c r="K358" s="962"/>
      <c r="L358" s="962"/>
      <c r="M358" s="962"/>
      <c r="N358" s="959">
        <f>Tabla15[[#This Row],[Contado]]</f>
        <v>0</v>
      </c>
      <c r="O358" s="962"/>
      <c r="P358" s="443">
        <f>((Tabla15[[#This Row],[Contado]]+Tabla15[[#This Row],[Visa]]+Tabla15[[#This Row],[Eventos]]+Tabla15[[#This Row],[Passo]]+Tabla15[[#This Row],[Reciclajes]])/1.1)+Tabla15[[#This Row],[Tickets]]</f>
        <v>0</v>
      </c>
      <c r="Q358" s="450">
        <v>0</v>
      </c>
      <c r="R358" s="445">
        <f t="shared" si="14"/>
        <v>0</v>
      </c>
      <c r="S358" s="446"/>
      <c r="T358" s="447">
        <v>0</v>
      </c>
      <c r="U358" s="447">
        <f>Tabla15[[#This Row],[Total Caja]]-Tabla15[[#This Row],[Facturació A/A]]</f>
        <v>0</v>
      </c>
      <c r="V358" s="447">
        <f t="shared" si="15"/>
        <v>-203088.31909090909</v>
      </c>
      <c r="W358" s="450" t="e">
        <f>Tabla15[[#This Row],[Diferencia]]/Tabla15[[#This Row],[Facturació A/A]]</f>
        <v>#DIV/0!</v>
      </c>
      <c r="X358" s="447">
        <f>Tabla15[[#This Row],[Facturació A/A]]*H$17+Tabla15[[#This Row],[Facturació A/A]]</f>
        <v>0</v>
      </c>
      <c r="Y358" s="447">
        <f>Tabla15[[#This Row],[Total Caja]]-Tabla15[[#This Row],[Previsión]]</f>
        <v>0</v>
      </c>
      <c r="Z358" s="446"/>
      <c r="AA358" s="447" t="e">
        <f>SUM(INDEX(Tabla15[[#This Row],[Facturació A/A]],1):Tabla15[[#This Row],[Facturació A/A]]) / SUM(INDEX(Tabla15[[#This Row],[Diferencia]],1):Tabla15[[#This Row],[Diferencia]])</f>
        <v>#DIV/0!</v>
      </c>
      <c r="AB358" s="446"/>
      <c r="AC358" s="428" t="s">
        <v>466</v>
      </c>
      <c r="AD358" s="460" t="s">
        <v>467</v>
      </c>
      <c r="AE358" s="428" t="s">
        <v>468</v>
      </c>
      <c r="AF358" s="428" t="s">
        <v>469</v>
      </c>
      <c r="AG358" s="427"/>
      <c r="AH358" s="427"/>
      <c r="AI358" s="427"/>
      <c r="AJ358" s="427"/>
      <c r="AK358" s="427"/>
      <c r="AL358" s="427"/>
      <c r="AM358" s="427"/>
      <c r="AN358" s="427"/>
      <c r="AO358" s="427"/>
      <c r="AP358" s="427"/>
      <c r="AQ358" s="427"/>
    </row>
    <row r="359" spans="1:43" ht="16" customHeight="1">
      <c r="A359" s="427"/>
      <c r="B359" s="427"/>
      <c r="C359" s="428">
        <v>326</v>
      </c>
      <c r="D359" s="456">
        <v>46348</v>
      </c>
      <c r="E359" s="962"/>
      <c r="F359" s="958">
        <f>Tabla15[[#This Row],[Retiros]]-Tabla15[[#This Row],[Contado]]</f>
        <v>0</v>
      </c>
      <c r="G359" s="962"/>
      <c r="H359" s="962"/>
      <c r="I359" s="962"/>
      <c r="J359" s="962"/>
      <c r="K359" s="962"/>
      <c r="L359" s="962"/>
      <c r="M359" s="962"/>
      <c r="N359" s="959">
        <f>Tabla15[[#This Row],[Contado]]</f>
        <v>0</v>
      </c>
      <c r="O359" s="962"/>
      <c r="P359" s="443">
        <f>((Tabla15[[#This Row],[Contado]]+Tabla15[[#This Row],[Visa]]+Tabla15[[#This Row],[Eventos]]+Tabla15[[#This Row],[Passo]]+Tabla15[[#This Row],[Reciclajes]])/1.1)+Tabla15[[#This Row],[Tickets]]</f>
        <v>0</v>
      </c>
      <c r="Q359" s="450">
        <v>0</v>
      </c>
      <c r="R359" s="445">
        <f t="shared" si="14"/>
        <v>0</v>
      </c>
      <c r="S359" s="446"/>
      <c r="T359" s="447">
        <v>0</v>
      </c>
      <c r="U359" s="447">
        <f>Tabla15[[#This Row],[Total Caja]]-Tabla15[[#This Row],[Facturació A/A]]</f>
        <v>0</v>
      </c>
      <c r="V359" s="447">
        <f t="shared" si="15"/>
        <v>-203088.31909090909</v>
      </c>
      <c r="W359" s="450" t="e">
        <f>Tabla15[[#This Row],[Diferencia]]/Tabla15[[#This Row],[Facturació A/A]]</f>
        <v>#DIV/0!</v>
      </c>
      <c r="X359" s="447">
        <f>Tabla15[[#This Row],[Facturació A/A]]*H$17+Tabla15[[#This Row],[Facturació A/A]]</f>
        <v>0</v>
      </c>
      <c r="Y359" s="447">
        <f>Tabla15[[#This Row],[Total Caja]]-Tabla15[[#This Row],[Previsión]]</f>
        <v>0</v>
      </c>
      <c r="Z359" s="446"/>
      <c r="AA359" s="447" t="e">
        <f>SUM(INDEX(Tabla15[[#This Row],[Facturació A/A]],1):Tabla15[[#This Row],[Facturació A/A]]) / SUM(INDEX(Tabla15[[#This Row],[Diferencia]],1):Tabla15[[#This Row],[Diferencia]])</f>
        <v>#DIV/0!</v>
      </c>
      <c r="AB359" s="446"/>
      <c r="AC359" s="457">
        <v>7</v>
      </c>
      <c r="AD359" s="461">
        <v>7.75</v>
      </c>
      <c r="AE359" s="457">
        <v>14.35</v>
      </c>
      <c r="AF359" s="457">
        <v>3.7</v>
      </c>
      <c r="AG359" s="427"/>
      <c r="AH359" s="427"/>
      <c r="AI359" s="427"/>
      <c r="AJ359" s="427"/>
      <c r="AK359" s="427"/>
      <c r="AL359" s="427"/>
      <c r="AM359" s="427"/>
      <c r="AN359" s="427"/>
      <c r="AO359" s="427"/>
      <c r="AP359" s="427"/>
      <c r="AQ359" s="427"/>
    </row>
    <row r="360" spans="1:43" ht="16" customHeight="1">
      <c r="A360" s="427"/>
      <c r="B360" s="427"/>
      <c r="C360" s="428">
        <v>327</v>
      </c>
      <c r="D360" s="456">
        <v>46349</v>
      </c>
      <c r="E360" s="962"/>
      <c r="F360" s="958">
        <f>Tabla15[[#This Row],[Retiros]]-Tabla15[[#This Row],[Contado]]</f>
        <v>0</v>
      </c>
      <c r="G360" s="962"/>
      <c r="H360" s="962"/>
      <c r="I360" s="962"/>
      <c r="J360" s="962"/>
      <c r="K360" s="962"/>
      <c r="L360" s="962"/>
      <c r="M360" s="962"/>
      <c r="N360" s="959">
        <f>Tabla15[[#This Row],[Contado]]</f>
        <v>0</v>
      </c>
      <c r="O360" s="962"/>
      <c r="P360" s="443">
        <f>((Tabla15[[#This Row],[Contado]]+Tabla15[[#This Row],[Visa]]+Tabla15[[#This Row],[Eventos]]+Tabla15[[#This Row],[Passo]]+Tabla15[[#This Row],[Reciclajes]])/1.1)+Tabla15[[#This Row],[Tickets]]</f>
        <v>0</v>
      </c>
      <c r="Q360" s="450">
        <v>0</v>
      </c>
      <c r="R360" s="445">
        <f t="shared" si="14"/>
        <v>0</v>
      </c>
      <c r="S360" s="446"/>
      <c r="T360" s="447">
        <v>0</v>
      </c>
      <c r="U360" s="447">
        <f>Tabla15[[#This Row],[Total Caja]]-Tabla15[[#This Row],[Facturació A/A]]</f>
        <v>0</v>
      </c>
      <c r="V360" s="447">
        <f t="shared" si="15"/>
        <v>-203088.31909090909</v>
      </c>
      <c r="W360" s="450" t="e">
        <f>Tabla15[[#This Row],[Diferencia]]/Tabla15[[#This Row],[Facturació A/A]]</f>
        <v>#DIV/0!</v>
      </c>
      <c r="X360" s="447">
        <f>Tabla15[[#This Row],[Facturació A/A]]*H$17+Tabla15[[#This Row],[Facturació A/A]]</f>
        <v>0</v>
      </c>
      <c r="Y360" s="447">
        <f>Tabla15[[#This Row],[Total Caja]]-Tabla15[[#This Row],[Previsión]]</f>
        <v>0</v>
      </c>
      <c r="Z360" s="446"/>
      <c r="AA360" s="447" t="e">
        <f>SUM(INDEX(Tabla15[[#This Row],[Facturació A/A]],1):Tabla15[[#This Row],[Facturació A/A]]) / SUM(INDEX(Tabla15[[#This Row],[Diferencia]],1):Tabla15[[#This Row],[Diferencia]])</f>
        <v>#DIV/0!</v>
      </c>
      <c r="AB360" s="446"/>
      <c r="AC360" s="458">
        <v>1216.75</v>
      </c>
      <c r="AD360" s="461">
        <v>666.39</v>
      </c>
      <c r="AE360" s="458">
        <v>1235.6500000000001</v>
      </c>
      <c r="AF360" s="458">
        <v>626.29999999999995</v>
      </c>
      <c r="AG360" s="427"/>
      <c r="AH360" s="427"/>
      <c r="AI360" s="427"/>
      <c r="AJ360" s="427"/>
      <c r="AK360" s="427"/>
      <c r="AL360" s="427"/>
      <c r="AM360" s="427"/>
      <c r="AN360" s="427"/>
      <c r="AO360" s="427"/>
      <c r="AP360" s="427"/>
      <c r="AQ360" s="427"/>
    </row>
    <row r="361" spans="1:43" ht="16" customHeight="1">
      <c r="A361" s="427"/>
      <c r="B361" s="427"/>
      <c r="C361" s="428">
        <v>328</v>
      </c>
      <c r="D361" s="456">
        <v>46350</v>
      </c>
      <c r="E361" s="962"/>
      <c r="F361" s="958">
        <f>Tabla15[[#This Row],[Retiros]]-Tabla15[[#This Row],[Contado]]</f>
        <v>0</v>
      </c>
      <c r="G361" s="962"/>
      <c r="H361" s="962"/>
      <c r="I361" s="962"/>
      <c r="J361" s="962"/>
      <c r="K361" s="962"/>
      <c r="L361" s="962"/>
      <c r="M361" s="962"/>
      <c r="N361" s="959">
        <f>Tabla15[[#This Row],[Contado]]</f>
        <v>0</v>
      </c>
      <c r="O361" s="962"/>
      <c r="P361" s="443">
        <f>((Tabla15[[#This Row],[Contado]]+Tabla15[[#This Row],[Visa]]+Tabla15[[#This Row],[Eventos]]+Tabla15[[#This Row],[Passo]]+Tabla15[[#This Row],[Reciclajes]])/1.1)+Tabla15[[#This Row],[Tickets]]</f>
        <v>0</v>
      </c>
      <c r="Q361" s="450">
        <v>0</v>
      </c>
      <c r="R361" s="445">
        <f t="shared" si="14"/>
        <v>0</v>
      </c>
      <c r="S361" s="446"/>
      <c r="T361" s="447">
        <v>0</v>
      </c>
      <c r="U361" s="447">
        <f>Tabla15[[#This Row],[Total Caja]]-Tabla15[[#This Row],[Facturació A/A]]</f>
        <v>0</v>
      </c>
      <c r="V361" s="447">
        <f t="shared" si="15"/>
        <v>-203088.31909090909</v>
      </c>
      <c r="W361" s="450" t="e">
        <f>Tabla15[[#This Row],[Diferencia]]/Tabla15[[#This Row],[Facturació A/A]]</f>
        <v>#DIV/0!</v>
      </c>
      <c r="X361" s="447">
        <f>Tabla15[[#This Row],[Facturació A/A]]*H$17+Tabla15[[#This Row],[Facturació A/A]]</f>
        <v>0</v>
      </c>
      <c r="Y361" s="447">
        <f>Tabla15[[#This Row],[Total Caja]]-Tabla15[[#This Row],[Previsión]]</f>
        <v>0</v>
      </c>
      <c r="Z361" s="446"/>
      <c r="AA361" s="447" t="e">
        <f>SUM(INDEX(Tabla15[[#This Row],[Facturació A/A]],1):Tabla15[[#This Row],[Facturació A/A]]) / SUM(INDEX(Tabla15[[#This Row],[Diferencia]],1):Tabla15[[#This Row],[Diferencia]])</f>
        <v>#DIV/0!</v>
      </c>
      <c r="AB361" s="446"/>
      <c r="AC361" s="458">
        <v>2365.4</v>
      </c>
      <c r="AD361" s="461">
        <v>3315.6</v>
      </c>
      <c r="AE361" s="458">
        <v>3144.7</v>
      </c>
      <c r="AF361" s="458">
        <v>1954.35</v>
      </c>
      <c r="AG361" s="427"/>
      <c r="AH361" s="427"/>
      <c r="AI361" s="427"/>
      <c r="AJ361" s="427"/>
      <c r="AK361" s="427"/>
      <c r="AL361" s="427"/>
      <c r="AM361" s="427"/>
      <c r="AN361" s="427"/>
      <c r="AO361" s="427"/>
      <c r="AP361" s="427"/>
      <c r="AQ361" s="427"/>
    </row>
    <row r="362" spans="1:43" ht="16" customHeight="1">
      <c r="A362" s="427"/>
      <c r="B362" s="427"/>
      <c r="C362" s="428">
        <v>329</v>
      </c>
      <c r="D362" s="456">
        <v>46351</v>
      </c>
      <c r="E362" s="962"/>
      <c r="F362" s="958">
        <f>Tabla15[[#This Row],[Retiros]]-Tabla15[[#This Row],[Contado]]</f>
        <v>0</v>
      </c>
      <c r="G362" s="962"/>
      <c r="H362" s="962"/>
      <c r="I362" s="962"/>
      <c r="J362" s="962"/>
      <c r="K362" s="962"/>
      <c r="L362" s="962"/>
      <c r="M362" s="962"/>
      <c r="N362" s="959">
        <f>Tabla15[[#This Row],[Contado]]</f>
        <v>0</v>
      </c>
      <c r="O362" s="962"/>
      <c r="P362" s="443">
        <f>((Tabla15[[#This Row],[Contado]]+Tabla15[[#This Row],[Visa]]+Tabla15[[#This Row],[Eventos]]+Tabla15[[#This Row],[Passo]]+Tabla15[[#This Row],[Reciclajes]])/1.1)+Tabla15[[#This Row],[Tickets]]</f>
        <v>0</v>
      </c>
      <c r="Q362" s="450">
        <v>0</v>
      </c>
      <c r="R362" s="445">
        <f t="shared" si="14"/>
        <v>0</v>
      </c>
      <c r="S362" s="446"/>
      <c r="T362" s="447">
        <v>725.26</v>
      </c>
      <c r="U362" s="447">
        <f>Tabla15[[#This Row],[Total Caja]]-Tabla15[[#This Row],[Facturació A/A]]</f>
        <v>-725.26</v>
      </c>
      <c r="V362" s="447">
        <f t="shared" si="15"/>
        <v>-203813.5790909091</v>
      </c>
      <c r="W362" s="450">
        <f>Tabla15[[#This Row],[Diferencia]]/Tabla15[[#This Row],[Facturació A/A]]</f>
        <v>-1</v>
      </c>
      <c r="X362" s="447">
        <f>Tabla15[[#This Row],[Facturació A/A]]*H$17+Tabla15[[#This Row],[Facturació A/A]]</f>
        <v>747.01779999999997</v>
      </c>
      <c r="Y362" s="447">
        <f>Tabla15[[#This Row],[Total Caja]]-Tabla15[[#This Row],[Previsión]]</f>
        <v>-747.01779999999997</v>
      </c>
      <c r="Z362" s="446"/>
      <c r="AA362" s="447">
        <f>SUM(INDEX(Tabla15[[#This Row],[Facturació A/A]],1):Tabla15[[#This Row],[Facturació A/A]]) / SUM(INDEX(Tabla15[[#This Row],[Diferencia]],1):Tabla15[[#This Row],[Diferencia]])</f>
        <v>-1</v>
      </c>
      <c r="AB362" s="446"/>
      <c r="AC362" s="458">
        <v>0</v>
      </c>
      <c r="AD362" s="461">
        <v>0</v>
      </c>
      <c r="AE362" s="458">
        <v>0</v>
      </c>
      <c r="AF362" s="458">
        <v>0</v>
      </c>
      <c r="AG362" s="427"/>
      <c r="AH362" s="427"/>
      <c r="AI362" s="427"/>
      <c r="AJ362" s="427"/>
      <c r="AK362" s="427"/>
      <c r="AL362" s="427"/>
      <c r="AM362" s="427"/>
      <c r="AN362" s="427"/>
      <c r="AO362" s="427"/>
      <c r="AP362" s="427"/>
      <c r="AQ362" s="427"/>
    </row>
    <row r="363" spans="1:43" ht="16" customHeight="1">
      <c r="A363" s="427"/>
      <c r="B363" s="427"/>
      <c r="C363" s="428">
        <v>330</v>
      </c>
      <c r="D363" s="456">
        <v>46352</v>
      </c>
      <c r="E363" s="962"/>
      <c r="F363" s="958">
        <f>Tabla15[[#This Row],[Retiros]]-Tabla15[[#This Row],[Contado]]</f>
        <v>0</v>
      </c>
      <c r="G363" s="962"/>
      <c r="H363" s="962"/>
      <c r="I363" s="962"/>
      <c r="J363" s="962"/>
      <c r="K363" s="962"/>
      <c r="L363" s="962"/>
      <c r="M363" s="962"/>
      <c r="N363" s="959">
        <f>Tabla15[[#This Row],[Contado]]</f>
        <v>0</v>
      </c>
      <c r="O363" s="962"/>
      <c r="P363" s="443">
        <f>((Tabla15[[#This Row],[Contado]]+Tabla15[[#This Row],[Visa]]+Tabla15[[#This Row],[Eventos]]+Tabla15[[#This Row],[Passo]]+Tabla15[[#This Row],[Reciclajes]])/1.1)+Tabla15[[#This Row],[Tickets]]</f>
        <v>0</v>
      </c>
      <c r="Q363" s="450">
        <v>0</v>
      </c>
      <c r="R363" s="445">
        <f t="shared" si="14"/>
        <v>0</v>
      </c>
      <c r="S363" s="446"/>
      <c r="T363" s="447">
        <v>774.41</v>
      </c>
      <c r="U363" s="447">
        <f>Tabla15[[#This Row],[Total Caja]]-Tabla15[[#This Row],[Facturació A/A]]</f>
        <v>-774.41</v>
      </c>
      <c r="V363" s="447">
        <f t="shared" si="15"/>
        <v>-204587.9890909091</v>
      </c>
      <c r="W363" s="450">
        <f>Tabla15[[#This Row],[Diferencia]]/Tabla15[[#This Row],[Facturació A/A]]</f>
        <v>-1</v>
      </c>
      <c r="X363" s="447">
        <f>Tabla15[[#This Row],[Facturació A/A]]*H$17+Tabla15[[#This Row],[Facturació A/A]]</f>
        <v>797.64229999999998</v>
      </c>
      <c r="Y363" s="447">
        <f>Tabla15[[#This Row],[Total Caja]]-Tabla15[[#This Row],[Previsión]]</f>
        <v>-797.64229999999998</v>
      </c>
      <c r="Z363" s="446"/>
      <c r="AA363" s="447">
        <f>SUM(INDEX(Tabla15[[#This Row],[Facturació A/A]],1):Tabla15[[#This Row],[Facturació A/A]]) / SUM(INDEX(Tabla15[[#This Row],[Diferencia]],1):Tabla15[[#This Row],[Diferencia]])</f>
        <v>-1</v>
      </c>
      <c r="AB363" s="446"/>
      <c r="AC363" s="458">
        <v>0</v>
      </c>
      <c r="AD363" s="461">
        <v>24.96</v>
      </c>
      <c r="AE363" s="458">
        <v>0</v>
      </c>
      <c r="AF363" s="458">
        <v>0</v>
      </c>
      <c r="AG363" s="427"/>
      <c r="AH363" s="427"/>
      <c r="AI363" s="427"/>
      <c r="AJ363" s="427"/>
      <c r="AK363" s="427"/>
      <c r="AL363" s="427"/>
      <c r="AM363" s="427"/>
      <c r="AN363" s="427"/>
      <c r="AO363" s="427"/>
      <c r="AP363" s="427"/>
      <c r="AQ363" s="427"/>
    </row>
    <row r="364" spans="1:43" ht="16" customHeight="1">
      <c r="A364" s="427"/>
      <c r="B364" s="427"/>
      <c r="C364" s="428">
        <v>331</v>
      </c>
      <c r="D364" s="456">
        <v>46353</v>
      </c>
      <c r="E364" s="962"/>
      <c r="F364" s="958">
        <f>Tabla15[[#This Row],[Retiros]]-Tabla15[[#This Row],[Contado]]</f>
        <v>0</v>
      </c>
      <c r="G364" s="962"/>
      <c r="H364" s="962"/>
      <c r="I364" s="962"/>
      <c r="J364" s="962"/>
      <c r="K364" s="962"/>
      <c r="L364" s="962"/>
      <c r="M364" s="962"/>
      <c r="N364" s="959">
        <f>Tabla15[[#This Row],[Contado]]</f>
        <v>0</v>
      </c>
      <c r="O364" s="962"/>
      <c r="P364" s="443">
        <f>((Tabla15[[#This Row],[Contado]]+Tabla15[[#This Row],[Visa]]+Tabla15[[#This Row],[Eventos]]+Tabla15[[#This Row],[Passo]]+Tabla15[[#This Row],[Reciclajes]])/1.1)+Tabla15[[#This Row],[Tickets]]</f>
        <v>0</v>
      </c>
      <c r="Q364" s="450">
        <v>0</v>
      </c>
      <c r="R364" s="445">
        <f t="shared" si="14"/>
        <v>0</v>
      </c>
      <c r="S364" s="446"/>
      <c r="T364" s="447">
        <v>1133.5</v>
      </c>
      <c r="U364" s="447">
        <f>Tabla15[[#This Row],[Total Caja]]-Tabla15[[#This Row],[Facturació A/A]]</f>
        <v>-1133.5</v>
      </c>
      <c r="V364" s="447">
        <f t="shared" si="15"/>
        <v>-205721.4890909091</v>
      </c>
      <c r="W364" s="450">
        <f>Tabla15[[#This Row],[Diferencia]]/Tabla15[[#This Row],[Facturació A/A]]</f>
        <v>-1</v>
      </c>
      <c r="X364" s="447">
        <f>Tabla15[[#This Row],[Facturació A/A]]*H$17+Tabla15[[#This Row],[Facturació A/A]]</f>
        <v>1167.5050000000001</v>
      </c>
      <c r="Y364" s="447">
        <f>Tabla15[[#This Row],[Total Caja]]-Tabla15[[#This Row],[Previsión]]</f>
        <v>-1167.5050000000001</v>
      </c>
      <c r="Z364" s="446"/>
      <c r="AA364" s="447">
        <f>SUM(INDEX(Tabla15[[#This Row],[Facturació A/A]],1):Tabla15[[#This Row],[Facturació A/A]]) / SUM(INDEX(Tabla15[[#This Row],[Diferencia]],1):Tabla15[[#This Row],[Diferencia]])</f>
        <v>-1</v>
      </c>
      <c r="AB364" s="446"/>
      <c r="AC364" s="458">
        <v>3589.15</v>
      </c>
      <c r="AD364" s="461">
        <v>4014.7</v>
      </c>
      <c r="AE364" s="458">
        <v>4394.7</v>
      </c>
      <c r="AF364" s="458">
        <v>2584.35</v>
      </c>
      <c r="AG364" s="427"/>
      <c r="AH364" s="427"/>
      <c r="AI364" s="427"/>
      <c r="AJ364" s="427"/>
      <c r="AK364" s="427"/>
      <c r="AL364" s="427"/>
      <c r="AM364" s="427"/>
      <c r="AN364" s="427"/>
      <c r="AO364" s="427"/>
      <c r="AP364" s="427"/>
      <c r="AQ364" s="427"/>
    </row>
    <row r="365" spans="1:43" ht="16" customHeight="1">
      <c r="A365" s="427"/>
      <c r="B365" s="427"/>
      <c r="C365" s="428">
        <v>332</v>
      </c>
      <c r="D365" s="456">
        <v>46354</v>
      </c>
      <c r="E365" s="962"/>
      <c r="F365" s="958">
        <f>Tabla15[[#This Row],[Retiros]]-Tabla15[[#This Row],[Contado]]</f>
        <v>0</v>
      </c>
      <c r="G365" s="962"/>
      <c r="H365" s="962"/>
      <c r="I365" s="962"/>
      <c r="J365" s="962"/>
      <c r="K365" s="962"/>
      <c r="L365" s="962"/>
      <c r="M365" s="962"/>
      <c r="N365" s="959">
        <f>Tabla15[[#This Row],[Contado]]</f>
        <v>0</v>
      </c>
      <c r="O365" s="962"/>
      <c r="P365" s="443">
        <f>((Tabla15[[#This Row],[Contado]]+Tabla15[[#This Row],[Visa]]+Tabla15[[#This Row],[Eventos]]+Tabla15[[#This Row],[Passo]]+Tabla15[[#This Row],[Reciclajes]])/1.1)+Tabla15[[#This Row],[Tickets]]</f>
        <v>0</v>
      </c>
      <c r="Q365" s="450">
        <v>0</v>
      </c>
      <c r="R365" s="445">
        <f t="shared" si="14"/>
        <v>0</v>
      </c>
      <c r="S365" s="446"/>
      <c r="T365" s="447">
        <v>3209.72</v>
      </c>
      <c r="U365" s="447">
        <f>Tabla15[[#This Row],[Total Caja]]-Tabla15[[#This Row],[Facturació A/A]]</f>
        <v>-3209.72</v>
      </c>
      <c r="V365" s="447">
        <f t="shared" si="15"/>
        <v>-208931.20909090911</v>
      </c>
      <c r="W365" s="450">
        <f>Tabla15[[#This Row],[Diferencia]]/Tabla15[[#This Row],[Facturació A/A]]</f>
        <v>-1</v>
      </c>
      <c r="X365" s="447">
        <f>Tabla15[[#This Row],[Facturació A/A]]*H$17+Tabla15[[#This Row],[Facturació A/A]]</f>
        <v>3306.0115999999998</v>
      </c>
      <c r="Y365" s="447">
        <f>Tabla15[[#This Row],[Total Caja]]-Tabla15[[#This Row],[Previsión]]</f>
        <v>-3306.0115999999998</v>
      </c>
      <c r="Z365" s="446"/>
      <c r="AA365" s="447">
        <f>SUM(INDEX(Tabla15[[#This Row],[Facturació A/A]],1):Tabla15[[#This Row],[Facturació A/A]]) / SUM(INDEX(Tabla15[[#This Row],[Diferencia]],1):Tabla15[[#This Row],[Diferencia]])</f>
        <v>-1</v>
      </c>
      <c r="AB365" s="446"/>
      <c r="AC365" s="427"/>
      <c r="AD365" s="427"/>
      <c r="AE365" s="427"/>
      <c r="AF365" s="427"/>
      <c r="AG365" s="427"/>
      <c r="AH365" s="427"/>
      <c r="AI365" s="427"/>
      <c r="AJ365" s="427"/>
      <c r="AK365" s="427"/>
      <c r="AL365" s="427"/>
      <c r="AM365" s="427"/>
      <c r="AN365" s="427"/>
      <c r="AO365" s="427"/>
      <c r="AP365" s="427"/>
      <c r="AQ365" s="427"/>
    </row>
    <row r="366" spans="1:43" ht="16" customHeight="1">
      <c r="A366" s="427"/>
      <c r="B366" s="427"/>
      <c r="C366" s="428">
        <v>333</v>
      </c>
      <c r="D366" s="456">
        <v>46355</v>
      </c>
      <c r="E366" s="962"/>
      <c r="F366" s="958">
        <f>Tabla15[[#This Row],[Retiros]]-Tabla15[[#This Row],[Contado]]</f>
        <v>0</v>
      </c>
      <c r="G366" s="962"/>
      <c r="H366" s="962"/>
      <c r="I366" s="962"/>
      <c r="J366" s="962"/>
      <c r="K366" s="962"/>
      <c r="L366" s="962"/>
      <c r="M366" s="962"/>
      <c r="N366" s="959">
        <f>Tabla15[[#This Row],[Contado]]</f>
        <v>0</v>
      </c>
      <c r="O366" s="962"/>
      <c r="P366" s="443">
        <f>((Tabla15[[#This Row],[Contado]]+Tabla15[[#This Row],[Visa]]+Tabla15[[#This Row],[Eventos]]+Tabla15[[#This Row],[Passo]]+Tabla15[[#This Row],[Reciclajes]])/1.1)+Tabla15[[#This Row],[Tickets]]</f>
        <v>0</v>
      </c>
      <c r="Q366" s="450">
        <v>0</v>
      </c>
      <c r="R366" s="445">
        <f t="shared" si="14"/>
        <v>0</v>
      </c>
      <c r="S366" s="446"/>
      <c r="T366" s="447">
        <v>1454.85</v>
      </c>
      <c r="U366" s="447">
        <f>Tabla15[[#This Row],[Total Caja]]-Tabla15[[#This Row],[Facturació A/A]]</f>
        <v>-1454.85</v>
      </c>
      <c r="V366" s="447">
        <f t="shared" si="15"/>
        <v>-210386.05909090911</v>
      </c>
      <c r="W366" s="450">
        <f>Tabla15[[#This Row],[Diferencia]]/Tabla15[[#This Row],[Facturació A/A]]</f>
        <v>-1</v>
      </c>
      <c r="X366" s="447">
        <f>Tabla15[[#This Row],[Facturació A/A]]*H$17+Tabla15[[#This Row],[Facturació A/A]]</f>
        <v>1498.4955</v>
      </c>
      <c r="Y366" s="447">
        <f>Tabla15[[#This Row],[Total Caja]]-Tabla15[[#This Row],[Previsión]]</f>
        <v>-1498.4955</v>
      </c>
      <c r="Z366" s="446"/>
      <c r="AA366" s="447">
        <f>SUM(INDEX(Tabla15[[#This Row],[Facturació A/A]],1):Tabla15[[#This Row],[Facturació A/A]]) / SUM(INDEX(Tabla15[[#This Row],[Diferencia]],1):Tabla15[[#This Row],[Diferencia]])</f>
        <v>-1</v>
      </c>
      <c r="AB366" s="446"/>
      <c r="AC366" s="428" t="s">
        <v>470</v>
      </c>
      <c r="AD366" s="460" t="s">
        <v>471</v>
      </c>
      <c r="AE366" s="428" t="s">
        <v>472</v>
      </c>
      <c r="AF366" s="460" t="s">
        <v>473</v>
      </c>
      <c r="AG366" s="427"/>
      <c r="AH366" s="427"/>
      <c r="AI366" s="427"/>
      <c r="AJ366" s="427"/>
      <c r="AK366" s="427"/>
      <c r="AL366" s="427"/>
      <c r="AM366" s="427"/>
      <c r="AN366" s="427"/>
      <c r="AO366" s="427"/>
      <c r="AP366" s="427"/>
      <c r="AQ366" s="427"/>
    </row>
    <row r="367" spans="1:43" ht="16" customHeight="1">
      <c r="A367" s="427"/>
      <c r="B367" s="427"/>
      <c r="C367" s="428">
        <v>334</v>
      </c>
      <c r="D367" s="456">
        <v>46356</v>
      </c>
      <c r="E367" s="962"/>
      <c r="F367" s="958">
        <f>Tabla15[[#This Row],[Retiros]]-Tabla15[[#This Row],[Contado]]</f>
        <v>0</v>
      </c>
      <c r="G367" s="962"/>
      <c r="H367" s="962"/>
      <c r="I367" s="962"/>
      <c r="J367" s="962"/>
      <c r="K367" s="962"/>
      <c r="L367" s="962"/>
      <c r="M367" s="962"/>
      <c r="N367" s="959">
        <f>Tabla15[[#This Row],[Contado]]</f>
        <v>0</v>
      </c>
      <c r="O367" s="962"/>
      <c r="P367" s="443">
        <f>((Tabla15[[#This Row],[Contado]]+Tabla15[[#This Row],[Visa]]+Tabla15[[#This Row],[Eventos]]+Tabla15[[#This Row],[Passo]]+Tabla15[[#This Row],[Reciclajes]])/1.1)+Tabla15[[#This Row],[Tickets]]</f>
        <v>0</v>
      </c>
      <c r="Q367" s="450">
        <v>0</v>
      </c>
      <c r="R367" s="445">
        <f t="shared" si="14"/>
        <v>0</v>
      </c>
      <c r="S367" s="446"/>
      <c r="T367" s="447">
        <v>0</v>
      </c>
      <c r="U367" s="447">
        <f>Tabla15[[#This Row],[Total Caja]]-Tabla15[[#This Row],[Facturació A/A]]</f>
        <v>0</v>
      </c>
      <c r="V367" s="447">
        <f t="shared" si="15"/>
        <v>-210386.05909090911</v>
      </c>
      <c r="W367" s="450" t="e">
        <f>Tabla15[[#This Row],[Diferencia]]/Tabla15[[#This Row],[Facturació A/A]]</f>
        <v>#DIV/0!</v>
      </c>
      <c r="X367" s="447">
        <f>Tabla15[[#This Row],[Facturació A/A]]*H$17+Tabla15[[#This Row],[Facturació A/A]]</f>
        <v>0</v>
      </c>
      <c r="Y367" s="447">
        <f>Tabla15[[#This Row],[Total Caja]]-Tabla15[[#This Row],[Previsión]]</f>
        <v>0</v>
      </c>
      <c r="Z367" s="446"/>
      <c r="AA367" s="447" t="e">
        <f>SUM(INDEX(Tabla15[[#This Row],[Facturació A/A]],1):Tabla15[[#This Row],[Facturació A/A]]) / SUM(INDEX(Tabla15[[#This Row],[Diferencia]],1):Tabla15[[#This Row],[Diferencia]])</f>
        <v>#DIV/0!</v>
      </c>
      <c r="AB367" s="446"/>
      <c r="AC367" s="457">
        <v>180.45</v>
      </c>
      <c r="AD367" s="461">
        <v>1308.8</v>
      </c>
      <c r="AE367" s="457">
        <v>879</v>
      </c>
      <c r="AF367" s="461">
        <v>418.7</v>
      </c>
      <c r="AG367" s="427"/>
      <c r="AH367" s="427"/>
      <c r="AI367" s="427"/>
      <c r="AJ367" s="427"/>
      <c r="AK367" s="427"/>
      <c r="AL367" s="427"/>
      <c r="AM367" s="427"/>
      <c r="AN367" s="427"/>
      <c r="AO367" s="427"/>
      <c r="AP367" s="427"/>
      <c r="AQ367" s="427"/>
    </row>
    <row r="368" spans="1:43" ht="16" customHeight="1">
      <c r="A368" s="427"/>
      <c r="B368" s="427"/>
      <c r="C368" s="428">
        <v>335</v>
      </c>
      <c r="D368" s="456">
        <v>46357</v>
      </c>
      <c r="E368" s="962"/>
      <c r="F368" s="958">
        <f>Tabla15[[#This Row],[Retiros]]-Tabla15[[#This Row],[Contado]]</f>
        <v>0</v>
      </c>
      <c r="G368" s="962"/>
      <c r="H368" s="962"/>
      <c r="I368" s="962"/>
      <c r="J368" s="962"/>
      <c r="K368" s="962"/>
      <c r="L368" s="962"/>
      <c r="M368" s="962"/>
      <c r="N368" s="959">
        <f>Tabla15[[#This Row],[Contado]]</f>
        <v>0</v>
      </c>
      <c r="O368" s="962"/>
      <c r="P368" s="443">
        <f>((Tabla15[[#This Row],[Contado]]+Tabla15[[#This Row],[Visa]]+Tabla15[[#This Row],[Eventos]]+Tabla15[[#This Row],[Passo]]+Tabla15[[#This Row],[Reciclajes]])/1.1)+Tabla15[[#This Row],[Tickets]]</f>
        <v>0</v>
      </c>
      <c r="Q368" s="450">
        <v>0</v>
      </c>
      <c r="R368" s="445">
        <f t="shared" si="14"/>
        <v>0</v>
      </c>
      <c r="S368" s="446"/>
      <c r="T368" s="447">
        <v>0</v>
      </c>
      <c r="U368" s="447">
        <f>Tabla15[[#This Row],[Total Caja]]-Tabla15[[#This Row],[Facturació A/A]]</f>
        <v>0</v>
      </c>
      <c r="V368" s="447">
        <f t="shared" si="15"/>
        <v>-210386.05909090911</v>
      </c>
      <c r="W368" s="450" t="e">
        <f>Tabla15[[#This Row],[Diferencia]]/Tabla15[[#This Row],[Facturació A/A]]</f>
        <v>#DIV/0!</v>
      </c>
      <c r="X368" s="447">
        <f>Tabla15[[#This Row],[Facturació A/A]]*H$17+Tabla15[[#This Row],[Facturació A/A]]</f>
        <v>0</v>
      </c>
      <c r="Y368" s="447">
        <f>Tabla15[[#This Row],[Total Caja]]-Tabla15[[#This Row],[Previsión]]</f>
        <v>0</v>
      </c>
      <c r="Z368" s="446"/>
      <c r="AA368" s="447" t="e">
        <f>SUM(INDEX(Tabla15[[#This Row],[Facturació A/A]],1):Tabla15[[#This Row],[Facturació A/A]]) / SUM(INDEX(Tabla15[[#This Row],[Diferencia]],1):Tabla15[[#This Row],[Diferencia]])</f>
        <v>#DIV/0!</v>
      </c>
      <c r="AB368" s="446"/>
      <c r="AC368" s="458">
        <v>412.15</v>
      </c>
      <c r="AD368" s="461">
        <v>150</v>
      </c>
      <c r="AE368" s="458">
        <v>143.5</v>
      </c>
      <c r="AF368" s="461">
        <v>249.52</v>
      </c>
      <c r="AG368" s="427"/>
      <c r="AH368" s="427"/>
      <c r="AI368" s="427"/>
      <c r="AJ368" s="427"/>
      <c r="AK368" s="427"/>
      <c r="AL368" s="427"/>
      <c r="AM368" s="427"/>
      <c r="AN368" s="427"/>
      <c r="AO368" s="427"/>
      <c r="AP368" s="427"/>
      <c r="AQ368" s="427"/>
    </row>
    <row r="369" spans="1:43" ht="16" customHeight="1">
      <c r="A369" s="427"/>
      <c r="B369" s="427"/>
      <c r="C369" s="428">
        <v>336</v>
      </c>
      <c r="D369" s="456">
        <v>46358</v>
      </c>
      <c r="E369" s="962"/>
      <c r="F369" s="958">
        <f>Tabla15[[#This Row],[Retiros]]-Tabla15[[#This Row],[Contado]]</f>
        <v>0</v>
      </c>
      <c r="G369" s="962"/>
      <c r="H369" s="962"/>
      <c r="I369" s="962"/>
      <c r="J369" s="962"/>
      <c r="K369" s="962"/>
      <c r="L369" s="962"/>
      <c r="M369" s="962"/>
      <c r="N369" s="959">
        <f>Tabla15[[#This Row],[Contado]]</f>
        <v>0</v>
      </c>
      <c r="O369" s="962"/>
      <c r="P369" s="443">
        <f>((Tabla15[[#This Row],[Contado]]+Tabla15[[#This Row],[Visa]]+Tabla15[[#This Row],[Eventos]]+Tabla15[[#This Row],[Passo]]+Tabla15[[#This Row],[Reciclajes]])/1.1)+Tabla15[[#This Row],[Tickets]]</f>
        <v>0</v>
      </c>
      <c r="Q369" s="450">
        <v>0</v>
      </c>
      <c r="R369" s="445">
        <f t="shared" si="14"/>
        <v>0</v>
      </c>
      <c r="S369" s="446"/>
      <c r="T369" s="447">
        <v>664.14</v>
      </c>
      <c r="U369" s="447">
        <f>Tabla15[[#This Row],[Total Caja]]-Tabla15[[#This Row],[Facturació A/A]]</f>
        <v>-664.14</v>
      </c>
      <c r="V369" s="447">
        <f t="shared" si="15"/>
        <v>-211050.19909090913</v>
      </c>
      <c r="W369" s="450">
        <f>Tabla15[[#This Row],[Diferencia]]/Tabla15[[#This Row],[Facturació A/A]]</f>
        <v>-1</v>
      </c>
      <c r="X369" s="447">
        <f>Tabla15[[#This Row],[Facturació A/A]]*H$17+Tabla15[[#This Row],[Facturació A/A]]</f>
        <v>684.06420000000003</v>
      </c>
      <c r="Y369" s="447">
        <f>Tabla15[[#This Row],[Total Caja]]-Tabla15[[#This Row],[Previsión]]</f>
        <v>-684.06420000000003</v>
      </c>
      <c r="Z369" s="446"/>
      <c r="AA369" s="447">
        <f>SUM(INDEX(Tabla15[[#This Row],[Facturació A/A]],1):Tabla15[[#This Row],[Facturació A/A]]) / SUM(INDEX(Tabla15[[#This Row],[Diferencia]],1):Tabla15[[#This Row],[Diferencia]])</f>
        <v>-1</v>
      </c>
      <c r="AB369" s="446"/>
      <c r="AC369" s="458">
        <v>1568.75</v>
      </c>
      <c r="AD369" s="461">
        <v>4584.0200000000004</v>
      </c>
      <c r="AE369" s="458">
        <v>4444.45</v>
      </c>
      <c r="AF369" s="461">
        <v>2080.5500000000002</v>
      </c>
      <c r="AG369" s="427"/>
      <c r="AH369" s="427"/>
      <c r="AI369" s="427"/>
      <c r="AJ369" s="427"/>
      <c r="AK369" s="427"/>
      <c r="AL369" s="427"/>
      <c r="AM369" s="427"/>
      <c r="AN369" s="427"/>
      <c r="AO369" s="427"/>
      <c r="AP369" s="427"/>
      <c r="AQ369" s="427"/>
    </row>
    <row r="370" spans="1:43" ht="16" customHeight="1">
      <c r="A370" s="427"/>
      <c r="B370" s="427"/>
      <c r="C370" s="428">
        <v>337</v>
      </c>
      <c r="D370" s="456">
        <v>46359</v>
      </c>
      <c r="E370" s="962"/>
      <c r="F370" s="958">
        <f>Tabla15[[#This Row],[Retiros]]-Tabla15[[#This Row],[Contado]]</f>
        <v>0</v>
      </c>
      <c r="G370" s="962"/>
      <c r="H370" s="962"/>
      <c r="I370" s="962"/>
      <c r="J370" s="962"/>
      <c r="K370" s="962"/>
      <c r="L370" s="962"/>
      <c r="M370" s="962"/>
      <c r="N370" s="959">
        <f>Tabla15[[#This Row],[Contado]]</f>
        <v>0</v>
      </c>
      <c r="O370" s="962"/>
      <c r="P370" s="443">
        <f>((Tabla15[[#This Row],[Contado]]+Tabla15[[#This Row],[Visa]]+Tabla15[[#This Row],[Eventos]]+Tabla15[[#This Row],[Passo]]+Tabla15[[#This Row],[Reciclajes]])/1.1)+Tabla15[[#This Row],[Tickets]]</f>
        <v>0</v>
      </c>
      <c r="Q370" s="450">
        <v>0</v>
      </c>
      <c r="R370" s="445">
        <f t="shared" si="14"/>
        <v>0</v>
      </c>
      <c r="S370" s="446"/>
      <c r="T370" s="447">
        <v>680.42</v>
      </c>
      <c r="U370" s="447">
        <f>Tabla15[[#This Row],[Total Caja]]-Tabla15[[#This Row],[Facturació A/A]]</f>
        <v>-680.42</v>
      </c>
      <c r="V370" s="447">
        <f t="shared" si="15"/>
        <v>-211730.61909090914</v>
      </c>
      <c r="W370" s="450">
        <f>Tabla15[[#This Row],[Diferencia]]/Tabla15[[#This Row],[Facturació A/A]]</f>
        <v>-1</v>
      </c>
      <c r="X370" s="447">
        <f>Tabla15[[#This Row],[Facturació A/A]]*H$17+Tabla15[[#This Row],[Facturació A/A]]</f>
        <v>700.83259999999996</v>
      </c>
      <c r="Y370" s="447">
        <f>Tabla15[[#This Row],[Total Caja]]-Tabla15[[#This Row],[Previsión]]</f>
        <v>-700.83259999999996</v>
      </c>
      <c r="Z370" s="446"/>
      <c r="AA370" s="447">
        <f>SUM(INDEX(Tabla15[[#This Row],[Facturació A/A]],1):Tabla15[[#This Row],[Facturació A/A]]) / SUM(INDEX(Tabla15[[#This Row],[Diferencia]],1):Tabla15[[#This Row],[Diferencia]])</f>
        <v>-1</v>
      </c>
      <c r="AB370" s="446"/>
      <c r="AC370" s="458">
        <v>0</v>
      </c>
      <c r="AD370" s="461">
        <v>0</v>
      </c>
      <c r="AE370" s="458">
        <v>0</v>
      </c>
      <c r="AF370" s="461">
        <v>0</v>
      </c>
      <c r="AG370" s="427"/>
      <c r="AH370" s="427"/>
      <c r="AI370" s="427"/>
      <c r="AJ370" s="427"/>
      <c r="AK370" s="427"/>
      <c r="AL370" s="427"/>
      <c r="AM370" s="427"/>
      <c r="AN370" s="427"/>
      <c r="AO370" s="427"/>
      <c r="AP370" s="427"/>
      <c r="AQ370" s="427"/>
    </row>
    <row r="371" spans="1:43" ht="16" customHeight="1">
      <c r="A371" s="427"/>
      <c r="B371" s="427"/>
      <c r="C371" s="428">
        <v>338</v>
      </c>
      <c r="D371" s="456">
        <v>46360</v>
      </c>
      <c r="E371" s="962"/>
      <c r="F371" s="958">
        <f>Tabla15[[#This Row],[Retiros]]-Tabla15[[#This Row],[Contado]]</f>
        <v>0</v>
      </c>
      <c r="G371" s="962"/>
      <c r="H371" s="962"/>
      <c r="I371" s="962"/>
      <c r="J371" s="962"/>
      <c r="K371" s="962"/>
      <c r="L371" s="962"/>
      <c r="M371" s="962"/>
      <c r="N371" s="959">
        <f>Tabla15[[#This Row],[Contado]]</f>
        <v>0</v>
      </c>
      <c r="O371" s="962"/>
      <c r="P371" s="443">
        <f>((Tabla15[[#This Row],[Contado]]+Tabla15[[#This Row],[Visa]]+Tabla15[[#This Row],[Eventos]]+Tabla15[[#This Row],[Passo]]+Tabla15[[#This Row],[Reciclajes]])/1.1)+Tabla15[[#This Row],[Tickets]]</f>
        <v>0</v>
      </c>
      <c r="Q371" s="450">
        <v>0</v>
      </c>
      <c r="R371" s="445">
        <f t="shared" si="14"/>
        <v>0</v>
      </c>
      <c r="S371" s="446"/>
      <c r="T371" s="447">
        <v>2056.42</v>
      </c>
      <c r="U371" s="447">
        <f>Tabla15[[#This Row],[Total Caja]]-Tabla15[[#This Row],[Facturació A/A]]</f>
        <v>-2056.42</v>
      </c>
      <c r="V371" s="447">
        <f t="shared" si="15"/>
        <v>-213787.03909090915</v>
      </c>
      <c r="W371" s="450">
        <f>Tabla15[[#This Row],[Diferencia]]/Tabla15[[#This Row],[Facturació A/A]]</f>
        <v>-1</v>
      </c>
      <c r="X371" s="447">
        <f>Tabla15[[#This Row],[Facturació A/A]]*H$17+Tabla15[[#This Row],[Facturació A/A]]</f>
        <v>2118.1125999999999</v>
      </c>
      <c r="Y371" s="447">
        <f>Tabla15[[#This Row],[Total Caja]]-Tabla15[[#This Row],[Previsión]]</f>
        <v>-2118.1125999999999</v>
      </c>
      <c r="Z371" s="446"/>
      <c r="AA371" s="447">
        <f>SUM(INDEX(Tabla15[[#This Row],[Facturació A/A]],1):Tabla15[[#This Row],[Facturació A/A]]) / SUM(INDEX(Tabla15[[#This Row],[Diferencia]],1):Tabla15[[#This Row],[Diferencia]])</f>
        <v>-1</v>
      </c>
      <c r="AB371" s="446"/>
      <c r="AC371" s="458">
        <v>52.35</v>
      </c>
      <c r="AD371" s="461">
        <v>0</v>
      </c>
      <c r="AE371" s="458">
        <v>0</v>
      </c>
      <c r="AF371" s="461">
        <v>0</v>
      </c>
      <c r="AG371" s="427"/>
      <c r="AH371" s="427"/>
      <c r="AI371" s="427"/>
      <c r="AJ371" s="427"/>
      <c r="AK371" s="427"/>
      <c r="AL371" s="427"/>
      <c r="AM371" s="427"/>
      <c r="AN371" s="427"/>
      <c r="AO371" s="427"/>
      <c r="AP371" s="427"/>
      <c r="AQ371" s="427"/>
    </row>
    <row r="372" spans="1:43" ht="16" customHeight="1">
      <c r="A372" s="427"/>
      <c r="B372" s="427"/>
      <c r="C372" s="428">
        <v>339</v>
      </c>
      <c r="D372" s="456">
        <v>46361</v>
      </c>
      <c r="E372" s="962"/>
      <c r="F372" s="958">
        <f>Tabla15[[#This Row],[Retiros]]-Tabla15[[#This Row],[Contado]]</f>
        <v>0</v>
      </c>
      <c r="G372" s="962"/>
      <c r="H372" s="962"/>
      <c r="I372" s="962"/>
      <c r="J372" s="962"/>
      <c r="K372" s="962"/>
      <c r="L372" s="962"/>
      <c r="M372" s="962"/>
      <c r="N372" s="959">
        <f>Tabla15[[#This Row],[Contado]]</f>
        <v>0</v>
      </c>
      <c r="O372" s="962"/>
      <c r="P372" s="443">
        <f>((Tabla15[[#This Row],[Contado]]+Tabla15[[#This Row],[Visa]]+Tabla15[[#This Row],[Eventos]]+Tabla15[[#This Row],[Passo]]+Tabla15[[#This Row],[Reciclajes]])/1.1)+Tabla15[[#This Row],[Tickets]]</f>
        <v>0</v>
      </c>
      <c r="Q372" s="450">
        <v>0</v>
      </c>
      <c r="R372" s="445">
        <f t="shared" si="14"/>
        <v>0</v>
      </c>
      <c r="S372" s="446"/>
      <c r="T372" s="447">
        <v>5354.43</v>
      </c>
      <c r="U372" s="447">
        <f>Tabla15[[#This Row],[Total Caja]]-Tabla15[[#This Row],[Facturació A/A]]</f>
        <v>-5354.43</v>
      </c>
      <c r="V372" s="447">
        <f t="shared" si="15"/>
        <v>-219141.46909090914</v>
      </c>
      <c r="W372" s="450">
        <f>Tabla15[[#This Row],[Diferencia]]/Tabla15[[#This Row],[Facturació A/A]]</f>
        <v>-1</v>
      </c>
      <c r="X372" s="447">
        <f>Tabla15[[#This Row],[Facturació A/A]]*H$17+Tabla15[[#This Row],[Facturació A/A]]</f>
        <v>5515.0628999999999</v>
      </c>
      <c r="Y372" s="447">
        <f>Tabla15[[#This Row],[Total Caja]]-Tabla15[[#This Row],[Previsión]]</f>
        <v>-5515.0628999999999</v>
      </c>
      <c r="Z372" s="446"/>
      <c r="AA372" s="447">
        <f>SUM(INDEX(Tabla15[[#This Row],[Facturació A/A]],1):Tabla15[[#This Row],[Facturació A/A]]) / SUM(INDEX(Tabla15[[#This Row],[Diferencia]],1):Tabla15[[#This Row],[Diferencia]])</f>
        <v>-1</v>
      </c>
      <c r="AB372" s="446"/>
      <c r="AC372" s="458">
        <v>2213.6999999999998</v>
      </c>
      <c r="AD372" s="461">
        <v>6042.82</v>
      </c>
      <c r="AE372" s="458">
        <v>5466.95</v>
      </c>
      <c r="AF372" s="461">
        <v>2748.77</v>
      </c>
      <c r="AG372" s="427"/>
      <c r="AH372" s="427"/>
      <c r="AI372" s="427"/>
      <c r="AJ372" s="427"/>
      <c r="AK372" s="427"/>
      <c r="AL372" s="427"/>
      <c r="AM372" s="427"/>
      <c r="AN372" s="427"/>
      <c r="AO372" s="427"/>
      <c r="AP372" s="427"/>
      <c r="AQ372" s="427"/>
    </row>
    <row r="373" spans="1:43" ht="16" customHeight="1">
      <c r="A373" s="427"/>
      <c r="B373" s="427"/>
      <c r="C373" s="428">
        <v>340</v>
      </c>
      <c r="D373" s="456">
        <v>46362</v>
      </c>
      <c r="E373" s="962"/>
      <c r="F373" s="958">
        <f>Tabla15[[#This Row],[Retiros]]-Tabla15[[#This Row],[Contado]]</f>
        <v>0</v>
      </c>
      <c r="G373" s="962"/>
      <c r="H373" s="962"/>
      <c r="I373" s="962"/>
      <c r="J373" s="962"/>
      <c r="K373" s="962"/>
      <c r="L373" s="962"/>
      <c r="M373" s="962"/>
      <c r="N373" s="959">
        <f>Tabla15[[#This Row],[Contado]]</f>
        <v>0</v>
      </c>
      <c r="O373" s="962"/>
      <c r="P373" s="443">
        <f>((Tabla15[[#This Row],[Contado]]+Tabla15[[#This Row],[Visa]]+Tabla15[[#This Row],[Eventos]]+Tabla15[[#This Row],[Passo]]+Tabla15[[#This Row],[Reciclajes]])/1.1)+Tabla15[[#This Row],[Tickets]]</f>
        <v>0</v>
      </c>
      <c r="Q373" s="450">
        <v>0</v>
      </c>
      <c r="R373" s="445">
        <f t="shared" si="14"/>
        <v>0</v>
      </c>
      <c r="S373" s="446"/>
      <c r="T373" s="447">
        <v>2993.54</v>
      </c>
      <c r="U373" s="447">
        <f>Tabla15[[#This Row],[Total Caja]]-Tabla15[[#This Row],[Facturació A/A]]</f>
        <v>-2993.54</v>
      </c>
      <c r="V373" s="447">
        <f t="shared" si="15"/>
        <v>-222135.00909090915</v>
      </c>
      <c r="W373" s="450">
        <f>Tabla15[[#This Row],[Diferencia]]/Tabla15[[#This Row],[Facturació A/A]]</f>
        <v>-1</v>
      </c>
      <c r="X373" s="447">
        <f>Tabla15[[#This Row],[Facturació A/A]]*H$17+Tabla15[[#This Row],[Facturació A/A]]</f>
        <v>3083.3462</v>
      </c>
      <c r="Y373" s="447">
        <f>Tabla15[[#This Row],[Total Caja]]-Tabla15[[#This Row],[Previsión]]</f>
        <v>-3083.3462</v>
      </c>
      <c r="Z373" s="446"/>
      <c r="AA373" s="447">
        <f>SUM(INDEX(Tabla15[[#This Row],[Facturació A/A]],1):Tabla15[[#This Row],[Facturació A/A]]) / SUM(INDEX(Tabla15[[#This Row],[Diferencia]],1):Tabla15[[#This Row],[Diferencia]])</f>
        <v>-1</v>
      </c>
      <c r="AB373" s="446"/>
      <c r="AC373" s="427"/>
      <c r="AD373" s="427"/>
      <c r="AE373" s="427"/>
      <c r="AF373" s="427"/>
      <c r="AG373" s="427"/>
      <c r="AH373" s="427"/>
      <c r="AI373" s="427"/>
      <c r="AJ373" s="427"/>
      <c r="AK373" s="427"/>
      <c r="AL373" s="427"/>
      <c r="AM373" s="427"/>
      <c r="AN373" s="427"/>
      <c r="AO373" s="427"/>
      <c r="AP373" s="427"/>
      <c r="AQ373" s="427"/>
    </row>
    <row r="374" spans="1:43" ht="16" customHeight="1">
      <c r="A374" s="427"/>
      <c r="B374" s="427"/>
      <c r="C374" s="428">
        <v>341</v>
      </c>
      <c r="D374" s="456">
        <v>46363</v>
      </c>
      <c r="E374" s="962"/>
      <c r="F374" s="958">
        <f>Tabla15[[#This Row],[Retiros]]-Tabla15[[#This Row],[Contado]]</f>
        <v>0</v>
      </c>
      <c r="G374" s="962"/>
      <c r="H374" s="962"/>
      <c r="I374" s="962"/>
      <c r="J374" s="962"/>
      <c r="K374" s="962"/>
      <c r="L374" s="962"/>
      <c r="M374" s="962"/>
      <c r="N374" s="959">
        <f>Tabla15[[#This Row],[Contado]]</f>
        <v>0</v>
      </c>
      <c r="O374" s="962"/>
      <c r="P374" s="443">
        <f>((Tabla15[[#This Row],[Contado]]+Tabla15[[#This Row],[Visa]]+Tabla15[[#This Row],[Eventos]]+Tabla15[[#This Row],[Passo]]+Tabla15[[#This Row],[Reciclajes]])/1.1)+Tabla15[[#This Row],[Tickets]]</f>
        <v>0</v>
      </c>
      <c r="Q374" s="450">
        <v>0</v>
      </c>
      <c r="R374" s="445">
        <f t="shared" si="14"/>
        <v>0</v>
      </c>
      <c r="S374" s="446"/>
      <c r="T374" s="447">
        <v>0</v>
      </c>
      <c r="U374" s="447">
        <f>Tabla15[[#This Row],[Total Caja]]-Tabla15[[#This Row],[Facturació A/A]]</f>
        <v>0</v>
      </c>
      <c r="V374" s="447">
        <f t="shared" si="15"/>
        <v>-222135.00909090915</v>
      </c>
      <c r="W374" s="450" t="e">
        <f>Tabla15[[#This Row],[Diferencia]]/Tabla15[[#This Row],[Facturació A/A]]</f>
        <v>#DIV/0!</v>
      </c>
      <c r="X374" s="447">
        <f>Tabla15[[#This Row],[Facturació A/A]]*H$17+Tabla15[[#This Row],[Facturació A/A]]</f>
        <v>0</v>
      </c>
      <c r="Y374" s="447">
        <f>Tabla15[[#This Row],[Total Caja]]-Tabla15[[#This Row],[Previsión]]</f>
        <v>0</v>
      </c>
      <c r="Z374" s="446"/>
      <c r="AA374" s="447" t="e">
        <f>SUM(INDEX(Tabla15[[#This Row],[Facturació A/A]],1):Tabla15[[#This Row],[Facturació A/A]]) / SUM(INDEX(Tabla15[[#This Row],[Diferencia]],1):Tabla15[[#This Row],[Diferencia]])</f>
        <v>#DIV/0!</v>
      </c>
      <c r="AB374" s="446"/>
      <c r="AC374" s="427"/>
      <c r="AD374" s="427"/>
      <c r="AE374" s="427"/>
      <c r="AF374" s="427"/>
      <c r="AG374" s="427"/>
      <c r="AH374" s="427"/>
      <c r="AI374" s="427"/>
      <c r="AJ374" s="427"/>
      <c r="AK374" s="427"/>
      <c r="AL374" s="427"/>
      <c r="AM374" s="427"/>
      <c r="AN374" s="427"/>
      <c r="AO374" s="427"/>
      <c r="AP374" s="427"/>
      <c r="AQ374" s="427"/>
    </row>
    <row r="375" spans="1:43" ht="16" customHeight="1">
      <c r="A375" s="427"/>
      <c r="B375" s="427"/>
      <c r="C375" s="428">
        <v>342</v>
      </c>
      <c r="D375" s="456">
        <v>46364</v>
      </c>
      <c r="E375" s="962"/>
      <c r="F375" s="958">
        <f>Tabla15[[#This Row],[Retiros]]-Tabla15[[#This Row],[Contado]]</f>
        <v>0</v>
      </c>
      <c r="G375" s="962"/>
      <c r="H375" s="962"/>
      <c r="I375" s="962"/>
      <c r="J375" s="962"/>
      <c r="K375" s="962"/>
      <c r="L375" s="962"/>
      <c r="M375" s="962"/>
      <c r="N375" s="959">
        <f>Tabla15[[#This Row],[Contado]]</f>
        <v>0</v>
      </c>
      <c r="O375" s="962"/>
      <c r="P375" s="443">
        <f>((Tabla15[[#This Row],[Contado]]+Tabla15[[#This Row],[Visa]]+Tabla15[[#This Row],[Eventos]]+Tabla15[[#This Row],[Passo]]+Tabla15[[#This Row],[Reciclajes]])/1.1)+Tabla15[[#This Row],[Tickets]]</f>
        <v>0</v>
      </c>
      <c r="Q375" s="450">
        <v>0</v>
      </c>
      <c r="R375" s="445">
        <f t="shared" si="14"/>
        <v>0</v>
      </c>
      <c r="S375" s="446"/>
      <c r="T375" s="447">
        <v>0</v>
      </c>
      <c r="U375" s="447">
        <f>Tabla15[[#This Row],[Total Caja]]-Tabla15[[#This Row],[Facturació A/A]]</f>
        <v>0</v>
      </c>
      <c r="V375" s="447">
        <f t="shared" si="15"/>
        <v>-222135.00909090915</v>
      </c>
      <c r="W375" s="450" t="e">
        <f>Tabla15[[#This Row],[Diferencia]]/Tabla15[[#This Row],[Facturació A/A]]</f>
        <v>#DIV/0!</v>
      </c>
      <c r="X375" s="447">
        <f>Tabla15[[#This Row],[Facturació A/A]]*H$17+Tabla15[[#This Row],[Facturació A/A]]</f>
        <v>0</v>
      </c>
      <c r="Y375" s="447">
        <f>Tabla15[[#This Row],[Total Caja]]-Tabla15[[#This Row],[Previsión]]</f>
        <v>0</v>
      </c>
      <c r="Z375" s="446"/>
      <c r="AA375" s="447" t="e">
        <f>SUM(INDEX(Tabla15[[#This Row],[Facturació A/A]],1):Tabla15[[#This Row],[Facturació A/A]]) / SUM(INDEX(Tabla15[[#This Row],[Diferencia]],1):Tabla15[[#This Row],[Diferencia]])</f>
        <v>#DIV/0!</v>
      </c>
      <c r="AB375" s="446"/>
      <c r="AC375" s="428" t="s">
        <v>474</v>
      </c>
      <c r="AD375" s="428" t="s">
        <v>475</v>
      </c>
      <c r="AE375" s="460" t="s">
        <v>476</v>
      </c>
      <c r="AF375" s="428" t="s">
        <v>477</v>
      </c>
      <c r="AG375" s="427"/>
      <c r="AH375" s="427"/>
      <c r="AI375" s="427"/>
      <c r="AJ375" s="427"/>
      <c r="AK375" s="427"/>
      <c r="AL375" s="427"/>
      <c r="AM375" s="427"/>
      <c r="AN375" s="427"/>
      <c r="AO375" s="427"/>
      <c r="AP375" s="427"/>
      <c r="AQ375" s="427"/>
    </row>
    <row r="376" spans="1:43" ht="16" customHeight="1">
      <c r="A376" s="427"/>
      <c r="B376" s="427"/>
      <c r="C376" s="428">
        <v>343</v>
      </c>
      <c r="D376" s="456">
        <v>46365</v>
      </c>
      <c r="E376" s="962"/>
      <c r="F376" s="958">
        <f>Tabla15[[#This Row],[Retiros]]-Tabla15[[#This Row],[Contado]]</f>
        <v>0</v>
      </c>
      <c r="G376" s="962"/>
      <c r="H376" s="962"/>
      <c r="I376" s="962"/>
      <c r="J376" s="962"/>
      <c r="K376" s="962"/>
      <c r="L376" s="962"/>
      <c r="M376" s="962"/>
      <c r="N376" s="959">
        <f>Tabla15[[#This Row],[Contado]]</f>
        <v>0</v>
      </c>
      <c r="O376" s="962"/>
      <c r="P376" s="443">
        <f>((Tabla15[[#This Row],[Contado]]+Tabla15[[#This Row],[Visa]]+Tabla15[[#This Row],[Eventos]]+Tabla15[[#This Row],[Passo]]+Tabla15[[#This Row],[Reciclajes]])/1.1)+Tabla15[[#This Row],[Tickets]]</f>
        <v>0</v>
      </c>
      <c r="Q376" s="450">
        <v>0</v>
      </c>
      <c r="R376" s="445">
        <f t="shared" si="14"/>
        <v>0</v>
      </c>
      <c r="S376" s="446"/>
      <c r="T376" s="447">
        <v>660.76</v>
      </c>
      <c r="U376" s="447">
        <f>Tabla15[[#This Row],[Total Caja]]-Tabla15[[#This Row],[Facturació A/A]]</f>
        <v>-660.76</v>
      </c>
      <c r="V376" s="447">
        <f t="shared" si="15"/>
        <v>-222795.76909090916</v>
      </c>
      <c r="W376" s="450">
        <f>Tabla15[[#This Row],[Diferencia]]/Tabla15[[#This Row],[Facturació A/A]]</f>
        <v>-1</v>
      </c>
      <c r="X376" s="447">
        <f>Tabla15[[#This Row],[Facturació A/A]]*H$17+Tabla15[[#This Row],[Facturació A/A]]</f>
        <v>680.58280000000002</v>
      </c>
      <c r="Y376" s="447">
        <f>Tabla15[[#This Row],[Total Caja]]-Tabla15[[#This Row],[Previsión]]</f>
        <v>-680.58280000000002</v>
      </c>
      <c r="Z376" s="446"/>
      <c r="AA376" s="447">
        <f>SUM(INDEX(Tabla15[[#This Row],[Facturació A/A]],1):Tabla15[[#This Row],[Facturació A/A]]) / SUM(INDEX(Tabla15[[#This Row],[Diferencia]],1):Tabla15[[#This Row],[Diferencia]])</f>
        <v>-1</v>
      </c>
      <c r="AB376" s="446"/>
      <c r="AC376" s="427"/>
      <c r="AD376" s="427"/>
      <c r="AE376" s="460"/>
      <c r="AF376" s="427"/>
      <c r="AG376" s="427"/>
      <c r="AH376" s="427"/>
      <c r="AI376" s="427"/>
      <c r="AJ376" s="427"/>
      <c r="AK376" s="427"/>
      <c r="AL376" s="427"/>
      <c r="AM376" s="427"/>
      <c r="AN376" s="427"/>
      <c r="AO376" s="427"/>
      <c r="AP376" s="427"/>
      <c r="AQ376" s="427"/>
    </row>
    <row r="377" spans="1:43" ht="16" customHeight="1">
      <c r="A377" s="427"/>
      <c r="B377" s="427"/>
      <c r="C377" s="428">
        <v>344</v>
      </c>
      <c r="D377" s="456">
        <v>46366</v>
      </c>
      <c r="E377" s="962"/>
      <c r="F377" s="958">
        <f>Tabla15[[#This Row],[Retiros]]-Tabla15[[#This Row],[Contado]]</f>
        <v>0</v>
      </c>
      <c r="G377" s="962"/>
      <c r="H377" s="962"/>
      <c r="I377" s="962"/>
      <c r="J377" s="962"/>
      <c r="K377" s="962"/>
      <c r="L377" s="962"/>
      <c r="M377" s="962"/>
      <c r="N377" s="959">
        <f>Tabla15[[#This Row],[Contado]]</f>
        <v>0</v>
      </c>
      <c r="O377" s="962"/>
      <c r="P377" s="443">
        <f>((Tabla15[[#This Row],[Contado]]+Tabla15[[#This Row],[Visa]]+Tabla15[[#This Row],[Eventos]]+Tabla15[[#This Row],[Passo]]+Tabla15[[#This Row],[Reciclajes]])/1.1)+Tabla15[[#This Row],[Tickets]]</f>
        <v>0</v>
      </c>
      <c r="Q377" s="450">
        <v>0</v>
      </c>
      <c r="R377" s="445">
        <f t="shared" si="14"/>
        <v>0</v>
      </c>
      <c r="S377" s="446"/>
      <c r="T377" s="447">
        <v>787.55</v>
      </c>
      <c r="U377" s="447">
        <f>Tabla15[[#This Row],[Total Caja]]-Tabla15[[#This Row],[Facturació A/A]]</f>
        <v>-787.55</v>
      </c>
      <c r="V377" s="447">
        <f t="shared" si="15"/>
        <v>-223583.31909090915</v>
      </c>
      <c r="W377" s="450">
        <f>Tabla15[[#This Row],[Diferencia]]/Tabla15[[#This Row],[Facturació A/A]]</f>
        <v>-1</v>
      </c>
      <c r="X377" s="447">
        <f>Tabla15[[#This Row],[Facturació A/A]]*H$17+Tabla15[[#This Row],[Facturació A/A]]</f>
        <v>811.17649999999992</v>
      </c>
      <c r="Y377" s="447">
        <f>Tabla15[[#This Row],[Total Caja]]-Tabla15[[#This Row],[Previsión]]</f>
        <v>-811.17649999999992</v>
      </c>
      <c r="Z377" s="446"/>
      <c r="AA377" s="447">
        <f>SUM(INDEX(Tabla15[[#This Row],[Facturació A/A]],1):Tabla15[[#This Row],[Facturació A/A]]) / SUM(INDEX(Tabla15[[#This Row],[Diferencia]],1):Tabla15[[#This Row],[Diferencia]])</f>
        <v>-1</v>
      </c>
      <c r="AB377" s="446"/>
      <c r="AC377" s="427"/>
      <c r="AD377" s="427"/>
      <c r="AE377" s="460"/>
      <c r="AF377" s="427"/>
      <c r="AG377" s="427"/>
      <c r="AH377" s="427"/>
      <c r="AI377" s="427"/>
      <c r="AJ377" s="427"/>
      <c r="AK377" s="427"/>
      <c r="AL377" s="427"/>
      <c r="AM377" s="427"/>
      <c r="AN377" s="427"/>
      <c r="AO377" s="427"/>
      <c r="AP377" s="427"/>
      <c r="AQ377" s="427"/>
    </row>
    <row r="378" spans="1:43" ht="16" customHeight="1">
      <c r="A378" s="427"/>
      <c r="B378" s="427"/>
      <c r="C378" s="428">
        <v>345</v>
      </c>
      <c r="D378" s="456">
        <v>46367</v>
      </c>
      <c r="E378" s="962"/>
      <c r="F378" s="958">
        <f>Tabla15[[#This Row],[Retiros]]-Tabla15[[#This Row],[Contado]]</f>
        <v>0</v>
      </c>
      <c r="G378" s="962"/>
      <c r="H378" s="962"/>
      <c r="I378" s="962"/>
      <c r="J378" s="962"/>
      <c r="K378" s="962"/>
      <c r="L378" s="962"/>
      <c r="M378" s="962"/>
      <c r="N378" s="959">
        <f>Tabla15[[#This Row],[Contado]]</f>
        <v>0</v>
      </c>
      <c r="O378" s="962"/>
      <c r="P378" s="443">
        <f>((Tabla15[[#This Row],[Contado]]+Tabla15[[#This Row],[Visa]]+Tabla15[[#This Row],[Eventos]]+Tabla15[[#This Row],[Passo]]+Tabla15[[#This Row],[Reciclajes]])/1.1)+Tabla15[[#This Row],[Tickets]]</f>
        <v>0</v>
      </c>
      <c r="Q378" s="450">
        <v>0</v>
      </c>
      <c r="R378" s="445">
        <f t="shared" si="14"/>
        <v>0</v>
      </c>
      <c r="S378" s="446"/>
      <c r="T378" s="447">
        <v>1406.06</v>
      </c>
      <c r="U378" s="447">
        <f>Tabla15[[#This Row],[Total Caja]]-Tabla15[[#This Row],[Facturació A/A]]</f>
        <v>-1406.06</v>
      </c>
      <c r="V378" s="447">
        <f t="shared" si="15"/>
        <v>-224989.37909090915</v>
      </c>
      <c r="W378" s="450">
        <f>Tabla15[[#This Row],[Diferencia]]/Tabla15[[#This Row],[Facturació A/A]]</f>
        <v>-1</v>
      </c>
      <c r="X378" s="447">
        <f>Tabla15[[#This Row],[Facturació A/A]]*H$17+Tabla15[[#This Row],[Facturació A/A]]</f>
        <v>1448.2418</v>
      </c>
      <c r="Y378" s="447">
        <f>Tabla15[[#This Row],[Total Caja]]-Tabla15[[#This Row],[Previsión]]</f>
        <v>-1448.2418</v>
      </c>
      <c r="Z378" s="446"/>
      <c r="AA378" s="447">
        <f>SUM(INDEX(Tabla15[[#This Row],[Facturació A/A]],1):Tabla15[[#This Row],[Facturació A/A]]) / SUM(INDEX(Tabla15[[#This Row],[Diferencia]],1):Tabla15[[#This Row],[Diferencia]])</f>
        <v>-1</v>
      </c>
      <c r="AB378" s="446"/>
      <c r="AC378" s="427"/>
      <c r="AD378" s="427"/>
      <c r="AE378" s="460"/>
      <c r="AF378" s="427"/>
      <c r="AG378" s="427"/>
      <c r="AH378" s="427"/>
      <c r="AI378" s="427"/>
      <c r="AJ378" s="427"/>
      <c r="AK378" s="427"/>
      <c r="AL378" s="427"/>
      <c r="AM378" s="427"/>
      <c r="AN378" s="427"/>
      <c r="AO378" s="427"/>
      <c r="AP378" s="427"/>
      <c r="AQ378" s="427"/>
    </row>
    <row r="379" spans="1:43" ht="16" customHeight="1">
      <c r="A379" s="427"/>
      <c r="B379" s="427"/>
      <c r="C379" s="428">
        <v>346</v>
      </c>
      <c r="D379" s="456">
        <v>46368</v>
      </c>
      <c r="E379" s="962"/>
      <c r="F379" s="958">
        <f>Tabla15[[#This Row],[Retiros]]-Tabla15[[#This Row],[Contado]]</f>
        <v>0</v>
      </c>
      <c r="G379" s="962"/>
      <c r="H379" s="962"/>
      <c r="I379" s="962"/>
      <c r="J379" s="962"/>
      <c r="K379" s="962"/>
      <c r="L379" s="962"/>
      <c r="M379" s="962"/>
      <c r="N379" s="959">
        <f>Tabla15[[#This Row],[Contado]]</f>
        <v>0</v>
      </c>
      <c r="O379" s="962"/>
      <c r="P379" s="443">
        <f>((Tabla15[[#This Row],[Contado]]+Tabla15[[#This Row],[Visa]]+Tabla15[[#This Row],[Eventos]]+Tabla15[[#This Row],[Passo]]+Tabla15[[#This Row],[Reciclajes]])/1.1)+Tabla15[[#This Row],[Tickets]]</f>
        <v>0</v>
      </c>
      <c r="Q379" s="450">
        <v>0</v>
      </c>
      <c r="R379" s="445">
        <f t="shared" si="14"/>
        <v>0</v>
      </c>
      <c r="S379" s="446"/>
      <c r="T379" s="447">
        <v>2354.59</v>
      </c>
      <c r="U379" s="447">
        <f>Tabla15[[#This Row],[Total Caja]]-Tabla15[[#This Row],[Facturació A/A]]</f>
        <v>-2354.59</v>
      </c>
      <c r="V379" s="447">
        <f t="shared" si="15"/>
        <v>-227343.96909090914</v>
      </c>
      <c r="W379" s="450">
        <f>Tabla15[[#This Row],[Diferencia]]/Tabla15[[#This Row],[Facturació A/A]]</f>
        <v>-1</v>
      </c>
      <c r="X379" s="447">
        <f>Tabla15[[#This Row],[Facturació A/A]]*H$17+Tabla15[[#This Row],[Facturació A/A]]</f>
        <v>2425.2277000000004</v>
      </c>
      <c r="Y379" s="447">
        <f>Tabla15[[#This Row],[Total Caja]]-Tabla15[[#This Row],[Previsión]]</f>
        <v>-2425.2277000000004</v>
      </c>
      <c r="Z379" s="446"/>
      <c r="AA379" s="447">
        <f>SUM(INDEX(Tabla15[[#This Row],[Facturació A/A]],1):Tabla15[[#This Row],[Facturació A/A]]) / SUM(INDEX(Tabla15[[#This Row],[Diferencia]],1):Tabla15[[#This Row],[Diferencia]])</f>
        <v>-1</v>
      </c>
      <c r="AB379" s="446"/>
      <c r="AC379" s="427"/>
      <c r="AD379" s="427"/>
      <c r="AE379" s="460"/>
      <c r="AF379" s="427"/>
      <c r="AG379" s="427"/>
      <c r="AH379" s="427"/>
      <c r="AI379" s="427"/>
      <c r="AJ379" s="427"/>
      <c r="AK379" s="427"/>
      <c r="AL379" s="427"/>
      <c r="AM379" s="427"/>
      <c r="AN379" s="427"/>
      <c r="AO379" s="427"/>
      <c r="AP379" s="427"/>
      <c r="AQ379" s="427"/>
    </row>
    <row r="380" spans="1:43" ht="16" customHeight="1">
      <c r="A380" s="427"/>
      <c r="B380" s="427"/>
      <c r="C380" s="428">
        <v>347</v>
      </c>
      <c r="D380" s="456">
        <v>46369</v>
      </c>
      <c r="E380" s="962"/>
      <c r="F380" s="958">
        <f>Tabla15[[#This Row],[Retiros]]-Tabla15[[#This Row],[Contado]]</f>
        <v>0</v>
      </c>
      <c r="G380" s="962"/>
      <c r="H380" s="962"/>
      <c r="I380" s="962"/>
      <c r="J380" s="962"/>
      <c r="K380" s="962"/>
      <c r="L380" s="962"/>
      <c r="M380" s="962"/>
      <c r="N380" s="959">
        <f>Tabla15[[#This Row],[Contado]]</f>
        <v>0</v>
      </c>
      <c r="O380" s="962"/>
      <c r="P380" s="443">
        <f>((Tabla15[[#This Row],[Contado]]+Tabla15[[#This Row],[Visa]]+Tabla15[[#This Row],[Eventos]]+Tabla15[[#This Row],[Passo]]+Tabla15[[#This Row],[Reciclajes]])/1.1)+Tabla15[[#This Row],[Tickets]]</f>
        <v>0</v>
      </c>
      <c r="Q380" s="450">
        <v>0</v>
      </c>
      <c r="R380" s="445">
        <f t="shared" si="14"/>
        <v>0</v>
      </c>
      <c r="S380" s="446"/>
      <c r="T380" s="447">
        <v>1177.01</v>
      </c>
      <c r="U380" s="447">
        <f>Tabla15[[#This Row],[Total Caja]]-Tabla15[[#This Row],[Facturació A/A]]</f>
        <v>-1177.01</v>
      </c>
      <c r="V380" s="447">
        <f t="shared" si="15"/>
        <v>-228520.97909090915</v>
      </c>
      <c r="W380" s="450">
        <f>Tabla15[[#This Row],[Diferencia]]/Tabla15[[#This Row],[Facturació A/A]]</f>
        <v>-1</v>
      </c>
      <c r="X380" s="447">
        <f>Tabla15[[#This Row],[Facturació A/A]]*H$17+Tabla15[[#This Row],[Facturació A/A]]</f>
        <v>1212.3203000000001</v>
      </c>
      <c r="Y380" s="447">
        <f>Tabla15[[#This Row],[Total Caja]]-Tabla15[[#This Row],[Previsión]]</f>
        <v>-1212.3203000000001</v>
      </c>
      <c r="Z380" s="446"/>
      <c r="AA380" s="447">
        <f>SUM(INDEX(Tabla15[[#This Row],[Facturació A/A]],1):Tabla15[[#This Row],[Facturació A/A]]) / SUM(INDEX(Tabla15[[#This Row],[Diferencia]],1):Tabla15[[#This Row],[Diferencia]])</f>
        <v>-1</v>
      </c>
      <c r="AB380" s="446"/>
      <c r="AC380" s="427"/>
      <c r="AD380" s="427"/>
      <c r="AE380" s="427"/>
      <c r="AF380" s="427"/>
      <c r="AG380" s="427"/>
      <c r="AH380" s="427"/>
      <c r="AI380" s="427"/>
      <c r="AJ380" s="427"/>
      <c r="AK380" s="427"/>
      <c r="AL380" s="427"/>
      <c r="AM380" s="427"/>
      <c r="AN380" s="427"/>
      <c r="AO380" s="427"/>
      <c r="AP380" s="427"/>
      <c r="AQ380" s="427"/>
    </row>
    <row r="381" spans="1:43" ht="16" customHeight="1">
      <c r="A381" s="427"/>
      <c r="B381" s="427"/>
      <c r="C381" s="428">
        <v>348</v>
      </c>
      <c r="D381" s="456">
        <v>46370</v>
      </c>
      <c r="E381" s="962"/>
      <c r="F381" s="958">
        <f>Tabla15[[#This Row],[Retiros]]-Tabla15[[#This Row],[Contado]]</f>
        <v>0</v>
      </c>
      <c r="G381" s="962"/>
      <c r="H381" s="962"/>
      <c r="I381" s="962"/>
      <c r="J381" s="962"/>
      <c r="K381" s="962"/>
      <c r="L381" s="962"/>
      <c r="M381" s="962"/>
      <c r="N381" s="959">
        <f>Tabla15[[#This Row],[Contado]]</f>
        <v>0</v>
      </c>
      <c r="O381" s="962"/>
      <c r="P381" s="443">
        <f>((Tabla15[[#This Row],[Contado]]+Tabla15[[#This Row],[Visa]]+Tabla15[[#This Row],[Eventos]]+Tabla15[[#This Row],[Passo]]+Tabla15[[#This Row],[Reciclajes]])/1.1)+Tabla15[[#This Row],[Tickets]]</f>
        <v>0</v>
      </c>
      <c r="Q381" s="450">
        <v>0</v>
      </c>
      <c r="R381" s="445">
        <f t="shared" si="14"/>
        <v>0</v>
      </c>
      <c r="S381" s="446"/>
      <c r="T381" s="447">
        <v>0</v>
      </c>
      <c r="U381" s="447">
        <f>Tabla15[[#This Row],[Total Caja]]-Tabla15[[#This Row],[Facturació A/A]]</f>
        <v>0</v>
      </c>
      <c r="V381" s="447">
        <f t="shared" si="15"/>
        <v>-228520.97909090915</v>
      </c>
      <c r="W381" s="450" t="e">
        <f>Tabla15[[#This Row],[Diferencia]]/Tabla15[[#This Row],[Facturació A/A]]</f>
        <v>#DIV/0!</v>
      </c>
      <c r="X381" s="447">
        <f>Tabla15[[#This Row],[Facturació A/A]]*H$17+Tabla15[[#This Row],[Facturació A/A]]</f>
        <v>0</v>
      </c>
      <c r="Y381" s="447">
        <f>Tabla15[[#This Row],[Total Caja]]-Tabla15[[#This Row],[Previsión]]</f>
        <v>0</v>
      </c>
      <c r="Z381" s="446"/>
      <c r="AA381" s="447" t="e">
        <f>SUM(INDEX(Tabla15[[#This Row],[Facturació A/A]],1):Tabla15[[#This Row],[Facturació A/A]]) / SUM(INDEX(Tabla15[[#This Row],[Diferencia]],1):Tabla15[[#This Row],[Diferencia]])</f>
        <v>#DIV/0!</v>
      </c>
      <c r="AB381" s="446"/>
      <c r="AC381" s="427"/>
      <c r="AD381" s="427"/>
      <c r="AE381" s="427"/>
      <c r="AF381" s="427"/>
      <c r="AG381" s="427"/>
      <c r="AH381" s="427"/>
      <c r="AI381" s="427"/>
      <c r="AJ381" s="427"/>
      <c r="AK381" s="427"/>
      <c r="AL381" s="427"/>
      <c r="AM381" s="427"/>
      <c r="AN381" s="427"/>
      <c r="AO381" s="427"/>
      <c r="AP381" s="427"/>
      <c r="AQ381" s="427"/>
    </row>
    <row r="382" spans="1:43" ht="16" customHeight="1">
      <c r="A382" s="427"/>
      <c r="B382" s="427"/>
      <c r="C382" s="428">
        <v>349</v>
      </c>
      <c r="D382" s="456">
        <v>46371</v>
      </c>
      <c r="E382" s="962"/>
      <c r="F382" s="958">
        <f>Tabla15[[#This Row],[Retiros]]-Tabla15[[#This Row],[Contado]]</f>
        <v>0</v>
      </c>
      <c r="G382" s="962"/>
      <c r="H382" s="962"/>
      <c r="I382" s="962"/>
      <c r="J382" s="962"/>
      <c r="K382" s="962"/>
      <c r="L382" s="962"/>
      <c r="M382" s="962"/>
      <c r="N382" s="959">
        <f>Tabla15[[#This Row],[Contado]]</f>
        <v>0</v>
      </c>
      <c r="O382" s="962"/>
      <c r="P382" s="443">
        <f>((Tabla15[[#This Row],[Contado]]+Tabla15[[#This Row],[Visa]]+Tabla15[[#This Row],[Eventos]]+Tabla15[[#This Row],[Passo]]+Tabla15[[#This Row],[Reciclajes]])/1.1)+Tabla15[[#This Row],[Tickets]]</f>
        <v>0</v>
      </c>
      <c r="Q382" s="450">
        <v>0</v>
      </c>
      <c r="R382" s="445">
        <f t="shared" si="14"/>
        <v>0</v>
      </c>
      <c r="S382" s="446"/>
      <c r="T382" s="447">
        <v>0</v>
      </c>
      <c r="U382" s="447">
        <f>Tabla15[[#This Row],[Total Caja]]-Tabla15[[#This Row],[Facturació A/A]]</f>
        <v>0</v>
      </c>
      <c r="V382" s="447">
        <f t="shared" si="15"/>
        <v>-228520.97909090915</v>
      </c>
      <c r="W382" s="450" t="e">
        <f>Tabla15[[#This Row],[Diferencia]]/Tabla15[[#This Row],[Facturació A/A]]</f>
        <v>#DIV/0!</v>
      </c>
      <c r="X382" s="447">
        <f>Tabla15[[#This Row],[Facturació A/A]]*H$17+Tabla15[[#This Row],[Facturació A/A]]</f>
        <v>0</v>
      </c>
      <c r="Y382" s="447">
        <f>Tabla15[[#This Row],[Total Caja]]-Tabla15[[#This Row],[Previsión]]</f>
        <v>0</v>
      </c>
      <c r="Z382" s="446"/>
      <c r="AA382" s="447" t="e">
        <f>SUM(INDEX(Tabla15[[#This Row],[Facturació A/A]],1):Tabla15[[#This Row],[Facturació A/A]]) / SUM(INDEX(Tabla15[[#This Row],[Diferencia]],1):Tabla15[[#This Row],[Diferencia]])</f>
        <v>#DIV/0!</v>
      </c>
      <c r="AB382" s="446"/>
      <c r="AC382" s="427"/>
      <c r="AD382" s="427"/>
      <c r="AE382" s="427"/>
      <c r="AF382" s="427"/>
      <c r="AG382" s="427"/>
      <c r="AH382" s="427"/>
      <c r="AI382" s="427"/>
      <c r="AJ382" s="427"/>
      <c r="AK382" s="427"/>
      <c r="AL382" s="427"/>
      <c r="AM382" s="427"/>
      <c r="AN382" s="427"/>
      <c r="AO382" s="427"/>
      <c r="AP382" s="427"/>
      <c r="AQ382" s="427"/>
    </row>
    <row r="383" spans="1:43" ht="16" customHeight="1">
      <c r="A383" s="427"/>
      <c r="B383" s="427"/>
      <c r="C383" s="428">
        <v>350</v>
      </c>
      <c r="D383" s="456">
        <v>46372</v>
      </c>
      <c r="E383" s="962"/>
      <c r="F383" s="958">
        <f>Tabla15[[#This Row],[Retiros]]-Tabla15[[#This Row],[Contado]]</f>
        <v>0</v>
      </c>
      <c r="G383" s="962"/>
      <c r="H383" s="962"/>
      <c r="I383" s="962"/>
      <c r="J383" s="962"/>
      <c r="K383" s="962"/>
      <c r="L383" s="962"/>
      <c r="M383" s="962"/>
      <c r="N383" s="959">
        <f>Tabla15[[#This Row],[Contado]]</f>
        <v>0</v>
      </c>
      <c r="O383" s="962"/>
      <c r="P383" s="443">
        <f>((Tabla15[[#This Row],[Contado]]+Tabla15[[#This Row],[Visa]]+Tabla15[[#This Row],[Eventos]]+Tabla15[[#This Row],[Passo]]+Tabla15[[#This Row],[Reciclajes]])/1.1)+Tabla15[[#This Row],[Tickets]]</f>
        <v>0</v>
      </c>
      <c r="Q383" s="450">
        <v>0</v>
      </c>
      <c r="R383" s="445">
        <f t="shared" si="14"/>
        <v>0</v>
      </c>
      <c r="S383" s="446"/>
      <c r="T383" s="447">
        <v>660.76</v>
      </c>
      <c r="U383" s="447">
        <f>Tabla15[[#This Row],[Total Caja]]-Tabla15[[#This Row],[Facturació A/A]]</f>
        <v>-660.76</v>
      </c>
      <c r="V383" s="447">
        <f t="shared" si="15"/>
        <v>-229181.73909090916</v>
      </c>
      <c r="W383" s="450">
        <f>Tabla15[[#This Row],[Diferencia]]/Tabla15[[#This Row],[Facturació A/A]]</f>
        <v>-1</v>
      </c>
      <c r="X383" s="447">
        <f>Tabla15[[#This Row],[Facturació A/A]]*H$17+Tabla15[[#This Row],[Facturació A/A]]</f>
        <v>680.58280000000002</v>
      </c>
      <c r="Y383" s="447">
        <f>Tabla15[[#This Row],[Total Caja]]-Tabla15[[#This Row],[Previsión]]</f>
        <v>-680.58280000000002</v>
      </c>
      <c r="Z383" s="446"/>
      <c r="AA383" s="447">
        <f>SUM(INDEX(Tabla15[[#This Row],[Facturació A/A]],1):Tabla15[[#This Row],[Facturació A/A]]) / SUM(INDEX(Tabla15[[#This Row],[Diferencia]],1):Tabla15[[#This Row],[Diferencia]])</f>
        <v>-1</v>
      </c>
      <c r="AB383" s="446"/>
      <c r="AC383" s="427"/>
      <c r="AD383" s="427"/>
      <c r="AE383" s="427"/>
      <c r="AF383" s="427"/>
      <c r="AG383" s="427"/>
      <c r="AH383" s="427"/>
      <c r="AI383" s="427"/>
      <c r="AJ383" s="427"/>
      <c r="AK383" s="427"/>
      <c r="AL383" s="427"/>
      <c r="AM383" s="427"/>
      <c r="AN383" s="427"/>
      <c r="AO383" s="427"/>
      <c r="AP383" s="427"/>
      <c r="AQ383" s="427"/>
    </row>
    <row r="384" spans="1:43" ht="16" customHeight="1">
      <c r="A384" s="427"/>
      <c r="B384" s="427"/>
      <c r="C384" s="428">
        <v>351</v>
      </c>
      <c r="D384" s="456">
        <v>46373</v>
      </c>
      <c r="E384" s="962"/>
      <c r="F384" s="958">
        <f>Tabla15[[#This Row],[Retiros]]-Tabla15[[#This Row],[Contado]]</f>
        <v>0</v>
      </c>
      <c r="G384" s="962"/>
      <c r="H384" s="962"/>
      <c r="I384" s="962"/>
      <c r="J384" s="962"/>
      <c r="K384" s="962"/>
      <c r="L384" s="962"/>
      <c r="M384" s="962"/>
      <c r="N384" s="959">
        <f>Tabla15[[#This Row],[Contado]]</f>
        <v>0</v>
      </c>
      <c r="O384" s="962"/>
      <c r="P384" s="443">
        <f>((Tabla15[[#This Row],[Contado]]+Tabla15[[#This Row],[Visa]]+Tabla15[[#This Row],[Eventos]]+Tabla15[[#This Row],[Passo]]+Tabla15[[#This Row],[Reciclajes]])/1.1)+Tabla15[[#This Row],[Tickets]]</f>
        <v>0</v>
      </c>
      <c r="Q384" s="450">
        <v>0</v>
      </c>
      <c r="R384" s="445">
        <f t="shared" si="14"/>
        <v>0</v>
      </c>
      <c r="S384" s="446"/>
      <c r="T384" s="447">
        <v>817.64</v>
      </c>
      <c r="U384" s="447">
        <f>Tabla15[[#This Row],[Total Caja]]-Tabla15[[#This Row],[Facturació A/A]]</f>
        <v>-817.64</v>
      </c>
      <c r="V384" s="447">
        <f t="shared" si="15"/>
        <v>-229999.37909090918</v>
      </c>
      <c r="W384" s="450">
        <f>Tabla15[[#This Row],[Diferencia]]/Tabla15[[#This Row],[Facturació A/A]]</f>
        <v>-1</v>
      </c>
      <c r="X384" s="447">
        <f>Tabla15[[#This Row],[Facturació A/A]]*H$17+Tabla15[[#This Row],[Facturació A/A]]</f>
        <v>842.16919999999993</v>
      </c>
      <c r="Y384" s="447">
        <f>Tabla15[[#This Row],[Total Caja]]-Tabla15[[#This Row],[Previsión]]</f>
        <v>-842.16919999999993</v>
      </c>
      <c r="Z384" s="446"/>
      <c r="AA384" s="447">
        <f>SUM(INDEX(Tabla15[[#This Row],[Facturació A/A]],1):Tabla15[[#This Row],[Facturació A/A]]) / SUM(INDEX(Tabla15[[#This Row],[Diferencia]],1):Tabla15[[#This Row],[Diferencia]])</f>
        <v>-1</v>
      </c>
      <c r="AB384" s="446"/>
      <c r="AC384" s="427"/>
      <c r="AD384" s="427"/>
      <c r="AE384" s="427"/>
      <c r="AF384" s="428">
        <v>104</v>
      </c>
      <c r="AG384" s="428" t="s">
        <v>478</v>
      </c>
      <c r="AH384" s="427"/>
      <c r="AI384" s="427"/>
      <c r="AJ384" s="427"/>
      <c r="AK384" s="427"/>
      <c r="AL384" s="427"/>
      <c r="AM384" s="427"/>
      <c r="AN384" s="427"/>
      <c r="AO384" s="427"/>
      <c r="AP384" s="427"/>
      <c r="AQ384" s="427"/>
    </row>
    <row r="385" spans="1:43" ht="16" customHeight="1">
      <c r="A385" s="427"/>
      <c r="B385" s="427"/>
      <c r="C385" s="428">
        <v>352</v>
      </c>
      <c r="D385" s="456">
        <v>46374</v>
      </c>
      <c r="E385" s="962"/>
      <c r="F385" s="958">
        <f>Tabla15[[#This Row],[Retiros]]-Tabla15[[#This Row],[Contado]]</f>
        <v>0</v>
      </c>
      <c r="G385" s="962"/>
      <c r="H385" s="962"/>
      <c r="I385" s="962"/>
      <c r="J385" s="962"/>
      <c r="K385" s="962"/>
      <c r="L385" s="962"/>
      <c r="M385" s="962"/>
      <c r="N385" s="959">
        <f>Tabla15[[#This Row],[Contado]]</f>
        <v>0</v>
      </c>
      <c r="O385" s="962"/>
      <c r="P385" s="443">
        <f>((Tabla15[[#This Row],[Contado]]+Tabla15[[#This Row],[Visa]]+Tabla15[[#This Row],[Eventos]]+Tabla15[[#This Row],[Passo]]+Tabla15[[#This Row],[Reciclajes]])/1.1)+Tabla15[[#This Row],[Tickets]]</f>
        <v>0</v>
      </c>
      <c r="Q385" s="450">
        <v>0</v>
      </c>
      <c r="R385" s="445">
        <f t="shared" si="14"/>
        <v>0</v>
      </c>
      <c r="S385" s="446"/>
      <c r="T385" s="447">
        <v>2648.17</v>
      </c>
      <c r="U385" s="447">
        <f>Tabla15[[#This Row],[Total Caja]]-Tabla15[[#This Row],[Facturació A/A]]</f>
        <v>-2648.17</v>
      </c>
      <c r="V385" s="447">
        <f t="shared" si="15"/>
        <v>-232647.54909090919</v>
      </c>
      <c r="W385" s="450">
        <f>Tabla15[[#This Row],[Diferencia]]/Tabla15[[#This Row],[Facturació A/A]]</f>
        <v>-1</v>
      </c>
      <c r="X385" s="447">
        <f>Tabla15[[#This Row],[Facturació A/A]]*H$17+Tabla15[[#This Row],[Facturació A/A]]</f>
        <v>2727.6151</v>
      </c>
      <c r="Y385" s="447">
        <f>Tabla15[[#This Row],[Total Caja]]-Tabla15[[#This Row],[Previsión]]</f>
        <v>-2727.6151</v>
      </c>
      <c r="Z385" s="446"/>
      <c r="AA385" s="447">
        <f>SUM(INDEX(Tabla15[[#This Row],[Facturació A/A]],1):Tabla15[[#This Row],[Facturació A/A]]) / SUM(INDEX(Tabla15[[#This Row],[Diferencia]],1):Tabla15[[#This Row],[Diferencia]])</f>
        <v>-1</v>
      </c>
      <c r="AB385" s="446"/>
      <c r="AC385" s="427"/>
      <c r="AD385" s="427"/>
      <c r="AE385" s="427"/>
      <c r="AF385" s="428">
        <v>30</v>
      </c>
      <c r="AG385" s="428" t="s">
        <v>479</v>
      </c>
      <c r="AH385" s="427"/>
      <c r="AI385" s="427"/>
      <c r="AJ385" s="427"/>
      <c r="AK385" s="427"/>
      <c r="AL385" s="427"/>
      <c r="AM385" s="427"/>
      <c r="AN385" s="427"/>
      <c r="AO385" s="427"/>
      <c r="AP385" s="427"/>
      <c r="AQ385" s="427"/>
    </row>
    <row r="386" spans="1:43" ht="16" customHeight="1">
      <c r="A386" s="427"/>
      <c r="B386" s="427"/>
      <c r="C386" s="428">
        <v>353</v>
      </c>
      <c r="D386" s="456">
        <v>46375</v>
      </c>
      <c r="E386" s="962"/>
      <c r="F386" s="958">
        <f>Tabla15[[#This Row],[Retiros]]-Tabla15[[#This Row],[Contado]]</f>
        <v>0</v>
      </c>
      <c r="G386" s="962"/>
      <c r="H386" s="962"/>
      <c r="I386" s="962"/>
      <c r="J386" s="962"/>
      <c r="K386" s="962"/>
      <c r="L386" s="962"/>
      <c r="M386" s="962"/>
      <c r="N386" s="959">
        <f>Tabla15[[#This Row],[Contado]]</f>
        <v>0</v>
      </c>
      <c r="O386" s="962"/>
      <c r="P386" s="443">
        <f>((Tabla15[[#This Row],[Contado]]+Tabla15[[#This Row],[Visa]]+Tabla15[[#This Row],[Eventos]]+Tabla15[[#This Row],[Passo]]+Tabla15[[#This Row],[Reciclajes]])/1.1)+Tabla15[[#This Row],[Tickets]]</f>
        <v>0</v>
      </c>
      <c r="Q386" s="450">
        <v>0</v>
      </c>
      <c r="R386" s="445">
        <f t="shared" si="14"/>
        <v>0</v>
      </c>
      <c r="S386" s="446"/>
      <c r="T386" s="447">
        <v>1084.77</v>
      </c>
      <c r="U386" s="447">
        <f>Tabla15[[#This Row],[Total Caja]]-Tabla15[[#This Row],[Facturació A/A]]</f>
        <v>-1084.77</v>
      </c>
      <c r="V386" s="447">
        <f t="shared" si="15"/>
        <v>-233732.31909090918</v>
      </c>
      <c r="W386" s="450">
        <f>Tabla15[[#This Row],[Diferencia]]/Tabla15[[#This Row],[Facturació A/A]]</f>
        <v>-1</v>
      </c>
      <c r="X386" s="447">
        <f>Tabla15[[#This Row],[Facturació A/A]]*H$17+Tabla15[[#This Row],[Facturació A/A]]</f>
        <v>1117.3131000000001</v>
      </c>
      <c r="Y386" s="447">
        <f>Tabla15[[#This Row],[Total Caja]]-Tabla15[[#This Row],[Previsión]]</f>
        <v>-1117.3131000000001</v>
      </c>
      <c r="Z386" s="446"/>
      <c r="AA386" s="447">
        <f>SUM(INDEX(Tabla15[[#This Row],[Facturació A/A]],1):Tabla15[[#This Row],[Facturació A/A]]) / SUM(INDEX(Tabla15[[#This Row],[Diferencia]],1):Tabla15[[#This Row],[Diferencia]])</f>
        <v>-1</v>
      </c>
      <c r="AB386" s="446"/>
      <c r="AC386" s="427"/>
      <c r="AD386" s="427"/>
      <c r="AE386" s="427"/>
      <c r="AF386" s="428">
        <v>134</v>
      </c>
      <c r="AG386" s="428" t="s">
        <v>480</v>
      </c>
      <c r="AH386" s="427"/>
      <c r="AI386" s="427"/>
      <c r="AJ386" s="427"/>
      <c r="AK386" s="427"/>
      <c r="AL386" s="427"/>
      <c r="AM386" s="427"/>
      <c r="AN386" s="427"/>
      <c r="AO386" s="427"/>
      <c r="AP386" s="427"/>
      <c r="AQ386" s="427"/>
    </row>
    <row r="387" spans="1:43" ht="16" customHeight="1">
      <c r="A387" s="427"/>
      <c r="B387" s="427"/>
      <c r="C387" s="428">
        <v>354</v>
      </c>
      <c r="D387" s="456">
        <v>46376</v>
      </c>
      <c r="E387" s="962"/>
      <c r="F387" s="958">
        <f>Tabla15[[#This Row],[Retiros]]-Tabla15[[#This Row],[Contado]]</f>
        <v>0</v>
      </c>
      <c r="G387" s="962"/>
      <c r="H387" s="962"/>
      <c r="I387" s="962"/>
      <c r="J387" s="962"/>
      <c r="K387" s="962"/>
      <c r="L387" s="962"/>
      <c r="M387" s="962"/>
      <c r="N387" s="959">
        <f>Tabla15[[#This Row],[Contado]]</f>
        <v>0</v>
      </c>
      <c r="O387" s="962"/>
      <c r="P387" s="443">
        <f>((Tabla15[[#This Row],[Contado]]+Tabla15[[#This Row],[Visa]]+Tabla15[[#This Row],[Eventos]]+Tabla15[[#This Row],[Passo]]+Tabla15[[#This Row],[Reciclajes]])/1.1)+Tabla15[[#This Row],[Tickets]]</f>
        <v>0</v>
      </c>
      <c r="Q387" s="450">
        <v>0</v>
      </c>
      <c r="R387" s="445">
        <f t="shared" si="14"/>
        <v>0</v>
      </c>
      <c r="S387" s="446"/>
      <c r="T387" s="447">
        <v>1199.3</v>
      </c>
      <c r="U387" s="447">
        <f>Tabla15[[#This Row],[Total Caja]]-Tabla15[[#This Row],[Facturació A/A]]</f>
        <v>-1199.3</v>
      </c>
      <c r="V387" s="447">
        <f t="shared" si="15"/>
        <v>-234931.61909090917</v>
      </c>
      <c r="W387" s="450">
        <f>Tabla15[[#This Row],[Diferencia]]/Tabla15[[#This Row],[Facturació A/A]]</f>
        <v>-1</v>
      </c>
      <c r="X387" s="447">
        <f>Tabla15[[#This Row],[Facturació A/A]]*H$17+Tabla15[[#This Row],[Facturació A/A]]</f>
        <v>1235.279</v>
      </c>
      <c r="Y387" s="447">
        <f>Tabla15[[#This Row],[Total Caja]]-Tabla15[[#This Row],[Previsión]]</f>
        <v>-1235.279</v>
      </c>
      <c r="Z387" s="446"/>
      <c r="AA387" s="447">
        <f>SUM(INDEX(Tabla15[[#This Row],[Facturació A/A]],1):Tabla15[[#This Row],[Facturació A/A]]) / SUM(INDEX(Tabla15[[#This Row],[Diferencia]],1):Tabla15[[#This Row],[Diferencia]])</f>
        <v>-1</v>
      </c>
      <c r="AB387" s="446"/>
      <c r="AC387" s="428" t="s">
        <v>481</v>
      </c>
      <c r="AD387" s="427"/>
      <c r="AE387" s="427"/>
      <c r="AF387" s="428">
        <v>231</v>
      </c>
      <c r="AG387" s="427"/>
      <c r="AH387" s="427"/>
      <c r="AI387" s="427"/>
      <c r="AJ387" s="427"/>
      <c r="AK387" s="427"/>
      <c r="AL387" s="427"/>
      <c r="AM387" s="427"/>
      <c r="AN387" s="427"/>
      <c r="AO387" s="427"/>
      <c r="AP387" s="427"/>
      <c r="AQ387" s="427"/>
    </row>
    <row r="388" spans="1:43" ht="16" customHeight="1">
      <c r="A388" s="427"/>
      <c r="B388" s="427"/>
      <c r="C388" s="428">
        <v>355</v>
      </c>
      <c r="D388" s="456">
        <v>46377</v>
      </c>
      <c r="E388" s="962"/>
      <c r="F388" s="958">
        <f>Tabla15[[#This Row],[Retiros]]-Tabla15[[#This Row],[Contado]]</f>
        <v>0</v>
      </c>
      <c r="G388" s="962"/>
      <c r="H388" s="962"/>
      <c r="I388" s="962"/>
      <c r="J388" s="962"/>
      <c r="K388" s="962"/>
      <c r="L388" s="962"/>
      <c r="M388" s="962"/>
      <c r="N388" s="959">
        <f>Tabla15[[#This Row],[Contado]]</f>
        <v>0</v>
      </c>
      <c r="O388" s="962"/>
      <c r="P388" s="443">
        <f>((Tabla15[[#This Row],[Contado]]+Tabla15[[#This Row],[Visa]]+Tabla15[[#This Row],[Eventos]]+Tabla15[[#This Row],[Passo]]+Tabla15[[#This Row],[Reciclajes]])/1.1)+Tabla15[[#This Row],[Tickets]]</f>
        <v>0</v>
      </c>
      <c r="Q388" s="450">
        <v>0</v>
      </c>
      <c r="R388" s="445">
        <f t="shared" si="14"/>
        <v>0</v>
      </c>
      <c r="S388" s="446"/>
      <c r="T388" s="447">
        <v>0</v>
      </c>
      <c r="U388" s="447">
        <f>Tabla15[[#This Row],[Total Caja]]-Tabla15[[#This Row],[Facturació A/A]]</f>
        <v>0</v>
      </c>
      <c r="V388" s="447">
        <f t="shared" si="15"/>
        <v>-234931.61909090917</v>
      </c>
      <c r="W388" s="450" t="e">
        <f>Tabla15[[#This Row],[Diferencia]]/Tabla15[[#This Row],[Facturació A/A]]</f>
        <v>#DIV/0!</v>
      </c>
      <c r="X388" s="447">
        <f>Tabla15[[#This Row],[Facturació A/A]]*H$17+Tabla15[[#This Row],[Facturació A/A]]</f>
        <v>0</v>
      </c>
      <c r="Y388" s="447">
        <f>Tabla15[[#This Row],[Total Caja]]-Tabla15[[#This Row],[Previsión]]</f>
        <v>0</v>
      </c>
      <c r="Z388" s="446"/>
      <c r="AA388" s="447" t="e">
        <f>SUM(INDEX(Tabla15[[#This Row],[Facturació A/A]],1):Tabla15[[#This Row],[Facturació A/A]]) / SUM(INDEX(Tabla15[[#This Row],[Diferencia]],1):Tabla15[[#This Row],[Diferencia]])</f>
        <v>#DIV/0!</v>
      </c>
      <c r="AB388" s="446"/>
      <c r="AC388" s="429">
        <v>347</v>
      </c>
      <c r="AD388" s="428" t="e">
        <v>#REF!</v>
      </c>
      <c r="AE388" s="427"/>
      <c r="AF388" s="427"/>
      <c r="AG388" s="427"/>
      <c r="AH388" s="427"/>
      <c r="AI388" s="427"/>
      <c r="AJ388" s="427"/>
      <c r="AK388" s="427"/>
      <c r="AL388" s="427"/>
      <c r="AM388" s="427"/>
      <c r="AN388" s="427"/>
      <c r="AO388" s="427"/>
      <c r="AP388" s="427"/>
      <c r="AQ388" s="427"/>
    </row>
    <row r="389" spans="1:43" ht="16" customHeight="1">
      <c r="A389" s="427"/>
      <c r="B389" s="427"/>
      <c r="C389" s="428">
        <v>356</v>
      </c>
      <c r="D389" s="456">
        <v>46378</v>
      </c>
      <c r="E389" s="962"/>
      <c r="F389" s="958">
        <f>Tabla15[[#This Row],[Retiros]]-Tabla15[[#This Row],[Contado]]</f>
        <v>0</v>
      </c>
      <c r="G389" s="962"/>
      <c r="H389" s="962"/>
      <c r="I389" s="962"/>
      <c r="J389" s="962"/>
      <c r="K389" s="968"/>
      <c r="L389" s="968"/>
      <c r="M389" s="962"/>
      <c r="N389" s="959">
        <f>Tabla15[[#This Row],[Contado]]</f>
        <v>0</v>
      </c>
      <c r="O389" s="962"/>
      <c r="P389" s="443">
        <f>((Tabla15[[#This Row],[Contado]]+Tabla15[[#This Row],[Visa]]+Tabla15[[#This Row],[Eventos]]+Tabla15[[#This Row],[Passo]]+Tabla15[[#This Row],[Reciclajes]])/1.1)+Tabla15[[#This Row],[Tickets]]</f>
        <v>0</v>
      </c>
      <c r="Q389" s="450">
        <v>0</v>
      </c>
      <c r="R389" s="445">
        <f t="shared" si="14"/>
        <v>0</v>
      </c>
      <c r="S389" s="446"/>
      <c r="T389" s="447">
        <v>0</v>
      </c>
      <c r="U389" s="447">
        <f>Tabla15[[#This Row],[Total Caja]]-Tabla15[[#This Row],[Facturació A/A]]</f>
        <v>0</v>
      </c>
      <c r="V389" s="447">
        <f t="shared" si="15"/>
        <v>-234931.61909090917</v>
      </c>
      <c r="W389" s="450" t="e">
        <f>Tabla15[[#This Row],[Diferencia]]/Tabla15[[#This Row],[Facturació A/A]]</f>
        <v>#DIV/0!</v>
      </c>
      <c r="X389" s="447">
        <f>Tabla15[[#This Row],[Facturació A/A]]*H$17+Tabla15[[#This Row],[Facturació A/A]]</f>
        <v>0</v>
      </c>
      <c r="Y389" s="447">
        <f>Tabla15[[#This Row],[Total Caja]]-Tabla15[[#This Row],[Previsión]]</f>
        <v>0</v>
      </c>
      <c r="Z389" s="446"/>
      <c r="AA389" s="447" t="e">
        <f>SUM(INDEX(Tabla15[[#This Row],[Facturació A/A]],1):Tabla15[[#This Row],[Facturació A/A]]) / SUM(INDEX(Tabla15[[#This Row],[Diferencia]],1):Tabla15[[#This Row],[Diferencia]])</f>
        <v>#DIV/0!</v>
      </c>
      <c r="AB389" s="446"/>
      <c r="AC389" s="429">
        <v>346</v>
      </c>
      <c r="AD389" s="428" t="e">
        <v>#REF!</v>
      </c>
      <c r="AE389" s="427"/>
      <c r="AF389" s="427"/>
      <c r="AG389" s="427"/>
      <c r="AH389" s="427"/>
      <c r="AI389" s="427"/>
      <c r="AJ389" s="427"/>
      <c r="AK389" s="427"/>
      <c r="AL389" s="427"/>
      <c r="AM389" s="427"/>
      <c r="AN389" s="427"/>
      <c r="AO389" s="427"/>
      <c r="AP389" s="427"/>
      <c r="AQ389" s="427"/>
    </row>
    <row r="390" spans="1:43" ht="16" customHeight="1">
      <c r="A390" s="427"/>
      <c r="B390" s="427"/>
      <c r="C390" s="428">
        <v>357</v>
      </c>
      <c r="D390" s="456">
        <v>46379</v>
      </c>
      <c r="E390" s="962"/>
      <c r="F390" s="958">
        <f>Tabla15[[#This Row],[Retiros]]-Tabla15[[#This Row],[Contado]]</f>
        <v>0</v>
      </c>
      <c r="G390" s="962"/>
      <c r="H390" s="962"/>
      <c r="I390" s="962"/>
      <c r="J390" s="962"/>
      <c r="K390" s="968"/>
      <c r="L390" s="968"/>
      <c r="M390" s="962"/>
      <c r="N390" s="959">
        <f>Tabla15[[#This Row],[Contado]]</f>
        <v>0</v>
      </c>
      <c r="O390" s="962"/>
      <c r="P390" s="443">
        <f>((Tabla15[[#This Row],[Contado]]+Tabla15[[#This Row],[Visa]]+Tabla15[[#This Row],[Eventos]]+Tabla15[[#This Row],[Passo]]+Tabla15[[#This Row],[Reciclajes]])/1.1)+Tabla15[[#This Row],[Tickets]]</f>
        <v>0</v>
      </c>
      <c r="Q390" s="450">
        <v>0</v>
      </c>
      <c r="R390" s="445">
        <f t="shared" si="14"/>
        <v>0</v>
      </c>
      <c r="S390" s="446"/>
      <c r="T390" s="447">
        <v>0</v>
      </c>
      <c r="U390" s="447">
        <f>Tabla15[[#This Row],[Total Caja]]-Tabla15[[#This Row],[Facturació A/A]]</f>
        <v>0</v>
      </c>
      <c r="V390" s="447">
        <f t="shared" si="15"/>
        <v>-234931.61909090917</v>
      </c>
      <c r="W390" s="450" t="e">
        <f>Tabla15[[#This Row],[Diferencia]]/Tabla15[[#This Row],[Facturació A/A]]</f>
        <v>#DIV/0!</v>
      </c>
      <c r="X390" s="447">
        <f>Tabla15[[#This Row],[Facturació A/A]]*H$17+Tabla15[[#This Row],[Facturació A/A]]</f>
        <v>0</v>
      </c>
      <c r="Y390" s="447">
        <f>Tabla15[[#This Row],[Total Caja]]-Tabla15[[#This Row],[Previsión]]</f>
        <v>0</v>
      </c>
      <c r="Z390" s="446"/>
      <c r="AA390" s="447" t="e">
        <f>SUM(INDEX(Tabla15[[#This Row],[Facturació A/A]],1):Tabla15[[#This Row],[Facturació A/A]]) / SUM(INDEX(Tabla15[[#This Row],[Diferencia]],1):Tabla15[[#This Row],[Diferencia]])</f>
        <v>#DIV/0!</v>
      </c>
      <c r="AB390" s="446"/>
      <c r="AC390" s="427"/>
      <c r="AD390" s="427"/>
      <c r="AE390" s="427"/>
      <c r="AF390" s="427"/>
      <c r="AG390" s="427"/>
      <c r="AH390" s="427"/>
      <c r="AI390" s="427"/>
      <c r="AJ390" s="427"/>
      <c r="AK390" s="427"/>
      <c r="AL390" s="427"/>
      <c r="AM390" s="427"/>
      <c r="AN390" s="427"/>
      <c r="AO390" s="427"/>
      <c r="AP390" s="427"/>
      <c r="AQ390" s="427"/>
    </row>
    <row r="391" spans="1:43" ht="16" customHeight="1">
      <c r="A391" s="427"/>
      <c r="B391" s="427"/>
      <c r="C391" s="428">
        <v>358</v>
      </c>
      <c r="D391" s="456">
        <v>46380</v>
      </c>
      <c r="E391" s="962"/>
      <c r="F391" s="958">
        <f>Tabla15[[#This Row],[Retiros]]-Tabla15[[#This Row],[Contado]]</f>
        <v>0</v>
      </c>
      <c r="G391" s="962"/>
      <c r="H391" s="962"/>
      <c r="I391" s="962"/>
      <c r="J391" s="962"/>
      <c r="K391" s="968"/>
      <c r="L391" s="968"/>
      <c r="M391" s="962"/>
      <c r="N391" s="959">
        <f>Tabla15[[#This Row],[Contado]]</f>
        <v>0</v>
      </c>
      <c r="O391" s="962"/>
      <c r="P391" s="443">
        <f>((Tabla15[[#This Row],[Contado]]+Tabla15[[#This Row],[Visa]]+Tabla15[[#This Row],[Eventos]]+Tabla15[[#This Row],[Passo]]+Tabla15[[#This Row],[Reciclajes]])/1.1)+Tabla15[[#This Row],[Tickets]]</f>
        <v>0</v>
      </c>
      <c r="Q391" s="450">
        <v>0</v>
      </c>
      <c r="R391" s="445">
        <f t="shared" si="14"/>
        <v>0</v>
      </c>
      <c r="S391" s="446"/>
      <c r="T391" s="447">
        <v>0</v>
      </c>
      <c r="U391" s="447">
        <f>Tabla15[[#This Row],[Total Caja]]-Tabla15[[#This Row],[Facturació A/A]]</f>
        <v>0</v>
      </c>
      <c r="V391" s="447">
        <f t="shared" si="15"/>
        <v>-234931.61909090917</v>
      </c>
      <c r="W391" s="450" t="e">
        <f>Tabla15[[#This Row],[Diferencia]]/Tabla15[[#This Row],[Facturació A/A]]</f>
        <v>#DIV/0!</v>
      </c>
      <c r="X391" s="447">
        <f>Tabla15[[#This Row],[Facturació A/A]]*H$17+Tabla15[[#This Row],[Facturació A/A]]</f>
        <v>0</v>
      </c>
      <c r="Y391" s="447">
        <f>Tabla15[[#This Row],[Total Caja]]-Tabla15[[#This Row],[Previsión]]</f>
        <v>0</v>
      </c>
      <c r="Z391" s="446"/>
      <c r="AA391" s="447" t="e">
        <f>SUM(INDEX(Tabla15[[#This Row],[Facturació A/A]],1):Tabla15[[#This Row],[Facturació A/A]]) / SUM(INDEX(Tabla15[[#This Row],[Diferencia]],1):Tabla15[[#This Row],[Diferencia]])</f>
        <v>#DIV/0!</v>
      </c>
      <c r="AB391" s="446"/>
      <c r="AC391" s="427"/>
      <c r="AD391" s="427"/>
      <c r="AE391" s="427"/>
      <c r="AF391" s="427"/>
      <c r="AG391" s="427"/>
      <c r="AH391" s="427"/>
      <c r="AI391" s="427"/>
      <c r="AJ391" s="427"/>
      <c r="AK391" s="427"/>
      <c r="AL391" s="427"/>
      <c r="AM391" s="427"/>
      <c r="AN391" s="427"/>
      <c r="AO391" s="427"/>
      <c r="AP391" s="427"/>
      <c r="AQ391" s="427"/>
    </row>
    <row r="392" spans="1:43" ht="16" customHeight="1">
      <c r="A392" s="427"/>
      <c r="B392" s="427"/>
      <c r="C392" s="428">
        <v>359</v>
      </c>
      <c r="D392" s="456">
        <v>46381</v>
      </c>
      <c r="E392" s="962"/>
      <c r="F392" s="958">
        <f>Tabla15[[#This Row],[Retiros]]-Tabla15[[#This Row],[Contado]]</f>
        <v>0</v>
      </c>
      <c r="G392" s="962"/>
      <c r="H392" s="962"/>
      <c r="I392" s="962"/>
      <c r="J392" s="962"/>
      <c r="K392" s="968"/>
      <c r="L392" s="968"/>
      <c r="M392" s="962"/>
      <c r="N392" s="959">
        <f>Tabla15[[#This Row],[Contado]]</f>
        <v>0</v>
      </c>
      <c r="O392" s="962"/>
      <c r="P392" s="443">
        <f>((Tabla15[[#This Row],[Contado]]+Tabla15[[#This Row],[Visa]]+Tabla15[[#This Row],[Eventos]]+Tabla15[[#This Row],[Passo]]+Tabla15[[#This Row],[Reciclajes]])/1.1)+Tabla15[[#This Row],[Tickets]]</f>
        <v>0</v>
      </c>
      <c r="Q392" s="450">
        <v>0</v>
      </c>
      <c r="R392" s="445">
        <f t="shared" si="14"/>
        <v>0</v>
      </c>
      <c r="S392" s="446"/>
      <c r="T392" s="447">
        <v>0</v>
      </c>
      <c r="U392" s="447">
        <f>Tabla15[[#This Row],[Total Caja]]-Tabla15[[#This Row],[Facturació A/A]]</f>
        <v>0</v>
      </c>
      <c r="V392" s="447">
        <f t="shared" si="15"/>
        <v>-234931.61909090917</v>
      </c>
      <c r="W392" s="450" t="e">
        <f>Tabla15[[#This Row],[Diferencia]]/Tabla15[[#This Row],[Facturació A/A]]</f>
        <v>#DIV/0!</v>
      </c>
      <c r="X392" s="447">
        <f>Tabla15[[#This Row],[Facturació A/A]]*H$17+Tabla15[[#This Row],[Facturació A/A]]</f>
        <v>0</v>
      </c>
      <c r="Y392" s="447">
        <f>Tabla15[[#This Row],[Total Caja]]-Tabla15[[#This Row],[Previsión]]</f>
        <v>0</v>
      </c>
      <c r="Z392" s="446"/>
      <c r="AA392" s="447" t="e">
        <f>SUM(INDEX(Tabla15[[#This Row],[Facturació A/A]],1):Tabla15[[#This Row],[Facturació A/A]]) / SUM(INDEX(Tabla15[[#This Row],[Diferencia]],1):Tabla15[[#This Row],[Diferencia]])</f>
        <v>#DIV/0!</v>
      </c>
      <c r="AB392" s="446"/>
      <c r="AC392" s="427"/>
      <c r="AD392" s="427"/>
      <c r="AE392" s="427"/>
      <c r="AF392" s="427"/>
      <c r="AG392" s="427"/>
      <c r="AH392" s="427"/>
      <c r="AI392" s="427"/>
      <c r="AJ392" s="427"/>
      <c r="AK392" s="427"/>
      <c r="AL392" s="427"/>
      <c r="AM392" s="427"/>
      <c r="AN392" s="427"/>
      <c r="AO392" s="427"/>
      <c r="AP392" s="427"/>
      <c r="AQ392" s="427"/>
    </row>
    <row r="393" spans="1:43" ht="16" customHeight="1">
      <c r="A393" s="427"/>
      <c r="B393" s="427"/>
      <c r="C393" s="428">
        <v>360</v>
      </c>
      <c r="D393" s="456">
        <v>46382</v>
      </c>
      <c r="E393" s="962"/>
      <c r="F393" s="958">
        <f>Tabla15[[#This Row],[Retiros]]-Tabla15[[#This Row],[Contado]]</f>
        <v>0</v>
      </c>
      <c r="G393" s="962"/>
      <c r="H393" s="962"/>
      <c r="I393" s="962"/>
      <c r="J393" s="962"/>
      <c r="K393" s="968"/>
      <c r="L393" s="968"/>
      <c r="M393" s="962"/>
      <c r="N393" s="959">
        <f>Tabla15[[#This Row],[Contado]]</f>
        <v>0</v>
      </c>
      <c r="O393" s="962"/>
      <c r="P393" s="443">
        <f>((Tabla15[[#This Row],[Contado]]+Tabla15[[#This Row],[Visa]]+Tabla15[[#This Row],[Eventos]]+Tabla15[[#This Row],[Passo]]+Tabla15[[#This Row],[Reciclajes]])/1.1)+Tabla15[[#This Row],[Tickets]]</f>
        <v>0</v>
      </c>
      <c r="Q393" s="450">
        <v>0</v>
      </c>
      <c r="R393" s="445">
        <f t="shared" si="14"/>
        <v>0</v>
      </c>
      <c r="S393" s="446"/>
      <c r="T393" s="447">
        <v>0</v>
      </c>
      <c r="U393" s="447">
        <f>Tabla15[[#This Row],[Total Caja]]-Tabla15[[#This Row],[Facturació A/A]]</f>
        <v>0</v>
      </c>
      <c r="V393" s="447">
        <f t="shared" si="15"/>
        <v>-234931.61909090917</v>
      </c>
      <c r="W393" s="450" t="e">
        <f>Tabla15[[#This Row],[Diferencia]]/Tabla15[[#This Row],[Facturació A/A]]</f>
        <v>#DIV/0!</v>
      </c>
      <c r="X393" s="447">
        <f>Tabla15[[#This Row],[Facturació A/A]]*H$17+Tabla15[[#This Row],[Facturació A/A]]</f>
        <v>0</v>
      </c>
      <c r="Y393" s="447">
        <f>Tabla15[[#This Row],[Total Caja]]-Tabla15[[#This Row],[Previsión]]</f>
        <v>0</v>
      </c>
      <c r="Z393" s="446"/>
      <c r="AA393" s="447" t="e">
        <f>SUM(INDEX(Tabla15[[#This Row],[Facturació A/A]],1):Tabla15[[#This Row],[Facturació A/A]]) / SUM(INDEX(Tabla15[[#This Row],[Diferencia]],1):Tabla15[[#This Row],[Diferencia]])</f>
        <v>#DIV/0!</v>
      </c>
      <c r="AB393" s="446"/>
      <c r="AC393" s="427"/>
      <c r="AD393" s="427"/>
      <c r="AE393" s="427"/>
      <c r="AF393" s="427"/>
      <c r="AG393" s="427"/>
      <c r="AH393" s="427"/>
      <c r="AI393" s="427"/>
      <c r="AJ393" s="427"/>
      <c r="AK393" s="427"/>
      <c r="AL393" s="427"/>
      <c r="AM393" s="427"/>
      <c r="AN393" s="427"/>
      <c r="AO393" s="427"/>
      <c r="AP393" s="427"/>
      <c r="AQ393" s="427"/>
    </row>
    <row r="394" spans="1:43" ht="16" customHeight="1">
      <c r="A394" s="427"/>
      <c r="B394" s="427"/>
      <c r="C394" s="428">
        <v>361</v>
      </c>
      <c r="D394" s="456">
        <v>46383</v>
      </c>
      <c r="E394" s="962"/>
      <c r="F394" s="958">
        <f>Tabla15[[#This Row],[Retiros]]-Tabla15[[#This Row],[Contado]]</f>
        <v>0</v>
      </c>
      <c r="G394" s="962"/>
      <c r="H394" s="962"/>
      <c r="I394" s="962"/>
      <c r="J394" s="962"/>
      <c r="K394" s="968"/>
      <c r="L394" s="968"/>
      <c r="M394" s="962"/>
      <c r="N394" s="959">
        <f>Tabla15[[#This Row],[Contado]]</f>
        <v>0</v>
      </c>
      <c r="O394" s="962"/>
      <c r="P394" s="443">
        <f>((Tabla15[[#This Row],[Contado]]+Tabla15[[#This Row],[Visa]]+Tabla15[[#This Row],[Eventos]]+Tabla15[[#This Row],[Passo]]+Tabla15[[#This Row],[Reciclajes]])/1.1)+Tabla15[[#This Row],[Tickets]]</f>
        <v>0</v>
      </c>
      <c r="Q394" s="450">
        <v>0</v>
      </c>
      <c r="R394" s="445">
        <f t="shared" si="14"/>
        <v>0</v>
      </c>
      <c r="S394" s="446"/>
      <c r="T394" s="447">
        <v>0</v>
      </c>
      <c r="U394" s="447">
        <f>Tabla15[[#This Row],[Total Caja]]-Tabla15[[#This Row],[Facturació A/A]]</f>
        <v>0</v>
      </c>
      <c r="V394" s="447">
        <f t="shared" si="15"/>
        <v>-234931.61909090917</v>
      </c>
      <c r="W394" s="450" t="e">
        <f>Tabla15[[#This Row],[Diferencia]]/Tabla15[[#This Row],[Facturació A/A]]</f>
        <v>#DIV/0!</v>
      </c>
      <c r="X394" s="447">
        <f>Tabla15[[#This Row],[Facturació A/A]]*H$17+Tabla15[[#This Row],[Facturació A/A]]</f>
        <v>0</v>
      </c>
      <c r="Y394" s="447">
        <f>Tabla15[[#This Row],[Total Caja]]-Tabla15[[#This Row],[Previsión]]</f>
        <v>0</v>
      </c>
      <c r="Z394" s="446"/>
      <c r="AA394" s="447" t="e">
        <f>SUM(INDEX(Tabla15[[#This Row],[Facturació A/A]],1):Tabla15[[#This Row],[Facturació A/A]]) / SUM(INDEX(Tabla15[[#This Row],[Diferencia]],1):Tabla15[[#This Row],[Diferencia]])</f>
        <v>#DIV/0!</v>
      </c>
      <c r="AB394" s="446"/>
      <c r="AC394" s="427"/>
      <c r="AD394" s="427"/>
      <c r="AE394" s="427"/>
      <c r="AF394" s="427"/>
      <c r="AG394" s="427"/>
      <c r="AH394" s="427"/>
      <c r="AI394" s="427"/>
      <c r="AJ394" s="427"/>
      <c r="AK394" s="427"/>
      <c r="AL394" s="427"/>
      <c r="AM394" s="427"/>
      <c r="AN394" s="427"/>
      <c r="AO394" s="427"/>
      <c r="AP394" s="427"/>
      <c r="AQ394" s="427"/>
    </row>
    <row r="395" spans="1:43" ht="16" customHeight="1">
      <c r="A395" s="427"/>
      <c r="B395" s="427"/>
      <c r="C395" s="428">
        <v>362</v>
      </c>
      <c r="D395" s="456">
        <v>46384</v>
      </c>
      <c r="E395" s="962"/>
      <c r="F395" s="958">
        <f>Tabla15[[#This Row],[Retiros]]-Tabla15[[#This Row],[Contado]]</f>
        <v>0</v>
      </c>
      <c r="G395" s="962"/>
      <c r="H395" s="962"/>
      <c r="I395" s="962"/>
      <c r="J395" s="962"/>
      <c r="K395" s="968"/>
      <c r="L395" s="968"/>
      <c r="M395" s="962"/>
      <c r="N395" s="959">
        <f>Tabla15[[#This Row],[Contado]]</f>
        <v>0</v>
      </c>
      <c r="O395" s="962"/>
      <c r="P395" s="443">
        <f>((Tabla15[[#This Row],[Contado]]+Tabla15[[#This Row],[Visa]]+Tabla15[[#This Row],[Eventos]]+Tabla15[[#This Row],[Passo]]+Tabla15[[#This Row],[Reciclajes]])/1.1)+Tabla15[[#This Row],[Tickets]]</f>
        <v>0</v>
      </c>
      <c r="Q395" s="450">
        <v>0</v>
      </c>
      <c r="R395" s="445">
        <f t="shared" si="14"/>
        <v>0</v>
      </c>
      <c r="S395" s="446"/>
      <c r="T395" s="447">
        <v>0</v>
      </c>
      <c r="U395" s="447">
        <f>Tabla15[[#This Row],[Total Caja]]-Tabla15[[#This Row],[Facturació A/A]]</f>
        <v>0</v>
      </c>
      <c r="V395" s="447">
        <f t="shared" si="15"/>
        <v>-234931.61909090917</v>
      </c>
      <c r="W395" s="450" t="e">
        <f>Tabla15[[#This Row],[Diferencia]]/Tabla15[[#This Row],[Facturació A/A]]</f>
        <v>#DIV/0!</v>
      </c>
      <c r="X395" s="447">
        <f>Tabla15[[#This Row],[Facturació A/A]]*H$17+Tabla15[[#This Row],[Facturació A/A]]</f>
        <v>0</v>
      </c>
      <c r="Y395" s="447">
        <f>Tabla15[[#This Row],[Total Caja]]-Tabla15[[#This Row],[Previsión]]</f>
        <v>0</v>
      </c>
      <c r="Z395" s="446"/>
      <c r="AA395" s="447" t="e">
        <f>SUM(INDEX(Tabla15[[#This Row],[Facturació A/A]],1):Tabla15[[#This Row],[Facturació A/A]]) / SUM(INDEX(Tabla15[[#This Row],[Diferencia]],1):Tabla15[[#This Row],[Diferencia]])</f>
        <v>#DIV/0!</v>
      </c>
      <c r="AB395" s="446"/>
      <c r="AC395" s="429">
        <v>340903</v>
      </c>
      <c r="AD395" s="429">
        <v>933.98</v>
      </c>
      <c r="AE395" s="427"/>
      <c r="AF395" s="427"/>
      <c r="AG395" s="427"/>
      <c r="AH395" s="427"/>
      <c r="AI395" s="427"/>
      <c r="AJ395" s="427"/>
      <c r="AK395" s="427"/>
      <c r="AL395" s="427"/>
      <c r="AM395" s="427"/>
      <c r="AN395" s="427"/>
      <c r="AO395" s="427"/>
      <c r="AP395" s="427"/>
      <c r="AQ395" s="427"/>
    </row>
    <row r="396" spans="1:43" ht="16" customHeight="1">
      <c r="A396" s="427"/>
      <c r="B396" s="427"/>
      <c r="C396" s="428">
        <v>363</v>
      </c>
      <c r="D396" s="456">
        <v>46385</v>
      </c>
      <c r="E396" s="962"/>
      <c r="F396" s="958">
        <f>Tabla15[[#This Row],[Retiros]]-Tabla15[[#This Row],[Contado]]</f>
        <v>0</v>
      </c>
      <c r="G396" s="962"/>
      <c r="H396" s="962"/>
      <c r="I396" s="962"/>
      <c r="J396" s="962"/>
      <c r="K396" s="968"/>
      <c r="L396" s="968"/>
      <c r="M396" s="962"/>
      <c r="N396" s="959">
        <f>Tabla15[[#This Row],[Contado]]</f>
        <v>0</v>
      </c>
      <c r="O396" s="962"/>
      <c r="P396" s="443">
        <f>((Tabla15[[#This Row],[Contado]]+Tabla15[[#This Row],[Visa]]+Tabla15[[#This Row],[Eventos]]+Tabla15[[#This Row],[Passo]]+Tabla15[[#This Row],[Reciclajes]])/1.1)+Tabla15[[#This Row],[Tickets]]</f>
        <v>0</v>
      </c>
      <c r="Q396" s="450">
        <v>0</v>
      </c>
      <c r="R396" s="445">
        <f t="shared" si="14"/>
        <v>0</v>
      </c>
      <c r="S396" s="446"/>
      <c r="T396" s="447">
        <v>0</v>
      </c>
      <c r="U396" s="447">
        <f>Tabla15[[#This Row],[Total Caja]]-Tabla15[[#This Row],[Facturació A/A]]</f>
        <v>0</v>
      </c>
      <c r="V396" s="447">
        <f t="shared" si="15"/>
        <v>-234931.61909090917</v>
      </c>
      <c r="W396" s="450" t="e">
        <f>Tabla15[[#This Row],[Diferencia]]/Tabla15[[#This Row],[Facturació A/A]]</f>
        <v>#DIV/0!</v>
      </c>
      <c r="X396" s="447">
        <f>Tabla15[[#This Row],[Facturació A/A]]*H$17+Tabla15[[#This Row],[Facturació A/A]]</f>
        <v>0</v>
      </c>
      <c r="Y396" s="447">
        <f>Tabla15[[#This Row],[Total Caja]]-Tabla15[[#This Row],[Previsión]]</f>
        <v>0</v>
      </c>
      <c r="Z396" s="446"/>
      <c r="AA396" s="447" t="e">
        <f>SUM(INDEX(Tabla15[[#This Row],[Facturació A/A]],1):Tabla15[[#This Row],[Facturació A/A]]) / SUM(INDEX(Tabla15[[#This Row],[Diferencia]],1):Tabla15[[#This Row],[Diferencia]])</f>
        <v>#DIV/0!</v>
      </c>
      <c r="AB396" s="446"/>
      <c r="AC396" s="427"/>
      <c r="AD396" s="427"/>
      <c r="AE396" s="427"/>
      <c r="AF396" s="427"/>
      <c r="AG396" s="427"/>
      <c r="AH396" s="427"/>
      <c r="AI396" s="427"/>
      <c r="AJ396" s="427"/>
      <c r="AK396" s="427"/>
      <c r="AL396" s="427"/>
      <c r="AM396" s="427"/>
      <c r="AN396" s="427"/>
      <c r="AO396" s="427"/>
      <c r="AP396" s="427"/>
      <c r="AQ396" s="427"/>
    </row>
    <row r="397" spans="1:43" ht="16" customHeight="1">
      <c r="A397" s="427"/>
      <c r="B397" s="427"/>
      <c r="C397" s="428">
        <v>364</v>
      </c>
      <c r="D397" s="456">
        <v>46386</v>
      </c>
      <c r="E397" s="962"/>
      <c r="F397" s="958">
        <f>Tabla15[[#This Row],[Retiros]]-Tabla15[[#This Row],[Contado]]</f>
        <v>0</v>
      </c>
      <c r="G397" s="962"/>
      <c r="H397" s="962"/>
      <c r="I397" s="962"/>
      <c r="J397" s="962"/>
      <c r="K397" s="968"/>
      <c r="L397" s="968"/>
      <c r="M397" s="962"/>
      <c r="N397" s="959">
        <f>Tabla15[[#This Row],[Contado]]</f>
        <v>0</v>
      </c>
      <c r="O397" s="962"/>
      <c r="P397" s="443">
        <f>((Tabla15[[#This Row],[Contado]]+Tabla15[[#This Row],[Visa]]+Tabla15[[#This Row],[Eventos]]+Tabla15[[#This Row],[Passo]]+Tabla15[[#This Row],[Reciclajes]])/1.1)+Tabla15[[#This Row],[Tickets]]</f>
        <v>0</v>
      </c>
      <c r="Q397" s="450">
        <v>0</v>
      </c>
      <c r="R397" s="445">
        <f t="shared" si="14"/>
        <v>0</v>
      </c>
      <c r="S397" s="446"/>
      <c r="T397" s="447">
        <v>0</v>
      </c>
      <c r="U397" s="447">
        <f>Tabla15[[#This Row],[Total Caja]]-Tabla15[[#This Row],[Facturació A/A]]</f>
        <v>0</v>
      </c>
      <c r="V397" s="447">
        <f t="shared" si="15"/>
        <v>-234931.61909090917</v>
      </c>
      <c r="W397" s="450" t="e">
        <f>Tabla15[[#This Row],[Diferencia]]/Tabla15[[#This Row],[Facturació A/A]]</f>
        <v>#DIV/0!</v>
      </c>
      <c r="X397" s="447">
        <f>Tabla15[[#This Row],[Facturació A/A]]*H$17+Tabla15[[#This Row],[Facturació A/A]]</f>
        <v>0</v>
      </c>
      <c r="Y397" s="447">
        <f>Tabla15[[#This Row],[Total Caja]]-Tabla15[[#This Row],[Previsión]]</f>
        <v>0</v>
      </c>
      <c r="Z397" s="446"/>
      <c r="AA397" s="447" t="e">
        <f>SUM(INDEX(Tabla15[[#This Row],[Facturació A/A]],1):Tabla15[[#This Row],[Facturació A/A]]) / SUM(INDEX(Tabla15[[#This Row],[Diferencia]],1):Tabla15[[#This Row],[Diferencia]])</f>
        <v>#DIV/0!</v>
      </c>
      <c r="AB397" s="446"/>
      <c r="AC397" s="427"/>
      <c r="AD397" s="427"/>
      <c r="AE397" s="427"/>
      <c r="AF397" s="427"/>
      <c r="AG397" s="427"/>
      <c r="AH397" s="427"/>
      <c r="AI397" s="427"/>
      <c r="AJ397" s="427"/>
      <c r="AK397" s="427"/>
      <c r="AL397" s="427"/>
      <c r="AM397" s="427"/>
      <c r="AN397" s="427"/>
      <c r="AO397" s="427"/>
      <c r="AP397" s="427"/>
      <c r="AQ397" s="427"/>
    </row>
    <row r="398" spans="1:43" ht="16" customHeight="1">
      <c r="A398" s="427"/>
      <c r="B398" s="427"/>
      <c r="C398" s="428">
        <v>365</v>
      </c>
      <c r="D398" s="456">
        <v>46387</v>
      </c>
      <c r="E398" s="964"/>
      <c r="F398" s="958">
        <f>Tabla15[[#This Row],[Retiros]]-Tabla15[[#This Row],[Contado]]</f>
        <v>0</v>
      </c>
      <c r="G398" s="964"/>
      <c r="H398" s="964"/>
      <c r="I398" s="964"/>
      <c r="J398" s="964"/>
      <c r="K398" s="969"/>
      <c r="L398" s="969"/>
      <c r="M398" s="964"/>
      <c r="N398" s="959">
        <f>Tabla15[[#This Row],[Contado]]</f>
        <v>0</v>
      </c>
      <c r="O398" s="962"/>
      <c r="P398" s="443">
        <f>((Tabla15[[#This Row],[Contado]]+Tabla15[[#This Row],[Visa]]+Tabla15[[#This Row],[Eventos]]+Tabla15[[#This Row],[Passo]]+Tabla15[[#This Row],[Reciclajes]])/1.1)+Tabla15[[#This Row],[Tickets]]</f>
        <v>0</v>
      </c>
      <c r="Q398" s="462">
        <v>0</v>
      </c>
      <c r="R398" s="445">
        <f t="shared" si="14"/>
        <v>0</v>
      </c>
      <c r="S398" s="446"/>
      <c r="T398" s="446"/>
      <c r="U398" s="447">
        <f>Tabla15[[#This Row],[Total Caja]]-Tabla15[[#This Row],[Facturació A/A]]</f>
        <v>0</v>
      </c>
      <c r="V398" s="447">
        <f t="shared" si="15"/>
        <v>-234931.61909090917</v>
      </c>
      <c r="W398" s="450" t="e">
        <f>Tabla15[[#This Row],[Diferencia]]/Tabla15[[#This Row],[Facturació A/A]]</f>
        <v>#DIV/0!</v>
      </c>
      <c r="X398" s="447">
        <f>Tabla15[[#This Row],[Facturació A/A]]*H$17+Tabla15[[#This Row],[Facturació A/A]]</f>
        <v>0</v>
      </c>
      <c r="Y398" s="447">
        <f>Tabla15[[#This Row],[Total Caja]]-Tabla15[[#This Row],[Previsión]]</f>
        <v>0</v>
      </c>
      <c r="Z398" s="446"/>
      <c r="AA398" s="447" t="e">
        <f>SUM(INDEX(Tabla15[[#This Row],[Facturació A/A]],1):Tabla15[[#This Row],[Facturació A/A]]) / SUM(INDEX(Tabla15[[#This Row],[Diferencia]],1):Tabla15[[#This Row],[Diferencia]])</f>
        <v>#DIV/0!</v>
      </c>
      <c r="AB398" s="446"/>
      <c r="AC398" s="427"/>
      <c r="AD398" s="427"/>
      <c r="AE398" s="427"/>
      <c r="AF398" s="427"/>
      <c r="AG398" s="427"/>
      <c r="AH398" s="427"/>
      <c r="AI398" s="427"/>
      <c r="AJ398" s="427"/>
      <c r="AK398" s="427"/>
      <c r="AL398" s="427"/>
      <c r="AM398" s="427"/>
      <c r="AN398" s="427"/>
      <c r="AO398" s="427"/>
      <c r="AP398" s="427"/>
      <c r="AQ398" s="427"/>
    </row>
  </sheetData>
  <mergeCells count="1">
    <mergeCell ref="B104:B107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46"/>
  <sheetViews>
    <sheetView showGridLines="0" zoomScale="150" workbookViewId="0">
      <pane ySplit="3" topLeftCell="A167" activePane="bottomLeft" state="frozen"/>
      <selection pane="bottomLeft" activeCell="A174" sqref="A174"/>
    </sheetView>
  </sheetViews>
  <sheetFormatPr baseColWidth="10" defaultColWidth="14.5" defaultRowHeight="15" customHeight="1"/>
  <cols>
    <col min="1" max="1" width="13" style="989" customWidth="1"/>
    <col min="2" max="2" width="10" customWidth="1"/>
    <col min="3" max="4" width="11" customWidth="1"/>
    <col min="5" max="6" width="14" customWidth="1"/>
    <col min="7" max="7" width="14.1640625" customWidth="1"/>
    <col min="8" max="8" width="14" customWidth="1"/>
    <col min="9" max="9" width="10" customWidth="1"/>
    <col min="10" max="10" width="28" customWidth="1"/>
    <col min="11" max="15" width="8.6640625" customWidth="1"/>
    <col min="16" max="16" width="12.1640625" customWidth="1"/>
    <col min="17" max="18" width="8.6640625" customWidth="1"/>
    <col min="19" max="19" width="12.1640625" customWidth="1"/>
    <col min="20" max="25" width="8.6640625" customWidth="1"/>
  </cols>
  <sheetData>
    <row r="1" spans="1:21" ht="31.5" customHeight="1">
      <c r="A1" s="1168" t="s">
        <v>482</v>
      </c>
      <c r="B1" s="1140"/>
      <c r="C1" s="1140"/>
      <c r="D1" s="1140"/>
      <c r="E1" s="1140"/>
      <c r="F1" s="1140"/>
      <c r="G1" s="1140"/>
      <c r="H1" s="1140"/>
      <c r="I1" s="1140"/>
      <c r="J1" s="1140"/>
      <c r="K1" s="74"/>
      <c r="L1" s="1195" t="s">
        <v>483</v>
      </c>
      <c r="M1" s="1140"/>
      <c r="N1" s="1140"/>
      <c r="O1" s="1140"/>
      <c r="P1" s="1140"/>
      <c r="Q1" s="1140"/>
      <c r="R1" s="1140"/>
      <c r="S1" s="1140"/>
      <c r="T1" s="1140"/>
      <c r="U1" s="1140"/>
    </row>
    <row r="2" spans="1:21" ht="18" customHeight="1">
      <c r="A2" s="1196" t="s">
        <v>484</v>
      </c>
      <c r="B2" s="1140"/>
      <c r="C2" s="1140"/>
      <c r="D2" s="1140"/>
      <c r="E2" s="1140"/>
      <c r="F2" s="1140"/>
      <c r="G2" s="1140"/>
      <c r="H2" s="1140"/>
      <c r="I2" s="1140"/>
      <c r="J2" s="1140"/>
      <c r="K2" s="74"/>
      <c r="L2" s="130" t="s">
        <v>66</v>
      </c>
      <c r="M2" s="130"/>
      <c r="N2" s="130"/>
      <c r="O2" s="130" t="s">
        <v>485</v>
      </c>
      <c r="P2" s="130" t="s">
        <v>486</v>
      </c>
      <c r="Q2" s="130" t="s">
        <v>487</v>
      </c>
      <c r="R2" s="130" t="s">
        <v>488</v>
      </c>
      <c r="S2" s="130" t="s">
        <v>71</v>
      </c>
      <c r="T2" s="130" t="s">
        <v>72</v>
      </c>
      <c r="U2" s="130"/>
    </row>
    <row r="3" spans="1:21" ht="21.75" customHeight="1">
      <c r="A3" s="993" t="s">
        <v>438</v>
      </c>
      <c r="B3" s="121" t="s">
        <v>489</v>
      </c>
      <c r="C3" s="121" t="s">
        <v>490</v>
      </c>
      <c r="D3" s="121" t="s">
        <v>491</v>
      </c>
      <c r="E3" s="121" t="s">
        <v>492</v>
      </c>
      <c r="F3" s="121" t="s">
        <v>487</v>
      </c>
      <c r="G3" s="121" t="s">
        <v>488</v>
      </c>
      <c r="H3" s="121" t="s">
        <v>71</v>
      </c>
      <c r="I3" s="121" t="s">
        <v>72</v>
      </c>
      <c r="J3" s="129" t="s">
        <v>493</v>
      </c>
      <c r="K3" s="74"/>
      <c r="L3" s="674" t="s">
        <v>78</v>
      </c>
      <c r="M3" s="145"/>
      <c r="N3" s="145"/>
      <c r="O3" s="675">
        <f t="array" ref="O3">SUMPRODUCT(--(MONTH($A$4:$A$919+0)=ROW()-2),$D$4:$D$919)</f>
        <v>759</v>
      </c>
      <c r="P3" s="676">
        <f t="array" ref="P3">SUMPRODUCT(--(MONTH($A$4:$A$919+0)=ROW()-2),$E$4:$E$919)</f>
        <v>3490.4799999999991</v>
      </c>
      <c r="Q3" s="676">
        <f t="shared" ref="Q3:Q8" si="0">IFERROR(P3/O3,0)</f>
        <v>4.5987878787878778</v>
      </c>
      <c r="R3" s="676">
        <f t="array" ref="R3">SUMPRODUCT(--(MONTH($A$4:$A$919+0)=ROW()-2),$G$4:$G$919)</f>
        <v>0</v>
      </c>
      <c r="S3" s="676">
        <f t="shared" ref="S3:S8" si="1">P3-R3</f>
        <v>3490.4799999999991</v>
      </c>
      <c r="T3" s="126">
        <f t="shared" ref="T3:T8" si="2">IFERROR(R3/P3,0)</f>
        <v>0</v>
      </c>
      <c r="U3" s="145"/>
    </row>
    <row r="4" spans="1:21" ht="16" customHeight="1">
      <c r="A4" s="994">
        <v>46024</v>
      </c>
      <c r="B4" s="991" t="str">
        <f t="shared" ref="B4:B67" si="3">IF(A4="","",CHOOSE(WEEKDAY(A4,2),"Lun","Mar","Mié","Jue","Vie","Sáb","Dom"))</f>
        <v>Vie</v>
      </c>
      <c r="C4" s="123" t="s">
        <v>146</v>
      </c>
      <c r="D4" s="131">
        <f t="array" ref="D4">IF(A4="","",SUMPRODUCT(('Detalle Turnos'!$I$3:$I$5028=$A4)*('Detalle Turnos'!$N$3:$N$5028=C4)*'Detalle Turnos'!$L$3:$L$5028))</f>
        <v>27</v>
      </c>
      <c r="E4" s="127">
        <f t="array" ref="E4">IF(A4="","",SUMPRODUCT(('Detalle Turnos'!$I$3:$I$5028=$A4)*('Detalle Turnos'!$N$3:$N$5028=C4)*'Detalle Turnos'!$K$3:$K$5028))</f>
        <v>89.250000000000014</v>
      </c>
      <c r="F4" s="127">
        <f t="shared" ref="F4:F67" si="4">IFERROR(E4/D4,0)</f>
        <v>3.3055555555555562</v>
      </c>
      <c r="G4" s="127">
        <f t="array" ref="G4">IF(E4="","",IFERROR(SUMPRODUCT(('Facturación 2026'!$A$4:$A$920=$A4)*'Facturación 2026'!$J$4:$J$920)*E4/(SUMPRODUCT(('Caja 1'!$A$4:$A$919=$A4)*'Caja 1'!$E$4:$E$919)+SUMPRODUCT(('Caja 2'!$A$4:$A$920=$A4)*'Caja 2'!$E$4:$E$920)),0))</f>
        <v>0</v>
      </c>
      <c r="H4" s="128">
        <f t="shared" ref="H4:H67" si="5">IF(E4="","",E4-G4)</f>
        <v>89.250000000000014</v>
      </c>
      <c r="I4" s="124">
        <f t="shared" ref="I4:I67" si="6">IF(E4="","",IFERROR(G4/E4,0))</f>
        <v>0</v>
      </c>
      <c r="J4" s="144" t="str">
        <f>IF(A4="","",IFERROR(INDEX('Facturación 2026'!$L$4:$L$500,MATCH($A4,'Facturación 2026'!$A$4:$A$500,0)),""))</f>
        <v/>
      </c>
      <c r="K4" s="74"/>
      <c r="L4" s="674" t="s">
        <v>80</v>
      </c>
      <c r="M4" s="145"/>
      <c r="N4" s="145"/>
      <c r="O4" s="675">
        <f t="array" ref="O4">SUMPRODUCT(--(MONTH($A$4:$A$919+0)=ROW()-2),$D$4:$D$919)</f>
        <v>711</v>
      </c>
      <c r="P4" s="676">
        <f t="array" ref="P4">SUMPRODUCT(--(MONTH($A$4:$A$919+0)=ROW()-2),$E$4:$E$919)</f>
        <v>4552.5899999999992</v>
      </c>
      <c r="Q4" s="676">
        <f t="shared" si="0"/>
        <v>6.4030801687763699</v>
      </c>
      <c r="R4" s="676">
        <f t="array" ref="R4">SUMPRODUCT(--(MONTH($A$4:$A$919+0)=ROW()-2),$G$4:$G$919)</f>
        <v>0</v>
      </c>
      <c r="S4" s="676">
        <f t="shared" si="1"/>
        <v>4552.5899999999992</v>
      </c>
      <c r="T4" s="126">
        <f t="shared" si="2"/>
        <v>0</v>
      </c>
      <c r="U4" s="145"/>
    </row>
    <row r="5" spans="1:21" ht="16" customHeight="1">
      <c r="A5" s="994">
        <v>46024</v>
      </c>
      <c r="B5" s="991" t="str">
        <f t="shared" si="3"/>
        <v>Vie</v>
      </c>
      <c r="C5" s="123" t="s">
        <v>494</v>
      </c>
      <c r="D5" s="131">
        <f t="array" ref="D5">IF(A5="","",SUMPRODUCT(('Detalle Turnos'!$I$3:$I$5028=$A5)*('Detalle Turnos'!$N$3:$N$5028=C5)*'Detalle Turnos'!$L$3:$L$5028))</f>
        <v>9</v>
      </c>
      <c r="E5" s="127">
        <f t="array" ref="E5">IF(A5="","",SUMPRODUCT(('Detalle Turnos'!$I$3:$I$5028=$A5)*('Detalle Turnos'!$N$3:$N$5028=C5)*'Detalle Turnos'!$K$3:$K$5028))</f>
        <v>90.65</v>
      </c>
      <c r="F5" s="127">
        <f t="shared" si="4"/>
        <v>10.072222222222223</v>
      </c>
      <c r="G5" s="127">
        <f t="array" ref="G5">IF(E5="","",IFERROR(SUMPRODUCT(('Facturación 2026'!$A$4:$A$920=$A5)*'Facturación 2026'!$J$4:$J$920)*E5/(SUMPRODUCT(('Caja 1'!$A$4:$A$919=$A5)*'Caja 1'!$E$4:$E$919)+SUMPRODUCT(('Caja 2'!$A$4:$A$920=$A5)*'Caja 2'!$E$4:$E$920)),0))</f>
        <v>0</v>
      </c>
      <c r="H5" s="128">
        <f t="shared" si="5"/>
        <v>90.65</v>
      </c>
      <c r="I5" s="124">
        <f t="shared" si="6"/>
        <v>0</v>
      </c>
      <c r="J5" s="144" t="str">
        <f>IF(A5="","",IFERROR(INDEX('Facturación 2026'!$L$4:$L$500,MATCH($A5,'Facturación 2026'!$A$4:$A$500,0)),""))</f>
        <v/>
      </c>
      <c r="K5" s="74"/>
      <c r="L5" s="674" t="s">
        <v>81</v>
      </c>
      <c r="M5" s="145"/>
      <c r="N5" s="145"/>
      <c r="O5" s="675">
        <f t="array" ref="O5">SUMPRODUCT(--(MONTH($A$4:$A$919+0)=ROW()-2),$D$4:$D$919)</f>
        <v>593</v>
      </c>
      <c r="P5" s="676">
        <f t="array" ref="P5">SUMPRODUCT(--(MONTH($A$4:$A$919+0)=ROW()-2),$E$4:$E$919)</f>
        <v>3863.2899999999991</v>
      </c>
      <c r="Q5" s="676">
        <f t="shared" si="0"/>
        <v>6.5148229342327131</v>
      </c>
      <c r="R5" s="676">
        <f t="array" ref="R5">SUMPRODUCT(--(MONTH($A$4:$A$919+0)=ROW()-2),$G$4:$G$919)</f>
        <v>0</v>
      </c>
      <c r="S5" s="676">
        <f t="shared" si="1"/>
        <v>3863.2899999999991</v>
      </c>
      <c r="T5" s="126">
        <f t="shared" si="2"/>
        <v>0</v>
      </c>
      <c r="U5" s="145"/>
    </row>
    <row r="6" spans="1:21" ht="16" customHeight="1">
      <c r="A6" s="994">
        <v>46025</v>
      </c>
      <c r="B6" s="991" t="str">
        <f t="shared" si="3"/>
        <v>Sáb</v>
      </c>
      <c r="C6" s="123" t="s">
        <v>146</v>
      </c>
      <c r="D6" s="131">
        <f t="array" ref="D6">IF(A6="","",SUMPRODUCT(('Detalle Turnos'!$I$3:$I$5028=$A6)*('Detalle Turnos'!$N$3:$N$5028=C6)*'Detalle Turnos'!$L$3:$L$5028))</f>
        <v>24</v>
      </c>
      <c r="E6" s="127">
        <f t="array" ref="E6">IF(A6="","",SUMPRODUCT(('Detalle Turnos'!$I$3:$I$5028=$A6)*('Detalle Turnos'!$N$3:$N$5028=C6)*'Detalle Turnos'!$K$3:$K$5028))</f>
        <v>106.05000000000001</v>
      </c>
      <c r="F6" s="127">
        <f t="shared" si="4"/>
        <v>4.4187500000000002</v>
      </c>
      <c r="G6" s="127">
        <f t="array" ref="G6">IF(E6="","",IFERROR(SUMPRODUCT(('Facturación 2026'!$A$4:$A$920=$A6)*'Facturación 2026'!$J$4:$J$920)*E6/(SUMPRODUCT(('Caja 1'!$A$4:$A$919=$A6)*'Caja 1'!$E$4:$E$919)+SUMPRODUCT(('Caja 2'!$A$4:$A$920=$A6)*'Caja 2'!$E$4:$E$920)),0))</f>
        <v>0</v>
      </c>
      <c r="H6" s="128">
        <f t="shared" si="5"/>
        <v>106.05000000000001</v>
      </c>
      <c r="I6" s="124">
        <f t="shared" si="6"/>
        <v>0</v>
      </c>
      <c r="J6" s="144" t="str">
        <f>IF(A6="","",IFERROR(INDEX('Facturación 2026'!$L$4:$L$500,MATCH($A6,'Facturación 2026'!$A$4:$A$500,0)),""))</f>
        <v/>
      </c>
      <c r="K6" s="74"/>
      <c r="L6" s="674" t="s">
        <v>82</v>
      </c>
      <c r="M6" s="145"/>
      <c r="N6" s="145"/>
      <c r="O6" s="675">
        <f t="array" ref="O6">SUMPRODUCT(--(MONTH($A$4:$A$919+0)=ROW()-2),$D$4:$D$919)</f>
        <v>595</v>
      </c>
      <c r="P6" s="676">
        <f t="array" ref="P6">SUMPRODUCT(--(MONTH($A$4:$A$919+0)=ROW()-2),$E$4:$E$919)</f>
        <v>5126.6499999999987</v>
      </c>
      <c r="Q6" s="676">
        <f t="shared" si="0"/>
        <v>8.6162184873949563</v>
      </c>
      <c r="R6" s="676">
        <f t="array" ref="R6">SUMPRODUCT(--(MONTH($A$4:$A$919+0)=ROW()-2),$G$4:$G$919)</f>
        <v>0</v>
      </c>
      <c r="S6" s="676">
        <f t="shared" si="1"/>
        <v>5126.6499999999987</v>
      </c>
      <c r="T6" s="126">
        <f t="shared" si="2"/>
        <v>0</v>
      </c>
      <c r="U6" s="145"/>
    </row>
    <row r="7" spans="1:21" ht="16" customHeight="1">
      <c r="A7" s="994">
        <v>46025</v>
      </c>
      <c r="B7" s="991" t="str">
        <f t="shared" si="3"/>
        <v>Sáb</v>
      </c>
      <c r="C7" s="123" t="s">
        <v>494</v>
      </c>
      <c r="D7" s="131">
        <f t="array" ref="D7">IF(A7="","",SUMPRODUCT(('Detalle Turnos'!$I$3:$I$5028=$A7)*('Detalle Turnos'!$N$3:$N$5028=C7)*'Detalle Turnos'!$L$3:$L$5028))</f>
        <v>4</v>
      </c>
      <c r="E7" s="127">
        <f t="array" ref="E7">IF(A7="","",SUMPRODUCT(('Detalle Turnos'!$I$3:$I$5028=$A7)*('Detalle Turnos'!$N$3:$N$5028=C7)*'Detalle Turnos'!$K$3:$K$5028))</f>
        <v>5.15</v>
      </c>
      <c r="F7" s="127">
        <f t="shared" si="4"/>
        <v>1.2875000000000001</v>
      </c>
      <c r="G7" s="127">
        <f t="array" ref="G7">IF(E7="","",IFERROR(SUMPRODUCT(('Facturación 2026'!$A$4:$A$920=$A7)*'Facturación 2026'!$J$4:$J$920)*E7/(SUMPRODUCT(('Caja 1'!$A$4:$A$919=$A7)*'Caja 1'!$E$4:$E$919)+SUMPRODUCT(('Caja 2'!$A$4:$A$920=$A7)*'Caja 2'!$E$4:$E$920)),0))</f>
        <v>0</v>
      </c>
      <c r="H7" s="128">
        <f t="shared" si="5"/>
        <v>5.15</v>
      </c>
      <c r="I7" s="124">
        <f t="shared" si="6"/>
        <v>0</v>
      </c>
      <c r="J7" s="144" t="str">
        <f>IF(A7="","",IFERROR(INDEX('Facturación 2026'!$L$4:$L$500,MATCH($A7,'Facturación 2026'!$A$4:$A$500,0)),""))</f>
        <v/>
      </c>
      <c r="K7" s="74"/>
      <c r="L7" s="640" t="s">
        <v>97</v>
      </c>
      <c r="M7" s="640"/>
      <c r="N7" s="640"/>
      <c r="O7" s="677">
        <f t="array" ref="O7">SUMPRODUCT(--(MONTH($A$4:$A$919+0)=ROW()-2),$D$4:$D$919)</f>
        <v>23</v>
      </c>
      <c r="P7" s="678">
        <f t="array" ref="P7">SUMPRODUCT(--(MONTH($A$4:$A$919+0)=ROW()-2),$E$4:$E$919)</f>
        <v>75.3</v>
      </c>
      <c r="Q7" s="678">
        <f t="shared" si="0"/>
        <v>3.2739130434782608</v>
      </c>
      <c r="R7" s="678">
        <f t="array" ref="R7">SUMPRODUCT(--(MONTH($A$4:$A$919+0)=ROW()-2),$G$4:$G$919)</f>
        <v>0</v>
      </c>
      <c r="S7" s="678">
        <f t="shared" si="1"/>
        <v>75.3</v>
      </c>
      <c r="T7" s="679">
        <f t="shared" si="2"/>
        <v>0</v>
      </c>
      <c r="U7" s="640"/>
    </row>
    <row r="8" spans="1:21" ht="16" customHeight="1">
      <c r="A8" s="994">
        <v>46026</v>
      </c>
      <c r="B8" s="991" t="str">
        <f t="shared" si="3"/>
        <v>Dom</v>
      </c>
      <c r="C8" s="123" t="s">
        <v>146</v>
      </c>
      <c r="D8" s="131">
        <f t="array" ref="D8">IF(A8="","",SUMPRODUCT(('Detalle Turnos'!$I$3:$I$5028=$A8)*('Detalle Turnos'!$N$3:$N$5028=C8)*'Detalle Turnos'!$L$3:$L$5028))</f>
        <v>17</v>
      </c>
      <c r="E8" s="127">
        <f t="array" ref="E8">IF(A8="","",SUMPRODUCT(('Detalle Turnos'!$I$3:$I$5028=$A8)*('Detalle Turnos'!$N$3:$N$5028=C8)*'Detalle Turnos'!$K$3:$K$5028))</f>
        <v>58.399999999999991</v>
      </c>
      <c r="F8" s="127">
        <f t="shared" si="4"/>
        <v>3.4352941176470582</v>
      </c>
      <c r="G8" s="127">
        <f t="array" ref="G8">IF(E8="","",IFERROR(SUMPRODUCT(('Facturación 2026'!$A$4:$A$920=$A8)*'Facturación 2026'!$J$4:$J$920)*E8/(SUMPRODUCT(('Caja 1'!$A$4:$A$919=$A8)*'Caja 1'!$E$4:$E$919)+SUMPRODUCT(('Caja 2'!$A$4:$A$920=$A8)*'Caja 2'!$E$4:$E$920)),0))</f>
        <v>0</v>
      </c>
      <c r="H8" s="128">
        <f t="shared" si="5"/>
        <v>58.399999999999991</v>
      </c>
      <c r="I8" s="124">
        <f t="shared" si="6"/>
        <v>0</v>
      </c>
      <c r="J8" s="144" t="str">
        <f>IF(A8="","",IFERROR(INDEX('Facturación 2026'!$L$4:$L$500,MATCH($A8,'Facturación 2026'!$A$4:$A$500,0)),""))</f>
        <v/>
      </c>
      <c r="K8" s="74"/>
      <c r="L8" s="674" t="s">
        <v>480</v>
      </c>
      <c r="M8" s="145"/>
      <c r="N8" s="145"/>
      <c r="O8" s="675">
        <f>SUM(O3:O7)</f>
        <v>2681</v>
      </c>
      <c r="P8" s="676">
        <f>SUM(P3:P7)</f>
        <v>17108.309999999994</v>
      </c>
      <c r="Q8" s="676">
        <f t="shared" si="0"/>
        <v>6.3813166728832504</v>
      </c>
      <c r="R8" s="676">
        <f>SUM(R3:R7)</f>
        <v>0</v>
      </c>
      <c r="S8" s="676">
        <f t="shared" si="1"/>
        <v>17108.309999999994</v>
      </c>
      <c r="T8" s="126">
        <f t="shared" si="2"/>
        <v>0</v>
      </c>
      <c r="U8" s="145"/>
    </row>
    <row r="9" spans="1:21" ht="16" customHeight="1">
      <c r="A9" s="994">
        <v>46026</v>
      </c>
      <c r="B9" s="991" t="str">
        <f t="shared" si="3"/>
        <v>Dom</v>
      </c>
      <c r="C9" s="123" t="s">
        <v>494</v>
      </c>
      <c r="D9" s="131">
        <f t="array" ref="D9">IF(A9="","",SUMPRODUCT(('Detalle Turnos'!$I$3:$I$5028=$A9)*('Detalle Turnos'!$N$3:$N$5028=C9)*'Detalle Turnos'!$L$3:$L$5028))</f>
        <v>7</v>
      </c>
      <c r="E9" s="127">
        <f t="array" ref="E9">IF(A9="","",SUMPRODUCT(('Detalle Turnos'!$I$3:$I$5028=$A9)*('Detalle Turnos'!$N$3:$N$5028=C9)*'Detalle Turnos'!$K$3:$K$5028))</f>
        <v>17.7</v>
      </c>
      <c r="F9" s="127">
        <f t="shared" si="4"/>
        <v>2.5285714285714285</v>
      </c>
      <c r="G9" s="127">
        <f t="array" ref="G9">IF(E9="","",IFERROR(SUMPRODUCT(('Facturación 2026'!$A$4:$A$920=$A9)*'Facturación 2026'!$J$4:$J$920)*E9/(SUMPRODUCT(('Caja 1'!$A$4:$A$919=$A9)*'Caja 1'!$E$4:$E$919)+SUMPRODUCT(('Caja 2'!$A$4:$A$920=$A9)*'Caja 2'!$E$4:$E$920)),0))</f>
        <v>0</v>
      </c>
      <c r="H9" s="128">
        <f t="shared" si="5"/>
        <v>17.7</v>
      </c>
      <c r="I9" s="124">
        <f t="shared" si="6"/>
        <v>0</v>
      </c>
      <c r="J9" s="144" t="str">
        <f>IF(A9="","",IFERROR(INDEX('Facturación 2026'!$L$4:$L$500,MATCH($A9,'Facturación 2026'!$A$4:$A$500,0)),""))</f>
        <v/>
      </c>
      <c r="K9" s="74"/>
      <c r="L9" s="680" t="s">
        <v>495</v>
      </c>
      <c r="M9" s="145"/>
      <c r="N9" s="145"/>
      <c r="O9" s="145"/>
      <c r="P9" s="145"/>
      <c r="Q9" s="145"/>
      <c r="R9" s="145"/>
      <c r="S9" s="145"/>
      <c r="T9" s="145"/>
      <c r="U9" s="145"/>
    </row>
    <row r="10" spans="1:21" ht="16" customHeight="1">
      <c r="A10" s="994">
        <v>46029</v>
      </c>
      <c r="B10" s="991" t="str">
        <f t="shared" si="3"/>
        <v>Mié</v>
      </c>
      <c r="C10" s="123" t="s">
        <v>146</v>
      </c>
      <c r="D10" s="131">
        <f t="array" ref="D10">IF(A10="","",SUMPRODUCT(('Detalle Turnos'!$I$3:$I$5028=$A10)*('Detalle Turnos'!$N$3:$N$5028=C10)*'Detalle Turnos'!$L$3:$L$5028))</f>
        <v>22</v>
      </c>
      <c r="E10" s="127">
        <f t="array" ref="E10">IF(A10="","",SUMPRODUCT(('Detalle Turnos'!$I$3:$I$5028=$A10)*('Detalle Turnos'!$N$3:$N$5028=C10)*'Detalle Turnos'!$K$3:$K$5028))</f>
        <v>58.35</v>
      </c>
      <c r="F10" s="127">
        <f t="shared" si="4"/>
        <v>2.6522727272727273</v>
      </c>
      <c r="G10" s="127">
        <f t="array" ref="G10">IF(E10="","",IFERROR(SUMPRODUCT(('Facturación 2026'!$A$4:$A$920=$A10)*'Facturación 2026'!$J$4:$J$920)*E10/(SUMPRODUCT(('Caja 1'!$A$4:$A$919=$A10)*'Caja 1'!$E$4:$E$919)+SUMPRODUCT(('Caja 2'!$A$4:$A$920=$A10)*'Caja 2'!$E$4:$E$920)),0))</f>
        <v>0</v>
      </c>
      <c r="H10" s="128">
        <f t="shared" si="5"/>
        <v>58.35</v>
      </c>
      <c r="I10" s="124">
        <f t="shared" si="6"/>
        <v>0</v>
      </c>
      <c r="J10" s="144" t="str">
        <f>IF(A10="","",IFERROR(INDEX('Facturación 2026'!$L$4:$L$500,MATCH($A10,'Facturación 2026'!$A$4:$A$500,0)),""))</f>
        <v/>
      </c>
      <c r="K10" s="74"/>
      <c r="L10" s="130" t="s">
        <v>490</v>
      </c>
      <c r="M10" s="130"/>
      <c r="N10" s="130"/>
      <c r="O10" s="130" t="s">
        <v>485</v>
      </c>
      <c r="P10" s="130" t="s">
        <v>486</v>
      </c>
      <c r="Q10" s="130" t="s">
        <v>496</v>
      </c>
      <c r="R10" s="130" t="s">
        <v>487</v>
      </c>
      <c r="S10" s="130" t="s">
        <v>71</v>
      </c>
      <c r="T10" s="130" t="s">
        <v>72</v>
      </c>
      <c r="U10" s="130"/>
    </row>
    <row r="11" spans="1:21" ht="16" customHeight="1">
      <c r="A11" s="994">
        <v>46029</v>
      </c>
      <c r="B11" s="991" t="str">
        <f t="shared" si="3"/>
        <v>Mié</v>
      </c>
      <c r="C11" s="123" t="s">
        <v>494</v>
      </c>
      <c r="D11" s="131">
        <f t="array" ref="D11">IF(A11="","",SUMPRODUCT(('Detalle Turnos'!$I$3:$I$5028=$A11)*('Detalle Turnos'!$N$3:$N$5028=C11)*'Detalle Turnos'!$L$3:$L$5028))</f>
        <v>13</v>
      </c>
      <c r="E11" s="127">
        <f t="array" ref="E11">IF(A11="","",SUMPRODUCT(('Detalle Turnos'!$I$3:$I$5028=$A11)*('Detalle Turnos'!$N$3:$N$5028=C11)*'Detalle Turnos'!$K$3:$K$5028))</f>
        <v>127.75</v>
      </c>
      <c r="F11" s="127">
        <f t="shared" si="4"/>
        <v>9.8269230769230766</v>
      </c>
      <c r="G11" s="127">
        <f t="array" ref="G11">IF(E11="","",IFERROR(SUMPRODUCT(('Facturación 2026'!$A$4:$A$920=$A11)*'Facturación 2026'!$J$4:$J$920)*E11/(SUMPRODUCT(('Caja 1'!$A$4:$A$919=$A11)*'Caja 1'!$E$4:$E$919)+SUMPRODUCT(('Caja 2'!$A$4:$A$920=$A11)*'Caja 2'!$E$4:$E$920)),0))</f>
        <v>0</v>
      </c>
      <c r="H11" s="128">
        <f t="shared" si="5"/>
        <v>127.75</v>
      </c>
      <c r="I11" s="124">
        <f t="shared" si="6"/>
        <v>0</v>
      </c>
      <c r="J11" s="144" t="str">
        <f>IF(A11="","",IFERROR(INDEX('Facturación 2026'!$L$4:$L$500,MATCH($A11,'Facturación 2026'!$A$4:$A$500,0)),""))</f>
        <v/>
      </c>
      <c r="K11" s="74"/>
      <c r="L11" s="681" t="s">
        <v>146</v>
      </c>
      <c r="M11" s="145"/>
      <c r="N11" s="145"/>
      <c r="O11" s="675">
        <f t="array" ref="O11">SUMPRODUCT(--($C$4:$C$919="Mañana"),$D$4:$D$919)</f>
        <v>1480</v>
      </c>
      <c r="P11" s="676">
        <f t="array" ref="P11">SUMPRODUCT(--($C$4:$C$919="Mañana"),$E$4:$E$919)</f>
        <v>5052.0899999999992</v>
      </c>
      <c r="Q11" s="126">
        <f>IFERROR(P11/SUM($E$4:$E$919),0)</f>
        <v>0.29530035403847582</v>
      </c>
      <c r="R11" s="676">
        <f>IFERROR(P11/O11,0)</f>
        <v>3.4135743243243239</v>
      </c>
      <c r="S11" s="676">
        <f t="array" ref="S11">SUMPRODUCT(--($C$4:$C$919="Mañana"),$H$4:$H$919)</f>
        <v>5052.0899999999992</v>
      </c>
      <c r="T11" s="126">
        <f>IFERROR(1-S11/P11,0)</f>
        <v>0</v>
      </c>
      <c r="U11" s="145"/>
    </row>
    <row r="12" spans="1:21" ht="16" customHeight="1">
      <c r="A12" s="994">
        <v>46029</v>
      </c>
      <c r="B12" s="991" t="str">
        <f t="shared" si="3"/>
        <v>Mié</v>
      </c>
      <c r="C12" s="123" t="s">
        <v>497</v>
      </c>
      <c r="D12" s="131">
        <f t="array" ref="D12">IF(A12="","",SUMPRODUCT(('Detalle Turnos'!$I$3:$I$5028=$A12)*('Detalle Turnos'!$N$3:$N$5028=C12)*'Detalle Turnos'!$L$3:$L$5028))</f>
        <v>3</v>
      </c>
      <c r="E12" s="127">
        <f t="array" ref="E12">IF(A12="","",SUMPRODUCT(('Detalle Turnos'!$I$3:$I$5028=$A12)*('Detalle Turnos'!$N$3:$N$5028=C12)*'Detalle Turnos'!$K$3:$K$5028))</f>
        <v>26.75</v>
      </c>
      <c r="F12" s="127">
        <f t="shared" si="4"/>
        <v>8.9166666666666661</v>
      </c>
      <c r="G12" s="127">
        <f t="array" ref="G12">IF(E12="","",IFERROR(SUMPRODUCT(('Facturación 2026'!$A$4:$A$920=$A12)*'Facturación 2026'!$J$4:$J$920)*E12/(SUMPRODUCT(('Caja 1'!$A$4:$A$919=$A12)*'Caja 1'!$E$4:$E$919)+SUMPRODUCT(('Caja 2'!$A$4:$A$920=$A12)*'Caja 2'!$E$4:$E$920)),0))</f>
        <v>0</v>
      </c>
      <c r="H12" s="128">
        <f t="shared" si="5"/>
        <v>26.75</v>
      </c>
      <c r="I12" s="124">
        <f t="shared" si="6"/>
        <v>0</v>
      </c>
      <c r="J12" s="144" t="str">
        <f>IF(A12="","",IFERROR(INDEX('Facturación 2026'!$L$4:$L$500,MATCH($A12,'Facturación 2026'!$A$4:$A$500,0)),""))</f>
        <v/>
      </c>
      <c r="K12" s="74"/>
      <c r="L12" s="682" t="s">
        <v>229</v>
      </c>
      <c r="M12" s="145"/>
      <c r="N12" s="145"/>
      <c r="O12" s="675">
        <f t="array" ref="O12">SUMPRODUCT(--($C$4:$C$919="Mediodia"),$D$4:$D$919)</f>
        <v>888</v>
      </c>
      <c r="P12" s="676">
        <f t="array" ref="P12">SUMPRODUCT(--($C$4:$C$919="Mediodia"),$E$4:$E$919)</f>
        <v>8355.07</v>
      </c>
      <c r="Q12" s="126">
        <f>IFERROR(P12/SUM($E$4:$E$919),0)</f>
        <v>0.4883632573877838</v>
      </c>
      <c r="R12" s="676">
        <f>IFERROR(P12/O12,0)</f>
        <v>9.4088626126126123</v>
      </c>
      <c r="S12" s="676">
        <f t="array" ref="S12">SUMPRODUCT(--($C$4:$C$919="Mediodia"),$H$4:$H$919)</f>
        <v>8355.07</v>
      </c>
      <c r="T12" s="126">
        <f>IFERROR(1-S12/P12,0)</f>
        <v>0</v>
      </c>
      <c r="U12" s="145"/>
    </row>
    <row r="13" spans="1:21" ht="16" customHeight="1">
      <c r="A13" s="994">
        <v>46030</v>
      </c>
      <c r="B13" s="991" t="str">
        <f t="shared" si="3"/>
        <v>Jue</v>
      </c>
      <c r="C13" s="123" t="s">
        <v>146</v>
      </c>
      <c r="D13" s="131">
        <f t="array" ref="D13">IF(A13="","",SUMPRODUCT(('Detalle Turnos'!$I$3:$I$5028=$A13)*('Detalle Turnos'!$N$3:$N$5028=C13)*'Detalle Turnos'!$L$3:$L$5028))</f>
        <v>12</v>
      </c>
      <c r="E13" s="127">
        <f t="array" ref="E13">IF(A13="","",SUMPRODUCT(('Detalle Turnos'!$I$3:$I$5028=$A13)*('Detalle Turnos'!$N$3:$N$5028=C13)*'Detalle Turnos'!$K$3:$K$5028))</f>
        <v>72.899999999999991</v>
      </c>
      <c r="F13" s="127">
        <f t="shared" si="4"/>
        <v>6.0749999999999993</v>
      </c>
      <c r="G13" s="127">
        <f t="array" ref="G13">IF(E13="","",IFERROR(SUMPRODUCT(('Facturación 2026'!$A$4:$A$920=$A13)*'Facturación 2026'!$J$4:$J$920)*E13/(SUMPRODUCT(('Caja 1'!$A$4:$A$919=$A13)*'Caja 1'!$E$4:$E$919)+SUMPRODUCT(('Caja 2'!$A$4:$A$920=$A13)*'Caja 2'!$E$4:$E$920)),0))</f>
        <v>0</v>
      </c>
      <c r="H13" s="128">
        <f t="shared" si="5"/>
        <v>72.899999999999991</v>
      </c>
      <c r="I13" s="124">
        <f t="shared" si="6"/>
        <v>0</v>
      </c>
      <c r="J13" s="144" t="str">
        <f>IF(A13="","",IFERROR(INDEX('Facturación 2026'!$L$4:$L$500,MATCH($A13,'Facturación 2026'!$A$4:$A$500,0)),""))</f>
        <v/>
      </c>
      <c r="K13" s="74"/>
      <c r="L13" s="683" t="s">
        <v>497</v>
      </c>
      <c r="M13" s="145"/>
      <c r="N13" s="145"/>
      <c r="O13" s="675">
        <f t="array" ref="O13">SUMPRODUCT(--($C$4:$C$919="Noche"),$D$4:$D$919)</f>
        <v>313</v>
      </c>
      <c r="P13" s="676">
        <f t="array" ref="P13">SUMPRODUCT(--($C$4:$C$919="Noche"),$E$4:$E$919)</f>
        <v>3701.1499999999996</v>
      </c>
      <c r="Q13" s="126">
        <f>IFERROR(P13/SUM($E$4:$E$919),0)</f>
        <v>0.21633638857373977</v>
      </c>
      <c r="R13" s="676">
        <f>IFERROR(P13/O13,0)</f>
        <v>11.824760383386581</v>
      </c>
      <c r="S13" s="676">
        <f t="array" ref="S13">SUMPRODUCT(--($C$4:$C$919="Noche"),$H$4:$H$919)</f>
        <v>3701.1499999999996</v>
      </c>
      <c r="T13" s="126">
        <f>IFERROR(1-S13/P13,0)</f>
        <v>0</v>
      </c>
      <c r="U13" s="145"/>
    </row>
    <row r="14" spans="1:21" ht="16" customHeight="1">
      <c r="A14" s="994">
        <v>46030</v>
      </c>
      <c r="B14" s="991" t="str">
        <f t="shared" si="3"/>
        <v>Jue</v>
      </c>
      <c r="C14" s="123" t="s">
        <v>494</v>
      </c>
      <c r="D14" s="131">
        <f t="array" ref="D14">IF(A14="","",SUMPRODUCT(('Detalle Turnos'!$I$3:$I$5028=$A14)*('Detalle Turnos'!$N$3:$N$5028=C14)*'Detalle Turnos'!$L$3:$L$5028))</f>
        <v>18</v>
      </c>
      <c r="E14" s="127">
        <f t="array" ref="E14">IF(A14="","",SUMPRODUCT(('Detalle Turnos'!$I$3:$I$5028=$A14)*('Detalle Turnos'!$N$3:$N$5028=C14)*'Detalle Turnos'!$K$3:$K$5028))</f>
        <v>137.84</v>
      </c>
      <c r="F14" s="127">
        <f t="shared" si="4"/>
        <v>7.6577777777777776</v>
      </c>
      <c r="G14" s="127">
        <f t="array" ref="G14">IF(E14="","",IFERROR(SUMPRODUCT(('Facturación 2026'!$A$4:$A$920=$A14)*'Facturación 2026'!$J$4:$J$920)*E14/(SUMPRODUCT(('Caja 1'!$A$4:$A$919=$A14)*'Caja 1'!$E$4:$E$919)+SUMPRODUCT(('Caja 2'!$A$4:$A$920=$A14)*'Caja 2'!$E$4:$E$920)),0))</f>
        <v>0</v>
      </c>
      <c r="H14" s="128">
        <f t="shared" si="5"/>
        <v>137.84</v>
      </c>
      <c r="I14" s="124">
        <f t="shared" si="6"/>
        <v>0</v>
      </c>
      <c r="J14" s="144" t="str">
        <f>IF(A14="","",IFERROR(INDEX('Facturación 2026'!$L$4:$L$500,MATCH($A14,'Facturación 2026'!$A$4:$A$500,0)),""))</f>
        <v/>
      </c>
      <c r="K14" s="74"/>
      <c r="L14" s="657" t="s">
        <v>480</v>
      </c>
      <c r="M14" s="74"/>
      <c r="N14" s="74"/>
      <c r="O14" s="74">
        <f>SUM(O11:O13)</f>
        <v>2681</v>
      </c>
      <c r="P14" s="74">
        <f>SUM(P11:P13)</f>
        <v>17108.309999999998</v>
      </c>
      <c r="Q14" s="74">
        <f>SUM(Q11:Q13)</f>
        <v>0.99999999999999933</v>
      </c>
      <c r="R14" s="74">
        <f>IFERROR(P14/O14,0)</f>
        <v>6.3813166728832513</v>
      </c>
      <c r="S14" s="74">
        <f>SUM(S11:S13)</f>
        <v>17108.309999999998</v>
      </c>
      <c r="T14" s="74">
        <f>IFERROR(1-S14/P14,0)</f>
        <v>0</v>
      </c>
      <c r="U14" s="74"/>
    </row>
    <row r="15" spans="1:21" ht="16" customHeight="1">
      <c r="A15" s="994">
        <v>46030</v>
      </c>
      <c r="B15" s="991" t="str">
        <f t="shared" si="3"/>
        <v>Jue</v>
      </c>
      <c r="C15" s="123" t="s">
        <v>497</v>
      </c>
      <c r="D15" s="131">
        <f t="array" ref="D15">IF(A15="","",SUMPRODUCT(('Detalle Turnos'!$I$3:$I$5028=$A15)*('Detalle Turnos'!$N$3:$N$5028=C15)*'Detalle Turnos'!$L$3:$L$5028))</f>
        <v>2</v>
      </c>
      <c r="E15" s="127">
        <f t="array" ref="E15">IF(A15="","",SUMPRODUCT(('Detalle Turnos'!$I$3:$I$5028=$A15)*('Detalle Turnos'!$N$3:$N$5028=C15)*'Detalle Turnos'!$K$3:$K$5028))</f>
        <v>3.4</v>
      </c>
      <c r="F15" s="127">
        <f t="shared" si="4"/>
        <v>1.7</v>
      </c>
      <c r="G15" s="127">
        <f t="array" ref="G15">IF(E15="","",IFERROR(SUMPRODUCT(('Facturación 2026'!$A$4:$A$920=$A15)*'Facturación 2026'!$J$4:$J$920)*E15/(SUMPRODUCT(('Caja 1'!$A$4:$A$919=$A15)*'Caja 1'!$E$4:$E$919)+SUMPRODUCT(('Caja 2'!$A$4:$A$920=$A15)*'Caja 2'!$E$4:$E$920)),0))</f>
        <v>0</v>
      </c>
      <c r="H15" s="128">
        <f t="shared" si="5"/>
        <v>3.4</v>
      </c>
      <c r="I15" s="124">
        <f t="shared" si="6"/>
        <v>0</v>
      </c>
      <c r="J15" s="144" t="str">
        <f>IF(A15="","",IFERROR(INDEX('Facturación 2026'!$L$4:$L$500,MATCH($A15,'Facturación 2026'!$A$4:$A$500,0)),""))</f>
        <v/>
      </c>
      <c r="K15" s="74"/>
      <c r="L15" s="657" t="s">
        <v>498</v>
      </c>
      <c r="M15" s="74"/>
      <c r="N15" s="74"/>
      <c r="O15" s="74"/>
      <c r="P15" s="74"/>
      <c r="Q15" s="74"/>
      <c r="R15" s="74"/>
      <c r="S15" s="74"/>
      <c r="T15" s="74"/>
      <c r="U15" s="74"/>
    </row>
    <row r="16" spans="1:21" ht="16" customHeight="1">
      <c r="A16" s="994">
        <v>46031</v>
      </c>
      <c r="B16" s="991" t="str">
        <f t="shared" si="3"/>
        <v>Vie</v>
      </c>
      <c r="C16" s="123" t="s">
        <v>146</v>
      </c>
      <c r="D16" s="131">
        <f t="array" ref="D16">IF(A16="","",SUMPRODUCT(('Detalle Turnos'!$I$3:$I$5028=$A16)*('Detalle Turnos'!$N$3:$N$5028=C16)*'Detalle Turnos'!$L$3:$L$5028))</f>
        <v>18</v>
      </c>
      <c r="E16" s="127">
        <f t="array" ref="E16">IF(A16="","",SUMPRODUCT(('Detalle Turnos'!$I$3:$I$5028=$A16)*('Detalle Turnos'!$N$3:$N$5028=C16)*'Detalle Turnos'!$K$3:$K$5028))</f>
        <v>96.350000000000009</v>
      </c>
      <c r="F16" s="127">
        <f t="shared" si="4"/>
        <v>5.3527777777777779</v>
      </c>
      <c r="G16" s="127">
        <f t="array" ref="G16">IF(E16="","",IFERROR(SUMPRODUCT(('Facturación 2026'!$A$4:$A$920=$A16)*'Facturación 2026'!$J$4:$J$920)*E16/(SUMPRODUCT(('Caja 1'!$A$4:$A$919=$A16)*'Caja 1'!$E$4:$E$919)+SUMPRODUCT(('Caja 2'!$A$4:$A$920=$A16)*'Caja 2'!$E$4:$E$920)),0))</f>
        <v>0</v>
      </c>
      <c r="H16" s="128">
        <f t="shared" si="5"/>
        <v>96.350000000000009</v>
      </c>
      <c r="I16" s="124">
        <f t="shared" si="6"/>
        <v>0</v>
      </c>
      <c r="J16" s="144" t="str">
        <f>IF(A16="","",IFERROR(INDEX('Facturación 2026'!$L$4:$L$500,MATCH($A16,'Facturación 2026'!$A$4:$A$500,0)),""))</f>
        <v/>
      </c>
      <c r="K16" s="74"/>
      <c r="L16" s="657" t="s">
        <v>499</v>
      </c>
      <c r="M16" s="74"/>
      <c r="N16" s="74"/>
      <c r="O16" s="74"/>
      <c r="P16" s="74"/>
      <c r="Q16" s="74"/>
      <c r="R16" s="74"/>
      <c r="S16" s="74"/>
      <c r="T16" s="74"/>
      <c r="U16" s="74"/>
    </row>
    <row r="17" spans="1:10" ht="16" customHeight="1">
      <c r="A17" s="994">
        <v>46031</v>
      </c>
      <c r="B17" s="991" t="str">
        <f t="shared" si="3"/>
        <v>Vie</v>
      </c>
      <c r="C17" s="123" t="s">
        <v>494</v>
      </c>
      <c r="D17" s="131">
        <f t="array" ref="D17">IF(A17="","",SUMPRODUCT(('Detalle Turnos'!$I$3:$I$5028=$A17)*('Detalle Turnos'!$N$3:$N$5028=C17)*'Detalle Turnos'!$L$3:$L$5028))</f>
        <v>11</v>
      </c>
      <c r="E17" s="127">
        <f t="array" ref="E17">IF(A17="","",SUMPRODUCT(('Detalle Turnos'!$I$3:$I$5028=$A17)*('Detalle Turnos'!$N$3:$N$5028=C17)*'Detalle Turnos'!$K$3:$K$5028))</f>
        <v>130.79000000000002</v>
      </c>
      <c r="F17" s="127">
        <f t="shared" si="4"/>
        <v>11.890000000000002</v>
      </c>
      <c r="G17" s="127">
        <f t="array" ref="G17">IF(E17="","",IFERROR(SUMPRODUCT(('Facturación 2026'!$A$4:$A$920=$A17)*'Facturación 2026'!$J$4:$J$920)*E17/(SUMPRODUCT(('Caja 1'!$A$4:$A$919=$A17)*'Caja 1'!$E$4:$E$919)+SUMPRODUCT(('Caja 2'!$A$4:$A$920=$A17)*'Caja 2'!$E$4:$E$920)),0))</f>
        <v>0</v>
      </c>
      <c r="H17" s="128">
        <f t="shared" si="5"/>
        <v>130.79000000000002</v>
      </c>
      <c r="I17" s="124">
        <f t="shared" si="6"/>
        <v>0</v>
      </c>
      <c r="J17" s="144" t="str">
        <f>IF(A17="","",IFERROR(INDEX('Facturación 2026'!$L$4:$L$500,MATCH($A17,'Facturación 2026'!$A$4:$A$500,0)),""))</f>
        <v/>
      </c>
    </row>
    <row r="18" spans="1:10" ht="16" customHeight="1">
      <c r="A18" s="994">
        <v>46032</v>
      </c>
      <c r="B18" s="991" t="str">
        <f t="shared" si="3"/>
        <v>Sáb</v>
      </c>
      <c r="C18" s="123" t="s">
        <v>146</v>
      </c>
      <c r="D18" s="131">
        <f t="array" ref="D18">IF(A18="","",SUMPRODUCT(('Detalle Turnos'!$I$3:$I$5028=$A18)*('Detalle Turnos'!$N$3:$N$5028=C18)*'Detalle Turnos'!$L$3:$L$5028))</f>
        <v>29</v>
      </c>
      <c r="E18" s="127">
        <f t="array" ref="E18">IF(A18="","",SUMPRODUCT(('Detalle Turnos'!$I$3:$I$5028=$A18)*('Detalle Turnos'!$N$3:$N$5028=C18)*'Detalle Turnos'!$K$3:$K$5028))</f>
        <v>88.850000000000023</v>
      </c>
      <c r="F18" s="127">
        <f t="shared" si="4"/>
        <v>3.0637931034482766</v>
      </c>
      <c r="G18" s="127">
        <f t="array" ref="G18">IF(E18="","",IFERROR(SUMPRODUCT(('Facturación 2026'!$A$4:$A$920=$A18)*'Facturación 2026'!$J$4:$J$920)*E18/(SUMPRODUCT(('Caja 1'!$A$4:$A$919=$A18)*'Caja 1'!$E$4:$E$919)+SUMPRODUCT(('Caja 2'!$A$4:$A$920=$A18)*'Caja 2'!$E$4:$E$920)),0))</f>
        <v>0</v>
      </c>
      <c r="H18" s="128">
        <f t="shared" si="5"/>
        <v>88.850000000000023</v>
      </c>
      <c r="I18" s="124">
        <f t="shared" si="6"/>
        <v>0</v>
      </c>
      <c r="J18" s="144" t="str">
        <f>IF(A18="","",IFERROR(INDEX('Facturación 2026'!$L$4:$L$500,MATCH($A18,'Facturación 2026'!$A$4:$A$500,0)),""))</f>
        <v/>
      </c>
    </row>
    <row r="19" spans="1:10" ht="16" customHeight="1">
      <c r="A19" s="994">
        <v>46032</v>
      </c>
      <c r="B19" s="991" t="str">
        <f t="shared" si="3"/>
        <v>Sáb</v>
      </c>
      <c r="C19" s="123" t="s">
        <v>494</v>
      </c>
      <c r="D19" s="131">
        <f t="array" ref="D19">IF(A19="","",SUMPRODUCT(('Detalle Turnos'!$I$3:$I$5028=$A19)*('Detalle Turnos'!$N$3:$N$5028=C19)*'Detalle Turnos'!$L$3:$L$5028))</f>
        <v>5</v>
      </c>
      <c r="E19" s="127">
        <f t="array" ref="E19">IF(A19="","",SUMPRODUCT(('Detalle Turnos'!$I$3:$I$5028=$A19)*('Detalle Turnos'!$N$3:$N$5028=C19)*'Detalle Turnos'!$K$3:$K$5028))</f>
        <v>38.799999999999997</v>
      </c>
      <c r="F19" s="127">
        <f t="shared" si="4"/>
        <v>7.76</v>
      </c>
      <c r="G19" s="127">
        <f t="array" ref="G19">IF(E19="","",IFERROR(SUMPRODUCT(('Facturación 2026'!$A$4:$A$920=$A19)*'Facturación 2026'!$J$4:$J$920)*E19/(SUMPRODUCT(('Caja 1'!$A$4:$A$919=$A19)*'Caja 1'!$E$4:$E$919)+SUMPRODUCT(('Caja 2'!$A$4:$A$920=$A19)*'Caja 2'!$E$4:$E$920)),0))</f>
        <v>0</v>
      </c>
      <c r="H19" s="128">
        <f t="shared" si="5"/>
        <v>38.799999999999997</v>
      </c>
      <c r="I19" s="124">
        <f t="shared" si="6"/>
        <v>0</v>
      </c>
      <c r="J19" s="144" t="str">
        <f>IF(A19="","",IFERROR(INDEX('Facturación 2026'!$L$4:$L$500,MATCH($A19,'Facturación 2026'!$A$4:$A$500,0)),""))</f>
        <v/>
      </c>
    </row>
    <row r="20" spans="1:10" ht="16" customHeight="1">
      <c r="A20" s="994">
        <v>46033</v>
      </c>
      <c r="B20" s="991" t="str">
        <f t="shared" si="3"/>
        <v>Dom</v>
      </c>
      <c r="C20" s="123" t="s">
        <v>146</v>
      </c>
      <c r="D20" s="131">
        <f t="array" ref="D20">IF(A20="","",SUMPRODUCT(('Detalle Turnos'!$I$3:$I$5028=$A20)*('Detalle Turnos'!$N$3:$N$5028=C20)*'Detalle Turnos'!$L$3:$L$5028))</f>
        <v>7</v>
      </c>
      <c r="E20" s="127">
        <f t="array" ref="E20">IF(A20="","",SUMPRODUCT(('Detalle Turnos'!$I$3:$I$5028=$A20)*('Detalle Turnos'!$N$3:$N$5028=C20)*'Detalle Turnos'!$K$3:$K$5028))</f>
        <v>28.65</v>
      </c>
      <c r="F20" s="127">
        <f t="shared" si="4"/>
        <v>4.0928571428571425</v>
      </c>
      <c r="G20" s="127">
        <f t="array" ref="G20">IF(E20="","",IFERROR(SUMPRODUCT(('Facturación 2026'!$A$4:$A$920=$A20)*'Facturación 2026'!$J$4:$J$920)*E20/(SUMPRODUCT(('Caja 1'!$A$4:$A$919=$A20)*'Caja 1'!$E$4:$E$919)+SUMPRODUCT(('Caja 2'!$A$4:$A$920=$A20)*'Caja 2'!$E$4:$E$920)),0))</f>
        <v>0</v>
      </c>
      <c r="H20" s="128">
        <f t="shared" si="5"/>
        <v>28.65</v>
      </c>
      <c r="I20" s="124">
        <f t="shared" si="6"/>
        <v>0</v>
      </c>
      <c r="J20" s="144" t="str">
        <f>IF(A20="","",IFERROR(INDEX('Facturación 2026'!$L$4:$L$500,MATCH($A20,'Facturación 2026'!$A$4:$A$500,0)),""))</f>
        <v/>
      </c>
    </row>
    <row r="21" spans="1:10" ht="16" customHeight="1">
      <c r="A21" s="994">
        <v>46033</v>
      </c>
      <c r="B21" s="991" t="str">
        <f t="shared" si="3"/>
        <v>Dom</v>
      </c>
      <c r="C21" s="123" t="s">
        <v>494</v>
      </c>
      <c r="D21" s="131">
        <f t="array" ref="D21">IF(A21="","",SUMPRODUCT(('Detalle Turnos'!$I$3:$I$5028=$A21)*('Detalle Turnos'!$N$3:$N$5028=C21)*'Detalle Turnos'!$L$3:$L$5028))</f>
        <v>6</v>
      </c>
      <c r="E21" s="127">
        <f t="array" ref="E21">IF(A21="","",SUMPRODUCT(('Detalle Turnos'!$I$3:$I$5028=$A21)*('Detalle Turnos'!$N$3:$N$5028=C21)*'Detalle Turnos'!$K$3:$K$5028))</f>
        <v>38.349999999999994</v>
      </c>
      <c r="F21" s="127">
        <f t="shared" si="4"/>
        <v>6.3916666666666657</v>
      </c>
      <c r="G21" s="127">
        <f t="array" ref="G21">IF(E21="","",IFERROR(SUMPRODUCT(('Facturación 2026'!$A$4:$A$920=$A21)*'Facturación 2026'!$J$4:$J$920)*E21/(SUMPRODUCT(('Caja 1'!$A$4:$A$919=$A21)*'Caja 1'!$E$4:$E$919)+SUMPRODUCT(('Caja 2'!$A$4:$A$920=$A21)*'Caja 2'!$E$4:$E$920)),0))</f>
        <v>0</v>
      </c>
      <c r="H21" s="128">
        <f t="shared" si="5"/>
        <v>38.349999999999994</v>
      </c>
      <c r="I21" s="124">
        <f t="shared" si="6"/>
        <v>0</v>
      </c>
      <c r="J21" s="144" t="str">
        <f>IF(A21="","",IFERROR(INDEX('Facturación 2026'!$L$4:$L$500,MATCH($A21,'Facturación 2026'!$A$4:$A$500,0)),""))</f>
        <v/>
      </c>
    </row>
    <row r="22" spans="1:10" ht="16" customHeight="1">
      <c r="A22" s="994">
        <v>46036</v>
      </c>
      <c r="B22" s="991" t="str">
        <f t="shared" si="3"/>
        <v>Mié</v>
      </c>
      <c r="C22" s="123" t="s">
        <v>146</v>
      </c>
      <c r="D22" s="131">
        <f t="array" ref="D22">IF(A22="","",SUMPRODUCT(('Detalle Turnos'!$I$3:$I$5028=$A22)*('Detalle Turnos'!$N$3:$N$5028=C22)*'Detalle Turnos'!$L$3:$L$5028))</f>
        <v>32</v>
      </c>
      <c r="E22" s="127">
        <f t="array" ref="E22">IF(A22="","",SUMPRODUCT(('Detalle Turnos'!$I$3:$I$5028=$A22)*('Detalle Turnos'!$N$3:$N$5028=C22)*'Detalle Turnos'!$K$3:$K$5028))</f>
        <v>82.850000000000009</v>
      </c>
      <c r="F22" s="127">
        <f t="shared" si="4"/>
        <v>2.5890625000000003</v>
      </c>
      <c r="G22" s="127">
        <f t="array" ref="G22">IF(E22="","",IFERROR(SUMPRODUCT(('Facturación 2026'!$A$4:$A$920=$A22)*'Facturación 2026'!$J$4:$J$920)*E22/(SUMPRODUCT(('Caja 1'!$A$4:$A$919=$A22)*'Caja 1'!$E$4:$E$919)+SUMPRODUCT(('Caja 2'!$A$4:$A$920=$A22)*'Caja 2'!$E$4:$E$920)),0))</f>
        <v>0</v>
      </c>
      <c r="H22" s="128">
        <f t="shared" si="5"/>
        <v>82.850000000000009</v>
      </c>
      <c r="I22" s="124">
        <f t="shared" si="6"/>
        <v>0</v>
      </c>
      <c r="J22" s="144" t="str">
        <f>IF(A22="","",IFERROR(INDEX('Facturación 2026'!$L$4:$L$500,MATCH($A22,'Facturación 2026'!$A$4:$A$500,0)),""))</f>
        <v/>
      </c>
    </row>
    <row r="23" spans="1:10" ht="16" customHeight="1">
      <c r="A23" s="994">
        <v>46036</v>
      </c>
      <c r="B23" s="991" t="str">
        <f t="shared" si="3"/>
        <v>Mié</v>
      </c>
      <c r="C23" s="123" t="s">
        <v>494</v>
      </c>
      <c r="D23" s="131">
        <f t="array" ref="D23">IF(A23="","",SUMPRODUCT(('Detalle Turnos'!$I$3:$I$5028=$A23)*('Detalle Turnos'!$N$3:$N$5028=C23)*'Detalle Turnos'!$L$3:$L$5028))</f>
        <v>15</v>
      </c>
      <c r="E23" s="127">
        <f t="array" ref="E23">IF(A23="","",SUMPRODUCT(('Detalle Turnos'!$I$3:$I$5028=$A23)*('Detalle Turnos'!$N$3:$N$5028=C23)*'Detalle Turnos'!$K$3:$K$5028))</f>
        <v>99.300000000000011</v>
      </c>
      <c r="F23" s="127">
        <f t="shared" si="4"/>
        <v>6.620000000000001</v>
      </c>
      <c r="G23" s="127">
        <f t="array" ref="G23">IF(E23="","",IFERROR(SUMPRODUCT(('Facturación 2026'!$A$4:$A$920=$A23)*'Facturación 2026'!$J$4:$J$920)*E23/(SUMPRODUCT(('Caja 1'!$A$4:$A$919=$A23)*'Caja 1'!$E$4:$E$919)+SUMPRODUCT(('Caja 2'!$A$4:$A$920=$A23)*'Caja 2'!$E$4:$E$920)),0))</f>
        <v>0</v>
      </c>
      <c r="H23" s="128">
        <f t="shared" si="5"/>
        <v>99.300000000000011</v>
      </c>
      <c r="I23" s="124">
        <f t="shared" si="6"/>
        <v>0</v>
      </c>
      <c r="J23" s="144" t="str">
        <f>IF(A23="","",IFERROR(INDEX('Facturación 2026'!$L$4:$L$500,MATCH($A23,'Facturación 2026'!$A$4:$A$500,0)),""))</f>
        <v/>
      </c>
    </row>
    <row r="24" spans="1:10" ht="16" customHeight="1">
      <c r="A24" s="995">
        <v>46036</v>
      </c>
      <c r="B24" s="991" t="str">
        <f t="shared" si="3"/>
        <v>Mié</v>
      </c>
      <c r="C24" s="123" t="s">
        <v>497</v>
      </c>
      <c r="D24" s="131">
        <f t="array" ref="D24">IF(A24="","",SUMPRODUCT(('Detalle Turnos'!$I$3:$I$5028=$A24)*('Detalle Turnos'!$N$3:$N$5028=C24)*'Detalle Turnos'!$L$3:$L$5028))</f>
        <v>3</v>
      </c>
      <c r="E24" s="127">
        <f t="array" ref="E24">IF(A24="","",SUMPRODUCT(('Detalle Turnos'!$I$3:$I$5028=$A24)*('Detalle Turnos'!$N$3:$N$5028=C24)*'Detalle Turnos'!$K$3:$K$5028))</f>
        <v>16.100000000000001</v>
      </c>
      <c r="F24" s="127">
        <f t="shared" si="4"/>
        <v>5.3666666666666671</v>
      </c>
      <c r="G24" s="127">
        <f t="array" ref="G24">IF(E24="","",IFERROR(SUMPRODUCT(('Facturación 2026'!$A$4:$A$920=$A24)*'Facturación 2026'!$J$4:$J$920)*E24/(SUMPRODUCT(('Caja 1'!$A$4:$A$919=$A24)*'Caja 1'!$E$4:$E$919)+SUMPRODUCT(('Caja 2'!$A$4:$A$920=$A24)*'Caja 2'!$E$4:$E$920)),0))</f>
        <v>0</v>
      </c>
      <c r="H24" s="128">
        <f t="shared" si="5"/>
        <v>16.100000000000001</v>
      </c>
      <c r="I24" s="124">
        <f t="shared" si="6"/>
        <v>0</v>
      </c>
      <c r="J24" s="144" t="str">
        <f>IF(A24="","",IFERROR(INDEX('Facturación 2026'!$L$4:$L$500,MATCH($A24,'Facturación 2026'!$A$4:$A$500,0)),""))</f>
        <v/>
      </c>
    </row>
    <row r="25" spans="1:10" ht="16" customHeight="1">
      <c r="A25" s="988">
        <v>46037</v>
      </c>
      <c r="B25" s="991" t="str">
        <f t="shared" si="3"/>
        <v>Jue</v>
      </c>
      <c r="C25" s="123" t="s">
        <v>146</v>
      </c>
      <c r="D25" s="131">
        <f t="array" ref="D25">IF(A25="","",SUMPRODUCT(('Detalle Turnos'!$I$3:$I$5028=$A25)*('Detalle Turnos'!$N$3:$N$5028=C25)*'Detalle Turnos'!$L$3:$L$5028))</f>
        <v>15</v>
      </c>
      <c r="E25" s="127">
        <f t="array" ref="E25">IF(A25="","",SUMPRODUCT(('Detalle Turnos'!$I$3:$I$5028=$A25)*('Detalle Turnos'!$N$3:$N$5028=C25)*'Detalle Turnos'!$K$3:$K$5028))</f>
        <v>66.449999999999989</v>
      </c>
      <c r="F25" s="127">
        <f t="shared" si="4"/>
        <v>4.4299999999999988</v>
      </c>
      <c r="G25" s="127">
        <f t="array" ref="G25">IF(E25="","",IFERROR(SUMPRODUCT(('Facturación 2026'!$A$4:$A$920=$A25)*'Facturación 2026'!$J$4:$J$920)*E25/(SUMPRODUCT(('Caja 1'!$A$4:$A$919=$A25)*'Caja 1'!$E$4:$E$919)+SUMPRODUCT(('Caja 2'!$A$4:$A$920=$A25)*'Caja 2'!$E$4:$E$920)),0))</f>
        <v>0</v>
      </c>
      <c r="H25" s="128">
        <f t="shared" si="5"/>
        <v>66.449999999999989</v>
      </c>
      <c r="I25" s="124">
        <f t="shared" si="6"/>
        <v>0</v>
      </c>
      <c r="J25" s="144" t="str">
        <f>IF(A25="","",IFERROR(INDEX('Facturación 2026'!$L$4:$L$500,MATCH($A25,'Facturación 2026'!$A$4:$A$500,0)),""))</f>
        <v/>
      </c>
    </row>
    <row r="26" spans="1:10" ht="16" customHeight="1">
      <c r="A26" s="994">
        <v>46037</v>
      </c>
      <c r="B26" s="991" t="str">
        <f t="shared" si="3"/>
        <v>Jue</v>
      </c>
      <c r="C26" s="123" t="s">
        <v>494</v>
      </c>
      <c r="D26" s="131">
        <f t="array" ref="D26">IF(A26="","",SUMPRODUCT(('Detalle Turnos'!$I$3:$I$5028=$A26)*('Detalle Turnos'!$N$3:$N$5028=C26)*'Detalle Turnos'!$L$3:$L$5028))</f>
        <v>5</v>
      </c>
      <c r="E26" s="127">
        <f t="array" ref="E26">IF(A26="","",SUMPRODUCT(('Detalle Turnos'!$I$3:$I$5028=$A26)*('Detalle Turnos'!$N$3:$N$5028=C26)*'Detalle Turnos'!$K$3:$K$5028))</f>
        <v>11.7</v>
      </c>
      <c r="F26" s="127">
        <f t="shared" si="4"/>
        <v>2.34</v>
      </c>
      <c r="G26" s="127">
        <f t="array" ref="G26">IF(E26="","",IFERROR(SUMPRODUCT(('Facturación 2026'!$A$4:$A$920=$A26)*'Facturación 2026'!$J$4:$J$920)*E26/(SUMPRODUCT(('Caja 1'!$A$4:$A$919=$A26)*'Caja 1'!$E$4:$E$919)+SUMPRODUCT(('Caja 2'!$A$4:$A$920=$A26)*'Caja 2'!$E$4:$E$920)),0))</f>
        <v>0</v>
      </c>
      <c r="H26" s="128">
        <f t="shared" si="5"/>
        <v>11.7</v>
      </c>
      <c r="I26" s="124">
        <f t="shared" si="6"/>
        <v>0</v>
      </c>
      <c r="J26" s="144" t="str">
        <f>IF(A26="","",IFERROR(INDEX('Facturación 2026'!$L$4:$L$500,MATCH($A26,'Facturación 2026'!$A$4:$A$500,0)),""))</f>
        <v/>
      </c>
    </row>
    <row r="27" spans="1:10" ht="16" customHeight="1">
      <c r="A27" s="996">
        <v>46037</v>
      </c>
      <c r="B27" s="991" t="str">
        <f t="shared" si="3"/>
        <v>Jue</v>
      </c>
      <c r="C27" s="123" t="s">
        <v>497</v>
      </c>
      <c r="D27" s="131">
        <f t="array" ref="D27">IF(A27="","",SUMPRODUCT(('Detalle Turnos'!$I$3:$I$5028=$A27)*('Detalle Turnos'!$N$3:$N$5028=C27)*'Detalle Turnos'!$L$3:$L$5028))</f>
        <v>1</v>
      </c>
      <c r="E27" s="127">
        <f t="array" ref="E27">IF(A27="","",SUMPRODUCT(('Detalle Turnos'!$I$3:$I$5028=$A27)*('Detalle Turnos'!$N$3:$N$5028=C27)*'Detalle Turnos'!$K$3:$K$5028))</f>
        <v>6.1</v>
      </c>
      <c r="F27" s="127">
        <f t="shared" si="4"/>
        <v>6.1</v>
      </c>
      <c r="G27" s="127">
        <f t="array" ref="G27">IF(E27="","",IFERROR(SUMPRODUCT(('Facturación 2026'!$A$4:$A$920=$A27)*'Facturación 2026'!$J$4:$J$920)*E27/(SUMPRODUCT(('Caja 1'!$A$4:$A$919=$A27)*'Caja 1'!$E$4:$E$919)+SUMPRODUCT(('Caja 2'!$A$4:$A$920=$A27)*'Caja 2'!$E$4:$E$920)),0))</f>
        <v>0</v>
      </c>
      <c r="H27" s="128">
        <f t="shared" si="5"/>
        <v>6.1</v>
      </c>
      <c r="I27" s="124">
        <f t="shared" si="6"/>
        <v>0</v>
      </c>
      <c r="J27" s="144" t="str">
        <f>IF(A27="","",IFERROR(INDEX('Facturación 2026'!$L$4:$L$500,MATCH($A27,'Facturación 2026'!$A$4:$A$500,0)),""))</f>
        <v/>
      </c>
    </row>
    <row r="28" spans="1:10" ht="16" customHeight="1">
      <c r="A28" s="994">
        <v>46038</v>
      </c>
      <c r="B28" s="991" t="str">
        <f t="shared" si="3"/>
        <v>Vie</v>
      </c>
      <c r="C28" s="123" t="s">
        <v>146</v>
      </c>
      <c r="D28" s="131">
        <f t="array" ref="D28">IF(A28="","",SUMPRODUCT(('Detalle Turnos'!$I$3:$I$5028=$A28)*('Detalle Turnos'!$N$3:$N$5028=C28)*'Detalle Turnos'!$L$3:$L$5028))</f>
        <v>15</v>
      </c>
      <c r="E28" s="127">
        <f t="array" ref="E28">IF(A28="","",SUMPRODUCT(('Detalle Turnos'!$I$3:$I$5028=$A28)*('Detalle Turnos'!$N$3:$N$5028=C28)*'Detalle Turnos'!$K$3:$K$5028))</f>
        <v>41.3</v>
      </c>
      <c r="F28" s="127">
        <f t="shared" si="4"/>
        <v>2.753333333333333</v>
      </c>
      <c r="G28" s="127">
        <f t="array" ref="G28">IF(E28="","",IFERROR(SUMPRODUCT(('Facturación 2026'!$A$4:$A$920=$A28)*'Facturación 2026'!$J$4:$J$920)*E28/(SUMPRODUCT(('Caja 1'!$A$4:$A$919=$A28)*'Caja 1'!$E$4:$E$919)+SUMPRODUCT(('Caja 2'!$A$4:$A$920=$A28)*'Caja 2'!$E$4:$E$920)),0))</f>
        <v>0</v>
      </c>
      <c r="H28" s="128">
        <f t="shared" si="5"/>
        <v>41.3</v>
      </c>
      <c r="I28" s="124">
        <f t="shared" si="6"/>
        <v>0</v>
      </c>
      <c r="J28" s="144" t="str">
        <f>IF(A28="","",IFERROR(INDEX('Facturación 2026'!$L$4:$L$500,MATCH($A28,'Facturación 2026'!$A$4:$A$500,0)),""))</f>
        <v/>
      </c>
    </row>
    <row r="29" spans="1:10" ht="16" customHeight="1">
      <c r="A29" s="994">
        <v>46038</v>
      </c>
      <c r="B29" s="991" t="str">
        <f t="shared" si="3"/>
        <v>Vie</v>
      </c>
      <c r="C29" s="123" t="s">
        <v>494</v>
      </c>
      <c r="D29" s="131">
        <f t="array" ref="D29">IF(A29="","",SUMPRODUCT(('Detalle Turnos'!$I$3:$I$5028=$A29)*('Detalle Turnos'!$N$3:$N$5028=C29)*'Detalle Turnos'!$L$3:$L$5028))</f>
        <v>11</v>
      </c>
      <c r="E29" s="127">
        <f t="array" ref="E29">IF(A29="","",SUMPRODUCT(('Detalle Turnos'!$I$3:$I$5028=$A29)*('Detalle Turnos'!$N$3:$N$5028=C29)*'Detalle Turnos'!$K$3:$K$5028))</f>
        <v>51.5</v>
      </c>
      <c r="F29" s="127">
        <f t="shared" si="4"/>
        <v>4.6818181818181817</v>
      </c>
      <c r="G29" s="127">
        <f t="array" ref="G29">IF(E29="","",IFERROR(SUMPRODUCT(('Facturación 2026'!$A$4:$A$920=$A29)*'Facturación 2026'!$J$4:$J$920)*E29/(SUMPRODUCT(('Caja 1'!$A$4:$A$919=$A29)*'Caja 1'!$E$4:$E$919)+SUMPRODUCT(('Caja 2'!$A$4:$A$920=$A29)*'Caja 2'!$E$4:$E$920)),0))</f>
        <v>0</v>
      </c>
      <c r="H29" s="128">
        <f t="shared" si="5"/>
        <v>51.5</v>
      </c>
      <c r="I29" s="124">
        <f t="shared" si="6"/>
        <v>0</v>
      </c>
      <c r="J29" s="144" t="str">
        <f>IF(A29="","",IFERROR(INDEX('Facturación 2026'!$L$4:$L$500,MATCH($A29,'Facturación 2026'!$A$4:$A$500,0)),""))</f>
        <v/>
      </c>
    </row>
    <row r="30" spans="1:10" ht="16" customHeight="1">
      <c r="A30" s="994">
        <v>46038</v>
      </c>
      <c r="B30" s="991" t="str">
        <f t="shared" si="3"/>
        <v>Vie</v>
      </c>
      <c r="C30" s="123" t="s">
        <v>497</v>
      </c>
      <c r="D30" s="131">
        <f t="array" ref="D30">IF(A30="","",SUMPRODUCT(('Detalle Turnos'!$I$3:$I$5028=$A30)*('Detalle Turnos'!$N$3:$N$5028=C30)*'Detalle Turnos'!$L$3:$L$5028))</f>
        <v>1</v>
      </c>
      <c r="E30" s="127">
        <f t="array" ref="E30">IF(A30="","",SUMPRODUCT(('Detalle Turnos'!$I$3:$I$5028=$A30)*('Detalle Turnos'!$N$3:$N$5028=C30)*'Detalle Turnos'!$K$3:$K$5028))</f>
        <v>18</v>
      </c>
      <c r="F30" s="127">
        <f t="shared" si="4"/>
        <v>18</v>
      </c>
      <c r="G30" s="127">
        <f t="array" ref="G30">IF(E30="","",IFERROR(SUMPRODUCT(('Facturación 2026'!$A$4:$A$920=$A30)*'Facturación 2026'!$J$4:$J$920)*E30/(SUMPRODUCT(('Caja 1'!$A$4:$A$919=$A30)*'Caja 1'!$E$4:$E$919)+SUMPRODUCT(('Caja 2'!$A$4:$A$920=$A30)*'Caja 2'!$E$4:$E$920)),0))</f>
        <v>0</v>
      </c>
      <c r="H30" s="128">
        <f t="shared" si="5"/>
        <v>18</v>
      </c>
      <c r="I30" s="124">
        <f t="shared" si="6"/>
        <v>0</v>
      </c>
      <c r="J30" s="144" t="str">
        <f>IF(A30="","",IFERROR(INDEX('Facturación 2026'!$L$4:$L$500,MATCH($A30,'Facturación 2026'!$A$4:$A$500,0)),""))</f>
        <v/>
      </c>
    </row>
    <row r="31" spans="1:10" ht="16" customHeight="1">
      <c r="A31" s="994">
        <v>46039</v>
      </c>
      <c r="B31" s="991" t="str">
        <f t="shared" si="3"/>
        <v>Sáb</v>
      </c>
      <c r="C31" s="123" t="s">
        <v>146</v>
      </c>
      <c r="D31" s="131">
        <f t="array" ref="D31">IF(A31="","",SUMPRODUCT(('Detalle Turnos'!$I$3:$I$5028=$A31)*('Detalle Turnos'!$N$3:$N$5028=C31)*'Detalle Turnos'!$L$3:$L$5028))</f>
        <v>9</v>
      </c>
      <c r="E31" s="127">
        <f t="array" ref="E31">IF(A31="","",SUMPRODUCT(('Detalle Turnos'!$I$3:$I$5028=$A31)*('Detalle Turnos'!$N$3:$N$5028=C31)*'Detalle Turnos'!$K$3:$K$5028))</f>
        <v>43.600000000000009</v>
      </c>
      <c r="F31" s="127">
        <f t="shared" si="4"/>
        <v>4.844444444444445</v>
      </c>
      <c r="G31" s="127">
        <f t="array" ref="G31">IF(E31="","",IFERROR(SUMPRODUCT(('Facturación 2026'!$A$4:$A$920=$A31)*'Facturación 2026'!$J$4:$J$920)*E31/(SUMPRODUCT(('Caja 1'!$A$4:$A$919=$A31)*'Caja 1'!$E$4:$E$919)+SUMPRODUCT(('Caja 2'!$A$4:$A$920=$A31)*'Caja 2'!$E$4:$E$920)),0))</f>
        <v>0</v>
      </c>
      <c r="H31" s="128">
        <f t="shared" si="5"/>
        <v>43.600000000000009</v>
      </c>
      <c r="I31" s="124">
        <f t="shared" si="6"/>
        <v>0</v>
      </c>
      <c r="J31" s="144" t="str">
        <f>IF(A31="","",IFERROR(INDEX('Facturación 2026'!$L$4:$L$500,MATCH($A31,'Facturación 2026'!$A$4:$A$500,0)),""))</f>
        <v/>
      </c>
    </row>
    <row r="32" spans="1:10" ht="16" customHeight="1">
      <c r="A32" s="988">
        <v>46039</v>
      </c>
      <c r="B32" s="991" t="str">
        <f t="shared" si="3"/>
        <v>Sáb</v>
      </c>
      <c r="C32" s="123" t="s">
        <v>494</v>
      </c>
      <c r="D32" s="131">
        <f t="array" ref="D32">IF(A32="","",SUMPRODUCT(('Detalle Turnos'!$I$3:$I$5028=$A32)*('Detalle Turnos'!$N$3:$N$5028=C32)*'Detalle Turnos'!$L$3:$L$5028))</f>
        <v>1</v>
      </c>
      <c r="E32" s="127">
        <f t="array" ref="E32">IF(A32="","",SUMPRODUCT(('Detalle Turnos'!$I$3:$I$5028=$A32)*('Detalle Turnos'!$N$3:$N$5028=C32)*'Detalle Turnos'!$K$3:$K$5028))</f>
        <v>3.2</v>
      </c>
      <c r="F32" s="127">
        <f t="shared" si="4"/>
        <v>3.2</v>
      </c>
      <c r="G32" s="127">
        <f t="array" ref="G32">IF(E32="","",IFERROR(SUMPRODUCT(('Facturación 2026'!$A$4:$A$920=$A32)*'Facturación 2026'!$J$4:$J$920)*E32/(SUMPRODUCT(('Caja 1'!$A$4:$A$919=$A32)*'Caja 1'!$E$4:$E$919)+SUMPRODUCT(('Caja 2'!$A$4:$A$920=$A32)*'Caja 2'!$E$4:$E$920)),0))</f>
        <v>0</v>
      </c>
      <c r="H32" s="128">
        <f t="shared" si="5"/>
        <v>3.2</v>
      </c>
      <c r="I32" s="124">
        <f t="shared" si="6"/>
        <v>0</v>
      </c>
      <c r="J32" s="144" t="str">
        <f>IF(A32="","",IFERROR(INDEX('Facturación 2026'!$L$4:$L$500,MATCH($A32,'Facturación 2026'!$A$4:$A$500,0)),""))</f>
        <v/>
      </c>
    </row>
    <row r="33" spans="1:10" ht="16" customHeight="1">
      <c r="A33" s="988">
        <v>46040</v>
      </c>
      <c r="B33" s="991" t="str">
        <f t="shared" si="3"/>
        <v>Dom</v>
      </c>
      <c r="C33" s="123" t="s">
        <v>146</v>
      </c>
      <c r="D33" s="131">
        <f t="array" ref="D33">IF(A33="","",SUMPRODUCT(('Detalle Turnos'!$I$3:$I$5028=$A33)*('Detalle Turnos'!$N$3:$N$5028=C33)*'Detalle Turnos'!$L$3:$L$5028))</f>
        <v>20</v>
      </c>
      <c r="E33" s="127">
        <f t="array" ref="E33">IF(A33="","",SUMPRODUCT(('Detalle Turnos'!$I$3:$I$5028=$A33)*('Detalle Turnos'!$N$3:$N$5028=C33)*'Detalle Turnos'!$K$3:$K$5028))</f>
        <v>87.2</v>
      </c>
      <c r="F33" s="127">
        <f t="shared" si="4"/>
        <v>4.3600000000000003</v>
      </c>
      <c r="G33" s="127">
        <f t="array" ref="G33">IF(E33="","",IFERROR(SUMPRODUCT(('Facturación 2026'!$A$4:$A$920=$A33)*'Facturación 2026'!$J$4:$J$920)*E33/(SUMPRODUCT(('Caja 1'!$A$4:$A$919=$A33)*'Caja 1'!$E$4:$E$919)+SUMPRODUCT(('Caja 2'!$A$4:$A$920=$A33)*'Caja 2'!$E$4:$E$920)),0))</f>
        <v>0</v>
      </c>
      <c r="H33" s="128">
        <f t="shared" si="5"/>
        <v>87.2</v>
      </c>
      <c r="I33" s="124">
        <f t="shared" si="6"/>
        <v>0</v>
      </c>
      <c r="J33" s="144" t="str">
        <f>IF(A33="","",IFERROR(INDEX('Facturación 2026'!$L$4:$L$500,MATCH($A33,'Facturación 2026'!$A$4:$A$500,0)),""))</f>
        <v/>
      </c>
    </row>
    <row r="34" spans="1:10" ht="16" customHeight="1">
      <c r="A34" s="988">
        <v>46040</v>
      </c>
      <c r="B34" s="991" t="str">
        <f t="shared" si="3"/>
        <v>Dom</v>
      </c>
      <c r="C34" s="123" t="s">
        <v>494</v>
      </c>
      <c r="D34" s="131">
        <f t="array" ref="D34">IF(A34="","",SUMPRODUCT(('Detalle Turnos'!$I$3:$I$5028=$A34)*('Detalle Turnos'!$N$3:$N$5028=C34)*'Detalle Turnos'!$L$3:$L$5028))</f>
        <v>10</v>
      </c>
      <c r="E34" s="127">
        <f t="array" ref="E34">IF(A34="","",SUMPRODUCT(('Detalle Turnos'!$I$3:$I$5028=$A34)*('Detalle Turnos'!$N$3:$N$5028=C34)*'Detalle Turnos'!$K$3:$K$5028))</f>
        <v>30.55</v>
      </c>
      <c r="F34" s="127">
        <f t="shared" si="4"/>
        <v>3.0550000000000002</v>
      </c>
      <c r="G34" s="127">
        <f t="array" ref="G34">IF(E34="","",IFERROR(SUMPRODUCT(('Facturación 2026'!$A$4:$A$920=$A34)*'Facturación 2026'!$J$4:$J$920)*E34/(SUMPRODUCT(('Caja 1'!$A$4:$A$919=$A34)*'Caja 1'!$E$4:$E$919)+SUMPRODUCT(('Caja 2'!$A$4:$A$920=$A34)*'Caja 2'!$E$4:$E$920)),0))</f>
        <v>0</v>
      </c>
      <c r="H34" s="128">
        <f t="shared" si="5"/>
        <v>30.55</v>
      </c>
      <c r="I34" s="124">
        <f t="shared" si="6"/>
        <v>0</v>
      </c>
      <c r="J34" s="144" t="str">
        <f>IF(A34="","",IFERROR(INDEX('Facturación 2026'!$L$4:$L$500,MATCH($A34,'Facturación 2026'!$A$4:$A$500,0)),""))</f>
        <v/>
      </c>
    </row>
    <row r="35" spans="1:10" ht="16" customHeight="1">
      <c r="A35" s="988">
        <v>46043</v>
      </c>
      <c r="B35" s="991" t="str">
        <f t="shared" si="3"/>
        <v>Mié</v>
      </c>
      <c r="C35" s="123" t="s">
        <v>146</v>
      </c>
      <c r="D35" s="131">
        <f t="array" ref="D35">IF(A35="","",SUMPRODUCT(('Detalle Turnos'!$I$3:$I$5028=$A35)*('Detalle Turnos'!$N$3:$N$5028=C35)*'Detalle Turnos'!$L$3:$L$5028))</f>
        <v>31</v>
      </c>
      <c r="E35" s="127">
        <f t="array" ref="E35">IF(A35="","",SUMPRODUCT(('Detalle Turnos'!$I$3:$I$5028=$A35)*('Detalle Turnos'!$N$3:$N$5028=C35)*'Detalle Turnos'!$K$3:$K$5028))</f>
        <v>98.850000000000023</v>
      </c>
      <c r="F35" s="127">
        <f t="shared" si="4"/>
        <v>3.1887096774193555</v>
      </c>
      <c r="G35" s="127">
        <f t="array" ref="G35">IF(E35="","",IFERROR(SUMPRODUCT(('Facturación 2026'!$A$4:$A$920=$A35)*'Facturación 2026'!$J$4:$J$920)*E35/(SUMPRODUCT(('Caja 1'!$A$4:$A$919=$A35)*'Caja 1'!$E$4:$E$919)+SUMPRODUCT(('Caja 2'!$A$4:$A$920=$A35)*'Caja 2'!$E$4:$E$920)),0))</f>
        <v>0</v>
      </c>
      <c r="H35" s="128">
        <f t="shared" si="5"/>
        <v>98.850000000000023</v>
      </c>
      <c r="I35" s="124">
        <f t="shared" si="6"/>
        <v>0</v>
      </c>
      <c r="J35" s="144" t="str">
        <f>IF(A35="","",IFERROR(INDEX('Facturación 2026'!$L$4:$L$500,MATCH($A35,'Facturación 2026'!$A$4:$A$500,0)),""))</f>
        <v/>
      </c>
    </row>
    <row r="36" spans="1:10" ht="16" customHeight="1">
      <c r="A36" s="988">
        <v>46043</v>
      </c>
      <c r="B36" s="991" t="str">
        <f t="shared" si="3"/>
        <v>Mié</v>
      </c>
      <c r="C36" s="123" t="s">
        <v>494</v>
      </c>
      <c r="D36" s="131">
        <f t="array" ref="D36">IF(A36="","",SUMPRODUCT(('Detalle Turnos'!$I$3:$I$5028=$A36)*('Detalle Turnos'!$N$3:$N$5028=C36)*'Detalle Turnos'!$L$3:$L$5028))</f>
        <v>19</v>
      </c>
      <c r="E36" s="127">
        <f t="array" ref="E36">IF(A36="","",SUMPRODUCT(('Detalle Turnos'!$I$3:$I$5028=$A36)*('Detalle Turnos'!$N$3:$N$5028=C36)*'Detalle Turnos'!$K$3:$K$5028))</f>
        <v>129.9</v>
      </c>
      <c r="F36" s="127">
        <f t="shared" si="4"/>
        <v>6.8368421052631581</v>
      </c>
      <c r="G36" s="127">
        <f t="array" ref="G36">IF(E36="","",IFERROR(SUMPRODUCT(('Facturación 2026'!$A$4:$A$920=$A36)*'Facturación 2026'!$J$4:$J$920)*E36/(SUMPRODUCT(('Caja 1'!$A$4:$A$919=$A36)*'Caja 1'!$E$4:$E$919)+SUMPRODUCT(('Caja 2'!$A$4:$A$920=$A36)*'Caja 2'!$E$4:$E$920)),0))</f>
        <v>0</v>
      </c>
      <c r="H36" s="128">
        <f t="shared" si="5"/>
        <v>129.9</v>
      </c>
      <c r="I36" s="124">
        <f t="shared" si="6"/>
        <v>0</v>
      </c>
      <c r="J36" s="144" t="str">
        <f>IF(A36="","",IFERROR(INDEX('Facturación 2026'!$L$4:$L$500,MATCH($A36,'Facturación 2026'!$A$4:$A$500,0)),""))</f>
        <v/>
      </c>
    </row>
    <row r="37" spans="1:10" ht="16" customHeight="1">
      <c r="A37" s="988">
        <v>46043</v>
      </c>
      <c r="B37" s="991" t="str">
        <f t="shared" si="3"/>
        <v>Mié</v>
      </c>
      <c r="C37" s="123" t="s">
        <v>497</v>
      </c>
      <c r="D37" s="131">
        <f t="array" ref="D37">IF(A37="","",SUMPRODUCT(('Detalle Turnos'!$I$3:$I$5028=$A37)*('Detalle Turnos'!$N$3:$N$5028=C37)*'Detalle Turnos'!$L$3:$L$5028))</f>
        <v>1</v>
      </c>
      <c r="E37" s="127">
        <f t="array" ref="E37">IF(A37="","",SUMPRODUCT(('Detalle Turnos'!$I$3:$I$5028=$A37)*('Detalle Turnos'!$N$3:$N$5028=C37)*'Detalle Turnos'!$K$3:$K$5028))</f>
        <v>5</v>
      </c>
      <c r="F37" s="127">
        <f t="shared" si="4"/>
        <v>5</v>
      </c>
      <c r="G37" s="127">
        <f t="array" ref="G37">IF(E37="","",IFERROR(SUMPRODUCT(('Facturación 2026'!$A$4:$A$920=$A37)*'Facturación 2026'!$J$4:$J$920)*E37/(SUMPRODUCT(('Caja 1'!$A$4:$A$919=$A37)*'Caja 1'!$E$4:$E$919)+SUMPRODUCT(('Caja 2'!$A$4:$A$920=$A37)*'Caja 2'!$E$4:$E$920)),0))</f>
        <v>0</v>
      </c>
      <c r="H37" s="128">
        <f t="shared" si="5"/>
        <v>5</v>
      </c>
      <c r="I37" s="124">
        <f t="shared" si="6"/>
        <v>0</v>
      </c>
      <c r="J37" s="144" t="str">
        <f>IF(A37="","",IFERROR(INDEX('Facturación 2026'!$L$4:$L$500,MATCH($A37,'Facturación 2026'!$A$4:$A$500,0)),""))</f>
        <v/>
      </c>
    </row>
    <row r="38" spans="1:10" ht="16" customHeight="1">
      <c r="A38" s="988">
        <v>46044</v>
      </c>
      <c r="B38" s="991" t="str">
        <f t="shared" si="3"/>
        <v>Jue</v>
      </c>
      <c r="C38" s="123" t="s">
        <v>146</v>
      </c>
      <c r="D38" s="131">
        <f t="array" ref="D38">IF(A38="","",SUMPRODUCT(('Detalle Turnos'!$I$3:$I$5028=$A38)*('Detalle Turnos'!$N$3:$N$5028=C38)*'Detalle Turnos'!$L$3:$L$5028))</f>
        <v>31</v>
      </c>
      <c r="E38" s="127">
        <f t="array" ref="E38">IF(A38="","",SUMPRODUCT(('Detalle Turnos'!$I$3:$I$5028=$A38)*('Detalle Turnos'!$N$3:$N$5028=C38)*'Detalle Turnos'!$K$3:$K$5028))</f>
        <v>66.05</v>
      </c>
      <c r="F38" s="127">
        <f t="shared" si="4"/>
        <v>2.1306451612903223</v>
      </c>
      <c r="G38" s="127">
        <f t="array" ref="G38">IF(E38="","",IFERROR(SUMPRODUCT(('Facturación 2026'!$A$4:$A$920=$A38)*'Facturación 2026'!$J$4:$J$920)*E38/(SUMPRODUCT(('Caja 1'!$A$4:$A$919=$A38)*'Caja 1'!$E$4:$E$919)+SUMPRODUCT(('Caja 2'!$A$4:$A$920=$A38)*'Caja 2'!$E$4:$E$920)),0))</f>
        <v>0</v>
      </c>
      <c r="H38" s="128">
        <f t="shared" si="5"/>
        <v>66.05</v>
      </c>
      <c r="I38" s="124">
        <f t="shared" si="6"/>
        <v>0</v>
      </c>
      <c r="J38" s="144" t="str">
        <f>IF(A38="","",IFERROR(INDEX('Facturación 2026'!$L$4:$L$500,MATCH($A38,'Facturación 2026'!$A$4:$A$500,0)),""))</f>
        <v/>
      </c>
    </row>
    <row r="39" spans="1:10" ht="16" customHeight="1">
      <c r="A39" s="988">
        <v>46044</v>
      </c>
      <c r="B39" s="991" t="str">
        <f t="shared" si="3"/>
        <v>Jue</v>
      </c>
      <c r="C39" s="123" t="s">
        <v>494</v>
      </c>
      <c r="D39" s="131">
        <f t="array" ref="D39">IF(A39="","",SUMPRODUCT(('Detalle Turnos'!$I$3:$I$5028=$A39)*('Detalle Turnos'!$N$3:$N$5028=C39)*'Detalle Turnos'!$L$3:$L$5028))</f>
        <v>21</v>
      </c>
      <c r="E39" s="127">
        <f t="array" ref="E39">IF(A39="","",SUMPRODUCT(('Detalle Turnos'!$I$3:$I$5028=$A39)*('Detalle Turnos'!$N$3:$N$5028=C39)*'Detalle Turnos'!$K$3:$K$5028))</f>
        <v>115.35</v>
      </c>
      <c r="F39" s="127">
        <f t="shared" si="4"/>
        <v>5.4928571428571429</v>
      </c>
      <c r="G39" s="127">
        <f t="array" ref="G39">IF(E39="","",IFERROR(SUMPRODUCT(('Facturación 2026'!$A$4:$A$920=$A39)*'Facturación 2026'!$J$4:$J$920)*E39/(SUMPRODUCT(('Caja 1'!$A$4:$A$919=$A39)*'Caja 1'!$E$4:$E$919)+SUMPRODUCT(('Caja 2'!$A$4:$A$920=$A39)*'Caja 2'!$E$4:$E$920)),0))</f>
        <v>0</v>
      </c>
      <c r="H39" s="128">
        <f t="shared" si="5"/>
        <v>115.35</v>
      </c>
      <c r="I39" s="124">
        <f t="shared" si="6"/>
        <v>0</v>
      </c>
      <c r="J39" s="144" t="str">
        <f>IF(A39="","",IFERROR(INDEX('Facturación 2026'!$L$4:$L$500,MATCH($A39,'Facturación 2026'!$A$4:$A$500,0)),""))</f>
        <v/>
      </c>
    </row>
    <row r="40" spans="1:10" ht="16" customHeight="1">
      <c r="A40" s="988">
        <v>46044</v>
      </c>
      <c r="B40" s="991" t="str">
        <f t="shared" si="3"/>
        <v>Jue</v>
      </c>
      <c r="C40" s="123" t="s">
        <v>497</v>
      </c>
      <c r="D40" s="131">
        <f t="array" ref="D40">IF(A40="","",SUMPRODUCT(('Detalle Turnos'!$I$3:$I$5028=$A40)*('Detalle Turnos'!$N$3:$N$5028=C40)*'Detalle Turnos'!$L$3:$L$5028))</f>
        <v>2</v>
      </c>
      <c r="E40" s="127">
        <f t="array" ref="E40">IF(A40="","",SUMPRODUCT(('Detalle Turnos'!$I$3:$I$5028=$A40)*('Detalle Turnos'!$N$3:$N$5028=C40)*'Detalle Turnos'!$K$3:$K$5028))</f>
        <v>9.9499999999999993</v>
      </c>
      <c r="F40" s="127">
        <f t="shared" si="4"/>
        <v>4.9749999999999996</v>
      </c>
      <c r="G40" s="127">
        <f t="array" ref="G40">IF(E40="","",IFERROR(SUMPRODUCT(('Facturación 2026'!$A$4:$A$920=$A40)*'Facturación 2026'!$J$4:$J$920)*E40/(SUMPRODUCT(('Caja 1'!$A$4:$A$919=$A40)*'Caja 1'!$E$4:$E$919)+SUMPRODUCT(('Caja 2'!$A$4:$A$920=$A40)*'Caja 2'!$E$4:$E$920)),0))</f>
        <v>0</v>
      </c>
      <c r="H40" s="128">
        <f t="shared" si="5"/>
        <v>9.9499999999999993</v>
      </c>
      <c r="I40" s="124">
        <f t="shared" si="6"/>
        <v>0</v>
      </c>
      <c r="J40" s="144" t="str">
        <f>IF(A40="","",IFERROR(INDEX('Facturación 2026'!$L$4:$L$500,MATCH($A40,'Facturación 2026'!$A$4:$A$500,0)),""))</f>
        <v/>
      </c>
    </row>
    <row r="41" spans="1:10" ht="16" customHeight="1">
      <c r="A41" s="988">
        <v>46045</v>
      </c>
      <c r="B41" s="991" t="str">
        <f t="shared" si="3"/>
        <v>Vie</v>
      </c>
      <c r="C41" s="123" t="s">
        <v>146</v>
      </c>
      <c r="D41" s="131">
        <f t="array" ref="D41">IF(A41="","",SUMPRODUCT(('Detalle Turnos'!$I$3:$I$5028=$A41)*('Detalle Turnos'!$N$3:$N$5028=C41)*'Detalle Turnos'!$L$3:$L$5028))</f>
        <v>27</v>
      </c>
      <c r="E41" s="127">
        <f t="array" ref="E41">IF(A41="","",SUMPRODUCT(('Detalle Turnos'!$I$3:$I$5028=$A41)*('Detalle Turnos'!$N$3:$N$5028=C41)*'Detalle Turnos'!$K$3:$K$5028))</f>
        <v>116.45</v>
      </c>
      <c r="F41" s="127">
        <f t="shared" si="4"/>
        <v>4.3129629629629633</v>
      </c>
      <c r="G41" s="127">
        <f t="array" ref="G41">IF(E41="","",IFERROR(SUMPRODUCT(('Facturación 2026'!$A$4:$A$920=$A41)*'Facturación 2026'!$J$4:$J$920)*E41/(SUMPRODUCT(('Caja 1'!$A$4:$A$919=$A41)*'Caja 1'!$E$4:$E$919)+SUMPRODUCT(('Caja 2'!$A$4:$A$920=$A41)*'Caja 2'!$E$4:$E$920)),0))</f>
        <v>0</v>
      </c>
      <c r="H41" s="128">
        <f t="shared" si="5"/>
        <v>116.45</v>
      </c>
      <c r="I41" s="124">
        <f t="shared" si="6"/>
        <v>0</v>
      </c>
      <c r="J41" s="144" t="str">
        <f>IF(A41="","",IFERROR(INDEX('Facturación 2026'!$L$4:$L$500,MATCH($A41,'Facturación 2026'!$A$4:$A$500,0)),""))</f>
        <v/>
      </c>
    </row>
    <row r="42" spans="1:10" ht="16" customHeight="1">
      <c r="A42" s="988">
        <v>46045</v>
      </c>
      <c r="B42" s="991" t="str">
        <f t="shared" si="3"/>
        <v>Vie</v>
      </c>
      <c r="C42" s="123" t="s">
        <v>494</v>
      </c>
      <c r="D42" s="131">
        <f t="array" ref="D42">IF(A42="","",SUMPRODUCT(('Detalle Turnos'!$I$3:$I$5028=$A42)*('Detalle Turnos'!$N$3:$N$5028=C42)*'Detalle Turnos'!$L$3:$L$5028))</f>
        <v>12</v>
      </c>
      <c r="E42" s="127">
        <f t="array" ref="E42">IF(A42="","",SUMPRODUCT(('Detalle Turnos'!$I$3:$I$5028=$A42)*('Detalle Turnos'!$N$3:$N$5028=C42)*'Detalle Turnos'!$K$3:$K$5028))</f>
        <v>106.45000000000002</v>
      </c>
      <c r="F42" s="127">
        <f t="shared" si="4"/>
        <v>8.8708333333333353</v>
      </c>
      <c r="G42" s="127">
        <f t="array" ref="G42">IF(E42="","",IFERROR(SUMPRODUCT(('Facturación 2026'!$A$4:$A$920=$A42)*'Facturación 2026'!$J$4:$J$920)*E42/(SUMPRODUCT(('Caja 1'!$A$4:$A$919=$A42)*'Caja 1'!$E$4:$E$919)+SUMPRODUCT(('Caja 2'!$A$4:$A$920=$A42)*'Caja 2'!$E$4:$E$920)),0))</f>
        <v>0</v>
      </c>
      <c r="H42" s="128">
        <f t="shared" si="5"/>
        <v>106.45000000000002</v>
      </c>
      <c r="I42" s="124">
        <f t="shared" si="6"/>
        <v>0</v>
      </c>
      <c r="J42" s="144" t="str">
        <f>IF(A42="","",IFERROR(INDEX('Facturación 2026'!$L$4:$L$500,MATCH($A42,'Facturación 2026'!$A$4:$A$500,0)),""))</f>
        <v/>
      </c>
    </row>
    <row r="43" spans="1:10" ht="16" customHeight="1">
      <c r="A43" s="988">
        <v>46046</v>
      </c>
      <c r="B43" s="991" t="str">
        <f t="shared" si="3"/>
        <v>Sáb</v>
      </c>
      <c r="C43" s="123" t="s">
        <v>146</v>
      </c>
      <c r="D43" s="131">
        <f t="array" ref="D43">IF(A43="","",SUMPRODUCT(('Detalle Turnos'!$I$3:$I$5028=$A43)*('Detalle Turnos'!$N$3:$N$5028=C43)*'Detalle Turnos'!$L$3:$L$5028))</f>
        <v>27</v>
      </c>
      <c r="E43" s="127">
        <f t="array" ref="E43">IF(A43="","",SUMPRODUCT(('Detalle Turnos'!$I$3:$I$5028=$A43)*('Detalle Turnos'!$N$3:$N$5028=C43)*'Detalle Turnos'!$K$3:$K$5028))</f>
        <v>109.40000000000002</v>
      </c>
      <c r="F43" s="127">
        <f t="shared" si="4"/>
        <v>4.0518518518518523</v>
      </c>
      <c r="G43" s="127">
        <f t="array" ref="G43">IF(E43="","",IFERROR(SUMPRODUCT(('Facturación 2026'!$A$4:$A$920=$A43)*'Facturación 2026'!$J$4:$J$920)*E43/(SUMPRODUCT(('Caja 1'!$A$4:$A$919=$A43)*'Caja 1'!$E$4:$E$919)+SUMPRODUCT(('Caja 2'!$A$4:$A$920=$A43)*'Caja 2'!$E$4:$E$920)),0))</f>
        <v>0</v>
      </c>
      <c r="H43" s="128">
        <f t="shared" si="5"/>
        <v>109.40000000000002</v>
      </c>
      <c r="I43" s="124">
        <f t="shared" si="6"/>
        <v>0</v>
      </c>
      <c r="J43" s="144" t="str">
        <f>IF(A43="","",IFERROR(INDEX('Facturación 2026'!$L$4:$L$500,MATCH($A43,'Facturación 2026'!$A$4:$A$500,0)),""))</f>
        <v/>
      </c>
    </row>
    <row r="44" spans="1:10" ht="16" customHeight="1">
      <c r="A44" s="988">
        <v>46046</v>
      </c>
      <c r="B44" s="991" t="str">
        <f t="shared" si="3"/>
        <v>Sáb</v>
      </c>
      <c r="C44" s="123" t="s">
        <v>494</v>
      </c>
      <c r="D44" s="131">
        <f t="array" ref="D44">IF(A44="","",SUMPRODUCT(('Detalle Turnos'!$I$3:$I$5028=$A44)*('Detalle Turnos'!$N$3:$N$5028=C44)*'Detalle Turnos'!$L$3:$L$5028))</f>
        <v>6</v>
      </c>
      <c r="E44" s="127">
        <f t="array" ref="E44">IF(A44="","",SUMPRODUCT(('Detalle Turnos'!$I$3:$I$5028=$A44)*('Detalle Turnos'!$N$3:$N$5028=C44)*'Detalle Turnos'!$K$3:$K$5028))</f>
        <v>11.5</v>
      </c>
      <c r="F44" s="127">
        <f t="shared" si="4"/>
        <v>1.9166666666666667</v>
      </c>
      <c r="G44" s="127">
        <f t="array" ref="G44">IF(E44="","",IFERROR(SUMPRODUCT(('Facturación 2026'!$A$4:$A$920=$A44)*'Facturación 2026'!$J$4:$J$920)*E44/(SUMPRODUCT(('Caja 1'!$A$4:$A$919=$A44)*'Caja 1'!$E$4:$E$919)+SUMPRODUCT(('Caja 2'!$A$4:$A$920=$A44)*'Caja 2'!$E$4:$E$920)),0))</f>
        <v>0</v>
      </c>
      <c r="H44" s="128">
        <f t="shared" si="5"/>
        <v>11.5</v>
      </c>
      <c r="I44" s="124">
        <f t="shared" si="6"/>
        <v>0</v>
      </c>
      <c r="J44" s="144" t="str">
        <f>IF(A44="","",IFERROR(INDEX('Facturación 2026'!$L$4:$L$500,MATCH($A44,'Facturación 2026'!$A$4:$A$500,0)),""))</f>
        <v/>
      </c>
    </row>
    <row r="45" spans="1:10" ht="16" customHeight="1">
      <c r="A45" s="988">
        <v>46047</v>
      </c>
      <c r="B45" s="991" t="str">
        <f t="shared" si="3"/>
        <v>Dom</v>
      </c>
      <c r="C45" s="123" t="s">
        <v>146</v>
      </c>
      <c r="D45" s="131">
        <f t="array" ref="D45">IF(A45="","",SUMPRODUCT(('Detalle Turnos'!$I$3:$I$5028=$A45)*('Detalle Turnos'!$N$3:$N$5028=C45)*'Detalle Turnos'!$L$3:$L$5028))</f>
        <v>24</v>
      </c>
      <c r="E45" s="127">
        <f t="array" ref="E45">IF(A45="","",SUMPRODUCT(('Detalle Turnos'!$I$3:$I$5028=$A45)*('Detalle Turnos'!$N$3:$N$5028=C45)*'Detalle Turnos'!$K$3:$K$5028))</f>
        <v>108.60000000000001</v>
      </c>
      <c r="F45" s="127">
        <f t="shared" si="4"/>
        <v>4.5250000000000004</v>
      </c>
      <c r="G45" s="127">
        <f t="array" ref="G45">IF(E45="","",IFERROR(SUMPRODUCT(('Facturación 2026'!$A$4:$A$920=$A45)*'Facturación 2026'!$J$4:$J$920)*E45/(SUMPRODUCT(('Caja 1'!$A$4:$A$919=$A45)*'Caja 1'!$E$4:$E$919)+SUMPRODUCT(('Caja 2'!$A$4:$A$920=$A45)*'Caja 2'!$E$4:$E$920)),0))</f>
        <v>0</v>
      </c>
      <c r="H45" s="128">
        <f t="shared" si="5"/>
        <v>108.60000000000001</v>
      </c>
      <c r="I45" s="124">
        <f t="shared" si="6"/>
        <v>0</v>
      </c>
      <c r="J45" s="144" t="str">
        <f>IF(A45="","",IFERROR(INDEX('Facturación 2026'!$L$4:$L$500,MATCH($A45,'Facturación 2026'!$A$4:$A$500,0)),""))</f>
        <v/>
      </c>
    </row>
    <row r="46" spans="1:10" ht="16" customHeight="1">
      <c r="A46" s="988">
        <v>46047</v>
      </c>
      <c r="B46" s="991" t="str">
        <f t="shared" si="3"/>
        <v>Dom</v>
      </c>
      <c r="C46" s="123" t="s">
        <v>494</v>
      </c>
      <c r="D46" s="131">
        <f t="array" ref="D46">IF(A46="","",SUMPRODUCT(('Detalle Turnos'!$I$3:$I$5028=$A46)*('Detalle Turnos'!$N$3:$N$5028=C46)*'Detalle Turnos'!$L$3:$L$5028))</f>
        <v>3</v>
      </c>
      <c r="E46" s="127">
        <f t="array" ref="E46">IF(A46="","",SUMPRODUCT(('Detalle Turnos'!$I$3:$I$5028=$A46)*('Detalle Turnos'!$N$3:$N$5028=C46)*'Detalle Turnos'!$K$3:$K$5028))</f>
        <v>12.65</v>
      </c>
      <c r="F46" s="127">
        <f t="shared" si="4"/>
        <v>4.2166666666666668</v>
      </c>
      <c r="G46" s="127">
        <f t="array" ref="G46">IF(E46="","",IFERROR(SUMPRODUCT(('Facturación 2026'!$A$4:$A$920=$A46)*'Facturación 2026'!$J$4:$J$920)*E46/(SUMPRODUCT(('Caja 1'!$A$4:$A$919=$A46)*'Caja 1'!$E$4:$E$919)+SUMPRODUCT(('Caja 2'!$A$4:$A$920=$A46)*'Caja 2'!$E$4:$E$920)),0))</f>
        <v>0</v>
      </c>
      <c r="H46" s="128">
        <f t="shared" si="5"/>
        <v>12.65</v>
      </c>
      <c r="I46" s="124">
        <f t="shared" si="6"/>
        <v>0</v>
      </c>
      <c r="J46" s="144" t="str">
        <f>IF(A46="","",IFERROR(INDEX('Facturación 2026'!$L$4:$L$500,MATCH($A46,'Facturación 2026'!$A$4:$A$500,0)),""))</f>
        <v/>
      </c>
    </row>
    <row r="47" spans="1:10" ht="16" customHeight="1">
      <c r="A47" s="988">
        <v>46050</v>
      </c>
      <c r="B47" s="991" t="str">
        <f t="shared" si="3"/>
        <v>Mié</v>
      </c>
      <c r="C47" s="123" t="s">
        <v>146</v>
      </c>
      <c r="D47" s="131">
        <f t="array" ref="D47">IF(A47="","",SUMPRODUCT(('Detalle Turnos'!$I$3:$I$5028=$A47)*('Detalle Turnos'!$N$3:$N$5028=C47)*'Detalle Turnos'!$L$3:$L$5028))</f>
        <v>35</v>
      </c>
      <c r="E47" s="127">
        <f t="array" ref="E47">IF(A47="","",SUMPRODUCT(('Detalle Turnos'!$I$3:$I$5028=$A47)*('Detalle Turnos'!$N$3:$N$5028=C47)*'Detalle Turnos'!$K$3:$K$5028))</f>
        <v>86.5</v>
      </c>
      <c r="F47" s="127">
        <f t="shared" si="4"/>
        <v>2.4714285714285715</v>
      </c>
      <c r="G47" s="127">
        <f t="array" ref="G47">IF(E47="","",IFERROR(SUMPRODUCT(('Facturación 2026'!$A$4:$A$920=$A47)*'Facturación 2026'!$J$4:$J$920)*E47/(SUMPRODUCT(('Caja 1'!$A$4:$A$919=$A47)*'Caja 1'!$E$4:$E$919)+SUMPRODUCT(('Caja 2'!$A$4:$A$920=$A47)*'Caja 2'!$E$4:$E$920)),0))</f>
        <v>0</v>
      </c>
      <c r="H47" s="128">
        <f t="shared" si="5"/>
        <v>86.5</v>
      </c>
      <c r="I47" s="124">
        <f t="shared" si="6"/>
        <v>0</v>
      </c>
      <c r="J47" s="144" t="str">
        <f>IF(A47="","",IFERROR(INDEX('Facturación 2026'!$L$4:$L$500,MATCH($A47,'Facturación 2026'!$A$4:$A$500,0)),""))</f>
        <v/>
      </c>
    </row>
    <row r="48" spans="1:10" ht="16" customHeight="1">
      <c r="A48" s="988">
        <v>46050</v>
      </c>
      <c r="B48" s="991" t="str">
        <f t="shared" si="3"/>
        <v>Mié</v>
      </c>
      <c r="C48" s="123" t="s">
        <v>494</v>
      </c>
      <c r="D48" s="131">
        <f t="array" ref="D48">IF(A48="","",SUMPRODUCT(('Detalle Turnos'!$I$3:$I$5028=$A48)*('Detalle Turnos'!$N$3:$N$5028=C48)*'Detalle Turnos'!$L$3:$L$5028))</f>
        <v>13</v>
      </c>
      <c r="E48" s="127">
        <f t="array" ref="E48">IF(A48="","",SUMPRODUCT(('Detalle Turnos'!$I$3:$I$5028=$A48)*('Detalle Turnos'!$N$3:$N$5028=C48)*'Detalle Turnos'!$K$3:$K$5028))</f>
        <v>115.9</v>
      </c>
      <c r="F48" s="127">
        <f t="shared" si="4"/>
        <v>8.9153846153846157</v>
      </c>
      <c r="G48" s="127">
        <f t="array" ref="G48">IF(E48="","",IFERROR(SUMPRODUCT(('Facturación 2026'!$A$4:$A$920=$A48)*'Facturación 2026'!$J$4:$J$920)*E48/(SUMPRODUCT(('Caja 1'!$A$4:$A$919=$A48)*'Caja 1'!$E$4:$E$919)+SUMPRODUCT(('Caja 2'!$A$4:$A$920=$A48)*'Caja 2'!$E$4:$E$920)),0))</f>
        <v>0</v>
      </c>
      <c r="H48" s="128">
        <f t="shared" si="5"/>
        <v>115.9</v>
      </c>
      <c r="I48" s="124">
        <f t="shared" si="6"/>
        <v>0</v>
      </c>
      <c r="J48" s="144" t="str">
        <f>IF(A48="","",IFERROR(INDEX('Facturación 2026'!$L$4:$L$500,MATCH($A48,'Facturación 2026'!$A$4:$A$500,0)),""))</f>
        <v/>
      </c>
    </row>
    <row r="49" spans="1:10" ht="16" customHeight="1">
      <c r="A49" s="988">
        <v>46051</v>
      </c>
      <c r="B49" s="991" t="str">
        <f t="shared" si="3"/>
        <v>Jue</v>
      </c>
      <c r="C49" s="123" t="s">
        <v>146</v>
      </c>
      <c r="D49" s="131">
        <f t="array" ref="D49">IF(A49="","",SUMPRODUCT(('Detalle Turnos'!$I$3:$I$5028=$A49)*('Detalle Turnos'!$N$3:$N$5028=C49)*'Detalle Turnos'!$L$3:$L$5028))</f>
        <v>37</v>
      </c>
      <c r="E49" s="127">
        <f t="array" ref="E49">IF(A49="","",SUMPRODUCT(('Detalle Turnos'!$I$3:$I$5028=$A49)*('Detalle Turnos'!$N$3:$N$5028=C49)*'Detalle Turnos'!$K$3:$K$5028))</f>
        <v>90.800000000000011</v>
      </c>
      <c r="F49" s="127">
        <f t="shared" si="4"/>
        <v>2.4540540540540543</v>
      </c>
      <c r="G49" s="127">
        <f t="array" ref="G49">IF(E49="","",IFERROR(SUMPRODUCT(('Facturación 2026'!$A$4:$A$920=$A49)*'Facturación 2026'!$J$4:$J$920)*E49/(SUMPRODUCT(('Caja 1'!$A$4:$A$919=$A49)*'Caja 1'!$E$4:$E$919)+SUMPRODUCT(('Caja 2'!$A$4:$A$920=$A49)*'Caja 2'!$E$4:$E$920)),0))</f>
        <v>0</v>
      </c>
      <c r="H49" s="128">
        <f t="shared" si="5"/>
        <v>90.800000000000011</v>
      </c>
      <c r="I49" s="124">
        <f t="shared" si="6"/>
        <v>0</v>
      </c>
      <c r="J49" s="144" t="str">
        <f>IF(A49="","",IFERROR(INDEX('Facturación 2026'!$L$4:$L$500,MATCH($A49,'Facturación 2026'!$A$4:$A$500,0)),""))</f>
        <v/>
      </c>
    </row>
    <row r="50" spans="1:10" ht="16" customHeight="1">
      <c r="A50" s="988">
        <v>46051</v>
      </c>
      <c r="B50" s="991" t="str">
        <f t="shared" si="3"/>
        <v>Jue</v>
      </c>
      <c r="C50" s="123" t="s">
        <v>494</v>
      </c>
      <c r="D50" s="131">
        <f t="array" ref="D50">IF(A50="","",SUMPRODUCT(('Detalle Turnos'!$I$3:$I$5028=$A50)*('Detalle Turnos'!$N$3:$N$5028=C50)*'Detalle Turnos'!$L$3:$L$5028))</f>
        <v>18</v>
      </c>
      <c r="E50" s="127">
        <f t="array" ref="E50">IF(A50="","",SUMPRODUCT(('Detalle Turnos'!$I$3:$I$5028=$A50)*('Detalle Turnos'!$N$3:$N$5028=C50)*'Detalle Turnos'!$K$3:$K$5028))</f>
        <v>190.24999999999997</v>
      </c>
      <c r="F50" s="127">
        <f t="shared" si="4"/>
        <v>10.569444444444443</v>
      </c>
      <c r="G50" s="127">
        <f t="array" ref="G50">IF(E50="","",IFERROR(SUMPRODUCT(('Facturación 2026'!$A$4:$A$920=$A50)*'Facturación 2026'!$J$4:$J$920)*E50/(SUMPRODUCT(('Caja 1'!$A$4:$A$919=$A50)*'Caja 1'!$E$4:$E$919)+SUMPRODUCT(('Caja 2'!$A$4:$A$920=$A50)*'Caja 2'!$E$4:$E$920)),0))</f>
        <v>0</v>
      </c>
      <c r="H50" s="128">
        <f t="shared" si="5"/>
        <v>190.24999999999997</v>
      </c>
      <c r="I50" s="124">
        <f t="shared" si="6"/>
        <v>0</v>
      </c>
      <c r="J50" s="144" t="str">
        <f>IF(A50="","",IFERROR(INDEX('Facturación 2026'!$L$4:$L$500,MATCH($A50,'Facturación 2026'!$A$4:$A$500,0)),""))</f>
        <v/>
      </c>
    </row>
    <row r="51" spans="1:10" ht="16" customHeight="1">
      <c r="A51" s="988">
        <v>46051</v>
      </c>
      <c r="B51" s="991" t="str">
        <f t="shared" si="3"/>
        <v>Jue</v>
      </c>
      <c r="C51" s="123" t="s">
        <v>497</v>
      </c>
      <c r="D51" s="131">
        <f t="array" ref="D51">IF(A51="","",SUMPRODUCT(('Detalle Turnos'!$I$3:$I$5028=$A51)*('Detalle Turnos'!$N$3:$N$5028=C51)*'Detalle Turnos'!$L$3:$L$5028))</f>
        <v>6</v>
      </c>
      <c r="E51" s="127">
        <f t="array" ref="E51">IF(A51="","",SUMPRODUCT(('Detalle Turnos'!$I$3:$I$5028=$A51)*('Detalle Turnos'!$N$3:$N$5028=C51)*'Detalle Turnos'!$K$3:$K$5028))</f>
        <v>14</v>
      </c>
      <c r="F51" s="127">
        <f t="shared" si="4"/>
        <v>2.3333333333333335</v>
      </c>
      <c r="G51" s="127">
        <f t="array" ref="G51">IF(E51="","",IFERROR(SUMPRODUCT(('Facturación 2026'!$A$4:$A$920=$A51)*'Facturación 2026'!$J$4:$J$920)*E51/(SUMPRODUCT(('Caja 1'!$A$4:$A$919=$A51)*'Caja 1'!$E$4:$E$919)+SUMPRODUCT(('Caja 2'!$A$4:$A$920=$A51)*'Caja 2'!$E$4:$E$920)),0))</f>
        <v>0</v>
      </c>
      <c r="H51" s="128">
        <f t="shared" si="5"/>
        <v>14</v>
      </c>
      <c r="I51" s="124">
        <f t="shared" si="6"/>
        <v>0</v>
      </c>
      <c r="J51" s="144" t="str">
        <f>IF(A51="","",IFERROR(INDEX('Facturación 2026'!$L$4:$L$500,MATCH($A51,'Facturación 2026'!$A$4:$A$500,0)),""))</f>
        <v/>
      </c>
    </row>
    <row r="52" spans="1:10" ht="16" customHeight="1">
      <c r="A52" s="988">
        <v>46052</v>
      </c>
      <c r="B52" s="991" t="str">
        <f t="shared" si="3"/>
        <v>Vie</v>
      </c>
      <c r="C52" s="123" t="s">
        <v>146</v>
      </c>
      <c r="D52" s="131">
        <f t="array" ref="D52">IF(A52="","",SUMPRODUCT(('Detalle Turnos'!$I$3:$I$5028=$A52)*('Detalle Turnos'!$N$3:$N$5028=C52)*'Detalle Turnos'!$L$3:$L$5028))</f>
        <v>34</v>
      </c>
      <c r="E52" s="127">
        <f t="array" ref="E52">IF(A52="","",SUMPRODUCT(('Detalle Turnos'!$I$3:$I$5028=$A52)*('Detalle Turnos'!$N$3:$N$5028=C52)*'Detalle Turnos'!$K$3:$K$5028))</f>
        <v>99.6</v>
      </c>
      <c r="F52" s="127">
        <f t="shared" si="4"/>
        <v>2.9294117647058822</v>
      </c>
      <c r="G52" s="127">
        <f t="array" ref="G52">IF(E52="","",IFERROR(SUMPRODUCT(('Facturación 2026'!$A$4:$A$920=$A52)*'Facturación 2026'!$J$4:$J$920)*E52/(SUMPRODUCT(('Caja 1'!$A$4:$A$919=$A52)*'Caja 1'!$E$4:$E$919)+SUMPRODUCT(('Caja 2'!$A$4:$A$920=$A52)*'Caja 2'!$E$4:$E$920)),0))</f>
        <v>0</v>
      </c>
      <c r="H52" s="128">
        <f t="shared" si="5"/>
        <v>99.6</v>
      </c>
      <c r="I52" s="124">
        <f t="shared" si="6"/>
        <v>0</v>
      </c>
      <c r="J52" s="144" t="str">
        <f>IF(A52="","",IFERROR(INDEX('Facturación 2026'!$L$4:$L$500,MATCH($A52,'Facturación 2026'!$A$4:$A$500,0)),""))</f>
        <v/>
      </c>
    </row>
    <row r="53" spans="1:10" ht="16" customHeight="1">
      <c r="A53" s="988">
        <v>46052</v>
      </c>
      <c r="B53" s="991" t="str">
        <f t="shared" si="3"/>
        <v>Vie</v>
      </c>
      <c r="C53" s="123" t="s">
        <v>494</v>
      </c>
      <c r="D53" s="131">
        <f t="array" ref="D53">IF(A53="","",SUMPRODUCT(('Detalle Turnos'!$I$3:$I$5028=$A53)*('Detalle Turnos'!$N$3:$N$5028=C53)*'Detalle Turnos'!$L$3:$L$5028))</f>
        <v>23</v>
      </c>
      <c r="E53" s="127">
        <f t="array" ref="E53">IF(A53="","",SUMPRODUCT(('Detalle Turnos'!$I$3:$I$5028=$A53)*('Detalle Turnos'!$N$3:$N$5028=C53)*'Detalle Turnos'!$K$3:$K$5028))</f>
        <v>166</v>
      </c>
      <c r="F53" s="127">
        <f t="shared" si="4"/>
        <v>7.2173913043478262</v>
      </c>
      <c r="G53" s="127">
        <f t="array" ref="G53">IF(E53="","",IFERROR(SUMPRODUCT(('Facturación 2026'!$A$4:$A$920=$A53)*'Facturación 2026'!$J$4:$J$920)*E53/(SUMPRODUCT(('Caja 1'!$A$4:$A$919=$A53)*'Caja 1'!$E$4:$E$919)+SUMPRODUCT(('Caja 2'!$A$4:$A$920=$A53)*'Caja 2'!$E$4:$E$920)),0))</f>
        <v>0</v>
      </c>
      <c r="H53" s="128">
        <f t="shared" si="5"/>
        <v>166</v>
      </c>
      <c r="I53" s="124">
        <f t="shared" si="6"/>
        <v>0</v>
      </c>
      <c r="J53" s="144" t="str">
        <f>IF(A53="","",IFERROR(INDEX('Facturación 2026'!$L$4:$L$500,MATCH($A53,'Facturación 2026'!$A$4:$A$500,0)),""))</f>
        <v/>
      </c>
    </row>
    <row r="54" spans="1:10" ht="16" customHeight="1">
      <c r="A54" s="988">
        <v>46053</v>
      </c>
      <c r="B54" s="991" t="str">
        <f t="shared" si="3"/>
        <v>Sáb</v>
      </c>
      <c r="C54" s="123" t="s">
        <v>146</v>
      </c>
      <c r="D54" s="131">
        <f t="array" ref="D54">IF(A54="","",SUMPRODUCT(('Detalle Turnos'!$I$3:$I$5028=$A54)*('Detalle Turnos'!$N$3:$N$5028=C54)*'Detalle Turnos'!$L$3:$L$5028))</f>
        <v>17</v>
      </c>
      <c r="E54" s="127">
        <f t="array" ref="E54">IF(A54="","",SUMPRODUCT(('Detalle Turnos'!$I$3:$I$5028=$A54)*('Detalle Turnos'!$N$3:$N$5028=C54)*'Detalle Turnos'!$K$3:$K$5028))</f>
        <v>63.450000000000017</v>
      </c>
      <c r="F54" s="127">
        <f t="shared" si="4"/>
        <v>3.7323529411764715</v>
      </c>
      <c r="G54" s="127">
        <f t="array" ref="G54">IF(E54="","",IFERROR(SUMPRODUCT(('Facturación 2026'!$A$4:$A$920=$A54)*'Facturación 2026'!$J$4:$J$920)*E54/(SUMPRODUCT(('Caja 1'!$A$4:$A$919=$A54)*'Caja 1'!$E$4:$E$919)+SUMPRODUCT(('Caja 2'!$A$4:$A$920=$A54)*'Caja 2'!$E$4:$E$920)),0))</f>
        <v>0</v>
      </c>
      <c r="H54" s="128">
        <f t="shared" si="5"/>
        <v>63.450000000000017</v>
      </c>
      <c r="I54" s="124">
        <f t="shared" si="6"/>
        <v>0</v>
      </c>
      <c r="J54" s="144" t="str">
        <f>IF(A54="","",IFERROR(INDEX('Facturación 2026'!$L$4:$L$500,MATCH($A54,'Facturación 2026'!$A$4:$A$500,0)),""))</f>
        <v/>
      </c>
    </row>
    <row r="55" spans="1:10" ht="16" customHeight="1">
      <c r="A55" s="988">
        <v>46054</v>
      </c>
      <c r="B55" s="991" t="str">
        <f t="shared" si="3"/>
        <v>Dom</v>
      </c>
      <c r="C55" s="123" t="s">
        <v>146</v>
      </c>
      <c r="D55" s="131">
        <f t="array" ref="D55">IF(A55="","",SUMPRODUCT(('Detalle Turnos'!$I$3:$I$5028=$A55)*('Detalle Turnos'!$N$3:$N$5028=C55)*'Detalle Turnos'!$L$3:$L$5028))</f>
        <v>32</v>
      </c>
      <c r="E55" s="127">
        <f t="array" ref="E55">IF(A55="","",SUMPRODUCT(('Detalle Turnos'!$I$3:$I$5028=$A55)*('Detalle Turnos'!$N$3:$N$5028=C55)*'Detalle Turnos'!$K$3:$K$5028))</f>
        <v>80.250000000000014</v>
      </c>
      <c r="F55" s="127">
        <f t="shared" si="4"/>
        <v>2.5078125000000004</v>
      </c>
      <c r="G55" s="127">
        <f t="array" ref="G55">IF(E55="","",IFERROR(SUMPRODUCT(('Facturación 2026'!$A$4:$A$920=$A55)*'Facturación 2026'!$J$4:$J$920)*E55/(SUMPRODUCT(('Caja 1'!$A$4:$A$919=$A55)*'Caja 1'!$E$4:$E$919)+SUMPRODUCT(('Caja 2'!$A$4:$A$920=$A55)*'Caja 2'!$E$4:$E$920)),0))</f>
        <v>0</v>
      </c>
      <c r="H55" s="128">
        <f t="shared" si="5"/>
        <v>80.250000000000014</v>
      </c>
      <c r="I55" s="124">
        <f t="shared" si="6"/>
        <v>0</v>
      </c>
      <c r="J55" s="144" t="str">
        <f>IF(A55="","",IFERROR(INDEX('Facturación 2026'!$L$4:$L$500,MATCH($A55,'Facturación 2026'!$A$4:$A$500,0)),""))</f>
        <v/>
      </c>
    </row>
    <row r="56" spans="1:10" ht="16" customHeight="1">
      <c r="A56" s="988">
        <v>46054</v>
      </c>
      <c r="B56" s="991" t="str">
        <f t="shared" si="3"/>
        <v>Dom</v>
      </c>
      <c r="C56" s="123" t="s">
        <v>494</v>
      </c>
      <c r="D56" s="131">
        <f t="array" ref="D56">IF(A56="","",SUMPRODUCT(('Detalle Turnos'!$I$3:$I$5028=$A56)*('Detalle Turnos'!$N$3:$N$5028=C56)*'Detalle Turnos'!$L$3:$L$5028))</f>
        <v>2</v>
      </c>
      <c r="E56" s="127">
        <f t="array" ref="E56">IF(A56="","",SUMPRODUCT(('Detalle Turnos'!$I$3:$I$5028=$A56)*('Detalle Turnos'!$N$3:$N$5028=C56)*'Detalle Turnos'!$K$3:$K$5028))</f>
        <v>5.6</v>
      </c>
      <c r="F56" s="127">
        <f t="shared" si="4"/>
        <v>2.8</v>
      </c>
      <c r="G56" s="127">
        <f t="array" ref="G56">IF(E56="","",IFERROR(SUMPRODUCT(('Facturación 2026'!$A$4:$A$920=$A56)*'Facturación 2026'!$J$4:$J$920)*E56/(SUMPRODUCT(('Caja 1'!$A$4:$A$919=$A56)*'Caja 1'!$E$4:$E$919)+SUMPRODUCT(('Caja 2'!$A$4:$A$920=$A56)*'Caja 2'!$E$4:$E$920)),0))</f>
        <v>0</v>
      </c>
      <c r="H56" s="128">
        <f t="shared" si="5"/>
        <v>5.6</v>
      </c>
      <c r="I56" s="124">
        <f t="shared" si="6"/>
        <v>0</v>
      </c>
      <c r="J56" s="144" t="str">
        <f>IF(A56="","",IFERROR(INDEX('Facturación 2026'!$L$4:$L$500,MATCH($A56,'Facturación 2026'!$A$4:$A$500,0)),""))</f>
        <v/>
      </c>
    </row>
    <row r="57" spans="1:10" ht="16" customHeight="1">
      <c r="A57" s="988">
        <v>46057</v>
      </c>
      <c r="B57" s="991" t="str">
        <f t="shared" si="3"/>
        <v>Mié</v>
      </c>
      <c r="C57" s="123" t="s">
        <v>146</v>
      </c>
      <c r="D57" s="131">
        <f t="array" ref="D57">IF(A57="","",SUMPRODUCT(('Detalle Turnos'!$I$3:$I$5028=$A57)*('Detalle Turnos'!$N$3:$N$5028=C57)*'Detalle Turnos'!$L$3:$L$5028))</f>
        <v>26</v>
      </c>
      <c r="E57" s="127">
        <f t="array" ref="E57">IF(A57="","",SUMPRODUCT(('Detalle Turnos'!$I$3:$I$5028=$A57)*('Detalle Turnos'!$N$3:$N$5028=C57)*'Detalle Turnos'!$K$3:$K$5028))</f>
        <v>75.90000000000002</v>
      </c>
      <c r="F57" s="127">
        <f t="shared" si="4"/>
        <v>2.91923076923077</v>
      </c>
      <c r="G57" s="127">
        <f t="array" ref="G57">IF(E57="","",IFERROR(SUMPRODUCT(('Facturación 2026'!$A$4:$A$920=$A57)*'Facturación 2026'!$J$4:$J$920)*E57/(SUMPRODUCT(('Caja 1'!$A$4:$A$919=$A57)*'Caja 1'!$E$4:$E$919)+SUMPRODUCT(('Caja 2'!$A$4:$A$920=$A57)*'Caja 2'!$E$4:$E$920)),0))</f>
        <v>0</v>
      </c>
      <c r="H57" s="128">
        <f t="shared" si="5"/>
        <v>75.90000000000002</v>
      </c>
      <c r="I57" s="124">
        <f t="shared" si="6"/>
        <v>0</v>
      </c>
      <c r="J57" s="144" t="str">
        <f>IF(A57="","",IFERROR(INDEX('Facturación 2026'!$L$4:$L$500,MATCH($A57,'Facturación 2026'!$A$4:$A$500,0)),""))</f>
        <v/>
      </c>
    </row>
    <row r="58" spans="1:10" ht="16" customHeight="1">
      <c r="A58" s="988">
        <v>46057</v>
      </c>
      <c r="B58" s="991" t="str">
        <f t="shared" si="3"/>
        <v>Mié</v>
      </c>
      <c r="C58" s="123" t="s">
        <v>494</v>
      </c>
      <c r="D58" s="131">
        <f t="array" ref="D58">IF(A58="","",SUMPRODUCT(('Detalle Turnos'!$I$3:$I$5028=$A58)*('Detalle Turnos'!$N$3:$N$5028=C58)*'Detalle Turnos'!$L$3:$L$5028))</f>
        <v>12</v>
      </c>
      <c r="E58" s="127">
        <f t="array" ref="E58">IF(A58="","",SUMPRODUCT(('Detalle Turnos'!$I$3:$I$5028=$A58)*('Detalle Turnos'!$N$3:$N$5028=C58)*'Detalle Turnos'!$K$3:$K$5028))</f>
        <v>50.25</v>
      </c>
      <c r="F58" s="127">
        <f t="shared" si="4"/>
        <v>4.1875</v>
      </c>
      <c r="G58" s="127">
        <f t="array" ref="G58">IF(E58="","",IFERROR(SUMPRODUCT(('Facturación 2026'!$A$4:$A$920=$A58)*'Facturación 2026'!$J$4:$J$920)*E58/(SUMPRODUCT(('Caja 1'!$A$4:$A$919=$A58)*'Caja 1'!$E$4:$E$919)+SUMPRODUCT(('Caja 2'!$A$4:$A$920=$A58)*'Caja 2'!$E$4:$E$920)),0))</f>
        <v>0</v>
      </c>
      <c r="H58" s="128">
        <f t="shared" si="5"/>
        <v>50.25</v>
      </c>
      <c r="I58" s="124">
        <f t="shared" si="6"/>
        <v>0</v>
      </c>
      <c r="J58" s="144" t="str">
        <f>IF(A58="","",IFERROR(INDEX('Facturación 2026'!$L$4:$L$500,MATCH($A58,'Facturación 2026'!$A$4:$A$500,0)),""))</f>
        <v/>
      </c>
    </row>
    <row r="59" spans="1:10" ht="16" customHeight="1">
      <c r="A59" s="988">
        <v>46057</v>
      </c>
      <c r="B59" s="991" t="str">
        <f t="shared" si="3"/>
        <v>Mié</v>
      </c>
      <c r="C59" s="123" t="s">
        <v>497</v>
      </c>
      <c r="D59" s="131">
        <f t="array" ref="D59">IF(A59="","",SUMPRODUCT(('Detalle Turnos'!$I$3:$I$5028=$A59)*('Detalle Turnos'!$N$3:$N$5028=C59)*'Detalle Turnos'!$L$3:$L$5028))</f>
        <v>9</v>
      </c>
      <c r="E59" s="127">
        <f t="array" ref="E59">IF(A59="","",SUMPRODUCT(('Detalle Turnos'!$I$3:$I$5028=$A59)*('Detalle Turnos'!$N$3:$N$5028=C59)*'Detalle Turnos'!$K$3:$K$5028))</f>
        <v>99</v>
      </c>
      <c r="F59" s="127">
        <f t="shared" si="4"/>
        <v>11</v>
      </c>
      <c r="G59" s="127">
        <f t="array" ref="G59">IF(E59="","",IFERROR(SUMPRODUCT(('Facturación 2026'!$A$4:$A$920=$A59)*'Facturación 2026'!$J$4:$J$920)*E59/(SUMPRODUCT(('Caja 1'!$A$4:$A$919=$A59)*'Caja 1'!$E$4:$E$919)+SUMPRODUCT(('Caja 2'!$A$4:$A$920=$A59)*'Caja 2'!$E$4:$E$920)),0))</f>
        <v>0</v>
      </c>
      <c r="H59" s="128">
        <f t="shared" si="5"/>
        <v>99</v>
      </c>
      <c r="I59" s="124">
        <f t="shared" si="6"/>
        <v>0</v>
      </c>
      <c r="J59" s="144" t="str">
        <f>IF(A59="","",IFERROR(INDEX('Facturación 2026'!$L$4:$L$500,MATCH($A59,'Facturación 2026'!$A$4:$A$500,0)),""))</f>
        <v/>
      </c>
    </row>
    <row r="60" spans="1:10" ht="16" customHeight="1">
      <c r="A60" s="988">
        <v>46058</v>
      </c>
      <c r="B60" s="991" t="str">
        <f t="shared" si="3"/>
        <v>Jue</v>
      </c>
      <c r="C60" s="123" t="s">
        <v>146</v>
      </c>
      <c r="D60" s="131">
        <f t="array" ref="D60">IF(A60="","",SUMPRODUCT(('Detalle Turnos'!$I$3:$I$5028=$A60)*('Detalle Turnos'!$N$3:$N$5028=C60)*'Detalle Turnos'!$L$3:$L$5028))</f>
        <v>35</v>
      </c>
      <c r="E60" s="127">
        <f t="array" ref="E60">IF(A60="","",SUMPRODUCT(('Detalle Turnos'!$I$3:$I$5028=$A60)*('Detalle Turnos'!$N$3:$N$5028=C60)*'Detalle Turnos'!$K$3:$K$5028))</f>
        <v>110.05</v>
      </c>
      <c r="F60" s="127">
        <f t="shared" si="4"/>
        <v>3.1442857142857141</v>
      </c>
      <c r="G60" s="127">
        <f t="array" ref="G60">IF(E60="","",IFERROR(SUMPRODUCT(('Facturación 2026'!$A$4:$A$920=$A60)*'Facturación 2026'!$J$4:$J$920)*E60/(SUMPRODUCT(('Caja 1'!$A$4:$A$919=$A60)*'Caja 1'!$E$4:$E$919)+SUMPRODUCT(('Caja 2'!$A$4:$A$920=$A60)*'Caja 2'!$E$4:$E$920)),0))</f>
        <v>0</v>
      </c>
      <c r="H60" s="128">
        <f t="shared" si="5"/>
        <v>110.05</v>
      </c>
      <c r="I60" s="124">
        <f t="shared" si="6"/>
        <v>0</v>
      </c>
      <c r="J60" s="144" t="str">
        <f>IF(A60="","",IFERROR(INDEX('Facturación 2026'!$L$4:$L$500,MATCH($A60,'Facturación 2026'!$A$4:$A$500,0)),""))</f>
        <v/>
      </c>
    </row>
    <row r="61" spans="1:10" ht="16" customHeight="1">
      <c r="A61" s="988">
        <v>46058</v>
      </c>
      <c r="B61" s="991" t="str">
        <f t="shared" si="3"/>
        <v>Jue</v>
      </c>
      <c r="C61" s="123" t="s">
        <v>494</v>
      </c>
      <c r="D61" s="131">
        <f t="array" ref="D61">IF(A61="","",SUMPRODUCT(('Detalle Turnos'!$I$3:$I$5028=$A61)*('Detalle Turnos'!$N$3:$N$5028=C61)*'Detalle Turnos'!$L$3:$L$5028))</f>
        <v>15</v>
      </c>
      <c r="E61" s="127">
        <f t="array" ref="E61">IF(A61="","",SUMPRODUCT(('Detalle Turnos'!$I$3:$I$5028=$A61)*('Detalle Turnos'!$N$3:$N$5028=C61)*'Detalle Turnos'!$K$3:$K$5028))</f>
        <v>97.7</v>
      </c>
      <c r="F61" s="127">
        <f t="shared" si="4"/>
        <v>6.5133333333333336</v>
      </c>
      <c r="G61" s="127">
        <f t="array" ref="G61">IF(E61="","",IFERROR(SUMPRODUCT(('Facturación 2026'!$A$4:$A$920=$A61)*'Facturación 2026'!$J$4:$J$920)*E61/(SUMPRODUCT(('Caja 1'!$A$4:$A$919=$A61)*'Caja 1'!$E$4:$E$919)+SUMPRODUCT(('Caja 2'!$A$4:$A$920=$A61)*'Caja 2'!$E$4:$E$920)),0))</f>
        <v>0</v>
      </c>
      <c r="H61" s="128">
        <f t="shared" si="5"/>
        <v>97.7</v>
      </c>
      <c r="I61" s="124">
        <f t="shared" si="6"/>
        <v>0</v>
      </c>
      <c r="J61" s="144" t="str">
        <f>IF(A61="","",IFERROR(INDEX('Facturación 2026'!$L$4:$L$500,MATCH($A61,'Facturación 2026'!$A$4:$A$500,0)),""))</f>
        <v/>
      </c>
    </row>
    <row r="62" spans="1:10" ht="16" customHeight="1">
      <c r="A62" s="988">
        <v>46058</v>
      </c>
      <c r="B62" s="991" t="str">
        <f t="shared" si="3"/>
        <v>Jue</v>
      </c>
      <c r="C62" s="123" t="s">
        <v>497</v>
      </c>
      <c r="D62" s="131">
        <f t="array" ref="D62">IF(A62="","",SUMPRODUCT(('Detalle Turnos'!$I$3:$I$5028=$A62)*('Detalle Turnos'!$N$3:$N$5028=C62)*'Detalle Turnos'!$L$3:$L$5028))</f>
        <v>6</v>
      </c>
      <c r="E62" s="127">
        <f t="array" ref="E62">IF(A62="","",SUMPRODUCT(('Detalle Turnos'!$I$3:$I$5028=$A62)*('Detalle Turnos'!$N$3:$N$5028=C62)*'Detalle Turnos'!$K$3:$K$5028))</f>
        <v>76.850000000000009</v>
      </c>
      <c r="F62" s="127">
        <f t="shared" si="4"/>
        <v>12.808333333333335</v>
      </c>
      <c r="G62" s="127">
        <f t="array" ref="G62">IF(E62="","",IFERROR(SUMPRODUCT(('Facturación 2026'!$A$4:$A$920=$A62)*'Facturación 2026'!$J$4:$J$920)*E62/(SUMPRODUCT(('Caja 1'!$A$4:$A$919=$A62)*'Caja 1'!$E$4:$E$919)+SUMPRODUCT(('Caja 2'!$A$4:$A$920=$A62)*'Caja 2'!$E$4:$E$920)),0))</f>
        <v>0</v>
      </c>
      <c r="H62" s="128">
        <f t="shared" si="5"/>
        <v>76.850000000000009</v>
      </c>
      <c r="I62" s="124">
        <f t="shared" si="6"/>
        <v>0</v>
      </c>
      <c r="J62" s="144" t="str">
        <f>IF(A62="","",IFERROR(INDEX('Facturación 2026'!$L$4:$L$500,MATCH($A62,'Facturación 2026'!$A$4:$A$500,0)),""))</f>
        <v/>
      </c>
    </row>
    <row r="63" spans="1:10" ht="16" customHeight="1">
      <c r="A63" s="988">
        <v>46059</v>
      </c>
      <c r="B63" s="991" t="str">
        <f t="shared" si="3"/>
        <v>Vie</v>
      </c>
      <c r="C63" s="123" t="s">
        <v>146</v>
      </c>
      <c r="D63" s="131">
        <f t="array" ref="D63">IF(A63="","",SUMPRODUCT(('Detalle Turnos'!$I$3:$I$5028=$A63)*('Detalle Turnos'!$N$3:$N$5028=C63)*'Detalle Turnos'!$L$3:$L$5028))</f>
        <v>23</v>
      </c>
      <c r="E63" s="127">
        <f t="array" ref="E63">IF(A63="","",SUMPRODUCT(('Detalle Turnos'!$I$3:$I$5028=$A63)*('Detalle Turnos'!$N$3:$N$5028=C63)*'Detalle Turnos'!$K$3:$K$5028))</f>
        <v>60.500000000000007</v>
      </c>
      <c r="F63" s="127">
        <f t="shared" si="4"/>
        <v>2.6304347826086958</v>
      </c>
      <c r="G63" s="127">
        <f t="array" ref="G63">IF(E63="","",IFERROR(SUMPRODUCT(('Facturación 2026'!$A$4:$A$920=$A63)*'Facturación 2026'!$J$4:$J$920)*E63/(SUMPRODUCT(('Caja 1'!$A$4:$A$919=$A63)*'Caja 1'!$E$4:$E$919)+SUMPRODUCT(('Caja 2'!$A$4:$A$920=$A63)*'Caja 2'!$E$4:$E$920)),0))</f>
        <v>0</v>
      </c>
      <c r="H63" s="128">
        <f t="shared" si="5"/>
        <v>60.500000000000007</v>
      </c>
      <c r="I63" s="124">
        <f t="shared" si="6"/>
        <v>0</v>
      </c>
      <c r="J63" s="144" t="str">
        <f>IF(A63="","",IFERROR(INDEX('Facturación 2026'!$L$4:$L$500,MATCH($A63,'Facturación 2026'!$A$4:$A$500,0)),""))</f>
        <v/>
      </c>
    </row>
    <row r="64" spans="1:10" ht="16" customHeight="1">
      <c r="A64" s="988">
        <v>46059</v>
      </c>
      <c r="B64" s="991" t="str">
        <f t="shared" si="3"/>
        <v>Vie</v>
      </c>
      <c r="C64" s="123" t="s">
        <v>494</v>
      </c>
      <c r="D64" s="131">
        <f t="array" ref="D64">IF(A64="","",SUMPRODUCT(('Detalle Turnos'!$I$3:$I$5028=$A64)*('Detalle Turnos'!$N$3:$N$5028=C64)*'Detalle Turnos'!$L$3:$L$5028))</f>
        <v>10</v>
      </c>
      <c r="E64" s="127">
        <f t="array" ref="E64">IF(A64="","",SUMPRODUCT(('Detalle Turnos'!$I$3:$I$5028=$A64)*('Detalle Turnos'!$N$3:$N$5028=C64)*'Detalle Turnos'!$K$3:$K$5028))</f>
        <v>87.9</v>
      </c>
      <c r="F64" s="127">
        <f t="shared" si="4"/>
        <v>8.7900000000000009</v>
      </c>
      <c r="G64" s="127">
        <f t="array" ref="G64">IF(E64="","",IFERROR(SUMPRODUCT(('Facturación 2026'!$A$4:$A$920=$A64)*'Facturación 2026'!$J$4:$J$920)*E64/(SUMPRODUCT(('Caja 1'!$A$4:$A$919=$A64)*'Caja 1'!$E$4:$E$919)+SUMPRODUCT(('Caja 2'!$A$4:$A$920=$A64)*'Caja 2'!$E$4:$E$920)),0))</f>
        <v>0</v>
      </c>
      <c r="H64" s="128">
        <f t="shared" si="5"/>
        <v>87.9</v>
      </c>
      <c r="I64" s="124">
        <f t="shared" si="6"/>
        <v>0</v>
      </c>
      <c r="J64" s="144" t="str">
        <f>IF(A64="","",IFERROR(INDEX('Facturación 2026'!$L$4:$L$500,MATCH($A64,'Facturación 2026'!$A$4:$A$500,0)),""))</f>
        <v/>
      </c>
    </row>
    <row r="65" spans="1:10" ht="16" customHeight="1">
      <c r="A65" s="988">
        <v>46060</v>
      </c>
      <c r="B65" s="991" t="str">
        <f t="shared" si="3"/>
        <v>Sáb</v>
      </c>
      <c r="C65" s="123" t="s">
        <v>146</v>
      </c>
      <c r="D65" s="131">
        <f t="array" ref="D65">IF(A65="","",SUMPRODUCT(('Detalle Turnos'!$I$3:$I$5028=$A65)*('Detalle Turnos'!$N$3:$N$5028=C65)*'Detalle Turnos'!$L$3:$L$5028))</f>
        <v>14</v>
      </c>
      <c r="E65" s="127">
        <f t="array" ref="E65">IF(A65="","",SUMPRODUCT(('Detalle Turnos'!$I$3:$I$5028=$A65)*('Detalle Turnos'!$N$3:$N$5028=C65)*'Detalle Turnos'!$K$3:$K$5028))</f>
        <v>50.099999999999994</v>
      </c>
      <c r="F65" s="127">
        <f t="shared" si="4"/>
        <v>3.5785714285714283</v>
      </c>
      <c r="G65" s="127">
        <f t="array" ref="G65">IF(E65="","",IFERROR(SUMPRODUCT(('Facturación 2026'!$A$4:$A$920=$A65)*'Facturación 2026'!$J$4:$J$920)*E65/(SUMPRODUCT(('Caja 1'!$A$4:$A$919=$A65)*'Caja 1'!$E$4:$E$919)+SUMPRODUCT(('Caja 2'!$A$4:$A$920=$A65)*'Caja 2'!$E$4:$E$920)),0))</f>
        <v>0</v>
      </c>
      <c r="H65" s="128">
        <f t="shared" si="5"/>
        <v>50.099999999999994</v>
      </c>
      <c r="I65" s="124">
        <f t="shared" si="6"/>
        <v>0</v>
      </c>
      <c r="J65" s="144" t="str">
        <f>IF(A65="","",IFERROR(INDEX('Facturación 2026'!$L$4:$L$500,MATCH($A65,'Facturación 2026'!$A$4:$A$500,0)),""))</f>
        <v/>
      </c>
    </row>
    <row r="66" spans="1:10" ht="16" customHeight="1">
      <c r="A66" s="988">
        <v>46060</v>
      </c>
      <c r="B66" s="991" t="str">
        <f t="shared" si="3"/>
        <v>Sáb</v>
      </c>
      <c r="C66" s="123" t="s">
        <v>494</v>
      </c>
      <c r="D66" s="131">
        <f t="array" ref="D66">IF(A66="","",SUMPRODUCT(('Detalle Turnos'!$I$3:$I$5028=$A66)*('Detalle Turnos'!$N$3:$N$5028=C66)*'Detalle Turnos'!$L$3:$L$5028))</f>
        <v>2</v>
      </c>
      <c r="E66" s="127">
        <f t="array" ref="E66">IF(A66="","",SUMPRODUCT(('Detalle Turnos'!$I$3:$I$5028=$A66)*('Detalle Turnos'!$N$3:$N$5028=C66)*'Detalle Turnos'!$K$3:$K$5028))</f>
        <v>8.3000000000000007</v>
      </c>
      <c r="F66" s="127">
        <f t="shared" si="4"/>
        <v>4.1500000000000004</v>
      </c>
      <c r="G66" s="127">
        <f t="array" ref="G66">IF(E66="","",IFERROR(SUMPRODUCT(('Facturación 2026'!$A$4:$A$920=$A66)*'Facturación 2026'!$J$4:$J$920)*E66/(SUMPRODUCT(('Caja 1'!$A$4:$A$919=$A66)*'Caja 1'!$E$4:$E$919)+SUMPRODUCT(('Caja 2'!$A$4:$A$920=$A66)*'Caja 2'!$E$4:$E$920)),0))</f>
        <v>0</v>
      </c>
      <c r="H66" s="128">
        <f t="shared" si="5"/>
        <v>8.3000000000000007</v>
      </c>
      <c r="I66" s="124">
        <f t="shared" si="6"/>
        <v>0</v>
      </c>
      <c r="J66" s="144" t="str">
        <f>IF(A66="","",IFERROR(INDEX('Facturación 2026'!$L$4:$L$500,MATCH($A66,'Facturación 2026'!$A$4:$A$500,0)),""))</f>
        <v/>
      </c>
    </row>
    <row r="67" spans="1:10" ht="16" customHeight="1">
      <c r="A67" s="988">
        <v>46061</v>
      </c>
      <c r="B67" s="991" t="str">
        <f t="shared" si="3"/>
        <v>Dom</v>
      </c>
      <c r="C67" s="123" t="s">
        <v>146</v>
      </c>
      <c r="D67" s="131">
        <f t="array" ref="D67">IF(A67="","",SUMPRODUCT(('Detalle Turnos'!$I$3:$I$5028=$A67)*('Detalle Turnos'!$N$3:$N$5028=C67)*'Detalle Turnos'!$L$3:$L$5028))</f>
        <v>21</v>
      </c>
      <c r="E67" s="127">
        <f t="array" ref="E67">IF(A67="","",SUMPRODUCT(('Detalle Turnos'!$I$3:$I$5028=$A67)*('Detalle Turnos'!$N$3:$N$5028=C67)*'Detalle Turnos'!$K$3:$K$5028))</f>
        <v>77.739999999999995</v>
      </c>
      <c r="F67" s="127">
        <f t="shared" si="4"/>
        <v>3.7019047619047618</v>
      </c>
      <c r="G67" s="127">
        <f t="array" ref="G67">IF(E67="","",IFERROR(SUMPRODUCT(('Facturación 2026'!$A$4:$A$920=$A67)*'Facturación 2026'!$J$4:$J$920)*E67/(SUMPRODUCT(('Caja 1'!$A$4:$A$919=$A67)*'Caja 1'!$E$4:$E$919)+SUMPRODUCT(('Caja 2'!$A$4:$A$920=$A67)*'Caja 2'!$E$4:$E$920)),0))</f>
        <v>0</v>
      </c>
      <c r="H67" s="128">
        <f t="shared" si="5"/>
        <v>77.739999999999995</v>
      </c>
      <c r="I67" s="124">
        <f t="shared" si="6"/>
        <v>0</v>
      </c>
      <c r="J67" s="144" t="str">
        <f>IF(A67="","",IFERROR(INDEX('Facturación 2026'!$L$4:$L$500,MATCH($A67,'Facturación 2026'!$A$4:$A$500,0)),""))</f>
        <v/>
      </c>
    </row>
    <row r="68" spans="1:10" ht="16" customHeight="1">
      <c r="A68" s="988">
        <v>46061</v>
      </c>
      <c r="B68" s="991" t="str">
        <f t="shared" ref="B68:B131" si="7">IF(A68="","",CHOOSE(WEEKDAY(A68,2),"Lun","Mar","Mié","Jue","Vie","Sáb","Dom"))</f>
        <v>Dom</v>
      </c>
      <c r="C68" s="123" t="s">
        <v>494</v>
      </c>
      <c r="D68" s="131">
        <f t="array" ref="D68">IF(A68="","",SUMPRODUCT(('Detalle Turnos'!$I$3:$I$5028=$A68)*('Detalle Turnos'!$N$3:$N$5028=C68)*'Detalle Turnos'!$L$3:$L$5028))</f>
        <v>6</v>
      </c>
      <c r="E68" s="127">
        <f t="array" ref="E68">IF(A68="","",SUMPRODUCT(('Detalle Turnos'!$I$3:$I$5028=$A68)*('Detalle Turnos'!$N$3:$N$5028=C68)*'Detalle Turnos'!$K$3:$K$5028))</f>
        <v>22</v>
      </c>
      <c r="F68" s="127">
        <f t="shared" ref="F68:F131" si="8">IFERROR(E68/D68,0)</f>
        <v>3.6666666666666665</v>
      </c>
      <c r="G68" s="127">
        <f t="array" ref="G68">IF(E68="","",IFERROR(SUMPRODUCT(('Facturación 2026'!$A$4:$A$920=$A68)*'Facturación 2026'!$J$4:$J$920)*E68/(SUMPRODUCT(('Caja 1'!$A$4:$A$919=$A68)*'Caja 1'!$E$4:$E$919)+SUMPRODUCT(('Caja 2'!$A$4:$A$920=$A68)*'Caja 2'!$E$4:$E$920)),0))</f>
        <v>0</v>
      </c>
      <c r="H68" s="128">
        <f t="shared" ref="H68:H131" si="9">IF(E68="","",E68-G68)</f>
        <v>22</v>
      </c>
      <c r="I68" s="124">
        <f t="shared" ref="I68:I131" si="10">IF(E68="","",IFERROR(G68/E68,0))</f>
        <v>0</v>
      </c>
      <c r="J68" s="144" t="str">
        <f>IF(A68="","",IFERROR(INDEX('Facturación 2026'!$L$4:$L$500,MATCH($A68,'Facturación 2026'!$A$4:$A$500,0)),""))</f>
        <v/>
      </c>
    </row>
    <row r="69" spans="1:10" ht="16" customHeight="1">
      <c r="A69" s="988">
        <v>46064</v>
      </c>
      <c r="B69" s="991" t="str">
        <f t="shared" si="7"/>
        <v>Mié</v>
      </c>
      <c r="C69" s="123" t="s">
        <v>146</v>
      </c>
      <c r="D69" s="131">
        <f t="array" ref="D69">IF(A69="","",SUMPRODUCT(('Detalle Turnos'!$I$3:$I$5028=$A69)*('Detalle Turnos'!$N$3:$N$5028=C69)*'Detalle Turnos'!$L$3:$L$5028))</f>
        <v>28</v>
      </c>
      <c r="E69" s="127">
        <f t="array" ref="E69">IF(A69="","",SUMPRODUCT(('Detalle Turnos'!$I$3:$I$5028=$A69)*('Detalle Turnos'!$N$3:$N$5028=C69)*'Detalle Turnos'!$K$3:$K$5028))</f>
        <v>78.400000000000006</v>
      </c>
      <c r="F69" s="127">
        <f t="shared" si="8"/>
        <v>2.8000000000000003</v>
      </c>
      <c r="G69" s="127">
        <f t="array" ref="G69">IF(E69="","",IFERROR(SUMPRODUCT(('Facturación 2026'!$A$4:$A$920=$A69)*'Facturación 2026'!$J$4:$J$920)*E69/(SUMPRODUCT(('Caja 1'!$A$4:$A$919=$A69)*'Caja 1'!$E$4:$E$919)+SUMPRODUCT(('Caja 2'!$A$4:$A$920=$A69)*'Caja 2'!$E$4:$E$920)),0))</f>
        <v>0</v>
      </c>
      <c r="H69" s="128">
        <f t="shared" si="9"/>
        <v>78.400000000000006</v>
      </c>
      <c r="I69" s="124">
        <f t="shared" si="10"/>
        <v>0</v>
      </c>
      <c r="J69" s="144" t="str">
        <f>IF(A69="","",IFERROR(INDEX('Facturación 2026'!$L$4:$L$500,MATCH($A69,'Facturación 2026'!$A$4:$A$500,0)),""))</f>
        <v/>
      </c>
    </row>
    <row r="70" spans="1:10" ht="16" customHeight="1">
      <c r="A70" s="988">
        <v>46064</v>
      </c>
      <c r="B70" s="991" t="str">
        <f t="shared" si="7"/>
        <v>Mié</v>
      </c>
      <c r="C70" s="123" t="s">
        <v>494</v>
      </c>
      <c r="D70" s="131">
        <f t="array" ref="D70">IF(A70="","",SUMPRODUCT(('Detalle Turnos'!$I$3:$I$5028=$A70)*('Detalle Turnos'!$N$3:$N$5028=C70)*'Detalle Turnos'!$L$3:$L$5028))</f>
        <v>7</v>
      </c>
      <c r="E70" s="127">
        <f t="array" ref="E70">IF(A70="","",SUMPRODUCT(('Detalle Turnos'!$I$3:$I$5028=$A70)*('Detalle Turnos'!$N$3:$N$5028=C70)*'Detalle Turnos'!$K$3:$K$5028))</f>
        <v>61.800000000000004</v>
      </c>
      <c r="F70" s="127">
        <f t="shared" si="8"/>
        <v>8.8285714285714292</v>
      </c>
      <c r="G70" s="127">
        <f t="array" ref="G70">IF(E70="","",IFERROR(SUMPRODUCT(('Facturación 2026'!$A$4:$A$920=$A70)*'Facturación 2026'!$J$4:$J$920)*E70/(SUMPRODUCT(('Caja 1'!$A$4:$A$919=$A70)*'Caja 1'!$E$4:$E$919)+SUMPRODUCT(('Caja 2'!$A$4:$A$920=$A70)*'Caja 2'!$E$4:$E$920)),0))</f>
        <v>0</v>
      </c>
      <c r="H70" s="128">
        <f t="shared" si="9"/>
        <v>61.800000000000004</v>
      </c>
      <c r="I70" s="124">
        <f t="shared" si="10"/>
        <v>0</v>
      </c>
      <c r="J70" s="144" t="str">
        <f>IF(A70="","",IFERROR(INDEX('Facturación 2026'!$L$4:$L$500,MATCH($A70,'Facturación 2026'!$A$4:$A$500,0)),""))</f>
        <v/>
      </c>
    </row>
    <row r="71" spans="1:10" ht="16" customHeight="1">
      <c r="A71" s="988">
        <v>46064</v>
      </c>
      <c r="B71" s="991" t="str">
        <f t="shared" si="7"/>
        <v>Mié</v>
      </c>
      <c r="C71" s="123" t="s">
        <v>497</v>
      </c>
      <c r="D71" s="131">
        <f t="array" ref="D71">IF(A71="","",SUMPRODUCT(('Detalle Turnos'!$I$3:$I$5028=$A71)*('Detalle Turnos'!$N$3:$N$5028=C71)*'Detalle Turnos'!$L$3:$L$5028))</f>
        <v>1</v>
      </c>
      <c r="E71" s="127">
        <f t="array" ref="E71">IF(A71="","",SUMPRODUCT(('Detalle Turnos'!$I$3:$I$5028=$A71)*('Detalle Turnos'!$N$3:$N$5028=C71)*'Detalle Turnos'!$K$3:$K$5028))</f>
        <v>1.65</v>
      </c>
      <c r="F71" s="127">
        <f t="shared" si="8"/>
        <v>1.65</v>
      </c>
      <c r="G71" s="127">
        <f t="array" ref="G71">IF(E71="","",IFERROR(SUMPRODUCT(('Facturación 2026'!$A$4:$A$920=$A71)*'Facturación 2026'!$J$4:$J$920)*E71/(SUMPRODUCT(('Caja 1'!$A$4:$A$919=$A71)*'Caja 1'!$E$4:$E$919)+SUMPRODUCT(('Caja 2'!$A$4:$A$920=$A71)*'Caja 2'!$E$4:$E$920)),0))</f>
        <v>0</v>
      </c>
      <c r="H71" s="128">
        <f t="shared" si="9"/>
        <v>1.65</v>
      </c>
      <c r="I71" s="124">
        <f t="shared" si="10"/>
        <v>0</v>
      </c>
      <c r="J71" s="144" t="str">
        <f>IF(A71="","",IFERROR(INDEX('Facturación 2026'!$L$4:$L$500,MATCH($A71,'Facturación 2026'!$A$4:$A$500,0)),""))</f>
        <v/>
      </c>
    </row>
    <row r="72" spans="1:10" ht="16" customHeight="1">
      <c r="A72" s="988">
        <v>46065</v>
      </c>
      <c r="B72" s="991" t="str">
        <f t="shared" si="7"/>
        <v>Jue</v>
      </c>
      <c r="C72" s="123" t="s">
        <v>146</v>
      </c>
      <c r="D72" s="131">
        <f t="array" ref="D72">IF(A72="","",SUMPRODUCT(('Detalle Turnos'!$I$3:$I$5028=$A72)*('Detalle Turnos'!$N$3:$N$5028=C72)*'Detalle Turnos'!$L$3:$L$5028))</f>
        <v>30</v>
      </c>
      <c r="E72" s="127">
        <f t="array" ref="E72">IF(A72="","",SUMPRODUCT(('Detalle Turnos'!$I$3:$I$5028=$A72)*('Detalle Turnos'!$N$3:$N$5028=C72)*'Detalle Turnos'!$K$3:$K$5028))</f>
        <v>81.500000000000014</v>
      </c>
      <c r="F72" s="127">
        <f t="shared" si="8"/>
        <v>2.7166666666666672</v>
      </c>
      <c r="G72" s="127">
        <f t="array" ref="G72">IF(E72="","",IFERROR(SUMPRODUCT(('Facturación 2026'!$A$4:$A$920=$A72)*'Facturación 2026'!$J$4:$J$920)*E72/(SUMPRODUCT(('Caja 1'!$A$4:$A$919=$A72)*'Caja 1'!$E$4:$E$919)+SUMPRODUCT(('Caja 2'!$A$4:$A$920=$A72)*'Caja 2'!$E$4:$E$920)),0))</f>
        <v>0</v>
      </c>
      <c r="H72" s="128">
        <f t="shared" si="9"/>
        <v>81.500000000000014</v>
      </c>
      <c r="I72" s="124">
        <f t="shared" si="10"/>
        <v>0</v>
      </c>
      <c r="J72" s="144" t="str">
        <f>IF(A72="","",IFERROR(INDEX('Facturación 2026'!$L$4:$L$500,MATCH($A72,'Facturación 2026'!$A$4:$A$500,0)),""))</f>
        <v/>
      </c>
    </row>
    <row r="73" spans="1:10" ht="16" customHeight="1">
      <c r="A73" s="988">
        <v>46065</v>
      </c>
      <c r="B73" s="991" t="str">
        <f t="shared" si="7"/>
        <v>Jue</v>
      </c>
      <c r="C73" s="123" t="s">
        <v>494</v>
      </c>
      <c r="D73" s="131">
        <f t="array" ref="D73">IF(A73="","",SUMPRODUCT(('Detalle Turnos'!$I$3:$I$5028=$A73)*('Detalle Turnos'!$N$3:$N$5028=C73)*'Detalle Turnos'!$L$3:$L$5028))</f>
        <v>10</v>
      </c>
      <c r="E73" s="127">
        <f t="array" ref="E73">IF(A73="","",SUMPRODUCT(('Detalle Turnos'!$I$3:$I$5028=$A73)*('Detalle Turnos'!$N$3:$N$5028=C73)*'Detalle Turnos'!$K$3:$K$5028))</f>
        <v>41.1</v>
      </c>
      <c r="F73" s="127">
        <f t="shared" si="8"/>
        <v>4.1100000000000003</v>
      </c>
      <c r="G73" s="127">
        <f t="array" ref="G73">IF(E73="","",IFERROR(SUMPRODUCT(('Facturación 2026'!$A$4:$A$920=$A73)*'Facturación 2026'!$J$4:$J$920)*E73/(SUMPRODUCT(('Caja 1'!$A$4:$A$919=$A73)*'Caja 1'!$E$4:$E$919)+SUMPRODUCT(('Caja 2'!$A$4:$A$920=$A73)*'Caja 2'!$E$4:$E$920)),0))</f>
        <v>0</v>
      </c>
      <c r="H73" s="128">
        <f t="shared" si="9"/>
        <v>41.1</v>
      </c>
      <c r="I73" s="124">
        <f t="shared" si="10"/>
        <v>0</v>
      </c>
      <c r="J73" s="144" t="str">
        <f>IF(A73="","",IFERROR(INDEX('Facturación 2026'!$L$4:$L$500,MATCH($A73,'Facturación 2026'!$A$4:$A$500,0)),""))</f>
        <v/>
      </c>
    </row>
    <row r="74" spans="1:10" ht="16" customHeight="1">
      <c r="A74" s="988">
        <v>46065</v>
      </c>
      <c r="B74" s="991" t="str">
        <f t="shared" si="7"/>
        <v>Jue</v>
      </c>
      <c r="C74" s="123" t="s">
        <v>497</v>
      </c>
      <c r="D74" s="131">
        <f t="array" ref="D74">IF(A74="","",SUMPRODUCT(('Detalle Turnos'!$I$3:$I$5028=$A74)*('Detalle Turnos'!$N$3:$N$5028=C74)*'Detalle Turnos'!$L$3:$L$5028))</f>
        <v>5</v>
      </c>
      <c r="E74" s="127">
        <f t="array" ref="E74">IF(A74="","",SUMPRODUCT(('Detalle Turnos'!$I$3:$I$5028=$A74)*('Detalle Turnos'!$N$3:$N$5028=C74)*'Detalle Turnos'!$K$3:$K$5028))</f>
        <v>34.950000000000003</v>
      </c>
      <c r="F74" s="127">
        <f t="shared" si="8"/>
        <v>6.99</v>
      </c>
      <c r="G74" s="127">
        <f t="array" ref="G74">IF(E74="","",IFERROR(SUMPRODUCT(('Facturación 2026'!$A$4:$A$920=$A74)*'Facturación 2026'!$J$4:$J$920)*E74/(SUMPRODUCT(('Caja 1'!$A$4:$A$919=$A74)*'Caja 1'!$E$4:$E$919)+SUMPRODUCT(('Caja 2'!$A$4:$A$920=$A74)*'Caja 2'!$E$4:$E$920)),0))</f>
        <v>0</v>
      </c>
      <c r="H74" s="128">
        <f t="shared" si="9"/>
        <v>34.950000000000003</v>
      </c>
      <c r="I74" s="124">
        <f t="shared" si="10"/>
        <v>0</v>
      </c>
      <c r="J74" s="144" t="str">
        <f>IF(A74="","",IFERROR(INDEX('Facturación 2026'!$L$4:$L$500,MATCH($A74,'Facturación 2026'!$A$4:$A$500,0)),""))</f>
        <v/>
      </c>
    </row>
    <row r="75" spans="1:10" ht="16" customHeight="1">
      <c r="A75" s="988">
        <v>46066</v>
      </c>
      <c r="B75" s="991" t="str">
        <f t="shared" si="7"/>
        <v>Vie</v>
      </c>
      <c r="C75" s="123" t="s">
        <v>146</v>
      </c>
      <c r="D75" s="131">
        <f t="array" ref="D75">IF(A75="","",SUMPRODUCT(('Detalle Turnos'!$I$3:$I$5028=$A75)*('Detalle Turnos'!$N$3:$N$5028=C75)*'Detalle Turnos'!$L$3:$L$5028))</f>
        <v>38</v>
      </c>
      <c r="E75" s="127">
        <f t="array" ref="E75">IF(A75="","",SUMPRODUCT(('Detalle Turnos'!$I$3:$I$5028=$A75)*('Detalle Turnos'!$N$3:$N$5028=C75)*'Detalle Turnos'!$K$3:$K$5028))</f>
        <v>95.65</v>
      </c>
      <c r="F75" s="127">
        <f t="shared" si="8"/>
        <v>2.517105263157895</v>
      </c>
      <c r="G75" s="127">
        <f t="array" ref="G75">IF(E75="","",IFERROR(SUMPRODUCT(('Facturación 2026'!$A$4:$A$920=$A75)*'Facturación 2026'!$J$4:$J$920)*E75/(SUMPRODUCT(('Caja 1'!$A$4:$A$919=$A75)*'Caja 1'!$E$4:$E$919)+SUMPRODUCT(('Caja 2'!$A$4:$A$920=$A75)*'Caja 2'!$E$4:$E$920)),0))</f>
        <v>0</v>
      </c>
      <c r="H75" s="128">
        <f t="shared" si="9"/>
        <v>95.65</v>
      </c>
      <c r="I75" s="124">
        <f t="shared" si="10"/>
        <v>0</v>
      </c>
      <c r="J75" s="144" t="str">
        <f>IF(A75="","",IFERROR(INDEX('Facturación 2026'!$L$4:$L$500,MATCH($A75,'Facturación 2026'!$A$4:$A$500,0)),""))</f>
        <v/>
      </c>
    </row>
    <row r="76" spans="1:10" ht="16" customHeight="1">
      <c r="A76" s="988">
        <v>46066</v>
      </c>
      <c r="B76" s="991" t="str">
        <f t="shared" si="7"/>
        <v>Vie</v>
      </c>
      <c r="C76" s="123" t="s">
        <v>494</v>
      </c>
      <c r="D76" s="131">
        <f t="array" ref="D76">IF(A76="","",SUMPRODUCT(('Detalle Turnos'!$I$3:$I$5028=$A76)*('Detalle Turnos'!$N$3:$N$5028=C76)*'Detalle Turnos'!$L$3:$L$5028))</f>
        <v>7</v>
      </c>
      <c r="E76" s="127">
        <f t="array" ref="E76">IF(A76="","",SUMPRODUCT(('Detalle Turnos'!$I$3:$I$5028=$A76)*('Detalle Turnos'!$N$3:$N$5028=C76)*'Detalle Turnos'!$K$3:$K$5028))</f>
        <v>80.25</v>
      </c>
      <c r="F76" s="127">
        <f t="shared" si="8"/>
        <v>11.464285714285714</v>
      </c>
      <c r="G76" s="127">
        <f t="array" ref="G76">IF(E76="","",IFERROR(SUMPRODUCT(('Facturación 2026'!$A$4:$A$920=$A76)*'Facturación 2026'!$J$4:$J$920)*E76/(SUMPRODUCT(('Caja 1'!$A$4:$A$919=$A76)*'Caja 1'!$E$4:$E$919)+SUMPRODUCT(('Caja 2'!$A$4:$A$920=$A76)*'Caja 2'!$E$4:$E$920)),0))</f>
        <v>0</v>
      </c>
      <c r="H76" s="128">
        <f t="shared" si="9"/>
        <v>80.25</v>
      </c>
      <c r="I76" s="124">
        <f t="shared" si="10"/>
        <v>0</v>
      </c>
      <c r="J76" s="144" t="str">
        <f>IF(A76="","",IFERROR(INDEX('Facturación 2026'!$L$4:$L$500,MATCH($A76,'Facturación 2026'!$A$4:$A$500,0)),""))</f>
        <v/>
      </c>
    </row>
    <row r="77" spans="1:10" ht="16" customHeight="1">
      <c r="A77" s="988">
        <v>46067</v>
      </c>
      <c r="B77" s="991" t="str">
        <f t="shared" si="7"/>
        <v>Sáb</v>
      </c>
      <c r="C77" s="123" t="s">
        <v>146</v>
      </c>
      <c r="D77" s="131">
        <f t="array" ref="D77">IF(A77="","",SUMPRODUCT(('Detalle Turnos'!$I$3:$I$5028=$A77)*('Detalle Turnos'!$N$3:$N$5028=C77)*'Detalle Turnos'!$L$3:$L$5028))</f>
        <v>26</v>
      </c>
      <c r="E77" s="127">
        <f t="array" ref="E77">IF(A77="","",SUMPRODUCT(('Detalle Turnos'!$I$3:$I$5028=$A77)*('Detalle Turnos'!$N$3:$N$5028=C77)*'Detalle Turnos'!$K$3:$K$5028))</f>
        <v>83.84999999999998</v>
      </c>
      <c r="F77" s="127">
        <f t="shared" si="8"/>
        <v>3.2249999999999992</v>
      </c>
      <c r="G77" s="127">
        <f t="array" ref="G77">IF(E77="","",IFERROR(SUMPRODUCT(('Facturación 2026'!$A$4:$A$920=$A77)*'Facturación 2026'!$J$4:$J$920)*E77/(SUMPRODUCT(('Caja 1'!$A$4:$A$919=$A77)*'Caja 1'!$E$4:$E$919)+SUMPRODUCT(('Caja 2'!$A$4:$A$920=$A77)*'Caja 2'!$E$4:$E$920)),0))</f>
        <v>0</v>
      </c>
      <c r="H77" s="128">
        <f t="shared" si="9"/>
        <v>83.84999999999998</v>
      </c>
      <c r="I77" s="124">
        <f t="shared" si="10"/>
        <v>0</v>
      </c>
      <c r="J77" s="144" t="str">
        <f>IF(A77="","",IFERROR(INDEX('Facturación 2026'!$L$4:$L$500,MATCH($A77,'Facturación 2026'!$A$4:$A$500,0)),""))</f>
        <v>San Valentín</v>
      </c>
    </row>
    <row r="78" spans="1:10" ht="16" customHeight="1">
      <c r="A78" s="988">
        <v>46067</v>
      </c>
      <c r="B78" s="991" t="str">
        <f t="shared" si="7"/>
        <v>Sáb</v>
      </c>
      <c r="C78" s="123" t="s">
        <v>494</v>
      </c>
      <c r="D78" s="131">
        <f t="array" ref="D78">IF(A78="","",SUMPRODUCT(('Detalle Turnos'!$I$3:$I$5028=$A78)*('Detalle Turnos'!$N$3:$N$5028=C78)*'Detalle Turnos'!$L$3:$L$5028))</f>
        <v>44</v>
      </c>
      <c r="E78" s="127">
        <f t="array" ref="E78">IF(A78="","",SUMPRODUCT(('Detalle Turnos'!$I$3:$I$5028=$A78)*('Detalle Turnos'!$N$3:$N$5028=C78)*'Detalle Turnos'!$K$3:$K$5028))</f>
        <v>461.54999999999995</v>
      </c>
      <c r="F78" s="127">
        <f t="shared" si="8"/>
        <v>10.489772727272726</v>
      </c>
      <c r="G78" s="127">
        <f t="array" ref="G78">IF(E78="","",IFERROR(SUMPRODUCT(('Facturación 2026'!$A$4:$A$920=$A78)*'Facturación 2026'!$J$4:$J$920)*E78/(SUMPRODUCT(('Caja 1'!$A$4:$A$919=$A78)*'Caja 1'!$E$4:$E$919)+SUMPRODUCT(('Caja 2'!$A$4:$A$920=$A78)*'Caja 2'!$E$4:$E$920)),0))</f>
        <v>0</v>
      </c>
      <c r="H78" s="128">
        <f t="shared" si="9"/>
        <v>461.54999999999995</v>
      </c>
      <c r="I78" s="124">
        <f t="shared" si="10"/>
        <v>0</v>
      </c>
      <c r="J78" s="144" t="str">
        <f>IF(A78="","",IFERROR(INDEX('Facturación 2026'!$L$4:$L$500,MATCH($A78,'Facturación 2026'!$A$4:$A$500,0)),""))</f>
        <v>San Valentín</v>
      </c>
    </row>
    <row r="79" spans="1:10" ht="16" customHeight="1">
      <c r="A79" s="988">
        <v>46068</v>
      </c>
      <c r="B79" s="991" t="str">
        <f t="shared" si="7"/>
        <v>Dom</v>
      </c>
      <c r="C79" s="123" t="s">
        <v>146</v>
      </c>
      <c r="D79" s="131">
        <f t="array" ref="D79">IF(A79="","",SUMPRODUCT(('Detalle Turnos'!$I$3:$I$5028=$A79)*('Detalle Turnos'!$N$3:$N$5028=C79)*'Detalle Turnos'!$L$3:$L$5028))</f>
        <v>40</v>
      </c>
      <c r="E79" s="127">
        <f t="array" ref="E79">IF(A79="","",SUMPRODUCT(('Detalle Turnos'!$I$3:$I$5028=$A79)*('Detalle Turnos'!$N$3:$N$5028=C79)*'Detalle Turnos'!$K$3:$K$5028))</f>
        <v>150.35000000000002</v>
      </c>
      <c r="F79" s="127">
        <f t="shared" si="8"/>
        <v>3.7587500000000005</v>
      </c>
      <c r="G79" s="127">
        <f t="array" ref="G79">IF(E79="","",IFERROR(SUMPRODUCT(('Facturación 2026'!$A$4:$A$920=$A79)*'Facturación 2026'!$J$4:$J$920)*E79/(SUMPRODUCT(('Caja 1'!$A$4:$A$919=$A79)*'Caja 1'!$E$4:$E$919)+SUMPRODUCT(('Caja 2'!$A$4:$A$920=$A79)*'Caja 2'!$E$4:$E$920)),0))</f>
        <v>0</v>
      </c>
      <c r="H79" s="128">
        <f t="shared" si="9"/>
        <v>150.35000000000002</v>
      </c>
      <c r="I79" s="124">
        <f t="shared" si="10"/>
        <v>0</v>
      </c>
      <c r="J79" s="144" t="str">
        <f>IF(A79="","",IFERROR(INDEX('Facturación 2026'!$L$4:$L$500,MATCH($A79,'Facturación 2026'!$A$4:$A$500,0)),""))</f>
        <v/>
      </c>
    </row>
    <row r="80" spans="1:10" ht="16" customHeight="1">
      <c r="A80" s="988">
        <v>46068</v>
      </c>
      <c r="B80" s="991" t="str">
        <f t="shared" si="7"/>
        <v>Dom</v>
      </c>
      <c r="C80" s="123" t="s">
        <v>494</v>
      </c>
      <c r="D80" s="131">
        <f t="array" ref="D80">IF(A80="","",SUMPRODUCT(('Detalle Turnos'!$I$3:$I$5028=$A80)*('Detalle Turnos'!$N$3:$N$5028=C80)*'Detalle Turnos'!$L$3:$L$5028))</f>
        <v>18</v>
      </c>
      <c r="E80" s="127">
        <f t="array" ref="E80">IF(A80="","",SUMPRODUCT(('Detalle Turnos'!$I$3:$I$5028=$A80)*('Detalle Turnos'!$N$3:$N$5028=C80)*'Detalle Turnos'!$K$3:$K$5028))</f>
        <v>174</v>
      </c>
      <c r="F80" s="127">
        <f t="shared" si="8"/>
        <v>9.6666666666666661</v>
      </c>
      <c r="G80" s="127">
        <f t="array" ref="G80">IF(E80="","",IFERROR(SUMPRODUCT(('Facturación 2026'!$A$4:$A$920=$A80)*'Facturación 2026'!$J$4:$J$920)*E80/(SUMPRODUCT(('Caja 1'!$A$4:$A$919=$A80)*'Caja 1'!$E$4:$E$919)+SUMPRODUCT(('Caja 2'!$A$4:$A$920=$A80)*'Caja 2'!$E$4:$E$920)),0))</f>
        <v>0</v>
      </c>
      <c r="H80" s="128">
        <f t="shared" si="9"/>
        <v>174</v>
      </c>
      <c r="I80" s="124">
        <f t="shared" si="10"/>
        <v>0</v>
      </c>
      <c r="J80" s="144" t="str">
        <f>IF(A80="","",IFERROR(INDEX('Facturación 2026'!$L$4:$L$500,MATCH($A80,'Facturación 2026'!$A$4:$A$500,0)),""))</f>
        <v/>
      </c>
    </row>
    <row r="81" spans="1:10" ht="16" customHeight="1">
      <c r="A81" s="988">
        <v>46071</v>
      </c>
      <c r="B81" s="991" t="str">
        <f t="shared" si="7"/>
        <v>Mié</v>
      </c>
      <c r="C81" s="123" t="s">
        <v>146</v>
      </c>
      <c r="D81" s="131">
        <f t="array" ref="D81">IF(A81="","",SUMPRODUCT(('Detalle Turnos'!$I$3:$I$5028=$A81)*('Detalle Turnos'!$N$3:$N$5028=C81)*'Detalle Turnos'!$L$3:$L$5028))</f>
        <v>19</v>
      </c>
      <c r="E81" s="127">
        <f t="array" ref="E81">IF(A81="","",SUMPRODUCT(('Detalle Turnos'!$I$3:$I$5028=$A81)*('Detalle Turnos'!$N$3:$N$5028=C81)*'Detalle Turnos'!$K$3:$K$5028))</f>
        <v>46.449999999999996</v>
      </c>
      <c r="F81" s="127">
        <f t="shared" si="8"/>
        <v>2.4447368421052631</v>
      </c>
      <c r="G81" s="127">
        <f t="array" ref="G81">IF(E81="","",IFERROR(SUMPRODUCT(('Facturación 2026'!$A$4:$A$920=$A81)*'Facturación 2026'!$J$4:$J$920)*E81/(SUMPRODUCT(('Caja 1'!$A$4:$A$919=$A81)*'Caja 1'!$E$4:$E$919)+SUMPRODUCT(('Caja 2'!$A$4:$A$920=$A81)*'Caja 2'!$E$4:$E$920)),0))</f>
        <v>0</v>
      </c>
      <c r="H81" s="128">
        <f t="shared" si="9"/>
        <v>46.449999999999996</v>
      </c>
      <c r="I81" s="124">
        <f t="shared" si="10"/>
        <v>0</v>
      </c>
      <c r="J81" s="144" t="str">
        <f>IF(A81="","",IFERROR(INDEX('Facturación 2026'!$L$4:$L$500,MATCH($A81,'Facturación 2026'!$A$4:$A$500,0)),""))</f>
        <v/>
      </c>
    </row>
    <row r="82" spans="1:10" ht="16" customHeight="1">
      <c r="A82" s="988">
        <v>46071</v>
      </c>
      <c r="B82" s="991" t="str">
        <f t="shared" si="7"/>
        <v>Mié</v>
      </c>
      <c r="C82" s="123" t="s">
        <v>494</v>
      </c>
      <c r="D82" s="131">
        <f t="array" ref="D82">IF(A82="","",SUMPRODUCT(('Detalle Turnos'!$I$3:$I$5028=$A82)*('Detalle Turnos'!$N$3:$N$5028=C82)*'Detalle Turnos'!$L$3:$L$5028))</f>
        <v>14</v>
      </c>
      <c r="E82" s="127">
        <f t="array" ref="E82">IF(A82="","",SUMPRODUCT(('Detalle Turnos'!$I$3:$I$5028=$A82)*('Detalle Turnos'!$N$3:$N$5028=C82)*'Detalle Turnos'!$K$3:$K$5028))</f>
        <v>196.15</v>
      </c>
      <c r="F82" s="127">
        <f t="shared" si="8"/>
        <v>14.010714285714286</v>
      </c>
      <c r="G82" s="127">
        <f t="array" ref="G82">IF(E82="","",IFERROR(SUMPRODUCT(('Facturación 2026'!$A$4:$A$920=$A82)*'Facturación 2026'!$J$4:$J$920)*E82/(SUMPRODUCT(('Caja 1'!$A$4:$A$919=$A82)*'Caja 1'!$E$4:$E$919)+SUMPRODUCT(('Caja 2'!$A$4:$A$920=$A82)*'Caja 2'!$E$4:$E$920)),0))</f>
        <v>0</v>
      </c>
      <c r="H82" s="128">
        <f t="shared" si="9"/>
        <v>196.15</v>
      </c>
      <c r="I82" s="124">
        <f t="shared" si="10"/>
        <v>0</v>
      </c>
      <c r="J82" s="144" t="str">
        <f>IF(A82="","",IFERROR(INDEX('Facturación 2026'!$L$4:$L$500,MATCH($A82,'Facturación 2026'!$A$4:$A$500,0)),""))</f>
        <v/>
      </c>
    </row>
    <row r="83" spans="1:10" ht="16" customHeight="1">
      <c r="A83" s="988">
        <v>46071</v>
      </c>
      <c r="B83" s="991" t="str">
        <f t="shared" si="7"/>
        <v>Mié</v>
      </c>
      <c r="C83" s="123" t="s">
        <v>497</v>
      </c>
      <c r="D83" s="131">
        <f t="array" ref="D83">IF(A83="","",SUMPRODUCT(('Detalle Turnos'!$I$3:$I$5028=$A83)*('Detalle Turnos'!$N$3:$N$5028=C83)*'Detalle Turnos'!$L$3:$L$5028))</f>
        <v>6</v>
      </c>
      <c r="E83" s="127">
        <f t="array" ref="E83">IF(A83="","",SUMPRODUCT(('Detalle Turnos'!$I$3:$I$5028=$A83)*('Detalle Turnos'!$N$3:$N$5028=C83)*'Detalle Turnos'!$K$3:$K$5028))</f>
        <v>44.6</v>
      </c>
      <c r="F83" s="127">
        <f t="shared" si="8"/>
        <v>7.4333333333333336</v>
      </c>
      <c r="G83" s="127">
        <f t="array" ref="G83">IF(E83="","",IFERROR(SUMPRODUCT(('Facturación 2026'!$A$4:$A$920=$A83)*'Facturación 2026'!$J$4:$J$920)*E83/(SUMPRODUCT(('Caja 1'!$A$4:$A$919=$A83)*'Caja 1'!$E$4:$E$919)+SUMPRODUCT(('Caja 2'!$A$4:$A$920=$A83)*'Caja 2'!$E$4:$E$920)),0))</f>
        <v>0</v>
      </c>
      <c r="H83" s="128">
        <f t="shared" si="9"/>
        <v>44.6</v>
      </c>
      <c r="I83" s="124">
        <f t="shared" si="10"/>
        <v>0</v>
      </c>
      <c r="J83" s="144" t="str">
        <f>IF(A83="","",IFERROR(INDEX('Facturación 2026'!$L$4:$L$500,MATCH($A83,'Facturación 2026'!$A$4:$A$500,0)),""))</f>
        <v/>
      </c>
    </row>
    <row r="84" spans="1:10" ht="16" customHeight="1">
      <c r="A84" s="988">
        <v>46072</v>
      </c>
      <c r="B84" s="991" t="str">
        <f t="shared" si="7"/>
        <v>Jue</v>
      </c>
      <c r="C84" s="123" t="s">
        <v>146</v>
      </c>
      <c r="D84" s="131">
        <f t="array" ref="D84">IF(A84="","",SUMPRODUCT(('Detalle Turnos'!$I$3:$I$5028=$A84)*('Detalle Turnos'!$N$3:$N$5028=C84)*'Detalle Turnos'!$L$3:$L$5028))</f>
        <v>19</v>
      </c>
      <c r="E84" s="127">
        <f t="array" ref="E84">IF(A84="","",SUMPRODUCT(('Detalle Turnos'!$I$3:$I$5028=$A84)*('Detalle Turnos'!$N$3:$N$5028=C84)*'Detalle Turnos'!$K$3:$K$5028))</f>
        <v>53.849999999999994</v>
      </c>
      <c r="F84" s="127">
        <f t="shared" si="8"/>
        <v>2.8342105263157893</v>
      </c>
      <c r="G84" s="127">
        <f t="array" ref="G84">IF(E84="","",IFERROR(SUMPRODUCT(('Facturación 2026'!$A$4:$A$920=$A84)*'Facturación 2026'!$J$4:$J$920)*E84/(SUMPRODUCT(('Caja 1'!$A$4:$A$919=$A84)*'Caja 1'!$E$4:$E$919)+SUMPRODUCT(('Caja 2'!$A$4:$A$920=$A84)*'Caja 2'!$E$4:$E$920)),0))</f>
        <v>0</v>
      </c>
      <c r="H84" s="128">
        <f t="shared" si="9"/>
        <v>53.849999999999994</v>
      </c>
      <c r="I84" s="124">
        <f t="shared" si="10"/>
        <v>0</v>
      </c>
      <c r="J84" s="144" t="str">
        <f>IF(A84="","",IFERROR(INDEX('Facturación 2026'!$L$4:$L$500,MATCH($A84,'Facturación 2026'!$A$4:$A$500,0)),""))</f>
        <v/>
      </c>
    </row>
    <row r="85" spans="1:10" ht="16" customHeight="1">
      <c r="A85" s="988">
        <v>46072</v>
      </c>
      <c r="B85" s="991" t="str">
        <f t="shared" si="7"/>
        <v>Jue</v>
      </c>
      <c r="C85" s="123" t="s">
        <v>494</v>
      </c>
      <c r="D85" s="131">
        <f t="array" ref="D85">IF(A85="","",SUMPRODUCT(('Detalle Turnos'!$I$3:$I$5028=$A85)*('Detalle Turnos'!$N$3:$N$5028=C85)*'Detalle Turnos'!$L$3:$L$5028))</f>
        <v>13</v>
      </c>
      <c r="E85" s="127">
        <f t="array" ref="E85">IF(A85="","",SUMPRODUCT(('Detalle Turnos'!$I$3:$I$5028=$A85)*('Detalle Turnos'!$N$3:$N$5028=C85)*'Detalle Turnos'!$K$3:$K$5028))</f>
        <v>163.70000000000002</v>
      </c>
      <c r="F85" s="127">
        <f t="shared" si="8"/>
        <v>12.592307692307694</v>
      </c>
      <c r="G85" s="127">
        <f t="array" ref="G85">IF(E85="","",IFERROR(SUMPRODUCT(('Facturación 2026'!$A$4:$A$920=$A85)*'Facturación 2026'!$J$4:$J$920)*E85/(SUMPRODUCT(('Caja 1'!$A$4:$A$919=$A85)*'Caja 1'!$E$4:$E$919)+SUMPRODUCT(('Caja 2'!$A$4:$A$920=$A85)*'Caja 2'!$E$4:$E$920)),0))</f>
        <v>0</v>
      </c>
      <c r="H85" s="128">
        <f t="shared" si="9"/>
        <v>163.70000000000002</v>
      </c>
      <c r="I85" s="124">
        <f t="shared" si="10"/>
        <v>0</v>
      </c>
      <c r="J85" s="144" t="str">
        <f>IF(A85="","",IFERROR(INDEX('Facturación 2026'!$L$4:$L$500,MATCH($A85,'Facturación 2026'!$A$4:$A$500,0)),""))</f>
        <v/>
      </c>
    </row>
    <row r="86" spans="1:10" ht="16" customHeight="1">
      <c r="A86" s="988">
        <v>46072</v>
      </c>
      <c r="B86" s="991" t="str">
        <f t="shared" si="7"/>
        <v>Jue</v>
      </c>
      <c r="C86" s="123" t="s">
        <v>497</v>
      </c>
      <c r="D86" s="131">
        <f t="array" ref="D86">IF(A86="","",SUMPRODUCT(('Detalle Turnos'!$I$3:$I$5028=$A86)*('Detalle Turnos'!$N$3:$N$5028=C86)*'Detalle Turnos'!$L$3:$L$5028))</f>
        <v>4</v>
      </c>
      <c r="E86" s="127">
        <f t="array" ref="E86">IF(A86="","",SUMPRODUCT(('Detalle Turnos'!$I$3:$I$5028=$A86)*('Detalle Turnos'!$N$3:$N$5028=C86)*'Detalle Turnos'!$K$3:$K$5028))</f>
        <v>39.950000000000003</v>
      </c>
      <c r="F86" s="127">
        <f t="shared" si="8"/>
        <v>9.9875000000000007</v>
      </c>
      <c r="G86" s="127">
        <f t="array" ref="G86">IF(E86="","",IFERROR(SUMPRODUCT(('Facturación 2026'!$A$4:$A$920=$A86)*'Facturación 2026'!$J$4:$J$920)*E86/(SUMPRODUCT(('Caja 1'!$A$4:$A$919=$A86)*'Caja 1'!$E$4:$E$919)+SUMPRODUCT(('Caja 2'!$A$4:$A$920=$A86)*'Caja 2'!$E$4:$E$920)),0))</f>
        <v>0</v>
      </c>
      <c r="H86" s="128">
        <f t="shared" si="9"/>
        <v>39.950000000000003</v>
      </c>
      <c r="I86" s="124">
        <f t="shared" si="10"/>
        <v>0</v>
      </c>
      <c r="J86" s="144" t="str">
        <f>IF(A86="","",IFERROR(INDEX('Facturación 2026'!$L$4:$L$500,MATCH($A86,'Facturación 2026'!$A$4:$A$500,0)),""))</f>
        <v/>
      </c>
    </row>
    <row r="87" spans="1:10" ht="16" customHeight="1">
      <c r="A87" s="988">
        <v>46073</v>
      </c>
      <c r="B87" s="991" t="str">
        <f t="shared" si="7"/>
        <v>Vie</v>
      </c>
      <c r="C87" s="123" t="s">
        <v>146</v>
      </c>
      <c r="D87" s="131">
        <f t="array" ref="D87">IF(A87="","",SUMPRODUCT(('Detalle Turnos'!$I$3:$I$5028=$A87)*('Detalle Turnos'!$N$3:$N$5028=C87)*'Detalle Turnos'!$L$3:$L$5028))</f>
        <v>19</v>
      </c>
      <c r="E87" s="127">
        <f t="array" ref="E87">IF(A87="","",SUMPRODUCT(('Detalle Turnos'!$I$3:$I$5028=$A87)*('Detalle Turnos'!$N$3:$N$5028=C87)*'Detalle Turnos'!$K$3:$K$5028))</f>
        <v>47.2</v>
      </c>
      <c r="F87" s="127">
        <f t="shared" si="8"/>
        <v>2.4842105263157896</v>
      </c>
      <c r="G87" s="127">
        <f t="array" ref="G87">IF(E87="","",IFERROR(SUMPRODUCT(('Facturación 2026'!$A$4:$A$920=$A87)*'Facturación 2026'!$J$4:$J$920)*E87/(SUMPRODUCT(('Caja 1'!$A$4:$A$919=$A87)*'Caja 1'!$E$4:$E$919)+SUMPRODUCT(('Caja 2'!$A$4:$A$920=$A87)*'Caja 2'!$E$4:$E$920)),0))</f>
        <v>0</v>
      </c>
      <c r="H87" s="128">
        <f t="shared" si="9"/>
        <v>47.2</v>
      </c>
      <c r="I87" s="124">
        <f t="shared" si="10"/>
        <v>0</v>
      </c>
      <c r="J87" s="144" t="str">
        <f>IF(A87="","",IFERROR(INDEX('Facturación 2026'!$L$4:$L$500,MATCH($A87,'Facturación 2026'!$A$4:$A$500,0)),""))</f>
        <v/>
      </c>
    </row>
    <row r="88" spans="1:10" ht="16" customHeight="1">
      <c r="A88" s="988">
        <v>46073</v>
      </c>
      <c r="B88" s="991" t="str">
        <f t="shared" si="7"/>
        <v>Vie</v>
      </c>
      <c r="C88" s="123" t="s">
        <v>494</v>
      </c>
      <c r="D88" s="131">
        <f t="array" ref="D88">IF(A88="","",SUMPRODUCT(('Detalle Turnos'!$I$3:$I$5028=$A88)*('Detalle Turnos'!$N$3:$N$5028=C88)*'Detalle Turnos'!$L$3:$L$5028))</f>
        <v>9</v>
      </c>
      <c r="E88" s="127">
        <f t="array" ref="E88">IF(A88="","",SUMPRODUCT(('Detalle Turnos'!$I$3:$I$5028=$A88)*('Detalle Turnos'!$N$3:$N$5028=C88)*'Detalle Turnos'!$K$3:$K$5028))</f>
        <v>35.200000000000003</v>
      </c>
      <c r="F88" s="127">
        <f t="shared" si="8"/>
        <v>3.9111111111111114</v>
      </c>
      <c r="G88" s="127">
        <f t="array" ref="G88">IF(E88="","",IFERROR(SUMPRODUCT(('Facturación 2026'!$A$4:$A$920=$A88)*'Facturación 2026'!$J$4:$J$920)*E88/(SUMPRODUCT(('Caja 1'!$A$4:$A$919=$A88)*'Caja 1'!$E$4:$E$919)+SUMPRODUCT(('Caja 2'!$A$4:$A$920=$A88)*'Caja 2'!$E$4:$E$920)),0))</f>
        <v>0</v>
      </c>
      <c r="H88" s="128">
        <f t="shared" si="9"/>
        <v>35.200000000000003</v>
      </c>
      <c r="I88" s="124">
        <f t="shared" si="10"/>
        <v>0</v>
      </c>
      <c r="J88" s="144" t="str">
        <f>IF(A88="","",IFERROR(INDEX('Facturación 2026'!$L$4:$L$500,MATCH($A88,'Facturación 2026'!$A$4:$A$500,0)),""))</f>
        <v/>
      </c>
    </row>
    <row r="89" spans="1:10" ht="16" customHeight="1">
      <c r="A89" s="988">
        <v>46073</v>
      </c>
      <c r="B89" s="991" t="str">
        <f t="shared" si="7"/>
        <v>Vie</v>
      </c>
      <c r="C89" s="123" t="s">
        <v>497</v>
      </c>
      <c r="D89" s="131">
        <f t="array" ref="D89">IF(A89="","",SUMPRODUCT(('Detalle Turnos'!$I$3:$I$5028=$A89)*('Detalle Turnos'!$N$3:$N$5028=C89)*'Detalle Turnos'!$L$3:$L$5028))</f>
        <v>15</v>
      </c>
      <c r="E89" s="127">
        <f t="array" ref="E89">IF(A89="","",SUMPRODUCT(('Detalle Turnos'!$I$3:$I$5028=$A89)*('Detalle Turnos'!$N$3:$N$5028=C89)*'Detalle Turnos'!$K$3:$K$5028))</f>
        <v>210.74999999999997</v>
      </c>
      <c r="F89" s="127">
        <f t="shared" si="8"/>
        <v>14.049999999999999</v>
      </c>
      <c r="G89" s="127">
        <f t="array" ref="G89">IF(E89="","",IFERROR(SUMPRODUCT(('Facturación 2026'!$A$4:$A$920=$A89)*'Facturación 2026'!$J$4:$J$920)*E89/(SUMPRODUCT(('Caja 1'!$A$4:$A$919=$A89)*'Caja 1'!$E$4:$E$919)+SUMPRODUCT(('Caja 2'!$A$4:$A$920=$A89)*'Caja 2'!$E$4:$E$920)),0))</f>
        <v>0</v>
      </c>
      <c r="H89" s="128">
        <f t="shared" si="9"/>
        <v>210.74999999999997</v>
      </c>
      <c r="I89" s="124">
        <f t="shared" si="10"/>
        <v>0</v>
      </c>
      <c r="J89" s="144" t="str">
        <f>IF(A89="","",IFERROR(INDEX('Facturación 2026'!$L$4:$L$500,MATCH($A89,'Facturación 2026'!$A$4:$A$500,0)),""))</f>
        <v/>
      </c>
    </row>
    <row r="90" spans="1:10" ht="16" customHeight="1">
      <c r="A90" s="988">
        <v>46074</v>
      </c>
      <c r="B90" s="991" t="str">
        <f t="shared" si="7"/>
        <v>Sáb</v>
      </c>
      <c r="C90" s="123" t="s">
        <v>146</v>
      </c>
      <c r="D90" s="131">
        <f t="array" ref="D90">IF(A90="","",SUMPRODUCT(('Detalle Turnos'!$I$3:$I$5028=$A90)*('Detalle Turnos'!$N$3:$N$5028=C90)*'Detalle Turnos'!$L$3:$L$5028))</f>
        <v>23</v>
      </c>
      <c r="E90" s="127">
        <f t="array" ref="E90">IF(A90="","",SUMPRODUCT(('Detalle Turnos'!$I$3:$I$5028=$A90)*('Detalle Turnos'!$N$3:$N$5028=C90)*'Detalle Turnos'!$K$3:$K$5028))</f>
        <v>105.39999999999998</v>
      </c>
      <c r="F90" s="127">
        <f t="shared" si="8"/>
        <v>4.5826086956521728</v>
      </c>
      <c r="G90" s="127">
        <f t="array" ref="G90">IF(E90="","",IFERROR(SUMPRODUCT(('Facturación 2026'!$A$4:$A$920=$A90)*'Facturación 2026'!$J$4:$J$920)*E90/(SUMPRODUCT(('Caja 1'!$A$4:$A$919=$A90)*'Caja 1'!$E$4:$E$919)+SUMPRODUCT(('Caja 2'!$A$4:$A$920=$A90)*'Caja 2'!$E$4:$E$920)),0))</f>
        <v>0</v>
      </c>
      <c r="H90" s="128">
        <f t="shared" si="9"/>
        <v>105.39999999999998</v>
      </c>
      <c r="I90" s="124">
        <f t="shared" si="10"/>
        <v>0</v>
      </c>
      <c r="J90" s="144" t="str">
        <f>IF(A90="","",IFERROR(INDEX('Facturación 2026'!$L$4:$L$500,MATCH($A90,'Facturación 2026'!$A$4:$A$500,0)),""))</f>
        <v/>
      </c>
    </row>
    <row r="91" spans="1:10" ht="16" customHeight="1">
      <c r="A91" s="988">
        <v>46074</v>
      </c>
      <c r="B91" s="991" t="str">
        <f t="shared" si="7"/>
        <v>Sáb</v>
      </c>
      <c r="C91" s="123" t="s">
        <v>494</v>
      </c>
      <c r="D91" s="131">
        <f t="array" ref="D91">IF(A91="","",SUMPRODUCT(('Detalle Turnos'!$I$3:$I$5028=$A91)*('Detalle Turnos'!$N$3:$N$5028=C91)*'Detalle Turnos'!$L$3:$L$5028))</f>
        <v>35</v>
      </c>
      <c r="E91" s="127">
        <f t="array" ref="E91">IF(A91="","",SUMPRODUCT(('Detalle Turnos'!$I$3:$I$5028=$A91)*('Detalle Turnos'!$N$3:$N$5028=C91)*'Detalle Turnos'!$K$3:$K$5028))</f>
        <v>474.5</v>
      </c>
      <c r="F91" s="127">
        <f t="shared" si="8"/>
        <v>13.557142857142857</v>
      </c>
      <c r="G91" s="127">
        <f t="array" ref="G91">IF(E91="","",IFERROR(SUMPRODUCT(('Facturación 2026'!$A$4:$A$920=$A91)*'Facturación 2026'!$J$4:$J$920)*E91/(SUMPRODUCT(('Caja 1'!$A$4:$A$919=$A91)*'Caja 1'!$E$4:$E$919)+SUMPRODUCT(('Caja 2'!$A$4:$A$920=$A91)*'Caja 2'!$E$4:$E$920)),0))</f>
        <v>0</v>
      </c>
      <c r="H91" s="128">
        <f t="shared" si="9"/>
        <v>474.5</v>
      </c>
      <c r="I91" s="124">
        <f t="shared" si="10"/>
        <v>0</v>
      </c>
      <c r="J91" s="144" t="str">
        <f>IF(A91="","",IFERROR(INDEX('Facturación 2026'!$L$4:$L$500,MATCH($A91,'Facturación 2026'!$A$4:$A$500,0)),""))</f>
        <v/>
      </c>
    </row>
    <row r="92" spans="1:10" ht="16" customHeight="1">
      <c r="A92" s="988">
        <v>46074</v>
      </c>
      <c r="B92" s="991" t="str">
        <f t="shared" si="7"/>
        <v>Sáb</v>
      </c>
      <c r="C92" s="123" t="s">
        <v>497</v>
      </c>
      <c r="D92" s="131">
        <f t="array" ref="D92">IF(A92="","",SUMPRODUCT(('Detalle Turnos'!$I$3:$I$5028=$A92)*('Detalle Turnos'!$N$3:$N$5028=C92)*'Detalle Turnos'!$L$3:$L$5028))</f>
        <v>10</v>
      </c>
      <c r="E92" s="127">
        <f t="array" ref="E92">IF(A92="","",SUMPRODUCT(('Detalle Turnos'!$I$3:$I$5028=$A92)*('Detalle Turnos'!$N$3:$N$5028=C92)*'Detalle Turnos'!$K$3:$K$5028))</f>
        <v>167.3</v>
      </c>
      <c r="F92" s="127">
        <f t="shared" si="8"/>
        <v>16.73</v>
      </c>
      <c r="G92" s="127">
        <f t="array" ref="G92">IF(E92="","",IFERROR(SUMPRODUCT(('Facturación 2026'!$A$4:$A$920=$A92)*'Facturación 2026'!$J$4:$J$920)*E92/(SUMPRODUCT(('Caja 1'!$A$4:$A$919=$A92)*'Caja 1'!$E$4:$E$919)+SUMPRODUCT(('Caja 2'!$A$4:$A$920=$A92)*'Caja 2'!$E$4:$E$920)),0))</f>
        <v>0</v>
      </c>
      <c r="H92" s="128">
        <f t="shared" si="9"/>
        <v>167.3</v>
      </c>
      <c r="I92" s="124">
        <f t="shared" si="10"/>
        <v>0</v>
      </c>
      <c r="J92" s="144" t="str">
        <f>IF(A92="","",IFERROR(INDEX('Facturación 2026'!$L$4:$L$500,MATCH($A92,'Facturación 2026'!$A$4:$A$500,0)),""))</f>
        <v/>
      </c>
    </row>
    <row r="93" spans="1:10" ht="16" customHeight="1">
      <c r="A93" s="988">
        <v>46075</v>
      </c>
      <c r="B93" s="991" t="str">
        <f t="shared" si="7"/>
        <v>Dom</v>
      </c>
      <c r="C93" s="123" t="s">
        <v>146</v>
      </c>
      <c r="D93" s="131">
        <f t="array" ref="D93">IF(A93="","",SUMPRODUCT(('Detalle Turnos'!$I$3:$I$5028=$A93)*('Detalle Turnos'!$N$3:$N$5028=C93)*'Detalle Turnos'!$L$3:$L$5028))</f>
        <v>25</v>
      </c>
      <c r="E93" s="127">
        <f t="array" ref="E93">IF(A93="","",SUMPRODUCT(('Detalle Turnos'!$I$3:$I$5028=$A93)*('Detalle Turnos'!$N$3:$N$5028=C93)*'Detalle Turnos'!$K$3:$K$5028))</f>
        <v>128.5</v>
      </c>
      <c r="F93" s="127">
        <f t="shared" si="8"/>
        <v>5.14</v>
      </c>
      <c r="G93" s="127">
        <f t="array" ref="G93">IF(E93="","",IFERROR(SUMPRODUCT(('Facturación 2026'!$A$4:$A$920=$A93)*'Facturación 2026'!$J$4:$J$920)*E93/(SUMPRODUCT(('Caja 1'!$A$4:$A$919=$A93)*'Caja 1'!$E$4:$E$919)+SUMPRODUCT(('Caja 2'!$A$4:$A$920=$A93)*'Caja 2'!$E$4:$E$920)),0))</f>
        <v>0</v>
      </c>
      <c r="H93" s="128">
        <f t="shared" si="9"/>
        <v>128.5</v>
      </c>
      <c r="I93" s="124">
        <f t="shared" si="10"/>
        <v>0</v>
      </c>
      <c r="J93" s="144" t="str">
        <f>IF(A93="","",IFERROR(INDEX('Facturación 2026'!$L$4:$L$500,MATCH($A93,'Facturación 2026'!$A$4:$A$500,0)),""))</f>
        <v>Carnaval</v>
      </c>
    </row>
    <row r="94" spans="1:10" ht="16" customHeight="1">
      <c r="A94" s="988">
        <v>46075</v>
      </c>
      <c r="B94" s="991" t="str">
        <f t="shared" si="7"/>
        <v>Dom</v>
      </c>
      <c r="C94" s="123" t="s">
        <v>494</v>
      </c>
      <c r="D94" s="131">
        <f t="array" ref="D94">IF(A94="","",SUMPRODUCT(('Detalle Turnos'!$I$3:$I$5028=$A94)*('Detalle Turnos'!$N$3:$N$5028=C94)*'Detalle Turnos'!$L$3:$L$5028))</f>
        <v>33</v>
      </c>
      <c r="E94" s="127">
        <f t="array" ref="E94">IF(A94="","",SUMPRODUCT(('Detalle Turnos'!$I$3:$I$5028=$A94)*('Detalle Turnos'!$N$3:$N$5028=C94)*'Detalle Turnos'!$K$3:$K$5028))</f>
        <v>591.85</v>
      </c>
      <c r="F94" s="127">
        <f t="shared" si="8"/>
        <v>17.934848484848487</v>
      </c>
      <c r="G94" s="127">
        <f t="array" ref="G94">IF(E94="","",IFERROR(SUMPRODUCT(('Facturación 2026'!$A$4:$A$920=$A94)*'Facturación 2026'!$J$4:$J$920)*E94/(SUMPRODUCT(('Caja 1'!$A$4:$A$919=$A94)*'Caja 1'!$E$4:$E$919)+SUMPRODUCT(('Caja 2'!$A$4:$A$920=$A94)*'Caja 2'!$E$4:$E$920)),0))</f>
        <v>0</v>
      </c>
      <c r="H94" s="128">
        <f t="shared" si="9"/>
        <v>591.85</v>
      </c>
      <c r="I94" s="124">
        <f t="shared" si="10"/>
        <v>0</v>
      </c>
      <c r="J94" s="144" t="str">
        <f>IF(A94="","",IFERROR(INDEX('Facturación 2026'!$L$4:$L$500,MATCH($A94,'Facturación 2026'!$A$4:$A$500,0)),""))</f>
        <v>Carnaval</v>
      </c>
    </row>
    <row r="95" spans="1:10" ht="16" customHeight="1">
      <c r="A95" s="988">
        <v>46092</v>
      </c>
      <c r="B95" s="991" t="str">
        <f t="shared" si="7"/>
        <v>Mié</v>
      </c>
      <c r="C95" s="123" t="s">
        <v>146</v>
      </c>
      <c r="D95" s="131">
        <f t="array" ref="D95">IF(A95="","",SUMPRODUCT(('Detalle Turnos'!$I$3:$I$5028=$A95)*('Detalle Turnos'!$N$3:$N$5028=C95)*'Detalle Turnos'!$L$3:$L$5028))</f>
        <v>18</v>
      </c>
      <c r="E95" s="127">
        <f t="array" ref="E95">IF(A95="","",SUMPRODUCT(('Detalle Turnos'!$I$3:$I$5028=$A95)*('Detalle Turnos'!$N$3:$N$5028=C95)*'Detalle Turnos'!$K$3:$K$5028))</f>
        <v>51.55</v>
      </c>
      <c r="F95" s="127">
        <f t="shared" si="8"/>
        <v>2.8638888888888889</v>
      </c>
      <c r="G95" s="127">
        <f t="array" ref="G95">IF(E95="","",IFERROR(SUMPRODUCT(('Facturación 2026'!$A$4:$A$920=$A95)*'Facturación 2026'!$J$4:$J$920)*E95/(SUMPRODUCT(('Caja 1'!$A$4:$A$919=$A95)*'Caja 1'!$E$4:$E$919)+SUMPRODUCT(('Caja 2'!$A$4:$A$920=$A95)*'Caja 2'!$E$4:$E$920)),0))</f>
        <v>0</v>
      </c>
      <c r="H95" s="128">
        <f t="shared" si="9"/>
        <v>51.55</v>
      </c>
      <c r="I95" s="124">
        <f t="shared" si="10"/>
        <v>0</v>
      </c>
      <c r="J95" s="144" t="str">
        <f>IF(A95="","",IFERROR(INDEX('Facturación 2026'!$L$4:$L$500,MATCH($A95,'Facturación 2026'!$A$4:$A$500,0)),""))</f>
        <v/>
      </c>
    </row>
    <row r="96" spans="1:10" ht="16" customHeight="1">
      <c r="A96" s="988">
        <v>46092</v>
      </c>
      <c r="B96" s="991" t="str">
        <f t="shared" si="7"/>
        <v>Mié</v>
      </c>
      <c r="C96" s="123" t="s">
        <v>494</v>
      </c>
      <c r="D96" s="131">
        <f t="array" ref="D96">IF(A96="","",SUMPRODUCT(('Detalle Turnos'!$I$3:$I$5028=$A96)*('Detalle Turnos'!$N$3:$N$5028=C96)*'Detalle Turnos'!$L$3:$L$5028))</f>
        <v>19</v>
      </c>
      <c r="E96" s="127">
        <f t="array" ref="E96">IF(A96="","",SUMPRODUCT(('Detalle Turnos'!$I$3:$I$5028=$A96)*('Detalle Turnos'!$N$3:$N$5028=C96)*'Detalle Turnos'!$K$3:$K$5028))</f>
        <v>119.6</v>
      </c>
      <c r="F96" s="127">
        <f t="shared" si="8"/>
        <v>6.2947368421052632</v>
      </c>
      <c r="G96" s="127">
        <f t="array" ref="G96">IF(E96="","",IFERROR(SUMPRODUCT(('Facturación 2026'!$A$4:$A$920=$A96)*'Facturación 2026'!$J$4:$J$920)*E96/(SUMPRODUCT(('Caja 1'!$A$4:$A$919=$A96)*'Caja 1'!$E$4:$E$919)+SUMPRODUCT(('Caja 2'!$A$4:$A$920=$A96)*'Caja 2'!$E$4:$E$920)),0))</f>
        <v>0</v>
      </c>
      <c r="H96" s="128">
        <f t="shared" si="9"/>
        <v>119.6</v>
      </c>
      <c r="I96" s="124">
        <f t="shared" si="10"/>
        <v>0</v>
      </c>
      <c r="J96" s="144" t="str">
        <f>IF(A96="","",IFERROR(INDEX('Facturación 2026'!$L$4:$L$500,MATCH($A96,'Facturación 2026'!$A$4:$A$500,0)),""))</f>
        <v/>
      </c>
    </row>
    <row r="97" spans="1:10" ht="16" customHeight="1">
      <c r="A97" s="988">
        <v>46092</v>
      </c>
      <c r="B97" s="991" t="str">
        <f t="shared" si="7"/>
        <v>Mié</v>
      </c>
      <c r="C97" s="123" t="s">
        <v>497</v>
      </c>
      <c r="D97" s="131">
        <f t="array" ref="D97">IF(A97="","",SUMPRODUCT(('Detalle Turnos'!$I$3:$I$5028=$A97)*('Detalle Turnos'!$N$3:$N$5028=C97)*'Detalle Turnos'!$L$3:$L$5028))</f>
        <v>7</v>
      </c>
      <c r="E97" s="127">
        <f t="array" ref="E97">IF(A97="","",SUMPRODUCT(('Detalle Turnos'!$I$3:$I$5028=$A97)*('Detalle Turnos'!$N$3:$N$5028=C97)*'Detalle Turnos'!$K$3:$K$5028))</f>
        <v>98.45</v>
      </c>
      <c r="F97" s="127">
        <f t="shared" si="8"/>
        <v>14.064285714285715</v>
      </c>
      <c r="G97" s="127">
        <f t="array" ref="G97">IF(E97="","",IFERROR(SUMPRODUCT(('Facturación 2026'!$A$4:$A$920=$A97)*'Facturación 2026'!$J$4:$J$920)*E97/(SUMPRODUCT(('Caja 1'!$A$4:$A$919=$A97)*'Caja 1'!$E$4:$E$919)+SUMPRODUCT(('Caja 2'!$A$4:$A$920=$A97)*'Caja 2'!$E$4:$E$920)),0))</f>
        <v>0</v>
      </c>
      <c r="H97" s="128">
        <f t="shared" si="9"/>
        <v>98.45</v>
      </c>
      <c r="I97" s="124">
        <f t="shared" si="10"/>
        <v>0</v>
      </c>
      <c r="J97" s="144" t="str">
        <f>IF(A97="","",IFERROR(INDEX('Facturación 2026'!$L$4:$L$500,MATCH($A97,'Facturación 2026'!$A$4:$A$500,0)),""))</f>
        <v/>
      </c>
    </row>
    <row r="98" spans="1:10" ht="16" customHeight="1">
      <c r="A98" s="988">
        <v>46093</v>
      </c>
      <c r="B98" s="991" t="str">
        <f t="shared" si="7"/>
        <v>Jue</v>
      </c>
      <c r="C98" s="123" t="s">
        <v>146</v>
      </c>
      <c r="D98" s="131">
        <f t="array" ref="D98">IF(A98="","",SUMPRODUCT(('Detalle Turnos'!$I$3:$I$5028=$A98)*('Detalle Turnos'!$N$3:$N$5028=C98)*'Detalle Turnos'!$L$3:$L$5028))</f>
        <v>16</v>
      </c>
      <c r="E98" s="127">
        <f t="array" ref="E98">IF(A98="","",SUMPRODUCT(('Detalle Turnos'!$I$3:$I$5028=$A98)*('Detalle Turnos'!$N$3:$N$5028=C98)*'Detalle Turnos'!$K$3:$K$5028))</f>
        <v>44.7</v>
      </c>
      <c r="F98" s="127">
        <f t="shared" si="8"/>
        <v>2.7937500000000002</v>
      </c>
      <c r="G98" s="127">
        <f t="array" ref="G98">IF(E98="","",IFERROR(SUMPRODUCT(('Facturación 2026'!$A$4:$A$920=$A98)*'Facturación 2026'!$J$4:$J$920)*E98/(SUMPRODUCT(('Caja 1'!$A$4:$A$919=$A98)*'Caja 1'!$E$4:$E$919)+SUMPRODUCT(('Caja 2'!$A$4:$A$920=$A98)*'Caja 2'!$E$4:$E$920)),0))</f>
        <v>0</v>
      </c>
      <c r="H98" s="128">
        <f t="shared" si="9"/>
        <v>44.7</v>
      </c>
      <c r="I98" s="124">
        <f t="shared" si="10"/>
        <v>0</v>
      </c>
      <c r="J98" s="144" t="str">
        <f>IF(A98="","",IFERROR(INDEX('Facturación 2026'!$L$4:$L$500,MATCH($A98,'Facturación 2026'!$A$4:$A$500,0)),""))</f>
        <v/>
      </c>
    </row>
    <row r="99" spans="1:10" ht="16" customHeight="1">
      <c r="A99" s="988">
        <v>46093</v>
      </c>
      <c r="B99" s="991" t="str">
        <f t="shared" si="7"/>
        <v>Jue</v>
      </c>
      <c r="C99" s="123" t="s">
        <v>494</v>
      </c>
      <c r="D99" s="131">
        <f t="array" ref="D99">IF(A99="","",SUMPRODUCT(('Detalle Turnos'!$I$3:$I$5028=$A99)*('Detalle Turnos'!$N$3:$N$5028=C99)*'Detalle Turnos'!$L$3:$L$5028))</f>
        <v>5</v>
      </c>
      <c r="E99" s="127">
        <f t="array" ref="E99">IF(A99="","",SUMPRODUCT(('Detalle Turnos'!$I$3:$I$5028=$A99)*('Detalle Turnos'!$N$3:$N$5028=C99)*'Detalle Turnos'!$K$3:$K$5028))</f>
        <v>46.099999999999994</v>
      </c>
      <c r="F99" s="127">
        <f t="shared" si="8"/>
        <v>9.2199999999999989</v>
      </c>
      <c r="G99" s="127">
        <f t="array" ref="G99">IF(E99="","",IFERROR(SUMPRODUCT(('Facturación 2026'!$A$4:$A$920=$A99)*'Facturación 2026'!$J$4:$J$920)*E99/(SUMPRODUCT(('Caja 1'!$A$4:$A$919=$A99)*'Caja 1'!$E$4:$E$919)+SUMPRODUCT(('Caja 2'!$A$4:$A$920=$A99)*'Caja 2'!$E$4:$E$920)),0))</f>
        <v>0</v>
      </c>
      <c r="H99" s="128">
        <f t="shared" si="9"/>
        <v>46.099999999999994</v>
      </c>
      <c r="I99" s="124">
        <f t="shared" si="10"/>
        <v>0</v>
      </c>
      <c r="J99" s="144" t="str">
        <f>IF(A99="","",IFERROR(INDEX('Facturación 2026'!$L$4:$L$500,MATCH($A99,'Facturación 2026'!$A$4:$A$500,0)),""))</f>
        <v/>
      </c>
    </row>
    <row r="100" spans="1:10" ht="16" customHeight="1">
      <c r="A100" s="988">
        <v>46093</v>
      </c>
      <c r="B100" s="991" t="str">
        <f t="shared" si="7"/>
        <v>Jue</v>
      </c>
      <c r="C100" s="123" t="s">
        <v>497</v>
      </c>
      <c r="D100" s="131">
        <f t="array" ref="D100">IF(A100="","",SUMPRODUCT(('Detalle Turnos'!$I$3:$I$5028=$A100)*('Detalle Turnos'!$N$3:$N$5028=C100)*'Detalle Turnos'!$L$3:$L$5028))</f>
        <v>4</v>
      </c>
      <c r="E100" s="127">
        <f t="array" ref="E100">IF(A100="","",SUMPRODUCT(('Detalle Turnos'!$I$3:$I$5028=$A100)*('Detalle Turnos'!$N$3:$N$5028=C100)*'Detalle Turnos'!$K$3:$K$5028))</f>
        <v>22.25</v>
      </c>
      <c r="F100" s="127">
        <f t="shared" si="8"/>
        <v>5.5625</v>
      </c>
      <c r="G100" s="127">
        <f t="array" ref="G100">IF(E100="","",IFERROR(SUMPRODUCT(('Facturación 2026'!$A$4:$A$920=$A100)*'Facturación 2026'!$J$4:$J$920)*E100/(SUMPRODUCT(('Caja 1'!$A$4:$A$919=$A100)*'Caja 1'!$E$4:$E$919)+SUMPRODUCT(('Caja 2'!$A$4:$A$920=$A100)*'Caja 2'!$E$4:$E$920)),0))</f>
        <v>0</v>
      </c>
      <c r="H100" s="128">
        <f t="shared" si="9"/>
        <v>22.25</v>
      </c>
      <c r="I100" s="124">
        <f t="shared" si="10"/>
        <v>0</v>
      </c>
      <c r="J100" s="144" t="str">
        <f>IF(A100="","",IFERROR(INDEX('Facturación 2026'!$L$4:$L$500,MATCH($A100,'Facturación 2026'!$A$4:$A$500,0)),""))</f>
        <v/>
      </c>
    </row>
    <row r="101" spans="1:10" ht="16" customHeight="1">
      <c r="A101" s="988">
        <v>46094</v>
      </c>
      <c r="B101" s="991" t="str">
        <f t="shared" si="7"/>
        <v>Vie</v>
      </c>
      <c r="C101" s="123" t="s">
        <v>146</v>
      </c>
      <c r="D101" s="131">
        <f t="array" ref="D101">IF(A101="","",SUMPRODUCT(('Detalle Turnos'!$I$3:$I$5028=$A101)*('Detalle Turnos'!$N$3:$N$5028=C101)*'Detalle Turnos'!$L$3:$L$5028))</f>
        <v>17</v>
      </c>
      <c r="E101" s="127">
        <f t="array" ref="E101">IF(A101="","",SUMPRODUCT(('Detalle Turnos'!$I$3:$I$5028=$A101)*('Detalle Turnos'!$N$3:$N$5028=C101)*'Detalle Turnos'!$K$3:$K$5028))</f>
        <v>76.55</v>
      </c>
      <c r="F101" s="127">
        <f t="shared" si="8"/>
        <v>4.5029411764705882</v>
      </c>
      <c r="G101" s="127">
        <f t="array" ref="G101">IF(E101="","",IFERROR(SUMPRODUCT(('Facturación 2026'!$A$4:$A$920=$A101)*'Facturación 2026'!$J$4:$J$920)*E101/(SUMPRODUCT(('Caja 1'!$A$4:$A$919=$A101)*'Caja 1'!$E$4:$E$919)+SUMPRODUCT(('Caja 2'!$A$4:$A$920=$A101)*'Caja 2'!$E$4:$E$920)),0))</f>
        <v>0</v>
      </c>
      <c r="H101" s="128">
        <f t="shared" si="9"/>
        <v>76.55</v>
      </c>
      <c r="I101" s="124">
        <f t="shared" si="10"/>
        <v>0</v>
      </c>
      <c r="J101" s="144" t="str">
        <f>IF(A101="","",IFERROR(INDEX('Facturación 2026'!$L$4:$L$500,MATCH($A101,'Facturación 2026'!$A$4:$A$500,0)),""))</f>
        <v/>
      </c>
    </row>
    <row r="102" spans="1:10" ht="16" customHeight="1">
      <c r="A102" s="988">
        <v>46094</v>
      </c>
      <c r="B102" s="991" t="str">
        <f t="shared" si="7"/>
        <v>Vie</v>
      </c>
      <c r="C102" s="123" t="s">
        <v>494</v>
      </c>
      <c r="D102" s="131">
        <f t="array" ref="D102">IF(A102="","",SUMPRODUCT(('Detalle Turnos'!$I$3:$I$5028=$A102)*('Detalle Turnos'!$N$3:$N$5028=C102)*'Detalle Turnos'!$L$3:$L$5028))</f>
        <v>7</v>
      </c>
      <c r="E102" s="127">
        <f t="array" ref="E102">IF(A102="","",SUMPRODUCT(('Detalle Turnos'!$I$3:$I$5028=$A102)*('Detalle Turnos'!$N$3:$N$5028=C102)*'Detalle Turnos'!$K$3:$K$5028))</f>
        <v>98.85</v>
      </c>
      <c r="F102" s="127">
        <f t="shared" si="8"/>
        <v>14.12142857142857</v>
      </c>
      <c r="G102" s="127">
        <f t="array" ref="G102">IF(E102="","",IFERROR(SUMPRODUCT(('Facturación 2026'!$A$4:$A$920=$A102)*'Facturación 2026'!$J$4:$J$920)*E102/(SUMPRODUCT(('Caja 1'!$A$4:$A$919=$A102)*'Caja 1'!$E$4:$E$919)+SUMPRODUCT(('Caja 2'!$A$4:$A$920=$A102)*'Caja 2'!$E$4:$E$920)),0))</f>
        <v>0</v>
      </c>
      <c r="H102" s="128">
        <f t="shared" si="9"/>
        <v>98.85</v>
      </c>
      <c r="I102" s="124">
        <f t="shared" si="10"/>
        <v>0</v>
      </c>
      <c r="J102" s="144" t="str">
        <f>IF(A102="","",IFERROR(INDEX('Facturación 2026'!$L$4:$L$500,MATCH($A102,'Facturación 2026'!$A$4:$A$500,0)),""))</f>
        <v/>
      </c>
    </row>
    <row r="103" spans="1:10" ht="16" customHeight="1">
      <c r="A103" s="988">
        <v>46095</v>
      </c>
      <c r="B103" s="991" t="str">
        <f t="shared" si="7"/>
        <v>Sáb</v>
      </c>
      <c r="C103" s="123" t="s">
        <v>146</v>
      </c>
      <c r="D103" s="131">
        <f t="array" ref="D103">IF(A103="","",SUMPRODUCT(('Detalle Turnos'!$I$3:$I$5028=$A103)*('Detalle Turnos'!$N$3:$N$5028=C103)*'Detalle Turnos'!$L$3:$L$5028))</f>
        <v>18</v>
      </c>
      <c r="E103" s="127">
        <f t="array" ref="E103">IF(A103="","",SUMPRODUCT(('Detalle Turnos'!$I$3:$I$5028=$A103)*('Detalle Turnos'!$N$3:$N$5028=C103)*'Detalle Turnos'!$K$3:$K$5028))</f>
        <v>71.050000000000011</v>
      </c>
      <c r="F103" s="127">
        <f t="shared" si="8"/>
        <v>3.9472222222222229</v>
      </c>
      <c r="G103" s="127">
        <f t="array" ref="G103">IF(E103="","",IFERROR(SUMPRODUCT(('Facturación 2026'!$A$4:$A$920=$A103)*'Facturación 2026'!$J$4:$J$920)*E103/(SUMPRODUCT(('Caja 1'!$A$4:$A$919=$A103)*'Caja 1'!$E$4:$E$919)+SUMPRODUCT(('Caja 2'!$A$4:$A$920=$A103)*'Caja 2'!$E$4:$E$920)),0))</f>
        <v>0</v>
      </c>
      <c r="H103" s="128">
        <f t="shared" si="9"/>
        <v>71.050000000000011</v>
      </c>
      <c r="I103" s="124">
        <f t="shared" si="10"/>
        <v>0</v>
      </c>
      <c r="J103" s="144" t="str">
        <f>IF(A103="","",IFERROR(INDEX('Facturación 2026'!$L$4:$L$500,MATCH($A103,'Facturación 2026'!$A$4:$A$500,0)),""))</f>
        <v/>
      </c>
    </row>
    <row r="104" spans="1:10" ht="16" customHeight="1">
      <c r="A104" s="988">
        <v>46095</v>
      </c>
      <c r="B104" s="991" t="str">
        <f t="shared" si="7"/>
        <v>Sáb</v>
      </c>
      <c r="C104" s="123" t="s">
        <v>494</v>
      </c>
      <c r="D104" s="131">
        <f t="array" ref="D104">IF(A104="","",SUMPRODUCT(('Detalle Turnos'!$I$3:$I$5028=$A104)*('Detalle Turnos'!$N$3:$N$5028=C104)*'Detalle Turnos'!$L$3:$L$5028))</f>
        <v>9</v>
      </c>
      <c r="E104" s="127">
        <f t="array" ref="E104">IF(A104="","",SUMPRODUCT(('Detalle Turnos'!$I$3:$I$5028=$A104)*('Detalle Turnos'!$N$3:$N$5028=C104)*'Detalle Turnos'!$K$3:$K$5028))</f>
        <v>53.65</v>
      </c>
      <c r="F104" s="127">
        <f t="shared" si="8"/>
        <v>5.9611111111111112</v>
      </c>
      <c r="G104" s="127">
        <f t="array" ref="G104">IF(E104="","",IFERROR(SUMPRODUCT(('Facturación 2026'!$A$4:$A$920=$A104)*'Facturación 2026'!$J$4:$J$920)*E104/(SUMPRODUCT(('Caja 1'!$A$4:$A$919=$A104)*'Caja 1'!$E$4:$E$919)+SUMPRODUCT(('Caja 2'!$A$4:$A$920=$A104)*'Caja 2'!$E$4:$E$920)),0))</f>
        <v>0</v>
      </c>
      <c r="H104" s="128">
        <f t="shared" si="9"/>
        <v>53.65</v>
      </c>
      <c r="I104" s="124">
        <f t="shared" si="10"/>
        <v>0</v>
      </c>
      <c r="J104" s="144" t="str">
        <f>IF(A104="","",IFERROR(INDEX('Facturación 2026'!$L$4:$L$500,MATCH($A104,'Facturación 2026'!$A$4:$A$500,0)),""))</f>
        <v/>
      </c>
    </row>
    <row r="105" spans="1:10" ht="16" customHeight="1">
      <c r="A105" s="988">
        <v>46095</v>
      </c>
      <c r="B105" s="991" t="str">
        <f t="shared" si="7"/>
        <v>Sáb</v>
      </c>
      <c r="C105" s="123" t="s">
        <v>497</v>
      </c>
      <c r="D105" s="131">
        <f t="array" ref="D105">IF(A105="","",SUMPRODUCT(('Detalle Turnos'!$I$3:$I$5028=$A105)*('Detalle Turnos'!$N$3:$N$5028=C105)*'Detalle Turnos'!$L$3:$L$5028))</f>
        <v>23</v>
      </c>
      <c r="E105" s="127">
        <f t="array" ref="E105">IF(A105="","",SUMPRODUCT(('Detalle Turnos'!$I$3:$I$5028=$A105)*('Detalle Turnos'!$N$3:$N$5028=C105)*'Detalle Turnos'!$K$3:$K$5028))</f>
        <v>256.05</v>
      </c>
      <c r="F105" s="127">
        <f t="shared" si="8"/>
        <v>11.132608695652175</v>
      </c>
      <c r="G105" s="127">
        <f t="array" ref="G105">IF(E105="","",IFERROR(SUMPRODUCT(('Facturación 2026'!$A$4:$A$920=$A105)*'Facturación 2026'!$J$4:$J$920)*E105/(SUMPRODUCT(('Caja 1'!$A$4:$A$919=$A105)*'Caja 1'!$E$4:$E$919)+SUMPRODUCT(('Caja 2'!$A$4:$A$920=$A105)*'Caja 2'!$E$4:$E$920)),0))</f>
        <v>0</v>
      </c>
      <c r="H105" s="128">
        <f t="shared" si="9"/>
        <v>256.05</v>
      </c>
      <c r="I105" s="124">
        <f t="shared" si="10"/>
        <v>0</v>
      </c>
      <c r="J105" s="144" t="str">
        <f>IF(A105="","",IFERROR(INDEX('Facturación 2026'!$L$4:$L$500,MATCH($A105,'Facturación 2026'!$A$4:$A$500,0)),""))</f>
        <v/>
      </c>
    </row>
    <row r="106" spans="1:10" ht="16" customHeight="1">
      <c r="A106" s="988">
        <v>46096</v>
      </c>
      <c r="B106" s="991" t="str">
        <f t="shared" si="7"/>
        <v>Dom</v>
      </c>
      <c r="C106" s="123" t="s">
        <v>146</v>
      </c>
      <c r="D106" s="131">
        <f t="array" ref="D106">IF(A106="","",SUMPRODUCT(('Detalle Turnos'!$I$3:$I$5028=$A106)*('Detalle Turnos'!$N$3:$N$5028=C106)*'Detalle Turnos'!$L$3:$L$5028))</f>
        <v>34</v>
      </c>
      <c r="E106" s="127">
        <f t="array" ref="E106">IF(A106="","",SUMPRODUCT(('Detalle Turnos'!$I$3:$I$5028=$A106)*('Detalle Turnos'!$N$3:$N$5028=C106)*'Detalle Turnos'!$K$3:$K$5028))</f>
        <v>137.25</v>
      </c>
      <c r="F106" s="127">
        <f t="shared" si="8"/>
        <v>4.0367647058823533</v>
      </c>
      <c r="G106" s="127">
        <f t="array" ref="G106">IF(E106="","",IFERROR(SUMPRODUCT(('Facturación 2026'!$A$4:$A$920=$A106)*'Facturación 2026'!$J$4:$J$920)*E106/(SUMPRODUCT(('Caja 1'!$A$4:$A$919=$A106)*'Caja 1'!$E$4:$E$919)+SUMPRODUCT(('Caja 2'!$A$4:$A$920=$A106)*'Caja 2'!$E$4:$E$920)),0))</f>
        <v>0</v>
      </c>
      <c r="H106" s="128">
        <f t="shared" si="9"/>
        <v>137.25</v>
      </c>
      <c r="I106" s="124">
        <f t="shared" si="10"/>
        <v>0</v>
      </c>
      <c r="J106" s="144" t="str">
        <f>IF(A106="","",IFERROR(INDEX('Facturación 2026'!$L$4:$L$500,MATCH($A106,'Facturación 2026'!$A$4:$A$500,0)),""))</f>
        <v>Mercado Olla</v>
      </c>
    </row>
    <row r="107" spans="1:10" ht="16" customHeight="1">
      <c r="A107" s="988">
        <v>46096</v>
      </c>
      <c r="B107" s="991" t="str">
        <f t="shared" si="7"/>
        <v>Dom</v>
      </c>
      <c r="C107" s="123" t="s">
        <v>494</v>
      </c>
      <c r="D107" s="131">
        <f t="array" ref="D107">IF(A107="","",SUMPRODUCT(('Detalle Turnos'!$I$3:$I$5028=$A107)*('Detalle Turnos'!$N$3:$N$5028=C107)*'Detalle Turnos'!$L$3:$L$5028))</f>
        <v>1</v>
      </c>
      <c r="E107" s="127">
        <f t="array" ref="E107">IF(A107="","",SUMPRODUCT(('Detalle Turnos'!$I$3:$I$5028=$A107)*('Detalle Turnos'!$N$3:$N$5028=C107)*'Detalle Turnos'!$K$3:$K$5028))</f>
        <v>1.95</v>
      </c>
      <c r="F107" s="127">
        <f t="shared" si="8"/>
        <v>1.95</v>
      </c>
      <c r="G107" s="127">
        <f t="array" ref="G107">IF(E107="","",IFERROR(SUMPRODUCT(('Facturación 2026'!$A$4:$A$920=$A107)*'Facturación 2026'!$J$4:$J$920)*E107/(SUMPRODUCT(('Caja 1'!$A$4:$A$919=$A107)*'Caja 1'!$E$4:$E$919)+SUMPRODUCT(('Caja 2'!$A$4:$A$920=$A107)*'Caja 2'!$E$4:$E$920)),0))</f>
        <v>0</v>
      </c>
      <c r="H107" s="128">
        <f t="shared" si="9"/>
        <v>1.95</v>
      </c>
      <c r="I107" s="124">
        <f t="shared" si="10"/>
        <v>0</v>
      </c>
      <c r="J107" s="144" t="str">
        <f>IF(A107="","",IFERROR(INDEX('Facturación 2026'!$L$4:$L$500,MATCH($A107,'Facturación 2026'!$A$4:$A$500,0)),""))</f>
        <v>Mercado Olla</v>
      </c>
    </row>
    <row r="108" spans="1:10" ht="16" customHeight="1">
      <c r="A108" s="988">
        <v>46096</v>
      </c>
      <c r="B108" s="991" t="str">
        <f t="shared" si="7"/>
        <v>Dom</v>
      </c>
      <c r="C108" s="123" t="s">
        <v>497</v>
      </c>
      <c r="D108" s="131">
        <f t="array" ref="D108">IF(A108="","",SUMPRODUCT(('Detalle Turnos'!$I$3:$I$5028=$A108)*('Detalle Turnos'!$N$3:$N$5028=C108)*'Detalle Turnos'!$L$3:$L$5028))</f>
        <v>2</v>
      </c>
      <c r="E108" s="127">
        <f t="array" ref="E108">IF(A108="","",SUMPRODUCT(('Detalle Turnos'!$I$3:$I$5028=$A108)*('Detalle Turnos'!$N$3:$N$5028=C108)*'Detalle Turnos'!$K$3:$K$5028))</f>
        <v>12.85</v>
      </c>
      <c r="F108" s="127">
        <f t="shared" si="8"/>
        <v>6.4249999999999998</v>
      </c>
      <c r="G108" s="127">
        <f t="array" ref="G108">IF(E108="","",IFERROR(SUMPRODUCT(('Facturación 2026'!$A$4:$A$920=$A108)*'Facturación 2026'!$J$4:$J$920)*E108/(SUMPRODUCT(('Caja 1'!$A$4:$A$919=$A108)*'Caja 1'!$E$4:$E$919)+SUMPRODUCT(('Caja 2'!$A$4:$A$920=$A108)*'Caja 2'!$E$4:$E$920)),0))</f>
        <v>0</v>
      </c>
      <c r="H108" s="128">
        <f t="shared" si="9"/>
        <v>12.85</v>
      </c>
      <c r="I108" s="124">
        <f t="shared" si="10"/>
        <v>0</v>
      </c>
      <c r="J108" s="144" t="str">
        <f>IF(A108="","",IFERROR(INDEX('Facturación 2026'!$L$4:$L$500,MATCH($A108,'Facturación 2026'!$A$4:$A$500,0)),""))</f>
        <v>Mercado Olla</v>
      </c>
    </row>
    <row r="109" spans="1:10" ht="16" customHeight="1">
      <c r="A109" s="988">
        <v>46099</v>
      </c>
      <c r="B109" s="991" t="str">
        <f t="shared" si="7"/>
        <v>Mié</v>
      </c>
      <c r="C109" s="123" t="s">
        <v>146</v>
      </c>
      <c r="D109" s="131">
        <f t="array" ref="D109">IF(A109="","",SUMPRODUCT(('Detalle Turnos'!$I$3:$I$5028=$A109)*('Detalle Turnos'!$N$3:$N$5028=C109)*'Detalle Turnos'!$L$3:$L$5028))</f>
        <v>21</v>
      </c>
      <c r="E109" s="127">
        <f t="array" ref="E109">IF(A109="","",SUMPRODUCT(('Detalle Turnos'!$I$3:$I$5028=$A109)*('Detalle Turnos'!$N$3:$N$5028=C109)*'Detalle Turnos'!$K$3:$K$5028))</f>
        <v>58.2</v>
      </c>
      <c r="F109" s="127">
        <f t="shared" si="8"/>
        <v>2.7714285714285714</v>
      </c>
      <c r="G109" s="127">
        <f t="array" ref="G109">IF(E109="","",IFERROR(SUMPRODUCT(('Facturación 2026'!$A$4:$A$920=$A109)*'Facturación 2026'!$J$4:$J$920)*E109/(SUMPRODUCT(('Caja 1'!$A$4:$A$919=$A109)*'Caja 1'!$E$4:$E$919)+SUMPRODUCT(('Caja 2'!$A$4:$A$920=$A109)*'Caja 2'!$E$4:$E$920)),0))</f>
        <v>0</v>
      </c>
      <c r="H109" s="128">
        <f t="shared" si="9"/>
        <v>58.2</v>
      </c>
      <c r="I109" s="124">
        <f t="shared" si="10"/>
        <v>0</v>
      </c>
      <c r="J109" s="144" t="str">
        <f>IF(A109="","",IFERROR(INDEX('Facturación 2026'!$L$4:$L$500,MATCH($A109,'Facturación 2026'!$A$4:$A$500,0)),""))</f>
        <v/>
      </c>
    </row>
    <row r="110" spans="1:10" ht="16" customHeight="1">
      <c r="A110" s="988">
        <v>46099</v>
      </c>
      <c r="B110" s="991" t="str">
        <f t="shared" si="7"/>
        <v>Mié</v>
      </c>
      <c r="C110" s="123" t="s">
        <v>494</v>
      </c>
      <c r="D110" s="131">
        <f t="array" ref="D110">IF(A110="","",SUMPRODUCT(('Detalle Turnos'!$I$3:$I$5028=$A110)*('Detalle Turnos'!$N$3:$N$5028=C110)*'Detalle Turnos'!$L$3:$L$5028))</f>
        <v>8</v>
      </c>
      <c r="E110" s="127">
        <f t="array" ref="E110">IF(A110="","",SUMPRODUCT(('Detalle Turnos'!$I$3:$I$5028=$A110)*('Detalle Turnos'!$N$3:$N$5028=C110)*'Detalle Turnos'!$K$3:$K$5028))</f>
        <v>75.849999999999994</v>
      </c>
      <c r="F110" s="127">
        <f t="shared" si="8"/>
        <v>9.4812499999999993</v>
      </c>
      <c r="G110" s="127">
        <f t="array" ref="G110">IF(E110="","",IFERROR(SUMPRODUCT(('Facturación 2026'!$A$4:$A$920=$A110)*'Facturación 2026'!$J$4:$J$920)*E110/(SUMPRODUCT(('Caja 1'!$A$4:$A$919=$A110)*'Caja 1'!$E$4:$E$919)+SUMPRODUCT(('Caja 2'!$A$4:$A$920=$A110)*'Caja 2'!$E$4:$E$920)),0))</f>
        <v>0</v>
      </c>
      <c r="H110" s="128">
        <f t="shared" si="9"/>
        <v>75.849999999999994</v>
      </c>
      <c r="I110" s="124">
        <f t="shared" si="10"/>
        <v>0</v>
      </c>
      <c r="J110" s="144" t="str">
        <f>IF(A110="","",IFERROR(INDEX('Facturación 2026'!$L$4:$L$500,MATCH($A110,'Facturación 2026'!$A$4:$A$500,0)),""))</f>
        <v/>
      </c>
    </row>
    <row r="111" spans="1:10" ht="16" customHeight="1">
      <c r="A111" s="988">
        <v>46099</v>
      </c>
      <c r="B111" s="991" t="str">
        <f t="shared" si="7"/>
        <v>Mié</v>
      </c>
      <c r="C111" s="123" t="s">
        <v>497</v>
      </c>
      <c r="D111" s="131">
        <f t="array" ref="D111">IF(A111="","",SUMPRODUCT(('Detalle Turnos'!$I$3:$I$5028=$A111)*('Detalle Turnos'!$N$3:$N$5028=C111)*'Detalle Turnos'!$L$3:$L$5028))</f>
        <v>13</v>
      </c>
      <c r="E111" s="127">
        <f t="array" ref="E111">IF(A111="","",SUMPRODUCT(('Detalle Turnos'!$I$3:$I$5028=$A111)*('Detalle Turnos'!$N$3:$N$5028=C111)*'Detalle Turnos'!$K$3:$K$5028))</f>
        <v>147.05000000000001</v>
      </c>
      <c r="F111" s="127">
        <f t="shared" si="8"/>
        <v>11.311538461538463</v>
      </c>
      <c r="G111" s="127">
        <f t="array" ref="G111">IF(E111="","",IFERROR(SUMPRODUCT(('Facturación 2026'!$A$4:$A$920=$A111)*'Facturación 2026'!$J$4:$J$920)*E111/(SUMPRODUCT(('Caja 1'!$A$4:$A$919=$A111)*'Caja 1'!$E$4:$E$919)+SUMPRODUCT(('Caja 2'!$A$4:$A$920=$A111)*'Caja 2'!$E$4:$E$920)),0))</f>
        <v>0</v>
      </c>
      <c r="H111" s="128">
        <f t="shared" si="9"/>
        <v>147.05000000000001</v>
      </c>
      <c r="I111" s="124">
        <f t="shared" si="10"/>
        <v>0</v>
      </c>
      <c r="J111" s="144" t="str">
        <f>IF(A111="","",IFERROR(INDEX('Facturación 2026'!$L$4:$L$500,MATCH($A111,'Facturación 2026'!$A$4:$A$500,0)),""))</f>
        <v/>
      </c>
    </row>
    <row r="112" spans="1:10" ht="16" customHeight="1">
      <c r="A112" s="988">
        <v>46100</v>
      </c>
      <c r="B112" s="991" t="str">
        <f t="shared" si="7"/>
        <v>Jue</v>
      </c>
      <c r="C112" s="123" t="s">
        <v>146</v>
      </c>
      <c r="D112" s="131">
        <f t="array" ref="D112">IF(A112="","",SUMPRODUCT(('Detalle Turnos'!$I$3:$I$5028=$A112)*('Detalle Turnos'!$N$3:$N$5028=C112)*'Detalle Turnos'!$L$3:$L$5028))</f>
        <v>13</v>
      </c>
      <c r="E112" s="127">
        <f t="array" ref="E112">IF(A112="","",SUMPRODUCT(('Detalle Turnos'!$I$3:$I$5028=$A112)*('Detalle Turnos'!$N$3:$N$5028=C112)*'Detalle Turnos'!$K$3:$K$5028))</f>
        <v>66.100000000000009</v>
      </c>
      <c r="F112" s="127">
        <f t="shared" si="8"/>
        <v>5.0846153846153852</v>
      </c>
      <c r="G112" s="127">
        <f t="array" ref="G112">IF(E112="","",IFERROR(SUMPRODUCT(('Facturación 2026'!$A$4:$A$920=$A112)*'Facturación 2026'!$J$4:$J$920)*E112/(SUMPRODUCT(('Caja 1'!$A$4:$A$919=$A112)*'Caja 1'!$E$4:$E$919)+SUMPRODUCT(('Caja 2'!$A$4:$A$920=$A112)*'Caja 2'!$E$4:$E$920)),0))</f>
        <v>0</v>
      </c>
      <c r="H112" s="128">
        <f t="shared" si="9"/>
        <v>66.100000000000009</v>
      </c>
      <c r="I112" s="124">
        <f t="shared" si="10"/>
        <v>0</v>
      </c>
      <c r="J112" s="144" t="str">
        <f>IF(A112="","",IFERROR(INDEX('Facturación 2026'!$L$4:$L$500,MATCH($A112,'Facturación 2026'!$A$4:$A$500,0)),""))</f>
        <v/>
      </c>
    </row>
    <row r="113" spans="1:10" ht="16" customHeight="1">
      <c r="A113" s="988">
        <v>46100</v>
      </c>
      <c r="B113" s="991" t="str">
        <f t="shared" si="7"/>
        <v>Jue</v>
      </c>
      <c r="C113" s="123" t="s">
        <v>494</v>
      </c>
      <c r="D113" s="131">
        <f t="array" ref="D113">IF(A113="","",SUMPRODUCT(('Detalle Turnos'!$I$3:$I$5028=$A113)*('Detalle Turnos'!$N$3:$N$5028=C113)*'Detalle Turnos'!$L$3:$L$5028))</f>
        <v>9</v>
      </c>
      <c r="E113" s="127">
        <f t="array" ref="E113">IF(A113="","",SUMPRODUCT(('Detalle Turnos'!$I$3:$I$5028=$A113)*('Detalle Turnos'!$N$3:$N$5028=C113)*'Detalle Turnos'!$K$3:$K$5028))</f>
        <v>97.25</v>
      </c>
      <c r="F113" s="127">
        <f t="shared" si="8"/>
        <v>10.805555555555555</v>
      </c>
      <c r="G113" s="127">
        <f t="array" ref="G113">IF(E113="","",IFERROR(SUMPRODUCT(('Facturación 2026'!$A$4:$A$920=$A113)*'Facturación 2026'!$J$4:$J$920)*E113/(SUMPRODUCT(('Caja 1'!$A$4:$A$919=$A113)*'Caja 1'!$E$4:$E$919)+SUMPRODUCT(('Caja 2'!$A$4:$A$920=$A113)*'Caja 2'!$E$4:$E$920)),0))</f>
        <v>0</v>
      </c>
      <c r="H113" s="128">
        <f t="shared" si="9"/>
        <v>97.25</v>
      </c>
      <c r="I113" s="124">
        <f t="shared" si="10"/>
        <v>0</v>
      </c>
      <c r="J113" s="144" t="str">
        <f>IF(A113="","",IFERROR(INDEX('Facturación 2026'!$L$4:$L$500,MATCH($A113,'Facturación 2026'!$A$4:$A$500,0)),""))</f>
        <v/>
      </c>
    </row>
    <row r="114" spans="1:10" ht="16" customHeight="1">
      <c r="A114" s="988">
        <v>46101</v>
      </c>
      <c r="B114" s="991" t="str">
        <f t="shared" si="7"/>
        <v>Vie</v>
      </c>
      <c r="C114" s="123" t="s">
        <v>146</v>
      </c>
      <c r="D114" s="131">
        <f t="array" ref="D114">IF(A114="","",SUMPRODUCT(('Detalle Turnos'!$I$3:$I$5028=$A114)*('Detalle Turnos'!$N$3:$N$5028=C114)*'Detalle Turnos'!$L$3:$L$5028))</f>
        <v>29</v>
      </c>
      <c r="E114" s="127">
        <f t="array" ref="E114">IF(A114="","",SUMPRODUCT(('Detalle Turnos'!$I$3:$I$5028=$A114)*('Detalle Turnos'!$N$3:$N$5028=C114)*'Detalle Turnos'!$K$3:$K$5028))</f>
        <v>115.2</v>
      </c>
      <c r="F114" s="127">
        <f t="shared" si="8"/>
        <v>3.9724137931034482</v>
      </c>
      <c r="G114" s="127">
        <f t="array" ref="G114">IF(E114="","",IFERROR(SUMPRODUCT(('Facturación 2026'!$A$4:$A$920=$A114)*'Facturación 2026'!$J$4:$J$920)*E114/(SUMPRODUCT(('Caja 1'!$A$4:$A$919=$A114)*'Caja 1'!$E$4:$E$919)+SUMPRODUCT(('Caja 2'!$A$4:$A$920=$A114)*'Caja 2'!$E$4:$E$920)),0))</f>
        <v>0</v>
      </c>
      <c r="H114" s="128">
        <f t="shared" si="9"/>
        <v>115.2</v>
      </c>
      <c r="I114" s="124">
        <f t="shared" si="10"/>
        <v>0</v>
      </c>
      <c r="J114" s="144" t="str">
        <f>IF(A114="","",IFERROR(INDEX('Facturación 2026'!$L$4:$L$500,MATCH($A114,'Facturación 2026'!$A$4:$A$500,0)),""))</f>
        <v/>
      </c>
    </row>
    <row r="115" spans="1:10" ht="16" customHeight="1">
      <c r="A115" s="988">
        <v>46101</v>
      </c>
      <c r="B115" s="991" t="str">
        <f t="shared" si="7"/>
        <v>Vie</v>
      </c>
      <c r="C115" s="123" t="s">
        <v>494</v>
      </c>
      <c r="D115" s="131">
        <f t="array" ref="D115">IF(A115="","",SUMPRODUCT(('Detalle Turnos'!$I$3:$I$5028=$A115)*('Detalle Turnos'!$N$3:$N$5028=C115)*'Detalle Turnos'!$L$3:$L$5028))</f>
        <v>17</v>
      </c>
      <c r="E115" s="127">
        <f t="array" ref="E115">IF(A115="","",SUMPRODUCT(('Detalle Turnos'!$I$3:$I$5028=$A115)*('Detalle Turnos'!$N$3:$N$5028=C115)*'Detalle Turnos'!$K$3:$K$5028))</f>
        <v>255.3</v>
      </c>
      <c r="F115" s="127">
        <f t="shared" si="8"/>
        <v>15.017647058823529</v>
      </c>
      <c r="G115" s="127">
        <f t="array" ref="G115">IF(E115="","",IFERROR(SUMPRODUCT(('Facturación 2026'!$A$4:$A$920=$A115)*'Facturación 2026'!$J$4:$J$920)*E115/(SUMPRODUCT(('Caja 1'!$A$4:$A$919=$A115)*'Caja 1'!$E$4:$E$919)+SUMPRODUCT(('Caja 2'!$A$4:$A$920=$A115)*'Caja 2'!$E$4:$E$920)),0))</f>
        <v>0</v>
      </c>
      <c r="H115" s="128">
        <f t="shared" si="9"/>
        <v>255.3</v>
      </c>
      <c r="I115" s="124">
        <f t="shared" si="10"/>
        <v>0</v>
      </c>
      <c r="J115" s="144" t="str">
        <f>IF(A115="","",IFERROR(INDEX('Facturación 2026'!$L$4:$L$500,MATCH($A115,'Facturación 2026'!$A$4:$A$500,0)),""))</f>
        <v/>
      </c>
    </row>
    <row r="116" spans="1:10" ht="16" customHeight="1">
      <c r="A116" s="988">
        <v>46101</v>
      </c>
      <c r="B116" s="991" t="str">
        <f t="shared" si="7"/>
        <v>Vie</v>
      </c>
      <c r="C116" s="123" t="s">
        <v>497</v>
      </c>
      <c r="D116" s="131">
        <f t="array" ref="D116">IF(A116="","",SUMPRODUCT(('Detalle Turnos'!$I$3:$I$5028=$A116)*('Detalle Turnos'!$N$3:$N$5028=C116)*'Detalle Turnos'!$L$3:$L$5028))</f>
        <v>6</v>
      </c>
      <c r="E116" s="127">
        <f t="array" ref="E116">IF(A116="","",SUMPRODUCT(('Detalle Turnos'!$I$3:$I$5028=$A116)*('Detalle Turnos'!$N$3:$N$5028=C116)*'Detalle Turnos'!$K$3:$K$5028))</f>
        <v>131.5</v>
      </c>
      <c r="F116" s="127">
        <f t="shared" si="8"/>
        <v>21.916666666666668</v>
      </c>
      <c r="G116" s="127">
        <f t="array" ref="G116">IF(E116="","",IFERROR(SUMPRODUCT(('Facturación 2026'!$A$4:$A$920=$A116)*'Facturación 2026'!$J$4:$J$920)*E116/(SUMPRODUCT(('Caja 1'!$A$4:$A$919=$A116)*'Caja 1'!$E$4:$E$919)+SUMPRODUCT(('Caja 2'!$A$4:$A$920=$A116)*'Caja 2'!$E$4:$E$920)),0))</f>
        <v>0</v>
      </c>
      <c r="H116" s="128">
        <f t="shared" si="9"/>
        <v>131.5</v>
      </c>
      <c r="I116" s="124">
        <f t="shared" si="10"/>
        <v>0</v>
      </c>
      <c r="J116" s="144" t="str">
        <f>IF(A116="","",IFERROR(INDEX('Facturación 2026'!$L$4:$L$500,MATCH($A116,'Facturación 2026'!$A$4:$A$500,0)),""))</f>
        <v/>
      </c>
    </row>
    <row r="117" spans="1:10" ht="16" customHeight="1">
      <c r="A117" s="988">
        <v>46102</v>
      </c>
      <c r="B117" s="991" t="str">
        <f t="shared" si="7"/>
        <v>Sáb</v>
      </c>
      <c r="C117" s="123" t="s">
        <v>146</v>
      </c>
      <c r="D117" s="131">
        <f t="array" ref="D117">IF(A117="","",SUMPRODUCT(('Detalle Turnos'!$I$3:$I$5028=$A117)*('Detalle Turnos'!$N$3:$N$5028=C117)*'Detalle Turnos'!$L$3:$L$5028))</f>
        <v>23</v>
      </c>
      <c r="E117" s="127">
        <f t="array" ref="E117">IF(A117="","",SUMPRODUCT(('Detalle Turnos'!$I$3:$I$5028=$A117)*('Detalle Turnos'!$N$3:$N$5028=C117)*'Detalle Turnos'!$K$3:$K$5028))</f>
        <v>74.100000000000009</v>
      </c>
      <c r="F117" s="127">
        <f t="shared" si="8"/>
        <v>3.2217391304347829</v>
      </c>
      <c r="G117" s="127">
        <f t="array" ref="G117">IF(E117="","",IFERROR(SUMPRODUCT(('Facturación 2026'!$A$4:$A$920=$A117)*'Facturación 2026'!$J$4:$J$920)*E117/(SUMPRODUCT(('Caja 1'!$A$4:$A$919=$A117)*'Caja 1'!$E$4:$E$919)+SUMPRODUCT(('Caja 2'!$A$4:$A$920=$A117)*'Caja 2'!$E$4:$E$920)),0))</f>
        <v>0</v>
      </c>
      <c r="H117" s="128">
        <f t="shared" si="9"/>
        <v>74.100000000000009</v>
      </c>
      <c r="I117" s="124">
        <f t="shared" si="10"/>
        <v>0</v>
      </c>
      <c r="J117" s="144" t="str">
        <f>IF(A117="","",IFERROR(INDEX('Facturación 2026'!$L$4:$L$500,MATCH($A117,'Facturación 2026'!$A$4:$A$500,0)),""))</f>
        <v/>
      </c>
    </row>
    <row r="118" spans="1:10" ht="16" customHeight="1">
      <c r="A118" s="988">
        <v>46102</v>
      </c>
      <c r="B118" s="991" t="str">
        <f t="shared" si="7"/>
        <v>Sáb</v>
      </c>
      <c r="C118" s="123" t="s">
        <v>494</v>
      </c>
      <c r="D118" s="131">
        <f t="array" ref="D118">IF(A118="","",SUMPRODUCT(('Detalle Turnos'!$I$3:$I$5028=$A118)*('Detalle Turnos'!$N$3:$N$5028=C118)*'Detalle Turnos'!$L$3:$L$5028))</f>
        <v>11</v>
      </c>
      <c r="E118" s="127">
        <f t="array" ref="E118">IF(A118="","",SUMPRODUCT(('Detalle Turnos'!$I$3:$I$5028=$A118)*('Detalle Turnos'!$N$3:$N$5028=C118)*'Detalle Turnos'!$K$3:$K$5028))</f>
        <v>190.45</v>
      </c>
      <c r="F118" s="127">
        <f t="shared" si="8"/>
        <v>17.313636363636363</v>
      </c>
      <c r="G118" s="127">
        <f t="array" ref="G118">IF(E118="","",IFERROR(SUMPRODUCT(('Facturación 2026'!$A$4:$A$920=$A118)*'Facturación 2026'!$J$4:$J$920)*E118/(SUMPRODUCT(('Caja 1'!$A$4:$A$919=$A118)*'Caja 1'!$E$4:$E$919)+SUMPRODUCT(('Caja 2'!$A$4:$A$920=$A118)*'Caja 2'!$E$4:$E$920)),0))</f>
        <v>0</v>
      </c>
      <c r="H118" s="128">
        <f t="shared" si="9"/>
        <v>190.45</v>
      </c>
      <c r="I118" s="124">
        <f t="shared" si="10"/>
        <v>0</v>
      </c>
      <c r="J118" s="144" t="str">
        <f>IF(A118="","",IFERROR(INDEX('Facturación 2026'!$L$4:$L$500,MATCH($A118,'Facturación 2026'!$A$4:$A$500,0)),""))</f>
        <v/>
      </c>
    </row>
    <row r="119" spans="1:10" ht="16" customHeight="1">
      <c r="A119" s="988">
        <v>46102</v>
      </c>
      <c r="B119" s="991" t="str">
        <f t="shared" si="7"/>
        <v>Sáb</v>
      </c>
      <c r="C119" s="123" t="s">
        <v>497</v>
      </c>
      <c r="D119" s="131">
        <f t="array" ref="D119">IF(A119="","",SUMPRODUCT(('Detalle Turnos'!$I$3:$I$5028=$A119)*('Detalle Turnos'!$N$3:$N$5028=C119)*'Detalle Turnos'!$L$3:$L$5028))</f>
        <v>3</v>
      </c>
      <c r="E119" s="127">
        <f t="array" ref="E119">IF(A119="","",SUMPRODUCT(('Detalle Turnos'!$I$3:$I$5028=$A119)*('Detalle Turnos'!$N$3:$N$5028=C119)*'Detalle Turnos'!$K$3:$K$5028))</f>
        <v>77.2</v>
      </c>
      <c r="F119" s="127">
        <f t="shared" si="8"/>
        <v>25.733333333333334</v>
      </c>
      <c r="G119" s="127">
        <f t="array" ref="G119">IF(E119="","",IFERROR(SUMPRODUCT(('Facturación 2026'!$A$4:$A$920=$A119)*'Facturación 2026'!$J$4:$J$920)*E119/(SUMPRODUCT(('Caja 1'!$A$4:$A$919=$A119)*'Caja 1'!$E$4:$E$919)+SUMPRODUCT(('Caja 2'!$A$4:$A$920=$A119)*'Caja 2'!$E$4:$E$920)),0))</f>
        <v>0</v>
      </c>
      <c r="H119" s="128">
        <f t="shared" si="9"/>
        <v>77.2</v>
      </c>
      <c r="I119" s="124">
        <f t="shared" si="10"/>
        <v>0</v>
      </c>
      <c r="J119" s="144" t="str">
        <f>IF(A119="","",IFERROR(INDEX('Facturación 2026'!$L$4:$L$500,MATCH($A119,'Facturación 2026'!$A$4:$A$500,0)),""))</f>
        <v/>
      </c>
    </row>
    <row r="120" spans="1:10" ht="16" customHeight="1">
      <c r="A120" s="988">
        <v>46103</v>
      </c>
      <c r="B120" s="991" t="str">
        <f t="shared" si="7"/>
        <v>Dom</v>
      </c>
      <c r="C120" s="123" t="s">
        <v>146</v>
      </c>
      <c r="D120" s="131">
        <f t="array" ref="D120">IF(A120="","",SUMPRODUCT(('Detalle Turnos'!$I$3:$I$5028=$A120)*('Detalle Turnos'!$N$3:$N$5028=C120)*'Detalle Turnos'!$L$3:$L$5028))</f>
        <v>21</v>
      </c>
      <c r="E120" s="127">
        <f t="array" ref="E120">IF(A120="","",SUMPRODUCT(('Detalle Turnos'!$I$3:$I$5028=$A120)*('Detalle Turnos'!$N$3:$N$5028=C120)*'Detalle Turnos'!$K$3:$K$5028))</f>
        <v>65.349999999999994</v>
      </c>
      <c r="F120" s="127">
        <f t="shared" si="8"/>
        <v>3.1119047619047615</v>
      </c>
      <c r="G120" s="127">
        <f t="array" ref="G120">IF(E120="","",IFERROR(SUMPRODUCT(('Facturación 2026'!$A$4:$A$920=$A120)*'Facturación 2026'!$J$4:$J$920)*E120/(SUMPRODUCT(('Caja 1'!$A$4:$A$919=$A120)*'Caja 1'!$E$4:$E$919)+SUMPRODUCT(('Caja 2'!$A$4:$A$920=$A120)*'Caja 2'!$E$4:$E$920)),0))</f>
        <v>0</v>
      </c>
      <c r="H120" s="128">
        <f t="shared" si="9"/>
        <v>65.349999999999994</v>
      </c>
      <c r="I120" s="124">
        <f t="shared" si="10"/>
        <v>0</v>
      </c>
      <c r="J120" s="144" t="str">
        <f>IF(A120="","",IFERROR(INDEX('Facturación 2026'!$L$4:$L$500,MATCH($A120,'Facturación 2026'!$A$4:$A$500,0)),""))</f>
        <v/>
      </c>
    </row>
    <row r="121" spans="1:10" ht="16" customHeight="1">
      <c r="A121" s="988">
        <v>46103</v>
      </c>
      <c r="B121" s="991" t="str">
        <f t="shared" si="7"/>
        <v>Dom</v>
      </c>
      <c r="C121" s="123" t="s">
        <v>494</v>
      </c>
      <c r="D121" s="131">
        <f t="array" ref="D121">IF(A121="","",SUMPRODUCT(('Detalle Turnos'!$I$3:$I$5028=$A121)*('Detalle Turnos'!$N$3:$N$5028=C121)*'Detalle Turnos'!$L$3:$L$5028))</f>
        <v>15</v>
      </c>
      <c r="E121" s="127">
        <f t="array" ref="E121">IF(A121="","",SUMPRODUCT(('Detalle Turnos'!$I$3:$I$5028=$A121)*('Detalle Turnos'!$N$3:$N$5028=C121)*'Detalle Turnos'!$K$3:$K$5028))</f>
        <v>95.700000000000017</v>
      </c>
      <c r="F121" s="127">
        <f t="shared" si="8"/>
        <v>6.3800000000000008</v>
      </c>
      <c r="G121" s="127">
        <f t="array" ref="G121">IF(E121="","",IFERROR(SUMPRODUCT(('Facturación 2026'!$A$4:$A$920=$A121)*'Facturación 2026'!$J$4:$J$920)*E121/(SUMPRODUCT(('Caja 1'!$A$4:$A$919=$A121)*'Caja 1'!$E$4:$E$919)+SUMPRODUCT(('Caja 2'!$A$4:$A$920=$A121)*'Caja 2'!$E$4:$E$920)),0))</f>
        <v>0</v>
      </c>
      <c r="H121" s="128">
        <f t="shared" si="9"/>
        <v>95.700000000000017</v>
      </c>
      <c r="I121" s="124">
        <f t="shared" si="10"/>
        <v>0</v>
      </c>
      <c r="J121" s="144" t="str">
        <f>IF(A121="","",IFERROR(INDEX('Facturación 2026'!$L$4:$L$500,MATCH($A121,'Facturación 2026'!$A$4:$A$500,0)),""))</f>
        <v/>
      </c>
    </row>
    <row r="122" spans="1:10" ht="16" customHeight="1">
      <c r="A122" s="988">
        <v>46106</v>
      </c>
      <c r="B122" s="991" t="str">
        <f t="shared" si="7"/>
        <v>Mié</v>
      </c>
      <c r="C122" s="123" t="s">
        <v>146</v>
      </c>
      <c r="D122" s="131">
        <f t="array" ref="D122">IF(A122="","",SUMPRODUCT(('Detalle Turnos'!$I$3:$I$5028=$A122)*('Detalle Turnos'!$N$3:$N$5028=C122)*'Detalle Turnos'!$L$3:$L$5028))</f>
        <v>25</v>
      </c>
      <c r="E122" s="127">
        <f t="array" ref="E122">IF(A122="","",SUMPRODUCT(('Detalle Turnos'!$I$3:$I$5028=$A122)*('Detalle Turnos'!$N$3:$N$5028=C122)*'Detalle Turnos'!$K$3:$K$5028))</f>
        <v>70.200000000000017</v>
      </c>
      <c r="F122" s="127">
        <f t="shared" si="8"/>
        <v>2.8080000000000007</v>
      </c>
      <c r="G122" s="127">
        <f t="array" ref="G122">IF(E122="","",IFERROR(SUMPRODUCT(('Facturación 2026'!$A$4:$A$920=$A122)*'Facturación 2026'!$J$4:$J$920)*E122/(SUMPRODUCT(('Caja 1'!$A$4:$A$919=$A122)*'Caja 1'!$E$4:$E$919)+SUMPRODUCT(('Caja 2'!$A$4:$A$920=$A122)*'Caja 2'!$E$4:$E$920)),0))</f>
        <v>0</v>
      </c>
      <c r="H122" s="128">
        <f t="shared" si="9"/>
        <v>70.200000000000017</v>
      </c>
      <c r="I122" s="124">
        <f t="shared" si="10"/>
        <v>0</v>
      </c>
      <c r="J122" s="144" t="str">
        <f>IF(A122="","",IFERROR(INDEX('Facturación 2026'!$L$4:$L$500,MATCH($A122,'Facturación 2026'!$A$4:$A$500,0)),""))</f>
        <v/>
      </c>
    </row>
    <row r="123" spans="1:10" ht="16" customHeight="1">
      <c r="A123" s="988">
        <v>46106</v>
      </c>
      <c r="B123" s="991" t="str">
        <f t="shared" si="7"/>
        <v>Mié</v>
      </c>
      <c r="C123" s="123" t="s">
        <v>494</v>
      </c>
      <c r="D123" s="131">
        <f t="array" ref="D123">IF(A123="","",SUMPRODUCT(('Detalle Turnos'!$I$3:$I$5028=$A123)*('Detalle Turnos'!$N$3:$N$5028=C123)*'Detalle Turnos'!$L$3:$L$5028))</f>
        <v>25</v>
      </c>
      <c r="E123" s="127">
        <f t="array" ref="E123">IF(A123="","",SUMPRODUCT(('Detalle Turnos'!$I$3:$I$5028=$A123)*('Detalle Turnos'!$N$3:$N$5028=C123)*'Detalle Turnos'!$K$3:$K$5028))</f>
        <v>121.29999999999998</v>
      </c>
      <c r="F123" s="127">
        <f t="shared" si="8"/>
        <v>4.8519999999999994</v>
      </c>
      <c r="G123" s="127">
        <f t="array" ref="G123">IF(E123="","",IFERROR(SUMPRODUCT(('Facturación 2026'!$A$4:$A$920=$A123)*'Facturación 2026'!$J$4:$J$920)*E123/(SUMPRODUCT(('Caja 1'!$A$4:$A$919=$A123)*'Caja 1'!$E$4:$E$919)+SUMPRODUCT(('Caja 2'!$A$4:$A$920=$A123)*'Caja 2'!$E$4:$E$920)),0))</f>
        <v>0</v>
      </c>
      <c r="H123" s="128">
        <f t="shared" si="9"/>
        <v>121.29999999999998</v>
      </c>
      <c r="I123" s="124">
        <f t="shared" si="10"/>
        <v>0</v>
      </c>
      <c r="J123" s="144" t="str">
        <f>IF(A123="","",IFERROR(INDEX('Facturación 2026'!$L$4:$L$500,MATCH($A123,'Facturación 2026'!$A$4:$A$500,0)),""))</f>
        <v/>
      </c>
    </row>
    <row r="124" spans="1:10" ht="16" customHeight="1">
      <c r="A124" s="988">
        <v>46107</v>
      </c>
      <c r="B124" s="991" t="str">
        <f t="shared" si="7"/>
        <v>Jue</v>
      </c>
      <c r="C124" s="123" t="s">
        <v>146</v>
      </c>
      <c r="D124" s="131">
        <f t="array" ref="D124">IF(A124="","",SUMPRODUCT(('Detalle Turnos'!$I$3:$I$5028=$A124)*('Detalle Turnos'!$N$3:$N$5028=C124)*'Detalle Turnos'!$L$3:$L$5028))</f>
        <v>25</v>
      </c>
      <c r="E124" s="127">
        <f t="array" ref="E124">IF(A124="","",SUMPRODUCT(('Detalle Turnos'!$I$3:$I$5028=$A124)*('Detalle Turnos'!$N$3:$N$5028=C124)*'Detalle Turnos'!$K$3:$K$5028))</f>
        <v>65.599999999999994</v>
      </c>
      <c r="F124" s="127">
        <f t="shared" si="8"/>
        <v>2.6239999999999997</v>
      </c>
      <c r="G124" s="127">
        <f t="array" ref="G124">IF(E124="","",IFERROR(SUMPRODUCT(('Facturación 2026'!$A$4:$A$920=$A124)*'Facturación 2026'!$J$4:$J$920)*E124/(SUMPRODUCT(('Caja 1'!$A$4:$A$919=$A124)*'Caja 1'!$E$4:$E$919)+SUMPRODUCT(('Caja 2'!$A$4:$A$920=$A124)*'Caja 2'!$E$4:$E$920)),0))</f>
        <v>0</v>
      </c>
      <c r="H124" s="128">
        <f t="shared" si="9"/>
        <v>65.599999999999994</v>
      </c>
      <c r="I124" s="124">
        <f t="shared" si="10"/>
        <v>0</v>
      </c>
      <c r="J124" s="144" t="str">
        <f>IF(A124="","",IFERROR(INDEX('Facturación 2026'!$L$4:$L$500,MATCH($A124,'Facturación 2026'!$A$4:$A$500,0)),""))</f>
        <v/>
      </c>
    </row>
    <row r="125" spans="1:10" ht="16" customHeight="1">
      <c r="A125" s="988">
        <v>46107</v>
      </c>
      <c r="B125" s="991" t="str">
        <f t="shared" si="7"/>
        <v>Jue</v>
      </c>
      <c r="C125" s="123" t="s">
        <v>494</v>
      </c>
      <c r="D125" s="131">
        <f t="array" ref="D125">IF(A125="","",SUMPRODUCT(('Detalle Turnos'!$I$3:$I$5028=$A125)*('Detalle Turnos'!$N$3:$N$5028=C125)*'Detalle Turnos'!$L$3:$L$5028))</f>
        <v>14</v>
      </c>
      <c r="E125" s="127">
        <f t="array" ref="E125">IF(A125="","",SUMPRODUCT(('Detalle Turnos'!$I$3:$I$5028=$A125)*('Detalle Turnos'!$N$3:$N$5028=C125)*'Detalle Turnos'!$K$3:$K$5028))</f>
        <v>97.75</v>
      </c>
      <c r="F125" s="127">
        <f t="shared" si="8"/>
        <v>6.9821428571428568</v>
      </c>
      <c r="G125" s="127">
        <f t="array" ref="G125">IF(E125="","",IFERROR(SUMPRODUCT(('Facturación 2026'!$A$4:$A$920=$A125)*'Facturación 2026'!$J$4:$J$920)*E125/(SUMPRODUCT(('Caja 1'!$A$4:$A$919=$A125)*'Caja 1'!$E$4:$E$919)+SUMPRODUCT(('Caja 2'!$A$4:$A$920=$A125)*'Caja 2'!$E$4:$E$920)),0))</f>
        <v>0</v>
      </c>
      <c r="H125" s="128">
        <f t="shared" si="9"/>
        <v>97.75</v>
      </c>
      <c r="I125" s="124">
        <f t="shared" si="10"/>
        <v>0</v>
      </c>
      <c r="J125" s="144" t="str">
        <f>IF(A125="","",IFERROR(INDEX('Facturación 2026'!$L$4:$L$500,MATCH($A125,'Facturación 2026'!$A$4:$A$500,0)),""))</f>
        <v/>
      </c>
    </row>
    <row r="126" spans="1:10" ht="16" customHeight="1">
      <c r="A126" s="988">
        <v>46107</v>
      </c>
      <c r="B126" s="991" t="str">
        <f t="shared" si="7"/>
        <v>Jue</v>
      </c>
      <c r="C126" s="123" t="s">
        <v>497</v>
      </c>
      <c r="D126" s="131">
        <f t="array" ref="D126">IF(A126="","",SUMPRODUCT(('Detalle Turnos'!$I$3:$I$5028=$A126)*('Detalle Turnos'!$N$3:$N$5028=C126)*'Detalle Turnos'!$L$3:$L$5028))</f>
        <v>7</v>
      </c>
      <c r="E126" s="127">
        <f t="array" ref="E126">IF(A126="","",SUMPRODUCT(('Detalle Turnos'!$I$3:$I$5028=$A126)*('Detalle Turnos'!$N$3:$N$5028=C126)*'Detalle Turnos'!$K$3:$K$5028))</f>
        <v>165.1</v>
      </c>
      <c r="F126" s="127">
        <f t="shared" si="8"/>
        <v>23.585714285714285</v>
      </c>
      <c r="G126" s="127">
        <f t="array" ref="G126">IF(E126="","",IFERROR(SUMPRODUCT(('Facturación 2026'!$A$4:$A$920=$A126)*'Facturación 2026'!$J$4:$J$920)*E126/(SUMPRODUCT(('Caja 1'!$A$4:$A$919=$A126)*'Caja 1'!$E$4:$E$919)+SUMPRODUCT(('Caja 2'!$A$4:$A$920=$A126)*'Caja 2'!$E$4:$E$920)),0))</f>
        <v>0</v>
      </c>
      <c r="H126" s="128">
        <f t="shared" si="9"/>
        <v>165.1</v>
      </c>
      <c r="I126" s="124">
        <f t="shared" si="10"/>
        <v>0</v>
      </c>
      <c r="J126" s="144" t="str">
        <f>IF(A126="","",IFERROR(INDEX('Facturación 2026'!$L$4:$L$500,MATCH($A126,'Facturación 2026'!$A$4:$A$500,0)),""))</f>
        <v/>
      </c>
    </row>
    <row r="127" spans="1:10" ht="16" customHeight="1">
      <c r="A127" s="988">
        <v>46108</v>
      </c>
      <c r="B127" s="991" t="str">
        <f t="shared" si="7"/>
        <v>Vie</v>
      </c>
      <c r="C127" s="123" t="s">
        <v>146</v>
      </c>
      <c r="D127" s="131">
        <f t="array" ref="D127">IF(A127="","",SUMPRODUCT(('Detalle Turnos'!$I$3:$I$5028=$A127)*('Detalle Turnos'!$N$3:$N$5028=C127)*'Detalle Turnos'!$L$3:$L$5028))</f>
        <v>32</v>
      </c>
      <c r="E127" s="127">
        <f t="array" ref="E127">IF(A127="","",SUMPRODUCT(('Detalle Turnos'!$I$3:$I$5028=$A127)*('Detalle Turnos'!$N$3:$N$5028=C127)*'Detalle Turnos'!$K$3:$K$5028))</f>
        <v>95.95</v>
      </c>
      <c r="F127" s="127">
        <f t="shared" si="8"/>
        <v>2.9984375000000001</v>
      </c>
      <c r="G127" s="127">
        <f t="array" ref="G127">IF(E127="","",IFERROR(SUMPRODUCT(('Facturación 2026'!$A$4:$A$920=$A127)*'Facturación 2026'!$J$4:$J$920)*E127/(SUMPRODUCT(('Caja 1'!$A$4:$A$919=$A127)*'Caja 1'!$E$4:$E$919)+SUMPRODUCT(('Caja 2'!$A$4:$A$920=$A127)*'Caja 2'!$E$4:$E$920)),0))</f>
        <v>0</v>
      </c>
      <c r="H127" s="128">
        <f t="shared" si="9"/>
        <v>95.95</v>
      </c>
      <c r="I127" s="124">
        <f t="shared" si="10"/>
        <v>0</v>
      </c>
      <c r="J127" s="144" t="str">
        <f>IF(A127="","",IFERROR(INDEX('Facturación 2026'!$L$4:$L$500,MATCH($A127,'Facturación 2026'!$A$4:$A$500,0)),""))</f>
        <v/>
      </c>
    </row>
    <row r="128" spans="1:10" ht="16" customHeight="1">
      <c r="A128" s="988">
        <v>46108</v>
      </c>
      <c r="B128" s="991" t="str">
        <f t="shared" si="7"/>
        <v>Vie</v>
      </c>
      <c r="C128" s="123" t="s">
        <v>494</v>
      </c>
      <c r="D128" s="131">
        <f t="array" ref="D128">IF(A128="","",SUMPRODUCT(('Detalle Turnos'!$I$3:$I$5028=$A128)*('Detalle Turnos'!$N$3:$N$5028=C128)*'Detalle Turnos'!$L$3:$L$5028))</f>
        <v>11</v>
      </c>
      <c r="E128" s="127">
        <f t="array" ref="E128">IF(A128="","",SUMPRODUCT(('Detalle Turnos'!$I$3:$I$5028=$A128)*('Detalle Turnos'!$N$3:$N$5028=C128)*'Detalle Turnos'!$K$3:$K$5028))</f>
        <v>123.39999999999999</v>
      </c>
      <c r="F128" s="127">
        <f t="shared" si="8"/>
        <v>11.218181818181817</v>
      </c>
      <c r="G128" s="127">
        <f t="array" ref="G128">IF(E128="","",IFERROR(SUMPRODUCT(('Facturación 2026'!$A$4:$A$920=$A128)*'Facturación 2026'!$J$4:$J$920)*E128/(SUMPRODUCT(('Caja 1'!$A$4:$A$919=$A128)*'Caja 1'!$E$4:$E$919)+SUMPRODUCT(('Caja 2'!$A$4:$A$920=$A128)*'Caja 2'!$E$4:$E$920)),0))</f>
        <v>0</v>
      </c>
      <c r="H128" s="128">
        <f t="shared" si="9"/>
        <v>123.39999999999999</v>
      </c>
      <c r="I128" s="124">
        <f t="shared" si="10"/>
        <v>0</v>
      </c>
      <c r="J128" s="144" t="str">
        <f>IF(A128="","",IFERROR(INDEX('Facturación 2026'!$L$4:$L$500,MATCH($A128,'Facturación 2026'!$A$4:$A$500,0)),""))</f>
        <v/>
      </c>
    </row>
    <row r="129" spans="1:10" ht="16" customHeight="1">
      <c r="A129" s="988">
        <v>46109</v>
      </c>
      <c r="B129" s="991" t="str">
        <f t="shared" si="7"/>
        <v>Sáb</v>
      </c>
      <c r="C129" s="123" t="s">
        <v>146</v>
      </c>
      <c r="D129" s="131">
        <f t="array" ref="D129">IF(A129="","",SUMPRODUCT(('Detalle Turnos'!$I$3:$I$5028=$A129)*('Detalle Turnos'!$N$3:$N$5028=C129)*'Detalle Turnos'!$L$3:$L$5028))</f>
        <v>19</v>
      </c>
      <c r="E129" s="127">
        <f t="array" ref="E129">IF(A129="","",SUMPRODUCT(('Detalle Turnos'!$I$3:$I$5028=$A129)*('Detalle Turnos'!$N$3:$N$5028=C129)*'Detalle Turnos'!$K$3:$K$5028))</f>
        <v>76.650000000000006</v>
      </c>
      <c r="F129" s="127">
        <f t="shared" si="8"/>
        <v>4.0342105263157899</v>
      </c>
      <c r="G129" s="127">
        <f t="array" ref="G129">IF(E129="","",IFERROR(SUMPRODUCT(('Facturación 2026'!$A$4:$A$920=$A129)*'Facturación 2026'!$J$4:$J$920)*E129/(SUMPRODUCT(('Caja 1'!$A$4:$A$919=$A129)*'Caja 1'!$E$4:$E$919)+SUMPRODUCT(('Caja 2'!$A$4:$A$920=$A129)*'Caja 2'!$E$4:$E$920)),0))</f>
        <v>0</v>
      </c>
      <c r="H129" s="128">
        <f t="shared" si="9"/>
        <v>76.650000000000006</v>
      </c>
      <c r="I129" s="124">
        <f t="shared" si="10"/>
        <v>0</v>
      </c>
      <c r="J129" s="144" t="str">
        <f>IF(A129="","",IFERROR(INDEX('Facturación 2026'!$L$4:$L$500,MATCH($A129,'Facturación 2026'!$A$4:$A$500,0)),""))</f>
        <v/>
      </c>
    </row>
    <row r="130" spans="1:10" ht="16" customHeight="1">
      <c r="A130" s="988">
        <v>46109</v>
      </c>
      <c r="B130" s="991" t="str">
        <f t="shared" si="7"/>
        <v>Sáb</v>
      </c>
      <c r="C130" s="123" t="s">
        <v>494</v>
      </c>
      <c r="D130" s="131">
        <f t="array" ref="D130">IF(A130="","",SUMPRODUCT(('Detalle Turnos'!$I$3:$I$5028=$A130)*('Detalle Turnos'!$N$3:$N$5028=C130)*'Detalle Turnos'!$L$3:$L$5028))</f>
        <v>9</v>
      </c>
      <c r="E130" s="127">
        <f t="array" ref="E130">IF(A130="","",SUMPRODUCT(('Detalle Turnos'!$I$3:$I$5028=$A130)*('Detalle Turnos'!$N$3:$N$5028=C130)*'Detalle Turnos'!$K$3:$K$5028))</f>
        <v>120.19</v>
      </c>
      <c r="F130" s="127">
        <f t="shared" si="8"/>
        <v>13.354444444444445</v>
      </c>
      <c r="G130" s="127">
        <f t="array" ref="G130">IF(E130="","",IFERROR(SUMPRODUCT(('Facturación 2026'!$A$4:$A$920=$A130)*'Facturación 2026'!$J$4:$J$920)*E130/(SUMPRODUCT(('Caja 1'!$A$4:$A$919=$A130)*'Caja 1'!$E$4:$E$919)+SUMPRODUCT(('Caja 2'!$A$4:$A$920=$A130)*'Caja 2'!$E$4:$E$920)),0))</f>
        <v>0</v>
      </c>
      <c r="H130" s="128">
        <f t="shared" si="9"/>
        <v>120.19</v>
      </c>
      <c r="I130" s="124">
        <f t="shared" si="10"/>
        <v>0</v>
      </c>
      <c r="J130" s="144" t="str">
        <f>IF(A130="","",IFERROR(INDEX('Facturación 2026'!$L$4:$L$500,MATCH($A130,'Facturación 2026'!$A$4:$A$500,0)),""))</f>
        <v/>
      </c>
    </row>
    <row r="131" spans="1:10" ht="16" customHeight="1">
      <c r="A131" s="988">
        <v>46109</v>
      </c>
      <c r="B131" s="991" t="str">
        <f t="shared" si="7"/>
        <v>Sáb</v>
      </c>
      <c r="C131" s="123" t="s">
        <v>497</v>
      </c>
      <c r="D131" s="131">
        <f t="array" ref="D131">IF(A131="","",SUMPRODUCT(('Detalle Turnos'!$I$3:$I$5028=$A131)*('Detalle Turnos'!$N$3:$N$5028=C131)*'Detalle Turnos'!$L$3:$L$5028))</f>
        <v>19</v>
      </c>
      <c r="E131" s="127">
        <f t="array" ref="E131">IF(A131="","",SUMPRODUCT(('Detalle Turnos'!$I$3:$I$5028=$A131)*('Detalle Turnos'!$N$3:$N$5028=C131)*'Detalle Turnos'!$K$3:$K$5028))</f>
        <v>233.64999999999998</v>
      </c>
      <c r="F131" s="127">
        <f t="shared" si="8"/>
        <v>12.29736842105263</v>
      </c>
      <c r="G131" s="127">
        <f t="array" ref="G131">IF(E131="","",IFERROR(SUMPRODUCT(('Facturación 2026'!$A$4:$A$920=$A131)*'Facturación 2026'!$J$4:$J$920)*E131/(SUMPRODUCT(('Caja 1'!$A$4:$A$919=$A131)*'Caja 1'!$E$4:$E$919)+SUMPRODUCT(('Caja 2'!$A$4:$A$920=$A131)*'Caja 2'!$E$4:$E$920)),0))</f>
        <v>0</v>
      </c>
      <c r="H131" s="128">
        <f t="shared" si="9"/>
        <v>233.64999999999998</v>
      </c>
      <c r="I131" s="124">
        <f t="shared" si="10"/>
        <v>0</v>
      </c>
      <c r="J131" s="144" t="str">
        <f>IF(A131="","",IFERROR(INDEX('Facturación 2026'!$L$4:$L$500,MATCH($A131,'Facturación 2026'!$A$4:$A$500,0)),""))</f>
        <v/>
      </c>
    </row>
    <row r="132" spans="1:10" ht="16" customHeight="1">
      <c r="A132" s="988">
        <v>46110</v>
      </c>
      <c r="B132" s="991" t="str">
        <f t="shared" ref="B132:B194" si="11">IF(A132="","",CHOOSE(WEEKDAY(A132,2),"Lun","Mar","Mié","Jue","Vie","Sáb","Dom"))</f>
        <v>Dom</v>
      </c>
      <c r="C132" s="123" t="s">
        <v>146</v>
      </c>
      <c r="D132" s="131">
        <f t="array" ref="D132">IF(A132="","",SUMPRODUCT(('Detalle Turnos'!$I$3:$I$5028=$A132)*('Detalle Turnos'!$N$3:$N$5028=C132)*'Detalle Turnos'!$L$3:$L$5028))</f>
        <v>21</v>
      </c>
      <c r="E132" s="127">
        <f t="array" ref="E132">IF(A132="","",SUMPRODUCT(('Detalle Turnos'!$I$3:$I$5028=$A132)*('Detalle Turnos'!$N$3:$N$5028=C132)*'Detalle Turnos'!$K$3:$K$5028))</f>
        <v>76.600000000000009</v>
      </c>
      <c r="F132" s="127">
        <f t="shared" ref="F132:F194" si="12">IFERROR(E132/D132,0)</f>
        <v>3.647619047619048</v>
      </c>
      <c r="G132" s="127">
        <f t="array" ref="G132">IF(E132="","",IFERROR(SUMPRODUCT(('Facturación 2026'!$A$4:$A$920=$A132)*'Facturación 2026'!$J$4:$J$920)*E132/(SUMPRODUCT(('Caja 1'!$A$4:$A$919=$A132)*'Caja 1'!$E$4:$E$919)+SUMPRODUCT(('Caja 2'!$A$4:$A$920=$A132)*'Caja 2'!$E$4:$E$920)),0))</f>
        <v>0</v>
      </c>
      <c r="H132" s="128">
        <f t="shared" ref="H132:H194" si="13">IF(E132="","",E132-G132)</f>
        <v>76.600000000000009</v>
      </c>
      <c r="I132" s="124">
        <f t="shared" ref="I132:I194" si="14">IF(E132="","",IFERROR(G132/E132,0))</f>
        <v>0</v>
      </c>
      <c r="J132" s="144" t="str">
        <f>IF(A132="","",IFERROR(INDEX('Facturación 2026'!$L$4:$L$500,MATCH($A132,'Facturación 2026'!$A$4:$A$500,0)),""))</f>
        <v>Semana Santa</v>
      </c>
    </row>
    <row r="133" spans="1:10" ht="16" customHeight="1">
      <c r="A133" s="988">
        <v>46110</v>
      </c>
      <c r="B133" s="991" t="str">
        <f t="shared" si="11"/>
        <v>Dom</v>
      </c>
      <c r="C133" s="123" t="s">
        <v>494</v>
      </c>
      <c r="D133" s="131">
        <f t="array" ref="D133">IF(A133="","",SUMPRODUCT(('Detalle Turnos'!$I$3:$I$5028=$A133)*('Detalle Turnos'!$N$3:$N$5028=C133)*'Detalle Turnos'!$L$3:$L$5028))</f>
        <v>17</v>
      </c>
      <c r="E133" s="127">
        <f t="array" ref="E133">IF(A133="","",SUMPRODUCT(('Detalle Turnos'!$I$3:$I$5028=$A133)*('Detalle Turnos'!$N$3:$N$5028=C133)*'Detalle Turnos'!$K$3:$K$5028))</f>
        <v>76.800000000000011</v>
      </c>
      <c r="F133" s="127">
        <f t="shared" si="12"/>
        <v>4.5176470588235302</v>
      </c>
      <c r="G133" s="127">
        <f t="array" ref="G133">IF(E133="","",IFERROR(SUMPRODUCT(('Facturación 2026'!$A$4:$A$920=$A133)*'Facturación 2026'!$J$4:$J$920)*E133/(SUMPRODUCT(('Caja 1'!$A$4:$A$919=$A133)*'Caja 1'!$E$4:$E$919)+SUMPRODUCT(('Caja 2'!$A$4:$A$920=$A133)*'Caja 2'!$E$4:$E$920)),0))</f>
        <v>0</v>
      </c>
      <c r="H133" s="128">
        <f t="shared" si="13"/>
        <v>76.800000000000011</v>
      </c>
      <c r="I133" s="124">
        <f t="shared" si="14"/>
        <v>0</v>
      </c>
      <c r="J133" s="144" t="str">
        <f>IF(A133="","",IFERROR(INDEX('Facturación 2026'!$L$4:$L$500,MATCH($A133,'Facturación 2026'!$A$4:$A$500,0)),""))</f>
        <v>Semana Santa</v>
      </c>
    </row>
    <row r="134" spans="1:10" ht="16" customHeight="1">
      <c r="A134" s="988">
        <v>46113</v>
      </c>
      <c r="B134" s="991" t="str">
        <f t="shared" si="11"/>
        <v>Mié</v>
      </c>
      <c r="C134" s="123" t="s">
        <v>146</v>
      </c>
      <c r="D134" s="131">
        <f t="array" ref="D134">IF(A134="","",SUMPRODUCT(('Detalle Turnos'!$I$3:$I$5028=$A134)*('Detalle Turnos'!$N$3:$N$5028=C134)*'Detalle Turnos'!$L$3:$L$5028))</f>
        <v>25</v>
      </c>
      <c r="E134" s="127">
        <f t="array" ref="E134">IF(A134="","",SUMPRODUCT(('Detalle Turnos'!$I$3:$I$5028=$A134)*('Detalle Turnos'!$N$3:$N$5028=C134)*'Detalle Turnos'!$K$3:$K$5028))</f>
        <v>81.099999999999994</v>
      </c>
      <c r="F134" s="127">
        <f t="shared" si="12"/>
        <v>3.2439999999999998</v>
      </c>
      <c r="G134" s="127">
        <f t="array" ref="G134">IF(E134="","",IFERROR(SUMPRODUCT(('Facturación 2026'!$A$4:$A$920=$A134)*'Facturación 2026'!$J$4:$J$920)*E134/(SUMPRODUCT(('Caja 1'!$A$4:$A$919=$A134)*'Caja 1'!$E$4:$E$919)+SUMPRODUCT(('Caja 2'!$A$4:$A$920=$A134)*'Caja 2'!$E$4:$E$920)),0))</f>
        <v>0</v>
      </c>
      <c r="H134" s="128">
        <f t="shared" si="13"/>
        <v>81.099999999999994</v>
      </c>
      <c r="I134" s="124">
        <f t="shared" si="14"/>
        <v>0</v>
      </c>
      <c r="J134" s="144" t="str">
        <f>IF(A134="","",IFERROR(INDEX('Facturación 2026'!$L$4:$L$500,MATCH($A134,'Facturación 2026'!$A$4:$A$500,0)),""))</f>
        <v/>
      </c>
    </row>
    <row r="135" spans="1:10" ht="16" customHeight="1">
      <c r="A135" s="988">
        <v>46113</v>
      </c>
      <c r="B135" s="991" t="str">
        <f t="shared" si="11"/>
        <v>Mié</v>
      </c>
      <c r="C135" s="123" t="s">
        <v>494</v>
      </c>
      <c r="D135" s="131">
        <f t="array" ref="D135">IF(A135="","",SUMPRODUCT(('Detalle Turnos'!$I$3:$I$5028=$A135)*('Detalle Turnos'!$N$3:$N$5028=C135)*'Detalle Turnos'!$L$3:$L$5028))</f>
        <v>20</v>
      </c>
      <c r="E135" s="127">
        <f t="array" ref="E135">IF(A135="","",SUMPRODUCT(('Detalle Turnos'!$I$3:$I$5028=$A135)*('Detalle Turnos'!$N$3:$N$5028=C135)*'Detalle Turnos'!$K$3:$K$5028))</f>
        <v>195.75000000000003</v>
      </c>
      <c r="F135" s="127">
        <f t="shared" si="12"/>
        <v>9.7875000000000014</v>
      </c>
      <c r="G135" s="127">
        <f t="array" ref="G135">IF(E135="","",IFERROR(SUMPRODUCT(('Facturación 2026'!$A$4:$A$920=$A135)*'Facturación 2026'!$J$4:$J$920)*E135/(SUMPRODUCT(('Caja 1'!$A$4:$A$919=$A135)*'Caja 1'!$E$4:$E$919)+SUMPRODUCT(('Caja 2'!$A$4:$A$920=$A135)*'Caja 2'!$E$4:$E$920)),0))</f>
        <v>0</v>
      </c>
      <c r="H135" s="128">
        <f t="shared" si="13"/>
        <v>195.75000000000003</v>
      </c>
      <c r="I135" s="124">
        <f t="shared" si="14"/>
        <v>0</v>
      </c>
      <c r="J135" s="144" t="str">
        <f>IF(A135="","",IFERROR(INDEX('Facturación 2026'!$L$4:$L$500,MATCH($A135,'Facturación 2026'!$A$4:$A$500,0)),""))</f>
        <v/>
      </c>
    </row>
    <row r="136" spans="1:10" ht="16" customHeight="1">
      <c r="A136" s="988">
        <v>46113</v>
      </c>
      <c r="B136" s="991" t="str">
        <f t="shared" si="11"/>
        <v>Mié</v>
      </c>
      <c r="C136" s="123" t="s">
        <v>497</v>
      </c>
      <c r="D136" s="131">
        <f t="array" ref="D136">IF(A136="","",SUMPRODUCT(('Detalle Turnos'!$I$3:$I$5028=$A136)*('Detalle Turnos'!$N$3:$N$5028=C136)*'Detalle Turnos'!$L$3:$L$5028))</f>
        <v>11</v>
      </c>
      <c r="E136" s="127">
        <f t="array" ref="E136">IF(A136="","",SUMPRODUCT(('Detalle Turnos'!$I$3:$I$5028=$A136)*('Detalle Turnos'!$N$3:$N$5028=C136)*'Detalle Turnos'!$K$3:$K$5028))</f>
        <v>120.69999999999999</v>
      </c>
      <c r="F136" s="127">
        <f t="shared" si="12"/>
        <v>10.972727272727271</v>
      </c>
      <c r="G136" s="127">
        <f t="array" ref="G136">IF(E136="","",IFERROR(SUMPRODUCT(('Facturación 2026'!$A$4:$A$920=$A136)*'Facturación 2026'!$J$4:$J$920)*E136/(SUMPRODUCT(('Caja 1'!$A$4:$A$919=$A136)*'Caja 1'!$E$4:$E$919)+SUMPRODUCT(('Caja 2'!$A$4:$A$920=$A136)*'Caja 2'!$E$4:$E$920)),0))</f>
        <v>0</v>
      </c>
      <c r="H136" s="128">
        <f t="shared" si="13"/>
        <v>120.69999999999999</v>
      </c>
      <c r="I136" s="124">
        <f t="shared" si="14"/>
        <v>0</v>
      </c>
      <c r="J136" s="144" t="str">
        <f>IF(A136="","",IFERROR(INDEX('Facturación 2026'!$L$4:$L$500,MATCH($A136,'Facturación 2026'!$A$4:$A$500,0)),""))</f>
        <v/>
      </c>
    </row>
    <row r="137" spans="1:10" ht="16" customHeight="1">
      <c r="A137" s="988">
        <v>46114</v>
      </c>
      <c r="B137" s="991" t="str">
        <f t="shared" si="11"/>
        <v>Jue</v>
      </c>
      <c r="C137" s="123" t="s">
        <v>146</v>
      </c>
      <c r="D137" s="131">
        <f t="array" ref="D137">IF(A137="","",SUMPRODUCT(('Detalle Turnos'!$I$3:$I$5028=$A137)*('Detalle Turnos'!$N$3:$N$5028=C137)*'Detalle Turnos'!$L$3:$L$5028))</f>
        <v>25</v>
      </c>
      <c r="E137" s="127">
        <f t="array" ref="E137">IF(A137="","",SUMPRODUCT(('Detalle Turnos'!$I$3:$I$5028=$A137)*('Detalle Turnos'!$N$3:$N$5028=C137)*'Detalle Turnos'!$K$3:$K$5028))</f>
        <v>90.85</v>
      </c>
      <c r="F137" s="127">
        <f t="shared" si="12"/>
        <v>3.6339999999999999</v>
      </c>
      <c r="G137" s="127">
        <f t="array" ref="G137">IF(E137="","",IFERROR(SUMPRODUCT(('Facturación 2026'!$A$4:$A$920=$A137)*'Facturación 2026'!$J$4:$J$920)*E137/(SUMPRODUCT(('Caja 1'!$A$4:$A$919=$A137)*'Caja 1'!$E$4:$E$919)+SUMPRODUCT(('Caja 2'!$A$4:$A$920=$A137)*'Caja 2'!$E$4:$E$920)),0))</f>
        <v>0</v>
      </c>
      <c r="H137" s="128">
        <f t="shared" si="13"/>
        <v>90.85</v>
      </c>
      <c r="I137" s="124">
        <f t="shared" si="14"/>
        <v>0</v>
      </c>
      <c r="J137" s="144" t="str">
        <f>IF(A137="","",IFERROR(INDEX('Facturación 2026'!$L$4:$L$500,MATCH($A137,'Facturación 2026'!$A$4:$A$500,0)),""))</f>
        <v/>
      </c>
    </row>
    <row r="138" spans="1:10" ht="16" customHeight="1">
      <c r="A138" s="988">
        <v>46114</v>
      </c>
      <c r="B138" s="991" t="str">
        <f t="shared" si="11"/>
        <v>Jue</v>
      </c>
      <c r="C138" s="123" t="s">
        <v>494</v>
      </c>
      <c r="D138" s="131">
        <f t="array" ref="D138">IF(A138="","",SUMPRODUCT(('Detalle Turnos'!$I$3:$I$5028=$A138)*('Detalle Turnos'!$N$3:$N$5028=C138)*'Detalle Turnos'!$L$3:$L$5028))</f>
        <v>5</v>
      </c>
      <c r="E138" s="127">
        <f t="array" ref="E138">IF(A138="","",SUMPRODUCT(('Detalle Turnos'!$I$3:$I$5028=$A138)*('Detalle Turnos'!$N$3:$N$5028=C138)*'Detalle Turnos'!$K$3:$K$5028))</f>
        <v>14</v>
      </c>
      <c r="F138" s="127">
        <f t="shared" si="12"/>
        <v>2.8</v>
      </c>
      <c r="G138" s="127">
        <f t="array" ref="G138">IF(E138="","",IFERROR(SUMPRODUCT(('Facturación 2026'!$A$4:$A$920=$A138)*'Facturación 2026'!$J$4:$J$920)*E138/(SUMPRODUCT(('Caja 1'!$A$4:$A$919=$A138)*'Caja 1'!$E$4:$E$919)+SUMPRODUCT(('Caja 2'!$A$4:$A$920=$A138)*'Caja 2'!$E$4:$E$920)),0))</f>
        <v>0</v>
      </c>
      <c r="H138" s="128">
        <f t="shared" si="13"/>
        <v>14</v>
      </c>
      <c r="I138" s="124">
        <f t="shared" si="14"/>
        <v>0</v>
      </c>
      <c r="J138" s="144" t="str">
        <f>IF(A138="","",IFERROR(INDEX('Facturación 2026'!$L$4:$L$500,MATCH($A138,'Facturación 2026'!$A$4:$A$500,0)),""))</f>
        <v/>
      </c>
    </row>
    <row r="139" spans="1:10" ht="16" customHeight="1">
      <c r="A139" s="988">
        <v>46114</v>
      </c>
      <c r="B139" s="991" t="str">
        <f t="shared" si="11"/>
        <v>Jue</v>
      </c>
      <c r="C139" s="123" t="s">
        <v>497</v>
      </c>
      <c r="D139" s="131">
        <f t="array" ref="D139">IF(A139="","",SUMPRODUCT(('Detalle Turnos'!$I$3:$I$5028=$A139)*('Detalle Turnos'!$N$3:$N$5028=C139)*'Detalle Turnos'!$L$3:$L$5028))</f>
        <v>2</v>
      </c>
      <c r="E139" s="127">
        <f t="array" ref="E139">IF(A139="","",SUMPRODUCT(('Detalle Turnos'!$I$3:$I$5028=$A139)*('Detalle Turnos'!$N$3:$N$5028=C139)*'Detalle Turnos'!$K$3:$K$5028))</f>
        <v>3.7</v>
      </c>
      <c r="F139" s="127">
        <f t="shared" si="12"/>
        <v>1.85</v>
      </c>
      <c r="G139" s="127">
        <f t="array" ref="G139">IF(E139="","",IFERROR(SUMPRODUCT(('Facturación 2026'!$A$4:$A$920=$A139)*'Facturación 2026'!$J$4:$J$920)*E139/(SUMPRODUCT(('Caja 1'!$A$4:$A$919=$A139)*'Caja 1'!$E$4:$E$919)+SUMPRODUCT(('Caja 2'!$A$4:$A$920=$A139)*'Caja 2'!$E$4:$E$920)),0))</f>
        <v>0</v>
      </c>
      <c r="H139" s="128">
        <f t="shared" si="13"/>
        <v>3.7</v>
      </c>
      <c r="I139" s="124">
        <f t="shared" si="14"/>
        <v>0</v>
      </c>
      <c r="J139" s="144" t="str">
        <f>IF(A139="","",IFERROR(INDEX('Facturación 2026'!$L$4:$L$500,MATCH($A139,'Facturación 2026'!$A$4:$A$500,0)),""))</f>
        <v/>
      </c>
    </row>
    <row r="140" spans="1:10" ht="16" customHeight="1">
      <c r="A140" s="988">
        <v>46115</v>
      </c>
      <c r="B140" s="991" t="str">
        <f t="shared" si="11"/>
        <v>Vie</v>
      </c>
      <c r="C140" s="123" t="s">
        <v>146</v>
      </c>
      <c r="D140" s="131">
        <f t="array" ref="D140">IF(A140="","",SUMPRODUCT(('Detalle Turnos'!$I$3:$I$5028=$A140)*('Detalle Turnos'!$N$3:$N$5028=C140)*'Detalle Turnos'!$L$3:$L$5028))</f>
        <v>18</v>
      </c>
      <c r="E140" s="127">
        <f t="array" ref="E140">IF(A140="","",SUMPRODUCT(('Detalle Turnos'!$I$3:$I$5028=$A140)*('Detalle Turnos'!$N$3:$N$5028=C140)*'Detalle Turnos'!$K$3:$K$5028))</f>
        <v>80.7</v>
      </c>
      <c r="F140" s="127">
        <f t="shared" si="12"/>
        <v>4.4833333333333334</v>
      </c>
      <c r="G140" s="127">
        <f t="array" ref="G140">IF(E140="","",IFERROR(SUMPRODUCT(('Facturación 2026'!$A$4:$A$920=$A140)*'Facturación 2026'!$J$4:$J$920)*E140/(SUMPRODUCT(('Caja 1'!$A$4:$A$919=$A140)*'Caja 1'!$E$4:$E$919)+SUMPRODUCT(('Caja 2'!$A$4:$A$920=$A140)*'Caja 2'!$E$4:$E$920)),0))</f>
        <v>0</v>
      </c>
      <c r="H140" s="128">
        <f t="shared" si="13"/>
        <v>80.7</v>
      </c>
      <c r="I140" s="124">
        <f t="shared" si="14"/>
        <v>0</v>
      </c>
      <c r="J140" s="144" t="str">
        <f>IF(A140="","",IFERROR(INDEX('Facturación 2026'!$L$4:$L$500,MATCH($A140,'Facturación 2026'!$A$4:$A$500,0)),""))</f>
        <v/>
      </c>
    </row>
    <row r="141" spans="1:10" ht="16" customHeight="1">
      <c r="A141" s="988">
        <v>46115</v>
      </c>
      <c r="B141" s="991" t="str">
        <f t="shared" si="11"/>
        <v>Vie</v>
      </c>
      <c r="C141" s="123" t="s">
        <v>494</v>
      </c>
      <c r="D141" s="131">
        <f t="array" ref="D141">IF(A141="","",SUMPRODUCT(('Detalle Turnos'!$I$3:$I$5028=$A141)*('Detalle Turnos'!$N$3:$N$5028=C141)*'Detalle Turnos'!$L$3:$L$5028))</f>
        <v>2</v>
      </c>
      <c r="E141" s="127">
        <f t="array" ref="E141">IF(A141="","",SUMPRODUCT(('Detalle Turnos'!$I$3:$I$5028=$A141)*('Detalle Turnos'!$N$3:$N$5028=C141)*'Detalle Turnos'!$K$3:$K$5028))</f>
        <v>20.350000000000001</v>
      </c>
      <c r="F141" s="127">
        <f t="shared" si="12"/>
        <v>10.175000000000001</v>
      </c>
      <c r="G141" s="127">
        <f t="array" ref="G141">IF(E141="","",IFERROR(SUMPRODUCT(('Facturación 2026'!$A$4:$A$920=$A141)*'Facturación 2026'!$J$4:$J$920)*E141/(SUMPRODUCT(('Caja 1'!$A$4:$A$919=$A141)*'Caja 1'!$E$4:$E$919)+SUMPRODUCT(('Caja 2'!$A$4:$A$920=$A141)*'Caja 2'!$E$4:$E$920)),0))</f>
        <v>0</v>
      </c>
      <c r="H141" s="128">
        <f t="shared" si="13"/>
        <v>20.350000000000001</v>
      </c>
      <c r="I141" s="124">
        <f t="shared" si="14"/>
        <v>0</v>
      </c>
      <c r="J141" s="144" t="str">
        <f>IF(A141="","",IFERROR(INDEX('Facturación 2026'!$L$4:$L$500,MATCH($A141,'Facturación 2026'!$A$4:$A$500,0)),""))</f>
        <v/>
      </c>
    </row>
    <row r="142" spans="1:10" ht="16" customHeight="1">
      <c r="A142" s="988">
        <v>46116</v>
      </c>
      <c r="B142" s="991" t="str">
        <f t="shared" si="11"/>
        <v>Sáb</v>
      </c>
      <c r="C142" s="123" t="s">
        <v>146</v>
      </c>
      <c r="D142" s="131">
        <f t="array" ref="D142">IF(A142="","",SUMPRODUCT(('Detalle Turnos'!$I$3:$I$5028=$A142)*('Detalle Turnos'!$N$3:$N$5028=C142)*'Detalle Turnos'!$L$3:$L$5028))</f>
        <v>26</v>
      </c>
      <c r="E142" s="127">
        <f t="array" ref="E142">IF(A142="","",SUMPRODUCT(('Detalle Turnos'!$I$3:$I$5028=$A142)*('Detalle Turnos'!$N$3:$N$5028=C142)*'Detalle Turnos'!$K$3:$K$5028))</f>
        <v>109.85000000000002</v>
      </c>
      <c r="F142" s="127">
        <f t="shared" si="12"/>
        <v>4.2250000000000005</v>
      </c>
      <c r="G142" s="127">
        <f t="array" ref="G142">IF(E142="","",IFERROR(SUMPRODUCT(('Facturación 2026'!$A$4:$A$920=$A142)*'Facturación 2026'!$J$4:$J$920)*E142/(SUMPRODUCT(('Caja 1'!$A$4:$A$919=$A142)*'Caja 1'!$E$4:$E$919)+SUMPRODUCT(('Caja 2'!$A$4:$A$920=$A142)*'Caja 2'!$E$4:$E$920)),0))</f>
        <v>0</v>
      </c>
      <c r="H142" s="128">
        <f t="shared" si="13"/>
        <v>109.85000000000002</v>
      </c>
      <c r="I142" s="124">
        <f t="shared" si="14"/>
        <v>0</v>
      </c>
      <c r="J142" s="144" t="str">
        <f>IF(A142="","",IFERROR(INDEX('Facturación 2026'!$L$4:$L$500,MATCH($A142,'Facturación 2026'!$A$4:$A$500,0)),""))</f>
        <v/>
      </c>
    </row>
    <row r="143" spans="1:10" ht="15.75" customHeight="1">
      <c r="A143" s="988">
        <v>46116</v>
      </c>
      <c r="B143" s="991" t="str">
        <f t="shared" si="11"/>
        <v>Sáb</v>
      </c>
      <c r="C143" s="123" t="s">
        <v>494</v>
      </c>
      <c r="D143" s="131">
        <f t="array" ref="D143">IF(A143="","",SUMPRODUCT(('Detalle Turnos'!$I$3:$I$5028=$A143)*('Detalle Turnos'!$N$3:$N$5028=C143)*'Detalle Turnos'!$L$3:$L$5028))</f>
        <v>22</v>
      </c>
      <c r="E143" s="127">
        <f t="array" ref="E143">IF(A143="","",SUMPRODUCT(('Detalle Turnos'!$I$3:$I$5028=$A143)*('Detalle Turnos'!$N$3:$N$5028=C143)*'Detalle Turnos'!$K$3:$K$5028))</f>
        <v>356.79999999999995</v>
      </c>
      <c r="F143" s="127">
        <f t="shared" si="12"/>
        <v>16.218181818181815</v>
      </c>
      <c r="G143" s="127">
        <f t="array" ref="G143">IF(E143="","",IFERROR(SUMPRODUCT(('Facturación 2026'!$A$4:$A$920=$A143)*'Facturación 2026'!$J$4:$J$920)*E143/(SUMPRODUCT(('Caja 1'!$A$4:$A$919=$A143)*'Caja 1'!$E$4:$E$919)+SUMPRODUCT(('Caja 2'!$A$4:$A$920=$A143)*'Caja 2'!$E$4:$E$920)),0))</f>
        <v>0</v>
      </c>
      <c r="H143" s="128">
        <f t="shared" si="13"/>
        <v>356.79999999999995</v>
      </c>
      <c r="I143" s="124">
        <f t="shared" si="14"/>
        <v>0</v>
      </c>
      <c r="J143" s="144" t="str">
        <f>IF(A143="","",IFERROR(INDEX('Facturación 2026'!$L$4:$L$500,MATCH($A143,'Facturación 2026'!$A$4:$A$500,0)),""))</f>
        <v/>
      </c>
    </row>
    <row r="144" spans="1:10" ht="15.75" customHeight="1">
      <c r="A144" s="988">
        <v>46116</v>
      </c>
      <c r="B144" s="991" t="str">
        <f t="shared" si="11"/>
        <v>Sáb</v>
      </c>
      <c r="C144" s="123" t="s">
        <v>497</v>
      </c>
      <c r="D144" s="131">
        <f t="array" ref="D144">IF(A144="","",SUMPRODUCT(('Detalle Turnos'!$I$3:$I$5028=$A144)*('Detalle Turnos'!$N$3:$N$5028=C144)*'Detalle Turnos'!$L$3:$L$5028))</f>
        <v>0</v>
      </c>
      <c r="E144" s="127">
        <f t="array" ref="E144">IF(A144="","",SUMPRODUCT(('Detalle Turnos'!$I$3:$I$5028=$A144)*('Detalle Turnos'!$N$3:$N$5028=C144)*'Detalle Turnos'!$K$3:$K$5028))</f>
        <v>0</v>
      </c>
      <c r="F144" s="127">
        <f t="shared" si="12"/>
        <v>0</v>
      </c>
      <c r="G144" s="127">
        <f t="array" ref="G144">IF(E144="","",IFERROR(SUMPRODUCT(('Facturación 2026'!$A$4:$A$920=$A144)*'Facturación 2026'!$J$4:$J$920)*E144/(SUMPRODUCT(('Caja 1'!$A$4:$A$919=$A144)*'Caja 1'!$E$4:$E$919)+SUMPRODUCT(('Caja 2'!$A$4:$A$920=$A144)*'Caja 2'!$E$4:$E$920)),0))</f>
        <v>0</v>
      </c>
      <c r="H144" s="128">
        <f t="shared" si="13"/>
        <v>0</v>
      </c>
      <c r="I144" s="124">
        <f t="shared" si="14"/>
        <v>0</v>
      </c>
      <c r="J144" s="144" t="str">
        <f>IF(A144="","",IFERROR(INDEX('Facturación 2026'!$L$4:$L$500,MATCH($A144,'Facturación 2026'!$A$4:$A$500,0)),""))</f>
        <v/>
      </c>
    </row>
    <row r="145" spans="1:10" ht="15.75" customHeight="1">
      <c r="A145" s="988">
        <v>46117</v>
      </c>
      <c r="B145" s="991" t="str">
        <f t="shared" si="11"/>
        <v>Dom</v>
      </c>
      <c r="C145" s="123" t="s">
        <v>146</v>
      </c>
      <c r="D145" s="131">
        <f t="array" ref="D145">IF(A145="","",SUMPRODUCT(('Detalle Turnos'!$I$3:$I$5028=$A145)*('Detalle Turnos'!$N$3:$N$5028=C145)*'Detalle Turnos'!$L$3:$L$5028))</f>
        <v>4</v>
      </c>
      <c r="E145" s="127">
        <f t="array" ref="E145">IF(A145="","",SUMPRODUCT(('Detalle Turnos'!$I$3:$I$5028=$A145)*('Detalle Turnos'!$N$3:$N$5028=C145)*'Detalle Turnos'!$K$3:$K$5028))</f>
        <v>23.9</v>
      </c>
      <c r="F145" s="127">
        <f t="shared" si="12"/>
        <v>5.9749999999999996</v>
      </c>
      <c r="G145" s="127">
        <f t="array" ref="G145">IF(E145="","",IFERROR(SUMPRODUCT(('Facturación 2026'!$A$4:$A$920=$A145)*'Facturación 2026'!$J$4:$J$920)*E145/(SUMPRODUCT(('Caja 1'!$A$4:$A$919=$A145)*'Caja 1'!$E$4:$E$919)+SUMPRODUCT(('Caja 2'!$A$4:$A$920=$A145)*'Caja 2'!$E$4:$E$920)),0))</f>
        <v>0</v>
      </c>
      <c r="H145" s="128">
        <f t="shared" si="13"/>
        <v>23.9</v>
      </c>
      <c r="I145" s="124">
        <f t="shared" si="14"/>
        <v>0</v>
      </c>
      <c r="J145" s="144" t="str">
        <f>IF(A145="","",IFERROR(INDEX('Facturación 2026'!$L$4:$L$500,MATCH($A145,'Facturación 2026'!$A$4:$A$500,0)),""))</f>
        <v/>
      </c>
    </row>
    <row r="146" spans="1:10" ht="15.75" customHeight="1">
      <c r="A146" s="988">
        <v>46117</v>
      </c>
      <c r="B146" s="991" t="str">
        <f t="shared" si="11"/>
        <v>Dom</v>
      </c>
      <c r="C146" s="123" t="s">
        <v>494</v>
      </c>
      <c r="D146" s="131">
        <f t="array" ref="D146">IF(A146="","",SUMPRODUCT(('Detalle Turnos'!$I$3:$I$5028=$A146)*('Detalle Turnos'!$N$3:$N$5028=C146)*'Detalle Turnos'!$L$3:$L$5028))</f>
        <v>6</v>
      </c>
      <c r="E146" s="127">
        <f t="array" ref="E146">IF(A146="","",SUMPRODUCT(('Detalle Turnos'!$I$3:$I$5028=$A146)*('Detalle Turnos'!$N$3:$N$5028=C146)*'Detalle Turnos'!$K$3:$K$5028))</f>
        <v>48.85</v>
      </c>
      <c r="F146" s="127">
        <f t="shared" si="12"/>
        <v>8.1416666666666675</v>
      </c>
      <c r="G146" s="127">
        <f t="array" ref="G146">IF(E146="","",IFERROR(SUMPRODUCT(('Facturación 2026'!$A$4:$A$920=$A146)*'Facturación 2026'!$J$4:$J$920)*E146/(SUMPRODUCT(('Caja 1'!$A$4:$A$919=$A146)*'Caja 1'!$E$4:$E$919)+SUMPRODUCT(('Caja 2'!$A$4:$A$920=$A146)*'Caja 2'!$E$4:$E$920)),0))</f>
        <v>0</v>
      </c>
      <c r="H146" s="128">
        <f t="shared" si="13"/>
        <v>48.85</v>
      </c>
      <c r="I146" s="124">
        <f t="shared" si="14"/>
        <v>0</v>
      </c>
      <c r="J146" s="144" t="str">
        <f>IF(A146="","",IFERROR(INDEX('Facturación 2026'!$L$4:$L$500,MATCH($A146,'Facturación 2026'!$A$4:$A$500,0)),""))</f>
        <v/>
      </c>
    </row>
    <row r="147" spans="1:10" ht="15.75" customHeight="1">
      <c r="A147" s="988">
        <v>46118</v>
      </c>
      <c r="B147" s="991" t="str">
        <f t="shared" si="11"/>
        <v>Lun</v>
      </c>
      <c r="C147" s="123" t="s">
        <v>146</v>
      </c>
      <c r="D147" s="131">
        <f t="array" ref="D147">IF(A147="","",SUMPRODUCT(('Detalle Turnos'!$I$3:$I$5028=$A147)*('Detalle Turnos'!$N$3:$N$5028=C147)*'Detalle Turnos'!$L$3:$L$5028))</f>
        <v>14</v>
      </c>
      <c r="E147" s="127">
        <f t="array" ref="E147">IF(A147="","",SUMPRODUCT(('Detalle Turnos'!$I$3:$I$5028=$A147)*('Detalle Turnos'!$N$3:$N$5028=C147)*'Detalle Turnos'!$K$3:$K$5028))</f>
        <v>74.400000000000006</v>
      </c>
      <c r="F147" s="127">
        <f t="shared" si="12"/>
        <v>5.3142857142857149</v>
      </c>
      <c r="G147" s="127">
        <f t="array" ref="G147">IF(E147="","",IFERROR(SUMPRODUCT(('Facturación 2026'!$A$4:$A$920=$A147)*'Facturación 2026'!$J$4:$J$920)*E147/(SUMPRODUCT(('Caja 1'!$A$4:$A$919=$A147)*'Caja 1'!$E$4:$E$919)+SUMPRODUCT(('Caja 2'!$A$4:$A$920=$A147)*'Caja 2'!$E$4:$E$920)),0))</f>
        <v>0</v>
      </c>
      <c r="H147" s="128">
        <f t="shared" si="13"/>
        <v>74.400000000000006</v>
      </c>
      <c r="I147" s="124">
        <f t="shared" si="14"/>
        <v>0</v>
      </c>
      <c r="J147" s="144" t="str">
        <f>IF(A147="","",IFERROR(INDEX('Facturación 2026'!$L$4:$L$500,MATCH($A147,'Facturación 2026'!$A$4:$A$500,0)),""))</f>
        <v/>
      </c>
    </row>
    <row r="148" spans="1:10" ht="15.75" customHeight="1">
      <c r="A148" s="988">
        <v>46118</v>
      </c>
      <c r="B148" s="991" t="str">
        <f t="shared" si="11"/>
        <v>Lun</v>
      </c>
      <c r="C148" s="123" t="s">
        <v>494</v>
      </c>
      <c r="D148" s="131">
        <f t="array" ref="D148">IF(A148="","",SUMPRODUCT(('Detalle Turnos'!$I$3:$I$5028=$A148)*('Detalle Turnos'!$N$3:$N$5028=C148)*'Detalle Turnos'!$L$3:$L$5028))</f>
        <v>1</v>
      </c>
      <c r="E148" s="127">
        <f t="array" ref="E148">IF(A148="","",SUMPRODUCT(('Detalle Turnos'!$I$3:$I$5028=$A148)*('Detalle Turnos'!$N$3:$N$5028=C148)*'Detalle Turnos'!$K$3:$K$5028))</f>
        <v>6.5</v>
      </c>
      <c r="F148" s="127">
        <f t="shared" si="12"/>
        <v>6.5</v>
      </c>
      <c r="G148" s="127">
        <f t="array" ref="G148">IF(E148="","",IFERROR(SUMPRODUCT(('Facturación 2026'!$A$4:$A$920=$A148)*'Facturación 2026'!$J$4:$J$920)*E148/(SUMPRODUCT(('Caja 1'!$A$4:$A$919=$A148)*'Caja 1'!$E$4:$E$919)+SUMPRODUCT(('Caja 2'!$A$4:$A$920=$A148)*'Caja 2'!$E$4:$E$920)),0))</f>
        <v>0</v>
      </c>
      <c r="H148" s="128">
        <f t="shared" si="13"/>
        <v>6.5</v>
      </c>
      <c r="I148" s="124">
        <f t="shared" si="14"/>
        <v>0</v>
      </c>
      <c r="J148" s="144" t="str">
        <f>IF(A148="","",IFERROR(INDEX('Facturación 2026'!$L$4:$L$500,MATCH($A148,'Facturación 2026'!$A$4:$A$500,0)),""))</f>
        <v/>
      </c>
    </row>
    <row r="149" spans="1:10" ht="15.75" customHeight="1">
      <c r="A149" s="988">
        <v>46120</v>
      </c>
      <c r="B149" s="991" t="str">
        <f t="shared" si="11"/>
        <v>Mié</v>
      </c>
      <c r="C149" s="123" t="s">
        <v>494</v>
      </c>
      <c r="D149" s="131">
        <f t="array" ref="D149">IF(A149="","",SUMPRODUCT(('Detalle Turnos'!$I$3:$I$5028=$A149)*('Detalle Turnos'!$N$3:$N$5028=C149)*'Detalle Turnos'!$L$3:$L$5028))</f>
        <v>3</v>
      </c>
      <c r="E149" s="127">
        <f t="array" ref="E149">IF(A149="","",SUMPRODUCT(('Detalle Turnos'!$I$3:$I$5028=$A149)*('Detalle Turnos'!$N$3:$N$5028=C149)*'Detalle Turnos'!$K$3:$K$5028))</f>
        <v>10.049999999999999</v>
      </c>
      <c r="F149" s="127">
        <f t="shared" si="12"/>
        <v>3.3499999999999996</v>
      </c>
      <c r="G149" s="127">
        <f t="array" ref="G149">IF(E149="","",IFERROR(SUMPRODUCT(('Facturación 2026'!$A$4:$A$920=$A149)*'Facturación 2026'!$J$4:$J$920)*E149/(SUMPRODUCT(('Caja 1'!$A$4:$A$919=$A149)*'Caja 1'!$E$4:$E$919)+SUMPRODUCT(('Caja 2'!$A$4:$A$920=$A149)*'Caja 2'!$E$4:$E$920)),0))</f>
        <v>0</v>
      </c>
      <c r="H149" s="128">
        <f t="shared" si="13"/>
        <v>10.049999999999999</v>
      </c>
      <c r="I149" s="124">
        <f t="shared" si="14"/>
        <v>0</v>
      </c>
      <c r="J149" s="144" t="str">
        <f>IF(A149="","",IFERROR(INDEX('Facturación 2026'!$L$4:$L$500,MATCH($A149,'Facturación 2026'!$A$4:$A$500,0)),""))</f>
        <v/>
      </c>
    </row>
    <row r="150" spans="1:10" ht="15.75" customHeight="1">
      <c r="A150" s="988">
        <v>46120</v>
      </c>
      <c r="B150" s="991" t="str">
        <f t="shared" si="11"/>
        <v>Mié</v>
      </c>
      <c r="C150" s="123" t="s">
        <v>497</v>
      </c>
      <c r="D150" s="131">
        <f t="array" ref="D150">IF(A150="","",SUMPRODUCT(('Detalle Turnos'!$I$3:$I$5028=$A150)*('Detalle Turnos'!$N$3:$N$5028=C150)*'Detalle Turnos'!$L$3:$L$5028))</f>
        <v>15</v>
      </c>
      <c r="E150" s="127">
        <f t="array" ref="E150">IF(A150="","",SUMPRODUCT(('Detalle Turnos'!$I$3:$I$5028=$A150)*('Detalle Turnos'!$N$3:$N$5028=C150)*'Detalle Turnos'!$K$3:$K$5028))</f>
        <v>43.2</v>
      </c>
      <c r="F150" s="127">
        <f t="shared" si="12"/>
        <v>2.8800000000000003</v>
      </c>
      <c r="G150" s="127">
        <f t="array" ref="G150">IF(E150="","",IFERROR(SUMPRODUCT(('Facturación 2026'!$A$4:$A$920=$A150)*'Facturación 2026'!$J$4:$J$920)*E150/(SUMPRODUCT(('Caja 1'!$A$4:$A$919=$A150)*'Caja 1'!$E$4:$E$919)+SUMPRODUCT(('Caja 2'!$A$4:$A$920=$A150)*'Caja 2'!$E$4:$E$920)),0))</f>
        <v>0</v>
      </c>
      <c r="H150" s="128">
        <f t="shared" si="13"/>
        <v>43.2</v>
      </c>
      <c r="I150" s="124">
        <f t="shared" si="14"/>
        <v>0</v>
      </c>
      <c r="J150" s="144" t="str">
        <f>IF(A150="","",IFERROR(INDEX('Facturación 2026'!$L$4:$L$500,MATCH($A150,'Facturación 2026'!$A$4:$A$500,0)),""))</f>
        <v/>
      </c>
    </row>
    <row r="151" spans="1:10" ht="15.75" customHeight="1">
      <c r="A151" s="988">
        <v>46121</v>
      </c>
      <c r="B151" s="991" t="str">
        <f t="shared" si="11"/>
        <v>Jue</v>
      </c>
      <c r="C151" s="123" t="s">
        <v>146</v>
      </c>
      <c r="D151" s="131">
        <f t="array" ref="D151">IF(A151="","",SUMPRODUCT(('Detalle Turnos'!$I$3:$I$5028=$A151)*('Detalle Turnos'!$N$3:$N$5028=C151)*'Detalle Turnos'!$L$3:$L$5028))</f>
        <v>3</v>
      </c>
      <c r="E151" s="127">
        <f t="array" ref="E151">IF(A151="","",SUMPRODUCT(('Detalle Turnos'!$I$3:$I$5028=$A151)*('Detalle Turnos'!$N$3:$N$5028=C151)*'Detalle Turnos'!$K$3:$K$5028))</f>
        <v>21.65</v>
      </c>
      <c r="F151" s="127">
        <f t="shared" si="12"/>
        <v>7.2166666666666659</v>
      </c>
      <c r="G151" s="127">
        <f t="array" ref="G151">IF(E151="","",IFERROR(SUMPRODUCT(('Facturación 2026'!$A$4:$A$920=$A151)*'Facturación 2026'!$J$4:$J$920)*E151/(SUMPRODUCT(('Caja 1'!$A$4:$A$919=$A151)*'Caja 1'!$E$4:$E$919)+SUMPRODUCT(('Caja 2'!$A$4:$A$920=$A151)*'Caja 2'!$E$4:$E$920)),0))</f>
        <v>0</v>
      </c>
      <c r="H151" s="128">
        <f t="shared" si="13"/>
        <v>21.65</v>
      </c>
      <c r="I151" s="124">
        <f t="shared" si="14"/>
        <v>0</v>
      </c>
      <c r="J151" s="144" t="str">
        <f>IF(A151="","",IFERROR(INDEX('Facturación 2026'!$L$4:$L$500,MATCH($A151,'Facturación 2026'!$A$4:$A$500,0)),""))</f>
        <v/>
      </c>
    </row>
    <row r="152" spans="1:10" ht="15.75" customHeight="1">
      <c r="A152" s="988">
        <v>46121</v>
      </c>
      <c r="B152" s="991" t="str">
        <f t="shared" si="11"/>
        <v>Jue</v>
      </c>
      <c r="C152" s="123" t="s">
        <v>494</v>
      </c>
      <c r="D152" s="131">
        <f t="array" ref="D152">IF(A152="","",SUMPRODUCT(('Detalle Turnos'!$I$3:$I$5028=$A152)*('Detalle Turnos'!$N$3:$N$5028=C152)*'Detalle Turnos'!$L$3:$L$5028))</f>
        <v>3</v>
      </c>
      <c r="E152" s="127">
        <f t="array" ref="E152">IF(A152="","",SUMPRODUCT(('Detalle Turnos'!$I$3:$I$5028=$A152)*('Detalle Turnos'!$N$3:$N$5028=C152)*'Detalle Turnos'!$K$3:$K$5028))</f>
        <v>34.5</v>
      </c>
      <c r="F152" s="127">
        <f t="shared" si="12"/>
        <v>11.5</v>
      </c>
      <c r="G152" s="127">
        <f t="array" ref="G152">IF(E152="","",IFERROR(SUMPRODUCT(('Facturación 2026'!$A$4:$A$920=$A152)*'Facturación 2026'!$J$4:$J$920)*E152/(SUMPRODUCT(('Caja 1'!$A$4:$A$919=$A152)*'Caja 1'!$E$4:$E$919)+SUMPRODUCT(('Caja 2'!$A$4:$A$920=$A152)*'Caja 2'!$E$4:$E$920)),0))</f>
        <v>0</v>
      </c>
      <c r="H152" s="128">
        <f t="shared" si="13"/>
        <v>34.5</v>
      </c>
      <c r="I152" s="124">
        <f t="shared" si="14"/>
        <v>0</v>
      </c>
      <c r="J152" s="144" t="str">
        <f>IF(A152="","",IFERROR(INDEX('Facturación 2026'!$L$4:$L$500,MATCH($A152,'Facturación 2026'!$A$4:$A$500,0)),""))</f>
        <v/>
      </c>
    </row>
    <row r="153" spans="1:10" ht="15.75" customHeight="1">
      <c r="A153" s="988">
        <v>46121</v>
      </c>
      <c r="B153" s="991" t="str">
        <f t="shared" si="11"/>
        <v>Jue</v>
      </c>
      <c r="C153" s="123" t="s">
        <v>497</v>
      </c>
      <c r="D153" s="131">
        <f t="array" ref="D153">IF(A153="","",SUMPRODUCT(('Detalle Turnos'!$I$3:$I$5028=$A153)*('Detalle Turnos'!$N$3:$N$5028=C153)*'Detalle Turnos'!$L$3:$L$5028))</f>
        <v>4</v>
      </c>
      <c r="E153" s="127">
        <f t="array" ref="E153">IF(A153="","",SUMPRODUCT(('Detalle Turnos'!$I$3:$I$5028=$A153)*('Detalle Turnos'!$N$3:$N$5028=C153)*'Detalle Turnos'!$K$3:$K$5028))</f>
        <v>73</v>
      </c>
      <c r="F153" s="127">
        <f t="shared" si="12"/>
        <v>18.25</v>
      </c>
      <c r="G153" s="127">
        <f t="array" ref="G153">IF(E153="","",IFERROR(SUMPRODUCT(('Facturación 2026'!$A$4:$A$920=$A153)*'Facturación 2026'!$J$4:$J$920)*E153/(SUMPRODUCT(('Caja 1'!$A$4:$A$919=$A153)*'Caja 1'!$E$4:$E$919)+SUMPRODUCT(('Caja 2'!$A$4:$A$920=$A153)*'Caja 2'!$E$4:$E$920)),0))</f>
        <v>0</v>
      </c>
      <c r="H153" s="128">
        <f t="shared" si="13"/>
        <v>73</v>
      </c>
      <c r="I153" s="124">
        <f t="shared" si="14"/>
        <v>0</v>
      </c>
      <c r="J153" s="144" t="str">
        <f>IF(A153="","",IFERROR(INDEX('Facturación 2026'!$L$4:$L$500,MATCH($A153,'Facturación 2026'!$A$4:$A$500,0)),""))</f>
        <v/>
      </c>
    </row>
    <row r="154" spans="1:10" s="74" customFormat="1" ht="15.75" customHeight="1">
      <c r="A154" s="988">
        <v>46123</v>
      </c>
      <c r="B154" s="991" t="str">
        <f t="shared" si="11"/>
        <v>Sáb</v>
      </c>
      <c r="C154" s="123" t="s">
        <v>497</v>
      </c>
      <c r="D154" s="131">
        <f t="array" ref="D154">IF(A154="","",SUMPRODUCT(('Detalle Turnos'!$I$3:$I$5028=$A154)*('Detalle Turnos'!$N$3:$N$5028=C154)*'Detalle Turnos'!$L$3:$L$5028))</f>
        <v>22</v>
      </c>
      <c r="E154" s="127">
        <f t="array" ref="E154">IF(A154="","",SUMPRODUCT(('Detalle Turnos'!$I$3:$I$5028=$A154)*('Detalle Turnos'!$N$3:$N$5028=C154)*'Detalle Turnos'!$K$3:$K$5028))</f>
        <v>301.29999999999995</v>
      </c>
      <c r="F154" s="127">
        <f t="shared" si="12"/>
        <v>13.695454545454544</v>
      </c>
      <c r="G154" s="127">
        <f t="array" ref="G154">IF(E154="","",IFERROR(SUMPRODUCT(('Facturación 2026'!$A$4:$A$920=$A154)*'Facturación 2026'!$J$4:$J$920)*E154/(SUMPRODUCT(('Caja 1'!$A$4:$A$919=$A154)*'Caja 1'!$E$4:$E$919)+SUMPRODUCT(('Caja 2'!$A$4:$A$920=$A154)*'Caja 2'!$E$4:$E$920)),0))</f>
        <v>0</v>
      </c>
      <c r="H154" s="128">
        <f t="shared" si="13"/>
        <v>301.29999999999995</v>
      </c>
      <c r="I154" s="124">
        <f t="shared" si="14"/>
        <v>0</v>
      </c>
      <c r="J154" s="144" t="str">
        <f>IF(A154="","",IFERROR(INDEX('Facturación 2026'!$L$4:$L$500,MATCH($A154,'Facturación 2026'!$A$4:$A$500,0)),""))</f>
        <v/>
      </c>
    </row>
    <row r="155" spans="1:10" ht="15.75" customHeight="1">
      <c r="A155" s="988">
        <v>46124</v>
      </c>
      <c r="B155" s="991" t="str">
        <f t="shared" si="11"/>
        <v>Dom</v>
      </c>
      <c r="C155" s="123" t="s">
        <v>146</v>
      </c>
      <c r="D155" s="131">
        <f t="array" ref="D155">IF(A155="","",SUMPRODUCT(('Detalle Turnos'!$I$3:$I$5028=$A155)*('Detalle Turnos'!$N$3:$N$5028=C155)*'Detalle Turnos'!$L$3:$L$5028))</f>
        <v>20</v>
      </c>
      <c r="E155" s="127">
        <f t="array" ref="E155">IF(A155="","",SUMPRODUCT(('Detalle Turnos'!$I$3:$I$5028=$A155)*('Detalle Turnos'!$N$3:$N$5028=C155)*'Detalle Turnos'!$K$3:$K$5028))</f>
        <v>64.650000000000006</v>
      </c>
      <c r="F155" s="127">
        <f t="shared" si="12"/>
        <v>3.2325000000000004</v>
      </c>
      <c r="G155" s="127">
        <f t="array" ref="G155">IF(E155="","",IFERROR(SUMPRODUCT(('Facturación 2026'!$A$4:$A$920=$A155)*'Facturación 2026'!$J$4:$J$920)*E155/(SUMPRODUCT(('Caja 1'!$A$4:$A$919=$A155)*'Caja 1'!$E$4:$E$919)+SUMPRODUCT(('Caja 2'!$A$4:$A$920=$A155)*'Caja 2'!$E$4:$E$920)),0))</f>
        <v>0</v>
      </c>
      <c r="H155" s="128">
        <f t="shared" si="13"/>
        <v>64.650000000000006</v>
      </c>
      <c r="I155" s="124">
        <f t="shared" si="14"/>
        <v>0</v>
      </c>
      <c r="J155" s="144" t="str">
        <f>IF(A155="","",IFERROR(INDEX('Facturación 2026'!$L$4:$L$500,MATCH($A155,'Facturación 2026'!$A$4:$A$500,0)),""))</f>
        <v/>
      </c>
    </row>
    <row r="156" spans="1:10" ht="15.75" customHeight="1">
      <c r="A156" s="988">
        <v>46124</v>
      </c>
      <c r="B156" s="991" t="str">
        <f t="shared" si="11"/>
        <v>Dom</v>
      </c>
      <c r="C156" s="123" t="s">
        <v>494</v>
      </c>
      <c r="D156" s="131">
        <f t="array" ref="D156">IF(A156="","",SUMPRODUCT(('Detalle Turnos'!$I$3:$I$5028=$A156)*('Detalle Turnos'!$N$3:$N$5028=C156)*'Detalle Turnos'!$L$3:$L$5028))</f>
        <v>16</v>
      </c>
      <c r="E156" s="127">
        <f t="array" ref="E156">IF(A156="","",SUMPRODUCT(('Detalle Turnos'!$I$3:$I$5028=$A156)*('Detalle Turnos'!$N$3:$N$5028=C156)*'Detalle Turnos'!$K$3:$K$5028))</f>
        <v>155.94999999999999</v>
      </c>
      <c r="F156" s="127">
        <f t="shared" si="12"/>
        <v>9.7468749999999993</v>
      </c>
      <c r="G156" s="127">
        <f t="array" ref="G156">IF(E156="","",IFERROR(SUMPRODUCT(('Facturación 2026'!$A$4:$A$920=$A156)*'Facturación 2026'!$J$4:$J$920)*E156/(SUMPRODUCT(('Caja 1'!$A$4:$A$919=$A156)*'Caja 1'!$E$4:$E$919)+SUMPRODUCT(('Caja 2'!$A$4:$A$920=$A156)*'Caja 2'!$E$4:$E$920)),0))</f>
        <v>0</v>
      </c>
      <c r="H156" s="128">
        <f t="shared" si="13"/>
        <v>155.94999999999999</v>
      </c>
      <c r="I156" s="124">
        <f t="shared" si="14"/>
        <v>0</v>
      </c>
      <c r="J156" s="144" t="str">
        <f>IF(A156="","",IFERROR(INDEX('Facturación 2026'!$L$4:$L$500,MATCH($A156,'Facturación 2026'!$A$4:$A$500,0)),""))</f>
        <v/>
      </c>
    </row>
    <row r="157" spans="1:10" ht="15.75" customHeight="1">
      <c r="A157" s="988">
        <v>46124</v>
      </c>
      <c r="B157" s="991" t="str">
        <f t="shared" si="11"/>
        <v>Dom</v>
      </c>
      <c r="C157" s="123" t="s">
        <v>497</v>
      </c>
      <c r="D157" s="131">
        <f t="array" ref="D157">IF(A157="","",SUMPRODUCT(('Detalle Turnos'!$I$3:$I$5028=$A157)*('Detalle Turnos'!$N$3:$N$5028=C157)*'Detalle Turnos'!$L$3:$L$5028))</f>
        <v>5</v>
      </c>
      <c r="E157" s="127">
        <f t="array" ref="E157">IF(A157="","",SUMPRODUCT(('Detalle Turnos'!$I$3:$I$5028=$A157)*('Detalle Turnos'!$N$3:$N$5028=C157)*'Detalle Turnos'!$K$3:$K$5028))</f>
        <v>30.15</v>
      </c>
      <c r="F157" s="127">
        <f t="shared" si="12"/>
        <v>6.0299999999999994</v>
      </c>
      <c r="G157" s="127">
        <f t="array" ref="G157">IF(E157="","",IFERROR(SUMPRODUCT(('Facturación 2026'!$A$4:$A$920=$A157)*'Facturación 2026'!$J$4:$J$920)*E157/(SUMPRODUCT(('Caja 1'!$A$4:$A$919=$A157)*'Caja 1'!$E$4:$E$919)+SUMPRODUCT(('Caja 2'!$A$4:$A$920=$A157)*'Caja 2'!$E$4:$E$920)),0))</f>
        <v>0</v>
      </c>
      <c r="H157" s="128">
        <f t="shared" si="13"/>
        <v>30.15</v>
      </c>
      <c r="I157" s="124">
        <f t="shared" si="14"/>
        <v>0</v>
      </c>
      <c r="J157" s="144" t="str">
        <f>IF(A157="","",IFERROR(INDEX('Facturación 2026'!$L$4:$L$500,MATCH($A157,'Facturación 2026'!$A$4:$A$500,0)),""))</f>
        <v/>
      </c>
    </row>
    <row r="158" spans="1:10" ht="15.75" customHeight="1">
      <c r="A158" s="988">
        <v>46127</v>
      </c>
      <c r="B158" s="991" t="str">
        <f t="shared" si="11"/>
        <v>Mié</v>
      </c>
      <c r="C158" s="123" t="s">
        <v>494</v>
      </c>
      <c r="D158" s="131">
        <f t="array" ref="D158">IF(A158="","",SUMPRODUCT(('Detalle Turnos'!$I$3:$I$5028=$A158)*('Detalle Turnos'!$N$3:$N$5028=C158)*'Detalle Turnos'!$L$3:$L$5028))</f>
        <v>18</v>
      </c>
      <c r="E158" s="127">
        <f t="array" ref="E158">IF(A158="","",SUMPRODUCT(('Detalle Turnos'!$I$3:$I$5028=$A158)*('Detalle Turnos'!$N$3:$N$5028=C158)*'Detalle Turnos'!$K$3:$K$5028))</f>
        <v>142.4</v>
      </c>
      <c r="F158" s="127">
        <f t="shared" si="12"/>
        <v>7.9111111111111114</v>
      </c>
      <c r="G158" s="127">
        <f t="array" ref="G158">IF(E158="","",IFERROR(SUMPRODUCT(('Facturación 2026'!$A$4:$A$920=$A158)*'Facturación 2026'!$J$4:$J$920)*E158/(SUMPRODUCT(('Caja 1'!$A$4:$A$919=$A158)*'Caja 1'!$E$4:$E$919)+SUMPRODUCT(('Caja 2'!$A$4:$A$920=$A158)*'Caja 2'!$E$4:$E$920)),0))</f>
        <v>0</v>
      </c>
      <c r="H158" s="128">
        <f t="shared" si="13"/>
        <v>142.4</v>
      </c>
      <c r="I158" s="124">
        <f t="shared" si="14"/>
        <v>0</v>
      </c>
      <c r="J158" s="144" t="str">
        <f>IF(A158="","",IFERROR(INDEX('Facturación 2026'!$L$4:$L$500,MATCH($A158,'Facturación 2026'!$A$4:$A$500,0)),""))</f>
        <v/>
      </c>
    </row>
    <row r="159" spans="1:10" ht="15.75" customHeight="1">
      <c r="A159" s="988">
        <v>46127</v>
      </c>
      <c r="B159" s="991" t="str">
        <f t="shared" si="11"/>
        <v>Mié</v>
      </c>
      <c r="C159" s="123" t="s">
        <v>497</v>
      </c>
      <c r="D159" s="131">
        <f t="array" ref="D159">IF(A159="","",SUMPRODUCT(('Detalle Turnos'!$I$3:$I$5028=$A159)*('Detalle Turnos'!$N$3:$N$5028=C159)*'Detalle Turnos'!$L$3:$L$5028))</f>
        <v>11</v>
      </c>
      <c r="E159" s="127">
        <f t="array" ref="E159">IF(A159="","",SUMPRODUCT(('Detalle Turnos'!$I$3:$I$5028=$A159)*('Detalle Turnos'!$N$3:$N$5028=C159)*'Detalle Turnos'!$K$3:$K$5028))</f>
        <v>173.35</v>
      </c>
      <c r="F159" s="127">
        <f t="shared" si="12"/>
        <v>15.759090909090908</v>
      </c>
      <c r="G159" s="127">
        <f t="array" ref="G159">IF(E159="","",IFERROR(SUMPRODUCT(('Facturación 2026'!$A$4:$A$920=$A159)*'Facturación 2026'!$J$4:$J$920)*E159/(SUMPRODUCT(('Caja 1'!$A$4:$A$919=$A159)*'Caja 1'!$E$4:$E$919)+SUMPRODUCT(('Caja 2'!$A$4:$A$920=$A159)*'Caja 2'!$E$4:$E$920)),0))</f>
        <v>0</v>
      </c>
      <c r="H159" s="128">
        <f t="shared" si="13"/>
        <v>173.35</v>
      </c>
      <c r="I159" s="124">
        <f t="shared" si="14"/>
        <v>0</v>
      </c>
      <c r="J159" s="144" t="str">
        <f>IF(A159="","",IFERROR(INDEX('Facturación 2026'!$L$4:$L$500,MATCH($A159,'Facturación 2026'!$A$4:$A$500,0)),""))</f>
        <v/>
      </c>
    </row>
    <row r="160" spans="1:10" ht="15.75" customHeight="1">
      <c r="A160" s="988">
        <v>46128</v>
      </c>
      <c r="B160" s="991" t="str">
        <f t="shared" si="11"/>
        <v>Jue</v>
      </c>
      <c r="C160" s="123" t="s">
        <v>494</v>
      </c>
      <c r="D160" s="131">
        <f t="array" ref="D160">IF(A160="","",SUMPRODUCT(('Detalle Turnos'!$I$3:$I$5028=$A160)*('Detalle Turnos'!$N$3:$N$5028=C160)*'Detalle Turnos'!$L$3:$L$5028))</f>
        <v>8</v>
      </c>
      <c r="E160" s="127">
        <f t="array" ref="E160">IF(A160="","",SUMPRODUCT(('Detalle Turnos'!$I$3:$I$5028=$A160)*('Detalle Turnos'!$N$3:$N$5028=C160)*'Detalle Turnos'!$K$3:$K$5028))</f>
        <v>44.7</v>
      </c>
      <c r="F160" s="127">
        <f t="shared" si="12"/>
        <v>5.5875000000000004</v>
      </c>
      <c r="G160" s="127">
        <f t="array" ref="G160">IF(E160="","",IFERROR(SUMPRODUCT(('Facturación 2026'!$A$4:$A$920=$A160)*'Facturación 2026'!$J$4:$J$920)*E160/(SUMPRODUCT(('Caja 1'!$A$4:$A$919=$A160)*'Caja 1'!$E$4:$E$919)+SUMPRODUCT(('Caja 2'!$A$4:$A$920=$A160)*'Caja 2'!$E$4:$E$920)),0))</f>
        <v>0</v>
      </c>
      <c r="H160" s="128">
        <f t="shared" si="13"/>
        <v>44.7</v>
      </c>
      <c r="I160" s="124">
        <f t="shared" si="14"/>
        <v>0</v>
      </c>
      <c r="J160" s="144" t="str">
        <f>IF(A160="","",IFERROR(INDEX('Facturación 2026'!$L$4:$L$500,MATCH($A160,'Facturación 2026'!$A$4:$A$500,0)),""))</f>
        <v/>
      </c>
    </row>
    <row r="161" spans="1:10" ht="15.75" customHeight="1">
      <c r="A161" s="988">
        <v>46128</v>
      </c>
      <c r="B161" s="991" t="str">
        <f t="shared" si="11"/>
        <v>Jue</v>
      </c>
      <c r="C161" s="123" t="s">
        <v>497</v>
      </c>
      <c r="D161" s="131">
        <f t="array" ref="D161">IF(A161="","",SUMPRODUCT(('Detalle Turnos'!$I$3:$I$5028=$A161)*('Detalle Turnos'!$N$3:$N$5028=C161)*'Detalle Turnos'!$L$3:$L$5028))</f>
        <v>5</v>
      </c>
      <c r="E161" s="127">
        <f t="array" ref="E161">IF(A161="","",SUMPRODUCT(('Detalle Turnos'!$I$3:$I$5028=$A161)*('Detalle Turnos'!$N$3:$N$5028=C161)*'Detalle Turnos'!$K$3:$K$5028))</f>
        <v>64.599999999999994</v>
      </c>
      <c r="F161" s="127">
        <f t="shared" si="12"/>
        <v>12.919999999999998</v>
      </c>
      <c r="G161" s="127">
        <f t="array" ref="G161">IF(E161="","",IFERROR(SUMPRODUCT(('Facturación 2026'!$A$4:$A$920=$A161)*'Facturación 2026'!$J$4:$J$920)*E161/(SUMPRODUCT(('Caja 1'!$A$4:$A$919=$A161)*'Caja 1'!$E$4:$E$919)+SUMPRODUCT(('Caja 2'!$A$4:$A$920=$A161)*'Caja 2'!$E$4:$E$920)),0))</f>
        <v>0</v>
      </c>
      <c r="H161" s="128">
        <f t="shared" si="13"/>
        <v>64.599999999999994</v>
      </c>
      <c r="I161" s="124">
        <f t="shared" si="14"/>
        <v>0</v>
      </c>
      <c r="J161" s="144" t="str">
        <f>IF(A161="","",IFERROR(INDEX('Facturación 2026'!$L$4:$L$500,MATCH($A161,'Facturación 2026'!$A$4:$A$500,0)),""))</f>
        <v/>
      </c>
    </row>
    <row r="162" spans="1:10" ht="15.75" customHeight="1">
      <c r="A162" s="988">
        <v>46129</v>
      </c>
      <c r="B162" s="991" t="str">
        <f t="shared" si="11"/>
        <v>Vie</v>
      </c>
      <c r="C162" s="123" t="s">
        <v>494</v>
      </c>
      <c r="D162" s="131">
        <f t="array" ref="D162">IF(A162="","",SUMPRODUCT(('Detalle Turnos'!$I$3:$I$5028=$A162)*('Detalle Turnos'!$N$3:$N$5028=C162)*'Detalle Turnos'!$L$3:$L$5028))</f>
        <v>5</v>
      </c>
      <c r="E162" s="127">
        <f t="array" ref="E162">IF(A162="","",SUMPRODUCT(('Detalle Turnos'!$I$3:$I$5028=$A162)*('Detalle Turnos'!$N$3:$N$5028=C162)*'Detalle Turnos'!$K$3:$K$5028))</f>
        <v>57.650000000000006</v>
      </c>
      <c r="F162" s="127">
        <f t="shared" si="12"/>
        <v>11.530000000000001</v>
      </c>
      <c r="G162" s="127">
        <f t="array" ref="G162">IF(E162="","",IFERROR(SUMPRODUCT(('Facturación 2026'!$A$4:$A$920=$A162)*'Facturación 2026'!$J$4:$J$920)*E162/(SUMPRODUCT(('Caja 1'!$A$4:$A$919=$A162)*'Caja 1'!$E$4:$E$919)+SUMPRODUCT(('Caja 2'!$A$4:$A$920=$A162)*'Caja 2'!$E$4:$E$920)),0))</f>
        <v>0</v>
      </c>
      <c r="H162" s="128">
        <f t="shared" si="13"/>
        <v>57.650000000000006</v>
      </c>
      <c r="I162" s="124">
        <f t="shared" si="14"/>
        <v>0</v>
      </c>
      <c r="J162" s="144" t="str">
        <f>IF(A162="","",IFERROR(INDEX('Facturación 2026'!$L$4:$L$500,MATCH($A162,'Facturación 2026'!$A$4:$A$500,0)),""))</f>
        <v/>
      </c>
    </row>
    <row r="163" spans="1:10" ht="15.75" customHeight="1">
      <c r="A163" s="988">
        <v>46129</v>
      </c>
      <c r="B163" s="991" t="str">
        <f t="shared" si="11"/>
        <v>Vie</v>
      </c>
      <c r="C163" s="123" t="s">
        <v>497</v>
      </c>
      <c r="D163" s="131">
        <f t="array" ref="D163">IF(A163="","",SUMPRODUCT(('Detalle Turnos'!$I$3:$I$5028=$A163)*('Detalle Turnos'!$N$3:$N$5028=C163)*'Detalle Turnos'!$L$3:$L$5028))</f>
        <v>15</v>
      </c>
      <c r="E163" s="127">
        <f t="array" ref="E163">IF(A163="","",SUMPRODUCT(('Detalle Turnos'!$I$3:$I$5028=$A163)*('Detalle Turnos'!$N$3:$N$5028=C163)*'Detalle Turnos'!$K$3:$K$5028))</f>
        <v>113.6</v>
      </c>
      <c r="F163" s="127">
        <f t="shared" si="12"/>
        <v>7.5733333333333333</v>
      </c>
      <c r="G163" s="127">
        <f t="array" ref="G163">IF(E163="","",IFERROR(SUMPRODUCT(('Facturación 2026'!$A$4:$A$920=$A163)*'Facturación 2026'!$J$4:$J$920)*E163/(SUMPRODUCT(('Caja 1'!$A$4:$A$919=$A163)*'Caja 1'!$E$4:$E$919)+SUMPRODUCT(('Caja 2'!$A$4:$A$920=$A163)*'Caja 2'!$E$4:$E$920)),0))</f>
        <v>0</v>
      </c>
      <c r="H163" s="128">
        <f t="shared" si="13"/>
        <v>113.6</v>
      </c>
      <c r="I163" s="124">
        <f t="shared" si="14"/>
        <v>0</v>
      </c>
      <c r="J163" s="144" t="str">
        <f>IF(A163="","",IFERROR(INDEX('Facturación 2026'!$L$4:$L$500,MATCH($A163,'Facturación 2026'!$A$4:$A$500,0)),""))</f>
        <v/>
      </c>
    </row>
    <row r="164" spans="1:10" s="74" customFormat="1" ht="15.75" customHeight="1">
      <c r="A164" s="988">
        <v>46130</v>
      </c>
      <c r="B164" s="991" t="str">
        <f t="shared" si="11"/>
        <v>Sáb</v>
      </c>
      <c r="C164" s="123" t="s">
        <v>146</v>
      </c>
      <c r="D164" s="131">
        <f t="array" ref="D164">IF(A164="","",SUMPRODUCT(('Detalle Turnos'!$I$3:$I$5028=$A164)*('Detalle Turnos'!$N$3:$N$5028=C164)*'Detalle Turnos'!$L$3:$L$5028))</f>
        <v>11</v>
      </c>
      <c r="E164" s="127">
        <f t="array" ref="E164">IF(A164="","",SUMPRODUCT(('Detalle Turnos'!$I$3:$I$5028=$A164)*('Detalle Turnos'!$N$3:$N$5028=C164)*'Detalle Turnos'!$K$3:$K$5028))</f>
        <v>31.099999999999998</v>
      </c>
      <c r="F164" s="127">
        <f t="shared" si="12"/>
        <v>2.8272727272727272</v>
      </c>
      <c r="G164" s="127">
        <f t="array" ref="G164">IF(E164="","",IFERROR(SUMPRODUCT(('Facturación 2026'!$A$4:$A$920=$A164)*'Facturación 2026'!$J$4:$J$920)*E164/(SUMPRODUCT(('Caja 1'!$A$4:$A$919=$A164)*'Caja 1'!$E$4:$E$919)+SUMPRODUCT(('Caja 2'!$A$4:$A$920=$A164)*'Caja 2'!$E$4:$E$920)),0))</f>
        <v>0</v>
      </c>
      <c r="H164" s="128">
        <f t="shared" si="13"/>
        <v>31.099999999999998</v>
      </c>
      <c r="I164" s="124">
        <f t="shared" si="14"/>
        <v>0</v>
      </c>
      <c r="J164" s="144" t="str">
        <f>IF(A164="","",IFERROR(INDEX('Facturación 2026'!$L$4:$L$500,MATCH($A164,'Facturación 2026'!$A$4:$A$500,0)),""))</f>
        <v/>
      </c>
    </row>
    <row r="165" spans="1:10" s="74" customFormat="1" ht="15.75" customHeight="1">
      <c r="A165" s="988">
        <v>46130</v>
      </c>
      <c r="B165" s="991" t="str">
        <f t="shared" si="11"/>
        <v>Sáb</v>
      </c>
      <c r="C165" s="123" t="s">
        <v>494</v>
      </c>
      <c r="D165" s="131">
        <f t="array" ref="D165">IF(A165="","",SUMPRODUCT(('Detalle Turnos'!$I$3:$I$5028=$A165)*('Detalle Turnos'!$N$3:$N$5028=C165)*'Detalle Turnos'!$L$3:$L$5028))</f>
        <v>18</v>
      </c>
      <c r="E165" s="127">
        <f t="array" ref="E165">IF(A165="","",SUMPRODUCT(('Detalle Turnos'!$I$3:$I$5028=$A165)*('Detalle Turnos'!$N$3:$N$5028=C165)*'Detalle Turnos'!$K$3:$K$5028))</f>
        <v>283.60000000000002</v>
      </c>
      <c r="F165" s="127">
        <f t="shared" si="12"/>
        <v>15.755555555555556</v>
      </c>
      <c r="G165" s="127">
        <f t="array" ref="G165">IF(E165="","",IFERROR(SUMPRODUCT(('Facturación 2026'!$A$4:$A$920=$A165)*'Facturación 2026'!$J$4:$J$920)*E165/(SUMPRODUCT(('Caja 1'!$A$4:$A$919=$A165)*'Caja 1'!$E$4:$E$919)+SUMPRODUCT(('Caja 2'!$A$4:$A$920=$A165)*'Caja 2'!$E$4:$E$920)),0))</f>
        <v>0</v>
      </c>
      <c r="H165" s="128">
        <f t="shared" si="13"/>
        <v>283.60000000000002</v>
      </c>
      <c r="I165" s="124">
        <f t="shared" si="14"/>
        <v>0</v>
      </c>
      <c r="J165" s="144" t="str">
        <f>IF(A165="","",IFERROR(INDEX('Facturación 2026'!$L$4:$L$500,MATCH($A165,'Facturación 2026'!$A$4:$A$500,0)),""))</f>
        <v/>
      </c>
    </row>
    <row r="166" spans="1:10" s="74" customFormat="1" ht="15.75" customHeight="1">
      <c r="A166" s="988">
        <v>46130</v>
      </c>
      <c r="B166" s="991" t="str">
        <f t="shared" si="11"/>
        <v>Sáb</v>
      </c>
      <c r="C166" s="123" t="s">
        <v>497</v>
      </c>
      <c r="D166" s="131">
        <f t="array" ref="D166">IF(A166="","",SUMPRODUCT(('Detalle Turnos'!$I$3:$I$5028=$A166)*('Detalle Turnos'!$N$3:$N$5028=C166)*'Detalle Turnos'!$L$3:$L$5028))</f>
        <v>11</v>
      </c>
      <c r="E166" s="127">
        <f t="array" ref="E166">IF(A166="","",SUMPRODUCT(('Detalle Turnos'!$I$3:$I$5028=$A166)*('Detalle Turnos'!$N$3:$N$5028=C166)*'Detalle Turnos'!$K$3:$K$5028))</f>
        <v>121.55</v>
      </c>
      <c r="F166" s="127">
        <f t="shared" si="12"/>
        <v>11.049999999999999</v>
      </c>
      <c r="G166" s="127">
        <f t="array" ref="G166">IF(E166="","",IFERROR(SUMPRODUCT(('Facturación 2026'!$A$4:$A$920=$A166)*'Facturación 2026'!$J$4:$J$920)*E166/(SUMPRODUCT(('Caja 1'!$A$4:$A$919=$A166)*'Caja 1'!$E$4:$E$919)+SUMPRODUCT(('Caja 2'!$A$4:$A$920=$A166)*'Caja 2'!$E$4:$E$920)),0))</f>
        <v>0</v>
      </c>
      <c r="H166" s="128">
        <f t="shared" si="13"/>
        <v>121.55</v>
      </c>
      <c r="I166" s="124">
        <f t="shared" si="14"/>
        <v>0</v>
      </c>
      <c r="J166" s="144" t="str">
        <f>IF(A166="","",IFERROR(INDEX('Facturación 2026'!$L$4:$L$500,MATCH($A166,'Facturación 2026'!$A$4:$A$500,0)),""))</f>
        <v/>
      </c>
    </row>
    <row r="167" spans="1:10" s="74" customFormat="1" ht="15.75" customHeight="1">
      <c r="A167" s="988">
        <v>46131</v>
      </c>
      <c r="B167" s="991" t="str">
        <f t="shared" si="11"/>
        <v>Dom</v>
      </c>
      <c r="C167" s="123" t="s">
        <v>146</v>
      </c>
      <c r="D167" s="131">
        <f t="array" ref="D167">IF(A167="","",SUMPRODUCT(('Detalle Turnos'!$I$3:$I$5028=$A167)*('Detalle Turnos'!$N$3:$N$5028=C167)*'Detalle Turnos'!$L$3:$L$5028))</f>
        <v>15</v>
      </c>
      <c r="E167" s="127">
        <f t="array" ref="E167">IF(A167="","",SUMPRODUCT(('Detalle Turnos'!$I$3:$I$5028=$A167)*('Detalle Turnos'!$N$3:$N$5028=C167)*'Detalle Turnos'!$K$3:$K$5028))</f>
        <v>34.85</v>
      </c>
      <c r="F167" s="127">
        <f t="shared" si="12"/>
        <v>2.3233333333333333</v>
      </c>
      <c r="G167" s="127">
        <f t="array" ref="G167">IF(E167="","",IFERROR(SUMPRODUCT(('Facturación 2026'!$A$4:$A$920=$A167)*'Facturación 2026'!$J$4:$J$920)*E167/(SUMPRODUCT(('Caja 1'!$A$4:$A$919=$A167)*'Caja 1'!$E$4:$E$919)+SUMPRODUCT(('Caja 2'!$A$4:$A$920=$A167)*'Caja 2'!$E$4:$E$920)),0))</f>
        <v>0</v>
      </c>
      <c r="H167" s="128">
        <f t="shared" si="13"/>
        <v>34.85</v>
      </c>
      <c r="I167" s="124">
        <f t="shared" si="14"/>
        <v>0</v>
      </c>
      <c r="J167" s="144" t="str">
        <f>IF(A167="","",IFERROR(INDEX('Facturación 2026'!$L$4:$L$500,MATCH($A167,'Facturación 2026'!$A$4:$A$500,0)),""))</f>
        <v/>
      </c>
    </row>
    <row r="168" spans="1:10" s="74" customFormat="1" ht="15.75" customHeight="1">
      <c r="A168" s="988">
        <v>46131</v>
      </c>
      <c r="B168" s="991" t="str">
        <f t="shared" si="11"/>
        <v>Dom</v>
      </c>
      <c r="C168" s="123" t="s">
        <v>494</v>
      </c>
      <c r="D168" s="131">
        <f t="array" ref="D168">IF(A168="","",SUMPRODUCT(('Detalle Turnos'!$I$3:$I$5028=$A168)*('Detalle Turnos'!$N$3:$N$5028=C168)*'Detalle Turnos'!$L$3:$L$5028))</f>
        <v>32</v>
      </c>
      <c r="E168" s="127">
        <f t="array" ref="E168">IF(A168="","",SUMPRODUCT(('Detalle Turnos'!$I$3:$I$5028=$A168)*('Detalle Turnos'!$N$3:$N$5028=C168)*'Detalle Turnos'!$K$3:$K$5028))</f>
        <v>504.59999999999997</v>
      </c>
      <c r="F168" s="127">
        <f t="shared" si="12"/>
        <v>15.768749999999999</v>
      </c>
      <c r="G168" s="127">
        <f t="array" ref="G168">IF(E168="","",IFERROR(SUMPRODUCT(('Facturación 2026'!$A$4:$A$920=$A168)*'Facturación 2026'!$J$4:$J$920)*E168/(SUMPRODUCT(('Caja 1'!$A$4:$A$919=$A168)*'Caja 1'!$E$4:$E$919)+SUMPRODUCT(('Caja 2'!$A$4:$A$920=$A168)*'Caja 2'!$E$4:$E$920)),0))</f>
        <v>0</v>
      </c>
      <c r="H168" s="128">
        <f t="shared" si="13"/>
        <v>504.59999999999997</v>
      </c>
      <c r="I168" s="124">
        <f t="shared" si="14"/>
        <v>0</v>
      </c>
      <c r="J168" s="144" t="str">
        <f>IF(A168="","",IFERROR(INDEX('Facturación 2026'!$L$4:$L$500,MATCH($A168,'Facturación 2026'!$A$4:$A$500,0)),""))</f>
        <v/>
      </c>
    </row>
    <row r="169" spans="1:10" ht="15.75" customHeight="1">
      <c r="A169" s="988">
        <v>46131</v>
      </c>
      <c r="B169" s="992" t="str">
        <f t="shared" si="11"/>
        <v>Dom</v>
      </c>
      <c r="C169" s="984" t="s">
        <v>497</v>
      </c>
      <c r="D169" s="985">
        <f t="array" ref="D169">IF(A169="","",SUMPRODUCT(('Detalle Turnos'!$I$3:$I$5028=$A169)*('Detalle Turnos'!$N$3:$N$5028=C169)*'Detalle Turnos'!$L$3:$L$5028))</f>
        <v>2</v>
      </c>
      <c r="E169" s="140">
        <f t="array" ref="E169">IF(A169="","",SUMPRODUCT(('Detalle Turnos'!$I$3:$I$5028=$A169)*('Detalle Turnos'!$N$3:$N$5028=C169)*'Detalle Turnos'!$K$3:$K$5028))</f>
        <v>37.25</v>
      </c>
      <c r="F169" s="140">
        <f t="shared" si="12"/>
        <v>18.625</v>
      </c>
      <c r="G169" s="140">
        <f t="array" ref="G169">IF(E169="","",IFERROR(SUMPRODUCT(('Facturación 2026'!$A$4:$A$920=$A169)*'Facturación 2026'!$J$4:$J$920)*E169/(SUMPRODUCT(('Caja 1'!$A$4:$A$919=$A169)*'Caja 1'!$E$4:$E$919)+SUMPRODUCT(('Caja 2'!$A$4:$A$920=$A169)*'Caja 2'!$E$4:$E$920)),0))</f>
        <v>0</v>
      </c>
      <c r="H169" s="141">
        <f t="shared" si="13"/>
        <v>37.25</v>
      </c>
      <c r="I169" s="142">
        <f t="shared" si="14"/>
        <v>0</v>
      </c>
      <c r="J169" s="986" t="str">
        <f>IF(A169="","",IFERROR(INDEX('Facturación 2026'!$L$4:$L$500,MATCH($A169,'Facturación 2026'!$A$4:$A$500,0)),""))</f>
        <v/>
      </c>
    </row>
    <row r="170" spans="1:10" ht="15.75" customHeight="1">
      <c r="A170" s="988">
        <v>46134</v>
      </c>
      <c r="B170" s="991" t="str">
        <f t="shared" si="11"/>
        <v>Mié</v>
      </c>
      <c r="C170" s="123" t="s">
        <v>494</v>
      </c>
      <c r="D170" s="131">
        <f t="array" ref="D170">IF(A170="","",SUMPRODUCT(('Detalle Turnos'!$I$3:$I$5028=$A170)*('Detalle Turnos'!$N$3:$N$5028=C170)*'Detalle Turnos'!$L$3:$L$5028))</f>
        <v>7</v>
      </c>
      <c r="E170" s="127">
        <f t="array" ref="E170">IF(A170="","",SUMPRODUCT(('Detalle Turnos'!$I$3:$I$5028=$A170)*('Detalle Turnos'!$N$3:$N$5028=C170)*'Detalle Turnos'!$K$3:$K$5028))</f>
        <v>29.5</v>
      </c>
      <c r="F170" s="127">
        <f t="shared" si="12"/>
        <v>4.2142857142857144</v>
      </c>
      <c r="G170" s="127">
        <f t="array" ref="G170">IF(E170="","",IFERROR(SUMPRODUCT(('Facturación 2026'!$A$4:$A$920=$A170)*'Facturación 2026'!$J$4:$J$920)*E170/(SUMPRODUCT(('Caja 1'!$A$4:$A$919=$A170)*'Caja 1'!$E$4:$E$919)+SUMPRODUCT(('Caja 2'!$A$4:$A$920=$A170)*'Caja 2'!$E$4:$E$920)),0))</f>
        <v>0</v>
      </c>
      <c r="H170" s="128">
        <f t="shared" si="13"/>
        <v>29.5</v>
      </c>
      <c r="I170" s="124">
        <f t="shared" si="14"/>
        <v>0</v>
      </c>
      <c r="J170" s="987" t="str">
        <f>IF(A170="","",IFERROR(INDEX('Facturación 2026'!$L$4:$L$500,MATCH($A170,'Facturación 2026'!$A$4:$A$500,0)),""))</f>
        <v/>
      </c>
    </row>
    <row r="171" spans="1:10" ht="15.75" customHeight="1">
      <c r="A171" s="988">
        <v>46134</v>
      </c>
      <c r="B171" s="991" t="str">
        <f t="shared" si="11"/>
        <v>Mié</v>
      </c>
      <c r="C171" s="123" t="s">
        <v>497</v>
      </c>
      <c r="D171" s="131">
        <f t="array" ref="D171">IF(A171="","",SUMPRODUCT(('Detalle Turnos'!$I$3:$I$5028=$A171)*('Detalle Turnos'!$N$3:$N$5028=C171)*'Detalle Turnos'!$L$3:$L$5028))</f>
        <v>7</v>
      </c>
      <c r="E171" s="127">
        <f t="array" ref="E171">IF(A171="","",SUMPRODUCT(('Detalle Turnos'!$I$3:$I$5028=$A171)*('Detalle Turnos'!$N$3:$N$5028=C171)*'Detalle Turnos'!$K$3:$K$5028))</f>
        <v>118.25000000000001</v>
      </c>
      <c r="F171" s="127">
        <f t="shared" si="12"/>
        <v>16.892857142857146</v>
      </c>
      <c r="G171" s="127">
        <f t="array" ref="G171">IF(E171="","",IFERROR(SUMPRODUCT(('Facturación 2026'!$A$4:$A$920=$A171)*'Facturación 2026'!$J$4:$J$920)*E171/(SUMPRODUCT(('Caja 1'!$A$4:$A$919=$A171)*'Caja 1'!$E$4:$E$919)+SUMPRODUCT(('Caja 2'!$A$4:$A$920=$A171)*'Caja 2'!$E$4:$E$920)),0))</f>
        <v>0</v>
      </c>
      <c r="H171" s="128">
        <f t="shared" si="13"/>
        <v>118.25000000000001</v>
      </c>
      <c r="I171" s="124">
        <f t="shared" si="14"/>
        <v>0</v>
      </c>
      <c r="J171" s="987" t="str">
        <f>IF(A171="","",IFERROR(INDEX('Facturación 2026'!$L$4:$L$500,MATCH($A171,'Facturación 2026'!$A$4:$A$500,0)),""))</f>
        <v/>
      </c>
    </row>
    <row r="172" spans="1:10" ht="15.75" customHeight="1">
      <c r="A172" s="988">
        <v>46135</v>
      </c>
      <c r="B172" s="991" t="str">
        <f t="shared" si="11"/>
        <v>Jue</v>
      </c>
      <c r="C172" s="123" t="s">
        <v>146</v>
      </c>
      <c r="D172" s="131">
        <f t="array" ref="D172">IF(A172="","",SUMPRODUCT(('Detalle Turnos'!$I$3:$I$5028=$A172)*('Detalle Turnos'!$N$3:$N$5028=C172)*'Detalle Turnos'!$L$3:$L$5028))</f>
        <v>15</v>
      </c>
      <c r="E172" s="127">
        <f t="array" ref="E172">IF(A172="","",SUMPRODUCT(('Detalle Turnos'!$I$3:$I$5028=$A172)*('Detalle Turnos'!$N$3:$N$5028=C172)*'Detalle Turnos'!$K$3:$K$5028))</f>
        <v>65.95</v>
      </c>
      <c r="F172" s="127">
        <f t="shared" si="12"/>
        <v>4.3966666666666665</v>
      </c>
      <c r="G172" s="127">
        <f t="array" ref="G172">IF(E172="","",IFERROR(SUMPRODUCT(('Facturación 2026'!$A$4:$A$920=$A172)*'Facturación 2026'!$J$4:$J$920)*E172/(SUMPRODUCT(('Caja 1'!$A$4:$A$919=$A172)*'Caja 1'!$E$4:$E$919)+SUMPRODUCT(('Caja 2'!$A$4:$A$920=$A172)*'Caja 2'!$E$4:$E$920)),0))</f>
        <v>0</v>
      </c>
      <c r="H172" s="128">
        <f t="shared" si="13"/>
        <v>65.95</v>
      </c>
      <c r="I172" s="124">
        <f t="shared" si="14"/>
        <v>0</v>
      </c>
      <c r="J172" s="997" t="s">
        <v>500</v>
      </c>
    </row>
    <row r="173" spans="1:10" ht="15.75" customHeight="1">
      <c r="A173" s="998">
        <v>46135</v>
      </c>
      <c r="B173" s="992" t="str">
        <f t="shared" si="11"/>
        <v>Jue</v>
      </c>
      <c r="C173" s="984" t="s">
        <v>494</v>
      </c>
      <c r="D173" s="985">
        <f t="array" ref="D173">IF(A173="","",SUMPRODUCT(('Detalle Turnos'!$I$3:$I$5028=$A173)*('Detalle Turnos'!$N$3:$N$5028=C173)*'Detalle Turnos'!$L$3:$L$5028))</f>
        <v>27</v>
      </c>
      <c r="E173" s="140">
        <f t="array" ref="E173">IF(A173="","",SUMPRODUCT(('Detalle Turnos'!$I$3:$I$5028=$A173)*('Detalle Turnos'!$N$3:$N$5028=C173)*'Detalle Turnos'!$K$3:$K$5028))</f>
        <v>295.70000000000005</v>
      </c>
      <c r="F173" s="140">
        <f t="shared" si="12"/>
        <v>10.951851851851854</v>
      </c>
      <c r="G173" s="140">
        <f t="array" ref="G173">IF(E173="","",IFERROR(SUMPRODUCT(('Facturación 2026'!$A$4:$A$920=$A173)*'Facturación 2026'!$J$4:$J$920)*E173/(SUMPRODUCT(('Caja 1'!$A$4:$A$919=$A173)*'Caja 1'!$E$4:$E$919)+SUMPRODUCT(('Caja 2'!$A$4:$A$920=$A173)*'Caja 2'!$E$4:$E$920)),0))</f>
        <v>0</v>
      </c>
      <c r="H173" s="141">
        <f t="shared" si="13"/>
        <v>295.70000000000005</v>
      </c>
      <c r="I173" s="142">
        <f t="shared" si="14"/>
        <v>0</v>
      </c>
      <c r="J173" s="999" t="s">
        <v>500</v>
      </c>
    </row>
    <row r="174" spans="1:10" ht="15.75" customHeight="1">
      <c r="A174" s="988">
        <v>46136</v>
      </c>
      <c r="B174" s="122" t="str">
        <f t="shared" si="11"/>
        <v>Vie</v>
      </c>
      <c r="C174" s="123" t="s">
        <v>497</v>
      </c>
      <c r="D174" s="131">
        <f t="array" ref="D174">IF(A174="","",SUMPRODUCT(('Detalle Turnos'!$I$3:$I$5028=$A174)*('Detalle Turnos'!$N$3:$N$5028=C174)*'Detalle Turnos'!$L$3:$L$5028))</f>
        <v>19</v>
      </c>
      <c r="E174" s="127">
        <f t="array" ref="E174">IF(A174="","",SUMPRODUCT(('Detalle Turnos'!$I$3:$I$5028=$A174)*('Detalle Turnos'!$N$3:$N$5028=C174)*'Detalle Turnos'!$K$3:$K$5028))</f>
        <v>241.8</v>
      </c>
      <c r="F174" s="127">
        <f t="shared" si="12"/>
        <v>12.726315789473684</v>
      </c>
      <c r="G174" s="127">
        <f t="array" ref="G174">IF(E174="","",IFERROR(SUMPRODUCT(('Facturación 2026'!$A$4:$A$920=$A174)*'Facturación 2026'!$J$4:$J$920)*E174/(SUMPRODUCT(('Caja 1'!$A$4:$A$919=$A174)*'Caja 1'!$E$4:$E$919)+SUMPRODUCT(('Caja 2'!$A$4:$A$920=$A174)*'Caja 2'!$E$4:$E$920)),0))</f>
        <v>0</v>
      </c>
      <c r="H174" s="128">
        <f t="shared" si="13"/>
        <v>241.8</v>
      </c>
      <c r="I174" s="124">
        <f t="shared" si="14"/>
        <v>0</v>
      </c>
      <c r="J174" s="987" t="str">
        <f>IF(A174="","",IFERROR(INDEX('Facturación 2026'!$L$4:$L$500,MATCH($A174,'Facturación 2026'!$A$4:$A$500,0)),""))</f>
        <v/>
      </c>
    </row>
    <row r="175" spans="1:10" ht="15.75" customHeight="1">
      <c r="A175" s="988">
        <v>46136</v>
      </c>
      <c r="B175" s="122" t="str">
        <f t="shared" si="11"/>
        <v>Vie</v>
      </c>
      <c r="C175" s="123" t="s">
        <v>494</v>
      </c>
      <c r="D175" s="131">
        <f t="array" ref="D175">IF(A175="","",SUMPRODUCT(('Detalle Turnos'!$I$3:$I$5028=$A175)*('Detalle Turnos'!$N$3:$N$5028=C175)*'Detalle Turnos'!$L$3:$L$5028))</f>
        <v>8</v>
      </c>
      <c r="E175" s="127">
        <f t="array" ref="E175">IF(A175="","",SUMPRODUCT(('Detalle Turnos'!$I$3:$I$5028=$A175)*('Detalle Turnos'!$N$3:$N$5028=C175)*'Detalle Turnos'!$K$3:$K$5028))</f>
        <v>41.7</v>
      </c>
      <c r="F175" s="127">
        <f t="shared" si="12"/>
        <v>5.2125000000000004</v>
      </c>
      <c r="G175" s="127">
        <f t="array" ref="G175">IF(E175="","",IFERROR(SUMPRODUCT(('Facturación 2026'!$A$4:$A$920=$A175)*'Facturación 2026'!$J$4:$J$920)*E175/(SUMPRODUCT(('Caja 1'!$A$4:$A$919=$A175)*'Caja 1'!$E$4:$E$919)+SUMPRODUCT(('Caja 2'!$A$4:$A$920=$A175)*'Caja 2'!$E$4:$E$920)),0))</f>
        <v>0</v>
      </c>
      <c r="H175" s="128">
        <f t="shared" si="13"/>
        <v>41.7</v>
      </c>
      <c r="I175" s="124">
        <f t="shared" si="14"/>
        <v>0</v>
      </c>
      <c r="J175" s="987" t="str">
        <f>IF(A175="","",IFERROR(INDEX('Facturación 2026'!$L$4:$L$500,MATCH($A175,'Facturación 2026'!$A$4:$A$500,0)),""))</f>
        <v/>
      </c>
    </row>
    <row r="176" spans="1:10" ht="15.75" customHeight="1">
      <c r="A176" s="988">
        <v>46137</v>
      </c>
      <c r="B176" s="122" t="str">
        <f t="shared" si="11"/>
        <v>Sáb</v>
      </c>
      <c r="C176" s="123" t="s">
        <v>494</v>
      </c>
      <c r="D176" s="131">
        <f t="array" ref="D176">IF(A176="","",SUMPRODUCT(('Detalle Turnos'!$I$3:$I$5028=$A176)*('Detalle Turnos'!$N$3:$N$5028=C176)*'Detalle Turnos'!$L$3:$L$5028))</f>
        <v>19</v>
      </c>
      <c r="E176" s="127">
        <f t="array" ref="E176">IF(A176="","",SUMPRODUCT(('Detalle Turnos'!$I$3:$I$5028=$A176)*('Detalle Turnos'!$N$3:$N$5028=C176)*'Detalle Turnos'!$K$3:$K$5028))</f>
        <v>99</v>
      </c>
      <c r="F176" s="127">
        <f t="shared" si="12"/>
        <v>5.2105263157894735</v>
      </c>
      <c r="G176" s="127">
        <f t="array" ref="G176">IF(E176="","",IFERROR(SUMPRODUCT(('Facturación 2026'!$A$4:$A$920=$A176)*'Facturación 2026'!$J$4:$J$920)*E176/(SUMPRODUCT(('Caja 1'!$A$4:$A$919=$A176)*'Caja 1'!$E$4:$E$919)+SUMPRODUCT(('Caja 2'!$A$4:$A$920=$A176)*'Caja 2'!$E$4:$E$920)),0))</f>
        <v>0</v>
      </c>
      <c r="H176" s="128">
        <f t="shared" si="13"/>
        <v>99</v>
      </c>
      <c r="I176" s="124">
        <f t="shared" si="14"/>
        <v>0</v>
      </c>
      <c r="J176" s="987" t="str">
        <f>IF(A176="","",IFERROR(INDEX('Facturación 2026'!$L$4:$L$500,MATCH($A176,'Facturación 2026'!$A$4:$A$500,0)),""))</f>
        <v/>
      </c>
    </row>
    <row r="177" spans="1:10" ht="15.75" customHeight="1">
      <c r="A177" s="988">
        <v>46137</v>
      </c>
      <c r="B177" s="122" t="str">
        <f t="shared" si="11"/>
        <v>Sáb</v>
      </c>
      <c r="C177" s="123" t="s">
        <v>146</v>
      </c>
      <c r="D177" s="131">
        <f t="array" ref="D177">IF(A177="","",SUMPRODUCT(('Detalle Turnos'!$I$3:$I$5028=$A177)*('Detalle Turnos'!$N$3:$N$5028=C177)*'Detalle Turnos'!$L$3:$L$5028))</f>
        <v>26</v>
      </c>
      <c r="E177" s="127">
        <f t="array" ref="E177">IF(A177="","",SUMPRODUCT(('Detalle Turnos'!$I$3:$I$5028=$A177)*('Detalle Turnos'!$N$3:$N$5028=C177)*'Detalle Turnos'!$K$3:$K$5028))</f>
        <v>99.200000000000031</v>
      </c>
      <c r="F177" s="127">
        <f t="shared" si="12"/>
        <v>3.8153846153846165</v>
      </c>
      <c r="G177" s="127">
        <f t="array" ref="G177">IF(E177="","",IFERROR(SUMPRODUCT(('Facturación 2026'!$A$4:$A$920=$A177)*'Facturación 2026'!$J$4:$J$920)*E177/(SUMPRODUCT(('Caja 1'!$A$4:$A$919=$A177)*'Caja 1'!$E$4:$E$919)+SUMPRODUCT(('Caja 2'!$A$4:$A$920=$A177)*'Caja 2'!$E$4:$E$920)),0))</f>
        <v>0</v>
      </c>
      <c r="H177" s="128">
        <f t="shared" si="13"/>
        <v>99.200000000000031</v>
      </c>
      <c r="I177" s="124">
        <f t="shared" si="14"/>
        <v>0</v>
      </c>
      <c r="J177" s="987" t="str">
        <f>IF(A177="","",IFERROR(INDEX('Facturación 2026'!$L$4:$L$500,MATCH($A177,'Facturación 2026'!$A$4:$A$500,0)),""))</f>
        <v/>
      </c>
    </row>
    <row r="178" spans="1:10" ht="15.75" customHeight="1">
      <c r="A178" s="988">
        <v>46138</v>
      </c>
      <c r="B178" s="122" t="str">
        <f t="shared" si="11"/>
        <v>Dom</v>
      </c>
      <c r="C178" s="123" t="s">
        <v>497</v>
      </c>
      <c r="D178" s="131">
        <f t="array" ref="D178">IF(A178="","",SUMPRODUCT(('Detalle Turnos'!$I$3:$I$5028=$A178)*('Detalle Turnos'!$N$3:$N$5028=C178)*'Detalle Turnos'!$L$3:$L$5028))</f>
        <v>9</v>
      </c>
      <c r="E178" s="127">
        <f t="array" ref="E178">IF(A178="","",SUMPRODUCT(('Detalle Turnos'!$I$3:$I$5028=$A178)*('Detalle Turnos'!$N$3:$N$5028=C178)*'Detalle Turnos'!$K$3:$K$5028))</f>
        <v>87.700000000000017</v>
      </c>
      <c r="F178" s="127">
        <f t="shared" si="12"/>
        <v>9.7444444444444471</v>
      </c>
      <c r="G178" s="127">
        <f t="array" ref="G178">IF(E178="","",IFERROR(SUMPRODUCT(('Facturación 2026'!$A$4:$A$920=$A178)*'Facturación 2026'!$J$4:$J$920)*E178/(SUMPRODUCT(('Caja 1'!$A$4:$A$919=$A178)*'Caja 1'!$E$4:$E$919)+SUMPRODUCT(('Caja 2'!$A$4:$A$920=$A178)*'Caja 2'!$E$4:$E$920)),0))</f>
        <v>0</v>
      </c>
      <c r="H178" s="128">
        <f t="shared" si="13"/>
        <v>87.700000000000017</v>
      </c>
      <c r="I178" s="124">
        <f t="shared" si="14"/>
        <v>0</v>
      </c>
      <c r="J178" s="987" t="str">
        <f>IF(A178="","",IFERROR(INDEX('Facturación 2026'!$L$4:$L$500,MATCH($A178,'Facturación 2026'!$A$4:$A$500,0)),""))</f>
        <v>Joan Pera — Casino</v>
      </c>
    </row>
    <row r="179" spans="1:10" ht="15.75" customHeight="1">
      <c r="A179" s="988">
        <v>46141</v>
      </c>
      <c r="B179" s="122" t="str">
        <f t="shared" si="11"/>
        <v>Mié</v>
      </c>
      <c r="C179" s="123" t="s">
        <v>494</v>
      </c>
      <c r="D179" s="131">
        <f t="array" ref="D179">IF(A179="","",SUMPRODUCT(('Detalle Turnos'!$I$3:$I$5028=$A179)*('Detalle Turnos'!$N$3:$N$5028=C179)*'Detalle Turnos'!$L$3:$L$5028))</f>
        <v>11</v>
      </c>
      <c r="E179" s="127">
        <f t="array" ref="E179">IF(A179="","",SUMPRODUCT(('Detalle Turnos'!$I$3:$I$5028=$A179)*('Detalle Turnos'!$N$3:$N$5028=C179)*'Detalle Turnos'!$K$3:$K$5028))</f>
        <v>105.15</v>
      </c>
      <c r="F179" s="127">
        <f t="shared" si="12"/>
        <v>9.5590909090909104</v>
      </c>
      <c r="G179" s="127">
        <f t="array" ref="G179">IF(E179="","",IFERROR(SUMPRODUCT(('Facturación 2026'!$A$4:$A$920=$A179)*'Facturación 2026'!$J$4:$J$920)*E179/(SUMPRODUCT(('Caja 1'!$A$4:$A$919=$A179)*'Caja 1'!$E$4:$E$919)+SUMPRODUCT(('Caja 2'!$A$4:$A$920=$A179)*'Caja 2'!$E$4:$E$920)),0))</f>
        <v>0</v>
      </c>
      <c r="H179" s="128">
        <f t="shared" si="13"/>
        <v>105.15</v>
      </c>
      <c r="I179" s="124">
        <f t="shared" si="14"/>
        <v>0</v>
      </c>
      <c r="J179" s="987" t="str">
        <f>IF(A179="","",IFERROR(INDEX('Facturación 2026'!$L$4:$L$500,MATCH($A179,'Facturación 2026'!$A$4:$A$500,0)),""))</f>
        <v/>
      </c>
    </row>
    <row r="180" spans="1:10" ht="15.75" customHeight="1">
      <c r="A180" s="988">
        <v>46141</v>
      </c>
      <c r="B180" s="122" t="str">
        <f t="shared" si="11"/>
        <v>Mié</v>
      </c>
      <c r="C180" s="123" t="s">
        <v>497</v>
      </c>
      <c r="D180" s="131">
        <f t="array" ref="D180">IF(A180="","",SUMPRODUCT(('Detalle Turnos'!$I$3:$I$5028=$A180)*('Detalle Turnos'!$N$3:$N$5028=C180)*'Detalle Turnos'!$L$3:$L$5028))</f>
        <v>6</v>
      </c>
      <c r="E180" s="127">
        <f t="array" ref="E180">IF(A180="","",SUMPRODUCT(('Detalle Turnos'!$I$3:$I$5028=$A180)*('Detalle Turnos'!$N$3:$N$5028=C180)*'Detalle Turnos'!$K$3:$K$5028))</f>
        <v>95.499999999999986</v>
      </c>
      <c r="F180" s="127">
        <f t="shared" si="12"/>
        <v>15.916666666666664</v>
      </c>
      <c r="G180" s="127">
        <f t="array" ref="G180">IF(E180="","",IFERROR(SUMPRODUCT(('Facturación 2026'!$A$4:$A$920=$A180)*'Facturación 2026'!$J$4:$J$920)*E180/(SUMPRODUCT(('Caja 1'!$A$4:$A$919=$A180)*'Caja 1'!$E$4:$E$919)+SUMPRODUCT(('Caja 2'!$A$4:$A$920=$A180)*'Caja 2'!$E$4:$E$920)),0))</f>
        <v>0</v>
      </c>
      <c r="H180" s="128">
        <f t="shared" si="13"/>
        <v>95.499999999999986</v>
      </c>
      <c r="I180" s="124">
        <f t="shared" si="14"/>
        <v>0</v>
      </c>
      <c r="J180" s="987" t="str">
        <f>IF(A180="","",IFERROR(INDEX('Facturación 2026'!$L$4:$L$500,MATCH($A180,'Facturación 2026'!$A$4:$A$500,0)),""))</f>
        <v/>
      </c>
    </row>
    <row r="181" spans="1:10" ht="15.75" customHeight="1">
      <c r="A181" s="1262">
        <v>46142</v>
      </c>
      <c r="B181" s="122" t="str">
        <f>IF(A181="","",CHOOSE(WEEKDAY(A181,2),"Lun","Mar","Mié","Jue","Vie","Sáb","Dom"))</f>
        <v>Jue</v>
      </c>
      <c r="C181" s="123" t="s">
        <v>494</v>
      </c>
      <c r="D181" s="131" cm="1">
        <f t="array" ref="D181">IF(A181="","",SUMPRODUCT(('Detalle Turnos'!$I$3:$I$5024=$A181)*('Detalle Turnos'!$N$3:$N$5024=C181)*'Detalle Turnos'!$L$3:$L$5024))</f>
        <v>10</v>
      </c>
      <c r="E181" s="1263" cm="1">
        <f t="array" ref="E181">IF(A181="","",SUMPRODUCT(('Detalle Turnos'!$I$3:$I$5024=$A181)*('Detalle Turnos'!$N$3:$N$5024=C181)*'Detalle Turnos'!$K$3:$K$5024))</f>
        <v>130.30000000000001</v>
      </c>
      <c r="F181" s="1263">
        <f>IFERROR(E181/D181,0)</f>
        <v>13.030000000000001</v>
      </c>
      <c r="G181" s="1263" cm="1">
        <f t="array" ref="G181">IF(E181="","",IFERROR(SUMPRODUCT(('Facturación 2026'!$A$4:$A$920=$A181)*'Facturación 2026'!$J$4:$J$920)*E181/(SUMPRODUCT(('Caja 1'!$A$4:$A$920=$A181)*'Caja 1'!$E$4:$E$920)+SUMPRODUCT(('Caja 2'!$A$4:$A$920=$A181)*'Caja 2'!$E$4:$E$920)),0))</f>
        <v>0</v>
      </c>
      <c r="H181" s="1264">
        <f>IF(E181="","",E181-G181)</f>
        <v>130.30000000000001</v>
      </c>
      <c r="I181" s="1265">
        <f>IF(E181="","",IFERROR(G181/E181,0))</f>
        <v>0</v>
      </c>
      <c r="J181" s="1266" t="str">
        <f>IF(A181="","",IFERROR(INDEX('Facturación 2026'!$L$4:$L$500,MATCH($A181,'Facturación 2026'!$A$4:$A$500,0)),""))</f>
        <v/>
      </c>
    </row>
    <row r="182" spans="1:10" ht="15.75" customHeight="1">
      <c r="A182" s="1262">
        <v>46142</v>
      </c>
      <c r="B182" s="122" t="str">
        <f>IF(A182="","",CHOOSE(WEEKDAY(A182,2),"Lun","Mar","Mié","Jue","Vie","Sáb","Dom"))</f>
        <v>Jue</v>
      </c>
      <c r="C182" s="123" t="s">
        <v>497</v>
      </c>
      <c r="D182" s="131" cm="1">
        <f t="array" ref="D182">IF(A182="","",SUMPRODUCT(('Detalle Turnos'!$I$3:$I$5020=$A182)*('Detalle Turnos'!$N$3:$N$5020=C182)*'Detalle Turnos'!$L$3:$L$5020))</f>
        <v>8</v>
      </c>
      <c r="E182" s="1263" cm="1">
        <f t="array" ref="E182">IF(A182="","",SUMPRODUCT(('Detalle Turnos'!$I$3:$I$5020=$A182)*('Detalle Turnos'!$N$3:$N$5020=C182)*'Detalle Turnos'!$K$3:$K$5020))</f>
        <v>145.75</v>
      </c>
      <c r="F182" s="1263">
        <f>IFERROR(E182/D182,0)</f>
        <v>18.21875</v>
      </c>
      <c r="G182" s="1263" cm="1">
        <f t="array" ref="G182">IF(E182="","",IFERROR(SUMPRODUCT(('Facturación 2026'!$A$4:$A$920=$A182)*'Facturación 2026'!$J$4:$J$920)*E182/(SUMPRODUCT(('Caja 1'!$A$4:$A$920=$A182)*'Caja 1'!$E$4:$E$920)+SUMPRODUCT(('Caja 2'!$A$4:$A$920=$A182)*'Caja 2'!$E$4:$E$920)),0))</f>
        <v>0</v>
      </c>
      <c r="H182" s="1264">
        <f>IF(E182="","",E182-G182)</f>
        <v>145.75</v>
      </c>
      <c r="I182" s="1265">
        <f>IF(E182="","",IFERROR(G182/E182,0))</f>
        <v>0</v>
      </c>
      <c r="J182" s="1266" t="str">
        <f>IF(A182="","",IFERROR(INDEX('Facturación 2026'!$L$4:$L$500,MATCH($A182,'Facturación 2026'!$A$4:$A$500,0)),""))</f>
        <v/>
      </c>
    </row>
    <row r="183" spans="1:10" ht="15.75" customHeight="1">
      <c r="A183" s="1262">
        <v>46143</v>
      </c>
      <c r="B183" s="122" t="str">
        <f>IF(A183="","",CHOOSE(WEEKDAY(A183,2),"Lun","Mar","Mié","Jue","Vie","Sáb","Dom"))</f>
        <v>Vie</v>
      </c>
      <c r="C183" s="123" t="s">
        <v>146</v>
      </c>
      <c r="D183" s="131" cm="1">
        <f t="array" ref="D183">IF(A183="","",SUMPRODUCT(('Detalle Turnos'!$I$3:$I$5011=$A183)*('Detalle Turnos'!$N$3:$N$5011=C183)*'Detalle Turnos'!$L$3:$L$5011))</f>
        <v>18</v>
      </c>
      <c r="E183" s="1263" cm="1">
        <f t="array" ref="E183">IF(A183="","",SUMPRODUCT(('Detalle Turnos'!$I$3:$I$5011=$A183)*('Detalle Turnos'!$N$3:$N$5011=C183)*'Detalle Turnos'!$K$3:$K$5011))</f>
        <v>43.25</v>
      </c>
      <c r="F183" s="1263">
        <f>IFERROR(E183/D183,0)</f>
        <v>2.4027777777777777</v>
      </c>
      <c r="G183" s="1263" cm="1">
        <f t="array" ref="G183">IF(E183="","",IFERROR(SUMPRODUCT(('Facturación 2026'!$A$4:$A$920=$A183)*'Facturación 2026'!$J$4:$J$920)*E183/(SUMPRODUCT(('Caja 1'!$A$4:$A$920=$A183)*'Caja 1'!$E$4:$E$920)+SUMPRODUCT(('Caja 2'!$A$4:$A$920=$A183)*'Caja 2'!$E$4:$E$920)),0))</f>
        <v>0</v>
      </c>
      <c r="H183" s="1264">
        <f>IF(E183="","",E183-G183)</f>
        <v>43.25</v>
      </c>
      <c r="I183" s="1265">
        <f>IF(E183="","",IFERROR(G183/E183,0))</f>
        <v>0</v>
      </c>
      <c r="J183" s="1266" t="str">
        <f>IF(A183="","",IFERROR(INDEX('Facturación 2026'!$L$4:$L$500,MATCH($A183,'Facturación 2026'!$A$4:$A$500,0)),""))</f>
        <v/>
      </c>
    </row>
    <row r="184" spans="1:10" ht="15.75" customHeight="1">
      <c r="A184" s="1262">
        <v>46143</v>
      </c>
      <c r="B184" s="122" t="str">
        <f>IF(A184="","",CHOOSE(WEEKDAY(A184,2),"Lun","Mar","Mié","Jue","Vie","Sáb","Dom"))</f>
        <v>Vie</v>
      </c>
      <c r="C184" s="123" t="s">
        <v>494</v>
      </c>
      <c r="D184" s="131" cm="1">
        <f t="array" ref="D184">IF(A184="","",SUMPRODUCT(('Detalle Turnos'!$I$3:$I$5006=$A184)*('Detalle Turnos'!$N$3:$N$5006=C184)*'Detalle Turnos'!$L$3:$L$5006))</f>
        <v>3</v>
      </c>
      <c r="E184" s="1263" cm="1">
        <f t="array" ref="E184">IF(A184="","",SUMPRODUCT(('Detalle Turnos'!$I$3:$I$5006=$A184)*('Detalle Turnos'!$N$3:$N$5006=C184)*'Detalle Turnos'!$K$3:$K$5006))</f>
        <v>20.75</v>
      </c>
      <c r="F184" s="1263">
        <f>IFERROR(E184/D184,0)</f>
        <v>6.916666666666667</v>
      </c>
      <c r="G184" s="1263" cm="1">
        <f t="array" ref="G184">IF(E184="","",IFERROR(SUMPRODUCT(('Facturación 2026'!$A$4:$A$920=$A184)*'Facturación 2026'!$J$4:$J$920)*E184/(SUMPRODUCT(('Caja 1'!$A$4:$A$920=$A184)*'Caja 1'!$E$4:$E$920)+SUMPRODUCT(('Caja 2'!$A$4:$A$920=$A184)*'Caja 2'!$E$4:$E$920)),0))</f>
        <v>0</v>
      </c>
      <c r="H184" s="1264">
        <f>IF(E184="","",E184-G184)</f>
        <v>20.75</v>
      </c>
      <c r="I184" s="1265">
        <f>IF(E184="","",IFERROR(G184/E184,0))</f>
        <v>0</v>
      </c>
      <c r="J184" s="1266" t="str">
        <f>IF(A184="","",IFERROR(INDEX('Facturación 2026'!$L$4:$L$500,MATCH($A184,'Facturación 2026'!$A$4:$A$500,0)),""))</f>
        <v/>
      </c>
    </row>
    <row r="185" spans="1:10" ht="15.75" customHeight="1">
      <c r="A185" s="1262">
        <v>46143</v>
      </c>
      <c r="B185" s="122" t="str">
        <f>IF(A185="","",CHOOSE(WEEKDAY(A185,2),"Lun","Mar","Mié","Jue","Vie","Sáb","Dom"))</f>
        <v>Vie</v>
      </c>
      <c r="C185" s="123" t="s">
        <v>497</v>
      </c>
      <c r="D185" s="131" cm="1">
        <f t="array" ref="D185">IF(A185="","",SUMPRODUCT(('Detalle Turnos'!$I$3:$I$5006=$A185)*('Detalle Turnos'!$N$3:$N$5006=C185)*'Detalle Turnos'!$L$3:$L$5006))</f>
        <v>2</v>
      </c>
      <c r="E185" s="1263" cm="1">
        <f t="array" ref="E185">IF(A185="","",SUMPRODUCT(('Detalle Turnos'!$I$3:$I$5006=$A185)*('Detalle Turnos'!$N$3:$N$5006=C185)*'Detalle Turnos'!$K$3:$K$5006))</f>
        <v>11.3</v>
      </c>
      <c r="F185" s="1263">
        <f>IFERROR(E185/D185,0)</f>
        <v>5.65</v>
      </c>
      <c r="G185" s="1263" cm="1">
        <f t="array" ref="G185">IF(E185="","",IFERROR(SUMPRODUCT(('Facturación 2026'!$A$4:$A$920=$A185)*'Facturación 2026'!$J$4:$J$920)*E185/(SUMPRODUCT(('Caja 1'!$A$4:$A$920=$A185)*'Caja 1'!$E$4:$E$920)+SUMPRODUCT(('Caja 2'!$A$4:$A$920=$A185)*'Caja 2'!$E$4:$E$920)),0))</f>
        <v>0</v>
      </c>
      <c r="H185" s="1264">
        <f>IF(E185="","",E185-G185)</f>
        <v>11.3</v>
      </c>
      <c r="I185" s="1265">
        <f>IF(E185="","",IFERROR(G185/E185,0))</f>
        <v>0</v>
      </c>
      <c r="J185" s="1266" t="str">
        <f>IF(A185="","",IFERROR(INDEX('Facturación 2026'!$L$4:$L$500,MATCH($A185,'Facturación 2026'!$A$4:$A$500,0)),""))</f>
        <v/>
      </c>
    </row>
    <row r="186" spans="1:10" ht="15.75" customHeight="1">
      <c r="A186" s="988"/>
      <c r="B186" s="122" t="str">
        <f t="shared" si="11"/>
        <v/>
      </c>
      <c r="C186" s="123"/>
      <c r="D186" s="131" t="str">
        <f t="array" ref="D186">IF(A186="","",SUMPRODUCT(('Detalle Turnos'!$I$3:$I$5028=$A186)*('Detalle Turnos'!$N$3:$N$5028=C186)*'Detalle Turnos'!$L$3:$L$5028))</f>
        <v/>
      </c>
      <c r="E186" s="127" t="str">
        <f t="array" ref="E186">IF(A186="","",SUMPRODUCT(('Detalle Turnos'!$I$3:$I$5028=$A186)*('Detalle Turnos'!$N$3:$N$5028=C186)*'Detalle Turnos'!$K$3:$K$5028))</f>
        <v/>
      </c>
      <c r="F186" s="127">
        <f t="shared" si="12"/>
        <v>0</v>
      </c>
      <c r="G186" s="127" t="str">
        <f t="array" ref="G186">IF(E186="","",IFERROR(SUMPRODUCT(('Facturación 2026'!$A$4:$A$920=$A186)*'Facturación 2026'!$J$4:$J$920)*E186/(SUMPRODUCT(('Caja 1'!$A$4:$A$919=$A186)*'Caja 1'!$E$4:$E$919)+SUMPRODUCT(('Caja 2'!$A$4:$A$920=$A186)*'Caja 2'!$E$4:$E$920)),0))</f>
        <v/>
      </c>
      <c r="H186" s="128" t="str">
        <f t="shared" si="13"/>
        <v/>
      </c>
      <c r="I186" s="124" t="str">
        <f t="shared" si="14"/>
        <v/>
      </c>
      <c r="J186" s="987" t="str">
        <f>IF(A186="","",IFERROR(INDEX('Facturación 2026'!$L$4:$L$500,MATCH($A186,'Facturación 2026'!$A$4:$A$500,0)),""))</f>
        <v/>
      </c>
    </row>
    <row r="187" spans="1:10" ht="15.75" customHeight="1">
      <c r="A187" s="988"/>
      <c r="B187" s="122" t="str">
        <f t="shared" si="11"/>
        <v/>
      </c>
      <c r="C187" s="123"/>
      <c r="D187" s="131" t="str">
        <f t="array" ref="D187">IF(A187="","",SUMPRODUCT(('Detalle Turnos'!$I$3:$I$5028=$A187)*('Detalle Turnos'!$N$3:$N$5028=C187)*'Detalle Turnos'!$L$3:$L$5028))</f>
        <v/>
      </c>
      <c r="E187" s="127" t="str">
        <f t="array" ref="E187">IF(A187="","",SUMPRODUCT(('Detalle Turnos'!$I$3:$I$5028=$A187)*('Detalle Turnos'!$N$3:$N$5028=C187)*'Detalle Turnos'!$K$3:$K$5028))</f>
        <v/>
      </c>
      <c r="F187" s="127">
        <f t="shared" si="12"/>
        <v>0</v>
      </c>
      <c r="G187" s="127" t="str">
        <f t="array" ref="G187">IF(E187="","",IFERROR(SUMPRODUCT(('Facturación 2026'!$A$4:$A$920=$A187)*'Facturación 2026'!$J$4:$J$920)*E187/(SUMPRODUCT(('Caja 1'!$A$4:$A$919=$A187)*'Caja 1'!$E$4:$E$919)+SUMPRODUCT(('Caja 2'!$A$4:$A$920=$A187)*'Caja 2'!$E$4:$E$920)),0))</f>
        <v/>
      </c>
      <c r="H187" s="128" t="str">
        <f t="shared" si="13"/>
        <v/>
      </c>
      <c r="I187" s="124" t="str">
        <f t="shared" si="14"/>
        <v/>
      </c>
      <c r="J187" s="987" t="str">
        <f>IF(A187="","",IFERROR(INDEX('Facturación 2026'!$L$4:$L$500,MATCH($A187,'Facturación 2026'!$A$4:$A$500,0)),""))</f>
        <v/>
      </c>
    </row>
    <row r="188" spans="1:10" ht="15.75" customHeight="1">
      <c r="A188" s="988"/>
      <c r="B188" s="122" t="str">
        <f t="shared" si="11"/>
        <v/>
      </c>
      <c r="C188" s="123"/>
      <c r="D188" s="131" t="str">
        <f t="array" ref="D188">IF(A188="","",SUMPRODUCT(('Detalle Turnos'!$I$3:$I$5028=$A188)*('Detalle Turnos'!$N$3:$N$5028=C188)*'Detalle Turnos'!$L$3:$L$5028))</f>
        <v/>
      </c>
      <c r="E188" s="127" t="str">
        <f t="array" ref="E188">IF(A188="","",SUMPRODUCT(('Detalle Turnos'!$I$3:$I$5028=$A188)*('Detalle Turnos'!$N$3:$N$5028=C188)*'Detalle Turnos'!$K$3:$K$5028))</f>
        <v/>
      </c>
      <c r="F188" s="127">
        <f t="shared" si="12"/>
        <v>0</v>
      </c>
      <c r="G188" s="127" t="str">
        <f t="array" ref="G188">IF(E188="","",IFERROR(SUMPRODUCT(('Facturación 2026'!$A$4:$A$920=$A188)*'Facturación 2026'!$J$4:$J$920)*E188/(SUMPRODUCT(('Caja 1'!$A$4:$A$919=$A188)*'Caja 1'!$E$4:$E$919)+SUMPRODUCT(('Caja 2'!$A$4:$A$920=$A188)*'Caja 2'!$E$4:$E$920)),0))</f>
        <v/>
      </c>
      <c r="H188" s="128" t="str">
        <f t="shared" si="13"/>
        <v/>
      </c>
      <c r="I188" s="124" t="str">
        <f t="shared" si="14"/>
        <v/>
      </c>
      <c r="J188" s="987" t="str">
        <f>IF(A188="","",IFERROR(INDEX('Facturación 2026'!$L$4:$L$500,MATCH($A188,'Facturación 2026'!$A$4:$A$500,0)),""))</f>
        <v/>
      </c>
    </row>
    <row r="189" spans="1:10" ht="15.75" customHeight="1">
      <c r="A189" s="988"/>
      <c r="B189" s="122" t="str">
        <f t="shared" si="11"/>
        <v/>
      </c>
      <c r="C189" s="123"/>
      <c r="D189" s="131" t="str">
        <f t="array" ref="D189">IF(A189="","",SUMPRODUCT(('Detalle Turnos'!$I$3:$I$5028=$A189)*('Detalle Turnos'!$N$3:$N$5028=C189)*'Detalle Turnos'!$L$3:$L$5028))</f>
        <v/>
      </c>
      <c r="E189" s="127" t="str">
        <f t="array" ref="E189">IF(A189="","",SUMPRODUCT(('Detalle Turnos'!$I$3:$I$5028=$A189)*('Detalle Turnos'!$N$3:$N$5028=C189)*'Detalle Turnos'!$K$3:$K$5028))</f>
        <v/>
      </c>
      <c r="F189" s="127">
        <f t="shared" si="12"/>
        <v>0</v>
      </c>
      <c r="G189" s="127" t="str">
        <f t="array" ref="G189">IF(E189="","",IFERROR(SUMPRODUCT(('Facturación 2026'!$A$4:$A$920=$A189)*'Facturación 2026'!$J$4:$J$920)*E189/(SUMPRODUCT(('Caja 1'!$A$4:$A$919=$A189)*'Caja 1'!$E$4:$E$919)+SUMPRODUCT(('Caja 2'!$A$4:$A$920=$A189)*'Caja 2'!$E$4:$E$920)),0))</f>
        <v/>
      </c>
      <c r="H189" s="128" t="str">
        <f t="shared" si="13"/>
        <v/>
      </c>
      <c r="I189" s="124" t="str">
        <f t="shared" si="14"/>
        <v/>
      </c>
      <c r="J189" s="987" t="str">
        <f>IF(A189="","",IFERROR(INDEX('Facturación 2026'!$L$4:$L$500,MATCH($A189,'Facturación 2026'!$A$4:$A$500,0)),""))</f>
        <v/>
      </c>
    </row>
    <row r="190" spans="1:10" ht="15.75" customHeight="1">
      <c r="A190" s="988"/>
      <c r="B190" s="122" t="str">
        <f t="shared" si="11"/>
        <v/>
      </c>
      <c r="C190" s="123"/>
      <c r="D190" s="131" t="str">
        <f t="array" ref="D190">IF(A190="","",SUMPRODUCT(('Detalle Turnos'!$I$3:$I$5028=$A190)*('Detalle Turnos'!$N$3:$N$5028=C190)*'Detalle Turnos'!$L$3:$L$5028))</f>
        <v/>
      </c>
      <c r="E190" s="127" t="str">
        <f t="array" ref="E190">IF(A190="","",SUMPRODUCT(('Detalle Turnos'!$I$3:$I$5028=$A190)*('Detalle Turnos'!$N$3:$N$5028=C190)*'Detalle Turnos'!$K$3:$K$5028))</f>
        <v/>
      </c>
      <c r="F190" s="127">
        <f t="shared" si="12"/>
        <v>0</v>
      </c>
      <c r="G190" s="127" t="str">
        <f t="array" ref="G190">IF(E190="","",IFERROR(SUMPRODUCT(('Facturación 2026'!$A$4:$A$920=$A190)*'Facturación 2026'!$J$4:$J$920)*E190/(SUMPRODUCT(('Caja 1'!$A$4:$A$919=$A190)*'Caja 1'!$E$4:$E$919)+SUMPRODUCT(('Caja 2'!$A$4:$A$920=$A190)*'Caja 2'!$E$4:$E$920)),0))</f>
        <v/>
      </c>
      <c r="H190" s="128" t="str">
        <f t="shared" si="13"/>
        <v/>
      </c>
      <c r="I190" s="124" t="str">
        <f t="shared" si="14"/>
        <v/>
      </c>
      <c r="J190" s="987" t="str">
        <f>IF(A190="","",IFERROR(INDEX('Facturación 2026'!$L$4:$L$500,MATCH($A190,'Facturación 2026'!$A$4:$A$500,0)),""))</f>
        <v/>
      </c>
    </row>
    <row r="191" spans="1:10" ht="15.75" customHeight="1">
      <c r="A191" s="988"/>
      <c r="B191" s="122" t="str">
        <f t="shared" si="11"/>
        <v/>
      </c>
      <c r="C191" s="123"/>
      <c r="D191" s="131" t="str">
        <f t="array" ref="D191">IF(A191="","",SUMPRODUCT(('Detalle Turnos'!$I$3:$I$5028=$A191)*('Detalle Turnos'!$N$3:$N$5028=C191)*'Detalle Turnos'!$L$3:$L$5028))</f>
        <v/>
      </c>
      <c r="E191" s="127" t="str">
        <f t="array" ref="E191">IF(A191="","",SUMPRODUCT(('Detalle Turnos'!$I$3:$I$5028=$A191)*('Detalle Turnos'!$N$3:$N$5028=C191)*'Detalle Turnos'!$K$3:$K$5028))</f>
        <v/>
      </c>
      <c r="F191" s="127">
        <f t="shared" si="12"/>
        <v>0</v>
      </c>
      <c r="G191" s="127" t="str">
        <f t="array" ref="G191">IF(E191="","",IFERROR(SUMPRODUCT(('Facturación 2026'!$A$4:$A$920=$A191)*'Facturación 2026'!$J$4:$J$920)*E191/(SUMPRODUCT(('Caja 1'!$A$4:$A$919=$A191)*'Caja 1'!$E$4:$E$919)+SUMPRODUCT(('Caja 2'!$A$4:$A$920=$A191)*'Caja 2'!$E$4:$E$920)),0))</f>
        <v/>
      </c>
      <c r="H191" s="128" t="str">
        <f t="shared" si="13"/>
        <v/>
      </c>
      <c r="I191" s="124" t="str">
        <f t="shared" si="14"/>
        <v/>
      </c>
      <c r="J191" s="987" t="str">
        <f>IF(A191="","",IFERROR(INDEX('Facturación 2026'!$L$4:$L$500,MATCH($A191,'Facturación 2026'!$A$4:$A$500,0)),""))</f>
        <v/>
      </c>
    </row>
    <row r="192" spans="1:10" ht="15.75" customHeight="1">
      <c r="A192" s="988"/>
      <c r="B192" s="122" t="str">
        <f t="shared" si="11"/>
        <v/>
      </c>
      <c r="C192" s="123"/>
      <c r="D192" s="131" t="str">
        <f t="array" ref="D192">IF(A192="","",SUMPRODUCT(('Detalle Turnos'!$I$3:$I$5028=$A192)*('Detalle Turnos'!$N$3:$N$5028=C192)*'Detalle Turnos'!$L$3:$L$5028))</f>
        <v/>
      </c>
      <c r="E192" s="127" t="str">
        <f t="array" ref="E192">IF(A192="","",SUMPRODUCT(('Detalle Turnos'!$I$3:$I$5028=$A192)*('Detalle Turnos'!$N$3:$N$5028=C192)*'Detalle Turnos'!$K$3:$K$5028))</f>
        <v/>
      </c>
      <c r="F192" s="127">
        <f t="shared" si="12"/>
        <v>0</v>
      </c>
      <c r="G192" s="127" t="str">
        <f t="array" ref="G192">IF(E192="","",IFERROR(SUMPRODUCT(('Facturación 2026'!$A$4:$A$920=$A192)*'Facturación 2026'!$J$4:$J$920)*E192/(SUMPRODUCT(('Caja 1'!$A$4:$A$919=$A192)*'Caja 1'!$E$4:$E$919)+SUMPRODUCT(('Caja 2'!$A$4:$A$920=$A192)*'Caja 2'!$E$4:$E$920)),0))</f>
        <v/>
      </c>
      <c r="H192" s="128" t="str">
        <f t="shared" si="13"/>
        <v/>
      </c>
      <c r="I192" s="124" t="str">
        <f t="shared" si="14"/>
        <v/>
      </c>
      <c r="J192" s="987" t="str">
        <f>IF(A192="","",IFERROR(INDEX('Facturación 2026'!$L$4:$L$500,MATCH($A192,'Facturación 2026'!$A$4:$A$500,0)),""))</f>
        <v/>
      </c>
    </row>
    <row r="193" spans="1:10" ht="15.75" customHeight="1">
      <c r="A193" s="988"/>
      <c r="B193" s="122" t="str">
        <f t="shared" si="11"/>
        <v/>
      </c>
      <c r="C193" s="123"/>
      <c r="D193" s="131" t="str">
        <f t="array" ref="D193">IF(A193="","",SUMPRODUCT(('Detalle Turnos'!$I$3:$I$5028=$A193)*('Detalle Turnos'!$N$3:$N$5028=C193)*'Detalle Turnos'!$L$3:$L$5028))</f>
        <v/>
      </c>
      <c r="E193" s="127" t="str">
        <f t="array" ref="E193">IF(A193="","",SUMPRODUCT(('Detalle Turnos'!$I$3:$I$5028=$A193)*('Detalle Turnos'!$N$3:$N$5028=C193)*'Detalle Turnos'!$K$3:$K$5028))</f>
        <v/>
      </c>
      <c r="F193" s="127">
        <f t="shared" si="12"/>
        <v>0</v>
      </c>
      <c r="G193" s="127" t="str">
        <f t="array" ref="G193">IF(E193="","",IFERROR(SUMPRODUCT(('Facturación 2026'!$A$4:$A$920=$A193)*'Facturación 2026'!$J$4:$J$920)*E193/(SUMPRODUCT(('Caja 1'!$A$4:$A$919=$A193)*'Caja 1'!$E$4:$E$919)+SUMPRODUCT(('Caja 2'!$A$4:$A$920=$A193)*'Caja 2'!$E$4:$E$920)),0))</f>
        <v/>
      </c>
      <c r="H193" s="128" t="str">
        <f t="shared" si="13"/>
        <v/>
      </c>
      <c r="I193" s="124" t="str">
        <f t="shared" si="14"/>
        <v/>
      </c>
      <c r="J193" s="987" t="str">
        <f>IF(A193="","",IFERROR(INDEX('Facturación 2026'!$L$4:$L$500,MATCH($A193,'Facturación 2026'!$A$4:$A$500,0)),""))</f>
        <v/>
      </c>
    </row>
    <row r="194" spans="1:10" ht="15.75" customHeight="1">
      <c r="A194" s="988"/>
      <c r="B194" s="122" t="str">
        <f t="shared" si="11"/>
        <v/>
      </c>
      <c r="C194" s="123"/>
      <c r="D194" s="131" t="str">
        <f t="array" ref="D194">IF(A194="","",SUMPRODUCT(('Detalle Turnos'!$I$3:$I$5028=$A194)*('Detalle Turnos'!$N$3:$N$5028=C194)*'Detalle Turnos'!$L$3:$L$5028))</f>
        <v/>
      </c>
      <c r="E194" s="127" t="str">
        <f t="array" ref="E194">IF(A194="","",SUMPRODUCT(('Detalle Turnos'!$I$3:$I$5028=$A194)*('Detalle Turnos'!$N$3:$N$5028=C194)*'Detalle Turnos'!$K$3:$K$5028))</f>
        <v/>
      </c>
      <c r="F194" s="127">
        <f t="shared" si="12"/>
        <v>0</v>
      </c>
      <c r="G194" s="127" t="str">
        <f t="array" ref="G194">IF(E194="","",IFERROR(SUMPRODUCT(('Facturación 2026'!$A$4:$A$920=$A194)*'Facturación 2026'!$J$4:$J$920)*E194/(SUMPRODUCT(('Caja 1'!$A$4:$A$919=$A194)*'Caja 1'!$E$4:$E$919)+SUMPRODUCT(('Caja 2'!$A$4:$A$920=$A194)*'Caja 2'!$E$4:$E$920)),0))</f>
        <v/>
      </c>
      <c r="H194" s="128" t="str">
        <f t="shared" si="13"/>
        <v/>
      </c>
      <c r="I194" s="124" t="str">
        <f t="shared" si="14"/>
        <v/>
      </c>
      <c r="J194" s="987" t="str">
        <f>IF(A194="","",IFERROR(INDEX('Facturación 2026'!$L$4:$L$500,MATCH($A194,'Facturación 2026'!$A$4:$A$500,0)),""))</f>
        <v/>
      </c>
    </row>
    <row r="195" spans="1:10" ht="15.75" customHeight="1">
      <c r="A195" s="988"/>
      <c r="B195" s="122" t="str">
        <f t="shared" ref="B195:B258" si="15">IF(A195="","",CHOOSE(WEEKDAY(A195,2),"Lun","Mar","Mié","Jue","Vie","Sáb","Dom"))</f>
        <v/>
      </c>
      <c r="C195" s="123"/>
      <c r="D195" s="131" t="str">
        <f t="array" ref="D195">IF(A195="","",SUMPRODUCT(('Detalle Turnos'!$I$3:$I$5028=$A195)*('Detalle Turnos'!$N$3:$N$5028=C195)*'Detalle Turnos'!$L$3:$L$5028))</f>
        <v/>
      </c>
      <c r="E195" s="127" t="str">
        <f t="array" ref="E195">IF(A195="","",SUMPRODUCT(('Detalle Turnos'!$I$3:$I$5028=$A195)*('Detalle Turnos'!$N$3:$N$5028=C195)*'Detalle Turnos'!$K$3:$K$5028))</f>
        <v/>
      </c>
      <c r="F195" s="127">
        <f t="shared" ref="F195:F258" si="16">IFERROR(E195/D195,0)</f>
        <v>0</v>
      </c>
      <c r="G195" s="127" t="str">
        <f t="array" ref="G195">IF(E195="","",IFERROR(SUMPRODUCT(('Facturación 2026'!$A$4:$A$920=$A195)*'Facturación 2026'!$J$4:$J$920)*E195/(SUMPRODUCT(('Caja 1'!$A$4:$A$919=$A195)*'Caja 1'!$E$4:$E$919)+SUMPRODUCT(('Caja 2'!$A$4:$A$920=$A195)*'Caja 2'!$E$4:$E$920)),0))</f>
        <v/>
      </c>
      <c r="H195" s="128" t="str">
        <f t="shared" ref="H195:H258" si="17">IF(E195="","",E195-G195)</f>
        <v/>
      </c>
      <c r="I195" s="124" t="str">
        <f t="shared" ref="I195:I258" si="18">IF(E195="","",IFERROR(G195/E195,0))</f>
        <v/>
      </c>
      <c r="J195" s="987" t="str">
        <f>IF(A195="","",IFERROR(INDEX('Facturación 2026'!$L$4:$L$500,MATCH($A195,'Facturación 2026'!$A$4:$A$500,0)),""))</f>
        <v/>
      </c>
    </row>
    <row r="196" spans="1:10" ht="15.75" customHeight="1">
      <c r="A196" s="988"/>
      <c r="B196" s="122" t="str">
        <f t="shared" si="15"/>
        <v/>
      </c>
      <c r="C196" s="123"/>
      <c r="D196" s="131" t="str">
        <f t="array" ref="D196">IF(A196="","",SUMPRODUCT(('Detalle Turnos'!$I$3:$I$5028=$A196)*('Detalle Turnos'!$N$3:$N$5028=C196)*'Detalle Turnos'!$L$3:$L$5028))</f>
        <v/>
      </c>
      <c r="E196" s="127" t="str">
        <f t="array" ref="E196">IF(A196="","",SUMPRODUCT(('Detalle Turnos'!$I$3:$I$5028=$A196)*('Detalle Turnos'!$N$3:$N$5028=C196)*'Detalle Turnos'!$K$3:$K$5028))</f>
        <v/>
      </c>
      <c r="F196" s="127">
        <f t="shared" si="16"/>
        <v>0</v>
      </c>
      <c r="G196" s="127" t="str">
        <f t="array" ref="G196">IF(E196="","",IFERROR(SUMPRODUCT(('Facturación 2026'!$A$4:$A$920=$A196)*'Facturación 2026'!$J$4:$J$920)*E196/(SUMPRODUCT(('Caja 1'!$A$4:$A$919=$A196)*'Caja 1'!$E$4:$E$919)+SUMPRODUCT(('Caja 2'!$A$4:$A$920=$A196)*'Caja 2'!$E$4:$E$920)),0))</f>
        <v/>
      </c>
      <c r="H196" s="128" t="str">
        <f t="shared" si="17"/>
        <v/>
      </c>
      <c r="I196" s="124" t="str">
        <f t="shared" si="18"/>
        <v/>
      </c>
      <c r="J196" s="987" t="str">
        <f>IF(A196="","",IFERROR(INDEX('Facturación 2026'!$L$4:$L$500,MATCH($A196,'Facturación 2026'!$A$4:$A$500,0)),""))</f>
        <v/>
      </c>
    </row>
    <row r="197" spans="1:10" ht="15.75" customHeight="1">
      <c r="A197" s="988"/>
      <c r="B197" s="122" t="str">
        <f t="shared" si="15"/>
        <v/>
      </c>
      <c r="C197" s="123"/>
      <c r="D197" s="131" t="str">
        <f t="array" ref="D197">IF(A197="","",SUMPRODUCT(('Detalle Turnos'!$I$3:$I$5028=$A197)*('Detalle Turnos'!$N$3:$N$5028=C197)*'Detalle Turnos'!$L$3:$L$5028))</f>
        <v/>
      </c>
      <c r="E197" s="127" t="str">
        <f t="array" ref="E197">IF(A197="","",SUMPRODUCT(('Detalle Turnos'!$I$3:$I$5028=$A197)*('Detalle Turnos'!$N$3:$N$5028=C197)*'Detalle Turnos'!$K$3:$K$5028))</f>
        <v/>
      </c>
      <c r="F197" s="127">
        <f t="shared" si="16"/>
        <v>0</v>
      </c>
      <c r="G197" s="127" t="str">
        <f t="array" ref="G197">IF(E197="","",IFERROR(SUMPRODUCT(('Facturación 2026'!$A$4:$A$920=$A197)*'Facturación 2026'!$J$4:$J$920)*E197/(SUMPRODUCT(('Caja 1'!$A$4:$A$919=$A197)*'Caja 1'!$E$4:$E$919)+SUMPRODUCT(('Caja 2'!$A$4:$A$920=$A197)*'Caja 2'!$E$4:$E$920)),0))</f>
        <v/>
      </c>
      <c r="H197" s="128" t="str">
        <f t="shared" si="17"/>
        <v/>
      </c>
      <c r="I197" s="124" t="str">
        <f t="shared" si="18"/>
        <v/>
      </c>
      <c r="J197" s="987" t="str">
        <f>IF(A197="","",IFERROR(INDEX('Facturación 2026'!$L$4:$L$500,MATCH($A197,'Facturación 2026'!$A$4:$A$500,0)),""))</f>
        <v/>
      </c>
    </row>
    <row r="198" spans="1:10" ht="15.75" customHeight="1">
      <c r="A198" s="988"/>
      <c r="B198" s="122" t="str">
        <f t="shared" si="15"/>
        <v/>
      </c>
      <c r="C198" s="123"/>
      <c r="D198" s="131" t="str">
        <f t="array" ref="D198">IF(A198="","",SUMPRODUCT(('Detalle Turnos'!$I$3:$I$5028=$A198)*('Detalle Turnos'!$N$3:$N$5028=C198)*'Detalle Turnos'!$L$3:$L$5028))</f>
        <v/>
      </c>
      <c r="E198" s="127" t="str">
        <f t="array" ref="E198">IF(A198="","",SUMPRODUCT(('Detalle Turnos'!$I$3:$I$5028=$A198)*('Detalle Turnos'!$N$3:$N$5028=C198)*'Detalle Turnos'!$K$3:$K$5028))</f>
        <v/>
      </c>
      <c r="F198" s="127">
        <f t="shared" si="16"/>
        <v>0</v>
      </c>
      <c r="G198" s="127" t="str">
        <f t="array" ref="G198">IF(E198="","",IFERROR(SUMPRODUCT(('Facturación 2026'!$A$4:$A$920=$A198)*'Facturación 2026'!$J$4:$J$920)*E198/(SUMPRODUCT(('Caja 1'!$A$4:$A$919=$A198)*'Caja 1'!$E$4:$E$919)+SUMPRODUCT(('Caja 2'!$A$4:$A$920=$A198)*'Caja 2'!$E$4:$E$920)),0))</f>
        <v/>
      </c>
      <c r="H198" s="128" t="str">
        <f t="shared" si="17"/>
        <v/>
      </c>
      <c r="I198" s="124" t="str">
        <f t="shared" si="18"/>
        <v/>
      </c>
      <c r="J198" s="987" t="str">
        <f>IF(A198="","",IFERROR(INDEX('Facturación 2026'!$L$4:$L$500,MATCH($A198,'Facturación 2026'!$A$4:$A$500,0)),""))</f>
        <v/>
      </c>
    </row>
    <row r="199" spans="1:10" ht="15.75" customHeight="1">
      <c r="A199" s="988"/>
      <c r="B199" s="122" t="str">
        <f t="shared" si="15"/>
        <v/>
      </c>
      <c r="C199" s="123"/>
      <c r="D199" s="131" t="str">
        <f t="array" ref="D199">IF(A199="","",SUMPRODUCT(('Detalle Turnos'!$I$3:$I$5028=$A199)*('Detalle Turnos'!$N$3:$N$5028=C199)*'Detalle Turnos'!$L$3:$L$5028))</f>
        <v/>
      </c>
      <c r="E199" s="127" t="str">
        <f t="array" ref="E199">IF(A199="","",SUMPRODUCT(('Detalle Turnos'!$I$3:$I$5028=$A199)*('Detalle Turnos'!$N$3:$N$5028=C199)*'Detalle Turnos'!$K$3:$K$5028))</f>
        <v/>
      </c>
      <c r="F199" s="127">
        <f t="shared" si="16"/>
        <v>0</v>
      </c>
      <c r="G199" s="127" t="str">
        <f t="array" ref="G199">IF(E199="","",IFERROR(SUMPRODUCT(('Facturación 2026'!$A$4:$A$920=$A199)*'Facturación 2026'!$J$4:$J$920)*E199/(SUMPRODUCT(('Caja 1'!$A$4:$A$919=$A199)*'Caja 1'!$E$4:$E$919)+SUMPRODUCT(('Caja 2'!$A$4:$A$920=$A199)*'Caja 2'!$E$4:$E$920)),0))</f>
        <v/>
      </c>
      <c r="H199" s="128" t="str">
        <f t="shared" si="17"/>
        <v/>
      </c>
      <c r="I199" s="124" t="str">
        <f t="shared" si="18"/>
        <v/>
      </c>
      <c r="J199" s="987" t="str">
        <f>IF(A199="","",IFERROR(INDEX('Facturación 2026'!$L$4:$L$500,MATCH($A199,'Facturación 2026'!$A$4:$A$500,0)),""))</f>
        <v/>
      </c>
    </row>
    <row r="200" spans="1:10" ht="15.75" customHeight="1">
      <c r="A200" s="988"/>
      <c r="B200" s="122" t="str">
        <f t="shared" si="15"/>
        <v/>
      </c>
      <c r="C200" s="123"/>
      <c r="D200" s="131" t="str">
        <f t="array" ref="D200">IF(A200="","",SUMPRODUCT(('Detalle Turnos'!$I$3:$I$5028=$A200)*('Detalle Turnos'!$N$3:$N$5028=C200)*'Detalle Turnos'!$L$3:$L$5028))</f>
        <v/>
      </c>
      <c r="E200" s="127" t="str">
        <f t="array" ref="E200">IF(A200="","",SUMPRODUCT(('Detalle Turnos'!$I$3:$I$5028=$A200)*('Detalle Turnos'!$N$3:$N$5028=C200)*'Detalle Turnos'!$K$3:$K$5028))</f>
        <v/>
      </c>
      <c r="F200" s="127">
        <f t="shared" si="16"/>
        <v>0</v>
      </c>
      <c r="G200" s="127" t="str">
        <f t="array" ref="G200">IF(E200="","",IFERROR(SUMPRODUCT(('Facturación 2026'!$A$4:$A$920=$A200)*'Facturación 2026'!$J$4:$J$920)*E200/(SUMPRODUCT(('Caja 1'!$A$4:$A$919=$A200)*'Caja 1'!$E$4:$E$919)+SUMPRODUCT(('Caja 2'!$A$4:$A$920=$A200)*'Caja 2'!$E$4:$E$920)),0))</f>
        <v/>
      </c>
      <c r="H200" s="128" t="str">
        <f t="shared" si="17"/>
        <v/>
      </c>
      <c r="I200" s="124" t="str">
        <f t="shared" si="18"/>
        <v/>
      </c>
      <c r="J200" s="987" t="str">
        <f>IF(A200="","",IFERROR(INDEX('Facturación 2026'!$L$4:$L$500,MATCH($A200,'Facturación 2026'!$A$4:$A$500,0)),""))</f>
        <v/>
      </c>
    </row>
    <row r="201" spans="1:10" ht="15.75" customHeight="1">
      <c r="A201" s="988"/>
      <c r="B201" s="122" t="str">
        <f t="shared" si="15"/>
        <v/>
      </c>
      <c r="C201" s="123"/>
      <c r="D201" s="131" t="str">
        <f t="array" ref="D201">IF(A201="","",SUMPRODUCT(('Detalle Turnos'!$I$3:$I$5028=$A201)*('Detalle Turnos'!$N$3:$N$5028=C201)*'Detalle Turnos'!$L$3:$L$5028))</f>
        <v/>
      </c>
      <c r="E201" s="127" t="str">
        <f t="array" ref="E201">IF(A201="","",SUMPRODUCT(('Detalle Turnos'!$I$3:$I$5028=$A201)*('Detalle Turnos'!$N$3:$N$5028=C201)*'Detalle Turnos'!$K$3:$K$5028))</f>
        <v/>
      </c>
      <c r="F201" s="127">
        <f t="shared" si="16"/>
        <v>0</v>
      </c>
      <c r="G201" s="127" t="str">
        <f t="array" ref="G201">IF(E201="","",IFERROR(SUMPRODUCT(('Facturación 2026'!$A$4:$A$920=$A201)*'Facturación 2026'!$J$4:$J$920)*E201/(SUMPRODUCT(('Caja 1'!$A$4:$A$919=$A201)*'Caja 1'!$E$4:$E$919)+SUMPRODUCT(('Caja 2'!$A$4:$A$920=$A201)*'Caja 2'!$E$4:$E$920)),0))</f>
        <v/>
      </c>
      <c r="H201" s="128" t="str">
        <f t="shared" si="17"/>
        <v/>
      </c>
      <c r="I201" s="124" t="str">
        <f t="shared" si="18"/>
        <v/>
      </c>
      <c r="J201" s="987" t="str">
        <f>IF(A201="","",IFERROR(INDEX('Facturación 2026'!$L$4:$L$500,MATCH($A201,'Facturación 2026'!$A$4:$A$500,0)),""))</f>
        <v/>
      </c>
    </row>
    <row r="202" spans="1:10" ht="15.75" customHeight="1">
      <c r="A202" s="988"/>
      <c r="B202" s="122" t="str">
        <f t="shared" si="15"/>
        <v/>
      </c>
      <c r="C202" s="123"/>
      <c r="D202" s="131" t="str">
        <f t="array" ref="D202">IF(A202="","",SUMPRODUCT(('Detalle Turnos'!$I$3:$I$5028=$A202)*('Detalle Turnos'!$N$3:$N$5028=C202)*'Detalle Turnos'!$L$3:$L$5028))</f>
        <v/>
      </c>
      <c r="E202" s="127" t="str">
        <f t="array" ref="E202">IF(A202="","",SUMPRODUCT(('Detalle Turnos'!$I$3:$I$5028=$A202)*('Detalle Turnos'!$N$3:$N$5028=C202)*'Detalle Turnos'!$K$3:$K$5028))</f>
        <v/>
      </c>
      <c r="F202" s="127">
        <f t="shared" si="16"/>
        <v>0</v>
      </c>
      <c r="G202" s="127" t="str">
        <f t="array" ref="G202">IF(E202="","",IFERROR(SUMPRODUCT(('Facturación 2026'!$A$4:$A$920=$A202)*'Facturación 2026'!$J$4:$J$920)*E202/(SUMPRODUCT(('Caja 1'!$A$4:$A$919=$A202)*'Caja 1'!$E$4:$E$919)+SUMPRODUCT(('Caja 2'!$A$4:$A$920=$A202)*'Caja 2'!$E$4:$E$920)),0))</f>
        <v/>
      </c>
      <c r="H202" s="128" t="str">
        <f t="shared" si="17"/>
        <v/>
      </c>
      <c r="I202" s="124" t="str">
        <f t="shared" si="18"/>
        <v/>
      </c>
      <c r="J202" s="987" t="str">
        <f>IF(A202="","",IFERROR(INDEX('Facturación 2026'!$L$4:$L$500,MATCH($A202,'Facturación 2026'!$A$4:$A$500,0)),""))</f>
        <v/>
      </c>
    </row>
    <row r="203" spans="1:10" ht="15.75" customHeight="1">
      <c r="A203" s="988"/>
      <c r="B203" s="122" t="str">
        <f t="shared" si="15"/>
        <v/>
      </c>
      <c r="C203" s="123"/>
      <c r="D203" s="131" t="str">
        <f t="array" ref="D203">IF(A203="","",SUMPRODUCT(('Detalle Turnos'!$I$3:$I$5028=$A203)*('Detalle Turnos'!$N$3:$N$5028=C203)*'Detalle Turnos'!$L$3:$L$5028))</f>
        <v/>
      </c>
      <c r="E203" s="127" t="str">
        <f t="array" ref="E203">IF(A203="","",SUMPRODUCT(('Detalle Turnos'!$I$3:$I$5028=$A203)*('Detalle Turnos'!$N$3:$N$5028=C203)*'Detalle Turnos'!$K$3:$K$5028))</f>
        <v/>
      </c>
      <c r="F203" s="127">
        <f t="shared" si="16"/>
        <v>0</v>
      </c>
      <c r="G203" s="127" t="str">
        <f t="array" ref="G203">IF(E203="","",IFERROR(SUMPRODUCT(('Facturación 2026'!$A$4:$A$920=$A203)*'Facturación 2026'!$J$4:$J$920)*E203/(SUMPRODUCT(('Caja 1'!$A$4:$A$919=$A203)*'Caja 1'!$E$4:$E$919)+SUMPRODUCT(('Caja 2'!$A$4:$A$920=$A203)*'Caja 2'!$E$4:$E$920)),0))</f>
        <v/>
      </c>
      <c r="H203" s="128" t="str">
        <f t="shared" si="17"/>
        <v/>
      </c>
      <c r="I203" s="124" t="str">
        <f t="shared" si="18"/>
        <v/>
      </c>
      <c r="J203" s="987" t="str">
        <f>IF(A203="","",IFERROR(INDEX('Facturación 2026'!$L$4:$L$500,MATCH($A203,'Facturación 2026'!$A$4:$A$500,0)),""))</f>
        <v/>
      </c>
    </row>
    <row r="204" spans="1:10" ht="15.75" customHeight="1">
      <c r="A204" s="988"/>
      <c r="B204" s="122" t="str">
        <f t="shared" si="15"/>
        <v/>
      </c>
      <c r="C204" s="123"/>
      <c r="D204" s="131" t="str">
        <f t="array" ref="D204">IF(A204="","",SUMPRODUCT(('Detalle Turnos'!$I$3:$I$5028=$A204)*('Detalle Turnos'!$N$3:$N$5028=C204)*'Detalle Turnos'!$L$3:$L$5028))</f>
        <v/>
      </c>
      <c r="E204" s="127" t="str">
        <f t="array" ref="E204">IF(A204="","",SUMPRODUCT(('Detalle Turnos'!$I$3:$I$5028=$A204)*('Detalle Turnos'!$N$3:$N$5028=C204)*'Detalle Turnos'!$K$3:$K$5028))</f>
        <v/>
      </c>
      <c r="F204" s="127">
        <f t="shared" si="16"/>
        <v>0</v>
      </c>
      <c r="G204" s="127" t="str">
        <f t="array" ref="G204">IF(E204="","",IFERROR(SUMPRODUCT(('Facturación 2026'!$A$4:$A$920=$A204)*'Facturación 2026'!$J$4:$J$920)*E204/(SUMPRODUCT(('Caja 1'!$A$4:$A$919=$A204)*'Caja 1'!$E$4:$E$919)+SUMPRODUCT(('Caja 2'!$A$4:$A$920=$A204)*'Caja 2'!$E$4:$E$920)),0))</f>
        <v/>
      </c>
      <c r="H204" s="128" t="str">
        <f t="shared" si="17"/>
        <v/>
      </c>
      <c r="I204" s="124" t="str">
        <f t="shared" si="18"/>
        <v/>
      </c>
      <c r="J204" s="987" t="str">
        <f>IF(A204="","",IFERROR(INDEX('Facturación 2026'!$L$4:$L$500,MATCH($A204,'Facturación 2026'!$A$4:$A$500,0)),""))</f>
        <v/>
      </c>
    </row>
    <row r="205" spans="1:10" ht="15.75" customHeight="1">
      <c r="A205" s="988"/>
      <c r="B205" s="122" t="str">
        <f t="shared" si="15"/>
        <v/>
      </c>
      <c r="C205" s="123"/>
      <c r="D205" s="131" t="str">
        <f t="array" ref="D205">IF(A205="","",SUMPRODUCT(('Detalle Turnos'!$I$3:$I$5028=$A205)*('Detalle Turnos'!$N$3:$N$5028=C205)*'Detalle Turnos'!$L$3:$L$5028))</f>
        <v/>
      </c>
      <c r="E205" s="127" t="str">
        <f t="array" ref="E205">IF(A205="","",SUMPRODUCT(('Detalle Turnos'!$I$3:$I$5028=$A205)*('Detalle Turnos'!$N$3:$N$5028=C205)*'Detalle Turnos'!$K$3:$K$5028))</f>
        <v/>
      </c>
      <c r="F205" s="127">
        <f t="shared" si="16"/>
        <v>0</v>
      </c>
      <c r="G205" s="127" t="str">
        <f t="array" ref="G205">IF(E205="","",IFERROR(SUMPRODUCT(('Facturación 2026'!$A$4:$A$920=$A205)*'Facturación 2026'!$J$4:$J$920)*E205/(SUMPRODUCT(('Caja 1'!$A$4:$A$919=$A205)*'Caja 1'!$E$4:$E$919)+SUMPRODUCT(('Caja 2'!$A$4:$A$920=$A205)*'Caja 2'!$E$4:$E$920)),0))</f>
        <v/>
      </c>
      <c r="H205" s="128" t="str">
        <f t="shared" si="17"/>
        <v/>
      </c>
      <c r="I205" s="124" t="str">
        <f t="shared" si="18"/>
        <v/>
      </c>
      <c r="J205" s="987" t="str">
        <f>IF(A205="","",IFERROR(INDEX('Facturación 2026'!$L$4:$L$500,MATCH($A205,'Facturación 2026'!$A$4:$A$500,0)),""))</f>
        <v/>
      </c>
    </row>
    <row r="206" spans="1:10" ht="15.75" customHeight="1">
      <c r="A206" s="988"/>
      <c r="B206" s="122" t="str">
        <f t="shared" si="15"/>
        <v/>
      </c>
      <c r="C206" s="123"/>
      <c r="D206" s="131" t="str">
        <f t="array" ref="D206">IF(A206="","",SUMPRODUCT(('Detalle Turnos'!$I$3:$I$5028=$A206)*('Detalle Turnos'!$N$3:$N$5028=C206)*'Detalle Turnos'!$L$3:$L$5028))</f>
        <v/>
      </c>
      <c r="E206" s="127" t="str">
        <f t="array" ref="E206">IF(A206="","",SUMPRODUCT(('Detalle Turnos'!$I$3:$I$5028=$A206)*('Detalle Turnos'!$N$3:$N$5028=C206)*'Detalle Turnos'!$K$3:$K$5028))</f>
        <v/>
      </c>
      <c r="F206" s="127">
        <f t="shared" si="16"/>
        <v>0</v>
      </c>
      <c r="G206" s="127" t="str">
        <f t="array" ref="G206">IF(E206="","",IFERROR(SUMPRODUCT(('Facturación 2026'!$A$4:$A$920=$A206)*'Facturación 2026'!$J$4:$J$920)*E206/(SUMPRODUCT(('Caja 1'!$A$4:$A$919=$A206)*'Caja 1'!$E$4:$E$919)+SUMPRODUCT(('Caja 2'!$A$4:$A$920=$A206)*'Caja 2'!$E$4:$E$920)),0))</f>
        <v/>
      </c>
      <c r="H206" s="128" t="str">
        <f t="shared" si="17"/>
        <v/>
      </c>
      <c r="I206" s="124" t="str">
        <f t="shared" si="18"/>
        <v/>
      </c>
      <c r="J206" s="987" t="str">
        <f>IF(A206="","",IFERROR(INDEX('Facturación 2026'!$L$4:$L$500,MATCH($A206,'Facturación 2026'!$A$4:$A$500,0)),""))</f>
        <v/>
      </c>
    </row>
    <row r="207" spans="1:10" ht="15.75" customHeight="1">
      <c r="A207" s="988"/>
      <c r="B207" s="122" t="str">
        <f t="shared" si="15"/>
        <v/>
      </c>
      <c r="C207" s="123"/>
      <c r="D207" s="131" t="str">
        <f t="array" ref="D207">IF(A207="","",SUMPRODUCT(('Detalle Turnos'!$I$3:$I$5028=$A207)*('Detalle Turnos'!$N$3:$N$5028=C207)*'Detalle Turnos'!$L$3:$L$5028))</f>
        <v/>
      </c>
      <c r="E207" s="127" t="str">
        <f t="array" ref="E207">IF(A207="","",SUMPRODUCT(('Detalle Turnos'!$I$3:$I$5028=$A207)*('Detalle Turnos'!$N$3:$N$5028=C207)*'Detalle Turnos'!$K$3:$K$5028))</f>
        <v/>
      </c>
      <c r="F207" s="127">
        <f t="shared" si="16"/>
        <v>0</v>
      </c>
      <c r="G207" s="127" t="str">
        <f t="array" ref="G207">IF(E207="","",IFERROR(SUMPRODUCT(('Facturación 2026'!$A$4:$A$920=$A207)*'Facturación 2026'!$J$4:$J$920)*E207/(SUMPRODUCT(('Caja 1'!$A$4:$A$919=$A207)*'Caja 1'!$E$4:$E$919)+SUMPRODUCT(('Caja 2'!$A$4:$A$920=$A207)*'Caja 2'!$E$4:$E$920)),0))</f>
        <v/>
      </c>
      <c r="H207" s="128" t="str">
        <f t="shared" si="17"/>
        <v/>
      </c>
      <c r="I207" s="124" t="str">
        <f t="shared" si="18"/>
        <v/>
      </c>
      <c r="J207" s="987" t="str">
        <f>IF(A207="","",IFERROR(INDEX('Facturación 2026'!$L$4:$L$500,MATCH($A207,'Facturación 2026'!$A$4:$A$500,0)),""))</f>
        <v/>
      </c>
    </row>
    <row r="208" spans="1:10" ht="15.75" customHeight="1">
      <c r="A208" s="988"/>
      <c r="B208" s="122" t="str">
        <f t="shared" si="15"/>
        <v/>
      </c>
      <c r="C208" s="123"/>
      <c r="D208" s="131" t="str">
        <f t="array" ref="D208">IF(A208="","",SUMPRODUCT(('Detalle Turnos'!$I$3:$I$5028=$A208)*('Detalle Turnos'!$N$3:$N$5028=C208)*'Detalle Turnos'!$L$3:$L$5028))</f>
        <v/>
      </c>
      <c r="E208" s="127" t="str">
        <f t="array" ref="E208">IF(A208="","",SUMPRODUCT(('Detalle Turnos'!$I$3:$I$5028=$A208)*('Detalle Turnos'!$N$3:$N$5028=C208)*'Detalle Turnos'!$K$3:$K$5028))</f>
        <v/>
      </c>
      <c r="F208" s="127">
        <f t="shared" si="16"/>
        <v>0</v>
      </c>
      <c r="G208" s="127" t="str">
        <f t="array" ref="G208">IF(E208="","",IFERROR(SUMPRODUCT(('Facturación 2026'!$A$4:$A$920=$A208)*'Facturación 2026'!$J$4:$J$920)*E208/(SUMPRODUCT(('Caja 1'!$A$4:$A$919=$A208)*'Caja 1'!$E$4:$E$919)+SUMPRODUCT(('Caja 2'!$A$4:$A$920=$A208)*'Caja 2'!$E$4:$E$920)),0))</f>
        <v/>
      </c>
      <c r="H208" s="128" t="str">
        <f t="shared" si="17"/>
        <v/>
      </c>
      <c r="I208" s="124" t="str">
        <f t="shared" si="18"/>
        <v/>
      </c>
      <c r="J208" s="987" t="str">
        <f>IF(A208="","",IFERROR(INDEX('Facturación 2026'!$L$4:$L$500,MATCH($A208,'Facturación 2026'!$A$4:$A$500,0)),""))</f>
        <v/>
      </c>
    </row>
    <row r="209" spans="1:10" ht="15.75" customHeight="1">
      <c r="A209" s="988"/>
      <c r="B209" s="122" t="str">
        <f t="shared" si="15"/>
        <v/>
      </c>
      <c r="C209" s="123"/>
      <c r="D209" s="131" t="str">
        <f t="array" ref="D209">IF(A209="","",SUMPRODUCT(('Detalle Turnos'!$I$3:$I$5028=$A209)*('Detalle Turnos'!$N$3:$N$5028=C209)*'Detalle Turnos'!$L$3:$L$5028))</f>
        <v/>
      </c>
      <c r="E209" s="127" t="str">
        <f t="array" ref="E209">IF(A209="","",SUMPRODUCT(('Detalle Turnos'!$I$3:$I$5028=$A209)*('Detalle Turnos'!$N$3:$N$5028=C209)*'Detalle Turnos'!$K$3:$K$5028))</f>
        <v/>
      </c>
      <c r="F209" s="127">
        <f t="shared" si="16"/>
        <v>0</v>
      </c>
      <c r="G209" s="127" t="str">
        <f t="array" ref="G209">IF(E209="","",IFERROR(SUMPRODUCT(('Facturación 2026'!$A$4:$A$920=$A209)*'Facturación 2026'!$J$4:$J$920)*E209/(SUMPRODUCT(('Caja 1'!$A$4:$A$919=$A209)*'Caja 1'!$E$4:$E$919)+SUMPRODUCT(('Caja 2'!$A$4:$A$920=$A209)*'Caja 2'!$E$4:$E$920)),0))</f>
        <v/>
      </c>
      <c r="H209" s="128" t="str">
        <f t="shared" si="17"/>
        <v/>
      </c>
      <c r="I209" s="124" t="str">
        <f t="shared" si="18"/>
        <v/>
      </c>
      <c r="J209" s="987" t="str">
        <f>IF(A209="","",IFERROR(INDEX('Facturación 2026'!$L$4:$L$500,MATCH($A209,'Facturación 2026'!$A$4:$A$500,0)),""))</f>
        <v/>
      </c>
    </row>
    <row r="210" spans="1:10" ht="15.75" customHeight="1">
      <c r="A210" s="988"/>
      <c r="B210" s="122" t="str">
        <f t="shared" si="15"/>
        <v/>
      </c>
      <c r="C210" s="123"/>
      <c r="D210" s="131" t="str">
        <f t="array" ref="D210">IF(A210="","",SUMPRODUCT(('Detalle Turnos'!$I$3:$I$5028=$A210)*('Detalle Turnos'!$N$3:$N$5028=C210)*'Detalle Turnos'!$L$3:$L$5028))</f>
        <v/>
      </c>
      <c r="E210" s="127" t="str">
        <f t="array" ref="E210">IF(A210="","",SUMPRODUCT(('Detalle Turnos'!$I$3:$I$5028=$A210)*('Detalle Turnos'!$N$3:$N$5028=C210)*'Detalle Turnos'!$K$3:$K$5028))</f>
        <v/>
      </c>
      <c r="F210" s="127">
        <f t="shared" si="16"/>
        <v>0</v>
      </c>
      <c r="G210" s="127" t="str">
        <f t="array" ref="G210">IF(E210="","",IFERROR(SUMPRODUCT(('Facturación 2026'!$A$4:$A$920=$A210)*'Facturación 2026'!$J$4:$J$920)*E210/(SUMPRODUCT(('Caja 1'!$A$4:$A$919=$A210)*'Caja 1'!$E$4:$E$919)+SUMPRODUCT(('Caja 2'!$A$4:$A$920=$A210)*'Caja 2'!$E$4:$E$920)),0))</f>
        <v/>
      </c>
      <c r="H210" s="128" t="str">
        <f t="shared" si="17"/>
        <v/>
      </c>
      <c r="I210" s="124" t="str">
        <f t="shared" si="18"/>
        <v/>
      </c>
      <c r="J210" s="987" t="str">
        <f>IF(A210="","",IFERROR(INDEX('Facturación 2026'!$L$4:$L$500,MATCH($A210,'Facturación 2026'!$A$4:$A$500,0)),""))</f>
        <v/>
      </c>
    </row>
    <row r="211" spans="1:10" ht="15.75" customHeight="1">
      <c r="A211" s="988"/>
      <c r="B211" s="122" t="str">
        <f t="shared" si="15"/>
        <v/>
      </c>
      <c r="C211" s="123"/>
      <c r="D211" s="131" t="str">
        <f t="array" ref="D211">IF(A211="","",SUMPRODUCT(('Detalle Turnos'!$I$3:$I$5028=$A211)*('Detalle Turnos'!$N$3:$N$5028=C211)*'Detalle Turnos'!$L$3:$L$5028))</f>
        <v/>
      </c>
      <c r="E211" s="127" t="str">
        <f t="array" ref="E211">IF(A211="","",SUMPRODUCT(('Detalle Turnos'!$I$3:$I$5028=$A211)*('Detalle Turnos'!$N$3:$N$5028=C211)*'Detalle Turnos'!$K$3:$K$5028))</f>
        <v/>
      </c>
      <c r="F211" s="127">
        <f t="shared" si="16"/>
        <v>0</v>
      </c>
      <c r="G211" s="127" t="str">
        <f t="array" ref="G211">IF(E211="","",IFERROR(SUMPRODUCT(('Facturación 2026'!$A$4:$A$920=$A211)*'Facturación 2026'!$J$4:$J$920)*E211/(SUMPRODUCT(('Caja 1'!$A$4:$A$919=$A211)*'Caja 1'!$E$4:$E$919)+SUMPRODUCT(('Caja 2'!$A$4:$A$920=$A211)*'Caja 2'!$E$4:$E$920)),0))</f>
        <v/>
      </c>
      <c r="H211" s="128" t="str">
        <f t="shared" si="17"/>
        <v/>
      </c>
      <c r="I211" s="124" t="str">
        <f t="shared" si="18"/>
        <v/>
      </c>
      <c r="J211" s="987" t="str">
        <f>IF(A211="","",IFERROR(INDEX('Facturación 2026'!$L$4:$L$500,MATCH($A211,'Facturación 2026'!$A$4:$A$500,0)),""))</f>
        <v/>
      </c>
    </row>
    <row r="212" spans="1:10" ht="15.75" customHeight="1">
      <c r="A212" s="988"/>
      <c r="B212" s="122" t="str">
        <f t="shared" si="15"/>
        <v/>
      </c>
      <c r="C212" s="123"/>
      <c r="D212" s="131" t="str">
        <f t="array" ref="D212">IF(A212="","",SUMPRODUCT(('Detalle Turnos'!$I$3:$I$5028=$A212)*('Detalle Turnos'!$N$3:$N$5028=C212)*'Detalle Turnos'!$L$3:$L$5028))</f>
        <v/>
      </c>
      <c r="E212" s="127" t="str">
        <f t="array" ref="E212">IF(A212="","",SUMPRODUCT(('Detalle Turnos'!$I$3:$I$5028=$A212)*('Detalle Turnos'!$N$3:$N$5028=C212)*'Detalle Turnos'!$K$3:$K$5028))</f>
        <v/>
      </c>
      <c r="F212" s="127">
        <f t="shared" si="16"/>
        <v>0</v>
      </c>
      <c r="G212" s="127" t="str">
        <f t="array" ref="G212">IF(E212="","",IFERROR(SUMPRODUCT(('Facturación 2026'!$A$4:$A$920=$A212)*'Facturación 2026'!$J$4:$J$920)*E212/(SUMPRODUCT(('Caja 1'!$A$4:$A$919=$A212)*'Caja 1'!$E$4:$E$919)+SUMPRODUCT(('Caja 2'!$A$4:$A$920=$A212)*'Caja 2'!$E$4:$E$920)),0))</f>
        <v/>
      </c>
      <c r="H212" s="128" t="str">
        <f t="shared" si="17"/>
        <v/>
      </c>
      <c r="I212" s="124" t="str">
        <f t="shared" si="18"/>
        <v/>
      </c>
      <c r="J212" s="987" t="str">
        <f>IF(A212="","",IFERROR(INDEX('Facturación 2026'!$L$4:$L$500,MATCH($A212,'Facturación 2026'!$A$4:$A$500,0)),""))</f>
        <v/>
      </c>
    </row>
    <row r="213" spans="1:10" ht="15.75" customHeight="1">
      <c r="A213" s="988"/>
      <c r="B213" s="122" t="str">
        <f t="shared" si="15"/>
        <v/>
      </c>
      <c r="C213" s="123"/>
      <c r="D213" s="131" t="str">
        <f t="array" ref="D213">IF(A213="","",SUMPRODUCT(('Detalle Turnos'!$I$3:$I$5028=$A213)*('Detalle Turnos'!$N$3:$N$5028=C213)*'Detalle Turnos'!$L$3:$L$5028))</f>
        <v/>
      </c>
      <c r="E213" s="127" t="str">
        <f t="array" ref="E213">IF(A213="","",SUMPRODUCT(('Detalle Turnos'!$I$3:$I$5028=$A213)*('Detalle Turnos'!$N$3:$N$5028=C213)*'Detalle Turnos'!$K$3:$K$5028))</f>
        <v/>
      </c>
      <c r="F213" s="127">
        <f t="shared" si="16"/>
        <v>0</v>
      </c>
      <c r="G213" s="127" t="str">
        <f t="array" ref="G213">IF(E213="","",IFERROR(SUMPRODUCT(('Facturación 2026'!$A$4:$A$920=$A213)*'Facturación 2026'!$J$4:$J$920)*E213/(SUMPRODUCT(('Caja 1'!$A$4:$A$919=$A213)*'Caja 1'!$E$4:$E$919)+SUMPRODUCT(('Caja 2'!$A$4:$A$920=$A213)*'Caja 2'!$E$4:$E$920)),0))</f>
        <v/>
      </c>
      <c r="H213" s="128" t="str">
        <f t="shared" si="17"/>
        <v/>
      </c>
      <c r="I213" s="124" t="str">
        <f t="shared" si="18"/>
        <v/>
      </c>
      <c r="J213" s="987" t="str">
        <f>IF(A213="","",IFERROR(INDEX('Facturación 2026'!$L$4:$L$500,MATCH($A213,'Facturación 2026'!$A$4:$A$500,0)),""))</f>
        <v/>
      </c>
    </row>
    <row r="214" spans="1:10" ht="15.75" customHeight="1">
      <c r="A214" s="988"/>
      <c r="B214" s="122" t="str">
        <f t="shared" si="15"/>
        <v/>
      </c>
      <c r="C214" s="123"/>
      <c r="D214" s="131" t="str">
        <f t="array" ref="D214">IF(A214="","",SUMPRODUCT(('Detalle Turnos'!$I$3:$I$5028=$A214)*('Detalle Turnos'!$N$3:$N$5028=C214)*'Detalle Turnos'!$L$3:$L$5028))</f>
        <v/>
      </c>
      <c r="E214" s="127" t="str">
        <f t="array" ref="E214">IF(A214="","",SUMPRODUCT(('Detalle Turnos'!$I$3:$I$5028=$A214)*('Detalle Turnos'!$N$3:$N$5028=C214)*'Detalle Turnos'!$K$3:$K$5028))</f>
        <v/>
      </c>
      <c r="F214" s="127">
        <f t="shared" si="16"/>
        <v>0</v>
      </c>
      <c r="G214" s="127" t="str">
        <f t="array" ref="G214">IF(E214="","",IFERROR(SUMPRODUCT(('Facturación 2026'!$A$4:$A$920=$A214)*'Facturación 2026'!$J$4:$J$920)*E214/(SUMPRODUCT(('Caja 1'!$A$4:$A$919=$A214)*'Caja 1'!$E$4:$E$919)+SUMPRODUCT(('Caja 2'!$A$4:$A$920=$A214)*'Caja 2'!$E$4:$E$920)),0))</f>
        <v/>
      </c>
      <c r="H214" s="128" t="str">
        <f t="shared" si="17"/>
        <v/>
      </c>
      <c r="I214" s="124" t="str">
        <f t="shared" si="18"/>
        <v/>
      </c>
      <c r="J214" s="987" t="str">
        <f>IF(A214="","",IFERROR(INDEX('Facturación 2026'!$L$4:$L$500,MATCH($A214,'Facturación 2026'!$A$4:$A$500,0)),""))</f>
        <v/>
      </c>
    </row>
    <row r="215" spans="1:10" ht="15.75" customHeight="1">
      <c r="A215" s="988"/>
      <c r="B215" s="122" t="str">
        <f t="shared" si="15"/>
        <v/>
      </c>
      <c r="C215" s="123"/>
      <c r="D215" s="131" t="str">
        <f t="array" ref="D215">IF(A215="","",SUMPRODUCT(('Detalle Turnos'!$I$3:$I$5028=$A215)*('Detalle Turnos'!$N$3:$N$5028=C215)*'Detalle Turnos'!$L$3:$L$5028))</f>
        <v/>
      </c>
      <c r="E215" s="127" t="str">
        <f t="array" ref="E215">IF(A215="","",SUMPRODUCT(('Detalle Turnos'!$I$3:$I$5028=$A215)*('Detalle Turnos'!$N$3:$N$5028=C215)*'Detalle Turnos'!$K$3:$K$5028))</f>
        <v/>
      </c>
      <c r="F215" s="127">
        <f t="shared" si="16"/>
        <v>0</v>
      </c>
      <c r="G215" s="127" t="str">
        <f t="array" ref="G215">IF(E215="","",IFERROR(SUMPRODUCT(('Facturación 2026'!$A$4:$A$920=$A215)*'Facturación 2026'!$J$4:$J$920)*E215/(SUMPRODUCT(('Caja 1'!$A$4:$A$919=$A215)*'Caja 1'!$E$4:$E$919)+SUMPRODUCT(('Caja 2'!$A$4:$A$920=$A215)*'Caja 2'!$E$4:$E$920)),0))</f>
        <v/>
      </c>
      <c r="H215" s="128" t="str">
        <f t="shared" si="17"/>
        <v/>
      </c>
      <c r="I215" s="124" t="str">
        <f t="shared" si="18"/>
        <v/>
      </c>
      <c r="J215" s="987" t="str">
        <f>IF(A215="","",IFERROR(INDEX('Facturación 2026'!$L$4:$L$500,MATCH($A215,'Facturación 2026'!$A$4:$A$500,0)),""))</f>
        <v/>
      </c>
    </row>
    <row r="216" spans="1:10" ht="15.75" customHeight="1">
      <c r="A216" s="988"/>
      <c r="B216" s="122" t="str">
        <f t="shared" si="15"/>
        <v/>
      </c>
      <c r="C216" s="123"/>
      <c r="D216" s="131" t="str">
        <f t="array" ref="D216">IF(A216="","",SUMPRODUCT(('Detalle Turnos'!$I$3:$I$5028=$A216)*('Detalle Turnos'!$N$3:$N$5028=C216)*'Detalle Turnos'!$L$3:$L$5028))</f>
        <v/>
      </c>
      <c r="E216" s="127" t="str">
        <f t="array" ref="E216">IF(A216="","",SUMPRODUCT(('Detalle Turnos'!$I$3:$I$5028=$A216)*('Detalle Turnos'!$N$3:$N$5028=C216)*'Detalle Turnos'!$K$3:$K$5028))</f>
        <v/>
      </c>
      <c r="F216" s="127">
        <f t="shared" si="16"/>
        <v>0</v>
      </c>
      <c r="G216" s="127" t="str">
        <f t="array" ref="G216">IF(E216="","",IFERROR(SUMPRODUCT(('Facturación 2026'!$A$4:$A$920=$A216)*'Facturación 2026'!$J$4:$J$920)*E216/(SUMPRODUCT(('Caja 1'!$A$4:$A$919=$A216)*'Caja 1'!$E$4:$E$919)+SUMPRODUCT(('Caja 2'!$A$4:$A$920=$A216)*'Caja 2'!$E$4:$E$920)),0))</f>
        <v/>
      </c>
      <c r="H216" s="128" t="str">
        <f t="shared" si="17"/>
        <v/>
      </c>
      <c r="I216" s="124" t="str">
        <f t="shared" si="18"/>
        <v/>
      </c>
      <c r="J216" s="987" t="str">
        <f>IF(A216="","",IFERROR(INDEX('Facturación 2026'!$L$4:$L$500,MATCH($A216,'Facturación 2026'!$A$4:$A$500,0)),""))</f>
        <v/>
      </c>
    </row>
    <row r="217" spans="1:10" ht="15.75" customHeight="1">
      <c r="A217" s="988"/>
      <c r="B217" s="122" t="str">
        <f t="shared" si="15"/>
        <v/>
      </c>
      <c r="C217" s="123"/>
      <c r="D217" s="131" t="str">
        <f t="array" ref="D217">IF(A217="","",SUMPRODUCT(('Detalle Turnos'!$I$3:$I$5028=$A217)*('Detalle Turnos'!$N$3:$N$5028=C217)*'Detalle Turnos'!$L$3:$L$5028))</f>
        <v/>
      </c>
      <c r="E217" s="127" t="str">
        <f t="array" ref="E217">IF(A217="","",SUMPRODUCT(('Detalle Turnos'!$I$3:$I$5028=$A217)*('Detalle Turnos'!$N$3:$N$5028=C217)*'Detalle Turnos'!$K$3:$K$5028))</f>
        <v/>
      </c>
      <c r="F217" s="127">
        <f t="shared" si="16"/>
        <v>0</v>
      </c>
      <c r="G217" s="127" t="str">
        <f t="array" ref="G217">IF(E217="","",IFERROR(SUMPRODUCT(('Facturación 2026'!$A$4:$A$920=$A217)*'Facturación 2026'!$J$4:$J$920)*E217/(SUMPRODUCT(('Caja 1'!$A$4:$A$919=$A217)*'Caja 1'!$E$4:$E$919)+SUMPRODUCT(('Caja 2'!$A$4:$A$920=$A217)*'Caja 2'!$E$4:$E$920)),0))</f>
        <v/>
      </c>
      <c r="H217" s="128" t="str">
        <f t="shared" si="17"/>
        <v/>
      </c>
      <c r="I217" s="124" t="str">
        <f t="shared" si="18"/>
        <v/>
      </c>
      <c r="J217" s="987" t="str">
        <f>IF(A217="","",IFERROR(INDEX('Facturación 2026'!$L$4:$L$500,MATCH($A217,'Facturación 2026'!$A$4:$A$500,0)),""))</f>
        <v/>
      </c>
    </row>
    <row r="218" spans="1:10" ht="15.75" customHeight="1">
      <c r="A218" s="988"/>
      <c r="B218" s="122" t="str">
        <f t="shared" si="15"/>
        <v/>
      </c>
      <c r="C218" s="123"/>
      <c r="D218" s="131" t="str">
        <f t="array" ref="D218">IF(A218="","",SUMPRODUCT(('Detalle Turnos'!$I$3:$I$5028=$A218)*('Detalle Turnos'!$N$3:$N$5028=C218)*'Detalle Turnos'!$L$3:$L$5028))</f>
        <v/>
      </c>
      <c r="E218" s="127" t="str">
        <f t="array" ref="E218">IF(A218="","",SUMPRODUCT(('Detalle Turnos'!$I$3:$I$5028=$A218)*('Detalle Turnos'!$N$3:$N$5028=C218)*'Detalle Turnos'!$K$3:$K$5028))</f>
        <v/>
      </c>
      <c r="F218" s="127">
        <f t="shared" si="16"/>
        <v>0</v>
      </c>
      <c r="G218" s="127" t="str">
        <f t="array" ref="G218">IF(E218="","",IFERROR(SUMPRODUCT(('Facturación 2026'!$A$4:$A$920=$A218)*'Facturación 2026'!$J$4:$J$920)*E218/(SUMPRODUCT(('Caja 1'!$A$4:$A$919=$A218)*'Caja 1'!$E$4:$E$919)+SUMPRODUCT(('Caja 2'!$A$4:$A$920=$A218)*'Caja 2'!$E$4:$E$920)),0))</f>
        <v/>
      </c>
      <c r="H218" s="128" t="str">
        <f t="shared" si="17"/>
        <v/>
      </c>
      <c r="I218" s="124" t="str">
        <f t="shared" si="18"/>
        <v/>
      </c>
      <c r="J218" s="987" t="str">
        <f>IF(A218="","",IFERROR(INDEX('Facturación 2026'!$L$4:$L$500,MATCH($A218,'Facturación 2026'!$A$4:$A$500,0)),""))</f>
        <v/>
      </c>
    </row>
    <row r="219" spans="1:10" ht="15.75" customHeight="1">
      <c r="A219" s="988"/>
      <c r="B219" s="122" t="str">
        <f t="shared" si="15"/>
        <v/>
      </c>
      <c r="C219" s="123"/>
      <c r="D219" s="131" t="str">
        <f t="array" ref="D219">IF(A219="","",SUMPRODUCT(('Detalle Turnos'!$I$3:$I$5028=$A219)*('Detalle Turnos'!$N$3:$N$5028=C219)*'Detalle Turnos'!$L$3:$L$5028))</f>
        <v/>
      </c>
      <c r="E219" s="127" t="str">
        <f t="array" ref="E219">IF(A219="","",SUMPRODUCT(('Detalle Turnos'!$I$3:$I$5028=$A219)*('Detalle Turnos'!$N$3:$N$5028=C219)*'Detalle Turnos'!$K$3:$K$5028))</f>
        <v/>
      </c>
      <c r="F219" s="127">
        <f t="shared" si="16"/>
        <v>0</v>
      </c>
      <c r="G219" s="127" t="str">
        <f t="array" ref="G219">IF(E219="","",IFERROR(SUMPRODUCT(('Facturación 2026'!$A$4:$A$920=$A219)*'Facturación 2026'!$J$4:$J$920)*E219/(SUMPRODUCT(('Caja 1'!$A$4:$A$919=$A219)*'Caja 1'!$E$4:$E$919)+SUMPRODUCT(('Caja 2'!$A$4:$A$920=$A219)*'Caja 2'!$E$4:$E$920)),0))</f>
        <v/>
      </c>
      <c r="H219" s="128" t="str">
        <f t="shared" si="17"/>
        <v/>
      </c>
      <c r="I219" s="124" t="str">
        <f t="shared" si="18"/>
        <v/>
      </c>
      <c r="J219" s="987" t="str">
        <f>IF(A219="","",IFERROR(INDEX('Facturación 2026'!$L$4:$L$500,MATCH($A219,'Facturación 2026'!$A$4:$A$500,0)),""))</f>
        <v/>
      </c>
    </row>
    <row r="220" spans="1:10" ht="15.75" customHeight="1">
      <c r="A220" s="988"/>
      <c r="B220" s="122" t="str">
        <f t="shared" si="15"/>
        <v/>
      </c>
      <c r="C220" s="123"/>
      <c r="D220" s="131" t="str">
        <f t="array" ref="D220">IF(A220="","",SUMPRODUCT(('Detalle Turnos'!$I$3:$I$5028=$A220)*('Detalle Turnos'!$N$3:$N$5028=C220)*'Detalle Turnos'!$L$3:$L$5028))</f>
        <v/>
      </c>
      <c r="E220" s="127" t="str">
        <f t="array" ref="E220">IF(A220="","",SUMPRODUCT(('Detalle Turnos'!$I$3:$I$5028=$A220)*('Detalle Turnos'!$N$3:$N$5028=C220)*'Detalle Turnos'!$K$3:$K$5028))</f>
        <v/>
      </c>
      <c r="F220" s="127">
        <f t="shared" si="16"/>
        <v>0</v>
      </c>
      <c r="G220" s="127" t="str">
        <f t="array" ref="G220">IF(E220="","",IFERROR(SUMPRODUCT(('Facturación 2026'!$A$4:$A$920=$A220)*'Facturación 2026'!$J$4:$J$920)*E220/(SUMPRODUCT(('Caja 1'!$A$4:$A$919=$A220)*'Caja 1'!$E$4:$E$919)+SUMPRODUCT(('Caja 2'!$A$4:$A$920=$A220)*'Caja 2'!$E$4:$E$920)),0))</f>
        <v/>
      </c>
      <c r="H220" s="128" t="str">
        <f t="shared" si="17"/>
        <v/>
      </c>
      <c r="I220" s="124" t="str">
        <f t="shared" si="18"/>
        <v/>
      </c>
      <c r="J220" s="987" t="str">
        <f>IF(A220="","",IFERROR(INDEX('Facturación 2026'!$L$4:$L$500,MATCH($A220,'Facturación 2026'!$A$4:$A$500,0)),""))</f>
        <v/>
      </c>
    </row>
    <row r="221" spans="1:10" ht="15.75" customHeight="1">
      <c r="A221" s="988"/>
      <c r="B221" s="122" t="str">
        <f t="shared" si="15"/>
        <v/>
      </c>
      <c r="C221" s="123"/>
      <c r="D221" s="131" t="str">
        <f t="array" ref="D221">IF(A221="","",SUMPRODUCT(('Detalle Turnos'!$I$3:$I$5028=$A221)*('Detalle Turnos'!$N$3:$N$5028=C221)*'Detalle Turnos'!$L$3:$L$5028))</f>
        <v/>
      </c>
      <c r="E221" s="127" t="str">
        <f t="array" ref="E221">IF(A221="","",SUMPRODUCT(('Detalle Turnos'!$I$3:$I$5028=$A221)*('Detalle Turnos'!$N$3:$N$5028=C221)*'Detalle Turnos'!$K$3:$K$5028))</f>
        <v/>
      </c>
      <c r="F221" s="127">
        <f t="shared" si="16"/>
        <v>0</v>
      </c>
      <c r="G221" s="127" t="str">
        <f t="array" ref="G221">IF(E221="","",IFERROR(SUMPRODUCT(('Facturación 2026'!$A$4:$A$920=$A221)*'Facturación 2026'!$J$4:$J$920)*E221/(SUMPRODUCT(('Caja 1'!$A$4:$A$919=$A221)*'Caja 1'!$E$4:$E$919)+SUMPRODUCT(('Caja 2'!$A$4:$A$920=$A221)*'Caja 2'!$E$4:$E$920)),0))</f>
        <v/>
      </c>
      <c r="H221" s="128" t="str">
        <f t="shared" si="17"/>
        <v/>
      </c>
      <c r="I221" s="124" t="str">
        <f t="shared" si="18"/>
        <v/>
      </c>
      <c r="J221" s="987" t="str">
        <f>IF(A221="","",IFERROR(INDEX('Facturación 2026'!$L$4:$L$500,MATCH($A221,'Facturación 2026'!$A$4:$A$500,0)),""))</f>
        <v/>
      </c>
    </row>
    <row r="222" spans="1:10" ht="15.75" customHeight="1">
      <c r="A222" s="988"/>
      <c r="B222" s="122" t="str">
        <f t="shared" si="15"/>
        <v/>
      </c>
      <c r="C222" s="123"/>
      <c r="D222" s="131" t="str">
        <f t="array" ref="D222">IF(A222="","",SUMPRODUCT(('Detalle Turnos'!$I$3:$I$5028=$A222)*('Detalle Turnos'!$N$3:$N$5028=C222)*'Detalle Turnos'!$L$3:$L$5028))</f>
        <v/>
      </c>
      <c r="E222" s="127" t="str">
        <f t="array" ref="E222">IF(A222="","",SUMPRODUCT(('Detalle Turnos'!$I$3:$I$5028=$A222)*('Detalle Turnos'!$N$3:$N$5028=C222)*'Detalle Turnos'!$K$3:$K$5028))</f>
        <v/>
      </c>
      <c r="F222" s="127">
        <f t="shared" si="16"/>
        <v>0</v>
      </c>
      <c r="G222" s="127" t="str">
        <f t="array" ref="G222">IF(E222="","",IFERROR(SUMPRODUCT(('Facturación 2026'!$A$4:$A$920=$A222)*'Facturación 2026'!$J$4:$J$920)*E222/(SUMPRODUCT(('Caja 1'!$A$4:$A$919=$A222)*'Caja 1'!$E$4:$E$919)+SUMPRODUCT(('Caja 2'!$A$4:$A$920=$A222)*'Caja 2'!$E$4:$E$920)),0))</f>
        <v/>
      </c>
      <c r="H222" s="128" t="str">
        <f t="shared" si="17"/>
        <v/>
      </c>
      <c r="I222" s="124" t="str">
        <f t="shared" si="18"/>
        <v/>
      </c>
      <c r="J222" s="987" t="str">
        <f>IF(A222="","",IFERROR(INDEX('Facturación 2026'!$L$4:$L$500,MATCH($A222,'Facturación 2026'!$A$4:$A$500,0)),""))</f>
        <v/>
      </c>
    </row>
    <row r="223" spans="1:10" ht="15.75" customHeight="1">
      <c r="A223" s="988"/>
      <c r="B223" s="122" t="str">
        <f t="shared" si="15"/>
        <v/>
      </c>
      <c r="C223" s="123"/>
      <c r="D223" s="131" t="str">
        <f t="array" ref="D223">IF(A223="","",SUMPRODUCT(('Detalle Turnos'!$I$3:$I$5028=$A223)*('Detalle Turnos'!$N$3:$N$5028=C223)*'Detalle Turnos'!$L$3:$L$5028))</f>
        <v/>
      </c>
      <c r="E223" s="127" t="str">
        <f t="array" ref="E223">IF(A223="","",SUMPRODUCT(('Detalle Turnos'!$I$3:$I$5028=$A223)*('Detalle Turnos'!$N$3:$N$5028=C223)*'Detalle Turnos'!$K$3:$K$5028))</f>
        <v/>
      </c>
      <c r="F223" s="127">
        <f t="shared" si="16"/>
        <v>0</v>
      </c>
      <c r="G223" s="127" t="str">
        <f t="array" ref="G223">IF(E223="","",IFERROR(SUMPRODUCT(('Facturación 2026'!$A$4:$A$920=$A223)*'Facturación 2026'!$J$4:$J$920)*E223/(SUMPRODUCT(('Caja 1'!$A$4:$A$919=$A223)*'Caja 1'!$E$4:$E$919)+SUMPRODUCT(('Caja 2'!$A$4:$A$920=$A223)*'Caja 2'!$E$4:$E$920)),0))</f>
        <v/>
      </c>
      <c r="H223" s="128" t="str">
        <f t="shared" si="17"/>
        <v/>
      </c>
      <c r="I223" s="124" t="str">
        <f t="shared" si="18"/>
        <v/>
      </c>
      <c r="J223" s="987" t="str">
        <f>IF(A223="","",IFERROR(INDEX('Facturación 2026'!$L$4:$L$500,MATCH($A223,'Facturación 2026'!$A$4:$A$500,0)),""))</f>
        <v/>
      </c>
    </row>
    <row r="224" spans="1:10" ht="15.75" customHeight="1">
      <c r="A224" s="988"/>
      <c r="B224" s="122" t="str">
        <f t="shared" si="15"/>
        <v/>
      </c>
      <c r="C224" s="123"/>
      <c r="D224" s="131" t="str">
        <f t="array" ref="D224">IF(A224="","",SUMPRODUCT(('Detalle Turnos'!$I$3:$I$5028=$A224)*('Detalle Turnos'!$N$3:$N$5028=C224)*'Detalle Turnos'!$L$3:$L$5028))</f>
        <v/>
      </c>
      <c r="E224" s="127" t="str">
        <f t="array" ref="E224">IF(A224="","",SUMPRODUCT(('Detalle Turnos'!$I$3:$I$5028=$A224)*('Detalle Turnos'!$N$3:$N$5028=C224)*'Detalle Turnos'!$K$3:$K$5028))</f>
        <v/>
      </c>
      <c r="F224" s="127">
        <f t="shared" si="16"/>
        <v>0</v>
      </c>
      <c r="G224" s="127" t="str">
        <f t="array" ref="G224">IF(E224="","",IFERROR(SUMPRODUCT(('Facturación 2026'!$A$4:$A$920=$A224)*'Facturación 2026'!$J$4:$J$920)*E224/(SUMPRODUCT(('Caja 1'!$A$4:$A$919=$A224)*'Caja 1'!$E$4:$E$919)+SUMPRODUCT(('Caja 2'!$A$4:$A$920=$A224)*'Caja 2'!$E$4:$E$920)),0))</f>
        <v/>
      </c>
      <c r="H224" s="128" t="str">
        <f t="shared" si="17"/>
        <v/>
      </c>
      <c r="I224" s="124" t="str">
        <f t="shared" si="18"/>
        <v/>
      </c>
      <c r="J224" s="987" t="str">
        <f>IF(A224="","",IFERROR(INDEX('Facturación 2026'!$L$4:$L$500,MATCH($A224,'Facturación 2026'!$A$4:$A$500,0)),""))</f>
        <v/>
      </c>
    </row>
    <row r="225" spans="1:10" ht="15.75" customHeight="1">
      <c r="A225" s="988"/>
      <c r="B225" s="122" t="str">
        <f t="shared" si="15"/>
        <v/>
      </c>
      <c r="C225" s="123"/>
      <c r="D225" s="131" t="str">
        <f t="array" ref="D225">IF(A225="","",SUMPRODUCT(('Detalle Turnos'!$I$3:$I$5028=$A225)*('Detalle Turnos'!$N$3:$N$5028=C225)*'Detalle Turnos'!$L$3:$L$5028))</f>
        <v/>
      </c>
      <c r="E225" s="127" t="str">
        <f t="array" ref="E225">IF(A225="","",SUMPRODUCT(('Detalle Turnos'!$I$3:$I$5028=$A225)*('Detalle Turnos'!$N$3:$N$5028=C225)*'Detalle Turnos'!$K$3:$K$5028))</f>
        <v/>
      </c>
      <c r="F225" s="127">
        <f t="shared" si="16"/>
        <v>0</v>
      </c>
      <c r="G225" s="127" t="str">
        <f t="array" ref="G225">IF(E225="","",IFERROR(SUMPRODUCT(('Facturación 2026'!$A$4:$A$920=$A225)*'Facturación 2026'!$J$4:$J$920)*E225/(SUMPRODUCT(('Caja 1'!$A$4:$A$919=$A225)*'Caja 1'!$E$4:$E$919)+SUMPRODUCT(('Caja 2'!$A$4:$A$920=$A225)*'Caja 2'!$E$4:$E$920)),0))</f>
        <v/>
      </c>
      <c r="H225" s="128" t="str">
        <f t="shared" si="17"/>
        <v/>
      </c>
      <c r="I225" s="124" t="str">
        <f t="shared" si="18"/>
        <v/>
      </c>
      <c r="J225" s="987" t="str">
        <f>IF(A225="","",IFERROR(INDEX('Facturación 2026'!$L$4:$L$500,MATCH($A225,'Facturación 2026'!$A$4:$A$500,0)),""))</f>
        <v/>
      </c>
    </row>
    <row r="226" spans="1:10" ht="15.75" customHeight="1">
      <c r="A226" s="988"/>
      <c r="B226" s="122" t="str">
        <f t="shared" si="15"/>
        <v/>
      </c>
      <c r="C226" s="123"/>
      <c r="D226" s="131" t="str">
        <f t="array" ref="D226">IF(A226="","",SUMPRODUCT(('Detalle Turnos'!$I$3:$I$5028=$A226)*('Detalle Turnos'!$N$3:$N$5028=C226)*'Detalle Turnos'!$L$3:$L$5028))</f>
        <v/>
      </c>
      <c r="E226" s="127" t="str">
        <f t="array" ref="E226">IF(A226="","",SUMPRODUCT(('Detalle Turnos'!$I$3:$I$5028=$A226)*('Detalle Turnos'!$N$3:$N$5028=C226)*'Detalle Turnos'!$K$3:$K$5028))</f>
        <v/>
      </c>
      <c r="F226" s="127">
        <f t="shared" si="16"/>
        <v>0</v>
      </c>
      <c r="G226" s="127" t="str">
        <f t="array" ref="G226">IF(E226="","",IFERROR(SUMPRODUCT(('Facturación 2026'!$A$4:$A$920=$A226)*'Facturación 2026'!$J$4:$J$920)*E226/(SUMPRODUCT(('Caja 1'!$A$4:$A$919=$A226)*'Caja 1'!$E$4:$E$919)+SUMPRODUCT(('Caja 2'!$A$4:$A$920=$A226)*'Caja 2'!$E$4:$E$920)),0))</f>
        <v/>
      </c>
      <c r="H226" s="128" t="str">
        <f t="shared" si="17"/>
        <v/>
      </c>
      <c r="I226" s="124" t="str">
        <f t="shared" si="18"/>
        <v/>
      </c>
      <c r="J226" s="987" t="str">
        <f>IF(A226="","",IFERROR(INDEX('Facturación 2026'!$L$4:$L$500,MATCH($A226,'Facturación 2026'!$A$4:$A$500,0)),""))</f>
        <v/>
      </c>
    </row>
    <row r="227" spans="1:10" ht="15.75" customHeight="1">
      <c r="A227" s="988"/>
      <c r="B227" s="122" t="str">
        <f t="shared" si="15"/>
        <v/>
      </c>
      <c r="C227" s="123"/>
      <c r="D227" s="131" t="str">
        <f t="array" ref="D227">IF(A227="","",SUMPRODUCT(('Detalle Turnos'!$I$3:$I$5028=$A227)*('Detalle Turnos'!$N$3:$N$5028=C227)*'Detalle Turnos'!$L$3:$L$5028))</f>
        <v/>
      </c>
      <c r="E227" s="127" t="str">
        <f t="array" ref="E227">IF(A227="","",SUMPRODUCT(('Detalle Turnos'!$I$3:$I$5028=$A227)*('Detalle Turnos'!$N$3:$N$5028=C227)*'Detalle Turnos'!$K$3:$K$5028))</f>
        <v/>
      </c>
      <c r="F227" s="127">
        <f t="shared" si="16"/>
        <v>0</v>
      </c>
      <c r="G227" s="127" t="str">
        <f t="array" ref="G227">IF(E227="","",IFERROR(SUMPRODUCT(('Facturación 2026'!$A$4:$A$920=$A227)*'Facturación 2026'!$J$4:$J$920)*E227/(SUMPRODUCT(('Caja 1'!$A$4:$A$919=$A227)*'Caja 1'!$E$4:$E$919)+SUMPRODUCT(('Caja 2'!$A$4:$A$920=$A227)*'Caja 2'!$E$4:$E$920)),0))</f>
        <v/>
      </c>
      <c r="H227" s="128" t="str">
        <f t="shared" si="17"/>
        <v/>
      </c>
      <c r="I227" s="124" t="str">
        <f t="shared" si="18"/>
        <v/>
      </c>
      <c r="J227" s="987" t="str">
        <f>IF(A227="","",IFERROR(INDEX('Facturación 2026'!$L$4:$L$500,MATCH($A227,'Facturación 2026'!$A$4:$A$500,0)),""))</f>
        <v/>
      </c>
    </row>
    <row r="228" spans="1:10" ht="15.75" customHeight="1">
      <c r="A228" s="988"/>
      <c r="B228" s="122" t="str">
        <f t="shared" si="15"/>
        <v/>
      </c>
      <c r="C228" s="123"/>
      <c r="D228" s="131" t="str">
        <f t="array" ref="D228">IF(A228="","",SUMPRODUCT(('Detalle Turnos'!$I$3:$I$5028=$A228)*('Detalle Turnos'!$N$3:$N$5028=C228)*'Detalle Turnos'!$L$3:$L$5028))</f>
        <v/>
      </c>
      <c r="E228" s="127" t="str">
        <f t="array" ref="E228">IF(A228="","",SUMPRODUCT(('Detalle Turnos'!$I$3:$I$5028=$A228)*('Detalle Turnos'!$N$3:$N$5028=C228)*'Detalle Turnos'!$K$3:$K$5028))</f>
        <v/>
      </c>
      <c r="F228" s="127">
        <f t="shared" si="16"/>
        <v>0</v>
      </c>
      <c r="G228" s="127" t="str">
        <f t="array" ref="G228">IF(E228="","",IFERROR(SUMPRODUCT(('Facturación 2026'!$A$4:$A$920=$A228)*'Facturación 2026'!$J$4:$J$920)*E228/(SUMPRODUCT(('Caja 1'!$A$4:$A$919=$A228)*'Caja 1'!$E$4:$E$919)+SUMPRODUCT(('Caja 2'!$A$4:$A$920=$A228)*'Caja 2'!$E$4:$E$920)),0))</f>
        <v/>
      </c>
      <c r="H228" s="128" t="str">
        <f t="shared" si="17"/>
        <v/>
      </c>
      <c r="I228" s="124" t="str">
        <f t="shared" si="18"/>
        <v/>
      </c>
      <c r="J228" s="987" t="str">
        <f>IF(A228="","",IFERROR(INDEX('Facturación 2026'!$L$4:$L$500,MATCH($A228,'Facturación 2026'!$A$4:$A$500,0)),""))</f>
        <v/>
      </c>
    </row>
    <row r="229" spans="1:10" ht="15.75" customHeight="1">
      <c r="A229" s="988"/>
      <c r="B229" s="122" t="str">
        <f t="shared" si="15"/>
        <v/>
      </c>
      <c r="C229" s="123"/>
      <c r="D229" s="131" t="str">
        <f t="array" ref="D229">IF(A229="","",SUMPRODUCT(('Detalle Turnos'!$I$3:$I$5028=$A229)*('Detalle Turnos'!$N$3:$N$5028=C229)*'Detalle Turnos'!$L$3:$L$5028))</f>
        <v/>
      </c>
      <c r="E229" s="127" t="str">
        <f t="array" ref="E229">IF(A229="","",SUMPRODUCT(('Detalle Turnos'!$I$3:$I$5028=$A229)*('Detalle Turnos'!$N$3:$N$5028=C229)*'Detalle Turnos'!$K$3:$K$5028))</f>
        <v/>
      </c>
      <c r="F229" s="127">
        <f t="shared" si="16"/>
        <v>0</v>
      </c>
      <c r="G229" s="127" t="str">
        <f t="array" ref="G229">IF(E229="","",IFERROR(SUMPRODUCT(('Facturación 2026'!$A$4:$A$920=$A229)*'Facturación 2026'!$J$4:$J$920)*E229/(SUMPRODUCT(('Caja 1'!$A$4:$A$919=$A229)*'Caja 1'!$E$4:$E$919)+SUMPRODUCT(('Caja 2'!$A$4:$A$920=$A229)*'Caja 2'!$E$4:$E$920)),0))</f>
        <v/>
      </c>
      <c r="H229" s="128" t="str">
        <f t="shared" si="17"/>
        <v/>
      </c>
      <c r="I229" s="124" t="str">
        <f t="shared" si="18"/>
        <v/>
      </c>
      <c r="J229" s="987" t="str">
        <f>IF(A229="","",IFERROR(INDEX('Facturación 2026'!$L$4:$L$500,MATCH($A229,'Facturación 2026'!$A$4:$A$500,0)),""))</f>
        <v/>
      </c>
    </row>
    <row r="230" spans="1:10" ht="15.75" customHeight="1">
      <c r="A230" s="988"/>
      <c r="B230" s="122" t="str">
        <f t="shared" si="15"/>
        <v/>
      </c>
      <c r="C230" s="123"/>
      <c r="D230" s="131" t="str">
        <f t="array" ref="D230">IF(A230="","",SUMPRODUCT(('Detalle Turnos'!$I$3:$I$5028=$A230)*('Detalle Turnos'!$N$3:$N$5028=C230)*'Detalle Turnos'!$L$3:$L$5028))</f>
        <v/>
      </c>
      <c r="E230" s="127" t="str">
        <f t="array" ref="E230">IF(A230="","",SUMPRODUCT(('Detalle Turnos'!$I$3:$I$5028=$A230)*('Detalle Turnos'!$N$3:$N$5028=C230)*'Detalle Turnos'!$K$3:$K$5028))</f>
        <v/>
      </c>
      <c r="F230" s="127">
        <f t="shared" si="16"/>
        <v>0</v>
      </c>
      <c r="G230" s="127" t="str">
        <f t="array" ref="G230">IF(E230="","",IFERROR(SUMPRODUCT(('Facturación 2026'!$A$4:$A$920=$A230)*'Facturación 2026'!$J$4:$J$920)*E230/(SUMPRODUCT(('Caja 1'!$A$4:$A$919=$A230)*'Caja 1'!$E$4:$E$919)+SUMPRODUCT(('Caja 2'!$A$4:$A$920=$A230)*'Caja 2'!$E$4:$E$920)),0))</f>
        <v/>
      </c>
      <c r="H230" s="128" t="str">
        <f t="shared" si="17"/>
        <v/>
      </c>
      <c r="I230" s="124" t="str">
        <f t="shared" si="18"/>
        <v/>
      </c>
      <c r="J230" s="987" t="str">
        <f>IF(A230="","",IFERROR(INDEX('Facturación 2026'!$L$4:$L$500,MATCH($A230,'Facturación 2026'!$A$4:$A$500,0)),""))</f>
        <v/>
      </c>
    </row>
    <row r="231" spans="1:10" ht="15.75" customHeight="1">
      <c r="A231" s="988"/>
      <c r="B231" s="122" t="str">
        <f t="shared" si="15"/>
        <v/>
      </c>
      <c r="C231" s="123"/>
      <c r="D231" s="131" t="str">
        <f t="array" ref="D231">IF(A231="","",SUMPRODUCT(('Detalle Turnos'!$I$3:$I$5028=$A231)*('Detalle Turnos'!$N$3:$N$5028=C231)*'Detalle Turnos'!$L$3:$L$5028))</f>
        <v/>
      </c>
      <c r="E231" s="127" t="str">
        <f t="array" ref="E231">IF(A231="","",SUMPRODUCT(('Detalle Turnos'!$I$3:$I$5028=$A231)*('Detalle Turnos'!$N$3:$N$5028=C231)*'Detalle Turnos'!$K$3:$K$5028))</f>
        <v/>
      </c>
      <c r="F231" s="127">
        <f t="shared" si="16"/>
        <v>0</v>
      </c>
      <c r="G231" s="127" t="str">
        <f t="array" ref="G231">IF(E231="","",IFERROR(SUMPRODUCT(('Facturación 2026'!$A$4:$A$920=$A231)*'Facturación 2026'!$J$4:$J$920)*E231/(SUMPRODUCT(('Caja 1'!$A$4:$A$919=$A231)*'Caja 1'!$E$4:$E$919)+SUMPRODUCT(('Caja 2'!$A$4:$A$920=$A231)*'Caja 2'!$E$4:$E$920)),0))</f>
        <v/>
      </c>
      <c r="H231" s="128" t="str">
        <f t="shared" si="17"/>
        <v/>
      </c>
      <c r="I231" s="124" t="str">
        <f t="shared" si="18"/>
        <v/>
      </c>
      <c r="J231" s="987" t="str">
        <f>IF(A231="","",IFERROR(INDEX('Facturación 2026'!$L$4:$L$500,MATCH($A231,'Facturación 2026'!$A$4:$A$500,0)),""))</f>
        <v/>
      </c>
    </row>
    <row r="232" spans="1:10" ht="15.75" customHeight="1">
      <c r="A232" s="988"/>
      <c r="B232" s="122" t="str">
        <f t="shared" si="15"/>
        <v/>
      </c>
      <c r="C232" s="123"/>
      <c r="D232" s="131" t="str">
        <f t="array" ref="D232">IF(A232="","",SUMPRODUCT(('Detalle Turnos'!$I$3:$I$5028=$A232)*('Detalle Turnos'!$N$3:$N$5028=C232)*'Detalle Turnos'!$L$3:$L$5028))</f>
        <v/>
      </c>
      <c r="E232" s="127" t="str">
        <f t="array" ref="E232">IF(A232="","",SUMPRODUCT(('Detalle Turnos'!$I$3:$I$5028=$A232)*('Detalle Turnos'!$N$3:$N$5028=C232)*'Detalle Turnos'!$K$3:$K$5028))</f>
        <v/>
      </c>
      <c r="F232" s="127">
        <f t="shared" si="16"/>
        <v>0</v>
      </c>
      <c r="G232" s="127" t="str">
        <f t="array" ref="G232">IF(E232="","",IFERROR(SUMPRODUCT(('Facturación 2026'!$A$4:$A$920=$A232)*'Facturación 2026'!$J$4:$J$920)*E232/(SUMPRODUCT(('Caja 1'!$A$4:$A$919=$A232)*'Caja 1'!$E$4:$E$919)+SUMPRODUCT(('Caja 2'!$A$4:$A$920=$A232)*'Caja 2'!$E$4:$E$920)),0))</f>
        <v/>
      </c>
      <c r="H232" s="128" t="str">
        <f t="shared" si="17"/>
        <v/>
      </c>
      <c r="I232" s="124" t="str">
        <f t="shared" si="18"/>
        <v/>
      </c>
      <c r="J232" s="987" t="str">
        <f>IF(A232="","",IFERROR(INDEX('Facturación 2026'!$L$4:$L$500,MATCH($A232,'Facturación 2026'!$A$4:$A$500,0)),""))</f>
        <v/>
      </c>
    </row>
    <row r="233" spans="1:10" ht="15.75" customHeight="1">
      <c r="A233" s="988"/>
      <c r="B233" s="122" t="str">
        <f t="shared" si="15"/>
        <v/>
      </c>
      <c r="C233" s="123"/>
      <c r="D233" s="131" t="str">
        <f t="array" ref="D233">IF(A233="","",SUMPRODUCT(('Detalle Turnos'!$I$3:$I$5028=$A233)*('Detalle Turnos'!$N$3:$N$5028=C233)*'Detalle Turnos'!$L$3:$L$5028))</f>
        <v/>
      </c>
      <c r="E233" s="127" t="str">
        <f t="array" ref="E233">IF(A233="","",SUMPRODUCT(('Detalle Turnos'!$I$3:$I$5028=$A233)*('Detalle Turnos'!$N$3:$N$5028=C233)*'Detalle Turnos'!$K$3:$K$5028))</f>
        <v/>
      </c>
      <c r="F233" s="127">
        <f t="shared" si="16"/>
        <v>0</v>
      </c>
      <c r="G233" s="127" t="str">
        <f t="array" ref="G233">IF(E233="","",IFERROR(SUMPRODUCT(('Facturación 2026'!$A$4:$A$920=$A233)*'Facturación 2026'!$J$4:$J$920)*E233/(SUMPRODUCT(('Caja 1'!$A$4:$A$919=$A233)*'Caja 1'!$E$4:$E$919)+SUMPRODUCT(('Caja 2'!$A$4:$A$920=$A233)*'Caja 2'!$E$4:$E$920)),0))</f>
        <v/>
      </c>
      <c r="H233" s="128" t="str">
        <f t="shared" si="17"/>
        <v/>
      </c>
      <c r="I233" s="124" t="str">
        <f t="shared" si="18"/>
        <v/>
      </c>
      <c r="J233" s="987" t="str">
        <f>IF(A233="","",IFERROR(INDEX('Facturación 2026'!$L$4:$L$500,MATCH($A233,'Facturación 2026'!$A$4:$A$500,0)),""))</f>
        <v/>
      </c>
    </row>
    <row r="234" spans="1:10" ht="15.75" customHeight="1">
      <c r="A234" s="988"/>
      <c r="B234" s="122" t="str">
        <f t="shared" si="15"/>
        <v/>
      </c>
      <c r="C234" s="123"/>
      <c r="D234" s="131" t="str">
        <f t="array" ref="D234">IF(A234="","",SUMPRODUCT(('Detalle Turnos'!$I$3:$I$5028=$A234)*('Detalle Turnos'!$N$3:$N$5028=C234)*'Detalle Turnos'!$L$3:$L$5028))</f>
        <v/>
      </c>
      <c r="E234" s="127" t="str">
        <f t="array" ref="E234">IF(A234="","",SUMPRODUCT(('Detalle Turnos'!$I$3:$I$5028=$A234)*('Detalle Turnos'!$N$3:$N$5028=C234)*'Detalle Turnos'!$K$3:$K$5028))</f>
        <v/>
      </c>
      <c r="F234" s="127">
        <f t="shared" si="16"/>
        <v>0</v>
      </c>
      <c r="G234" s="127" t="str">
        <f t="array" ref="G234">IF(E234="","",IFERROR(SUMPRODUCT(('Facturación 2026'!$A$4:$A$920=$A234)*'Facturación 2026'!$J$4:$J$920)*E234/(SUMPRODUCT(('Caja 1'!$A$4:$A$919=$A234)*'Caja 1'!$E$4:$E$919)+SUMPRODUCT(('Caja 2'!$A$4:$A$920=$A234)*'Caja 2'!$E$4:$E$920)),0))</f>
        <v/>
      </c>
      <c r="H234" s="128" t="str">
        <f t="shared" si="17"/>
        <v/>
      </c>
      <c r="I234" s="124" t="str">
        <f t="shared" si="18"/>
        <v/>
      </c>
      <c r="J234" s="987" t="str">
        <f>IF(A234="","",IFERROR(INDEX('Facturación 2026'!$L$4:$L$500,MATCH($A234,'Facturación 2026'!$A$4:$A$500,0)),""))</f>
        <v/>
      </c>
    </row>
    <row r="235" spans="1:10" ht="15.75" customHeight="1">
      <c r="A235" s="988"/>
      <c r="B235" s="122" t="str">
        <f t="shared" si="15"/>
        <v/>
      </c>
      <c r="C235" s="123"/>
      <c r="D235" s="131" t="str">
        <f t="array" ref="D235">IF(A235="","",SUMPRODUCT(('Detalle Turnos'!$I$3:$I$5028=$A235)*('Detalle Turnos'!$N$3:$N$5028=C235)*'Detalle Turnos'!$L$3:$L$5028))</f>
        <v/>
      </c>
      <c r="E235" s="127" t="str">
        <f t="array" ref="E235">IF(A235="","",SUMPRODUCT(('Detalle Turnos'!$I$3:$I$5028=$A235)*('Detalle Turnos'!$N$3:$N$5028=C235)*'Detalle Turnos'!$K$3:$K$5028))</f>
        <v/>
      </c>
      <c r="F235" s="127">
        <f t="shared" si="16"/>
        <v>0</v>
      </c>
      <c r="G235" s="127" t="str">
        <f t="array" ref="G235">IF(E235="","",IFERROR(SUMPRODUCT(('Facturación 2026'!$A$4:$A$920=$A235)*'Facturación 2026'!$J$4:$J$920)*E235/(SUMPRODUCT(('Caja 1'!$A$4:$A$919=$A235)*'Caja 1'!$E$4:$E$919)+SUMPRODUCT(('Caja 2'!$A$4:$A$920=$A235)*'Caja 2'!$E$4:$E$920)),0))</f>
        <v/>
      </c>
      <c r="H235" s="128" t="str">
        <f t="shared" si="17"/>
        <v/>
      </c>
      <c r="I235" s="124" t="str">
        <f t="shared" si="18"/>
        <v/>
      </c>
      <c r="J235" s="987" t="str">
        <f>IF(A235="","",IFERROR(INDEX('Facturación 2026'!$L$4:$L$500,MATCH($A235,'Facturación 2026'!$A$4:$A$500,0)),""))</f>
        <v/>
      </c>
    </row>
    <row r="236" spans="1:10" ht="15.75" customHeight="1">
      <c r="A236" s="988"/>
      <c r="B236" s="122" t="str">
        <f t="shared" si="15"/>
        <v/>
      </c>
      <c r="C236" s="123"/>
      <c r="D236" s="131" t="str">
        <f t="array" ref="D236">IF(A236="","",SUMPRODUCT(('Detalle Turnos'!$I$3:$I$5028=$A236)*('Detalle Turnos'!$N$3:$N$5028=C236)*'Detalle Turnos'!$L$3:$L$5028))</f>
        <v/>
      </c>
      <c r="E236" s="127" t="str">
        <f t="array" ref="E236">IF(A236="","",SUMPRODUCT(('Detalle Turnos'!$I$3:$I$5028=$A236)*('Detalle Turnos'!$N$3:$N$5028=C236)*'Detalle Turnos'!$K$3:$K$5028))</f>
        <v/>
      </c>
      <c r="F236" s="127">
        <f t="shared" si="16"/>
        <v>0</v>
      </c>
      <c r="G236" s="127" t="str">
        <f t="array" ref="G236">IF(E236="","",IFERROR(SUMPRODUCT(('Facturación 2026'!$A$4:$A$920=$A236)*'Facturación 2026'!$J$4:$J$920)*E236/(SUMPRODUCT(('Caja 1'!$A$4:$A$919=$A236)*'Caja 1'!$E$4:$E$919)+SUMPRODUCT(('Caja 2'!$A$4:$A$920=$A236)*'Caja 2'!$E$4:$E$920)),0))</f>
        <v/>
      </c>
      <c r="H236" s="128" t="str">
        <f t="shared" si="17"/>
        <v/>
      </c>
      <c r="I236" s="124" t="str">
        <f t="shared" si="18"/>
        <v/>
      </c>
      <c r="J236" s="987" t="str">
        <f>IF(A236="","",IFERROR(INDEX('Facturación 2026'!$L$4:$L$500,MATCH($A236,'Facturación 2026'!$A$4:$A$500,0)),""))</f>
        <v/>
      </c>
    </row>
    <row r="237" spans="1:10" ht="15.75" customHeight="1">
      <c r="A237" s="988"/>
      <c r="B237" s="122" t="str">
        <f t="shared" si="15"/>
        <v/>
      </c>
      <c r="C237" s="123"/>
      <c r="D237" s="131" t="str">
        <f t="array" ref="D237">IF(A237="","",SUMPRODUCT(('Detalle Turnos'!$I$3:$I$5028=$A237)*('Detalle Turnos'!$N$3:$N$5028=C237)*'Detalle Turnos'!$L$3:$L$5028))</f>
        <v/>
      </c>
      <c r="E237" s="127" t="str">
        <f t="array" ref="E237">IF(A237="","",SUMPRODUCT(('Detalle Turnos'!$I$3:$I$5028=$A237)*('Detalle Turnos'!$N$3:$N$5028=C237)*'Detalle Turnos'!$K$3:$K$5028))</f>
        <v/>
      </c>
      <c r="F237" s="127">
        <f t="shared" si="16"/>
        <v>0</v>
      </c>
      <c r="G237" s="127" t="str">
        <f t="array" ref="G237">IF(E237="","",IFERROR(SUMPRODUCT(('Facturación 2026'!$A$4:$A$920=$A237)*'Facturación 2026'!$J$4:$J$920)*E237/(SUMPRODUCT(('Caja 1'!$A$4:$A$919=$A237)*'Caja 1'!$E$4:$E$919)+SUMPRODUCT(('Caja 2'!$A$4:$A$920=$A237)*'Caja 2'!$E$4:$E$920)),0))</f>
        <v/>
      </c>
      <c r="H237" s="128" t="str">
        <f t="shared" si="17"/>
        <v/>
      </c>
      <c r="I237" s="124" t="str">
        <f t="shared" si="18"/>
        <v/>
      </c>
      <c r="J237" s="987" t="str">
        <f>IF(A237="","",IFERROR(INDEX('Facturación 2026'!$L$4:$L$500,MATCH($A237,'Facturación 2026'!$A$4:$A$500,0)),""))</f>
        <v/>
      </c>
    </row>
    <row r="238" spans="1:10" ht="15.75" customHeight="1">
      <c r="A238" s="988"/>
      <c r="B238" s="122" t="str">
        <f t="shared" si="15"/>
        <v/>
      </c>
      <c r="C238" s="123"/>
      <c r="D238" s="131" t="str">
        <f t="array" ref="D238">IF(A238="","",SUMPRODUCT(('Detalle Turnos'!$I$3:$I$5028=$A238)*('Detalle Turnos'!$N$3:$N$5028=C238)*'Detalle Turnos'!$L$3:$L$5028))</f>
        <v/>
      </c>
      <c r="E238" s="127" t="str">
        <f t="array" ref="E238">IF(A238="","",SUMPRODUCT(('Detalle Turnos'!$I$3:$I$5028=$A238)*('Detalle Turnos'!$N$3:$N$5028=C238)*'Detalle Turnos'!$K$3:$K$5028))</f>
        <v/>
      </c>
      <c r="F238" s="127">
        <f t="shared" si="16"/>
        <v>0</v>
      </c>
      <c r="G238" s="127" t="str">
        <f t="array" ref="G238">IF(E238="","",IFERROR(SUMPRODUCT(('Facturación 2026'!$A$4:$A$920=$A238)*'Facturación 2026'!$J$4:$J$920)*E238/(SUMPRODUCT(('Caja 1'!$A$4:$A$919=$A238)*'Caja 1'!$E$4:$E$919)+SUMPRODUCT(('Caja 2'!$A$4:$A$920=$A238)*'Caja 2'!$E$4:$E$920)),0))</f>
        <v/>
      </c>
      <c r="H238" s="128" t="str">
        <f t="shared" si="17"/>
        <v/>
      </c>
      <c r="I238" s="124" t="str">
        <f t="shared" si="18"/>
        <v/>
      </c>
      <c r="J238" s="987" t="str">
        <f>IF(A238="","",IFERROR(INDEX('Facturación 2026'!$L$4:$L$500,MATCH($A238,'Facturación 2026'!$A$4:$A$500,0)),""))</f>
        <v/>
      </c>
    </row>
    <row r="239" spans="1:10" ht="15.75" customHeight="1">
      <c r="A239" s="988"/>
      <c r="B239" s="122" t="str">
        <f t="shared" si="15"/>
        <v/>
      </c>
      <c r="C239" s="123"/>
      <c r="D239" s="131" t="str">
        <f t="array" ref="D239">IF(A239="","",SUMPRODUCT(('Detalle Turnos'!$I$3:$I$5028=$A239)*('Detalle Turnos'!$N$3:$N$5028=C239)*'Detalle Turnos'!$L$3:$L$5028))</f>
        <v/>
      </c>
      <c r="E239" s="127" t="str">
        <f t="array" ref="E239">IF(A239="","",SUMPRODUCT(('Detalle Turnos'!$I$3:$I$5028=$A239)*('Detalle Turnos'!$N$3:$N$5028=C239)*'Detalle Turnos'!$K$3:$K$5028))</f>
        <v/>
      </c>
      <c r="F239" s="127">
        <f t="shared" si="16"/>
        <v>0</v>
      </c>
      <c r="G239" s="127" t="str">
        <f t="array" ref="G239">IF(E239="","",IFERROR(SUMPRODUCT(('Facturación 2026'!$A$4:$A$920=$A239)*'Facturación 2026'!$J$4:$J$920)*E239/(SUMPRODUCT(('Caja 1'!$A$4:$A$919=$A239)*'Caja 1'!$E$4:$E$919)+SUMPRODUCT(('Caja 2'!$A$4:$A$920=$A239)*'Caja 2'!$E$4:$E$920)),0))</f>
        <v/>
      </c>
      <c r="H239" s="128" t="str">
        <f t="shared" si="17"/>
        <v/>
      </c>
      <c r="I239" s="124" t="str">
        <f t="shared" si="18"/>
        <v/>
      </c>
      <c r="J239" s="987" t="str">
        <f>IF(A239="","",IFERROR(INDEX('Facturación 2026'!$L$4:$L$500,MATCH($A239,'Facturación 2026'!$A$4:$A$500,0)),""))</f>
        <v/>
      </c>
    </row>
    <row r="240" spans="1:10" ht="15.75" customHeight="1">
      <c r="A240" s="988"/>
      <c r="B240" s="122" t="str">
        <f t="shared" si="15"/>
        <v/>
      </c>
      <c r="C240" s="123"/>
      <c r="D240" s="131" t="str">
        <f t="array" ref="D240">IF(A240="","",SUMPRODUCT(('Detalle Turnos'!$I$3:$I$5028=$A240)*('Detalle Turnos'!$N$3:$N$5028=C240)*'Detalle Turnos'!$L$3:$L$5028))</f>
        <v/>
      </c>
      <c r="E240" s="127" t="str">
        <f t="array" ref="E240">IF(A240="","",SUMPRODUCT(('Detalle Turnos'!$I$3:$I$5028=$A240)*('Detalle Turnos'!$N$3:$N$5028=C240)*'Detalle Turnos'!$K$3:$K$5028))</f>
        <v/>
      </c>
      <c r="F240" s="127">
        <f t="shared" si="16"/>
        <v>0</v>
      </c>
      <c r="G240" s="127" t="str">
        <f t="array" ref="G240">IF(E240="","",IFERROR(SUMPRODUCT(('Facturación 2026'!$A$4:$A$920=$A240)*'Facturación 2026'!$J$4:$J$920)*E240/(SUMPRODUCT(('Caja 1'!$A$4:$A$919=$A240)*'Caja 1'!$E$4:$E$919)+SUMPRODUCT(('Caja 2'!$A$4:$A$920=$A240)*'Caja 2'!$E$4:$E$920)),0))</f>
        <v/>
      </c>
      <c r="H240" s="128" t="str">
        <f t="shared" si="17"/>
        <v/>
      </c>
      <c r="I240" s="124" t="str">
        <f t="shared" si="18"/>
        <v/>
      </c>
      <c r="J240" s="987" t="str">
        <f>IF(A240="","",IFERROR(INDEX('Facturación 2026'!$L$4:$L$500,MATCH($A240,'Facturación 2026'!$A$4:$A$500,0)),""))</f>
        <v/>
      </c>
    </row>
    <row r="241" spans="1:10" ht="15.75" customHeight="1">
      <c r="A241" s="988"/>
      <c r="B241" s="122" t="str">
        <f t="shared" si="15"/>
        <v/>
      </c>
      <c r="C241" s="123"/>
      <c r="D241" s="131" t="str">
        <f t="array" ref="D241">IF(A241="","",SUMPRODUCT(('Detalle Turnos'!$I$3:$I$5028=$A241)*('Detalle Turnos'!$N$3:$N$5028=C241)*'Detalle Turnos'!$L$3:$L$5028))</f>
        <v/>
      </c>
      <c r="E241" s="127" t="str">
        <f t="array" ref="E241">IF(A241="","",SUMPRODUCT(('Detalle Turnos'!$I$3:$I$5028=$A241)*('Detalle Turnos'!$N$3:$N$5028=C241)*'Detalle Turnos'!$K$3:$K$5028))</f>
        <v/>
      </c>
      <c r="F241" s="127">
        <f t="shared" si="16"/>
        <v>0</v>
      </c>
      <c r="G241" s="127" t="str">
        <f t="array" ref="G241">IF(E241="","",IFERROR(SUMPRODUCT(('Facturación 2026'!$A$4:$A$920=$A241)*'Facturación 2026'!$J$4:$J$920)*E241/(SUMPRODUCT(('Caja 1'!$A$4:$A$919=$A241)*'Caja 1'!$E$4:$E$919)+SUMPRODUCT(('Caja 2'!$A$4:$A$920=$A241)*'Caja 2'!$E$4:$E$920)),0))</f>
        <v/>
      </c>
      <c r="H241" s="128" t="str">
        <f t="shared" si="17"/>
        <v/>
      </c>
      <c r="I241" s="124" t="str">
        <f t="shared" si="18"/>
        <v/>
      </c>
      <c r="J241" s="987" t="str">
        <f>IF(A241="","",IFERROR(INDEX('Facturación 2026'!$L$4:$L$500,MATCH($A241,'Facturación 2026'!$A$4:$A$500,0)),""))</f>
        <v/>
      </c>
    </row>
    <row r="242" spans="1:10" ht="15.75" customHeight="1">
      <c r="A242" s="988"/>
      <c r="B242" s="122" t="str">
        <f t="shared" si="15"/>
        <v/>
      </c>
      <c r="C242" s="123"/>
      <c r="D242" s="131" t="str">
        <f t="array" ref="D242">IF(A242="","",SUMPRODUCT(('Detalle Turnos'!$I$3:$I$5028=$A242)*('Detalle Turnos'!$N$3:$N$5028=C242)*'Detalle Turnos'!$L$3:$L$5028))</f>
        <v/>
      </c>
      <c r="E242" s="127" t="str">
        <f t="array" ref="E242">IF(A242="","",SUMPRODUCT(('Detalle Turnos'!$I$3:$I$5028=$A242)*('Detalle Turnos'!$N$3:$N$5028=C242)*'Detalle Turnos'!$K$3:$K$5028))</f>
        <v/>
      </c>
      <c r="F242" s="127">
        <f t="shared" si="16"/>
        <v>0</v>
      </c>
      <c r="G242" s="127" t="str">
        <f t="array" ref="G242">IF(E242="","",IFERROR(SUMPRODUCT(('Facturación 2026'!$A$4:$A$920=$A242)*'Facturación 2026'!$J$4:$J$920)*E242/(SUMPRODUCT(('Caja 1'!$A$4:$A$919=$A242)*'Caja 1'!$E$4:$E$919)+SUMPRODUCT(('Caja 2'!$A$4:$A$920=$A242)*'Caja 2'!$E$4:$E$920)),0))</f>
        <v/>
      </c>
      <c r="H242" s="128" t="str">
        <f t="shared" si="17"/>
        <v/>
      </c>
      <c r="I242" s="124" t="str">
        <f t="shared" si="18"/>
        <v/>
      </c>
      <c r="J242" s="987" t="str">
        <f>IF(A242="","",IFERROR(INDEX('Facturación 2026'!$L$4:$L$500,MATCH($A242,'Facturación 2026'!$A$4:$A$500,0)),""))</f>
        <v/>
      </c>
    </row>
    <row r="243" spans="1:10" ht="15.75" customHeight="1">
      <c r="A243" s="988"/>
      <c r="B243" s="122" t="str">
        <f t="shared" si="15"/>
        <v/>
      </c>
      <c r="C243" s="123"/>
      <c r="D243" s="131" t="str">
        <f t="array" ref="D243">IF(A243="","",SUMPRODUCT(('Detalle Turnos'!$I$3:$I$5028=$A243)*('Detalle Turnos'!$N$3:$N$5028=C243)*'Detalle Turnos'!$L$3:$L$5028))</f>
        <v/>
      </c>
      <c r="E243" s="127" t="str">
        <f t="array" ref="E243">IF(A243="","",SUMPRODUCT(('Detalle Turnos'!$I$3:$I$5028=$A243)*('Detalle Turnos'!$N$3:$N$5028=C243)*'Detalle Turnos'!$K$3:$K$5028))</f>
        <v/>
      </c>
      <c r="F243" s="127">
        <f t="shared" si="16"/>
        <v>0</v>
      </c>
      <c r="G243" s="127" t="str">
        <f t="array" ref="G243">IF(E243="","",IFERROR(SUMPRODUCT(('Facturación 2026'!$A$4:$A$920=$A243)*'Facturación 2026'!$J$4:$J$920)*E243/(SUMPRODUCT(('Caja 1'!$A$4:$A$919=$A243)*'Caja 1'!$E$4:$E$919)+SUMPRODUCT(('Caja 2'!$A$4:$A$920=$A243)*'Caja 2'!$E$4:$E$920)),0))</f>
        <v/>
      </c>
      <c r="H243" s="128" t="str">
        <f t="shared" si="17"/>
        <v/>
      </c>
      <c r="I243" s="124" t="str">
        <f t="shared" si="18"/>
        <v/>
      </c>
      <c r="J243" s="987" t="str">
        <f>IF(A243="","",IFERROR(INDEX('Facturación 2026'!$L$4:$L$500,MATCH($A243,'Facturación 2026'!$A$4:$A$500,0)),""))</f>
        <v/>
      </c>
    </row>
    <row r="244" spans="1:10" ht="15.75" customHeight="1">
      <c r="A244" s="988"/>
      <c r="B244" s="122" t="str">
        <f t="shared" si="15"/>
        <v/>
      </c>
      <c r="C244" s="123"/>
      <c r="D244" s="131" t="str">
        <f t="array" ref="D244">IF(A244="","",SUMPRODUCT(('Detalle Turnos'!$I$3:$I$5028=$A244)*('Detalle Turnos'!$N$3:$N$5028=C244)*'Detalle Turnos'!$L$3:$L$5028))</f>
        <v/>
      </c>
      <c r="E244" s="127" t="str">
        <f t="array" ref="E244">IF(A244="","",SUMPRODUCT(('Detalle Turnos'!$I$3:$I$5028=$A244)*('Detalle Turnos'!$N$3:$N$5028=C244)*'Detalle Turnos'!$K$3:$K$5028))</f>
        <v/>
      </c>
      <c r="F244" s="127">
        <f t="shared" si="16"/>
        <v>0</v>
      </c>
      <c r="G244" s="127" t="str">
        <f t="array" ref="G244">IF(E244="","",IFERROR(SUMPRODUCT(('Facturación 2026'!$A$4:$A$920=$A244)*'Facturación 2026'!$J$4:$J$920)*E244/(SUMPRODUCT(('Caja 1'!$A$4:$A$919=$A244)*'Caja 1'!$E$4:$E$919)+SUMPRODUCT(('Caja 2'!$A$4:$A$920=$A244)*'Caja 2'!$E$4:$E$920)),0))</f>
        <v/>
      </c>
      <c r="H244" s="128" t="str">
        <f t="shared" si="17"/>
        <v/>
      </c>
      <c r="I244" s="124" t="str">
        <f t="shared" si="18"/>
        <v/>
      </c>
      <c r="J244" s="987" t="str">
        <f>IF(A244="","",IFERROR(INDEX('Facturación 2026'!$L$4:$L$500,MATCH($A244,'Facturación 2026'!$A$4:$A$500,0)),""))</f>
        <v/>
      </c>
    </row>
    <row r="245" spans="1:10" ht="15.75" customHeight="1">
      <c r="A245" s="988"/>
      <c r="B245" s="122" t="str">
        <f t="shared" si="15"/>
        <v/>
      </c>
      <c r="C245" s="123"/>
      <c r="D245" s="131" t="str">
        <f t="array" ref="D245">IF(A245="","",SUMPRODUCT(('Detalle Turnos'!$I$3:$I$5028=$A245)*('Detalle Turnos'!$N$3:$N$5028=C245)*'Detalle Turnos'!$L$3:$L$5028))</f>
        <v/>
      </c>
      <c r="E245" s="127" t="str">
        <f t="array" ref="E245">IF(A245="","",SUMPRODUCT(('Detalle Turnos'!$I$3:$I$5028=$A245)*('Detalle Turnos'!$N$3:$N$5028=C245)*'Detalle Turnos'!$K$3:$K$5028))</f>
        <v/>
      </c>
      <c r="F245" s="127">
        <f t="shared" si="16"/>
        <v>0</v>
      </c>
      <c r="G245" s="127" t="str">
        <f t="array" ref="G245">IF(E245="","",IFERROR(SUMPRODUCT(('Facturación 2026'!$A$4:$A$920=$A245)*'Facturación 2026'!$J$4:$J$920)*E245/(SUMPRODUCT(('Caja 1'!$A$4:$A$919=$A245)*'Caja 1'!$E$4:$E$919)+SUMPRODUCT(('Caja 2'!$A$4:$A$920=$A245)*'Caja 2'!$E$4:$E$920)),0))</f>
        <v/>
      </c>
      <c r="H245" s="128" t="str">
        <f t="shared" si="17"/>
        <v/>
      </c>
      <c r="I245" s="124" t="str">
        <f t="shared" si="18"/>
        <v/>
      </c>
      <c r="J245" s="987" t="str">
        <f>IF(A245="","",IFERROR(INDEX('Facturación 2026'!$L$4:$L$500,MATCH($A245,'Facturación 2026'!$A$4:$A$500,0)),""))</f>
        <v/>
      </c>
    </row>
    <row r="246" spans="1:10" ht="15.75" customHeight="1">
      <c r="A246" s="988"/>
      <c r="B246" s="122" t="str">
        <f t="shared" si="15"/>
        <v/>
      </c>
      <c r="C246" s="123"/>
      <c r="D246" s="131" t="str">
        <f t="array" ref="D246">IF(A246="","",SUMPRODUCT(('Detalle Turnos'!$I$3:$I$5028=$A246)*('Detalle Turnos'!$N$3:$N$5028=C246)*'Detalle Turnos'!$L$3:$L$5028))</f>
        <v/>
      </c>
      <c r="E246" s="127" t="str">
        <f t="array" ref="E246">IF(A246="","",SUMPRODUCT(('Detalle Turnos'!$I$3:$I$5028=$A246)*('Detalle Turnos'!$N$3:$N$5028=C246)*'Detalle Turnos'!$K$3:$K$5028))</f>
        <v/>
      </c>
      <c r="F246" s="127">
        <f t="shared" si="16"/>
        <v>0</v>
      </c>
      <c r="G246" s="127" t="str">
        <f t="array" ref="G246">IF(E246="","",IFERROR(SUMPRODUCT(('Facturación 2026'!$A$4:$A$920=$A246)*'Facturación 2026'!$J$4:$J$920)*E246/(SUMPRODUCT(('Caja 1'!$A$4:$A$919=$A246)*'Caja 1'!$E$4:$E$919)+SUMPRODUCT(('Caja 2'!$A$4:$A$920=$A246)*'Caja 2'!$E$4:$E$920)),0))</f>
        <v/>
      </c>
      <c r="H246" s="128" t="str">
        <f t="shared" si="17"/>
        <v/>
      </c>
      <c r="I246" s="124" t="str">
        <f t="shared" si="18"/>
        <v/>
      </c>
      <c r="J246" s="987" t="str">
        <f>IF(A246="","",IFERROR(INDEX('Facturación 2026'!$L$4:$L$500,MATCH($A246,'Facturación 2026'!$A$4:$A$500,0)),""))</f>
        <v/>
      </c>
    </row>
    <row r="247" spans="1:10" ht="15.75" customHeight="1">
      <c r="A247" s="988"/>
      <c r="B247" s="122" t="str">
        <f t="shared" si="15"/>
        <v/>
      </c>
      <c r="C247" s="123"/>
      <c r="D247" s="131" t="str">
        <f t="array" ref="D247">IF(A247="","",SUMPRODUCT(('Detalle Turnos'!$I$3:$I$5028=$A247)*('Detalle Turnos'!$N$3:$N$5028=C247)*'Detalle Turnos'!$L$3:$L$5028))</f>
        <v/>
      </c>
      <c r="E247" s="127" t="str">
        <f t="array" ref="E247">IF(A247="","",SUMPRODUCT(('Detalle Turnos'!$I$3:$I$5028=$A247)*('Detalle Turnos'!$N$3:$N$5028=C247)*'Detalle Turnos'!$K$3:$K$5028))</f>
        <v/>
      </c>
      <c r="F247" s="127">
        <f t="shared" si="16"/>
        <v>0</v>
      </c>
      <c r="G247" s="127" t="str">
        <f t="array" ref="G247">IF(E247="","",IFERROR(SUMPRODUCT(('Facturación 2026'!$A$4:$A$920=$A247)*'Facturación 2026'!$J$4:$J$920)*E247/(SUMPRODUCT(('Caja 1'!$A$4:$A$919=$A247)*'Caja 1'!$E$4:$E$919)+SUMPRODUCT(('Caja 2'!$A$4:$A$920=$A247)*'Caja 2'!$E$4:$E$920)),0))</f>
        <v/>
      </c>
      <c r="H247" s="128" t="str">
        <f t="shared" si="17"/>
        <v/>
      </c>
      <c r="I247" s="124" t="str">
        <f t="shared" si="18"/>
        <v/>
      </c>
      <c r="J247" s="987" t="str">
        <f>IF(A247="","",IFERROR(INDEX('Facturación 2026'!$L$4:$L$500,MATCH($A247,'Facturación 2026'!$A$4:$A$500,0)),""))</f>
        <v/>
      </c>
    </row>
    <row r="248" spans="1:10" ht="15.75" customHeight="1">
      <c r="A248" s="988"/>
      <c r="B248" s="122" t="str">
        <f t="shared" si="15"/>
        <v/>
      </c>
      <c r="C248" s="123"/>
      <c r="D248" s="131" t="str">
        <f t="array" ref="D248">IF(A248="","",SUMPRODUCT(('Detalle Turnos'!$I$3:$I$5028=$A248)*('Detalle Turnos'!$N$3:$N$5028=C248)*'Detalle Turnos'!$L$3:$L$5028))</f>
        <v/>
      </c>
      <c r="E248" s="127" t="str">
        <f t="array" ref="E248">IF(A248="","",SUMPRODUCT(('Detalle Turnos'!$I$3:$I$5028=$A248)*('Detalle Turnos'!$N$3:$N$5028=C248)*'Detalle Turnos'!$K$3:$K$5028))</f>
        <v/>
      </c>
      <c r="F248" s="127">
        <f t="shared" si="16"/>
        <v>0</v>
      </c>
      <c r="G248" s="127" t="str">
        <f t="array" ref="G248">IF(E248="","",IFERROR(SUMPRODUCT(('Facturación 2026'!$A$4:$A$920=$A248)*'Facturación 2026'!$J$4:$J$920)*E248/(SUMPRODUCT(('Caja 1'!$A$4:$A$919=$A248)*'Caja 1'!$E$4:$E$919)+SUMPRODUCT(('Caja 2'!$A$4:$A$920=$A248)*'Caja 2'!$E$4:$E$920)),0))</f>
        <v/>
      </c>
      <c r="H248" s="128" t="str">
        <f t="shared" si="17"/>
        <v/>
      </c>
      <c r="I248" s="124" t="str">
        <f t="shared" si="18"/>
        <v/>
      </c>
      <c r="J248" s="987" t="str">
        <f>IF(A248="","",IFERROR(INDEX('Facturación 2026'!$L$4:$L$500,MATCH($A248,'Facturación 2026'!$A$4:$A$500,0)),""))</f>
        <v/>
      </c>
    </row>
    <row r="249" spans="1:10" ht="15.75" customHeight="1">
      <c r="A249" s="988"/>
      <c r="B249" s="122" t="str">
        <f t="shared" si="15"/>
        <v/>
      </c>
      <c r="C249" s="123"/>
      <c r="D249" s="131" t="str">
        <f t="array" ref="D249">IF(A249="","",SUMPRODUCT(('Detalle Turnos'!$I$3:$I$5028=$A249)*('Detalle Turnos'!$N$3:$N$5028=C249)*'Detalle Turnos'!$L$3:$L$5028))</f>
        <v/>
      </c>
      <c r="E249" s="127" t="str">
        <f t="array" ref="E249">IF(A249="","",SUMPRODUCT(('Detalle Turnos'!$I$3:$I$5028=$A249)*('Detalle Turnos'!$N$3:$N$5028=C249)*'Detalle Turnos'!$K$3:$K$5028))</f>
        <v/>
      </c>
      <c r="F249" s="127">
        <f t="shared" si="16"/>
        <v>0</v>
      </c>
      <c r="G249" s="127" t="str">
        <f t="array" ref="G249">IF(E249="","",IFERROR(SUMPRODUCT(('Facturación 2026'!$A$4:$A$920=$A249)*'Facturación 2026'!$J$4:$J$920)*E249/(SUMPRODUCT(('Caja 1'!$A$4:$A$919=$A249)*'Caja 1'!$E$4:$E$919)+SUMPRODUCT(('Caja 2'!$A$4:$A$920=$A249)*'Caja 2'!$E$4:$E$920)),0))</f>
        <v/>
      </c>
      <c r="H249" s="128" t="str">
        <f t="shared" si="17"/>
        <v/>
      </c>
      <c r="I249" s="124" t="str">
        <f t="shared" si="18"/>
        <v/>
      </c>
      <c r="J249" s="987" t="str">
        <f>IF(A249="","",IFERROR(INDEX('Facturación 2026'!$L$4:$L$500,MATCH($A249,'Facturación 2026'!$A$4:$A$500,0)),""))</f>
        <v/>
      </c>
    </row>
    <row r="250" spans="1:10" ht="15.75" customHeight="1">
      <c r="A250" s="988"/>
      <c r="B250" s="122" t="str">
        <f t="shared" si="15"/>
        <v/>
      </c>
      <c r="C250" s="123"/>
      <c r="D250" s="131" t="str">
        <f t="array" ref="D250">IF(A250="","",SUMPRODUCT(('Detalle Turnos'!$I$3:$I$5028=$A250)*('Detalle Turnos'!$N$3:$N$5028=C250)*'Detalle Turnos'!$L$3:$L$5028))</f>
        <v/>
      </c>
      <c r="E250" s="127" t="str">
        <f t="array" ref="E250">IF(A250="","",SUMPRODUCT(('Detalle Turnos'!$I$3:$I$5028=$A250)*('Detalle Turnos'!$N$3:$N$5028=C250)*'Detalle Turnos'!$K$3:$K$5028))</f>
        <v/>
      </c>
      <c r="F250" s="127">
        <f t="shared" si="16"/>
        <v>0</v>
      </c>
      <c r="G250" s="127" t="str">
        <f t="array" ref="G250">IF(E250="","",IFERROR(SUMPRODUCT(('Facturación 2026'!$A$4:$A$920=$A250)*'Facturación 2026'!$J$4:$J$920)*E250/(SUMPRODUCT(('Caja 1'!$A$4:$A$919=$A250)*'Caja 1'!$E$4:$E$919)+SUMPRODUCT(('Caja 2'!$A$4:$A$920=$A250)*'Caja 2'!$E$4:$E$920)),0))</f>
        <v/>
      </c>
      <c r="H250" s="128" t="str">
        <f t="shared" si="17"/>
        <v/>
      </c>
      <c r="I250" s="124" t="str">
        <f t="shared" si="18"/>
        <v/>
      </c>
      <c r="J250" s="987" t="str">
        <f>IF(A250="","",IFERROR(INDEX('Facturación 2026'!$L$4:$L$500,MATCH($A250,'Facturación 2026'!$A$4:$A$500,0)),""))</f>
        <v/>
      </c>
    </row>
    <row r="251" spans="1:10" ht="15.75" customHeight="1">
      <c r="A251" s="988"/>
      <c r="B251" s="122" t="str">
        <f t="shared" si="15"/>
        <v/>
      </c>
      <c r="C251" s="123"/>
      <c r="D251" s="131" t="str">
        <f t="array" ref="D251">IF(A251="","",SUMPRODUCT(('Detalle Turnos'!$I$3:$I$5028=$A251)*('Detalle Turnos'!$N$3:$N$5028=C251)*'Detalle Turnos'!$L$3:$L$5028))</f>
        <v/>
      </c>
      <c r="E251" s="127" t="str">
        <f t="array" ref="E251">IF(A251="","",SUMPRODUCT(('Detalle Turnos'!$I$3:$I$5028=$A251)*('Detalle Turnos'!$N$3:$N$5028=C251)*'Detalle Turnos'!$K$3:$K$5028))</f>
        <v/>
      </c>
      <c r="F251" s="127">
        <f t="shared" si="16"/>
        <v>0</v>
      </c>
      <c r="G251" s="127" t="str">
        <f t="array" ref="G251">IF(E251="","",IFERROR(SUMPRODUCT(('Facturación 2026'!$A$4:$A$920=$A251)*'Facturación 2026'!$J$4:$J$920)*E251/(SUMPRODUCT(('Caja 1'!$A$4:$A$919=$A251)*'Caja 1'!$E$4:$E$919)+SUMPRODUCT(('Caja 2'!$A$4:$A$920=$A251)*'Caja 2'!$E$4:$E$920)),0))</f>
        <v/>
      </c>
      <c r="H251" s="128" t="str">
        <f t="shared" si="17"/>
        <v/>
      </c>
      <c r="I251" s="124" t="str">
        <f t="shared" si="18"/>
        <v/>
      </c>
      <c r="J251" s="987" t="str">
        <f>IF(A251="","",IFERROR(INDEX('Facturación 2026'!$L$4:$L$500,MATCH($A251,'Facturación 2026'!$A$4:$A$500,0)),""))</f>
        <v/>
      </c>
    </row>
    <row r="252" spans="1:10" ht="15.75" customHeight="1">
      <c r="A252" s="988"/>
      <c r="B252" s="122" t="str">
        <f t="shared" si="15"/>
        <v/>
      </c>
      <c r="C252" s="123"/>
      <c r="D252" s="131" t="str">
        <f t="array" ref="D252">IF(A252="","",SUMPRODUCT(('Detalle Turnos'!$I$3:$I$5028=$A252)*('Detalle Turnos'!$N$3:$N$5028=C252)*'Detalle Turnos'!$L$3:$L$5028))</f>
        <v/>
      </c>
      <c r="E252" s="127" t="str">
        <f t="array" ref="E252">IF(A252="","",SUMPRODUCT(('Detalle Turnos'!$I$3:$I$5028=$A252)*('Detalle Turnos'!$N$3:$N$5028=C252)*'Detalle Turnos'!$K$3:$K$5028))</f>
        <v/>
      </c>
      <c r="F252" s="127">
        <f t="shared" si="16"/>
        <v>0</v>
      </c>
      <c r="G252" s="127" t="str">
        <f t="array" ref="G252">IF(E252="","",IFERROR(SUMPRODUCT(('Facturación 2026'!$A$4:$A$920=$A252)*'Facturación 2026'!$J$4:$J$920)*E252/(SUMPRODUCT(('Caja 1'!$A$4:$A$919=$A252)*'Caja 1'!$E$4:$E$919)+SUMPRODUCT(('Caja 2'!$A$4:$A$920=$A252)*'Caja 2'!$E$4:$E$920)),0))</f>
        <v/>
      </c>
      <c r="H252" s="128" t="str">
        <f t="shared" si="17"/>
        <v/>
      </c>
      <c r="I252" s="124" t="str">
        <f t="shared" si="18"/>
        <v/>
      </c>
      <c r="J252" s="987" t="str">
        <f>IF(A252="","",IFERROR(INDEX('Facturación 2026'!$L$4:$L$500,MATCH($A252,'Facturación 2026'!$A$4:$A$500,0)),""))</f>
        <v/>
      </c>
    </row>
    <row r="253" spans="1:10" ht="15.75" customHeight="1">
      <c r="A253" s="988"/>
      <c r="B253" s="122" t="str">
        <f t="shared" si="15"/>
        <v/>
      </c>
      <c r="C253" s="123"/>
      <c r="D253" s="131" t="str">
        <f t="array" ref="D253">IF(A253="","",SUMPRODUCT(('Detalle Turnos'!$I$3:$I$5028=$A253)*('Detalle Turnos'!$N$3:$N$5028=C253)*'Detalle Turnos'!$L$3:$L$5028))</f>
        <v/>
      </c>
      <c r="E253" s="127" t="str">
        <f t="array" ref="E253">IF(A253="","",SUMPRODUCT(('Detalle Turnos'!$I$3:$I$5028=$A253)*('Detalle Turnos'!$N$3:$N$5028=C253)*'Detalle Turnos'!$K$3:$K$5028))</f>
        <v/>
      </c>
      <c r="F253" s="127">
        <f t="shared" si="16"/>
        <v>0</v>
      </c>
      <c r="G253" s="127" t="str">
        <f t="array" ref="G253">IF(E253="","",IFERROR(SUMPRODUCT(('Facturación 2026'!$A$4:$A$920=$A253)*'Facturación 2026'!$J$4:$J$920)*E253/(SUMPRODUCT(('Caja 1'!$A$4:$A$919=$A253)*'Caja 1'!$E$4:$E$919)+SUMPRODUCT(('Caja 2'!$A$4:$A$920=$A253)*'Caja 2'!$E$4:$E$920)),0))</f>
        <v/>
      </c>
      <c r="H253" s="128" t="str">
        <f t="shared" si="17"/>
        <v/>
      </c>
      <c r="I253" s="124" t="str">
        <f t="shared" si="18"/>
        <v/>
      </c>
      <c r="J253" s="987" t="str">
        <f>IF(A253="","",IFERROR(INDEX('Facturación 2026'!$L$4:$L$500,MATCH($A253,'Facturación 2026'!$A$4:$A$500,0)),""))</f>
        <v/>
      </c>
    </row>
    <row r="254" spans="1:10" ht="15.75" customHeight="1">
      <c r="A254" s="988"/>
      <c r="B254" s="122" t="str">
        <f t="shared" si="15"/>
        <v/>
      </c>
      <c r="C254" s="123"/>
      <c r="D254" s="131" t="str">
        <f t="array" ref="D254">IF(A254="","",SUMPRODUCT(('Detalle Turnos'!$I$3:$I$5028=$A254)*('Detalle Turnos'!$N$3:$N$5028=C254)*'Detalle Turnos'!$L$3:$L$5028))</f>
        <v/>
      </c>
      <c r="E254" s="127" t="str">
        <f t="array" ref="E254">IF(A254="","",SUMPRODUCT(('Detalle Turnos'!$I$3:$I$5028=$A254)*('Detalle Turnos'!$N$3:$N$5028=C254)*'Detalle Turnos'!$K$3:$K$5028))</f>
        <v/>
      </c>
      <c r="F254" s="127">
        <f t="shared" si="16"/>
        <v>0</v>
      </c>
      <c r="G254" s="127" t="str">
        <f t="array" ref="G254">IF(E254="","",IFERROR(SUMPRODUCT(('Facturación 2026'!$A$4:$A$920=$A254)*'Facturación 2026'!$J$4:$J$920)*E254/(SUMPRODUCT(('Caja 1'!$A$4:$A$919=$A254)*'Caja 1'!$E$4:$E$919)+SUMPRODUCT(('Caja 2'!$A$4:$A$920=$A254)*'Caja 2'!$E$4:$E$920)),0))</f>
        <v/>
      </c>
      <c r="H254" s="128" t="str">
        <f t="shared" si="17"/>
        <v/>
      </c>
      <c r="I254" s="124" t="str">
        <f t="shared" si="18"/>
        <v/>
      </c>
      <c r="J254" s="987" t="str">
        <f>IF(A254="","",IFERROR(INDEX('Facturación 2026'!$L$4:$L$500,MATCH($A254,'Facturación 2026'!$A$4:$A$500,0)),""))</f>
        <v/>
      </c>
    </row>
    <row r="255" spans="1:10" ht="15.75" customHeight="1">
      <c r="A255" s="988"/>
      <c r="B255" s="122" t="str">
        <f t="shared" si="15"/>
        <v/>
      </c>
      <c r="C255" s="123"/>
      <c r="D255" s="131" t="str">
        <f t="array" ref="D255">IF(A255="","",SUMPRODUCT(('Detalle Turnos'!$I$3:$I$5028=$A255)*('Detalle Turnos'!$N$3:$N$5028=C255)*'Detalle Turnos'!$L$3:$L$5028))</f>
        <v/>
      </c>
      <c r="E255" s="127" t="str">
        <f t="array" ref="E255">IF(A255="","",SUMPRODUCT(('Detalle Turnos'!$I$3:$I$5028=$A255)*('Detalle Turnos'!$N$3:$N$5028=C255)*'Detalle Turnos'!$K$3:$K$5028))</f>
        <v/>
      </c>
      <c r="F255" s="127">
        <f t="shared" si="16"/>
        <v>0</v>
      </c>
      <c r="G255" s="127" t="str">
        <f t="array" ref="G255">IF(E255="","",IFERROR(SUMPRODUCT(('Facturación 2026'!$A$4:$A$920=$A255)*'Facturación 2026'!$J$4:$J$920)*E255/(SUMPRODUCT(('Caja 1'!$A$4:$A$919=$A255)*'Caja 1'!$E$4:$E$919)+SUMPRODUCT(('Caja 2'!$A$4:$A$920=$A255)*'Caja 2'!$E$4:$E$920)),0))</f>
        <v/>
      </c>
      <c r="H255" s="128" t="str">
        <f t="shared" si="17"/>
        <v/>
      </c>
      <c r="I255" s="124" t="str">
        <f t="shared" si="18"/>
        <v/>
      </c>
      <c r="J255" s="987" t="str">
        <f>IF(A255="","",IFERROR(INDEX('Facturación 2026'!$L$4:$L$500,MATCH($A255,'Facturación 2026'!$A$4:$A$500,0)),""))</f>
        <v/>
      </c>
    </row>
    <row r="256" spans="1:10" ht="15.75" customHeight="1">
      <c r="A256" s="988"/>
      <c r="B256" s="122" t="str">
        <f t="shared" si="15"/>
        <v/>
      </c>
      <c r="C256" s="123"/>
      <c r="D256" s="131" t="str">
        <f t="array" ref="D256">IF(A256="","",SUMPRODUCT(('Detalle Turnos'!$I$3:$I$5028=$A256)*('Detalle Turnos'!$N$3:$N$5028=C256)*'Detalle Turnos'!$L$3:$L$5028))</f>
        <v/>
      </c>
      <c r="E256" s="127" t="str">
        <f t="array" ref="E256">IF(A256="","",SUMPRODUCT(('Detalle Turnos'!$I$3:$I$5028=$A256)*('Detalle Turnos'!$N$3:$N$5028=C256)*'Detalle Turnos'!$K$3:$K$5028))</f>
        <v/>
      </c>
      <c r="F256" s="127">
        <f t="shared" si="16"/>
        <v>0</v>
      </c>
      <c r="G256" s="127" t="str">
        <f t="array" ref="G256">IF(E256="","",IFERROR(SUMPRODUCT(('Facturación 2026'!$A$4:$A$920=$A256)*'Facturación 2026'!$J$4:$J$920)*E256/(SUMPRODUCT(('Caja 1'!$A$4:$A$919=$A256)*'Caja 1'!$E$4:$E$919)+SUMPRODUCT(('Caja 2'!$A$4:$A$920=$A256)*'Caja 2'!$E$4:$E$920)),0))</f>
        <v/>
      </c>
      <c r="H256" s="128" t="str">
        <f t="shared" si="17"/>
        <v/>
      </c>
      <c r="I256" s="124" t="str">
        <f t="shared" si="18"/>
        <v/>
      </c>
      <c r="J256" s="987" t="str">
        <f>IF(A256="","",IFERROR(INDEX('Facturación 2026'!$L$4:$L$500,MATCH($A256,'Facturación 2026'!$A$4:$A$500,0)),""))</f>
        <v/>
      </c>
    </row>
    <row r="257" spans="1:10" ht="15.75" customHeight="1">
      <c r="A257" s="988"/>
      <c r="B257" s="122" t="str">
        <f t="shared" si="15"/>
        <v/>
      </c>
      <c r="C257" s="123"/>
      <c r="D257" s="131" t="str">
        <f t="array" ref="D257">IF(A257="","",SUMPRODUCT(('Detalle Turnos'!$I$3:$I$5028=$A257)*('Detalle Turnos'!$N$3:$N$5028=C257)*'Detalle Turnos'!$L$3:$L$5028))</f>
        <v/>
      </c>
      <c r="E257" s="127" t="str">
        <f t="array" ref="E257">IF(A257="","",SUMPRODUCT(('Detalle Turnos'!$I$3:$I$5028=$A257)*('Detalle Turnos'!$N$3:$N$5028=C257)*'Detalle Turnos'!$K$3:$K$5028))</f>
        <v/>
      </c>
      <c r="F257" s="127">
        <f t="shared" si="16"/>
        <v>0</v>
      </c>
      <c r="G257" s="127" t="str">
        <f t="array" ref="G257">IF(E257="","",IFERROR(SUMPRODUCT(('Facturación 2026'!$A$4:$A$920=$A257)*'Facturación 2026'!$J$4:$J$920)*E257/(SUMPRODUCT(('Caja 1'!$A$4:$A$919=$A257)*'Caja 1'!$E$4:$E$919)+SUMPRODUCT(('Caja 2'!$A$4:$A$920=$A257)*'Caja 2'!$E$4:$E$920)),0))</f>
        <v/>
      </c>
      <c r="H257" s="128" t="str">
        <f t="shared" si="17"/>
        <v/>
      </c>
      <c r="I257" s="124" t="str">
        <f t="shared" si="18"/>
        <v/>
      </c>
      <c r="J257" s="987" t="str">
        <f>IF(A257="","",IFERROR(INDEX('Facturación 2026'!$L$4:$L$500,MATCH($A257,'Facturación 2026'!$A$4:$A$500,0)),""))</f>
        <v/>
      </c>
    </row>
    <row r="258" spans="1:10" ht="15.75" customHeight="1">
      <c r="A258" s="988"/>
      <c r="B258" s="122" t="str">
        <f t="shared" si="15"/>
        <v/>
      </c>
      <c r="C258" s="123"/>
      <c r="D258" s="131" t="str">
        <f t="array" ref="D258">IF(A258="","",SUMPRODUCT(('Detalle Turnos'!$I$3:$I$5028=$A258)*('Detalle Turnos'!$N$3:$N$5028=C258)*'Detalle Turnos'!$L$3:$L$5028))</f>
        <v/>
      </c>
      <c r="E258" s="127" t="str">
        <f t="array" ref="E258">IF(A258="","",SUMPRODUCT(('Detalle Turnos'!$I$3:$I$5028=$A258)*('Detalle Turnos'!$N$3:$N$5028=C258)*'Detalle Turnos'!$K$3:$K$5028))</f>
        <v/>
      </c>
      <c r="F258" s="127">
        <f t="shared" si="16"/>
        <v>0</v>
      </c>
      <c r="G258" s="127" t="str">
        <f t="array" ref="G258">IF(E258="","",IFERROR(SUMPRODUCT(('Facturación 2026'!$A$4:$A$920=$A258)*'Facturación 2026'!$J$4:$J$920)*E258/(SUMPRODUCT(('Caja 1'!$A$4:$A$919=$A258)*'Caja 1'!$E$4:$E$919)+SUMPRODUCT(('Caja 2'!$A$4:$A$920=$A258)*'Caja 2'!$E$4:$E$920)),0))</f>
        <v/>
      </c>
      <c r="H258" s="128" t="str">
        <f t="shared" si="17"/>
        <v/>
      </c>
      <c r="I258" s="124" t="str">
        <f t="shared" si="18"/>
        <v/>
      </c>
      <c r="J258" s="987" t="str">
        <f>IF(A258="","",IFERROR(INDEX('Facturación 2026'!$L$4:$L$500,MATCH($A258,'Facturación 2026'!$A$4:$A$500,0)),""))</f>
        <v/>
      </c>
    </row>
    <row r="259" spans="1:10" ht="15.75" customHeight="1">
      <c r="A259" s="988"/>
      <c r="B259" s="122" t="str">
        <f t="shared" ref="B259:B322" si="19">IF(A259="","",CHOOSE(WEEKDAY(A259,2),"Lun","Mar","Mié","Jue","Vie","Sáb","Dom"))</f>
        <v/>
      </c>
      <c r="C259" s="123"/>
      <c r="D259" s="131" t="str">
        <f t="array" ref="D259">IF(A259="","",SUMPRODUCT(('Detalle Turnos'!$I$3:$I$5028=$A259)*('Detalle Turnos'!$N$3:$N$5028=C259)*'Detalle Turnos'!$L$3:$L$5028))</f>
        <v/>
      </c>
      <c r="E259" s="127" t="str">
        <f t="array" ref="E259">IF(A259="","",SUMPRODUCT(('Detalle Turnos'!$I$3:$I$5028=$A259)*('Detalle Turnos'!$N$3:$N$5028=C259)*'Detalle Turnos'!$K$3:$K$5028))</f>
        <v/>
      </c>
      <c r="F259" s="127">
        <f t="shared" ref="F259:F322" si="20">IFERROR(E259/D259,0)</f>
        <v>0</v>
      </c>
      <c r="G259" s="127" t="str">
        <f t="array" ref="G259">IF(E259="","",IFERROR(SUMPRODUCT(('Facturación 2026'!$A$4:$A$920=$A259)*'Facturación 2026'!$J$4:$J$920)*E259/(SUMPRODUCT(('Caja 1'!$A$4:$A$919=$A259)*'Caja 1'!$E$4:$E$919)+SUMPRODUCT(('Caja 2'!$A$4:$A$920=$A259)*'Caja 2'!$E$4:$E$920)),0))</f>
        <v/>
      </c>
      <c r="H259" s="128" t="str">
        <f t="shared" ref="H259:H322" si="21">IF(E259="","",E259-G259)</f>
        <v/>
      </c>
      <c r="I259" s="124" t="str">
        <f t="shared" ref="I259:I322" si="22">IF(E259="","",IFERROR(G259/E259,0))</f>
        <v/>
      </c>
      <c r="J259" s="987" t="str">
        <f>IF(A259="","",IFERROR(INDEX('Facturación 2026'!$L$4:$L$500,MATCH($A259,'Facturación 2026'!$A$4:$A$500,0)),""))</f>
        <v/>
      </c>
    </row>
    <row r="260" spans="1:10" ht="15.75" customHeight="1">
      <c r="A260" s="988"/>
      <c r="B260" s="122" t="str">
        <f t="shared" si="19"/>
        <v/>
      </c>
      <c r="C260" s="123"/>
      <c r="D260" s="131" t="str">
        <f t="array" ref="D260">IF(A260="","",SUMPRODUCT(('Detalle Turnos'!$I$3:$I$5028=$A260)*('Detalle Turnos'!$N$3:$N$5028=C260)*'Detalle Turnos'!$L$3:$L$5028))</f>
        <v/>
      </c>
      <c r="E260" s="127" t="str">
        <f t="array" ref="E260">IF(A260="","",SUMPRODUCT(('Detalle Turnos'!$I$3:$I$5028=$A260)*('Detalle Turnos'!$N$3:$N$5028=C260)*'Detalle Turnos'!$K$3:$K$5028))</f>
        <v/>
      </c>
      <c r="F260" s="127">
        <f t="shared" si="20"/>
        <v>0</v>
      </c>
      <c r="G260" s="127" t="str">
        <f t="array" ref="G260">IF(E260="","",IFERROR(SUMPRODUCT(('Facturación 2026'!$A$4:$A$920=$A260)*'Facturación 2026'!$J$4:$J$920)*E260/(SUMPRODUCT(('Caja 1'!$A$4:$A$919=$A260)*'Caja 1'!$E$4:$E$919)+SUMPRODUCT(('Caja 2'!$A$4:$A$920=$A260)*'Caja 2'!$E$4:$E$920)),0))</f>
        <v/>
      </c>
      <c r="H260" s="128" t="str">
        <f t="shared" si="21"/>
        <v/>
      </c>
      <c r="I260" s="124" t="str">
        <f t="shared" si="22"/>
        <v/>
      </c>
      <c r="J260" s="987" t="str">
        <f>IF(A260="","",IFERROR(INDEX('Facturación 2026'!$L$4:$L$500,MATCH($A260,'Facturación 2026'!$A$4:$A$500,0)),""))</f>
        <v/>
      </c>
    </row>
    <row r="261" spans="1:10" ht="15.75" customHeight="1">
      <c r="A261" s="988"/>
      <c r="B261" s="122" t="str">
        <f t="shared" si="19"/>
        <v/>
      </c>
      <c r="C261" s="123"/>
      <c r="D261" s="131" t="str">
        <f t="array" ref="D261">IF(A261="","",SUMPRODUCT(('Detalle Turnos'!$I$3:$I$5028=$A261)*('Detalle Turnos'!$N$3:$N$5028=C261)*'Detalle Turnos'!$L$3:$L$5028))</f>
        <v/>
      </c>
      <c r="E261" s="127" t="str">
        <f t="array" ref="E261">IF(A261="","",SUMPRODUCT(('Detalle Turnos'!$I$3:$I$5028=$A261)*('Detalle Turnos'!$N$3:$N$5028=C261)*'Detalle Turnos'!$K$3:$K$5028))</f>
        <v/>
      </c>
      <c r="F261" s="127">
        <f t="shared" si="20"/>
        <v>0</v>
      </c>
      <c r="G261" s="127" t="str">
        <f t="array" ref="G261">IF(E261="","",IFERROR(SUMPRODUCT(('Facturación 2026'!$A$4:$A$920=$A261)*'Facturación 2026'!$J$4:$J$920)*E261/(SUMPRODUCT(('Caja 1'!$A$4:$A$919=$A261)*'Caja 1'!$E$4:$E$919)+SUMPRODUCT(('Caja 2'!$A$4:$A$920=$A261)*'Caja 2'!$E$4:$E$920)),0))</f>
        <v/>
      </c>
      <c r="H261" s="128" t="str">
        <f t="shared" si="21"/>
        <v/>
      </c>
      <c r="I261" s="124" t="str">
        <f t="shared" si="22"/>
        <v/>
      </c>
      <c r="J261" s="987" t="str">
        <f>IF(A261="","",IFERROR(INDEX('Facturación 2026'!$L$4:$L$500,MATCH($A261,'Facturación 2026'!$A$4:$A$500,0)),""))</f>
        <v/>
      </c>
    </row>
    <row r="262" spans="1:10" ht="15.75" customHeight="1">
      <c r="A262" s="988"/>
      <c r="B262" s="122" t="str">
        <f t="shared" si="19"/>
        <v/>
      </c>
      <c r="C262" s="123"/>
      <c r="D262" s="131" t="str">
        <f t="array" ref="D262">IF(A262="","",SUMPRODUCT(('Detalle Turnos'!$I$3:$I$5028=$A262)*('Detalle Turnos'!$N$3:$N$5028=C262)*'Detalle Turnos'!$L$3:$L$5028))</f>
        <v/>
      </c>
      <c r="E262" s="127" t="str">
        <f t="array" ref="E262">IF(A262="","",SUMPRODUCT(('Detalle Turnos'!$I$3:$I$5028=$A262)*('Detalle Turnos'!$N$3:$N$5028=C262)*'Detalle Turnos'!$K$3:$K$5028))</f>
        <v/>
      </c>
      <c r="F262" s="127">
        <f t="shared" si="20"/>
        <v>0</v>
      </c>
      <c r="G262" s="127" t="str">
        <f t="array" ref="G262">IF(E262="","",IFERROR(SUMPRODUCT(('Facturación 2026'!$A$4:$A$920=$A262)*'Facturación 2026'!$J$4:$J$920)*E262/(SUMPRODUCT(('Caja 1'!$A$4:$A$919=$A262)*'Caja 1'!$E$4:$E$919)+SUMPRODUCT(('Caja 2'!$A$4:$A$920=$A262)*'Caja 2'!$E$4:$E$920)),0))</f>
        <v/>
      </c>
      <c r="H262" s="128" t="str">
        <f t="shared" si="21"/>
        <v/>
      </c>
      <c r="I262" s="124" t="str">
        <f t="shared" si="22"/>
        <v/>
      </c>
      <c r="J262" s="987" t="str">
        <f>IF(A262="","",IFERROR(INDEX('Facturación 2026'!$L$4:$L$500,MATCH($A262,'Facturación 2026'!$A$4:$A$500,0)),""))</f>
        <v/>
      </c>
    </row>
    <row r="263" spans="1:10" ht="15.75" customHeight="1">
      <c r="A263" s="988"/>
      <c r="B263" s="122" t="str">
        <f t="shared" si="19"/>
        <v/>
      </c>
      <c r="C263" s="123"/>
      <c r="D263" s="131" t="str">
        <f t="array" ref="D263">IF(A263="","",SUMPRODUCT(('Detalle Turnos'!$I$3:$I$5028=$A263)*('Detalle Turnos'!$N$3:$N$5028=C263)*'Detalle Turnos'!$L$3:$L$5028))</f>
        <v/>
      </c>
      <c r="E263" s="127" t="str">
        <f t="array" ref="E263">IF(A263="","",SUMPRODUCT(('Detalle Turnos'!$I$3:$I$5028=$A263)*('Detalle Turnos'!$N$3:$N$5028=C263)*'Detalle Turnos'!$K$3:$K$5028))</f>
        <v/>
      </c>
      <c r="F263" s="127">
        <f t="shared" si="20"/>
        <v>0</v>
      </c>
      <c r="G263" s="127" t="str">
        <f t="array" ref="G263">IF(E263="","",IFERROR(SUMPRODUCT(('Facturación 2026'!$A$4:$A$920=$A263)*'Facturación 2026'!$J$4:$J$920)*E263/(SUMPRODUCT(('Caja 1'!$A$4:$A$919=$A263)*'Caja 1'!$E$4:$E$919)+SUMPRODUCT(('Caja 2'!$A$4:$A$920=$A263)*'Caja 2'!$E$4:$E$920)),0))</f>
        <v/>
      </c>
      <c r="H263" s="128" t="str">
        <f t="shared" si="21"/>
        <v/>
      </c>
      <c r="I263" s="124" t="str">
        <f t="shared" si="22"/>
        <v/>
      </c>
      <c r="J263" s="987" t="str">
        <f>IF(A263="","",IFERROR(INDEX('Facturación 2026'!$L$4:$L$500,MATCH($A263,'Facturación 2026'!$A$4:$A$500,0)),""))</f>
        <v/>
      </c>
    </row>
    <row r="264" spans="1:10" ht="15.75" customHeight="1">
      <c r="A264" s="988"/>
      <c r="B264" s="122" t="str">
        <f t="shared" si="19"/>
        <v/>
      </c>
      <c r="C264" s="123"/>
      <c r="D264" s="131" t="str">
        <f t="array" ref="D264">IF(A264="","",SUMPRODUCT(('Detalle Turnos'!$I$3:$I$5028=$A264)*('Detalle Turnos'!$N$3:$N$5028=C264)*'Detalle Turnos'!$L$3:$L$5028))</f>
        <v/>
      </c>
      <c r="E264" s="127" t="str">
        <f t="array" ref="E264">IF(A264="","",SUMPRODUCT(('Detalle Turnos'!$I$3:$I$5028=$A264)*('Detalle Turnos'!$N$3:$N$5028=C264)*'Detalle Turnos'!$K$3:$K$5028))</f>
        <v/>
      </c>
      <c r="F264" s="127">
        <f t="shared" si="20"/>
        <v>0</v>
      </c>
      <c r="G264" s="127" t="str">
        <f t="array" ref="G264">IF(E264="","",IFERROR(SUMPRODUCT(('Facturación 2026'!$A$4:$A$920=$A264)*'Facturación 2026'!$J$4:$J$920)*E264/(SUMPRODUCT(('Caja 1'!$A$4:$A$919=$A264)*'Caja 1'!$E$4:$E$919)+SUMPRODUCT(('Caja 2'!$A$4:$A$920=$A264)*'Caja 2'!$E$4:$E$920)),0))</f>
        <v/>
      </c>
      <c r="H264" s="128" t="str">
        <f t="shared" si="21"/>
        <v/>
      </c>
      <c r="I264" s="124" t="str">
        <f t="shared" si="22"/>
        <v/>
      </c>
      <c r="J264" s="987" t="str">
        <f>IF(A264="","",IFERROR(INDEX('Facturación 2026'!$L$4:$L$500,MATCH($A264,'Facturación 2026'!$A$4:$A$500,0)),""))</f>
        <v/>
      </c>
    </row>
    <row r="265" spans="1:10" ht="15.75" customHeight="1">
      <c r="A265" s="988"/>
      <c r="B265" s="122" t="str">
        <f t="shared" si="19"/>
        <v/>
      </c>
      <c r="C265" s="123"/>
      <c r="D265" s="131" t="str">
        <f t="array" ref="D265">IF(A265="","",SUMPRODUCT(('Detalle Turnos'!$I$3:$I$5028=$A265)*('Detalle Turnos'!$N$3:$N$5028=C265)*'Detalle Turnos'!$L$3:$L$5028))</f>
        <v/>
      </c>
      <c r="E265" s="127" t="str">
        <f t="array" ref="E265">IF(A265="","",SUMPRODUCT(('Detalle Turnos'!$I$3:$I$5028=$A265)*('Detalle Turnos'!$N$3:$N$5028=C265)*'Detalle Turnos'!$K$3:$K$5028))</f>
        <v/>
      </c>
      <c r="F265" s="127">
        <f t="shared" si="20"/>
        <v>0</v>
      </c>
      <c r="G265" s="127" t="str">
        <f t="array" ref="G265">IF(E265="","",IFERROR(SUMPRODUCT(('Facturación 2026'!$A$4:$A$920=$A265)*'Facturación 2026'!$J$4:$J$920)*E265/(SUMPRODUCT(('Caja 1'!$A$4:$A$919=$A265)*'Caja 1'!$E$4:$E$919)+SUMPRODUCT(('Caja 2'!$A$4:$A$920=$A265)*'Caja 2'!$E$4:$E$920)),0))</f>
        <v/>
      </c>
      <c r="H265" s="128" t="str">
        <f t="shared" si="21"/>
        <v/>
      </c>
      <c r="I265" s="124" t="str">
        <f t="shared" si="22"/>
        <v/>
      </c>
      <c r="J265" s="987" t="str">
        <f>IF(A265="","",IFERROR(INDEX('Facturación 2026'!$L$4:$L$500,MATCH($A265,'Facturación 2026'!$A$4:$A$500,0)),""))</f>
        <v/>
      </c>
    </row>
    <row r="266" spans="1:10" ht="15.75" customHeight="1">
      <c r="A266" s="988"/>
      <c r="B266" s="122" t="str">
        <f t="shared" si="19"/>
        <v/>
      </c>
      <c r="C266" s="123"/>
      <c r="D266" s="131" t="str">
        <f t="array" ref="D266">IF(A266="","",SUMPRODUCT(('Detalle Turnos'!$I$3:$I$5028=$A266)*('Detalle Turnos'!$N$3:$N$5028=C266)*'Detalle Turnos'!$L$3:$L$5028))</f>
        <v/>
      </c>
      <c r="E266" s="127" t="str">
        <f t="array" ref="E266">IF(A266="","",SUMPRODUCT(('Detalle Turnos'!$I$3:$I$5028=$A266)*('Detalle Turnos'!$N$3:$N$5028=C266)*'Detalle Turnos'!$K$3:$K$5028))</f>
        <v/>
      </c>
      <c r="F266" s="127">
        <f t="shared" si="20"/>
        <v>0</v>
      </c>
      <c r="G266" s="127" t="str">
        <f t="array" ref="G266">IF(E266="","",IFERROR(SUMPRODUCT(('Facturación 2026'!$A$4:$A$920=$A266)*'Facturación 2026'!$J$4:$J$920)*E266/(SUMPRODUCT(('Caja 1'!$A$4:$A$919=$A266)*'Caja 1'!$E$4:$E$919)+SUMPRODUCT(('Caja 2'!$A$4:$A$920=$A266)*'Caja 2'!$E$4:$E$920)),0))</f>
        <v/>
      </c>
      <c r="H266" s="128" t="str">
        <f t="shared" si="21"/>
        <v/>
      </c>
      <c r="I266" s="124" t="str">
        <f t="shared" si="22"/>
        <v/>
      </c>
      <c r="J266" s="987" t="str">
        <f>IF(A266="","",IFERROR(INDEX('Facturación 2026'!$L$4:$L$500,MATCH($A266,'Facturación 2026'!$A$4:$A$500,0)),""))</f>
        <v/>
      </c>
    </row>
    <row r="267" spans="1:10" ht="15.75" customHeight="1">
      <c r="A267" s="988"/>
      <c r="B267" s="122" t="str">
        <f t="shared" si="19"/>
        <v/>
      </c>
      <c r="C267" s="123"/>
      <c r="D267" s="131" t="str">
        <f t="array" ref="D267">IF(A267="","",SUMPRODUCT(('Detalle Turnos'!$I$3:$I$5028=$A267)*('Detalle Turnos'!$N$3:$N$5028=C267)*'Detalle Turnos'!$L$3:$L$5028))</f>
        <v/>
      </c>
      <c r="E267" s="127" t="str">
        <f t="array" ref="E267">IF(A267="","",SUMPRODUCT(('Detalle Turnos'!$I$3:$I$5028=$A267)*('Detalle Turnos'!$N$3:$N$5028=C267)*'Detalle Turnos'!$K$3:$K$5028))</f>
        <v/>
      </c>
      <c r="F267" s="127">
        <f t="shared" si="20"/>
        <v>0</v>
      </c>
      <c r="G267" s="127" t="str">
        <f t="array" ref="G267">IF(E267="","",IFERROR(SUMPRODUCT(('Facturación 2026'!$A$4:$A$920=$A267)*'Facturación 2026'!$J$4:$J$920)*E267/(SUMPRODUCT(('Caja 1'!$A$4:$A$919=$A267)*'Caja 1'!$E$4:$E$919)+SUMPRODUCT(('Caja 2'!$A$4:$A$920=$A267)*'Caja 2'!$E$4:$E$920)),0))</f>
        <v/>
      </c>
      <c r="H267" s="128" t="str">
        <f t="shared" si="21"/>
        <v/>
      </c>
      <c r="I267" s="124" t="str">
        <f t="shared" si="22"/>
        <v/>
      </c>
      <c r="J267" s="987" t="str">
        <f>IF(A267="","",IFERROR(INDEX('Facturación 2026'!$L$4:$L$500,MATCH($A267,'Facturación 2026'!$A$4:$A$500,0)),""))</f>
        <v/>
      </c>
    </row>
    <row r="268" spans="1:10" ht="15.75" customHeight="1">
      <c r="A268" s="988"/>
      <c r="B268" s="122" t="str">
        <f t="shared" si="19"/>
        <v/>
      </c>
      <c r="C268" s="123"/>
      <c r="D268" s="131" t="str">
        <f t="array" ref="D268">IF(A268="","",SUMPRODUCT(('Detalle Turnos'!$I$3:$I$5028=$A268)*('Detalle Turnos'!$N$3:$N$5028=C268)*'Detalle Turnos'!$L$3:$L$5028))</f>
        <v/>
      </c>
      <c r="E268" s="127" t="str">
        <f t="array" ref="E268">IF(A268="","",SUMPRODUCT(('Detalle Turnos'!$I$3:$I$5028=$A268)*('Detalle Turnos'!$N$3:$N$5028=C268)*'Detalle Turnos'!$K$3:$K$5028))</f>
        <v/>
      </c>
      <c r="F268" s="127">
        <f t="shared" si="20"/>
        <v>0</v>
      </c>
      <c r="G268" s="127" t="str">
        <f t="array" ref="G268">IF(E268="","",IFERROR(SUMPRODUCT(('Facturación 2026'!$A$4:$A$920=$A268)*'Facturación 2026'!$J$4:$J$920)*E268/(SUMPRODUCT(('Caja 1'!$A$4:$A$919=$A268)*'Caja 1'!$E$4:$E$919)+SUMPRODUCT(('Caja 2'!$A$4:$A$920=$A268)*'Caja 2'!$E$4:$E$920)),0))</f>
        <v/>
      </c>
      <c r="H268" s="128" t="str">
        <f t="shared" si="21"/>
        <v/>
      </c>
      <c r="I268" s="124" t="str">
        <f t="shared" si="22"/>
        <v/>
      </c>
      <c r="J268" s="987" t="str">
        <f>IF(A268="","",IFERROR(INDEX('Facturación 2026'!$L$4:$L$500,MATCH($A268,'Facturación 2026'!$A$4:$A$500,0)),""))</f>
        <v/>
      </c>
    </row>
    <row r="269" spans="1:10" ht="15.75" customHeight="1">
      <c r="A269" s="988"/>
      <c r="B269" s="122" t="str">
        <f t="shared" si="19"/>
        <v/>
      </c>
      <c r="C269" s="123"/>
      <c r="D269" s="131" t="str">
        <f t="array" ref="D269">IF(A269="","",SUMPRODUCT(('Detalle Turnos'!$I$3:$I$5028=$A269)*('Detalle Turnos'!$N$3:$N$5028=C269)*'Detalle Turnos'!$L$3:$L$5028))</f>
        <v/>
      </c>
      <c r="E269" s="127" t="str">
        <f t="array" ref="E269">IF(A269="","",SUMPRODUCT(('Detalle Turnos'!$I$3:$I$5028=$A269)*('Detalle Turnos'!$N$3:$N$5028=C269)*'Detalle Turnos'!$K$3:$K$5028))</f>
        <v/>
      </c>
      <c r="F269" s="127">
        <f t="shared" si="20"/>
        <v>0</v>
      </c>
      <c r="G269" s="127" t="str">
        <f t="array" ref="G269">IF(E269="","",IFERROR(SUMPRODUCT(('Facturación 2026'!$A$4:$A$920=$A269)*'Facturación 2026'!$J$4:$J$920)*E269/(SUMPRODUCT(('Caja 1'!$A$4:$A$919=$A269)*'Caja 1'!$E$4:$E$919)+SUMPRODUCT(('Caja 2'!$A$4:$A$920=$A269)*'Caja 2'!$E$4:$E$920)),0))</f>
        <v/>
      </c>
      <c r="H269" s="128" t="str">
        <f t="shared" si="21"/>
        <v/>
      </c>
      <c r="I269" s="124" t="str">
        <f t="shared" si="22"/>
        <v/>
      </c>
      <c r="J269" s="987" t="str">
        <f>IF(A269="","",IFERROR(INDEX('Facturación 2026'!$L$4:$L$500,MATCH($A269,'Facturación 2026'!$A$4:$A$500,0)),""))</f>
        <v/>
      </c>
    </row>
    <row r="270" spans="1:10" ht="15.75" customHeight="1">
      <c r="A270" s="988"/>
      <c r="B270" s="122" t="str">
        <f t="shared" si="19"/>
        <v/>
      </c>
      <c r="C270" s="123"/>
      <c r="D270" s="131" t="str">
        <f t="array" ref="D270">IF(A270="","",SUMPRODUCT(('Detalle Turnos'!$I$3:$I$5028=$A270)*('Detalle Turnos'!$N$3:$N$5028=C270)*'Detalle Turnos'!$L$3:$L$5028))</f>
        <v/>
      </c>
      <c r="E270" s="127" t="str">
        <f t="array" ref="E270">IF(A270="","",SUMPRODUCT(('Detalle Turnos'!$I$3:$I$5028=$A270)*('Detalle Turnos'!$N$3:$N$5028=C270)*'Detalle Turnos'!$K$3:$K$5028))</f>
        <v/>
      </c>
      <c r="F270" s="127">
        <f t="shared" si="20"/>
        <v>0</v>
      </c>
      <c r="G270" s="127" t="str">
        <f t="array" ref="G270">IF(E270="","",IFERROR(SUMPRODUCT(('Facturación 2026'!$A$4:$A$920=$A270)*'Facturación 2026'!$J$4:$J$920)*E270/(SUMPRODUCT(('Caja 1'!$A$4:$A$919=$A270)*'Caja 1'!$E$4:$E$919)+SUMPRODUCT(('Caja 2'!$A$4:$A$920=$A270)*'Caja 2'!$E$4:$E$920)),0))</f>
        <v/>
      </c>
      <c r="H270" s="128" t="str">
        <f t="shared" si="21"/>
        <v/>
      </c>
      <c r="I270" s="124" t="str">
        <f t="shared" si="22"/>
        <v/>
      </c>
      <c r="J270" s="987" t="str">
        <f>IF(A270="","",IFERROR(INDEX('Facturación 2026'!$L$4:$L$500,MATCH($A270,'Facturación 2026'!$A$4:$A$500,0)),""))</f>
        <v/>
      </c>
    </row>
    <row r="271" spans="1:10" ht="15.75" customHeight="1">
      <c r="A271" s="988"/>
      <c r="B271" s="122" t="str">
        <f t="shared" si="19"/>
        <v/>
      </c>
      <c r="C271" s="123"/>
      <c r="D271" s="131" t="str">
        <f t="array" ref="D271">IF(A271="","",SUMPRODUCT(('Detalle Turnos'!$I$3:$I$5028=$A271)*('Detalle Turnos'!$N$3:$N$5028=C271)*'Detalle Turnos'!$L$3:$L$5028))</f>
        <v/>
      </c>
      <c r="E271" s="127" t="str">
        <f t="array" ref="E271">IF(A271="","",SUMPRODUCT(('Detalle Turnos'!$I$3:$I$5028=$A271)*('Detalle Turnos'!$N$3:$N$5028=C271)*'Detalle Turnos'!$K$3:$K$5028))</f>
        <v/>
      </c>
      <c r="F271" s="127">
        <f t="shared" si="20"/>
        <v>0</v>
      </c>
      <c r="G271" s="127" t="str">
        <f t="array" ref="G271">IF(E271="","",IFERROR(SUMPRODUCT(('Facturación 2026'!$A$4:$A$920=$A271)*'Facturación 2026'!$J$4:$J$920)*E271/(SUMPRODUCT(('Caja 1'!$A$4:$A$919=$A271)*'Caja 1'!$E$4:$E$919)+SUMPRODUCT(('Caja 2'!$A$4:$A$920=$A271)*'Caja 2'!$E$4:$E$920)),0))</f>
        <v/>
      </c>
      <c r="H271" s="128" t="str">
        <f t="shared" si="21"/>
        <v/>
      </c>
      <c r="I271" s="124" t="str">
        <f t="shared" si="22"/>
        <v/>
      </c>
      <c r="J271" s="987" t="str">
        <f>IF(A271="","",IFERROR(INDEX('Facturación 2026'!$L$4:$L$500,MATCH($A271,'Facturación 2026'!$A$4:$A$500,0)),""))</f>
        <v/>
      </c>
    </row>
    <row r="272" spans="1:10" ht="15.75" customHeight="1">
      <c r="A272" s="988"/>
      <c r="B272" s="122" t="str">
        <f t="shared" si="19"/>
        <v/>
      </c>
      <c r="C272" s="123"/>
      <c r="D272" s="131" t="str">
        <f t="array" ref="D272">IF(A272="","",SUMPRODUCT(('Detalle Turnos'!$I$3:$I$5028=$A272)*('Detalle Turnos'!$N$3:$N$5028=C272)*'Detalle Turnos'!$L$3:$L$5028))</f>
        <v/>
      </c>
      <c r="E272" s="127" t="str">
        <f t="array" ref="E272">IF(A272="","",SUMPRODUCT(('Detalle Turnos'!$I$3:$I$5028=$A272)*('Detalle Turnos'!$N$3:$N$5028=C272)*'Detalle Turnos'!$K$3:$K$5028))</f>
        <v/>
      </c>
      <c r="F272" s="127">
        <f t="shared" si="20"/>
        <v>0</v>
      </c>
      <c r="G272" s="127" t="str">
        <f t="array" ref="G272">IF(E272="","",IFERROR(SUMPRODUCT(('Facturación 2026'!$A$4:$A$920=$A272)*'Facturación 2026'!$J$4:$J$920)*E272/(SUMPRODUCT(('Caja 1'!$A$4:$A$919=$A272)*'Caja 1'!$E$4:$E$919)+SUMPRODUCT(('Caja 2'!$A$4:$A$920=$A272)*'Caja 2'!$E$4:$E$920)),0))</f>
        <v/>
      </c>
      <c r="H272" s="128" t="str">
        <f t="shared" si="21"/>
        <v/>
      </c>
      <c r="I272" s="124" t="str">
        <f t="shared" si="22"/>
        <v/>
      </c>
      <c r="J272" s="987" t="str">
        <f>IF(A272="","",IFERROR(INDEX('Facturación 2026'!$L$4:$L$500,MATCH($A272,'Facturación 2026'!$A$4:$A$500,0)),""))</f>
        <v/>
      </c>
    </row>
    <row r="273" spans="1:10" ht="15.75" customHeight="1">
      <c r="A273" s="988"/>
      <c r="B273" s="122" t="str">
        <f t="shared" si="19"/>
        <v/>
      </c>
      <c r="C273" s="123"/>
      <c r="D273" s="131" t="str">
        <f t="array" ref="D273">IF(A273="","",SUMPRODUCT(('Detalle Turnos'!$I$3:$I$5028=$A273)*('Detalle Turnos'!$N$3:$N$5028=C273)*'Detalle Turnos'!$L$3:$L$5028))</f>
        <v/>
      </c>
      <c r="E273" s="127" t="str">
        <f t="array" ref="E273">IF(A273="","",SUMPRODUCT(('Detalle Turnos'!$I$3:$I$5028=$A273)*('Detalle Turnos'!$N$3:$N$5028=C273)*'Detalle Turnos'!$K$3:$K$5028))</f>
        <v/>
      </c>
      <c r="F273" s="127">
        <f t="shared" si="20"/>
        <v>0</v>
      </c>
      <c r="G273" s="127" t="str">
        <f t="array" ref="G273">IF(E273="","",IFERROR(SUMPRODUCT(('Facturación 2026'!$A$4:$A$920=$A273)*'Facturación 2026'!$J$4:$J$920)*E273/(SUMPRODUCT(('Caja 1'!$A$4:$A$919=$A273)*'Caja 1'!$E$4:$E$919)+SUMPRODUCT(('Caja 2'!$A$4:$A$920=$A273)*'Caja 2'!$E$4:$E$920)),0))</f>
        <v/>
      </c>
      <c r="H273" s="128" t="str">
        <f t="shared" si="21"/>
        <v/>
      </c>
      <c r="I273" s="124" t="str">
        <f t="shared" si="22"/>
        <v/>
      </c>
      <c r="J273" s="987" t="str">
        <f>IF(A273="","",IFERROR(INDEX('Facturación 2026'!$L$4:$L$500,MATCH($A273,'Facturación 2026'!$A$4:$A$500,0)),""))</f>
        <v/>
      </c>
    </row>
    <row r="274" spans="1:10" ht="15.75" customHeight="1">
      <c r="A274" s="988"/>
      <c r="B274" s="122" t="str">
        <f t="shared" si="19"/>
        <v/>
      </c>
      <c r="C274" s="123"/>
      <c r="D274" s="131" t="str">
        <f t="array" ref="D274">IF(A274="","",SUMPRODUCT(('Detalle Turnos'!$I$3:$I$5028=$A274)*('Detalle Turnos'!$N$3:$N$5028=C274)*'Detalle Turnos'!$L$3:$L$5028))</f>
        <v/>
      </c>
      <c r="E274" s="127" t="str">
        <f t="array" ref="E274">IF(A274="","",SUMPRODUCT(('Detalle Turnos'!$I$3:$I$5028=$A274)*('Detalle Turnos'!$N$3:$N$5028=C274)*'Detalle Turnos'!$K$3:$K$5028))</f>
        <v/>
      </c>
      <c r="F274" s="127">
        <f t="shared" si="20"/>
        <v>0</v>
      </c>
      <c r="G274" s="127" t="str">
        <f t="array" ref="G274">IF(E274="","",IFERROR(SUMPRODUCT(('Facturación 2026'!$A$4:$A$920=$A274)*'Facturación 2026'!$J$4:$J$920)*E274/(SUMPRODUCT(('Caja 1'!$A$4:$A$919=$A274)*'Caja 1'!$E$4:$E$919)+SUMPRODUCT(('Caja 2'!$A$4:$A$920=$A274)*'Caja 2'!$E$4:$E$920)),0))</f>
        <v/>
      </c>
      <c r="H274" s="128" t="str">
        <f t="shared" si="21"/>
        <v/>
      </c>
      <c r="I274" s="124" t="str">
        <f t="shared" si="22"/>
        <v/>
      </c>
      <c r="J274" s="987" t="str">
        <f>IF(A274="","",IFERROR(INDEX('Facturación 2026'!$L$4:$L$500,MATCH($A274,'Facturación 2026'!$A$4:$A$500,0)),""))</f>
        <v/>
      </c>
    </row>
    <row r="275" spans="1:10" ht="15.75" customHeight="1">
      <c r="A275" s="988"/>
      <c r="B275" s="122" t="str">
        <f t="shared" si="19"/>
        <v/>
      </c>
      <c r="C275" s="123"/>
      <c r="D275" s="131" t="str">
        <f t="array" ref="D275">IF(A275="","",SUMPRODUCT(('Detalle Turnos'!$I$3:$I$5028=$A275)*('Detalle Turnos'!$N$3:$N$5028=C275)*'Detalle Turnos'!$L$3:$L$5028))</f>
        <v/>
      </c>
      <c r="E275" s="127" t="str">
        <f t="array" ref="E275">IF(A275="","",SUMPRODUCT(('Detalle Turnos'!$I$3:$I$5028=$A275)*('Detalle Turnos'!$N$3:$N$5028=C275)*'Detalle Turnos'!$K$3:$K$5028))</f>
        <v/>
      </c>
      <c r="F275" s="127">
        <f t="shared" si="20"/>
        <v>0</v>
      </c>
      <c r="G275" s="127" t="str">
        <f t="array" ref="G275">IF(E275="","",IFERROR(SUMPRODUCT(('Facturación 2026'!$A$4:$A$920=$A275)*'Facturación 2026'!$J$4:$J$920)*E275/(SUMPRODUCT(('Caja 1'!$A$4:$A$919=$A275)*'Caja 1'!$E$4:$E$919)+SUMPRODUCT(('Caja 2'!$A$4:$A$920=$A275)*'Caja 2'!$E$4:$E$920)),0))</f>
        <v/>
      </c>
      <c r="H275" s="128" t="str">
        <f t="shared" si="21"/>
        <v/>
      </c>
      <c r="I275" s="124" t="str">
        <f t="shared" si="22"/>
        <v/>
      </c>
      <c r="J275" s="987" t="str">
        <f>IF(A275="","",IFERROR(INDEX('Facturación 2026'!$L$4:$L$500,MATCH($A275,'Facturación 2026'!$A$4:$A$500,0)),""))</f>
        <v/>
      </c>
    </row>
    <row r="276" spans="1:10" ht="15.75" customHeight="1">
      <c r="A276" s="988"/>
      <c r="B276" s="122" t="str">
        <f t="shared" si="19"/>
        <v/>
      </c>
      <c r="C276" s="123"/>
      <c r="D276" s="131" t="str">
        <f t="array" ref="D276">IF(A276="","",SUMPRODUCT(('Detalle Turnos'!$I$3:$I$5028=$A276)*('Detalle Turnos'!$N$3:$N$5028=C276)*'Detalle Turnos'!$L$3:$L$5028))</f>
        <v/>
      </c>
      <c r="E276" s="127" t="str">
        <f t="array" ref="E276">IF(A276="","",SUMPRODUCT(('Detalle Turnos'!$I$3:$I$5028=$A276)*('Detalle Turnos'!$N$3:$N$5028=C276)*'Detalle Turnos'!$K$3:$K$5028))</f>
        <v/>
      </c>
      <c r="F276" s="127">
        <f t="shared" si="20"/>
        <v>0</v>
      </c>
      <c r="G276" s="127" t="str">
        <f t="array" ref="G276">IF(E276="","",IFERROR(SUMPRODUCT(('Facturación 2026'!$A$4:$A$920=$A276)*'Facturación 2026'!$J$4:$J$920)*E276/(SUMPRODUCT(('Caja 1'!$A$4:$A$919=$A276)*'Caja 1'!$E$4:$E$919)+SUMPRODUCT(('Caja 2'!$A$4:$A$920=$A276)*'Caja 2'!$E$4:$E$920)),0))</f>
        <v/>
      </c>
      <c r="H276" s="128" t="str">
        <f t="shared" si="21"/>
        <v/>
      </c>
      <c r="I276" s="124" t="str">
        <f t="shared" si="22"/>
        <v/>
      </c>
      <c r="J276" s="987" t="str">
        <f>IF(A276="","",IFERROR(INDEX('Facturación 2026'!$L$4:$L$500,MATCH($A276,'Facturación 2026'!$A$4:$A$500,0)),""))</f>
        <v/>
      </c>
    </row>
    <row r="277" spans="1:10" ht="15.75" customHeight="1">
      <c r="A277" s="988"/>
      <c r="B277" s="122" t="str">
        <f t="shared" si="19"/>
        <v/>
      </c>
      <c r="C277" s="123"/>
      <c r="D277" s="131" t="str">
        <f t="array" ref="D277">IF(A277="","",SUMPRODUCT(('Detalle Turnos'!$I$3:$I$5028=$A277)*('Detalle Turnos'!$N$3:$N$5028=C277)*'Detalle Turnos'!$L$3:$L$5028))</f>
        <v/>
      </c>
      <c r="E277" s="127" t="str">
        <f t="array" ref="E277">IF(A277="","",SUMPRODUCT(('Detalle Turnos'!$I$3:$I$5028=$A277)*('Detalle Turnos'!$N$3:$N$5028=C277)*'Detalle Turnos'!$K$3:$K$5028))</f>
        <v/>
      </c>
      <c r="F277" s="127">
        <f t="shared" si="20"/>
        <v>0</v>
      </c>
      <c r="G277" s="127" t="str">
        <f t="array" ref="G277">IF(E277="","",IFERROR(SUMPRODUCT(('Facturación 2026'!$A$4:$A$920=$A277)*'Facturación 2026'!$J$4:$J$920)*E277/(SUMPRODUCT(('Caja 1'!$A$4:$A$919=$A277)*'Caja 1'!$E$4:$E$919)+SUMPRODUCT(('Caja 2'!$A$4:$A$920=$A277)*'Caja 2'!$E$4:$E$920)),0))</f>
        <v/>
      </c>
      <c r="H277" s="128" t="str">
        <f t="shared" si="21"/>
        <v/>
      </c>
      <c r="I277" s="124" t="str">
        <f t="shared" si="22"/>
        <v/>
      </c>
      <c r="J277" s="987" t="str">
        <f>IF(A277="","",IFERROR(INDEX('Facturación 2026'!$L$4:$L$500,MATCH($A277,'Facturación 2026'!$A$4:$A$500,0)),""))</f>
        <v/>
      </c>
    </row>
    <row r="278" spans="1:10" ht="15.75" customHeight="1">
      <c r="A278" s="988"/>
      <c r="B278" s="122" t="str">
        <f t="shared" si="19"/>
        <v/>
      </c>
      <c r="C278" s="123"/>
      <c r="D278" s="131" t="str">
        <f t="array" ref="D278">IF(A278="","",SUMPRODUCT(('Detalle Turnos'!$I$3:$I$5028=$A278)*('Detalle Turnos'!$N$3:$N$5028=C278)*'Detalle Turnos'!$L$3:$L$5028))</f>
        <v/>
      </c>
      <c r="E278" s="127" t="str">
        <f t="array" ref="E278">IF(A278="","",SUMPRODUCT(('Detalle Turnos'!$I$3:$I$5028=$A278)*('Detalle Turnos'!$N$3:$N$5028=C278)*'Detalle Turnos'!$K$3:$K$5028))</f>
        <v/>
      </c>
      <c r="F278" s="127">
        <f t="shared" si="20"/>
        <v>0</v>
      </c>
      <c r="G278" s="127" t="str">
        <f t="array" ref="G278">IF(E278="","",IFERROR(SUMPRODUCT(('Facturación 2026'!$A$4:$A$920=$A278)*'Facturación 2026'!$J$4:$J$920)*E278/(SUMPRODUCT(('Caja 1'!$A$4:$A$919=$A278)*'Caja 1'!$E$4:$E$919)+SUMPRODUCT(('Caja 2'!$A$4:$A$920=$A278)*'Caja 2'!$E$4:$E$920)),0))</f>
        <v/>
      </c>
      <c r="H278" s="128" t="str">
        <f t="shared" si="21"/>
        <v/>
      </c>
      <c r="I278" s="124" t="str">
        <f t="shared" si="22"/>
        <v/>
      </c>
      <c r="J278" s="987" t="str">
        <f>IF(A278="","",IFERROR(INDEX('Facturación 2026'!$L$4:$L$500,MATCH($A278,'Facturación 2026'!$A$4:$A$500,0)),""))</f>
        <v/>
      </c>
    </row>
    <row r="279" spans="1:10" ht="15.75" customHeight="1">
      <c r="A279" s="988"/>
      <c r="B279" s="122" t="str">
        <f t="shared" si="19"/>
        <v/>
      </c>
      <c r="C279" s="123"/>
      <c r="D279" s="131" t="str">
        <f t="array" ref="D279">IF(A279="","",SUMPRODUCT(('Detalle Turnos'!$I$3:$I$5028=$A279)*('Detalle Turnos'!$N$3:$N$5028=C279)*'Detalle Turnos'!$L$3:$L$5028))</f>
        <v/>
      </c>
      <c r="E279" s="127" t="str">
        <f t="array" ref="E279">IF(A279="","",SUMPRODUCT(('Detalle Turnos'!$I$3:$I$5028=$A279)*('Detalle Turnos'!$N$3:$N$5028=C279)*'Detalle Turnos'!$K$3:$K$5028))</f>
        <v/>
      </c>
      <c r="F279" s="127">
        <f t="shared" si="20"/>
        <v>0</v>
      </c>
      <c r="G279" s="127" t="str">
        <f t="array" ref="G279">IF(E279="","",IFERROR(SUMPRODUCT(('Facturación 2026'!$A$4:$A$920=$A279)*'Facturación 2026'!$J$4:$J$920)*E279/(SUMPRODUCT(('Caja 1'!$A$4:$A$919=$A279)*'Caja 1'!$E$4:$E$919)+SUMPRODUCT(('Caja 2'!$A$4:$A$920=$A279)*'Caja 2'!$E$4:$E$920)),0))</f>
        <v/>
      </c>
      <c r="H279" s="128" t="str">
        <f t="shared" si="21"/>
        <v/>
      </c>
      <c r="I279" s="124" t="str">
        <f t="shared" si="22"/>
        <v/>
      </c>
      <c r="J279" s="987" t="str">
        <f>IF(A279="","",IFERROR(INDEX('Facturación 2026'!$L$4:$L$500,MATCH($A279,'Facturación 2026'!$A$4:$A$500,0)),""))</f>
        <v/>
      </c>
    </row>
    <row r="280" spans="1:10" ht="15.75" customHeight="1">
      <c r="A280" s="988"/>
      <c r="B280" s="122" t="str">
        <f t="shared" si="19"/>
        <v/>
      </c>
      <c r="C280" s="123"/>
      <c r="D280" s="131" t="str">
        <f t="array" ref="D280">IF(A280="","",SUMPRODUCT(('Detalle Turnos'!$I$3:$I$5028=$A280)*('Detalle Turnos'!$N$3:$N$5028=C280)*'Detalle Turnos'!$L$3:$L$5028))</f>
        <v/>
      </c>
      <c r="E280" s="127" t="str">
        <f t="array" ref="E280">IF(A280="","",SUMPRODUCT(('Detalle Turnos'!$I$3:$I$5028=$A280)*('Detalle Turnos'!$N$3:$N$5028=C280)*'Detalle Turnos'!$K$3:$K$5028))</f>
        <v/>
      </c>
      <c r="F280" s="127">
        <f t="shared" si="20"/>
        <v>0</v>
      </c>
      <c r="G280" s="127" t="str">
        <f t="array" ref="G280">IF(E280="","",IFERROR(SUMPRODUCT(('Facturación 2026'!$A$4:$A$920=$A280)*'Facturación 2026'!$J$4:$J$920)*E280/(SUMPRODUCT(('Caja 1'!$A$4:$A$919=$A280)*'Caja 1'!$E$4:$E$919)+SUMPRODUCT(('Caja 2'!$A$4:$A$920=$A280)*'Caja 2'!$E$4:$E$920)),0))</f>
        <v/>
      </c>
      <c r="H280" s="128" t="str">
        <f t="shared" si="21"/>
        <v/>
      </c>
      <c r="I280" s="124" t="str">
        <f t="shared" si="22"/>
        <v/>
      </c>
      <c r="J280" s="987" t="str">
        <f>IF(A280="","",IFERROR(INDEX('Facturación 2026'!$L$4:$L$500,MATCH($A280,'Facturación 2026'!$A$4:$A$500,0)),""))</f>
        <v/>
      </c>
    </row>
    <row r="281" spans="1:10" ht="15.75" customHeight="1">
      <c r="A281" s="988"/>
      <c r="B281" s="122" t="str">
        <f t="shared" si="19"/>
        <v/>
      </c>
      <c r="C281" s="123"/>
      <c r="D281" s="131" t="str">
        <f t="array" ref="D281">IF(A281="","",SUMPRODUCT(('Detalle Turnos'!$I$3:$I$5028=$A281)*('Detalle Turnos'!$N$3:$N$5028=C281)*'Detalle Turnos'!$L$3:$L$5028))</f>
        <v/>
      </c>
      <c r="E281" s="127" t="str">
        <f t="array" ref="E281">IF(A281="","",SUMPRODUCT(('Detalle Turnos'!$I$3:$I$5028=$A281)*('Detalle Turnos'!$N$3:$N$5028=C281)*'Detalle Turnos'!$K$3:$K$5028))</f>
        <v/>
      </c>
      <c r="F281" s="127">
        <f t="shared" si="20"/>
        <v>0</v>
      </c>
      <c r="G281" s="127" t="str">
        <f t="array" ref="G281">IF(E281="","",IFERROR(SUMPRODUCT(('Facturación 2026'!$A$4:$A$920=$A281)*'Facturación 2026'!$J$4:$J$920)*E281/(SUMPRODUCT(('Caja 1'!$A$4:$A$919=$A281)*'Caja 1'!$E$4:$E$919)+SUMPRODUCT(('Caja 2'!$A$4:$A$920=$A281)*'Caja 2'!$E$4:$E$920)),0))</f>
        <v/>
      </c>
      <c r="H281" s="128" t="str">
        <f t="shared" si="21"/>
        <v/>
      </c>
      <c r="I281" s="124" t="str">
        <f t="shared" si="22"/>
        <v/>
      </c>
      <c r="J281" s="987" t="str">
        <f>IF(A281="","",IFERROR(INDEX('Facturación 2026'!$L$4:$L$500,MATCH($A281,'Facturación 2026'!$A$4:$A$500,0)),""))</f>
        <v/>
      </c>
    </row>
    <row r="282" spans="1:10" ht="15.75" customHeight="1">
      <c r="A282" s="988"/>
      <c r="B282" s="122" t="str">
        <f t="shared" si="19"/>
        <v/>
      </c>
      <c r="C282" s="123"/>
      <c r="D282" s="131" t="str">
        <f t="array" ref="D282">IF(A282="","",SUMPRODUCT(('Detalle Turnos'!$I$3:$I$5028=$A282)*('Detalle Turnos'!$N$3:$N$5028=C282)*'Detalle Turnos'!$L$3:$L$5028))</f>
        <v/>
      </c>
      <c r="E282" s="127" t="str">
        <f t="array" ref="E282">IF(A282="","",SUMPRODUCT(('Detalle Turnos'!$I$3:$I$5028=$A282)*('Detalle Turnos'!$N$3:$N$5028=C282)*'Detalle Turnos'!$K$3:$K$5028))</f>
        <v/>
      </c>
      <c r="F282" s="127">
        <f t="shared" si="20"/>
        <v>0</v>
      </c>
      <c r="G282" s="127" t="str">
        <f t="array" ref="G282">IF(E282="","",IFERROR(SUMPRODUCT(('Facturación 2026'!$A$4:$A$920=$A282)*'Facturación 2026'!$J$4:$J$920)*E282/(SUMPRODUCT(('Caja 1'!$A$4:$A$919=$A282)*'Caja 1'!$E$4:$E$919)+SUMPRODUCT(('Caja 2'!$A$4:$A$920=$A282)*'Caja 2'!$E$4:$E$920)),0))</f>
        <v/>
      </c>
      <c r="H282" s="128" t="str">
        <f t="shared" si="21"/>
        <v/>
      </c>
      <c r="I282" s="124" t="str">
        <f t="shared" si="22"/>
        <v/>
      </c>
      <c r="J282" s="987" t="str">
        <f>IF(A282="","",IFERROR(INDEX('Facturación 2026'!$L$4:$L$500,MATCH($A282,'Facturación 2026'!$A$4:$A$500,0)),""))</f>
        <v/>
      </c>
    </row>
    <row r="283" spans="1:10" ht="15.75" customHeight="1">
      <c r="A283" s="988"/>
      <c r="B283" s="122" t="str">
        <f t="shared" si="19"/>
        <v/>
      </c>
      <c r="C283" s="123"/>
      <c r="D283" s="131" t="str">
        <f t="array" ref="D283">IF(A283="","",SUMPRODUCT(('Detalle Turnos'!$I$3:$I$5028=$A283)*('Detalle Turnos'!$N$3:$N$5028=C283)*'Detalle Turnos'!$L$3:$L$5028))</f>
        <v/>
      </c>
      <c r="E283" s="127" t="str">
        <f t="array" ref="E283">IF(A283="","",SUMPRODUCT(('Detalle Turnos'!$I$3:$I$5028=$A283)*('Detalle Turnos'!$N$3:$N$5028=C283)*'Detalle Turnos'!$K$3:$K$5028))</f>
        <v/>
      </c>
      <c r="F283" s="127">
        <f t="shared" si="20"/>
        <v>0</v>
      </c>
      <c r="G283" s="127" t="str">
        <f t="array" ref="G283">IF(E283="","",IFERROR(SUMPRODUCT(('Facturación 2026'!$A$4:$A$920=$A283)*'Facturación 2026'!$J$4:$J$920)*E283/(SUMPRODUCT(('Caja 1'!$A$4:$A$919=$A283)*'Caja 1'!$E$4:$E$919)+SUMPRODUCT(('Caja 2'!$A$4:$A$920=$A283)*'Caja 2'!$E$4:$E$920)),0))</f>
        <v/>
      </c>
      <c r="H283" s="128" t="str">
        <f t="shared" si="21"/>
        <v/>
      </c>
      <c r="I283" s="124" t="str">
        <f t="shared" si="22"/>
        <v/>
      </c>
      <c r="J283" s="987" t="str">
        <f>IF(A283="","",IFERROR(INDEX('Facturación 2026'!$L$4:$L$500,MATCH($A283,'Facturación 2026'!$A$4:$A$500,0)),""))</f>
        <v/>
      </c>
    </row>
    <row r="284" spans="1:10" ht="15.75" customHeight="1">
      <c r="A284" s="988"/>
      <c r="B284" s="122" t="str">
        <f t="shared" si="19"/>
        <v/>
      </c>
      <c r="C284" s="123"/>
      <c r="D284" s="131" t="str">
        <f t="array" ref="D284">IF(A284="","",SUMPRODUCT(('Detalle Turnos'!$I$3:$I$5028=$A284)*('Detalle Turnos'!$N$3:$N$5028=C284)*'Detalle Turnos'!$L$3:$L$5028))</f>
        <v/>
      </c>
      <c r="E284" s="127" t="str">
        <f t="array" ref="E284">IF(A284="","",SUMPRODUCT(('Detalle Turnos'!$I$3:$I$5028=$A284)*('Detalle Turnos'!$N$3:$N$5028=C284)*'Detalle Turnos'!$K$3:$K$5028))</f>
        <v/>
      </c>
      <c r="F284" s="127">
        <f t="shared" si="20"/>
        <v>0</v>
      </c>
      <c r="G284" s="127" t="str">
        <f t="array" ref="G284">IF(E284="","",IFERROR(SUMPRODUCT(('Facturación 2026'!$A$4:$A$920=$A284)*'Facturación 2026'!$J$4:$J$920)*E284/(SUMPRODUCT(('Caja 1'!$A$4:$A$919=$A284)*'Caja 1'!$E$4:$E$919)+SUMPRODUCT(('Caja 2'!$A$4:$A$920=$A284)*'Caja 2'!$E$4:$E$920)),0))</f>
        <v/>
      </c>
      <c r="H284" s="128" t="str">
        <f t="shared" si="21"/>
        <v/>
      </c>
      <c r="I284" s="124" t="str">
        <f t="shared" si="22"/>
        <v/>
      </c>
      <c r="J284" s="987" t="str">
        <f>IF(A284="","",IFERROR(INDEX('Facturación 2026'!$L$4:$L$500,MATCH($A284,'Facturación 2026'!$A$4:$A$500,0)),""))</f>
        <v/>
      </c>
    </row>
    <row r="285" spans="1:10" ht="15.75" customHeight="1">
      <c r="A285" s="988"/>
      <c r="B285" s="122" t="str">
        <f t="shared" si="19"/>
        <v/>
      </c>
      <c r="C285" s="123"/>
      <c r="D285" s="131" t="str">
        <f t="array" ref="D285">IF(A285="","",SUMPRODUCT(('Detalle Turnos'!$I$3:$I$5028=$A285)*('Detalle Turnos'!$N$3:$N$5028=C285)*'Detalle Turnos'!$L$3:$L$5028))</f>
        <v/>
      </c>
      <c r="E285" s="127" t="str">
        <f t="array" ref="E285">IF(A285="","",SUMPRODUCT(('Detalle Turnos'!$I$3:$I$5028=$A285)*('Detalle Turnos'!$N$3:$N$5028=C285)*'Detalle Turnos'!$K$3:$K$5028))</f>
        <v/>
      </c>
      <c r="F285" s="127">
        <f t="shared" si="20"/>
        <v>0</v>
      </c>
      <c r="G285" s="127" t="str">
        <f t="array" ref="G285">IF(E285="","",IFERROR(SUMPRODUCT(('Facturación 2026'!$A$4:$A$920=$A285)*'Facturación 2026'!$J$4:$J$920)*E285/(SUMPRODUCT(('Caja 1'!$A$4:$A$919=$A285)*'Caja 1'!$E$4:$E$919)+SUMPRODUCT(('Caja 2'!$A$4:$A$920=$A285)*'Caja 2'!$E$4:$E$920)),0))</f>
        <v/>
      </c>
      <c r="H285" s="128" t="str">
        <f t="shared" si="21"/>
        <v/>
      </c>
      <c r="I285" s="124" t="str">
        <f t="shared" si="22"/>
        <v/>
      </c>
      <c r="J285" s="987" t="str">
        <f>IF(A285="","",IFERROR(INDEX('Facturación 2026'!$L$4:$L$500,MATCH($A285,'Facturación 2026'!$A$4:$A$500,0)),""))</f>
        <v/>
      </c>
    </row>
    <row r="286" spans="1:10" ht="15.75" customHeight="1">
      <c r="A286" s="988"/>
      <c r="B286" s="122" t="str">
        <f t="shared" si="19"/>
        <v/>
      </c>
      <c r="C286" s="123"/>
      <c r="D286" s="131" t="str">
        <f t="array" ref="D286">IF(A286="","",SUMPRODUCT(('Detalle Turnos'!$I$3:$I$5028=$A286)*('Detalle Turnos'!$N$3:$N$5028=C286)*'Detalle Turnos'!$L$3:$L$5028))</f>
        <v/>
      </c>
      <c r="E286" s="127" t="str">
        <f t="array" ref="E286">IF(A286="","",SUMPRODUCT(('Detalle Turnos'!$I$3:$I$5028=$A286)*('Detalle Turnos'!$N$3:$N$5028=C286)*'Detalle Turnos'!$K$3:$K$5028))</f>
        <v/>
      </c>
      <c r="F286" s="127">
        <f t="shared" si="20"/>
        <v>0</v>
      </c>
      <c r="G286" s="127" t="str">
        <f t="array" ref="G286">IF(E286="","",IFERROR(SUMPRODUCT(('Facturación 2026'!$A$4:$A$920=$A286)*'Facturación 2026'!$J$4:$J$920)*E286/(SUMPRODUCT(('Caja 1'!$A$4:$A$919=$A286)*'Caja 1'!$E$4:$E$919)+SUMPRODUCT(('Caja 2'!$A$4:$A$920=$A286)*'Caja 2'!$E$4:$E$920)),0))</f>
        <v/>
      </c>
      <c r="H286" s="128" t="str">
        <f t="shared" si="21"/>
        <v/>
      </c>
      <c r="I286" s="124" t="str">
        <f t="shared" si="22"/>
        <v/>
      </c>
      <c r="J286" s="987" t="str">
        <f>IF(A286="","",IFERROR(INDEX('Facturación 2026'!$L$4:$L$500,MATCH($A286,'Facturación 2026'!$A$4:$A$500,0)),""))</f>
        <v/>
      </c>
    </row>
    <row r="287" spans="1:10" ht="15.75" customHeight="1">
      <c r="A287" s="988"/>
      <c r="B287" s="122" t="str">
        <f t="shared" si="19"/>
        <v/>
      </c>
      <c r="C287" s="123"/>
      <c r="D287" s="131" t="str">
        <f t="array" ref="D287">IF(A287="","",SUMPRODUCT(('Detalle Turnos'!$I$3:$I$5028=$A287)*('Detalle Turnos'!$N$3:$N$5028=C287)*'Detalle Turnos'!$L$3:$L$5028))</f>
        <v/>
      </c>
      <c r="E287" s="127" t="str">
        <f t="array" ref="E287">IF(A287="","",SUMPRODUCT(('Detalle Turnos'!$I$3:$I$5028=$A287)*('Detalle Turnos'!$N$3:$N$5028=C287)*'Detalle Turnos'!$K$3:$K$5028))</f>
        <v/>
      </c>
      <c r="F287" s="127">
        <f t="shared" si="20"/>
        <v>0</v>
      </c>
      <c r="G287" s="127" t="str">
        <f t="array" ref="G287">IF(E287="","",IFERROR(SUMPRODUCT(('Facturación 2026'!$A$4:$A$920=$A287)*'Facturación 2026'!$J$4:$J$920)*E287/(SUMPRODUCT(('Caja 1'!$A$4:$A$919=$A287)*'Caja 1'!$E$4:$E$919)+SUMPRODUCT(('Caja 2'!$A$4:$A$920=$A287)*'Caja 2'!$E$4:$E$920)),0))</f>
        <v/>
      </c>
      <c r="H287" s="128" t="str">
        <f t="shared" si="21"/>
        <v/>
      </c>
      <c r="I287" s="124" t="str">
        <f t="shared" si="22"/>
        <v/>
      </c>
      <c r="J287" s="987" t="str">
        <f>IF(A287="","",IFERROR(INDEX('Facturación 2026'!$L$4:$L$500,MATCH($A287,'Facturación 2026'!$A$4:$A$500,0)),""))</f>
        <v/>
      </c>
    </row>
    <row r="288" spans="1:10" ht="15.75" customHeight="1">
      <c r="A288" s="988"/>
      <c r="B288" s="122" t="str">
        <f t="shared" si="19"/>
        <v/>
      </c>
      <c r="C288" s="123"/>
      <c r="D288" s="131" t="str">
        <f t="array" ref="D288">IF(A288="","",SUMPRODUCT(('Detalle Turnos'!$I$3:$I$5028=$A288)*('Detalle Turnos'!$N$3:$N$5028=C288)*'Detalle Turnos'!$L$3:$L$5028))</f>
        <v/>
      </c>
      <c r="E288" s="127" t="str">
        <f t="array" ref="E288">IF(A288="","",SUMPRODUCT(('Detalle Turnos'!$I$3:$I$5028=$A288)*('Detalle Turnos'!$N$3:$N$5028=C288)*'Detalle Turnos'!$K$3:$K$5028))</f>
        <v/>
      </c>
      <c r="F288" s="127">
        <f t="shared" si="20"/>
        <v>0</v>
      </c>
      <c r="G288" s="127" t="str">
        <f t="array" ref="G288">IF(E288="","",IFERROR(SUMPRODUCT(('Facturación 2026'!$A$4:$A$920=$A288)*'Facturación 2026'!$J$4:$J$920)*E288/(SUMPRODUCT(('Caja 1'!$A$4:$A$919=$A288)*'Caja 1'!$E$4:$E$919)+SUMPRODUCT(('Caja 2'!$A$4:$A$920=$A288)*'Caja 2'!$E$4:$E$920)),0))</f>
        <v/>
      </c>
      <c r="H288" s="128" t="str">
        <f t="shared" si="21"/>
        <v/>
      </c>
      <c r="I288" s="124" t="str">
        <f t="shared" si="22"/>
        <v/>
      </c>
      <c r="J288" s="987" t="str">
        <f>IF(A288="","",IFERROR(INDEX('Facturación 2026'!$L$4:$L$500,MATCH($A288,'Facturación 2026'!$A$4:$A$500,0)),""))</f>
        <v/>
      </c>
    </row>
    <row r="289" spans="1:10" ht="15.75" customHeight="1">
      <c r="A289" s="988"/>
      <c r="B289" s="122" t="str">
        <f t="shared" si="19"/>
        <v/>
      </c>
      <c r="C289" s="123"/>
      <c r="D289" s="131" t="str">
        <f t="array" ref="D289">IF(A289="","",SUMPRODUCT(('Detalle Turnos'!$I$3:$I$5028=$A289)*('Detalle Turnos'!$N$3:$N$5028=C289)*'Detalle Turnos'!$L$3:$L$5028))</f>
        <v/>
      </c>
      <c r="E289" s="127" t="str">
        <f t="array" ref="E289">IF(A289="","",SUMPRODUCT(('Detalle Turnos'!$I$3:$I$5028=$A289)*('Detalle Turnos'!$N$3:$N$5028=C289)*'Detalle Turnos'!$K$3:$K$5028))</f>
        <v/>
      </c>
      <c r="F289" s="127">
        <f t="shared" si="20"/>
        <v>0</v>
      </c>
      <c r="G289" s="127" t="str">
        <f t="array" ref="G289">IF(E289="","",IFERROR(SUMPRODUCT(('Facturación 2026'!$A$4:$A$920=$A289)*'Facturación 2026'!$J$4:$J$920)*E289/(SUMPRODUCT(('Caja 1'!$A$4:$A$919=$A289)*'Caja 1'!$E$4:$E$919)+SUMPRODUCT(('Caja 2'!$A$4:$A$920=$A289)*'Caja 2'!$E$4:$E$920)),0))</f>
        <v/>
      </c>
      <c r="H289" s="128" t="str">
        <f t="shared" si="21"/>
        <v/>
      </c>
      <c r="I289" s="124" t="str">
        <f t="shared" si="22"/>
        <v/>
      </c>
      <c r="J289" s="987" t="str">
        <f>IF(A289="","",IFERROR(INDEX('Facturación 2026'!$L$4:$L$500,MATCH($A289,'Facturación 2026'!$A$4:$A$500,0)),""))</f>
        <v/>
      </c>
    </row>
    <row r="290" spans="1:10" ht="15.75" customHeight="1">
      <c r="A290" s="988"/>
      <c r="B290" s="122" t="str">
        <f t="shared" si="19"/>
        <v/>
      </c>
      <c r="C290" s="123"/>
      <c r="D290" s="131" t="str">
        <f t="array" ref="D290">IF(A290="","",SUMPRODUCT(('Detalle Turnos'!$I$3:$I$5028=$A290)*('Detalle Turnos'!$N$3:$N$5028=C290)*'Detalle Turnos'!$L$3:$L$5028))</f>
        <v/>
      </c>
      <c r="E290" s="127" t="str">
        <f t="array" ref="E290">IF(A290="","",SUMPRODUCT(('Detalle Turnos'!$I$3:$I$5028=$A290)*('Detalle Turnos'!$N$3:$N$5028=C290)*'Detalle Turnos'!$K$3:$K$5028))</f>
        <v/>
      </c>
      <c r="F290" s="127">
        <f t="shared" si="20"/>
        <v>0</v>
      </c>
      <c r="G290" s="127" t="str">
        <f t="array" ref="G290">IF(E290="","",IFERROR(SUMPRODUCT(('Facturación 2026'!$A$4:$A$920=$A290)*'Facturación 2026'!$J$4:$J$920)*E290/(SUMPRODUCT(('Caja 1'!$A$4:$A$919=$A290)*'Caja 1'!$E$4:$E$919)+SUMPRODUCT(('Caja 2'!$A$4:$A$920=$A290)*'Caja 2'!$E$4:$E$920)),0))</f>
        <v/>
      </c>
      <c r="H290" s="128" t="str">
        <f t="shared" si="21"/>
        <v/>
      </c>
      <c r="I290" s="124" t="str">
        <f t="shared" si="22"/>
        <v/>
      </c>
      <c r="J290" s="987" t="str">
        <f>IF(A290="","",IFERROR(INDEX('Facturación 2026'!$L$4:$L$500,MATCH($A290,'Facturación 2026'!$A$4:$A$500,0)),""))</f>
        <v/>
      </c>
    </row>
    <row r="291" spans="1:10" ht="15.75" customHeight="1">
      <c r="A291" s="988"/>
      <c r="B291" s="122" t="str">
        <f t="shared" si="19"/>
        <v/>
      </c>
      <c r="C291" s="123"/>
      <c r="D291" s="131" t="str">
        <f t="array" ref="D291">IF(A291="","",SUMPRODUCT(('Detalle Turnos'!$I$3:$I$5028=$A291)*('Detalle Turnos'!$N$3:$N$5028=C291)*'Detalle Turnos'!$L$3:$L$5028))</f>
        <v/>
      </c>
      <c r="E291" s="127" t="str">
        <f t="array" ref="E291">IF(A291="","",SUMPRODUCT(('Detalle Turnos'!$I$3:$I$5028=$A291)*('Detalle Turnos'!$N$3:$N$5028=C291)*'Detalle Turnos'!$K$3:$K$5028))</f>
        <v/>
      </c>
      <c r="F291" s="127">
        <f t="shared" si="20"/>
        <v>0</v>
      </c>
      <c r="G291" s="127" t="str">
        <f t="array" ref="G291">IF(E291="","",IFERROR(SUMPRODUCT(('Facturación 2026'!$A$4:$A$920=$A291)*'Facturación 2026'!$J$4:$J$920)*E291/(SUMPRODUCT(('Caja 1'!$A$4:$A$919=$A291)*'Caja 1'!$E$4:$E$919)+SUMPRODUCT(('Caja 2'!$A$4:$A$920=$A291)*'Caja 2'!$E$4:$E$920)),0))</f>
        <v/>
      </c>
      <c r="H291" s="128" t="str">
        <f t="shared" si="21"/>
        <v/>
      </c>
      <c r="I291" s="124" t="str">
        <f t="shared" si="22"/>
        <v/>
      </c>
      <c r="J291" s="987" t="str">
        <f>IF(A291="","",IFERROR(INDEX('Facturación 2026'!$L$4:$L$500,MATCH($A291,'Facturación 2026'!$A$4:$A$500,0)),""))</f>
        <v/>
      </c>
    </row>
    <row r="292" spans="1:10" ht="15.75" customHeight="1">
      <c r="A292" s="988"/>
      <c r="B292" s="122" t="str">
        <f t="shared" si="19"/>
        <v/>
      </c>
      <c r="C292" s="123"/>
      <c r="D292" s="131" t="str">
        <f t="array" ref="D292">IF(A292="","",SUMPRODUCT(('Detalle Turnos'!$I$3:$I$5028=$A292)*('Detalle Turnos'!$N$3:$N$5028=C292)*'Detalle Turnos'!$L$3:$L$5028))</f>
        <v/>
      </c>
      <c r="E292" s="127" t="str">
        <f t="array" ref="E292">IF(A292="","",SUMPRODUCT(('Detalle Turnos'!$I$3:$I$5028=$A292)*('Detalle Turnos'!$N$3:$N$5028=C292)*'Detalle Turnos'!$K$3:$K$5028))</f>
        <v/>
      </c>
      <c r="F292" s="127">
        <f t="shared" si="20"/>
        <v>0</v>
      </c>
      <c r="G292" s="127" t="str">
        <f t="array" ref="G292">IF(E292="","",IFERROR(SUMPRODUCT(('Facturación 2026'!$A$4:$A$920=$A292)*'Facturación 2026'!$J$4:$J$920)*E292/(SUMPRODUCT(('Caja 1'!$A$4:$A$919=$A292)*'Caja 1'!$E$4:$E$919)+SUMPRODUCT(('Caja 2'!$A$4:$A$920=$A292)*'Caja 2'!$E$4:$E$920)),0))</f>
        <v/>
      </c>
      <c r="H292" s="128" t="str">
        <f t="shared" si="21"/>
        <v/>
      </c>
      <c r="I292" s="124" t="str">
        <f t="shared" si="22"/>
        <v/>
      </c>
      <c r="J292" s="987" t="str">
        <f>IF(A292="","",IFERROR(INDEX('Facturación 2026'!$L$4:$L$500,MATCH($A292,'Facturación 2026'!$A$4:$A$500,0)),""))</f>
        <v/>
      </c>
    </row>
    <row r="293" spans="1:10" ht="15.75" customHeight="1">
      <c r="A293" s="988"/>
      <c r="B293" s="122" t="str">
        <f t="shared" si="19"/>
        <v/>
      </c>
      <c r="C293" s="123"/>
      <c r="D293" s="131" t="str">
        <f t="array" ref="D293">IF(A293="","",SUMPRODUCT(('Detalle Turnos'!$I$3:$I$5028=$A293)*('Detalle Turnos'!$N$3:$N$5028=C293)*'Detalle Turnos'!$L$3:$L$5028))</f>
        <v/>
      </c>
      <c r="E293" s="127" t="str">
        <f t="array" ref="E293">IF(A293="","",SUMPRODUCT(('Detalle Turnos'!$I$3:$I$5028=$A293)*('Detalle Turnos'!$N$3:$N$5028=C293)*'Detalle Turnos'!$K$3:$K$5028))</f>
        <v/>
      </c>
      <c r="F293" s="127">
        <f t="shared" si="20"/>
        <v>0</v>
      </c>
      <c r="G293" s="127" t="str">
        <f t="array" ref="G293">IF(E293="","",IFERROR(SUMPRODUCT(('Facturación 2026'!$A$4:$A$920=$A293)*'Facturación 2026'!$J$4:$J$920)*E293/(SUMPRODUCT(('Caja 1'!$A$4:$A$919=$A293)*'Caja 1'!$E$4:$E$919)+SUMPRODUCT(('Caja 2'!$A$4:$A$920=$A293)*'Caja 2'!$E$4:$E$920)),0))</f>
        <v/>
      </c>
      <c r="H293" s="128" t="str">
        <f t="shared" si="21"/>
        <v/>
      </c>
      <c r="I293" s="124" t="str">
        <f t="shared" si="22"/>
        <v/>
      </c>
      <c r="J293" s="987" t="str">
        <f>IF(A293="","",IFERROR(INDEX('Facturación 2026'!$L$4:$L$500,MATCH($A293,'Facturación 2026'!$A$4:$A$500,0)),""))</f>
        <v/>
      </c>
    </row>
    <row r="294" spans="1:10" ht="15.75" customHeight="1">
      <c r="A294" s="988"/>
      <c r="B294" s="122" t="str">
        <f t="shared" si="19"/>
        <v/>
      </c>
      <c r="C294" s="123"/>
      <c r="D294" s="131" t="str">
        <f t="array" ref="D294">IF(A294="","",SUMPRODUCT(('Detalle Turnos'!$I$3:$I$5028=$A294)*('Detalle Turnos'!$N$3:$N$5028=C294)*'Detalle Turnos'!$L$3:$L$5028))</f>
        <v/>
      </c>
      <c r="E294" s="127" t="str">
        <f t="array" ref="E294">IF(A294="","",SUMPRODUCT(('Detalle Turnos'!$I$3:$I$5028=$A294)*('Detalle Turnos'!$N$3:$N$5028=C294)*'Detalle Turnos'!$K$3:$K$5028))</f>
        <v/>
      </c>
      <c r="F294" s="127">
        <f t="shared" si="20"/>
        <v>0</v>
      </c>
      <c r="G294" s="127" t="str">
        <f t="array" ref="G294">IF(E294="","",IFERROR(SUMPRODUCT(('Facturación 2026'!$A$4:$A$920=$A294)*'Facturación 2026'!$J$4:$J$920)*E294/(SUMPRODUCT(('Caja 1'!$A$4:$A$919=$A294)*'Caja 1'!$E$4:$E$919)+SUMPRODUCT(('Caja 2'!$A$4:$A$920=$A294)*'Caja 2'!$E$4:$E$920)),0))</f>
        <v/>
      </c>
      <c r="H294" s="128" t="str">
        <f t="shared" si="21"/>
        <v/>
      </c>
      <c r="I294" s="124" t="str">
        <f t="shared" si="22"/>
        <v/>
      </c>
      <c r="J294" s="987" t="str">
        <f>IF(A294="","",IFERROR(INDEX('Facturación 2026'!$L$4:$L$500,MATCH($A294,'Facturación 2026'!$A$4:$A$500,0)),""))</f>
        <v/>
      </c>
    </row>
    <row r="295" spans="1:10" ht="15.75" customHeight="1">
      <c r="A295" s="988"/>
      <c r="B295" s="122" t="str">
        <f t="shared" si="19"/>
        <v/>
      </c>
      <c r="C295" s="123"/>
      <c r="D295" s="131" t="str">
        <f t="array" ref="D295">IF(A295="","",SUMPRODUCT(('Detalle Turnos'!$I$3:$I$5028=$A295)*('Detalle Turnos'!$N$3:$N$5028=C295)*'Detalle Turnos'!$L$3:$L$5028))</f>
        <v/>
      </c>
      <c r="E295" s="127" t="str">
        <f t="array" ref="E295">IF(A295="","",SUMPRODUCT(('Detalle Turnos'!$I$3:$I$5028=$A295)*('Detalle Turnos'!$N$3:$N$5028=C295)*'Detalle Turnos'!$K$3:$K$5028))</f>
        <v/>
      </c>
      <c r="F295" s="127">
        <f t="shared" si="20"/>
        <v>0</v>
      </c>
      <c r="G295" s="127" t="str">
        <f t="array" ref="G295">IF(E295="","",IFERROR(SUMPRODUCT(('Facturación 2026'!$A$4:$A$920=$A295)*'Facturación 2026'!$J$4:$J$920)*E295/(SUMPRODUCT(('Caja 1'!$A$4:$A$919=$A295)*'Caja 1'!$E$4:$E$919)+SUMPRODUCT(('Caja 2'!$A$4:$A$920=$A295)*'Caja 2'!$E$4:$E$920)),0))</f>
        <v/>
      </c>
      <c r="H295" s="128" t="str">
        <f t="shared" si="21"/>
        <v/>
      </c>
      <c r="I295" s="124" t="str">
        <f t="shared" si="22"/>
        <v/>
      </c>
      <c r="J295" s="987" t="str">
        <f>IF(A295="","",IFERROR(INDEX('Facturación 2026'!$L$4:$L$500,MATCH($A295,'Facturación 2026'!$A$4:$A$500,0)),""))</f>
        <v/>
      </c>
    </row>
    <row r="296" spans="1:10" ht="15.75" customHeight="1">
      <c r="A296" s="988"/>
      <c r="B296" s="122" t="str">
        <f t="shared" si="19"/>
        <v/>
      </c>
      <c r="C296" s="123"/>
      <c r="D296" s="131" t="str">
        <f t="array" ref="D296">IF(A296="","",SUMPRODUCT(('Detalle Turnos'!$I$3:$I$5028=$A296)*('Detalle Turnos'!$N$3:$N$5028=C296)*'Detalle Turnos'!$L$3:$L$5028))</f>
        <v/>
      </c>
      <c r="E296" s="127" t="str">
        <f t="array" ref="E296">IF(A296="","",SUMPRODUCT(('Detalle Turnos'!$I$3:$I$5028=$A296)*('Detalle Turnos'!$N$3:$N$5028=C296)*'Detalle Turnos'!$K$3:$K$5028))</f>
        <v/>
      </c>
      <c r="F296" s="127">
        <f t="shared" si="20"/>
        <v>0</v>
      </c>
      <c r="G296" s="127" t="str">
        <f t="array" ref="G296">IF(E296="","",IFERROR(SUMPRODUCT(('Facturación 2026'!$A$4:$A$920=$A296)*'Facturación 2026'!$J$4:$J$920)*E296/(SUMPRODUCT(('Caja 1'!$A$4:$A$919=$A296)*'Caja 1'!$E$4:$E$919)+SUMPRODUCT(('Caja 2'!$A$4:$A$920=$A296)*'Caja 2'!$E$4:$E$920)),0))</f>
        <v/>
      </c>
      <c r="H296" s="128" t="str">
        <f t="shared" si="21"/>
        <v/>
      </c>
      <c r="I296" s="124" t="str">
        <f t="shared" si="22"/>
        <v/>
      </c>
      <c r="J296" s="987" t="str">
        <f>IF(A296="","",IFERROR(INDEX('Facturación 2026'!$L$4:$L$500,MATCH($A296,'Facturación 2026'!$A$4:$A$500,0)),""))</f>
        <v/>
      </c>
    </row>
    <row r="297" spans="1:10" ht="15.75" customHeight="1">
      <c r="A297" s="988"/>
      <c r="B297" s="122" t="str">
        <f t="shared" si="19"/>
        <v/>
      </c>
      <c r="C297" s="123"/>
      <c r="D297" s="131" t="str">
        <f t="array" ref="D297">IF(A297="","",SUMPRODUCT(('Detalle Turnos'!$I$3:$I$5028=$A297)*('Detalle Turnos'!$N$3:$N$5028=C297)*'Detalle Turnos'!$L$3:$L$5028))</f>
        <v/>
      </c>
      <c r="E297" s="127" t="str">
        <f t="array" ref="E297">IF(A297="","",SUMPRODUCT(('Detalle Turnos'!$I$3:$I$5028=$A297)*('Detalle Turnos'!$N$3:$N$5028=C297)*'Detalle Turnos'!$K$3:$K$5028))</f>
        <v/>
      </c>
      <c r="F297" s="127">
        <f t="shared" si="20"/>
        <v>0</v>
      </c>
      <c r="G297" s="127" t="str">
        <f t="array" ref="G297">IF(E297="","",IFERROR(SUMPRODUCT(('Facturación 2026'!$A$4:$A$920=$A297)*'Facturación 2026'!$J$4:$J$920)*E297/(SUMPRODUCT(('Caja 1'!$A$4:$A$919=$A297)*'Caja 1'!$E$4:$E$919)+SUMPRODUCT(('Caja 2'!$A$4:$A$920=$A297)*'Caja 2'!$E$4:$E$920)),0))</f>
        <v/>
      </c>
      <c r="H297" s="128" t="str">
        <f t="shared" si="21"/>
        <v/>
      </c>
      <c r="I297" s="124" t="str">
        <f t="shared" si="22"/>
        <v/>
      </c>
      <c r="J297" s="987" t="str">
        <f>IF(A297="","",IFERROR(INDEX('Facturación 2026'!$L$4:$L$500,MATCH($A297,'Facturación 2026'!$A$4:$A$500,0)),""))</f>
        <v/>
      </c>
    </row>
    <row r="298" spans="1:10" ht="15.75" customHeight="1">
      <c r="A298" s="988"/>
      <c r="B298" s="122" t="str">
        <f t="shared" si="19"/>
        <v/>
      </c>
      <c r="C298" s="123"/>
      <c r="D298" s="131" t="str">
        <f t="array" ref="D298">IF(A298="","",SUMPRODUCT(('Detalle Turnos'!$I$3:$I$5028=$A298)*('Detalle Turnos'!$N$3:$N$5028=C298)*'Detalle Turnos'!$L$3:$L$5028))</f>
        <v/>
      </c>
      <c r="E298" s="127" t="str">
        <f t="array" ref="E298">IF(A298="","",SUMPRODUCT(('Detalle Turnos'!$I$3:$I$5028=$A298)*('Detalle Turnos'!$N$3:$N$5028=C298)*'Detalle Turnos'!$K$3:$K$5028))</f>
        <v/>
      </c>
      <c r="F298" s="127">
        <f t="shared" si="20"/>
        <v>0</v>
      </c>
      <c r="G298" s="127" t="str">
        <f t="array" ref="G298">IF(E298="","",IFERROR(SUMPRODUCT(('Facturación 2026'!$A$4:$A$920=$A298)*'Facturación 2026'!$J$4:$J$920)*E298/(SUMPRODUCT(('Caja 1'!$A$4:$A$919=$A298)*'Caja 1'!$E$4:$E$919)+SUMPRODUCT(('Caja 2'!$A$4:$A$920=$A298)*'Caja 2'!$E$4:$E$920)),0))</f>
        <v/>
      </c>
      <c r="H298" s="128" t="str">
        <f t="shared" si="21"/>
        <v/>
      </c>
      <c r="I298" s="124" t="str">
        <f t="shared" si="22"/>
        <v/>
      </c>
      <c r="J298" s="987" t="str">
        <f>IF(A298="","",IFERROR(INDEX('Facturación 2026'!$L$4:$L$500,MATCH($A298,'Facturación 2026'!$A$4:$A$500,0)),""))</f>
        <v/>
      </c>
    </row>
    <row r="299" spans="1:10" ht="15.75" customHeight="1">
      <c r="A299" s="988"/>
      <c r="B299" s="122" t="str">
        <f t="shared" si="19"/>
        <v/>
      </c>
      <c r="C299" s="123"/>
      <c r="D299" s="131" t="str">
        <f t="array" ref="D299">IF(A299="","",SUMPRODUCT(('Detalle Turnos'!$I$3:$I$5028=$A299)*('Detalle Turnos'!$N$3:$N$5028=C299)*'Detalle Turnos'!$L$3:$L$5028))</f>
        <v/>
      </c>
      <c r="E299" s="127" t="str">
        <f t="array" ref="E299">IF(A299="","",SUMPRODUCT(('Detalle Turnos'!$I$3:$I$5028=$A299)*('Detalle Turnos'!$N$3:$N$5028=C299)*'Detalle Turnos'!$K$3:$K$5028))</f>
        <v/>
      </c>
      <c r="F299" s="127">
        <f t="shared" si="20"/>
        <v>0</v>
      </c>
      <c r="G299" s="127" t="str">
        <f t="array" ref="G299">IF(E299="","",IFERROR(SUMPRODUCT(('Facturación 2026'!$A$4:$A$920=$A299)*'Facturación 2026'!$J$4:$J$920)*E299/(SUMPRODUCT(('Caja 1'!$A$4:$A$919=$A299)*'Caja 1'!$E$4:$E$919)+SUMPRODUCT(('Caja 2'!$A$4:$A$920=$A299)*'Caja 2'!$E$4:$E$920)),0))</f>
        <v/>
      </c>
      <c r="H299" s="128" t="str">
        <f t="shared" si="21"/>
        <v/>
      </c>
      <c r="I299" s="124" t="str">
        <f t="shared" si="22"/>
        <v/>
      </c>
      <c r="J299" s="987" t="str">
        <f>IF(A299="","",IFERROR(INDEX('Facturación 2026'!$L$4:$L$500,MATCH($A299,'Facturación 2026'!$A$4:$A$500,0)),""))</f>
        <v/>
      </c>
    </row>
    <row r="300" spans="1:10" ht="15.75" customHeight="1">
      <c r="A300" s="988"/>
      <c r="B300" s="122" t="str">
        <f t="shared" si="19"/>
        <v/>
      </c>
      <c r="C300" s="123"/>
      <c r="D300" s="131" t="str">
        <f t="array" ref="D300">IF(A300="","",SUMPRODUCT(('Detalle Turnos'!$I$3:$I$5028=$A300)*('Detalle Turnos'!$N$3:$N$5028=C300)*'Detalle Turnos'!$L$3:$L$5028))</f>
        <v/>
      </c>
      <c r="E300" s="127" t="str">
        <f t="array" ref="E300">IF(A300="","",SUMPRODUCT(('Detalle Turnos'!$I$3:$I$5028=$A300)*('Detalle Turnos'!$N$3:$N$5028=C300)*'Detalle Turnos'!$K$3:$K$5028))</f>
        <v/>
      </c>
      <c r="F300" s="127">
        <f t="shared" si="20"/>
        <v>0</v>
      </c>
      <c r="G300" s="127" t="str">
        <f t="array" ref="G300">IF(E300="","",IFERROR(SUMPRODUCT(('Facturación 2026'!$A$4:$A$920=$A300)*'Facturación 2026'!$J$4:$J$920)*E300/(SUMPRODUCT(('Caja 1'!$A$4:$A$919=$A300)*'Caja 1'!$E$4:$E$919)+SUMPRODUCT(('Caja 2'!$A$4:$A$920=$A300)*'Caja 2'!$E$4:$E$920)),0))</f>
        <v/>
      </c>
      <c r="H300" s="128" t="str">
        <f t="shared" si="21"/>
        <v/>
      </c>
      <c r="I300" s="124" t="str">
        <f t="shared" si="22"/>
        <v/>
      </c>
      <c r="J300" s="987" t="str">
        <f>IF(A300="","",IFERROR(INDEX('Facturación 2026'!$L$4:$L$500,MATCH($A300,'Facturación 2026'!$A$4:$A$500,0)),""))</f>
        <v/>
      </c>
    </row>
    <row r="301" spans="1:10" ht="15.75" customHeight="1">
      <c r="A301" s="988"/>
      <c r="B301" s="122" t="str">
        <f t="shared" si="19"/>
        <v/>
      </c>
      <c r="C301" s="123"/>
      <c r="D301" s="131" t="str">
        <f t="array" ref="D301">IF(A301="","",SUMPRODUCT(('Detalle Turnos'!$I$3:$I$5028=$A301)*('Detalle Turnos'!$N$3:$N$5028=C301)*'Detalle Turnos'!$L$3:$L$5028))</f>
        <v/>
      </c>
      <c r="E301" s="127" t="str">
        <f t="array" ref="E301">IF(A301="","",SUMPRODUCT(('Detalle Turnos'!$I$3:$I$5028=$A301)*('Detalle Turnos'!$N$3:$N$5028=C301)*'Detalle Turnos'!$K$3:$K$5028))</f>
        <v/>
      </c>
      <c r="F301" s="127">
        <f t="shared" si="20"/>
        <v>0</v>
      </c>
      <c r="G301" s="127" t="str">
        <f t="array" ref="G301">IF(E301="","",IFERROR(SUMPRODUCT(('Facturación 2026'!$A$4:$A$920=$A301)*'Facturación 2026'!$J$4:$J$920)*E301/(SUMPRODUCT(('Caja 1'!$A$4:$A$919=$A301)*'Caja 1'!$E$4:$E$919)+SUMPRODUCT(('Caja 2'!$A$4:$A$920=$A301)*'Caja 2'!$E$4:$E$920)),0))</f>
        <v/>
      </c>
      <c r="H301" s="128" t="str">
        <f t="shared" si="21"/>
        <v/>
      </c>
      <c r="I301" s="124" t="str">
        <f t="shared" si="22"/>
        <v/>
      </c>
      <c r="J301" s="987" t="str">
        <f>IF(A301="","",IFERROR(INDEX('Facturación 2026'!$L$4:$L$500,MATCH($A301,'Facturación 2026'!$A$4:$A$500,0)),""))</f>
        <v/>
      </c>
    </row>
    <row r="302" spans="1:10" ht="15.75" customHeight="1">
      <c r="A302" s="988"/>
      <c r="B302" s="122" t="str">
        <f t="shared" si="19"/>
        <v/>
      </c>
      <c r="C302" s="123"/>
      <c r="D302" s="131" t="str">
        <f t="array" ref="D302">IF(A302="","",SUMPRODUCT(('Detalle Turnos'!$I$3:$I$5028=$A302)*('Detalle Turnos'!$N$3:$N$5028=C302)*'Detalle Turnos'!$L$3:$L$5028))</f>
        <v/>
      </c>
      <c r="E302" s="127" t="str">
        <f t="array" ref="E302">IF(A302="","",SUMPRODUCT(('Detalle Turnos'!$I$3:$I$5028=$A302)*('Detalle Turnos'!$N$3:$N$5028=C302)*'Detalle Turnos'!$K$3:$K$5028))</f>
        <v/>
      </c>
      <c r="F302" s="127">
        <f t="shared" si="20"/>
        <v>0</v>
      </c>
      <c r="G302" s="127" t="str">
        <f t="array" ref="G302">IF(E302="","",IFERROR(SUMPRODUCT(('Facturación 2026'!$A$4:$A$920=$A302)*'Facturación 2026'!$J$4:$J$920)*E302/(SUMPRODUCT(('Caja 1'!$A$4:$A$919=$A302)*'Caja 1'!$E$4:$E$919)+SUMPRODUCT(('Caja 2'!$A$4:$A$920=$A302)*'Caja 2'!$E$4:$E$920)),0))</f>
        <v/>
      </c>
      <c r="H302" s="128" t="str">
        <f t="shared" si="21"/>
        <v/>
      </c>
      <c r="I302" s="124" t="str">
        <f t="shared" si="22"/>
        <v/>
      </c>
      <c r="J302" s="987" t="str">
        <f>IF(A302="","",IFERROR(INDEX('Facturación 2026'!$L$4:$L$500,MATCH($A302,'Facturación 2026'!$A$4:$A$500,0)),""))</f>
        <v/>
      </c>
    </row>
    <row r="303" spans="1:10" ht="15.75" customHeight="1">
      <c r="A303" s="988"/>
      <c r="B303" s="122" t="str">
        <f t="shared" si="19"/>
        <v/>
      </c>
      <c r="C303" s="123"/>
      <c r="D303" s="131" t="str">
        <f t="array" ref="D303">IF(A303="","",SUMPRODUCT(('Detalle Turnos'!$I$3:$I$5028=$A303)*('Detalle Turnos'!$N$3:$N$5028=C303)*'Detalle Turnos'!$L$3:$L$5028))</f>
        <v/>
      </c>
      <c r="E303" s="127" t="str">
        <f t="array" ref="E303">IF(A303="","",SUMPRODUCT(('Detalle Turnos'!$I$3:$I$5028=$A303)*('Detalle Turnos'!$N$3:$N$5028=C303)*'Detalle Turnos'!$K$3:$K$5028))</f>
        <v/>
      </c>
      <c r="F303" s="127">
        <f t="shared" si="20"/>
        <v>0</v>
      </c>
      <c r="G303" s="127" t="str">
        <f t="array" ref="G303">IF(E303="","",IFERROR(SUMPRODUCT(('Facturación 2026'!$A$4:$A$920=$A303)*'Facturación 2026'!$J$4:$J$920)*E303/(SUMPRODUCT(('Caja 1'!$A$4:$A$919=$A303)*'Caja 1'!$E$4:$E$919)+SUMPRODUCT(('Caja 2'!$A$4:$A$920=$A303)*'Caja 2'!$E$4:$E$920)),0))</f>
        <v/>
      </c>
      <c r="H303" s="128" t="str">
        <f t="shared" si="21"/>
        <v/>
      </c>
      <c r="I303" s="124" t="str">
        <f t="shared" si="22"/>
        <v/>
      </c>
      <c r="J303" s="987" t="str">
        <f>IF(A303="","",IFERROR(INDEX('Facturación 2026'!$L$4:$L$500,MATCH($A303,'Facturación 2026'!$A$4:$A$500,0)),""))</f>
        <v/>
      </c>
    </row>
    <row r="304" spans="1:10" ht="15.75" customHeight="1">
      <c r="A304" s="988"/>
      <c r="B304" s="122" t="str">
        <f t="shared" si="19"/>
        <v/>
      </c>
      <c r="C304" s="123"/>
      <c r="D304" s="131" t="str">
        <f t="array" ref="D304">IF(A304="","",SUMPRODUCT(('Detalle Turnos'!$I$3:$I$5028=$A304)*('Detalle Turnos'!$N$3:$N$5028=C304)*'Detalle Turnos'!$L$3:$L$5028))</f>
        <v/>
      </c>
      <c r="E304" s="127" t="str">
        <f t="array" ref="E304">IF(A304="","",SUMPRODUCT(('Detalle Turnos'!$I$3:$I$5028=$A304)*('Detalle Turnos'!$N$3:$N$5028=C304)*'Detalle Turnos'!$K$3:$K$5028))</f>
        <v/>
      </c>
      <c r="F304" s="127">
        <f t="shared" si="20"/>
        <v>0</v>
      </c>
      <c r="G304" s="127" t="str">
        <f t="array" ref="G304">IF(E304="","",IFERROR(SUMPRODUCT(('Facturación 2026'!$A$4:$A$920=$A304)*'Facturación 2026'!$J$4:$J$920)*E304/(SUMPRODUCT(('Caja 1'!$A$4:$A$919=$A304)*'Caja 1'!$E$4:$E$919)+SUMPRODUCT(('Caja 2'!$A$4:$A$920=$A304)*'Caja 2'!$E$4:$E$920)),0))</f>
        <v/>
      </c>
      <c r="H304" s="128" t="str">
        <f t="shared" si="21"/>
        <v/>
      </c>
      <c r="I304" s="124" t="str">
        <f t="shared" si="22"/>
        <v/>
      </c>
      <c r="J304" s="987" t="str">
        <f>IF(A304="","",IFERROR(INDEX('Facturación 2026'!$L$4:$L$500,MATCH($A304,'Facturación 2026'!$A$4:$A$500,0)),""))</f>
        <v/>
      </c>
    </row>
    <row r="305" spans="1:10" ht="15.75" customHeight="1">
      <c r="A305" s="988"/>
      <c r="B305" s="122" t="str">
        <f t="shared" si="19"/>
        <v/>
      </c>
      <c r="C305" s="123"/>
      <c r="D305" s="131" t="str">
        <f t="array" ref="D305">IF(A305="","",SUMPRODUCT(('Detalle Turnos'!$I$3:$I$5028=$A305)*('Detalle Turnos'!$N$3:$N$5028=C305)*'Detalle Turnos'!$L$3:$L$5028))</f>
        <v/>
      </c>
      <c r="E305" s="127" t="str">
        <f t="array" ref="E305">IF(A305="","",SUMPRODUCT(('Detalle Turnos'!$I$3:$I$5028=$A305)*('Detalle Turnos'!$N$3:$N$5028=C305)*'Detalle Turnos'!$K$3:$K$5028))</f>
        <v/>
      </c>
      <c r="F305" s="127">
        <f t="shared" si="20"/>
        <v>0</v>
      </c>
      <c r="G305" s="127" t="str">
        <f t="array" ref="G305">IF(E305="","",IFERROR(SUMPRODUCT(('Facturación 2026'!$A$4:$A$920=$A305)*'Facturación 2026'!$J$4:$J$920)*E305/(SUMPRODUCT(('Caja 1'!$A$4:$A$919=$A305)*'Caja 1'!$E$4:$E$919)+SUMPRODUCT(('Caja 2'!$A$4:$A$920=$A305)*'Caja 2'!$E$4:$E$920)),0))</f>
        <v/>
      </c>
      <c r="H305" s="128" t="str">
        <f t="shared" si="21"/>
        <v/>
      </c>
      <c r="I305" s="124" t="str">
        <f t="shared" si="22"/>
        <v/>
      </c>
      <c r="J305" s="987" t="str">
        <f>IF(A305="","",IFERROR(INDEX('Facturación 2026'!$L$4:$L$500,MATCH($A305,'Facturación 2026'!$A$4:$A$500,0)),""))</f>
        <v/>
      </c>
    </row>
    <row r="306" spans="1:10" ht="15.75" customHeight="1">
      <c r="A306" s="988"/>
      <c r="B306" s="122" t="str">
        <f t="shared" si="19"/>
        <v/>
      </c>
      <c r="C306" s="123"/>
      <c r="D306" s="131" t="str">
        <f t="array" ref="D306">IF(A306="","",SUMPRODUCT(('Detalle Turnos'!$I$3:$I$5028=$A306)*('Detalle Turnos'!$N$3:$N$5028=C306)*'Detalle Turnos'!$L$3:$L$5028))</f>
        <v/>
      </c>
      <c r="E306" s="127" t="str">
        <f t="array" ref="E306">IF(A306="","",SUMPRODUCT(('Detalle Turnos'!$I$3:$I$5028=$A306)*('Detalle Turnos'!$N$3:$N$5028=C306)*'Detalle Turnos'!$K$3:$K$5028))</f>
        <v/>
      </c>
      <c r="F306" s="127">
        <f t="shared" si="20"/>
        <v>0</v>
      </c>
      <c r="G306" s="127" t="str">
        <f t="array" ref="G306">IF(E306="","",IFERROR(SUMPRODUCT(('Facturación 2026'!$A$4:$A$920=$A306)*'Facturación 2026'!$J$4:$J$920)*E306/(SUMPRODUCT(('Caja 1'!$A$4:$A$919=$A306)*'Caja 1'!$E$4:$E$919)+SUMPRODUCT(('Caja 2'!$A$4:$A$920=$A306)*'Caja 2'!$E$4:$E$920)),0))</f>
        <v/>
      </c>
      <c r="H306" s="128" t="str">
        <f t="shared" si="21"/>
        <v/>
      </c>
      <c r="I306" s="124" t="str">
        <f t="shared" si="22"/>
        <v/>
      </c>
      <c r="J306" s="987" t="str">
        <f>IF(A306="","",IFERROR(INDEX('Facturación 2026'!$L$4:$L$500,MATCH($A306,'Facturación 2026'!$A$4:$A$500,0)),""))</f>
        <v/>
      </c>
    </row>
    <row r="307" spans="1:10" ht="15.75" customHeight="1">
      <c r="A307" s="988"/>
      <c r="B307" s="122" t="str">
        <f t="shared" si="19"/>
        <v/>
      </c>
      <c r="C307" s="123"/>
      <c r="D307" s="131" t="str">
        <f t="array" ref="D307">IF(A307="","",SUMPRODUCT(('Detalle Turnos'!$I$3:$I$5028=$A307)*('Detalle Turnos'!$N$3:$N$5028=C307)*'Detalle Turnos'!$L$3:$L$5028))</f>
        <v/>
      </c>
      <c r="E307" s="127" t="str">
        <f t="array" ref="E307">IF(A307="","",SUMPRODUCT(('Detalle Turnos'!$I$3:$I$5028=$A307)*('Detalle Turnos'!$N$3:$N$5028=C307)*'Detalle Turnos'!$K$3:$K$5028))</f>
        <v/>
      </c>
      <c r="F307" s="127">
        <f t="shared" si="20"/>
        <v>0</v>
      </c>
      <c r="G307" s="127" t="str">
        <f t="array" ref="G307">IF(E307="","",IFERROR(SUMPRODUCT(('Facturación 2026'!$A$4:$A$920=$A307)*'Facturación 2026'!$J$4:$J$920)*E307/(SUMPRODUCT(('Caja 1'!$A$4:$A$919=$A307)*'Caja 1'!$E$4:$E$919)+SUMPRODUCT(('Caja 2'!$A$4:$A$920=$A307)*'Caja 2'!$E$4:$E$920)),0))</f>
        <v/>
      </c>
      <c r="H307" s="128" t="str">
        <f t="shared" si="21"/>
        <v/>
      </c>
      <c r="I307" s="124" t="str">
        <f t="shared" si="22"/>
        <v/>
      </c>
      <c r="J307" s="987" t="str">
        <f>IF(A307="","",IFERROR(INDEX('Facturación 2026'!$L$4:$L$500,MATCH($A307,'Facturación 2026'!$A$4:$A$500,0)),""))</f>
        <v/>
      </c>
    </row>
    <row r="308" spans="1:10" ht="15.75" customHeight="1">
      <c r="A308" s="988"/>
      <c r="B308" s="122" t="str">
        <f t="shared" si="19"/>
        <v/>
      </c>
      <c r="C308" s="123"/>
      <c r="D308" s="131" t="str">
        <f t="array" ref="D308">IF(A308="","",SUMPRODUCT(('Detalle Turnos'!$I$3:$I$5028=$A308)*('Detalle Turnos'!$N$3:$N$5028=C308)*'Detalle Turnos'!$L$3:$L$5028))</f>
        <v/>
      </c>
      <c r="E308" s="127" t="str">
        <f t="array" ref="E308">IF(A308="","",SUMPRODUCT(('Detalle Turnos'!$I$3:$I$5028=$A308)*('Detalle Turnos'!$N$3:$N$5028=C308)*'Detalle Turnos'!$K$3:$K$5028))</f>
        <v/>
      </c>
      <c r="F308" s="127">
        <f t="shared" si="20"/>
        <v>0</v>
      </c>
      <c r="G308" s="127" t="str">
        <f t="array" ref="G308">IF(E308="","",IFERROR(SUMPRODUCT(('Facturación 2026'!$A$4:$A$920=$A308)*'Facturación 2026'!$J$4:$J$920)*E308/(SUMPRODUCT(('Caja 1'!$A$4:$A$919=$A308)*'Caja 1'!$E$4:$E$919)+SUMPRODUCT(('Caja 2'!$A$4:$A$920=$A308)*'Caja 2'!$E$4:$E$920)),0))</f>
        <v/>
      </c>
      <c r="H308" s="128" t="str">
        <f t="shared" si="21"/>
        <v/>
      </c>
      <c r="I308" s="124" t="str">
        <f t="shared" si="22"/>
        <v/>
      </c>
      <c r="J308" s="987" t="str">
        <f>IF(A308="","",IFERROR(INDEX('Facturación 2026'!$L$4:$L$500,MATCH($A308,'Facturación 2026'!$A$4:$A$500,0)),""))</f>
        <v/>
      </c>
    </row>
    <row r="309" spans="1:10" ht="15.75" customHeight="1">
      <c r="A309" s="988"/>
      <c r="B309" s="122" t="str">
        <f t="shared" si="19"/>
        <v/>
      </c>
      <c r="C309" s="123"/>
      <c r="D309" s="131" t="str">
        <f t="array" ref="D309">IF(A309="","",SUMPRODUCT(('Detalle Turnos'!$I$3:$I$5028=$A309)*('Detalle Turnos'!$N$3:$N$5028=C309)*'Detalle Turnos'!$L$3:$L$5028))</f>
        <v/>
      </c>
      <c r="E309" s="127" t="str">
        <f t="array" ref="E309">IF(A309="","",SUMPRODUCT(('Detalle Turnos'!$I$3:$I$5028=$A309)*('Detalle Turnos'!$N$3:$N$5028=C309)*'Detalle Turnos'!$K$3:$K$5028))</f>
        <v/>
      </c>
      <c r="F309" s="127">
        <f t="shared" si="20"/>
        <v>0</v>
      </c>
      <c r="G309" s="127" t="str">
        <f t="array" ref="G309">IF(E309="","",IFERROR(SUMPRODUCT(('Facturación 2026'!$A$4:$A$920=$A309)*'Facturación 2026'!$J$4:$J$920)*E309/(SUMPRODUCT(('Caja 1'!$A$4:$A$919=$A309)*'Caja 1'!$E$4:$E$919)+SUMPRODUCT(('Caja 2'!$A$4:$A$920=$A309)*'Caja 2'!$E$4:$E$920)),0))</f>
        <v/>
      </c>
      <c r="H309" s="128" t="str">
        <f t="shared" si="21"/>
        <v/>
      </c>
      <c r="I309" s="124" t="str">
        <f t="shared" si="22"/>
        <v/>
      </c>
      <c r="J309" s="987" t="str">
        <f>IF(A309="","",IFERROR(INDEX('Facturación 2026'!$L$4:$L$500,MATCH($A309,'Facturación 2026'!$A$4:$A$500,0)),""))</f>
        <v/>
      </c>
    </row>
    <row r="310" spans="1:10" ht="15.75" customHeight="1">
      <c r="A310" s="988"/>
      <c r="B310" s="122" t="str">
        <f t="shared" si="19"/>
        <v/>
      </c>
      <c r="C310" s="123"/>
      <c r="D310" s="131" t="str">
        <f t="array" ref="D310">IF(A310="","",SUMPRODUCT(('Detalle Turnos'!$I$3:$I$5028=$A310)*('Detalle Turnos'!$N$3:$N$5028=C310)*'Detalle Turnos'!$L$3:$L$5028))</f>
        <v/>
      </c>
      <c r="E310" s="127" t="str">
        <f t="array" ref="E310">IF(A310="","",SUMPRODUCT(('Detalle Turnos'!$I$3:$I$5028=$A310)*('Detalle Turnos'!$N$3:$N$5028=C310)*'Detalle Turnos'!$K$3:$K$5028))</f>
        <v/>
      </c>
      <c r="F310" s="127">
        <f t="shared" si="20"/>
        <v>0</v>
      </c>
      <c r="G310" s="127" t="str">
        <f t="array" ref="G310">IF(E310="","",IFERROR(SUMPRODUCT(('Facturación 2026'!$A$4:$A$920=$A310)*'Facturación 2026'!$J$4:$J$920)*E310/(SUMPRODUCT(('Caja 1'!$A$4:$A$919=$A310)*'Caja 1'!$E$4:$E$919)+SUMPRODUCT(('Caja 2'!$A$4:$A$920=$A310)*'Caja 2'!$E$4:$E$920)),0))</f>
        <v/>
      </c>
      <c r="H310" s="128" t="str">
        <f t="shared" si="21"/>
        <v/>
      </c>
      <c r="I310" s="124" t="str">
        <f t="shared" si="22"/>
        <v/>
      </c>
      <c r="J310" s="987" t="str">
        <f>IF(A310="","",IFERROR(INDEX('Facturación 2026'!$L$4:$L$500,MATCH($A310,'Facturación 2026'!$A$4:$A$500,0)),""))</f>
        <v/>
      </c>
    </row>
    <row r="311" spans="1:10" ht="15.75" customHeight="1">
      <c r="A311" s="988"/>
      <c r="B311" s="122" t="str">
        <f t="shared" si="19"/>
        <v/>
      </c>
      <c r="C311" s="123"/>
      <c r="D311" s="131" t="str">
        <f t="array" ref="D311">IF(A311="","",SUMPRODUCT(('Detalle Turnos'!$I$3:$I$5028=$A311)*('Detalle Turnos'!$N$3:$N$5028=C311)*'Detalle Turnos'!$L$3:$L$5028))</f>
        <v/>
      </c>
      <c r="E311" s="127" t="str">
        <f t="array" ref="E311">IF(A311="","",SUMPRODUCT(('Detalle Turnos'!$I$3:$I$5028=$A311)*('Detalle Turnos'!$N$3:$N$5028=C311)*'Detalle Turnos'!$K$3:$K$5028))</f>
        <v/>
      </c>
      <c r="F311" s="127">
        <f t="shared" si="20"/>
        <v>0</v>
      </c>
      <c r="G311" s="127" t="str">
        <f t="array" ref="G311">IF(E311="","",IFERROR(SUMPRODUCT(('Facturación 2026'!$A$4:$A$920=$A311)*'Facturación 2026'!$J$4:$J$920)*E311/(SUMPRODUCT(('Caja 1'!$A$4:$A$919=$A311)*'Caja 1'!$E$4:$E$919)+SUMPRODUCT(('Caja 2'!$A$4:$A$920=$A311)*'Caja 2'!$E$4:$E$920)),0))</f>
        <v/>
      </c>
      <c r="H311" s="128" t="str">
        <f t="shared" si="21"/>
        <v/>
      </c>
      <c r="I311" s="124" t="str">
        <f t="shared" si="22"/>
        <v/>
      </c>
      <c r="J311" s="987" t="str">
        <f>IF(A311="","",IFERROR(INDEX('Facturación 2026'!$L$4:$L$500,MATCH($A311,'Facturación 2026'!$A$4:$A$500,0)),""))</f>
        <v/>
      </c>
    </row>
    <row r="312" spans="1:10" ht="15.75" customHeight="1">
      <c r="A312" s="988"/>
      <c r="B312" s="122" t="str">
        <f t="shared" si="19"/>
        <v/>
      </c>
      <c r="C312" s="123"/>
      <c r="D312" s="131" t="str">
        <f t="array" ref="D312">IF(A312="","",SUMPRODUCT(('Detalle Turnos'!$I$3:$I$5028=$A312)*('Detalle Turnos'!$N$3:$N$5028=C312)*'Detalle Turnos'!$L$3:$L$5028))</f>
        <v/>
      </c>
      <c r="E312" s="127" t="str">
        <f t="array" ref="E312">IF(A312="","",SUMPRODUCT(('Detalle Turnos'!$I$3:$I$5028=$A312)*('Detalle Turnos'!$N$3:$N$5028=C312)*'Detalle Turnos'!$K$3:$K$5028))</f>
        <v/>
      </c>
      <c r="F312" s="127">
        <f t="shared" si="20"/>
        <v>0</v>
      </c>
      <c r="G312" s="127" t="str">
        <f t="array" ref="G312">IF(E312="","",IFERROR(SUMPRODUCT(('Facturación 2026'!$A$4:$A$920=$A312)*'Facturación 2026'!$J$4:$J$920)*E312/(SUMPRODUCT(('Caja 1'!$A$4:$A$919=$A312)*'Caja 1'!$E$4:$E$919)+SUMPRODUCT(('Caja 2'!$A$4:$A$920=$A312)*'Caja 2'!$E$4:$E$920)),0))</f>
        <v/>
      </c>
      <c r="H312" s="128" t="str">
        <f t="shared" si="21"/>
        <v/>
      </c>
      <c r="I312" s="124" t="str">
        <f t="shared" si="22"/>
        <v/>
      </c>
      <c r="J312" s="987" t="str">
        <f>IF(A312="","",IFERROR(INDEX('Facturación 2026'!$L$4:$L$500,MATCH($A312,'Facturación 2026'!$A$4:$A$500,0)),""))</f>
        <v/>
      </c>
    </row>
    <row r="313" spans="1:10" ht="15.75" customHeight="1">
      <c r="A313" s="988"/>
      <c r="B313" s="122" t="str">
        <f t="shared" si="19"/>
        <v/>
      </c>
      <c r="C313" s="123"/>
      <c r="D313" s="131" t="str">
        <f t="array" ref="D313">IF(A313="","",SUMPRODUCT(('Detalle Turnos'!$I$3:$I$5028=$A313)*('Detalle Turnos'!$N$3:$N$5028=C313)*'Detalle Turnos'!$L$3:$L$5028))</f>
        <v/>
      </c>
      <c r="E313" s="127" t="str">
        <f t="array" ref="E313">IF(A313="","",SUMPRODUCT(('Detalle Turnos'!$I$3:$I$5028=$A313)*('Detalle Turnos'!$N$3:$N$5028=C313)*'Detalle Turnos'!$K$3:$K$5028))</f>
        <v/>
      </c>
      <c r="F313" s="127">
        <f t="shared" si="20"/>
        <v>0</v>
      </c>
      <c r="G313" s="127" t="str">
        <f t="array" ref="G313">IF(E313="","",IFERROR(SUMPRODUCT(('Facturación 2026'!$A$4:$A$920=$A313)*'Facturación 2026'!$J$4:$J$920)*E313/(SUMPRODUCT(('Caja 1'!$A$4:$A$919=$A313)*'Caja 1'!$E$4:$E$919)+SUMPRODUCT(('Caja 2'!$A$4:$A$920=$A313)*'Caja 2'!$E$4:$E$920)),0))</f>
        <v/>
      </c>
      <c r="H313" s="128" t="str">
        <f t="shared" si="21"/>
        <v/>
      </c>
      <c r="I313" s="124" t="str">
        <f t="shared" si="22"/>
        <v/>
      </c>
      <c r="J313" s="987" t="str">
        <f>IF(A313="","",IFERROR(INDEX('Facturación 2026'!$L$4:$L$500,MATCH($A313,'Facturación 2026'!$A$4:$A$500,0)),""))</f>
        <v/>
      </c>
    </row>
    <row r="314" spans="1:10" ht="15.75" customHeight="1">
      <c r="A314" s="988"/>
      <c r="B314" s="122" t="str">
        <f t="shared" si="19"/>
        <v/>
      </c>
      <c r="C314" s="123"/>
      <c r="D314" s="131" t="str">
        <f t="array" ref="D314">IF(A314="","",SUMPRODUCT(('Detalle Turnos'!$I$3:$I$5028=$A314)*('Detalle Turnos'!$N$3:$N$5028=C314)*'Detalle Turnos'!$L$3:$L$5028))</f>
        <v/>
      </c>
      <c r="E314" s="127" t="str">
        <f t="array" ref="E314">IF(A314="","",SUMPRODUCT(('Detalle Turnos'!$I$3:$I$5028=$A314)*('Detalle Turnos'!$N$3:$N$5028=C314)*'Detalle Turnos'!$K$3:$K$5028))</f>
        <v/>
      </c>
      <c r="F314" s="127">
        <f t="shared" si="20"/>
        <v>0</v>
      </c>
      <c r="G314" s="127" t="str">
        <f t="array" ref="G314">IF(E314="","",IFERROR(SUMPRODUCT(('Facturación 2026'!$A$4:$A$920=$A314)*'Facturación 2026'!$J$4:$J$920)*E314/(SUMPRODUCT(('Caja 1'!$A$4:$A$919=$A314)*'Caja 1'!$E$4:$E$919)+SUMPRODUCT(('Caja 2'!$A$4:$A$920=$A314)*'Caja 2'!$E$4:$E$920)),0))</f>
        <v/>
      </c>
      <c r="H314" s="128" t="str">
        <f t="shared" si="21"/>
        <v/>
      </c>
      <c r="I314" s="124" t="str">
        <f t="shared" si="22"/>
        <v/>
      </c>
      <c r="J314" s="987" t="str">
        <f>IF(A314="","",IFERROR(INDEX('Facturación 2026'!$L$4:$L$500,MATCH($A314,'Facturación 2026'!$A$4:$A$500,0)),""))</f>
        <v/>
      </c>
    </row>
    <row r="315" spans="1:10" ht="15.75" customHeight="1">
      <c r="A315" s="988"/>
      <c r="B315" s="122" t="str">
        <f t="shared" si="19"/>
        <v/>
      </c>
      <c r="C315" s="123"/>
      <c r="D315" s="131" t="str">
        <f t="array" ref="D315">IF(A315="","",SUMPRODUCT(('Detalle Turnos'!$I$3:$I$5028=$A315)*('Detalle Turnos'!$N$3:$N$5028=C315)*'Detalle Turnos'!$L$3:$L$5028))</f>
        <v/>
      </c>
      <c r="E315" s="127" t="str">
        <f t="array" ref="E315">IF(A315="","",SUMPRODUCT(('Detalle Turnos'!$I$3:$I$5028=$A315)*('Detalle Turnos'!$N$3:$N$5028=C315)*'Detalle Turnos'!$K$3:$K$5028))</f>
        <v/>
      </c>
      <c r="F315" s="127">
        <f t="shared" si="20"/>
        <v>0</v>
      </c>
      <c r="G315" s="127" t="str">
        <f t="array" ref="G315">IF(E315="","",IFERROR(SUMPRODUCT(('Facturación 2026'!$A$4:$A$920=$A315)*'Facturación 2026'!$J$4:$J$920)*E315/(SUMPRODUCT(('Caja 1'!$A$4:$A$919=$A315)*'Caja 1'!$E$4:$E$919)+SUMPRODUCT(('Caja 2'!$A$4:$A$920=$A315)*'Caja 2'!$E$4:$E$920)),0))</f>
        <v/>
      </c>
      <c r="H315" s="128" t="str">
        <f t="shared" si="21"/>
        <v/>
      </c>
      <c r="I315" s="124" t="str">
        <f t="shared" si="22"/>
        <v/>
      </c>
      <c r="J315" s="987" t="str">
        <f>IF(A315="","",IFERROR(INDEX('Facturación 2026'!$L$4:$L$500,MATCH($A315,'Facturación 2026'!$A$4:$A$500,0)),""))</f>
        <v/>
      </c>
    </row>
    <row r="316" spans="1:10" ht="15.75" customHeight="1">
      <c r="A316" s="988"/>
      <c r="B316" s="122" t="str">
        <f t="shared" si="19"/>
        <v/>
      </c>
      <c r="C316" s="123"/>
      <c r="D316" s="131" t="str">
        <f t="array" ref="D316">IF(A316="","",SUMPRODUCT(('Detalle Turnos'!$I$3:$I$5028=$A316)*('Detalle Turnos'!$N$3:$N$5028=C316)*'Detalle Turnos'!$L$3:$L$5028))</f>
        <v/>
      </c>
      <c r="E316" s="127" t="str">
        <f t="array" ref="E316">IF(A316="","",SUMPRODUCT(('Detalle Turnos'!$I$3:$I$5028=$A316)*('Detalle Turnos'!$N$3:$N$5028=C316)*'Detalle Turnos'!$K$3:$K$5028))</f>
        <v/>
      </c>
      <c r="F316" s="127">
        <f t="shared" si="20"/>
        <v>0</v>
      </c>
      <c r="G316" s="127" t="str">
        <f t="array" ref="G316">IF(E316="","",IFERROR(SUMPRODUCT(('Facturación 2026'!$A$4:$A$920=$A316)*'Facturación 2026'!$J$4:$J$920)*E316/(SUMPRODUCT(('Caja 1'!$A$4:$A$919=$A316)*'Caja 1'!$E$4:$E$919)+SUMPRODUCT(('Caja 2'!$A$4:$A$920=$A316)*'Caja 2'!$E$4:$E$920)),0))</f>
        <v/>
      </c>
      <c r="H316" s="128" t="str">
        <f t="shared" si="21"/>
        <v/>
      </c>
      <c r="I316" s="124" t="str">
        <f t="shared" si="22"/>
        <v/>
      </c>
      <c r="J316" s="987" t="str">
        <f>IF(A316="","",IFERROR(INDEX('Facturación 2026'!$L$4:$L$500,MATCH($A316,'Facturación 2026'!$A$4:$A$500,0)),""))</f>
        <v/>
      </c>
    </row>
    <row r="317" spans="1:10" ht="15.75" customHeight="1">
      <c r="A317" s="988"/>
      <c r="B317" s="122" t="str">
        <f t="shared" si="19"/>
        <v/>
      </c>
      <c r="C317" s="123"/>
      <c r="D317" s="131" t="str">
        <f t="array" ref="D317">IF(A317="","",SUMPRODUCT(('Detalle Turnos'!$I$3:$I$5028=$A317)*('Detalle Turnos'!$N$3:$N$5028=C317)*'Detalle Turnos'!$L$3:$L$5028))</f>
        <v/>
      </c>
      <c r="E317" s="127" t="str">
        <f t="array" ref="E317">IF(A317="","",SUMPRODUCT(('Detalle Turnos'!$I$3:$I$5028=$A317)*('Detalle Turnos'!$N$3:$N$5028=C317)*'Detalle Turnos'!$K$3:$K$5028))</f>
        <v/>
      </c>
      <c r="F317" s="127">
        <f t="shared" si="20"/>
        <v>0</v>
      </c>
      <c r="G317" s="127" t="str">
        <f t="array" ref="G317">IF(E317="","",IFERROR(SUMPRODUCT(('Facturación 2026'!$A$4:$A$920=$A317)*'Facturación 2026'!$J$4:$J$920)*E317/(SUMPRODUCT(('Caja 1'!$A$4:$A$919=$A317)*'Caja 1'!$E$4:$E$919)+SUMPRODUCT(('Caja 2'!$A$4:$A$920=$A317)*'Caja 2'!$E$4:$E$920)),0))</f>
        <v/>
      </c>
      <c r="H317" s="128" t="str">
        <f t="shared" si="21"/>
        <v/>
      </c>
      <c r="I317" s="124" t="str">
        <f t="shared" si="22"/>
        <v/>
      </c>
      <c r="J317" s="987" t="str">
        <f>IF(A317="","",IFERROR(INDEX('Facturación 2026'!$L$4:$L$500,MATCH($A317,'Facturación 2026'!$A$4:$A$500,0)),""))</f>
        <v/>
      </c>
    </row>
    <row r="318" spans="1:10" ht="15.75" customHeight="1">
      <c r="A318" s="988"/>
      <c r="B318" s="122" t="str">
        <f t="shared" si="19"/>
        <v/>
      </c>
      <c r="C318" s="123"/>
      <c r="D318" s="131" t="str">
        <f t="array" ref="D318">IF(A318="","",SUMPRODUCT(('Detalle Turnos'!$I$3:$I$5028=$A318)*('Detalle Turnos'!$N$3:$N$5028=C318)*'Detalle Turnos'!$L$3:$L$5028))</f>
        <v/>
      </c>
      <c r="E318" s="127" t="str">
        <f t="array" ref="E318">IF(A318="","",SUMPRODUCT(('Detalle Turnos'!$I$3:$I$5028=$A318)*('Detalle Turnos'!$N$3:$N$5028=C318)*'Detalle Turnos'!$K$3:$K$5028))</f>
        <v/>
      </c>
      <c r="F318" s="127">
        <f t="shared" si="20"/>
        <v>0</v>
      </c>
      <c r="G318" s="127" t="str">
        <f t="array" ref="G318">IF(E318="","",IFERROR(SUMPRODUCT(('Facturación 2026'!$A$4:$A$920=$A318)*'Facturación 2026'!$J$4:$J$920)*E318/(SUMPRODUCT(('Caja 1'!$A$4:$A$919=$A318)*'Caja 1'!$E$4:$E$919)+SUMPRODUCT(('Caja 2'!$A$4:$A$920=$A318)*'Caja 2'!$E$4:$E$920)),0))</f>
        <v/>
      </c>
      <c r="H318" s="128" t="str">
        <f t="shared" si="21"/>
        <v/>
      </c>
      <c r="I318" s="124" t="str">
        <f t="shared" si="22"/>
        <v/>
      </c>
      <c r="J318" s="987" t="str">
        <f>IF(A318="","",IFERROR(INDEX('Facturación 2026'!$L$4:$L$500,MATCH($A318,'Facturación 2026'!$A$4:$A$500,0)),""))</f>
        <v/>
      </c>
    </row>
    <row r="319" spans="1:10" ht="15.75" customHeight="1">
      <c r="A319" s="988"/>
      <c r="B319" s="122" t="str">
        <f t="shared" si="19"/>
        <v/>
      </c>
      <c r="C319" s="123"/>
      <c r="D319" s="131" t="str">
        <f t="array" ref="D319">IF(A319="","",SUMPRODUCT(('Detalle Turnos'!$I$3:$I$5028=$A319)*('Detalle Turnos'!$N$3:$N$5028=C319)*'Detalle Turnos'!$L$3:$L$5028))</f>
        <v/>
      </c>
      <c r="E319" s="127" t="str">
        <f t="array" ref="E319">IF(A319="","",SUMPRODUCT(('Detalle Turnos'!$I$3:$I$5028=$A319)*('Detalle Turnos'!$N$3:$N$5028=C319)*'Detalle Turnos'!$K$3:$K$5028))</f>
        <v/>
      </c>
      <c r="F319" s="127">
        <f t="shared" si="20"/>
        <v>0</v>
      </c>
      <c r="G319" s="127" t="str">
        <f t="array" ref="G319">IF(E319="","",IFERROR(SUMPRODUCT(('Facturación 2026'!$A$4:$A$920=$A319)*'Facturación 2026'!$J$4:$J$920)*E319/(SUMPRODUCT(('Caja 1'!$A$4:$A$919=$A319)*'Caja 1'!$E$4:$E$919)+SUMPRODUCT(('Caja 2'!$A$4:$A$920=$A319)*'Caja 2'!$E$4:$E$920)),0))</f>
        <v/>
      </c>
      <c r="H319" s="128" t="str">
        <f t="shared" si="21"/>
        <v/>
      </c>
      <c r="I319" s="124" t="str">
        <f t="shared" si="22"/>
        <v/>
      </c>
      <c r="J319" s="987" t="str">
        <f>IF(A319="","",IFERROR(INDEX('Facturación 2026'!$L$4:$L$500,MATCH($A319,'Facturación 2026'!$A$4:$A$500,0)),""))</f>
        <v/>
      </c>
    </row>
    <row r="320" spans="1:10" ht="15.75" customHeight="1">
      <c r="A320" s="988"/>
      <c r="B320" s="122" t="str">
        <f t="shared" si="19"/>
        <v/>
      </c>
      <c r="C320" s="123"/>
      <c r="D320" s="131" t="str">
        <f t="array" ref="D320">IF(A320="","",SUMPRODUCT(('Detalle Turnos'!$I$3:$I$5028=$A320)*('Detalle Turnos'!$N$3:$N$5028=C320)*'Detalle Turnos'!$L$3:$L$5028))</f>
        <v/>
      </c>
      <c r="E320" s="127" t="str">
        <f t="array" ref="E320">IF(A320="","",SUMPRODUCT(('Detalle Turnos'!$I$3:$I$5028=$A320)*('Detalle Turnos'!$N$3:$N$5028=C320)*'Detalle Turnos'!$K$3:$K$5028))</f>
        <v/>
      </c>
      <c r="F320" s="127">
        <f t="shared" si="20"/>
        <v>0</v>
      </c>
      <c r="G320" s="127" t="str">
        <f t="array" ref="G320">IF(E320="","",IFERROR(SUMPRODUCT(('Facturación 2026'!$A$4:$A$920=$A320)*'Facturación 2026'!$J$4:$J$920)*E320/(SUMPRODUCT(('Caja 1'!$A$4:$A$919=$A320)*'Caja 1'!$E$4:$E$919)+SUMPRODUCT(('Caja 2'!$A$4:$A$920=$A320)*'Caja 2'!$E$4:$E$920)),0))</f>
        <v/>
      </c>
      <c r="H320" s="128" t="str">
        <f t="shared" si="21"/>
        <v/>
      </c>
      <c r="I320" s="124" t="str">
        <f t="shared" si="22"/>
        <v/>
      </c>
      <c r="J320" s="987" t="str">
        <f>IF(A320="","",IFERROR(INDEX('Facturación 2026'!$L$4:$L$500,MATCH($A320,'Facturación 2026'!$A$4:$A$500,0)),""))</f>
        <v/>
      </c>
    </row>
    <row r="321" spans="1:10" ht="15.75" customHeight="1">
      <c r="A321" s="988"/>
      <c r="B321" s="122" t="str">
        <f t="shared" si="19"/>
        <v/>
      </c>
      <c r="C321" s="123"/>
      <c r="D321" s="131" t="str">
        <f t="array" ref="D321">IF(A321="","",SUMPRODUCT(('Detalle Turnos'!$I$3:$I$5028=$A321)*('Detalle Turnos'!$N$3:$N$5028=C321)*'Detalle Turnos'!$L$3:$L$5028))</f>
        <v/>
      </c>
      <c r="E321" s="127" t="str">
        <f t="array" ref="E321">IF(A321="","",SUMPRODUCT(('Detalle Turnos'!$I$3:$I$5028=$A321)*('Detalle Turnos'!$N$3:$N$5028=C321)*'Detalle Turnos'!$K$3:$K$5028))</f>
        <v/>
      </c>
      <c r="F321" s="127">
        <f t="shared" si="20"/>
        <v>0</v>
      </c>
      <c r="G321" s="127" t="str">
        <f t="array" ref="G321">IF(E321="","",IFERROR(SUMPRODUCT(('Facturación 2026'!$A$4:$A$920=$A321)*'Facturación 2026'!$J$4:$J$920)*E321/(SUMPRODUCT(('Caja 1'!$A$4:$A$919=$A321)*'Caja 1'!$E$4:$E$919)+SUMPRODUCT(('Caja 2'!$A$4:$A$920=$A321)*'Caja 2'!$E$4:$E$920)),0))</f>
        <v/>
      </c>
      <c r="H321" s="128" t="str">
        <f t="shared" si="21"/>
        <v/>
      </c>
      <c r="I321" s="124" t="str">
        <f t="shared" si="22"/>
        <v/>
      </c>
      <c r="J321" s="987" t="str">
        <f>IF(A321="","",IFERROR(INDEX('Facturación 2026'!$L$4:$L$500,MATCH($A321,'Facturación 2026'!$A$4:$A$500,0)),""))</f>
        <v/>
      </c>
    </row>
    <row r="322" spans="1:10" ht="15.75" customHeight="1">
      <c r="A322" s="988"/>
      <c r="B322" s="122" t="str">
        <f t="shared" si="19"/>
        <v/>
      </c>
      <c r="C322" s="123"/>
      <c r="D322" s="131" t="str">
        <f t="array" ref="D322">IF(A322="","",SUMPRODUCT(('Detalle Turnos'!$I$3:$I$5028=$A322)*('Detalle Turnos'!$N$3:$N$5028=C322)*'Detalle Turnos'!$L$3:$L$5028))</f>
        <v/>
      </c>
      <c r="E322" s="127" t="str">
        <f t="array" ref="E322">IF(A322="","",SUMPRODUCT(('Detalle Turnos'!$I$3:$I$5028=$A322)*('Detalle Turnos'!$N$3:$N$5028=C322)*'Detalle Turnos'!$K$3:$K$5028))</f>
        <v/>
      </c>
      <c r="F322" s="127">
        <f t="shared" si="20"/>
        <v>0</v>
      </c>
      <c r="G322" s="127" t="str">
        <f t="array" ref="G322">IF(E322="","",IFERROR(SUMPRODUCT(('Facturación 2026'!$A$4:$A$920=$A322)*'Facturación 2026'!$J$4:$J$920)*E322/(SUMPRODUCT(('Caja 1'!$A$4:$A$919=$A322)*'Caja 1'!$E$4:$E$919)+SUMPRODUCT(('Caja 2'!$A$4:$A$920=$A322)*'Caja 2'!$E$4:$E$920)),0))</f>
        <v/>
      </c>
      <c r="H322" s="128" t="str">
        <f t="shared" si="21"/>
        <v/>
      </c>
      <c r="I322" s="124" t="str">
        <f t="shared" si="22"/>
        <v/>
      </c>
      <c r="J322" s="987" t="str">
        <f>IF(A322="","",IFERROR(INDEX('Facturación 2026'!$L$4:$L$500,MATCH($A322,'Facturación 2026'!$A$4:$A$500,0)),""))</f>
        <v/>
      </c>
    </row>
    <row r="323" spans="1:10" ht="15.75" customHeight="1">
      <c r="A323" s="988"/>
      <c r="B323" s="122" t="str">
        <f t="shared" ref="B323:B386" si="23">IF(A323="","",CHOOSE(WEEKDAY(A323,2),"Lun","Mar","Mié","Jue","Vie","Sáb","Dom"))</f>
        <v/>
      </c>
      <c r="C323" s="123"/>
      <c r="D323" s="131" t="str">
        <f t="array" ref="D323">IF(A323="","",SUMPRODUCT(('Detalle Turnos'!$I$3:$I$5028=$A323)*('Detalle Turnos'!$N$3:$N$5028=C323)*'Detalle Turnos'!$L$3:$L$5028))</f>
        <v/>
      </c>
      <c r="E323" s="127" t="str">
        <f t="array" ref="E323">IF(A323="","",SUMPRODUCT(('Detalle Turnos'!$I$3:$I$5028=$A323)*('Detalle Turnos'!$N$3:$N$5028=C323)*'Detalle Turnos'!$K$3:$K$5028))</f>
        <v/>
      </c>
      <c r="F323" s="127">
        <f t="shared" ref="F323:F386" si="24">IFERROR(E323/D323,0)</f>
        <v>0</v>
      </c>
      <c r="G323" s="127" t="str">
        <f t="array" ref="G323">IF(E323="","",IFERROR(SUMPRODUCT(('Facturación 2026'!$A$4:$A$920=$A323)*'Facturación 2026'!$J$4:$J$920)*E323/(SUMPRODUCT(('Caja 1'!$A$4:$A$919=$A323)*'Caja 1'!$E$4:$E$919)+SUMPRODUCT(('Caja 2'!$A$4:$A$920=$A323)*'Caja 2'!$E$4:$E$920)),0))</f>
        <v/>
      </c>
      <c r="H323" s="128" t="str">
        <f t="shared" ref="H323:H386" si="25">IF(E323="","",E323-G323)</f>
        <v/>
      </c>
      <c r="I323" s="124" t="str">
        <f t="shared" ref="I323:I386" si="26">IF(E323="","",IFERROR(G323/E323,0))</f>
        <v/>
      </c>
      <c r="J323" s="987" t="str">
        <f>IF(A323="","",IFERROR(INDEX('Facturación 2026'!$L$4:$L$500,MATCH($A323,'Facturación 2026'!$A$4:$A$500,0)),""))</f>
        <v/>
      </c>
    </row>
    <row r="324" spans="1:10" ht="15.75" customHeight="1">
      <c r="A324" s="988"/>
      <c r="B324" s="122" t="str">
        <f t="shared" si="23"/>
        <v/>
      </c>
      <c r="C324" s="123"/>
      <c r="D324" s="131" t="str">
        <f t="array" ref="D324">IF(A324="","",SUMPRODUCT(('Detalle Turnos'!$I$3:$I$5028=$A324)*('Detalle Turnos'!$N$3:$N$5028=C324)*'Detalle Turnos'!$L$3:$L$5028))</f>
        <v/>
      </c>
      <c r="E324" s="127" t="str">
        <f t="array" ref="E324">IF(A324="","",SUMPRODUCT(('Detalle Turnos'!$I$3:$I$5028=$A324)*('Detalle Turnos'!$N$3:$N$5028=C324)*'Detalle Turnos'!$K$3:$K$5028))</f>
        <v/>
      </c>
      <c r="F324" s="127">
        <f t="shared" si="24"/>
        <v>0</v>
      </c>
      <c r="G324" s="127" t="str">
        <f t="array" ref="G324">IF(E324="","",IFERROR(SUMPRODUCT(('Facturación 2026'!$A$4:$A$920=$A324)*'Facturación 2026'!$J$4:$J$920)*E324/(SUMPRODUCT(('Caja 1'!$A$4:$A$919=$A324)*'Caja 1'!$E$4:$E$919)+SUMPRODUCT(('Caja 2'!$A$4:$A$920=$A324)*'Caja 2'!$E$4:$E$920)),0))</f>
        <v/>
      </c>
      <c r="H324" s="128" t="str">
        <f t="shared" si="25"/>
        <v/>
      </c>
      <c r="I324" s="124" t="str">
        <f t="shared" si="26"/>
        <v/>
      </c>
      <c r="J324" s="987" t="str">
        <f>IF(A324="","",IFERROR(INDEX('Facturación 2026'!$L$4:$L$500,MATCH($A324,'Facturación 2026'!$A$4:$A$500,0)),""))</f>
        <v/>
      </c>
    </row>
    <row r="325" spans="1:10" ht="15.75" customHeight="1">
      <c r="A325" s="988"/>
      <c r="B325" s="122" t="str">
        <f t="shared" si="23"/>
        <v/>
      </c>
      <c r="C325" s="123"/>
      <c r="D325" s="131" t="str">
        <f t="array" ref="D325">IF(A325="","",SUMPRODUCT(('Detalle Turnos'!$I$3:$I$5028=$A325)*('Detalle Turnos'!$N$3:$N$5028=C325)*'Detalle Turnos'!$L$3:$L$5028))</f>
        <v/>
      </c>
      <c r="E325" s="127" t="str">
        <f t="array" ref="E325">IF(A325="","",SUMPRODUCT(('Detalle Turnos'!$I$3:$I$5028=$A325)*('Detalle Turnos'!$N$3:$N$5028=C325)*'Detalle Turnos'!$K$3:$K$5028))</f>
        <v/>
      </c>
      <c r="F325" s="127">
        <f t="shared" si="24"/>
        <v>0</v>
      </c>
      <c r="G325" s="127" t="str">
        <f t="array" ref="G325">IF(E325="","",IFERROR(SUMPRODUCT(('Facturación 2026'!$A$4:$A$920=$A325)*'Facturación 2026'!$J$4:$J$920)*E325/(SUMPRODUCT(('Caja 1'!$A$4:$A$919=$A325)*'Caja 1'!$E$4:$E$919)+SUMPRODUCT(('Caja 2'!$A$4:$A$920=$A325)*'Caja 2'!$E$4:$E$920)),0))</f>
        <v/>
      </c>
      <c r="H325" s="128" t="str">
        <f t="shared" si="25"/>
        <v/>
      </c>
      <c r="I325" s="124" t="str">
        <f t="shared" si="26"/>
        <v/>
      </c>
      <c r="J325" s="987" t="str">
        <f>IF(A325="","",IFERROR(INDEX('Facturación 2026'!$L$4:$L$500,MATCH($A325,'Facturación 2026'!$A$4:$A$500,0)),""))</f>
        <v/>
      </c>
    </row>
    <row r="326" spans="1:10" ht="15.75" customHeight="1">
      <c r="A326" s="988"/>
      <c r="B326" s="122" t="str">
        <f t="shared" si="23"/>
        <v/>
      </c>
      <c r="C326" s="123"/>
      <c r="D326" s="131" t="str">
        <f t="array" ref="D326">IF(A326="","",SUMPRODUCT(('Detalle Turnos'!$I$3:$I$5028=$A326)*('Detalle Turnos'!$N$3:$N$5028=C326)*'Detalle Turnos'!$L$3:$L$5028))</f>
        <v/>
      </c>
      <c r="E326" s="127" t="str">
        <f t="array" ref="E326">IF(A326="","",SUMPRODUCT(('Detalle Turnos'!$I$3:$I$5028=$A326)*('Detalle Turnos'!$N$3:$N$5028=C326)*'Detalle Turnos'!$K$3:$K$5028))</f>
        <v/>
      </c>
      <c r="F326" s="127">
        <f t="shared" si="24"/>
        <v>0</v>
      </c>
      <c r="G326" s="127" t="str">
        <f t="array" ref="G326">IF(E326="","",IFERROR(SUMPRODUCT(('Facturación 2026'!$A$4:$A$920=$A326)*'Facturación 2026'!$J$4:$J$920)*E326/(SUMPRODUCT(('Caja 1'!$A$4:$A$919=$A326)*'Caja 1'!$E$4:$E$919)+SUMPRODUCT(('Caja 2'!$A$4:$A$920=$A326)*'Caja 2'!$E$4:$E$920)),0))</f>
        <v/>
      </c>
      <c r="H326" s="128" t="str">
        <f t="shared" si="25"/>
        <v/>
      </c>
      <c r="I326" s="124" t="str">
        <f t="shared" si="26"/>
        <v/>
      </c>
      <c r="J326" s="987" t="str">
        <f>IF(A326="","",IFERROR(INDEX('Facturación 2026'!$L$4:$L$500,MATCH($A326,'Facturación 2026'!$A$4:$A$500,0)),""))</f>
        <v/>
      </c>
    </row>
    <row r="327" spans="1:10" ht="15.75" customHeight="1">
      <c r="A327" s="988"/>
      <c r="B327" s="122" t="str">
        <f t="shared" si="23"/>
        <v/>
      </c>
      <c r="C327" s="123"/>
      <c r="D327" s="131" t="str">
        <f t="array" ref="D327">IF(A327="","",SUMPRODUCT(('Detalle Turnos'!$I$3:$I$5028=$A327)*('Detalle Turnos'!$N$3:$N$5028=C327)*'Detalle Turnos'!$L$3:$L$5028))</f>
        <v/>
      </c>
      <c r="E327" s="127" t="str">
        <f t="array" ref="E327">IF(A327="","",SUMPRODUCT(('Detalle Turnos'!$I$3:$I$5028=$A327)*('Detalle Turnos'!$N$3:$N$5028=C327)*'Detalle Turnos'!$K$3:$K$5028))</f>
        <v/>
      </c>
      <c r="F327" s="127">
        <f t="shared" si="24"/>
        <v>0</v>
      </c>
      <c r="G327" s="127" t="str">
        <f t="array" ref="G327">IF(E327="","",IFERROR(SUMPRODUCT(('Facturación 2026'!$A$4:$A$920=$A327)*'Facturación 2026'!$J$4:$J$920)*E327/(SUMPRODUCT(('Caja 1'!$A$4:$A$919=$A327)*'Caja 1'!$E$4:$E$919)+SUMPRODUCT(('Caja 2'!$A$4:$A$920=$A327)*'Caja 2'!$E$4:$E$920)),0))</f>
        <v/>
      </c>
      <c r="H327" s="128" t="str">
        <f t="shared" si="25"/>
        <v/>
      </c>
      <c r="I327" s="124" t="str">
        <f t="shared" si="26"/>
        <v/>
      </c>
      <c r="J327" s="987" t="str">
        <f>IF(A327="","",IFERROR(INDEX('Facturación 2026'!$L$4:$L$500,MATCH($A327,'Facturación 2026'!$A$4:$A$500,0)),""))</f>
        <v/>
      </c>
    </row>
    <row r="328" spans="1:10" ht="15.75" customHeight="1">
      <c r="A328" s="988"/>
      <c r="B328" s="122" t="str">
        <f t="shared" si="23"/>
        <v/>
      </c>
      <c r="C328" s="123"/>
      <c r="D328" s="131" t="str">
        <f t="array" ref="D328">IF(A328="","",SUMPRODUCT(('Detalle Turnos'!$I$3:$I$5028=$A328)*('Detalle Turnos'!$N$3:$N$5028=C328)*'Detalle Turnos'!$L$3:$L$5028))</f>
        <v/>
      </c>
      <c r="E328" s="127" t="str">
        <f t="array" ref="E328">IF(A328="","",SUMPRODUCT(('Detalle Turnos'!$I$3:$I$5028=$A328)*('Detalle Turnos'!$N$3:$N$5028=C328)*'Detalle Turnos'!$K$3:$K$5028))</f>
        <v/>
      </c>
      <c r="F328" s="127">
        <f t="shared" si="24"/>
        <v>0</v>
      </c>
      <c r="G328" s="127" t="str">
        <f t="array" ref="G328">IF(E328="","",IFERROR(SUMPRODUCT(('Facturación 2026'!$A$4:$A$920=$A328)*'Facturación 2026'!$J$4:$J$920)*E328/(SUMPRODUCT(('Caja 1'!$A$4:$A$919=$A328)*'Caja 1'!$E$4:$E$919)+SUMPRODUCT(('Caja 2'!$A$4:$A$920=$A328)*'Caja 2'!$E$4:$E$920)),0))</f>
        <v/>
      </c>
      <c r="H328" s="128" t="str">
        <f t="shared" si="25"/>
        <v/>
      </c>
      <c r="I328" s="124" t="str">
        <f t="shared" si="26"/>
        <v/>
      </c>
      <c r="J328" s="987" t="str">
        <f>IF(A328="","",IFERROR(INDEX('Facturación 2026'!$L$4:$L$500,MATCH($A328,'Facturación 2026'!$A$4:$A$500,0)),""))</f>
        <v/>
      </c>
    </row>
    <row r="329" spans="1:10" ht="15.75" customHeight="1">
      <c r="A329" s="988"/>
      <c r="B329" s="122" t="str">
        <f t="shared" si="23"/>
        <v/>
      </c>
      <c r="C329" s="123"/>
      <c r="D329" s="131" t="str">
        <f t="array" ref="D329">IF(A329="","",SUMPRODUCT(('Detalle Turnos'!$I$3:$I$5028=$A329)*('Detalle Turnos'!$N$3:$N$5028=C329)*'Detalle Turnos'!$L$3:$L$5028))</f>
        <v/>
      </c>
      <c r="E329" s="127" t="str">
        <f t="array" ref="E329">IF(A329="","",SUMPRODUCT(('Detalle Turnos'!$I$3:$I$5028=$A329)*('Detalle Turnos'!$N$3:$N$5028=C329)*'Detalle Turnos'!$K$3:$K$5028))</f>
        <v/>
      </c>
      <c r="F329" s="127">
        <f t="shared" si="24"/>
        <v>0</v>
      </c>
      <c r="G329" s="127" t="str">
        <f t="array" ref="G329">IF(E329="","",IFERROR(SUMPRODUCT(('Facturación 2026'!$A$4:$A$920=$A329)*'Facturación 2026'!$J$4:$J$920)*E329/(SUMPRODUCT(('Caja 1'!$A$4:$A$919=$A329)*'Caja 1'!$E$4:$E$919)+SUMPRODUCT(('Caja 2'!$A$4:$A$920=$A329)*'Caja 2'!$E$4:$E$920)),0))</f>
        <v/>
      </c>
      <c r="H329" s="128" t="str">
        <f t="shared" si="25"/>
        <v/>
      </c>
      <c r="I329" s="124" t="str">
        <f t="shared" si="26"/>
        <v/>
      </c>
      <c r="J329" s="987" t="str">
        <f>IF(A329="","",IFERROR(INDEX('Facturación 2026'!$L$4:$L$500,MATCH($A329,'Facturación 2026'!$A$4:$A$500,0)),""))</f>
        <v/>
      </c>
    </row>
    <row r="330" spans="1:10" ht="15.75" customHeight="1">
      <c r="A330" s="988"/>
      <c r="B330" s="122" t="str">
        <f t="shared" si="23"/>
        <v/>
      </c>
      <c r="C330" s="123"/>
      <c r="D330" s="131" t="str">
        <f t="array" ref="D330">IF(A330="","",SUMPRODUCT(('Detalle Turnos'!$I$3:$I$5028=$A330)*('Detalle Turnos'!$N$3:$N$5028=C330)*'Detalle Turnos'!$L$3:$L$5028))</f>
        <v/>
      </c>
      <c r="E330" s="127" t="str">
        <f t="array" ref="E330">IF(A330="","",SUMPRODUCT(('Detalle Turnos'!$I$3:$I$5028=$A330)*('Detalle Turnos'!$N$3:$N$5028=C330)*'Detalle Turnos'!$K$3:$K$5028))</f>
        <v/>
      </c>
      <c r="F330" s="127">
        <f t="shared" si="24"/>
        <v>0</v>
      </c>
      <c r="G330" s="127" t="str">
        <f t="array" ref="G330">IF(E330="","",IFERROR(SUMPRODUCT(('Facturación 2026'!$A$4:$A$920=$A330)*'Facturación 2026'!$J$4:$J$920)*E330/(SUMPRODUCT(('Caja 1'!$A$4:$A$919=$A330)*'Caja 1'!$E$4:$E$919)+SUMPRODUCT(('Caja 2'!$A$4:$A$920=$A330)*'Caja 2'!$E$4:$E$920)),0))</f>
        <v/>
      </c>
      <c r="H330" s="128" t="str">
        <f t="shared" si="25"/>
        <v/>
      </c>
      <c r="I330" s="124" t="str">
        <f t="shared" si="26"/>
        <v/>
      </c>
      <c r="J330" s="987" t="str">
        <f>IF(A330="","",IFERROR(INDEX('Facturación 2026'!$L$4:$L$500,MATCH($A330,'Facturación 2026'!$A$4:$A$500,0)),""))</f>
        <v/>
      </c>
    </row>
    <row r="331" spans="1:10" ht="15.75" customHeight="1">
      <c r="A331" s="988"/>
      <c r="B331" s="122" t="str">
        <f t="shared" si="23"/>
        <v/>
      </c>
      <c r="C331" s="123"/>
      <c r="D331" s="131" t="str">
        <f t="array" ref="D331">IF(A331="","",SUMPRODUCT(('Detalle Turnos'!$I$3:$I$5028=$A331)*('Detalle Turnos'!$N$3:$N$5028=C331)*'Detalle Turnos'!$L$3:$L$5028))</f>
        <v/>
      </c>
      <c r="E331" s="127" t="str">
        <f t="array" ref="E331">IF(A331="","",SUMPRODUCT(('Detalle Turnos'!$I$3:$I$5028=$A331)*('Detalle Turnos'!$N$3:$N$5028=C331)*'Detalle Turnos'!$K$3:$K$5028))</f>
        <v/>
      </c>
      <c r="F331" s="127">
        <f t="shared" si="24"/>
        <v>0</v>
      </c>
      <c r="G331" s="127" t="str">
        <f t="array" ref="G331">IF(E331="","",IFERROR(SUMPRODUCT(('Facturación 2026'!$A$4:$A$920=$A331)*'Facturación 2026'!$J$4:$J$920)*E331/(SUMPRODUCT(('Caja 1'!$A$4:$A$919=$A331)*'Caja 1'!$E$4:$E$919)+SUMPRODUCT(('Caja 2'!$A$4:$A$920=$A331)*'Caja 2'!$E$4:$E$920)),0))</f>
        <v/>
      </c>
      <c r="H331" s="128" t="str">
        <f t="shared" si="25"/>
        <v/>
      </c>
      <c r="I331" s="124" t="str">
        <f t="shared" si="26"/>
        <v/>
      </c>
      <c r="J331" s="987" t="str">
        <f>IF(A331="","",IFERROR(INDEX('Facturación 2026'!$L$4:$L$500,MATCH($A331,'Facturación 2026'!$A$4:$A$500,0)),""))</f>
        <v/>
      </c>
    </row>
    <row r="332" spans="1:10" ht="15.75" customHeight="1">
      <c r="A332" s="988"/>
      <c r="B332" s="122" t="str">
        <f t="shared" si="23"/>
        <v/>
      </c>
      <c r="C332" s="123"/>
      <c r="D332" s="131" t="str">
        <f t="array" ref="D332">IF(A332="","",SUMPRODUCT(('Detalle Turnos'!$I$3:$I$5028=$A332)*('Detalle Turnos'!$N$3:$N$5028=C332)*'Detalle Turnos'!$L$3:$L$5028))</f>
        <v/>
      </c>
      <c r="E332" s="127" t="str">
        <f t="array" ref="E332">IF(A332="","",SUMPRODUCT(('Detalle Turnos'!$I$3:$I$5028=$A332)*('Detalle Turnos'!$N$3:$N$5028=C332)*'Detalle Turnos'!$K$3:$K$5028))</f>
        <v/>
      </c>
      <c r="F332" s="127">
        <f t="shared" si="24"/>
        <v>0</v>
      </c>
      <c r="G332" s="127" t="str">
        <f t="array" ref="G332">IF(E332="","",IFERROR(SUMPRODUCT(('Facturación 2026'!$A$4:$A$920=$A332)*'Facturación 2026'!$J$4:$J$920)*E332/(SUMPRODUCT(('Caja 1'!$A$4:$A$919=$A332)*'Caja 1'!$E$4:$E$919)+SUMPRODUCT(('Caja 2'!$A$4:$A$920=$A332)*'Caja 2'!$E$4:$E$920)),0))</f>
        <v/>
      </c>
      <c r="H332" s="128" t="str">
        <f t="shared" si="25"/>
        <v/>
      </c>
      <c r="I332" s="124" t="str">
        <f t="shared" si="26"/>
        <v/>
      </c>
      <c r="J332" s="987" t="str">
        <f>IF(A332="","",IFERROR(INDEX('Facturación 2026'!$L$4:$L$500,MATCH($A332,'Facturación 2026'!$A$4:$A$500,0)),""))</f>
        <v/>
      </c>
    </row>
    <row r="333" spans="1:10" ht="15.75" customHeight="1">
      <c r="A333" s="988"/>
      <c r="B333" s="122" t="str">
        <f t="shared" si="23"/>
        <v/>
      </c>
      <c r="C333" s="123"/>
      <c r="D333" s="131" t="str">
        <f t="array" ref="D333">IF(A333="","",SUMPRODUCT(('Detalle Turnos'!$I$3:$I$5028=$A333)*('Detalle Turnos'!$N$3:$N$5028=C333)*'Detalle Turnos'!$L$3:$L$5028))</f>
        <v/>
      </c>
      <c r="E333" s="127" t="str">
        <f t="array" ref="E333">IF(A333="","",SUMPRODUCT(('Detalle Turnos'!$I$3:$I$5028=$A333)*('Detalle Turnos'!$N$3:$N$5028=C333)*'Detalle Turnos'!$K$3:$K$5028))</f>
        <v/>
      </c>
      <c r="F333" s="127">
        <f t="shared" si="24"/>
        <v>0</v>
      </c>
      <c r="G333" s="127" t="str">
        <f t="array" ref="G333">IF(E333="","",IFERROR(SUMPRODUCT(('Facturación 2026'!$A$4:$A$920=$A333)*'Facturación 2026'!$J$4:$J$920)*E333/(SUMPRODUCT(('Caja 1'!$A$4:$A$919=$A333)*'Caja 1'!$E$4:$E$919)+SUMPRODUCT(('Caja 2'!$A$4:$A$920=$A333)*'Caja 2'!$E$4:$E$920)),0))</f>
        <v/>
      </c>
      <c r="H333" s="128" t="str">
        <f t="shared" si="25"/>
        <v/>
      </c>
      <c r="I333" s="124" t="str">
        <f t="shared" si="26"/>
        <v/>
      </c>
      <c r="J333" s="987" t="str">
        <f>IF(A333="","",IFERROR(INDEX('Facturación 2026'!$L$4:$L$500,MATCH($A333,'Facturación 2026'!$A$4:$A$500,0)),""))</f>
        <v/>
      </c>
    </row>
    <row r="334" spans="1:10" ht="15.75" customHeight="1">
      <c r="A334" s="988"/>
      <c r="B334" s="122" t="str">
        <f t="shared" si="23"/>
        <v/>
      </c>
      <c r="C334" s="123"/>
      <c r="D334" s="131" t="str">
        <f t="array" ref="D334">IF(A334="","",SUMPRODUCT(('Detalle Turnos'!$I$3:$I$5028=$A334)*('Detalle Turnos'!$N$3:$N$5028=C334)*'Detalle Turnos'!$L$3:$L$5028))</f>
        <v/>
      </c>
      <c r="E334" s="127" t="str">
        <f t="array" ref="E334">IF(A334="","",SUMPRODUCT(('Detalle Turnos'!$I$3:$I$5028=$A334)*('Detalle Turnos'!$N$3:$N$5028=C334)*'Detalle Turnos'!$K$3:$K$5028))</f>
        <v/>
      </c>
      <c r="F334" s="127">
        <f t="shared" si="24"/>
        <v>0</v>
      </c>
      <c r="G334" s="127" t="str">
        <f t="array" ref="G334">IF(E334="","",IFERROR(SUMPRODUCT(('Facturación 2026'!$A$4:$A$920=$A334)*'Facturación 2026'!$J$4:$J$920)*E334/(SUMPRODUCT(('Caja 1'!$A$4:$A$919=$A334)*'Caja 1'!$E$4:$E$919)+SUMPRODUCT(('Caja 2'!$A$4:$A$920=$A334)*'Caja 2'!$E$4:$E$920)),0))</f>
        <v/>
      </c>
      <c r="H334" s="128" t="str">
        <f t="shared" si="25"/>
        <v/>
      </c>
      <c r="I334" s="124" t="str">
        <f t="shared" si="26"/>
        <v/>
      </c>
      <c r="J334" s="987" t="str">
        <f>IF(A334="","",IFERROR(INDEX('Facturación 2026'!$L$4:$L$500,MATCH($A334,'Facturación 2026'!$A$4:$A$500,0)),""))</f>
        <v/>
      </c>
    </row>
    <row r="335" spans="1:10" ht="15.75" customHeight="1">
      <c r="A335" s="988"/>
      <c r="B335" s="122" t="str">
        <f t="shared" si="23"/>
        <v/>
      </c>
      <c r="C335" s="123"/>
      <c r="D335" s="131" t="str">
        <f t="array" ref="D335">IF(A335="","",SUMPRODUCT(('Detalle Turnos'!$I$3:$I$5028=$A335)*('Detalle Turnos'!$N$3:$N$5028=C335)*'Detalle Turnos'!$L$3:$L$5028))</f>
        <v/>
      </c>
      <c r="E335" s="127" t="str">
        <f t="array" ref="E335">IF(A335="","",SUMPRODUCT(('Detalle Turnos'!$I$3:$I$5028=$A335)*('Detalle Turnos'!$N$3:$N$5028=C335)*'Detalle Turnos'!$K$3:$K$5028))</f>
        <v/>
      </c>
      <c r="F335" s="127">
        <f t="shared" si="24"/>
        <v>0</v>
      </c>
      <c r="G335" s="127" t="str">
        <f t="array" ref="G335">IF(E335="","",IFERROR(SUMPRODUCT(('Facturación 2026'!$A$4:$A$920=$A335)*'Facturación 2026'!$J$4:$J$920)*E335/(SUMPRODUCT(('Caja 1'!$A$4:$A$919=$A335)*'Caja 1'!$E$4:$E$919)+SUMPRODUCT(('Caja 2'!$A$4:$A$920=$A335)*'Caja 2'!$E$4:$E$920)),0))</f>
        <v/>
      </c>
      <c r="H335" s="128" t="str">
        <f t="shared" si="25"/>
        <v/>
      </c>
      <c r="I335" s="124" t="str">
        <f t="shared" si="26"/>
        <v/>
      </c>
      <c r="J335" s="987" t="str">
        <f>IF(A335="","",IFERROR(INDEX('Facturación 2026'!$L$4:$L$500,MATCH($A335,'Facturación 2026'!$A$4:$A$500,0)),""))</f>
        <v/>
      </c>
    </row>
    <row r="336" spans="1:10" ht="15.75" customHeight="1">
      <c r="A336" s="988"/>
      <c r="B336" s="122" t="str">
        <f t="shared" si="23"/>
        <v/>
      </c>
      <c r="C336" s="123"/>
      <c r="D336" s="131" t="str">
        <f t="array" ref="D336">IF(A336="","",SUMPRODUCT(('Detalle Turnos'!$I$3:$I$5028=$A336)*('Detalle Turnos'!$N$3:$N$5028=C336)*'Detalle Turnos'!$L$3:$L$5028))</f>
        <v/>
      </c>
      <c r="E336" s="127" t="str">
        <f t="array" ref="E336">IF(A336="","",SUMPRODUCT(('Detalle Turnos'!$I$3:$I$5028=$A336)*('Detalle Turnos'!$N$3:$N$5028=C336)*'Detalle Turnos'!$K$3:$K$5028))</f>
        <v/>
      </c>
      <c r="F336" s="127">
        <f t="shared" si="24"/>
        <v>0</v>
      </c>
      <c r="G336" s="127" t="str">
        <f t="array" ref="G336">IF(E336="","",IFERROR(SUMPRODUCT(('Facturación 2026'!$A$4:$A$920=$A336)*'Facturación 2026'!$J$4:$J$920)*E336/(SUMPRODUCT(('Caja 1'!$A$4:$A$919=$A336)*'Caja 1'!$E$4:$E$919)+SUMPRODUCT(('Caja 2'!$A$4:$A$920=$A336)*'Caja 2'!$E$4:$E$920)),0))</f>
        <v/>
      </c>
      <c r="H336" s="128" t="str">
        <f t="shared" si="25"/>
        <v/>
      </c>
      <c r="I336" s="124" t="str">
        <f t="shared" si="26"/>
        <v/>
      </c>
      <c r="J336" s="987" t="str">
        <f>IF(A336="","",IFERROR(INDEX('Facturación 2026'!$L$4:$L$500,MATCH($A336,'Facturación 2026'!$A$4:$A$500,0)),""))</f>
        <v/>
      </c>
    </row>
    <row r="337" spans="1:10" ht="15.75" customHeight="1">
      <c r="A337" s="988"/>
      <c r="B337" s="122" t="str">
        <f t="shared" si="23"/>
        <v/>
      </c>
      <c r="C337" s="123"/>
      <c r="D337" s="131" t="str">
        <f t="array" ref="D337">IF(A337="","",SUMPRODUCT(('Detalle Turnos'!$I$3:$I$5028=$A337)*('Detalle Turnos'!$N$3:$N$5028=C337)*'Detalle Turnos'!$L$3:$L$5028))</f>
        <v/>
      </c>
      <c r="E337" s="127" t="str">
        <f t="array" ref="E337">IF(A337="","",SUMPRODUCT(('Detalle Turnos'!$I$3:$I$5028=$A337)*('Detalle Turnos'!$N$3:$N$5028=C337)*'Detalle Turnos'!$K$3:$K$5028))</f>
        <v/>
      </c>
      <c r="F337" s="127">
        <f t="shared" si="24"/>
        <v>0</v>
      </c>
      <c r="G337" s="127" t="str">
        <f t="array" ref="G337">IF(E337="","",IFERROR(SUMPRODUCT(('Facturación 2026'!$A$4:$A$920=$A337)*'Facturación 2026'!$J$4:$J$920)*E337/(SUMPRODUCT(('Caja 1'!$A$4:$A$919=$A337)*'Caja 1'!$E$4:$E$919)+SUMPRODUCT(('Caja 2'!$A$4:$A$920=$A337)*'Caja 2'!$E$4:$E$920)),0))</f>
        <v/>
      </c>
      <c r="H337" s="128" t="str">
        <f t="shared" si="25"/>
        <v/>
      </c>
      <c r="I337" s="124" t="str">
        <f t="shared" si="26"/>
        <v/>
      </c>
      <c r="J337" s="987" t="str">
        <f>IF(A337="","",IFERROR(INDEX('Facturación 2026'!$L$4:$L$500,MATCH($A337,'Facturación 2026'!$A$4:$A$500,0)),""))</f>
        <v/>
      </c>
    </row>
    <row r="338" spans="1:10" ht="15.75" customHeight="1">
      <c r="A338" s="988"/>
      <c r="B338" s="122" t="str">
        <f t="shared" si="23"/>
        <v/>
      </c>
      <c r="C338" s="123"/>
      <c r="D338" s="131" t="str">
        <f t="array" ref="D338">IF(A338="","",SUMPRODUCT(('Detalle Turnos'!$I$3:$I$5028=$A338)*('Detalle Turnos'!$N$3:$N$5028=C338)*'Detalle Turnos'!$L$3:$L$5028))</f>
        <v/>
      </c>
      <c r="E338" s="127" t="str">
        <f t="array" ref="E338">IF(A338="","",SUMPRODUCT(('Detalle Turnos'!$I$3:$I$5028=$A338)*('Detalle Turnos'!$N$3:$N$5028=C338)*'Detalle Turnos'!$K$3:$K$5028))</f>
        <v/>
      </c>
      <c r="F338" s="127">
        <f t="shared" si="24"/>
        <v>0</v>
      </c>
      <c r="G338" s="127" t="str">
        <f t="array" ref="G338">IF(E338="","",IFERROR(SUMPRODUCT(('Facturación 2026'!$A$4:$A$920=$A338)*'Facturación 2026'!$J$4:$J$920)*E338/(SUMPRODUCT(('Caja 1'!$A$4:$A$919=$A338)*'Caja 1'!$E$4:$E$919)+SUMPRODUCT(('Caja 2'!$A$4:$A$920=$A338)*'Caja 2'!$E$4:$E$920)),0))</f>
        <v/>
      </c>
      <c r="H338" s="128" t="str">
        <f t="shared" si="25"/>
        <v/>
      </c>
      <c r="I338" s="124" t="str">
        <f t="shared" si="26"/>
        <v/>
      </c>
      <c r="J338" s="987" t="str">
        <f>IF(A338="","",IFERROR(INDEX('Facturación 2026'!$L$4:$L$500,MATCH($A338,'Facturación 2026'!$A$4:$A$500,0)),""))</f>
        <v/>
      </c>
    </row>
    <row r="339" spans="1:10" ht="15.75" customHeight="1">
      <c r="A339" s="988"/>
      <c r="B339" s="122" t="str">
        <f t="shared" si="23"/>
        <v/>
      </c>
      <c r="C339" s="123"/>
      <c r="D339" s="131" t="str">
        <f t="array" ref="D339">IF(A339="","",SUMPRODUCT(('Detalle Turnos'!$I$3:$I$5028=$A339)*('Detalle Turnos'!$N$3:$N$5028=C339)*'Detalle Turnos'!$L$3:$L$5028))</f>
        <v/>
      </c>
      <c r="E339" s="127" t="str">
        <f t="array" ref="E339">IF(A339="","",SUMPRODUCT(('Detalle Turnos'!$I$3:$I$5028=$A339)*('Detalle Turnos'!$N$3:$N$5028=C339)*'Detalle Turnos'!$K$3:$K$5028))</f>
        <v/>
      </c>
      <c r="F339" s="127">
        <f t="shared" si="24"/>
        <v>0</v>
      </c>
      <c r="G339" s="127" t="str">
        <f t="array" ref="G339">IF(E339="","",IFERROR(SUMPRODUCT(('Facturación 2026'!$A$4:$A$920=$A339)*'Facturación 2026'!$J$4:$J$920)*E339/(SUMPRODUCT(('Caja 1'!$A$4:$A$919=$A339)*'Caja 1'!$E$4:$E$919)+SUMPRODUCT(('Caja 2'!$A$4:$A$920=$A339)*'Caja 2'!$E$4:$E$920)),0))</f>
        <v/>
      </c>
      <c r="H339" s="128" t="str">
        <f t="shared" si="25"/>
        <v/>
      </c>
      <c r="I339" s="124" t="str">
        <f t="shared" si="26"/>
        <v/>
      </c>
      <c r="J339" s="987" t="str">
        <f>IF(A339="","",IFERROR(INDEX('Facturación 2026'!$L$4:$L$500,MATCH($A339,'Facturación 2026'!$A$4:$A$500,0)),""))</f>
        <v/>
      </c>
    </row>
    <row r="340" spans="1:10" ht="15.75" customHeight="1">
      <c r="A340" s="988"/>
      <c r="B340" s="122" t="str">
        <f t="shared" si="23"/>
        <v/>
      </c>
      <c r="C340" s="123"/>
      <c r="D340" s="131" t="str">
        <f t="array" ref="D340">IF(A340="","",SUMPRODUCT(('Detalle Turnos'!$I$3:$I$5028=$A340)*('Detalle Turnos'!$N$3:$N$5028=C340)*'Detalle Turnos'!$L$3:$L$5028))</f>
        <v/>
      </c>
      <c r="E340" s="127" t="str">
        <f t="array" ref="E340">IF(A340="","",SUMPRODUCT(('Detalle Turnos'!$I$3:$I$5028=$A340)*('Detalle Turnos'!$N$3:$N$5028=C340)*'Detalle Turnos'!$K$3:$K$5028))</f>
        <v/>
      </c>
      <c r="F340" s="127">
        <f t="shared" si="24"/>
        <v>0</v>
      </c>
      <c r="G340" s="127" t="str">
        <f t="array" ref="G340">IF(E340="","",IFERROR(SUMPRODUCT(('Facturación 2026'!$A$4:$A$920=$A340)*'Facturación 2026'!$J$4:$J$920)*E340/(SUMPRODUCT(('Caja 1'!$A$4:$A$919=$A340)*'Caja 1'!$E$4:$E$919)+SUMPRODUCT(('Caja 2'!$A$4:$A$920=$A340)*'Caja 2'!$E$4:$E$920)),0))</f>
        <v/>
      </c>
      <c r="H340" s="128" t="str">
        <f t="shared" si="25"/>
        <v/>
      </c>
      <c r="I340" s="124" t="str">
        <f t="shared" si="26"/>
        <v/>
      </c>
      <c r="J340" s="987" t="str">
        <f>IF(A340="","",IFERROR(INDEX('Facturación 2026'!$L$4:$L$500,MATCH($A340,'Facturación 2026'!$A$4:$A$500,0)),""))</f>
        <v/>
      </c>
    </row>
    <row r="341" spans="1:10" ht="15.75" customHeight="1">
      <c r="A341" s="988"/>
      <c r="B341" s="122" t="str">
        <f t="shared" si="23"/>
        <v/>
      </c>
      <c r="C341" s="123"/>
      <c r="D341" s="131" t="str">
        <f t="array" ref="D341">IF(A341="","",SUMPRODUCT(('Detalle Turnos'!$I$3:$I$5028=$A341)*('Detalle Turnos'!$N$3:$N$5028=C341)*'Detalle Turnos'!$L$3:$L$5028))</f>
        <v/>
      </c>
      <c r="E341" s="127" t="str">
        <f t="array" ref="E341">IF(A341="","",SUMPRODUCT(('Detalle Turnos'!$I$3:$I$5028=$A341)*('Detalle Turnos'!$N$3:$N$5028=C341)*'Detalle Turnos'!$K$3:$K$5028))</f>
        <v/>
      </c>
      <c r="F341" s="127">
        <f t="shared" si="24"/>
        <v>0</v>
      </c>
      <c r="G341" s="127" t="str">
        <f t="array" ref="G341">IF(E341="","",IFERROR(SUMPRODUCT(('Facturación 2026'!$A$4:$A$920=$A341)*'Facturación 2026'!$J$4:$J$920)*E341/(SUMPRODUCT(('Caja 1'!$A$4:$A$919=$A341)*'Caja 1'!$E$4:$E$919)+SUMPRODUCT(('Caja 2'!$A$4:$A$920=$A341)*'Caja 2'!$E$4:$E$920)),0))</f>
        <v/>
      </c>
      <c r="H341" s="128" t="str">
        <f t="shared" si="25"/>
        <v/>
      </c>
      <c r="I341" s="124" t="str">
        <f t="shared" si="26"/>
        <v/>
      </c>
      <c r="J341" s="987" t="str">
        <f>IF(A341="","",IFERROR(INDEX('Facturación 2026'!$L$4:$L$500,MATCH($A341,'Facturación 2026'!$A$4:$A$500,0)),""))</f>
        <v/>
      </c>
    </row>
    <row r="342" spans="1:10" ht="15.75" customHeight="1">
      <c r="A342" s="988"/>
      <c r="B342" s="122" t="str">
        <f t="shared" si="23"/>
        <v/>
      </c>
      <c r="C342" s="123"/>
      <c r="D342" s="131" t="str">
        <f t="array" ref="D342">IF(A342="","",SUMPRODUCT(('Detalle Turnos'!$I$3:$I$5028=$A342)*('Detalle Turnos'!$N$3:$N$5028=C342)*'Detalle Turnos'!$L$3:$L$5028))</f>
        <v/>
      </c>
      <c r="E342" s="127" t="str">
        <f t="array" ref="E342">IF(A342="","",SUMPRODUCT(('Detalle Turnos'!$I$3:$I$5028=$A342)*('Detalle Turnos'!$N$3:$N$5028=C342)*'Detalle Turnos'!$K$3:$K$5028))</f>
        <v/>
      </c>
      <c r="F342" s="127">
        <f t="shared" si="24"/>
        <v>0</v>
      </c>
      <c r="G342" s="127" t="str">
        <f t="array" ref="G342">IF(E342="","",IFERROR(SUMPRODUCT(('Facturación 2026'!$A$4:$A$920=$A342)*'Facturación 2026'!$J$4:$J$920)*E342/(SUMPRODUCT(('Caja 1'!$A$4:$A$919=$A342)*'Caja 1'!$E$4:$E$919)+SUMPRODUCT(('Caja 2'!$A$4:$A$920=$A342)*'Caja 2'!$E$4:$E$920)),0))</f>
        <v/>
      </c>
      <c r="H342" s="128" t="str">
        <f t="shared" si="25"/>
        <v/>
      </c>
      <c r="I342" s="124" t="str">
        <f t="shared" si="26"/>
        <v/>
      </c>
      <c r="J342" s="987" t="str">
        <f>IF(A342="","",IFERROR(INDEX('Facturación 2026'!$L$4:$L$500,MATCH($A342,'Facturación 2026'!$A$4:$A$500,0)),""))</f>
        <v/>
      </c>
    </row>
    <row r="343" spans="1:10" ht="15.75" customHeight="1">
      <c r="A343" s="988"/>
      <c r="B343" s="122" t="str">
        <f t="shared" si="23"/>
        <v/>
      </c>
      <c r="C343" s="123"/>
      <c r="D343" s="131" t="str">
        <f t="array" ref="D343">IF(A343="","",SUMPRODUCT(('Detalle Turnos'!$I$3:$I$5028=$A343)*('Detalle Turnos'!$N$3:$N$5028=C343)*'Detalle Turnos'!$L$3:$L$5028))</f>
        <v/>
      </c>
      <c r="E343" s="127" t="str">
        <f t="array" ref="E343">IF(A343="","",SUMPRODUCT(('Detalle Turnos'!$I$3:$I$5028=$A343)*('Detalle Turnos'!$N$3:$N$5028=C343)*'Detalle Turnos'!$K$3:$K$5028))</f>
        <v/>
      </c>
      <c r="F343" s="127">
        <f t="shared" si="24"/>
        <v>0</v>
      </c>
      <c r="G343" s="127" t="str">
        <f t="array" ref="G343">IF(E343="","",IFERROR(SUMPRODUCT(('Facturación 2026'!$A$4:$A$920=$A343)*'Facturación 2026'!$J$4:$J$920)*E343/(SUMPRODUCT(('Caja 1'!$A$4:$A$919=$A343)*'Caja 1'!$E$4:$E$919)+SUMPRODUCT(('Caja 2'!$A$4:$A$920=$A343)*'Caja 2'!$E$4:$E$920)),0))</f>
        <v/>
      </c>
      <c r="H343" s="128" t="str">
        <f t="shared" si="25"/>
        <v/>
      </c>
      <c r="I343" s="124" t="str">
        <f t="shared" si="26"/>
        <v/>
      </c>
      <c r="J343" s="987" t="str">
        <f>IF(A343="","",IFERROR(INDEX('Facturación 2026'!$L$4:$L$500,MATCH($A343,'Facturación 2026'!$A$4:$A$500,0)),""))</f>
        <v/>
      </c>
    </row>
    <row r="344" spans="1:10" ht="15.75" customHeight="1">
      <c r="A344" s="988"/>
      <c r="B344" s="122" t="str">
        <f t="shared" si="23"/>
        <v/>
      </c>
      <c r="C344" s="123"/>
      <c r="D344" s="131" t="str">
        <f t="array" ref="D344">IF(A344="","",SUMPRODUCT(('Detalle Turnos'!$I$3:$I$5028=$A344)*('Detalle Turnos'!$N$3:$N$5028=C344)*'Detalle Turnos'!$L$3:$L$5028))</f>
        <v/>
      </c>
      <c r="E344" s="127" t="str">
        <f t="array" ref="E344">IF(A344="","",SUMPRODUCT(('Detalle Turnos'!$I$3:$I$5028=$A344)*('Detalle Turnos'!$N$3:$N$5028=C344)*'Detalle Turnos'!$K$3:$K$5028))</f>
        <v/>
      </c>
      <c r="F344" s="127">
        <f t="shared" si="24"/>
        <v>0</v>
      </c>
      <c r="G344" s="127" t="str">
        <f t="array" ref="G344">IF(E344="","",IFERROR(SUMPRODUCT(('Facturación 2026'!$A$4:$A$920=$A344)*'Facturación 2026'!$J$4:$J$920)*E344/(SUMPRODUCT(('Caja 1'!$A$4:$A$919=$A344)*'Caja 1'!$E$4:$E$919)+SUMPRODUCT(('Caja 2'!$A$4:$A$920=$A344)*'Caja 2'!$E$4:$E$920)),0))</f>
        <v/>
      </c>
      <c r="H344" s="128" t="str">
        <f t="shared" si="25"/>
        <v/>
      </c>
      <c r="I344" s="124" t="str">
        <f t="shared" si="26"/>
        <v/>
      </c>
      <c r="J344" s="987" t="str">
        <f>IF(A344="","",IFERROR(INDEX('Facturación 2026'!$L$4:$L$500,MATCH($A344,'Facturación 2026'!$A$4:$A$500,0)),""))</f>
        <v/>
      </c>
    </row>
    <row r="345" spans="1:10" ht="15.75" customHeight="1">
      <c r="A345" s="988"/>
      <c r="B345" s="122" t="str">
        <f t="shared" si="23"/>
        <v/>
      </c>
      <c r="C345" s="123"/>
      <c r="D345" s="131" t="str">
        <f t="array" ref="D345">IF(A345="","",SUMPRODUCT(('Detalle Turnos'!$I$3:$I$5028=$A345)*('Detalle Turnos'!$N$3:$N$5028=C345)*'Detalle Turnos'!$L$3:$L$5028))</f>
        <v/>
      </c>
      <c r="E345" s="127" t="str">
        <f t="array" ref="E345">IF(A345="","",SUMPRODUCT(('Detalle Turnos'!$I$3:$I$5028=$A345)*('Detalle Turnos'!$N$3:$N$5028=C345)*'Detalle Turnos'!$K$3:$K$5028))</f>
        <v/>
      </c>
      <c r="F345" s="127">
        <f t="shared" si="24"/>
        <v>0</v>
      </c>
      <c r="G345" s="127" t="str">
        <f t="array" ref="G345">IF(E345="","",IFERROR(SUMPRODUCT(('Facturación 2026'!$A$4:$A$920=$A345)*'Facturación 2026'!$J$4:$J$920)*E345/(SUMPRODUCT(('Caja 1'!$A$4:$A$919=$A345)*'Caja 1'!$E$4:$E$919)+SUMPRODUCT(('Caja 2'!$A$4:$A$920=$A345)*'Caja 2'!$E$4:$E$920)),0))</f>
        <v/>
      </c>
      <c r="H345" s="128" t="str">
        <f t="shared" si="25"/>
        <v/>
      </c>
      <c r="I345" s="124" t="str">
        <f t="shared" si="26"/>
        <v/>
      </c>
      <c r="J345" s="987" t="str">
        <f>IF(A345="","",IFERROR(INDEX('Facturación 2026'!$L$4:$L$500,MATCH($A345,'Facturación 2026'!$A$4:$A$500,0)),""))</f>
        <v/>
      </c>
    </row>
    <row r="346" spans="1:10" ht="15.75" customHeight="1">
      <c r="A346" s="988"/>
      <c r="B346" s="122" t="str">
        <f t="shared" si="23"/>
        <v/>
      </c>
      <c r="C346" s="123"/>
      <c r="D346" s="131" t="str">
        <f t="array" ref="D346">IF(A346="","",SUMPRODUCT(('Detalle Turnos'!$I$3:$I$5028=$A346)*('Detalle Turnos'!$N$3:$N$5028=C346)*'Detalle Turnos'!$L$3:$L$5028))</f>
        <v/>
      </c>
      <c r="E346" s="127" t="str">
        <f t="array" ref="E346">IF(A346="","",SUMPRODUCT(('Detalle Turnos'!$I$3:$I$5028=$A346)*('Detalle Turnos'!$N$3:$N$5028=C346)*'Detalle Turnos'!$K$3:$K$5028))</f>
        <v/>
      </c>
      <c r="F346" s="127">
        <f t="shared" si="24"/>
        <v>0</v>
      </c>
      <c r="G346" s="127" t="str">
        <f t="array" ref="G346">IF(E346="","",IFERROR(SUMPRODUCT(('Facturación 2026'!$A$4:$A$920=$A346)*'Facturación 2026'!$J$4:$J$920)*E346/(SUMPRODUCT(('Caja 1'!$A$4:$A$919=$A346)*'Caja 1'!$E$4:$E$919)+SUMPRODUCT(('Caja 2'!$A$4:$A$920=$A346)*'Caja 2'!$E$4:$E$920)),0))</f>
        <v/>
      </c>
      <c r="H346" s="128" t="str">
        <f t="shared" si="25"/>
        <v/>
      </c>
      <c r="I346" s="124" t="str">
        <f t="shared" si="26"/>
        <v/>
      </c>
      <c r="J346" s="987" t="str">
        <f>IF(A346="","",IFERROR(INDEX('Facturación 2026'!$L$4:$L$500,MATCH($A346,'Facturación 2026'!$A$4:$A$500,0)),""))</f>
        <v/>
      </c>
    </row>
    <row r="347" spans="1:10" ht="15.75" customHeight="1">
      <c r="A347" s="988"/>
      <c r="B347" s="122" t="str">
        <f t="shared" si="23"/>
        <v/>
      </c>
      <c r="C347" s="123"/>
      <c r="D347" s="131" t="str">
        <f t="array" ref="D347">IF(A347="","",SUMPRODUCT(('Detalle Turnos'!$I$3:$I$5028=$A347)*('Detalle Turnos'!$N$3:$N$5028=C347)*'Detalle Turnos'!$L$3:$L$5028))</f>
        <v/>
      </c>
      <c r="E347" s="127" t="str">
        <f t="array" ref="E347">IF(A347="","",SUMPRODUCT(('Detalle Turnos'!$I$3:$I$5028=$A347)*('Detalle Turnos'!$N$3:$N$5028=C347)*'Detalle Turnos'!$K$3:$K$5028))</f>
        <v/>
      </c>
      <c r="F347" s="127">
        <f t="shared" si="24"/>
        <v>0</v>
      </c>
      <c r="G347" s="127" t="str">
        <f t="array" ref="G347">IF(E347="","",IFERROR(SUMPRODUCT(('Facturación 2026'!$A$4:$A$920=$A347)*'Facturación 2026'!$J$4:$J$920)*E347/(SUMPRODUCT(('Caja 1'!$A$4:$A$919=$A347)*'Caja 1'!$E$4:$E$919)+SUMPRODUCT(('Caja 2'!$A$4:$A$920=$A347)*'Caja 2'!$E$4:$E$920)),0))</f>
        <v/>
      </c>
      <c r="H347" s="128" t="str">
        <f t="shared" si="25"/>
        <v/>
      </c>
      <c r="I347" s="124" t="str">
        <f t="shared" si="26"/>
        <v/>
      </c>
      <c r="J347" s="987" t="str">
        <f>IF(A347="","",IFERROR(INDEX('Facturación 2026'!$L$4:$L$500,MATCH($A347,'Facturación 2026'!$A$4:$A$500,0)),""))</f>
        <v/>
      </c>
    </row>
    <row r="348" spans="1:10" ht="15.75" customHeight="1">
      <c r="A348" s="988"/>
      <c r="B348" s="122" t="str">
        <f t="shared" si="23"/>
        <v/>
      </c>
      <c r="C348" s="123"/>
      <c r="D348" s="131" t="str">
        <f t="array" ref="D348">IF(A348="","",SUMPRODUCT(('Detalle Turnos'!$I$3:$I$5028=$A348)*('Detalle Turnos'!$N$3:$N$5028=C348)*'Detalle Turnos'!$L$3:$L$5028))</f>
        <v/>
      </c>
      <c r="E348" s="127" t="str">
        <f t="array" ref="E348">IF(A348="","",SUMPRODUCT(('Detalle Turnos'!$I$3:$I$5028=$A348)*('Detalle Turnos'!$N$3:$N$5028=C348)*'Detalle Turnos'!$K$3:$K$5028))</f>
        <v/>
      </c>
      <c r="F348" s="127">
        <f t="shared" si="24"/>
        <v>0</v>
      </c>
      <c r="G348" s="127" t="str">
        <f t="array" ref="G348">IF(E348="","",IFERROR(SUMPRODUCT(('Facturación 2026'!$A$4:$A$920=$A348)*'Facturación 2026'!$J$4:$J$920)*E348/(SUMPRODUCT(('Caja 1'!$A$4:$A$919=$A348)*'Caja 1'!$E$4:$E$919)+SUMPRODUCT(('Caja 2'!$A$4:$A$920=$A348)*'Caja 2'!$E$4:$E$920)),0))</f>
        <v/>
      </c>
      <c r="H348" s="128" t="str">
        <f t="shared" si="25"/>
        <v/>
      </c>
      <c r="I348" s="124" t="str">
        <f t="shared" si="26"/>
        <v/>
      </c>
      <c r="J348" s="987" t="str">
        <f>IF(A348="","",IFERROR(INDEX('Facturación 2026'!$L$4:$L$500,MATCH($A348,'Facturación 2026'!$A$4:$A$500,0)),""))</f>
        <v/>
      </c>
    </row>
    <row r="349" spans="1:10" ht="15.75" customHeight="1">
      <c r="A349" s="988"/>
      <c r="B349" s="122" t="str">
        <f t="shared" si="23"/>
        <v/>
      </c>
      <c r="C349" s="123"/>
      <c r="D349" s="131" t="str">
        <f t="array" ref="D349">IF(A349="","",SUMPRODUCT(('Detalle Turnos'!$I$3:$I$5028=$A349)*('Detalle Turnos'!$N$3:$N$5028=C349)*'Detalle Turnos'!$L$3:$L$5028))</f>
        <v/>
      </c>
      <c r="E349" s="127" t="str">
        <f t="array" ref="E349">IF(A349="","",SUMPRODUCT(('Detalle Turnos'!$I$3:$I$5028=$A349)*('Detalle Turnos'!$N$3:$N$5028=C349)*'Detalle Turnos'!$K$3:$K$5028))</f>
        <v/>
      </c>
      <c r="F349" s="127">
        <f t="shared" si="24"/>
        <v>0</v>
      </c>
      <c r="G349" s="127" t="str">
        <f t="array" ref="G349">IF(E349="","",IFERROR(SUMPRODUCT(('Facturación 2026'!$A$4:$A$920=$A349)*'Facturación 2026'!$J$4:$J$920)*E349/(SUMPRODUCT(('Caja 1'!$A$4:$A$919=$A349)*'Caja 1'!$E$4:$E$919)+SUMPRODUCT(('Caja 2'!$A$4:$A$920=$A349)*'Caja 2'!$E$4:$E$920)),0))</f>
        <v/>
      </c>
      <c r="H349" s="128" t="str">
        <f t="shared" si="25"/>
        <v/>
      </c>
      <c r="I349" s="124" t="str">
        <f t="shared" si="26"/>
        <v/>
      </c>
      <c r="J349" s="987" t="str">
        <f>IF(A349="","",IFERROR(INDEX('Facturación 2026'!$L$4:$L$500,MATCH($A349,'Facturación 2026'!$A$4:$A$500,0)),""))</f>
        <v/>
      </c>
    </row>
    <row r="350" spans="1:10" ht="15.75" customHeight="1">
      <c r="A350" s="988"/>
      <c r="B350" s="122" t="str">
        <f t="shared" si="23"/>
        <v/>
      </c>
      <c r="C350" s="123"/>
      <c r="D350" s="131" t="str">
        <f t="array" ref="D350">IF(A350="","",SUMPRODUCT(('Detalle Turnos'!$I$3:$I$5028=$A350)*('Detalle Turnos'!$N$3:$N$5028=C350)*'Detalle Turnos'!$L$3:$L$5028))</f>
        <v/>
      </c>
      <c r="E350" s="127" t="str">
        <f t="array" ref="E350">IF(A350="","",SUMPRODUCT(('Detalle Turnos'!$I$3:$I$5028=$A350)*('Detalle Turnos'!$N$3:$N$5028=C350)*'Detalle Turnos'!$K$3:$K$5028))</f>
        <v/>
      </c>
      <c r="F350" s="127">
        <f t="shared" si="24"/>
        <v>0</v>
      </c>
      <c r="G350" s="127" t="str">
        <f t="array" ref="G350">IF(E350="","",IFERROR(SUMPRODUCT(('Facturación 2026'!$A$4:$A$920=$A350)*'Facturación 2026'!$J$4:$J$920)*E350/(SUMPRODUCT(('Caja 1'!$A$4:$A$919=$A350)*'Caja 1'!$E$4:$E$919)+SUMPRODUCT(('Caja 2'!$A$4:$A$920=$A350)*'Caja 2'!$E$4:$E$920)),0))</f>
        <v/>
      </c>
      <c r="H350" s="128" t="str">
        <f t="shared" si="25"/>
        <v/>
      </c>
      <c r="I350" s="124" t="str">
        <f t="shared" si="26"/>
        <v/>
      </c>
      <c r="J350" s="987" t="str">
        <f>IF(A350="","",IFERROR(INDEX('Facturación 2026'!$L$4:$L$500,MATCH($A350,'Facturación 2026'!$A$4:$A$500,0)),""))</f>
        <v/>
      </c>
    </row>
    <row r="351" spans="1:10" ht="15.75" customHeight="1">
      <c r="A351" s="988"/>
      <c r="B351" s="122" t="str">
        <f t="shared" si="23"/>
        <v/>
      </c>
      <c r="C351" s="123"/>
      <c r="D351" s="131" t="str">
        <f t="array" ref="D351">IF(A351="","",SUMPRODUCT(('Detalle Turnos'!$I$3:$I$5028=$A351)*('Detalle Turnos'!$N$3:$N$5028=C351)*'Detalle Turnos'!$L$3:$L$5028))</f>
        <v/>
      </c>
      <c r="E351" s="127" t="str">
        <f t="array" ref="E351">IF(A351="","",SUMPRODUCT(('Detalle Turnos'!$I$3:$I$5028=$A351)*('Detalle Turnos'!$N$3:$N$5028=C351)*'Detalle Turnos'!$K$3:$K$5028))</f>
        <v/>
      </c>
      <c r="F351" s="127">
        <f t="shared" si="24"/>
        <v>0</v>
      </c>
      <c r="G351" s="127" t="str">
        <f t="array" ref="G351">IF(E351="","",IFERROR(SUMPRODUCT(('Facturación 2026'!$A$4:$A$920=$A351)*'Facturación 2026'!$J$4:$J$920)*E351/(SUMPRODUCT(('Caja 1'!$A$4:$A$919=$A351)*'Caja 1'!$E$4:$E$919)+SUMPRODUCT(('Caja 2'!$A$4:$A$920=$A351)*'Caja 2'!$E$4:$E$920)),0))</f>
        <v/>
      </c>
      <c r="H351" s="128" t="str">
        <f t="shared" si="25"/>
        <v/>
      </c>
      <c r="I351" s="124" t="str">
        <f t="shared" si="26"/>
        <v/>
      </c>
      <c r="J351" s="987" t="str">
        <f>IF(A351="","",IFERROR(INDEX('Facturación 2026'!$L$4:$L$500,MATCH($A351,'Facturación 2026'!$A$4:$A$500,0)),""))</f>
        <v/>
      </c>
    </row>
    <row r="352" spans="1:10" ht="15.75" customHeight="1">
      <c r="A352" s="988"/>
      <c r="B352" s="122" t="str">
        <f t="shared" si="23"/>
        <v/>
      </c>
      <c r="C352" s="123"/>
      <c r="D352" s="131" t="str">
        <f t="array" ref="D352">IF(A352="","",SUMPRODUCT(('Detalle Turnos'!$I$3:$I$5028=$A352)*('Detalle Turnos'!$N$3:$N$5028=C352)*'Detalle Turnos'!$L$3:$L$5028))</f>
        <v/>
      </c>
      <c r="E352" s="127" t="str">
        <f t="array" ref="E352">IF(A352="","",SUMPRODUCT(('Detalle Turnos'!$I$3:$I$5028=$A352)*('Detalle Turnos'!$N$3:$N$5028=C352)*'Detalle Turnos'!$K$3:$K$5028))</f>
        <v/>
      </c>
      <c r="F352" s="127">
        <f t="shared" si="24"/>
        <v>0</v>
      </c>
      <c r="G352" s="127" t="str">
        <f t="array" ref="G352">IF(E352="","",IFERROR(SUMPRODUCT(('Facturación 2026'!$A$4:$A$920=$A352)*'Facturación 2026'!$J$4:$J$920)*E352/(SUMPRODUCT(('Caja 1'!$A$4:$A$919=$A352)*'Caja 1'!$E$4:$E$919)+SUMPRODUCT(('Caja 2'!$A$4:$A$920=$A352)*'Caja 2'!$E$4:$E$920)),0))</f>
        <v/>
      </c>
      <c r="H352" s="128" t="str">
        <f t="shared" si="25"/>
        <v/>
      </c>
      <c r="I352" s="124" t="str">
        <f t="shared" si="26"/>
        <v/>
      </c>
      <c r="J352" s="987" t="str">
        <f>IF(A352="","",IFERROR(INDEX('Facturación 2026'!$L$4:$L$500,MATCH($A352,'Facturación 2026'!$A$4:$A$500,0)),""))</f>
        <v/>
      </c>
    </row>
    <row r="353" spans="1:10" ht="15.75" customHeight="1">
      <c r="A353" s="988"/>
      <c r="B353" s="122" t="str">
        <f t="shared" si="23"/>
        <v/>
      </c>
      <c r="C353" s="123"/>
      <c r="D353" s="131" t="str">
        <f t="array" ref="D353">IF(A353="","",SUMPRODUCT(('Detalle Turnos'!$I$3:$I$5028=$A353)*('Detalle Turnos'!$N$3:$N$5028=C353)*'Detalle Turnos'!$L$3:$L$5028))</f>
        <v/>
      </c>
      <c r="E353" s="127" t="str">
        <f t="array" ref="E353">IF(A353="","",SUMPRODUCT(('Detalle Turnos'!$I$3:$I$5028=$A353)*('Detalle Turnos'!$N$3:$N$5028=C353)*'Detalle Turnos'!$K$3:$K$5028))</f>
        <v/>
      </c>
      <c r="F353" s="127">
        <f t="shared" si="24"/>
        <v>0</v>
      </c>
      <c r="G353" s="127" t="str">
        <f t="array" ref="G353">IF(E353="","",IFERROR(SUMPRODUCT(('Facturación 2026'!$A$4:$A$920=$A353)*'Facturación 2026'!$J$4:$J$920)*E353/(SUMPRODUCT(('Caja 1'!$A$4:$A$919=$A353)*'Caja 1'!$E$4:$E$919)+SUMPRODUCT(('Caja 2'!$A$4:$A$920=$A353)*'Caja 2'!$E$4:$E$920)),0))</f>
        <v/>
      </c>
      <c r="H353" s="128" t="str">
        <f t="shared" si="25"/>
        <v/>
      </c>
      <c r="I353" s="124" t="str">
        <f t="shared" si="26"/>
        <v/>
      </c>
      <c r="J353" s="987" t="str">
        <f>IF(A353="","",IFERROR(INDEX('Facturación 2026'!$L$4:$L$500,MATCH($A353,'Facturación 2026'!$A$4:$A$500,0)),""))</f>
        <v/>
      </c>
    </row>
    <row r="354" spans="1:10" ht="15.75" customHeight="1">
      <c r="A354" s="988"/>
      <c r="B354" s="122" t="str">
        <f t="shared" si="23"/>
        <v/>
      </c>
      <c r="C354" s="123"/>
      <c r="D354" s="131" t="str">
        <f t="array" ref="D354">IF(A354="","",SUMPRODUCT(('Detalle Turnos'!$I$3:$I$5028=$A354)*('Detalle Turnos'!$N$3:$N$5028=C354)*'Detalle Turnos'!$L$3:$L$5028))</f>
        <v/>
      </c>
      <c r="E354" s="127" t="str">
        <f t="array" ref="E354">IF(A354="","",SUMPRODUCT(('Detalle Turnos'!$I$3:$I$5028=$A354)*('Detalle Turnos'!$N$3:$N$5028=C354)*'Detalle Turnos'!$K$3:$K$5028))</f>
        <v/>
      </c>
      <c r="F354" s="127">
        <f t="shared" si="24"/>
        <v>0</v>
      </c>
      <c r="G354" s="127" t="str">
        <f t="array" ref="G354">IF(E354="","",IFERROR(SUMPRODUCT(('Facturación 2026'!$A$4:$A$920=$A354)*'Facturación 2026'!$J$4:$J$920)*E354/(SUMPRODUCT(('Caja 1'!$A$4:$A$919=$A354)*'Caja 1'!$E$4:$E$919)+SUMPRODUCT(('Caja 2'!$A$4:$A$920=$A354)*'Caja 2'!$E$4:$E$920)),0))</f>
        <v/>
      </c>
      <c r="H354" s="128" t="str">
        <f t="shared" si="25"/>
        <v/>
      </c>
      <c r="I354" s="124" t="str">
        <f t="shared" si="26"/>
        <v/>
      </c>
      <c r="J354" s="987" t="str">
        <f>IF(A354="","",IFERROR(INDEX('Facturación 2026'!$L$4:$L$500,MATCH($A354,'Facturación 2026'!$A$4:$A$500,0)),""))</f>
        <v/>
      </c>
    </row>
    <row r="355" spans="1:10" ht="15.75" customHeight="1">
      <c r="A355" s="988"/>
      <c r="B355" s="122" t="str">
        <f t="shared" si="23"/>
        <v/>
      </c>
      <c r="C355" s="123"/>
      <c r="D355" s="131" t="str">
        <f t="array" ref="D355">IF(A355="","",SUMPRODUCT(('Detalle Turnos'!$I$3:$I$5028=$A355)*('Detalle Turnos'!$N$3:$N$5028=C355)*'Detalle Turnos'!$L$3:$L$5028))</f>
        <v/>
      </c>
      <c r="E355" s="127" t="str">
        <f t="array" ref="E355">IF(A355="","",SUMPRODUCT(('Detalle Turnos'!$I$3:$I$5028=$A355)*('Detalle Turnos'!$N$3:$N$5028=C355)*'Detalle Turnos'!$K$3:$K$5028))</f>
        <v/>
      </c>
      <c r="F355" s="127">
        <f t="shared" si="24"/>
        <v>0</v>
      </c>
      <c r="G355" s="127" t="str">
        <f t="array" ref="G355">IF(E355="","",IFERROR(SUMPRODUCT(('Facturación 2026'!$A$4:$A$920=$A355)*'Facturación 2026'!$J$4:$J$920)*E355/(SUMPRODUCT(('Caja 1'!$A$4:$A$919=$A355)*'Caja 1'!$E$4:$E$919)+SUMPRODUCT(('Caja 2'!$A$4:$A$920=$A355)*'Caja 2'!$E$4:$E$920)),0))</f>
        <v/>
      </c>
      <c r="H355" s="128" t="str">
        <f t="shared" si="25"/>
        <v/>
      </c>
      <c r="I355" s="124" t="str">
        <f t="shared" si="26"/>
        <v/>
      </c>
      <c r="J355" s="987" t="str">
        <f>IF(A355="","",IFERROR(INDEX('Facturación 2026'!$L$4:$L$500,MATCH($A355,'Facturación 2026'!$A$4:$A$500,0)),""))</f>
        <v/>
      </c>
    </row>
    <row r="356" spans="1:10" ht="15.75" customHeight="1">
      <c r="A356" s="988"/>
      <c r="B356" s="122" t="str">
        <f t="shared" si="23"/>
        <v/>
      </c>
      <c r="C356" s="123"/>
      <c r="D356" s="131" t="str">
        <f t="array" ref="D356">IF(A356="","",SUMPRODUCT(('Detalle Turnos'!$I$3:$I$5028=$A356)*('Detalle Turnos'!$N$3:$N$5028=C356)*'Detalle Turnos'!$L$3:$L$5028))</f>
        <v/>
      </c>
      <c r="E356" s="127" t="str">
        <f t="array" ref="E356">IF(A356="","",SUMPRODUCT(('Detalle Turnos'!$I$3:$I$5028=$A356)*('Detalle Turnos'!$N$3:$N$5028=C356)*'Detalle Turnos'!$K$3:$K$5028))</f>
        <v/>
      </c>
      <c r="F356" s="127">
        <f t="shared" si="24"/>
        <v>0</v>
      </c>
      <c r="G356" s="127" t="str">
        <f t="array" ref="G356">IF(E356="","",IFERROR(SUMPRODUCT(('Facturación 2026'!$A$4:$A$920=$A356)*'Facturación 2026'!$J$4:$J$920)*E356/(SUMPRODUCT(('Caja 1'!$A$4:$A$919=$A356)*'Caja 1'!$E$4:$E$919)+SUMPRODUCT(('Caja 2'!$A$4:$A$920=$A356)*'Caja 2'!$E$4:$E$920)),0))</f>
        <v/>
      </c>
      <c r="H356" s="128" t="str">
        <f t="shared" si="25"/>
        <v/>
      </c>
      <c r="I356" s="124" t="str">
        <f t="shared" si="26"/>
        <v/>
      </c>
      <c r="J356" s="987" t="str">
        <f>IF(A356="","",IFERROR(INDEX('Facturación 2026'!$L$4:$L$500,MATCH($A356,'Facturación 2026'!$A$4:$A$500,0)),""))</f>
        <v/>
      </c>
    </row>
    <row r="357" spans="1:10" ht="15.75" customHeight="1">
      <c r="A357" s="988"/>
      <c r="B357" s="122" t="str">
        <f t="shared" si="23"/>
        <v/>
      </c>
      <c r="C357" s="123"/>
      <c r="D357" s="131" t="str">
        <f t="array" ref="D357">IF(A357="","",SUMPRODUCT(('Detalle Turnos'!$I$3:$I$5028=$A357)*('Detalle Turnos'!$N$3:$N$5028=C357)*'Detalle Turnos'!$L$3:$L$5028))</f>
        <v/>
      </c>
      <c r="E357" s="127" t="str">
        <f t="array" ref="E357">IF(A357="","",SUMPRODUCT(('Detalle Turnos'!$I$3:$I$5028=$A357)*('Detalle Turnos'!$N$3:$N$5028=C357)*'Detalle Turnos'!$K$3:$K$5028))</f>
        <v/>
      </c>
      <c r="F357" s="127">
        <f t="shared" si="24"/>
        <v>0</v>
      </c>
      <c r="G357" s="127" t="str">
        <f t="array" ref="G357">IF(E357="","",IFERROR(SUMPRODUCT(('Facturación 2026'!$A$4:$A$920=$A357)*'Facturación 2026'!$J$4:$J$920)*E357/(SUMPRODUCT(('Caja 1'!$A$4:$A$919=$A357)*'Caja 1'!$E$4:$E$919)+SUMPRODUCT(('Caja 2'!$A$4:$A$920=$A357)*'Caja 2'!$E$4:$E$920)),0))</f>
        <v/>
      </c>
      <c r="H357" s="128" t="str">
        <f t="shared" si="25"/>
        <v/>
      </c>
      <c r="I357" s="124" t="str">
        <f t="shared" si="26"/>
        <v/>
      </c>
      <c r="J357" s="987" t="str">
        <f>IF(A357="","",IFERROR(INDEX('Facturación 2026'!$L$4:$L$500,MATCH($A357,'Facturación 2026'!$A$4:$A$500,0)),""))</f>
        <v/>
      </c>
    </row>
    <row r="358" spans="1:10" ht="15.75" customHeight="1">
      <c r="A358" s="988"/>
      <c r="B358" s="122" t="str">
        <f t="shared" si="23"/>
        <v/>
      </c>
      <c r="C358" s="123"/>
      <c r="D358" s="131" t="str">
        <f t="array" ref="D358">IF(A358="","",SUMPRODUCT(('Detalle Turnos'!$I$3:$I$5028=$A358)*('Detalle Turnos'!$N$3:$N$5028=C358)*'Detalle Turnos'!$L$3:$L$5028))</f>
        <v/>
      </c>
      <c r="E358" s="127" t="str">
        <f t="array" ref="E358">IF(A358="","",SUMPRODUCT(('Detalle Turnos'!$I$3:$I$5028=$A358)*('Detalle Turnos'!$N$3:$N$5028=C358)*'Detalle Turnos'!$K$3:$K$5028))</f>
        <v/>
      </c>
      <c r="F358" s="127">
        <f t="shared" si="24"/>
        <v>0</v>
      </c>
      <c r="G358" s="127" t="str">
        <f t="array" ref="G358">IF(E358="","",IFERROR(SUMPRODUCT(('Facturación 2026'!$A$4:$A$920=$A358)*'Facturación 2026'!$J$4:$J$920)*E358/(SUMPRODUCT(('Caja 1'!$A$4:$A$919=$A358)*'Caja 1'!$E$4:$E$919)+SUMPRODUCT(('Caja 2'!$A$4:$A$920=$A358)*'Caja 2'!$E$4:$E$920)),0))</f>
        <v/>
      </c>
      <c r="H358" s="128" t="str">
        <f t="shared" si="25"/>
        <v/>
      </c>
      <c r="I358" s="124" t="str">
        <f t="shared" si="26"/>
        <v/>
      </c>
      <c r="J358" s="987" t="str">
        <f>IF(A358="","",IFERROR(INDEX('Facturación 2026'!$L$4:$L$500,MATCH($A358,'Facturación 2026'!$A$4:$A$500,0)),""))</f>
        <v/>
      </c>
    </row>
    <row r="359" spans="1:10" ht="15.75" customHeight="1">
      <c r="A359" s="988"/>
      <c r="B359" s="122" t="str">
        <f t="shared" si="23"/>
        <v/>
      </c>
      <c r="C359" s="123"/>
      <c r="D359" s="131" t="str">
        <f t="array" ref="D359">IF(A359="","",SUMPRODUCT(('Detalle Turnos'!$I$3:$I$5028=$A359)*('Detalle Turnos'!$N$3:$N$5028=C359)*'Detalle Turnos'!$L$3:$L$5028))</f>
        <v/>
      </c>
      <c r="E359" s="127" t="str">
        <f t="array" ref="E359">IF(A359="","",SUMPRODUCT(('Detalle Turnos'!$I$3:$I$5028=$A359)*('Detalle Turnos'!$N$3:$N$5028=C359)*'Detalle Turnos'!$K$3:$K$5028))</f>
        <v/>
      </c>
      <c r="F359" s="127">
        <f t="shared" si="24"/>
        <v>0</v>
      </c>
      <c r="G359" s="127" t="str">
        <f t="array" ref="G359">IF(E359="","",IFERROR(SUMPRODUCT(('Facturación 2026'!$A$4:$A$920=$A359)*'Facturación 2026'!$J$4:$J$920)*E359/(SUMPRODUCT(('Caja 1'!$A$4:$A$919=$A359)*'Caja 1'!$E$4:$E$919)+SUMPRODUCT(('Caja 2'!$A$4:$A$920=$A359)*'Caja 2'!$E$4:$E$920)),0))</f>
        <v/>
      </c>
      <c r="H359" s="128" t="str">
        <f t="shared" si="25"/>
        <v/>
      </c>
      <c r="I359" s="124" t="str">
        <f t="shared" si="26"/>
        <v/>
      </c>
      <c r="J359" s="987" t="str">
        <f>IF(A359="","",IFERROR(INDEX('Facturación 2026'!$L$4:$L$500,MATCH($A359,'Facturación 2026'!$A$4:$A$500,0)),""))</f>
        <v/>
      </c>
    </row>
    <row r="360" spans="1:10" ht="15.75" customHeight="1">
      <c r="A360" s="988"/>
      <c r="B360" s="122" t="str">
        <f t="shared" si="23"/>
        <v/>
      </c>
      <c r="C360" s="123"/>
      <c r="D360" s="131" t="str">
        <f t="array" ref="D360">IF(A360="","",SUMPRODUCT(('Detalle Turnos'!$I$3:$I$5028=$A360)*('Detalle Turnos'!$N$3:$N$5028=C360)*'Detalle Turnos'!$L$3:$L$5028))</f>
        <v/>
      </c>
      <c r="E360" s="127" t="str">
        <f t="array" ref="E360">IF(A360="","",SUMPRODUCT(('Detalle Turnos'!$I$3:$I$5028=$A360)*('Detalle Turnos'!$N$3:$N$5028=C360)*'Detalle Turnos'!$K$3:$K$5028))</f>
        <v/>
      </c>
      <c r="F360" s="127">
        <f t="shared" si="24"/>
        <v>0</v>
      </c>
      <c r="G360" s="127" t="str">
        <f t="array" ref="G360">IF(E360="","",IFERROR(SUMPRODUCT(('Facturación 2026'!$A$4:$A$920=$A360)*'Facturación 2026'!$J$4:$J$920)*E360/(SUMPRODUCT(('Caja 1'!$A$4:$A$919=$A360)*'Caja 1'!$E$4:$E$919)+SUMPRODUCT(('Caja 2'!$A$4:$A$920=$A360)*'Caja 2'!$E$4:$E$920)),0))</f>
        <v/>
      </c>
      <c r="H360" s="128" t="str">
        <f t="shared" si="25"/>
        <v/>
      </c>
      <c r="I360" s="124" t="str">
        <f t="shared" si="26"/>
        <v/>
      </c>
      <c r="J360" s="987" t="str">
        <f>IF(A360="","",IFERROR(INDEX('Facturación 2026'!$L$4:$L$500,MATCH($A360,'Facturación 2026'!$A$4:$A$500,0)),""))</f>
        <v/>
      </c>
    </row>
    <row r="361" spans="1:10" ht="15.75" customHeight="1">
      <c r="A361" s="988"/>
      <c r="B361" s="122" t="str">
        <f t="shared" si="23"/>
        <v/>
      </c>
      <c r="C361" s="123"/>
      <c r="D361" s="131" t="str">
        <f t="array" ref="D361">IF(A361="","",SUMPRODUCT(('Detalle Turnos'!$I$3:$I$5028=$A361)*('Detalle Turnos'!$N$3:$N$5028=C361)*'Detalle Turnos'!$L$3:$L$5028))</f>
        <v/>
      </c>
      <c r="E361" s="127" t="str">
        <f t="array" ref="E361">IF(A361="","",SUMPRODUCT(('Detalle Turnos'!$I$3:$I$5028=$A361)*('Detalle Turnos'!$N$3:$N$5028=C361)*'Detalle Turnos'!$K$3:$K$5028))</f>
        <v/>
      </c>
      <c r="F361" s="127">
        <f t="shared" si="24"/>
        <v>0</v>
      </c>
      <c r="G361" s="127" t="str">
        <f t="array" ref="G361">IF(E361="","",IFERROR(SUMPRODUCT(('Facturación 2026'!$A$4:$A$920=$A361)*'Facturación 2026'!$J$4:$J$920)*E361/(SUMPRODUCT(('Caja 1'!$A$4:$A$919=$A361)*'Caja 1'!$E$4:$E$919)+SUMPRODUCT(('Caja 2'!$A$4:$A$920=$A361)*'Caja 2'!$E$4:$E$920)),0))</f>
        <v/>
      </c>
      <c r="H361" s="128" t="str">
        <f t="shared" si="25"/>
        <v/>
      </c>
      <c r="I361" s="124" t="str">
        <f t="shared" si="26"/>
        <v/>
      </c>
      <c r="J361" s="987" t="str">
        <f>IF(A361="","",IFERROR(INDEX('Facturación 2026'!$L$4:$L$500,MATCH($A361,'Facturación 2026'!$A$4:$A$500,0)),""))</f>
        <v/>
      </c>
    </row>
    <row r="362" spans="1:10" ht="15.75" customHeight="1">
      <c r="A362" s="988"/>
      <c r="B362" s="122" t="str">
        <f t="shared" si="23"/>
        <v/>
      </c>
      <c r="C362" s="123"/>
      <c r="D362" s="131" t="str">
        <f t="array" ref="D362">IF(A362="","",SUMPRODUCT(('Detalle Turnos'!$I$3:$I$5028=$A362)*('Detalle Turnos'!$N$3:$N$5028=C362)*'Detalle Turnos'!$L$3:$L$5028))</f>
        <v/>
      </c>
      <c r="E362" s="127" t="str">
        <f t="array" ref="E362">IF(A362="","",SUMPRODUCT(('Detalle Turnos'!$I$3:$I$5028=$A362)*('Detalle Turnos'!$N$3:$N$5028=C362)*'Detalle Turnos'!$K$3:$K$5028))</f>
        <v/>
      </c>
      <c r="F362" s="127">
        <f t="shared" si="24"/>
        <v>0</v>
      </c>
      <c r="G362" s="127" t="str">
        <f t="array" ref="G362">IF(E362="","",IFERROR(SUMPRODUCT(('Facturación 2026'!$A$4:$A$920=$A362)*'Facturación 2026'!$J$4:$J$920)*E362/(SUMPRODUCT(('Caja 1'!$A$4:$A$919=$A362)*'Caja 1'!$E$4:$E$919)+SUMPRODUCT(('Caja 2'!$A$4:$A$920=$A362)*'Caja 2'!$E$4:$E$920)),0))</f>
        <v/>
      </c>
      <c r="H362" s="128" t="str">
        <f t="shared" si="25"/>
        <v/>
      </c>
      <c r="I362" s="124" t="str">
        <f t="shared" si="26"/>
        <v/>
      </c>
      <c r="J362" s="987" t="str">
        <f>IF(A362="","",IFERROR(INDEX('Facturación 2026'!$L$4:$L$500,MATCH($A362,'Facturación 2026'!$A$4:$A$500,0)),""))</f>
        <v/>
      </c>
    </row>
    <row r="363" spans="1:10" ht="15.75" customHeight="1">
      <c r="A363" s="988"/>
      <c r="B363" s="122" t="str">
        <f t="shared" si="23"/>
        <v/>
      </c>
      <c r="C363" s="123"/>
      <c r="D363" s="131" t="str">
        <f t="array" ref="D363">IF(A363="","",SUMPRODUCT(('Detalle Turnos'!$I$3:$I$5028=$A363)*('Detalle Turnos'!$N$3:$N$5028=C363)*'Detalle Turnos'!$L$3:$L$5028))</f>
        <v/>
      </c>
      <c r="E363" s="127" t="str">
        <f t="array" ref="E363">IF(A363="","",SUMPRODUCT(('Detalle Turnos'!$I$3:$I$5028=$A363)*('Detalle Turnos'!$N$3:$N$5028=C363)*'Detalle Turnos'!$K$3:$K$5028))</f>
        <v/>
      </c>
      <c r="F363" s="127">
        <f t="shared" si="24"/>
        <v>0</v>
      </c>
      <c r="G363" s="127" t="str">
        <f t="array" ref="G363">IF(E363="","",IFERROR(SUMPRODUCT(('Facturación 2026'!$A$4:$A$920=$A363)*'Facturación 2026'!$J$4:$J$920)*E363/(SUMPRODUCT(('Caja 1'!$A$4:$A$919=$A363)*'Caja 1'!$E$4:$E$919)+SUMPRODUCT(('Caja 2'!$A$4:$A$920=$A363)*'Caja 2'!$E$4:$E$920)),0))</f>
        <v/>
      </c>
      <c r="H363" s="128" t="str">
        <f t="shared" si="25"/>
        <v/>
      </c>
      <c r="I363" s="124" t="str">
        <f t="shared" si="26"/>
        <v/>
      </c>
      <c r="J363" s="987" t="str">
        <f>IF(A363="","",IFERROR(INDEX('Facturación 2026'!$L$4:$L$500,MATCH($A363,'Facturación 2026'!$A$4:$A$500,0)),""))</f>
        <v/>
      </c>
    </row>
    <row r="364" spans="1:10" ht="15.75" customHeight="1">
      <c r="A364" s="988"/>
      <c r="B364" s="122" t="str">
        <f t="shared" si="23"/>
        <v/>
      </c>
      <c r="C364" s="123"/>
      <c r="D364" s="131" t="str">
        <f t="array" ref="D364">IF(A364="","",SUMPRODUCT(('Detalle Turnos'!$I$3:$I$5028=$A364)*('Detalle Turnos'!$N$3:$N$5028=C364)*'Detalle Turnos'!$L$3:$L$5028))</f>
        <v/>
      </c>
      <c r="E364" s="127" t="str">
        <f t="array" ref="E364">IF(A364="","",SUMPRODUCT(('Detalle Turnos'!$I$3:$I$5028=$A364)*('Detalle Turnos'!$N$3:$N$5028=C364)*'Detalle Turnos'!$K$3:$K$5028))</f>
        <v/>
      </c>
      <c r="F364" s="127">
        <f t="shared" si="24"/>
        <v>0</v>
      </c>
      <c r="G364" s="127" t="str">
        <f t="array" ref="G364">IF(E364="","",IFERROR(SUMPRODUCT(('Facturación 2026'!$A$4:$A$920=$A364)*'Facturación 2026'!$J$4:$J$920)*E364/(SUMPRODUCT(('Caja 1'!$A$4:$A$919=$A364)*'Caja 1'!$E$4:$E$919)+SUMPRODUCT(('Caja 2'!$A$4:$A$920=$A364)*'Caja 2'!$E$4:$E$920)),0))</f>
        <v/>
      </c>
      <c r="H364" s="128" t="str">
        <f t="shared" si="25"/>
        <v/>
      </c>
      <c r="I364" s="124" t="str">
        <f t="shared" si="26"/>
        <v/>
      </c>
      <c r="J364" s="987" t="str">
        <f>IF(A364="","",IFERROR(INDEX('Facturación 2026'!$L$4:$L$500,MATCH($A364,'Facturación 2026'!$A$4:$A$500,0)),""))</f>
        <v/>
      </c>
    </row>
    <row r="365" spans="1:10" ht="15.75" customHeight="1">
      <c r="A365" s="988"/>
      <c r="B365" s="122" t="str">
        <f t="shared" si="23"/>
        <v/>
      </c>
      <c r="C365" s="123"/>
      <c r="D365" s="131" t="str">
        <f t="array" ref="D365">IF(A365="","",SUMPRODUCT(('Detalle Turnos'!$I$3:$I$5028=$A365)*('Detalle Turnos'!$N$3:$N$5028=C365)*'Detalle Turnos'!$L$3:$L$5028))</f>
        <v/>
      </c>
      <c r="E365" s="127" t="str">
        <f t="array" ref="E365">IF(A365="","",SUMPRODUCT(('Detalle Turnos'!$I$3:$I$5028=$A365)*('Detalle Turnos'!$N$3:$N$5028=C365)*'Detalle Turnos'!$K$3:$K$5028))</f>
        <v/>
      </c>
      <c r="F365" s="127">
        <f t="shared" si="24"/>
        <v>0</v>
      </c>
      <c r="G365" s="127" t="str">
        <f t="array" ref="G365">IF(E365="","",IFERROR(SUMPRODUCT(('Facturación 2026'!$A$4:$A$920=$A365)*'Facturación 2026'!$J$4:$J$920)*E365/(SUMPRODUCT(('Caja 1'!$A$4:$A$919=$A365)*'Caja 1'!$E$4:$E$919)+SUMPRODUCT(('Caja 2'!$A$4:$A$920=$A365)*'Caja 2'!$E$4:$E$920)),0))</f>
        <v/>
      </c>
      <c r="H365" s="128" t="str">
        <f t="shared" si="25"/>
        <v/>
      </c>
      <c r="I365" s="124" t="str">
        <f t="shared" si="26"/>
        <v/>
      </c>
      <c r="J365" s="987" t="str">
        <f>IF(A365="","",IFERROR(INDEX('Facturación 2026'!$L$4:$L$500,MATCH($A365,'Facturación 2026'!$A$4:$A$500,0)),""))</f>
        <v/>
      </c>
    </row>
    <row r="366" spans="1:10" ht="15.75" customHeight="1">
      <c r="A366" s="988"/>
      <c r="B366" s="122" t="str">
        <f t="shared" si="23"/>
        <v/>
      </c>
      <c r="C366" s="123"/>
      <c r="D366" s="131" t="str">
        <f t="array" ref="D366">IF(A366="","",SUMPRODUCT(('Detalle Turnos'!$I$3:$I$5028=$A366)*('Detalle Turnos'!$N$3:$N$5028=C366)*'Detalle Turnos'!$L$3:$L$5028))</f>
        <v/>
      </c>
      <c r="E366" s="127" t="str">
        <f t="array" ref="E366">IF(A366="","",SUMPRODUCT(('Detalle Turnos'!$I$3:$I$5028=$A366)*('Detalle Turnos'!$N$3:$N$5028=C366)*'Detalle Turnos'!$K$3:$K$5028))</f>
        <v/>
      </c>
      <c r="F366" s="127">
        <f t="shared" si="24"/>
        <v>0</v>
      </c>
      <c r="G366" s="127" t="str">
        <f t="array" ref="G366">IF(E366="","",IFERROR(SUMPRODUCT(('Facturación 2026'!$A$4:$A$920=$A366)*'Facturación 2026'!$J$4:$J$920)*E366/(SUMPRODUCT(('Caja 1'!$A$4:$A$919=$A366)*'Caja 1'!$E$4:$E$919)+SUMPRODUCT(('Caja 2'!$A$4:$A$920=$A366)*'Caja 2'!$E$4:$E$920)),0))</f>
        <v/>
      </c>
      <c r="H366" s="128" t="str">
        <f t="shared" si="25"/>
        <v/>
      </c>
      <c r="I366" s="124" t="str">
        <f t="shared" si="26"/>
        <v/>
      </c>
      <c r="J366" s="987" t="str">
        <f>IF(A366="","",IFERROR(INDEX('Facturación 2026'!$L$4:$L$500,MATCH($A366,'Facturación 2026'!$A$4:$A$500,0)),""))</f>
        <v/>
      </c>
    </row>
    <row r="367" spans="1:10" ht="15.75" customHeight="1">
      <c r="A367" s="988"/>
      <c r="B367" s="122" t="str">
        <f t="shared" si="23"/>
        <v/>
      </c>
      <c r="C367" s="123"/>
      <c r="D367" s="131" t="str">
        <f t="array" ref="D367">IF(A367="","",SUMPRODUCT(('Detalle Turnos'!$I$3:$I$5028=$A367)*('Detalle Turnos'!$N$3:$N$5028=C367)*'Detalle Turnos'!$L$3:$L$5028))</f>
        <v/>
      </c>
      <c r="E367" s="127" t="str">
        <f t="array" ref="E367">IF(A367="","",SUMPRODUCT(('Detalle Turnos'!$I$3:$I$5028=$A367)*('Detalle Turnos'!$N$3:$N$5028=C367)*'Detalle Turnos'!$K$3:$K$5028))</f>
        <v/>
      </c>
      <c r="F367" s="127">
        <f t="shared" si="24"/>
        <v>0</v>
      </c>
      <c r="G367" s="127" t="str">
        <f t="array" ref="G367">IF(E367="","",IFERROR(SUMPRODUCT(('Facturación 2026'!$A$4:$A$920=$A367)*'Facturación 2026'!$J$4:$J$920)*E367/(SUMPRODUCT(('Caja 1'!$A$4:$A$919=$A367)*'Caja 1'!$E$4:$E$919)+SUMPRODUCT(('Caja 2'!$A$4:$A$920=$A367)*'Caja 2'!$E$4:$E$920)),0))</f>
        <v/>
      </c>
      <c r="H367" s="128" t="str">
        <f t="shared" si="25"/>
        <v/>
      </c>
      <c r="I367" s="124" t="str">
        <f t="shared" si="26"/>
        <v/>
      </c>
      <c r="J367" s="987" t="str">
        <f>IF(A367="","",IFERROR(INDEX('Facturación 2026'!$L$4:$L$500,MATCH($A367,'Facturación 2026'!$A$4:$A$500,0)),""))</f>
        <v/>
      </c>
    </row>
    <row r="368" spans="1:10" ht="15.75" customHeight="1">
      <c r="A368" s="988"/>
      <c r="B368" s="122" t="str">
        <f t="shared" si="23"/>
        <v/>
      </c>
      <c r="C368" s="123"/>
      <c r="D368" s="131" t="str">
        <f t="array" ref="D368">IF(A368="","",SUMPRODUCT(('Detalle Turnos'!$I$3:$I$5028=$A368)*('Detalle Turnos'!$N$3:$N$5028=C368)*'Detalle Turnos'!$L$3:$L$5028))</f>
        <v/>
      </c>
      <c r="E368" s="127" t="str">
        <f t="array" ref="E368">IF(A368="","",SUMPRODUCT(('Detalle Turnos'!$I$3:$I$5028=$A368)*('Detalle Turnos'!$N$3:$N$5028=C368)*'Detalle Turnos'!$K$3:$K$5028))</f>
        <v/>
      </c>
      <c r="F368" s="127">
        <f t="shared" si="24"/>
        <v>0</v>
      </c>
      <c r="G368" s="127" t="str">
        <f t="array" ref="G368">IF(E368="","",IFERROR(SUMPRODUCT(('Facturación 2026'!$A$4:$A$920=$A368)*'Facturación 2026'!$J$4:$J$920)*E368/(SUMPRODUCT(('Caja 1'!$A$4:$A$919=$A368)*'Caja 1'!$E$4:$E$919)+SUMPRODUCT(('Caja 2'!$A$4:$A$920=$A368)*'Caja 2'!$E$4:$E$920)),0))</f>
        <v/>
      </c>
      <c r="H368" s="128" t="str">
        <f t="shared" si="25"/>
        <v/>
      </c>
      <c r="I368" s="124" t="str">
        <f t="shared" si="26"/>
        <v/>
      </c>
      <c r="J368" s="987" t="str">
        <f>IF(A368="","",IFERROR(INDEX('Facturación 2026'!$L$4:$L$500,MATCH($A368,'Facturación 2026'!$A$4:$A$500,0)),""))</f>
        <v/>
      </c>
    </row>
    <row r="369" spans="1:10" ht="15.75" customHeight="1">
      <c r="A369" s="988"/>
      <c r="B369" s="122" t="str">
        <f t="shared" si="23"/>
        <v/>
      </c>
      <c r="C369" s="123"/>
      <c r="D369" s="131" t="str">
        <f t="array" ref="D369">IF(A369="","",SUMPRODUCT(('Detalle Turnos'!$I$3:$I$5028=$A369)*('Detalle Turnos'!$N$3:$N$5028=C369)*'Detalle Turnos'!$L$3:$L$5028))</f>
        <v/>
      </c>
      <c r="E369" s="127" t="str">
        <f t="array" ref="E369">IF(A369="","",SUMPRODUCT(('Detalle Turnos'!$I$3:$I$5028=$A369)*('Detalle Turnos'!$N$3:$N$5028=C369)*'Detalle Turnos'!$K$3:$K$5028))</f>
        <v/>
      </c>
      <c r="F369" s="127">
        <f t="shared" si="24"/>
        <v>0</v>
      </c>
      <c r="G369" s="127" t="str">
        <f t="array" ref="G369">IF(E369="","",IFERROR(SUMPRODUCT(('Facturación 2026'!$A$4:$A$920=$A369)*'Facturación 2026'!$J$4:$J$920)*E369/(SUMPRODUCT(('Caja 1'!$A$4:$A$919=$A369)*'Caja 1'!$E$4:$E$919)+SUMPRODUCT(('Caja 2'!$A$4:$A$920=$A369)*'Caja 2'!$E$4:$E$920)),0))</f>
        <v/>
      </c>
      <c r="H369" s="128" t="str">
        <f t="shared" si="25"/>
        <v/>
      </c>
      <c r="I369" s="124" t="str">
        <f t="shared" si="26"/>
        <v/>
      </c>
      <c r="J369" s="987" t="str">
        <f>IF(A369="","",IFERROR(INDEX('Facturación 2026'!$L$4:$L$500,MATCH($A369,'Facturación 2026'!$A$4:$A$500,0)),""))</f>
        <v/>
      </c>
    </row>
    <row r="370" spans="1:10" ht="15.75" customHeight="1">
      <c r="A370" s="988"/>
      <c r="B370" s="122" t="str">
        <f t="shared" si="23"/>
        <v/>
      </c>
      <c r="C370" s="123"/>
      <c r="D370" s="131" t="str">
        <f t="array" ref="D370">IF(A370="","",SUMPRODUCT(('Detalle Turnos'!$I$3:$I$5028=$A370)*('Detalle Turnos'!$N$3:$N$5028=C370)*'Detalle Turnos'!$L$3:$L$5028))</f>
        <v/>
      </c>
      <c r="E370" s="127" t="str">
        <f t="array" ref="E370">IF(A370="","",SUMPRODUCT(('Detalle Turnos'!$I$3:$I$5028=$A370)*('Detalle Turnos'!$N$3:$N$5028=C370)*'Detalle Turnos'!$K$3:$K$5028))</f>
        <v/>
      </c>
      <c r="F370" s="127">
        <f t="shared" si="24"/>
        <v>0</v>
      </c>
      <c r="G370" s="127" t="str">
        <f t="array" ref="G370">IF(E370="","",IFERROR(SUMPRODUCT(('Facturación 2026'!$A$4:$A$920=$A370)*'Facturación 2026'!$J$4:$J$920)*E370/(SUMPRODUCT(('Caja 1'!$A$4:$A$919=$A370)*'Caja 1'!$E$4:$E$919)+SUMPRODUCT(('Caja 2'!$A$4:$A$920=$A370)*'Caja 2'!$E$4:$E$920)),0))</f>
        <v/>
      </c>
      <c r="H370" s="128" t="str">
        <f t="shared" si="25"/>
        <v/>
      </c>
      <c r="I370" s="124" t="str">
        <f t="shared" si="26"/>
        <v/>
      </c>
      <c r="J370" s="987" t="str">
        <f>IF(A370="","",IFERROR(INDEX('Facturación 2026'!$L$4:$L$500,MATCH($A370,'Facturación 2026'!$A$4:$A$500,0)),""))</f>
        <v/>
      </c>
    </row>
    <row r="371" spans="1:10" ht="15.75" customHeight="1">
      <c r="A371" s="988"/>
      <c r="B371" s="122" t="str">
        <f t="shared" si="23"/>
        <v/>
      </c>
      <c r="C371" s="123"/>
      <c r="D371" s="131" t="str">
        <f t="array" ref="D371">IF(A371="","",SUMPRODUCT(('Detalle Turnos'!$I$3:$I$5028=$A371)*('Detalle Turnos'!$N$3:$N$5028=C371)*'Detalle Turnos'!$L$3:$L$5028))</f>
        <v/>
      </c>
      <c r="E371" s="127" t="str">
        <f t="array" ref="E371">IF(A371="","",SUMPRODUCT(('Detalle Turnos'!$I$3:$I$5028=$A371)*('Detalle Turnos'!$N$3:$N$5028=C371)*'Detalle Turnos'!$K$3:$K$5028))</f>
        <v/>
      </c>
      <c r="F371" s="127">
        <f t="shared" si="24"/>
        <v>0</v>
      </c>
      <c r="G371" s="127" t="str">
        <f t="array" ref="G371">IF(E371="","",IFERROR(SUMPRODUCT(('Facturación 2026'!$A$4:$A$920=$A371)*'Facturación 2026'!$J$4:$J$920)*E371/(SUMPRODUCT(('Caja 1'!$A$4:$A$919=$A371)*'Caja 1'!$E$4:$E$919)+SUMPRODUCT(('Caja 2'!$A$4:$A$920=$A371)*'Caja 2'!$E$4:$E$920)),0))</f>
        <v/>
      </c>
      <c r="H371" s="128" t="str">
        <f t="shared" si="25"/>
        <v/>
      </c>
      <c r="I371" s="124" t="str">
        <f t="shared" si="26"/>
        <v/>
      </c>
      <c r="J371" s="987" t="str">
        <f>IF(A371="","",IFERROR(INDEX('Facturación 2026'!$L$4:$L$500,MATCH($A371,'Facturación 2026'!$A$4:$A$500,0)),""))</f>
        <v/>
      </c>
    </row>
    <row r="372" spans="1:10" ht="15.75" customHeight="1">
      <c r="A372" s="988"/>
      <c r="B372" s="122" t="str">
        <f t="shared" si="23"/>
        <v/>
      </c>
      <c r="C372" s="123"/>
      <c r="D372" s="131" t="str">
        <f t="array" ref="D372">IF(A372="","",SUMPRODUCT(('Detalle Turnos'!$I$3:$I$5028=$A372)*('Detalle Turnos'!$N$3:$N$5028=C372)*'Detalle Turnos'!$L$3:$L$5028))</f>
        <v/>
      </c>
      <c r="E372" s="127" t="str">
        <f t="array" ref="E372">IF(A372="","",SUMPRODUCT(('Detalle Turnos'!$I$3:$I$5028=$A372)*('Detalle Turnos'!$N$3:$N$5028=C372)*'Detalle Turnos'!$K$3:$K$5028))</f>
        <v/>
      </c>
      <c r="F372" s="127">
        <f t="shared" si="24"/>
        <v>0</v>
      </c>
      <c r="G372" s="127" t="str">
        <f t="array" ref="G372">IF(E372="","",IFERROR(SUMPRODUCT(('Facturación 2026'!$A$4:$A$920=$A372)*'Facturación 2026'!$J$4:$J$920)*E372/(SUMPRODUCT(('Caja 1'!$A$4:$A$919=$A372)*'Caja 1'!$E$4:$E$919)+SUMPRODUCT(('Caja 2'!$A$4:$A$920=$A372)*'Caja 2'!$E$4:$E$920)),0))</f>
        <v/>
      </c>
      <c r="H372" s="128" t="str">
        <f t="shared" si="25"/>
        <v/>
      </c>
      <c r="I372" s="124" t="str">
        <f t="shared" si="26"/>
        <v/>
      </c>
      <c r="J372" s="987" t="str">
        <f>IF(A372="","",IFERROR(INDEX('Facturación 2026'!$L$4:$L$500,MATCH($A372,'Facturación 2026'!$A$4:$A$500,0)),""))</f>
        <v/>
      </c>
    </row>
    <row r="373" spans="1:10" ht="15.75" customHeight="1">
      <c r="A373" s="988"/>
      <c r="B373" s="122" t="str">
        <f t="shared" si="23"/>
        <v/>
      </c>
      <c r="C373" s="123"/>
      <c r="D373" s="131" t="str">
        <f t="array" ref="D373">IF(A373="","",SUMPRODUCT(('Detalle Turnos'!$I$3:$I$5028=$A373)*('Detalle Turnos'!$N$3:$N$5028=C373)*'Detalle Turnos'!$L$3:$L$5028))</f>
        <v/>
      </c>
      <c r="E373" s="127" t="str">
        <f t="array" ref="E373">IF(A373="","",SUMPRODUCT(('Detalle Turnos'!$I$3:$I$5028=$A373)*('Detalle Turnos'!$N$3:$N$5028=C373)*'Detalle Turnos'!$K$3:$K$5028))</f>
        <v/>
      </c>
      <c r="F373" s="127">
        <f t="shared" si="24"/>
        <v>0</v>
      </c>
      <c r="G373" s="127" t="str">
        <f t="array" ref="G373">IF(E373="","",IFERROR(SUMPRODUCT(('Facturación 2026'!$A$4:$A$920=$A373)*'Facturación 2026'!$J$4:$J$920)*E373/(SUMPRODUCT(('Caja 1'!$A$4:$A$919=$A373)*'Caja 1'!$E$4:$E$919)+SUMPRODUCT(('Caja 2'!$A$4:$A$920=$A373)*'Caja 2'!$E$4:$E$920)),0))</f>
        <v/>
      </c>
      <c r="H373" s="128" t="str">
        <f t="shared" si="25"/>
        <v/>
      </c>
      <c r="I373" s="124" t="str">
        <f t="shared" si="26"/>
        <v/>
      </c>
      <c r="J373" s="987" t="str">
        <f>IF(A373="","",IFERROR(INDEX('Facturación 2026'!$L$4:$L$500,MATCH($A373,'Facturación 2026'!$A$4:$A$500,0)),""))</f>
        <v/>
      </c>
    </row>
    <row r="374" spans="1:10" ht="15.75" customHeight="1">
      <c r="A374" s="988"/>
      <c r="B374" s="122" t="str">
        <f t="shared" si="23"/>
        <v/>
      </c>
      <c r="C374" s="123"/>
      <c r="D374" s="131" t="str">
        <f t="array" ref="D374">IF(A374="","",SUMPRODUCT(('Detalle Turnos'!$I$3:$I$5028=$A374)*('Detalle Turnos'!$N$3:$N$5028=C374)*'Detalle Turnos'!$L$3:$L$5028))</f>
        <v/>
      </c>
      <c r="E374" s="127" t="str">
        <f t="array" ref="E374">IF(A374="","",SUMPRODUCT(('Detalle Turnos'!$I$3:$I$5028=$A374)*('Detalle Turnos'!$N$3:$N$5028=C374)*'Detalle Turnos'!$K$3:$K$5028))</f>
        <v/>
      </c>
      <c r="F374" s="127">
        <f t="shared" si="24"/>
        <v>0</v>
      </c>
      <c r="G374" s="127" t="str">
        <f t="array" ref="G374">IF(E374="","",IFERROR(SUMPRODUCT(('Facturación 2026'!$A$4:$A$920=$A374)*'Facturación 2026'!$J$4:$J$920)*E374/(SUMPRODUCT(('Caja 1'!$A$4:$A$919=$A374)*'Caja 1'!$E$4:$E$919)+SUMPRODUCT(('Caja 2'!$A$4:$A$920=$A374)*'Caja 2'!$E$4:$E$920)),0))</f>
        <v/>
      </c>
      <c r="H374" s="128" t="str">
        <f t="shared" si="25"/>
        <v/>
      </c>
      <c r="I374" s="124" t="str">
        <f t="shared" si="26"/>
        <v/>
      </c>
      <c r="J374" s="987" t="str">
        <f>IF(A374="","",IFERROR(INDEX('Facturación 2026'!$L$4:$L$500,MATCH($A374,'Facturación 2026'!$A$4:$A$500,0)),""))</f>
        <v/>
      </c>
    </row>
    <row r="375" spans="1:10" ht="15.75" customHeight="1">
      <c r="A375" s="988"/>
      <c r="B375" s="122" t="str">
        <f t="shared" si="23"/>
        <v/>
      </c>
      <c r="C375" s="123"/>
      <c r="D375" s="131" t="str">
        <f t="array" ref="D375">IF(A375="","",SUMPRODUCT(('Detalle Turnos'!$I$3:$I$5028=$A375)*('Detalle Turnos'!$N$3:$N$5028=C375)*'Detalle Turnos'!$L$3:$L$5028))</f>
        <v/>
      </c>
      <c r="E375" s="127" t="str">
        <f t="array" ref="E375">IF(A375="","",SUMPRODUCT(('Detalle Turnos'!$I$3:$I$5028=$A375)*('Detalle Turnos'!$N$3:$N$5028=C375)*'Detalle Turnos'!$K$3:$K$5028))</f>
        <v/>
      </c>
      <c r="F375" s="127">
        <f t="shared" si="24"/>
        <v>0</v>
      </c>
      <c r="G375" s="127" t="str">
        <f t="array" ref="G375">IF(E375="","",IFERROR(SUMPRODUCT(('Facturación 2026'!$A$4:$A$920=$A375)*'Facturación 2026'!$J$4:$J$920)*E375/(SUMPRODUCT(('Caja 1'!$A$4:$A$919=$A375)*'Caja 1'!$E$4:$E$919)+SUMPRODUCT(('Caja 2'!$A$4:$A$920=$A375)*'Caja 2'!$E$4:$E$920)),0))</f>
        <v/>
      </c>
      <c r="H375" s="128" t="str">
        <f t="shared" si="25"/>
        <v/>
      </c>
      <c r="I375" s="124" t="str">
        <f t="shared" si="26"/>
        <v/>
      </c>
      <c r="J375" s="987" t="str">
        <f>IF(A375="","",IFERROR(INDEX('Facturación 2026'!$L$4:$L$500,MATCH($A375,'Facturación 2026'!$A$4:$A$500,0)),""))</f>
        <v/>
      </c>
    </row>
    <row r="376" spans="1:10" ht="15.75" customHeight="1">
      <c r="A376" s="988"/>
      <c r="B376" s="122" t="str">
        <f t="shared" si="23"/>
        <v/>
      </c>
      <c r="C376" s="123"/>
      <c r="D376" s="131" t="str">
        <f t="array" ref="D376">IF(A376="","",SUMPRODUCT(('Detalle Turnos'!$I$3:$I$5028=$A376)*('Detalle Turnos'!$N$3:$N$5028=C376)*'Detalle Turnos'!$L$3:$L$5028))</f>
        <v/>
      </c>
      <c r="E376" s="127" t="str">
        <f t="array" ref="E376">IF(A376="","",SUMPRODUCT(('Detalle Turnos'!$I$3:$I$5028=$A376)*('Detalle Turnos'!$N$3:$N$5028=C376)*'Detalle Turnos'!$K$3:$K$5028))</f>
        <v/>
      </c>
      <c r="F376" s="127">
        <f t="shared" si="24"/>
        <v>0</v>
      </c>
      <c r="G376" s="127" t="str">
        <f t="array" ref="G376">IF(E376="","",IFERROR(SUMPRODUCT(('Facturación 2026'!$A$4:$A$920=$A376)*'Facturación 2026'!$J$4:$J$920)*E376/(SUMPRODUCT(('Caja 1'!$A$4:$A$919=$A376)*'Caja 1'!$E$4:$E$919)+SUMPRODUCT(('Caja 2'!$A$4:$A$920=$A376)*'Caja 2'!$E$4:$E$920)),0))</f>
        <v/>
      </c>
      <c r="H376" s="128" t="str">
        <f t="shared" si="25"/>
        <v/>
      </c>
      <c r="I376" s="124" t="str">
        <f t="shared" si="26"/>
        <v/>
      </c>
      <c r="J376" s="987" t="str">
        <f>IF(A376="","",IFERROR(INDEX('Facturación 2026'!$L$4:$L$500,MATCH($A376,'Facturación 2026'!$A$4:$A$500,0)),""))</f>
        <v/>
      </c>
    </row>
    <row r="377" spans="1:10" ht="15.75" customHeight="1">
      <c r="A377" s="988"/>
      <c r="B377" s="122" t="str">
        <f t="shared" si="23"/>
        <v/>
      </c>
      <c r="C377" s="123"/>
      <c r="D377" s="131" t="str">
        <f t="array" ref="D377">IF(A377="","",SUMPRODUCT(('Detalle Turnos'!$I$3:$I$5028=$A377)*('Detalle Turnos'!$N$3:$N$5028=C377)*'Detalle Turnos'!$L$3:$L$5028))</f>
        <v/>
      </c>
      <c r="E377" s="127" t="str">
        <f t="array" ref="E377">IF(A377="","",SUMPRODUCT(('Detalle Turnos'!$I$3:$I$5028=$A377)*('Detalle Turnos'!$N$3:$N$5028=C377)*'Detalle Turnos'!$K$3:$K$5028))</f>
        <v/>
      </c>
      <c r="F377" s="127">
        <f t="shared" si="24"/>
        <v>0</v>
      </c>
      <c r="G377" s="127" t="str">
        <f t="array" ref="G377">IF(E377="","",IFERROR(SUMPRODUCT(('Facturación 2026'!$A$4:$A$920=$A377)*'Facturación 2026'!$J$4:$J$920)*E377/(SUMPRODUCT(('Caja 1'!$A$4:$A$919=$A377)*'Caja 1'!$E$4:$E$919)+SUMPRODUCT(('Caja 2'!$A$4:$A$920=$A377)*'Caja 2'!$E$4:$E$920)),0))</f>
        <v/>
      </c>
      <c r="H377" s="128" t="str">
        <f t="shared" si="25"/>
        <v/>
      </c>
      <c r="I377" s="124" t="str">
        <f t="shared" si="26"/>
        <v/>
      </c>
      <c r="J377" s="987" t="str">
        <f>IF(A377="","",IFERROR(INDEX('Facturación 2026'!$L$4:$L$500,MATCH($A377,'Facturación 2026'!$A$4:$A$500,0)),""))</f>
        <v/>
      </c>
    </row>
    <row r="378" spans="1:10" ht="15.75" customHeight="1">
      <c r="A378" s="988"/>
      <c r="B378" s="122" t="str">
        <f t="shared" si="23"/>
        <v/>
      </c>
      <c r="C378" s="123"/>
      <c r="D378" s="131" t="str">
        <f t="array" ref="D378">IF(A378="","",SUMPRODUCT(('Detalle Turnos'!$I$3:$I$5028=$A378)*('Detalle Turnos'!$N$3:$N$5028=C378)*'Detalle Turnos'!$L$3:$L$5028))</f>
        <v/>
      </c>
      <c r="E378" s="127" t="str">
        <f t="array" ref="E378">IF(A378="","",SUMPRODUCT(('Detalle Turnos'!$I$3:$I$5028=$A378)*('Detalle Turnos'!$N$3:$N$5028=C378)*'Detalle Turnos'!$K$3:$K$5028))</f>
        <v/>
      </c>
      <c r="F378" s="127">
        <f t="shared" si="24"/>
        <v>0</v>
      </c>
      <c r="G378" s="127" t="str">
        <f t="array" ref="G378">IF(E378="","",IFERROR(SUMPRODUCT(('Facturación 2026'!$A$4:$A$920=$A378)*'Facturación 2026'!$J$4:$J$920)*E378/(SUMPRODUCT(('Caja 1'!$A$4:$A$919=$A378)*'Caja 1'!$E$4:$E$919)+SUMPRODUCT(('Caja 2'!$A$4:$A$920=$A378)*'Caja 2'!$E$4:$E$920)),0))</f>
        <v/>
      </c>
      <c r="H378" s="128" t="str">
        <f t="shared" si="25"/>
        <v/>
      </c>
      <c r="I378" s="124" t="str">
        <f t="shared" si="26"/>
        <v/>
      </c>
      <c r="J378" s="987" t="str">
        <f>IF(A378="","",IFERROR(INDEX('Facturación 2026'!$L$4:$L$500,MATCH($A378,'Facturación 2026'!$A$4:$A$500,0)),""))</f>
        <v/>
      </c>
    </row>
    <row r="379" spans="1:10" ht="15.75" customHeight="1">
      <c r="A379" s="988"/>
      <c r="B379" s="122" t="str">
        <f t="shared" si="23"/>
        <v/>
      </c>
      <c r="C379" s="123"/>
      <c r="D379" s="131" t="str">
        <f t="array" ref="D379">IF(A379="","",SUMPRODUCT(('Detalle Turnos'!$I$3:$I$5028=$A379)*('Detalle Turnos'!$N$3:$N$5028=C379)*'Detalle Turnos'!$L$3:$L$5028))</f>
        <v/>
      </c>
      <c r="E379" s="127" t="str">
        <f t="array" ref="E379">IF(A379="","",SUMPRODUCT(('Detalle Turnos'!$I$3:$I$5028=$A379)*('Detalle Turnos'!$N$3:$N$5028=C379)*'Detalle Turnos'!$K$3:$K$5028))</f>
        <v/>
      </c>
      <c r="F379" s="127">
        <f t="shared" si="24"/>
        <v>0</v>
      </c>
      <c r="G379" s="127" t="str">
        <f t="array" ref="G379">IF(E379="","",IFERROR(SUMPRODUCT(('Facturación 2026'!$A$4:$A$920=$A379)*'Facturación 2026'!$J$4:$J$920)*E379/(SUMPRODUCT(('Caja 1'!$A$4:$A$919=$A379)*'Caja 1'!$E$4:$E$919)+SUMPRODUCT(('Caja 2'!$A$4:$A$920=$A379)*'Caja 2'!$E$4:$E$920)),0))</f>
        <v/>
      </c>
      <c r="H379" s="128" t="str">
        <f t="shared" si="25"/>
        <v/>
      </c>
      <c r="I379" s="124" t="str">
        <f t="shared" si="26"/>
        <v/>
      </c>
      <c r="J379" s="987" t="str">
        <f>IF(A379="","",IFERROR(INDEX('Facturación 2026'!$L$4:$L$500,MATCH($A379,'Facturación 2026'!$A$4:$A$500,0)),""))</f>
        <v/>
      </c>
    </row>
    <row r="380" spans="1:10" ht="15.75" customHeight="1">
      <c r="A380" s="988"/>
      <c r="B380" s="122" t="str">
        <f t="shared" si="23"/>
        <v/>
      </c>
      <c r="C380" s="123"/>
      <c r="D380" s="131" t="str">
        <f t="array" ref="D380">IF(A380="","",SUMPRODUCT(('Detalle Turnos'!$I$3:$I$5028=$A380)*('Detalle Turnos'!$N$3:$N$5028=C380)*'Detalle Turnos'!$L$3:$L$5028))</f>
        <v/>
      </c>
      <c r="E380" s="127" t="str">
        <f t="array" ref="E380">IF(A380="","",SUMPRODUCT(('Detalle Turnos'!$I$3:$I$5028=$A380)*('Detalle Turnos'!$N$3:$N$5028=C380)*'Detalle Turnos'!$K$3:$K$5028))</f>
        <v/>
      </c>
      <c r="F380" s="127">
        <f t="shared" si="24"/>
        <v>0</v>
      </c>
      <c r="G380" s="127" t="str">
        <f t="array" ref="G380">IF(E380="","",IFERROR(SUMPRODUCT(('Facturación 2026'!$A$4:$A$920=$A380)*'Facturación 2026'!$J$4:$J$920)*E380/(SUMPRODUCT(('Caja 1'!$A$4:$A$919=$A380)*'Caja 1'!$E$4:$E$919)+SUMPRODUCT(('Caja 2'!$A$4:$A$920=$A380)*'Caja 2'!$E$4:$E$920)),0))</f>
        <v/>
      </c>
      <c r="H380" s="128" t="str">
        <f t="shared" si="25"/>
        <v/>
      </c>
      <c r="I380" s="124" t="str">
        <f t="shared" si="26"/>
        <v/>
      </c>
      <c r="J380" s="987" t="str">
        <f>IF(A380="","",IFERROR(INDEX('Facturación 2026'!$L$4:$L$500,MATCH($A380,'Facturación 2026'!$A$4:$A$500,0)),""))</f>
        <v/>
      </c>
    </row>
    <row r="381" spans="1:10" ht="15.75" customHeight="1">
      <c r="A381" s="988"/>
      <c r="B381" s="122" t="str">
        <f t="shared" si="23"/>
        <v/>
      </c>
      <c r="C381" s="123"/>
      <c r="D381" s="131" t="str">
        <f t="array" ref="D381">IF(A381="","",SUMPRODUCT(('Detalle Turnos'!$I$3:$I$5028=$A381)*('Detalle Turnos'!$N$3:$N$5028=C381)*'Detalle Turnos'!$L$3:$L$5028))</f>
        <v/>
      </c>
      <c r="E381" s="127" t="str">
        <f t="array" ref="E381">IF(A381="","",SUMPRODUCT(('Detalle Turnos'!$I$3:$I$5028=$A381)*('Detalle Turnos'!$N$3:$N$5028=C381)*'Detalle Turnos'!$K$3:$K$5028))</f>
        <v/>
      </c>
      <c r="F381" s="127">
        <f t="shared" si="24"/>
        <v>0</v>
      </c>
      <c r="G381" s="127" t="str">
        <f t="array" ref="G381">IF(E381="","",IFERROR(SUMPRODUCT(('Facturación 2026'!$A$4:$A$920=$A381)*'Facturación 2026'!$J$4:$J$920)*E381/(SUMPRODUCT(('Caja 1'!$A$4:$A$919=$A381)*'Caja 1'!$E$4:$E$919)+SUMPRODUCT(('Caja 2'!$A$4:$A$920=$A381)*'Caja 2'!$E$4:$E$920)),0))</f>
        <v/>
      </c>
      <c r="H381" s="128" t="str">
        <f t="shared" si="25"/>
        <v/>
      </c>
      <c r="I381" s="124" t="str">
        <f t="shared" si="26"/>
        <v/>
      </c>
      <c r="J381" s="987" t="str">
        <f>IF(A381="","",IFERROR(INDEX('Facturación 2026'!$L$4:$L$500,MATCH($A381,'Facturación 2026'!$A$4:$A$500,0)),""))</f>
        <v/>
      </c>
    </row>
    <row r="382" spans="1:10" ht="15.75" customHeight="1">
      <c r="A382" s="988"/>
      <c r="B382" s="122" t="str">
        <f t="shared" si="23"/>
        <v/>
      </c>
      <c r="C382" s="123"/>
      <c r="D382" s="131" t="str">
        <f t="array" ref="D382">IF(A382="","",SUMPRODUCT(('Detalle Turnos'!$I$3:$I$5028=$A382)*('Detalle Turnos'!$N$3:$N$5028=C382)*'Detalle Turnos'!$L$3:$L$5028))</f>
        <v/>
      </c>
      <c r="E382" s="127" t="str">
        <f t="array" ref="E382">IF(A382="","",SUMPRODUCT(('Detalle Turnos'!$I$3:$I$5028=$A382)*('Detalle Turnos'!$N$3:$N$5028=C382)*'Detalle Turnos'!$K$3:$K$5028))</f>
        <v/>
      </c>
      <c r="F382" s="127">
        <f t="shared" si="24"/>
        <v>0</v>
      </c>
      <c r="G382" s="127" t="str">
        <f t="array" ref="G382">IF(E382="","",IFERROR(SUMPRODUCT(('Facturación 2026'!$A$4:$A$920=$A382)*'Facturación 2026'!$J$4:$J$920)*E382/(SUMPRODUCT(('Caja 1'!$A$4:$A$919=$A382)*'Caja 1'!$E$4:$E$919)+SUMPRODUCT(('Caja 2'!$A$4:$A$920=$A382)*'Caja 2'!$E$4:$E$920)),0))</f>
        <v/>
      </c>
      <c r="H382" s="128" t="str">
        <f t="shared" si="25"/>
        <v/>
      </c>
      <c r="I382" s="124" t="str">
        <f t="shared" si="26"/>
        <v/>
      </c>
      <c r="J382" s="987" t="str">
        <f>IF(A382="","",IFERROR(INDEX('Facturación 2026'!$L$4:$L$500,MATCH($A382,'Facturación 2026'!$A$4:$A$500,0)),""))</f>
        <v/>
      </c>
    </row>
    <row r="383" spans="1:10" ht="15.75" customHeight="1">
      <c r="A383" s="988"/>
      <c r="B383" s="122" t="str">
        <f t="shared" si="23"/>
        <v/>
      </c>
      <c r="C383" s="123"/>
      <c r="D383" s="131" t="str">
        <f t="array" ref="D383">IF(A383="","",SUMPRODUCT(('Detalle Turnos'!$I$3:$I$5028=$A383)*('Detalle Turnos'!$N$3:$N$5028=C383)*'Detalle Turnos'!$L$3:$L$5028))</f>
        <v/>
      </c>
      <c r="E383" s="127" t="str">
        <f t="array" ref="E383">IF(A383="","",SUMPRODUCT(('Detalle Turnos'!$I$3:$I$5028=$A383)*('Detalle Turnos'!$N$3:$N$5028=C383)*'Detalle Turnos'!$K$3:$K$5028))</f>
        <v/>
      </c>
      <c r="F383" s="127">
        <f t="shared" si="24"/>
        <v>0</v>
      </c>
      <c r="G383" s="127" t="str">
        <f t="array" ref="G383">IF(E383="","",IFERROR(SUMPRODUCT(('Facturación 2026'!$A$4:$A$920=$A383)*'Facturación 2026'!$J$4:$J$920)*E383/(SUMPRODUCT(('Caja 1'!$A$4:$A$919=$A383)*'Caja 1'!$E$4:$E$919)+SUMPRODUCT(('Caja 2'!$A$4:$A$920=$A383)*'Caja 2'!$E$4:$E$920)),0))</f>
        <v/>
      </c>
      <c r="H383" s="128" t="str">
        <f t="shared" si="25"/>
        <v/>
      </c>
      <c r="I383" s="124" t="str">
        <f t="shared" si="26"/>
        <v/>
      </c>
      <c r="J383" s="987" t="str">
        <f>IF(A383="","",IFERROR(INDEX('Facturación 2026'!$L$4:$L$500,MATCH($A383,'Facturación 2026'!$A$4:$A$500,0)),""))</f>
        <v/>
      </c>
    </row>
    <row r="384" spans="1:10" ht="15.75" customHeight="1">
      <c r="A384" s="988"/>
      <c r="B384" s="122" t="str">
        <f t="shared" si="23"/>
        <v/>
      </c>
      <c r="C384" s="123"/>
      <c r="D384" s="131" t="str">
        <f t="array" ref="D384">IF(A384="","",SUMPRODUCT(('Detalle Turnos'!$I$3:$I$5028=$A384)*('Detalle Turnos'!$N$3:$N$5028=C384)*'Detalle Turnos'!$L$3:$L$5028))</f>
        <v/>
      </c>
      <c r="E384" s="127" t="str">
        <f t="array" ref="E384">IF(A384="","",SUMPRODUCT(('Detalle Turnos'!$I$3:$I$5028=$A384)*('Detalle Turnos'!$N$3:$N$5028=C384)*'Detalle Turnos'!$K$3:$K$5028))</f>
        <v/>
      </c>
      <c r="F384" s="127">
        <f t="shared" si="24"/>
        <v>0</v>
      </c>
      <c r="G384" s="127" t="str">
        <f t="array" ref="G384">IF(E384="","",IFERROR(SUMPRODUCT(('Facturación 2026'!$A$4:$A$920=$A384)*'Facturación 2026'!$J$4:$J$920)*E384/(SUMPRODUCT(('Caja 1'!$A$4:$A$919=$A384)*'Caja 1'!$E$4:$E$919)+SUMPRODUCT(('Caja 2'!$A$4:$A$920=$A384)*'Caja 2'!$E$4:$E$920)),0))</f>
        <v/>
      </c>
      <c r="H384" s="128" t="str">
        <f t="shared" si="25"/>
        <v/>
      </c>
      <c r="I384" s="124" t="str">
        <f t="shared" si="26"/>
        <v/>
      </c>
      <c r="J384" s="987" t="str">
        <f>IF(A384="","",IFERROR(INDEX('Facturación 2026'!$L$4:$L$500,MATCH($A384,'Facturación 2026'!$A$4:$A$500,0)),""))</f>
        <v/>
      </c>
    </row>
    <row r="385" spans="1:10" ht="15.75" customHeight="1">
      <c r="A385" s="988"/>
      <c r="B385" s="122" t="str">
        <f t="shared" si="23"/>
        <v/>
      </c>
      <c r="C385" s="123"/>
      <c r="D385" s="131" t="str">
        <f t="array" ref="D385">IF(A385="","",SUMPRODUCT(('Detalle Turnos'!$I$3:$I$5028=$A385)*('Detalle Turnos'!$N$3:$N$5028=C385)*'Detalle Turnos'!$L$3:$L$5028))</f>
        <v/>
      </c>
      <c r="E385" s="127" t="str">
        <f t="array" ref="E385">IF(A385="","",SUMPRODUCT(('Detalle Turnos'!$I$3:$I$5028=$A385)*('Detalle Turnos'!$N$3:$N$5028=C385)*'Detalle Turnos'!$K$3:$K$5028))</f>
        <v/>
      </c>
      <c r="F385" s="127">
        <f t="shared" si="24"/>
        <v>0</v>
      </c>
      <c r="G385" s="127" t="str">
        <f t="array" ref="G385">IF(E385="","",IFERROR(SUMPRODUCT(('Facturación 2026'!$A$4:$A$920=$A385)*'Facturación 2026'!$J$4:$J$920)*E385/(SUMPRODUCT(('Caja 1'!$A$4:$A$919=$A385)*'Caja 1'!$E$4:$E$919)+SUMPRODUCT(('Caja 2'!$A$4:$A$920=$A385)*'Caja 2'!$E$4:$E$920)),0))</f>
        <v/>
      </c>
      <c r="H385" s="128" t="str">
        <f t="shared" si="25"/>
        <v/>
      </c>
      <c r="I385" s="124" t="str">
        <f t="shared" si="26"/>
        <v/>
      </c>
      <c r="J385" s="987" t="str">
        <f>IF(A385="","",IFERROR(INDEX('Facturación 2026'!$L$4:$L$500,MATCH($A385,'Facturación 2026'!$A$4:$A$500,0)),""))</f>
        <v/>
      </c>
    </row>
    <row r="386" spans="1:10" ht="15.75" customHeight="1">
      <c r="A386" s="988"/>
      <c r="B386" s="122" t="str">
        <f t="shared" si="23"/>
        <v/>
      </c>
      <c r="C386" s="123"/>
      <c r="D386" s="131" t="str">
        <f t="array" ref="D386">IF(A386="","",SUMPRODUCT(('Detalle Turnos'!$I$3:$I$5028=$A386)*('Detalle Turnos'!$N$3:$N$5028=C386)*'Detalle Turnos'!$L$3:$L$5028))</f>
        <v/>
      </c>
      <c r="E386" s="127" t="str">
        <f t="array" ref="E386">IF(A386="","",SUMPRODUCT(('Detalle Turnos'!$I$3:$I$5028=$A386)*('Detalle Turnos'!$N$3:$N$5028=C386)*'Detalle Turnos'!$K$3:$K$5028))</f>
        <v/>
      </c>
      <c r="F386" s="127">
        <f t="shared" si="24"/>
        <v>0</v>
      </c>
      <c r="G386" s="127" t="str">
        <f t="array" ref="G386">IF(E386="","",IFERROR(SUMPRODUCT(('Facturación 2026'!$A$4:$A$920=$A386)*'Facturación 2026'!$J$4:$J$920)*E386/(SUMPRODUCT(('Caja 1'!$A$4:$A$919=$A386)*'Caja 1'!$E$4:$E$919)+SUMPRODUCT(('Caja 2'!$A$4:$A$920=$A386)*'Caja 2'!$E$4:$E$920)),0))</f>
        <v/>
      </c>
      <c r="H386" s="128" t="str">
        <f t="shared" si="25"/>
        <v/>
      </c>
      <c r="I386" s="124" t="str">
        <f t="shared" si="26"/>
        <v/>
      </c>
      <c r="J386" s="987" t="str">
        <f>IF(A386="","",IFERROR(INDEX('Facturación 2026'!$L$4:$L$500,MATCH($A386,'Facturación 2026'!$A$4:$A$500,0)),""))</f>
        <v/>
      </c>
    </row>
    <row r="387" spans="1:10" ht="15.75" customHeight="1">
      <c r="A387" s="988"/>
      <c r="B387" s="122" t="str">
        <f t="shared" ref="B387:B450" si="27">IF(A387="","",CHOOSE(WEEKDAY(A387,2),"Lun","Mar","Mié","Jue","Vie","Sáb","Dom"))</f>
        <v/>
      </c>
      <c r="C387" s="123"/>
      <c r="D387" s="131" t="str">
        <f t="array" ref="D387">IF(A387="","",SUMPRODUCT(('Detalle Turnos'!$I$3:$I$5028=$A387)*('Detalle Turnos'!$N$3:$N$5028=C387)*'Detalle Turnos'!$L$3:$L$5028))</f>
        <v/>
      </c>
      <c r="E387" s="127" t="str">
        <f t="array" ref="E387">IF(A387="","",SUMPRODUCT(('Detalle Turnos'!$I$3:$I$5028=$A387)*('Detalle Turnos'!$N$3:$N$5028=C387)*'Detalle Turnos'!$K$3:$K$5028))</f>
        <v/>
      </c>
      <c r="F387" s="127">
        <f t="shared" ref="F387:F450" si="28">IFERROR(E387/D387,0)</f>
        <v>0</v>
      </c>
      <c r="G387" s="127" t="str">
        <f t="array" ref="G387">IF(E387="","",IFERROR(SUMPRODUCT(('Facturación 2026'!$A$4:$A$920=$A387)*'Facturación 2026'!$J$4:$J$920)*E387/(SUMPRODUCT(('Caja 1'!$A$4:$A$919=$A387)*'Caja 1'!$E$4:$E$919)+SUMPRODUCT(('Caja 2'!$A$4:$A$920=$A387)*'Caja 2'!$E$4:$E$920)),0))</f>
        <v/>
      </c>
      <c r="H387" s="128" t="str">
        <f t="shared" ref="H387:H450" si="29">IF(E387="","",E387-G387)</f>
        <v/>
      </c>
      <c r="I387" s="124" t="str">
        <f t="shared" ref="I387:I450" si="30">IF(E387="","",IFERROR(G387/E387,0))</f>
        <v/>
      </c>
      <c r="J387" s="987" t="str">
        <f>IF(A387="","",IFERROR(INDEX('Facturación 2026'!$L$4:$L$500,MATCH($A387,'Facturación 2026'!$A$4:$A$500,0)),""))</f>
        <v/>
      </c>
    </row>
    <row r="388" spans="1:10" ht="15.75" customHeight="1">
      <c r="A388" s="988"/>
      <c r="B388" s="122" t="str">
        <f t="shared" si="27"/>
        <v/>
      </c>
      <c r="C388" s="123"/>
      <c r="D388" s="131" t="str">
        <f t="array" ref="D388">IF(A388="","",SUMPRODUCT(('Detalle Turnos'!$I$3:$I$5028=$A388)*('Detalle Turnos'!$N$3:$N$5028=C388)*'Detalle Turnos'!$L$3:$L$5028))</f>
        <v/>
      </c>
      <c r="E388" s="127" t="str">
        <f t="array" ref="E388">IF(A388="","",SUMPRODUCT(('Detalle Turnos'!$I$3:$I$5028=$A388)*('Detalle Turnos'!$N$3:$N$5028=C388)*'Detalle Turnos'!$K$3:$K$5028))</f>
        <v/>
      </c>
      <c r="F388" s="127">
        <f t="shared" si="28"/>
        <v>0</v>
      </c>
      <c r="G388" s="127" t="str">
        <f t="array" ref="G388">IF(E388="","",IFERROR(SUMPRODUCT(('Facturación 2026'!$A$4:$A$920=$A388)*'Facturación 2026'!$J$4:$J$920)*E388/(SUMPRODUCT(('Caja 1'!$A$4:$A$919=$A388)*'Caja 1'!$E$4:$E$919)+SUMPRODUCT(('Caja 2'!$A$4:$A$920=$A388)*'Caja 2'!$E$4:$E$920)),0))</f>
        <v/>
      </c>
      <c r="H388" s="128" t="str">
        <f t="shared" si="29"/>
        <v/>
      </c>
      <c r="I388" s="124" t="str">
        <f t="shared" si="30"/>
        <v/>
      </c>
      <c r="J388" s="987" t="str">
        <f>IF(A388="","",IFERROR(INDEX('Facturación 2026'!$L$4:$L$500,MATCH($A388,'Facturación 2026'!$A$4:$A$500,0)),""))</f>
        <v/>
      </c>
    </row>
    <row r="389" spans="1:10" ht="15.75" customHeight="1">
      <c r="A389" s="988"/>
      <c r="B389" s="122" t="str">
        <f t="shared" si="27"/>
        <v/>
      </c>
      <c r="C389" s="123"/>
      <c r="D389" s="131" t="str">
        <f t="array" ref="D389">IF(A389="","",SUMPRODUCT(('Detalle Turnos'!$I$3:$I$5028=$A389)*('Detalle Turnos'!$N$3:$N$5028=C389)*'Detalle Turnos'!$L$3:$L$5028))</f>
        <v/>
      </c>
      <c r="E389" s="127" t="str">
        <f t="array" ref="E389">IF(A389="","",SUMPRODUCT(('Detalle Turnos'!$I$3:$I$5028=$A389)*('Detalle Turnos'!$N$3:$N$5028=C389)*'Detalle Turnos'!$K$3:$K$5028))</f>
        <v/>
      </c>
      <c r="F389" s="127">
        <f t="shared" si="28"/>
        <v>0</v>
      </c>
      <c r="G389" s="127" t="str">
        <f t="array" ref="G389">IF(E389="","",IFERROR(SUMPRODUCT(('Facturación 2026'!$A$4:$A$920=$A389)*'Facturación 2026'!$J$4:$J$920)*E389/(SUMPRODUCT(('Caja 1'!$A$4:$A$919=$A389)*'Caja 1'!$E$4:$E$919)+SUMPRODUCT(('Caja 2'!$A$4:$A$920=$A389)*'Caja 2'!$E$4:$E$920)),0))</f>
        <v/>
      </c>
      <c r="H389" s="128" t="str">
        <f t="shared" si="29"/>
        <v/>
      </c>
      <c r="I389" s="124" t="str">
        <f t="shared" si="30"/>
        <v/>
      </c>
      <c r="J389" s="987" t="str">
        <f>IF(A389="","",IFERROR(INDEX('Facturación 2026'!$L$4:$L$500,MATCH($A389,'Facturación 2026'!$A$4:$A$500,0)),""))</f>
        <v/>
      </c>
    </row>
    <row r="390" spans="1:10" ht="15.75" customHeight="1">
      <c r="A390" s="988"/>
      <c r="B390" s="122" t="str">
        <f t="shared" si="27"/>
        <v/>
      </c>
      <c r="C390" s="123"/>
      <c r="D390" s="131" t="str">
        <f t="array" ref="D390">IF(A390="","",SUMPRODUCT(('Detalle Turnos'!$I$3:$I$5028=$A390)*('Detalle Turnos'!$N$3:$N$5028=C390)*'Detalle Turnos'!$L$3:$L$5028))</f>
        <v/>
      </c>
      <c r="E390" s="127" t="str">
        <f t="array" ref="E390">IF(A390="","",SUMPRODUCT(('Detalle Turnos'!$I$3:$I$5028=$A390)*('Detalle Turnos'!$N$3:$N$5028=C390)*'Detalle Turnos'!$K$3:$K$5028))</f>
        <v/>
      </c>
      <c r="F390" s="127">
        <f t="shared" si="28"/>
        <v>0</v>
      </c>
      <c r="G390" s="127" t="str">
        <f t="array" ref="G390">IF(E390="","",IFERROR(SUMPRODUCT(('Facturación 2026'!$A$4:$A$920=$A390)*'Facturación 2026'!$J$4:$J$920)*E390/(SUMPRODUCT(('Caja 1'!$A$4:$A$919=$A390)*'Caja 1'!$E$4:$E$919)+SUMPRODUCT(('Caja 2'!$A$4:$A$920=$A390)*'Caja 2'!$E$4:$E$920)),0))</f>
        <v/>
      </c>
      <c r="H390" s="128" t="str">
        <f t="shared" si="29"/>
        <v/>
      </c>
      <c r="I390" s="124" t="str">
        <f t="shared" si="30"/>
        <v/>
      </c>
      <c r="J390" s="987" t="str">
        <f>IF(A390="","",IFERROR(INDEX('Facturación 2026'!$L$4:$L$500,MATCH($A390,'Facturación 2026'!$A$4:$A$500,0)),""))</f>
        <v/>
      </c>
    </row>
    <row r="391" spans="1:10" ht="15.75" customHeight="1">
      <c r="A391" s="988"/>
      <c r="B391" s="122" t="str">
        <f t="shared" si="27"/>
        <v/>
      </c>
      <c r="C391" s="123"/>
      <c r="D391" s="131" t="str">
        <f t="array" ref="D391">IF(A391="","",SUMPRODUCT(('Detalle Turnos'!$I$3:$I$5028=$A391)*('Detalle Turnos'!$N$3:$N$5028=C391)*'Detalle Turnos'!$L$3:$L$5028))</f>
        <v/>
      </c>
      <c r="E391" s="127" t="str">
        <f t="array" ref="E391">IF(A391="","",SUMPRODUCT(('Detalle Turnos'!$I$3:$I$5028=$A391)*('Detalle Turnos'!$N$3:$N$5028=C391)*'Detalle Turnos'!$K$3:$K$5028))</f>
        <v/>
      </c>
      <c r="F391" s="127">
        <f t="shared" si="28"/>
        <v>0</v>
      </c>
      <c r="G391" s="127" t="str">
        <f t="array" ref="G391">IF(E391="","",IFERROR(SUMPRODUCT(('Facturación 2026'!$A$4:$A$920=$A391)*'Facturación 2026'!$J$4:$J$920)*E391/(SUMPRODUCT(('Caja 1'!$A$4:$A$919=$A391)*'Caja 1'!$E$4:$E$919)+SUMPRODUCT(('Caja 2'!$A$4:$A$920=$A391)*'Caja 2'!$E$4:$E$920)),0))</f>
        <v/>
      </c>
      <c r="H391" s="128" t="str">
        <f t="shared" si="29"/>
        <v/>
      </c>
      <c r="I391" s="124" t="str">
        <f t="shared" si="30"/>
        <v/>
      </c>
      <c r="J391" s="987" t="str">
        <f>IF(A391="","",IFERROR(INDEX('Facturación 2026'!$L$4:$L$500,MATCH($A391,'Facturación 2026'!$A$4:$A$500,0)),""))</f>
        <v/>
      </c>
    </row>
    <row r="392" spans="1:10" ht="15.75" customHeight="1">
      <c r="A392" s="988"/>
      <c r="B392" s="122" t="str">
        <f t="shared" si="27"/>
        <v/>
      </c>
      <c r="C392" s="123"/>
      <c r="D392" s="131" t="str">
        <f t="array" ref="D392">IF(A392="","",SUMPRODUCT(('Detalle Turnos'!$I$3:$I$5028=$A392)*('Detalle Turnos'!$N$3:$N$5028=C392)*'Detalle Turnos'!$L$3:$L$5028))</f>
        <v/>
      </c>
      <c r="E392" s="127" t="str">
        <f t="array" ref="E392">IF(A392="","",SUMPRODUCT(('Detalle Turnos'!$I$3:$I$5028=$A392)*('Detalle Turnos'!$N$3:$N$5028=C392)*'Detalle Turnos'!$K$3:$K$5028))</f>
        <v/>
      </c>
      <c r="F392" s="127">
        <f t="shared" si="28"/>
        <v>0</v>
      </c>
      <c r="G392" s="127" t="str">
        <f t="array" ref="G392">IF(E392="","",IFERROR(SUMPRODUCT(('Facturación 2026'!$A$4:$A$920=$A392)*'Facturación 2026'!$J$4:$J$920)*E392/(SUMPRODUCT(('Caja 1'!$A$4:$A$919=$A392)*'Caja 1'!$E$4:$E$919)+SUMPRODUCT(('Caja 2'!$A$4:$A$920=$A392)*'Caja 2'!$E$4:$E$920)),0))</f>
        <v/>
      </c>
      <c r="H392" s="128" t="str">
        <f t="shared" si="29"/>
        <v/>
      </c>
      <c r="I392" s="124" t="str">
        <f t="shared" si="30"/>
        <v/>
      </c>
      <c r="J392" s="987" t="str">
        <f>IF(A392="","",IFERROR(INDEX('Facturación 2026'!$L$4:$L$500,MATCH($A392,'Facturación 2026'!$A$4:$A$500,0)),""))</f>
        <v/>
      </c>
    </row>
    <row r="393" spans="1:10" ht="15.75" customHeight="1">
      <c r="A393" s="988"/>
      <c r="B393" s="122" t="str">
        <f t="shared" si="27"/>
        <v/>
      </c>
      <c r="C393" s="123"/>
      <c r="D393" s="131" t="str">
        <f t="array" ref="D393">IF(A393="","",SUMPRODUCT(('Detalle Turnos'!$I$3:$I$5028=$A393)*('Detalle Turnos'!$N$3:$N$5028=C393)*'Detalle Turnos'!$L$3:$L$5028))</f>
        <v/>
      </c>
      <c r="E393" s="127" t="str">
        <f t="array" ref="E393">IF(A393="","",SUMPRODUCT(('Detalle Turnos'!$I$3:$I$5028=$A393)*('Detalle Turnos'!$N$3:$N$5028=C393)*'Detalle Turnos'!$K$3:$K$5028))</f>
        <v/>
      </c>
      <c r="F393" s="127">
        <f t="shared" si="28"/>
        <v>0</v>
      </c>
      <c r="G393" s="127" t="str">
        <f t="array" ref="G393">IF(E393="","",IFERROR(SUMPRODUCT(('Facturación 2026'!$A$4:$A$920=$A393)*'Facturación 2026'!$J$4:$J$920)*E393/(SUMPRODUCT(('Caja 1'!$A$4:$A$919=$A393)*'Caja 1'!$E$4:$E$919)+SUMPRODUCT(('Caja 2'!$A$4:$A$920=$A393)*'Caja 2'!$E$4:$E$920)),0))</f>
        <v/>
      </c>
      <c r="H393" s="128" t="str">
        <f t="shared" si="29"/>
        <v/>
      </c>
      <c r="I393" s="124" t="str">
        <f t="shared" si="30"/>
        <v/>
      </c>
      <c r="J393" s="987" t="str">
        <f>IF(A393="","",IFERROR(INDEX('Facturación 2026'!$L$4:$L$500,MATCH($A393,'Facturación 2026'!$A$4:$A$500,0)),""))</f>
        <v/>
      </c>
    </row>
    <row r="394" spans="1:10" ht="15.75" customHeight="1">
      <c r="A394" s="988"/>
      <c r="B394" s="122" t="str">
        <f t="shared" si="27"/>
        <v/>
      </c>
      <c r="C394" s="123"/>
      <c r="D394" s="131" t="str">
        <f t="array" ref="D394">IF(A394="","",SUMPRODUCT(('Detalle Turnos'!$I$3:$I$5028=$A394)*('Detalle Turnos'!$N$3:$N$5028=C394)*'Detalle Turnos'!$L$3:$L$5028))</f>
        <v/>
      </c>
      <c r="E394" s="127" t="str">
        <f t="array" ref="E394">IF(A394="","",SUMPRODUCT(('Detalle Turnos'!$I$3:$I$5028=$A394)*('Detalle Turnos'!$N$3:$N$5028=C394)*'Detalle Turnos'!$K$3:$K$5028))</f>
        <v/>
      </c>
      <c r="F394" s="127">
        <f t="shared" si="28"/>
        <v>0</v>
      </c>
      <c r="G394" s="127" t="str">
        <f t="array" ref="G394">IF(E394="","",IFERROR(SUMPRODUCT(('Facturación 2026'!$A$4:$A$920=$A394)*'Facturación 2026'!$J$4:$J$920)*E394/(SUMPRODUCT(('Caja 1'!$A$4:$A$919=$A394)*'Caja 1'!$E$4:$E$919)+SUMPRODUCT(('Caja 2'!$A$4:$A$920=$A394)*'Caja 2'!$E$4:$E$920)),0))</f>
        <v/>
      </c>
      <c r="H394" s="128" t="str">
        <f t="shared" si="29"/>
        <v/>
      </c>
      <c r="I394" s="124" t="str">
        <f t="shared" si="30"/>
        <v/>
      </c>
      <c r="J394" s="987" t="str">
        <f>IF(A394="","",IFERROR(INDEX('Facturación 2026'!$L$4:$L$500,MATCH($A394,'Facturación 2026'!$A$4:$A$500,0)),""))</f>
        <v/>
      </c>
    </row>
    <row r="395" spans="1:10" ht="15.75" customHeight="1">
      <c r="A395" s="988"/>
      <c r="B395" s="122" t="str">
        <f t="shared" si="27"/>
        <v/>
      </c>
      <c r="C395" s="123"/>
      <c r="D395" s="131" t="str">
        <f t="array" ref="D395">IF(A395="","",SUMPRODUCT(('Detalle Turnos'!$I$3:$I$5028=$A395)*('Detalle Turnos'!$N$3:$N$5028=C395)*'Detalle Turnos'!$L$3:$L$5028))</f>
        <v/>
      </c>
      <c r="E395" s="127" t="str">
        <f t="array" ref="E395">IF(A395="","",SUMPRODUCT(('Detalle Turnos'!$I$3:$I$5028=$A395)*('Detalle Turnos'!$N$3:$N$5028=C395)*'Detalle Turnos'!$K$3:$K$5028))</f>
        <v/>
      </c>
      <c r="F395" s="127">
        <f t="shared" si="28"/>
        <v>0</v>
      </c>
      <c r="G395" s="127" t="str">
        <f t="array" ref="G395">IF(E395="","",IFERROR(SUMPRODUCT(('Facturación 2026'!$A$4:$A$920=$A395)*'Facturación 2026'!$J$4:$J$920)*E395/(SUMPRODUCT(('Caja 1'!$A$4:$A$919=$A395)*'Caja 1'!$E$4:$E$919)+SUMPRODUCT(('Caja 2'!$A$4:$A$920=$A395)*'Caja 2'!$E$4:$E$920)),0))</f>
        <v/>
      </c>
      <c r="H395" s="128" t="str">
        <f t="shared" si="29"/>
        <v/>
      </c>
      <c r="I395" s="124" t="str">
        <f t="shared" si="30"/>
        <v/>
      </c>
      <c r="J395" s="987" t="str">
        <f>IF(A395="","",IFERROR(INDEX('Facturación 2026'!$L$4:$L$500,MATCH($A395,'Facturación 2026'!$A$4:$A$500,0)),""))</f>
        <v/>
      </c>
    </row>
    <row r="396" spans="1:10" ht="15.75" customHeight="1">
      <c r="A396" s="988"/>
      <c r="B396" s="122" t="str">
        <f t="shared" si="27"/>
        <v/>
      </c>
      <c r="C396" s="123"/>
      <c r="D396" s="131" t="str">
        <f t="array" ref="D396">IF(A396="","",SUMPRODUCT(('Detalle Turnos'!$I$3:$I$5028=$A396)*('Detalle Turnos'!$N$3:$N$5028=C396)*'Detalle Turnos'!$L$3:$L$5028))</f>
        <v/>
      </c>
      <c r="E396" s="127" t="str">
        <f t="array" ref="E396">IF(A396="","",SUMPRODUCT(('Detalle Turnos'!$I$3:$I$5028=$A396)*('Detalle Turnos'!$N$3:$N$5028=C396)*'Detalle Turnos'!$K$3:$K$5028))</f>
        <v/>
      </c>
      <c r="F396" s="127">
        <f t="shared" si="28"/>
        <v>0</v>
      </c>
      <c r="G396" s="127" t="str">
        <f t="array" ref="G396">IF(E396="","",IFERROR(SUMPRODUCT(('Facturación 2026'!$A$4:$A$920=$A396)*'Facturación 2026'!$J$4:$J$920)*E396/(SUMPRODUCT(('Caja 1'!$A$4:$A$919=$A396)*'Caja 1'!$E$4:$E$919)+SUMPRODUCT(('Caja 2'!$A$4:$A$920=$A396)*'Caja 2'!$E$4:$E$920)),0))</f>
        <v/>
      </c>
      <c r="H396" s="128" t="str">
        <f t="shared" si="29"/>
        <v/>
      </c>
      <c r="I396" s="124" t="str">
        <f t="shared" si="30"/>
        <v/>
      </c>
      <c r="J396" s="987" t="str">
        <f>IF(A396="","",IFERROR(INDEX('Facturación 2026'!$L$4:$L$500,MATCH($A396,'Facturación 2026'!$A$4:$A$500,0)),""))</f>
        <v/>
      </c>
    </row>
    <row r="397" spans="1:10" ht="15.75" customHeight="1">
      <c r="A397" s="988"/>
      <c r="B397" s="122" t="str">
        <f t="shared" si="27"/>
        <v/>
      </c>
      <c r="C397" s="123"/>
      <c r="D397" s="131" t="str">
        <f t="array" ref="D397">IF(A397="","",SUMPRODUCT(('Detalle Turnos'!$I$3:$I$5028=$A397)*('Detalle Turnos'!$N$3:$N$5028=C397)*'Detalle Turnos'!$L$3:$L$5028))</f>
        <v/>
      </c>
      <c r="E397" s="127" t="str">
        <f t="array" ref="E397">IF(A397="","",SUMPRODUCT(('Detalle Turnos'!$I$3:$I$5028=$A397)*('Detalle Turnos'!$N$3:$N$5028=C397)*'Detalle Turnos'!$K$3:$K$5028))</f>
        <v/>
      </c>
      <c r="F397" s="127">
        <f t="shared" si="28"/>
        <v>0</v>
      </c>
      <c r="G397" s="127" t="str">
        <f t="array" ref="G397">IF(E397="","",IFERROR(SUMPRODUCT(('Facturación 2026'!$A$4:$A$920=$A397)*'Facturación 2026'!$J$4:$J$920)*E397/(SUMPRODUCT(('Caja 1'!$A$4:$A$919=$A397)*'Caja 1'!$E$4:$E$919)+SUMPRODUCT(('Caja 2'!$A$4:$A$920=$A397)*'Caja 2'!$E$4:$E$920)),0))</f>
        <v/>
      </c>
      <c r="H397" s="128" t="str">
        <f t="shared" si="29"/>
        <v/>
      </c>
      <c r="I397" s="124" t="str">
        <f t="shared" si="30"/>
        <v/>
      </c>
      <c r="J397" s="987" t="str">
        <f>IF(A397="","",IFERROR(INDEX('Facturación 2026'!$L$4:$L$500,MATCH($A397,'Facturación 2026'!$A$4:$A$500,0)),""))</f>
        <v/>
      </c>
    </row>
    <row r="398" spans="1:10" ht="15.75" customHeight="1">
      <c r="A398" s="988"/>
      <c r="B398" s="122" t="str">
        <f t="shared" si="27"/>
        <v/>
      </c>
      <c r="C398" s="123"/>
      <c r="D398" s="131" t="str">
        <f t="array" ref="D398">IF(A398="","",SUMPRODUCT(('Detalle Turnos'!$I$3:$I$5028=$A398)*('Detalle Turnos'!$N$3:$N$5028=C398)*'Detalle Turnos'!$L$3:$L$5028))</f>
        <v/>
      </c>
      <c r="E398" s="127" t="str">
        <f t="array" ref="E398">IF(A398="","",SUMPRODUCT(('Detalle Turnos'!$I$3:$I$5028=$A398)*('Detalle Turnos'!$N$3:$N$5028=C398)*'Detalle Turnos'!$K$3:$K$5028))</f>
        <v/>
      </c>
      <c r="F398" s="127">
        <f t="shared" si="28"/>
        <v>0</v>
      </c>
      <c r="G398" s="127" t="str">
        <f t="array" ref="G398">IF(E398="","",IFERROR(SUMPRODUCT(('Facturación 2026'!$A$4:$A$920=$A398)*'Facturación 2026'!$J$4:$J$920)*E398/(SUMPRODUCT(('Caja 1'!$A$4:$A$919=$A398)*'Caja 1'!$E$4:$E$919)+SUMPRODUCT(('Caja 2'!$A$4:$A$920=$A398)*'Caja 2'!$E$4:$E$920)),0))</f>
        <v/>
      </c>
      <c r="H398" s="128" t="str">
        <f t="shared" si="29"/>
        <v/>
      </c>
      <c r="I398" s="124" t="str">
        <f t="shared" si="30"/>
        <v/>
      </c>
      <c r="J398" s="987" t="str">
        <f>IF(A398="","",IFERROR(INDEX('Facturación 2026'!$L$4:$L$500,MATCH($A398,'Facturación 2026'!$A$4:$A$500,0)),""))</f>
        <v/>
      </c>
    </row>
    <row r="399" spans="1:10" ht="15.75" customHeight="1">
      <c r="A399" s="988"/>
      <c r="B399" s="122" t="str">
        <f t="shared" si="27"/>
        <v/>
      </c>
      <c r="C399" s="123"/>
      <c r="D399" s="131" t="str">
        <f t="array" ref="D399">IF(A399="","",SUMPRODUCT(('Detalle Turnos'!$I$3:$I$5028=$A399)*('Detalle Turnos'!$N$3:$N$5028=C399)*'Detalle Turnos'!$L$3:$L$5028))</f>
        <v/>
      </c>
      <c r="E399" s="127" t="str">
        <f t="array" ref="E399">IF(A399="","",SUMPRODUCT(('Detalle Turnos'!$I$3:$I$5028=$A399)*('Detalle Turnos'!$N$3:$N$5028=C399)*'Detalle Turnos'!$K$3:$K$5028))</f>
        <v/>
      </c>
      <c r="F399" s="127">
        <f t="shared" si="28"/>
        <v>0</v>
      </c>
      <c r="G399" s="127" t="str">
        <f t="array" ref="G399">IF(E399="","",IFERROR(SUMPRODUCT(('Facturación 2026'!$A$4:$A$920=$A399)*'Facturación 2026'!$J$4:$J$920)*E399/(SUMPRODUCT(('Caja 1'!$A$4:$A$919=$A399)*'Caja 1'!$E$4:$E$919)+SUMPRODUCT(('Caja 2'!$A$4:$A$920=$A399)*'Caja 2'!$E$4:$E$920)),0))</f>
        <v/>
      </c>
      <c r="H399" s="128" t="str">
        <f t="shared" si="29"/>
        <v/>
      </c>
      <c r="I399" s="124" t="str">
        <f t="shared" si="30"/>
        <v/>
      </c>
      <c r="J399" s="987" t="str">
        <f>IF(A399="","",IFERROR(INDEX('Facturación 2026'!$L$4:$L$500,MATCH($A399,'Facturación 2026'!$A$4:$A$500,0)),""))</f>
        <v/>
      </c>
    </row>
    <row r="400" spans="1:10" ht="15.75" customHeight="1">
      <c r="A400" s="988"/>
      <c r="B400" s="122" t="str">
        <f t="shared" si="27"/>
        <v/>
      </c>
      <c r="C400" s="123"/>
      <c r="D400" s="131" t="str">
        <f t="array" ref="D400">IF(A400="","",SUMPRODUCT(('Detalle Turnos'!$I$3:$I$5028=$A400)*('Detalle Turnos'!$N$3:$N$5028=C400)*'Detalle Turnos'!$L$3:$L$5028))</f>
        <v/>
      </c>
      <c r="E400" s="127" t="str">
        <f t="array" ref="E400">IF(A400="","",SUMPRODUCT(('Detalle Turnos'!$I$3:$I$5028=$A400)*('Detalle Turnos'!$N$3:$N$5028=C400)*'Detalle Turnos'!$K$3:$K$5028))</f>
        <v/>
      </c>
      <c r="F400" s="127">
        <f t="shared" si="28"/>
        <v>0</v>
      </c>
      <c r="G400" s="127" t="str">
        <f t="array" ref="G400">IF(E400="","",IFERROR(SUMPRODUCT(('Facturación 2026'!$A$4:$A$920=$A400)*'Facturación 2026'!$J$4:$J$920)*E400/(SUMPRODUCT(('Caja 1'!$A$4:$A$919=$A400)*'Caja 1'!$E$4:$E$919)+SUMPRODUCT(('Caja 2'!$A$4:$A$920=$A400)*'Caja 2'!$E$4:$E$920)),0))</f>
        <v/>
      </c>
      <c r="H400" s="128" t="str">
        <f t="shared" si="29"/>
        <v/>
      </c>
      <c r="I400" s="124" t="str">
        <f t="shared" si="30"/>
        <v/>
      </c>
      <c r="J400" s="987" t="str">
        <f>IF(A400="","",IFERROR(INDEX('Facturación 2026'!$L$4:$L$500,MATCH($A400,'Facturación 2026'!$A$4:$A$500,0)),""))</f>
        <v/>
      </c>
    </row>
    <row r="401" spans="1:10" ht="15.75" customHeight="1">
      <c r="A401" s="988"/>
      <c r="B401" s="122" t="str">
        <f t="shared" si="27"/>
        <v/>
      </c>
      <c r="C401" s="123"/>
      <c r="D401" s="131" t="str">
        <f t="array" ref="D401">IF(A401="","",SUMPRODUCT(('Detalle Turnos'!$I$3:$I$5028=$A401)*('Detalle Turnos'!$N$3:$N$5028=C401)*'Detalle Turnos'!$L$3:$L$5028))</f>
        <v/>
      </c>
      <c r="E401" s="127" t="str">
        <f t="array" ref="E401">IF(A401="","",SUMPRODUCT(('Detalle Turnos'!$I$3:$I$5028=$A401)*('Detalle Turnos'!$N$3:$N$5028=C401)*'Detalle Turnos'!$K$3:$K$5028))</f>
        <v/>
      </c>
      <c r="F401" s="127">
        <f t="shared" si="28"/>
        <v>0</v>
      </c>
      <c r="G401" s="127" t="str">
        <f t="array" ref="G401">IF(E401="","",IFERROR(SUMPRODUCT(('Facturación 2026'!$A$4:$A$920=$A401)*'Facturación 2026'!$J$4:$J$920)*E401/(SUMPRODUCT(('Caja 1'!$A$4:$A$919=$A401)*'Caja 1'!$E$4:$E$919)+SUMPRODUCT(('Caja 2'!$A$4:$A$920=$A401)*'Caja 2'!$E$4:$E$920)),0))</f>
        <v/>
      </c>
      <c r="H401" s="128" t="str">
        <f t="shared" si="29"/>
        <v/>
      </c>
      <c r="I401" s="124" t="str">
        <f t="shared" si="30"/>
        <v/>
      </c>
      <c r="J401" s="987" t="str">
        <f>IF(A401="","",IFERROR(INDEX('Facturación 2026'!$L$4:$L$500,MATCH($A401,'Facturación 2026'!$A$4:$A$500,0)),""))</f>
        <v/>
      </c>
    </row>
    <row r="402" spans="1:10" ht="15.75" customHeight="1">
      <c r="A402" s="988"/>
      <c r="B402" s="122" t="str">
        <f t="shared" si="27"/>
        <v/>
      </c>
      <c r="C402" s="123"/>
      <c r="D402" s="131" t="str">
        <f t="array" ref="D402">IF(A402="","",SUMPRODUCT(('Detalle Turnos'!$I$3:$I$5028=$A402)*('Detalle Turnos'!$N$3:$N$5028=C402)*'Detalle Turnos'!$L$3:$L$5028))</f>
        <v/>
      </c>
      <c r="E402" s="127" t="str">
        <f t="array" ref="E402">IF(A402="","",SUMPRODUCT(('Detalle Turnos'!$I$3:$I$5028=$A402)*('Detalle Turnos'!$N$3:$N$5028=C402)*'Detalle Turnos'!$K$3:$K$5028))</f>
        <v/>
      </c>
      <c r="F402" s="127">
        <f t="shared" si="28"/>
        <v>0</v>
      </c>
      <c r="G402" s="127" t="str">
        <f t="array" ref="G402">IF(E402="","",IFERROR(SUMPRODUCT(('Facturación 2026'!$A$4:$A$920=$A402)*'Facturación 2026'!$J$4:$J$920)*E402/(SUMPRODUCT(('Caja 1'!$A$4:$A$919=$A402)*'Caja 1'!$E$4:$E$919)+SUMPRODUCT(('Caja 2'!$A$4:$A$920=$A402)*'Caja 2'!$E$4:$E$920)),0))</f>
        <v/>
      </c>
      <c r="H402" s="128" t="str">
        <f t="shared" si="29"/>
        <v/>
      </c>
      <c r="I402" s="124" t="str">
        <f t="shared" si="30"/>
        <v/>
      </c>
      <c r="J402" s="987" t="str">
        <f>IF(A402="","",IFERROR(INDEX('Facturación 2026'!$L$4:$L$500,MATCH($A402,'Facturación 2026'!$A$4:$A$500,0)),""))</f>
        <v/>
      </c>
    </row>
    <row r="403" spans="1:10" ht="15.75" customHeight="1">
      <c r="A403" s="988"/>
      <c r="B403" s="122" t="str">
        <f t="shared" si="27"/>
        <v/>
      </c>
      <c r="C403" s="123"/>
      <c r="D403" s="131" t="str">
        <f t="array" ref="D403">IF(A403="","",SUMPRODUCT(('Detalle Turnos'!$I$3:$I$5028=$A403)*('Detalle Turnos'!$N$3:$N$5028=C403)*'Detalle Turnos'!$L$3:$L$5028))</f>
        <v/>
      </c>
      <c r="E403" s="127" t="str">
        <f t="array" ref="E403">IF(A403="","",SUMPRODUCT(('Detalle Turnos'!$I$3:$I$5028=$A403)*('Detalle Turnos'!$N$3:$N$5028=C403)*'Detalle Turnos'!$K$3:$K$5028))</f>
        <v/>
      </c>
      <c r="F403" s="127">
        <f t="shared" si="28"/>
        <v>0</v>
      </c>
      <c r="G403" s="127" t="str">
        <f t="array" ref="G403">IF(E403="","",IFERROR(SUMPRODUCT(('Facturación 2026'!$A$4:$A$920=$A403)*'Facturación 2026'!$J$4:$J$920)*E403/(SUMPRODUCT(('Caja 1'!$A$4:$A$919=$A403)*'Caja 1'!$E$4:$E$919)+SUMPRODUCT(('Caja 2'!$A$4:$A$920=$A403)*'Caja 2'!$E$4:$E$920)),0))</f>
        <v/>
      </c>
      <c r="H403" s="128" t="str">
        <f t="shared" si="29"/>
        <v/>
      </c>
      <c r="I403" s="124" t="str">
        <f t="shared" si="30"/>
        <v/>
      </c>
      <c r="J403" s="987" t="str">
        <f>IF(A403="","",IFERROR(INDEX('Facturación 2026'!$L$4:$L$500,MATCH($A403,'Facturación 2026'!$A$4:$A$500,0)),""))</f>
        <v/>
      </c>
    </row>
    <row r="404" spans="1:10" ht="15.75" customHeight="1">
      <c r="A404" s="988"/>
      <c r="B404" s="122" t="str">
        <f t="shared" si="27"/>
        <v/>
      </c>
      <c r="C404" s="123"/>
      <c r="D404" s="131" t="str">
        <f t="array" ref="D404">IF(A404="","",SUMPRODUCT(('Detalle Turnos'!$I$3:$I$5028=$A404)*('Detalle Turnos'!$N$3:$N$5028=C404)*'Detalle Turnos'!$L$3:$L$5028))</f>
        <v/>
      </c>
      <c r="E404" s="127" t="str">
        <f t="array" ref="E404">IF(A404="","",SUMPRODUCT(('Detalle Turnos'!$I$3:$I$5028=$A404)*('Detalle Turnos'!$N$3:$N$5028=C404)*'Detalle Turnos'!$K$3:$K$5028))</f>
        <v/>
      </c>
      <c r="F404" s="127">
        <f t="shared" si="28"/>
        <v>0</v>
      </c>
      <c r="G404" s="127" t="str">
        <f t="array" ref="G404">IF(E404="","",IFERROR(SUMPRODUCT(('Facturación 2026'!$A$4:$A$920=$A404)*'Facturación 2026'!$J$4:$J$920)*E404/(SUMPRODUCT(('Caja 1'!$A$4:$A$919=$A404)*'Caja 1'!$E$4:$E$919)+SUMPRODUCT(('Caja 2'!$A$4:$A$920=$A404)*'Caja 2'!$E$4:$E$920)),0))</f>
        <v/>
      </c>
      <c r="H404" s="128" t="str">
        <f t="shared" si="29"/>
        <v/>
      </c>
      <c r="I404" s="124" t="str">
        <f t="shared" si="30"/>
        <v/>
      </c>
      <c r="J404" s="987" t="str">
        <f>IF(A404="","",IFERROR(INDEX('Facturación 2026'!$L$4:$L$500,MATCH($A404,'Facturación 2026'!$A$4:$A$500,0)),""))</f>
        <v/>
      </c>
    </row>
    <row r="405" spans="1:10" ht="15.75" customHeight="1">
      <c r="A405" s="988"/>
      <c r="B405" s="122" t="str">
        <f t="shared" si="27"/>
        <v/>
      </c>
      <c r="C405" s="123"/>
      <c r="D405" s="131" t="str">
        <f t="array" ref="D405">IF(A405="","",SUMPRODUCT(('Detalle Turnos'!$I$3:$I$5028=$A405)*('Detalle Turnos'!$N$3:$N$5028=C405)*'Detalle Turnos'!$L$3:$L$5028))</f>
        <v/>
      </c>
      <c r="E405" s="127" t="str">
        <f t="array" ref="E405">IF(A405="","",SUMPRODUCT(('Detalle Turnos'!$I$3:$I$5028=$A405)*('Detalle Turnos'!$N$3:$N$5028=C405)*'Detalle Turnos'!$K$3:$K$5028))</f>
        <v/>
      </c>
      <c r="F405" s="127">
        <f t="shared" si="28"/>
        <v>0</v>
      </c>
      <c r="G405" s="127" t="str">
        <f t="array" ref="G405">IF(E405="","",IFERROR(SUMPRODUCT(('Facturación 2026'!$A$4:$A$920=$A405)*'Facturación 2026'!$J$4:$J$920)*E405/(SUMPRODUCT(('Caja 1'!$A$4:$A$919=$A405)*'Caja 1'!$E$4:$E$919)+SUMPRODUCT(('Caja 2'!$A$4:$A$920=$A405)*'Caja 2'!$E$4:$E$920)),0))</f>
        <v/>
      </c>
      <c r="H405" s="128" t="str">
        <f t="shared" si="29"/>
        <v/>
      </c>
      <c r="I405" s="124" t="str">
        <f t="shared" si="30"/>
        <v/>
      </c>
      <c r="J405" s="987" t="str">
        <f>IF(A405="","",IFERROR(INDEX('Facturación 2026'!$L$4:$L$500,MATCH($A405,'Facturación 2026'!$A$4:$A$500,0)),""))</f>
        <v/>
      </c>
    </row>
    <row r="406" spans="1:10" ht="15.75" customHeight="1">
      <c r="A406" s="988"/>
      <c r="B406" s="122" t="str">
        <f t="shared" si="27"/>
        <v/>
      </c>
      <c r="C406" s="123"/>
      <c r="D406" s="131" t="str">
        <f t="array" ref="D406">IF(A406="","",SUMPRODUCT(('Detalle Turnos'!$I$3:$I$5028=$A406)*('Detalle Turnos'!$N$3:$N$5028=C406)*'Detalle Turnos'!$L$3:$L$5028))</f>
        <v/>
      </c>
      <c r="E406" s="127" t="str">
        <f t="array" ref="E406">IF(A406="","",SUMPRODUCT(('Detalle Turnos'!$I$3:$I$5028=$A406)*('Detalle Turnos'!$N$3:$N$5028=C406)*'Detalle Turnos'!$K$3:$K$5028))</f>
        <v/>
      </c>
      <c r="F406" s="127">
        <f t="shared" si="28"/>
        <v>0</v>
      </c>
      <c r="G406" s="127" t="str">
        <f t="array" ref="G406">IF(E406="","",IFERROR(SUMPRODUCT(('Facturación 2026'!$A$4:$A$920=$A406)*'Facturación 2026'!$J$4:$J$920)*E406/(SUMPRODUCT(('Caja 1'!$A$4:$A$919=$A406)*'Caja 1'!$E$4:$E$919)+SUMPRODUCT(('Caja 2'!$A$4:$A$920=$A406)*'Caja 2'!$E$4:$E$920)),0))</f>
        <v/>
      </c>
      <c r="H406" s="128" t="str">
        <f t="shared" si="29"/>
        <v/>
      </c>
      <c r="I406" s="124" t="str">
        <f t="shared" si="30"/>
        <v/>
      </c>
      <c r="J406" s="987" t="str">
        <f>IF(A406="","",IFERROR(INDEX('Facturación 2026'!$L$4:$L$500,MATCH($A406,'Facturación 2026'!$A$4:$A$500,0)),""))</f>
        <v/>
      </c>
    </row>
    <row r="407" spans="1:10" ht="15.75" customHeight="1">
      <c r="A407" s="988"/>
      <c r="B407" s="122" t="str">
        <f t="shared" si="27"/>
        <v/>
      </c>
      <c r="C407" s="123"/>
      <c r="D407" s="131" t="str">
        <f t="array" ref="D407">IF(A407="","",SUMPRODUCT(('Detalle Turnos'!$I$3:$I$5028=$A407)*('Detalle Turnos'!$N$3:$N$5028=C407)*'Detalle Turnos'!$L$3:$L$5028))</f>
        <v/>
      </c>
      <c r="E407" s="127" t="str">
        <f t="array" ref="E407">IF(A407="","",SUMPRODUCT(('Detalle Turnos'!$I$3:$I$5028=$A407)*('Detalle Turnos'!$N$3:$N$5028=C407)*'Detalle Turnos'!$K$3:$K$5028))</f>
        <v/>
      </c>
      <c r="F407" s="127">
        <f t="shared" si="28"/>
        <v>0</v>
      </c>
      <c r="G407" s="127" t="str">
        <f t="array" ref="G407">IF(E407="","",IFERROR(SUMPRODUCT(('Facturación 2026'!$A$4:$A$920=$A407)*'Facturación 2026'!$J$4:$J$920)*E407/(SUMPRODUCT(('Caja 1'!$A$4:$A$919=$A407)*'Caja 1'!$E$4:$E$919)+SUMPRODUCT(('Caja 2'!$A$4:$A$920=$A407)*'Caja 2'!$E$4:$E$920)),0))</f>
        <v/>
      </c>
      <c r="H407" s="128" t="str">
        <f t="shared" si="29"/>
        <v/>
      </c>
      <c r="I407" s="124" t="str">
        <f t="shared" si="30"/>
        <v/>
      </c>
      <c r="J407" s="987" t="str">
        <f>IF(A407="","",IFERROR(INDEX('Facturación 2026'!$L$4:$L$500,MATCH($A407,'Facturación 2026'!$A$4:$A$500,0)),""))</f>
        <v/>
      </c>
    </row>
    <row r="408" spans="1:10" ht="15.75" customHeight="1">
      <c r="A408" s="988"/>
      <c r="B408" s="122" t="str">
        <f t="shared" si="27"/>
        <v/>
      </c>
      <c r="C408" s="123"/>
      <c r="D408" s="131" t="str">
        <f t="array" ref="D408">IF(A408="","",SUMPRODUCT(('Detalle Turnos'!$I$3:$I$5028=$A408)*('Detalle Turnos'!$N$3:$N$5028=C408)*'Detalle Turnos'!$L$3:$L$5028))</f>
        <v/>
      </c>
      <c r="E408" s="127" t="str">
        <f t="array" ref="E408">IF(A408="","",SUMPRODUCT(('Detalle Turnos'!$I$3:$I$5028=$A408)*('Detalle Turnos'!$N$3:$N$5028=C408)*'Detalle Turnos'!$K$3:$K$5028))</f>
        <v/>
      </c>
      <c r="F408" s="127">
        <f t="shared" si="28"/>
        <v>0</v>
      </c>
      <c r="G408" s="127" t="str">
        <f t="array" ref="G408">IF(E408="","",IFERROR(SUMPRODUCT(('Facturación 2026'!$A$4:$A$920=$A408)*'Facturación 2026'!$J$4:$J$920)*E408/(SUMPRODUCT(('Caja 1'!$A$4:$A$919=$A408)*'Caja 1'!$E$4:$E$919)+SUMPRODUCT(('Caja 2'!$A$4:$A$920=$A408)*'Caja 2'!$E$4:$E$920)),0))</f>
        <v/>
      </c>
      <c r="H408" s="128" t="str">
        <f t="shared" si="29"/>
        <v/>
      </c>
      <c r="I408" s="124" t="str">
        <f t="shared" si="30"/>
        <v/>
      </c>
      <c r="J408" s="987" t="str">
        <f>IF(A408="","",IFERROR(INDEX('Facturación 2026'!$L$4:$L$500,MATCH($A408,'Facturación 2026'!$A$4:$A$500,0)),""))</f>
        <v/>
      </c>
    </row>
    <row r="409" spans="1:10" ht="15.75" customHeight="1">
      <c r="A409" s="988"/>
      <c r="B409" s="122" t="str">
        <f t="shared" si="27"/>
        <v/>
      </c>
      <c r="C409" s="123"/>
      <c r="D409" s="131" t="str">
        <f t="array" ref="D409">IF(A409="","",SUMPRODUCT(('Detalle Turnos'!$I$3:$I$5028=$A409)*('Detalle Turnos'!$N$3:$N$5028=C409)*'Detalle Turnos'!$L$3:$L$5028))</f>
        <v/>
      </c>
      <c r="E409" s="127" t="str">
        <f t="array" ref="E409">IF(A409="","",SUMPRODUCT(('Detalle Turnos'!$I$3:$I$5028=$A409)*('Detalle Turnos'!$N$3:$N$5028=C409)*'Detalle Turnos'!$K$3:$K$5028))</f>
        <v/>
      </c>
      <c r="F409" s="127">
        <f t="shared" si="28"/>
        <v>0</v>
      </c>
      <c r="G409" s="127" t="str">
        <f t="array" ref="G409">IF(E409="","",IFERROR(SUMPRODUCT(('Facturación 2026'!$A$4:$A$920=$A409)*'Facturación 2026'!$J$4:$J$920)*E409/(SUMPRODUCT(('Caja 1'!$A$4:$A$919=$A409)*'Caja 1'!$E$4:$E$919)+SUMPRODUCT(('Caja 2'!$A$4:$A$920=$A409)*'Caja 2'!$E$4:$E$920)),0))</f>
        <v/>
      </c>
      <c r="H409" s="128" t="str">
        <f t="shared" si="29"/>
        <v/>
      </c>
      <c r="I409" s="124" t="str">
        <f t="shared" si="30"/>
        <v/>
      </c>
      <c r="J409" s="987" t="str">
        <f>IF(A409="","",IFERROR(INDEX('Facturación 2026'!$L$4:$L$500,MATCH($A409,'Facturación 2026'!$A$4:$A$500,0)),""))</f>
        <v/>
      </c>
    </row>
    <row r="410" spans="1:10" ht="15.75" customHeight="1">
      <c r="A410" s="988"/>
      <c r="B410" s="122" t="str">
        <f t="shared" si="27"/>
        <v/>
      </c>
      <c r="C410" s="123"/>
      <c r="D410" s="131" t="str">
        <f t="array" ref="D410">IF(A410="","",SUMPRODUCT(('Detalle Turnos'!$I$3:$I$5028=$A410)*('Detalle Turnos'!$N$3:$N$5028=C410)*'Detalle Turnos'!$L$3:$L$5028))</f>
        <v/>
      </c>
      <c r="E410" s="127" t="str">
        <f t="array" ref="E410">IF(A410="","",SUMPRODUCT(('Detalle Turnos'!$I$3:$I$5028=$A410)*('Detalle Turnos'!$N$3:$N$5028=C410)*'Detalle Turnos'!$K$3:$K$5028))</f>
        <v/>
      </c>
      <c r="F410" s="127">
        <f t="shared" si="28"/>
        <v>0</v>
      </c>
      <c r="G410" s="127" t="str">
        <f t="array" ref="G410">IF(E410="","",IFERROR(SUMPRODUCT(('Facturación 2026'!$A$4:$A$920=$A410)*'Facturación 2026'!$J$4:$J$920)*E410/(SUMPRODUCT(('Caja 1'!$A$4:$A$919=$A410)*'Caja 1'!$E$4:$E$919)+SUMPRODUCT(('Caja 2'!$A$4:$A$920=$A410)*'Caja 2'!$E$4:$E$920)),0))</f>
        <v/>
      </c>
      <c r="H410" s="128" t="str">
        <f t="shared" si="29"/>
        <v/>
      </c>
      <c r="I410" s="124" t="str">
        <f t="shared" si="30"/>
        <v/>
      </c>
      <c r="J410" s="987" t="str">
        <f>IF(A410="","",IFERROR(INDEX('Facturación 2026'!$L$4:$L$500,MATCH($A410,'Facturación 2026'!$A$4:$A$500,0)),""))</f>
        <v/>
      </c>
    </row>
    <row r="411" spans="1:10" ht="15.75" customHeight="1">
      <c r="A411" s="988"/>
      <c r="B411" s="122" t="str">
        <f t="shared" si="27"/>
        <v/>
      </c>
      <c r="C411" s="123"/>
      <c r="D411" s="131" t="str">
        <f t="array" ref="D411">IF(A411="","",SUMPRODUCT(('Detalle Turnos'!$I$3:$I$5028=$A411)*('Detalle Turnos'!$N$3:$N$5028=C411)*'Detalle Turnos'!$L$3:$L$5028))</f>
        <v/>
      </c>
      <c r="E411" s="127" t="str">
        <f t="array" ref="E411">IF(A411="","",SUMPRODUCT(('Detalle Turnos'!$I$3:$I$5028=$A411)*('Detalle Turnos'!$N$3:$N$5028=C411)*'Detalle Turnos'!$K$3:$K$5028))</f>
        <v/>
      </c>
      <c r="F411" s="127">
        <f t="shared" si="28"/>
        <v>0</v>
      </c>
      <c r="G411" s="127" t="str">
        <f t="array" ref="G411">IF(E411="","",IFERROR(SUMPRODUCT(('Facturación 2026'!$A$4:$A$920=$A411)*'Facturación 2026'!$J$4:$J$920)*E411/(SUMPRODUCT(('Caja 1'!$A$4:$A$919=$A411)*'Caja 1'!$E$4:$E$919)+SUMPRODUCT(('Caja 2'!$A$4:$A$920=$A411)*'Caja 2'!$E$4:$E$920)),0))</f>
        <v/>
      </c>
      <c r="H411" s="128" t="str">
        <f t="shared" si="29"/>
        <v/>
      </c>
      <c r="I411" s="124" t="str">
        <f t="shared" si="30"/>
        <v/>
      </c>
      <c r="J411" s="987" t="str">
        <f>IF(A411="","",IFERROR(INDEX('Facturación 2026'!$L$4:$L$500,MATCH($A411,'Facturación 2026'!$A$4:$A$500,0)),""))</f>
        <v/>
      </c>
    </row>
    <row r="412" spans="1:10" ht="15.75" customHeight="1">
      <c r="A412" s="988"/>
      <c r="B412" s="122" t="str">
        <f t="shared" si="27"/>
        <v/>
      </c>
      <c r="C412" s="123"/>
      <c r="D412" s="131" t="str">
        <f t="array" ref="D412">IF(A412="","",SUMPRODUCT(('Detalle Turnos'!$I$3:$I$5028=$A412)*('Detalle Turnos'!$N$3:$N$5028=C412)*'Detalle Turnos'!$L$3:$L$5028))</f>
        <v/>
      </c>
      <c r="E412" s="127" t="str">
        <f t="array" ref="E412">IF(A412="","",SUMPRODUCT(('Detalle Turnos'!$I$3:$I$5028=$A412)*('Detalle Turnos'!$N$3:$N$5028=C412)*'Detalle Turnos'!$K$3:$K$5028))</f>
        <v/>
      </c>
      <c r="F412" s="127">
        <f t="shared" si="28"/>
        <v>0</v>
      </c>
      <c r="G412" s="127" t="str">
        <f t="array" ref="G412">IF(E412="","",IFERROR(SUMPRODUCT(('Facturación 2026'!$A$4:$A$920=$A412)*'Facturación 2026'!$J$4:$J$920)*E412/(SUMPRODUCT(('Caja 1'!$A$4:$A$919=$A412)*'Caja 1'!$E$4:$E$919)+SUMPRODUCT(('Caja 2'!$A$4:$A$920=$A412)*'Caja 2'!$E$4:$E$920)),0))</f>
        <v/>
      </c>
      <c r="H412" s="128" t="str">
        <f t="shared" si="29"/>
        <v/>
      </c>
      <c r="I412" s="124" t="str">
        <f t="shared" si="30"/>
        <v/>
      </c>
      <c r="J412" s="987" t="str">
        <f>IF(A412="","",IFERROR(INDEX('Facturación 2026'!$L$4:$L$500,MATCH($A412,'Facturación 2026'!$A$4:$A$500,0)),""))</f>
        <v/>
      </c>
    </row>
    <row r="413" spans="1:10" ht="15.75" customHeight="1">
      <c r="A413" s="988"/>
      <c r="B413" s="122" t="str">
        <f t="shared" si="27"/>
        <v/>
      </c>
      <c r="C413" s="123"/>
      <c r="D413" s="131" t="str">
        <f t="array" ref="D413">IF(A413="","",SUMPRODUCT(('Detalle Turnos'!$I$3:$I$5028=$A413)*('Detalle Turnos'!$N$3:$N$5028=C413)*'Detalle Turnos'!$L$3:$L$5028))</f>
        <v/>
      </c>
      <c r="E413" s="127" t="str">
        <f t="array" ref="E413">IF(A413="","",SUMPRODUCT(('Detalle Turnos'!$I$3:$I$5028=$A413)*('Detalle Turnos'!$N$3:$N$5028=C413)*'Detalle Turnos'!$K$3:$K$5028))</f>
        <v/>
      </c>
      <c r="F413" s="127">
        <f t="shared" si="28"/>
        <v>0</v>
      </c>
      <c r="G413" s="127" t="str">
        <f t="array" ref="G413">IF(E413="","",IFERROR(SUMPRODUCT(('Facturación 2026'!$A$4:$A$920=$A413)*'Facturación 2026'!$J$4:$J$920)*E413/(SUMPRODUCT(('Caja 1'!$A$4:$A$919=$A413)*'Caja 1'!$E$4:$E$919)+SUMPRODUCT(('Caja 2'!$A$4:$A$920=$A413)*'Caja 2'!$E$4:$E$920)),0))</f>
        <v/>
      </c>
      <c r="H413" s="128" t="str">
        <f t="shared" si="29"/>
        <v/>
      </c>
      <c r="I413" s="124" t="str">
        <f t="shared" si="30"/>
        <v/>
      </c>
      <c r="J413" s="987" t="str">
        <f>IF(A413="","",IFERROR(INDEX('Facturación 2026'!$L$4:$L$500,MATCH($A413,'Facturación 2026'!$A$4:$A$500,0)),""))</f>
        <v/>
      </c>
    </row>
    <row r="414" spans="1:10" ht="15.75" customHeight="1">
      <c r="A414" s="988"/>
      <c r="B414" s="122" t="str">
        <f t="shared" si="27"/>
        <v/>
      </c>
      <c r="C414" s="123"/>
      <c r="D414" s="131" t="str">
        <f t="array" ref="D414">IF(A414="","",SUMPRODUCT(('Detalle Turnos'!$I$3:$I$5028=$A414)*('Detalle Turnos'!$N$3:$N$5028=C414)*'Detalle Turnos'!$L$3:$L$5028))</f>
        <v/>
      </c>
      <c r="E414" s="127" t="str">
        <f t="array" ref="E414">IF(A414="","",SUMPRODUCT(('Detalle Turnos'!$I$3:$I$5028=$A414)*('Detalle Turnos'!$N$3:$N$5028=C414)*'Detalle Turnos'!$K$3:$K$5028))</f>
        <v/>
      </c>
      <c r="F414" s="127">
        <f t="shared" si="28"/>
        <v>0</v>
      </c>
      <c r="G414" s="127" t="str">
        <f t="array" ref="G414">IF(E414="","",IFERROR(SUMPRODUCT(('Facturación 2026'!$A$4:$A$920=$A414)*'Facturación 2026'!$J$4:$J$920)*E414/(SUMPRODUCT(('Caja 1'!$A$4:$A$919=$A414)*'Caja 1'!$E$4:$E$919)+SUMPRODUCT(('Caja 2'!$A$4:$A$920=$A414)*'Caja 2'!$E$4:$E$920)),0))</f>
        <v/>
      </c>
      <c r="H414" s="128" t="str">
        <f t="shared" si="29"/>
        <v/>
      </c>
      <c r="I414" s="124" t="str">
        <f t="shared" si="30"/>
        <v/>
      </c>
      <c r="J414" s="987" t="str">
        <f>IF(A414="","",IFERROR(INDEX('Facturación 2026'!$L$4:$L$500,MATCH($A414,'Facturación 2026'!$A$4:$A$500,0)),""))</f>
        <v/>
      </c>
    </row>
    <row r="415" spans="1:10" ht="15.75" customHeight="1">
      <c r="A415" s="988"/>
      <c r="B415" s="122" t="str">
        <f t="shared" si="27"/>
        <v/>
      </c>
      <c r="C415" s="123"/>
      <c r="D415" s="131" t="str">
        <f t="array" ref="D415">IF(A415="","",SUMPRODUCT(('Detalle Turnos'!$I$3:$I$5028=$A415)*('Detalle Turnos'!$N$3:$N$5028=C415)*'Detalle Turnos'!$L$3:$L$5028))</f>
        <v/>
      </c>
      <c r="E415" s="127" t="str">
        <f t="array" ref="E415">IF(A415="","",SUMPRODUCT(('Detalle Turnos'!$I$3:$I$5028=$A415)*('Detalle Turnos'!$N$3:$N$5028=C415)*'Detalle Turnos'!$K$3:$K$5028))</f>
        <v/>
      </c>
      <c r="F415" s="127">
        <f t="shared" si="28"/>
        <v>0</v>
      </c>
      <c r="G415" s="127" t="str">
        <f t="array" ref="G415">IF(E415="","",IFERROR(SUMPRODUCT(('Facturación 2026'!$A$4:$A$920=$A415)*'Facturación 2026'!$J$4:$J$920)*E415/(SUMPRODUCT(('Caja 1'!$A$4:$A$919=$A415)*'Caja 1'!$E$4:$E$919)+SUMPRODUCT(('Caja 2'!$A$4:$A$920=$A415)*'Caja 2'!$E$4:$E$920)),0))</f>
        <v/>
      </c>
      <c r="H415" s="128" t="str">
        <f t="shared" si="29"/>
        <v/>
      </c>
      <c r="I415" s="124" t="str">
        <f t="shared" si="30"/>
        <v/>
      </c>
      <c r="J415" s="987" t="str">
        <f>IF(A415="","",IFERROR(INDEX('Facturación 2026'!$L$4:$L$500,MATCH($A415,'Facturación 2026'!$A$4:$A$500,0)),""))</f>
        <v/>
      </c>
    </row>
    <row r="416" spans="1:10" ht="15.75" customHeight="1">
      <c r="A416" s="988"/>
      <c r="B416" s="122" t="str">
        <f t="shared" si="27"/>
        <v/>
      </c>
      <c r="C416" s="123"/>
      <c r="D416" s="131" t="str">
        <f t="array" ref="D416">IF(A416="","",SUMPRODUCT(('Detalle Turnos'!$I$3:$I$5028=$A416)*('Detalle Turnos'!$N$3:$N$5028=C416)*'Detalle Turnos'!$L$3:$L$5028))</f>
        <v/>
      </c>
      <c r="E416" s="127" t="str">
        <f t="array" ref="E416">IF(A416="","",SUMPRODUCT(('Detalle Turnos'!$I$3:$I$5028=$A416)*('Detalle Turnos'!$N$3:$N$5028=C416)*'Detalle Turnos'!$K$3:$K$5028))</f>
        <v/>
      </c>
      <c r="F416" s="127">
        <f t="shared" si="28"/>
        <v>0</v>
      </c>
      <c r="G416" s="127" t="str">
        <f t="array" ref="G416">IF(E416="","",IFERROR(SUMPRODUCT(('Facturación 2026'!$A$4:$A$920=$A416)*'Facturación 2026'!$J$4:$J$920)*E416/(SUMPRODUCT(('Caja 1'!$A$4:$A$919=$A416)*'Caja 1'!$E$4:$E$919)+SUMPRODUCT(('Caja 2'!$A$4:$A$920=$A416)*'Caja 2'!$E$4:$E$920)),0))</f>
        <v/>
      </c>
      <c r="H416" s="128" t="str">
        <f t="shared" si="29"/>
        <v/>
      </c>
      <c r="I416" s="124" t="str">
        <f t="shared" si="30"/>
        <v/>
      </c>
      <c r="J416" s="987" t="str">
        <f>IF(A416="","",IFERROR(INDEX('Facturación 2026'!$L$4:$L$500,MATCH($A416,'Facturación 2026'!$A$4:$A$500,0)),""))</f>
        <v/>
      </c>
    </row>
    <row r="417" spans="1:10" ht="15.75" customHeight="1">
      <c r="A417" s="988"/>
      <c r="B417" s="122" t="str">
        <f t="shared" si="27"/>
        <v/>
      </c>
      <c r="C417" s="123"/>
      <c r="D417" s="131" t="str">
        <f t="array" ref="D417">IF(A417="","",SUMPRODUCT(('Detalle Turnos'!$I$3:$I$5028=$A417)*('Detalle Turnos'!$N$3:$N$5028=C417)*'Detalle Turnos'!$L$3:$L$5028))</f>
        <v/>
      </c>
      <c r="E417" s="127" t="str">
        <f t="array" ref="E417">IF(A417="","",SUMPRODUCT(('Detalle Turnos'!$I$3:$I$5028=$A417)*('Detalle Turnos'!$N$3:$N$5028=C417)*'Detalle Turnos'!$K$3:$K$5028))</f>
        <v/>
      </c>
      <c r="F417" s="127">
        <f t="shared" si="28"/>
        <v>0</v>
      </c>
      <c r="G417" s="127" t="str">
        <f t="array" ref="G417">IF(E417="","",IFERROR(SUMPRODUCT(('Facturación 2026'!$A$4:$A$920=$A417)*'Facturación 2026'!$J$4:$J$920)*E417/(SUMPRODUCT(('Caja 1'!$A$4:$A$919=$A417)*'Caja 1'!$E$4:$E$919)+SUMPRODUCT(('Caja 2'!$A$4:$A$920=$A417)*'Caja 2'!$E$4:$E$920)),0))</f>
        <v/>
      </c>
      <c r="H417" s="128" t="str">
        <f t="shared" si="29"/>
        <v/>
      </c>
      <c r="I417" s="124" t="str">
        <f t="shared" si="30"/>
        <v/>
      </c>
      <c r="J417" s="987" t="str">
        <f>IF(A417="","",IFERROR(INDEX('Facturación 2026'!$L$4:$L$500,MATCH($A417,'Facturación 2026'!$A$4:$A$500,0)),""))</f>
        <v/>
      </c>
    </row>
    <row r="418" spans="1:10" ht="15.75" customHeight="1">
      <c r="A418" s="988"/>
      <c r="B418" s="122" t="str">
        <f t="shared" si="27"/>
        <v/>
      </c>
      <c r="C418" s="123"/>
      <c r="D418" s="131" t="str">
        <f t="array" ref="D418">IF(A418="","",SUMPRODUCT(('Detalle Turnos'!$I$3:$I$5028=$A418)*('Detalle Turnos'!$N$3:$N$5028=C418)*'Detalle Turnos'!$L$3:$L$5028))</f>
        <v/>
      </c>
      <c r="E418" s="127" t="str">
        <f t="array" ref="E418">IF(A418="","",SUMPRODUCT(('Detalle Turnos'!$I$3:$I$5028=$A418)*('Detalle Turnos'!$N$3:$N$5028=C418)*'Detalle Turnos'!$K$3:$K$5028))</f>
        <v/>
      </c>
      <c r="F418" s="127">
        <f t="shared" si="28"/>
        <v>0</v>
      </c>
      <c r="G418" s="127" t="str">
        <f t="array" ref="G418">IF(E418="","",IFERROR(SUMPRODUCT(('Facturación 2026'!$A$4:$A$920=$A418)*'Facturación 2026'!$J$4:$J$920)*E418/(SUMPRODUCT(('Caja 1'!$A$4:$A$919=$A418)*'Caja 1'!$E$4:$E$919)+SUMPRODUCT(('Caja 2'!$A$4:$A$920=$A418)*'Caja 2'!$E$4:$E$920)),0))</f>
        <v/>
      </c>
      <c r="H418" s="128" t="str">
        <f t="shared" si="29"/>
        <v/>
      </c>
      <c r="I418" s="124" t="str">
        <f t="shared" si="30"/>
        <v/>
      </c>
      <c r="J418" s="987" t="str">
        <f>IF(A418="","",IFERROR(INDEX('Facturación 2026'!$L$4:$L$500,MATCH($A418,'Facturación 2026'!$A$4:$A$500,0)),""))</f>
        <v/>
      </c>
    </row>
    <row r="419" spans="1:10" ht="15.75" customHeight="1">
      <c r="A419" s="988"/>
      <c r="B419" s="122" t="str">
        <f t="shared" si="27"/>
        <v/>
      </c>
      <c r="C419" s="123"/>
      <c r="D419" s="131" t="str">
        <f t="array" ref="D419">IF(A419="","",SUMPRODUCT(('Detalle Turnos'!$I$3:$I$5028=$A419)*('Detalle Turnos'!$N$3:$N$5028=C419)*'Detalle Turnos'!$L$3:$L$5028))</f>
        <v/>
      </c>
      <c r="E419" s="127" t="str">
        <f t="array" ref="E419">IF(A419="","",SUMPRODUCT(('Detalle Turnos'!$I$3:$I$5028=$A419)*('Detalle Turnos'!$N$3:$N$5028=C419)*'Detalle Turnos'!$K$3:$K$5028))</f>
        <v/>
      </c>
      <c r="F419" s="127">
        <f t="shared" si="28"/>
        <v>0</v>
      </c>
      <c r="G419" s="127" t="str">
        <f t="array" ref="G419">IF(E419="","",IFERROR(SUMPRODUCT(('Facturación 2026'!$A$4:$A$920=$A419)*'Facturación 2026'!$J$4:$J$920)*E419/(SUMPRODUCT(('Caja 1'!$A$4:$A$919=$A419)*'Caja 1'!$E$4:$E$919)+SUMPRODUCT(('Caja 2'!$A$4:$A$920=$A419)*'Caja 2'!$E$4:$E$920)),0))</f>
        <v/>
      </c>
      <c r="H419" s="128" t="str">
        <f t="shared" si="29"/>
        <v/>
      </c>
      <c r="I419" s="124" t="str">
        <f t="shared" si="30"/>
        <v/>
      </c>
      <c r="J419" s="987" t="str">
        <f>IF(A419="","",IFERROR(INDEX('Facturación 2026'!$L$4:$L$500,MATCH($A419,'Facturación 2026'!$A$4:$A$500,0)),""))</f>
        <v/>
      </c>
    </row>
    <row r="420" spans="1:10" ht="15.75" customHeight="1">
      <c r="A420" s="988"/>
      <c r="B420" s="122" t="str">
        <f t="shared" si="27"/>
        <v/>
      </c>
      <c r="C420" s="123"/>
      <c r="D420" s="131" t="str">
        <f t="array" ref="D420">IF(A420="","",SUMPRODUCT(('Detalle Turnos'!$I$3:$I$5028=$A420)*('Detalle Turnos'!$N$3:$N$5028=C420)*'Detalle Turnos'!$L$3:$L$5028))</f>
        <v/>
      </c>
      <c r="E420" s="127" t="str">
        <f t="array" ref="E420">IF(A420="","",SUMPRODUCT(('Detalle Turnos'!$I$3:$I$5028=$A420)*('Detalle Turnos'!$N$3:$N$5028=C420)*'Detalle Turnos'!$K$3:$K$5028))</f>
        <v/>
      </c>
      <c r="F420" s="127">
        <f t="shared" si="28"/>
        <v>0</v>
      </c>
      <c r="G420" s="127" t="str">
        <f t="array" ref="G420">IF(E420="","",IFERROR(SUMPRODUCT(('Facturación 2026'!$A$4:$A$920=$A420)*'Facturación 2026'!$J$4:$J$920)*E420/(SUMPRODUCT(('Caja 1'!$A$4:$A$919=$A420)*'Caja 1'!$E$4:$E$919)+SUMPRODUCT(('Caja 2'!$A$4:$A$920=$A420)*'Caja 2'!$E$4:$E$920)),0))</f>
        <v/>
      </c>
      <c r="H420" s="128" t="str">
        <f t="shared" si="29"/>
        <v/>
      </c>
      <c r="I420" s="124" t="str">
        <f t="shared" si="30"/>
        <v/>
      </c>
      <c r="J420" s="987" t="str">
        <f>IF(A420="","",IFERROR(INDEX('Facturación 2026'!$L$4:$L$500,MATCH($A420,'Facturación 2026'!$A$4:$A$500,0)),""))</f>
        <v/>
      </c>
    </row>
    <row r="421" spans="1:10" ht="15.75" customHeight="1">
      <c r="A421" s="988"/>
      <c r="B421" s="122" t="str">
        <f t="shared" si="27"/>
        <v/>
      </c>
      <c r="C421" s="123"/>
      <c r="D421" s="131" t="str">
        <f t="array" ref="D421">IF(A421="","",SUMPRODUCT(('Detalle Turnos'!$I$3:$I$5028=$A421)*('Detalle Turnos'!$N$3:$N$5028=C421)*'Detalle Turnos'!$L$3:$L$5028))</f>
        <v/>
      </c>
      <c r="E421" s="127" t="str">
        <f t="array" ref="E421">IF(A421="","",SUMPRODUCT(('Detalle Turnos'!$I$3:$I$5028=$A421)*('Detalle Turnos'!$N$3:$N$5028=C421)*'Detalle Turnos'!$K$3:$K$5028))</f>
        <v/>
      </c>
      <c r="F421" s="127">
        <f t="shared" si="28"/>
        <v>0</v>
      </c>
      <c r="G421" s="127" t="str">
        <f t="array" ref="G421">IF(E421="","",IFERROR(SUMPRODUCT(('Facturación 2026'!$A$4:$A$920=$A421)*'Facturación 2026'!$J$4:$J$920)*E421/(SUMPRODUCT(('Caja 1'!$A$4:$A$919=$A421)*'Caja 1'!$E$4:$E$919)+SUMPRODUCT(('Caja 2'!$A$4:$A$920=$A421)*'Caja 2'!$E$4:$E$920)),0))</f>
        <v/>
      </c>
      <c r="H421" s="128" t="str">
        <f t="shared" si="29"/>
        <v/>
      </c>
      <c r="I421" s="124" t="str">
        <f t="shared" si="30"/>
        <v/>
      </c>
      <c r="J421" s="987" t="str">
        <f>IF(A421="","",IFERROR(INDEX('Facturación 2026'!$L$4:$L$500,MATCH($A421,'Facturación 2026'!$A$4:$A$500,0)),""))</f>
        <v/>
      </c>
    </row>
    <row r="422" spans="1:10" ht="15.75" customHeight="1">
      <c r="A422" s="988"/>
      <c r="B422" s="122" t="str">
        <f t="shared" si="27"/>
        <v/>
      </c>
      <c r="C422" s="123"/>
      <c r="D422" s="131" t="str">
        <f t="array" ref="D422">IF(A422="","",SUMPRODUCT(('Detalle Turnos'!$I$3:$I$5028=$A422)*('Detalle Turnos'!$N$3:$N$5028=C422)*'Detalle Turnos'!$L$3:$L$5028))</f>
        <v/>
      </c>
      <c r="E422" s="127" t="str">
        <f t="array" ref="E422">IF(A422="","",SUMPRODUCT(('Detalle Turnos'!$I$3:$I$5028=$A422)*('Detalle Turnos'!$N$3:$N$5028=C422)*'Detalle Turnos'!$K$3:$K$5028))</f>
        <v/>
      </c>
      <c r="F422" s="127">
        <f t="shared" si="28"/>
        <v>0</v>
      </c>
      <c r="G422" s="127" t="str">
        <f t="array" ref="G422">IF(E422="","",IFERROR(SUMPRODUCT(('Facturación 2026'!$A$4:$A$920=$A422)*'Facturación 2026'!$J$4:$J$920)*E422/(SUMPRODUCT(('Caja 1'!$A$4:$A$919=$A422)*'Caja 1'!$E$4:$E$919)+SUMPRODUCT(('Caja 2'!$A$4:$A$920=$A422)*'Caja 2'!$E$4:$E$920)),0))</f>
        <v/>
      </c>
      <c r="H422" s="128" t="str">
        <f t="shared" si="29"/>
        <v/>
      </c>
      <c r="I422" s="124" t="str">
        <f t="shared" si="30"/>
        <v/>
      </c>
      <c r="J422" s="987" t="str">
        <f>IF(A422="","",IFERROR(INDEX('Facturación 2026'!$L$4:$L$500,MATCH($A422,'Facturación 2026'!$A$4:$A$500,0)),""))</f>
        <v/>
      </c>
    </row>
    <row r="423" spans="1:10" ht="15.75" customHeight="1">
      <c r="A423" s="988"/>
      <c r="B423" s="122" t="str">
        <f t="shared" si="27"/>
        <v/>
      </c>
      <c r="C423" s="123"/>
      <c r="D423" s="131" t="str">
        <f t="array" ref="D423">IF(A423="","",SUMPRODUCT(('Detalle Turnos'!$I$3:$I$5028=$A423)*('Detalle Turnos'!$N$3:$N$5028=C423)*'Detalle Turnos'!$L$3:$L$5028))</f>
        <v/>
      </c>
      <c r="E423" s="127" t="str">
        <f t="array" ref="E423">IF(A423="","",SUMPRODUCT(('Detalle Turnos'!$I$3:$I$5028=$A423)*('Detalle Turnos'!$N$3:$N$5028=C423)*'Detalle Turnos'!$K$3:$K$5028))</f>
        <v/>
      </c>
      <c r="F423" s="127">
        <f t="shared" si="28"/>
        <v>0</v>
      </c>
      <c r="G423" s="127" t="str">
        <f t="array" ref="G423">IF(E423="","",IFERROR(SUMPRODUCT(('Facturación 2026'!$A$4:$A$920=$A423)*'Facturación 2026'!$J$4:$J$920)*E423/(SUMPRODUCT(('Caja 1'!$A$4:$A$919=$A423)*'Caja 1'!$E$4:$E$919)+SUMPRODUCT(('Caja 2'!$A$4:$A$920=$A423)*'Caja 2'!$E$4:$E$920)),0))</f>
        <v/>
      </c>
      <c r="H423" s="128" t="str">
        <f t="shared" si="29"/>
        <v/>
      </c>
      <c r="I423" s="124" t="str">
        <f t="shared" si="30"/>
        <v/>
      </c>
      <c r="J423" s="987" t="str">
        <f>IF(A423="","",IFERROR(INDEX('Facturación 2026'!$L$4:$L$500,MATCH($A423,'Facturación 2026'!$A$4:$A$500,0)),""))</f>
        <v/>
      </c>
    </row>
    <row r="424" spans="1:10" ht="15.75" customHeight="1">
      <c r="A424" s="988"/>
      <c r="B424" s="122" t="str">
        <f t="shared" si="27"/>
        <v/>
      </c>
      <c r="C424" s="123"/>
      <c r="D424" s="131" t="str">
        <f t="array" ref="D424">IF(A424="","",SUMPRODUCT(('Detalle Turnos'!$I$3:$I$5028=$A424)*('Detalle Turnos'!$N$3:$N$5028=C424)*'Detalle Turnos'!$L$3:$L$5028))</f>
        <v/>
      </c>
      <c r="E424" s="127" t="str">
        <f t="array" ref="E424">IF(A424="","",SUMPRODUCT(('Detalle Turnos'!$I$3:$I$5028=$A424)*('Detalle Turnos'!$N$3:$N$5028=C424)*'Detalle Turnos'!$K$3:$K$5028))</f>
        <v/>
      </c>
      <c r="F424" s="127">
        <f t="shared" si="28"/>
        <v>0</v>
      </c>
      <c r="G424" s="127" t="str">
        <f t="array" ref="G424">IF(E424="","",IFERROR(SUMPRODUCT(('Facturación 2026'!$A$4:$A$920=$A424)*'Facturación 2026'!$J$4:$J$920)*E424/(SUMPRODUCT(('Caja 1'!$A$4:$A$919=$A424)*'Caja 1'!$E$4:$E$919)+SUMPRODUCT(('Caja 2'!$A$4:$A$920=$A424)*'Caja 2'!$E$4:$E$920)),0))</f>
        <v/>
      </c>
      <c r="H424" s="128" t="str">
        <f t="shared" si="29"/>
        <v/>
      </c>
      <c r="I424" s="124" t="str">
        <f t="shared" si="30"/>
        <v/>
      </c>
      <c r="J424" s="987" t="str">
        <f>IF(A424="","",IFERROR(INDEX('Facturación 2026'!$L$4:$L$500,MATCH($A424,'Facturación 2026'!$A$4:$A$500,0)),""))</f>
        <v/>
      </c>
    </row>
    <row r="425" spans="1:10" ht="15.75" customHeight="1">
      <c r="A425" s="988"/>
      <c r="B425" s="122" t="str">
        <f t="shared" si="27"/>
        <v/>
      </c>
      <c r="C425" s="123"/>
      <c r="D425" s="131" t="str">
        <f t="array" ref="D425">IF(A425="","",SUMPRODUCT(('Detalle Turnos'!$I$3:$I$5028=$A425)*('Detalle Turnos'!$N$3:$N$5028=C425)*'Detalle Turnos'!$L$3:$L$5028))</f>
        <v/>
      </c>
      <c r="E425" s="127" t="str">
        <f t="array" ref="E425">IF(A425="","",SUMPRODUCT(('Detalle Turnos'!$I$3:$I$5028=$A425)*('Detalle Turnos'!$N$3:$N$5028=C425)*'Detalle Turnos'!$K$3:$K$5028))</f>
        <v/>
      </c>
      <c r="F425" s="127">
        <f t="shared" si="28"/>
        <v>0</v>
      </c>
      <c r="G425" s="127" t="str">
        <f t="array" ref="G425">IF(E425="","",IFERROR(SUMPRODUCT(('Facturación 2026'!$A$4:$A$920=$A425)*'Facturación 2026'!$J$4:$J$920)*E425/(SUMPRODUCT(('Caja 1'!$A$4:$A$919=$A425)*'Caja 1'!$E$4:$E$919)+SUMPRODUCT(('Caja 2'!$A$4:$A$920=$A425)*'Caja 2'!$E$4:$E$920)),0))</f>
        <v/>
      </c>
      <c r="H425" s="128" t="str">
        <f t="shared" si="29"/>
        <v/>
      </c>
      <c r="I425" s="124" t="str">
        <f t="shared" si="30"/>
        <v/>
      </c>
      <c r="J425" s="987" t="str">
        <f>IF(A425="","",IFERROR(INDEX('Facturación 2026'!$L$4:$L$500,MATCH($A425,'Facturación 2026'!$A$4:$A$500,0)),""))</f>
        <v/>
      </c>
    </row>
    <row r="426" spans="1:10" ht="15.75" customHeight="1">
      <c r="A426" s="988"/>
      <c r="B426" s="122" t="str">
        <f t="shared" si="27"/>
        <v/>
      </c>
      <c r="C426" s="123"/>
      <c r="D426" s="131" t="str">
        <f t="array" ref="D426">IF(A426="","",SUMPRODUCT(('Detalle Turnos'!$I$3:$I$5028=$A426)*('Detalle Turnos'!$N$3:$N$5028=C426)*'Detalle Turnos'!$L$3:$L$5028))</f>
        <v/>
      </c>
      <c r="E426" s="127" t="str">
        <f t="array" ref="E426">IF(A426="","",SUMPRODUCT(('Detalle Turnos'!$I$3:$I$5028=$A426)*('Detalle Turnos'!$N$3:$N$5028=C426)*'Detalle Turnos'!$K$3:$K$5028))</f>
        <v/>
      </c>
      <c r="F426" s="127">
        <f t="shared" si="28"/>
        <v>0</v>
      </c>
      <c r="G426" s="127" t="str">
        <f t="array" ref="G426">IF(E426="","",IFERROR(SUMPRODUCT(('Facturación 2026'!$A$4:$A$920=$A426)*'Facturación 2026'!$J$4:$J$920)*E426/(SUMPRODUCT(('Caja 1'!$A$4:$A$919=$A426)*'Caja 1'!$E$4:$E$919)+SUMPRODUCT(('Caja 2'!$A$4:$A$920=$A426)*'Caja 2'!$E$4:$E$920)),0))</f>
        <v/>
      </c>
      <c r="H426" s="128" t="str">
        <f t="shared" si="29"/>
        <v/>
      </c>
      <c r="I426" s="124" t="str">
        <f t="shared" si="30"/>
        <v/>
      </c>
      <c r="J426" s="987" t="str">
        <f>IF(A426="","",IFERROR(INDEX('Facturación 2026'!$L$4:$L$500,MATCH($A426,'Facturación 2026'!$A$4:$A$500,0)),""))</f>
        <v/>
      </c>
    </row>
    <row r="427" spans="1:10" ht="15.75" customHeight="1">
      <c r="A427" s="988"/>
      <c r="B427" s="122" t="str">
        <f t="shared" si="27"/>
        <v/>
      </c>
      <c r="C427" s="123"/>
      <c r="D427" s="131" t="str">
        <f t="array" ref="D427">IF(A427="","",SUMPRODUCT(('Detalle Turnos'!$I$3:$I$5028=$A427)*('Detalle Turnos'!$N$3:$N$5028=C427)*'Detalle Turnos'!$L$3:$L$5028))</f>
        <v/>
      </c>
      <c r="E427" s="127" t="str">
        <f t="array" ref="E427">IF(A427="","",SUMPRODUCT(('Detalle Turnos'!$I$3:$I$5028=$A427)*('Detalle Turnos'!$N$3:$N$5028=C427)*'Detalle Turnos'!$K$3:$K$5028))</f>
        <v/>
      </c>
      <c r="F427" s="127">
        <f t="shared" si="28"/>
        <v>0</v>
      </c>
      <c r="G427" s="127" t="str">
        <f t="array" ref="G427">IF(E427="","",IFERROR(SUMPRODUCT(('Facturación 2026'!$A$4:$A$920=$A427)*'Facturación 2026'!$J$4:$J$920)*E427/(SUMPRODUCT(('Caja 1'!$A$4:$A$919=$A427)*'Caja 1'!$E$4:$E$919)+SUMPRODUCT(('Caja 2'!$A$4:$A$920=$A427)*'Caja 2'!$E$4:$E$920)),0))</f>
        <v/>
      </c>
      <c r="H427" s="128" t="str">
        <f t="shared" si="29"/>
        <v/>
      </c>
      <c r="I427" s="124" t="str">
        <f t="shared" si="30"/>
        <v/>
      </c>
      <c r="J427" s="987" t="str">
        <f>IF(A427="","",IFERROR(INDEX('Facturación 2026'!$L$4:$L$500,MATCH($A427,'Facturación 2026'!$A$4:$A$500,0)),""))</f>
        <v/>
      </c>
    </row>
    <row r="428" spans="1:10" ht="15.75" customHeight="1">
      <c r="A428" s="988"/>
      <c r="B428" s="122" t="str">
        <f t="shared" si="27"/>
        <v/>
      </c>
      <c r="C428" s="123"/>
      <c r="D428" s="131" t="str">
        <f t="array" ref="D428">IF(A428="","",SUMPRODUCT(('Detalle Turnos'!$I$3:$I$5028=$A428)*('Detalle Turnos'!$N$3:$N$5028=C428)*'Detalle Turnos'!$L$3:$L$5028))</f>
        <v/>
      </c>
      <c r="E428" s="127" t="str">
        <f t="array" ref="E428">IF(A428="","",SUMPRODUCT(('Detalle Turnos'!$I$3:$I$5028=$A428)*('Detalle Turnos'!$N$3:$N$5028=C428)*'Detalle Turnos'!$K$3:$K$5028))</f>
        <v/>
      </c>
      <c r="F428" s="127">
        <f t="shared" si="28"/>
        <v>0</v>
      </c>
      <c r="G428" s="127" t="str">
        <f t="array" ref="G428">IF(E428="","",IFERROR(SUMPRODUCT(('Facturación 2026'!$A$4:$A$920=$A428)*'Facturación 2026'!$J$4:$J$920)*E428/(SUMPRODUCT(('Caja 1'!$A$4:$A$919=$A428)*'Caja 1'!$E$4:$E$919)+SUMPRODUCT(('Caja 2'!$A$4:$A$920=$A428)*'Caja 2'!$E$4:$E$920)),0))</f>
        <v/>
      </c>
      <c r="H428" s="128" t="str">
        <f t="shared" si="29"/>
        <v/>
      </c>
      <c r="I428" s="124" t="str">
        <f t="shared" si="30"/>
        <v/>
      </c>
      <c r="J428" s="987" t="str">
        <f>IF(A428="","",IFERROR(INDEX('Facturación 2026'!$L$4:$L$500,MATCH($A428,'Facturación 2026'!$A$4:$A$500,0)),""))</f>
        <v/>
      </c>
    </row>
    <row r="429" spans="1:10" ht="15.75" customHeight="1">
      <c r="A429" s="988"/>
      <c r="B429" s="122" t="str">
        <f t="shared" si="27"/>
        <v/>
      </c>
      <c r="C429" s="123"/>
      <c r="D429" s="131" t="str">
        <f t="array" ref="D429">IF(A429="","",SUMPRODUCT(('Detalle Turnos'!$I$3:$I$5028=$A429)*('Detalle Turnos'!$N$3:$N$5028=C429)*'Detalle Turnos'!$L$3:$L$5028))</f>
        <v/>
      </c>
      <c r="E429" s="127" t="str">
        <f t="array" ref="E429">IF(A429="","",SUMPRODUCT(('Detalle Turnos'!$I$3:$I$5028=$A429)*('Detalle Turnos'!$N$3:$N$5028=C429)*'Detalle Turnos'!$K$3:$K$5028))</f>
        <v/>
      </c>
      <c r="F429" s="127">
        <f t="shared" si="28"/>
        <v>0</v>
      </c>
      <c r="G429" s="127" t="str">
        <f t="array" ref="G429">IF(E429="","",IFERROR(SUMPRODUCT(('Facturación 2026'!$A$4:$A$920=$A429)*'Facturación 2026'!$J$4:$J$920)*E429/(SUMPRODUCT(('Caja 1'!$A$4:$A$919=$A429)*'Caja 1'!$E$4:$E$919)+SUMPRODUCT(('Caja 2'!$A$4:$A$920=$A429)*'Caja 2'!$E$4:$E$920)),0))</f>
        <v/>
      </c>
      <c r="H429" s="128" t="str">
        <f t="shared" si="29"/>
        <v/>
      </c>
      <c r="I429" s="124" t="str">
        <f t="shared" si="30"/>
        <v/>
      </c>
      <c r="J429" s="987" t="str">
        <f>IF(A429="","",IFERROR(INDEX('Facturación 2026'!$L$4:$L$500,MATCH($A429,'Facturación 2026'!$A$4:$A$500,0)),""))</f>
        <v/>
      </c>
    </row>
    <row r="430" spans="1:10" ht="15.75" customHeight="1">
      <c r="A430" s="988"/>
      <c r="B430" s="122" t="str">
        <f t="shared" si="27"/>
        <v/>
      </c>
      <c r="C430" s="123"/>
      <c r="D430" s="131" t="str">
        <f t="array" ref="D430">IF(A430="","",SUMPRODUCT(('Detalle Turnos'!$I$3:$I$5028=$A430)*('Detalle Turnos'!$N$3:$N$5028=C430)*'Detalle Turnos'!$L$3:$L$5028))</f>
        <v/>
      </c>
      <c r="E430" s="127" t="str">
        <f t="array" ref="E430">IF(A430="","",SUMPRODUCT(('Detalle Turnos'!$I$3:$I$5028=$A430)*('Detalle Turnos'!$N$3:$N$5028=C430)*'Detalle Turnos'!$K$3:$K$5028))</f>
        <v/>
      </c>
      <c r="F430" s="127">
        <f t="shared" si="28"/>
        <v>0</v>
      </c>
      <c r="G430" s="127" t="str">
        <f t="array" ref="G430">IF(E430="","",IFERROR(SUMPRODUCT(('Facturación 2026'!$A$4:$A$920=$A430)*'Facturación 2026'!$J$4:$J$920)*E430/(SUMPRODUCT(('Caja 1'!$A$4:$A$919=$A430)*'Caja 1'!$E$4:$E$919)+SUMPRODUCT(('Caja 2'!$A$4:$A$920=$A430)*'Caja 2'!$E$4:$E$920)),0))</f>
        <v/>
      </c>
      <c r="H430" s="128" t="str">
        <f t="shared" si="29"/>
        <v/>
      </c>
      <c r="I430" s="124" t="str">
        <f t="shared" si="30"/>
        <v/>
      </c>
      <c r="J430" s="987" t="str">
        <f>IF(A430="","",IFERROR(INDEX('Facturación 2026'!$L$4:$L$500,MATCH($A430,'Facturación 2026'!$A$4:$A$500,0)),""))</f>
        <v/>
      </c>
    </row>
    <row r="431" spans="1:10" ht="15.75" customHeight="1">
      <c r="A431" s="988"/>
      <c r="B431" s="122" t="str">
        <f t="shared" si="27"/>
        <v/>
      </c>
      <c r="C431" s="123"/>
      <c r="D431" s="131" t="str">
        <f t="array" ref="D431">IF(A431="","",SUMPRODUCT(('Detalle Turnos'!$I$3:$I$5028=$A431)*('Detalle Turnos'!$N$3:$N$5028=C431)*'Detalle Turnos'!$L$3:$L$5028))</f>
        <v/>
      </c>
      <c r="E431" s="127" t="str">
        <f t="array" ref="E431">IF(A431="","",SUMPRODUCT(('Detalle Turnos'!$I$3:$I$5028=$A431)*('Detalle Turnos'!$N$3:$N$5028=C431)*'Detalle Turnos'!$K$3:$K$5028))</f>
        <v/>
      </c>
      <c r="F431" s="127">
        <f t="shared" si="28"/>
        <v>0</v>
      </c>
      <c r="G431" s="127" t="str">
        <f t="array" ref="G431">IF(E431="","",IFERROR(SUMPRODUCT(('Facturación 2026'!$A$4:$A$920=$A431)*'Facturación 2026'!$J$4:$J$920)*E431/(SUMPRODUCT(('Caja 1'!$A$4:$A$919=$A431)*'Caja 1'!$E$4:$E$919)+SUMPRODUCT(('Caja 2'!$A$4:$A$920=$A431)*'Caja 2'!$E$4:$E$920)),0))</f>
        <v/>
      </c>
      <c r="H431" s="128" t="str">
        <f t="shared" si="29"/>
        <v/>
      </c>
      <c r="I431" s="124" t="str">
        <f t="shared" si="30"/>
        <v/>
      </c>
      <c r="J431" s="987" t="str">
        <f>IF(A431="","",IFERROR(INDEX('Facturación 2026'!$L$4:$L$500,MATCH($A431,'Facturación 2026'!$A$4:$A$500,0)),""))</f>
        <v/>
      </c>
    </row>
    <row r="432" spans="1:10" ht="15.75" customHeight="1">
      <c r="A432" s="988"/>
      <c r="B432" s="122" t="str">
        <f t="shared" si="27"/>
        <v/>
      </c>
      <c r="C432" s="123"/>
      <c r="D432" s="131" t="str">
        <f t="array" ref="D432">IF(A432="","",SUMPRODUCT(('Detalle Turnos'!$I$3:$I$5028=$A432)*('Detalle Turnos'!$N$3:$N$5028=C432)*'Detalle Turnos'!$L$3:$L$5028))</f>
        <v/>
      </c>
      <c r="E432" s="127" t="str">
        <f t="array" ref="E432">IF(A432="","",SUMPRODUCT(('Detalle Turnos'!$I$3:$I$5028=$A432)*('Detalle Turnos'!$N$3:$N$5028=C432)*'Detalle Turnos'!$K$3:$K$5028))</f>
        <v/>
      </c>
      <c r="F432" s="127">
        <f t="shared" si="28"/>
        <v>0</v>
      </c>
      <c r="G432" s="127" t="str">
        <f t="array" ref="G432">IF(E432="","",IFERROR(SUMPRODUCT(('Facturación 2026'!$A$4:$A$920=$A432)*'Facturación 2026'!$J$4:$J$920)*E432/(SUMPRODUCT(('Caja 1'!$A$4:$A$919=$A432)*'Caja 1'!$E$4:$E$919)+SUMPRODUCT(('Caja 2'!$A$4:$A$920=$A432)*'Caja 2'!$E$4:$E$920)),0))</f>
        <v/>
      </c>
      <c r="H432" s="128" t="str">
        <f t="shared" si="29"/>
        <v/>
      </c>
      <c r="I432" s="124" t="str">
        <f t="shared" si="30"/>
        <v/>
      </c>
      <c r="J432" s="987" t="str">
        <f>IF(A432="","",IFERROR(INDEX('Facturación 2026'!$L$4:$L$500,MATCH($A432,'Facturación 2026'!$A$4:$A$500,0)),""))</f>
        <v/>
      </c>
    </row>
    <row r="433" spans="1:10" ht="15.75" customHeight="1">
      <c r="A433" s="988"/>
      <c r="B433" s="122" t="str">
        <f t="shared" si="27"/>
        <v/>
      </c>
      <c r="C433" s="123"/>
      <c r="D433" s="131" t="str">
        <f t="array" ref="D433">IF(A433="","",SUMPRODUCT(('Detalle Turnos'!$I$3:$I$5028=$A433)*('Detalle Turnos'!$N$3:$N$5028=C433)*'Detalle Turnos'!$L$3:$L$5028))</f>
        <v/>
      </c>
      <c r="E433" s="127" t="str">
        <f t="array" ref="E433">IF(A433="","",SUMPRODUCT(('Detalle Turnos'!$I$3:$I$5028=$A433)*('Detalle Turnos'!$N$3:$N$5028=C433)*'Detalle Turnos'!$K$3:$K$5028))</f>
        <v/>
      </c>
      <c r="F433" s="127">
        <f t="shared" si="28"/>
        <v>0</v>
      </c>
      <c r="G433" s="127" t="str">
        <f t="array" ref="G433">IF(E433="","",IFERROR(SUMPRODUCT(('Facturación 2026'!$A$4:$A$920=$A433)*'Facturación 2026'!$J$4:$J$920)*E433/(SUMPRODUCT(('Caja 1'!$A$4:$A$919=$A433)*'Caja 1'!$E$4:$E$919)+SUMPRODUCT(('Caja 2'!$A$4:$A$920=$A433)*'Caja 2'!$E$4:$E$920)),0))</f>
        <v/>
      </c>
      <c r="H433" s="128" t="str">
        <f t="shared" si="29"/>
        <v/>
      </c>
      <c r="I433" s="124" t="str">
        <f t="shared" si="30"/>
        <v/>
      </c>
      <c r="J433" s="987" t="str">
        <f>IF(A433="","",IFERROR(INDEX('Facturación 2026'!$L$4:$L$500,MATCH($A433,'Facturación 2026'!$A$4:$A$500,0)),""))</f>
        <v/>
      </c>
    </row>
    <row r="434" spans="1:10" ht="15.75" customHeight="1">
      <c r="A434" s="988"/>
      <c r="B434" s="122" t="str">
        <f t="shared" si="27"/>
        <v/>
      </c>
      <c r="C434" s="123"/>
      <c r="D434" s="131" t="str">
        <f t="array" ref="D434">IF(A434="","",SUMPRODUCT(('Detalle Turnos'!$I$3:$I$5028=$A434)*('Detalle Turnos'!$N$3:$N$5028=C434)*'Detalle Turnos'!$L$3:$L$5028))</f>
        <v/>
      </c>
      <c r="E434" s="127" t="str">
        <f t="array" ref="E434">IF(A434="","",SUMPRODUCT(('Detalle Turnos'!$I$3:$I$5028=$A434)*('Detalle Turnos'!$N$3:$N$5028=C434)*'Detalle Turnos'!$K$3:$K$5028))</f>
        <v/>
      </c>
      <c r="F434" s="127">
        <f t="shared" si="28"/>
        <v>0</v>
      </c>
      <c r="G434" s="127" t="str">
        <f t="array" ref="G434">IF(E434="","",IFERROR(SUMPRODUCT(('Facturación 2026'!$A$4:$A$920=$A434)*'Facturación 2026'!$J$4:$J$920)*E434/(SUMPRODUCT(('Caja 1'!$A$4:$A$919=$A434)*'Caja 1'!$E$4:$E$919)+SUMPRODUCT(('Caja 2'!$A$4:$A$920=$A434)*'Caja 2'!$E$4:$E$920)),0))</f>
        <v/>
      </c>
      <c r="H434" s="128" t="str">
        <f t="shared" si="29"/>
        <v/>
      </c>
      <c r="I434" s="124" t="str">
        <f t="shared" si="30"/>
        <v/>
      </c>
      <c r="J434" s="987" t="str">
        <f>IF(A434="","",IFERROR(INDEX('Facturación 2026'!$L$4:$L$500,MATCH($A434,'Facturación 2026'!$A$4:$A$500,0)),""))</f>
        <v/>
      </c>
    </row>
    <row r="435" spans="1:10" ht="15.75" customHeight="1">
      <c r="A435" s="988"/>
      <c r="B435" s="122" t="str">
        <f t="shared" si="27"/>
        <v/>
      </c>
      <c r="C435" s="123"/>
      <c r="D435" s="131" t="str">
        <f t="array" ref="D435">IF(A435="","",SUMPRODUCT(('Detalle Turnos'!$I$3:$I$5028=$A435)*('Detalle Turnos'!$N$3:$N$5028=C435)*'Detalle Turnos'!$L$3:$L$5028))</f>
        <v/>
      </c>
      <c r="E435" s="127" t="str">
        <f t="array" ref="E435">IF(A435="","",SUMPRODUCT(('Detalle Turnos'!$I$3:$I$5028=$A435)*('Detalle Turnos'!$N$3:$N$5028=C435)*'Detalle Turnos'!$K$3:$K$5028))</f>
        <v/>
      </c>
      <c r="F435" s="127">
        <f t="shared" si="28"/>
        <v>0</v>
      </c>
      <c r="G435" s="127" t="str">
        <f t="array" ref="G435">IF(E435="","",IFERROR(SUMPRODUCT(('Facturación 2026'!$A$4:$A$920=$A435)*'Facturación 2026'!$J$4:$J$920)*E435/(SUMPRODUCT(('Caja 1'!$A$4:$A$919=$A435)*'Caja 1'!$E$4:$E$919)+SUMPRODUCT(('Caja 2'!$A$4:$A$920=$A435)*'Caja 2'!$E$4:$E$920)),0))</f>
        <v/>
      </c>
      <c r="H435" s="128" t="str">
        <f t="shared" si="29"/>
        <v/>
      </c>
      <c r="I435" s="124" t="str">
        <f t="shared" si="30"/>
        <v/>
      </c>
      <c r="J435" s="987" t="str">
        <f>IF(A435="","",IFERROR(INDEX('Facturación 2026'!$L$4:$L$500,MATCH($A435,'Facturación 2026'!$A$4:$A$500,0)),""))</f>
        <v/>
      </c>
    </row>
    <row r="436" spans="1:10" ht="15.75" customHeight="1">
      <c r="A436" s="988"/>
      <c r="B436" s="122" t="str">
        <f t="shared" si="27"/>
        <v/>
      </c>
      <c r="C436" s="123"/>
      <c r="D436" s="131" t="str">
        <f t="array" ref="D436">IF(A436="","",SUMPRODUCT(('Detalle Turnos'!$I$3:$I$5028=$A436)*('Detalle Turnos'!$N$3:$N$5028=C436)*'Detalle Turnos'!$L$3:$L$5028))</f>
        <v/>
      </c>
      <c r="E436" s="127" t="str">
        <f t="array" ref="E436">IF(A436="","",SUMPRODUCT(('Detalle Turnos'!$I$3:$I$5028=$A436)*('Detalle Turnos'!$N$3:$N$5028=C436)*'Detalle Turnos'!$K$3:$K$5028))</f>
        <v/>
      </c>
      <c r="F436" s="127">
        <f t="shared" si="28"/>
        <v>0</v>
      </c>
      <c r="G436" s="127" t="str">
        <f t="array" ref="G436">IF(E436="","",IFERROR(SUMPRODUCT(('Facturación 2026'!$A$4:$A$920=$A436)*'Facturación 2026'!$J$4:$J$920)*E436/(SUMPRODUCT(('Caja 1'!$A$4:$A$919=$A436)*'Caja 1'!$E$4:$E$919)+SUMPRODUCT(('Caja 2'!$A$4:$A$920=$A436)*'Caja 2'!$E$4:$E$920)),0))</f>
        <v/>
      </c>
      <c r="H436" s="128" t="str">
        <f t="shared" si="29"/>
        <v/>
      </c>
      <c r="I436" s="124" t="str">
        <f t="shared" si="30"/>
        <v/>
      </c>
      <c r="J436" s="987" t="str">
        <f>IF(A436="","",IFERROR(INDEX('Facturación 2026'!$L$4:$L$500,MATCH($A436,'Facturación 2026'!$A$4:$A$500,0)),""))</f>
        <v/>
      </c>
    </row>
    <row r="437" spans="1:10" ht="15.75" customHeight="1">
      <c r="A437" s="988"/>
      <c r="B437" s="122" t="str">
        <f t="shared" si="27"/>
        <v/>
      </c>
      <c r="C437" s="123"/>
      <c r="D437" s="131" t="str">
        <f t="array" ref="D437">IF(A437="","",SUMPRODUCT(('Detalle Turnos'!$I$3:$I$5028=$A437)*('Detalle Turnos'!$N$3:$N$5028=C437)*'Detalle Turnos'!$L$3:$L$5028))</f>
        <v/>
      </c>
      <c r="E437" s="127" t="str">
        <f t="array" ref="E437">IF(A437="","",SUMPRODUCT(('Detalle Turnos'!$I$3:$I$5028=$A437)*('Detalle Turnos'!$N$3:$N$5028=C437)*'Detalle Turnos'!$K$3:$K$5028))</f>
        <v/>
      </c>
      <c r="F437" s="127">
        <f t="shared" si="28"/>
        <v>0</v>
      </c>
      <c r="G437" s="127" t="str">
        <f t="array" ref="G437">IF(E437="","",IFERROR(SUMPRODUCT(('Facturación 2026'!$A$4:$A$920=$A437)*'Facturación 2026'!$J$4:$J$920)*E437/(SUMPRODUCT(('Caja 1'!$A$4:$A$919=$A437)*'Caja 1'!$E$4:$E$919)+SUMPRODUCT(('Caja 2'!$A$4:$A$920=$A437)*'Caja 2'!$E$4:$E$920)),0))</f>
        <v/>
      </c>
      <c r="H437" s="128" t="str">
        <f t="shared" si="29"/>
        <v/>
      </c>
      <c r="I437" s="124" t="str">
        <f t="shared" si="30"/>
        <v/>
      </c>
      <c r="J437" s="987" t="str">
        <f>IF(A437="","",IFERROR(INDEX('Facturación 2026'!$L$4:$L$500,MATCH($A437,'Facturación 2026'!$A$4:$A$500,0)),""))</f>
        <v/>
      </c>
    </row>
    <row r="438" spans="1:10" ht="15.75" customHeight="1">
      <c r="A438" s="988"/>
      <c r="B438" s="122" t="str">
        <f t="shared" si="27"/>
        <v/>
      </c>
      <c r="C438" s="123"/>
      <c r="D438" s="131" t="str">
        <f t="array" ref="D438">IF(A438="","",SUMPRODUCT(('Detalle Turnos'!$I$3:$I$5028=$A438)*('Detalle Turnos'!$N$3:$N$5028=C438)*'Detalle Turnos'!$L$3:$L$5028))</f>
        <v/>
      </c>
      <c r="E438" s="127" t="str">
        <f t="array" ref="E438">IF(A438="","",SUMPRODUCT(('Detalle Turnos'!$I$3:$I$5028=$A438)*('Detalle Turnos'!$N$3:$N$5028=C438)*'Detalle Turnos'!$K$3:$K$5028))</f>
        <v/>
      </c>
      <c r="F438" s="127">
        <f t="shared" si="28"/>
        <v>0</v>
      </c>
      <c r="G438" s="127" t="str">
        <f t="array" ref="G438">IF(E438="","",IFERROR(SUMPRODUCT(('Facturación 2026'!$A$4:$A$920=$A438)*'Facturación 2026'!$J$4:$J$920)*E438/(SUMPRODUCT(('Caja 1'!$A$4:$A$919=$A438)*'Caja 1'!$E$4:$E$919)+SUMPRODUCT(('Caja 2'!$A$4:$A$920=$A438)*'Caja 2'!$E$4:$E$920)),0))</f>
        <v/>
      </c>
      <c r="H438" s="128" t="str">
        <f t="shared" si="29"/>
        <v/>
      </c>
      <c r="I438" s="124" t="str">
        <f t="shared" si="30"/>
        <v/>
      </c>
      <c r="J438" s="987" t="str">
        <f>IF(A438="","",IFERROR(INDEX('Facturación 2026'!$L$4:$L$500,MATCH($A438,'Facturación 2026'!$A$4:$A$500,0)),""))</f>
        <v/>
      </c>
    </row>
    <row r="439" spans="1:10" ht="15.75" customHeight="1">
      <c r="A439" s="988"/>
      <c r="B439" s="122" t="str">
        <f t="shared" si="27"/>
        <v/>
      </c>
      <c r="C439" s="123"/>
      <c r="D439" s="131" t="str">
        <f t="array" ref="D439">IF(A439="","",SUMPRODUCT(('Detalle Turnos'!$I$3:$I$5028=$A439)*('Detalle Turnos'!$N$3:$N$5028=C439)*'Detalle Turnos'!$L$3:$L$5028))</f>
        <v/>
      </c>
      <c r="E439" s="127" t="str">
        <f t="array" ref="E439">IF(A439="","",SUMPRODUCT(('Detalle Turnos'!$I$3:$I$5028=$A439)*('Detalle Turnos'!$N$3:$N$5028=C439)*'Detalle Turnos'!$K$3:$K$5028))</f>
        <v/>
      </c>
      <c r="F439" s="127">
        <f t="shared" si="28"/>
        <v>0</v>
      </c>
      <c r="G439" s="127" t="str">
        <f t="array" ref="G439">IF(E439="","",IFERROR(SUMPRODUCT(('Facturación 2026'!$A$4:$A$920=$A439)*'Facturación 2026'!$J$4:$J$920)*E439/(SUMPRODUCT(('Caja 1'!$A$4:$A$919=$A439)*'Caja 1'!$E$4:$E$919)+SUMPRODUCT(('Caja 2'!$A$4:$A$920=$A439)*'Caja 2'!$E$4:$E$920)),0))</f>
        <v/>
      </c>
      <c r="H439" s="128" t="str">
        <f t="shared" si="29"/>
        <v/>
      </c>
      <c r="I439" s="124" t="str">
        <f t="shared" si="30"/>
        <v/>
      </c>
      <c r="J439" s="987" t="str">
        <f>IF(A439="","",IFERROR(INDEX('Facturación 2026'!$L$4:$L$500,MATCH($A439,'Facturación 2026'!$A$4:$A$500,0)),""))</f>
        <v/>
      </c>
    </row>
    <row r="440" spans="1:10" ht="15.75" customHeight="1">
      <c r="A440" s="988"/>
      <c r="B440" s="122" t="str">
        <f t="shared" si="27"/>
        <v/>
      </c>
      <c r="C440" s="123"/>
      <c r="D440" s="131" t="str">
        <f t="array" ref="D440">IF(A440="","",SUMPRODUCT(('Detalle Turnos'!$I$3:$I$5028=$A440)*('Detalle Turnos'!$N$3:$N$5028=C440)*'Detalle Turnos'!$L$3:$L$5028))</f>
        <v/>
      </c>
      <c r="E440" s="127" t="str">
        <f t="array" ref="E440">IF(A440="","",SUMPRODUCT(('Detalle Turnos'!$I$3:$I$5028=$A440)*('Detalle Turnos'!$N$3:$N$5028=C440)*'Detalle Turnos'!$K$3:$K$5028))</f>
        <v/>
      </c>
      <c r="F440" s="127">
        <f t="shared" si="28"/>
        <v>0</v>
      </c>
      <c r="G440" s="127" t="str">
        <f t="array" ref="G440">IF(E440="","",IFERROR(SUMPRODUCT(('Facturación 2026'!$A$4:$A$920=$A440)*'Facturación 2026'!$J$4:$J$920)*E440/(SUMPRODUCT(('Caja 1'!$A$4:$A$919=$A440)*'Caja 1'!$E$4:$E$919)+SUMPRODUCT(('Caja 2'!$A$4:$A$920=$A440)*'Caja 2'!$E$4:$E$920)),0))</f>
        <v/>
      </c>
      <c r="H440" s="128" t="str">
        <f t="shared" si="29"/>
        <v/>
      </c>
      <c r="I440" s="124" t="str">
        <f t="shared" si="30"/>
        <v/>
      </c>
      <c r="J440" s="987" t="str">
        <f>IF(A440="","",IFERROR(INDEX('Facturación 2026'!$L$4:$L$500,MATCH($A440,'Facturación 2026'!$A$4:$A$500,0)),""))</f>
        <v/>
      </c>
    </row>
    <row r="441" spans="1:10" ht="15.75" customHeight="1">
      <c r="A441" s="988"/>
      <c r="B441" s="122" t="str">
        <f t="shared" si="27"/>
        <v/>
      </c>
      <c r="C441" s="123"/>
      <c r="D441" s="131" t="str">
        <f t="array" ref="D441">IF(A441="","",SUMPRODUCT(('Detalle Turnos'!$I$3:$I$5028=$A441)*('Detalle Turnos'!$N$3:$N$5028=C441)*'Detalle Turnos'!$L$3:$L$5028))</f>
        <v/>
      </c>
      <c r="E441" s="127" t="str">
        <f t="array" ref="E441">IF(A441="","",SUMPRODUCT(('Detalle Turnos'!$I$3:$I$5028=$A441)*('Detalle Turnos'!$N$3:$N$5028=C441)*'Detalle Turnos'!$K$3:$K$5028))</f>
        <v/>
      </c>
      <c r="F441" s="127">
        <f t="shared" si="28"/>
        <v>0</v>
      </c>
      <c r="G441" s="127" t="str">
        <f t="array" ref="G441">IF(E441="","",IFERROR(SUMPRODUCT(('Facturación 2026'!$A$4:$A$920=$A441)*'Facturación 2026'!$J$4:$J$920)*E441/(SUMPRODUCT(('Caja 1'!$A$4:$A$919=$A441)*'Caja 1'!$E$4:$E$919)+SUMPRODUCT(('Caja 2'!$A$4:$A$920=$A441)*'Caja 2'!$E$4:$E$920)),0))</f>
        <v/>
      </c>
      <c r="H441" s="128" t="str">
        <f t="shared" si="29"/>
        <v/>
      </c>
      <c r="I441" s="124" t="str">
        <f t="shared" si="30"/>
        <v/>
      </c>
      <c r="J441" s="987" t="str">
        <f>IF(A441="","",IFERROR(INDEX('Facturación 2026'!$L$4:$L$500,MATCH($A441,'Facturación 2026'!$A$4:$A$500,0)),""))</f>
        <v/>
      </c>
    </row>
    <row r="442" spans="1:10" ht="15.75" customHeight="1">
      <c r="A442" s="988"/>
      <c r="B442" s="122" t="str">
        <f t="shared" si="27"/>
        <v/>
      </c>
      <c r="C442" s="123"/>
      <c r="D442" s="131" t="str">
        <f t="array" ref="D442">IF(A442="","",SUMPRODUCT(('Detalle Turnos'!$I$3:$I$5028=$A442)*('Detalle Turnos'!$N$3:$N$5028=C442)*'Detalle Turnos'!$L$3:$L$5028))</f>
        <v/>
      </c>
      <c r="E442" s="127" t="str">
        <f t="array" ref="E442">IF(A442="","",SUMPRODUCT(('Detalle Turnos'!$I$3:$I$5028=$A442)*('Detalle Turnos'!$N$3:$N$5028=C442)*'Detalle Turnos'!$K$3:$K$5028))</f>
        <v/>
      </c>
      <c r="F442" s="127">
        <f t="shared" si="28"/>
        <v>0</v>
      </c>
      <c r="G442" s="127" t="str">
        <f t="array" ref="G442">IF(E442="","",IFERROR(SUMPRODUCT(('Facturación 2026'!$A$4:$A$920=$A442)*'Facturación 2026'!$J$4:$J$920)*E442/(SUMPRODUCT(('Caja 1'!$A$4:$A$919=$A442)*'Caja 1'!$E$4:$E$919)+SUMPRODUCT(('Caja 2'!$A$4:$A$920=$A442)*'Caja 2'!$E$4:$E$920)),0))</f>
        <v/>
      </c>
      <c r="H442" s="128" t="str">
        <f t="shared" si="29"/>
        <v/>
      </c>
      <c r="I442" s="124" t="str">
        <f t="shared" si="30"/>
        <v/>
      </c>
      <c r="J442" s="987" t="str">
        <f>IF(A442="","",IFERROR(INDEX('Facturación 2026'!$L$4:$L$500,MATCH($A442,'Facturación 2026'!$A$4:$A$500,0)),""))</f>
        <v/>
      </c>
    </row>
    <row r="443" spans="1:10" ht="15.75" customHeight="1">
      <c r="A443" s="988"/>
      <c r="B443" s="122" t="str">
        <f t="shared" si="27"/>
        <v/>
      </c>
      <c r="C443" s="123"/>
      <c r="D443" s="131" t="str">
        <f t="array" ref="D443">IF(A443="","",SUMPRODUCT(('Detalle Turnos'!$I$3:$I$5028=$A443)*('Detalle Turnos'!$N$3:$N$5028=C443)*'Detalle Turnos'!$L$3:$L$5028))</f>
        <v/>
      </c>
      <c r="E443" s="127" t="str">
        <f t="array" ref="E443">IF(A443="","",SUMPRODUCT(('Detalle Turnos'!$I$3:$I$5028=$A443)*('Detalle Turnos'!$N$3:$N$5028=C443)*'Detalle Turnos'!$K$3:$K$5028))</f>
        <v/>
      </c>
      <c r="F443" s="127">
        <f t="shared" si="28"/>
        <v>0</v>
      </c>
      <c r="G443" s="127" t="str">
        <f t="array" ref="G443">IF(E443="","",IFERROR(SUMPRODUCT(('Facturación 2026'!$A$4:$A$920=$A443)*'Facturación 2026'!$J$4:$J$920)*E443/(SUMPRODUCT(('Caja 1'!$A$4:$A$919=$A443)*'Caja 1'!$E$4:$E$919)+SUMPRODUCT(('Caja 2'!$A$4:$A$920=$A443)*'Caja 2'!$E$4:$E$920)),0))</f>
        <v/>
      </c>
      <c r="H443" s="128" t="str">
        <f t="shared" si="29"/>
        <v/>
      </c>
      <c r="I443" s="124" t="str">
        <f t="shared" si="30"/>
        <v/>
      </c>
      <c r="J443" s="987" t="str">
        <f>IF(A443="","",IFERROR(INDEX('Facturación 2026'!$L$4:$L$500,MATCH($A443,'Facturación 2026'!$A$4:$A$500,0)),""))</f>
        <v/>
      </c>
    </row>
    <row r="444" spans="1:10" ht="15.75" customHeight="1">
      <c r="A444" s="988"/>
      <c r="B444" s="122" t="str">
        <f t="shared" si="27"/>
        <v/>
      </c>
      <c r="C444" s="123"/>
      <c r="D444" s="131" t="str">
        <f t="array" ref="D444">IF(A444="","",SUMPRODUCT(('Detalle Turnos'!$I$3:$I$5028=$A444)*('Detalle Turnos'!$N$3:$N$5028=C444)*'Detalle Turnos'!$L$3:$L$5028))</f>
        <v/>
      </c>
      <c r="E444" s="127" t="str">
        <f t="array" ref="E444">IF(A444="","",SUMPRODUCT(('Detalle Turnos'!$I$3:$I$5028=$A444)*('Detalle Turnos'!$N$3:$N$5028=C444)*'Detalle Turnos'!$K$3:$K$5028))</f>
        <v/>
      </c>
      <c r="F444" s="127">
        <f t="shared" si="28"/>
        <v>0</v>
      </c>
      <c r="G444" s="127" t="str">
        <f t="array" ref="G444">IF(E444="","",IFERROR(SUMPRODUCT(('Facturación 2026'!$A$4:$A$920=$A444)*'Facturación 2026'!$J$4:$J$920)*E444/(SUMPRODUCT(('Caja 1'!$A$4:$A$919=$A444)*'Caja 1'!$E$4:$E$919)+SUMPRODUCT(('Caja 2'!$A$4:$A$920=$A444)*'Caja 2'!$E$4:$E$920)),0))</f>
        <v/>
      </c>
      <c r="H444" s="128" t="str">
        <f t="shared" si="29"/>
        <v/>
      </c>
      <c r="I444" s="124" t="str">
        <f t="shared" si="30"/>
        <v/>
      </c>
      <c r="J444" s="987" t="str">
        <f>IF(A444="","",IFERROR(INDEX('Facturación 2026'!$L$4:$L$500,MATCH($A444,'Facturación 2026'!$A$4:$A$500,0)),""))</f>
        <v/>
      </c>
    </row>
    <row r="445" spans="1:10" ht="15.75" customHeight="1">
      <c r="A445" s="988"/>
      <c r="B445" s="122" t="str">
        <f t="shared" si="27"/>
        <v/>
      </c>
      <c r="C445" s="123"/>
      <c r="D445" s="131" t="str">
        <f t="array" ref="D445">IF(A445="","",SUMPRODUCT(('Detalle Turnos'!$I$3:$I$5028=$A445)*('Detalle Turnos'!$N$3:$N$5028=C445)*'Detalle Turnos'!$L$3:$L$5028))</f>
        <v/>
      </c>
      <c r="E445" s="127" t="str">
        <f t="array" ref="E445">IF(A445="","",SUMPRODUCT(('Detalle Turnos'!$I$3:$I$5028=$A445)*('Detalle Turnos'!$N$3:$N$5028=C445)*'Detalle Turnos'!$K$3:$K$5028))</f>
        <v/>
      </c>
      <c r="F445" s="127">
        <f t="shared" si="28"/>
        <v>0</v>
      </c>
      <c r="G445" s="127" t="str">
        <f t="array" ref="G445">IF(E445="","",IFERROR(SUMPRODUCT(('Facturación 2026'!$A$4:$A$920=$A445)*'Facturación 2026'!$J$4:$J$920)*E445/(SUMPRODUCT(('Caja 1'!$A$4:$A$919=$A445)*'Caja 1'!$E$4:$E$919)+SUMPRODUCT(('Caja 2'!$A$4:$A$920=$A445)*'Caja 2'!$E$4:$E$920)),0))</f>
        <v/>
      </c>
      <c r="H445" s="128" t="str">
        <f t="shared" si="29"/>
        <v/>
      </c>
      <c r="I445" s="124" t="str">
        <f t="shared" si="30"/>
        <v/>
      </c>
      <c r="J445" s="987" t="str">
        <f>IF(A445="","",IFERROR(INDEX('Facturación 2026'!$L$4:$L$500,MATCH($A445,'Facturación 2026'!$A$4:$A$500,0)),""))</f>
        <v/>
      </c>
    </row>
    <row r="446" spans="1:10" ht="15.75" customHeight="1">
      <c r="A446" s="988"/>
      <c r="B446" s="122" t="str">
        <f t="shared" si="27"/>
        <v/>
      </c>
      <c r="C446" s="123"/>
      <c r="D446" s="131" t="str">
        <f t="array" ref="D446">IF(A446="","",SUMPRODUCT(('Detalle Turnos'!$I$3:$I$5028=$A446)*('Detalle Turnos'!$N$3:$N$5028=C446)*'Detalle Turnos'!$L$3:$L$5028))</f>
        <v/>
      </c>
      <c r="E446" s="127" t="str">
        <f t="array" ref="E446">IF(A446="","",SUMPRODUCT(('Detalle Turnos'!$I$3:$I$5028=$A446)*('Detalle Turnos'!$N$3:$N$5028=C446)*'Detalle Turnos'!$K$3:$K$5028))</f>
        <v/>
      </c>
      <c r="F446" s="127">
        <f t="shared" si="28"/>
        <v>0</v>
      </c>
      <c r="G446" s="127" t="str">
        <f t="array" ref="G446">IF(E446="","",IFERROR(SUMPRODUCT(('Facturación 2026'!$A$4:$A$920=$A446)*'Facturación 2026'!$J$4:$J$920)*E446/(SUMPRODUCT(('Caja 1'!$A$4:$A$919=$A446)*'Caja 1'!$E$4:$E$919)+SUMPRODUCT(('Caja 2'!$A$4:$A$920=$A446)*'Caja 2'!$E$4:$E$920)),0))</f>
        <v/>
      </c>
      <c r="H446" s="128" t="str">
        <f t="shared" si="29"/>
        <v/>
      </c>
      <c r="I446" s="124" t="str">
        <f t="shared" si="30"/>
        <v/>
      </c>
      <c r="J446" s="987" t="str">
        <f>IF(A446="","",IFERROR(INDEX('Facturación 2026'!$L$4:$L$500,MATCH($A446,'Facturación 2026'!$A$4:$A$500,0)),""))</f>
        <v/>
      </c>
    </row>
    <row r="447" spans="1:10" ht="15.75" customHeight="1">
      <c r="A447" s="988"/>
      <c r="B447" s="122" t="str">
        <f t="shared" si="27"/>
        <v/>
      </c>
      <c r="C447" s="123"/>
      <c r="D447" s="131" t="str">
        <f t="array" ref="D447">IF(A447="","",SUMPRODUCT(('Detalle Turnos'!$I$3:$I$5028=$A447)*('Detalle Turnos'!$N$3:$N$5028=C447)*'Detalle Turnos'!$L$3:$L$5028))</f>
        <v/>
      </c>
      <c r="E447" s="127" t="str">
        <f t="array" ref="E447">IF(A447="","",SUMPRODUCT(('Detalle Turnos'!$I$3:$I$5028=$A447)*('Detalle Turnos'!$N$3:$N$5028=C447)*'Detalle Turnos'!$K$3:$K$5028))</f>
        <v/>
      </c>
      <c r="F447" s="127">
        <f t="shared" si="28"/>
        <v>0</v>
      </c>
      <c r="G447" s="127" t="str">
        <f t="array" ref="G447">IF(E447="","",IFERROR(SUMPRODUCT(('Facturación 2026'!$A$4:$A$920=$A447)*'Facturación 2026'!$J$4:$J$920)*E447/(SUMPRODUCT(('Caja 1'!$A$4:$A$919=$A447)*'Caja 1'!$E$4:$E$919)+SUMPRODUCT(('Caja 2'!$A$4:$A$920=$A447)*'Caja 2'!$E$4:$E$920)),0))</f>
        <v/>
      </c>
      <c r="H447" s="128" t="str">
        <f t="shared" si="29"/>
        <v/>
      </c>
      <c r="I447" s="124" t="str">
        <f t="shared" si="30"/>
        <v/>
      </c>
      <c r="J447" s="987" t="str">
        <f>IF(A447="","",IFERROR(INDEX('Facturación 2026'!$L$4:$L$500,MATCH($A447,'Facturación 2026'!$A$4:$A$500,0)),""))</f>
        <v/>
      </c>
    </row>
    <row r="448" spans="1:10" ht="15.75" customHeight="1">
      <c r="A448" s="988"/>
      <c r="B448" s="122" t="str">
        <f t="shared" si="27"/>
        <v/>
      </c>
      <c r="C448" s="123"/>
      <c r="D448" s="131" t="str">
        <f t="array" ref="D448">IF(A448="","",SUMPRODUCT(('Detalle Turnos'!$I$3:$I$5028=$A448)*('Detalle Turnos'!$N$3:$N$5028=C448)*'Detalle Turnos'!$L$3:$L$5028))</f>
        <v/>
      </c>
      <c r="E448" s="127" t="str">
        <f t="array" ref="E448">IF(A448="","",SUMPRODUCT(('Detalle Turnos'!$I$3:$I$5028=$A448)*('Detalle Turnos'!$N$3:$N$5028=C448)*'Detalle Turnos'!$K$3:$K$5028))</f>
        <v/>
      </c>
      <c r="F448" s="127">
        <f t="shared" si="28"/>
        <v>0</v>
      </c>
      <c r="G448" s="127" t="str">
        <f t="array" ref="G448">IF(E448="","",IFERROR(SUMPRODUCT(('Facturación 2026'!$A$4:$A$920=$A448)*'Facturación 2026'!$J$4:$J$920)*E448/(SUMPRODUCT(('Caja 1'!$A$4:$A$919=$A448)*'Caja 1'!$E$4:$E$919)+SUMPRODUCT(('Caja 2'!$A$4:$A$920=$A448)*'Caja 2'!$E$4:$E$920)),0))</f>
        <v/>
      </c>
      <c r="H448" s="128" t="str">
        <f t="shared" si="29"/>
        <v/>
      </c>
      <c r="I448" s="124" t="str">
        <f t="shared" si="30"/>
        <v/>
      </c>
      <c r="J448" s="987" t="str">
        <f>IF(A448="","",IFERROR(INDEX('Facturación 2026'!$L$4:$L$500,MATCH($A448,'Facturación 2026'!$A$4:$A$500,0)),""))</f>
        <v/>
      </c>
    </row>
    <row r="449" spans="1:10" ht="15.75" customHeight="1">
      <c r="A449" s="988"/>
      <c r="B449" s="122" t="str">
        <f t="shared" si="27"/>
        <v/>
      </c>
      <c r="C449" s="123"/>
      <c r="D449" s="131" t="str">
        <f t="array" ref="D449">IF(A449="","",SUMPRODUCT(('Detalle Turnos'!$I$3:$I$5028=$A449)*('Detalle Turnos'!$N$3:$N$5028=C449)*'Detalle Turnos'!$L$3:$L$5028))</f>
        <v/>
      </c>
      <c r="E449" s="127" t="str">
        <f t="array" ref="E449">IF(A449="","",SUMPRODUCT(('Detalle Turnos'!$I$3:$I$5028=$A449)*('Detalle Turnos'!$N$3:$N$5028=C449)*'Detalle Turnos'!$K$3:$K$5028))</f>
        <v/>
      </c>
      <c r="F449" s="127">
        <f t="shared" si="28"/>
        <v>0</v>
      </c>
      <c r="G449" s="127" t="str">
        <f t="array" ref="G449">IF(E449="","",IFERROR(SUMPRODUCT(('Facturación 2026'!$A$4:$A$920=$A449)*'Facturación 2026'!$J$4:$J$920)*E449/(SUMPRODUCT(('Caja 1'!$A$4:$A$919=$A449)*'Caja 1'!$E$4:$E$919)+SUMPRODUCT(('Caja 2'!$A$4:$A$920=$A449)*'Caja 2'!$E$4:$E$920)),0))</f>
        <v/>
      </c>
      <c r="H449" s="128" t="str">
        <f t="shared" si="29"/>
        <v/>
      </c>
      <c r="I449" s="124" t="str">
        <f t="shared" si="30"/>
        <v/>
      </c>
      <c r="J449" s="987" t="str">
        <f>IF(A449="","",IFERROR(INDEX('Facturación 2026'!$L$4:$L$500,MATCH($A449,'Facturación 2026'!$A$4:$A$500,0)),""))</f>
        <v/>
      </c>
    </row>
    <row r="450" spans="1:10" ht="15.75" customHeight="1">
      <c r="A450" s="988"/>
      <c r="B450" s="122" t="str">
        <f t="shared" si="27"/>
        <v/>
      </c>
      <c r="C450" s="123"/>
      <c r="D450" s="131" t="str">
        <f t="array" ref="D450">IF(A450="","",SUMPRODUCT(('Detalle Turnos'!$I$3:$I$5028=$A450)*('Detalle Turnos'!$N$3:$N$5028=C450)*'Detalle Turnos'!$L$3:$L$5028))</f>
        <v/>
      </c>
      <c r="E450" s="127" t="str">
        <f t="array" ref="E450">IF(A450="","",SUMPRODUCT(('Detalle Turnos'!$I$3:$I$5028=$A450)*('Detalle Turnos'!$N$3:$N$5028=C450)*'Detalle Turnos'!$K$3:$K$5028))</f>
        <v/>
      </c>
      <c r="F450" s="127">
        <f t="shared" si="28"/>
        <v>0</v>
      </c>
      <c r="G450" s="127" t="str">
        <f t="array" ref="G450">IF(E450="","",IFERROR(SUMPRODUCT(('Facturación 2026'!$A$4:$A$920=$A450)*'Facturación 2026'!$J$4:$J$920)*E450/(SUMPRODUCT(('Caja 1'!$A$4:$A$919=$A450)*'Caja 1'!$E$4:$E$919)+SUMPRODUCT(('Caja 2'!$A$4:$A$920=$A450)*'Caja 2'!$E$4:$E$920)),0))</f>
        <v/>
      </c>
      <c r="H450" s="128" t="str">
        <f t="shared" si="29"/>
        <v/>
      </c>
      <c r="I450" s="124" t="str">
        <f t="shared" si="30"/>
        <v/>
      </c>
      <c r="J450" s="987" t="str">
        <f>IF(A450="","",IFERROR(INDEX('Facturación 2026'!$L$4:$L$500,MATCH($A450,'Facturación 2026'!$A$4:$A$500,0)),""))</f>
        <v/>
      </c>
    </row>
    <row r="451" spans="1:10" ht="15.75" customHeight="1">
      <c r="A451" s="988"/>
      <c r="B451" s="122" t="str">
        <f t="shared" ref="B451:B514" si="31">IF(A451="","",CHOOSE(WEEKDAY(A451,2),"Lun","Mar","Mié","Jue","Vie","Sáb","Dom"))</f>
        <v/>
      </c>
      <c r="C451" s="123"/>
      <c r="D451" s="131" t="str">
        <f t="array" ref="D451">IF(A451="","",SUMPRODUCT(('Detalle Turnos'!$I$3:$I$5028=$A451)*('Detalle Turnos'!$N$3:$N$5028=C451)*'Detalle Turnos'!$L$3:$L$5028))</f>
        <v/>
      </c>
      <c r="E451" s="127" t="str">
        <f t="array" ref="E451">IF(A451="","",SUMPRODUCT(('Detalle Turnos'!$I$3:$I$5028=$A451)*('Detalle Turnos'!$N$3:$N$5028=C451)*'Detalle Turnos'!$K$3:$K$5028))</f>
        <v/>
      </c>
      <c r="F451" s="127">
        <f t="shared" ref="F451:F514" si="32">IFERROR(E451/D451,0)</f>
        <v>0</v>
      </c>
      <c r="G451" s="127" t="str">
        <f t="array" ref="G451">IF(E451="","",IFERROR(SUMPRODUCT(('Facturación 2026'!$A$4:$A$920=$A451)*'Facturación 2026'!$J$4:$J$920)*E451/(SUMPRODUCT(('Caja 1'!$A$4:$A$919=$A451)*'Caja 1'!$E$4:$E$919)+SUMPRODUCT(('Caja 2'!$A$4:$A$920=$A451)*'Caja 2'!$E$4:$E$920)),0))</f>
        <v/>
      </c>
      <c r="H451" s="128" t="str">
        <f t="shared" ref="H451:H514" si="33">IF(E451="","",E451-G451)</f>
        <v/>
      </c>
      <c r="I451" s="124" t="str">
        <f t="shared" ref="I451:I514" si="34">IF(E451="","",IFERROR(G451/E451,0))</f>
        <v/>
      </c>
      <c r="J451" s="987" t="str">
        <f>IF(A451="","",IFERROR(INDEX('Facturación 2026'!$L$4:$L$500,MATCH($A451,'Facturación 2026'!$A$4:$A$500,0)),""))</f>
        <v/>
      </c>
    </row>
    <row r="452" spans="1:10" ht="15.75" customHeight="1">
      <c r="A452" s="988"/>
      <c r="B452" s="122" t="str">
        <f t="shared" si="31"/>
        <v/>
      </c>
      <c r="C452" s="123"/>
      <c r="D452" s="131" t="str">
        <f t="array" ref="D452">IF(A452="","",SUMPRODUCT(('Detalle Turnos'!$I$3:$I$5028=$A452)*('Detalle Turnos'!$N$3:$N$5028=C452)*'Detalle Turnos'!$L$3:$L$5028))</f>
        <v/>
      </c>
      <c r="E452" s="127" t="str">
        <f t="array" ref="E452">IF(A452="","",SUMPRODUCT(('Detalle Turnos'!$I$3:$I$5028=$A452)*('Detalle Turnos'!$N$3:$N$5028=C452)*'Detalle Turnos'!$K$3:$K$5028))</f>
        <v/>
      </c>
      <c r="F452" s="127">
        <f t="shared" si="32"/>
        <v>0</v>
      </c>
      <c r="G452" s="127" t="str">
        <f t="array" ref="G452">IF(E452="","",IFERROR(SUMPRODUCT(('Facturación 2026'!$A$4:$A$920=$A452)*'Facturación 2026'!$J$4:$J$920)*E452/(SUMPRODUCT(('Caja 1'!$A$4:$A$919=$A452)*'Caja 1'!$E$4:$E$919)+SUMPRODUCT(('Caja 2'!$A$4:$A$920=$A452)*'Caja 2'!$E$4:$E$920)),0))</f>
        <v/>
      </c>
      <c r="H452" s="128" t="str">
        <f t="shared" si="33"/>
        <v/>
      </c>
      <c r="I452" s="124" t="str">
        <f t="shared" si="34"/>
        <v/>
      </c>
      <c r="J452" s="987" t="str">
        <f>IF(A452="","",IFERROR(INDEX('Facturación 2026'!$L$4:$L$500,MATCH($A452,'Facturación 2026'!$A$4:$A$500,0)),""))</f>
        <v/>
      </c>
    </row>
    <row r="453" spans="1:10" ht="15.75" customHeight="1">
      <c r="A453" s="988"/>
      <c r="B453" s="122" t="str">
        <f t="shared" si="31"/>
        <v/>
      </c>
      <c r="C453" s="123"/>
      <c r="D453" s="131" t="str">
        <f t="array" ref="D453">IF(A453="","",SUMPRODUCT(('Detalle Turnos'!$I$3:$I$5028=$A453)*('Detalle Turnos'!$N$3:$N$5028=C453)*'Detalle Turnos'!$L$3:$L$5028))</f>
        <v/>
      </c>
      <c r="E453" s="127" t="str">
        <f t="array" ref="E453">IF(A453="","",SUMPRODUCT(('Detalle Turnos'!$I$3:$I$5028=$A453)*('Detalle Turnos'!$N$3:$N$5028=C453)*'Detalle Turnos'!$K$3:$K$5028))</f>
        <v/>
      </c>
      <c r="F453" s="127">
        <f t="shared" si="32"/>
        <v>0</v>
      </c>
      <c r="G453" s="127" t="str">
        <f t="array" ref="G453">IF(E453="","",IFERROR(SUMPRODUCT(('Facturación 2026'!$A$4:$A$920=$A453)*'Facturación 2026'!$J$4:$J$920)*E453/(SUMPRODUCT(('Caja 1'!$A$4:$A$919=$A453)*'Caja 1'!$E$4:$E$919)+SUMPRODUCT(('Caja 2'!$A$4:$A$920=$A453)*'Caja 2'!$E$4:$E$920)),0))</f>
        <v/>
      </c>
      <c r="H453" s="128" t="str">
        <f t="shared" si="33"/>
        <v/>
      </c>
      <c r="I453" s="124" t="str">
        <f t="shared" si="34"/>
        <v/>
      </c>
      <c r="J453" s="987" t="str">
        <f>IF(A453="","",IFERROR(INDEX('Facturación 2026'!$L$4:$L$500,MATCH($A453,'Facturación 2026'!$A$4:$A$500,0)),""))</f>
        <v/>
      </c>
    </row>
    <row r="454" spans="1:10" ht="15.75" customHeight="1">
      <c r="A454" s="988"/>
      <c r="B454" s="122" t="str">
        <f t="shared" si="31"/>
        <v/>
      </c>
      <c r="C454" s="123"/>
      <c r="D454" s="131" t="str">
        <f t="array" ref="D454">IF(A454="","",SUMPRODUCT(('Detalle Turnos'!$I$3:$I$5028=$A454)*('Detalle Turnos'!$N$3:$N$5028=C454)*'Detalle Turnos'!$L$3:$L$5028))</f>
        <v/>
      </c>
      <c r="E454" s="127" t="str">
        <f t="array" ref="E454">IF(A454="","",SUMPRODUCT(('Detalle Turnos'!$I$3:$I$5028=$A454)*('Detalle Turnos'!$N$3:$N$5028=C454)*'Detalle Turnos'!$K$3:$K$5028))</f>
        <v/>
      </c>
      <c r="F454" s="127">
        <f t="shared" si="32"/>
        <v>0</v>
      </c>
      <c r="G454" s="127" t="str">
        <f t="array" ref="G454">IF(E454="","",IFERROR(SUMPRODUCT(('Facturación 2026'!$A$4:$A$920=$A454)*'Facturación 2026'!$J$4:$J$920)*E454/(SUMPRODUCT(('Caja 1'!$A$4:$A$919=$A454)*'Caja 1'!$E$4:$E$919)+SUMPRODUCT(('Caja 2'!$A$4:$A$920=$A454)*'Caja 2'!$E$4:$E$920)),0))</f>
        <v/>
      </c>
      <c r="H454" s="128" t="str">
        <f t="shared" si="33"/>
        <v/>
      </c>
      <c r="I454" s="124" t="str">
        <f t="shared" si="34"/>
        <v/>
      </c>
      <c r="J454" s="987" t="str">
        <f>IF(A454="","",IFERROR(INDEX('Facturación 2026'!$L$4:$L$500,MATCH($A454,'Facturación 2026'!$A$4:$A$500,0)),""))</f>
        <v/>
      </c>
    </row>
    <row r="455" spans="1:10" ht="15.75" customHeight="1">
      <c r="A455" s="988"/>
      <c r="B455" s="122" t="str">
        <f t="shared" si="31"/>
        <v/>
      </c>
      <c r="C455" s="123"/>
      <c r="D455" s="131" t="str">
        <f t="array" ref="D455">IF(A455="","",SUMPRODUCT(('Detalle Turnos'!$I$3:$I$5028=$A455)*('Detalle Turnos'!$N$3:$N$5028=C455)*'Detalle Turnos'!$L$3:$L$5028))</f>
        <v/>
      </c>
      <c r="E455" s="127" t="str">
        <f t="array" ref="E455">IF(A455="","",SUMPRODUCT(('Detalle Turnos'!$I$3:$I$5028=$A455)*('Detalle Turnos'!$N$3:$N$5028=C455)*'Detalle Turnos'!$K$3:$K$5028))</f>
        <v/>
      </c>
      <c r="F455" s="127">
        <f t="shared" si="32"/>
        <v>0</v>
      </c>
      <c r="G455" s="127" t="str">
        <f t="array" ref="G455">IF(E455="","",IFERROR(SUMPRODUCT(('Facturación 2026'!$A$4:$A$920=$A455)*'Facturación 2026'!$J$4:$J$920)*E455/(SUMPRODUCT(('Caja 1'!$A$4:$A$919=$A455)*'Caja 1'!$E$4:$E$919)+SUMPRODUCT(('Caja 2'!$A$4:$A$920=$A455)*'Caja 2'!$E$4:$E$920)),0))</f>
        <v/>
      </c>
      <c r="H455" s="128" t="str">
        <f t="shared" si="33"/>
        <v/>
      </c>
      <c r="I455" s="124" t="str">
        <f t="shared" si="34"/>
        <v/>
      </c>
      <c r="J455" s="987" t="str">
        <f>IF(A455="","",IFERROR(INDEX('Facturación 2026'!$L$4:$L$500,MATCH($A455,'Facturación 2026'!$A$4:$A$500,0)),""))</f>
        <v/>
      </c>
    </row>
    <row r="456" spans="1:10" ht="15.75" customHeight="1">
      <c r="A456" s="988"/>
      <c r="B456" s="122" t="str">
        <f t="shared" si="31"/>
        <v/>
      </c>
      <c r="C456" s="123"/>
      <c r="D456" s="131" t="str">
        <f t="array" ref="D456">IF(A456="","",SUMPRODUCT(('Detalle Turnos'!$I$3:$I$5028=$A456)*('Detalle Turnos'!$N$3:$N$5028=C456)*'Detalle Turnos'!$L$3:$L$5028))</f>
        <v/>
      </c>
      <c r="E456" s="127" t="str">
        <f t="array" ref="E456">IF(A456="","",SUMPRODUCT(('Detalle Turnos'!$I$3:$I$5028=$A456)*('Detalle Turnos'!$N$3:$N$5028=C456)*'Detalle Turnos'!$K$3:$K$5028))</f>
        <v/>
      </c>
      <c r="F456" s="127">
        <f t="shared" si="32"/>
        <v>0</v>
      </c>
      <c r="G456" s="127" t="str">
        <f t="array" ref="G456">IF(E456="","",IFERROR(SUMPRODUCT(('Facturación 2026'!$A$4:$A$920=$A456)*'Facturación 2026'!$J$4:$J$920)*E456/(SUMPRODUCT(('Caja 1'!$A$4:$A$919=$A456)*'Caja 1'!$E$4:$E$919)+SUMPRODUCT(('Caja 2'!$A$4:$A$920=$A456)*'Caja 2'!$E$4:$E$920)),0))</f>
        <v/>
      </c>
      <c r="H456" s="128" t="str">
        <f t="shared" si="33"/>
        <v/>
      </c>
      <c r="I456" s="124" t="str">
        <f t="shared" si="34"/>
        <v/>
      </c>
      <c r="J456" s="987" t="str">
        <f>IF(A456="","",IFERROR(INDEX('Facturación 2026'!$L$4:$L$500,MATCH($A456,'Facturación 2026'!$A$4:$A$500,0)),""))</f>
        <v/>
      </c>
    </row>
    <row r="457" spans="1:10" ht="15.75" customHeight="1">
      <c r="A457" s="988"/>
      <c r="B457" s="122" t="str">
        <f t="shared" si="31"/>
        <v/>
      </c>
      <c r="C457" s="123"/>
      <c r="D457" s="131" t="str">
        <f t="array" ref="D457">IF(A457="","",SUMPRODUCT(('Detalle Turnos'!$I$3:$I$5028=$A457)*('Detalle Turnos'!$N$3:$N$5028=C457)*'Detalle Turnos'!$L$3:$L$5028))</f>
        <v/>
      </c>
      <c r="E457" s="127" t="str">
        <f t="array" ref="E457">IF(A457="","",SUMPRODUCT(('Detalle Turnos'!$I$3:$I$5028=$A457)*('Detalle Turnos'!$N$3:$N$5028=C457)*'Detalle Turnos'!$K$3:$K$5028))</f>
        <v/>
      </c>
      <c r="F457" s="127">
        <f t="shared" si="32"/>
        <v>0</v>
      </c>
      <c r="G457" s="127" t="str">
        <f t="array" ref="G457">IF(E457="","",IFERROR(SUMPRODUCT(('Facturación 2026'!$A$4:$A$920=$A457)*'Facturación 2026'!$J$4:$J$920)*E457/(SUMPRODUCT(('Caja 1'!$A$4:$A$919=$A457)*'Caja 1'!$E$4:$E$919)+SUMPRODUCT(('Caja 2'!$A$4:$A$920=$A457)*'Caja 2'!$E$4:$E$920)),0))</f>
        <v/>
      </c>
      <c r="H457" s="128" t="str">
        <f t="shared" si="33"/>
        <v/>
      </c>
      <c r="I457" s="124" t="str">
        <f t="shared" si="34"/>
        <v/>
      </c>
      <c r="J457" s="987" t="str">
        <f>IF(A457="","",IFERROR(INDEX('Facturación 2026'!$L$4:$L$500,MATCH($A457,'Facturación 2026'!$A$4:$A$500,0)),""))</f>
        <v/>
      </c>
    </row>
    <row r="458" spans="1:10" ht="15.75" customHeight="1">
      <c r="A458" s="988"/>
      <c r="B458" s="122" t="str">
        <f t="shared" si="31"/>
        <v/>
      </c>
      <c r="C458" s="123"/>
      <c r="D458" s="131" t="str">
        <f t="array" ref="D458">IF(A458="","",SUMPRODUCT(('Detalle Turnos'!$I$3:$I$5028=$A458)*('Detalle Turnos'!$N$3:$N$5028=C458)*'Detalle Turnos'!$L$3:$L$5028))</f>
        <v/>
      </c>
      <c r="E458" s="127" t="str">
        <f t="array" ref="E458">IF(A458="","",SUMPRODUCT(('Detalle Turnos'!$I$3:$I$5028=$A458)*('Detalle Turnos'!$N$3:$N$5028=C458)*'Detalle Turnos'!$K$3:$K$5028))</f>
        <v/>
      </c>
      <c r="F458" s="127">
        <f t="shared" si="32"/>
        <v>0</v>
      </c>
      <c r="G458" s="127" t="str">
        <f t="array" ref="G458">IF(E458="","",IFERROR(SUMPRODUCT(('Facturación 2026'!$A$4:$A$920=$A458)*'Facturación 2026'!$J$4:$J$920)*E458/(SUMPRODUCT(('Caja 1'!$A$4:$A$919=$A458)*'Caja 1'!$E$4:$E$919)+SUMPRODUCT(('Caja 2'!$A$4:$A$920=$A458)*'Caja 2'!$E$4:$E$920)),0))</f>
        <v/>
      </c>
      <c r="H458" s="128" t="str">
        <f t="shared" si="33"/>
        <v/>
      </c>
      <c r="I458" s="124" t="str">
        <f t="shared" si="34"/>
        <v/>
      </c>
      <c r="J458" s="987" t="str">
        <f>IF(A458="","",IFERROR(INDEX('Facturación 2026'!$L$4:$L$500,MATCH($A458,'Facturación 2026'!$A$4:$A$500,0)),""))</f>
        <v/>
      </c>
    </row>
    <row r="459" spans="1:10" ht="15.75" customHeight="1">
      <c r="A459" s="988"/>
      <c r="B459" s="122" t="str">
        <f t="shared" si="31"/>
        <v/>
      </c>
      <c r="C459" s="123"/>
      <c r="D459" s="131" t="str">
        <f t="array" ref="D459">IF(A459="","",SUMPRODUCT(('Detalle Turnos'!$I$3:$I$5028=$A459)*('Detalle Turnos'!$N$3:$N$5028=C459)*'Detalle Turnos'!$L$3:$L$5028))</f>
        <v/>
      </c>
      <c r="E459" s="127" t="str">
        <f t="array" ref="E459">IF(A459="","",SUMPRODUCT(('Detalle Turnos'!$I$3:$I$5028=$A459)*('Detalle Turnos'!$N$3:$N$5028=C459)*'Detalle Turnos'!$K$3:$K$5028))</f>
        <v/>
      </c>
      <c r="F459" s="127">
        <f t="shared" si="32"/>
        <v>0</v>
      </c>
      <c r="G459" s="127" t="str">
        <f t="array" ref="G459">IF(E459="","",IFERROR(SUMPRODUCT(('Facturación 2026'!$A$4:$A$920=$A459)*'Facturación 2026'!$J$4:$J$920)*E459/(SUMPRODUCT(('Caja 1'!$A$4:$A$919=$A459)*'Caja 1'!$E$4:$E$919)+SUMPRODUCT(('Caja 2'!$A$4:$A$920=$A459)*'Caja 2'!$E$4:$E$920)),0))</f>
        <v/>
      </c>
      <c r="H459" s="128" t="str">
        <f t="shared" si="33"/>
        <v/>
      </c>
      <c r="I459" s="124" t="str">
        <f t="shared" si="34"/>
        <v/>
      </c>
      <c r="J459" s="987" t="str">
        <f>IF(A459="","",IFERROR(INDEX('Facturación 2026'!$L$4:$L$500,MATCH($A459,'Facturación 2026'!$A$4:$A$500,0)),""))</f>
        <v/>
      </c>
    </row>
    <row r="460" spans="1:10" ht="15.75" customHeight="1">
      <c r="A460" s="988"/>
      <c r="B460" s="122" t="str">
        <f t="shared" si="31"/>
        <v/>
      </c>
      <c r="C460" s="123"/>
      <c r="D460" s="131" t="str">
        <f t="array" ref="D460">IF(A460="","",SUMPRODUCT(('Detalle Turnos'!$I$3:$I$5028=$A460)*('Detalle Turnos'!$N$3:$N$5028=C460)*'Detalle Turnos'!$L$3:$L$5028))</f>
        <v/>
      </c>
      <c r="E460" s="127" t="str">
        <f t="array" ref="E460">IF(A460="","",SUMPRODUCT(('Detalle Turnos'!$I$3:$I$5028=$A460)*('Detalle Turnos'!$N$3:$N$5028=C460)*'Detalle Turnos'!$K$3:$K$5028))</f>
        <v/>
      </c>
      <c r="F460" s="127">
        <f t="shared" si="32"/>
        <v>0</v>
      </c>
      <c r="G460" s="127" t="str">
        <f t="array" ref="G460">IF(E460="","",IFERROR(SUMPRODUCT(('Facturación 2026'!$A$4:$A$920=$A460)*'Facturación 2026'!$J$4:$J$920)*E460/(SUMPRODUCT(('Caja 1'!$A$4:$A$919=$A460)*'Caja 1'!$E$4:$E$919)+SUMPRODUCT(('Caja 2'!$A$4:$A$920=$A460)*'Caja 2'!$E$4:$E$920)),0))</f>
        <v/>
      </c>
      <c r="H460" s="128" t="str">
        <f t="shared" si="33"/>
        <v/>
      </c>
      <c r="I460" s="124" t="str">
        <f t="shared" si="34"/>
        <v/>
      </c>
      <c r="J460" s="987" t="str">
        <f>IF(A460="","",IFERROR(INDEX('Facturación 2026'!$L$4:$L$500,MATCH($A460,'Facturación 2026'!$A$4:$A$500,0)),""))</f>
        <v/>
      </c>
    </row>
    <row r="461" spans="1:10" ht="15.75" customHeight="1">
      <c r="A461" s="988"/>
      <c r="B461" s="122" t="str">
        <f t="shared" si="31"/>
        <v/>
      </c>
      <c r="C461" s="123"/>
      <c r="D461" s="131" t="str">
        <f t="array" ref="D461">IF(A461="","",SUMPRODUCT(('Detalle Turnos'!$I$3:$I$5028=$A461)*('Detalle Turnos'!$N$3:$N$5028=C461)*'Detalle Turnos'!$L$3:$L$5028))</f>
        <v/>
      </c>
      <c r="E461" s="127" t="str">
        <f t="array" ref="E461">IF(A461="","",SUMPRODUCT(('Detalle Turnos'!$I$3:$I$5028=$A461)*('Detalle Turnos'!$N$3:$N$5028=C461)*'Detalle Turnos'!$K$3:$K$5028))</f>
        <v/>
      </c>
      <c r="F461" s="127">
        <f t="shared" si="32"/>
        <v>0</v>
      </c>
      <c r="G461" s="127" t="str">
        <f t="array" ref="G461">IF(E461="","",IFERROR(SUMPRODUCT(('Facturación 2026'!$A$4:$A$920=$A461)*'Facturación 2026'!$J$4:$J$920)*E461/(SUMPRODUCT(('Caja 1'!$A$4:$A$919=$A461)*'Caja 1'!$E$4:$E$919)+SUMPRODUCT(('Caja 2'!$A$4:$A$920=$A461)*'Caja 2'!$E$4:$E$920)),0))</f>
        <v/>
      </c>
      <c r="H461" s="128" t="str">
        <f t="shared" si="33"/>
        <v/>
      </c>
      <c r="I461" s="124" t="str">
        <f t="shared" si="34"/>
        <v/>
      </c>
      <c r="J461" s="987" t="str">
        <f>IF(A461="","",IFERROR(INDEX('Facturación 2026'!$L$4:$L$500,MATCH($A461,'Facturación 2026'!$A$4:$A$500,0)),""))</f>
        <v/>
      </c>
    </row>
    <row r="462" spans="1:10" ht="15.75" customHeight="1">
      <c r="A462" s="988"/>
      <c r="B462" s="122" t="str">
        <f t="shared" si="31"/>
        <v/>
      </c>
      <c r="C462" s="123"/>
      <c r="D462" s="131" t="str">
        <f t="array" ref="D462">IF(A462="","",SUMPRODUCT(('Detalle Turnos'!$I$3:$I$5028=$A462)*('Detalle Turnos'!$N$3:$N$5028=C462)*'Detalle Turnos'!$L$3:$L$5028))</f>
        <v/>
      </c>
      <c r="E462" s="127" t="str">
        <f t="array" ref="E462">IF(A462="","",SUMPRODUCT(('Detalle Turnos'!$I$3:$I$5028=$A462)*('Detalle Turnos'!$N$3:$N$5028=C462)*'Detalle Turnos'!$K$3:$K$5028))</f>
        <v/>
      </c>
      <c r="F462" s="127">
        <f t="shared" si="32"/>
        <v>0</v>
      </c>
      <c r="G462" s="127" t="str">
        <f t="array" ref="G462">IF(E462="","",IFERROR(SUMPRODUCT(('Facturación 2026'!$A$4:$A$920=$A462)*'Facturación 2026'!$J$4:$J$920)*E462/(SUMPRODUCT(('Caja 1'!$A$4:$A$919=$A462)*'Caja 1'!$E$4:$E$919)+SUMPRODUCT(('Caja 2'!$A$4:$A$920=$A462)*'Caja 2'!$E$4:$E$920)),0))</f>
        <v/>
      </c>
      <c r="H462" s="128" t="str">
        <f t="shared" si="33"/>
        <v/>
      </c>
      <c r="I462" s="124" t="str">
        <f t="shared" si="34"/>
        <v/>
      </c>
      <c r="J462" s="987" t="str">
        <f>IF(A462="","",IFERROR(INDEX('Facturación 2026'!$L$4:$L$500,MATCH($A462,'Facturación 2026'!$A$4:$A$500,0)),""))</f>
        <v/>
      </c>
    </row>
    <row r="463" spans="1:10" ht="15.75" customHeight="1">
      <c r="A463" s="988"/>
      <c r="B463" s="122" t="str">
        <f t="shared" si="31"/>
        <v/>
      </c>
      <c r="C463" s="123"/>
      <c r="D463" s="131" t="str">
        <f t="array" ref="D463">IF(A463="","",SUMPRODUCT(('Detalle Turnos'!$I$3:$I$5028=$A463)*('Detalle Turnos'!$N$3:$N$5028=C463)*'Detalle Turnos'!$L$3:$L$5028))</f>
        <v/>
      </c>
      <c r="E463" s="127" t="str">
        <f t="array" ref="E463">IF(A463="","",SUMPRODUCT(('Detalle Turnos'!$I$3:$I$5028=$A463)*('Detalle Turnos'!$N$3:$N$5028=C463)*'Detalle Turnos'!$K$3:$K$5028))</f>
        <v/>
      </c>
      <c r="F463" s="127">
        <f t="shared" si="32"/>
        <v>0</v>
      </c>
      <c r="G463" s="127" t="str">
        <f t="array" ref="G463">IF(E463="","",IFERROR(SUMPRODUCT(('Facturación 2026'!$A$4:$A$920=$A463)*'Facturación 2026'!$J$4:$J$920)*E463/(SUMPRODUCT(('Caja 1'!$A$4:$A$919=$A463)*'Caja 1'!$E$4:$E$919)+SUMPRODUCT(('Caja 2'!$A$4:$A$920=$A463)*'Caja 2'!$E$4:$E$920)),0))</f>
        <v/>
      </c>
      <c r="H463" s="128" t="str">
        <f t="shared" si="33"/>
        <v/>
      </c>
      <c r="I463" s="124" t="str">
        <f t="shared" si="34"/>
        <v/>
      </c>
      <c r="J463" s="987" t="str">
        <f>IF(A463="","",IFERROR(INDEX('Facturación 2026'!$L$4:$L$500,MATCH($A463,'Facturación 2026'!$A$4:$A$500,0)),""))</f>
        <v/>
      </c>
    </row>
    <row r="464" spans="1:10" ht="15.75" customHeight="1">
      <c r="A464" s="988"/>
      <c r="B464" s="122" t="str">
        <f t="shared" si="31"/>
        <v/>
      </c>
      <c r="C464" s="123"/>
      <c r="D464" s="131" t="str">
        <f t="array" ref="D464">IF(A464="","",SUMPRODUCT(('Detalle Turnos'!$I$3:$I$5028=$A464)*('Detalle Turnos'!$N$3:$N$5028=C464)*'Detalle Turnos'!$L$3:$L$5028))</f>
        <v/>
      </c>
      <c r="E464" s="127" t="str">
        <f t="array" ref="E464">IF(A464="","",SUMPRODUCT(('Detalle Turnos'!$I$3:$I$5028=$A464)*('Detalle Turnos'!$N$3:$N$5028=C464)*'Detalle Turnos'!$K$3:$K$5028))</f>
        <v/>
      </c>
      <c r="F464" s="127">
        <f t="shared" si="32"/>
        <v>0</v>
      </c>
      <c r="G464" s="127" t="str">
        <f t="array" ref="G464">IF(E464="","",IFERROR(SUMPRODUCT(('Facturación 2026'!$A$4:$A$920=$A464)*'Facturación 2026'!$J$4:$J$920)*E464/(SUMPRODUCT(('Caja 1'!$A$4:$A$919=$A464)*'Caja 1'!$E$4:$E$919)+SUMPRODUCT(('Caja 2'!$A$4:$A$920=$A464)*'Caja 2'!$E$4:$E$920)),0))</f>
        <v/>
      </c>
      <c r="H464" s="128" t="str">
        <f t="shared" si="33"/>
        <v/>
      </c>
      <c r="I464" s="124" t="str">
        <f t="shared" si="34"/>
        <v/>
      </c>
      <c r="J464" s="987" t="str">
        <f>IF(A464="","",IFERROR(INDEX('Facturación 2026'!$L$4:$L$500,MATCH($A464,'Facturación 2026'!$A$4:$A$500,0)),""))</f>
        <v/>
      </c>
    </row>
    <row r="465" spans="1:10" ht="15.75" customHeight="1">
      <c r="A465" s="988"/>
      <c r="B465" s="122" t="str">
        <f t="shared" si="31"/>
        <v/>
      </c>
      <c r="C465" s="123"/>
      <c r="D465" s="131" t="str">
        <f t="array" ref="D465">IF(A465="","",SUMPRODUCT(('Detalle Turnos'!$I$3:$I$5028=$A465)*('Detalle Turnos'!$N$3:$N$5028=C465)*'Detalle Turnos'!$L$3:$L$5028))</f>
        <v/>
      </c>
      <c r="E465" s="127" t="str">
        <f t="array" ref="E465">IF(A465="","",SUMPRODUCT(('Detalle Turnos'!$I$3:$I$5028=$A465)*('Detalle Turnos'!$N$3:$N$5028=C465)*'Detalle Turnos'!$K$3:$K$5028))</f>
        <v/>
      </c>
      <c r="F465" s="127">
        <f t="shared" si="32"/>
        <v>0</v>
      </c>
      <c r="G465" s="127" t="str">
        <f t="array" ref="G465">IF(E465="","",IFERROR(SUMPRODUCT(('Facturación 2026'!$A$4:$A$920=$A465)*'Facturación 2026'!$J$4:$J$920)*E465/(SUMPRODUCT(('Caja 1'!$A$4:$A$919=$A465)*'Caja 1'!$E$4:$E$919)+SUMPRODUCT(('Caja 2'!$A$4:$A$920=$A465)*'Caja 2'!$E$4:$E$920)),0))</f>
        <v/>
      </c>
      <c r="H465" s="128" t="str">
        <f t="shared" si="33"/>
        <v/>
      </c>
      <c r="I465" s="124" t="str">
        <f t="shared" si="34"/>
        <v/>
      </c>
      <c r="J465" s="987" t="str">
        <f>IF(A465="","",IFERROR(INDEX('Facturación 2026'!$L$4:$L$500,MATCH($A465,'Facturación 2026'!$A$4:$A$500,0)),""))</f>
        <v/>
      </c>
    </row>
    <row r="466" spans="1:10" ht="15.75" customHeight="1">
      <c r="A466" s="988"/>
      <c r="B466" s="122" t="str">
        <f t="shared" si="31"/>
        <v/>
      </c>
      <c r="C466" s="123"/>
      <c r="D466" s="131" t="str">
        <f t="array" ref="D466">IF(A466="","",SUMPRODUCT(('Detalle Turnos'!$I$3:$I$5028=$A466)*('Detalle Turnos'!$N$3:$N$5028=C466)*'Detalle Turnos'!$L$3:$L$5028))</f>
        <v/>
      </c>
      <c r="E466" s="127" t="str">
        <f t="array" ref="E466">IF(A466="","",SUMPRODUCT(('Detalle Turnos'!$I$3:$I$5028=$A466)*('Detalle Turnos'!$N$3:$N$5028=C466)*'Detalle Turnos'!$K$3:$K$5028))</f>
        <v/>
      </c>
      <c r="F466" s="127">
        <f t="shared" si="32"/>
        <v>0</v>
      </c>
      <c r="G466" s="127" t="str">
        <f t="array" ref="G466">IF(E466="","",IFERROR(SUMPRODUCT(('Facturación 2026'!$A$4:$A$920=$A466)*'Facturación 2026'!$J$4:$J$920)*E466/(SUMPRODUCT(('Caja 1'!$A$4:$A$919=$A466)*'Caja 1'!$E$4:$E$919)+SUMPRODUCT(('Caja 2'!$A$4:$A$920=$A466)*'Caja 2'!$E$4:$E$920)),0))</f>
        <v/>
      </c>
      <c r="H466" s="128" t="str">
        <f t="shared" si="33"/>
        <v/>
      </c>
      <c r="I466" s="124" t="str">
        <f t="shared" si="34"/>
        <v/>
      </c>
      <c r="J466" s="987" t="str">
        <f>IF(A466="","",IFERROR(INDEX('Facturación 2026'!$L$4:$L$500,MATCH($A466,'Facturación 2026'!$A$4:$A$500,0)),""))</f>
        <v/>
      </c>
    </row>
    <row r="467" spans="1:10" ht="15.75" customHeight="1">
      <c r="A467" s="988"/>
      <c r="B467" s="122" t="str">
        <f t="shared" si="31"/>
        <v/>
      </c>
      <c r="C467" s="123"/>
      <c r="D467" s="131" t="str">
        <f t="array" ref="D467">IF(A467="","",SUMPRODUCT(('Detalle Turnos'!$I$3:$I$5028=$A467)*('Detalle Turnos'!$N$3:$N$5028=C467)*'Detalle Turnos'!$L$3:$L$5028))</f>
        <v/>
      </c>
      <c r="E467" s="127" t="str">
        <f t="array" ref="E467">IF(A467="","",SUMPRODUCT(('Detalle Turnos'!$I$3:$I$5028=$A467)*('Detalle Turnos'!$N$3:$N$5028=C467)*'Detalle Turnos'!$K$3:$K$5028))</f>
        <v/>
      </c>
      <c r="F467" s="127">
        <f t="shared" si="32"/>
        <v>0</v>
      </c>
      <c r="G467" s="127" t="str">
        <f t="array" ref="G467">IF(E467="","",IFERROR(SUMPRODUCT(('Facturación 2026'!$A$4:$A$920=$A467)*'Facturación 2026'!$J$4:$J$920)*E467/(SUMPRODUCT(('Caja 1'!$A$4:$A$919=$A467)*'Caja 1'!$E$4:$E$919)+SUMPRODUCT(('Caja 2'!$A$4:$A$920=$A467)*'Caja 2'!$E$4:$E$920)),0))</f>
        <v/>
      </c>
      <c r="H467" s="128" t="str">
        <f t="shared" si="33"/>
        <v/>
      </c>
      <c r="I467" s="124" t="str">
        <f t="shared" si="34"/>
        <v/>
      </c>
      <c r="J467" s="987" t="str">
        <f>IF(A467="","",IFERROR(INDEX('Facturación 2026'!$L$4:$L$500,MATCH($A467,'Facturación 2026'!$A$4:$A$500,0)),""))</f>
        <v/>
      </c>
    </row>
    <row r="468" spans="1:10" ht="15.75" customHeight="1">
      <c r="A468" s="988"/>
      <c r="B468" s="122" t="str">
        <f t="shared" si="31"/>
        <v/>
      </c>
      <c r="C468" s="123"/>
      <c r="D468" s="131" t="str">
        <f t="array" ref="D468">IF(A468="","",SUMPRODUCT(('Detalle Turnos'!$I$3:$I$5028=$A468)*('Detalle Turnos'!$N$3:$N$5028=C468)*'Detalle Turnos'!$L$3:$L$5028))</f>
        <v/>
      </c>
      <c r="E468" s="127" t="str">
        <f t="array" ref="E468">IF(A468="","",SUMPRODUCT(('Detalle Turnos'!$I$3:$I$5028=$A468)*('Detalle Turnos'!$N$3:$N$5028=C468)*'Detalle Turnos'!$K$3:$K$5028))</f>
        <v/>
      </c>
      <c r="F468" s="127">
        <f t="shared" si="32"/>
        <v>0</v>
      </c>
      <c r="G468" s="127" t="str">
        <f t="array" ref="G468">IF(E468="","",IFERROR(SUMPRODUCT(('Facturación 2026'!$A$4:$A$920=$A468)*'Facturación 2026'!$J$4:$J$920)*E468/(SUMPRODUCT(('Caja 1'!$A$4:$A$919=$A468)*'Caja 1'!$E$4:$E$919)+SUMPRODUCT(('Caja 2'!$A$4:$A$920=$A468)*'Caja 2'!$E$4:$E$920)),0))</f>
        <v/>
      </c>
      <c r="H468" s="128" t="str">
        <f t="shared" si="33"/>
        <v/>
      </c>
      <c r="I468" s="124" t="str">
        <f t="shared" si="34"/>
        <v/>
      </c>
      <c r="J468" s="987" t="str">
        <f>IF(A468="","",IFERROR(INDEX('Facturación 2026'!$L$4:$L$500,MATCH($A468,'Facturación 2026'!$A$4:$A$500,0)),""))</f>
        <v/>
      </c>
    </row>
    <row r="469" spans="1:10" ht="15.75" customHeight="1">
      <c r="A469" s="988"/>
      <c r="B469" s="122" t="str">
        <f t="shared" si="31"/>
        <v/>
      </c>
      <c r="C469" s="123"/>
      <c r="D469" s="131" t="str">
        <f t="array" ref="D469">IF(A469="","",SUMPRODUCT(('Detalle Turnos'!$I$3:$I$5028=$A469)*('Detalle Turnos'!$N$3:$N$5028=C469)*'Detalle Turnos'!$L$3:$L$5028))</f>
        <v/>
      </c>
      <c r="E469" s="127" t="str">
        <f t="array" ref="E469">IF(A469="","",SUMPRODUCT(('Detalle Turnos'!$I$3:$I$5028=$A469)*('Detalle Turnos'!$N$3:$N$5028=C469)*'Detalle Turnos'!$K$3:$K$5028))</f>
        <v/>
      </c>
      <c r="F469" s="127">
        <f t="shared" si="32"/>
        <v>0</v>
      </c>
      <c r="G469" s="127" t="str">
        <f t="array" ref="G469">IF(E469="","",IFERROR(SUMPRODUCT(('Facturación 2026'!$A$4:$A$920=$A469)*'Facturación 2026'!$J$4:$J$920)*E469/(SUMPRODUCT(('Caja 1'!$A$4:$A$919=$A469)*'Caja 1'!$E$4:$E$919)+SUMPRODUCT(('Caja 2'!$A$4:$A$920=$A469)*'Caja 2'!$E$4:$E$920)),0))</f>
        <v/>
      </c>
      <c r="H469" s="128" t="str">
        <f t="shared" si="33"/>
        <v/>
      </c>
      <c r="I469" s="124" t="str">
        <f t="shared" si="34"/>
        <v/>
      </c>
      <c r="J469" s="987" t="str">
        <f>IF(A469="","",IFERROR(INDEX('Facturación 2026'!$L$4:$L$500,MATCH($A469,'Facturación 2026'!$A$4:$A$500,0)),""))</f>
        <v/>
      </c>
    </row>
    <row r="470" spans="1:10" ht="15.75" customHeight="1">
      <c r="A470" s="988"/>
      <c r="B470" s="122" t="str">
        <f t="shared" si="31"/>
        <v/>
      </c>
      <c r="C470" s="123"/>
      <c r="D470" s="131" t="str">
        <f t="array" ref="D470">IF(A470="","",SUMPRODUCT(('Detalle Turnos'!$I$3:$I$5028=$A470)*('Detalle Turnos'!$N$3:$N$5028=C470)*'Detalle Turnos'!$L$3:$L$5028))</f>
        <v/>
      </c>
      <c r="E470" s="127" t="str">
        <f t="array" ref="E470">IF(A470="","",SUMPRODUCT(('Detalle Turnos'!$I$3:$I$5028=$A470)*('Detalle Turnos'!$N$3:$N$5028=C470)*'Detalle Turnos'!$K$3:$K$5028))</f>
        <v/>
      </c>
      <c r="F470" s="127">
        <f t="shared" si="32"/>
        <v>0</v>
      </c>
      <c r="G470" s="127" t="str">
        <f t="array" ref="G470">IF(E470="","",IFERROR(SUMPRODUCT(('Facturación 2026'!$A$4:$A$920=$A470)*'Facturación 2026'!$J$4:$J$920)*E470/(SUMPRODUCT(('Caja 1'!$A$4:$A$919=$A470)*'Caja 1'!$E$4:$E$919)+SUMPRODUCT(('Caja 2'!$A$4:$A$920=$A470)*'Caja 2'!$E$4:$E$920)),0))</f>
        <v/>
      </c>
      <c r="H470" s="128" t="str">
        <f t="shared" si="33"/>
        <v/>
      </c>
      <c r="I470" s="124" t="str">
        <f t="shared" si="34"/>
        <v/>
      </c>
      <c r="J470" s="987" t="str">
        <f>IF(A470="","",IFERROR(INDEX('Facturación 2026'!$L$4:$L$500,MATCH($A470,'Facturación 2026'!$A$4:$A$500,0)),""))</f>
        <v/>
      </c>
    </row>
    <row r="471" spans="1:10" ht="15.75" customHeight="1">
      <c r="A471" s="988"/>
      <c r="B471" s="122" t="str">
        <f t="shared" si="31"/>
        <v/>
      </c>
      <c r="C471" s="123"/>
      <c r="D471" s="131" t="str">
        <f t="array" ref="D471">IF(A471="","",SUMPRODUCT(('Detalle Turnos'!$I$3:$I$5028=$A471)*('Detalle Turnos'!$N$3:$N$5028=C471)*'Detalle Turnos'!$L$3:$L$5028))</f>
        <v/>
      </c>
      <c r="E471" s="127" t="str">
        <f t="array" ref="E471">IF(A471="","",SUMPRODUCT(('Detalle Turnos'!$I$3:$I$5028=$A471)*('Detalle Turnos'!$N$3:$N$5028=C471)*'Detalle Turnos'!$K$3:$K$5028))</f>
        <v/>
      </c>
      <c r="F471" s="127">
        <f t="shared" si="32"/>
        <v>0</v>
      </c>
      <c r="G471" s="127" t="str">
        <f t="array" ref="G471">IF(E471="","",IFERROR(SUMPRODUCT(('Facturación 2026'!$A$4:$A$920=$A471)*'Facturación 2026'!$J$4:$J$920)*E471/(SUMPRODUCT(('Caja 1'!$A$4:$A$919=$A471)*'Caja 1'!$E$4:$E$919)+SUMPRODUCT(('Caja 2'!$A$4:$A$920=$A471)*'Caja 2'!$E$4:$E$920)),0))</f>
        <v/>
      </c>
      <c r="H471" s="128" t="str">
        <f t="shared" si="33"/>
        <v/>
      </c>
      <c r="I471" s="124" t="str">
        <f t="shared" si="34"/>
        <v/>
      </c>
      <c r="J471" s="987" t="str">
        <f>IF(A471="","",IFERROR(INDEX('Facturación 2026'!$L$4:$L$500,MATCH($A471,'Facturación 2026'!$A$4:$A$500,0)),""))</f>
        <v/>
      </c>
    </row>
    <row r="472" spans="1:10" ht="15.75" customHeight="1">
      <c r="A472" s="988"/>
      <c r="B472" s="122" t="str">
        <f t="shared" si="31"/>
        <v/>
      </c>
      <c r="C472" s="123"/>
      <c r="D472" s="131" t="str">
        <f t="array" ref="D472">IF(A472="","",SUMPRODUCT(('Detalle Turnos'!$I$3:$I$5028=$A472)*('Detalle Turnos'!$N$3:$N$5028=C472)*'Detalle Turnos'!$L$3:$L$5028))</f>
        <v/>
      </c>
      <c r="E472" s="127" t="str">
        <f t="array" ref="E472">IF(A472="","",SUMPRODUCT(('Detalle Turnos'!$I$3:$I$5028=$A472)*('Detalle Turnos'!$N$3:$N$5028=C472)*'Detalle Turnos'!$K$3:$K$5028))</f>
        <v/>
      </c>
      <c r="F472" s="127">
        <f t="shared" si="32"/>
        <v>0</v>
      </c>
      <c r="G472" s="127" t="str">
        <f t="array" ref="G472">IF(E472="","",IFERROR(SUMPRODUCT(('Facturación 2026'!$A$4:$A$920=$A472)*'Facturación 2026'!$J$4:$J$920)*E472/(SUMPRODUCT(('Caja 1'!$A$4:$A$919=$A472)*'Caja 1'!$E$4:$E$919)+SUMPRODUCT(('Caja 2'!$A$4:$A$920=$A472)*'Caja 2'!$E$4:$E$920)),0))</f>
        <v/>
      </c>
      <c r="H472" s="128" t="str">
        <f t="shared" si="33"/>
        <v/>
      </c>
      <c r="I472" s="124" t="str">
        <f t="shared" si="34"/>
        <v/>
      </c>
      <c r="J472" s="987" t="str">
        <f>IF(A472="","",IFERROR(INDEX('Facturación 2026'!$L$4:$L$500,MATCH($A472,'Facturación 2026'!$A$4:$A$500,0)),""))</f>
        <v/>
      </c>
    </row>
    <row r="473" spans="1:10" ht="15.75" customHeight="1">
      <c r="A473" s="988"/>
      <c r="B473" s="122" t="str">
        <f t="shared" si="31"/>
        <v/>
      </c>
      <c r="C473" s="123"/>
      <c r="D473" s="131" t="str">
        <f t="array" ref="D473">IF(A473="","",SUMPRODUCT(('Detalle Turnos'!$I$3:$I$5028=$A473)*('Detalle Turnos'!$N$3:$N$5028=C473)*'Detalle Turnos'!$L$3:$L$5028))</f>
        <v/>
      </c>
      <c r="E473" s="127" t="str">
        <f t="array" ref="E473">IF(A473="","",SUMPRODUCT(('Detalle Turnos'!$I$3:$I$5028=$A473)*('Detalle Turnos'!$N$3:$N$5028=C473)*'Detalle Turnos'!$K$3:$K$5028))</f>
        <v/>
      </c>
      <c r="F473" s="127">
        <f t="shared" si="32"/>
        <v>0</v>
      </c>
      <c r="G473" s="127" t="str">
        <f t="array" ref="G473">IF(E473="","",IFERROR(SUMPRODUCT(('Facturación 2026'!$A$4:$A$920=$A473)*'Facturación 2026'!$J$4:$J$920)*E473/(SUMPRODUCT(('Caja 1'!$A$4:$A$919=$A473)*'Caja 1'!$E$4:$E$919)+SUMPRODUCT(('Caja 2'!$A$4:$A$920=$A473)*'Caja 2'!$E$4:$E$920)),0))</f>
        <v/>
      </c>
      <c r="H473" s="128" t="str">
        <f t="shared" si="33"/>
        <v/>
      </c>
      <c r="I473" s="124" t="str">
        <f t="shared" si="34"/>
        <v/>
      </c>
      <c r="J473" s="987" t="str">
        <f>IF(A473="","",IFERROR(INDEX('Facturación 2026'!$L$4:$L$500,MATCH($A473,'Facturación 2026'!$A$4:$A$500,0)),""))</f>
        <v/>
      </c>
    </row>
    <row r="474" spans="1:10" ht="15.75" customHeight="1">
      <c r="A474" s="988"/>
      <c r="B474" s="122" t="str">
        <f t="shared" si="31"/>
        <v/>
      </c>
      <c r="C474" s="123"/>
      <c r="D474" s="131" t="str">
        <f t="array" ref="D474">IF(A474="","",SUMPRODUCT(('Detalle Turnos'!$I$3:$I$5028=$A474)*('Detalle Turnos'!$N$3:$N$5028=C474)*'Detalle Turnos'!$L$3:$L$5028))</f>
        <v/>
      </c>
      <c r="E474" s="127" t="str">
        <f t="array" ref="E474">IF(A474="","",SUMPRODUCT(('Detalle Turnos'!$I$3:$I$5028=$A474)*('Detalle Turnos'!$N$3:$N$5028=C474)*'Detalle Turnos'!$K$3:$K$5028))</f>
        <v/>
      </c>
      <c r="F474" s="127">
        <f t="shared" si="32"/>
        <v>0</v>
      </c>
      <c r="G474" s="127" t="str">
        <f t="array" ref="G474">IF(E474="","",IFERROR(SUMPRODUCT(('Facturación 2026'!$A$4:$A$920=$A474)*'Facturación 2026'!$J$4:$J$920)*E474/(SUMPRODUCT(('Caja 1'!$A$4:$A$919=$A474)*'Caja 1'!$E$4:$E$919)+SUMPRODUCT(('Caja 2'!$A$4:$A$920=$A474)*'Caja 2'!$E$4:$E$920)),0))</f>
        <v/>
      </c>
      <c r="H474" s="128" t="str">
        <f t="shared" si="33"/>
        <v/>
      </c>
      <c r="I474" s="124" t="str">
        <f t="shared" si="34"/>
        <v/>
      </c>
      <c r="J474" s="987" t="str">
        <f>IF(A474="","",IFERROR(INDEX('Facturación 2026'!$L$4:$L$500,MATCH($A474,'Facturación 2026'!$A$4:$A$500,0)),""))</f>
        <v/>
      </c>
    </row>
    <row r="475" spans="1:10" ht="15.75" customHeight="1">
      <c r="A475" s="988"/>
      <c r="B475" s="122" t="str">
        <f t="shared" si="31"/>
        <v/>
      </c>
      <c r="C475" s="123"/>
      <c r="D475" s="131" t="str">
        <f t="array" ref="D475">IF(A475="","",SUMPRODUCT(('Detalle Turnos'!$I$3:$I$5028=$A475)*('Detalle Turnos'!$N$3:$N$5028=C475)*'Detalle Turnos'!$L$3:$L$5028))</f>
        <v/>
      </c>
      <c r="E475" s="127" t="str">
        <f t="array" ref="E475">IF(A475="","",SUMPRODUCT(('Detalle Turnos'!$I$3:$I$5028=$A475)*('Detalle Turnos'!$N$3:$N$5028=C475)*'Detalle Turnos'!$K$3:$K$5028))</f>
        <v/>
      </c>
      <c r="F475" s="127">
        <f t="shared" si="32"/>
        <v>0</v>
      </c>
      <c r="G475" s="127" t="str">
        <f t="array" ref="G475">IF(E475="","",IFERROR(SUMPRODUCT(('Facturación 2026'!$A$4:$A$920=$A475)*'Facturación 2026'!$J$4:$J$920)*E475/(SUMPRODUCT(('Caja 1'!$A$4:$A$919=$A475)*'Caja 1'!$E$4:$E$919)+SUMPRODUCT(('Caja 2'!$A$4:$A$920=$A475)*'Caja 2'!$E$4:$E$920)),0))</f>
        <v/>
      </c>
      <c r="H475" s="128" t="str">
        <f t="shared" si="33"/>
        <v/>
      </c>
      <c r="I475" s="124" t="str">
        <f t="shared" si="34"/>
        <v/>
      </c>
      <c r="J475" s="987" t="str">
        <f>IF(A475="","",IFERROR(INDEX('Facturación 2026'!$L$4:$L$500,MATCH($A475,'Facturación 2026'!$A$4:$A$500,0)),""))</f>
        <v/>
      </c>
    </row>
    <row r="476" spans="1:10" ht="15.75" customHeight="1">
      <c r="A476" s="988"/>
      <c r="B476" s="122" t="str">
        <f t="shared" si="31"/>
        <v/>
      </c>
      <c r="C476" s="123"/>
      <c r="D476" s="131" t="str">
        <f t="array" ref="D476">IF(A476="","",SUMPRODUCT(('Detalle Turnos'!$I$3:$I$5028=$A476)*('Detalle Turnos'!$N$3:$N$5028=C476)*'Detalle Turnos'!$L$3:$L$5028))</f>
        <v/>
      </c>
      <c r="E476" s="127" t="str">
        <f t="array" ref="E476">IF(A476="","",SUMPRODUCT(('Detalle Turnos'!$I$3:$I$5028=$A476)*('Detalle Turnos'!$N$3:$N$5028=C476)*'Detalle Turnos'!$K$3:$K$5028))</f>
        <v/>
      </c>
      <c r="F476" s="127">
        <f t="shared" si="32"/>
        <v>0</v>
      </c>
      <c r="G476" s="127" t="str">
        <f t="array" ref="G476">IF(E476="","",IFERROR(SUMPRODUCT(('Facturación 2026'!$A$4:$A$920=$A476)*'Facturación 2026'!$J$4:$J$920)*E476/(SUMPRODUCT(('Caja 1'!$A$4:$A$919=$A476)*'Caja 1'!$E$4:$E$919)+SUMPRODUCT(('Caja 2'!$A$4:$A$920=$A476)*'Caja 2'!$E$4:$E$920)),0))</f>
        <v/>
      </c>
      <c r="H476" s="128" t="str">
        <f t="shared" si="33"/>
        <v/>
      </c>
      <c r="I476" s="124" t="str">
        <f t="shared" si="34"/>
        <v/>
      </c>
      <c r="J476" s="987" t="str">
        <f>IF(A476="","",IFERROR(INDEX('Facturación 2026'!$L$4:$L$500,MATCH($A476,'Facturación 2026'!$A$4:$A$500,0)),""))</f>
        <v/>
      </c>
    </row>
    <row r="477" spans="1:10" ht="15.75" customHeight="1">
      <c r="A477" s="988"/>
      <c r="B477" s="122" t="str">
        <f t="shared" si="31"/>
        <v/>
      </c>
      <c r="C477" s="123"/>
      <c r="D477" s="131" t="str">
        <f t="array" ref="D477">IF(A477="","",SUMPRODUCT(('Detalle Turnos'!$I$3:$I$5028=$A477)*('Detalle Turnos'!$N$3:$N$5028=C477)*'Detalle Turnos'!$L$3:$L$5028))</f>
        <v/>
      </c>
      <c r="E477" s="127" t="str">
        <f t="array" ref="E477">IF(A477="","",SUMPRODUCT(('Detalle Turnos'!$I$3:$I$5028=$A477)*('Detalle Turnos'!$N$3:$N$5028=C477)*'Detalle Turnos'!$K$3:$K$5028))</f>
        <v/>
      </c>
      <c r="F477" s="127">
        <f t="shared" si="32"/>
        <v>0</v>
      </c>
      <c r="G477" s="127" t="str">
        <f t="array" ref="G477">IF(E477="","",IFERROR(SUMPRODUCT(('Facturación 2026'!$A$4:$A$920=$A477)*'Facturación 2026'!$J$4:$J$920)*E477/(SUMPRODUCT(('Caja 1'!$A$4:$A$919=$A477)*'Caja 1'!$E$4:$E$919)+SUMPRODUCT(('Caja 2'!$A$4:$A$920=$A477)*'Caja 2'!$E$4:$E$920)),0))</f>
        <v/>
      </c>
      <c r="H477" s="128" t="str">
        <f t="shared" si="33"/>
        <v/>
      </c>
      <c r="I477" s="124" t="str">
        <f t="shared" si="34"/>
        <v/>
      </c>
      <c r="J477" s="987" t="str">
        <f>IF(A477="","",IFERROR(INDEX('Facturación 2026'!$L$4:$L$500,MATCH($A477,'Facturación 2026'!$A$4:$A$500,0)),""))</f>
        <v/>
      </c>
    </row>
    <row r="478" spans="1:10" ht="15.75" customHeight="1">
      <c r="A478" s="988"/>
      <c r="B478" s="122" t="str">
        <f t="shared" si="31"/>
        <v/>
      </c>
      <c r="C478" s="123"/>
      <c r="D478" s="131" t="str">
        <f t="array" ref="D478">IF(A478="","",SUMPRODUCT(('Detalle Turnos'!$I$3:$I$5028=$A478)*('Detalle Turnos'!$N$3:$N$5028=C478)*'Detalle Turnos'!$L$3:$L$5028))</f>
        <v/>
      </c>
      <c r="E478" s="127" t="str">
        <f t="array" ref="E478">IF(A478="","",SUMPRODUCT(('Detalle Turnos'!$I$3:$I$5028=$A478)*('Detalle Turnos'!$N$3:$N$5028=C478)*'Detalle Turnos'!$K$3:$K$5028))</f>
        <v/>
      </c>
      <c r="F478" s="127">
        <f t="shared" si="32"/>
        <v>0</v>
      </c>
      <c r="G478" s="127" t="str">
        <f t="array" ref="G478">IF(E478="","",IFERROR(SUMPRODUCT(('Facturación 2026'!$A$4:$A$920=$A478)*'Facturación 2026'!$J$4:$J$920)*E478/(SUMPRODUCT(('Caja 1'!$A$4:$A$919=$A478)*'Caja 1'!$E$4:$E$919)+SUMPRODUCT(('Caja 2'!$A$4:$A$920=$A478)*'Caja 2'!$E$4:$E$920)),0))</f>
        <v/>
      </c>
      <c r="H478" s="128" t="str">
        <f t="shared" si="33"/>
        <v/>
      </c>
      <c r="I478" s="124" t="str">
        <f t="shared" si="34"/>
        <v/>
      </c>
      <c r="J478" s="987" t="str">
        <f>IF(A478="","",IFERROR(INDEX('Facturación 2026'!$L$4:$L$500,MATCH($A478,'Facturación 2026'!$A$4:$A$500,0)),""))</f>
        <v/>
      </c>
    </row>
    <row r="479" spans="1:10" ht="15.75" customHeight="1">
      <c r="A479" s="988"/>
      <c r="B479" s="122" t="str">
        <f t="shared" si="31"/>
        <v/>
      </c>
      <c r="C479" s="123"/>
      <c r="D479" s="131" t="str">
        <f t="array" ref="D479">IF(A479="","",SUMPRODUCT(('Detalle Turnos'!$I$3:$I$5028=$A479)*('Detalle Turnos'!$N$3:$N$5028=C479)*'Detalle Turnos'!$L$3:$L$5028))</f>
        <v/>
      </c>
      <c r="E479" s="127" t="str">
        <f t="array" ref="E479">IF(A479="","",SUMPRODUCT(('Detalle Turnos'!$I$3:$I$5028=$A479)*('Detalle Turnos'!$N$3:$N$5028=C479)*'Detalle Turnos'!$K$3:$K$5028))</f>
        <v/>
      </c>
      <c r="F479" s="127">
        <f t="shared" si="32"/>
        <v>0</v>
      </c>
      <c r="G479" s="127" t="str">
        <f t="array" ref="G479">IF(E479="","",IFERROR(SUMPRODUCT(('Facturación 2026'!$A$4:$A$920=$A479)*'Facturación 2026'!$J$4:$J$920)*E479/(SUMPRODUCT(('Caja 1'!$A$4:$A$919=$A479)*'Caja 1'!$E$4:$E$919)+SUMPRODUCT(('Caja 2'!$A$4:$A$920=$A479)*'Caja 2'!$E$4:$E$920)),0))</f>
        <v/>
      </c>
      <c r="H479" s="128" t="str">
        <f t="shared" si="33"/>
        <v/>
      </c>
      <c r="I479" s="124" t="str">
        <f t="shared" si="34"/>
        <v/>
      </c>
      <c r="J479" s="987" t="str">
        <f>IF(A479="","",IFERROR(INDEX('Facturación 2026'!$L$4:$L$500,MATCH($A479,'Facturación 2026'!$A$4:$A$500,0)),""))</f>
        <v/>
      </c>
    </row>
    <row r="480" spans="1:10" ht="15.75" customHeight="1">
      <c r="A480" s="988"/>
      <c r="B480" s="122" t="str">
        <f t="shared" si="31"/>
        <v/>
      </c>
      <c r="C480" s="123"/>
      <c r="D480" s="131" t="str">
        <f t="array" ref="D480">IF(A480="","",SUMPRODUCT(('Detalle Turnos'!$I$3:$I$5028=$A480)*('Detalle Turnos'!$N$3:$N$5028=C480)*'Detalle Turnos'!$L$3:$L$5028))</f>
        <v/>
      </c>
      <c r="E480" s="127" t="str">
        <f t="array" ref="E480">IF(A480="","",SUMPRODUCT(('Detalle Turnos'!$I$3:$I$5028=$A480)*('Detalle Turnos'!$N$3:$N$5028=C480)*'Detalle Turnos'!$K$3:$K$5028))</f>
        <v/>
      </c>
      <c r="F480" s="127">
        <f t="shared" si="32"/>
        <v>0</v>
      </c>
      <c r="G480" s="127" t="str">
        <f t="array" ref="G480">IF(E480="","",IFERROR(SUMPRODUCT(('Facturación 2026'!$A$4:$A$920=$A480)*'Facturación 2026'!$J$4:$J$920)*E480/(SUMPRODUCT(('Caja 1'!$A$4:$A$919=$A480)*'Caja 1'!$E$4:$E$919)+SUMPRODUCT(('Caja 2'!$A$4:$A$920=$A480)*'Caja 2'!$E$4:$E$920)),0))</f>
        <v/>
      </c>
      <c r="H480" s="128" t="str">
        <f t="shared" si="33"/>
        <v/>
      </c>
      <c r="I480" s="124" t="str">
        <f t="shared" si="34"/>
        <v/>
      </c>
      <c r="J480" s="987" t="str">
        <f>IF(A480="","",IFERROR(INDEX('Facturación 2026'!$L$4:$L$500,MATCH($A480,'Facturación 2026'!$A$4:$A$500,0)),""))</f>
        <v/>
      </c>
    </row>
    <row r="481" spans="1:10" ht="15.75" customHeight="1">
      <c r="A481" s="988"/>
      <c r="B481" s="122" t="str">
        <f t="shared" si="31"/>
        <v/>
      </c>
      <c r="C481" s="123"/>
      <c r="D481" s="131" t="str">
        <f t="array" ref="D481">IF(A481="","",SUMPRODUCT(('Detalle Turnos'!$I$3:$I$5028=$A481)*('Detalle Turnos'!$N$3:$N$5028=C481)*'Detalle Turnos'!$L$3:$L$5028))</f>
        <v/>
      </c>
      <c r="E481" s="127" t="str">
        <f t="array" ref="E481">IF(A481="","",SUMPRODUCT(('Detalle Turnos'!$I$3:$I$5028=$A481)*('Detalle Turnos'!$N$3:$N$5028=C481)*'Detalle Turnos'!$K$3:$K$5028))</f>
        <v/>
      </c>
      <c r="F481" s="127">
        <f t="shared" si="32"/>
        <v>0</v>
      </c>
      <c r="G481" s="127" t="str">
        <f t="array" ref="G481">IF(E481="","",IFERROR(SUMPRODUCT(('Facturación 2026'!$A$4:$A$920=$A481)*'Facturación 2026'!$J$4:$J$920)*E481/(SUMPRODUCT(('Caja 1'!$A$4:$A$919=$A481)*'Caja 1'!$E$4:$E$919)+SUMPRODUCT(('Caja 2'!$A$4:$A$920=$A481)*'Caja 2'!$E$4:$E$920)),0))</f>
        <v/>
      </c>
      <c r="H481" s="128" t="str">
        <f t="shared" si="33"/>
        <v/>
      </c>
      <c r="I481" s="124" t="str">
        <f t="shared" si="34"/>
        <v/>
      </c>
      <c r="J481" s="987" t="str">
        <f>IF(A481="","",IFERROR(INDEX('Facturación 2026'!$L$4:$L$500,MATCH($A481,'Facturación 2026'!$A$4:$A$500,0)),""))</f>
        <v/>
      </c>
    </row>
    <row r="482" spans="1:10" ht="15.75" customHeight="1">
      <c r="A482" s="988"/>
      <c r="B482" s="122" t="str">
        <f t="shared" si="31"/>
        <v/>
      </c>
      <c r="C482" s="123"/>
      <c r="D482" s="131" t="str">
        <f t="array" ref="D482">IF(A482="","",SUMPRODUCT(('Detalle Turnos'!$I$3:$I$5028=$A482)*('Detalle Turnos'!$N$3:$N$5028=C482)*'Detalle Turnos'!$L$3:$L$5028))</f>
        <v/>
      </c>
      <c r="E482" s="127" t="str">
        <f t="array" ref="E482">IF(A482="","",SUMPRODUCT(('Detalle Turnos'!$I$3:$I$5028=$A482)*('Detalle Turnos'!$N$3:$N$5028=C482)*'Detalle Turnos'!$K$3:$K$5028))</f>
        <v/>
      </c>
      <c r="F482" s="127">
        <f t="shared" si="32"/>
        <v>0</v>
      </c>
      <c r="G482" s="127" t="str">
        <f t="array" ref="G482">IF(E482="","",IFERROR(SUMPRODUCT(('Facturación 2026'!$A$4:$A$920=$A482)*'Facturación 2026'!$J$4:$J$920)*E482/(SUMPRODUCT(('Caja 1'!$A$4:$A$919=$A482)*'Caja 1'!$E$4:$E$919)+SUMPRODUCT(('Caja 2'!$A$4:$A$920=$A482)*'Caja 2'!$E$4:$E$920)),0))</f>
        <v/>
      </c>
      <c r="H482" s="128" t="str">
        <f t="shared" si="33"/>
        <v/>
      </c>
      <c r="I482" s="124" t="str">
        <f t="shared" si="34"/>
        <v/>
      </c>
      <c r="J482" s="987" t="str">
        <f>IF(A482="","",IFERROR(INDEX('Facturación 2026'!$L$4:$L$500,MATCH($A482,'Facturación 2026'!$A$4:$A$500,0)),""))</f>
        <v/>
      </c>
    </row>
    <row r="483" spans="1:10" ht="15.75" customHeight="1">
      <c r="A483" s="988"/>
      <c r="B483" s="122" t="str">
        <f t="shared" si="31"/>
        <v/>
      </c>
      <c r="C483" s="123"/>
      <c r="D483" s="131" t="str">
        <f t="array" ref="D483">IF(A483="","",SUMPRODUCT(('Detalle Turnos'!$I$3:$I$5028=$A483)*('Detalle Turnos'!$N$3:$N$5028=C483)*'Detalle Turnos'!$L$3:$L$5028))</f>
        <v/>
      </c>
      <c r="E483" s="127" t="str">
        <f t="array" ref="E483">IF(A483="","",SUMPRODUCT(('Detalle Turnos'!$I$3:$I$5028=$A483)*('Detalle Turnos'!$N$3:$N$5028=C483)*'Detalle Turnos'!$K$3:$K$5028))</f>
        <v/>
      </c>
      <c r="F483" s="127">
        <f t="shared" si="32"/>
        <v>0</v>
      </c>
      <c r="G483" s="127" t="str">
        <f t="array" ref="G483">IF(E483="","",IFERROR(SUMPRODUCT(('Facturación 2026'!$A$4:$A$920=$A483)*'Facturación 2026'!$J$4:$J$920)*E483/(SUMPRODUCT(('Caja 1'!$A$4:$A$919=$A483)*'Caja 1'!$E$4:$E$919)+SUMPRODUCT(('Caja 2'!$A$4:$A$920=$A483)*'Caja 2'!$E$4:$E$920)),0))</f>
        <v/>
      </c>
      <c r="H483" s="128" t="str">
        <f t="shared" si="33"/>
        <v/>
      </c>
      <c r="I483" s="124" t="str">
        <f t="shared" si="34"/>
        <v/>
      </c>
      <c r="J483" s="987" t="str">
        <f>IF(A483="","",IFERROR(INDEX('Facturación 2026'!$L$4:$L$500,MATCH($A483,'Facturación 2026'!$A$4:$A$500,0)),""))</f>
        <v/>
      </c>
    </row>
    <row r="484" spans="1:10" ht="15.75" customHeight="1">
      <c r="A484" s="988"/>
      <c r="B484" s="122" t="str">
        <f t="shared" si="31"/>
        <v/>
      </c>
      <c r="C484" s="123"/>
      <c r="D484" s="131" t="str">
        <f t="array" ref="D484">IF(A484="","",SUMPRODUCT(('Detalle Turnos'!$I$3:$I$5028=$A484)*('Detalle Turnos'!$N$3:$N$5028=C484)*'Detalle Turnos'!$L$3:$L$5028))</f>
        <v/>
      </c>
      <c r="E484" s="127" t="str">
        <f t="array" ref="E484">IF(A484="","",SUMPRODUCT(('Detalle Turnos'!$I$3:$I$5028=$A484)*('Detalle Turnos'!$N$3:$N$5028=C484)*'Detalle Turnos'!$K$3:$K$5028))</f>
        <v/>
      </c>
      <c r="F484" s="127">
        <f t="shared" si="32"/>
        <v>0</v>
      </c>
      <c r="G484" s="127" t="str">
        <f t="array" ref="G484">IF(E484="","",IFERROR(SUMPRODUCT(('Facturación 2026'!$A$4:$A$920=$A484)*'Facturación 2026'!$J$4:$J$920)*E484/(SUMPRODUCT(('Caja 1'!$A$4:$A$919=$A484)*'Caja 1'!$E$4:$E$919)+SUMPRODUCT(('Caja 2'!$A$4:$A$920=$A484)*'Caja 2'!$E$4:$E$920)),0))</f>
        <v/>
      </c>
      <c r="H484" s="128" t="str">
        <f t="shared" si="33"/>
        <v/>
      </c>
      <c r="I484" s="124" t="str">
        <f t="shared" si="34"/>
        <v/>
      </c>
      <c r="J484" s="987" t="str">
        <f>IF(A484="","",IFERROR(INDEX('Facturación 2026'!$L$4:$L$500,MATCH($A484,'Facturación 2026'!$A$4:$A$500,0)),""))</f>
        <v/>
      </c>
    </row>
    <row r="485" spans="1:10" ht="15.75" customHeight="1">
      <c r="A485" s="988"/>
      <c r="B485" s="122" t="str">
        <f t="shared" si="31"/>
        <v/>
      </c>
      <c r="C485" s="123"/>
      <c r="D485" s="131" t="str">
        <f t="array" ref="D485">IF(A485="","",SUMPRODUCT(('Detalle Turnos'!$I$3:$I$5028=$A485)*('Detalle Turnos'!$N$3:$N$5028=C485)*'Detalle Turnos'!$L$3:$L$5028))</f>
        <v/>
      </c>
      <c r="E485" s="127" t="str">
        <f t="array" ref="E485">IF(A485="","",SUMPRODUCT(('Detalle Turnos'!$I$3:$I$5028=$A485)*('Detalle Turnos'!$N$3:$N$5028=C485)*'Detalle Turnos'!$K$3:$K$5028))</f>
        <v/>
      </c>
      <c r="F485" s="127">
        <f t="shared" si="32"/>
        <v>0</v>
      </c>
      <c r="G485" s="127" t="str">
        <f t="array" ref="G485">IF(E485="","",IFERROR(SUMPRODUCT(('Facturación 2026'!$A$4:$A$920=$A485)*'Facturación 2026'!$J$4:$J$920)*E485/(SUMPRODUCT(('Caja 1'!$A$4:$A$919=$A485)*'Caja 1'!$E$4:$E$919)+SUMPRODUCT(('Caja 2'!$A$4:$A$920=$A485)*'Caja 2'!$E$4:$E$920)),0))</f>
        <v/>
      </c>
      <c r="H485" s="128" t="str">
        <f t="shared" si="33"/>
        <v/>
      </c>
      <c r="I485" s="124" t="str">
        <f t="shared" si="34"/>
        <v/>
      </c>
      <c r="J485" s="987" t="str">
        <f>IF(A485="","",IFERROR(INDEX('Facturación 2026'!$L$4:$L$500,MATCH($A485,'Facturación 2026'!$A$4:$A$500,0)),""))</f>
        <v/>
      </c>
    </row>
    <row r="486" spans="1:10" ht="15.75" customHeight="1">
      <c r="A486" s="988"/>
      <c r="B486" s="122" t="str">
        <f t="shared" si="31"/>
        <v/>
      </c>
      <c r="C486" s="123"/>
      <c r="D486" s="131" t="str">
        <f t="array" ref="D486">IF(A486="","",SUMPRODUCT(('Detalle Turnos'!$I$3:$I$5028=$A486)*('Detalle Turnos'!$N$3:$N$5028=C486)*'Detalle Turnos'!$L$3:$L$5028))</f>
        <v/>
      </c>
      <c r="E486" s="127" t="str">
        <f t="array" ref="E486">IF(A486="","",SUMPRODUCT(('Detalle Turnos'!$I$3:$I$5028=$A486)*('Detalle Turnos'!$N$3:$N$5028=C486)*'Detalle Turnos'!$K$3:$K$5028))</f>
        <v/>
      </c>
      <c r="F486" s="127">
        <f t="shared" si="32"/>
        <v>0</v>
      </c>
      <c r="G486" s="127" t="str">
        <f t="array" ref="G486">IF(E486="","",IFERROR(SUMPRODUCT(('Facturación 2026'!$A$4:$A$920=$A486)*'Facturación 2026'!$J$4:$J$920)*E486/(SUMPRODUCT(('Caja 1'!$A$4:$A$919=$A486)*'Caja 1'!$E$4:$E$919)+SUMPRODUCT(('Caja 2'!$A$4:$A$920=$A486)*'Caja 2'!$E$4:$E$920)),0))</f>
        <v/>
      </c>
      <c r="H486" s="128" t="str">
        <f t="shared" si="33"/>
        <v/>
      </c>
      <c r="I486" s="124" t="str">
        <f t="shared" si="34"/>
        <v/>
      </c>
      <c r="J486" s="987" t="str">
        <f>IF(A486="","",IFERROR(INDEX('Facturación 2026'!$L$4:$L$500,MATCH($A486,'Facturación 2026'!$A$4:$A$500,0)),""))</f>
        <v/>
      </c>
    </row>
    <row r="487" spans="1:10" ht="15.75" customHeight="1">
      <c r="A487" s="988"/>
      <c r="B487" s="122" t="str">
        <f t="shared" si="31"/>
        <v/>
      </c>
      <c r="C487" s="123"/>
      <c r="D487" s="131" t="str">
        <f t="array" ref="D487">IF(A487="","",SUMPRODUCT(('Detalle Turnos'!$I$3:$I$5028=$A487)*('Detalle Turnos'!$N$3:$N$5028=C487)*'Detalle Turnos'!$L$3:$L$5028))</f>
        <v/>
      </c>
      <c r="E487" s="127" t="str">
        <f t="array" ref="E487">IF(A487="","",SUMPRODUCT(('Detalle Turnos'!$I$3:$I$5028=$A487)*('Detalle Turnos'!$N$3:$N$5028=C487)*'Detalle Turnos'!$K$3:$K$5028))</f>
        <v/>
      </c>
      <c r="F487" s="127">
        <f t="shared" si="32"/>
        <v>0</v>
      </c>
      <c r="G487" s="127" t="str">
        <f t="array" ref="G487">IF(E487="","",IFERROR(SUMPRODUCT(('Facturación 2026'!$A$4:$A$920=$A487)*'Facturación 2026'!$J$4:$J$920)*E487/(SUMPRODUCT(('Caja 1'!$A$4:$A$919=$A487)*'Caja 1'!$E$4:$E$919)+SUMPRODUCT(('Caja 2'!$A$4:$A$920=$A487)*'Caja 2'!$E$4:$E$920)),0))</f>
        <v/>
      </c>
      <c r="H487" s="128" t="str">
        <f t="shared" si="33"/>
        <v/>
      </c>
      <c r="I487" s="124" t="str">
        <f t="shared" si="34"/>
        <v/>
      </c>
      <c r="J487" s="987" t="str">
        <f>IF(A487="","",IFERROR(INDEX('Facturación 2026'!$L$4:$L$500,MATCH($A487,'Facturación 2026'!$A$4:$A$500,0)),""))</f>
        <v/>
      </c>
    </row>
    <row r="488" spans="1:10" ht="15.75" customHeight="1">
      <c r="A488" s="988"/>
      <c r="B488" s="122" t="str">
        <f t="shared" si="31"/>
        <v/>
      </c>
      <c r="C488" s="123"/>
      <c r="D488" s="131" t="str">
        <f t="array" ref="D488">IF(A488="","",SUMPRODUCT(('Detalle Turnos'!$I$3:$I$5028=$A488)*('Detalle Turnos'!$N$3:$N$5028=C488)*'Detalle Turnos'!$L$3:$L$5028))</f>
        <v/>
      </c>
      <c r="E488" s="127" t="str">
        <f t="array" ref="E488">IF(A488="","",SUMPRODUCT(('Detalle Turnos'!$I$3:$I$5028=$A488)*('Detalle Turnos'!$N$3:$N$5028=C488)*'Detalle Turnos'!$K$3:$K$5028))</f>
        <v/>
      </c>
      <c r="F488" s="127">
        <f t="shared" si="32"/>
        <v>0</v>
      </c>
      <c r="G488" s="127" t="str">
        <f t="array" ref="G488">IF(E488="","",IFERROR(SUMPRODUCT(('Facturación 2026'!$A$4:$A$920=$A488)*'Facturación 2026'!$J$4:$J$920)*E488/(SUMPRODUCT(('Caja 1'!$A$4:$A$919=$A488)*'Caja 1'!$E$4:$E$919)+SUMPRODUCT(('Caja 2'!$A$4:$A$920=$A488)*'Caja 2'!$E$4:$E$920)),0))</f>
        <v/>
      </c>
      <c r="H488" s="128" t="str">
        <f t="shared" si="33"/>
        <v/>
      </c>
      <c r="I488" s="124" t="str">
        <f t="shared" si="34"/>
        <v/>
      </c>
      <c r="J488" s="987" t="str">
        <f>IF(A488="","",IFERROR(INDEX('Facturación 2026'!$L$4:$L$500,MATCH($A488,'Facturación 2026'!$A$4:$A$500,0)),""))</f>
        <v/>
      </c>
    </row>
    <row r="489" spans="1:10" ht="15.75" customHeight="1">
      <c r="A489" s="988"/>
      <c r="B489" s="122" t="str">
        <f t="shared" si="31"/>
        <v/>
      </c>
      <c r="C489" s="123"/>
      <c r="D489" s="131" t="str">
        <f t="array" ref="D489">IF(A489="","",SUMPRODUCT(('Detalle Turnos'!$I$3:$I$5028=$A489)*('Detalle Turnos'!$N$3:$N$5028=C489)*'Detalle Turnos'!$L$3:$L$5028))</f>
        <v/>
      </c>
      <c r="E489" s="127" t="str">
        <f t="array" ref="E489">IF(A489="","",SUMPRODUCT(('Detalle Turnos'!$I$3:$I$5028=$A489)*('Detalle Turnos'!$N$3:$N$5028=C489)*'Detalle Turnos'!$K$3:$K$5028))</f>
        <v/>
      </c>
      <c r="F489" s="127">
        <f t="shared" si="32"/>
        <v>0</v>
      </c>
      <c r="G489" s="127" t="str">
        <f t="array" ref="G489">IF(E489="","",IFERROR(SUMPRODUCT(('Facturación 2026'!$A$4:$A$920=$A489)*'Facturación 2026'!$J$4:$J$920)*E489/(SUMPRODUCT(('Caja 1'!$A$4:$A$919=$A489)*'Caja 1'!$E$4:$E$919)+SUMPRODUCT(('Caja 2'!$A$4:$A$920=$A489)*'Caja 2'!$E$4:$E$920)),0))</f>
        <v/>
      </c>
      <c r="H489" s="128" t="str">
        <f t="shared" si="33"/>
        <v/>
      </c>
      <c r="I489" s="124" t="str">
        <f t="shared" si="34"/>
        <v/>
      </c>
      <c r="J489" s="987" t="str">
        <f>IF(A489="","",IFERROR(INDEX('Facturación 2026'!$L$4:$L$500,MATCH($A489,'Facturación 2026'!$A$4:$A$500,0)),""))</f>
        <v/>
      </c>
    </row>
    <row r="490" spans="1:10" ht="15.75" customHeight="1">
      <c r="A490" s="988"/>
      <c r="B490" s="122" t="str">
        <f t="shared" si="31"/>
        <v/>
      </c>
      <c r="C490" s="123"/>
      <c r="D490" s="131" t="str">
        <f t="array" ref="D490">IF(A490="","",SUMPRODUCT(('Detalle Turnos'!$I$3:$I$5028=$A490)*('Detalle Turnos'!$N$3:$N$5028=C490)*'Detalle Turnos'!$L$3:$L$5028))</f>
        <v/>
      </c>
      <c r="E490" s="127" t="str">
        <f t="array" ref="E490">IF(A490="","",SUMPRODUCT(('Detalle Turnos'!$I$3:$I$5028=$A490)*('Detalle Turnos'!$N$3:$N$5028=C490)*'Detalle Turnos'!$K$3:$K$5028))</f>
        <v/>
      </c>
      <c r="F490" s="127">
        <f t="shared" si="32"/>
        <v>0</v>
      </c>
      <c r="G490" s="127" t="str">
        <f t="array" ref="G490">IF(E490="","",IFERROR(SUMPRODUCT(('Facturación 2026'!$A$4:$A$920=$A490)*'Facturación 2026'!$J$4:$J$920)*E490/(SUMPRODUCT(('Caja 1'!$A$4:$A$919=$A490)*'Caja 1'!$E$4:$E$919)+SUMPRODUCT(('Caja 2'!$A$4:$A$920=$A490)*'Caja 2'!$E$4:$E$920)),0))</f>
        <v/>
      </c>
      <c r="H490" s="128" t="str">
        <f t="shared" si="33"/>
        <v/>
      </c>
      <c r="I490" s="124" t="str">
        <f t="shared" si="34"/>
        <v/>
      </c>
      <c r="J490" s="987" t="str">
        <f>IF(A490="","",IFERROR(INDEX('Facturación 2026'!$L$4:$L$500,MATCH($A490,'Facturación 2026'!$A$4:$A$500,0)),""))</f>
        <v/>
      </c>
    </row>
    <row r="491" spans="1:10" ht="15.75" customHeight="1">
      <c r="A491" s="988"/>
      <c r="B491" s="122" t="str">
        <f t="shared" si="31"/>
        <v/>
      </c>
      <c r="C491" s="123"/>
      <c r="D491" s="131" t="str">
        <f t="array" ref="D491">IF(A491="","",SUMPRODUCT(('Detalle Turnos'!$I$3:$I$5028=$A491)*('Detalle Turnos'!$N$3:$N$5028=C491)*'Detalle Turnos'!$L$3:$L$5028))</f>
        <v/>
      </c>
      <c r="E491" s="127" t="str">
        <f t="array" ref="E491">IF(A491="","",SUMPRODUCT(('Detalle Turnos'!$I$3:$I$5028=$A491)*('Detalle Turnos'!$N$3:$N$5028=C491)*'Detalle Turnos'!$K$3:$K$5028))</f>
        <v/>
      </c>
      <c r="F491" s="127">
        <f t="shared" si="32"/>
        <v>0</v>
      </c>
      <c r="G491" s="127" t="str">
        <f t="array" ref="G491">IF(E491="","",IFERROR(SUMPRODUCT(('Facturación 2026'!$A$4:$A$920=$A491)*'Facturación 2026'!$J$4:$J$920)*E491/(SUMPRODUCT(('Caja 1'!$A$4:$A$919=$A491)*'Caja 1'!$E$4:$E$919)+SUMPRODUCT(('Caja 2'!$A$4:$A$920=$A491)*'Caja 2'!$E$4:$E$920)),0))</f>
        <v/>
      </c>
      <c r="H491" s="128" t="str">
        <f t="shared" si="33"/>
        <v/>
      </c>
      <c r="I491" s="124" t="str">
        <f t="shared" si="34"/>
        <v/>
      </c>
      <c r="J491" s="987" t="str">
        <f>IF(A491="","",IFERROR(INDEX('Facturación 2026'!$L$4:$L$500,MATCH($A491,'Facturación 2026'!$A$4:$A$500,0)),""))</f>
        <v/>
      </c>
    </row>
    <row r="492" spans="1:10" ht="15.75" customHeight="1">
      <c r="A492" s="988"/>
      <c r="B492" s="122" t="str">
        <f t="shared" si="31"/>
        <v/>
      </c>
      <c r="C492" s="123"/>
      <c r="D492" s="131" t="str">
        <f t="array" ref="D492">IF(A492="","",SUMPRODUCT(('Detalle Turnos'!$I$3:$I$5028=$A492)*('Detalle Turnos'!$N$3:$N$5028=C492)*'Detalle Turnos'!$L$3:$L$5028))</f>
        <v/>
      </c>
      <c r="E492" s="127" t="str">
        <f t="array" ref="E492">IF(A492="","",SUMPRODUCT(('Detalle Turnos'!$I$3:$I$5028=$A492)*('Detalle Turnos'!$N$3:$N$5028=C492)*'Detalle Turnos'!$K$3:$K$5028))</f>
        <v/>
      </c>
      <c r="F492" s="127">
        <f t="shared" si="32"/>
        <v>0</v>
      </c>
      <c r="G492" s="127" t="str">
        <f t="array" ref="G492">IF(E492="","",IFERROR(SUMPRODUCT(('Facturación 2026'!$A$4:$A$920=$A492)*'Facturación 2026'!$J$4:$J$920)*E492/(SUMPRODUCT(('Caja 1'!$A$4:$A$919=$A492)*'Caja 1'!$E$4:$E$919)+SUMPRODUCT(('Caja 2'!$A$4:$A$920=$A492)*'Caja 2'!$E$4:$E$920)),0))</f>
        <v/>
      </c>
      <c r="H492" s="128" t="str">
        <f t="shared" si="33"/>
        <v/>
      </c>
      <c r="I492" s="124" t="str">
        <f t="shared" si="34"/>
        <v/>
      </c>
      <c r="J492" s="987" t="str">
        <f>IF(A492="","",IFERROR(INDEX('Facturación 2026'!$L$4:$L$500,MATCH($A492,'Facturación 2026'!$A$4:$A$500,0)),""))</f>
        <v/>
      </c>
    </row>
    <row r="493" spans="1:10" ht="15.75" customHeight="1">
      <c r="A493" s="988"/>
      <c r="B493" s="122" t="str">
        <f t="shared" si="31"/>
        <v/>
      </c>
      <c r="C493" s="123"/>
      <c r="D493" s="131" t="str">
        <f t="array" ref="D493">IF(A493="","",SUMPRODUCT(('Detalle Turnos'!$I$3:$I$5028=$A493)*('Detalle Turnos'!$N$3:$N$5028=C493)*'Detalle Turnos'!$L$3:$L$5028))</f>
        <v/>
      </c>
      <c r="E493" s="127" t="str">
        <f t="array" ref="E493">IF(A493="","",SUMPRODUCT(('Detalle Turnos'!$I$3:$I$5028=$A493)*('Detalle Turnos'!$N$3:$N$5028=C493)*'Detalle Turnos'!$K$3:$K$5028))</f>
        <v/>
      </c>
      <c r="F493" s="127">
        <f t="shared" si="32"/>
        <v>0</v>
      </c>
      <c r="G493" s="127" t="str">
        <f t="array" ref="G493">IF(E493="","",IFERROR(SUMPRODUCT(('Facturación 2026'!$A$4:$A$920=$A493)*'Facturación 2026'!$J$4:$J$920)*E493/(SUMPRODUCT(('Caja 1'!$A$4:$A$919=$A493)*'Caja 1'!$E$4:$E$919)+SUMPRODUCT(('Caja 2'!$A$4:$A$920=$A493)*'Caja 2'!$E$4:$E$920)),0))</f>
        <v/>
      </c>
      <c r="H493" s="128" t="str">
        <f t="shared" si="33"/>
        <v/>
      </c>
      <c r="I493" s="124" t="str">
        <f t="shared" si="34"/>
        <v/>
      </c>
      <c r="J493" s="987" t="str">
        <f>IF(A493="","",IFERROR(INDEX('Facturación 2026'!$L$4:$L$500,MATCH($A493,'Facturación 2026'!$A$4:$A$500,0)),""))</f>
        <v/>
      </c>
    </row>
    <row r="494" spans="1:10" ht="15.75" customHeight="1">
      <c r="A494" s="988"/>
      <c r="B494" s="122" t="str">
        <f t="shared" si="31"/>
        <v/>
      </c>
      <c r="C494" s="123"/>
      <c r="D494" s="131" t="str">
        <f t="array" ref="D494">IF(A494="","",SUMPRODUCT(('Detalle Turnos'!$I$3:$I$5028=$A494)*('Detalle Turnos'!$N$3:$N$5028=C494)*'Detalle Turnos'!$L$3:$L$5028))</f>
        <v/>
      </c>
      <c r="E494" s="127" t="str">
        <f t="array" ref="E494">IF(A494="","",SUMPRODUCT(('Detalle Turnos'!$I$3:$I$5028=$A494)*('Detalle Turnos'!$N$3:$N$5028=C494)*'Detalle Turnos'!$K$3:$K$5028))</f>
        <v/>
      </c>
      <c r="F494" s="127">
        <f t="shared" si="32"/>
        <v>0</v>
      </c>
      <c r="G494" s="127" t="str">
        <f t="array" ref="G494">IF(E494="","",IFERROR(SUMPRODUCT(('Facturación 2026'!$A$4:$A$920=$A494)*'Facturación 2026'!$J$4:$J$920)*E494/(SUMPRODUCT(('Caja 1'!$A$4:$A$919=$A494)*'Caja 1'!$E$4:$E$919)+SUMPRODUCT(('Caja 2'!$A$4:$A$920=$A494)*'Caja 2'!$E$4:$E$920)),0))</f>
        <v/>
      </c>
      <c r="H494" s="128" t="str">
        <f t="shared" si="33"/>
        <v/>
      </c>
      <c r="I494" s="124" t="str">
        <f t="shared" si="34"/>
        <v/>
      </c>
      <c r="J494" s="987" t="str">
        <f>IF(A494="","",IFERROR(INDEX('Facturación 2026'!$L$4:$L$500,MATCH($A494,'Facturación 2026'!$A$4:$A$500,0)),""))</f>
        <v/>
      </c>
    </row>
    <row r="495" spans="1:10" ht="15.75" customHeight="1">
      <c r="A495" s="988"/>
      <c r="B495" s="122" t="str">
        <f t="shared" si="31"/>
        <v/>
      </c>
      <c r="C495" s="123"/>
      <c r="D495" s="131" t="str">
        <f t="array" ref="D495">IF(A495="","",SUMPRODUCT(('Detalle Turnos'!$I$3:$I$5028=$A495)*('Detalle Turnos'!$N$3:$N$5028=C495)*'Detalle Turnos'!$L$3:$L$5028))</f>
        <v/>
      </c>
      <c r="E495" s="127" t="str">
        <f t="array" ref="E495">IF(A495="","",SUMPRODUCT(('Detalle Turnos'!$I$3:$I$5028=$A495)*('Detalle Turnos'!$N$3:$N$5028=C495)*'Detalle Turnos'!$K$3:$K$5028))</f>
        <v/>
      </c>
      <c r="F495" s="127">
        <f t="shared" si="32"/>
        <v>0</v>
      </c>
      <c r="G495" s="127" t="str">
        <f t="array" ref="G495">IF(E495="","",IFERROR(SUMPRODUCT(('Facturación 2026'!$A$4:$A$920=$A495)*'Facturación 2026'!$J$4:$J$920)*E495/(SUMPRODUCT(('Caja 1'!$A$4:$A$919=$A495)*'Caja 1'!$E$4:$E$919)+SUMPRODUCT(('Caja 2'!$A$4:$A$920=$A495)*'Caja 2'!$E$4:$E$920)),0))</f>
        <v/>
      </c>
      <c r="H495" s="128" t="str">
        <f t="shared" si="33"/>
        <v/>
      </c>
      <c r="I495" s="124" t="str">
        <f t="shared" si="34"/>
        <v/>
      </c>
      <c r="J495" s="987" t="str">
        <f>IF(A495="","",IFERROR(INDEX('Facturación 2026'!$L$4:$L$500,MATCH($A495,'Facturación 2026'!$A$4:$A$500,0)),""))</f>
        <v/>
      </c>
    </row>
    <row r="496" spans="1:10" ht="15.75" customHeight="1">
      <c r="A496" s="988"/>
      <c r="B496" s="122" t="str">
        <f t="shared" si="31"/>
        <v/>
      </c>
      <c r="C496" s="123"/>
      <c r="D496" s="131" t="str">
        <f t="array" ref="D496">IF(A496="","",SUMPRODUCT(('Detalle Turnos'!$I$3:$I$5028=$A496)*('Detalle Turnos'!$N$3:$N$5028=C496)*'Detalle Turnos'!$L$3:$L$5028))</f>
        <v/>
      </c>
      <c r="E496" s="127" t="str">
        <f t="array" ref="E496">IF(A496="","",SUMPRODUCT(('Detalle Turnos'!$I$3:$I$5028=$A496)*('Detalle Turnos'!$N$3:$N$5028=C496)*'Detalle Turnos'!$K$3:$K$5028))</f>
        <v/>
      </c>
      <c r="F496" s="127">
        <f t="shared" si="32"/>
        <v>0</v>
      </c>
      <c r="G496" s="127" t="str">
        <f t="array" ref="G496">IF(E496="","",IFERROR(SUMPRODUCT(('Facturación 2026'!$A$4:$A$920=$A496)*'Facturación 2026'!$J$4:$J$920)*E496/(SUMPRODUCT(('Caja 1'!$A$4:$A$919=$A496)*'Caja 1'!$E$4:$E$919)+SUMPRODUCT(('Caja 2'!$A$4:$A$920=$A496)*'Caja 2'!$E$4:$E$920)),0))</f>
        <v/>
      </c>
      <c r="H496" s="128" t="str">
        <f t="shared" si="33"/>
        <v/>
      </c>
      <c r="I496" s="124" t="str">
        <f t="shared" si="34"/>
        <v/>
      </c>
      <c r="J496" s="987" t="str">
        <f>IF(A496="","",IFERROR(INDEX('Facturación 2026'!$L$4:$L$500,MATCH($A496,'Facturación 2026'!$A$4:$A$500,0)),""))</f>
        <v/>
      </c>
    </row>
    <row r="497" spans="1:10" ht="15.75" customHeight="1">
      <c r="A497" s="988"/>
      <c r="B497" s="122" t="str">
        <f t="shared" si="31"/>
        <v/>
      </c>
      <c r="C497" s="123"/>
      <c r="D497" s="131" t="str">
        <f t="array" ref="D497">IF(A497="","",SUMPRODUCT(('Detalle Turnos'!$I$3:$I$5028=$A497)*('Detalle Turnos'!$N$3:$N$5028=C497)*'Detalle Turnos'!$L$3:$L$5028))</f>
        <v/>
      </c>
      <c r="E497" s="127" t="str">
        <f t="array" ref="E497">IF(A497="","",SUMPRODUCT(('Detalle Turnos'!$I$3:$I$5028=$A497)*('Detalle Turnos'!$N$3:$N$5028=C497)*'Detalle Turnos'!$K$3:$K$5028))</f>
        <v/>
      </c>
      <c r="F497" s="127">
        <f t="shared" si="32"/>
        <v>0</v>
      </c>
      <c r="G497" s="127" t="str">
        <f t="array" ref="G497">IF(E497="","",IFERROR(SUMPRODUCT(('Facturación 2026'!$A$4:$A$920=$A497)*'Facturación 2026'!$J$4:$J$920)*E497/(SUMPRODUCT(('Caja 1'!$A$4:$A$919=$A497)*'Caja 1'!$E$4:$E$919)+SUMPRODUCT(('Caja 2'!$A$4:$A$920=$A497)*'Caja 2'!$E$4:$E$920)),0))</f>
        <v/>
      </c>
      <c r="H497" s="128" t="str">
        <f t="shared" si="33"/>
        <v/>
      </c>
      <c r="I497" s="124" t="str">
        <f t="shared" si="34"/>
        <v/>
      </c>
      <c r="J497" s="987" t="str">
        <f>IF(A497="","",IFERROR(INDEX('Facturación 2026'!$L$4:$L$500,MATCH($A497,'Facturación 2026'!$A$4:$A$500,0)),""))</f>
        <v/>
      </c>
    </row>
    <row r="498" spans="1:10" ht="15.75" customHeight="1">
      <c r="A498" s="988"/>
      <c r="B498" s="122" t="str">
        <f t="shared" si="31"/>
        <v/>
      </c>
      <c r="C498" s="123"/>
      <c r="D498" s="131" t="str">
        <f t="array" ref="D498">IF(A498="","",SUMPRODUCT(('Detalle Turnos'!$I$3:$I$5028=$A498)*('Detalle Turnos'!$N$3:$N$5028=C498)*'Detalle Turnos'!$L$3:$L$5028))</f>
        <v/>
      </c>
      <c r="E498" s="127" t="str">
        <f t="array" ref="E498">IF(A498="","",SUMPRODUCT(('Detalle Turnos'!$I$3:$I$5028=$A498)*('Detalle Turnos'!$N$3:$N$5028=C498)*'Detalle Turnos'!$K$3:$K$5028))</f>
        <v/>
      </c>
      <c r="F498" s="127">
        <f t="shared" si="32"/>
        <v>0</v>
      </c>
      <c r="G498" s="127" t="str">
        <f t="array" ref="G498">IF(E498="","",IFERROR(SUMPRODUCT(('Facturación 2026'!$A$4:$A$920=$A498)*'Facturación 2026'!$J$4:$J$920)*E498/(SUMPRODUCT(('Caja 1'!$A$4:$A$919=$A498)*'Caja 1'!$E$4:$E$919)+SUMPRODUCT(('Caja 2'!$A$4:$A$920=$A498)*'Caja 2'!$E$4:$E$920)),0))</f>
        <v/>
      </c>
      <c r="H498" s="128" t="str">
        <f t="shared" si="33"/>
        <v/>
      </c>
      <c r="I498" s="124" t="str">
        <f t="shared" si="34"/>
        <v/>
      </c>
      <c r="J498" s="987" t="str">
        <f>IF(A498="","",IFERROR(INDEX('Facturación 2026'!$L$4:$L$500,MATCH($A498,'Facturación 2026'!$A$4:$A$500,0)),""))</f>
        <v/>
      </c>
    </row>
    <row r="499" spans="1:10" ht="15.75" customHeight="1">
      <c r="A499" s="988"/>
      <c r="B499" s="122" t="str">
        <f t="shared" si="31"/>
        <v/>
      </c>
      <c r="C499" s="123"/>
      <c r="D499" s="131" t="str">
        <f t="array" ref="D499">IF(A499="","",SUMPRODUCT(('Detalle Turnos'!$I$3:$I$5028=$A499)*('Detalle Turnos'!$N$3:$N$5028=C499)*'Detalle Turnos'!$L$3:$L$5028))</f>
        <v/>
      </c>
      <c r="E499" s="127" t="str">
        <f t="array" ref="E499">IF(A499="","",SUMPRODUCT(('Detalle Turnos'!$I$3:$I$5028=$A499)*('Detalle Turnos'!$N$3:$N$5028=C499)*'Detalle Turnos'!$K$3:$K$5028))</f>
        <v/>
      </c>
      <c r="F499" s="127">
        <f t="shared" si="32"/>
        <v>0</v>
      </c>
      <c r="G499" s="127" t="str">
        <f t="array" ref="G499">IF(E499="","",IFERROR(SUMPRODUCT(('Facturación 2026'!$A$4:$A$920=$A499)*'Facturación 2026'!$J$4:$J$920)*E499/(SUMPRODUCT(('Caja 1'!$A$4:$A$919=$A499)*'Caja 1'!$E$4:$E$919)+SUMPRODUCT(('Caja 2'!$A$4:$A$920=$A499)*'Caja 2'!$E$4:$E$920)),0))</f>
        <v/>
      </c>
      <c r="H499" s="128" t="str">
        <f t="shared" si="33"/>
        <v/>
      </c>
      <c r="I499" s="124" t="str">
        <f t="shared" si="34"/>
        <v/>
      </c>
      <c r="J499" s="987" t="str">
        <f>IF(A499="","",IFERROR(INDEX('Facturación 2026'!$L$4:$L$500,MATCH($A499,'Facturación 2026'!$A$4:$A$500,0)),""))</f>
        <v/>
      </c>
    </row>
    <row r="500" spans="1:10" ht="15.75" customHeight="1">
      <c r="A500" s="988"/>
      <c r="B500" s="122" t="str">
        <f t="shared" si="31"/>
        <v/>
      </c>
      <c r="C500" s="123"/>
      <c r="D500" s="131" t="str">
        <f t="array" ref="D500">IF(A500="","",SUMPRODUCT(('Detalle Turnos'!$I$3:$I$5028=$A500)*('Detalle Turnos'!$N$3:$N$5028=C500)*'Detalle Turnos'!$L$3:$L$5028))</f>
        <v/>
      </c>
      <c r="E500" s="127" t="str">
        <f t="array" ref="E500">IF(A500="","",SUMPRODUCT(('Detalle Turnos'!$I$3:$I$5028=$A500)*('Detalle Turnos'!$N$3:$N$5028=C500)*'Detalle Turnos'!$K$3:$K$5028))</f>
        <v/>
      </c>
      <c r="F500" s="127">
        <f t="shared" si="32"/>
        <v>0</v>
      </c>
      <c r="G500" s="127" t="str">
        <f t="array" ref="G500">IF(E500="","",IFERROR(SUMPRODUCT(('Facturación 2026'!$A$4:$A$920=$A500)*'Facturación 2026'!$J$4:$J$920)*E500/(SUMPRODUCT(('Caja 1'!$A$4:$A$919=$A500)*'Caja 1'!$E$4:$E$919)+SUMPRODUCT(('Caja 2'!$A$4:$A$920=$A500)*'Caja 2'!$E$4:$E$920)),0))</f>
        <v/>
      </c>
      <c r="H500" s="128" t="str">
        <f t="shared" si="33"/>
        <v/>
      </c>
      <c r="I500" s="124" t="str">
        <f t="shared" si="34"/>
        <v/>
      </c>
      <c r="J500" s="987" t="str">
        <f>IF(A500="","",IFERROR(INDEX('Facturación 2026'!$L$4:$L$500,MATCH($A500,'Facturación 2026'!$A$4:$A$500,0)),""))</f>
        <v/>
      </c>
    </row>
    <row r="501" spans="1:10" ht="15.75" customHeight="1">
      <c r="A501" s="988"/>
      <c r="B501" s="122" t="str">
        <f t="shared" si="31"/>
        <v/>
      </c>
      <c r="C501" s="123"/>
      <c r="D501" s="131" t="str">
        <f t="array" ref="D501">IF(A501="","",SUMPRODUCT(('Detalle Turnos'!$I$3:$I$5028=$A501)*('Detalle Turnos'!$N$3:$N$5028=C501)*'Detalle Turnos'!$L$3:$L$5028))</f>
        <v/>
      </c>
      <c r="E501" s="127" t="str">
        <f t="array" ref="E501">IF(A501="","",SUMPRODUCT(('Detalle Turnos'!$I$3:$I$5028=$A501)*('Detalle Turnos'!$N$3:$N$5028=C501)*'Detalle Turnos'!$K$3:$K$5028))</f>
        <v/>
      </c>
      <c r="F501" s="127">
        <f t="shared" si="32"/>
        <v>0</v>
      </c>
      <c r="G501" s="127" t="str">
        <f t="array" ref="G501">IF(E501="","",IFERROR(SUMPRODUCT(('Facturación 2026'!$A$4:$A$920=$A501)*'Facturación 2026'!$J$4:$J$920)*E501/(SUMPRODUCT(('Caja 1'!$A$4:$A$919=$A501)*'Caja 1'!$E$4:$E$919)+SUMPRODUCT(('Caja 2'!$A$4:$A$920=$A501)*'Caja 2'!$E$4:$E$920)),0))</f>
        <v/>
      </c>
      <c r="H501" s="128" t="str">
        <f t="shared" si="33"/>
        <v/>
      </c>
      <c r="I501" s="124" t="str">
        <f t="shared" si="34"/>
        <v/>
      </c>
      <c r="J501" s="987" t="str">
        <f>IF(A501="","",IFERROR(INDEX('Facturación 2026'!$L$4:$L$500,MATCH($A501,'Facturación 2026'!$A$4:$A$500,0)),""))</f>
        <v/>
      </c>
    </row>
    <row r="502" spans="1:10" ht="15.75" customHeight="1">
      <c r="A502" s="988"/>
      <c r="B502" s="122" t="str">
        <f t="shared" si="31"/>
        <v/>
      </c>
      <c r="C502" s="123"/>
      <c r="D502" s="131" t="str">
        <f t="array" ref="D502">IF(A502="","",SUMPRODUCT(('Detalle Turnos'!$I$3:$I$5028=$A502)*('Detalle Turnos'!$N$3:$N$5028=C502)*'Detalle Turnos'!$L$3:$L$5028))</f>
        <v/>
      </c>
      <c r="E502" s="127" t="str">
        <f t="array" ref="E502">IF(A502="","",SUMPRODUCT(('Detalle Turnos'!$I$3:$I$5028=$A502)*('Detalle Turnos'!$N$3:$N$5028=C502)*'Detalle Turnos'!$K$3:$K$5028))</f>
        <v/>
      </c>
      <c r="F502" s="127">
        <f t="shared" si="32"/>
        <v>0</v>
      </c>
      <c r="G502" s="127" t="str">
        <f t="array" ref="G502">IF(E502="","",IFERROR(SUMPRODUCT(('Facturación 2026'!$A$4:$A$920=$A502)*'Facturación 2026'!$J$4:$J$920)*E502/(SUMPRODUCT(('Caja 1'!$A$4:$A$919=$A502)*'Caja 1'!$E$4:$E$919)+SUMPRODUCT(('Caja 2'!$A$4:$A$920=$A502)*'Caja 2'!$E$4:$E$920)),0))</f>
        <v/>
      </c>
      <c r="H502" s="128" t="str">
        <f t="shared" si="33"/>
        <v/>
      </c>
      <c r="I502" s="124" t="str">
        <f t="shared" si="34"/>
        <v/>
      </c>
      <c r="J502" s="987" t="str">
        <f>IF(A502="","",IFERROR(INDEX('Facturación 2026'!$L$4:$L$500,MATCH($A502,'Facturación 2026'!$A$4:$A$500,0)),""))</f>
        <v/>
      </c>
    </row>
    <row r="503" spans="1:10" ht="15.75" customHeight="1">
      <c r="A503" s="988"/>
      <c r="B503" s="122" t="str">
        <f t="shared" si="31"/>
        <v/>
      </c>
      <c r="C503" s="123"/>
      <c r="D503" s="131" t="str">
        <f t="array" ref="D503">IF(A503="","",SUMPRODUCT(('Detalle Turnos'!$I$3:$I$5028=$A503)*('Detalle Turnos'!$N$3:$N$5028=C503)*'Detalle Turnos'!$L$3:$L$5028))</f>
        <v/>
      </c>
      <c r="E503" s="127" t="str">
        <f t="array" ref="E503">IF(A503="","",SUMPRODUCT(('Detalle Turnos'!$I$3:$I$5028=$A503)*('Detalle Turnos'!$N$3:$N$5028=C503)*'Detalle Turnos'!$K$3:$K$5028))</f>
        <v/>
      </c>
      <c r="F503" s="127">
        <f t="shared" si="32"/>
        <v>0</v>
      </c>
      <c r="G503" s="127" t="str">
        <f t="array" ref="G503">IF(E503="","",IFERROR(SUMPRODUCT(('Facturación 2026'!$A$4:$A$920=$A503)*'Facturación 2026'!$J$4:$J$920)*E503/(SUMPRODUCT(('Caja 1'!$A$4:$A$919=$A503)*'Caja 1'!$E$4:$E$919)+SUMPRODUCT(('Caja 2'!$A$4:$A$920=$A503)*'Caja 2'!$E$4:$E$920)),0))</f>
        <v/>
      </c>
      <c r="H503" s="128" t="str">
        <f t="shared" si="33"/>
        <v/>
      </c>
      <c r="I503" s="124" t="str">
        <f t="shared" si="34"/>
        <v/>
      </c>
      <c r="J503" s="987" t="str">
        <f>IF(A503="","",IFERROR(INDEX('Facturación 2026'!$L$4:$L$500,MATCH($A503,'Facturación 2026'!$A$4:$A$500,0)),""))</f>
        <v/>
      </c>
    </row>
    <row r="504" spans="1:10" ht="15.75" customHeight="1">
      <c r="A504" s="988"/>
      <c r="B504" s="122" t="str">
        <f t="shared" si="31"/>
        <v/>
      </c>
      <c r="C504" s="123"/>
      <c r="D504" s="131" t="str">
        <f t="array" ref="D504">IF(A504="","",SUMPRODUCT(('Detalle Turnos'!$I$3:$I$5028=$A504)*('Detalle Turnos'!$N$3:$N$5028=C504)*'Detalle Turnos'!$L$3:$L$5028))</f>
        <v/>
      </c>
      <c r="E504" s="127" t="str">
        <f t="array" ref="E504">IF(A504="","",SUMPRODUCT(('Detalle Turnos'!$I$3:$I$5028=$A504)*('Detalle Turnos'!$N$3:$N$5028=C504)*'Detalle Turnos'!$K$3:$K$5028))</f>
        <v/>
      </c>
      <c r="F504" s="127">
        <f t="shared" si="32"/>
        <v>0</v>
      </c>
      <c r="G504" s="127" t="str">
        <f t="array" ref="G504">IF(E504="","",IFERROR(SUMPRODUCT(('Facturación 2026'!$A$4:$A$920=$A504)*'Facturación 2026'!$J$4:$J$920)*E504/(SUMPRODUCT(('Caja 1'!$A$4:$A$919=$A504)*'Caja 1'!$E$4:$E$919)+SUMPRODUCT(('Caja 2'!$A$4:$A$920=$A504)*'Caja 2'!$E$4:$E$920)),0))</f>
        <v/>
      </c>
      <c r="H504" s="128" t="str">
        <f t="shared" si="33"/>
        <v/>
      </c>
      <c r="I504" s="124" t="str">
        <f t="shared" si="34"/>
        <v/>
      </c>
      <c r="J504" s="987" t="str">
        <f>IF(A504="","",IFERROR(INDEX('Facturación 2026'!$L$4:$L$500,MATCH($A504,'Facturación 2026'!$A$4:$A$500,0)),""))</f>
        <v/>
      </c>
    </row>
    <row r="505" spans="1:10" ht="15.75" customHeight="1">
      <c r="A505" s="988"/>
      <c r="B505" s="122" t="str">
        <f t="shared" si="31"/>
        <v/>
      </c>
      <c r="C505" s="123"/>
      <c r="D505" s="131" t="str">
        <f t="array" ref="D505">IF(A505="","",SUMPRODUCT(('Detalle Turnos'!$I$3:$I$5028=$A505)*('Detalle Turnos'!$N$3:$N$5028=C505)*'Detalle Turnos'!$L$3:$L$5028))</f>
        <v/>
      </c>
      <c r="E505" s="127" t="str">
        <f t="array" ref="E505">IF(A505="","",SUMPRODUCT(('Detalle Turnos'!$I$3:$I$5028=$A505)*('Detalle Turnos'!$N$3:$N$5028=C505)*'Detalle Turnos'!$K$3:$K$5028))</f>
        <v/>
      </c>
      <c r="F505" s="127">
        <f t="shared" si="32"/>
        <v>0</v>
      </c>
      <c r="G505" s="127" t="str">
        <f t="array" ref="G505">IF(E505="","",IFERROR(SUMPRODUCT(('Facturación 2026'!$A$4:$A$920=$A505)*'Facturación 2026'!$J$4:$J$920)*E505/(SUMPRODUCT(('Caja 1'!$A$4:$A$919=$A505)*'Caja 1'!$E$4:$E$919)+SUMPRODUCT(('Caja 2'!$A$4:$A$920=$A505)*'Caja 2'!$E$4:$E$920)),0))</f>
        <v/>
      </c>
      <c r="H505" s="128" t="str">
        <f t="shared" si="33"/>
        <v/>
      </c>
      <c r="I505" s="124" t="str">
        <f t="shared" si="34"/>
        <v/>
      </c>
      <c r="J505" s="987" t="str">
        <f>IF(A505="","",IFERROR(INDEX('Facturación 2026'!$L$4:$L$500,MATCH($A505,'Facturación 2026'!$A$4:$A$500,0)),""))</f>
        <v/>
      </c>
    </row>
    <row r="506" spans="1:10" ht="15.75" customHeight="1">
      <c r="A506" s="988"/>
      <c r="B506" s="122" t="str">
        <f t="shared" si="31"/>
        <v/>
      </c>
      <c r="C506" s="123"/>
      <c r="D506" s="131" t="str">
        <f t="array" ref="D506">IF(A506="","",SUMPRODUCT(('Detalle Turnos'!$I$3:$I$5028=$A506)*('Detalle Turnos'!$N$3:$N$5028=C506)*'Detalle Turnos'!$L$3:$L$5028))</f>
        <v/>
      </c>
      <c r="E506" s="127" t="str">
        <f t="array" ref="E506">IF(A506="","",SUMPRODUCT(('Detalle Turnos'!$I$3:$I$5028=$A506)*('Detalle Turnos'!$N$3:$N$5028=C506)*'Detalle Turnos'!$K$3:$K$5028))</f>
        <v/>
      </c>
      <c r="F506" s="127">
        <f t="shared" si="32"/>
        <v>0</v>
      </c>
      <c r="G506" s="127" t="str">
        <f t="array" ref="G506">IF(E506="","",IFERROR(SUMPRODUCT(('Facturación 2026'!$A$4:$A$920=$A506)*'Facturación 2026'!$J$4:$J$920)*E506/(SUMPRODUCT(('Caja 1'!$A$4:$A$919=$A506)*'Caja 1'!$E$4:$E$919)+SUMPRODUCT(('Caja 2'!$A$4:$A$920=$A506)*'Caja 2'!$E$4:$E$920)),0))</f>
        <v/>
      </c>
      <c r="H506" s="128" t="str">
        <f t="shared" si="33"/>
        <v/>
      </c>
      <c r="I506" s="124" t="str">
        <f t="shared" si="34"/>
        <v/>
      </c>
      <c r="J506" s="987" t="str">
        <f>IF(A506="","",IFERROR(INDEX('Facturación 2026'!$L$4:$L$500,MATCH($A506,'Facturación 2026'!$A$4:$A$500,0)),""))</f>
        <v/>
      </c>
    </row>
    <row r="507" spans="1:10" ht="15.75" customHeight="1">
      <c r="A507" s="988"/>
      <c r="B507" s="122" t="str">
        <f t="shared" si="31"/>
        <v/>
      </c>
      <c r="C507" s="123"/>
      <c r="D507" s="131" t="str">
        <f t="array" ref="D507">IF(A507="","",SUMPRODUCT(('Detalle Turnos'!$I$3:$I$5028=$A507)*('Detalle Turnos'!$N$3:$N$5028=C507)*'Detalle Turnos'!$L$3:$L$5028))</f>
        <v/>
      </c>
      <c r="E507" s="127" t="str">
        <f t="array" ref="E507">IF(A507="","",SUMPRODUCT(('Detalle Turnos'!$I$3:$I$5028=$A507)*('Detalle Turnos'!$N$3:$N$5028=C507)*'Detalle Turnos'!$K$3:$K$5028))</f>
        <v/>
      </c>
      <c r="F507" s="127">
        <f t="shared" si="32"/>
        <v>0</v>
      </c>
      <c r="G507" s="127" t="str">
        <f t="array" ref="G507">IF(E507="","",IFERROR(SUMPRODUCT(('Facturación 2026'!$A$4:$A$920=$A507)*'Facturación 2026'!$J$4:$J$920)*E507/(SUMPRODUCT(('Caja 1'!$A$4:$A$919=$A507)*'Caja 1'!$E$4:$E$919)+SUMPRODUCT(('Caja 2'!$A$4:$A$920=$A507)*'Caja 2'!$E$4:$E$920)),0))</f>
        <v/>
      </c>
      <c r="H507" s="128" t="str">
        <f t="shared" si="33"/>
        <v/>
      </c>
      <c r="I507" s="124" t="str">
        <f t="shared" si="34"/>
        <v/>
      </c>
      <c r="J507" s="987" t="str">
        <f>IF(A507="","",IFERROR(INDEX('Facturación 2026'!$L$4:$L$500,MATCH($A507,'Facturación 2026'!$A$4:$A$500,0)),""))</f>
        <v/>
      </c>
    </row>
    <row r="508" spans="1:10" ht="15.75" customHeight="1">
      <c r="A508" s="988"/>
      <c r="B508" s="122" t="str">
        <f t="shared" si="31"/>
        <v/>
      </c>
      <c r="C508" s="123"/>
      <c r="D508" s="131" t="str">
        <f t="array" ref="D508">IF(A508="","",SUMPRODUCT(('Detalle Turnos'!$I$3:$I$5028=$A508)*('Detalle Turnos'!$N$3:$N$5028=C508)*'Detalle Turnos'!$L$3:$L$5028))</f>
        <v/>
      </c>
      <c r="E508" s="127" t="str">
        <f t="array" ref="E508">IF(A508="","",SUMPRODUCT(('Detalle Turnos'!$I$3:$I$5028=$A508)*('Detalle Turnos'!$N$3:$N$5028=C508)*'Detalle Turnos'!$K$3:$K$5028))</f>
        <v/>
      </c>
      <c r="F508" s="127">
        <f t="shared" si="32"/>
        <v>0</v>
      </c>
      <c r="G508" s="127" t="str">
        <f t="array" ref="G508">IF(E508="","",IFERROR(SUMPRODUCT(('Facturación 2026'!$A$4:$A$920=$A508)*'Facturación 2026'!$J$4:$J$920)*E508/(SUMPRODUCT(('Caja 1'!$A$4:$A$919=$A508)*'Caja 1'!$E$4:$E$919)+SUMPRODUCT(('Caja 2'!$A$4:$A$920=$A508)*'Caja 2'!$E$4:$E$920)),0))</f>
        <v/>
      </c>
      <c r="H508" s="128" t="str">
        <f t="shared" si="33"/>
        <v/>
      </c>
      <c r="I508" s="124" t="str">
        <f t="shared" si="34"/>
        <v/>
      </c>
      <c r="J508" s="987" t="str">
        <f>IF(A508="","",IFERROR(INDEX('Facturación 2026'!$L$4:$L$500,MATCH($A508,'Facturación 2026'!$A$4:$A$500,0)),""))</f>
        <v/>
      </c>
    </row>
    <row r="509" spans="1:10" ht="15.75" customHeight="1">
      <c r="A509" s="988"/>
      <c r="B509" s="122" t="str">
        <f t="shared" si="31"/>
        <v/>
      </c>
      <c r="C509" s="123"/>
      <c r="D509" s="131" t="str">
        <f t="array" ref="D509">IF(A509="","",SUMPRODUCT(('Detalle Turnos'!$I$3:$I$5028=$A509)*('Detalle Turnos'!$N$3:$N$5028=C509)*'Detalle Turnos'!$L$3:$L$5028))</f>
        <v/>
      </c>
      <c r="E509" s="127" t="str">
        <f t="array" ref="E509">IF(A509="","",SUMPRODUCT(('Detalle Turnos'!$I$3:$I$5028=$A509)*('Detalle Turnos'!$N$3:$N$5028=C509)*'Detalle Turnos'!$K$3:$K$5028))</f>
        <v/>
      </c>
      <c r="F509" s="127">
        <f t="shared" si="32"/>
        <v>0</v>
      </c>
      <c r="G509" s="127" t="str">
        <f t="array" ref="G509">IF(E509="","",IFERROR(SUMPRODUCT(('Facturación 2026'!$A$4:$A$920=$A509)*'Facturación 2026'!$J$4:$J$920)*E509/(SUMPRODUCT(('Caja 1'!$A$4:$A$919=$A509)*'Caja 1'!$E$4:$E$919)+SUMPRODUCT(('Caja 2'!$A$4:$A$920=$A509)*'Caja 2'!$E$4:$E$920)),0))</f>
        <v/>
      </c>
      <c r="H509" s="128" t="str">
        <f t="shared" si="33"/>
        <v/>
      </c>
      <c r="I509" s="124" t="str">
        <f t="shared" si="34"/>
        <v/>
      </c>
      <c r="J509" s="987" t="str">
        <f>IF(A509="","",IFERROR(INDEX('Facturación 2026'!$L$4:$L$500,MATCH($A509,'Facturación 2026'!$A$4:$A$500,0)),""))</f>
        <v/>
      </c>
    </row>
    <row r="510" spans="1:10" ht="15.75" customHeight="1">
      <c r="A510" s="988"/>
      <c r="B510" s="122" t="str">
        <f t="shared" si="31"/>
        <v/>
      </c>
      <c r="C510" s="123"/>
      <c r="D510" s="131" t="str">
        <f t="array" ref="D510">IF(A510="","",SUMPRODUCT(('Detalle Turnos'!$I$3:$I$5028=$A510)*('Detalle Turnos'!$N$3:$N$5028=C510)*'Detalle Turnos'!$L$3:$L$5028))</f>
        <v/>
      </c>
      <c r="E510" s="127" t="str">
        <f t="array" ref="E510">IF(A510="","",SUMPRODUCT(('Detalle Turnos'!$I$3:$I$5028=$A510)*('Detalle Turnos'!$N$3:$N$5028=C510)*'Detalle Turnos'!$K$3:$K$5028))</f>
        <v/>
      </c>
      <c r="F510" s="127">
        <f t="shared" si="32"/>
        <v>0</v>
      </c>
      <c r="G510" s="127" t="str">
        <f t="array" ref="G510">IF(E510="","",IFERROR(SUMPRODUCT(('Facturación 2026'!$A$4:$A$920=$A510)*'Facturación 2026'!$J$4:$J$920)*E510/(SUMPRODUCT(('Caja 1'!$A$4:$A$919=$A510)*'Caja 1'!$E$4:$E$919)+SUMPRODUCT(('Caja 2'!$A$4:$A$920=$A510)*'Caja 2'!$E$4:$E$920)),0))</f>
        <v/>
      </c>
      <c r="H510" s="128" t="str">
        <f t="shared" si="33"/>
        <v/>
      </c>
      <c r="I510" s="124" t="str">
        <f t="shared" si="34"/>
        <v/>
      </c>
      <c r="J510" s="987" t="str">
        <f>IF(A510="","",IFERROR(INDEX('Facturación 2026'!$L$4:$L$500,MATCH($A510,'Facturación 2026'!$A$4:$A$500,0)),""))</f>
        <v/>
      </c>
    </row>
    <row r="511" spans="1:10" ht="15.75" customHeight="1">
      <c r="A511" s="988"/>
      <c r="B511" s="122" t="str">
        <f t="shared" si="31"/>
        <v/>
      </c>
      <c r="C511" s="123"/>
      <c r="D511" s="131" t="str">
        <f t="array" ref="D511">IF(A511="","",SUMPRODUCT(('Detalle Turnos'!$I$3:$I$5028=$A511)*('Detalle Turnos'!$N$3:$N$5028=C511)*'Detalle Turnos'!$L$3:$L$5028))</f>
        <v/>
      </c>
      <c r="E511" s="127" t="str">
        <f t="array" ref="E511">IF(A511="","",SUMPRODUCT(('Detalle Turnos'!$I$3:$I$5028=$A511)*('Detalle Turnos'!$N$3:$N$5028=C511)*'Detalle Turnos'!$K$3:$K$5028))</f>
        <v/>
      </c>
      <c r="F511" s="127">
        <f t="shared" si="32"/>
        <v>0</v>
      </c>
      <c r="G511" s="127" t="str">
        <f t="array" ref="G511">IF(E511="","",IFERROR(SUMPRODUCT(('Facturación 2026'!$A$4:$A$920=$A511)*'Facturación 2026'!$J$4:$J$920)*E511/(SUMPRODUCT(('Caja 1'!$A$4:$A$919=$A511)*'Caja 1'!$E$4:$E$919)+SUMPRODUCT(('Caja 2'!$A$4:$A$920=$A511)*'Caja 2'!$E$4:$E$920)),0))</f>
        <v/>
      </c>
      <c r="H511" s="128" t="str">
        <f t="shared" si="33"/>
        <v/>
      </c>
      <c r="I511" s="124" t="str">
        <f t="shared" si="34"/>
        <v/>
      </c>
      <c r="J511" s="987" t="str">
        <f>IF(A511="","",IFERROR(INDEX('Facturación 2026'!$L$4:$L$500,MATCH($A511,'Facturación 2026'!$A$4:$A$500,0)),""))</f>
        <v/>
      </c>
    </row>
    <row r="512" spans="1:10" ht="15.75" customHeight="1">
      <c r="A512" s="988"/>
      <c r="B512" s="122" t="str">
        <f t="shared" si="31"/>
        <v/>
      </c>
      <c r="C512" s="123"/>
      <c r="D512" s="131" t="str">
        <f t="array" ref="D512">IF(A512="","",SUMPRODUCT(('Detalle Turnos'!$I$3:$I$5028=$A512)*('Detalle Turnos'!$N$3:$N$5028=C512)*'Detalle Turnos'!$L$3:$L$5028))</f>
        <v/>
      </c>
      <c r="E512" s="127" t="str">
        <f t="array" ref="E512">IF(A512="","",SUMPRODUCT(('Detalle Turnos'!$I$3:$I$5028=$A512)*('Detalle Turnos'!$N$3:$N$5028=C512)*'Detalle Turnos'!$K$3:$K$5028))</f>
        <v/>
      </c>
      <c r="F512" s="127">
        <f t="shared" si="32"/>
        <v>0</v>
      </c>
      <c r="G512" s="127" t="str">
        <f t="array" ref="G512">IF(E512="","",IFERROR(SUMPRODUCT(('Facturación 2026'!$A$4:$A$920=$A512)*'Facturación 2026'!$J$4:$J$920)*E512/(SUMPRODUCT(('Caja 1'!$A$4:$A$919=$A512)*'Caja 1'!$E$4:$E$919)+SUMPRODUCT(('Caja 2'!$A$4:$A$920=$A512)*'Caja 2'!$E$4:$E$920)),0))</f>
        <v/>
      </c>
      <c r="H512" s="128" t="str">
        <f t="shared" si="33"/>
        <v/>
      </c>
      <c r="I512" s="124" t="str">
        <f t="shared" si="34"/>
        <v/>
      </c>
      <c r="J512" s="987" t="str">
        <f>IF(A512="","",IFERROR(INDEX('Facturación 2026'!$L$4:$L$500,MATCH($A512,'Facturación 2026'!$A$4:$A$500,0)),""))</f>
        <v/>
      </c>
    </row>
    <row r="513" spans="1:10" ht="15.75" customHeight="1">
      <c r="A513" s="988"/>
      <c r="B513" s="122" t="str">
        <f t="shared" si="31"/>
        <v/>
      </c>
      <c r="C513" s="123"/>
      <c r="D513" s="131" t="str">
        <f t="array" ref="D513">IF(A513="","",SUMPRODUCT(('Detalle Turnos'!$I$3:$I$5028=$A513)*('Detalle Turnos'!$N$3:$N$5028=C513)*'Detalle Turnos'!$L$3:$L$5028))</f>
        <v/>
      </c>
      <c r="E513" s="127" t="str">
        <f t="array" ref="E513">IF(A513="","",SUMPRODUCT(('Detalle Turnos'!$I$3:$I$5028=$A513)*('Detalle Turnos'!$N$3:$N$5028=C513)*'Detalle Turnos'!$K$3:$K$5028))</f>
        <v/>
      </c>
      <c r="F513" s="127">
        <f t="shared" si="32"/>
        <v>0</v>
      </c>
      <c r="G513" s="127" t="str">
        <f t="array" ref="G513">IF(E513="","",IFERROR(SUMPRODUCT(('Facturación 2026'!$A$4:$A$920=$A513)*'Facturación 2026'!$J$4:$J$920)*E513/(SUMPRODUCT(('Caja 1'!$A$4:$A$919=$A513)*'Caja 1'!$E$4:$E$919)+SUMPRODUCT(('Caja 2'!$A$4:$A$920=$A513)*'Caja 2'!$E$4:$E$920)),0))</f>
        <v/>
      </c>
      <c r="H513" s="128" t="str">
        <f t="shared" si="33"/>
        <v/>
      </c>
      <c r="I513" s="124" t="str">
        <f t="shared" si="34"/>
        <v/>
      </c>
      <c r="J513" s="987" t="str">
        <f>IF(A513="","",IFERROR(INDEX('Facturación 2026'!$L$4:$L$500,MATCH($A513,'Facturación 2026'!$A$4:$A$500,0)),""))</f>
        <v/>
      </c>
    </row>
    <row r="514" spans="1:10" ht="15.75" customHeight="1">
      <c r="A514" s="988"/>
      <c r="B514" s="122" t="str">
        <f t="shared" si="31"/>
        <v/>
      </c>
      <c r="C514" s="123"/>
      <c r="D514" s="131" t="str">
        <f t="array" ref="D514">IF(A514="","",SUMPRODUCT(('Detalle Turnos'!$I$3:$I$5028=$A514)*('Detalle Turnos'!$N$3:$N$5028=C514)*'Detalle Turnos'!$L$3:$L$5028))</f>
        <v/>
      </c>
      <c r="E514" s="127" t="str">
        <f t="array" ref="E514">IF(A514="","",SUMPRODUCT(('Detalle Turnos'!$I$3:$I$5028=$A514)*('Detalle Turnos'!$N$3:$N$5028=C514)*'Detalle Turnos'!$K$3:$K$5028))</f>
        <v/>
      </c>
      <c r="F514" s="127">
        <f t="shared" si="32"/>
        <v>0</v>
      </c>
      <c r="G514" s="127" t="str">
        <f t="array" ref="G514">IF(E514="","",IFERROR(SUMPRODUCT(('Facturación 2026'!$A$4:$A$920=$A514)*'Facturación 2026'!$J$4:$J$920)*E514/(SUMPRODUCT(('Caja 1'!$A$4:$A$919=$A514)*'Caja 1'!$E$4:$E$919)+SUMPRODUCT(('Caja 2'!$A$4:$A$920=$A514)*'Caja 2'!$E$4:$E$920)),0))</f>
        <v/>
      </c>
      <c r="H514" s="128" t="str">
        <f t="shared" si="33"/>
        <v/>
      </c>
      <c r="I514" s="124" t="str">
        <f t="shared" si="34"/>
        <v/>
      </c>
      <c r="J514" s="987" t="str">
        <f>IF(A514="","",IFERROR(INDEX('Facturación 2026'!$L$4:$L$500,MATCH($A514,'Facturación 2026'!$A$4:$A$500,0)),""))</f>
        <v/>
      </c>
    </row>
    <row r="515" spans="1:10" ht="15.75" customHeight="1">
      <c r="A515" s="988"/>
      <c r="B515" s="122" t="str">
        <f t="shared" ref="B515:B578" si="35">IF(A515="","",CHOOSE(WEEKDAY(A515,2),"Lun","Mar","Mié","Jue","Vie","Sáb","Dom"))</f>
        <v/>
      </c>
      <c r="C515" s="123"/>
      <c r="D515" s="131" t="str">
        <f t="array" ref="D515">IF(A515="","",SUMPRODUCT(('Detalle Turnos'!$I$3:$I$5028=$A515)*('Detalle Turnos'!$N$3:$N$5028=C515)*'Detalle Turnos'!$L$3:$L$5028))</f>
        <v/>
      </c>
      <c r="E515" s="127" t="str">
        <f t="array" ref="E515">IF(A515="","",SUMPRODUCT(('Detalle Turnos'!$I$3:$I$5028=$A515)*('Detalle Turnos'!$N$3:$N$5028=C515)*'Detalle Turnos'!$K$3:$K$5028))</f>
        <v/>
      </c>
      <c r="F515" s="127">
        <f t="shared" ref="F515:F578" si="36">IFERROR(E515/D515,0)</f>
        <v>0</v>
      </c>
      <c r="G515" s="127" t="str">
        <f t="array" ref="G515">IF(E515="","",IFERROR(SUMPRODUCT(('Facturación 2026'!$A$4:$A$920=$A515)*'Facturación 2026'!$J$4:$J$920)*E515/(SUMPRODUCT(('Caja 1'!$A$4:$A$919=$A515)*'Caja 1'!$E$4:$E$919)+SUMPRODUCT(('Caja 2'!$A$4:$A$920=$A515)*'Caja 2'!$E$4:$E$920)),0))</f>
        <v/>
      </c>
      <c r="H515" s="128" t="str">
        <f t="shared" ref="H515:H578" si="37">IF(E515="","",E515-G515)</f>
        <v/>
      </c>
      <c r="I515" s="124" t="str">
        <f t="shared" ref="I515:I578" si="38">IF(E515="","",IFERROR(G515/E515,0))</f>
        <v/>
      </c>
      <c r="J515" s="987" t="str">
        <f>IF(A515="","",IFERROR(INDEX('Facturación 2026'!$L$4:$L$500,MATCH($A515,'Facturación 2026'!$A$4:$A$500,0)),""))</f>
        <v/>
      </c>
    </row>
    <row r="516" spans="1:10" ht="15.75" customHeight="1">
      <c r="A516" s="988"/>
      <c r="B516" s="122" t="str">
        <f t="shared" si="35"/>
        <v/>
      </c>
      <c r="C516" s="123"/>
      <c r="D516" s="131" t="str">
        <f t="array" ref="D516">IF(A516="","",SUMPRODUCT(('Detalle Turnos'!$I$3:$I$5028=$A516)*('Detalle Turnos'!$N$3:$N$5028=C516)*'Detalle Turnos'!$L$3:$L$5028))</f>
        <v/>
      </c>
      <c r="E516" s="127" t="str">
        <f t="array" ref="E516">IF(A516="","",SUMPRODUCT(('Detalle Turnos'!$I$3:$I$5028=$A516)*('Detalle Turnos'!$N$3:$N$5028=C516)*'Detalle Turnos'!$K$3:$K$5028))</f>
        <v/>
      </c>
      <c r="F516" s="127">
        <f t="shared" si="36"/>
        <v>0</v>
      </c>
      <c r="G516" s="127" t="str">
        <f t="array" ref="G516">IF(E516="","",IFERROR(SUMPRODUCT(('Facturación 2026'!$A$4:$A$920=$A516)*'Facturación 2026'!$J$4:$J$920)*E516/(SUMPRODUCT(('Caja 1'!$A$4:$A$919=$A516)*'Caja 1'!$E$4:$E$919)+SUMPRODUCT(('Caja 2'!$A$4:$A$920=$A516)*'Caja 2'!$E$4:$E$920)),0))</f>
        <v/>
      </c>
      <c r="H516" s="128" t="str">
        <f t="shared" si="37"/>
        <v/>
      </c>
      <c r="I516" s="124" t="str">
        <f t="shared" si="38"/>
        <v/>
      </c>
      <c r="J516" s="987" t="str">
        <f>IF(A516="","",IFERROR(INDEX('Facturación 2026'!$L$4:$L$500,MATCH($A516,'Facturación 2026'!$A$4:$A$500,0)),""))</f>
        <v/>
      </c>
    </row>
    <row r="517" spans="1:10" ht="15.75" customHeight="1">
      <c r="A517" s="988"/>
      <c r="B517" s="122" t="str">
        <f t="shared" si="35"/>
        <v/>
      </c>
      <c r="C517" s="123"/>
      <c r="D517" s="131" t="str">
        <f t="array" ref="D517">IF(A517="","",SUMPRODUCT(('Detalle Turnos'!$I$3:$I$5028=$A517)*('Detalle Turnos'!$N$3:$N$5028=C517)*'Detalle Turnos'!$L$3:$L$5028))</f>
        <v/>
      </c>
      <c r="E517" s="127" t="str">
        <f t="array" ref="E517">IF(A517="","",SUMPRODUCT(('Detalle Turnos'!$I$3:$I$5028=$A517)*('Detalle Turnos'!$N$3:$N$5028=C517)*'Detalle Turnos'!$K$3:$K$5028))</f>
        <v/>
      </c>
      <c r="F517" s="127">
        <f t="shared" si="36"/>
        <v>0</v>
      </c>
      <c r="G517" s="127" t="str">
        <f t="array" ref="G517">IF(E517="","",IFERROR(SUMPRODUCT(('Facturación 2026'!$A$4:$A$920=$A517)*'Facturación 2026'!$J$4:$J$920)*E517/(SUMPRODUCT(('Caja 1'!$A$4:$A$919=$A517)*'Caja 1'!$E$4:$E$919)+SUMPRODUCT(('Caja 2'!$A$4:$A$920=$A517)*'Caja 2'!$E$4:$E$920)),0))</f>
        <v/>
      </c>
      <c r="H517" s="128" t="str">
        <f t="shared" si="37"/>
        <v/>
      </c>
      <c r="I517" s="124" t="str">
        <f t="shared" si="38"/>
        <v/>
      </c>
      <c r="J517" s="987" t="str">
        <f>IF(A517="","",IFERROR(INDEX('Facturación 2026'!$L$4:$L$500,MATCH($A517,'Facturación 2026'!$A$4:$A$500,0)),""))</f>
        <v/>
      </c>
    </row>
    <row r="518" spans="1:10" ht="15.75" customHeight="1">
      <c r="A518" s="988"/>
      <c r="B518" s="122" t="str">
        <f t="shared" si="35"/>
        <v/>
      </c>
      <c r="C518" s="123"/>
      <c r="D518" s="131" t="str">
        <f t="array" ref="D518">IF(A518="","",SUMPRODUCT(('Detalle Turnos'!$I$3:$I$5028=$A518)*('Detalle Turnos'!$N$3:$N$5028=C518)*'Detalle Turnos'!$L$3:$L$5028))</f>
        <v/>
      </c>
      <c r="E518" s="127" t="str">
        <f t="array" ref="E518">IF(A518="","",SUMPRODUCT(('Detalle Turnos'!$I$3:$I$5028=$A518)*('Detalle Turnos'!$N$3:$N$5028=C518)*'Detalle Turnos'!$K$3:$K$5028))</f>
        <v/>
      </c>
      <c r="F518" s="127">
        <f t="shared" si="36"/>
        <v>0</v>
      </c>
      <c r="G518" s="127" t="str">
        <f t="array" ref="G518">IF(E518="","",IFERROR(SUMPRODUCT(('Facturación 2026'!$A$4:$A$920=$A518)*'Facturación 2026'!$J$4:$J$920)*E518/(SUMPRODUCT(('Caja 1'!$A$4:$A$919=$A518)*'Caja 1'!$E$4:$E$919)+SUMPRODUCT(('Caja 2'!$A$4:$A$920=$A518)*'Caja 2'!$E$4:$E$920)),0))</f>
        <v/>
      </c>
      <c r="H518" s="128" t="str">
        <f t="shared" si="37"/>
        <v/>
      </c>
      <c r="I518" s="124" t="str">
        <f t="shared" si="38"/>
        <v/>
      </c>
      <c r="J518" s="987" t="str">
        <f>IF(A518="","",IFERROR(INDEX('Facturación 2026'!$L$4:$L$500,MATCH($A518,'Facturación 2026'!$A$4:$A$500,0)),""))</f>
        <v/>
      </c>
    </row>
    <row r="519" spans="1:10" ht="15.75" customHeight="1">
      <c r="A519" s="988"/>
      <c r="B519" s="122" t="str">
        <f t="shared" si="35"/>
        <v/>
      </c>
      <c r="C519" s="123"/>
      <c r="D519" s="131" t="str">
        <f t="array" ref="D519">IF(A519="","",SUMPRODUCT(('Detalle Turnos'!$I$3:$I$5028=$A519)*('Detalle Turnos'!$N$3:$N$5028=C519)*'Detalle Turnos'!$L$3:$L$5028))</f>
        <v/>
      </c>
      <c r="E519" s="127" t="str">
        <f t="array" ref="E519">IF(A519="","",SUMPRODUCT(('Detalle Turnos'!$I$3:$I$5028=$A519)*('Detalle Turnos'!$N$3:$N$5028=C519)*'Detalle Turnos'!$K$3:$K$5028))</f>
        <v/>
      </c>
      <c r="F519" s="127">
        <f t="shared" si="36"/>
        <v>0</v>
      </c>
      <c r="G519" s="127" t="str">
        <f t="array" ref="G519">IF(E519="","",IFERROR(SUMPRODUCT(('Facturación 2026'!$A$4:$A$920=$A519)*'Facturación 2026'!$J$4:$J$920)*E519/(SUMPRODUCT(('Caja 1'!$A$4:$A$919=$A519)*'Caja 1'!$E$4:$E$919)+SUMPRODUCT(('Caja 2'!$A$4:$A$920=$A519)*'Caja 2'!$E$4:$E$920)),0))</f>
        <v/>
      </c>
      <c r="H519" s="128" t="str">
        <f t="shared" si="37"/>
        <v/>
      </c>
      <c r="I519" s="124" t="str">
        <f t="shared" si="38"/>
        <v/>
      </c>
      <c r="J519" s="987" t="str">
        <f>IF(A519="","",IFERROR(INDEX('Facturación 2026'!$L$4:$L$500,MATCH($A519,'Facturación 2026'!$A$4:$A$500,0)),""))</f>
        <v/>
      </c>
    </row>
    <row r="520" spans="1:10" ht="15.75" customHeight="1">
      <c r="A520" s="988"/>
      <c r="B520" s="122" t="str">
        <f t="shared" si="35"/>
        <v/>
      </c>
      <c r="C520" s="123"/>
      <c r="D520" s="131" t="str">
        <f t="array" ref="D520">IF(A520="","",SUMPRODUCT(('Detalle Turnos'!$I$3:$I$5028=$A520)*('Detalle Turnos'!$N$3:$N$5028=C520)*'Detalle Turnos'!$L$3:$L$5028))</f>
        <v/>
      </c>
      <c r="E520" s="127" t="str">
        <f t="array" ref="E520">IF(A520="","",SUMPRODUCT(('Detalle Turnos'!$I$3:$I$5028=$A520)*('Detalle Turnos'!$N$3:$N$5028=C520)*'Detalle Turnos'!$K$3:$K$5028))</f>
        <v/>
      </c>
      <c r="F520" s="127">
        <f t="shared" si="36"/>
        <v>0</v>
      </c>
      <c r="G520" s="127" t="str">
        <f t="array" ref="G520">IF(E520="","",IFERROR(SUMPRODUCT(('Facturación 2026'!$A$4:$A$920=$A520)*'Facturación 2026'!$J$4:$J$920)*E520/(SUMPRODUCT(('Caja 1'!$A$4:$A$919=$A520)*'Caja 1'!$E$4:$E$919)+SUMPRODUCT(('Caja 2'!$A$4:$A$920=$A520)*'Caja 2'!$E$4:$E$920)),0))</f>
        <v/>
      </c>
      <c r="H520" s="128" t="str">
        <f t="shared" si="37"/>
        <v/>
      </c>
      <c r="I520" s="124" t="str">
        <f t="shared" si="38"/>
        <v/>
      </c>
      <c r="J520" s="987" t="str">
        <f>IF(A520="","",IFERROR(INDEX('Facturación 2026'!$L$4:$L$500,MATCH($A520,'Facturación 2026'!$A$4:$A$500,0)),""))</f>
        <v/>
      </c>
    </row>
    <row r="521" spans="1:10" ht="15.75" customHeight="1">
      <c r="A521" s="988"/>
      <c r="B521" s="122" t="str">
        <f t="shared" si="35"/>
        <v/>
      </c>
      <c r="C521" s="123"/>
      <c r="D521" s="131" t="str">
        <f t="array" ref="D521">IF(A521="","",SUMPRODUCT(('Detalle Turnos'!$I$3:$I$5028=$A521)*('Detalle Turnos'!$N$3:$N$5028=C521)*'Detalle Turnos'!$L$3:$L$5028))</f>
        <v/>
      </c>
      <c r="E521" s="127" t="str">
        <f t="array" ref="E521">IF(A521="","",SUMPRODUCT(('Detalle Turnos'!$I$3:$I$5028=$A521)*('Detalle Turnos'!$N$3:$N$5028=C521)*'Detalle Turnos'!$K$3:$K$5028))</f>
        <v/>
      </c>
      <c r="F521" s="127">
        <f t="shared" si="36"/>
        <v>0</v>
      </c>
      <c r="G521" s="127" t="str">
        <f t="array" ref="G521">IF(E521="","",IFERROR(SUMPRODUCT(('Facturación 2026'!$A$4:$A$920=$A521)*'Facturación 2026'!$J$4:$J$920)*E521/(SUMPRODUCT(('Caja 1'!$A$4:$A$919=$A521)*'Caja 1'!$E$4:$E$919)+SUMPRODUCT(('Caja 2'!$A$4:$A$920=$A521)*'Caja 2'!$E$4:$E$920)),0))</f>
        <v/>
      </c>
      <c r="H521" s="128" t="str">
        <f t="shared" si="37"/>
        <v/>
      </c>
      <c r="I521" s="124" t="str">
        <f t="shared" si="38"/>
        <v/>
      </c>
      <c r="J521" s="987" t="str">
        <f>IF(A521="","",IFERROR(INDEX('Facturación 2026'!$L$4:$L$500,MATCH($A521,'Facturación 2026'!$A$4:$A$500,0)),""))</f>
        <v/>
      </c>
    </row>
    <row r="522" spans="1:10" ht="15.75" customHeight="1">
      <c r="A522" s="988"/>
      <c r="B522" s="122" t="str">
        <f t="shared" si="35"/>
        <v/>
      </c>
      <c r="C522" s="123"/>
      <c r="D522" s="131" t="str">
        <f t="array" ref="D522">IF(A522="","",SUMPRODUCT(('Detalle Turnos'!$I$3:$I$5028=$A522)*('Detalle Turnos'!$N$3:$N$5028=C522)*'Detalle Turnos'!$L$3:$L$5028))</f>
        <v/>
      </c>
      <c r="E522" s="127" t="str">
        <f t="array" ref="E522">IF(A522="","",SUMPRODUCT(('Detalle Turnos'!$I$3:$I$5028=$A522)*('Detalle Turnos'!$N$3:$N$5028=C522)*'Detalle Turnos'!$K$3:$K$5028))</f>
        <v/>
      </c>
      <c r="F522" s="127">
        <f t="shared" si="36"/>
        <v>0</v>
      </c>
      <c r="G522" s="127" t="str">
        <f t="array" ref="G522">IF(E522="","",IFERROR(SUMPRODUCT(('Facturación 2026'!$A$4:$A$920=$A522)*'Facturación 2026'!$J$4:$J$920)*E522/(SUMPRODUCT(('Caja 1'!$A$4:$A$919=$A522)*'Caja 1'!$E$4:$E$919)+SUMPRODUCT(('Caja 2'!$A$4:$A$920=$A522)*'Caja 2'!$E$4:$E$920)),0))</f>
        <v/>
      </c>
      <c r="H522" s="128" t="str">
        <f t="shared" si="37"/>
        <v/>
      </c>
      <c r="I522" s="124" t="str">
        <f t="shared" si="38"/>
        <v/>
      </c>
      <c r="J522" s="987" t="str">
        <f>IF(A522="","",IFERROR(INDEX('Facturación 2026'!$L$4:$L$500,MATCH($A522,'Facturación 2026'!$A$4:$A$500,0)),""))</f>
        <v/>
      </c>
    </row>
    <row r="523" spans="1:10" ht="15.75" customHeight="1">
      <c r="A523" s="988"/>
      <c r="B523" s="122" t="str">
        <f t="shared" si="35"/>
        <v/>
      </c>
      <c r="C523" s="123"/>
      <c r="D523" s="131" t="str">
        <f t="array" ref="D523">IF(A523="","",SUMPRODUCT(('Detalle Turnos'!$I$3:$I$5028=$A523)*('Detalle Turnos'!$N$3:$N$5028=C523)*'Detalle Turnos'!$L$3:$L$5028))</f>
        <v/>
      </c>
      <c r="E523" s="127" t="str">
        <f t="array" ref="E523">IF(A523="","",SUMPRODUCT(('Detalle Turnos'!$I$3:$I$5028=$A523)*('Detalle Turnos'!$N$3:$N$5028=C523)*'Detalle Turnos'!$K$3:$K$5028))</f>
        <v/>
      </c>
      <c r="F523" s="127">
        <f t="shared" si="36"/>
        <v>0</v>
      </c>
      <c r="G523" s="127" t="str">
        <f t="array" ref="G523">IF(E523="","",IFERROR(SUMPRODUCT(('Facturación 2026'!$A$4:$A$920=$A523)*'Facturación 2026'!$J$4:$J$920)*E523/(SUMPRODUCT(('Caja 1'!$A$4:$A$919=$A523)*'Caja 1'!$E$4:$E$919)+SUMPRODUCT(('Caja 2'!$A$4:$A$920=$A523)*'Caja 2'!$E$4:$E$920)),0))</f>
        <v/>
      </c>
      <c r="H523" s="128" t="str">
        <f t="shared" si="37"/>
        <v/>
      </c>
      <c r="I523" s="124" t="str">
        <f t="shared" si="38"/>
        <v/>
      </c>
      <c r="J523" s="987" t="str">
        <f>IF(A523="","",IFERROR(INDEX('Facturación 2026'!$L$4:$L$500,MATCH($A523,'Facturación 2026'!$A$4:$A$500,0)),""))</f>
        <v/>
      </c>
    </row>
    <row r="524" spans="1:10" ht="15.75" customHeight="1">
      <c r="A524" s="988"/>
      <c r="B524" s="122" t="str">
        <f t="shared" si="35"/>
        <v/>
      </c>
      <c r="C524" s="123"/>
      <c r="D524" s="131" t="str">
        <f t="array" ref="D524">IF(A524="","",SUMPRODUCT(('Detalle Turnos'!$I$3:$I$5028=$A524)*('Detalle Turnos'!$N$3:$N$5028=C524)*'Detalle Turnos'!$L$3:$L$5028))</f>
        <v/>
      </c>
      <c r="E524" s="127" t="str">
        <f t="array" ref="E524">IF(A524="","",SUMPRODUCT(('Detalle Turnos'!$I$3:$I$5028=$A524)*('Detalle Turnos'!$N$3:$N$5028=C524)*'Detalle Turnos'!$K$3:$K$5028))</f>
        <v/>
      </c>
      <c r="F524" s="127">
        <f t="shared" si="36"/>
        <v>0</v>
      </c>
      <c r="G524" s="127" t="str">
        <f t="array" ref="G524">IF(E524="","",IFERROR(SUMPRODUCT(('Facturación 2026'!$A$4:$A$920=$A524)*'Facturación 2026'!$J$4:$J$920)*E524/(SUMPRODUCT(('Caja 1'!$A$4:$A$919=$A524)*'Caja 1'!$E$4:$E$919)+SUMPRODUCT(('Caja 2'!$A$4:$A$920=$A524)*'Caja 2'!$E$4:$E$920)),0))</f>
        <v/>
      </c>
      <c r="H524" s="128" t="str">
        <f t="shared" si="37"/>
        <v/>
      </c>
      <c r="I524" s="124" t="str">
        <f t="shared" si="38"/>
        <v/>
      </c>
      <c r="J524" s="987" t="str">
        <f>IF(A524="","",IFERROR(INDEX('Facturación 2026'!$L$4:$L$500,MATCH($A524,'Facturación 2026'!$A$4:$A$500,0)),""))</f>
        <v/>
      </c>
    </row>
    <row r="525" spans="1:10" ht="15.75" customHeight="1">
      <c r="A525" s="988"/>
      <c r="B525" s="122" t="str">
        <f t="shared" si="35"/>
        <v/>
      </c>
      <c r="C525" s="123"/>
      <c r="D525" s="131" t="str">
        <f t="array" ref="D525">IF(A525="","",SUMPRODUCT(('Detalle Turnos'!$I$3:$I$5028=$A525)*('Detalle Turnos'!$N$3:$N$5028=C525)*'Detalle Turnos'!$L$3:$L$5028))</f>
        <v/>
      </c>
      <c r="E525" s="127" t="str">
        <f t="array" ref="E525">IF(A525="","",SUMPRODUCT(('Detalle Turnos'!$I$3:$I$5028=$A525)*('Detalle Turnos'!$N$3:$N$5028=C525)*'Detalle Turnos'!$K$3:$K$5028))</f>
        <v/>
      </c>
      <c r="F525" s="127">
        <f t="shared" si="36"/>
        <v>0</v>
      </c>
      <c r="G525" s="127" t="str">
        <f t="array" ref="G525">IF(E525="","",IFERROR(SUMPRODUCT(('Facturación 2026'!$A$4:$A$920=$A525)*'Facturación 2026'!$J$4:$J$920)*E525/(SUMPRODUCT(('Caja 1'!$A$4:$A$919=$A525)*'Caja 1'!$E$4:$E$919)+SUMPRODUCT(('Caja 2'!$A$4:$A$920=$A525)*'Caja 2'!$E$4:$E$920)),0))</f>
        <v/>
      </c>
      <c r="H525" s="128" t="str">
        <f t="shared" si="37"/>
        <v/>
      </c>
      <c r="I525" s="124" t="str">
        <f t="shared" si="38"/>
        <v/>
      </c>
      <c r="J525" s="987" t="str">
        <f>IF(A525="","",IFERROR(INDEX('Facturación 2026'!$L$4:$L$500,MATCH($A525,'Facturación 2026'!$A$4:$A$500,0)),""))</f>
        <v/>
      </c>
    </row>
    <row r="526" spans="1:10" ht="15.75" customHeight="1">
      <c r="A526" s="988"/>
      <c r="B526" s="122" t="str">
        <f t="shared" si="35"/>
        <v/>
      </c>
      <c r="C526" s="123"/>
      <c r="D526" s="131" t="str">
        <f t="array" ref="D526">IF(A526="","",SUMPRODUCT(('Detalle Turnos'!$I$3:$I$5028=$A526)*('Detalle Turnos'!$N$3:$N$5028=C526)*'Detalle Turnos'!$L$3:$L$5028))</f>
        <v/>
      </c>
      <c r="E526" s="127" t="str">
        <f t="array" ref="E526">IF(A526="","",SUMPRODUCT(('Detalle Turnos'!$I$3:$I$5028=$A526)*('Detalle Turnos'!$N$3:$N$5028=C526)*'Detalle Turnos'!$K$3:$K$5028))</f>
        <v/>
      </c>
      <c r="F526" s="127">
        <f t="shared" si="36"/>
        <v>0</v>
      </c>
      <c r="G526" s="127" t="str">
        <f t="array" ref="G526">IF(E526="","",IFERROR(SUMPRODUCT(('Facturación 2026'!$A$4:$A$920=$A526)*'Facturación 2026'!$J$4:$J$920)*E526/(SUMPRODUCT(('Caja 1'!$A$4:$A$919=$A526)*'Caja 1'!$E$4:$E$919)+SUMPRODUCT(('Caja 2'!$A$4:$A$920=$A526)*'Caja 2'!$E$4:$E$920)),0))</f>
        <v/>
      </c>
      <c r="H526" s="128" t="str">
        <f t="shared" si="37"/>
        <v/>
      </c>
      <c r="I526" s="124" t="str">
        <f t="shared" si="38"/>
        <v/>
      </c>
      <c r="J526" s="987" t="str">
        <f>IF(A526="","",IFERROR(INDEX('Facturación 2026'!$L$4:$L$500,MATCH($A526,'Facturación 2026'!$A$4:$A$500,0)),""))</f>
        <v/>
      </c>
    </row>
    <row r="527" spans="1:10" ht="15.75" customHeight="1">
      <c r="A527" s="988"/>
      <c r="B527" s="122" t="str">
        <f t="shared" si="35"/>
        <v/>
      </c>
      <c r="C527" s="123"/>
      <c r="D527" s="131" t="str">
        <f t="array" ref="D527">IF(A527="","",SUMPRODUCT(('Detalle Turnos'!$I$3:$I$5028=$A527)*('Detalle Turnos'!$N$3:$N$5028=C527)*'Detalle Turnos'!$L$3:$L$5028))</f>
        <v/>
      </c>
      <c r="E527" s="127" t="str">
        <f t="array" ref="E527">IF(A527="","",SUMPRODUCT(('Detalle Turnos'!$I$3:$I$5028=$A527)*('Detalle Turnos'!$N$3:$N$5028=C527)*'Detalle Turnos'!$K$3:$K$5028))</f>
        <v/>
      </c>
      <c r="F527" s="127">
        <f t="shared" si="36"/>
        <v>0</v>
      </c>
      <c r="G527" s="127" t="str">
        <f t="array" ref="G527">IF(E527="","",IFERROR(SUMPRODUCT(('Facturación 2026'!$A$4:$A$920=$A527)*'Facturación 2026'!$J$4:$J$920)*E527/(SUMPRODUCT(('Caja 1'!$A$4:$A$919=$A527)*'Caja 1'!$E$4:$E$919)+SUMPRODUCT(('Caja 2'!$A$4:$A$920=$A527)*'Caja 2'!$E$4:$E$920)),0))</f>
        <v/>
      </c>
      <c r="H527" s="128" t="str">
        <f t="shared" si="37"/>
        <v/>
      </c>
      <c r="I527" s="124" t="str">
        <f t="shared" si="38"/>
        <v/>
      </c>
      <c r="J527" s="987" t="str">
        <f>IF(A527="","",IFERROR(INDEX('Facturación 2026'!$L$4:$L$500,MATCH($A527,'Facturación 2026'!$A$4:$A$500,0)),""))</f>
        <v/>
      </c>
    </row>
    <row r="528" spans="1:10" ht="15.75" customHeight="1">
      <c r="A528" s="988"/>
      <c r="B528" s="122" t="str">
        <f t="shared" si="35"/>
        <v/>
      </c>
      <c r="C528" s="123"/>
      <c r="D528" s="131" t="str">
        <f t="array" ref="D528">IF(A528="","",SUMPRODUCT(('Detalle Turnos'!$I$3:$I$5028=$A528)*('Detalle Turnos'!$N$3:$N$5028=C528)*'Detalle Turnos'!$L$3:$L$5028))</f>
        <v/>
      </c>
      <c r="E528" s="127" t="str">
        <f t="array" ref="E528">IF(A528="","",SUMPRODUCT(('Detalle Turnos'!$I$3:$I$5028=$A528)*('Detalle Turnos'!$N$3:$N$5028=C528)*'Detalle Turnos'!$K$3:$K$5028))</f>
        <v/>
      </c>
      <c r="F528" s="127">
        <f t="shared" si="36"/>
        <v>0</v>
      </c>
      <c r="G528" s="127" t="str">
        <f t="array" ref="G528">IF(E528="","",IFERROR(SUMPRODUCT(('Facturación 2026'!$A$4:$A$920=$A528)*'Facturación 2026'!$J$4:$J$920)*E528/(SUMPRODUCT(('Caja 1'!$A$4:$A$919=$A528)*'Caja 1'!$E$4:$E$919)+SUMPRODUCT(('Caja 2'!$A$4:$A$920=$A528)*'Caja 2'!$E$4:$E$920)),0))</f>
        <v/>
      </c>
      <c r="H528" s="128" t="str">
        <f t="shared" si="37"/>
        <v/>
      </c>
      <c r="I528" s="124" t="str">
        <f t="shared" si="38"/>
        <v/>
      </c>
      <c r="J528" s="987" t="str">
        <f>IF(A528="","",IFERROR(INDEX('Facturación 2026'!$L$4:$L$500,MATCH($A528,'Facturación 2026'!$A$4:$A$500,0)),""))</f>
        <v/>
      </c>
    </row>
    <row r="529" spans="1:10" ht="15.75" customHeight="1">
      <c r="A529" s="988"/>
      <c r="B529" s="122" t="str">
        <f t="shared" si="35"/>
        <v/>
      </c>
      <c r="C529" s="123"/>
      <c r="D529" s="131" t="str">
        <f t="array" ref="D529">IF(A529="","",SUMPRODUCT(('Detalle Turnos'!$I$3:$I$5028=$A529)*('Detalle Turnos'!$N$3:$N$5028=C529)*'Detalle Turnos'!$L$3:$L$5028))</f>
        <v/>
      </c>
      <c r="E529" s="127" t="str">
        <f t="array" ref="E529">IF(A529="","",SUMPRODUCT(('Detalle Turnos'!$I$3:$I$5028=$A529)*('Detalle Turnos'!$N$3:$N$5028=C529)*'Detalle Turnos'!$K$3:$K$5028))</f>
        <v/>
      </c>
      <c r="F529" s="127">
        <f t="shared" si="36"/>
        <v>0</v>
      </c>
      <c r="G529" s="127" t="str">
        <f t="array" ref="G529">IF(E529="","",IFERROR(SUMPRODUCT(('Facturación 2026'!$A$4:$A$920=$A529)*'Facturación 2026'!$J$4:$J$920)*E529/(SUMPRODUCT(('Caja 1'!$A$4:$A$919=$A529)*'Caja 1'!$E$4:$E$919)+SUMPRODUCT(('Caja 2'!$A$4:$A$920=$A529)*'Caja 2'!$E$4:$E$920)),0))</f>
        <v/>
      </c>
      <c r="H529" s="128" t="str">
        <f t="shared" si="37"/>
        <v/>
      </c>
      <c r="I529" s="124" t="str">
        <f t="shared" si="38"/>
        <v/>
      </c>
      <c r="J529" s="987" t="str">
        <f>IF(A529="","",IFERROR(INDEX('Facturación 2026'!$L$4:$L$500,MATCH($A529,'Facturación 2026'!$A$4:$A$500,0)),""))</f>
        <v/>
      </c>
    </row>
    <row r="530" spans="1:10" ht="15.75" customHeight="1">
      <c r="A530" s="988"/>
      <c r="B530" s="122" t="str">
        <f t="shared" si="35"/>
        <v/>
      </c>
      <c r="C530" s="123"/>
      <c r="D530" s="131" t="str">
        <f t="array" ref="D530">IF(A530="","",SUMPRODUCT(('Detalle Turnos'!$I$3:$I$5028=$A530)*('Detalle Turnos'!$N$3:$N$5028=C530)*'Detalle Turnos'!$L$3:$L$5028))</f>
        <v/>
      </c>
      <c r="E530" s="127" t="str">
        <f t="array" ref="E530">IF(A530="","",SUMPRODUCT(('Detalle Turnos'!$I$3:$I$5028=$A530)*('Detalle Turnos'!$N$3:$N$5028=C530)*'Detalle Turnos'!$K$3:$K$5028))</f>
        <v/>
      </c>
      <c r="F530" s="127">
        <f t="shared" si="36"/>
        <v>0</v>
      </c>
      <c r="G530" s="127" t="str">
        <f t="array" ref="G530">IF(E530="","",IFERROR(SUMPRODUCT(('Facturación 2026'!$A$4:$A$920=$A530)*'Facturación 2026'!$J$4:$J$920)*E530/(SUMPRODUCT(('Caja 1'!$A$4:$A$919=$A530)*'Caja 1'!$E$4:$E$919)+SUMPRODUCT(('Caja 2'!$A$4:$A$920=$A530)*'Caja 2'!$E$4:$E$920)),0))</f>
        <v/>
      </c>
      <c r="H530" s="128" t="str">
        <f t="shared" si="37"/>
        <v/>
      </c>
      <c r="I530" s="124" t="str">
        <f t="shared" si="38"/>
        <v/>
      </c>
      <c r="J530" s="987" t="str">
        <f>IF(A530="","",IFERROR(INDEX('Facturación 2026'!$L$4:$L$500,MATCH($A530,'Facturación 2026'!$A$4:$A$500,0)),""))</f>
        <v/>
      </c>
    </row>
    <row r="531" spans="1:10" ht="15.75" customHeight="1">
      <c r="A531" s="988"/>
      <c r="B531" s="122" t="str">
        <f t="shared" si="35"/>
        <v/>
      </c>
      <c r="C531" s="123"/>
      <c r="D531" s="131" t="str">
        <f t="array" ref="D531">IF(A531="","",SUMPRODUCT(('Detalle Turnos'!$I$3:$I$5028=$A531)*('Detalle Turnos'!$N$3:$N$5028=C531)*'Detalle Turnos'!$L$3:$L$5028))</f>
        <v/>
      </c>
      <c r="E531" s="127" t="str">
        <f t="array" ref="E531">IF(A531="","",SUMPRODUCT(('Detalle Turnos'!$I$3:$I$5028=$A531)*('Detalle Turnos'!$N$3:$N$5028=C531)*'Detalle Turnos'!$K$3:$K$5028))</f>
        <v/>
      </c>
      <c r="F531" s="127">
        <f t="shared" si="36"/>
        <v>0</v>
      </c>
      <c r="G531" s="127" t="str">
        <f t="array" ref="G531">IF(E531="","",IFERROR(SUMPRODUCT(('Facturación 2026'!$A$4:$A$920=$A531)*'Facturación 2026'!$J$4:$J$920)*E531/(SUMPRODUCT(('Caja 1'!$A$4:$A$919=$A531)*'Caja 1'!$E$4:$E$919)+SUMPRODUCT(('Caja 2'!$A$4:$A$920=$A531)*'Caja 2'!$E$4:$E$920)),0))</f>
        <v/>
      </c>
      <c r="H531" s="128" t="str">
        <f t="shared" si="37"/>
        <v/>
      </c>
      <c r="I531" s="124" t="str">
        <f t="shared" si="38"/>
        <v/>
      </c>
      <c r="J531" s="987" t="str">
        <f>IF(A531="","",IFERROR(INDEX('Facturación 2026'!$L$4:$L$500,MATCH($A531,'Facturación 2026'!$A$4:$A$500,0)),""))</f>
        <v/>
      </c>
    </row>
    <row r="532" spans="1:10" ht="15.75" customHeight="1">
      <c r="A532" s="988"/>
      <c r="B532" s="122" t="str">
        <f t="shared" si="35"/>
        <v/>
      </c>
      <c r="C532" s="123"/>
      <c r="D532" s="131" t="str">
        <f t="array" ref="D532">IF(A532="","",SUMPRODUCT(('Detalle Turnos'!$I$3:$I$5028=$A532)*('Detalle Turnos'!$N$3:$N$5028=C532)*'Detalle Turnos'!$L$3:$L$5028))</f>
        <v/>
      </c>
      <c r="E532" s="127" t="str">
        <f t="array" ref="E532">IF(A532="","",SUMPRODUCT(('Detalle Turnos'!$I$3:$I$5028=$A532)*('Detalle Turnos'!$N$3:$N$5028=C532)*'Detalle Turnos'!$K$3:$K$5028))</f>
        <v/>
      </c>
      <c r="F532" s="127">
        <f t="shared" si="36"/>
        <v>0</v>
      </c>
      <c r="G532" s="127" t="str">
        <f t="array" ref="G532">IF(E532="","",IFERROR(SUMPRODUCT(('Facturación 2026'!$A$4:$A$920=$A532)*'Facturación 2026'!$J$4:$J$920)*E532/(SUMPRODUCT(('Caja 1'!$A$4:$A$919=$A532)*'Caja 1'!$E$4:$E$919)+SUMPRODUCT(('Caja 2'!$A$4:$A$920=$A532)*'Caja 2'!$E$4:$E$920)),0))</f>
        <v/>
      </c>
      <c r="H532" s="128" t="str">
        <f t="shared" si="37"/>
        <v/>
      </c>
      <c r="I532" s="124" t="str">
        <f t="shared" si="38"/>
        <v/>
      </c>
      <c r="J532" s="987" t="str">
        <f>IF(A532="","",IFERROR(INDEX('Facturación 2026'!$L$4:$L$500,MATCH($A532,'Facturación 2026'!$A$4:$A$500,0)),""))</f>
        <v/>
      </c>
    </row>
    <row r="533" spans="1:10" ht="15.75" customHeight="1">
      <c r="A533" s="988"/>
      <c r="B533" s="122" t="str">
        <f t="shared" si="35"/>
        <v/>
      </c>
      <c r="C533" s="123"/>
      <c r="D533" s="131" t="str">
        <f t="array" ref="D533">IF(A533="","",SUMPRODUCT(('Detalle Turnos'!$I$3:$I$5028=$A533)*('Detalle Turnos'!$N$3:$N$5028=C533)*'Detalle Turnos'!$L$3:$L$5028))</f>
        <v/>
      </c>
      <c r="E533" s="127" t="str">
        <f t="array" ref="E533">IF(A533="","",SUMPRODUCT(('Detalle Turnos'!$I$3:$I$5028=$A533)*('Detalle Turnos'!$N$3:$N$5028=C533)*'Detalle Turnos'!$K$3:$K$5028))</f>
        <v/>
      </c>
      <c r="F533" s="127">
        <f t="shared" si="36"/>
        <v>0</v>
      </c>
      <c r="G533" s="127" t="str">
        <f t="array" ref="G533">IF(E533="","",IFERROR(SUMPRODUCT(('Facturación 2026'!$A$4:$A$920=$A533)*'Facturación 2026'!$J$4:$J$920)*E533/(SUMPRODUCT(('Caja 1'!$A$4:$A$919=$A533)*'Caja 1'!$E$4:$E$919)+SUMPRODUCT(('Caja 2'!$A$4:$A$920=$A533)*'Caja 2'!$E$4:$E$920)),0))</f>
        <v/>
      </c>
      <c r="H533" s="128" t="str">
        <f t="shared" si="37"/>
        <v/>
      </c>
      <c r="I533" s="124" t="str">
        <f t="shared" si="38"/>
        <v/>
      </c>
      <c r="J533" s="987" t="str">
        <f>IF(A533="","",IFERROR(INDEX('Facturación 2026'!$L$4:$L$500,MATCH($A533,'Facturación 2026'!$A$4:$A$500,0)),""))</f>
        <v/>
      </c>
    </row>
    <row r="534" spans="1:10" ht="15.75" customHeight="1">
      <c r="A534" s="988"/>
      <c r="B534" s="122" t="str">
        <f t="shared" si="35"/>
        <v/>
      </c>
      <c r="C534" s="123"/>
      <c r="D534" s="131" t="str">
        <f t="array" ref="D534">IF(A534="","",SUMPRODUCT(('Detalle Turnos'!$I$3:$I$5028=$A534)*('Detalle Turnos'!$N$3:$N$5028=C534)*'Detalle Turnos'!$L$3:$L$5028))</f>
        <v/>
      </c>
      <c r="E534" s="127" t="str">
        <f t="array" ref="E534">IF(A534="","",SUMPRODUCT(('Detalle Turnos'!$I$3:$I$5028=$A534)*('Detalle Turnos'!$N$3:$N$5028=C534)*'Detalle Turnos'!$K$3:$K$5028))</f>
        <v/>
      </c>
      <c r="F534" s="127">
        <f t="shared" si="36"/>
        <v>0</v>
      </c>
      <c r="G534" s="127" t="str">
        <f t="array" ref="G534">IF(E534="","",IFERROR(SUMPRODUCT(('Facturación 2026'!$A$4:$A$920=$A534)*'Facturación 2026'!$J$4:$J$920)*E534/(SUMPRODUCT(('Caja 1'!$A$4:$A$919=$A534)*'Caja 1'!$E$4:$E$919)+SUMPRODUCT(('Caja 2'!$A$4:$A$920=$A534)*'Caja 2'!$E$4:$E$920)),0))</f>
        <v/>
      </c>
      <c r="H534" s="128" t="str">
        <f t="shared" si="37"/>
        <v/>
      </c>
      <c r="I534" s="124" t="str">
        <f t="shared" si="38"/>
        <v/>
      </c>
      <c r="J534" s="987" t="str">
        <f>IF(A534="","",IFERROR(INDEX('Facturación 2026'!$L$4:$L$500,MATCH($A534,'Facturación 2026'!$A$4:$A$500,0)),""))</f>
        <v/>
      </c>
    </row>
    <row r="535" spans="1:10" ht="15.75" customHeight="1">
      <c r="A535" s="988"/>
      <c r="B535" s="122" t="str">
        <f t="shared" si="35"/>
        <v/>
      </c>
      <c r="C535" s="123"/>
      <c r="D535" s="131" t="str">
        <f t="array" ref="D535">IF(A535="","",SUMPRODUCT(('Detalle Turnos'!$I$3:$I$5028=$A535)*('Detalle Turnos'!$N$3:$N$5028=C535)*'Detalle Turnos'!$L$3:$L$5028))</f>
        <v/>
      </c>
      <c r="E535" s="127" t="str">
        <f t="array" ref="E535">IF(A535="","",SUMPRODUCT(('Detalle Turnos'!$I$3:$I$5028=$A535)*('Detalle Turnos'!$N$3:$N$5028=C535)*'Detalle Turnos'!$K$3:$K$5028))</f>
        <v/>
      </c>
      <c r="F535" s="127">
        <f t="shared" si="36"/>
        <v>0</v>
      </c>
      <c r="G535" s="127" t="str">
        <f t="array" ref="G535">IF(E535="","",IFERROR(SUMPRODUCT(('Facturación 2026'!$A$4:$A$920=$A535)*'Facturación 2026'!$J$4:$J$920)*E535/(SUMPRODUCT(('Caja 1'!$A$4:$A$919=$A535)*'Caja 1'!$E$4:$E$919)+SUMPRODUCT(('Caja 2'!$A$4:$A$920=$A535)*'Caja 2'!$E$4:$E$920)),0))</f>
        <v/>
      </c>
      <c r="H535" s="128" t="str">
        <f t="shared" si="37"/>
        <v/>
      </c>
      <c r="I535" s="124" t="str">
        <f t="shared" si="38"/>
        <v/>
      </c>
      <c r="J535" s="987" t="str">
        <f>IF(A535="","",IFERROR(INDEX('Facturación 2026'!$L$4:$L$500,MATCH($A535,'Facturación 2026'!$A$4:$A$500,0)),""))</f>
        <v/>
      </c>
    </row>
    <row r="536" spans="1:10" ht="15.75" customHeight="1">
      <c r="A536" s="988"/>
      <c r="B536" s="122" t="str">
        <f t="shared" si="35"/>
        <v/>
      </c>
      <c r="C536" s="123"/>
      <c r="D536" s="131" t="str">
        <f t="array" ref="D536">IF(A536="","",SUMPRODUCT(('Detalle Turnos'!$I$3:$I$5028=$A536)*('Detalle Turnos'!$N$3:$N$5028=C536)*'Detalle Turnos'!$L$3:$L$5028))</f>
        <v/>
      </c>
      <c r="E536" s="127" t="str">
        <f t="array" ref="E536">IF(A536="","",SUMPRODUCT(('Detalle Turnos'!$I$3:$I$5028=$A536)*('Detalle Turnos'!$N$3:$N$5028=C536)*'Detalle Turnos'!$K$3:$K$5028))</f>
        <v/>
      </c>
      <c r="F536" s="127">
        <f t="shared" si="36"/>
        <v>0</v>
      </c>
      <c r="G536" s="127" t="str">
        <f t="array" ref="G536">IF(E536="","",IFERROR(SUMPRODUCT(('Facturación 2026'!$A$4:$A$920=$A536)*'Facturación 2026'!$J$4:$J$920)*E536/(SUMPRODUCT(('Caja 1'!$A$4:$A$919=$A536)*'Caja 1'!$E$4:$E$919)+SUMPRODUCT(('Caja 2'!$A$4:$A$920=$A536)*'Caja 2'!$E$4:$E$920)),0))</f>
        <v/>
      </c>
      <c r="H536" s="128" t="str">
        <f t="shared" si="37"/>
        <v/>
      </c>
      <c r="I536" s="124" t="str">
        <f t="shared" si="38"/>
        <v/>
      </c>
      <c r="J536" s="987" t="str">
        <f>IF(A536="","",IFERROR(INDEX('Facturación 2026'!$L$4:$L$500,MATCH($A536,'Facturación 2026'!$A$4:$A$500,0)),""))</f>
        <v/>
      </c>
    </row>
    <row r="537" spans="1:10" ht="15.75" customHeight="1">
      <c r="A537" s="988"/>
      <c r="B537" s="122" t="str">
        <f t="shared" si="35"/>
        <v/>
      </c>
      <c r="C537" s="123"/>
      <c r="D537" s="131" t="str">
        <f t="array" ref="D537">IF(A537="","",SUMPRODUCT(('Detalle Turnos'!$I$3:$I$5028=$A537)*('Detalle Turnos'!$N$3:$N$5028=C537)*'Detalle Turnos'!$L$3:$L$5028))</f>
        <v/>
      </c>
      <c r="E537" s="127" t="str">
        <f t="array" ref="E537">IF(A537="","",SUMPRODUCT(('Detalle Turnos'!$I$3:$I$5028=$A537)*('Detalle Turnos'!$N$3:$N$5028=C537)*'Detalle Turnos'!$K$3:$K$5028))</f>
        <v/>
      </c>
      <c r="F537" s="127">
        <f t="shared" si="36"/>
        <v>0</v>
      </c>
      <c r="G537" s="127" t="str">
        <f t="array" ref="G537">IF(E537="","",IFERROR(SUMPRODUCT(('Facturación 2026'!$A$4:$A$920=$A537)*'Facturación 2026'!$J$4:$J$920)*E537/(SUMPRODUCT(('Caja 1'!$A$4:$A$919=$A537)*'Caja 1'!$E$4:$E$919)+SUMPRODUCT(('Caja 2'!$A$4:$A$920=$A537)*'Caja 2'!$E$4:$E$920)),0))</f>
        <v/>
      </c>
      <c r="H537" s="128" t="str">
        <f t="shared" si="37"/>
        <v/>
      </c>
      <c r="I537" s="124" t="str">
        <f t="shared" si="38"/>
        <v/>
      </c>
      <c r="J537" s="987" t="str">
        <f>IF(A537="","",IFERROR(INDEX('Facturación 2026'!$L$4:$L$500,MATCH($A537,'Facturación 2026'!$A$4:$A$500,0)),""))</f>
        <v/>
      </c>
    </row>
    <row r="538" spans="1:10" ht="15.75" customHeight="1">
      <c r="A538" s="988"/>
      <c r="B538" s="122" t="str">
        <f t="shared" si="35"/>
        <v/>
      </c>
      <c r="C538" s="123"/>
      <c r="D538" s="131" t="str">
        <f t="array" ref="D538">IF(A538="","",SUMPRODUCT(('Detalle Turnos'!$I$3:$I$5028=$A538)*('Detalle Turnos'!$N$3:$N$5028=C538)*'Detalle Turnos'!$L$3:$L$5028))</f>
        <v/>
      </c>
      <c r="E538" s="127" t="str">
        <f t="array" ref="E538">IF(A538="","",SUMPRODUCT(('Detalle Turnos'!$I$3:$I$5028=$A538)*('Detalle Turnos'!$N$3:$N$5028=C538)*'Detalle Turnos'!$K$3:$K$5028))</f>
        <v/>
      </c>
      <c r="F538" s="127">
        <f t="shared" si="36"/>
        <v>0</v>
      </c>
      <c r="G538" s="127" t="str">
        <f t="array" ref="G538">IF(E538="","",IFERROR(SUMPRODUCT(('Facturación 2026'!$A$4:$A$920=$A538)*'Facturación 2026'!$J$4:$J$920)*E538/(SUMPRODUCT(('Caja 1'!$A$4:$A$919=$A538)*'Caja 1'!$E$4:$E$919)+SUMPRODUCT(('Caja 2'!$A$4:$A$920=$A538)*'Caja 2'!$E$4:$E$920)),0))</f>
        <v/>
      </c>
      <c r="H538" s="128" t="str">
        <f t="shared" si="37"/>
        <v/>
      </c>
      <c r="I538" s="124" t="str">
        <f t="shared" si="38"/>
        <v/>
      </c>
      <c r="J538" s="987" t="str">
        <f>IF(A538="","",IFERROR(INDEX('Facturación 2026'!$L$4:$L$500,MATCH($A538,'Facturación 2026'!$A$4:$A$500,0)),""))</f>
        <v/>
      </c>
    </row>
    <row r="539" spans="1:10" ht="15.75" customHeight="1">
      <c r="A539" s="988"/>
      <c r="B539" s="122" t="str">
        <f t="shared" si="35"/>
        <v/>
      </c>
      <c r="C539" s="123"/>
      <c r="D539" s="131" t="str">
        <f t="array" ref="D539">IF(A539="","",SUMPRODUCT(('Detalle Turnos'!$I$3:$I$5028=$A539)*('Detalle Turnos'!$N$3:$N$5028=C539)*'Detalle Turnos'!$L$3:$L$5028))</f>
        <v/>
      </c>
      <c r="E539" s="127" t="str">
        <f t="array" ref="E539">IF(A539="","",SUMPRODUCT(('Detalle Turnos'!$I$3:$I$5028=$A539)*('Detalle Turnos'!$N$3:$N$5028=C539)*'Detalle Turnos'!$K$3:$K$5028))</f>
        <v/>
      </c>
      <c r="F539" s="127">
        <f t="shared" si="36"/>
        <v>0</v>
      </c>
      <c r="G539" s="127" t="str">
        <f t="array" ref="G539">IF(E539="","",IFERROR(SUMPRODUCT(('Facturación 2026'!$A$4:$A$920=$A539)*'Facturación 2026'!$J$4:$J$920)*E539/(SUMPRODUCT(('Caja 1'!$A$4:$A$919=$A539)*'Caja 1'!$E$4:$E$919)+SUMPRODUCT(('Caja 2'!$A$4:$A$920=$A539)*'Caja 2'!$E$4:$E$920)),0))</f>
        <v/>
      </c>
      <c r="H539" s="128" t="str">
        <f t="shared" si="37"/>
        <v/>
      </c>
      <c r="I539" s="124" t="str">
        <f t="shared" si="38"/>
        <v/>
      </c>
      <c r="J539" s="987" t="str">
        <f>IF(A539="","",IFERROR(INDEX('Facturación 2026'!$L$4:$L$500,MATCH($A539,'Facturación 2026'!$A$4:$A$500,0)),""))</f>
        <v/>
      </c>
    </row>
    <row r="540" spans="1:10" ht="15.75" customHeight="1">
      <c r="A540" s="988"/>
      <c r="B540" s="122" t="str">
        <f t="shared" si="35"/>
        <v/>
      </c>
      <c r="C540" s="123"/>
      <c r="D540" s="131" t="str">
        <f t="array" ref="D540">IF(A540="","",SUMPRODUCT(('Detalle Turnos'!$I$3:$I$5028=$A540)*('Detalle Turnos'!$N$3:$N$5028=C540)*'Detalle Turnos'!$L$3:$L$5028))</f>
        <v/>
      </c>
      <c r="E540" s="127" t="str">
        <f t="array" ref="E540">IF(A540="","",SUMPRODUCT(('Detalle Turnos'!$I$3:$I$5028=$A540)*('Detalle Turnos'!$N$3:$N$5028=C540)*'Detalle Turnos'!$K$3:$K$5028))</f>
        <v/>
      </c>
      <c r="F540" s="127">
        <f t="shared" si="36"/>
        <v>0</v>
      </c>
      <c r="G540" s="127" t="str">
        <f t="array" ref="G540">IF(E540="","",IFERROR(SUMPRODUCT(('Facturación 2026'!$A$4:$A$920=$A540)*'Facturación 2026'!$J$4:$J$920)*E540/(SUMPRODUCT(('Caja 1'!$A$4:$A$919=$A540)*'Caja 1'!$E$4:$E$919)+SUMPRODUCT(('Caja 2'!$A$4:$A$920=$A540)*'Caja 2'!$E$4:$E$920)),0))</f>
        <v/>
      </c>
      <c r="H540" s="128" t="str">
        <f t="shared" si="37"/>
        <v/>
      </c>
      <c r="I540" s="124" t="str">
        <f t="shared" si="38"/>
        <v/>
      </c>
      <c r="J540" s="987" t="str">
        <f>IF(A540="","",IFERROR(INDEX('Facturación 2026'!$L$4:$L$500,MATCH($A540,'Facturación 2026'!$A$4:$A$500,0)),""))</f>
        <v/>
      </c>
    </row>
    <row r="541" spans="1:10" ht="15.75" customHeight="1">
      <c r="A541" s="988"/>
      <c r="B541" s="122" t="str">
        <f t="shared" si="35"/>
        <v/>
      </c>
      <c r="C541" s="123"/>
      <c r="D541" s="131" t="str">
        <f t="array" ref="D541">IF(A541="","",SUMPRODUCT(('Detalle Turnos'!$I$3:$I$5028=$A541)*('Detalle Turnos'!$N$3:$N$5028=C541)*'Detalle Turnos'!$L$3:$L$5028))</f>
        <v/>
      </c>
      <c r="E541" s="127" t="str">
        <f t="array" ref="E541">IF(A541="","",SUMPRODUCT(('Detalle Turnos'!$I$3:$I$5028=$A541)*('Detalle Turnos'!$N$3:$N$5028=C541)*'Detalle Turnos'!$K$3:$K$5028))</f>
        <v/>
      </c>
      <c r="F541" s="127">
        <f t="shared" si="36"/>
        <v>0</v>
      </c>
      <c r="G541" s="127" t="str">
        <f t="array" ref="G541">IF(E541="","",IFERROR(SUMPRODUCT(('Facturación 2026'!$A$4:$A$920=$A541)*'Facturación 2026'!$J$4:$J$920)*E541/(SUMPRODUCT(('Caja 1'!$A$4:$A$919=$A541)*'Caja 1'!$E$4:$E$919)+SUMPRODUCT(('Caja 2'!$A$4:$A$920=$A541)*'Caja 2'!$E$4:$E$920)),0))</f>
        <v/>
      </c>
      <c r="H541" s="128" t="str">
        <f t="shared" si="37"/>
        <v/>
      </c>
      <c r="I541" s="124" t="str">
        <f t="shared" si="38"/>
        <v/>
      </c>
      <c r="J541" s="987" t="str">
        <f>IF(A541="","",IFERROR(INDEX('Facturación 2026'!$L$4:$L$500,MATCH($A541,'Facturación 2026'!$A$4:$A$500,0)),""))</f>
        <v/>
      </c>
    </row>
    <row r="542" spans="1:10" ht="15.75" customHeight="1">
      <c r="A542" s="988"/>
      <c r="B542" s="122" t="str">
        <f t="shared" si="35"/>
        <v/>
      </c>
      <c r="C542" s="123"/>
      <c r="D542" s="131" t="str">
        <f t="array" ref="D542">IF(A542="","",SUMPRODUCT(('Detalle Turnos'!$I$3:$I$5028=$A542)*('Detalle Turnos'!$N$3:$N$5028=C542)*'Detalle Turnos'!$L$3:$L$5028))</f>
        <v/>
      </c>
      <c r="E542" s="127" t="str">
        <f t="array" ref="E542">IF(A542="","",SUMPRODUCT(('Detalle Turnos'!$I$3:$I$5028=$A542)*('Detalle Turnos'!$N$3:$N$5028=C542)*'Detalle Turnos'!$K$3:$K$5028))</f>
        <v/>
      </c>
      <c r="F542" s="127">
        <f t="shared" si="36"/>
        <v>0</v>
      </c>
      <c r="G542" s="127" t="str">
        <f t="array" ref="G542">IF(E542="","",IFERROR(SUMPRODUCT(('Facturación 2026'!$A$4:$A$920=$A542)*'Facturación 2026'!$J$4:$J$920)*E542/(SUMPRODUCT(('Caja 1'!$A$4:$A$919=$A542)*'Caja 1'!$E$4:$E$919)+SUMPRODUCT(('Caja 2'!$A$4:$A$920=$A542)*'Caja 2'!$E$4:$E$920)),0))</f>
        <v/>
      </c>
      <c r="H542" s="128" t="str">
        <f t="shared" si="37"/>
        <v/>
      </c>
      <c r="I542" s="124" t="str">
        <f t="shared" si="38"/>
        <v/>
      </c>
      <c r="J542" s="987" t="str">
        <f>IF(A542="","",IFERROR(INDEX('Facturación 2026'!$L$4:$L$500,MATCH($A542,'Facturación 2026'!$A$4:$A$500,0)),""))</f>
        <v/>
      </c>
    </row>
    <row r="543" spans="1:10" ht="15.75" customHeight="1">
      <c r="A543" s="988"/>
      <c r="B543" s="122" t="str">
        <f t="shared" si="35"/>
        <v/>
      </c>
      <c r="C543" s="123"/>
      <c r="D543" s="131" t="str">
        <f t="array" ref="D543">IF(A543="","",SUMPRODUCT(('Detalle Turnos'!$I$3:$I$5028=$A543)*('Detalle Turnos'!$N$3:$N$5028=C543)*'Detalle Turnos'!$L$3:$L$5028))</f>
        <v/>
      </c>
      <c r="E543" s="127" t="str">
        <f t="array" ref="E543">IF(A543="","",SUMPRODUCT(('Detalle Turnos'!$I$3:$I$5028=$A543)*('Detalle Turnos'!$N$3:$N$5028=C543)*'Detalle Turnos'!$K$3:$K$5028))</f>
        <v/>
      </c>
      <c r="F543" s="127">
        <f t="shared" si="36"/>
        <v>0</v>
      </c>
      <c r="G543" s="127" t="str">
        <f t="array" ref="G543">IF(E543="","",IFERROR(SUMPRODUCT(('Facturación 2026'!$A$4:$A$920=$A543)*'Facturación 2026'!$J$4:$J$920)*E543/(SUMPRODUCT(('Caja 1'!$A$4:$A$919=$A543)*'Caja 1'!$E$4:$E$919)+SUMPRODUCT(('Caja 2'!$A$4:$A$920=$A543)*'Caja 2'!$E$4:$E$920)),0))</f>
        <v/>
      </c>
      <c r="H543" s="128" t="str">
        <f t="shared" si="37"/>
        <v/>
      </c>
      <c r="I543" s="124" t="str">
        <f t="shared" si="38"/>
        <v/>
      </c>
      <c r="J543" s="987" t="str">
        <f>IF(A543="","",IFERROR(INDEX('Facturación 2026'!$L$4:$L$500,MATCH($A543,'Facturación 2026'!$A$4:$A$500,0)),""))</f>
        <v/>
      </c>
    </row>
    <row r="544" spans="1:10" ht="15.75" customHeight="1">
      <c r="A544" s="988"/>
      <c r="B544" s="122" t="str">
        <f t="shared" si="35"/>
        <v/>
      </c>
      <c r="C544" s="123"/>
      <c r="D544" s="131" t="str">
        <f t="array" ref="D544">IF(A544="","",SUMPRODUCT(('Detalle Turnos'!$I$3:$I$5028=$A544)*('Detalle Turnos'!$N$3:$N$5028=C544)*'Detalle Turnos'!$L$3:$L$5028))</f>
        <v/>
      </c>
      <c r="E544" s="127" t="str">
        <f t="array" ref="E544">IF(A544="","",SUMPRODUCT(('Detalle Turnos'!$I$3:$I$5028=$A544)*('Detalle Turnos'!$N$3:$N$5028=C544)*'Detalle Turnos'!$K$3:$K$5028))</f>
        <v/>
      </c>
      <c r="F544" s="127">
        <f t="shared" si="36"/>
        <v>0</v>
      </c>
      <c r="G544" s="127" t="str">
        <f t="array" ref="G544">IF(E544="","",IFERROR(SUMPRODUCT(('Facturación 2026'!$A$4:$A$920=$A544)*'Facturación 2026'!$J$4:$J$920)*E544/(SUMPRODUCT(('Caja 1'!$A$4:$A$919=$A544)*'Caja 1'!$E$4:$E$919)+SUMPRODUCT(('Caja 2'!$A$4:$A$920=$A544)*'Caja 2'!$E$4:$E$920)),0))</f>
        <v/>
      </c>
      <c r="H544" s="128" t="str">
        <f t="shared" si="37"/>
        <v/>
      </c>
      <c r="I544" s="124" t="str">
        <f t="shared" si="38"/>
        <v/>
      </c>
      <c r="J544" s="987" t="str">
        <f>IF(A544="","",IFERROR(INDEX('Facturación 2026'!$L$4:$L$500,MATCH($A544,'Facturación 2026'!$A$4:$A$500,0)),""))</f>
        <v/>
      </c>
    </row>
    <row r="545" spans="1:10" ht="15.75" customHeight="1">
      <c r="A545" s="988"/>
      <c r="B545" s="122" t="str">
        <f t="shared" si="35"/>
        <v/>
      </c>
      <c r="C545" s="123"/>
      <c r="D545" s="131" t="str">
        <f t="array" ref="D545">IF(A545="","",SUMPRODUCT(('Detalle Turnos'!$I$3:$I$5028=$A545)*('Detalle Turnos'!$N$3:$N$5028=C545)*'Detalle Turnos'!$L$3:$L$5028))</f>
        <v/>
      </c>
      <c r="E545" s="127" t="str">
        <f t="array" ref="E545">IF(A545="","",SUMPRODUCT(('Detalle Turnos'!$I$3:$I$5028=$A545)*('Detalle Turnos'!$N$3:$N$5028=C545)*'Detalle Turnos'!$K$3:$K$5028))</f>
        <v/>
      </c>
      <c r="F545" s="127">
        <f t="shared" si="36"/>
        <v>0</v>
      </c>
      <c r="G545" s="127" t="str">
        <f t="array" ref="G545">IF(E545="","",IFERROR(SUMPRODUCT(('Facturación 2026'!$A$4:$A$920=$A545)*'Facturación 2026'!$J$4:$J$920)*E545/(SUMPRODUCT(('Caja 1'!$A$4:$A$919=$A545)*'Caja 1'!$E$4:$E$919)+SUMPRODUCT(('Caja 2'!$A$4:$A$920=$A545)*'Caja 2'!$E$4:$E$920)),0))</f>
        <v/>
      </c>
      <c r="H545" s="128" t="str">
        <f t="shared" si="37"/>
        <v/>
      </c>
      <c r="I545" s="124" t="str">
        <f t="shared" si="38"/>
        <v/>
      </c>
      <c r="J545" s="987" t="str">
        <f>IF(A545="","",IFERROR(INDEX('Facturación 2026'!$L$4:$L$500,MATCH($A545,'Facturación 2026'!$A$4:$A$500,0)),""))</f>
        <v/>
      </c>
    </row>
    <row r="546" spans="1:10" ht="15.75" customHeight="1">
      <c r="A546" s="988"/>
      <c r="B546" s="122" t="str">
        <f t="shared" si="35"/>
        <v/>
      </c>
      <c r="C546" s="123"/>
      <c r="D546" s="131" t="str">
        <f t="array" ref="D546">IF(A546="","",SUMPRODUCT(('Detalle Turnos'!$I$3:$I$5028=$A546)*('Detalle Turnos'!$N$3:$N$5028=C546)*'Detalle Turnos'!$L$3:$L$5028))</f>
        <v/>
      </c>
      <c r="E546" s="127" t="str">
        <f t="array" ref="E546">IF(A546="","",SUMPRODUCT(('Detalle Turnos'!$I$3:$I$5028=$A546)*('Detalle Turnos'!$N$3:$N$5028=C546)*'Detalle Turnos'!$K$3:$K$5028))</f>
        <v/>
      </c>
      <c r="F546" s="127">
        <f t="shared" si="36"/>
        <v>0</v>
      </c>
      <c r="G546" s="127" t="str">
        <f t="array" ref="G546">IF(E546="","",IFERROR(SUMPRODUCT(('Facturación 2026'!$A$4:$A$920=$A546)*'Facturación 2026'!$J$4:$J$920)*E546/(SUMPRODUCT(('Caja 1'!$A$4:$A$919=$A546)*'Caja 1'!$E$4:$E$919)+SUMPRODUCT(('Caja 2'!$A$4:$A$920=$A546)*'Caja 2'!$E$4:$E$920)),0))</f>
        <v/>
      </c>
      <c r="H546" s="128" t="str">
        <f t="shared" si="37"/>
        <v/>
      </c>
      <c r="I546" s="124" t="str">
        <f t="shared" si="38"/>
        <v/>
      </c>
      <c r="J546" s="987" t="str">
        <f>IF(A546="","",IFERROR(INDEX('Facturación 2026'!$L$4:$L$500,MATCH($A546,'Facturación 2026'!$A$4:$A$500,0)),""))</f>
        <v/>
      </c>
    </row>
    <row r="547" spans="1:10" ht="15.75" customHeight="1">
      <c r="A547" s="988"/>
      <c r="B547" s="122" t="str">
        <f t="shared" si="35"/>
        <v/>
      </c>
      <c r="C547" s="123"/>
      <c r="D547" s="131" t="str">
        <f t="array" ref="D547">IF(A547="","",SUMPRODUCT(('Detalle Turnos'!$I$3:$I$5028=$A547)*('Detalle Turnos'!$N$3:$N$5028=C547)*'Detalle Turnos'!$L$3:$L$5028))</f>
        <v/>
      </c>
      <c r="E547" s="127" t="str">
        <f t="array" ref="E547">IF(A547="","",SUMPRODUCT(('Detalle Turnos'!$I$3:$I$5028=$A547)*('Detalle Turnos'!$N$3:$N$5028=C547)*'Detalle Turnos'!$K$3:$K$5028))</f>
        <v/>
      </c>
      <c r="F547" s="127">
        <f t="shared" si="36"/>
        <v>0</v>
      </c>
      <c r="G547" s="127" t="str">
        <f t="array" ref="G547">IF(E547="","",IFERROR(SUMPRODUCT(('Facturación 2026'!$A$4:$A$920=$A547)*'Facturación 2026'!$J$4:$J$920)*E547/(SUMPRODUCT(('Caja 1'!$A$4:$A$919=$A547)*'Caja 1'!$E$4:$E$919)+SUMPRODUCT(('Caja 2'!$A$4:$A$920=$A547)*'Caja 2'!$E$4:$E$920)),0))</f>
        <v/>
      </c>
      <c r="H547" s="128" t="str">
        <f t="shared" si="37"/>
        <v/>
      </c>
      <c r="I547" s="124" t="str">
        <f t="shared" si="38"/>
        <v/>
      </c>
      <c r="J547" s="987" t="str">
        <f>IF(A547="","",IFERROR(INDEX('Facturación 2026'!$L$4:$L$500,MATCH($A547,'Facturación 2026'!$A$4:$A$500,0)),""))</f>
        <v/>
      </c>
    </row>
    <row r="548" spans="1:10" ht="15.75" customHeight="1">
      <c r="A548" s="988"/>
      <c r="B548" s="122" t="str">
        <f t="shared" si="35"/>
        <v/>
      </c>
      <c r="C548" s="123"/>
      <c r="D548" s="131" t="str">
        <f t="array" ref="D548">IF(A548="","",SUMPRODUCT(('Detalle Turnos'!$I$3:$I$5028=$A548)*('Detalle Turnos'!$N$3:$N$5028=C548)*'Detalle Turnos'!$L$3:$L$5028))</f>
        <v/>
      </c>
      <c r="E548" s="127" t="str">
        <f t="array" ref="E548">IF(A548="","",SUMPRODUCT(('Detalle Turnos'!$I$3:$I$5028=$A548)*('Detalle Turnos'!$N$3:$N$5028=C548)*'Detalle Turnos'!$K$3:$K$5028))</f>
        <v/>
      </c>
      <c r="F548" s="127">
        <f t="shared" si="36"/>
        <v>0</v>
      </c>
      <c r="G548" s="127" t="str">
        <f t="array" ref="G548">IF(E548="","",IFERROR(SUMPRODUCT(('Facturación 2026'!$A$4:$A$920=$A548)*'Facturación 2026'!$J$4:$J$920)*E548/(SUMPRODUCT(('Caja 1'!$A$4:$A$919=$A548)*'Caja 1'!$E$4:$E$919)+SUMPRODUCT(('Caja 2'!$A$4:$A$920=$A548)*'Caja 2'!$E$4:$E$920)),0))</f>
        <v/>
      </c>
      <c r="H548" s="128" t="str">
        <f t="shared" si="37"/>
        <v/>
      </c>
      <c r="I548" s="124" t="str">
        <f t="shared" si="38"/>
        <v/>
      </c>
      <c r="J548" s="987" t="str">
        <f>IF(A548="","",IFERROR(INDEX('Facturación 2026'!$L$4:$L$500,MATCH($A548,'Facturación 2026'!$A$4:$A$500,0)),""))</f>
        <v/>
      </c>
    </row>
    <row r="549" spans="1:10" ht="15.75" customHeight="1">
      <c r="A549" s="988"/>
      <c r="B549" s="122" t="str">
        <f t="shared" si="35"/>
        <v/>
      </c>
      <c r="C549" s="123"/>
      <c r="D549" s="131" t="str">
        <f t="array" ref="D549">IF(A549="","",SUMPRODUCT(('Detalle Turnos'!$I$3:$I$5028=$A549)*('Detalle Turnos'!$N$3:$N$5028=C549)*'Detalle Turnos'!$L$3:$L$5028))</f>
        <v/>
      </c>
      <c r="E549" s="127" t="str">
        <f t="array" ref="E549">IF(A549="","",SUMPRODUCT(('Detalle Turnos'!$I$3:$I$5028=$A549)*('Detalle Turnos'!$N$3:$N$5028=C549)*'Detalle Turnos'!$K$3:$K$5028))</f>
        <v/>
      </c>
      <c r="F549" s="127">
        <f t="shared" si="36"/>
        <v>0</v>
      </c>
      <c r="G549" s="127" t="str">
        <f t="array" ref="G549">IF(E549="","",IFERROR(SUMPRODUCT(('Facturación 2026'!$A$4:$A$920=$A549)*'Facturación 2026'!$J$4:$J$920)*E549/(SUMPRODUCT(('Caja 1'!$A$4:$A$919=$A549)*'Caja 1'!$E$4:$E$919)+SUMPRODUCT(('Caja 2'!$A$4:$A$920=$A549)*'Caja 2'!$E$4:$E$920)),0))</f>
        <v/>
      </c>
      <c r="H549" s="128" t="str">
        <f t="shared" si="37"/>
        <v/>
      </c>
      <c r="I549" s="124" t="str">
        <f t="shared" si="38"/>
        <v/>
      </c>
      <c r="J549" s="987" t="str">
        <f>IF(A549="","",IFERROR(INDEX('Facturación 2026'!$L$4:$L$500,MATCH($A549,'Facturación 2026'!$A$4:$A$500,0)),""))</f>
        <v/>
      </c>
    </row>
    <row r="550" spans="1:10" ht="15.75" customHeight="1">
      <c r="A550" s="988"/>
      <c r="B550" s="122" t="str">
        <f t="shared" si="35"/>
        <v/>
      </c>
      <c r="C550" s="123"/>
      <c r="D550" s="131" t="str">
        <f t="array" ref="D550">IF(A550="","",SUMPRODUCT(('Detalle Turnos'!$I$3:$I$5028=$A550)*('Detalle Turnos'!$N$3:$N$5028=C550)*'Detalle Turnos'!$L$3:$L$5028))</f>
        <v/>
      </c>
      <c r="E550" s="127" t="str">
        <f t="array" ref="E550">IF(A550="","",SUMPRODUCT(('Detalle Turnos'!$I$3:$I$5028=$A550)*('Detalle Turnos'!$N$3:$N$5028=C550)*'Detalle Turnos'!$K$3:$K$5028))</f>
        <v/>
      </c>
      <c r="F550" s="127">
        <f t="shared" si="36"/>
        <v>0</v>
      </c>
      <c r="G550" s="127" t="str">
        <f t="array" ref="G550">IF(E550="","",IFERROR(SUMPRODUCT(('Facturación 2026'!$A$4:$A$920=$A550)*'Facturación 2026'!$J$4:$J$920)*E550/(SUMPRODUCT(('Caja 1'!$A$4:$A$919=$A550)*'Caja 1'!$E$4:$E$919)+SUMPRODUCT(('Caja 2'!$A$4:$A$920=$A550)*'Caja 2'!$E$4:$E$920)),0))</f>
        <v/>
      </c>
      <c r="H550" s="128" t="str">
        <f t="shared" si="37"/>
        <v/>
      </c>
      <c r="I550" s="124" t="str">
        <f t="shared" si="38"/>
        <v/>
      </c>
      <c r="J550" s="987" t="str">
        <f>IF(A550="","",IFERROR(INDEX('Facturación 2026'!$L$4:$L$500,MATCH($A550,'Facturación 2026'!$A$4:$A$500,0)),""))</f>
        <v/>
      </c>
    </row>
    <row r="551" spans="1:10" ht="15.75" customHeight="1">
      <c r="A551" s="988"/>
      <c r="B551" s="122" t="str">
        <f t="shared" si="35"/>
        <v/>
      </c>
      <c r="C551" s="123"/>
      <c r="D551" s="131" t="str">
        <f t="array" ref="D551">IF(A551="","",SUMPRODUCT(('Detalle Turnos'!$I$3:$I$5028=$A551)*('Detalle Turnos'!$N$3:$N$5028=C551)*'Detalle Turnos'!$L$3:$L$5028))</f>
        <v/>
      </c>
      <c r="E551" s="127" t="str">
        <f t="array" ref="E551">IF(A551="","",SUMPRODUCT(('Detalle Turnos'!$I$3:$I$5028=$A551)*('Detalle Turnos'!$N$3:$N$5028=C551)*'Detalle Turnos'!$K$3:$K$5028))</f>
        <v/>
      </c>
      <c r="F551" s="127">
        <f t="shared" si="36"/>
        <v>0</v>
      </c>
      <c r="G551" s="127" t="str">
        <f t="array" ref="G551">IF(E551="","",IFERROR(SUMPRODUCT(('Facturación 2026'!$A$4:$A$920=$A551)*'Facturación 2026'!$J$4:$J$920)*E551/(SUMPRODUCT(('Caja 1'!$A$4:$A$919=$A551)*'Caja 1'!$E$4:$E$919)+SUMPRODUCT(('Caja 2'!$A$4:$A$920=$A551)*'Caja 2'!$E$4:$E$920)),0))</f>
        <v/>
      </c>
      <c r="H551" s="128" t="str">
        <f t="shared" si="37"/>
        <v/>
      </c>
      <c r="I551" s="124" t="str">
        <f t="shared" si="38"/>
        <v/>
      </c>
      <c r="J551" s="987" t="str">
        <f>IF(A551="","",IFERROR(INDEX('Facturación 2026'!$L$4:$L$500,MATCH($A551,'Facturación 2026'!$A$4:$A$500,0)),""))</f>
        <v/>
      </c>
    </row>
    <row r="552" spans="1:10" ht="15.75" customHeight="1">
      <c r="A552" s="988"/>
      <c r="B552" s="122" t="str">
        <f t="shared" si="35"/>
        <v/>
      </c>
      <c r="C552" s="123"/>
      <c r="D552" s="131" t="str">
        <f t="array" ref="D552">IF(A552="","",SUMPRODUCT(('Detalle Turnos'!$I$3:$I$5028=$A552)*('Detalle Turnos'!$N$3:$N$5028=C552)*'Detalle Turnos'!$L$3:$L$5028))</f>
        <v/>
      </c>
      <c r="E552" s="127" t="str">
        <f t="array" ref="E552">IF(A552="","",SUMPRODUCT(('Detalle Turnos'!$I$3:$I$5028=$A552)*('Detalle Turnos'!$N$3:$N$5028=C552)*'Detalle Turnos'!$K$3:$K$5028))</f>
        <v/>
      </c>
      <c r="F552" s="127">
        <f t="shared" si="36"/>
        <v>0</v>
      </c>
      <c r="G552" s="127" t="str">
        <f t="array" ref="G552">IF(E552="","",IFERROR(SUMPRODUCT(('Facturación 2026'!$A$4:$A$920=$A552)*'Facturación 2026'!$J$4:$J$920)*E552/(SUMPRODUCT(('Caja 1'!$A$4:$A$919=$A552)*'Caja 1'!$E$4:$E$919)+SUMPRODUCT(('Caja 2'!$A$4:$A$920=$A552)*'Caja 2'!$E$4:$E$920)),0))</f>
        <v/>
      </c>
      <c r="H552" s="128" t="str">
        <f t="shared" si="37"/>
        <v/>
      </c>
      <c r="I552" s="124" t="str">
        <f t="shared" si="38"/>
        <v/>
      </c>
      <c r="J552" s="987" t="str">
        <f>IF(A552="","",IFERROR(INDEX('Facturación 2026'!$L$4:$L$500,MATCH($A552,'Facturación 2026'!$A$4:$A$500,0)),""))</f>
        <v/>
      </c>
    </row>
    <row r="553" spans="1:10" ht="15.75" customHeight="1">
      <c r="A553" s="988"/>
      <c r="B553" s="122" t="str">
        <f t="shared" si="35"/>
        <v/>
      </c>
      <c r="C553" s="123"/>
      <c r="D553" s="131" t="str">
        <f t="array" ref="D553">IF(A553="","",SUMPRODUCT(('Detalle Turnos'!$I$3:$I$5028=$A553)*('Detalle Turnos'!$N$3:$N$5028=C553)*'Detalle Turnos'!$L$3:$L$5028))</f>
        <v/>
      </c>
      <c r="E553" s="127" t="str">
        <f t="array" ref="E553">IF(A553="","",SUMPRODUCT(('Detalle Turnos'!$I$3:$I$5028=$A553)*('Detalle Turnos'!$N$3:$N$5028=C553)*'Detalle Turnos'!$K$3:$K$5028))</f>
        <v/>
      </c>
      <c r="F553" s="127">
        <f t="shared" si="36"/>
        <v>0</v>
      </c>
      <c r="G553" s="127" t="str">
        <f t="array" ref="G553">IF(E553="","",IFERROR(SUMPRODUCT(('Facturación 2026'!$A$4:$A$920=$A553)*'Facturación 2026'!$J$4:$J$920)*E553/(SUMPRODUCT(('Caja 1'!$A$4:$A$919=$A553)*'Caja 1'!$E$4:$E$919)+SUMPRODUCT(('Caja 2'!$A$4:$A$920=$A553)*'Caja 2'!$E$4:$E$920)),0))</f>
        <v/>
      </c>
      <c r="H553" s="128" t="str">
        <f t="shared" si="37"/>
        <v/>
      </c>
      <c r="I553" s="124" t="str">
        <f t="shared" si="38"/>
        <v/>
      </c>
      <c r="J553" s="987" t="str">
        <f>IF(A553="","",IFERROR(INDEX('Facturación 2026'!$L$4:$L$500,MATCH($A553,'Facturación 2026'!$A$4:$A$500,0)),""))</f>
        <v/>
      </c>
    </row>
    <row r="554" spans="1:10" ht="15.75" customHeight="1">
      <c r="A554" s="988"/>
      <c r="B554" s="122" t="str">
        <f t="shared" si="35"/>
        <v/>
      </c>
      <c r="C554" s="123"/>
      <c r="D554" s="131" t="str">
        <f t="array" ref="D554">IF(A554="","",SUMPRODUCT(('Detalle Turnos'!$I$3:$I$5028=$A554)*('Detalle Turnos'!$N$3:$N$5028=C554)*'Detalle Turnos'!$L$3:$L$5028))</f>
        <v/>
      </c>
      <c r="E554" s="127" t="str">
        <f t="array" ref="E554">IF(A554="","",SUMPRODUCT(('Detalle Turnos'!$I$3:$I$5028=$A554)*('Detalle Turnos'!$N$3:$N$5028=C554)*'Detalle Turnos'!$K$3:$K$5028))</f>
        <v/>
      </c>
      <c r="F554" s="127">
        <f t="shared" si="36"/>
        <v>0</v>
      </c>
      <c r="G554" s="127" t="str">
        <f t="array" ref="G554">IF(E554="","",IFERROR(SUMPRODUCT(('Facturación 2026'!$A$4:$A$920=$A554)*'Facturación 2026'!$J$4:$J$920)*E554/(SUMPRODUCT(('Caja 1'!$A$4:$A$919=$A554)*'Caja 1'!$E$4:$E$919)+SUMPRODUCT(('Caja 2'!$A$4:$A$920=$A554)*'Caja 2'!$E$4:$E$920)),0))</f>
        <v/>
      </c>
      <c r="H554" s="128" t="str">
        <f t="shared" si="37"/>
        <v/>
      </c>
      <c r="I554" s="124" t="str">
        <f t="shared" si="38"/>
        <v/>
      </c>
      <c r="J554" s="987" t="str">
        <f>IF(A554="","",IFERROR(INDEX('Facturación 2026'!$L$4:$L$500,MATCH($A554,'Facturación 2026'!$A$4:$A$500,0)),""))</f>
        <v/>
      </c>
    </row>
    <row r="555" spans="1:10" ht="15.75" customHeight="1">
      <c r="A555" s="988"/>
      <c r="B555" s="122" t="str">
        <f t="shared" si="35"/>
        <v/>
      </c>
      <c r="C555" s="123"/>
      <c r="D555" s="131" t="str">
        <f t="array" ref="D555">IF(A555="","",SUMPRODUCT(('Detalle Turnos'!$I$3:$I$5028=$A555)*('Detalle Turnos'!$N$3:$N$5028=C555)*'Detalle Turnos'!$L$3:$L$5028))</f>
        <v/>
      </c>
      <c r="E555" s="127" t="str">
        <f t="array" ref="E555">IF(A555="","",SUMPRODUCT(('Detalle Turnos'!$I$3:$I$5028=$A555)*('Detalle Turnos'!$N$3:$N$5028=C555)*'Detalle Turnos'!$K$3:$K$5028))</f>
        <v/>
      </c>
      <c r="F555" s="127">
        <f t="shared" si="36"/>
        <v>0</v>
      </c>
      <c r="G555" s="127" t="str">
        <f t="array" ref="G555">IF(E555="","",IFERROR(SUMPRODUCT(('Facturación 2026'!$A$4:$A$920=$A555)*'Facturación 2026'!$J$4:$J$920)*E555/(SUMPRODUCT(('Caja 1'!$A$4:$A$919=$A555)*'Caja 1'!$E$4:$E$919)+SUMPRODUCT(('Caja 2'!$A$4:$A$920=$A555)*'Caja 2'!$E$4:$E$920)),0))</f>
        <v/>
      </c>
      <c r="H555" s="128" t="str">
        <f t="shared" si="37"/>
        <v/>
      </c>
      <c r="I555" s="124" t="str">
        <f t="shared" si="38"/>
        <v/>
      </c>
      <c r="J555" s="987" t="str">
        <f>IF(A555="","",IFERROR(INDEX('Facturación 2026'!$L$4:$L$500,MATCH($A555,'Facturación 2026'!$A$4:$A$500,0)),""))</f>
        <v/>
      </c>
    </row>
    <row r="556" spans="1:10" ht="15.75" customHeight="1">
      <c r="A556" s="988"/>
      <c r="B556" s="122" t="str">
        <f t="shared" si="35"/>
        <v/>
      </c>
      <c r="C556" s="123"/>
      <c r="D556" s="131" t="str">
        <f t="array" ref="D556">IF(A556="","",SUMPRODUCT(('Detalle Turnos'!$I$3:$I$5028=$A556)*('Detalle Turnos'!$N$3:$N$5028=C556)*'Detalle Turnos'!$L$3:$L$5028))</f>
        <v/>
      </c>
      <c r="E556" s="127" t="str">
        <f t="array" ref="E556">IF(A556="","",SUMPRODUCT(('Detalle Turnos'!$I$3:$I$5028=$A556)*('Detalle Turnos'!$N$3:$N$5028=C556)*'Detalle Turnos'!$K$3:$K$5028))</f>
        <v/>
      </c>
      <c r="F556" s="127">
        <f t="shared" si="36"/>
        <v>0</v>
      </c>
      <c r="G556" s="127" t="str">
        <f t="array" ref="G556">IF(E556="","",IFERROR(SUMPRODUCT(('Facturación 2026'!$A$4:$A$920=$A556)*'Facturación 2026'!$J$4:$J$920)*E556/(SUMPRODUCT(('Caja 1'!$A$4:$A$919=$A556)*'Caja 1'!$E$4:$E$919)+SUMPRODUCT(('Caja 2'!$A$4:$A$920=$A556)*'Caja 2'!$E$4:$E$920)),0))</f>
        <v/>
      </c>
      <c r="H556" s="128" t="str">
        <f t="shared" si="37"/>
        <v/>
      </c>
      <c r="I556" s="124" t="str">
        <f t="shared" si="38"/>
        <v/>
      </c>
      <c r="J556" s="987" t="str">
        <f>IF(A556="","",IFERROR(INDEX('Facturación 2026'!$L$4:$L$500,MATCH($A556,'Facturación 2026'!$A$4:$A$500,0)),""))</f>
        <v/>
      </c>
    </row>
    <row r="557" spans="1:10" ht="15.75" customHeight="1">
      <c r="A557" s="988"/>
      <c r="B557" s="122" t="str">
        <f t="shared" si="35"/>
        <v/>
      </c>
      <c r="C557" s="123"/>
      <c r="D557" s="131" t="str">
        <f t="array" ref="D557">IF(A557="","",SUMPRODUCT(('Detalle Turnos'!$I$3:$I$5028=$A557)*('Detalle Turnos'!$N$3:$N$5028=C557)*'Detalle Turnos'!$L$3:$L$5028))</f>
        <v/>
      </c>
      <c r="E557" s="127" t="str">
        <f t="array" ref="E557">IF(A557="","",SUMPRODUCT(('Detalle Turnos'!$I$3:$I$5028=$A557)*('Detalle Turnos'!$N$3:$N$5028=C557)*'Detalle Turnos'!$K$3:$K$5028))</f>
        <v/>
      </c>
      <c r="F557" s="127">
        <f t="shared" si="36"/>
        <v>0</v>
      </c>
      <c r="G557" s="127" t="str">
        <f t="array" ref="G557">IF(E557="","",IFERROR(SUMPRODUCT(('Facturación 2026'!$A$4:$A$920=$A557)*'Facturación 2026'!$J$4:$J$920)*E557/(SUMPRODUCT(('Caja 1'!$A$4:$A$919=$A557)*'Caja 1'!$E$4:$E$919)+SUMPRODUCT(('Caja 2'!$A$4:$A$920=$A557)*'Caja 2'!$E$4:$E$920)),0))</f>
        <v/>
      </c>
      <c r="H557" s="128" t="str">
        <f t="shared" si="37"/>
        <v/>
      </c>
      <c r="I557" s="124" t="str">
        <f t="shared" si="38"/>
        <v/>
      </c>
      <c r="J557" s="987" t="str">
        <f>IF(A557="","",IFERROR(INDEX('Facturación 2026'!$L$4:$L$500,MATCH($A557,'Facturación 2026'!$A$4:$A$500,0)),""))</f>
        <v/>
      </c>
    </row>
    <row r="558" spans="1:10" ht="15.75" customHeight="1">
      <c r="A558" s="988"/>
      <c r="B558" s="122" t="str">
        <f t="shared" si="35"/>
        <v/>
      </c>
      <c r="C558" s="123"/>
      <c r="D558" s="131" t="str">
        <f t="array" ref="D558">IF(A558="","",SUMPRODUCT(('Detalle Turnos'!$I$3:$I$5028=$A558)*('Detalle Turnos'!$N$3:$N$5028=C558)*'Detalle Turnos'!$L$3:$L$5028))</f>
        <v/>
      </c>
      <c r="E558" s="127" t="str">
        <f t="array" ref="E558">IF(A558="","",SUMPRODUCT(('Detalle Turnos'!$I$3:$I$5028=$A558)*('Detalle Turnos'!$N$3:$N$5028=C558)*'Detalle Turnos'!$K$3:$K$5028))</f>
        <v/>
      </c>
      <c r="F558" s="127">
        <f t="shared" si="36"/>
        <v>0</v>
      </c>
      <c r="G558" s="127" t="str">
        <f t="array" ref="G558">IF(E558="","",IFERROR(SUMPRODUCT(('Facturación 2026'!$A$4:$A$920=$A558)*'Facturación 2026'!$J$4:$J$920)*E558/(SUMPRODUCT(('Caja 1'!$A$4:$A$919=$A558)*'Caja 1'!$E$4:$E$919)+SUMPRODUCT(('Caja 2'!$A$4:$A$920=$A558)*'Caja 2'!$E$4:$E$920)),0))</f>
        <v/>
      </c>
      <c r="H558" s="128" t="str">
        <f t="shared" si="37"/>
        <v/>
      </c>
      <c r="I558" s="124" t="str">
        <f t="shared" si="38"/>
        <v/>
      </c>
      <c r="J558" s="987" t="str">
        <f>IF(A558="","",IFERROR(INDEX('Facturación 2026'!$L$4:$L$500,MATCH($A558,'Facturación 2026'!$A$4:$A$500,0)),""))</f>
        <v/>
      </c>
    </row>
    <row r="559" spans="1:10" ht="15.75" customHeight="1">
      <c r="A559" s="988"/>
      <c r="B559" s="122" t="str">
        <f t="shared" si="35"/>
        <v/>
      </c>
      <c r="C559" s="123"/>
      <c r="D559" s="131" t="str">
        <f t="array" ref="D559">IF(A559="","",SUMPRODUCT(('Detalle Turnos'!$I$3:$I$5028=$A559)*('Detalle Turnos'!$N$3:$N$5028=C559)*'Detalle Turnos'!$L$3:$L$5028))</f>
        <v/>
      </c>
      <c r="E559" s="127" t="str">
        <f t="array" ref="E559">IF(A559="","",SUMPRODUCT(('Detalle Turnos'!$I$3:$I$5028=$A559)*('Detalle Turnos'!$N$3:$N$5028=C559)*'Detalle Turnos'!$K$3:$K$5028))</f>
        <v/>
      </c>
      <c r="F559" s="127">
        <f t="shared" si="36"/>
        <v>0</v>
      </c>
      <c r="G559" s="127" t="str">
        <f t="array" ref="G559">IF(E559="","",IFERROR(SUMPRODUCT(('Facturación 2026'!$A$4:$A$920=$A559)*'Facturación 2026'!$J$4:$J$920)*E559/(SUMPRODUCT(('Caja 1'!$A$4:$A$919=$A559)*'Caja 1'!$E$4:$E$919)+SUMPRODUCT(('Caja 2'!$A$4:$A$920=$A559)*'Caja 2'!$E$4:$E$920)),0))</f>
        <v/>
      </c>
      <c r="H559" s="128" t="str">
        <f t="shared" si="37"/>
        <v/>
      </c>
      <c r="I559" s="124" t="str">
        <f t="shared" si="38"/>
        <v/>
      </c>
      <c r="J559" s="987" t="str">
        <f>IF(A559="","",IFERROR(INDEX('Facturación 2026'!$L$4:$L$500,MATCH($A559,'Facturación 2026'!$A$4:$A$500,0)),""))</f>
        <v/>
      </c>
    </row>
    <row r="560" spans="1:10" ht="15.75" customHeight="1">
      <c r="A560" s="988"/>
      <c r="B560" s="122" t="str">
        <f t="shared" si="35"/>
        <v/>
      </c>
      <c r="C560" s="123"/>
      <c r="D560" s="131" t="str">
        <f t="array" ref="D560">IF(A560="","",SUMPRODUCT(('Detalle Turnos'!$I$3:$I$5028=$A560)*('Detalle Turnos'!$N$3:$N$5028=C560)*'Detalle Turnos'!$L$3:$L$5028))</f>
        <v/>
      </c>
      <c r="E560" s="127" t="str">
        <f t="array" ref="E560">IF(A560="","",SUMPRODUCT(('Detalle Turnos'!$I$3:$I$5028=$A560)*('Detalle Turnos'!$N$3:$N$5028=C560)*'Detalle Turnos'!$K$3:$K$5028))</f>
        <v/>
      </c>
      <c r="F560" s="127">
        <f t="shared" si="36"/>
        <v>0</v>
      </c>
      <c r="G560" s="127" t="str">
        <f t="array" ref="G560">IF(E560="","",IFERROR(SUMPRODUCT(('Facturación 2026'!$A$4:$A$920=$A560)*'Facturación 2026'!$J$4:$J$920)*E560/(SUMPRODUCT(('Caja 1'!$A$4:$A$919=$A560)*'Caja 1'!$E$4:$E$919)+SUMPRODUCT(('Caja 2'!$A$4:$A$920=$A560)*'Caja 2'!$E$4:$E$920)),0))</f>
        <v/>
      </c>
      <c r="H560" s="128" t="str">
        <f t="shared" si="37"/>
        <v/>
      </c>
      <c r="I560" s="124" t="str">
        <f t="shared" si="38"/>
        <v/>
      </c>
      <c r="J560" s="987" t="str">
        <f>IF(A560="","",IFERROR(INDEX('Facturación 2026'!$L$4:$L$500,MATCH($A560,'Facturación 2026'!$A$4:$A$500,0)),""))</f>
        <v/>
      </c>
    </row>
    <row r="561" spans="1:10" ht="15.75" customHeight="1">
      <c r="A561" s="988"/>
      <c r="B561" s="122" t="str">
        <f t="shared" si="35"/>
        <v/>
      </c>
      <c r="C561" s="123"/>
      <c r="D561" s="131" t="str">
        <f t="array" ref="D561">IF(A561="","",SUMPRODUCT(('Detalle Turnos'!$I$3:$I$5028=$A561)*('Detalle Turnos'!$N$3:$N$5028=C561)*'Detalle Turnos'!$L$3:$L$5028))</f>
        <v/>
      </c>
      <c r="E561" s="127" t="str">
        <f t="array" ref="E561">IF(A561="","",SUMPRODUCT(('Detalle Turnos'!$I$3:$I$5028=$A561)*('Detalle Turnos'!$N$3:$N$5028=C561)*'Detalle Turnos'!$K$3:$K$5028))</f>
        <v/>
      </c>
      <c r="F561" s="127">
        <f t="shared" si="36"/>
        <v>0</v>
      </c>
      <c r="G561" s="127" t="str">
        <f t="array" ref="G561">IF(E561="","",IFERROR(SUMPRODUCT(('Facturación 2026'!$A$4:$A$920=$A561)*'Facturación 2026'!$J$4:$J$920)*E561/(SUMPRODUCT(('Caja 1'!$A$4:$A$919=$A561)*'Caja 1'!$E$4:$E$919)+SUMPRODUCT(('Caja 2'!$A$4:$A$920=$A561)*'Caja 2'!$E$4:$E$920)),0))</f>
        <v/>
      </c>
      <c r="H561" s="128" t="str">
        <f t="shared" si="37"/>
        <v/>
      </c>
      <c r="I561" s="124" t="str">
        <f t="shared" si="38"/>
        <v/>
      </c>
      <c r="J561" s="987" t="str">
        <f>IF(A561="","",IFERROR(INDEX('Facturación 2026'!$L$4:$L$500,MATCH($A561,'Facturación 2026'!$A$4:$A$500,0)),""))</f>
        <v/>
      </c>
    </row>
    <row r="562" spans="1:10" ht="15.75" customHeight="1">
      <c r="A562" s="988"/>
      <c r="B562" s="122" t="str">
        <f t="shared" si="35"/>
        <v/>
      </c>
      <c r="C562" s="123"/>
      <c r="D562" s="131" t="str">
        <f t="array" ref="D562">IF(A562="","",SUMPRODUCT(('Detalle Turnos'!$I$3:$I$5028=$A562)*('Detalle Turnos'!$N$3:$N$5028=C562)*'Detalle Turnos'!$L$3:$L$5028))</f>
        <v/>
      </c>
      <c r="E562" s="127" t="str">
        <f t="array" ref="E562">IF(A562="","",SUMPRODUCT(('Detalle Turnos'!$I$3:$I$5028=$A562)*('Detalle Turnos'!$N$3:$N$5028=C562)*'Detalle Turnos'!$K$3:$K$5028))</f>
        <v/>
      </c>
      <c r="F562" s="127">
        <f t="shared" si="36"/>
        <v>0</v>
      </c>
      <c r="G562" s="127" t="str">
        <f t="array" ref="G562">IF(E562="","",IFERROR(SUMPRODUCT(('Facturación 2026'!$A$4:$A$920=$A562)*'Facturación 2026'!$J$4:$J$920)*E562/(SUMPRODUCT(('Caja 1'!$A$4:$A$919=$A562)*'Caja 1'!$E$4:$E$919)+SUMPRODUCT(('Caja 2'!$A$4:$A$920=$A562)*'Caja 2'!$E$4:$E$920)),0))</f>
        <v/>
      </c>
      <c r="H562" s="128" t="str">
        <f t="shared" si="37"/>
        <v/>
      </c>
      <c r="I562" s="124" t="str">
        <f t="shared" si="38"/>
        <v/>
      </c>
      <c r="J562" s="987" t="str">
        <f>IF(A562="","",IFERROR(INDEX('Facturación 2026'!$L$4:$L$500,MATCH($A562,'Facturación 2026'!$A$4:$A$500,0)),""))</f>
        <v/>
      </c>
    </row>
    <row r="563" spans="1:10" ht="15.75" customHeight="1">
      <c r="A563" s="988"/>
      <c r="B563" s="122" t="str">
        <f t="shared" si="35"/>
        <v/>
      </c>
      <c r="C563" s="123"/>
      <c r="D563" s="131" t="str">
        <f t="array" ref="D563">IF(A563="","",SUMPRODUCT(('Detalle Turnos'!$I$3:$I$5028=$A563)*('Detalle Turnos'!$N$3:$N$5028=C563)*'Detalle Turnos'!$L$3:$L$5028))</f>
        <v/>
      </c>
      <c r="E563" s="127" t="str">
        <f t="array" ref="E563">IF(A563="","",SUMPRODUCT(('Detalle Turnos'!$I$3:$I$5028=$A563)*('Detalle Turnos'!$N$3:$N$5028=C563)*'Detalle Turnos'!$K$3:$K$5028))</f>
        <v/>
      </c>
      <c r="F563" s="127">
        <f t="shared" si="36"/>
        <v>0</v>
      </c>
      <c r="G563" s="127" t="str">
        <f t="array" ref="G563">IF(E563="","",IFERROR(SUMPRODUCT(('Facturación 2026'!$A$4:$A$920=$A563)*'Facturación 2026'!$J$4:$J$920)*E563/(SUMPRODUCT(('Caja 1'!$A$4:$A$919=$A563)*'Caja 1'!$E$4:$E$919)+SUMPRODUCT(('Caja 2'!$A$4:$A$920=$A563)*'Caja 2'!$E$4:$E$920)),0))</f>
        <v/>
      </c>
      <c r="H563" s="128" t="str">
        <f t="shared" si="37"/>
        <v/>
      </c>
      <c r="I563" s="124" t="str">
        <f t="shared" si="38"/>
        <v/>
      </c>
      <c r="J563" s="987" t="str">
        <f>IF(A563="","",IFERROR(INDEX('Facturación 2026'!$L$4:$L$500,MATCH($A563,'Facturación 2026'!$A$4:$A$500,0)),""))</f>
        <v/>
      </c>
    </row>
    <row r="564" spans="1:10" ht="15.75" customHeight="1">
      <c r="A564" s="988"/>
      <c r="B564" s="122" t="str">
        <f t="shared" si="35"/>
        <v/>
      </c>
      <c r="C564" s="123"/>
      <c r="D564" s="131" t="str">
        <f t="array" ref="D564">IF(A564="","",SUMPRODUCT(('Detalle Turnos'!$I$3:$I$5028=$A564)*('Detalle Turnos'!$N$3:$N$5028=C564)*'Detalle Turnos'!$L$3:$L$5028))</f>
        <v/>
      </c>
      <c r="E564" s="127" t="str">
        <f t="array" ref="E564">IF(A564="","",SUMPRODUCT(('Detalle Turnos'!$I$3:$I$5028=$A564)*('Detalle Turnos'!$N$3:$N$5028=C564)*'Detalle Turnos'!$K$3:$K$5028))</f>
        <v/>
      </c>
      <c r="F564" s="127">
        <f t="shared" si="36"/>
        <v>0</v>
      </c>
      <c r="G564" s="127" t="str">
        <f t="array" ref="G564">IF(E564="","",IFERROR(SUMPRODUCT(('Facturación 2026'!$A$4:$A$920=$A564)*'Facturación 2026'!$J$4:$J$920)*E564/(SUMPRODUCT(('Caja 1'!$A$4:$A$919=$A564)*'Caja 1'!$E$4:$E$919)+SUMPRODUCT(('Caja 2'!$A$4:$A$920=$A564)*'Caja 2'!$E$4:$E$920)),0))</f>
        <v/>
      </c>
      <c r="H564" s="128" t="str">
        <f t="shared" si="37"/>
        <v/>
      </c>
      <c r="I564" s="124" t="str">
        <f t="shared" si="38"/>
        <v/>
      </c>
      <c r="J564" s="987" t="str">
        <f>IF(A564="","",IFERROR(INDEX('Facturación 2026'!$L$4:$L$500,MATCH($A564,'Facturación 2026'!$A$4:$A$500,0)),""))</f>
        <v/>
      </c>
    </row>
    <row r="565" spans="1:10" ht="15.75" customHeight="1">
      <c r="A565" s="988"/>
      <c r="B565" s="122" t="str">
        <f t="shared" si="35"/>
        <v/>
      </c>
      <c r="C565" s="123"/>
      <c r="D565" s="131" t="str">
        <f t="array" ref="D565">IF(A565="","",SUMPRODUCT(('Detalle Turnos'!$I$3:$I$5028=$A565)*('Detalle Turnos'!$N$3:$N$5028=C565)*'Detalle Turnos'!$L$3:$L$5028))</f>
        <v/>
      </c>
      <c r="E565" s="127" t="str">
        <f t="array" ref="E565">IF(A565="","",SUMPRODUCT(('Detalle Turnos'!$I$3:$I$5028=$A565)*('Detalle Turnos'!$N$3:$N$5028=C565)*'Detalle Turnos'!$K$3:$K$5028))</f>
        <v/>
      </c>
      <c r="F565" s="127">
        <f t="shared" si="36"/>
        <v>0</v>
      </c>
      <c r="G565" s="127" t="str">
        <f t="array" ref="G565">IF(E565="","",IFERROR(SUMPRODUCT(('Facturación 2026'!$A$4:$A$920=$A565)*'Facturación 2026'!$J$4:$J$920)*E565/(SUMPRODUCT(('Caja 1'!$A$4:$A$919=$A565)*'Caja 1'!$E$4:$E$919)+SUMPRODUCT(('Caja 2'!$A$4:$A$920=$A565)*'Caja 2'!$E$4:$E$920)),0))</f>
        <v/>
      </c>
      <c r="H565" s="128" t="str">
        <f t="shared" si="37"/>
        <v/>
      </c>
      <c r="I565" s="124" t="str">
        <f t="shared" si="38"/>
        <v/>
      </c>
      <c r="J565" s="987" t="str">
        <f>IF(A565="","",IFERROR(INDEX('Facturación 2026'!$L$4:$L$500,MATCH($A565,'Facturación 2026'!$A$4:$A$500,0)),""))</f>
        <v/>
      </c>
    </row>
    <row r="566" spans="1:10" ht="15.75" customHeight="1">
      <c r="A566" s="988"/>
      <c r="B566" s="122" t="str">
        <f t="shared" si="35"/>
        <v/>
      </c>
      <c r="C566" s="123"/>
      <c r="D566" s="131" t="str">
        <f t="array" ref="D566">IF(A566="","",SUMPRODUCT(('Detalle Turnos'!$I$3:$I$5028=$A566)*('Detalle Turnos'!$N$3:$N$5028=C566)*'Detalle Turnos'!$L$3:$L$5028))</f>
        <v/>
      </c>
      <c r="E566" s="127" t="str">
        <f t="array" ref="E566">IF(A566="","",SUMPRODUCT(('Detalle Turnos'!$I$3:$I$5028=$A566)*('Detalle Turnos'!$N$3:$N$5028=C566)*'Detalle Turnos'!$K$3:$K$5028))</f>
        <v/>
      </c>
      <c r="F566" s="127">
        <f t="shared" si="36"/>
        <v>0</v>
      </c>
      <c r="G566" s="127" t="str">
        <f t="array" ref="G566">IF(E566="","",IFERROR(SUMPRODUCT(('Facturación 2026'!$A$4:$A$920=$A566)*'Facturación 2026'!$J$4:$J$920)*E566/(SUMPRODUCT(('Caja 1'!$A$4:$A$919=$A566)*'Caja 1'!$E$4:$E$919)+SUMPRODUCT(('Caja 2'!$A$4:$A$920=$A566)*'Caja 2'!$E$4:$E$920)),0))</f>
        <v/>
      </c>
      <c r="H566" s="128" t="str">
        <f t="shared" si="37"/>
        <v/>
      </c>
      <c r="I566" s="124" t="str">
        <f t="shared" si="38"/>
        <v/>
      </c>
      <c r="J566" s="987" t="str">
        <f>IF(A566="","",IFERROR(INDEX('Facturación 2026'!$L$4:$L$500,MATCH($A566,'Facturación 2026'!$A$4:$A$500,0)),""))</f>
        <v/>
      </c>
    </row>
    <row r="567" spans="1:10" ht="15.75" customHeight="1">
      <c r="A567" s="988"/>
      <c r="B567" s="122" t="str">
        <f t="shared" si="35"/>
        <v/>
      </c>
      <c r="C567" s="123"/>
      <c r="D567" s="131" t="str">
        <f t="array" ref="D567">IF(A567="","",SUMPRODUCT(('Detalle Turnos'!$I$3:$I$5028=$A567)*('Detalle Turnos'!$N$3:$N$5028=C567)*'Detalle Turnos'!$L$3:$L$5028))</f>
        <v/>
      </c>
      <c r="E567" s="127" t="str">
        <f t="array" ref="E567">IF(A567="","",SUMPRODUCT(('Detalle Turnos'!$I$3:$I$5028=$A567)*('Detalle Turnos'!$N$3:$N$5028=C567)*'Detalle Turnos'!$K$3:$K$5028))</f>
        <v/>
      </c>
      <c r="F567" s="127">
        <f t="shared" si="36"/>
        <v>0</v>
      </c>
      <c r="G567" s="127" t="str">
        <f t="array" ref="G567">IF(E567="","",IFERROR(SUMPRODUCT(('Facturación 2026'!$A$4:$A$920=$A567)*'Facturación 2026'!$J$4:$J$920)*E567/(SUMPRODUCT(('Caja 1'!$A$4:$A$919=$A567)*'Caja 1'!$E$4:$E$919)+SUMPRODUCT(('Caja 2'!$A$4:$A$920=$A567)*'Caja 2'!$E$4:$E$920)),0))</f>
        <v/>
      </c>
      <c r="H567" s="128" t="str">
        <f t="shared" si="37"/>
        <v/>
      </c>
      <c r="I567" s="124" t="str">
        <f t="shared" si="38"/>
        <v/>
      </c>
      <c r="J567" s="987" t="str">
        <f>IF(A567="","",IFERROR(INDEX('Facturación 2026'!$L$4:$L$500,MATCH($A567,'Facturación 2026'!$A$4:$A$500,0)),""))</f>
        <v/>
      </c>
    </row>
    <row r="568" spans="1:10" ht="15.75" customHeight="1">
      <c r="A568" s="988"/>
      <c r="B568" s="122" t="str">
        <f t="shared" si="35"/>
        <v/>
      </c>
      <c r="C568" s="123"/>
      <c r="D568" s="131" t="str">
        <f t="array" ref="D568">IF(A568="","",SUMPRODUCT(('Detalle Turnos'!$I$3:$I$5028=$A568)*('Detalle Turnos'!$N$3:$N$5028=C568)*'Detalle Turnos'!$L$3:$L$5028))</f>
        <v/>
      </c>
      <c r="E568" s="127" t="str">
        <f t="array" ref="E568">IF(A568="","",SUMPRODUCT(('Detalle Turnos'!$I$3:$I$5028=$A568)*('Detalle Turnos'!$N$3:$N$5028=C568)*'Detalle Turnos'!$K$3:$K$5028))</f>
        <v/>
      </c>
      <c r="F568" s="127">
        <f t="shared" si="36"/>
        <v>0</v>
      </c>
      <c r="G568" s="127" t="str">
        <f t="array" ref="G568">IF(E568="","",IFERROR(SUMPRODUCT(('Facturación 2026'!$A$4:$A$920=$A568)*'Facturación 2026'!$J$4:$J$920)*E568/(SUMPRODUCT(('Caja 1'!$A$4:$A$919=$A568)*'Caja 1'!$E$4:$E$919)+SUMPRODUCT(('Caja 2'!$A$4:$A$920=$A568)*'Caja 2'!$E$4:$E$920)),0))</f>
        <v/>
      </c>
      <c r="H568" s="128" t="str">
        <f t="shared" si="37"/>
        <v/>
      </c>
      <c r="I568" s="124" t="str">
        <f t="shared" si="38"/>
        <v/>
      </c>
      <c r="J568" s="987" t="str">
        <f>IF(A568="","",IFERROR(INDEX('Facturación 2026'!$L$4:$L$500,MATCH($A568,'Facturación 2026'!$A$4:$A$500,0)),""))</f>
        <v/>
      </c>
    </row>
    <row r="569" spans="1:10" ht="15.75" customHeight="1">
      <c r="A569" s="988"/>
      <c r="B569" s="122" t="str">
        <f t="shared" si="35"/>
        <v/>
      </c>
      <c r="C569" s="123"/>
      <c r="D569" s="131" t="str">
        <f t="array" ref="D569">IF(A569="","",SUMPRODUCT(('Detalle Turnos'!$I$3:$I$5028=$A569)*('Detalle Turnos'!$N$3:$N$5028=C569)*'Detalle Turnos'!$L$3:$L$5028))</f>
        <v/>
      </c>
      <c r="E569" s="127" t="str">
        <f t="array" ref="E569">IF(A569="","",SUMPRODUCT(('Detalle Turnos'!$I$3:$I$5028=$A569)*('Detalle Turnos'!$N$3:$N$5028=C569)*'Detalle Turnos'!$K$3:$K$5028))</f>
        <v/>
      </c>
      <c r="F569" s="127">
        <f t="shared" si="36"/>
        <v>0</v>
      </c>
      <c r="G569" s="127" t="str">
        <f t="array" ref="G569">IF(E569="","",IFERROR(SUMPRODUCT(('Facturación 2026'!$A$4:$A$920=$A569)*'Facturación 2026'!$J$4:$J$920)*E569/(SUMPRODUCT(('Caja 1'!$A$4:$A$919=$A569)*'Caja 1'!$E$4:$E$919)+SUMPRODUCT(('Caja 2'!$A$4:$A$920=$A569)*'Caja 2'!$E$4:$E$920)),0))</f>
        <v/>
      </c>
      <c r="H569" s="128" t="str">
        <f t="shared" si="37"/>
        <v/>
      </c>
      <c r="I569" s="124" t="str">
        <f t="shared" si="38"/>
        <v/>
      </c>
      <c r="J569" s="987" t="str">
        <f>IF(A569="","",IFERROR(INDEX('Facturación 2026'!$L$4:$L$500,MATCH($A569,'Facturación 2026'!$A$4:$A$500,0)),""))</f>
        <v/>
      </c>
    </row>
    <row r="570" spans="1:10" ht="15.75" customHeight="1">
      <c r="A570" s="988"/>
      <c r="B570" s="122" t="str">
        <f t="shared" si="35"/>
        <v/>
      </c>
      <c r="C570" s="123"/>
      <c r="D570" s="131" t="str">
        <f t="array" ref="D570">IF(A570="","",SUMPRODUCT(('Detalle Turnos'!$I$3:$I$5028=$A570)*('Detalle Turnos'!$N$3:$N$5028=C570)*'Detalle Turnos'!$L$3:$L$5028))</f>
        <v/>
      </c>
      <c r="E570" s="127" t="str">
        <f t="array" ref="E570">IF(A570="","",SUMPRODUCT(('Detalle Turnos'!$I$3:$I$5028=$A570)*('Detalle Turnos'!$N$3:$N$5028=C570)*'Detalle Turnos'!$K$3:$K$5028))</f>
        <v/>
      </c>
      <c r="F570" s="127">
        <f t="shared" si="36"/>
        <v>0</v>
      </c>
      <c r="G570" s="127" t="str">
        <f t="array" ref="G570">IF(E570="","",IFERROR(SUMPRODUCT(('Facturación 2026'!$A$4:$A$920=$A570)*'Facturación 2026'!$J$4:$J$920)*E570/(SUMPRODUCT(('Caja 1'!$A$4:$A$919=$A570)*'Caja 1'!$E$4:$E$919)+SUMPRODUCT(('Caja 2'!$A$4:$A$920=$A570)*'Caja 2'!$E$4:$E$920)),0))</f>
        <v/>
      </c>
      <c r="H570" s="128" t="str">
        <f t="shared" si="37"/>
        <v/>
      </c>
      <c r="I570" s="124" t="str">
        <f t="shared" si="38"/>
        <v/>
      </c>
      <c r="J570" s="987" t="str">
        <f>IF(A570="","",IFERROR(INDEX('Facturación 2026'!$L$4:$L$500,MATCH($A570,'Facturación 2026'!$A$4:$A$500,0)),""))</f>
        <v/>
      </c>
    </row>
    <row r="571" spans="1:10" ht="15.75" customHeight="1">
      <c r="A571" s="988"/>
      <c r="B571" s="122" t="str">
        <f t="shared" si="35"/>
        <v/>
      </c>
      <c r="C571" s="123"/>
      <c r="D571" s="131" t="str">
        <f t="array" ref="D571">IF(A571="","",SUMPRODUCT(('Detalle Turnos'!$I$3:$I$5028=$A571)*('Detalle Turnos'!$N$3:$N$5028=C571)*'Detalle Turnos'!$L$3:$L$5028))</f>
        <v/>
      </c>
      <c r="E571" s="127" t="str">
        <f t="array" ref="E571">IF(A571="","",SUMPRODUCT(('Detalle Turnos'!$I$3:$I$5028=$A571)*('Detalle Turnos'!$N$3:$N$5028=C571)*'Detalle Turnos'!$K$3:$K$5028))</f>
        <v/>
      </c>
      <c r="F571" s="127">
        <f t="shared" si="36"/>
        <v>0</v>
      </c>
      <c r="G571" s="127" t="str">
        <f t="array" ref="G571">IF(E571="","",IFERROR(SUMPRODUCT(('Facturación 2026'!$A$4:$A$920=$A571)*'Facturación 2026'!$J$4:$J$920)*E571/(SUMPRODUCT(('Caja 1'!$A$4:$A$919=$A571)*'Caja 1'!$E$4:$E$919)+SUMPRODUCT(('Caja 2'!$A$4:$A$920=$A571)*'Caja 2'!$E$4:$E$920)),0))</f>
        <v/>
      </c>
      <c r="H571" s="128" t="str">
        <f t="shared" si="37"/>
        <v/>
      </c>
      <c r="I571" s="124" t="str">
        <f t="shared" si="38"/>
        <v/>
      </c>
      <c r="J571" s="987" t="str">
        <f>IF(A571="","",IFERROR(INDEX('Facturación 2026'!$L$4:$L$500,MATCH($A571,'Facturación 2026'!$A$4:$A$500,0)),""))</f>
        <v/>
      </c>
    </row>
    <row r="572" spans="1:10" ht="15.75" customHeight="1">
      <c r="A572" s="988"/>
      <c r="B572" s="122" t="str">
        <f t="shared" si="35"/>
        <v/>
      </c>
      <c r="C572" s="123"/>
      <c r="D572" s="131" t="str">
        <f t="array" ref="D572">IF(A572="","",SUMPRODUCT(('Detalle Turnos'!$I$3:$I$5028=$A572)*('Detalle Turnos'!$N$3:$N$5028=C572)*'Detalle Turnos'!$L$3:$L$5028))</f>
        <v/>
      </c>
      <c r="E572" s="127" t="str">
        <f t="array" ref="E572">IF(A572="","",SUMPRODUCT(('Detalle Turnos'!$I$3:$I$5028=$A572)*('Detalle Turnos'!$N$3:$N$5028=C572)*'Detalle Turnos'!$K$3:$K$5028))</f>
        <v/>
      </c>
      <c r="F572" s="127">
        <f t="shared" si="36"/>
        <v>0</v>
      </c>
      <c r="G572" s="127" t="str">
        <f t="array" ref="G572">IF(E572="","",IFERROR(SUMPRODUCT(('Facturación 2026'!$A$4:$A$920=$A572)*'Facturación 2026'!$J$4:$J$920)*E572/(SUMPRODUCT(('Caja 1'!$A$4:$A$919=$A572)*'Caja 1'!$E$4:$E$919)+SUMPRODUCT(('Caja 2'!$A$4:$A$920=$A572)*'Caja 2'!$E$4:$E$920)),0))</f>
        <v/>
      </c>
      <c r="H572" s="128" t="str">
        <f t="shared" si="37"/>
        <v/>
      </c>
      <c r="I572" s="124" t="str">
        <f t="shared" si="38"/>
        <v/>
      </c>
      <c r="J572" s="987" t="str">
        <f>IF(A572="","",IFERROR(INDEX('Facturación 2026'!$L$4:$L$500,MATCH($A572,'Facturación 2026'!$A$4:$A$500,0)),""))</f>
        <v/>
      </c>
    </row>
    <row r="573" spans="1:10" ht="15.75" customHeight="1">
      <c r="A573" s="988"/>
      <c r="B573" s="122" t="str">
        <f t="shared" si="35"/>
        <v/>
      </c>
      <c r="C573" s="123"/>
      <c r="D573" s="131" t="str">
        <f t="array" ref="D573">IF(A573="","",SUMPRODUCT(('Detalle Turnos'!$I$3:$I$5028=$A573)*('Detalle Turnos'!$N$3:$N$5028=C573)*'Detalle Turnos'!$L$3:$L$5028))</f>
        <v/>
      </c>
      <c r="E573" s="127" t="str">
        <f t="array" ref="E573">IF(A573="","",SUMPRODUCT(('Detalle Turnos'!$I$3:$I$5028=$A573)*('Detalle Turnos'!$N$3:$N$5028=C573)*'Detalle Turnos'!$K$3:$K$5028))</f>
        <v/>
      </c>
      <c r="F573" s="127">
        <f t="shared" si="36"/>
        <v>0</v>
      </c>
      <c r="G573" s="127" t="str">
        <f t="array" ref="G573">IF(E573="","",IFERROR(SUMPRODUCT(('Facturación 2026'!$A$4:$A$920=$A573)*'Facturación 2026'!$J$4:$J$920)*E573/(SUMPRODUCT(('Caja 1'!$A$4:$A$919=$A573)*'Caja 1'!$E$4:$E$919)+SUMPRODUCT(('Caja 2'!$A$4:$A$920=$A573)*'Caja 2'!$E$4:$E$920)),0))</f>
        <v/>
      </c>
      <c r="H573" s="128" t="str">
        <f t="shared" si="37"/>
        <v/>
      </c>
      <c r="I573" s="124" t="str">
        <f t="shared" si="38"/>
        <v/>
      </c>
      <c r="J573" s="987" t="str">
        <f>IF(A573="","",IFERROR(INDEX('Facturación 2026'!$L$4:$L$500,MATCH($A573,'Facturación 2026'!$A$4:$A$500,0)),""))</f>
        <v/>
      </c>
    </row>
    <row r="574" spans="1:10" ht="15.75" customHeight="1">
      <c r="A574" s="988"/>
      <c r="B574" s="122" t="str">
        <f t="shared" si="35"/>
        <v/>
      </c>
      <c r="C574" s="123"/>
      <c r="D574" s="131" t="str">
        <f t="array" ref="D574">IF(A574="","",SUMPRODUCT(('Detalle Turnos'!$I$3:$I$5028=$A574)*('Detalle Turnos'!$N$3:$N$5028=C574)*'Detalle Turnos'!$L$3:$L$5028))</f>
        <v/>
      </c>
      <c r="E574" s="127" t="str">
        <f t="array" ref="E574">IF(A574="","",SUMPRODUCT(('Detalle Turnos'!$I$3:$I$5028=$A574)*('Detalle Turnos'!$N$3:$N$5028=C574)*'Detalle Turnos'!$K$3:$K$5028))</f>
        <v/>
      </c>
      <c r="F574" s="127">
        <f t="shared" si="36"/>
        <v>0</v>
      </c>
      <c r="G574" s="127" t="str">
        <f t="array" ref="G574">IF(E574="","",IFERROR(SUMPRODUCT(('Facturación 2026'!$A$4:$A$920=$A574)*'Facturación 2026'!$J$4:$J$920)*E574/(SUMPRODUCT(('Caja 1'!$A$4:$A$919=$A574)*'Caja 1'!$E$4:$E$919)+SUMPRODUCT(('Caja 2'!$A$4:$A$920=$A574)*'Caja 2'!$E$4:$E$920)),0))</f>
        <v/>
      </c>
      <c r="H574" s="128" t="str">
        <f t="shared" si="37"/>
        <v/>
      </c>
      <c r="I574" s="124" t="str">
        <f t="shared" si="38"/>
        <v/>
      </c>
      <c r="J574" s="987" t="str">
        <f>IF(A574="","",IFERROR(INDEX('Facturación 2026'!$L$4:$L$500,MATCH($A574,'Facturación 2026'!$A$4:$A$500,0)),""))</f>
        <v/>
      </c>
    </row>
    <row r="575" spans="1:10" ht="15.75" customHeight="1">
      <c r="A575" s="988"/>
      <c r="B575" s="122" t="str">
        <f t="shared" si="35"/>
        <v/>
      </c>
      <c r="C575" s="123"/>
      <c r="D575" s="131" t="str">
        <f t="array" ref="D575">IF(A575="","",SUMPRODUCT(('Detalle Turnos'!$I$3:$I$5028=$A575)*('Detalle Turnos'!$N$3:$N$5028=C575)*'Detalle Turnos'!$L$3:$L$5028))</f>
        <v/>
      </c>
      <c r="E575" s="127" t="str">
        <f t="array" ref="E575">IF(A575="","",SUMPRODUCT(('Detalle Turnos'!$I$3:$I$5028=$A575)*('Detalle Turnos'!$N$3:$N$5028=C575)*'Detalle Turnos'!$K$3:$K$5028))</f>
        <v/>
      </c>
      <c r="F575" s="127">
        <f t="shared" si="36"/>
        <v>0</v>
      </c>
      <c r="G575" s="127" t="str">
        <f t="array" ref="G575">IF(E575="","",IFERROR(SUMPRODUCT(('Facturación 2026'!$A$4:$A$920=$A575)*'Facturación 2026'!$J$4:$J$920)*E575/(SUMPRODUCT(('Caja 1'!$A$4:$A$919=$A575)*'Caja 1'!$E$4:$E$919)+SUMPRODUCT(('Caja 2'!$A$4:$A$920=$A575)*'Caja 2'!$E$4:$E$920)),0))</f>
        <v/>
      </c>
      <c r="H575" s="128" t="str">
        <f t="shared" si="37"/>
        <v/>
      </c>
      <c r="I575" s="124" t="str">
        <f t="shared" si="38"/>
        <v/>
      </c>
      <c r="J575" s="987" t="str">
        <f>IF(A575="","",IFERROR(INDEX('Facturación 2026'!$L$4:$L$500,MATCH($A575,'Facturación 2026'!$A$4:$A$500,0)),""))</f>
        <v/>
      </c>
    </row>
    <row r="576" spans="1:10" ht="15.75" customHeight="1">
      <c r="A576" s="988"/>
      <c r="B576" s="122" t="str">
        <f t="shared" si="35"/>
        <v/>
      </c>
      <c r="C576" s="123"/>
      <c r="D576" s="131" t="str">
        <f t="array" ref="D576">IF(A576="","",SUMPRODUCT(('Detalle Turnos'!$I$3:$I$5028=$A576)*('Detalle Turnos'!$N$3:$N$5028=C576)*'Detalle Turnos'!$L$3:$L$5028))</f>
        <v/>
      </c>
      <c r="E576" s="127" t="str">
        <f t="array" ref="E576">IF(A576="","",SUMPRODUCT(('Detalle Turnos'!$I$3:$I$5028=$A576)*('Detalle Turnos'!$N$3:$N$5028=C576)*'Detalle Turnos'!$K$3:$K$5028))</f>
        <v/>
      </c>
      <c r="F576" s="127">
        <f t="shared" si="36"/>
        <v>0</v>
      </c>
      <c r="G576" s="127" t="str">
        <f t="array" ref="G576">IF(E576="","",IFERROR(SUMPRODUCT(('Facturación 2026'!$A$4:$A$920=$A576)*'Facturación 2026'!$J$4:$J$920)*E576/(SUMPRODUCT(('Caja 1'!$A$4:$A$919=$A576)*'Caja 1'!$E$4:$E$919)+SUMPRODUCT(('Caja 2'!$A$4:$A$920=$A576)*'Caja 2'!$E$4:$E$920)),0))</f>
        <v/>
      </c>
      <c r="H576" s="128" t="str">
        <f t="shared" si="37"/>
        <v/>
      </c>
      <c r="I576" s="124" t="str">
        <f t="shared" si="38"/>
        <v/>
      </c>
      <c r="J576" s="987" t="str">
        <f>IF(A576="","",IFERROR(INDEX('Facturación 2026'!$L$4:$L$500,MATCH($A576,'Facturación 2026'!$A$4:$A$500,0)),""))</f>
        <v/>
      </c>
    </row>
    <row r="577" spans="1:10" ht="15.75" customHeight="1">
      <c r="A577" s="988"/>
      <c r="B577" s="122" t="str">
        <f t="shared" si="35"/>
        <v/>
      </c>
      <c r="C577" s="123"/>
      <c r="D577" s="131" t="str">
        <f t="array" ref="D577">IF(A577="","",SUMPRODUCT(('Detalle Turnos'!$I$3:$I$5028=$A577)*('Detalle Turnos'!$N$3:$N$5028=C577)*'Detalle Turnos'!$L$3:$L$5028))</f>
        <v/>
      </c>
      <c r="E577" s="127" t="str">
        <f t="array" ref="E577">IF(A577="","",SUMPRODUCT(('Detalle Turnos'!$I$3:$I$5028=$A577)*('Detalle Turnos'!$N$3:$N$5028=C577)*'Detalle Turnos'!$K$3:$K$5028))</f>
        <v/>
      </c>
      <c r="F577" s="127">
        <f t="shared" si="36"/>
        <v>0</v>
      </c>
      <c r="G577" s="127" t="str">
        <f t="array" ref="G577">IF(E577="","",IFERROR(SUMPRODUCT(('Facturación 2026'!$A$4:$A$920=$A577)*'Facturación 2026'!$J$4:$J$920)*E577/(SUMPRODUCT(('Caja 1'!$A$4:$A$919=$A577)*'Caja 1'!$E$4:$E$919)+SUMPRODUCT(('Caja 2'!$A$4:$A$920=$A577)*'Caja 2'!$E$4:$E$920)),0))</f>
        <v/>
      </c>
      <c r="H577" s="128" t="str">
        <f t="shared" si="37"/>
        <v/>
      </c>
      <c r="I577" s="124" t="str">
        <f t="shared" si="38"/>
        <v/>
      </c>
      <c r="J577" s="987" t="str">
        <f>IF(A577="","",IFERROR(INDEX('Facturación 2026'!$L$4:$L$500,MATCH($A577,'Facturación 2026'!$A$4:$A$500,0)),""))</f>
        <v/>
      </c>
    </row>
    <row r="578" spans="1:10" ht="15.75" customHeight="1">
      <c r="A578" s="988"/>
      <c r="B578" s="122" t="str">
        <f t="shared" si="35"/>
        <v/>
      </c>
      <c r="C578" s="123"/>
      <c r="D578" s="131" t="str">
        <f t="array" ref="D578">IF(A578="","",SUMPRODUCT(('Detalle Turnos'!$I$3:$I$5028=$A578)*('Detalle Turnos'!$N$3:$N$5028=C578)*'Detalle Turnos'!$L$3:$L$5028))</f>
        <v/>
      </c>
      <c r="E578" s="127" t="str">
        <f t="array" ref="E578">IF(A578="","",SUMPRODUCT(('Detalle Turnos'!$I$3:$I$5028=$A578)*('Detalle Turnos'!$N$3:$N$5028=C578)*'Detalle Turnos'!$K$3:$K$5028))</f>
        <v/>
      </c>
      <c r="F578" s="127">
        <f t="shared" si="36"/>
        <v>0</v>
      </c>
      <c r="G578" s="127" t="str">
        <f t="array" ref="G578">IF(E578="","",IFERROR(SUMPRODUCT(('Facturación 2026'!$A$4:$A$920=$A578)*'Facturación 2026'!$J$4:$J$920)*E578/(SUMPRODUCT(('Caja 1'!$A$4:$A$919=$A578)*'Caja 1'!$E$4:$E$919)+SUMPRODUCT(('Caja 2'!$A$4:$A$920=$A578)*'Caja 2'!$E$4:$E$920)),0))</f>
        <v/>
      </c>
      <c r="H578" s="128" t="str">
        <f t="shared" si="37"/>
        <v/>
      </c>
      <c r="I578" s="124" t="str">
        <f t="shared" si="38"/>
        <v/>
      </c>
      <c r="J578" s="987" t="str">
        <f>IF(A578="","",IFERROR(INDEX('Facturación 2026'!$L$4:$L$500,MATCH($A578,'Facturación 2026'!$A$4:$A$500,0)),""))</f>
        <v/>
      </c>
    </row>
    <row r="579" spans="1:10" ht="15.75" customHeight="1">
      <c r="A579" s="988"/>
      <c r="B579" s="122" t="str">
        <f t="shared" ref="B579:B642" si="39">IF(A579="","",CHOOSE(WEEKDAY(A579,2),"Lun","Mar","Mié","Jue","Vie","Sáb","Dom"))</f>
        <v/>
      </c>
      <c r="C579" s="123"/>
      <c r="D579" s="131" t="str">
        <f t="array" ref="D579">IF(A579="","",SUMPRODUCT(('Detalle Turnos'!$I$3:$I$5028=$A579)*('Detalle Turnos'!$N$3:$N$5028=C579)*'Detalle Turnos'!$L$3:$L$5028))</f>
        <v/>
      </c>
      <c r="E579" s="127" t="str">
        <f t="array" ref="E579">IF(A579="","",SUMPRODUCT(('Detalle Turnos'!$I$3:$I$5028=$A579)*('Detalle Turnos'!$N$3:$N$5028=C579)*'Detalle Turnos'!$K$3:$K$5028))</f>
        <v/>
      </c>
      <c r="F579" s="127">
        <f t="shared" ref="F579:F642" si="40">IFERROR(E579/D579,0)</f>
        <v>0</v>
      </c>
      <c r="G579" s="127" t="str">
        <f t="array" ref="G579">IF(E579="","",IFERROR(SUMPRODUCT(('Facturación 2026'!$A$4:$A$920=$A579)*'Facturación 2026'!$J$4:$J$920)*E579/(SUMPRODUCT(('Caja 1'!$A$4:$A$919=$A579)*'Caja 1'!$E$4:$E$919)+SUMPRODUCT(('Caja 2'!$A$4:$A$920=$A579)*'Caja 2'!$E$4:$E$920)),0))</f>
        <v/>
      </c>
      <c r="H579" s="128" t="str">
        <f t="shared" ref="H579:H642" si="41">IF(E579="","",E579-G579)</f>
        <v/>
      </c>
      <c r="I579" s="124" t="str">
        <f t="shared" ref="I579:I642" si="42">IF(E579="","",IFERROR(G579/E579,0))</f>
        <v/>
      </c>
      <c r="J579" s="987" t="str">
        <f>IF(A579="","",IFERROR(INDEX('Facturación 2026'!$L$4:$L$500,MATCH($A579,'Facturación 2026'!$A$4:$A$500,0)),""))</f>
        <v/>
      </c>
    </row>
    <row r="580" spans="1:10" ht="15.75" customHeight="1">
      <c r="A580" s="988"/>
      <c r="B580" s="122" t="str">
        <f t="shared" si="39"/>
        <v/>
      </c>
      <c r="C580" s="123"/>
      <c r="D580" s="131" t="str">
        <f t="array" ref="D580">IF(A580="","",SUMPRODUCT(('Detalle Turnos'!$I$3:$I$5028=$A580)*('Detalle Turnos'!$N$3:$N$5028=C580)*'Detalle Turnos'!$L$3:$L$5028))</f>
        <v/>
      </c>
      <c r="E580" s="127" t="str">
        <f t="array" ref="E580">IF(A580="","",SUMPRODUCT(('Detalle Turnos'!$I$3:$I$5028=$A580)*('Detalle Turnos'!$N$3:$N$5028=C580)*'Detalle Turnos'!$K$3:$K$5028))</f>
        <v/>
      </c>
      <c r="F580" s="127">
        <f t="shared" si="40"/>
        <v>0</v>
      </c>
      <c r="G580" s="127" t="str">
        <f t="array" ref="G580">IF(E580="","",IFERROR(SUMPRODUCT(('Facturación 2026'!$A$4:$A$920=$A580)*'Facturación 2026'!$J$4:$J$920)*E580/(SUMPRODUCT(('Caja 1'!$A$4:$A$919=$A580)*'Caja 1'!$E$4:$E$919)+SUMPRODUCT(('Caja 2'!$A$4:$A$920=$A580)*'Caja 2'!$E$4:$E$920)),0))</f>
        <v/>
      </c>
      <c r="H580" s="128" t="str">
        <f t="shared" si="41"/>
        <v/>
      </c>
      <c r="I580" s="124" t="str">
        <f t="shared" si="42"/>
        <v/>
      </c>
      <c r="J580" s="987" t="str">
        <f>IF(A580="","",IFERROR(INDEX('Facturación 2026'!$L$4:$L$500,MATCH($A580,'Facturación 2026'!$A$4:$A$500,0)),""))</f>
        <v/>
      </c>
    </row>
    <row r="581" spans="1:10" ht="15.75" customHeight="1">
      <c r="A581" s="988"/>
      <c r="B581" s="122" t="str">
        <f t="shared" si="39"/>
        <v/>
      </c>
      <c r="C581" s="123"/>
      <c r="D581" s="131" t="str">
        <f t="array" ref="D581">IF(A581="","",SUMPRODUCT(('Detalle Turnos'!$I$3:$I$5028=$A581)*('Detalle Turnos'!$N$3:$N$5028=C581)*'Detalle Turnos'!$L$3:$L$5028))</f>
        <v/>
      </c>
      <c r="E581" s="127" t="str">
        <f t="array" ref="E581">IF(A581="","",SUMPRODUCT(('Detalle Turnos'!$I$3:$I$5028=$A581)*('Detalle Turnos'!$N$3:$N$5028=C581)*'Detalle Turnos'!$K$3:$K$5028))</f>
        <v/>
      </c>
      <c r="F581" s="127">
        <f t="shared" si="40"/>
        <v>0</v>
      </c>
      <c r="G581" s="127" t="str">
        <f t="array" ref="G581">IF(E581="","",IFERROR(SUMPRODUCT(('Facturación 2026'!$A$4:$A$920=$A581)*'Facturación 2026'!$J$4:$J$920)*E581/(SUMPRODUCT(('Caja 1'!$A$4:$A$919=$A581)*'Caja 1'!$E$4:$E$919)+SUMPRODUCT(('Caja 2'!$A$4:$A$920=$A581)*'Caja 2'!$E$4:$E$920)),0))</f>
        <v/>
      </c>
      <c r="H581" s="128" t="str">
        <f t="shared" si="41"/>
        <v/>
      </c>
      <c r="I581" s="124" t="str">
        <f t="shared" si="42"/>
        <v/>
      </c>
      <c r="J581" s="987" t="str">
        <f>IF(A581="","",IFERROR(INDEX('Facturación 2026'!$L$4:$L$500,MATCH($A581,'Facturación 2026'!$A$4:$A$500,0)),""))</f>
        <v/>
      </c>
    </row>
    <row r="582" spans="1:10" ht="15.75" customHeight="1">
      <c r="A582" s="988"/>
      <c r="B582" s="122" t="str">
        <f t="shared" si="39"/>
        <v/>
      </c>
      <c r="C582" s="123"/>
      <c r="D582" s="131" t="str">
        <f t="array" ref="D582">IF(A582="","",SUMPRODUCT(('Detalle Turnos'!$I$3:$I$5028=$A582)*('Detalle Turnos'!$N$3:$N$5028=C582)*'Detalle Turnos'!$L$3:$L$5028))</f>
        <v/>
      </c>
      <c r="E582" s="127" t="str">
        <f t="array" ref="E582">IF(A582="","",SUMPRODUCT(('Detalle Turnos'!$I$3:$I$5028=$A582)*('Detalle Turnos'!$N$3:$N$5028=C582)*'Detalle Turnos'!$K$3:$K$5028))</f>
        <v/>
      </c>
      <c r="F582" s="127">
        <f t="shared" si="40"/>
        <v>0</v>
      </c>
      <c r="G582" s="127" t="str">
        <f t="array" ref="G582">IF(E582="","",IFERROR(SUMPRODUCT(('Facturación 2026'!$A$4:$A$920=$A582)*'Facturación 2026'!$J$4:$J$920)*E582/(SUMPRODUCT(('Caja 1'!$A$4:$A$919=$A582)*'Caja 1'!$E$4:$E$919)+SUMPRODUCT(('Caja 2'!$A$4:$A$920=$A582)*'Caja 2'!$E$4:$E$920)),0))</f>
        <v/>
      </c>
      <c r="H582" s="128" t="str">
        <f t="shared" si="41"/>
        <v/>
      </c>
      <c r="I582" s="124" t="str">
        <f t="shared" si="42"/>
        <v/>
      </c>
      <c r="J582" s="987" t="str">
        <f>IF(A582="","",IFERROR(INDEX('Facturación 2026'!$L$4:$L$500,MATCH($A582,'Facturación 2026'!$A$4:$A$500,0)),""))</f>
        <v/>
      </c>
    </row>
    <row r="583" spans="1:10" ht="15.75" customHeight="1">
      <c r="A583" s="988"/>
      <c r="B583" s="122" t="str">
        <f t="shared" si="39"/>
        <v/>
      </c>
      <c r="C583" s="123"/>
      <c r="D583" s="131" t="str">
        <f t="array" ref="D583">IF(A583="","",SUMPRODUCT(('Detalle Turnos'!$I$3:$I$5028=$A583)*('Detalle Turnos'!$N$3:$N$5028=C583)*'Detalle Turnos'!$L$3:$L$5028))</f>
        <v/>
      </c>
      <c r="E583" s="127" t="str">
        <f t="array" ref="E583">IF(A583="","",SUMPRODUCT(('Detalle Turnos'!$I$3:$I$5028=$A583)*('Detalle Turnos'!$N$3:$N$5028=C583)*'Detalle Turnos'!$K$3:$K$5028))</f>
        <v/>
      </c>
      <c r="F583" s="127">
        <f t="shared" si="40"/>
        <v>0</v>
      </c>
      <c r="G583" s="127" t="str">
        <f t="array" ref="G583">IF(E583="","",IFERROR(SUMPRODUCT(('Facturación 2026'!$A$4:$A$920=$A583)*'Facturación 2026'!$J$4:$J$920)*E583/(SUMPRODUCT(('Caja 1'!$A$4:$A$919=$A583)*'Caja 1'!$E$4:$E$919)+SUMPRODUCT(('Caja 2'!$A$4:$A$920=$A583)*'Caja 2'!$E$4:$E$920)),0))</f>
        <v/>
      </c>
      <c r="H583" s="128" t="str">
        <f t="shared" si="41"/>
        <v/>
      </c>
      <c r="I583" s="124" t="str">
        <f t="shared" si="42"/>
        <v/>
      </c>
      <c r="J583" s="987" t="str">
        <f>IF(A583="","",IFERROR(INDEX('Facturación 2026'!$L$4:$L$500,MATCH($A583,'Facturación 2026'!$A$4:$A$500,0)),""))</f>
        <v/>
      </c>
    </row>
    <row r="584" spans="1:10" ht="15.75" customHeight="1">
      <c r="A584" s="988"/>
      <c r="B584" s="122" t="str">
        <f t="shared" si="39"/>
        <v/>
      </c>
      <c r="C584" s="123"/>
      <c r="D584" s="131" t="str">
        <f t="array" ref="D584">IF(A584="","",SUMPRODUCT(('Detalle Turnos'!$I$3:$I$5028=$A584)*('Detalle Turnos'!$N$3:$N$5028=C584)*'Detalle Turnos'!$L$3:$L$5028))</f>
        <v/>
      </c>
      <c r="E584" s="127" t="str">
        <f t="array" ref="E584">IF(A584="","",SUMPRODUCT(('Detalle Turnos'!$I$3:$I$5028=$A584)*('Detalle Turnos'!$N$3:$N$5028=C584)*'Detalle Turnos'!$K$3:$K$5028))</f>
        <v/>
      </c>
      <c r="F584" s="127">
        <f t="shared" si="40"/>
        <v>0</v>
      </c>
      <c r="G584" s="127" t="str">
        <f t="array" ref="G584">IF(E584="","",IFERROR(SUMPRODUCT(('Facturación 2026'!$A$4:$A$920=$A584)*'Facturación 2026'!$J$4:$J$920)*E584/(SUMPRODUCT(('Caja 1'!$A$4:$A$919=$A584)*'Caja 1'!$E$4:$E$919)+SUMPRODUCT(('Caja 2'!$A$4:$A$920=$A584)*'Caja 2'!$E$4:$E$920)),0))</f>
        <v/>
      </c>
      <c r="H584" s="128" t="str">
        <f t="shared" si="41"/>
        <v/>
      </c>
      <c r="I584" s="124" t="str">
        <f t="shared" si="42"/>
        <v/>
      </c>
      <c r="J584" s="987" t="str">
        <f>IF(A584="","",IFERROR(INDEX('Facturación 2026'!$L$4:$L$500,MATCH($A584,'Facturación 2026'!$A$4:$A$500,0)),""))</f>
        <v/>
      </c>
    </row>
    <row r="585" spans="1:10" ht="15.75" customHeight="1">
      <c r="A585" s="988"/>
      <c r="B585" s="122" t="str">
        <f t="shared" si="39"/>
        <v/>
      </c>
      <c r="C585" s="123"/>
      <c r="D585" s="131" t="str">
        <f t="array" ref="D585">IF(A585="","",SUMPRODUCT(('Detalle Turnos'!$I$3:$I$5028=$A585)*('Detalle Turnos'!$N$3:$N$5028=C585)*'Detalle Turnos'!$L$3:$L$5028))</f>
        <v/>
      </c>
      <c r="E585" s="127" t="str">
        <f t="array" ref="E585">IF(A585="","",SUMPRODUCT(('Detalle Turnos'!$I$3:$I$5028=$A585)*('Detalle Turnos'!$N$3:$N$5028=C585)*'Detalle Turnos'!$K$3:$K$5028))</f>
        <v/>
      </c>
      <c r="F585" s="127">
        <f t="shared" si="40"/>
        <v>0</v>
      </c>
      <c r="G585" s="127" t="str">
        <f t="array" ref="G585">IF(E585="","",IFERROR(SUMPRODUCT(('Facturación 2026'!$A$4:$A$920=$A585)*'Facturación 2026'!$J$4:$J$920)*E585/(SUMPRODUCT(('Caja 1'!$A$4:$A$919=$A585)*'Caja 1'!$E$4:$E$919)+SUMPRODUCT(('Caja 2'!$A$4:$A$920=$A585)*'Caja 2'!$E$4:$E$920)),0))</f>
        <v/>
      </c>
      <c r="H585" s="128" t="str">
        <f t="shared" si="41"/>
        <v/>
      </c>
      <c r="I585" s="124" t="str">
        <f t="shared" si="42"/>
        <v/>
      </c>
      <c r="J585" s="987" t="str">
        <f>IF(A585="","",IFERROR(INDEX('Facturación 2026'!$L$4:$L$500,MATCH($A585,'Facturación 2026'!$A$4:$A$500,0)),""))</f>
        <v/>
      </c>
    </row>
    <row r="586" spans="1:10" ht="15.75" customHeight="1">
      <c r="A586" s="988"/>
      <c r="B586" s="122" t="str">
        <f t="shared" si="39"/>
        <v/>
      </c>
      <c r="C586" s="123"/>
      <c r="D586" s="131" t="str">
        <f t="array" ref="D586">IF(A586="","",SUMPRODUCT(('Detalle Turnos'!$I$3:$I$5028=$A586)*('Detalle Turnos'!$N$3:$N$5028=C586)*'Detalle Turnos'!$L$3:$L$5028))</f>
        <v/>
      </c>
      <c r="E586" s="127" t="str">
        <f t="array" ref="E586">IF(A586="","",SUMPRODUCT(('Detalle Turnos'!$I$3:$I$5028=$A586)*('Detalle Turnos'!$N$3:$N$5028=C586)*'Detalle Turnos'!$K$3:$K$5028))</f>
        <v/>
      </c>
      <c r="F586" s="127">
        <f t="shared" si="40"/>
        <v>0</v>
      </c>
      <c r="G586" s="127" t="str">
        <f t="array" ref="G586">IF(E586="","",IFERROR(SUMPRODUCT(('Facturación 2026'!$A$4:$A$920=$A586)*'Facturación 2026'!$J$4:$J$920)*E586/(SUMPRODUCT(('Caja 1'!$A$4:$A$919=$A586)*'Caja 1'!$E$4:$E$919)+SUMPRODUCT(('Caja 2'!$A$4:$A$920=$A586)*'Caja 2'!$E$4:$E$920)),0))</f>
        <v/>
      </c>
      <c r="H586" s="128" t="str">
        <f t="shared" si="41"/>
        <v/>
      </c>
      <c r="I586" s="124" t="str">
        <f t="shared" si="42"/>
        <v/>
      </c>
      <c r="J586" s="987" t="str">
        <f>IF(A586="","",IFERROR(INDEX('Facturación 2026'!$L$4:$L$500,MATCH($A586,'Facturación 2026'!$A$4:$A$500,0)),""))</f>
        <v/>
      </c>
    </row>
    <row r="587" spans="1:10" ht="15.75" customHeight="1">
      <c r="A587" s="988"/>
      <c r="B587" s="122" t="str">
        <f t="shared" si="39"/>
        <v/>
      </c>
      <c r="C587" s="123"/>
      <c r="D587" s="131" t="str">
        <f t="array" ref="D587">IF(A587="","",SUMPRODUCT(('Detalle Turnos'!$I$3:$I$5028=$A587)*('Detalle Turnos'!$N$3:$N$5028=C587)*'Detalle Turnos'!$L$3:$L$5028))</f>
        <v/>
      </c>
      <c r="E587" s="127" t="str">
        <f t="array" ref="E587">IF(A587="","",SUMPRODUCT(('Detalle Turnos'!$I$3:$I$5028=$A587)*('Detalle Turnos'!$N$3:$N$5028=C587)*'Detalle Turnos'!$K$3:$K$5028))</f>
        <v/>
      </c>
      <c r="F587" s="127">
        <f t="shared" si="40"/>
        <v>0</v>
      </c>
      <c r="G587" s="127" t="str">
        <f t="array" ref="G587">IF(E587="","",IFERROR(SUMPRODUCT(('Facturación 2026'!$A$4:$A$920=$A587)*'Facturación 2026'!$J$4:$J$920)*E587/(SUMPRODUCT(('Caja 1'!$A$4:$A$919=$A587)*'Caja 1'!$E$4:$E$919)+SUMPRODUCT(('Caja 2'!$A$4:$A$920=$A587)*'Caja 2'!$E$4:$E$920)),0))</f>
        <v/>
      </c>
      <c r="H587" s="128" t="str">
        <f t="shared" si="41"/>
        <v/>
      </c>
      <c r="I587" s="124" t="str">
        <f t="shared" si="42"/>
        <v/>
      </c>
      <c r="J587" s="987" t="str">
        <f>IF(A587="","",IFERROR(INDEX('Facturación 2026'!$L$4:$L$500,MATCH($A587,'Facturación 2026'!$A$4:$A$500,0)),""))</f>
        <v/>
      </c>
    </row>
    <row r="588" spans="1:10" ht="15.75" customHeight="1">
      <c r="A588" s="988"/>
      <c r="B588" s="122" t="str">
        <f t="shared" si="39"/>
        <v/>
      </c>
      <c r="C588" s="123"/>
      <c r="D588" s="131" t="str">
        <f t="array" ref="D588">IF(A588="","",SUMPRODUCT(('Detalle Turnos'!$I$3:$I$5028=$A588)*('Detalle Turnos'!$N$3:$N$5028=C588)*'Detalle Turnos'!$L$3:$L$5028))</f>
        <v/>
      </c>
      <c r="E588" s="127" t="str">
        <f t="array" ref="E588">IF(A588="","",SUMPRODUCT(('Detalle Turnos'!$I$3:$I$5028=$A588)*('Detalle Turnos'!$N$3:$N$5028=C588)*'Detalle Turnos'!$K$3:$K$5028))</f>
        <v/>
      </c>
      <c r="F588" s="127">
        <f t="shared" si="40"/>
        <v>0</v>
      </c>
      <c r="G588" s="127" t="str">
        <f t="array" ref="G588">IF(E588="","",IFERROR(SUMPRODUCT(('Facturación 2026'!$A$4:$A$920=$A588)*'Facturación 2026'!$J$4:$J$920)*E588/(SUMPRODUCT(('Caja 1'!$A$4:$A$919=$A588)*'Caja 1'!$E$4:$E$919)+SUMPRODUCT(('Caja 2'!$A$4:$A$920=$A588)*'Caja 2'!$E$4:$E$920)),0))</f>
        <v/>
      </c>
      <c r="H588" s="128" t="str">
        <f t="shared" si="41"/>
        <v/>
      </c>
      <c r="I588" s="124" t="str">
        <f t="shared" si="42"/>
        <v/>
      </c>
      <c r="J588" s="987" t="str">
        <f>IF(A588="","",IFERROR(INDEX('Facturación 2026'!$L$4:$L$500,MATCH($A588,'Facturación 2026'!$A$4:$A$500,0)),""))</f>
        <v/>
      </c>
    </row>
    <row r="589" spans="1:10" ht="15.75" customHeight="1">
      <c r="A589" s="988"/>
      <c r="B589" s="122" t="str">
        <f t="shared" si="39"/>
        <v/>
      </c>
      <c r="C589" s="123"/>
      <c r="D589" s="131" t="str">
        <f t="array" ref="D589">IF(A589="","",SUMPRODUCT(('Detalle Turnos'!$I$3:$I$5028=$A589)*('Detalle Turnos'!$N$3:$N$5028=C589)*'Detalle Turnos'!$L$3:$L$5028))</f>
        <v/>
      </c>
      <c r="E589" s="127" t="str">
        <f t="array" ref="E589">IF(A589="","",SUMPRODUCT(('Detalle Turnos'!$I$3:$I$5028=$A589)*('Detalle Turnos'!$N$3:$N$5028=C589)*'Detalle Turnos'!$K$3:$K$5028))</f>
        <v/>
      </c>
      <c r="F589" s="127">
        <f t="shared" si="40"/>
        <v>0</v>
      </c>
      <c r="G589" s="127" t="str">
        <f t="array" ref="G589">IF(E589="","",IFERROR(SUMPRODUCT(('Facturación 2026'!$A$4:$A$920=$A589)*'Facturación 2026'!$J$4:$J$920)*E589/(SUMPRODUCT(('Caja 1'!$A$4:$A$919=$A589)*'Caja 1'!$E$4:$E$919)+SUMPRODUCT(('Caja 2'!$A$4:$A$920=$A589)*'Caja 2'!$E$4:$E$920)),0))</f>
        <v/>
      </c>
      <c r="H589" s="128" t="str">
        <f t="shared" si="41"/>
        <v/>
      </c>
      <c r="I589" s="124" t="str">
        <f t="shared" si="42"/>
        <v/>
      </c>
      <c r="J589" s="987" t="str">
        <f>IF(A589="","",IFERROR(INDEX('Facturación 2026'!$L$4:$L$500,MATCH($A589,'Facturación 2026'!$A$4:$A$500,0)),""))</f>
        <v/>
      </c>
    </row>
    <row r="590" spans="1:10" ht="15.75" customHeight="1">
      <c r="A590" s="988"/>
      <c r="B590" s="122" t="str">
        <f t="shared" si="39"/>
        <v/>
      </c>
      <c r="C590" s="123"/>
      <c r="D590" s="131" t="str">
        <f t="array" ref="D590">IF(A590="","",SUMPRODUCT(('Detalle Turnos'!$I$3:$I$5028=$A590)*('Detalle Turnos'!$N$3:$N$5028=C590)*'Detalle Turnos'!$L$3:$L$5028))</f>
        <v/>
      </c>
      <c r="E590" s="127" t="str">
        <f t="array" ref="E590">IF(A590="","",SUMPRODUCT(('Detalle Turnos'!$I$3:$I$5028=$A590)*('Detalle Turnos'!$N$3:$N$5028=C590)*'Detalle Turnos'!$K$3:$K$5028))</f>
        <v/>
      </c>
      <c r="F590" s="127">
        <f t="shared" si="40"/>
        <v>0</v>
      </c>
      <c r="G590" s="127" t="str">
        <f t="array" ref="G590">IF(E590="","",IFERROR(SUMPRODUCT(('Facturación 2026'!$A$4:$A$920=$A590)*'Facturación 2026'!$J$4:$J$920)*E590/(SUMPRODUCT(('Caja 1'!$A$4:$A$919=$A590)*'Caja 1'!$E$4:$E$919)+SUMPRODUCT(('Caja 2'!$A$4:$A$920=$A590)*'Caja 2'!$E$4:$E$920)),0))</f>
        <v/>
      </c>
      <c r="H590" s="128" t="str">
        <f t="shared" si="41"/>
        <v/>
      </c>
      <c r="I590" s="124" t="str">
        <f t="shared" si="42"/>
        <v/>
      </c>
      <c r="J590" s="987" t="str">
        <f>IF(A590="","",IFERROR(INDEX('Facturación 2026'!$L$4:$L$500,MATCH($A590,'Facturación 2026'!$A$4:$A$500,0)),""))</f>
        <v/>
      </c>
    </row>
    <row r="591" spans="1:10" ht="15.75" customHeight="1">
      <c r="A591" s="988"/>
      <c r="B591" s="122" t="str">
        <f t="shared" si="39"/>
        <v/>
      </c>
      <c r="C591" s="123"/>
      <c r="D591" s="131" t="str">
        <f t="array" ref="D591">IF(A591="","",SUMPRODUCT(('Detalle Turnos'!$I$3:$I$5028=$A591)*('Detalle Turnos'!$N$3:$N$5028=C591)*'Detalle Turnos'!$L$3:$L$5028))</f>
        <v/>
      </c>
      <c r="E591" s="127" t="str">
        <f t="array" ref="E591">IF(A591="","",SUMPRODUCT(('Detalle Turnos'!$I$3:$I$5028=$A591)*('Detalle Turnos'!$N$3:$N$5028=C591)*'Detalle Turnos'!$K$3:$K$5028))</f>
        <v/>
      </c>
      <c r="F591" s="127">
        <f t="shared" si="40"/>
        <v>0</v>
      </c>
      <c r="G591" s="127" t="str">
        <f t="array" ref="G591">IF(E591="","",IFERROR(SUMPRODUCT(('Facturación 2026'!$A$4:$A$920=$A591)*'Facturación 2026'!$J$4:$J$920)*E591/(SUMPRODUCT(('Caja 1'!$A$4:$A$919=$A591)*'Caja 1'!$E$4:$E$919)+SUMPRODUCT(('Caja 2'!$A$4:$A$920=$A591)*'Caja 2'!$E$4:$E$920)),0))</f>
        <v/>
      </c>
      <c r="H591" s="128" t="str">
        <f t="shared" si="41"/>
        <v/>
      </c>
      <c r="I591" s="124" t="str">
        <f t="shared" si="42"/>
        <v/>
      </c>
      <c r="J591" s="987" t="str">
        <f>IF(A591="","",IFERROR(INDEX('Facturación 2026'!$L$4:$L$500,MATCH($A591,'Facturación 2026'!$A$4:$A$500,0)),""))</f>
        <v/>
      </c>
    </row>
    <row r="592" spans="1:10" ht="15.75" customHeight="1">
      <c r="A592" s="988"/>
      <c r="B592" s="122" t="str">
        <f t="shared" si="39"/>
        <v/>
      </c>
      <c r="C592" s="123"/>
      <c r="D592" s="131" t="str">
        <f t="array" ref="D592">IF(A592="","",SUMPRODUCT(('Detalle Turnos'!$I$3:$I$5028=$A592)*('Detalle Turnos'!$N$3:$N$5028=C592)*'Detalle Turnos'!$L$3:$L$5028))</f>
        <v/>
      </c>
      <c r="E592" s="127" t="str">
        <f t="array" ref="E592">IF(A592="","",SUMPRODUCT(('Detalle Turnos'!$I$3:$I$5028=$A592)*('Detalle Turnos'!$N$3:$N$5028=C592)*'Detalle Turnos'!$K$3:$K$5028))</f>
        <v/>
      </c>
      <c r="F592" s="127">
        <f t="shared" si="40"/>
        <v>0</v>
      </c>
      <c r="G592" s="127" t="str">
        <f t="array" ref="G592">IF(E592="","",IFERROR(SUMPRODUCT(('Facturación 2026'!$A$4:$A$920=$A592)*'Facturación 2026'!$J$4:$J$920)*E592/(SUMPRODUCT(('Caja 1'!$A$4:$A$919=$A592)*'Caja 1'!$E$4:$E$919)+SUMPRODUCT(('Caja 2'!$A$4:$A$920=$A592)*'Caja 2'!$E$4:$E$920)),0))</f>
        <v/>
      </c>
      <c r="H592" s="128" t="str">
        <f t="shared" si="41"/>
        <v/>
      </c>
      <c r="I592" s="124" t="str">
        <f t="shared" si="42"/>
        <v/>
      </c>
      <c r="J592" s="987" t="str">
        <f>IF(A592="","",IFERROR(INDEX('Facturación 2026'!$L$4:$L$500,MATCH($A592,'Facturación 2026'!$A$4:$A$500,0)),""))</f>
        <v/>
      </c>
    </row>
    <row r="593" spans="1:10" ht="15.75" customHeight="1">
      <c r="A593" s="988"/>
      <c r="B593" s="122" t="str">
        <f t="shared" si="39"/>
        <v/>
      </c>
      <c r="C593" s="123"/>
      <c r="D593" s="131" t="str">
        <f t="array" ref="D593">IF(A593="","",SUMPRODUCT(('Detalle Turnos'!$I$3:$I$5028=$A593)*('Detalle Turnos'!$N$3:$N$5028=C593)*'Detalle Turnos'!$L$3:$L$5028))</f>
        <v/>
      </c>
      <c r="E593" s="127" t="str">
        <f t="array" ref="E593">IF(A593="","",SUMPRODUCT(('Detalle Turnos'!$I$3:$I$5028=$A593)*('Detalle Turnos'!$N$3:$N$5028=C593)*'Detalle Turnos'!$K$3:$K$5028))</f>
        <v/>
      </c>
      <c r="F593" s="127">
        <f t="shared" si="40"/>
        <v>0</v>
      </c>
      <c r="G593" s="127" t="str">
        <f t="array" ref="G593">IF(E593="","",IFERROR(SUMPRODUCT(('Facturación 2026'!$A$4:$A$920=$A593)*'Facturación 2026'!$J$4:$J$920)*E593/(SUMPRODUCT(('Caja 1'!$A$4:$A$919=$A593)*'Caja 1'!$E$4:$E$919)+SUMPRODUCT(('Caja 2'!$A$4:$A$920=$A593)*'Caja 2'!$E$4:$E$920)),0))</f>
        <v/>
      </c>
      <c r="H593" s="128" t="str">
        <f t="shared" si="41"/>
        <v/>
      </c>
      <c r="I593" s="124" t="str">
        <f t="shared" si="42"/>
        <v/>
      </c>
      <c r="J593" s="987" t="str">
        <f>IF(A593="","",IFERROR(INDEX('Facturación 2026'!$L$4:$L$500,MATCH($A593,'Facturación 2026'!$A$4:$A$500,0)),""))</f>
        <v/>
      </c>
    </row>
    <row r="594" spans="1:10" ht="15.75" customHeight="1">
      <c r="A594" s="988"/>
      <c r="B594" s="122" t="str">
        <f t="shared" si="39"/>
        <v/>
      </c>
      <c r="C594" s="123"/>
      <c r="D594" s="131" t="str">
        <f t="array" ref="D594">IF(A594="","",SUMPRODUCT(('Detalle Turnos'!$I$3:$I$5028=$A594)*('Detalle Turnos'!$N$3:$N$5028=C594)*'Detalle Turnos'!$L$3:$L$5028))</f>
        <v/>
      </c>
      <c r="E594" s="127" t="str">
        <f t="array" ref="E594">IF(A594="","",SUMPRODUCT(('Detalle Turnos'!$I$3:$I$5028=$A594)*('Detalle Turnos'!$N$3:$N$5028=C594)*'Detalle Turnos'!$K$3:$K$5028))</f>
        <v/>
      </c>
      <c r="F594" s="127">
        <f t="shared" si="40"/>
        <v>0</v>
      </c>
      <c r="G594" s="127" t="str">
        <f t="array" ref="G594">IF(E594="","",IFERROR(SUMPRODUCT(('Facturación 2026'!$A$4:$A$920=$A594)*'Facturación 2026'!$J$4:$J$920)*E594/(SUMPRODUCT(('Caja 1'!$A$4:$A$919=$A594)*'Caja 1'!$E$4:$E$919)+SUMPRODUCT(('Caja 2'!$A$4:$A$920=$A594)*'Caja 2'!$E$4:$E$920)),0))</f>
        <v/>
      </c>
      <c r="H594" s="128" t="str">
        <f t="shared" si="41"/>
        <v/>
      </c>
      <c r="I594" s="124" t="str">
        <f t="shared" si="42"/>
        <v/>
      </c>
      <c r="J594" s="987" t="str">
        <f>IF(A594="","",IFERROR(INDEX('Facturación 2026'!$L$4:$L$500,MATCH($A594,'Facturación 2026'!$A$4:$A$500,0)),""))</f>
        <v/>
      </c>
    </row>
    <row r="595" spans="1:10" ht="15.75" customHeight="1">
      <c r="A595" s="988"/>
      <c r="B595" s="122" t="str">
        <f t="shared" si="39"/>
        <v/>
      </c>
      <c r="C595" s="123"/>
      <c r="D595" s="131" t="str">
        <f t="array" ref="D595">IF(A595="","",SUMPRODUCT(('Detalle Turnos'!$I$3:$I$5028=$A595)*('Detalle Turnos'!$N$3:$N$5028=C595)*'Detalle Turnos'!$L$3:$L$5028))</f>
        <v/>
      </c>
      <c r="E595" s="127" t="str">
        <f t="array" ref="E595">IF(A595="","",SUMPRODUCT(('Detalle Turnos'!$I$3:$I$5028=$A595)*('Detalle Turnos'!$N$3:$N$5028=C595)*'Detalle Turnos'!$K$3:$K$5028))</f>
        <v/>
      </c>
      <c r="F595" s="127">
        <f t="shared" si="40"/>
        <v>0</v>
      </c>
      <c r="G595" s="127" t="str">
        <f t="array" ref="G595">IF(E595="","",IFERROR(SUMPRODUCT(('Facturación 2026'!$A$4:$A$920=$A595)*'Facturación 2026'!$J$4:$J$920)*E595/(SUMPRODUCT(('Caja 1'!$A$4:$A$919=$A595)*'Caja 1'!$E$4:$E$919)+SUMPRODUCT(('Caja 2'!$A$4:$A$920=$A595)*'Caja 2'!$E$4:$E$920)),0))</f>
        <v/>
      </c>
      <c r="H595" s="128" t="str">
        <f t="shared" si="41"/>
        <v/>
      </c>
      <c r="I595" s="124" t="str">
        <f t="shared" si="42"/>
        <v/>
      </c>
      <c r="J595" s="987" t="str">
        <f>IF(A595="","",IFERROR(INDEX('Facturación 2026'!$L$4:$L$500,MATCH($A595,'Facturación 2026'!$A$4:$A$500,0)),""))</f>
        <v/>
      </c>
    </row>
    <row r="596" spans="1:10" ht="15.75" customHeight="1">
      <c r="A596" s="988"/>
      <c r="B596" s="122" t="str">
        <f t="shared" si="39"/>
        <v/>
      </c>
      <c r="C596" s="123"/>
      <c r="D596" s="131" t="str">
        <f t="array" ref="D596">IF(A596="","",SUMPRODUCT(('Detalle Turnos'!$I$3:$I$5028=$A596)*('Detalle Turnos'!$N$3:$N$5028=C596)*'Detalle Turnos'!$L$3:$L$5028))</f>
        <v/>
      </c>
      <c r="E596" s="127" t="str">
        <f t="array" ref="E596">IF(A596="","",SUMPRODUCT(('Detalle Turnos'!$I$3:$I$5028=$A596)*('Detalle Turnos'!$N$3:$N$5028=C596)*'Detalle Turnos'!$K$3:$K$5028))</f>
        <v/>
      </c>
      <c r="F596" s="127">
        <f t="shared" si="40"/>
        <v>0</v>
      </c>
      <c r="G596" s="127" t="str">
        <f t="array" ref="G596">IF(E596="","",IFERROR(SUMPRODUCT(('Facturación 2026'!$A$4:$A$920=$A596)*'Facturación 2026'!$J$4:$J$920)*E596/(SUMPRODUCT(('Caja 1'!$A$4:$A$919=$A596)*'Caja 1'!$E$4:$E$919)+SUMPRODUCT(('Caja 2'!$A$4:$A$920=$A596)*'Caja 2'!$E$4:$E$920)),0))</f>
        <v/>
      </c>
      <c r="H596" s="128" t="str">
        <f t="shared" si="41"/>
        <v/>
      </c>
      <c r="I596" s="124" t="str">
        <f t="shared" si="42"/>
        <v/>
      </c>
      <c r="J596" s="987" t="str">
        <f>IF(A596="","",IFERROR(INDEX('Facturación 2026'!$L$4:$L$500,MATCH($A596,'Facturación 2026'!$A$4:$A$500,0)),""))</f>
        <v/>
      </c>
    </row>
    <row r="597" spans="1:10" ht="15.75" customHeight="1">
      <c r="A597" s="988"/>
      <c r="B597" s="122" t="str">
        <f t="shared" si="39"/>
        <v/>
      </c>
      <c r="C597" s="123"/>
      <c r="D597" s="131" t="str">
        <f t="array" ref="D597">IF(A597="","",SUMPRODUCT(('Detalle Turnos'!$I$3:$I$5028=$A597)*('Detalle Turnos'!$N$3:$N$5028=C597)*'Detalle Turnos'!$L$3:$L$5028))</f>
        <v/>
      </c>
      <c r="E597" s="127" t="str">
        <f t="array" ref="E597">IF(A597="","",SUMPRODUCT(('Detalle Turnos'!$I$3:$I$5028=$A597)*('Detalle Turnos'!$N$3:$N$5028=C597)*'Detalle Turnos'!$K$3:$K$5028))</f>
        <v/>
      </c>
      <c r="F597" s="127">
        <f t="shared" si="40"/>
        <v>0</v>
      </c>
      <c r="G597" s="127" t="str">
        <f t="array" ref="G597">IF(E597="","",IFERROR(SUMPRODUCT(('Facturación 2026'!$A$4:$A$920=$A597)*'Facturación 2026'!$J$4:$J$920)*E597/(SUMPRODUCT(('Caja 1'!$A$4:$A$919=$A597)*'Caja 1'!$E$4:$E$919)+SUMPRODUCT(('Caja 2'!$A$4:$A$920=$A597)*'Caja 2'!$E$4:$E$920)),0))</f>
        <v/>
      </c>
      <c r="H597" s="128" t="str">
        <f t="shared" si="41"/>
        <v/>
      </c>
      <c r="I597" s="124" t="str">
        <f t="shared" si="42"/>
        <v/>
      </c>
      <c r="J597" s="987" t="str">
        <f>IF(A597="","",IFERROR(INDEX('Facturación 2026'!$L$4:$L$500,MATCH($A597,'Facturación 2026'!$A$4:$A$500,0)),""))</f>
        <v/>
      </c>
    </row>
    <row r="598" spans="1:10" ht="15.75" customHeight="1">
      <c r="A598" s="988"/>
      <c r="B598" s="122" t="str">
        <f t="shared" si="39"/>
        <v/>
      </c>
      <c r="C598" s="123"/>
      <c r="D598" s="131" t="str">
        <f t="array" ref="D598">IF(A598="","",SUMPRODUCT(('Detalle Turnos'!$I$3:$I$5028=$A598)*('Detalle Turnos'!$N$3:$N$5028=C598)*'Detalle Turnos'!$L$3:$L$5028))</f>
        <v/>
      </c>
      <c r="E598" s="127" t="str">
        <f t="array" ref="E598">IF(A598="","",SUMPRODUCT(('Detalle Turnos'!$I$3:$I$5028=$A598)*('Detalle Turnos'!$N$3:$N$5028=C598)*'Detalle Turnos'!$K$3:$K$5028))</f>
        <v/>
      </c>
      <c r="F598" s="127">
        <f t="shared" si="40"/>
        <v>0</v>
      </c>
      <c r="G598" s="127" t="str">
        <f t="array" ref="G598">IF(E598="","",IFERROR(SUMPRODUCT(('Facturación 2026'!$A$4:$A$920=$A598)*'Facturación 2026'!$J$4:$J$920)*E598/(SUMPRODUCT(('Caja 1'!$A$4:$A$919=$A598)*'Caja 1'!$E$4:$E$919)+SUMPRODUCT(('Caja 2'!$A$4:$A$920=$A598)*'Caja 2'!$E$4:$E$920)),0))</f>
        <v/>
      </c>
      <c r="H598" s="128" t="str">
        <f t="shared" si="41"/>
        <v/>
      </c>
      <c r="I598" s="124" t="str">
        <f t="shared" si="42"/>
        <v/>
      </c>
      <c r="J598" s="987" t="str">
        <f>IF(A598="","",IFERROR(INDEX('Facturación 2026'!$L$4:$L$500,MATCH($A598,'Facturación 2026'!$A$4:$A$500,0)),""))</f>
        <v/>
      </c>
    </row>
    <row r="599" spans="1:10" ht="15.75" customHeight="1">
      <c r="A599" s="988"/>
      <c r="B599" s="122" t="str">
        <f t="shared" si="39"/>
        <v/>
      </c>
      <c r="C599" s="123"/>
      <c r="D599" s="131" t="str">
        <f t="array" ref="D599">IF(A599="","",SUMPRODUCT(('Detalle Turnos'!$I$3:$I$5028=$A599)*('Detalle Turnos'!$N$3:$N$5028=C599)*'Detalle Turnos'!$L$3:$L$5028))</f>
        <v/>
      </c>
      <c r="E599" s="127" t="str">
        <f t="array" ref="E599">IF(A599="","",SUMPRODUCT(('Detalle Turnos'!$I$3:$I$5028=$A599)*('Detalle Turnos'!$N$3:$N$5028=C599)*'Detalle Turnos'!$K$3:$K$5028))</f>
        <v/>
      </c>
      <c r="F599" s="127">
        <f t="shared" si="40"/>
        <v>0</v>
      </c>
      <c r="G599" s="127" t="str">
        <f t="array" ref="G599">IF(E599="","",IFERROR(SUMPRODUCT(('Facturación 2026'!$A$4:$A$920=$A599)*'Facturación 2026'!$J$4:$J$920)*E599/(SUMPRODUCT(('Caja 1'!$A$4:$A$919=$A599)*'Caja 1'!$E$4:$E$919)+SUMPRODUCT(('Caja 2'!$A$4:$A$920=$A599)*'Caja 2'!$E$4:$E$920)),0))</f>
        <v/>
      </c>
      <c r="H599" s="128" t="str">
        <f t="shared" si="41"/>
        <v/>
      </c>
      <c r="I599" s="124" t="str">
        <f t="shared" si="42"/>
        <v/>
      </c>
      <c r="J599" s="987" t="str">
        <f>IF(A599="","",IFERROR(INDEX('Facturación 2026'!$L$4:$L$500,MATCH($A599,'Facturación 2026'!$A$4:$A$500,0)),""))</f>
        <v/>
      </c>
    </row>
    <row r="600" spans="1:10" ht="15.75" customHeight="1">
      <c r="A600" s="988"/>
      <c r="B600" s="122" t="str">
        <f t="shared" si="39"/>
        <v/>
      </c>
      <c r="C600" s="123"/>
      <c r="D600" s="131" t="str">
        <f t="array" ref="D600">IF(A600="","",SUMPRODUCT(('Detalle Turnos'!$I$3:$I$5028=$A600)*('Detalle Turnos'!$N$3:$N$5028=C600)*'Detalle Turnos'!$L$3:$L$5028))</f>
        <v/>
      </c>
      <c r="E600" s="127" t="str">
        <f t="array" ref="E600">IF(A600="","",SUMPRODUCT(('Detalle Turnos'!$I$3:$I$5028=$A600)*('Detalle Turnos'!$N$3:$N$5028=C600)*'Detalle Turnos'!$K$3:$K$5028))</f>
        <v/>
      </c>
      <c r="F600" s="127">
        <f t="shared" si="40"/>
        <v>0</v>
      </c>
      <c r="G600" s="127" t="str">
        <f t="array" ref="G600">IF(E600="","",IFERROR(SUMPRODUCT(('Facturación 2026'!$A$4:$A$920=$A600)*'Facturación 2026'!$J$4:$J$920)*E600/(SUMPRODUCT(('Caja 1'!$A$4:$A$919=$A600)*'Caja 1'!$E$4:$E$919)+SUMPRODUCT(('Caja 2'!$A$4:$A$920=$A600)*'Caja 2'!$E$4:$E$920)),0))</f>
        <v/>
      </c>
      <c r="H600" s="128" t="str">
        <f t="shared" si="41"/>
        <v/>
      </c>
      <c r="I600" s="124" t="str">
        <f t="shared" si="42"/>
        <v/>
      </c>
      <c r="J600" s="987" t="str">
        <f>IF(A600="","",IFERROR(INDEX('Facturación 2026'!$L$4:$L$500,MATCH($A600,'Facturación 2026'!$A$4:$A$500,0)),""))</f>
        <v/>
      </c>
    </row>
    <row r="601" spans="1:10" ht="15.75" customHeight="1">
      <c r="A601" s="988"/>
      <c r="B601" s="122" t="str">
        <f t="shared" si="39"/>
        <v/>
      </c>
      <c r="C601" s="123"/>
      <c r="D601" s="131" t="str">
        <f t="array" ref="D601">IF(A601="","",SUMPRODUCT(('Detalle Turnos'!$I$3:$I$5028=$A601)*('Detalle Turnos'!$N$3:$N$5028=C601)*'Detalle Turnos'!$L$3:$L$5028))</f>
        <v/>
      </c>
      <c r="E601" s="127" t="str">
        <f t="array" ref="E601">IF(A601="","",SUMPRODUCT(('Detalle Turnos'!$I$3:$I$5028=$A601)*('Detalle Turnos'!$N$3:$N$5028=C601)*'Detalle Turnos'!$K$3:$K$5028))</f>
        <v/>
      </c>
      <c r="F601" s="127">
        <f t="shared" si="40"/>
        <v>0</v>
      </c>
      <c r="G601" s="127" t="str">
        <f t="array" ref="G601">IF(E601="","",IFERROR(SUMPRODUCT(('Facturación 2026'!$A$4:$A$920=$A601)*'Facturación 2026'!$J$4:$J$920)*E601/(SUMPRODUCT(('Caja 1'!$A$4:$A$919=$A601)*'Caja 1'!$E$4:$E$919)+SUMPRODUCT(('Caja 2'!$A$4:$A$920=$A601)*'Caja 2'!$E$4:$E$920)),0))</f>
        <v/>
      </c>
      <c r="H601" s="128" t="str">
        <f t="shared" si="41"/>
        <v/>
      </c>
      <c r="I601" s="124" t="str">
        <f t="shared" si="42"/>
        <v/>
      </c>
      <c r="J601" s="987" t="str">
        <f>IF(A601="","",IFERROR(INDEX('Facturación 2026'!$L$4:$L$500,MATCH($A601,'Facturación 2026'!$A$4:$A$500,0)),""))</f>
        <v/>
      </c>
    </row>
    <row r="602" spans="1:10" ht="15.75" customHeight="1">
      <c r="A602" s="988"/>
      <c r="B602" s="122" t="str">
        <f t="shared" si="39"/>
        <v/>
      </c>
      <c r="C602" s="123"/>
      <c r="D602" s="131" t="str">
        <f t="array" ref="D602">IF(A602="","",SUMPRODUCT(('Detalle Turnos'!$I$3:$I$5028=$A602)*('Detalle Turnos'!$N$3:$N$5028=C602)*'Detalle Turnos'!$L$3:$L$5028))</f>
        <v/>
      </c>
      <c r="E602" s="127" t="str">
        <f t="array" ref="E602">IF(A602="","",SUMPRODUCT(('Detalle Turnos'!$I$3:$I$5028=$A602)*('Detalle Turnos'!$N$3:$N$5028=C602)*'Detalle Turnos'!$K$3:$K$5028))</f>
        <v/>
      </c>
      <c r="F602" s="127">
        <f t="shared" si="40"/>
        <v>0</v>
      </c>
      <c r="G602" s="127" t="str">
        <f t="array" ref="G602">IF(E602="","",IFERROR(SUMPRODUCT(('Facturación 2026'!$A$4:$A$920=$A602)*'Facturación 2026'!$J$4:$J$920)*E602/(SUMPRODUCT(('Caja 1'!$A$4:$A$919=$A602)*'Caja 1'!$E$4:$E$919)+SUMPRODUCT(('Caja 2'!$A$4:$A$920=$A602)*'Caja 2'!$E$4:$E$920)),0))</f>
        <v/>
      </c>
      <c r="H602" s="128" t="str">
        <f t="shared" si="41"/>
        <v/>
      </c>
      <c r="I602" s="124" t="str">
        <f t="shared" si="42"/>
        <v/>
      </c>
      <c r="J602" s="987" t="str">
        <f>IF(A602="","",IFERROR(INDEX('Facturación 2026'!$L$4:$L$500,MATCH($A602,'Facturación 2026'!$A$4:$A$500,0)),""))</f>
        <v/>
      </c>
    </row>
    <row r="603" spans="1:10" ht="15.75" customHeight="1">
      <c r="A603" s="988"/>
      <c r="B603" s="122" t="str">
        <f t="shared" si="39"/>
        <v/>
      </c>
      <c r="C603" s="123"/>
      <c r="D603" s="131" t="str">
        <f t="array" ref="D603">IF(A603="","",SUMPRODUCT(('Detalle Turnos'!$I$3:$I$5028=$A603)*('Detalle Turnos'!$N$3:$N$5028=C603)*'Detalle Turnos'!$L$3:$L$5028))</f>
        <v/>
      </c>
      <c r="E603" s="127" t="str">
        <f t="array" ref="E603">IF(A603="","",SUMPRODUCT(('Detalle Turnos'!$I$3:$I$5028=$A603)*('Detalle Turnos'!$N$3:$N$5028=C603)*'Detalle Turnos'!$K$3:$K$5028))</f>
        <v/>
      </c>
      <c r="F603" s="127">
        <f t="shared" si="40"/>
        <v>0</v>
      </c>
      <c r="G603" s="127" t="str">
        <f t="array" ref="G603">IF(E603="","",IFERROR(SUMPRODUCT(('Facturación 2026'!$A$4:$A$920=$A603)*'Facturación 2026'!$J$4:$J$920)*E603/(SUMPRODUCT(('Caja 1'!$A$4:$A$919=$A603)*'Caja 1'!$E$4:$E$919)+SUMPRODUCT(('Caja 2'!$A$4:$A$920=$A603)*'Caja 2'!$E$4:$E$920)),0))</f>
        <v/>
      </c>
      <c r="H603" s="128" t="str">
        <f t="shared" si="41"/>
        <v/>
      </c>
      <c r="I603" s="124" t="str">
        <f t="shared" si="42"/>
        <v/>
      </c>
      <c r="J603" s="987" t="str">
        <f>IF(A603="","",IFERROR(INDEX('Facturación 2026'!$L$4:$L$500,MATCH($A603,'Facturación 2026'!$A$4:$A$500,0)),""))</f>
        <v/>
      </c>
    </row>
    <row r="604" spans="1:10" ht="15.75" customHeight="1">
      <c r="A604" s="988"/>
      <c r="B604" s="122" t="str">
        <f t="shared" si="39"/>
        <v/>
      </c>
      <c r="C604" s="123"/>
      <c r="D604" s="131" t="str">
        <f t="array" ref="D604">IF(A604="","",SUMPRODUCT(('Detalle Turnos'!$I$3:$I$5028=$A604)*('Detalle Turnos'!$N$3:$N$5028=C604)*'Detalle Turnos'!$L$3:$L$5028))</f>
        <v/>
      </c>
      <c r="E604" s="127" t="str">
        <f t="array" ref="E604">IF(A604="","",SUMPRODUCT(('Detalle Turnos'!$I$3:$I$5028=$A604)*('Detalle Turnos'!$N$3:$N$5028=C604)*'Detalle Turnos'!$K$3:$K$5028))</f>
        <v/>
      </c>
      <c r="F604" s="127">
        <f t="shared" si="40"/>
        <v>0</v>
      </c>
      <c r="G604" s="127" t="str">
        <f t="array" ref="G604">IF(E604="","",IFERROR(SUMPRODUCT(('Facturación 2026'!$A$4:$A$920=$A604)*'Facturación 2026'!$J$4:$J$920)*E604/(SUMPRODUCT(('Caja 1'!$A$4:$A$919=$A604)*'Caja 1'!$E$4:$E$919)+SUMPRODUCT(('Caja 2'!$A$4:$A$920=$A604)*'Caja 2'!$E$4:$E$920)),0))</f>
        <v/>
      </c>
      <c r="H604" s="128" t="str">
        <f t="shared" si="41"/>
        <v/>
      </c>
      <c r="I604" s="124" t="str">
        <f t="shared" si="42"/>
        <v/>
      </c>
      <c r="J604" s="987" t="str">
        <f>IF(A604="","",IFERROR(INDEX('Facturación 2026'!$L$4:$L$500,MATCH($A604,'Facturación 2026'!$A$4:$A$500,0)),""))</f>
        <v/>
      </c>
    </row>
    <row r="605" spans="1:10" ht="15.75" customHeight="1">
      <c r="A605" s="988"/>
      <c r="B605" s="122" t="str">
        <f t="shared" si="39"/>
        <v/>
      </c>
      <c r="C605" s="123"/>
      <c r="D605" s="131" t="str">
        <f t="array" ref="D605">IF(A605="","",SUMPRODUCT(('Detalle Turnos'!$I$3:$I$5028=$A605)*('Detalle Turnos'!$N$3:$N$5028=C605)*'Detalle Turnos'!$L$3:$L$5028))</f>
        <v/>
      </c>
      <c r="E605" s="127" t="str">
        <f t="array" ref="E605">IF(A605="","",SUMPRODUCT(('Detalle Turnos'!$I$3:$I$5028=$A605)*('Detalle Turnos'!$N$3:$N$5028=C605)*'Detalle Turnos'!$K$3:$K$5028))</f>
        <v/>
      </c>
      <c r="F605" s="127">
        <f t="shared" si="40"/>
        <v>0</v>
      </c>
      <c r="G605" s="127" t="str">
        <f t="array" ref="G605">IF(E605="","",IFERROR(SUMPRODUCT(('Facturación 2026'!$A$4:$A$920=$A605)*'Facturación 2026'!$J$4:$J$920)*E605/(SUMPRODUCT(('Caja 1'!$A$4:$A$919=$A605)*'Caja 1'!$E$4:$E$919)+SUMPRODUCT(('Caja 2'!$A$4:$A$920=$A605)*'Caja 2'!$E$4:$E$920)),0))</f>
        <v/>
      </c>
      <c r="H605" s="128" t="str">
        <f t="shared" si="41"/>
        <v/>
      </c>
      <c r="I605" s="124" t="str">
        <f t="shared" si="42"/>
        <v/>
      </c>
      <c r="J605" s="987" t="str">
        <f>IF(A605="","",IFERROR(INDEX('Facturación 2026'!$L$4:$L$500,MATCH($A605,'Facturación 2026'!$A$4:$A$500,0)),""))</f>
        <v/>
      </c>
    </row>
    <row r="606" spans="1:10" ht="15.75" customHeight="1">
      <c r="A606" s="988"/>
      <c r="B606" s="122" t="str">
        <f t="shared" si="39"/>
        <v/>
      </c>
      <c r="C606" s="123"/>
      <c r="D606" s="131" t="str">
        <f t="array" ref="D606">IF(A606="","",SUMPRODUCT(('Detalle Turnos'!$I$3:$I$5028=$A606)*('Detalle Turnos'!$N$3:$N$5028=C606)*'Detalle Turnos'!$L$3:$L$5028))</f>
        <v/>
      </c>
      <c r="E606" s="127" t="str">
        <f t="array" ref="E606">IF(A606="","",SUMPRODUCT(('Detalle Turnos'!$I$3:$I$5028=$A606)*('Detalle Turnos'!$N$3:$N$5028=C606)*'Detalle Turnos'!$K$3:$K$5028))</f>
        <v/>
      </c>
      <c r="F606" s="127">
        <f t="shared" si="40"/>
        <v>0</v>
      </c>
      <c r="G606" s="127" t="str">
        <f t="array" ref="G606">IF(E606="","",IFERROR(SUMPRODUCT(('Facturación 2026'!$A$4:$A$920=$A606)*'Facturación 2026'!$J$4:$J$920)*E606/(SUMPRODUCT(('Caja 1'!$A$4:$A$919=$A606)*'Caja 1'!$E$4:$E$919)+SUMPRODUCT(('Caja 2'!$A$4:$A$920=$A606)*'Caja 2'!$E$4:$E$920)),0))</f>
        <v/>
      </c>
      <c r="H606" s="128" t="str">
        <f t="shared" si="41"/>
        <v/>
      </c>
      <c r="I606" s="124" t="str">
        <f t="shared" si="42"/>
        <v/>
      </c>
      <c r="J606" s="987" t="str">
        <f>IF(A606="","",IFERROR(INDEX('Facturación 2026'!$L$4:$L$500,MATCH($A606,'Facturación 2026'!$A$4:$A$500,0)),""))</f>
        <v/>
      </c>
    </row>
    <row r="607" spans="1:10" ht="15.75" customHeight="1">
      <c r="A607" s="988"/>
      <c r="B607" s="122" t="str">
        <f t="shared" si="39"/>
        <v/>
      </c>
      <c r="C607" s="123"/>
      <c r="D607" s="131" t="str">
        <f t="array" ref="D607">IF(A607="","",SUMPRODUCT(('Detalle Turnos'!$I$3:$I$5028=$A607)*('Detalle Turnos'!$N$3:$N$5028=C607)*'Detalle Turnos'!$L$3:$L$5028))</f>
        <v/>
      </c>
      <c r="E607" s="127" t="str">
        <f t="array" ref="E607">IF(A607="","",SUMPRODUCT(('Detalle Turnos'!$I$3:$I$5028=$A607)*('Detalle Turnos'!$N$3:$N$5028=C607)*'Detalle Turnos'!$K$3:$K$5028))</f>
        <v/>
      </c>
      <c r="F607" s="127">
        <f t="shared" si="40"/>
        <v>0</v>
      </c>
      <c r="G607" s="127" t="str">
        <f t="array" ref="G607">IF(E607="","",IFERROR(SUMPRODUCT(('Facturación 2026'!$A$4:$A$920=$A607)*'Facturación 2026'!$J$4:$J$920)*E607/(SUMPRODUCT(('Caja 1'!$A$4:$A$919=$A607)*'Caja 1'!$E$4:$E$919)+SUMPRODUCT(('Caja 2'!$A$4:$A$920=$A607)*'Caja 2'!$E$4:$E$920)),0))</f>
        <v/>
      </c>
      <c r="H607" s="128" t="str">
        <f t="shared" si="41"/>
        <v/>
      </c>
      <c r="I607" s="124" t="str">
        <f t="shared" si="42"/>
        <v/>
      </c>
      <c r="J607" s="987" t="str">
        <f>IF(A607="","",IFERROR(INDEX('Facturación 2026'!$L$4:$L$500,MATCH($A607,'Facturación 2026'!$A$4:$A$500,0)),""))</f>
        <v/>
      </c>
    </row>
    <row r="608" spans="1:10" ht="15.75" customHeight="1">
      <c r="A608" s="988"/>
      <c r="B608" s="122" t="str">
        <f t="shared" si="39"/>
        <v/>
      </c>
      <c r="C608" s="123"/>
      <c r="D608" s="131" t="str">
        <f t="array" ref="D608">IF(A608="","",SUMPRODUCT(('Detalle Turnos'!$I$3:$I$5028=$A608)*('Detalle Turnos'!$N$3:$N$5028=C608)*'Detalle Turnos'!$L$3:$L$5028))</f>
        <v/>
      </c>
      <c r="E608" s="127" t="str">
        <f t="array" ref="E608">IF(A608="","",SUMPRODUCT(('Detalle Turnos'!$I$3:$I$5028=$A608)*('Detalle Turnos'!$N$3:$N$5028=C608)*'Detalle Turnos'!$K$3:$K$5028))</f>
        <v/>
      </c>
      <c r="F608" s="127">
        <f t="shared" si="40"/>
        <v>0</v>
      </c>
      <c r="G608" s="127" t="str">
        <f t="array" ref="G608">IF(E608="","",IFERROR(SUMPRODUCT(('Facturación 2026'!$A$4:$A$920=$A608)*'Facturación 2026'!$J$4:$J$920)*E608/(SUMPRODUCT(('Caja 1'!$A$4:$A$919=$A608)*'Caja 1'!$E$4:$E$919)+SUMPRODUCT(('Caja 2'!$A$4:$A$920=$A608)*'Caja 2'!$E$4:$E$920)),0))</f>
        <v/>
      </c>
      <c r="H608" s="128" t="str">
        <f t="shared" si="41"/>
        <v/>
      </c>
      <c r="I608" s="124" t="str">
        <f t="shared" si="42"/>
        <v/>
      </c>
      <c r="J608" s="987" t="str">
        <f>IF(A608="","",IFERROR(INDEX('Facturación 2026'!$L$4:$L$500,MATCH($A608,'Facturación 2026'!$A$4:$A$500,0)),""))</f>
        <v/>
      </c>
    </row>
    <row r="609" spans="1:10" ht="15.75" customHeight="1">
      <c r="A609" s="988"/>
      <c r="B609" s="122" t="str">
        <f t="shared" si="39"/>
        <v/>
      </c>
      <c r="C609" s="123"/>
      <c r="D609" s="131" t="str">
        <f t="array" ref="D609">IF(A609="","",SUMPRODUCT(('Detalle Turnos'!$I$3:$I$5028=$A609)*('Detalle Turnos'!$N$3:$N$5028=C609)*'Detalle Turnos'!$L$3:$L$5028))</f>
        <v/>
      </c>
      <c r="E609" s="127" t="str">
        <f t="array" ref="E609">IF(A609="","",SUMPRODUCT(('Detalle Turnos'!$I$3:$I$5028=$A609)*('Detalle Turnos'!$N$3:$N$5028=C609)*'Detalle Turnos'!$K$3:$K$5028))</f>
        <v/>
      </c>
      <c r="F609" s="127">
        <f t="shared" si="40"/>
        <v>0</v>
      </c>
      <c r="G609" s="127" t="str">
        <f t="array" ref="G609">IF(E609="","",IFERROR(SUMPRODUCT(('Facturación 2026'!$A$4:$A$920=$A609)*'Facturación 2026'!$J$4:$J$920)*E609/(SUMPRODUCT(('Caja 1'!$A$4:$A$919=$A609)*'Caja 1'!$E$4:$E$919)+SUMPRODUCT(('Caja 2'!$A$4:$A$920=$A609)*'Caja 2'!$E$4:$E$920)),0))</f>
        <v/>
      </c>
      <c r="H609" s="128" t="str">
        <f t="shared" si="41"/>
        <v/>
      </c>
      <c r="I609" s="124" t="str">
        <f t="shared" si="42"/>
        <v/>
      </c>
      <c r="J609" s="987" t="str">
        <f>IF(A609="","",IFERROR(INDEX('Facturación 2026'!$L$4:$L$500,MATCH($A609,'Facturación 2026'!$A$4:$A$500,0)),""))</f>
        <v/>
      </c>
    </row>
    <row r="610" spans="1:10" ht="15.75" customHeight="1">
      <c r="A610" s="988"/>
      <c r="B610" s="122" t="str">
        <f t="shared" si="39"/>
        <v/>
      </c>
      <c r="C610" s="123"/>
      <c r="D610" s="131" t="str">
        <f t="array" ref="D610">IF(A610="","",SUMPRODUCT(('Detalle Turnos'!$I$3:$I$5028=$A610)*('Detalle Turnos'!$N$3:$N$5028=C610)*'Detalle Turnos'!$L$3:$L$5028))</f>
        <v/>
      </c>
      <c r="E610" s="127" t="str">
        <f t="array" ref="E610">IF(A610="","",SUMPRODUCT(('Detalle Turnos'!$I$3:$I$5028=$A610)*('Detalle Turnos'!$N$3:$N$5028=C610)*'Detalle Turnos'!$K$3:$K$5028))</f>
        <v/>
      </c>
      <c r="F610" s="127">
        <f t="shared" si="40"/>
        <v>0</v>
      </c>
      <c r="G610" s="127" t="str">
        <f t="array" ref="G610">IF(E610="","",IFERROR(SUMPRODUCT(('Facturación 2026'!$A$4:$A$920=$A610)*'Facturación 2026'!$J$4:$J$920)*E610/(SUMPRODUCT(('Caja 1'!$A$4:$A$919=$A610)*'Caja 1'!$E$4:$E$919)+SUMPRODUCT(('Caja 2'!$A$4:$A$920=$A610)*'Caja 2'!$E$4:$E$920)),0))</f>
        <v/>
      </c>
      <c r="H610" s="128" t="str">
        <f t="shared" si="41"/>
        <v/>
      </c>
      <c r="I610" s="124" t="str">
        <f t="shared" si="42"/>
        <v/>
      </c>
      <c r="J610" s="987" t="str">
        <f>IF(A610="","",IFERROR(INDEX('Facturación 2026'!$L$4:$L$500,MATCH($A610,'Facturación 2026'!$A$4:$A$500,0)),""))</f>
        <v/>
      </c>
    </row>
    <row r="611" spans="1:10" ht="15.75" customHeight="1">
      <c r="A611" s="988"/>
      <c r="B611" s="122" t="str">
        <f t="shared" si="39"/>
        <v/>
      </c>
      <c r="C611" s="123"/>
      <c r="D611" s="131" t="str">
        <f t="array" ref="D611">IF(A611="","",SUMPRODUCT(('Detalle Turnos'!$I$3:$I$5028=$A611)*('Detalle Turnos'!$N$3:$N$5028=C611)*'Detalle Turnos'!$L$3:$L$5028))</f>
        <v/>
      </c>
      <c r="E611" s="127" t="str">
        <f t="array" ref="E611">IF(A611="","",SUMPRODUCT(('Detalle Turnos'!$I$3:$I$5028=$A611)*('Detalle Turnos'!$N$3:$N$5028=C611)*'Detalle Turnos'!$K$3:$K$5028))</f>
        <v/>
      </c>
      <c r="F611" s="127">
        <f t="shared" si="40"/>
        <v>0</v>
      </c>
      <c r="G611" s="127" t="str">
        <f t="array" ref="G611">IF(E611="","",IFERROR(SUMPRODUCT(('Facturación 2026'!$A$4:$A$920=$A611)*'Facturación 2026'!$J$4:$J$920)*E611/(SUMPRODUCT(('Caja 1'!$A$4:$A$919=$A611)*'Caja 1'!$E$4:$E$919)+SUMPRODUCT(('Caja 2'!$A$4:$A$920=$A611)*'Caja 2'!$E$4:$E$920)),0))</f>
        <v/>
      </c>
      <c r="H611" s="128" t="str">
        <f t="shared" si="41"/>
        <v/>
      </c>
      <c r="I611" s="124" t="str">
        <f t="shared" si="42"/>
        <v/>
      </c>
      <c r="J611" s="987" t="str">
        <f>IF(A611="","",IFERROR(INDEX('Facturación 2026'!$L$4:$L$500,MATCH($A611,'Facturación 2026'!$A$4:$A$500,0)),""))</f>
        <v/>
      </c>
    </row>
    <row r="612" spans="1:10" ht="15.75" customHeight="1">
      <c r="A612" s="988"/>
      <c r="B612" s="122" t="str">
        <f t="shared" si="39"/>
        <v/>
      </c>
      <c r="C612" s="123"/>
      <c r="D612" s="131" t="str">
        <f t="array" ref="D612">IF(A612="","",SUMPRODUCT(('Detalle Turnos'!$I$3:$I$5028=$A612)*('Detalle Turnos'!$N$3:$N$5028=C612)*'Detalle Turnos'!$L$3:$L$5028))</f>
        <v/>
      </c>
      <c r="E612" s="127" t="str">
        <f t="array" ref="E612">IF(A612="","",SUMPRODUCT(('Detalle Turnos'!$I$3:$I$5028=$A612)*('Detalle Turnos'!$N$3:$N$5028=C612)*'Detalle Turnos'!$K$3:$K$5028))</f>
        <v/>
      </c>
      <c r="F612" s="127">
        <f t="shared" si="40"/>
        <v>0</v>
      </c>
      <c r="G612" s="127" t="str">
        <f t="array" ref="G612">IF(E612="","",IFERROR(SUMPRODUCT(('Facturación 2026'!$A$4:$A$920=$A612)*'Facturación 2026'!$J$4:$J$920)*E612/(SUMPRODUCT(('Caja 1'!$A$4:$A$919=$A612)*'Caja 1'!$E$4:$E$919)+SUMPRODUCT(('Caja 2'!$A$4:$A$920=$A612)*'Caja 2'!$E$4:$E$920)),0))</f>
        <v/>
      </c>
      <c r="H612" s="128" t="str">
        <f t="shared" si="41"/>
        <v/>
      </c>
      <c r="I612" s="124" t="str">
        <f t="shared" si="42"/>
        <v/>
      </c>
      <c r="J612" s="987" t="str">
        <f>IF(A612="","",IFERROR(INDEX('Facturación 2026'!$L$4:$L$500,MATCH($A612,'Facturación 2026'!$A$4:$A$500,0)),""))</f>
        <v/>
      </c>
    </row>
    <row r="613" spans="1:10" ht="15.75" customHeight="1">
      <c r="A613" s="988"/>
      <c r="B613" s="122" t="str">
        <f t="shared" si="39"/>
        <v/>
      </c>
      <c r="C613" s="123"/>
      <c r="D613" s="131" t="str">
        <f t="array" ref="D613">IF(A613="","",SUMPRODUCT(('Detalle Turnos'!$I$3:$I$5028=$A613)*('Detalle Turnos'!$N$3:$N$5028=C613)*'Detalle Turnos'!$L$3:$L$5028))</f>
        <v/>
      </c>
      <c r="E613" s="127" t="str">
        <f t="array" ref="E613">IF(A613="","",SUMPRODUCT(('Detalle Turnos'!$I$3:$I$5028=$A613)*('Detalle Turnos'!$N$3:$N$5028=C613)*'Detalle Turnos'!$K$3:$K$5028))</f>
        <v/>
      </c>
      <c r="F613" s="127">
        <f t="shared" si="40"/>
        <v>0</v>
      </c>
      <c r="G613" s="127" t="str">
        <f t="array" ref="G613">IF(E613="","",IFERROR(SUMPRODUCT(('Facturación 2026'!$A$4:$A$920=$A613)*'Facturación 2026'!$J$4:$J$920)*E613/(SUMPRODUCT(('Caja 1'!$A$4:$A$919=$A613)*'Caja 1'!$E$4:$E$919)+SUMPRODUCT(('Caja 2'!$A$4:$A$920=$A613)*'Caja 2'!$E$4:$E$920)),0))</f>
        <v/>
      </c>
      <c r="H613" s="128" t="str">
        <f t="shared" si="41"/>
        <v/>
      </c>
      <c r="I613" s="124" t="str">
        <f t="shared" si="42"/>
        <v/>
      </c>
      <c r="J613" s="987" t="str">
        <f>IF(A613="","",IFERROR(INDEX('Facturación 2026'!$L$4:$L$500,MATCH($A613,'Facturación 2026'!$A$4:$A$500,0)),""))</f>
        <v/>
      </c>
    </row>
    <row r="614" spans="1:10" ht="15.75" customHeight="1">
      <c r="A614" s="988"/>
      <c r="B614" s="122" t="str">
        <f t="shared" si="39"/>
        <v/>
      </c>
      <c r="C614" s="123"/>
      <c r="D614" s="131" t="str">
        <f t="array" ref="D614">IF(A614="","",SUMPRODUCT(('Detalle Turnos'!$I$3:$I$5028=$A614)*('Detalle Turnos'!$N$3:$N$5028=C614)*'Detalle Turnos'!$L$3:$L$5028))</f>
        <v/>
      </c>
      <c r="E614" s="127" t="str">
        <f t="array" ref="E614">IF(A614="","",SUMPRODUCT(('Detalle Turnos'!$I$3:$I$5028=$A614)*('Detalle Turnos'!$N$3:$N$5028=C614)*'Detalle Turnos'!$K$3:$K$5028))</f>
        <v/>
      </c>
      <c r="F614" s="127">
        <f t="shared" si="40"/>
        <v>0</v>
      </c>
      <c r="G614" s="127" t="str">
        <f t="array" ref="G614">IF(E614="","",IFERROR(SUMPRODUCT(('Facturación 2026'!$A$4:$A$920=$A614)*'Facturación 2026'!$J$4:$J$920)*E614/(SUMPRODUCT(('Caja 1'!$A$4:$A$919=$A614)*'Caja 1'!$E$4:$E$919)+SUMPRODUCT(('Caja 2'!$A$4:$A$920=$A614)*'Caja 2'!$E$4:$E$920)),0))</f>
        <v/>
      </c>
      <c r="H614" s="128" t="str">
        <f t="shared" si="41"/>
        <v/>
      </c>
      <c r="I614" s="124" t="str">
        <f t="shared" si="42"/>
        <v/>
      </c>
      <c r="J614" s="987" t="str">
        <f>IF(A614="","",IFERROR(INDEX('Facturación 2026'!$L$4:$L$500,MATCH($A614,'Facturación 2026'!$A$4:$A$500,0)),""))</f>
        <v/>
      </c>
    </row>
    <row r="615" spans="1:10" ht="15.75" customHeight="1">
      <c r="A615" s="988"/>
      <c r="B615" s="122" t="str">
        <f t="shared" si="39"/>
        <v/>
      </c>
      <c r="C615" s="123"/>
      <c r="D615" s="131" t="str">
        <f t="array" ref="D615">IF(A615="","",SUMPRODUCT(('Detalle Turnos'!$I$3:$I$5028=$A615)*('Detalle Turnos'!$N$3:$N$5028=C615)*'Detalle Turnos'!$L$3:$L$5028))</f>
        <v/>
      </c>
      <c r="E615" s="127" t="str">
        <f t="array" ref="E615">IF(A615="","",SUMPRODUCT(('Detalle Turnos'!$I$3:$I$5028=$A615)*('Detalle Turnos'!$N$3:$N$5028=C615)*'Detalle Turnos'!$K$3:$K$5028))</f>
        <v/>
      </c>
      <c r="F615" s="127">
        <f t="shared" si="40"/>
        <v>0</v>
      </c>
      <c r="G615" s="127" t="str">
        <f t="array" ref="G615">IF(E615="","",IFERROR(SUMPRODUCT(('Facturación 2026'!$A$4:$A$920=$A615)*'Facturación 2026'!$J$4:$J$920)*E615/(SUMPRODUCT(('Caja 1'!$A$4:$A$919=$A615)*'Caja 1'!$E$4:$E$919)+SUMPRODUCT(('Caja 2'!$A$4:$A$920=$A615)*'Caja 2'!$E$4:$E$920)),0))</f>
        <v/>
      </c>
      <c r="H615" s="128" t="str">
        <f t="shared" si="41"/>
        <v/>
      </c>
      <c r="I615" s="124" t="str">
        <f t="shared" si="42"/>
        <v/>
      </c>
      <c r="J615" s="987" t="str">
        <f>IF(A615="","",IFERROR(INDEX('Facturación 2026'!$L$4:$L$500,MATCH($A615,'Facturación 2026'!$A$4:$A$500,0)),""))</f>
        <v/>
      </c>
    </row>
    <row r="616" spans="1:10" ht="15.75" customHeight="1">
      <c r="A616" s="988"/>
      <c r="B616" s="122" t="str">
        <f t="shared" si="39"/>
        <v/>
      </c>
      <c r="C616" s="123"/>
      <c r="D616" s="131" t="str">
        <f t="array" ref="D616">IF(A616="","",SUMPRODUCT(('Detalle Turnos'!$I$3:$I$5028=$A616)*('Detalle Turnos'!$N$3:$N$5028=C616)*'Detalle Turnos'!$L$3:$L$5028))</f>
        <v/>
      </c>
      <c r="E616" s="127" t="str">
        <f t="array" ref="E616">IF(A616="","",SUMPRODUCT(('Detalle Turnos'!$I$3:$I$5028=$A616)*('Detalle Turnos'!$N$3:$N$5028=C616)*'Detalle Turnos'!$K$3:$K$5028))</f>
        <v/>
      </c>
      <c r="F616" s="127">
        <f t="shared" si="40"/>
        <v>0</v>
      </c>
      <c r="G616" s="127" t="str">
        <f t="array" ref="G616">IF(E616="","",IFERROR(SUMPRODUCT(('Facturación 2026'!$A$4:$A$920=$A616)*'Facturación 2026'!$J$4:$J$920)*E616/(SUMPRODUCT(('Caja 1'!$A$4:$A$919=$A616)*'Caja 1'!$E$4:$E$919)+SUMPRODUCT(('Caja 2'!$A$4:$A$920=$A616)*'Caja 2'!$E$4:$E$920)),0))</f>
        <v/>
      </c>
      <c r="H616" s="128" t="str">
        <f t="shared" si="41"/>
        <v/>
      </c>
      <c r="I616" s="124" t="str">
        <f t="shared" si="42"/>
        <v/>
      </c>
      <c r="J616" s="987" t="str">
        <f>IF(A616="","",IFERROR(INDEX('Facturación 2026'!$L$4:$L$500,MATCH($A616,'Facturación 2026'!$A$4:$A$500,0)),""))</f>
        <v/>
      </c>
    </row>
    <row r="617" spans="1:10" ht="15.75" customHeight="1">
      <c r="A617" s="988"/>
      <c r="B617" s="122" t="str">
        <f t="shared" si="39"/>
        <v/>
      </c>
      <c r="C617" s="123"/>
      <c r="D617" s="131" t="str">
        <f t="array" ref="D617">IF(A617="","",SUMPRODUCT(('Detalle Turnos'!$I$3:$I$5028=$A617)*('Detalle Turnos'!$N$3:$N$5028=C617)*'Detalle Turnos'!$L$3:$L$5028))</f>
        <v/>
      </c>
      <c r="E617" s="127" t="str">
        <f t="array" ref="E617">IF(A617="","",SUMPRODUCT(('Detalle Turnos'!$I$3:$I$5028=$A617)*('Detalle Turnos'!$N$3:$N$5028=C617)*'Detalle Turnos'!$K$3:$K$5028))</f>
        <v/>
      </c>
      <c r="F617" s="127">
        <f t="shared" si="40"/>
        <v>0</v>
      </c>
      <c r="G617" s="127" t="str">
        <f t="array" ref="G617">IF(E617="","",IFERROR(SUMPRODUCT(('Facturación 2026'!$A$4:$A$920=$A617)*'Facturación 2026'!$J$4:$J$920)*E617/(SUMPRODUCT(('Caja 1'!$A$4:$A$919=$A617)*'Caja 1'!$E$4:$E$919)+SUMPRODUCT(('Caja 2'!$A$4:$A$920=$A617)*'Caja 2'!$E$4:$E$920)),0))</f>
        <v/>
      </c>
      <c r="H617" s="128" t="str">
        <f t="shared" si="41"/>
        <v/>
      </c>
      <c r="I617" s="124" t="str">
        <f t="shared" si="42"/>
        <v/>
      </c>
      <c r="J617" s="987" t="str">
        <f>IF(A617="","",IFERROR(INDEX('Facturación 2026'!$L$4:$L$500,MATCH($A617,'Facturación 2026'!$A$4:$A$500,0)),""))</f>
        <v/>
      </c>
    </row>
    <row r="618" spans="1:10" ht="15.75" customHeight="1">
      <c r="A618" s="988"/>
      <c r="B618" s="122" t="str">
        <f t="shared" si="39"/>
        <v/>
      </c>
      <c r="C618" s="123"/>
      <c r="D618" s="131" t="str">
        <f t="array" ref="D618">IF(A618="","",SUMPRODUCT(('Detalle Turnos'!$I$3:$I$5028=$A618)*('Detalle Turnos'!$N$3:$N$5028=C618)*'Detalle Turnos'!$L$3:$L$5028))</f>
        <v/>
      </c>
      <c r="E618" s="127" t="str">
        <f t="array" ref="E618">IF(A618="","",SUMPRODUCT(('Detalle Turnos'!$I$3:$I$5028=$A618)*('Detalle Turnos'!$N$3:$N$5028=C618)*'Detalle Turnos'!$K$3:$K$5028))</f>
        <v/>
      </c>
      <c r="F618" s="127">
        <f t="shared" si="40"/>
        <v>0</v>
      </c>
      <c r="G618" s="127" t="str">
        <f t="array" ref="G618">IF(E618="","",IFERROR(SUMPRODUCT(('Facturación 2026'!$A$4:$A$920=$A618)*'Facturación 2026'!$J$4:$J$920)*E618/(SUMPRODUCT(('Caja 1'!$A$4:$A$919=$A618)*'Caja 1'!$E$4:$E$919)+SUMPRODUCT(('Caja 2'!$A$4:$A$920=$A618)*'Caja 2'!$E$4:$E$920)),0))</f>
        <v/>
      </c>
      <c r="H618" s="128" t="str">
        <f t="shared" si="41"/>
        <v/>
      </c>
      <c r="I618" s="124" t="str">
        <f t="shared" si="42"/>
        <v/>
      </c>
      <c r="J618" s="987" t="str">
        <f>IF(A618="","",IFERROR(INDEX('Facturación 2026'!$L$4:$L$500,MATCH($A618,'Facturación 2026'!$A$4:$A$500,0)),""))</f>
        <v/>
      </c>
    </row>
    <row r="619" spans="1:10" ht="15.75" customHeight="1">
      <c r="A619" s="988"/>
      <c r="B619" s="122" t="str">
        <f t="shared" si="39"/>
        <v/>
      </c>
      <c r="C619" s="123"/>
      <c r="D619" s="131" t="str">
        <f t="array" ref="D619">IF(A619="","",SUMPRODUCT(('Detalle Turnos'!$I$3:$I$5028=$A619)*('Detalle Turnos'!$N$3:$N$5028=C619)*'Detalle Turnos'!$L$3:$L$5028))</f>
        <v/>
      </c>
      <c r="E619" s="127" t="str">
        <f t="array" ref="E619">IF(A619="","",SUMPRODUCT(('Detalle Turnos'!$I$3:$I$5028=$A619)*('Detalle Turnos'!$N$3:$N$5028=C619)*'Detalle Turnos'!$K$3:$K$5028))</f>
        <v/>
      </c>
      <c r="F619" s="127">
        <f t="shared" si="40"/>
        <v>0</v>
      </c>
      <c r="G619" s="127" t="str">
        <f t="array" ref="G619">IF(E619="","",IFERROR(SUMPRODUCT(('Facturación 2026'!$A$4:$A$920=$A619)*'Facturación 2026'!$J$4:$J$920)*E619/(SUMPRODUCT(('Caja 1'!$A$4:$A$919=$A619)*'Caja 1'!$E$4:$E$919)+SUMPRODUCT(('Caja 2'!$A$4:$A$920=$A619)*'Caja 2'!$E$4:$E$920)),0))</f>
        <v/>
      </c>
      <c r="H619" s="128" t="str">
        <f t="shared" si="41"/>
        <v/>
      </c>
      <c r="I619" s="124" t="str">
        <f t="shared" si="42"/>
        <v/>
      </c>
      <c r="J619" s="987" t="str">
        <f>IF(A619="","",IFERROR(INDEX('Facturación 2026'!$L$4:$L$500,MATCH($A619,'Facturación 2026'!$A$4:$A$500,0)),""))</f>
        <v/>
      </c>
    </row>
    <row r="620" spans="1:10" ht="15.75" customHeight="1">
      <c r="A620" s="988"/>
      <c r="B620" s="122" t="str">
        <f t="shared" si="39"/>
        <v/>
      </c>
      <c r="C620" s="123"/>
      <c r="D620" s="131" t="str">
        <f t="array" ref="D620">IF(A620="","",SUMPRODUCT(('Detalle Turnos'!$I$3:$I$5028=$A620)*('Detalle Turnos'!$N$3:$N$5028=C620)*'Detalle Turnos'!$L$3:$L$5028))</f>
        <v/>
      </c>
      <c r="E620" s="127" t="str">
        <f t="array" ref="E620">IF(A620="","",SUMPRODUCT(('Detalle Turnos'!$I$3:$I$5028=$A620)*('Detalle Turnos'!$N$3:$N$5028=C620)*'Detalle Turnos'!$K$3:$K$5028))</f>
        <v/>
      </c>
      <c r="F620" s="127">
        <f t="shared" si="40"/>
        <v>0</v>
      </c>
      <c r="G620" s="127" t="str">
        <f t="array" ref="G620">IF(E620="","",IFERROR(SUMPRODUCT(('Facturación 2026'!$A$4:$A$920=$A620)*'Facturación 2026'!$J$4:$J$920)*E620/(SUMPRODUCT(('Caja 1'!$A$4:$A$919=$A620)*'Caja 1'!$E$4:$E$919)+SUMPRODUCT(('Caja 2'!$A$4:$A$920=$A620)*'Caja 2'!$E$4:$E$920)),0))</f>
        <v/>
      </c>
      <c r="H620" s="128" t="str">
        <f t="shared" si="41"/>
        <v/>
      </c>
      <c r="I620" s="124" t="str">
        <f t="shared" si="42"/>
        <v/>
      </c>
      <c r="J620" s="987" t="str">
        <f>IF(A620="","",IFERROR(INDEX('Facturación 2026'!$L$4:$L$500,MATCH($A620,'Facturación 2026'!$A$4:$A$500,0)),""))</f>
        <v/>
      </c>
    </row>
    <row r="621" spans="1:10" ht="15.75" customHeight="1">
      <c r="A621" s="988"/>
      <c r="B621" s="122" t="str">
        <f t="shared" si="39"/>
        <v/>
      </c>
      <c r="C621" s="123"/>
      <c r="D621" s="131" t="str">
        <f t="array" ref="D621">IF(A621="","",SUMPRODUCT(('Detalle Turnos'!$I$3:$I$5028=$A621)*('Detalle Turnos'!$N$3:$N$5028=C621)*'Detalle Turnos'!$L$3:$L$5028))</f>
        <v/>
      </c>
      <c r="E621" s="127" t="str">
        <f t="array" ref="E621">IF(A621="","",SUMPRODUCT(('Detalle Turnos'!$I$3:$I$5028=$A621)*('Detalle Turnos'!$N$3:$N$5028=C621)*'Detalle Turnos'!$K$3:$K$5028))</f>
        <v/>
      </c>
      <c r="F621" s="127">
        <f t="shared" si="40"/>
        <v>0</v>
      </c>
      <c r="G621" s="127" t="str">
        <f t="array" ref="G621">IF(E621="","",IFERROR(SUMPRODUCT(('Facturación 2026'!$A$4:$A$920=$A621)*'Facturación 2026'!$J$4:$J$920)*E621/(SUMPRODUCT(('Caja 1'!$A$4:$A$919=$A621)*'Caja 1'!$E$4:$E$919)+SUMPRODUCT(('Caja 2'!$A$4:$A$920=$A621)*'Caja 2'!$E$4:$E$920)),0))</f>
        <v/>
      </c>
      <c r="H621" s="128" t="str">
        <f t="shared" si="41"/>
        <v/>
      </c>
      <c r="I621" s="124" t="str">
        <f t="shared" si="42"/>
        <v/>
      </c>
      <c r="J621" s="987" t="str">
        <f>IF(A621="","",IFERROR(INDEX('Facturación 2026'!$L$4:$L$500,MATCH($A621,'Facturación 2026'!$A$4:$A$500,0)),""))</f>
        <v/>
      </c>
    </row>
    <row r="622" spans="1:10" ht="15.75" customHeight="1">
      <c r="A622" s="988"/>
      <c r="B622" s="122" t="str">
        <f t="shared" si="39"/>
        <v/>
      </c>
      <c r="C622" s="123"/>
      <c r="D622" s="131" t="str">
        <f t="array" ref="D622">IF(A622="","",SUMPRODUCT(('Detalle Turnos'!$I$3:$I$5028=$A622)*('Detalle Turnos'!$N$3:$N$5028=C622)*'Detalle Turnos'!$L$3:$L$5028))</f>
        <v/>
      </c>
      <c r="E622" s="127" t="str">
        <f t="array" ref="E622">IF(A622="","",SUMPRODUCT(('Detalle Turnos'!$I$3:$I$5028=$A622)*('Detalle Turnos'!$N$3:$N$5028=C622)*'Detalle Turnos'!$K$3:$K$5028))</f>
        <v/>
      </c>
      <c r="F622" s="127">
        <f t="shared" si="40"/>
        <v>0</v>
      </c>
      <c r="G622" s="127" t="str">
        <f t="array" ref="G622">IF(E622="","",IFERROR(SUMPRODUCT(('Facturación 2026'!$A$4:$A$920=$A622)*'Facturación 2026'!$J$4:$J$920)*E622/(SUMPRODUCT(('Caja 1'!$A$4:$A$919=$A622)*'Caja 1'!$E$4:$E$919)+SUMPRODUCT(('Caja 2'!$A$4:$A$920=$A622)*'Caja 2'!$E$4:$E$920)),0))</f>
        <v/>
      </c>
      <c r="H622" s="128" t="str">
        <f t="shared" si="41"/>
        <v/>
      </c>
      <c r="I622" s="124" t="str">
        <f t="shared" si="42"/>
        <v/>
      </c>
      <c r="J622" s="987" t="str">
        <f>IF(A622="","",IFERROR(INDEX('Facturación 2026'!$L$4:$L$500,MATCH($A622,'Facturación 2026'!$A$4:$A$500,0)),""))</f>
        <v/>
      </c>
    </row>
    <row r="623" spans="1:10" ht="15.75" customHeight="1">
      <c r="A623" s="988"/>
      <c r="B623" s="122" t="str">
        <f t="shared" si="39"/>
        <v/>
      </c>
      <c r="C623" s="123"/>
      <c r="D623" s="131" t="str">
        <f t="array" ref="D623">IF(A623="","",SUMPRODUCT(('Detalle Turnos'!$I$3:$I$5028=$A623)*('Detalle Turnos'!$N$3:$N$5028=C623)*'Detalle Turnos'!$L$3:$L$5028))</f>
        <v/>
      </c>
      <c r="E623" s="127" t="str">
        <f t="array" ref="E623">IF(A623="","",SUMPRODUCT(('Detalle Turnos'!$I$3:$I$5028=$A623)*('Detalle Turnos'!$N$3:$N$5028=C623)*'Detalle Turnos'!$K$3:$K$5028))</f>
        <v/>
      </c>
      <c r="F623" s="127">
        <f t="shared" si="40"/>
        <v>0</v>
      </c>
      <c r="G623" s="127" t="str">
        <f t="array" ref="G623">IF(E623="","",IFERROR(SUMPRODUCT(('Facturación 2026'!$A$4:$A$920=$A623)*'Facturación 2026'!$J$4:$J$920)*E623/(SUMPRODUCT(('Caja 1'!$A$4:$A$919=$A623)*'Caja 1'!$E$4:$E$919)+SUMPRODUCT(('Caja 2'!$A$4:$A$920=$A623)*'Caja 2'!$E$4:$E$920)),0))</f>
        <v/>
      </c>
      <c r="H623" s="128" t="str">
        <f t="shared" si="41"/>
        <v/>
      </c>
      <c r="I623" s="124" t="str">
        <f t="shared" si="42"/>
        <v/>
      </c>
      <c r="J623" s="987" t="str">
        <f>IF(A623="","",IFERROR(INDEX('Facturación 2026'!$L$4:$L$500,MATCH($A623,'Facturación 2026'!$A$4:$A$500,0)),""))</f>
        <v/>
      </c>
    </row>
    <row r="624" spans="1:10" ht="15.75" customHeight="1">
      <c r="A624" s="988"/>
      <c r="B624" s="122" t="str">
        <f t="shared" si="39"/>
        <v/>
      </c>
      <c r="C624" s="123"/>
      <c r="D624" s="131" t="str">
        <f t="array" ref="D624">IF(A624="","",SUMPRODUCT(('Detalle Turnos'!$I$3:$I$5028=$A624)*('Detalle Turnos'!$N$3:$N$5028=C624)*'Detalle Turnos'!$L$3:$L$5028))</f>
        <v/>
      </c>
      <c r="E624" s="127" t="str">
        <f t="array" ref="E624">IF(A624="","",SUMPRODUCT(('Detalle Turnos'!$I$3:$I$5028=$A624)*('Detalle Turnos'!$N$3:$N$5028=C624)*'Detalle Turnos'!$K$3:$K$5028))</f>
        <v/>
      </c>
      <c r="F624" s="127">
        <f t="shared" si="40"/>
        <v>0</v>
      </c>
      <c r="G624" s="127" t="str">
        <f t="array" ref="G624">IF(E624="","",IFERROR(SUMPRODUCT(('Facturación 2026'!$A$4:$A$920=$A624)*'Facturación 2026'!$J$4:$J$920)*E624/(SUMPRODUCT(('Caja 1'!$A$4:$A$919=$A624)*'Caja 1'!$E$4:$E$919)+SUMPRODUCT(('Caja 2'!$A$4:$A$920=$A624)*'Caja 2'!$E$4:$E$920)),0))</f>
        <v/>
      </c>
      <c r="H624" s="128" t="str">
        <f t="shared" si="41"/>
        <v/>
      </c>
      <c r="I624" s="124" t="str">
        <f t="shared" si="42"/>
        <v/>
      </c>
      <c r="J624" s="987" t="str">
        <f>IF(A624="","",IFERROR(INDEX('Facturación 2026'!$L$4:$L$500,MATCH($A624,'Facturación 2026'!$A$4:$A$500,0)),""))</f>
        <v/>
      </c>
    </row>
    <row r="625" spans="1:10" ht="15.75" customHeight="1">
      <c r="A625" s="988"/>
      <c r="B625" s="122" t="str">
        <f t="shared" si="39"/>
        <v/>
      </c>
      <c r="C625" s="123"/>
      <c r="D625" s="131" t="str">
        <f t="array" ref="D625">IF(A625="","",SUMPRODUCT(('Detalle Turnos'!$I$3:$I$5028=$A625)*('Detalle Turnos'!$N$3:$N$5028=C625)*'Detalle Turnos'!$L$3:$L$5028))</f>
        <v/>
      </c>
      <c r="E625" s="127" t="str">
        <f t="array" ref="E625">IF(A625="","",SUMPRODUCT(('Detalle Turnos'!$I$3:$I$5028=$A625)*('Detalle Turnos'!$N$3:$N$5028=C625)*'Detalle Turnos'!$K$3:$K$5028))</f>
        <v/>
      </c>
      <c r="F625" s="127">
        <f t="shared" si="40"/>
        <v>0</v>
      </c>
      <c r="G625" s="127" t="str">
        <f t="array" ref="G625">IF(E625="","",IFERROR(SUMPRODUCT(('Facturación 2026'!$A$4:$A$920=$A625)*'Facturación 2026'!$J$4:$J$920)*E625/(SUMPRODUCT(('Caja 1'!$A$4:$A$919=$A625)*'Caja 1'!$E$4:$E$919)+SUMPRODUCT(('Caja 2'!$A$4:$A$920=$A625)*'Caja 2'!$E$4:$E$920)),0))</f>
        <v/>
      </c>
      <c r="H625" s="128" t="str">
        <f t="shared" si="41"/>
        <v/>
      </c>
      <c r="I625" s="124" t="str">
        <f t="shared" si="42"/>
        <v/>
      </c>
      <c r="J625" s="987" t="str">
        <f>IF(A625="","",IFERROR(INDEX('Facturación 2026'!$L$4:$L$500,MATCH($A625,'Facturación 2026'!$A$4:$A$500,0)),""))</f>
        <v/>
      </c>
    </row>
    <row r="626" spans="1:10" ht="15.75" customHeight="1">
      <c r="A626" s="988"/>
      <c r="B626" s="122" t="str">
        <f t="shared" si="39"/>
        <v/>
      </c>
      <c r="C626" s="123"/>
      <c r="D626" s="131" t="str">
        <f t="array" ref="D626">IF(A626="","",SUMPRODUCT(('Detalle Turnos'!$I$3:$I$5028=$A626)*('Detalle Turnos'!$N$3:$N$5028=C626)*'Detalle Turnos'!$L$3:$L$5028))</f>
        <v/>
      </c>
      <c r="E626" s="127" t="str">
        <f t="array" ref="E626">IF(A626="","",SUMPRODUCT(('Detalle Turnos'!$I$3:$I$5028=$A626)*('Detalle Turnos'!$N$3:$N$5028=C626)*'Detalle Turnos'!$K$3:$K$5028))</f>
        <v/>
      </c>
      <c r="F626" s="127">
        <f t="shared" si="40"/>
        <v>0</v>
      </c>
      <c r="G626" s="127" t="str">
        <f t="array" ref="G626">IF(E626="","",IFERROR(SUMPRODUCT(('Facturación 2026'!$A$4:$A$920=$A626)*'Facturación 2026'!$J$4:$J$920)*E626/(SUMPRODUCT(('Caja 1'!$A$4:$A$919=$A626)*'Caja 1'!$E$4:$E$919)+SUMPRODUCT(('Caja 2'!$A$4:$A$920=$A626)*'Caja 2'!$E$4:$E$920)),0))</f>
        <v/>
      </c>
      <c r="H626" s="128" t="str">
        <f t="shared" si="41"/>
        <v/>
      </c>
      <c r="I626" s="124" t="str">
        <f t="shared" si="42"/>
        <v/>
      </c>
      <c r="J626" s="987" t="str">
        <f>IF(A626="","",IFERROR(INDEX('Facturación 2026'!$L$4:$L$500,MATCH($A626,'Facturación 2026'!$A$4:$A$500,0)),""))</f>
        <v/>
      </c>
    </row>
    <row r="627" spans="1:10" ht="15.75" customHeight="1">
      <c r="A627" s="988"/>
      <c r="B627" s="122" t="str">
        <f t="shared" si="39"/>
        <v/>
      </c>
      <c r="C627" s="123"/>
      <c r="D627" s="131" t="str">
        <f t="array" ref="D627">IF(A627="","",SUMPRODUCT(('Detalle Turnos'!$I$3:$I$5028=$A627)*('Detalle Turnos'!$N$3:$N$5028=C627)*'Detalle Turnos'!$L$3:$L$5028))</f>
        <v/>
      </c>
      <c r="E627" s="127" t="str">
        <f t="array" ref="E627">IF(A627="","",SUMPRODUCT(('Detalle Turnos'!$I$3:$I$5028=$A627)*('Detalle Turnos'!$N$3:$N$5028=C627)*'Detalle Turnos'!$K$3:$K$5028))</f>
        <v/>
      </c>
      <c r="F627" s="127">
        <f t="shared" si="40"/>
        <v>0</v>
      </c>
      <c r="G627" s="127" t="str">
        <f t="array" ref="G627">IF(E627="","",IFERROR(SUMPRODUCT(('Facturación 2026'!$A$4:$A$920=$A627)*'Facturación 2026'!$J$4:$J$920)*E627/(SUMPRODUCT(('Caja 1'!$A$4:$A$919=$A627)*'Caja 1'!$E$4:$E$919)+SUMPRODUCT(('Caja 2'!$A$4:$A$920=$A627)*'Caja 2'!$E$4:$E$920)),0))</f>
        <v/>
      </c>
      <c r="H627" s="128" t="str">
        <f t="shared" si="41"/>
        <v/>
      </c>
      <c r="I627" s="124" t="str">
        <f t="shared" si="42"/>
        <v/>
      </c>
      <c r="J627" s="987" t="str">
        <f>IF(A627="","",IFERROR(INDEX('Facturación 2026'!$L$4:$L$500,MATCH($A627,'Facturación 2026'!$A$4:$A$500,0)),""))</f>
        <v/>
      </c>
    </row>
    <row r="628" spans="1:10" ht="15.75" customHeight="1">
      <c r="A628" s="988"/>
      <c r="B628" s="122" t="str">
        <f t="shared" si="39"/>
        <v/>
      </c>
      <c r="C628" s="123"/>
      <c r="D628" s="131" t="str">
        <f t="array" ref="D628">IF(A628="","",SUMPRODUCT(('Detalle Turnos'!$I$3:$I$5028=$A628)*('Detalle Turnos'!$N$3:$N$5028=C628)*'Detalle Turnos'!$L$3:$L$5028))</f>
        <v/>
      </c>
      <c r="E628" s="127" t="str">
        <f t="array" ref="E628">IF(A628="","",SUMPRODUCT(('Detalle Turnos'!$I$3:$I$5028=$A628)*('Detalle Turnos'!$N$3:$N$5028=C628)*'Detalle Turnos'!$K$3:$K$5028))</f>
        <v/>
      </c>
      <c r="F628" s="127">
        <f t="shared" si="40"/>
        <v>0</v>
      </c>
      <c r="G628" s="127" t="str">
        <f t="array" ref="G628">IF(E628="","",IFERROR(SUMPRODUCT(('Facturación 2026'!$A$4:$A$920=$A628)*'Facturación 2026'!$J$4:$J$920)*E628/(SUMPRODUCT(('Caja 1'!$A$4:$A$919=$A628)*'Caja 1'!$E$4:$E$919)+SUMPRODUCT(('Caja 2'!$A$4:$A$920=$A628)*'Caja 2'!$E$4:$E$920)),0))</f>
        <v/>
      </c>
      <c r="H628" s="128" t="str">
        <f t="shared" si="41"/>
        <v/>
      </c>
      <c r="I628" s="124" t="str">
        <f t="shared" si="42"/>
        <v/>
      </c>
      <c r="J628" s="987" t="str">
        <f>IF(A628="","",IFERROR(INDEX('Facturación 2026'!$L$4:$L$500,MATCH($A628,'Facturación 2026'!$A$4:$A$500,0)),""))</f>
        <v/>
      </c>
    </row>
    <row r="629" spans="1:10" ht="15.75" customHeight="1">
      <c r="A629" s="988"/>
      <c r="B629" s="122" t="str">
        <f t="shared" si="39"/>
        <v/>
      </c>
      <c r="C629" s="123"/>
      <c r="D629" s="131" t="str">
        <f t="array" ref="D629">IF(A629="","",SUMPRODUCT(('Detalle Turnos'!$I$3:$I$5028=$A629)*('Detalle Turnos'!$N$3:$N$5028=C629)*'Detalle Turnos'!$L$3:$L$5028))</f>
        <v/>
      </c>
      <c r="E629" s="127" t="str">
        <f t="array" ref="E629">IF(A629="","",SUMPRODUCT(('Detalle Turnos'!$I$3:$I$5028=$A629)*('Detalle Turnos'!$N$3:$N$5028=C629)*'Detalle Turnos'!$K$3:$K$5028))</f>
        <v/>
      </c>
      <c r="F629" s="127">
        <f t="shared" si="40"/>
        <v>0</v>
      </c>
      <c r="G629" s="127" t="str">
        <f t="array" ref="G629">IF(E629="","",IFERROR(SUMPRODUCT(('Facturación 2026'!$A$4:$A$920=$A629)*'Facturación 2026'!$J$4:$J$920)*E629/(SUMPRODUCT(('Caja 1'!$A$4:$A$919=$A629)*'Caja 1'!$E$4:$E$919)+SUMPRODUCT(('Caja 2'!$A$4:$A$920=$A629)*'Caja 2'!$E$4:$E$920)),0))</f>
        <v/>
      </c>
      <c r="H629" s="128" t="str">
        <f t="shared" si="41"/>
        <v/>
      </c>
      <c r="I629" s="124" t="str">
        <f t="shared" si="42"/>
        <v/>
      </c>
      <c r="J629" s="987" t="str">
        <f>IF(A629="","",IFERROR(INDEX('Facturación 2026'!$L$4:$L$500,MATCH($A629,'Facturación 2026'!$A$4:$A$500,0)),""))</f>
        <v/>
      </c>
    </row>
    <row r="630" spans="1:10" ht="15.75" customHeight="1">
      <c r="A630" s="988"/>
      <c r="B630" s="122" t="str">
        <f t="shared" si="39"/>
        <v/>
      </c>
      <c r="C630" s="123"/>
      <c r="D630" s="131" t="str">
        <f t="array" ref="D630">IF(A630="","",SUMPRODUCT(('Detalle Turnos'!$I$3:$I$5028=$A630)*('Detalle Turnos'!$N$3:$N$5028=C630)*'Detalle Turnos'!$L$3:$L$5028))</f>
        <v/>
      </c>
      <c r="E630" s="127" t="str">
        <f t="array" ref="E630">IF(A630="","",SUMPRODUCT(('Detalle Turnos'!$I$3:$I$5028=$A630)*('Detalle Turnos'!$N$3:$N$5028=C630)*'Detalle Turnos'!$K$3:$K$5028))</f>
        <v/>
      </c>
      <c r="F630" s="127">
        <f t="shared" si="40"/>
        <v>0</v>
      </c>
      <c r="G630" s="127" t="str">
        <f t="array" ref="G630">IF(E630="","",IFERROR(SUMPRODUCT(('Facturación 2026'!$A$4:$A$920=$A630)*'Facturación 2026'!$J$4:$J$920)*E630/(SUMPRODUCT(('Caja 1'!$A$4:$A$919=$A630)*'Caja 1'!$E$4:$E$919)+SUMPRODUCT(('Caja 2'!$A$4:$A$920=$A630)*'Caja 2'!$E$4:$E$920)),0))</f>
        <v/>
      </c>
      <c r="H630" s="128" t="str">
        <f t="shared" si="41"/>
        <v/>
      </c>
      <c r="I630" s="124" t="str">
        <f t="shared" si="42"/>
        <v/>
      </c>
      <c r="J630" s="987" t="str">
        <f>IF(A630="","",IFERROR(INDEX('Facturación 2026'!$L$4:$L$500,MATCH($A630,'Facturación 2026'!$A$4:$A$500,0)),""))</f>
        <v/>
      </c>
    </row>
    <row r="631" spans="1:10" ht="15.75" customHeight="1">
      <c r="A631" s="988"/>
      <c r="B631" s="122" t="str">
        <f t="shared" si="39"/>
        <v/>
      </c>
      <c r="C631" s="123"/>
      <c r="D631" s="131" t="str">
        <f t="array" ref="D631">IF(A631="","",SUMPRODUCT(('Detalle Turnos'!$I$3:$I$5028=$A631)*('Detalle Turnos'!$N$3:$N$5028=C631)*'Detalle Turnos'!$L$3:$L$5028))</f>
        <v/>
      </c>
      <c r="E631" s="127" t="str">
        <f t="array" ref="E631">IF(A631="","",SUMPRODUCT(('Detalle Turnos'!$I$3:$I$5028=$A631)*('Detalle Turnos'!$N$3:$N$5028=C631)*'Detalle Turnos'!$K$3:$K$5028))</f>
        <v/>
      </c>
      <c r="F631" s="127">
        <f t="shared" si="40"/>
        <v>0</v>
      </c>
      <c r="G631" s="127" t="str">
        <f t="array" ref="G631">IF(E631="","",IFERROR(SUMPRODUCT(('Facturación 2026'!$A$4:$A$920=$A631)*'Facturación 2026'!$J$4:$J$920)*E631/(SUMPRODUCT(('Caja 1'!$A$4:$A$919=$A631)*'Caja 1'!$E$4:$E$919)+SUMPRODUCT(('Caja 2'!$A$4:$A$920=$A631)*'Caja 2'!$E$4:$E$920)),0))</f>
        <v/>
      </c>
      <c r="H631" s="128" t="str">
        <f t="shared" si="41"/>
        <v/>
      </c>
      <c r="I631" s="124" t="str">
        <f t="shared" si="42"/>
        <v/>
      </c>
      <c r="J631" s="987" t="str">
        <f>IF(A631="","",IFERROR(INDEX('Facturación 2026'!$L$4:$L$500,MATCH($A631,'Facturación 2026'!$A$4:$A$500,0)),""))</f>
        <v/>
      </c>
    </row>
    <row r="632" spans="1:10" ht="15.75" customHeight="1">
      <c r="A632" s="988"/>
      <c r="B632" s="122" t="str">
        <f t="shared" si="39"/>
        <v/>
      </c>
      <c r="C632" s="123"/>
      <c r="D632" s="131" t="str">
        <f t="array" ref="D632">IF(A632="","",SUMPRODUCT(('Detalle Turnos'!$I$3:$I$5028=$A632)*('Detalle Turnos'!$N$3:$N$5028=C632)*'Detalle Turnos'!$L$3:$L$5028))</f>
        <v/>
      </c>
      <c r="E632" s="127" t="str">
        <f t="array" ref="E632">IF(A632="","",SUMPRODUCT(('Detalle Turnos'!$I$3:$I$5028=$A632)*('Detalle Turnos'!$N$3:$N$5028=C632)*'Detalle Turnos'!$K$3:$K$5028))</f>
        <v/>
      </c>
      <c r="F632" s="127">
        <f t="shared" si="40"/>
        <v>0</v>
      </c>
      <c r="G632" s="127" t="str">
        <f t="array" ref="G632">IF(E632="","",IFERROR(SUMPRODUCT(('Facturación 2026'!$A$4:$A$920=$A632)*'Facturación 2026'!$J$4:$J$920)*E632/(SUMPRODUCT(('Caja 1'!$A$4:$A$919=$A632)*'Caja 1'!$E$4:$E$919)+SUMPRODUCT(('Caja 2'!$A$4:$A$920=$A632)*'Caja 2'!$E$4:$E$920)),0))</f>
        <v/>
      </c>
      <c r="H632" s="128" t="str">
        <f t="shared" si="41"/>
        <v/>
      </c>
      <c r="I632" s="124" t="str">
        <f t="shared" si="42"/>
        <v/>
      </c>
      <c r="J632" s="987" t="str">
        <f>IF(A632="","",IFERROR(INDEX('Facturación 2026'!$L$4:$L$500,MATCH($A632,'Facturación 2026'!$A$4:$A$500,0)),""))</f>
        <v/>
      </c>
    </row>
    <row r="633" spans="1:10" ht="15.75" customHeight="1">
      <c r="A633" s="988"/>
      <c r="B633" s="122" t="str">
        <f t="shared" si="39"/>
        <v/>
      </c>
      <c r="C633" s="123"/>
      <c r="D633" s="131" t="str">
        <f t="array" ref="D633">IF(A633="","",SUMPRODUCT(('Detalle Turnos'!$I$3:$I$5028=$A633)*('Detalle Turnos'!$N$3:$N$5028=C633)*'Detalle Turnos'!$L$3:$L$5028))</f>
        <v/>
      </c>
      <c r="E633" s="127" t="str">
        <f t="array" ref="E633">IF(A633="","",SUMPRODUCT(('Detalle Turnos'!$I$3:$I$5028=$A633)*('Detalle Turnos'!$N$3:$N$5028=C633)*'Detalle Turnos'!$K$3:$K$5028))</f>
        <v/>
      </c>
      <c r="F633" s="127">
        <f t="shared" si="40"/>
        <v>0</v>
      </c>
      <c r="G633" s="127" t="str">
        <f t="array" ref="G633">IF(E633="","",IFERROR(SUMPRODUCT(('Facturación 2026'!$A$4:$A$920=$A633)*'Facturación 2026'!$J$4:$J$920)*E633/(SUMPRODUCT(('Caja 1'!$A$4:$A$919=$A633)*'Caja 1'!$E$4:$E$919)+SUMPRODUCT(('Caja 2'!$A$4:$A$920=$A633)*'Caja 2'!$E$4:$E$920)),0))</f>
        <v/>
      </c>
      <c r="H633" s="128" t="str">
        <f t="shared" si="41"/>
        <v/>
      </c>
      <c r="I633" s="124" t="str">
        <f t="shared" si="42"/>
        <v/>
      </c>
      <c r="J633" s="987" t="str">
        <f>IF(A633="","",IFERROR(INDEX('Facturación 2026'!$L$4:$L$500,MATCH($A633,'Facturación 2026'!$A$4:$A$500,0)),""))</f>
        <v/>
      </c>
    </row>
    <row r="634" spans="1:10" ht="15.75" customHeight="1">
      <c r="A634" s="988"/>
      <c r="B634" s="122" t="str">
        <f t="shared" si="39"/>
        <v/>
      </c>
      <c r="C634" s="123"/>
      <c r="D634" s="131" t="str">
        <f t="array" ref="D634">IF(A634="","",SUMPRODUCT(('Detalle Turnos'!$I$3:$I$5028=$A634)*('Detalle Turnos'!$N$3:$N$5028=C634)*'Detalle Turnos'!$L$3:$L$5028))</f>
        <v/>
      </c>
      <c r="E634" s="127" t="str">
        <f t="array" ref="E634">IF(A634="","",SUMPRODUCT(('Detalle Turnos'!$I$3:$I$5028=$A634)*('Detalle Turnos'!$N$3:$N$5028=C634)*'Detalle Turnos'!$K$3:$K$5028))</f>
        <v/>
      </c>
      <c r="F634" s="127">
        <f t="shared" si="40"/>
        <v>0</v>
      </c>
      <c r="G634" s="127" t="str">
        <f t="array" ref="G634">IF(E634="","",IFERROR(SUMPRODUCT(('Facturación 2026'!$A$4:$A$920=$A634)*'Facturación 2026'!$J$4:$J$920)*E634/(SUMPRODUCT(('Caja 1'!$A$4:$A$919=$A634)*'Caja 1'!$E$4:$E$919)+SUMPRODUCT(('Caja 2'!$A$4:$A$920=$A634)*'Caja 2'!$E$4:$E$920)),0))</f>
        <v/>
      </c>
      <c r="H634" s="128" t="str">
        <f t="shared" si="41"/>
        <v/>
      </c>
      <c r="I634" s="124" t="str">
        <f t="shared" si="42"/>
        <v/>
      </c>
      <c r="J634" s="987" t="str">
        <f>IF(A634="","",IFERROR(INDEX('Facturación 2026'!$L$4:$L$500,MATCH($A634,'Facturación 2026'!$A$4:$A$500,0)),""))</f>
        <v/>
      </c>
    </row>
    <row r="635" spans="1:10" ht="15.75" customHeight="1">
      <c r="A635" s="988"/>
      <c r="B635" s="122" t="str">
        <f t="shared" si="39"/>
        <v/>
      </c>
      <c r="C635" s="123"/>
      <c r="D635" s="131" t="str">
        <f t="array" ref="D635">IF(A635="","",SUMPRODUCT(('Detalle Turnos'!$I$3:$I$5028=$A635)*('Detalle Turnos'!$N$3:$N$5028=C635)*'Detalle Turnos'!$L$3:$L$5028))</f>
        <v/>
      </c>
      <c r="E635" s="127" t="str">
        <f t="array" ref="E635">IF(A635="","",SUMPRODUCT(('Detalle Turnos'!$I$3:$I$5028=$A635)*('Detalle Turnos'!$N$3:$N$5028=C635)*'Detalle Turnos'!$K$3:$K$5028))</f>
        <v/>
      </c>
      <c r="F635" s="127">
        <f t="shared" si="40"/>
        <v>0</v>
      </c>
      <c r="G635" s="127" t="str">
        <f t="array" ref="G635">IF(E635="","",IFERROR(SUMPRODUCT(('Facturación 2026'!$A$4:$A$920=$A635)*'Facturación 2026'!$J$4:$J$920)*E635/(SUMPRODUCT(('Caja 1'!$A$4:$A$919=$A635)*'Caja 1'!$E$4:$E$919)+SUMPRODUCT(('Caja 2'!$A$4:$A$920=$A635)*'Caja 2'!$E$4:$E$920)),0))</f>
        <v/>
      </c>
      <c r="H635" s="128" t="str">
        <f t="shared" si="41"/>
        <v/>
      </c>
      <c r="I635" s="124" t="str">
        <f t="shared" si="42"/>
        <v/>
      </c>
      <c r="J635" s="987" t="str">
        <f>IF(A635="","",IFERROR(INDEX('Facturación 2026'!$L$4:$L$500,MATCH($A635,'Facturación 2026'!$A$4:$A$500,0)),""))</f>
        <v/>
      </c>
    </row>
    <row r="636" spans="1:10" ht="15.75" customHeight="1">
      <c r="A636" s="988"/>
      <c r="B636" s="122" t="str">
        <f t="shared" si="39"/>
        <v/>
      </c>
      <c r="C636" s="123"/>
      <c r="D636" s="131" t="str">
        <f t="array" ref="D636">IF(A636="","",SUMPRODUCT(('Detalle Turnos'!$I$3:$I$5028=$A636)*('Detalle Turnos'!$N$3:$N$5028=C636)*'Detalle Turnos'!$L$3:$L$5028))</f>
        <v/>
      </c>
      <c r="E636" s="127" t="str">
        <f t="array" ref="E636">IF(A636="","",SUMPRODUCT(('Detalle Turnos'!$I$3:$I$5028=$A636)*('Detalle Turnos'!$N$3:$N$5028=C636)*'Detalle Turnos'!$K$3:$K$5028))</f>
        <v/>
      </c>
      <c r="F636" s="127">
        <f t="shared" si="40"/>
        <v>0</v>
      </c>
      <c r="G636" s="127" t="str">
        <f t="array" ref="G636">IF(E636="","",IFERROR(SUMPRODUCT(('Facturación 2026'!$A$4:$A$920=$A636)*'Facturación 2026'!$J$4:$J$920)*E636/(SUMPRODUCT(('Caja 1'!$A$4:$A$919=$A636)*'Caja 1'!$E$4:$E$919)+SUMPRODUCT(('Caja 2'!$A$4:$A$920=$A636)*'Caja 2'!$E$4:$E$920)),0))</f>
        <v/>
      </c>
      <c r="H636" s="128" t="str">
        <f t="shared" si="41"/>
        <v/>
      </c>
      <c r="I636" s="124" t="str">
        <f t="shared" si="42"/>
        <v/>
      </c>
      <c r="J636" s="987" t="str">
        <f>IF(A636="","",IFERROR(INDEX('Facturación 2026'!$L$4:$L$500,MATCH($A636,'Facturación 2026'!$A$4:$A$500,0)),""))</f>
        <v/>
      </c>
    </row>
    <row r="637" spans="1:10" ht="15.75" customHeight="1">
      <c r="A637" s="988"/>
      <c r="B637" s="122" t="str">
        <f t="shared" si="39"/>
        <v/>
      </c>
      <c r="C637" s="123"/>
      <c r="D637" s="131" t="str">
        <f t="array" ref="D637">IF(A637="","",SUMPRODUCT(('Detalle Turnos'!$I$3:$I$5028=$A637)*('Detalle Turnos'!$N$3:$N$5028=C637)*'Detalle Turnos'!$L$3:$L$5028))</f>
        <v/>
      </c>
      <c r="E637" s="127" t="str">
        <f t="array" ref="E637">IF(A637="","",SUMPRODUCT(('Detalle Turnos'!$I$3:$I$5028=$A637)*('Detalle Turnos'!$N$3:$N$5028=C637)*'Detalle Turnos'!$K$3:$K$5028))</f>
        <v/>
      </c>
      <c r="F637" s="127">
        <f t="shared" si="40"/>
        <v>0</v>
      </c>
      <c r="G637" s="127" t="str">
        <f t="array" ref="G637">IF(E637="","",IFERROR(SUMPRODUCT(('Facturación 2026'!$A$4:$A$920=$A637)*'Facturación 2026'!$J$4:$J$920)*E637/(SUMPRODUCT(('Caja 1'!$A$4:$A$919=$A637)*'Caja 1'!$E$4:$E$919)+SUMPRODUCT(('Caja 2'!$A$4:$A$920=$A637)*'Caja 2'!$E$4:$E$920)),0))</f>
        <v/>
      </c>
      <c r="H637" s="128" t="str">
        <f t="shared" si="41"/>
        <v/>
      </c>
      <c r="I637" s="124" t="str">
        <f t="shared" si="42"/>
        <v/>
      </c>
      <c r="J637" s="987" t="str">
        <f>IF(A637="","",IFERROR(INDEX('Facturación 2026'!$L$4:$L$500,MATCH($A637,'Facturación 2026'!$A$4:$A$500,0)),""))</f>
        <v/>
      </c>
    </row>
    <row r="638" spans="1:10" ht="15.75" customHeight="1">
      <c r="A638" s="988"/>
      <c r="B638" s="122" t="str">
        <f t="shared" si="39"/>
        <v/>
      </c>
      <c r="C638" s="123"/>
      <c r="D638" s="131" t="str">
        <f t="array" ref="D638">IF(A638="","",SUMPRODUCT(('Detalle Turnos'!$I$3:$I$5028=$A638)*('Detalle Turnos'!$N$3:$N$5028=C638)*'Detalle Turnos'!$L$3:$L$5028))</f>
        <v/>
      </c>
      <c r="E638" s="127" t="str">
        <f t="array" ref="E638">IF(A638="","",SUMPRODUCT(('Detalle Turnos'!$I$3:$I$5028=$A638)*('Detalle Turnos'!$N$3:$N$5028=C638)*'Detalle Turnos'!$K$3:$K$5028))</f>
        <v/>
      </c>
      <c r="F638" s="127">
        <f t="shared" si="40"/>
        <v>0</v>
      </c>
      <c r="G638" s="127" t="str">
        <f t="array" ref="G638">IF(E638="","",IFERROR(SUMPRODUCT(('Facturación 2026'!$A$4:$A$920=$A638)*'Facturación 2026'!$J$4:$J$920)*E638/(SUMPRODUCT(('Caja 1'!$A$4:$A$919=$A638)*'Caja 1'!$E$4:$E$919)+SUMPRODUCT(('Caja 2'!$A$4:$A$920=$A638)*'Caja 2'!$E$4:$E$920)),0))</f>
        <v/>
      </c>
      <c r="H638" s="128" t="str">
        <f t="shared" si="41"/>
        <v/>
      </c>
      <c r="I638" s="124" t="str">
        <f t="shared" si="42"/>
        <v/>
      </c>
      <c r="J638" s="987" t="str">
        <f>IF(A638="","",IFERROR(INDEX('Facturación 2026'!$L$4:$L$500,MATCH($A638,'Facturación 2026'!$A$4:$A$500,0)),""))</f>
        <v/>
      </c>
    </row>
    <row r="639" spans="1:10" ht="15.75" customHeight="1">
      <c r="A639" s="988"/>
      <c r="B639" s="122" t="str">
        <f t="shared" si="39"/>
        <v/>
      </c>
      <c r="C639" s="123"/>
      <c r="D639" s="131" t="str">
        <f t="array" ref="D639">IF(A639="","",SUMPRODUCT(('Detalle Turnos'!$I$3:$I$5028=$A639)*('Detalle Turnos'!$N$3:$N$5028=C639)*'Detalle Turnos'!$L$3:$L$5028))</f>
        <v/>
      </c>
      <c r="E639" s="127" t="str">
        <f t="array" ref="E639">IF(A639="","",SUMPRODUCT(('Detalle Turnos'!$I$3:$I$5028=$A639)*('Detalle Turnos'!$N$3:$N$5028=C639)*'Detalle Turnos'!$K$3:$K$5028))</f>
        <v/>
      </c>
      <c r="F639" s="127">
        <f t="shared" si="40"/>
        <v>0</v>
      </c>
      <c r="G639" s="127" t="str">
        <f t="array" ref="G639">IF(E639="","",IFERROR(SUMPRODUCT(('Facturación 2026'!$A$4:$A$920=$A639)*'Facturación 2026'!$J$4:$J$920)*E639/(SUMPRODUCT(('Caja 1'!$A$4:$A$919=$A639)*'Caja 1'!$E$4:$E$919)+SUMPRODUCT(('Caja 2'!$A$4:$A$920=$A639)*'Caja 2'!$E$4:$E$920)),0))</f>
        <v/>
      </c>
      <c r="H639" s="128" t="str">
        <f t="shared" si="41"/>
        <v/>
      </c>
      <c r="I639" s="124" t="str">
        <f t="shared" si="42"/>
        <v/>
      </c>
      <c r="J639" s="987" t="str">
        <f>IF(A639="","",IFERROR(INDEX('Facturación 2026'!$L$4:$L$500,MATCH($A639,'Facturación 2026'!$A$4:$A$500,0)),""))</f>
        <v/>
      </c>
    </row>
    <row r="640" spans="1:10" ht="15.75" customHeight="1">
      <c r="A640" s="988"/>
      <c r="B640" s="122" t="str">
        <f t="shared" si="39"/>
        <v/>
      </c>
      <c r="C640" s="123"/>
      <c r="D640" s="131" t="str">
        <f t="array" ref="D640">IF(A640="","",SUMPRODUCT(('Detalle Turnos'!$I$3:$I$5028=$A640)*('Detalle Turnos'!$N$3:$N$5028=C640)*'Detalle Turnos'!$L$3:$L$5028))</f>
        <v/>
      </c>
      <c r="E640" s="127" t="str">
        <f t="array" ref="E640">IF(A640="","",SUMPRODUCT(('Detalle Turnos'!$I$3:$I$5028=$A640)*('Detalle Turnos'!$N$3:$N$5028=C640)*'Detalle Turnos'!$K$3:$K$5028))</f>
        <v/>
      </c>
      <c r="F640" s="127">
        <f t="shared" si="40"/>
        <v>0</v>
      </c>
      <c r="G640" s="127" t="str">
        <f t="array" ref="G640">IF(E640="","",IFERROR(SUMPRODUCT(('Facturación 2026'!$A$4:$A$920=$A640)*'Facturación 2026'!$J$4:$J$920)*E640/(SUMPRODUCT(('Caja 1'!$A$4:$A$919=$A640)*'Caja 1'!$E$4:$E$919)+SUMPRODUCT(('Caja 2'!$A$4:$A$920=$A640)*'Caja 2'!$E$4:$E$920)),0))</f>
        <v/>
      </c>
      <c r="H640" s="128" t="str">
        <f t="shared" si="41"/>
        <v/>
      </c>
      <c r="I640" s="124" t="str">
        <f t="shared" si="42"/>
        <v/>
      </c>
      <c r="J640" s="987" t="str">
        <f>IF(A640="","",IFERROR(INDEX('Facturación 2026'!$L$4:$L$500,MATCH($A640,'Facturación 2026'!$A$4:$A$500,0)),""))</f>
        <v/>
      </c>
    </row>
    <row r="641" spans="1:10" ht="15.75" customHeight="1">
      <c r="A641" s="988"/>
      <c r="B641" s="122" t="str">
        <f t="shared" si="39"/>
        <v/>
      </c>
      <c r="C641" s="123"/>
      <c r="D641" s="131" t="str">
        <f t="array" ref="D641">IF(A641="","",SUMPRODUCT(('Detalle Turnos'!$I$3:$I$5028=$A641)*('Detalle Turnos'!$N$3:$N$5028=C641)*'Detalle Turnos'!$L$3:$L$5028))</f>
        <v/>
      </c>
      <c r="E641" s="127" t="str">
        <f t="array" ref="E641">IF(A641="","",SUMPRODUCT(('Detalle Turnos'!$I$3:$I$5028=$A641)*('Detalle Turnos'!$N$3:$N$5028=C641)*'Detalle Turnos'!$K$3:$K$5028))</f>
        <v/>
      </c>
      <c r="F641" s="127">
        <f t="shared" si="40"/>
        <v>0</v>
      </c>
      <c r="G641" s="127" t="str">
        <f t="array" ref="G641">IF(E641="","",IFERROR(SUMPRODUCT(('Facturación 2026'!$A$4:$A$920=$A641)*'Facturación 2026'!$J$4:$J$920)*E641/(SUMPRODUCT(('Caja 1'!$A$4:$A$919=$A641)*'Caja 1'!$E$4:$E$919)+SUMPRODUCT(('Caja 2'!$A$4:$A$920=$A641)*'Caja 2'!$E$4:$E$920)),0))</f>
        <v/>
      </c>
      <c r="H641" s="128" t="str">
        <f t="shared" si="41"/>
        <v/>
      </c>
      <c r="I641" s="124" t="str">
        <f t="shared" si="42"/>
        <v/>
      </c>
      <c r="J641" s="987" t="str">
        <f>IF(A641="","",IFERROR(INDEX('Facturación 2026'!$L$4:$L$500,MATCH($A641,'Facturación 2026'!$A$4:$A$500,0)),""))</f>
        <v/>
      </c>
    </row>
    <row r="642" spans="1:10" ht="15.75" customHeight="1">
      <c r="A642" s="988"/>
      <c r="B642" s="122" t="str">
        <f t="shared" si="39"/>
        <v/>
      </c>
      <c r="C642" s="123"/>
      <c r="D642" s="131" t="str">
        <f t="array" ref="D642">IF(A642="","",SUMPRODUCT(('Detalle Turnos'!$I$3:$I$5028=$A642)*('Detalle Turnos'!$N$3:$N$5028=C642)*'Detalle Turnos'!$L$3:$L$5028))</f>
        <v/>
      </c>
      <c r="E642" s="127" t="str">
        <f t="array" ref="E642">IF(A642="","",SUMPRODUCT(('Detalle Turnos'!$I$3:$I$5028=$A642)*('Detalle Turnos'!$N$3:$N$5028=C642)*'Detalle Turnos'!$K$3:$K$5028))</f>
        <v/>
      </c>
      <c r="F642" s="127">
        <f t="shared" si="40"/>
        <v>0</v>
      </c>
      <c r="G642" s="127" t="str">
        <f t="array" ref="G642">IF(E642="","",IFERROR(SUMPRODUCT(('Facturación 2026'!$A$4:$A$920=$A642)*'Facturación 2026'!$J$4:$J$920)*E642/(SUMPRODUCT(('Caja 1'!$A$4:$A$919=$A642)*'Caja 1'!$E$4:$E$919)+SUMPRODUCT(('Caja 2'!$A$4:$A$920=$A642)*'Caja 2'!$E$4:$E$920)),0))</f>
        <v/>
      </c>
      <c r="H642" s="128" t="str">
        <f t="shared" si="41"/>
        <v/>
      </c>
      <c r="I642" s="124" t="str">
        <f t="shared" si="42"/>
        <v/>
      </c>
      <c r="J642" s="987" t="str">
        <f>IF(A642="","",IFERROR(INDEX('Facturación 2026'!$L$4:$L$500,MATCH($A642,'Facturación 2026'!$A$4:$A$500,0)),""))</f>
        <v/>
      </c>
    </row>
    <row r="643" spans="1:10" ht="15.75" customHeight="1">
      <c r="A643" s="988"/>
      <c r="B643" s="122" t="str">
        <f t="shared" ref="B643:B706" si="43">IF(A643="","",CHOOSE(WEEKDAY(A643,2),"Lun","Mar","Mié","Jue","Vie","Sáb","Dom"))</f>
        <v/>
      </c>
      <c r="C643" s="123"/>
      <c r="D643" s="131" t="str">
        <f t="array" ref="D643">IF(A643="","",SUMPRODUCT(('Detalle Turnos'!$I$3:$I$5028=$A643)*('Detalle Turnos'!$N$3:$N$5028=C643)*'Detalle Turnos'!$L$3:$L$5028))</f>
        <v/>
      </c>
      <c r="E643" s="127" t="str">
        <f t="array" ref="E643">IF(A643="","",SUMPRODUCT(('Detalle Turnos'!$I$3:$I$5028=$A643)*('Detalle Turnos'!$N$3:$N$5028=C643)*'Detalle Turnos'!$K$3:$K$5028))</f>
        <v/>
      </c>
      <c r="F643" s="127">
        <f t="shared" ref="F643:F706" si="44">IFERROR(E643/D643,0)</f>
        <v>0</v>
      </c>
      <c r="G643" s="127" t="str">
        <f t="array" ref="G643">IF(E643="","",IFERROR(SUMPRODUCT(('Facturación 2026'!$A$4:$A$920=$A643)*'Facturación 2026'!$J$4:$J$920)*E643/(SUMPRODUCT(('Caja 1'!$A$4:$A$919=$A643)*'Caja 1'!$E$4:$E$919)+SUMPRODUCT(('Caja 2'!$A$4:$A$920=$A643)*'Caja 2'!$E$4:$E$920)),0))</f>
        <v/>
      </c>
      <c r="H643" s="128" t="str">
        <f t="shared" ref="H643:H706" si="45">IF(E643="","",E643-G643)</f>
        <v/>
      </c>
      <c r="I643" s="124" t="str">
        <f t="shared" ref="I643:I706" si="46">IF(E643="","",IFERROR(G643/E643,0))</f>
        <v/>
      </c>
      <c r="J643" s="987" t="str">
        <f>IF(A643="","",IFERROR(INDEX('Facturación 2026'!$L$4:$L$500,MATCH($A643,'Facturación 2026'!$A$4:$A$500,0)),""))</f>
        <v/>
      </c>
    </row>
    <row r="644" spans="1:10" ht="15.75" customHeight="1">
      <c r="A644" s="988"/>
      <c r="B644" s="122" t="str">
        <f t="shared" si="43"/>
        <v/>
      </c>
      <c r="C644" s="123"/>
      <c r="D644" s="131" t="str">
        <f t="array" ref="D644">IF(A644="","",SUMPRODUCT(('Detalle Turnos'!$I$3:$I$5028=$A644)*('Detalle Turnos'!$N$3:$N$5028=C644)*'Detalle Turnos'!$L$3:$L$5028))</f>
        <v/>
      </c>
      <c r="E644" s="127" t="str">
        <f t="array" ref="E644">IF(A644="","",SUMPRODUCT(('Detalle Turnos'!$I$3:$I$5028=$A644)*('Detalle Turnos'!$N$3:$N$5028=C644)*'Detalle Turnos'!$K$3:$K$5028))</f>
        <v/>
      </c>
      <c r="F644" s="127">
        <f t="shared" si="44"/>
        <v>0</v>
      </c>
      <c r="G644" s="127" t="str">
        <f t="array" ref="G644">IF(E644="","",IFERROR(SUMPRODUCT(('Facturación 2026'!$A$4:$A$920=$A644)*'Facturación 2026'!$J$4:$J$920)*E644/(SUMPRODUCT(('Caja 1'!$A$4:$A$919=$A644)*'Caja 1'!$E$4:$E$919)+SUMPRODUCT(('Caja 2'!$A$4:$A$920=$A644)*'Caja 2'!$E$4:$E$920)),0))</f>
        <v/>
      </c>
      <c r="H644" s="128" t="str">
        <f t="shared" si="45"/>
        <v/>
      </c>
      <c r="I644" s="124" t="str">
        <f t="shared" si="46"/>
        <v/>
      </c>
      <c r="J644" s="987" t="str">
        <f>IF(A644="","",IFERROR(INDEX('Facturación 2026'!$L$4:$L$500,MATCH($A644,'Facturación 2026'!$A$4:$A$500,0)),""))</f>
        <v/>
      </c>
    </row>
    <row r="645" spans="1:10" ht="15.75" customHeight="1">
      <c r="A645" s="988"/>
      <c r="B645" s="122" t="str">
        <f t="shared" si="43"/>
        <v/>
      </c>
      <c r="C645" s="123"/>
      <c r="D645" s="131" t="str">
        <f t="array" ref="D645">IF(A645="","",SUMPRODUCT(('Detalle Turnos'!$I$3:$I$5028=$A645)*('Detalle Turnos'!$N$3:$N$5028=C645)*'Detalle Turnos'!$L$3:$L$5028))</f>
        <v/>
      </c>
      <c r="E645" s="127" t="str">
        <f t="array" ref="E645">IF(A645="","",SUMPRODUCT(('Detalle Turnos'!$I$3:$I$5028=$A645)*('Detalle Turnos'!$N$3:$N$5028=C645)*'Detalle Turnos'!$K$3:$K$5028))</f>
        <v/>
      </c>
      <c r="F645" s="127">
        <f t="shared" si="44"/>
        <v>0</v>
      </c>
      <c r="G645" s="127" t="str">
        <f t="array" ref="G645">IF(E645="","",IFERROR(SUMPRODUCT(('Facturación 2026'!$A$4:$A$920=$A645)*'Facturación 2026'!$J$4:$J$920)*E645/(SUMPRODUCT(('Caja 1'!$A$4:$A$919=$A645)*'Caja 1'!$E$4:$E$919)+SUMPRODUCT(('Caja 2'!$A$4:$A$920=$A645)*'Caja 2'!$E$4:$E$920)),0))</f>
        <v/>
      </c>
      <c r="H645" s="128" t="str">
        <f t="shared" si="45"/>
        <v/>
      </c>
      <c r="I645" s="124" t="str">
        <f t="shared" si="46"/>
        <v/>
      </c>
      <c r="J645" s="987" t="str">
        <f>IF(A645="","",IFERROR(INDEX('Facturación 2026'!$L$4:$L$500,MATCH($A645,'Facturación 2026'!$A$4:$A$500,0)),""))</f>
        <v/>
      </c>
    </row>
    <row r="646" spans="1:10" ht="15.75" customHeight="1">
      <c r="A646" s="988"/>
      <c r="B646" s="122" t="str">
        <f t="shared" si="43"/>
        <v/>
      </c>
      <c r="C646" s="123"/>
      <c r="D646" s="131" t="str">
        <f t="array" ref="D646">IF(A646="","",SUMPRODUCT(('Detalle Turnos'!$I$3:$I$5028=$A646)*('Detalle Turnos'!$N$3:$N$5028=C646)*'Detalle Turnos'!$L$3:$L$5028))</f>
        <v/>
      </c>
      <c r="E646" s="127" t="str">
        <f t="array" ref="E646">IF(A646="","",SUMPRODUCT(('Detalle Turnos'!$I$3:$I$5028=$A646)*('Detalle Turnos'!$N$3:$N$5028=C646)*'Detalle Turnos'!$K$3:$K$5028))</f>
        <v/>
      </c>
      <c r="F646" s="127">
        <f t="shared" si="44"/>
        <v>0</v>
      </c>
      <c r="G646" s="127" t="str">
        <f t="array" ref="G646">IF(E646="","",IFERROR(SUMPRODUCT(('Facturación 2026'!$A$4:$A$920=$A646)*'Facturación 2026'!$J$4:$J$920)*E646/(SUMPRODUCT(('Caja 1'!$A$4:$A$919=$A646)*'Caja 1'!$E$4:$E$919)+SUMPRODUCT(('Caja 2'!$A$4:$A$920=$A646)*'Caja 2'!$E$4:$E$920)),0))</f>
        <v/>
      </c>
      <c r="H646" s="128" t="str">
        <f t="shared" si="45"/>
        <v/>
      </c>
      <c r="I646" s="124" t="str">
        <f t="shared" si="46"/>
        <v/>
      </c>
      <c r="J646" s="987" t="str">
        <f>IF(A646="","",IFERROR(INDEX('Facturación 2026'!$L$4:$L$500,MATCH($A646,'Facturación 2026'!$A$4:$A$500,0)),""))</f>
        <v/>
      </c>
    </row>
    <row r="647" spans="1:10" ht="15.75" customHeight="1">
      <c r="A647" s="988"/>
      <c r="B647" s="122" t="str">
        <f t="shared" si="43"/>
        <v/>
      </c>
      <c r="C647" s="123"/>
      <c r="D647" s="131" t="str">
        <f t="array" ref="D647">IF(A647="","",SUMPRODUCT(('Detalle Turnos'!$I$3:$I$5028=$A647)*('Detalle Turnos'!$N$3:$N$5028=C647)*'Detalle Turnos'!$L$3:$L$5028))</f>
        <v/>
      </c>
      <c r="E647" s="127" t="str">
        <f t="array" ref="E647">IF(A647="","",SUMPRODUCT(('Detalle Turnos'!$I$3:$I$5028=$A647)*('Detalle Turnos'!$N$3:$N$5028=C647)*'Detalle Turnos'!$K$3:$K$5028))</f>
        <v/>
      </c>
      <c r="F647" s="127">
        <f t="shared" si="44"/>
        <v>0</v>
      </c>
      <c r="G647" s="127" t="str">
        <f t="array" ref="G647">IF(E647="","",IFERROR(SUMPRODUCT(('Facturación 2026'!$A$4:$A$920=$A647)*'Facturación 2026'!$J$4:$J$920)*E647/(SUMPRODUCT(('Caja 1'!$A$4:$A$919=$A647)*'Caja 1'!$E$4:$E$919)+SUMPRODUCT(('Caja 2'!$A$4:$A$920=$A647)*'Caja 2'!$E$4:$E$920)),0))</f>
        <v/>
      </c>
      <c r="H647" s="128" t="str">
        <f t="shared" si="45"/>
        <v/>
      </c>
      <c r="I647" s="124" t="str">
        <f t="shared" si="46"/>
        <v/>
      </c>
      <c r="J647" s="987" t="str">
        <f>IF(A647="","",IFERROR(INDEX('Facturación 2026'!$L$4:$L$500,MATCH($A647,'Facturación 2026'!$A$4:$A$500,0)),""))</f>
        <v/>
      </c>
    </row>
    <row r="648" spans="1:10" ht="15.75" customHeight="1">
      <c r="A648" s="988"/>
      <c r="B648" s="122" t="str">
        <f t="shared" si="43"/>
        <v/>
      </c>
      <c r="C648" s="123"/>
      <c r="D648" s="131" t="str">
        <f t="array" ref="D648">IF(A648="","",SUMPRODUCT(('Detalle Turnos'!$I$3:$I$5028=$A648)*('Detalle Turnos'!$N$3:$N$5028=C648)*'Detalle Turnos'!$L$3:$L$5028))</f>
        <v/>
      </c>
      <c r="E648" s="127" t="str">
        <f t="array" ref="E648">IF(A648="","",SUMPRODUCT(('Detalle Turnos'!$I$3:$I$5028=$A648)*('Detalle Turnos'!$N$3:$N$5028=C648)*'Detalle Turnos'!$K$3:$K$5028))</f>
        <v/>
      </c>
      <c r="F648" s="127">
        <f t="shared" si="44"/>
        <v>0</v>
      </c>
      <c r="G648" s="127" t="str">
        <f t="array" ref="G648">IF(E648="","",IFERROR(SUMPRODUCT(('Facturación 2026'!$A$4:$A$920=$A648)*'Facturación 2026'!$J$4:$J$920)*E648/(SUMPRODUCT(('Caja 1'!$A$4:$A$919=$A648)*'Caja 1'!$E$4:$E$919)+SUMPRODUCT(('Caja 2'!$A$4:$A$920=$A648)*'Caja 2'!$E$4:$E$920)),0))</f>
        <v/>
      </c>
      <c r="H648" s="128" t="str">
        <f t="shared" si="45"/>
        <v/>
      </c>
      <c r="I648" s="124" t="str">
        <f t="shared" si="46"/>
        <v/>
      </c>
      <c r="J648" s="987" t="str">
        <f>IF(A648="","",IFERROR(INDEX('Facturación 2026'!$L$4:$L$500,MATCH($A648,'Facturación 2026'!$A$4:$A$500,0)),""))</f>
        <v/>
      </c>
    </row>
    <row r="649" spans="1:10" ht="15.75" customHeight="1">
      <c r="A649" s="988"/>
      <c r="B649" s="122" t="str">
        <f t="shared" si="43"/>
        <v/>
      </c>
      <c r="C649" s="123"/>
      <c r="D649" s="131" t="str">
        <f t="array" ref="D649">IF(A649="","",SUMPRODUCT(('Detalle Turnos'!$I$3:$I$5028=$A649)*('Detalle Turnos'!$N$3:$N$5028=C649)*'Detalle Turnos'!$L$3:$L$5028))</f>
        <v/>
      </c>
      <c r="E649" s="127" t="str">
        <f t="array" ref="E649">IF(A649="","",SUMPRODUCT(('Detalle Turnos'!$I$3:$I$5028=$A649)*('Detalle Turnos'!$N$3:$N$5028=C649)*'Detalle Turnos'!$K$3:$K$5028))</f>
        <v/>
      </c>
      <c r="F649" s="127">
        <f t="shared" si="44"/>
        <v>0</v>
      </c>
      <c r="G649" s="127" t="str">
        <f t="array" ref="G649">IF(E649="","",IFERROR(SUMPRODUCT(('Facturación 2026'!$A$4:$A$920=$A649)*'Facturación 2026'!$J$4:$J$920)*E649/(SUMPRODUCT(('Caja 1'!$A$4:$A$919=$A649)*'Caja 1'!$E$4:$E$919)+SUMPRODUCT(('Caja 2'!$A$4:$A$920=$A649)*'Caja 2'!$E$4:$E$920)),0))</f>
        <v/>
      </c>
      <c r="H649" s="128" t="str">
        <f t="shared" si="45"/>
        <v/>
      </c>
      <c r="I649" s="124" t="str">
        <f t="shared" si="46"/>
        <v/>
      </c>
      <c r="J649" s="987" t="str">
        <f>IF(A649="","",IFERROR(INDEX('Facturación 2026'!$L$4:$L$500,MATCH($A649,'Facturación 2026'!$A$4:$A$500,0)),""))</f>
        <v/>
      </c>
    </row>
    <row r="650" spans="1:10" ht="15.75" customHeight="1">
      <c r="A650" s="988"/>
      <c r="B650" s="122" t="str">
        <f t="shared" si="43"/>
        <v/>
      </c>
      <c r="C650" s="123"/>
      <c r="D650" s="131" t="str">
        <f t="array" ref="D650">IF(A650="","",SUMPRODUCT(('Detalle Turnos'!$I$3:$I$5028=$A650)*('Detalle Turnos'!$N$3:$N$5028=C650)*'Detalle Turnos'!$L$3:$L$5028))</f>
        <v/>
      </c>
      <c r="E650" s="127" t="str">
        <f t="array" ref="E650">IF(A650="","",SUMPRODUCT(('Detalle Turnos'!$I$3:$I$5028=$A650)*('Detalle Turnos'!$N$3:$N$5028=C650)*'Detalle Turnos'!$K$3:$K$5028))</f>
        <v/>
      </c>
      <c r="F650" s="127">
        <f t="shared" si="44"/>
        <v>0</v>
      </c>
      <c r="G650" s="127" t="str">
        <f t="array" ref="G650">IF(E650="","",IFERROR(SUMPRODUCT(('Facturación 2026'!$A$4:$A$920=$A650)*'Facturación 2026'!$J$4:$J$920)*E650/(SUMPRODUCT(('Caja 1'!$A$4:$A$919=$A650)*'Caja 1'!$E$4:$E$919)+SUMPRODUCT(('Caja 2'!$A$4:$A$920=$A650)*'Caja 2'!$E$4:$E$920)),0))</f>
        <v/>
      </c>
      <c r="H650" s="128" t="str">
        <f t="shared" si="45"/>
        <v/>
      </c>
      <c r="I650" s="124" t="str">
        <f t="shared" si="46"/>
        <v/>
      </c>
      <c r="J650" s="987" t="str">
        <f>IF(A650="","",IFERROR(INDEX('Facturación 2026'!$L$4:$L$500,MATCH($A650,'Facturación 2026'!$A$4:$A$500,0)),""))</f>
        <v/>
      </c>
    </row>
    <row r="651" spans="1:10" ht="15.75" customHeight="1">
      <c r="A651" s="988"/>
      <c r="B651" s="122" t="str">
        <f t="shared" si="43"/>
        <v/>
      </c>
      <c r="C651" s="123"/>
      <c r="D651" s="131" t="str">
        <f t="array" ref="D651">IF(A651="","",SUMPRODUCT(('Detalle Turnos'!$I$3:$I$5028=$A651)*('Detalle Turnos'!$N$3:$N$5028=C651)*'Detalle Turnos'!$L$3:$L$5028))</f>
        <v/>
      </c>
      <c r="E651" s="127" t="str">
        <f t="array" ref="E651">IF(A651="","",SUMPRODUCT(('Detalle Turnos'!$I$3:$I$5028=$A651)*('Detalle Turnos'!$N$3:$N$5028=C651)*'Detalle Turnos'!$K$3:$K$5028))</f>
        <v/>
      </c>
      <c r="F651" s="127">
        <f t="shared" si="44"/>
        <v>0</v>
      </c>
      <c r="G651" s="127" t="str">
        <f t="array" ref="G651">IF(E651="","",IFERROR(SUMPRODUCT(('Facturación 2026'!$A$4:$A$920=$A651)*'Facturación 2026'!$J$4:$J$920)*E651/(SUMPRODUCT(('Caja 1'!$A$4:$A$919=$A651)*'Caja 1'!$E$4:$E$919)+SUMPRODUCT(('Caja 2'!$A$4:$A$920=$A651)*'Caja 2'!$E$4:$E$920)),0))</f>
        <v/>
      </c>
      <c r="H651" s="128" t="str">
        <f t="shared" si="45"/>
        <v/>
      </c>
      <c r="I651" s="124" t="str">
        <f t="shared" si="46"/>
        <v/>
      </c>
      <c r="J651" s="987" t="str">
        <f>IF(A651="","",IFERROR(INDEX('Facturación 2026'!$L$4:$L$500,MATCH($A651,'Facturación 2026'!$A$4:$A$500,0)),""))</f>
        <v/>
      </c>
    </row>
    <row r="652" spans="1:10" ht="15.75" customHeight="1">
      <c r="A652" s="988"/>
      <c r="B652" s="122" t="str">
        <f t="shared" si="43"/>
        <v/>
      </c>
      <c r="C652" s="123"/>
      <c r="D652" s="131" t="str">
        <f t="array" ref="D652">IF(A652="","",SUMPRODUCT(('Detalle Turnos'!$I$3:$I$5028=$A652)*('Detalle Turnos'!$N$3:$N$5028=C652)*'Detalle Turnos'!$L$3:$L$5028))</f>
        <v/>
      </c>
      <c r="E652" s="127" t="str">
        <f t="array" ref="E652">IF(A652="","",SUMPRODUCT(('Detalle Turnos'!$I$3:$I$5028=$A652)*('Detalle Turnos'!$N$3:$N$5028=C652)*'Detalle Turnos'!$K$3:$K$5028))</f>
        <v/>
      </c>
      <c r="F652" s="127">
        <f t="shared" si="44"/>
        <v>0</v>
      </c>
      <c r="G652" s="127" t="str">
        <f t="array" ref="G652">IF(E652="","",IFERROR(SUMPRODUCT(('Facturación 2026'!$A$4:$A$920=$A652)*'Facturación 2026'!$J$4:$J$920)*E652/(SUMPRODUCT(('Caja 1'!$A$4:$A$919=$A652)*'Caja 1'!$E$4:$E$919)+SUMPRODUCT(('Caja 2'!$A$4:$A$920=$A652)*'Caja 2'!$E$4:$E$920)),0))</f>
        <v/>
      </c>
      <c r="H652" s="128" t="str">
        <f t="shared" si="45"/>
        <v/>
      </c>
      <c r="I652" s="124" t="str">
        <f t="shared" si="46"/>
        <v/>
      </c>
      <c r="J652" s="987" t="str">
        <f>IF(A652="","",IFERROR(INDEX('Facturación 2026'!$L$4:$L$500,MATCH($A652,'Facturación 2026'!$A$4:$A$500,0)),""))</f>
        <v/>
      </c>
    </row>
    <row r="653" spans="1:10" ht="15.75" customHeight="1">
      <c r="A653" s="988"/>
      <c r="B653" s="122" t="str">
        <f t="shared" si="43"/>
        <v/>
      </c>
      <c r="C653" s="123"/>
      <c r="D653" s="131" t="str">
        <f t="array" ref="D653">IF(A653="","",SUMPRODUCT(('Detalle Turnos'!$I$3:$I$5028=$A653)*('Detalle Turnos'!$N$3:$N$5028=C653)*'Detalle Turnos'!$L$3:$L$5028))</f>
        <v/>
      </c>
      <c r="E653" s="127" t="str">
        <f t="array" ref="E653">IF(A653="","",SUMPRODUCT(('Detalle Turnos'!$I$3:$I$5028=$A653)*('Detalle Turnos'!$N$3:$N$5028=C653)*'Detalle Turnos'!$K$3:$K$5028))</f>
        <v/>
      </c>
      <c r="F653" s="127">
        <f t="shared" si="44"/>
        <v>0</v>
      </c>
      <c r="G653" s="127" t="str">
        <f t="array" ref="G653">IF(E653="","",IFERROR(SUMPRODUCT(('Facturación 2026'!$A$4:$A$920=$A653)*'Facturación 2026'!$J$4:$J$920)*E653/(SUMPRODUCT(('Caja 1'!$A$4:$A$919=$A653)*'Caja 1'!$E$4:$E$919)+SUMPRODUCT(('Caja 2'!$A$4:$A$920=$A653)*'Caja 2'!$E$4:$E$920)),0))</f>
        <v/>
      </c>
      <c r="H653" s="128" t="str">
        <f t="shared" si="45"/>
        <v/>
      </c>
      <c r="I653" s="124" t="str">
        <f t="shared" si="46"/>
        <v/>
      </c>
      <c r="J653" s="987" t="str">
        <f>IF(A653="","",IFERROR(INDEX('Facturación 2026'!$L$4:$L$500,MATCH($A653,'Facturación 2026'!$A$4:$A$500,0)),""))</f>
        <v/>
      </c>
    </row>
    <row r="654" spans="1:10" ht="15.75" customHeight="1">
      <c r="A654" s="988"/>
      <c r="B654" s="122" t="str">
        <f t="shared" si="43"/>
        <v/>
      </c>
      <c r="C654" s="123"/>
      <c r="D654" s="131" t="str">
        <f t="array" ref="D654">IF(A654="","",SUMPRODUCT(('Detalle Turnos'!$I$3:$I$5028=$A654)*('Detalle Turnos'!$N$3:$N$5028=C654)*'Detalle Turnos'!$L$3:$L$5028))</f>
        <v/>
      </c>
      <c r="E654" s="127" t="str">
        <f t="array" ref="E654">IF(A654="","",SUMPRODUCT(('Detalle Turnos'!$I$3:$I$5028=$A654)*('Detalle Turnos'!$N$3:$N$5028=C654)*'Detalle Turnos'!$K$3:$K$5028))</f>
        <v/>
      </c>
      <c r="F654" s="127">
        <f t="shared" si="44"/>
        <v>0</v>
      </c>
      <c r="G654" s="127" t="str">
        <f t="array" ref="G654">IF(E654="","",IFERROR(SUMPRODUCT(('Facturación 2026'!$A$4:$A$920=$A654)*'Facturación 2026'!$J$4:$J$920)*E654/(SUMPRODUCT(('Caja 1'!$A$4:$A$919=$A654)*'Caja 1'!$E$4:$E$919)+SUMPRODUCT(('Caja 2'!$A$4:$A$920=$A654)*'Caja 2'!$E$4:$E$920)),0))</f>
        <v/>
      </c>
      <c r="H654" s="128" t="str">
        <f t="shared" si="45"/>
        <v/>
      </c>
      <c r="I654" s="124" t="str">
        <f t="shared" si="46"/>
        <v/>
      </c>
      <c r="J654" s="987" t="str">
        <f>IF(A654="","",IFERROR(INDEX('Facturación 2026'!$L$4:$L$500,MATCH($A654,'Facturación 2026'!$A$4:$A$500,0)),""))</f>
        <v/>
      </c>
    </row>
    <row r="655" spans="1:10" ht="15.75" customHeight="1">
      <c r="A655" s="988"/>
      <c r="B655" s="122" t="str">
        <f t="shared" si="43"/>
        <v/>
      </c>
      <c r="C655" s="123"/>
      <c r="D655" s="131" t="str">
        <f t="array" ref="D655">IF(A655="","",SUMPRODUCT(('Detalle Turnos'!$I$3:$I$5028=$A655)*('Detalle Turnos'!$N$3:$N$5028=C655)*'Detalle Turnos'!$L$3:$L$5028))</f>
        <v/>
      </c>
      <c r="E655" s="127" t="str">
        <f t="array" ref="E655">IF(A655="","",SUMPRODUCT(('Detalle Turnos'!$I$3:$I$5028=$A655)*('Detalle Turnos'!$N$3:$N$5028=C655)*'Detalle Turnos'!$K$3:$K$5028))</f>
        <v/>
      </c>
      <c r="F655" s="127">
        <f t="shared" si="44"/>
        <v>0</v>
      </c>
      <c r="G655" s="127" t="str">
        <f t="array" ref="G655">IF(E655="","",IFERROR(SUMPRODUCT(('Facturación 2026'!$A$4:$A$920=$A655)*'Facturación 2026'!$J$4:$J$920)*E655/(SUMPRODUCT(('Caja 1'!$A$4:$A$919=$A655)*'Caja 1'!$E$4:$E$919)+SUMPRODUCT(('Caja 2'!$A$4:$A$920=$A655)*'Caja 2'!$E$4:$E$920)),0))</f>
        <v/>
      </c>
      <c r="H655" s="128" t="str">
        <f t="shared" si="45"/>
        <v/>
      </c>
      <c r="I655" s="124" t="str">
        <f t="shared" si="46"/>
        <v/>
      </c>
      <c r="J655" s="987" t="str">
        <f>IF(A655="","",IFERROR(INDEX('Facturación 2026'!$L$4:$L$500,MATCH($A655,'Facturación 2026'!$A$4:$A$500,0)),""))</f>
        <v/>
      </c>
    </row>
    <row r="656" spans="1:10" ht="15.75" customHeight="1">
      <c r="A656" s="988"/>
      <c r="B656" s="122" t="str">
        <f t="shared" si="43"/>
        <v/>
      </c>
      <c r="C656" s="123"/>
      <c r="D656" s="131" t="str">
        <f t="array" ref="D656">IF(A656="","",SUMPRODUCT(('Detalle Turnos'!$I$3:$I$5028=$A656)*('Detalle Turnos'!$N$3:$N$5028=C656)*'Detalle Turnos'!$L$3:$L$5028))</f>
        <v/>
      </c>
      <c r="E656" s="127" t="str">
        <f t="array" ref="E656">IF(A656="","",SUMPRODUCT(('Detalle Turnos'!$I$3:$I$5028=$A656)*('Detalle Turnos'!$N$3:$N$5028=C656)*'Detalle Turnos'!$K$3:$K$5028))</f>
        <v/>
      </c>
      <c r="F656" s="127">
        <f t="shared" si="44"/>
        <v>0</v>
      </c>
      <c r="G656" s="127" t="str">
        <f t="array" ref="G656">IF(E656="","",IFERROR(SUMPRODUCT(('Facturación 2026'!$A$4:$A$920=$A656)*'Facturación 2026'!$J$4:$J$920)*E656/(SUMPRODUCT(('Caja 1'!$A$4:$A$919=$A656)*'Caja 1'!$E$4:$E$919)+SUMPRODUCT(('Caja 2'!$A$4:$A$920=$A656)*'Caja 2'!$E$4:$E$920)),0))</f>
        <v/>
      </c>
      <c r="H656" s="128" t="str">
        <f t="shared" si="45"/>
        <v/>
      </c>
      <c r="I656" s="124" t="str">
        <f t="shared" si="46"/>
        <v/>
      </c>
      <c r="J656" s="987" t="str">
        <f>IF(A656="","",IFERROR(INDEX('Facturación 2026'!$L$4:$L$500,MATCH($A656,'Facturación 2026'!$A$4:$A$500,0)),""))</f>
        <v/>
      </c>
    </row>
    <row r="657" spans="1:10" ht="15.75" customHeight="1">
      <c r="A657" s="988"/>
      <c r="B657" s="122" t="str">
        <f t="shared" si="43"/>
        <v/>
      </c>
      <c r="C657" s="123"/>
      <c r="D657" s="131" t="str">
        <f t="array" ref="D657">IF(A657="","",SUMPRODUCT(('Detalle Turnos'!$I$3:$I$5028=$A657)*('Detalle Turnos'!$N$3:$N$5028=C657)*'Detalle Turnos'!$L$3:$L$5028))</f>
        <v/>
      </c>
      <c r="E657" s="127" t="str">
        <f t="array" ref="E657">IF(A657="","",SUMPRODUCT(('Detalle Turnos'!$I$3:$I$5028=$A657)*('Detalle Turnos'!$N$3:$N$5028=C657)*'Detalle Turnos'!$K$3:$K$5028))</f>
        <v/>
      </c>
      <c r="F657" s="127">
        <f t="shared" si="44"/>
        <v>0</v>
      </c>
      <c r="G657" s="127" t="str">
        <f t="array" ref="G657">IF(E657="","",IFERROR(SUMPRODUCT(('Facturación 2026'!$A$4:$A$920=$A657)*'Facturación 2026'!$J$4:$J$920)*E657/(SUMPRODUCT(('Caja 1'!$A$4:$A$919=$A657)*'Caja 1'!$E$4:$E$919)+SUMPRODUCT(('Caja 2'!$A$4:$A$920=$A657)*'Caja 2'!$E$4:$E$920)),0))</f>
        <v/>
      </c>
      <c r="H657" s="128" t="str">
        <f t="shared" si="45"/>
        <v/>
      </c>
      <c r="I657" s="124" t="str">
        <f t="shared" si="46"/>
        <v/>
      </c>
      <c r="J657" s="987" t="str">
        <f>IF(A657="","",IFERROR(INDEX('Facturación 2026'!$L$4:$L$500,MATCH($A657,'Facturación 2026'!$A$4:$A$500,0)),""))</f>
        <v/>
      </c>
    </row>
    <row r="658" spans="1:10" ht="15.75" customHeight="1">
      <c r="A658" s="988"/>
      <c r="B658" s="122" t="str">
        <f t="shared" si="43"/>
        <v/>
      </c>
      <c r="C658" s="123"/>
      <c r="D658" s="131" t="str">
        <f t="array" ref="D658">IF(A658="","",SUMPRODUCT(('Detalle Turnos'!$I$3:$I$5028=$A658)*('Detalle Turnos'!$N$3:$N$5028=C658)*'Detalle Turnos'!$L$3:$L$5028))</f>
        <v/>
      </c>
      <c r="E658" s="127" t="str">
        <f t="array" ref="E658">IF(A658="","",SUMPRODUCT(('Detalle Turnos'!$I$3:$I$5028=$A658)*('Detalle Turnos'!$N$3:$N$5028=C658)*'Detalle Turnos'!$K$3:$K$5028))</f>
        <v/>
      </c>
      <c r="F658" s="127">
        <f t="shared" si="44"/>
        <v>0</v>
      </c>
      <c r="G658" s="127" t="str">
        <f t="array" ref="G658">IF(E658="","",IFERROR(SUMPRODUCT(('Facturación 2026'!$A$4:$A$920=$A658)*'Facturación 2026'!$J$4:$J$920)*E658/(SUMPRODUCT(('Caja 1'!$A$4:$A$919=$A658)*'Caja 1'!$E$4:$E$919)+SUMPRODUCT(('Caja 2'!$A$4:$A$920=$A658)*'Caja 2'!$E$4:$E$920)),0))</f>
        <v/>
      </c>
      <c r="H658" s="128" t="str">
        <f t="shared" si="45"/>
        <v/>
      </c>
      <c r="I658" s="124" t="str">
        <f t="shared" si="46"/>
        <v/>
      </c>
      <c r="J658" s="987" t="str">
        <f>IF(A658="","",IFERROR(INDEX('Facturación 2026'!$L$4:$L$500,MATCH($A658,'Facturación 2026'!$A$4:$A$500,0)),""))</f>
        <v/>
      </c>
    </row>
    <row r="659" spans="1:10" ht="15.75" customHeight="1">
      <c r="A659" s="988"/>
      <c r="B659" s="122" t="str">
        <f t="shared" si="43"/>
        <v/>
      </c>
      <c r="C659" s="123"/>
      <c r="D659" s="131" t="str">
        <f t="array" ref="D659">IF(A659="","",SUMPRODUCT(('Detalle Turnos'!$I$3:$I$5028=$A659)*('Detalle Turnos'!$N$3:$N$5028=C659)*'Detalle Turnos'!$L$3:$L$5028))</f>
        <v/>
      </c>
      <c r="E659" s="127" t="str">
        <f t="array" ref="E659">IF(A659="","",SUMPRODUCT(('Detalle Turnos'!$I$3:$I$5028=$A659)*('Detalle Turnos'!$N$3:$N$5028=C659)*'Detalle Turnos'!$K$3:$K$5028))</f>
        <v/>
      </c>
      <c r="F659" s="127">
        <f t="shared" si="44"/>
        <v>0</v>
      </c>
      <c r="G659" s="127" t="str">
        <f t="array" ref="G659">IF(E659="","",IFERROR(SUMPRODUCT(('Facturación 2026'!$A$4:$A$920=$A659)*'Facturación 2026'!$J$4:$J$920)*E659/(SUMPRODUCT(('Caja 1'!$A$4:$A$919=$A659)*'Caja 1'!$E$4:$E$919)+SUMPRODUCT(('Caja 2'!$A$4:$A$920=$A659)*'Caja 2'!$E$4:$E$920)),0))</f>
        <v/>
      </c>
      <c r="H659" s="128" t="str">
        <f t="shared" si="45"/>
        <v/>
      </c>
      <c r="I659" s="124" t="str">
        <f t="shared" si="46"/>
        <v/>
      </c>
      <c r="J659" s="987" t="str">
        <f>IF(A659="","",IFERROR(INDEX('Facturación 2026'!$L$4:$L$500,MATCH($A659,'Facturación 2026'!$A$4:$A$500,0)),""))</f>
        <v/>
      </c>
    </row>
    <row r="660" spans="1:10" ht="15.75" customHeight="1">
      <c r="A660" s="988"/>
      <c r="B660" s="122" t="str">
        <f t="shared" si="43"/>
        <v/>
      </c>
      <c r="C660" s="123"/>
      <c r="D660" s="131" t="str">
        <f t="array" ref="D660">IF(A660="","",SUMPRODUCT(('Detalle Turnos'!$I$3:$I$5028=$A660)*('Detalle Turnos'!$N$3:$N$5028=C660)*'Detalle Turnos'!$L$3:$L$5028))</f>
        <v/>
      </c>
      <c r="E660" s="127" t="str">
        <f t="array" ref="E660">IF(A660="","",SUMPRODUCT(('Detalle Turnos'!$I$3:$I$5028=$A660)*('Detalle Turnos'!$N$3:$N$5028=C660)*'Detalle Turnos'!$K$3:$K$5028))</f>
        <v/>
      </c>
      <c r="F660" s="127">
        <f t="shared" si="44"/>
        <v>0</v>
      </c>
      <c r="G660" s="127" t="str">
        <f t="array" ref="G660">IF(E660="","",IFERROR(SUMPRODUCT(('Facturación 2026'!$A$4:$A$920=$A660)*'Facturación 2026'!$J$4:$J$920)*E660/(SUMPRODUCT(('Caja 1'!$A$4:$A$919=$A660)*'Caja 1'!$E$4:$E$919)+SUMPRODUCT(('Caja 2'!$A$4:$A$920=$A660)*'Caja 2'!$E$4:$E$920)),0))</f>
        <v/>
      </c>
      <c r="H660" s="128" t="str">
        <f t="shared" si="45"/>
        <v/>
      </c>
      <c r="I660" s="124" t="str">
        <f t="shared" si="46"/>
        <v/>
      </c>
      <c r="J660" s="987" t="str">
        <f>IF(A660="","",IFERROR(INDEX('Facturación 2026'!$L$4:$L$500,MATCH($A660,'Facturación 2026'!$A$4:$A$500,0)),""))</f>
        <v/>
      </c>
    </row>
    <row r="661" spans="1:10" ht="15.75" customHeight="1">
      <c r="A661" s="988"/>
      <c r="B661" s="122" t="str">
        <f t="shared" si="43"/>
        <v/>
      </c>
      <c r="C661" s="123"/>
      <c r="D661" s="131" t="str">
        <f t="array" ref="D661">IF(A661="","",SUMPRODUCT(('Detalle Turnos'!$I$3:$I$5028=$A661)*('Detalle Turnos'!$N$3:$N$5028=C661)*'Detalle Turnos'!$L$3:$L$5028))</f>
        <v/>
      </c>
      <c r="E661" s="127" t="str">
        <f t="array" ref="E661">IF(A661="","",SUMPRODUCT(('Detalle Turnos'!$I$3:$I$5028=$A661)*('Detalle Turnos'!$N$3:$N$5028=C661)*'Detalle Turnos'!$K$3:$K$5028))</f>
        <v/>
      </c>
      <c r="F661" s="127">
        <f t="shared" si="44"/>
        <v>0</v>
      </c>
      <c r="G661" s="127" t="str">
        <f t="array" ref="G661">IF(E661="","",IFERROR(SUMPRODUCT(('Facturación 2026'!$A$4:$A$920=$A661)*'Facturación 2026'!$J$4:$J$920)*E661/(SUMPRODUCT(('Caja 1'!$A$4:$A$919=$A661)*'Caja 1'!$E$4:$E$919)+SUMPRODUCT(('Caja 2'!$A$4:$A$920=$A661)*'Caja 2'!$E$4:$E$920)),0))</f>
        <v/>
      </c>
      <c r="H661" s="128" t="str">
        <f t="shared" si="45"/>
        <v/>
      </c>
      <c r="I661" s="124" t="str">
        <f t="shared" si="46"/>
        <v/>
      </c>
      <c r="J661" s="987" t="str">
        <f>IF(A661="","",IFERROR(INDEX('Facturación 2026'!$L$4:$L$500,MATCH($A661,'Facturación 2026'!$A$4:$A$500,0)),""))</f>
        <v/>
      </c>
    </row>
    <row r="662" spans="1:10" ht="15.75" customHeight="1">
      <c r="A662" s="988"/>
      <c r="B662" s="122" t="str">
        <f t="shared" si="43"/>
        <v/>
      </c>
      <c r="C662" s="123"/>
      <c r="D662" s="131" t="str">
        <f t="array" ref="D662">IF(A662="","",SUMPRODUCT(('Detalle Turnos'!$I$3:$I$5028=$A662)*('Detalle Turnos'!$N$3:$N$5028=C662)*'Detalle Turnos'!$L$3:$L$5028))</f>
        <v/>
      </c>
      <c r="E662" s="127" t="str">
        <f t="array" ref="E662">IF(A662="","",SUMPRODUCT(('Detalle Turnos'!$I$3:$I$5028=$A662)*('Detalle Turnos'!$N$3:$N$5028=C662)*'Detalle Turnos'!$K$3:$K$5028))</f>
        <v/>
      </c>
      <c r="F662" s="127">
        <f t="shared" si="44"/>
        <v>0</v>
      </c>
      <c r="G662" s="127" t="str">
        <f t="array" ref="G662">IF(E662="","",IFERROR(SUMPRODUCT(('Facturación 2026'!$A$4:$A$920=$A662)*'Facturación 2026'!$J$4:$J$920)*E662/(SUMPRODUCT(('Caja 1'!$A$4:$A$919=$A662)*'Caja 1'!$E$4:$E$919)+SUMPRODUCT(('Caja 2'!$A$4:$A$920=$A662)*'Caja 2'!$E$4:$E$920)),0))</f>
        <v/>
      </c>
      <c r="H662" s="128" t="str">
        <f t="shared" si="45"/>
        <v/>
      </c>
      <c r="I662" s="124" t="str">
        <f t="shared" si="46"/>
        <v/>
      </c>
      <c r="J662" s="987" t="str">
        <f>IF(A662="","",IFERROR(INDEX('Facturación 2026'!$L$4:$L$500,MATCH($A662,'Facturación 2026'!$A$4:$A$500,0)),""))</f>
        <v/>
      </c>
    </row>
    <row r="663" spans="1:10" ht="15.75" customHeight="1">
      <c r="A663" s="988"/>
      <c r="B663" s="122" t="str">
        <f t="shared" si="43"/>
        <v/>
      </c>
      <c r="C663" s="123"/>
      <c r="D663" s="131" t="str">
        <f t="array" ref="D663">IF(A663="","",SUMPRODUCT(('Detalle Turnos'!$I$3:$I$5028=$A663)*('Detalle Turnos'!$N$3:$N$5028=C663)*'Detalle Turnos'!$L$3:$L$5028))</f>
        <v/>
      </c>
      <c r="E663" s="127" t="str">
        <f t="array" ref="E663">IF(A663="","",SUMPRODUCT(('Detalle Turnos'!$I$3:$I$5028=$A663)*('Detalle Turnos'!$N$3:$N$5028=C663)*'Detalle Turnos'!$K$3:$K$5028))</f>
        <v/>
      </c>
      <c r="F663" s="127">
        <f t="shared" si="44"/>
        <v>0</v>
      </c>
      <c r="G663" s="127" t="str">
        <f t="array" ref="G663">IF(E663="","",IFERROR(SUMPRODUCT(('Facturación 2026'!$A$4:$A$920=$A663)*'Facturación 2026'!$J$4:$J$920)*E663/(SUMPRODUCT(('Caja 1'!$A$4:$A$919=$A663)*'Caja 1'!$E$4:$E$919)+SUMPRODUCT(('Caja 2'!$A$4:$A$920=$A663)*'Caja 2'!$E$4:$E$920)),0))</f>
        <v/>
      </c>
      <c r="H663" s="128" t="str">
        <f t="shared" si="45"/>
        <v/>
      </c>
      <c r="I663" s="124" t="str">
        <f t="shared" si="46"/>
        <v/>
      </c>
      <c r="J663" s="987" t="str">
        <f>IF(A663="","",IFERROR(INDEX('Facturación 2026'!$L$4:$L$500,MATCH($A663,'Facturación 2026'!$A$4:$A$500,0)),""))</f>
        <v/>
      </c>
    </row>
    <row r="664" spans="1:10" ht="15.75" customHeight="1">
      <c r="A664" s="988"/>
      <c r="B664" s="122" t="str">
        <f t="shared" si="43"/>
        <v/>
      </c>
      <c r="C664" s="123"/>
      <c r="D664" s="131" t="str">
        <f t="array" ref="D664">IF(A664="","",SUMPRODUCT(('Detalle Turnos'!$I$3:$I$5028=$A664)*('Detalle Turnos'!$N$3:$N$5028=C664)*'Detalle Turnos'!$L$3:$L$5028))</f>
        <v/>
      </c>
      <c r="E664" s="127" t="str">
        <f t="array" ref="E664">IF(A664="","",SUMPRODUCT(('Detalle Turnos'!$I$3:$I$5028=$A664)*('Detalle Turnos'!$N$3:$N$5028=C664)*'Detalle Turnos'!$K$3:$K$5028))</f>
        <v/>
      </c>
      <c r="F664" s="127">
        <f t="shared" si="44"/>
        <v>0</v>
      </c>
      <c r="G664" s="127" t="str">
        <f t="array" ref="G664">IF(E664="","",IFERROR(SUMPRODUCT(('Facturación 2026'!$A$4:$A$920=$A664)*'Facturación 2026'!$J$4:$J$920)*E664/(SUMPRODUCT(('Caja 1'!$A$4:$A$919=$A664)*'Caja 1'!$E$4:$E$919)+SUMPRODUCT(('Caja 2'!$A$4:$A$920=$A664)*'Caja 2'!$E$4:$E$920)),0))</f>
        <v/>
      </c>
      <c r="H664" s="128" t="str">
        <f t="shared" si="45"/>
        <v/>
      </c>
      <c r="I664" s="124" t="str">
        <f t="shared" si="46"/>
        <v/>
      </c>
      <c r="J664" s="987" t="str">
        <f>IF(A664="","",IFERROR(INDEX('Facturación 2026'!$L$4:$L$500,MATCH($A664,'Facturación 2026'!$A$4:$A$500,0)),""))</f>
        <v/>
      </c>
    </row>
    <row r="665" spans="1:10" ht="15.75" customHeight="1">
      <c r="A665" s="988"/>
      <c r="B665" s="122" t="str">
        <f t="shared" si="43"/>
        <v/>
      </c>
      <c r="C665" s="123"/>
      <c r="D665" s="131" t="str">
        <f t="array" ref="D665">IF(A665="","",SUMPRODUCT(('Detalle Turnos'!$I$3:$I$5028=$A665)*('Detalle Turnos'!$N$3:$N$5028=C665)*'Detalle Turnos'!$L$3:$L$5028))</f>
        <v/>
      </c>
      <c r="E665" s="127" t="str">
        <f t="array" ref="E665">IF(A665="","",SUMPRODUCT(('Detalle Turnos'!$I$3:$I$5028=$A665)*('Detalle Turnos'!$N$3:$N$5028=C665)*'Detalle Turnos'!$K$3:$K$5028))</f>
        <v/>
      </c>
      <c r="F665" s="127">
        <f t="shared" si="44"/>
        <v>0</v>
      </c>
      <c r="G665" s="127" t="str">
        <f t="array" ref="G665">IF(E665="","",IFERROR(SUMPRODUCT(('Facturación 2026'!$A$4:$A$920=$A665)*'Facturación 2026'!$J$4:$J$920)*E665/(SUMPRODUCT(('Caja 1'!$A$4:$A$919=$A665)*'Caja 1'!$E$4:$E$919)+SUMPRODUCT(('Caja 2'!$A$4:$A$920=$A665)*'Caja 2'!$E$4:$E$920)),0))</f>
        <v/>
      </c>
      <c r="H665" s="128" t="str">
        <f t="shared" si="45"/>
        <v/>
      </c>
      <c r="I665" s="124" t="str">
        <f t="shared" si="46"/>
        <v/>
      </c>
      <c r="J665" s="987" t="str">
        <f>IF(A665="","",IFERROR(INDEX('Facturación 2026'!$L$4:$L$500,MATCH($A665,'Facturación 2026'!$A$4:$A$500,0)),""))</f>
        <v/>
      </c>
    </row>
    <row r="666" spans="1:10" ht="15.75" customHeight="1">
      <c r="A666" s="988"/>
      <c r="B666" s="122" t="str">
        <f t="shared" si="43"/>
        <v/>
      </c>
      <c r="C666" s="123"/>
      <c r="D666" s="131" t="str">
        <f t="array" ref="D666">IF(A666="","",SUMPRODUCT(('Detalle Turnos'!$I$3:$I$5028=$A666)*('Detalle Turnos'!$N$3:$N$5028=C666)*'Detalle Turnos'!$L$3:$L$5028))</f>
        <v/>
      </c>
      <c r="E666" s="127" t="str">
        <f t="array" ref="E666">IF(A666="","",SUMPRODUCT(('Detalle Turnos'!$I$3:$I$5028=$A666)*('Detalle Turnos'!$N$3:$N$5028=C666)*'Detalle Turnos'!$K$3:$K$5028))</f>
        <v/>
      </c>
      <c r="F666" s="127">
        <f t="shared" si="44"/>
        <v>0</v>
      </c>
      <c r="G666" s="127" t="str">
        <f t="array" ref="G666">IF(E666="","",IFERROR(SUMPRODUCT(('Facturación 2026'!$A$4:$A$920=$A666)*'Facturación 2026'!$J$4:$J$920)*E666/(SUMPRODUCT(('Caja 1'!$A$4:$A$919=$A666)*'Caja 1'!$E$4:$E$919)+SUMPRODUCT(('Caja 2'!$A$4:$A$920=$A666)*'Caja 2'!$E$4:$E$920)),0))</f>
        <v/>
      </c>
      <c r="H666" s="128" t="str">
        <f t="shared" si="45"/>
        <v/>
      </c>
      <c r="I666" s="124" t="str">
        <f t="shared" si="46"/>
        <v/>
      </c>
      <c r="J666" s="987" t="str">
        <f>IF(A666="","",IFERROR(INDEX('Facturación 2026'!$L$4:$L$500,MATCH($A666,'Facturación 2026'!$A$4:$A$500,0)),""))</f>
        <v/>
      </c>
    </row>
    <row r="667" spans="1:10" ht="15.75" customHeight="1">
      <c r="A667" s="988"/>
      <c r="B667" s="122" t="str">
        <f t="shared" si="43"/>
        <v/>
      </c>
      <c r="C667" s="123"/>
      <c r="D667" s="131" t="str">
        <f t="array" ref="D667">IF(A667="","",SUMPRODUCT(('Detalle Turnos'!$I$3:$I$5028=$A667)*('Detalle Turnos'!$N$3:$N$5028=C667)*'Detalle Turnos'!$L$3:$L$5028))</f>
        <v/>
      </c>
      <c r="E667" s="127" t="str">
        <f t="array" ref="E667">IF(A667="","",SUMPRODUCT(('Detalle Turnos'!$I$3:$I$5028=$A667)*('Detalle Turnos'!$N$3:$N$5028=C667)*'Detalle Turnos'!$K$3:$K$5028))</f>
        <v/>
      </c>
      <c r="F667" s="127">
        <f t="shared" si="44"/>
        <v>0</v>
      </c>
      <c r="G667" s="127" t="str">
        <f t="array" ref="G667">IF(E667="","",IFERROR(SUMPRODUCT(('Facturación 2026'!$A$4:$A$920=$A667)*'Facturación 2026'!$J$4:$J$920)*E667/(SUMPRODUCT(('Caja 1'!$A$4:$A$919=$A667)*'Caja 1'!$E$4:$E$919)+SUMPRODUCT(('Caja 2'!$A$4:$A$920=$A667)*'Caja 2'!$E$4:$E$920)),0))</f>
        <v/>
      </c>
      <c r="H667" s="128" t="str">
        <f t="shared" si="45"/>
        <v/>
      </c>
      <c r="I667" s="124" t="str">
        <f t="shared" si="46"/>
        <v/>
      </c>
      <c r="J667" s="987" t="str">
        <f>IF(A667="","",IFERROR(INDEX('Facturación 2026'!$L$4:$L$500,MATCH($A667,'Facturación 2026'!$A$4:$A$500,0)),""))</f>
        <v/>
      </c>
    </row>
    <row r="668" spans="1:10" ht="15.75" customHeight="1">
      <c r="A668" s="988"/>
      <c r="B668" s="122" t="str">
        <f t="shared" si="43"/>
        <v/>
      </c>
      <c r="C668" s="123"/>
      <c r="D668" s="131" t="str">
        <f t="array" ref="D668">IF(A668="","",SUMPRODUCT(('Detalle Turnos'!$I$3:$I$5028=$A668)*('Detalle Turnos'!$N$3:$N$5028=C668)*'Detalle Turnos'!$L$3:$L$5028))</f>
        <v/>
      </c>
      <c r="E668" s="127" t="str">
        <f t="array" ref="E668">IF(A668="","",SUMPRODUCT(('Detalle Turnos'!$I$3:$I$5028=$A668)*('Detalle Turnos'!$N$3:$N$5028=C668)*'Detalle Turnos'!$K$3:$K$5028))</f>
        <v/>
      </c>
      <c r="F668" s="127">
        <f t="shared" si="44"/>
        <v>0</v>
      </c>
      <c r="G668" s="127" t="str">
        <f t="array" ref="G668">IF(E668="","",IFERROR(SUMPRODUCT(('Facturación 2026'!$A$4:$A$920=$A668)*'Facturación 2026'!$J$4:$J$920)*E668/(SUMPRODUCT(('Caja 1'!$A$4:$A$919=$A668)*'Caja 1'!$E$4:$E$919)+SUMPRODUCT(('Caja 2'!$A$4:$A$920=$A668)*'Caja 2'!$E$4:$E$920)),0))</f>
        <v/>
      </c>
      <c r="H668" s="128" t="str">
        <f t="shared" si="45"/>
        <v/>
      </c>
      <c r="I668" s="124" t="str">
        <f t="shared" si="46"/>
        <v/>
      </c>
      <c r="J668" s="987" t="str">
        <f>IF(A668="","",IFERROR(INDEX('Facturación 2026'!$L$4:$L$500,MATCH($A668,'Facturación 2026'!$A$4:$A$500,0)),""))</f>
        <v/>
      </c>
    </row>
    <row r="669" spans="1:10" ht="15.75" customHeight="1">
      <c r="A669" s="988"/>
      <c r="B669" s="122" t="str">
        <f t="shared" si="43"/>
        <v/>
      </c>
      <c r="C669" s="123"/>
      <c r="D669" s="131" t="str">
        <f t="array" ref="D669">IF(A669="","",SUMPRODUCT(('Detalle Turnos'!$I$3:$I$5028=$A669)*('Detalle Turnos'!$N$3:$N$5028=C669)*'Detalle Turnos'!$L$3:$L$5028))</f>
        <v/>
      </c>
      <c r="E669" s="127" t="str">
        <f t="array" ref="E669">IF(A669="","",SUMPRODUCT(('Detalle Turnos'!$I$3:$I$5028=$A669)*('Detalle Turnos'!$N$3:$N$5028=C669)*'Detalle Turnos'!$K$3:$K$5028))</f>
        <v/>
      </c>
      <c r="F669" s="127">
        <f t="shared" si="44"/>
        <v>0</v>
      </c>
      <c r="G669" s="127" t="str">
        <f t="array" ref="G669">IF(E669="","",IFERROR(SUMPRODUCT(('Facturación 2026'!$A$4:$A$920=$A669)*'Facturación 2026'!$J$4:$J$920)*E669/(SUMPRODUCT(('Caja 1'!$A$4:$A$919=$A669)*'Caja 1'!$E$4:$E$919)+SUMPRODUCT(('Caja 2'!$A$4:$A$920=$A669)*'Caja 2'!$E$4:$E$920)),0))</f>
        <v/>
      </c>
      <c r="H669" s="128" t="str">
        <f t="shared" si="45"/>
        <v/>
      </c>
      <c r="I669" s="124" t="str">
        <f t="shared" si="46"/>
        <v/>
      </c>
      <c r="J669" s="987" t="str">
        <f>IF(A669="","",IFERROR(INDEX('Facturación 2026'!$L$4:$L$500,MATCH($A669,'Facturación 2026'!$A$4:$A$500,0)),""))</f>
        <v/>
      </c>
    </row>
    <row r="670" spans="1:10" ht="15.75" customHeight="1">
      <c r="A670" s="988"/>
      <c r="B670" s="122" t="str">
        <f t="shared" si="43"/>
        <v/>
      </c>
      <c r="C670" s="123"/>
      <c r="D670" s="131" t="str">
        <f t="array" ref="D670">IF(A670="","",SUMPRODUCT(('Detalle Turnos'!$I$3:$I$5028=$A670)*('Detalle Turnos'!$N$3:$N$5028=C670)*'Detalle Turnos'!$L$3:$L$5028))</f>
        <v/>
      </c>
      <c r="E670" s="127" t="str">
        <f t="array" ref="E670">IF(A670="","",SUMPRODUCT(('Detalle Turnos'!$I$3:$I$5028=$A670)*('Detalle Turnos'!$N$3:$N$5028=C670)*'Detalle Turnos'!$K$3:$K$5028))</f>
        <v/>
      </c>
      <c r="F670" s="127">
        <f t="shared" si="44"/>
        <v>0</v>
      </c>
      <c r="G670" s="127" t="str">
        <f t="array" ref="G670">IF(E670="","",IFERROR(SUMPRODUCT(('Facturación 2026'!$A$4:$A$920=$A670)*'Facturación 2026'!$J$4:$J$920)*E670/(SUMPRODUCT(('Caja 1'!$A$4:$A$919=$A670)*'Caja 1'!$E$4:$E$919)+SUMPRODUCT(('Caja 2'!$A$4:$A$920=$A670)*'Caja 2'!$E$4:$E$920)),0))</f>
        <v/>
      </c>
      <c r="H670" s="128" t="str">
        <f t="shared" si="45"/>
        <v/>
      </c>
      <c r="I670" s="124" t="str">
        <f t="shared" si="46"/>
        <v/>
      </c>
      <c r="J670" s="987" t="str">
        <f>IF(A670="","",IFERROR(INDEX('Facturación 2026'!$L$4:$L$500,MATCH($A670,'Facturación 2026'!$A$4:$A$500,0)),""))</f>
        <v/>
      </c>
    </row>
    <row r="671" spans="1:10" ht="15.75" customHeight="1">
      <c r="A671" s="988"/>
      <c r="B671" s="122" t="str">
        <f t="shared" si="43"/>
        <v/>
      </c>
      <c r="C671" s="123"/>
      <c r="D671" s="131" t="str">
        <f t="array" ref="D671">IF(A671="","",SUMPRODUCT(('Detalle Turnos'!$I$3:$I$5028=$A671)*('Detalle Turnos'!$N$3:$N$5028=C671)*'Detalle Turnos'!$L$3:$L$5028))</f>
        <v/>
      </c>
      <c r="E671" s="127" t="str">
        <f t="array" ref="E671">IF(A671="","",SUMPRODUCT(('Detalle Turnos'!$I$3:$I$5028=$A671)*('Detalle Turnos'!$N$3:$N$5028=C671)*'Detalle Turnos'!$K$3:$K$5028))</f>
        <v/>
      </c>
      <c r="F671" s="127">
        <f t="shared" si="44"/>
        <v>0</v>
      </c>
      <c r="G671" s="127" t="str">
        <f t="array" ref="G671">IF(E671="","",IFERROR(SUMPRODUCT(('Facturación 2026'!$A$4:$A$920=$A671)*'Facturación 2026'!$J$4:$J$920)*E671/(SUMPRODUCT(('Caja 1'!$A$4:$A$919=$A671)*'Caja 1'!$E$4:$E$919)+SUMPRODUCT(('Caja 2'!$A$4:$A$920=$A671)*'Caja 2'!$E$4:$E$920)),0))</f>
        <v/>
      </c>
      <c r="H671" s="128" t="str">
        <f t="shared" si="45"/>
        <v/>
      </c>
      <c r="I671" s="124" t="str">
        <f t="shared" si="46"/>
        <v/>
      </c>
      <c r="J671" s="987" t="str">
        <f>IF(A671="","",IFERROR(INDEX('Facturación 2026'!$L$4:$L$500,MATCH($A671,'Facturación 2026'!$A$4:$A$500,0)),""))</f>
        <v/>
      </c>
    </row>
    <row r="672" spans="1:10" ht="15.75" customHeight="1">
      <c r="A672" s="988"/>
      <c r="B672" s="122" t="str">
        <f t="shared" si="43"/>
        <v/>
      </c>
      <c r="C672" s="123"/>
      <c r="D672" s="131" t="str">
        <f t="array" ref="D672">IF(A672="","",SUMPRODUCT(('Detalle Turnos'!$I$3:$I$5028=$A672)*('Detalle Turnos'!$N$3:$N$5028=C672)*'Detalle Turnos'!$L$3:$L$5028))</f>
        <v/>
      </c>
      <c r="E672" s="127" t="str">
        <f t="array" ref="E672">IF(A672="","",SUMPRODUCT(('Detalle Turnos'!$I$3:$I$5028=$A672)*('Detalle Turnos'!$N$3:$N$5028=C672)*'Detalle Turnos'!$K$3:$K$5028))</f>
        <v/>
      </c>
      <c r="F672" s="127">
        <f t="shared" si="44"/>
        <v>0</v>
      </c>
      <c r="G672" s="127" t="str">
        <f t="array" ref="G672">IF(E672="","",IFERROR(SUMPRODUCT(('Facturación 2026'!$A$4:$A$920=$A672)*'Facturación 2026'!$J$4:$J$920)*E672/(SUMPRODUCT(('Caja 1'!$A$4:$A$919=$A672)*'Caja 1'!$E$4:$E$919)+SUMPRODUCT(('Caja 2'!$A$4:$A$920=$A672)*'Caja 2'!$E$4:$E$920)),0))</f>
        <v/>
      </c>
      <c r="H672" s="128" t="str">
        <f t="shared" si="45"/>
        <v/>
      </c>
      <c r="I672" s="124" t="str">
        <f t="shared" si="46"/>
        <v/>
      </c>
      <c r="J672" s="987" t="str">
        <f>IF(A672="","",IFERROR(INDEX('Facturación 2026'!$L$4:$L$500,MATCH($A672,'Facturación 2026'!$A$4:$A$500,0)),""))</f>
        <v/>
      </c>
    </row>
    <row r="673" spans="1:10" ht="15.75" customHeight="1">
      <c r="A673" s="988"/>
      <c r="B673" s="122" t="str">
        <f t="shared" si="43"/>
        <v/>
      </c>
      <c r="C673" s="123"/>
      <c r="D673" s="131" t="str">
        <f t="array" ref="D673">IF(A673="","",SUMPRODUCT(('Detalle Turnos'!$I$3:$I$5028=$A673)*('Detalle Turnos'!$N$3:$N$5028=C673)*'Detalle Turnos'!$L$3:$L$5028))</f>
        <v/>
      </c>
      <c r="E673" s="127" t="str">
        <f t="array" ref="E673">IF(A673="","",SUMPRODUCT(('Detalle Turnos'!$I$3:$I$5028=$A673)*('Detalle Turnos'!$N$3:$N$5028=C673)*'Detalle Turnos'!$K$3:$K$5028))</f>
        <v/>
      </c>
      <c r="F673" s="127">
        <f t="shared" si="44"/>
        <v>0</v>
      </c>
      <c r="G673" s="127" t="str">
        <f t="array" ref="G673">IF(E673="","",IFERROR(SUMPRODUCT(('Facturación 2026'!$A$4:$A$920=$A673)*'Facturación 2026'!$J$4:$J$920)*E673/(SUMPRODUCT(('Caja 1'!$A$4:$A$919=$A673)*'Caja 1'!$E$4:$E$919)+SUMPRODUCT(('Caja 2'!$A$4:$A$920=$A673)*'Caja 2'!$E$4:$E$920)),0))</f>
        <v/>
      </c>
      <c r="H673" s="128" t="str">
        <f t="shared" si="45"/>
        <v/>
      </c>
      <c r="I673" s="124" t="str">
        <f t="shared" si="46"/>
        <v/>
      </c>
      <c r="J673" s="987" t="str">
        <f>IF(A673="","",IFERROR(INDEX('Facturación 2026'!$L$4:$L$500,MATCH($A673,'Facturación 2026'!$A$4:$A$500,0)),""))</f>
        <v/>
      </c>
    </row>
    <row r="674" spans="1:10" ht="15.75" customHeight="1">
      <c r="A674" s="988"/>
      <c r="B674" s="122" t="str">
        <f t="shared" si="43"/>
        <v/>
      </c>
      <c r="C674" s="123"/>
      <c r="D674" s="131" t="str">
        <f t="array" ref="D674">IF(A674="","",SUMPRODUCT(('Detalle Turnos'!$I$3:$I$5028=$A674)*('Detalle Turnos'!$N$3:$N$5028=C674)*'Detalle Turnos'!$L$3:$L$5028))</f>
        <v/>
      </c>
      <c r="E674" s="127" t="str">
        <f t="array" ref="E674">IF(A674="","",SUMPRODUCT(('Detalle Turnos'!$I$3:$I$5028=$A674)*('Detalle Turnos'!$N$3:$N$5028=C674)*'Detalle Turnos'!$K$3:$K$5028))</f>
        <v/>
      </c>
      <c r="F674" s="127">
        <f t="shared" si="44"/>
        <v>0</v>
      </c>
      <c r="G674" s="127" t="str">
        <f t="array" ref="G674">IF(E674="","",IFERROR(SUMPRODUCT(('Facturación 2026'!$A$4:$A$920=$A674)*'Facturación 2026'!$J$4:$J$920)*E674/(SUMPRODUCT(('Caja 1'!$A$4:$A$919=$A674)*'Caja 1'!$E$4:$E$919)+SUMPRODUCT(('Caja 2'!$A$4:$A$920=$A674)*'Caja 2'!$E$4:$E$920)),0))</f>
        <v/>
      </c>
      <c r="H674" s="128" t="str">
        <f t="shared" si="45"/>
        <v/>
      </c>
      <c r="I674" s="124" t="str">
        <f t="shared" si="46"/>
        <v/>
      </c>
      <c r="J674" s="987" t="str">
        <f>IF(A674="","",IFERROR(INDEX('Facturación 2026'!$L$4:$L$500,MATCH($A674,'Facturación 2026'!$A$4:$A$500,0)),""))</f>
        <v/>
      </c>
    </row>
    <row r="675" spans="1:10" ht="15.75" customHeight="1">
      <c r="A675" s="988"/>
      <c r="B675" s="122" t="str">
        <f t="shared" si="43"/>
        <v/>
      </c>
      <c r="C675" s="123"/>
      <c r="D675" s="131" t="str">
        <f t="array" ref="D675">IF(A675="","",SUMPRODUCT(('Detalle Turnos'!$I$3:$I$5028=$A675)*('Detalle Turnos'!$N$3:$N$5028=C675)*'Detalle Turnos'!$L$3:$L$5028))</f>
        <v/>
      </c>
      <c r="E675" s="127" t="str">
        <f t="array" ref="E675">IF(A675="","",SUMPRODUCT(('Detalle Turnos'!$I$3:$I$5028=$A675)*('Detalle Turnos'!$N$3:$N$5028=C675)*'Detalle Turnos'!$K$3:$K$5028))</f>
        <v/>
      </c>
      <c r="F675" s="127">
        <f t="shared" si="44"/>
        <v>0</v>
      </c>
      <c r="G675" s="127" t="str">
        <f t="array" ref="G675">IF(E675="","",IFERROR(SUMPRODUCT(('Facturación 2026'!$A$4:$A$920=$A675)*'Facturación 2026'!$J$4:$J$920)*E675/(SUMPRODUCT(('Caja 1'!$A$4:$A$919=$A675)*'Caja 1'!$E$4:$E$919)+SUMPRODUCT(('Caja 2'!$A$4:$A$920=$A675)*'Caja 2'!$E$4:$E$920)),0))</f>
        <v/>
      </c>
      <c r="H675" s="128" t="str">
        <f t="shared" si="45"/>
        <v/>
      </c>
      <c r="I675" s="124" t="str">
        <f t="shared" si="46"/>
        <v/>
      </c>
      <c r="J675" s="987" t="str">
        <f>IF(A675="","",IFERROR(INDEX('Facturación 2026'!$L$4:$L$500,MATCH($A675,'Facturación 2026'!$A$4:$A$500,0)),""))</f>
        <v/>
      </c>
    </row>
    <row r="676" spans="1:10" ht="15.75" customHeight="1">
      <c r="A676" s="988"/>
      <c r="B676" s="122" t="str">
        <f t="shared" si="43"/>
        <v/>
      </c>
      <c r="C676" s="123"/>
      <c r="D676" s="131" t="str">
        <f t="array" ref="D676">IF(A676="","",SUMPRODUCT(('Detalle Turnos'!$I$3:$I$5028=$A676)*('Detalle Turnos'!$N$3:$N$5028=C676)*'Detalle Turnos'!$L$3:$L$5028))</f>
        <v/>
      </c>
      <c r="E676" s="127" t="str">
        <f t="array" ref="E676">IF(A676="","",SUMPRODUCT(('Detalle Turnos'!$I$3:$I$5028=$A676)*('Detalle Turnos'!$N$3:$N$5028=C676)*'Detalle Turnos'!$K$3:$K$5028))</f>
        <v/>
      </c>
      <c r="F676" s="127">
        <f t="shared" si="44"/>
        <v>0</v>
      </c>
      <c r="G676" s="127" t="str">
        <f t="array" ref="G676">IF(E676="","",IFERROR(SUMPRODUCT(('Facturación 2026'!$A$4:$A$920=$A676)*'Facturación 2026'!$J$4:$J$920)*E676/(SUMPRODUCT(('Caja 1'!$A$4:$A$919=$A676)*'Caja 1'!$E$4:$E$919)+SUMPRODUCT(('Caja 2'!$A$4:$A$920=$A676)*'Caja 2'!$E$4:$E$920)),0))</f>
        <v/>
      </c>
      <c r="H676" s="128" t="str">
        <f t="shared" si="45"/>
        <v/>
      </c>
      <c r="I676" s="124" t="str">
        <f t="shared" si="46"/>
        <v/>
      </c>
      <c r="J676" s="987" t="str">
        <f>IF(A676="","",IFERROR(INDEX('Facturación 2026'!$L$4:$L$500,MATCH($A676,'Facturación 2026'!$A$4:$A$500,0)),""))</f>
        <v/>
      </c>
    </row>
    <row r="677" spans="1:10" ht="15.75" customHeight="1">
      <c r="A677" s="988"/>
      <c r="B677" s="122" t="str">
        <f t="shared" si="43"/>
        <v/>
      </c>
      <c r="C677" s="123"/>
      <c r="D677" s="131" t="str">
        <f t="array" ref="D677">IF(A677="","",SUMPRODUCT(('Detalle Turnos'!$I$3:$I$5028=$A677)*('Detalle Turnos'!$N$3:$N$5028=C677)*'Detalle Turnos'!$L$3:$L$5028))</f>
        <v/>
      </c>
      <c r="E677" s="127" t="str">
        <f t="array" ref="E677">IF(A677="","",SUMPRODUCT(('Detalle Turnos'!$I$3:$I$5028=$A677)*('Detalle Turnos'!$N$3:$N$5028=C677)*'Detalle Turnos'!$K$3:$K$5028))</f>
        <v/>
      </c>
      <c r="F677" s="127">
        <f t="shared" si="44"/>
        <v>0</v>
      </c>
      <c r="G677" s="127" t="str">
        <f t="array" ref="G677">IF(E677="","",IFERROR(SUMPRODUCT(('Facturación 2026'!$A$4:$A$920=$A677)*'Facturación 2026'!$J$4:$J$920)*E677/(SUMPRODUCT(('Caja 1'!$A$4:$A$919=$A677)*'Caja 1'!$E$4:$E$919)+SUMPRODUCT(('Caja 2'!$A$4:$A$920=$A677)*'Caja 2'!$E$4:$E$920)),0))</f>
        <v/>
      </c>
      <c r="H677" s="128" t="str">
        <f t="shared" si="45"/>
        <v/>
      </c>
      <c r="I677" s="124" t="str">
        <f t="shared" si="46"/>
        <v/>
      </c>
      <c r="J677" s="987" t="str">
        <f>IF(A677="","",IFERROR(INDEX('Facturación 2026'!$L$4:$L$500,MATCH($A677,'Facturación 2026'!$A$4:$A$500,0)),""))</f>
        <v/>
      </c>
    </row>
    <row r="678" spans="1:10" ht="15.75" customHeight="1">
      <c r="A678" s="988"/>
      <c r="B678" s="122" t="str">
        <f t="shared" si="43"/>
        <v/>
      </c>
      <c r="C678" s="123"/>
      <c r="D678" s="131" t="str">
        <f t="array" ref="D678">IF(A678="","",SUMPRODUCT(('Detalle Turnos'!$I$3:$I$5028=$A678)*('Detalle Turnos'!$N$3:$N$5028=C678)*'Detalle Turnos'!$L$3:$L$5028))</f>
        <v/>
      </c>
      <c r="E678" s="127" t="str">
        <f t="array" ref="E678">IF(A678="","",SUMPRODUCT(('Detalle Turnos'!$I$3:$I$5028=$A678)*('Detalle Turnos'!$N$3:$N$5028=C678)*'Detalle Turnos'!$K$3:$K$5028))</f>
        <v/>
      </c>
      <c r="F678" s="127">
        <f t="shared" si="44"/>
        <v>0</v>
      </c>
      <c r="G678" s="127" t="str">
        <f t="array" ref="G678">IF(E678="","",IFERROR(SUMPRODUCT(('Facturación 2026'!$A$4:$A$920=$A678)*'Facturación 2026'!$J$4:$J$920)*E678/(SUMPRODUCT(('Caja 1'!$A$4:$A$919=$A678)*'Caja 1'!$E$4:$E$919)+SUMPRODUCT(('Caja 2'!$A$4:$A$920=$A678)*'Caja 2'!$E$4:$E$920)),0))</f>
        <v/>
      </c>
      <c r="H678" s="128" t="str">
        <f t="shared" si="45"/>
        <v/>
      </c>
      <c r="I678" s="124" t="str">
        <f t="shared" si="46"/>
        <v/>
      </c>
      <c r="J678" s="987" t="str">
        <f>IF(A678="","",IFERROR(INDEX('Facturación 2026'!$L$4:$L$500,MATCH($A678,'Facturación 2026'!$A$4:$A$500,0)),""))</f>
        <v/>
      </c>
    </row>
    <row r="679" spans="1:10" ht="15.75" customHeight="1">
      <c r="A679" s="988"/>
      <c r="B679" s="122" t="str">
        <f t="shared" si="43"/>
        <v/>
      </c>
      <c r="C679" s="123"/>
      <c r="D679" s="131" t="str">
        <f t="array" ref="D679">IF(A679="","",SUMPRODUCT(('Detalle Turnos'!$I$3:$I$5028=$A679)*('Detalle Turnos'!$N$3:$N$5028=C679)*'Detalle Turnos'!$L$3:$L$5028))</f>
        <v/>
      </c>
      <c r="E679" s="127" t="str">
        <f t="array" ref="E679">IF(A679="","",SUMPRODUCT(('Detalle Turnos'!$I$3:$I$5028=$A679)*('Detalle Turnos'!$N$3:$N$5028=C679)*'Detalle Turnos'!$K$3:$K$5028))</f>
        <v/>
      </c>
      <c r="F679" s="127">
        <f t="shared" si="44"/>
        <v>0</v>
      </c>
      <c r="G679" s="127" t="str">
        <f t="array" ref="G679">IF(E679="","",IFERROR(SUMPRODUCT(('Facturación 2026'!$A$4:$A$920=$A679)*'Facturación 2026'!$J$4:$J$920)*E679/(SUMPRODUCT(('Caja 1'!$A$4:$A$919=$A679)*'Caja 1'!$E$4:$E$919)+SUMPRODUCT(('Caja 2'!$A$4:$A$920=$A679)*'Caja 2'!$E$4:$E$920)),0))</f>
        <v/>
      </c>
      <c r="H679" s="128" t="str">
        <f t="shared" si="45"/>
        <v/>
      </c>
      <c r="I679" s="124" t="str">
        <f t="shared" si="46"/>
        <v/>
      </c>
      <c r="J679" s="987" t="str">
        <f>IF(A679="","",IFERROR(INDEX('Facturación 2026'!$L$4:$L$500,MATCH($A679,'Facturación 2026'!$A$4:$A$500,0)),""))</f>
        <v/>
      </c>
    </row>
    <row r="680" spans="1:10" ht="15.75" customHeight="1">
      <c r="A680" s="988"/>
      <c r="B680" s="122" t="str">
        <f t="shared" si="43"/>
        <v/>
      </c>
      <c r="C680" s="123"/>
      <c r="D680" s="131" t="str">
        <f t="array" ref="D680">IF(A680="","",SUMPRODUCT(('Detalle Turnos'!$I$3:$I$5028=$A680)*('Detalle Turnos'!$N$3:$N$5028=C680)*'Detalle Turnos'!$L$3:$L$5028))</f>
        <v/>
      </c>
      <c r="E680" s="127" t="str">
        <f t="array" ref="E680">IF(A680="","",SUMPRODUCT(('Detalle Turnos'!$I$3:$I$5028=$A680)*('Detalle Turnos'!$N$3:$N$5028=C680)*'Detalle Turnos'!$K$3:$K$5028))</f>
        <v/>
      </c>
      <c r="F680" s="127">
        <f t="shared" si="44"/>
        <v>0</v>
      </c>
      <c r="G680" s="127" t="str">
        <f t="array" ref="G680">IF(E680="","",IFERROR(SUMPRODUCT(('Facturación 2026'!$A$4:$A$920=$A680)*'Facturación 2026'!$J$4:$J$920)*E680/(SUMPRODUCT(('Caja 1'!$A$4:$A$919=$A680)*'Caja 1'!$E$4:$E$919)+SUMPRODUCT(('Caja 2'!$A$4:$A$920=$A680)*'Caja 2'!$E$4:$E$920)),0))</f>
        <v/>
      </c>
      <c r="H680" s="128" t="str">
        <f t="shared" si="45"/>
        <v/>
      </c>
      <c r="I680" s="124" t="str">
        <f t="shared" si="46"/>
        <v/>
      </c>
      <c r="J680" s="987" t="str">
        <f>IF(A680="","",IFERROR(INDEX('Facturación 2026'!$L$4:$L$500,MATCH($A680,'Facturación 2026'!$A$4:$A$500,0)),""))</f>
        <v/>
      </c>
    </row>
    <row r="681" spans="1:10" ht="15.75" customHeight="1">
      <c r="A681" s="988"/>
      <c r="B681" s="122" t="str">
        <f t="shared" si="43"/>
        <v/>
      </c>
      <c r="C681" s="123"/>
      <c r="D681" s="131" t="str">
        <f t="array" ref="D681">IF(A681="","",SUMPRODUCT(('Detalle Turnos'!$I$3:$I$5028=$A681)*('Detalle Turnos'!$N$3:$N$5028=C681)*'Detalle Turnos'!$L$3:$L$5028))</f>
        <v/>
      </c>
      <c r="E681" s="127" t="str">
        <f t="array" ref="E681">IF(A681="","",SUMPRODUCT(('Detalle Turnos'!$I$3:$I$5028=$A681)*('Detalle Turnos'!$N$3:$N$5028=C681)*'Detalle Turnos'!$K$3:$K$5028))</f>
        <v/>
      </c>
      <c r="F681" s="127">
        <f t="shared" si="44"/>
        <v>0</v>
      </c>
      <c r="G681" s="127" t="str">
        <f t="array" ref="G681">IF(E681="","",IFERROR(SUMPRODUCT(('Facturación 2026'!$A$4:$A$920=$A681)*'Facturación 2026'!$J$4:$J$920)*E681/(SUMPRODUCT(('Caja 1'!$A$4:$A$919=$A681)*'Caja 1'!$E$4:$E$919)+SUMPRODUCT(('Caja 2'!$A$4:$A$920=$A681)*'Caja 2'!$E$4:$E$920)),0))</f>
        <v/>
      </c>
      <c r="H681" s="128" t="str">
        <f t="shared" si="45"/>
        <v/>
      </c>
      <c r="I681" s="124" t="str">
        <f t="shared" si="46"/>
        <v/>
      </c>
      <c r="J681" s="987" t="str">
        <f>IF(A681="","",IFERROR(INDEX('Facturación 2026'!$L$4:$L$500,MATCH($A681,'Facturación 2026'!$A$4:$A$500,0)),""))</f>
        <v/>
      </c>
    </row>
    <row r="682" spans="1:10" ht="15.75" customHeight="1">
      <c r="A682" s="988"/>
      <c r="B682" s="122" t="str">
        <f t="shared" si="43"/>
        <v/>
      </c>
      <c r="C682" s="123"/>
      <c r="D682" s="131" t="str">
        <f t="array" ref="D682">IF(A682="","",SUMPRODUCT(('Detalle Turnos'!$I$3:$I$5028=$A682)*('Detalle Turnos'!$N$3:$N$5028=C682)*'Detalle Turnos'!$L$3:$L$5028))</f>
        <v/>
      </c>
      <c r="E682" s="127" t="str">
        <f t="array" ref="E682">IF(A682="","",SUMPRODUCT(('Detalle Turnos'!$I$3:$I$5028=$A682)*('Detalle Turnos'!$N$3:$N$5028=C682)*'Detalle Turnos'!$K$3:$K$5028))</f>
        <v/>
      </c>
      <c r="F682" s="127">
        <f t="shared" si="44"/>
        <v>0</v>
      </c>
      <c r="G682" s="127" t="str">
        <f t="array" ref="G682">IF(E682="","",IFERROR(SUMPRODUCT(('Facturación 2026'!$A$4:$A$920=$A682)*'Facturación 2026'!$J$4:$J$920)*E682/(SUMPRODUCT(('Caja 1'!$A$4:$A$919=$A682)*'Caja 1'!$E$4:$E$919)+SUMPRODUCT(('Caja 2'!$A$4:$A$920=$A682)*'Caja 2'!$E$4:$E$920)),0))</f>
        <v/>
      </c>
      <c r="H682" s="128" t="str">
        <f t="shared" si="45"/>
        <v/>
      </c>
      <c r="I682" s="124" t="str">
        <f t="shared" si="46"/>
        <v/>
      </c>
      <c r="J682" s="987" t="str">
        <f>IF(A682="","",IFERROR(INDEX('Facturación 2026'!$L$4:$L$500,MATCH($A682,'Facturación 2026'!$A$4:$A$500,0)),""))</f>
        <v/>
      </c>
    </row>
    <row r="683" spans="1:10" ht="15.75" customHeight="1">
      <c r="A683" s="988"/>
      <c r="B683" s="122" t="str">
        <f t="shared" si="43"/>
        <v/>
      </c>
      <c r="C683" s="123"/>
      <c r="D683" s="131" t="str">
        <f t="array" ref="D683">IF(A683="","",SUMPRODUCT(('Detalle Turnos'!$I$3:$I$5028=$A683)*('Detalle Turnos'!$N$3:$N$5028=C683)*'Detalle Turnos'!$L$3:$L$5028))</f>
        <v/>
      </c>
      <c r="E683" s="127" t="str">
        <f t="array" ref="E683">IF(A683="","",SUMPRODUCT(('Detalle Turnos'!$I$3:$I$5028=$A683)*('Detalle Turnos'!$N$3:$N$5028=C683)*'Detalle Turnos'!$K$3:$K$5028))</f>
        <v/>
      </c>
      <c r="F683" s="127">
        <f t="shared" si="44"/>
        <v>0</v>
      </c>
      <c r="G683" s="127" t="str">
        <f t="array" ref="G683">IF(E683="","",IFERROR(SUMPRODUCT(('Facturación 2026'!$A$4:$A$920=$A683)*'Facturación 2026'!$J$4:$J$920)*E683/(SUMPRODUCT(('Caja 1'!$A$4:$A$919=$A683)*'Caja 1'!$E$4:$E$919)+SUMPRODUCT(('Caja 2'!$A$4:$A$920=$A683)*'Caja 2'!$E$4:$E$920)),0))</f>
        <v/>
      </c>
      <c r="H683" s="128" t="str">
        <f t="shared" si="45"/>
        <v/>
      </c>
      <c r="I683" s="124" t="str">
        <f t="shared" si="46"/>
        <v/>
      </c>
      <c r="J683" s="987" t="str">
        <f>IF(A683="","",IFERROR(INDEX('Facturación 2026'!$L$4:$L$500,MATCH($A683,'Facturación 2026'!$A$4:$A$500,0)),""))</f>
        <v/>
      </c>
    </row>
    <row r="684" spans="1:10" ht="15.75" customHeight="1">
      <c r="A684" s="988"/>
      <c r="B684" s="122" t="str">
        <f t="shared" si="43"/>
        <v/>
      </c>
      <c r="C684" s="123"/>
      <c r="D684" s="131" t="str">
        <f t="array" ref="D684">IF(A684="","",SUMPRODUCT(('Detalle Turnos'!$I$3:$I$5028=$A684)*('Detalle Turnos'!$N$3:$N$5028=C684)*'Detalle Turnos'!$L$3:$L$5028))</f>
        <v/>
      </c>
      <c r="E684" s="127" t="str">
        <f t="array" ref="E684">IF(A684="","",SUMPRODUCT(('Detalle Turnos'!$I$3:$I$5028=$A684)*('Detalle Turnos'!$N$3:$N$5028=C684)*'Detalle Turnos'!$K$3:$K$5028))</f>
        <v/>
      </c>
      <c r="F684" s="127">
        <f t="shared" si="44"/>
        <v>0</v>
      </c>
      <c r="G684" s="127" t="str">
        <f t="array" ref="G684">IF(E684="","",IFERROR(SUMPRODUCT(('Facturación 2026'!$A$4:$A$920=$A684)*'Facturación 2026'!$J$4:$J$920)*E684/(SUMPRODUCT(('Caja 1'!$A$4:$A$919=$A684)*'Caja 1'!$E$4:$E$919)+SUMPRODUCT(('Caja 2'!$A$4:$A$920=$A684)*'Caja 2'!$E$4:$E$920)),0))</f>
        <v/>
      </c>
      <c r="H684" s="128" t="str">
        <f t="shared" si="45"/>
        <v/>
      </c>
      <c r="I684" s="124" t="str">
        <f t="shared" si="46"/>
        <v/>
      </c>
      <c r="J684" s="987" t="str">
        <f>IF(A684="","",IFERROR(INDEX('Facturación 2026'!$L$4:$L$500,MATCH($A684,'Facturación 2026'!$A$4:$A$500,0)),""))</f>
        <v/>
      </c>
    </row>
    <row r="685" spans="1:10" ht="15.75" customHeight="1">
      <c r="A685" s="988"/>
      <c r="B685" s="122" t="str">
        <f t="shared" si="43"/>
        <v/>
      </c>
      <c r="C685" s="123"/>
      <c r="D685" s="131" t="str">
        <f t="array" ref="D685">IF(A685="","",SUMPRODUCT(('Detalle Turnos'!$I$3:$I$5028=$A685)*('Detalle Turnos'!$N$3:$N$5028=C685)*'Detalle Turnos'!$L$3:$L$5028))</f>
        <v/>
      </c>
      <c r="E685" s="127" t="str">
        <f t="array" ref="E685">IF(A685="","",SUMPRODUCT(('Detalle Turnos'!$I$3:$I$5028=$A685)*('Detalle Turnos'!$N$3:$N$5028=C685)*'Detalle Turnos'!$K$3:$K$5028))</f>
        <v/>
      </c>
      <c r="F685" s="127">
        <f t="shared" si="44"/>
        <v>0</v>
      </c>
      <c r="G685" s="127" t="str">
        <f t="array" ref="G685">IF(E685="","",IFERROR(SUMPRODUCT(('Facturación 2026'!$A$4:$A$920=$A685)*'Facturación 2026'!$J$4:$J$920)*E685/(SUMPRODUCT(('Caja 1'!$A$4:$A$919=$A685)*'Caja 1'!$E$4:$E$919)+SUMPRODUCT(('Caja 2'!$A$4:$A$920=$A685)*'Caja 2'!$E$4:$E$920)),0))</f>
        <v/>
      </c>
      <c r="H685" s="128" t="str">
        <f t="shared" si="45"/>
        <v/>
      </c>
      <c r="I685" s="124" t="str">
        <f t="shared" si="46"/>
        <v/>
      </c>
      <c r="J685" s="987" t="str">
        <f>IF(A685="","",IFERROR(INDEX('Facturación 2026'!$L$4:$L$500,MATCH($A685,'Facturación 2026'!$A$4:$A$500,0)),""))</f>
        <v/>
      </c>
    </row>
    <row r="686" spans="1:10" ht="15.75" customHeight="1">
      <c r="A686" s="988"/>
      <c r="B686" s="122" t="str">
        <f t="shared" si="43"/>
        <v/>
      </c>
      <c r="C686" s="123"/>
      <c r="D686" s="131" t="str">
        <f t="array" ref="D686">IF(A686="","",SUMPRODUCT(('Detalle Turnos'!$I$3:$I$5028=$A686)*('Detalle Turnos'!$N$3:$N$5028=C686)*'Detalle Turnos'!$L$3:$L$5028))</f>
        <v/>
      </c>
      <c r="E686" s="127" t="str">
        <f t="array" ref="E686">IF(A686="","",SUMPRODUCT(('Detalle Turnos'!$I$3:$I$5028=$A686)*('Detalle Turnos'!$N$3:$N$5028=C686)*'Detalle Turnos'!$K$3:$K$5028))</f>
        <v/>
      </c>
      <c r="F686" s="127">
        <f t="shared" si="44"/>
        <v>0</v>
      </c>
      <c r="G686" s="127" t="str">
        <f t="array" ref="G686">IF(E686="","",IFERROR(SUMPRODUCT(('Facturación 2026'!$A$4:$A$920=$A686)*'Facturación 2026'!$J$4:$J$920)*E686/(SUMPRODUCT(('Caja 1'!$A$4:$A$919=$A686)*'Caja 1'!$E$4:$E$919)+SUMPRODUCT(('Caja 2'!$A$4:$A$920=$A686)*'Caja 2'!$E$4:$E$920)),0))</f>
        <v/>
      </c>
      <c r="H686" s="128" t="str">
        <f t="shared" si="45"/>
        <v/>
      </c>
      <c r="I686" s="124" t="str">
        <f t="shared" si="46"/>
        <v/>
      </c>
      <c r="J686" s="987" t="str">
        <f>IF(A686="","",IFERROR(INDEX('Facturación 2026'!$L$4:$L$500,MATCH($A686,'Facturación 2026'!$A$4:$A$500,0)),""))</f>
        <v/>
      </c>
    </row>
    <row r="687" spans="1:10" ht="15.75" customHeight="1">
      <c r="A687" s="988"/>
      <c r="B687" s="122" t="str">
        <f t="shared" si="43"/>
        <v/>
      </c>
      <c r="C687" s="123"/>
      <c r="D687" s="131" t="str">
        <f t="array" ref="D687">IF(A687="","",SUMPRODUCT(('Detalle Turnos'!$I$3:$I$5028=$A687)*('Detalle Turnos'!$N$3:$N$5028=C687)*'Detalle Turnos'!$L$3:$L$5028))</f>
        <v/>
      </c>
      <c r="E687" s="127" t="str">
        <f t="array" ref="E687">IF(A687="","",SUMPRODUCT(('Detalle Turnos'!$I$3:$I$5028=$A687)*('Detalle Turnos'!$N$3:$N$5028=C687)*'Detalle Turnos'!$K$3:$K$5028))</f>
        <v/>
      </c>
      <c r="F687" s="127">
        <f t="shared" si="44"/>
        <v>0</v>
      </c>
      <c r="G687" s="127" t="str">
        <f t="array" ref="G687">IF(E687="","",IFERROR(SUMPRODUCT(('Facturación 2026'!$A$4:$A$920=$A687)*'Facturación 2026'!$J$4:$J$920)*E687/(SUMPRODUCT(('Caja 1'!$A$4:$A$919=$A687)*'Caja 1'!$E$4:$E$919)+SUMPRODUCT(('Caja 2'!$A$4:$A$920=$A687)*'Caja 2'!$E$4:$E$920)),0))</f>
        <v/>
      </c>
      <c r="H687" s="128" t="str">
        <f t="shared" si="45"/>
        <v/>
      </c>
      <c r="I687" s="124" t="str">
        <f t="shared" si="46"/>
        <v/>
      </c>
      <c r="J687" s="987" t="str">
        <f>IF(A687="","",IFERROR(INDEX('Facturación 2026'!$L$4:$L$500,MATCH($A687,'Facturación 2026'!$A$4:$A$500,0)),""))</f>
        <v/>
      </c>
    </row>
    <row r="688" spans="1:10" ht="15.75" customHeight="1">
      <c r="A688" s="988"/>
      <c r="B688" s="122" t="str">
        <f t="shared" si="43"/>
        <v/>
      </c>
      <c r="C688" s="123"/>
      <c r="D688" s="131" t="str">
        <f t="array" ref="D688">IF(A688="","",SUMPRODUCT(('Detalle Turnos'!$I$3:$I$5028=$A688)*('Detalle Turnos'!$N$3:$N$5028=C688)*'Detalle Turnos'!$L$3:$L$5028))</f>
        <v/>
      </c>
      <c r="E688" s="127" t="str">
        <f t="array" ref="E688">IF(A688="","",SUMPRODUCT(('Detalle Turnos'!$I$3:$I$5028=$A688)*('Detalle Turnos'!$N$3:$N$5028=C688)*'Detalle Turnos'!$K$3:$K$5028))</f>
        <v/>
      </c>
      <c r="F688" s="127">
        <f t="shared" si="44"/>
        <v>0</v>
      </c>
      <c r="G688" s="127" t="str">
        <f t="array" ref="G688">IF(E688="","",IFERROR(SUMPRODUCT(('Facturación 2026'!$A$4:$A$920=$A688)*'Facturación 2026'!$J$4:$J$920)*E688/(SUMPRODUCT(('Caja 1'!$A$4:$A$919=$A688)*'Caja 1'!$E$4:$E$919)+SUMPRODUCT(('Caja 2'!$A$4:$A$920=$A688)*'Caja 2'!$E$4:$E$920)),0))</f>
        <v/>
      </c>
      <c r="H688" s="128" t="str">
        <f t="shared" si="45"/>
        <v/>
      </c>
      <c r="I688" s="124" t="str">
        <f t="shared" si="46"/>
        <v/>
      </c>
      <c r="J688" s="987" t="str">
        <f>IF(A688="","",IFERROR(INDEX('Facturación 2026'!$L$4:$L$500,MATCH($A688,'Facturación 2026'!$A$4:$A$500,0)),""))</f>
        <v/>
      </c>
    </row>
    <row r="689" spans="1:10" ht="15.75" customHeight="1">
      <c r="A689" s="988"/>
      <c r="B689" s="122" t="str">
        <f t="shared" si="43"/>
        <v/>
      </c>
      <c r="C689" s="123"/>
      <c r="D689" s="131" t="str">
        <f t="array" ref="D689">IF(A689="","",SUMPRODUCT(('Detalle Turnos'!$I$3:$I$5028=$A689)*('Detalle Turnos'!$N$3:$N$5028=C689)*'Detalle Turnos'!$L$3:$L$5028))</f>
        <v/>
      </c>
      <c r="E689" s="127" t="str">
        <f t="array" ref="E689">IF(A689="","",SUMPRODUCT(('Detalle Turnos'!$I$3:$I$5028=$A689)*('Detalle Turnos'!$N$3:$N$5028=C689)*'Detalle Turnos'!$K$3:$K$5028))</f>
        <v/>
      </c>
      <c r="F689" s="127">
        <f t="shared" si="44"/>
        <v>0</v>
      </c>
      <c r="G689" s="127" t="str">
        <f t="array" ref="G689">IF(E689="","",IFERROR(SUMPRODUCT(('Facturación 2026'!$A$4:$A$920=$A689)*'Facturación 2026'!$J$4:$J$920)*E689/(SUMPRODUCT(('Caja 1'!$A$4:$A$919=$A689)*'Caja 1'!$E$4:$E$919)+SUMPRODUCT(('Caja 2'!$A$4:$A$920=$A689)*'Caja 2'!$E$4:$E$920)),0))</f>
        <v/>
      </c>
      <c r="H689" s="128" t="str">
        <f t="shared" si="45"/>
        <v/>
      </c>
      <c r="I689" s="124" t="str">
        <f t="shared" si="46"/>
        <v/>
      </c>
      <c r="J689" s="987" t="str">
        <f>IF(A689="","",IFERROR(INDEX('Facturación 2026'!$L$4:$L$500,MATCH($A689,'Facturación 2026'!$A$4:$A$500,0)),""))</f>
        <v/>
      </c>
    </row>
    <row r="690" spans="1:10" ht="15.75" customHeight="1">
      <c r="A690" s="988"/>
      <c r="B690" s="122" t="str">
        <f t="shared" si="43"/>
        <v/>
      </c>
      <c r="C690" s="123"/>
      <c r="D690" s="131" t="str">
        <f t="array" ref="D690">IF(A690="","",SUMPRODUCT(('Detalle Turnos'!$I$3:$I$5028=$A690)*('Detalle Turnos'!$N$3:$N$5028=C690)*'Detalle Turnos'!$L$3:$L$5028))</f>
        <v/>
      </c>
      <c r="E690" s="127" t="str">
        <f t="array" ref="E690">IF(A690="","",SUMPRODUCT(('Detalle Turnos'!$I$3:$I$5028=$A690)*('Detalle Turnos'!$N$3:$N$5028=C690)*'Detalle Turnos'!$K$3:$K$5028))</f>
        <v/>
      </c>
      <c r="F690" s="127">
        <f t="shared" si="44"/>
        <v>0</v>
      </c>
      <c r="G690" s="127" t="str">
        <f t="array" ref="G690">IF(E690="","",IFERROR(SUMPRODUCT(('Facturación 2026'!$A$4:$A$920=$A690)*'Facturación 2026'!$J$4:$J$920)*E690/(SUMPRODUCT(('Caja 1'!$A$4:$A$919=$A690)*'Caja 1'!$E$4:$E$919)+SUMPRODUCT(('Caja 2'!$A$4:$A$920=$A690)*'Caja 2'!$E$4:$E$920)),0))</f>
        <v/>
      </c>
      <c r="H690" s="128" t="str">
        <f t="shared" si="45"/>
        <v/>
      </c>
      <c r="I690" s="124" t="str">
        <f t="shared" si="46"/>
        <v/>
      </c>
      <c r="J690" s="987" t="str">
        <f>IF(A690="","",IFERROR(INDEX('Facturación 2026'!$L$4:$L$500,MATCH($A690,'Facturación 2026'!$A$4:$A$500,0)),""))</f>
        <v/>
      </c>
    </row>
    <row r="691" spans="1:10" ht="15.75" customHeight="1">
      <c r="A691" s="988"/>
      <c r="B691" s="122" t="str">
        <f t="shared" si="43"/>
        <v/>
      </c>
      <c r="C691" s="123"/>
      <c r="D691" s="131" t="str">
        <f t="array" ref="D691">IF(A691="","",SUMPRODUCT(('Detalle Turnos'!$I$3:$I$5028=$A691)*('Detalle Turnos'!$N$3:$N$5028=C691)*'Detalle Turnos'!$L$3:$L$5028))</f>
        <v/>
      </c>
      <c r="E691" s="127" t="str">
        <f t="array" ref="E691">IF(A691="","",SUMPRODUCT(('Detalle Turnos'!$I$3:$I$5028=$A691)*('Detalle Turnos'!$N$3:$N$5028=C691)*'Detalle Turnos'!$K$3:$K$5028))</f>
        <v/>
      </c>
      <c r="F691" s="127">
        <f t="shared" si="44"/>
        <v>0</v>
      </c>
      <c r="G691" s="127" t="str">
        <f t="array" ref="G691">IF(E691="","",IFERROR(SUMPRODUCT(('Facturación 2026'!$A$4:$A$920=$A691)*'Facturación 2026'!$J$4:$J$920)*E691/(SUMPRODUCT(('Caja 1'!$A$4:$A$919=$A691)*'Caja 1'!$E$4:$E$919)+SUMPRODUCT(('Caja 2'!$A$4:$A$920=$A691)*'Caja 2'!$E$4:$E$920)),0))</f>
        <v/>
      </c>
      <c r="H691" s="128" t="str">
        <f t="shared" si="45"/>
        <v/>
      </c>
      <c r="I691" s="124" t="str">
        <f t="shared" si="46"/>
        <v/>
      </c>
      <c r="J691" s="987" t="str">
        <f>IF(A691="","",IFERROR(INDEX('Facturación 2026'!$L$4:$L$500,MATCH($A691,'Facturación 2026'!$A$4:$A$500,0)),""))</f>
        <v/>
      </c>
    </row>
    <row r="692" spans="1:10" ht="15.75" customHeight="1">
      <c r="A692" s="988"/>
      <c r="B692" s="122" t="str">
        <f t="shared" si="43"/>
        <v/>
      </c>
      <c r="C692" s="123"/>
      <c r="D692" s="131" t="str">
        <f t="array" ref="D692">IF(A692="","",SUMPRODUCT(('Detalle Turnos'!$I$3:$I$5028=$A692)*('Detalle Turnos'!$N$3:$N$5028=C692)*'Detalle Turnos'!$L$3:$L$5028))</f>
        <v/>
      </c>
      <c r="E692" s="127" t="str">
        <f t="array" ref="E692">IF(A692="","",SUMPRODUCT(('Detalle Turnos'!$I$3:$I$5028=$A692)*('Detalle Turnos'!$N$3:$N$5028=C692)*'Detalle Turnos'!$K$3:$K$5028))</f>
        <v/>
      </c>
      <c r="F692" s="127">
        <f t="shared" si="44"/>
        <v>0</v>
      </c>
      <c r="G692" s="127" t="str">
        <f t="array" ref="G692">IF(E692="","",IFERROR(SUMPRODUCT(('Facturación 2026'!$A$4:$A$920=$A692)*'Facturación 2026'!$J$4:$J$920)*E692/(SUMPRODUCT(('Caja 1'!$A$4:$A$919=$A692)*'Caja 1'!$E$4:$E$919)+SUMPRODUCT(('Caja 2'!$A$4:$A$920=$A692)*'Caja 2'!$E$4:$E$920)),0))</f>
        <v/>
      </c>
      <c r="H692" s="128" t="str">
        <f t="shared" si="45"/>
        <v/>
      </c>
      <c r="I692" s="124" t="str">
        <f t="shared" si="46"/>
        <v/>
      </c>
      <c r="J692" s="987" t="str">
        <f>IF(A692="","",IFERROR(INDEX('Facturación 2026'!$L$4:$L$500,MATCH($A692,'Facturación 2026'!$A$4:$A$500,0)),""))</f>
        <v/>
      </c>
    </row>
    <row r="693" spans="1:10" ht="15.75" customHeight="1">
      <c r="A693" s="988"/>
      <c r="B693" s="122" t="str">
        <f t="shared" si="43"/>
        <v/>
      </c>
      <c r="C693" s="123"/>
      <c r="D693" s="131" t="str">
        <f t="array" ref="D693">IF(A693="","",SUMPRODUCT(('Detalle Turnos'!$I$3:$I$5028=$A693)*('Detalle Turnos'!$N$3:$N$5028=C693)*'Detalle Turnos'!$L$3:$L$5028))</f>
        <v/>
      </c>
      <c r="E693" s="127" t="str">
        <f t="array" ref="E693">IF(A693="","",SUMPRODUCT(('Detalle Turnos'!$I$3:$I$5028=$A693)*('Detalle Turnos'!$N$3:$N$5028=C693)*'Detalle Turnos'!$K$3:$K$5028))</f>
        <v/>
      </c>
      <c r="F693" s="127">
        <f t="shared" si="44"/>
        <v>0</v>
      </c>
      <c r="G693" s="127" t="str">
        <f t="array" ref="G693">IF(E693="","",IFERROR(SUMPRODUCT(('Facturación 2026'!$A$4:$A$920=$A693)*'Facturación 2026'!$J$4:$J$920)*E693/(SUMPRODUCT(('Caja 1'!$A$4:$A$919=$A693)*'Caja 1'!$E$4:$E$919)+SUMPRODUCT(('Caja 2'!$A$4:$A$920=$A693)*'Caja 2'!$E$4:$E$920)),0))</f>
        <v/>
      </c>
      <c r="H693" s="128" t="str">
        <f t="shared" si="45"/>
        <v/>
      </c>
      <c r="I693" s="124" t="str">
        <f t="shared" si="46"/>
        <v/>
      </c>
      <c r="J693" s="987" t="str">
        <f>IF(A693="","",IFERROR(INDEX('Facturación 2026'!$L$4:$L$500,MATCH($A693,'Facturación 2026'!$A$4:$A$500,0)),""))</f>
        <v/>
      </c>
    </row>
    <row r="694" spans="1:10" ht="15.75" customHeight="1">
      <c r="A694" s="988"/>
      <c r="B694" s="122" t="str">
        <f t="shared" si="43"/>
        <v/>
      </c>
      <c r="C694" s="123"/>
      <c r="D694" s="131" t="str">
        <f t="array" ref="D694">IF(A694="","",SUMPRODUCT(('Detalle Turnos'!$I$3:$I$5028=$A694)*('Detalle Turnos'!$N$3:$N$5028=C694)*'Detalle Turnos'!$L$3:$L$5028))</f>
        <v/>
      </c>
      <c r="E694" s="127" t="str">
        <f t="array" ref="E694">IF(A694="","",SUMPRODUCT(('Detalle Turnos'!$I$3:$I$5028=$A694)*('Detalle Turnos'!$N$3:$N$5028=C694)*'Detalle Turnos'!$K$3:$K$5028))</f>
        <v/>
      </c>
      <c r="F694" s="127">
        <f t="shared" si="44"/>
        <v>0</v>
      </c>
      <c r="G694" s="127" t="str">
        <f t="array" ref="G694">IF(E694="","",IFERROR(SUMPRODUCT(('Facturación 2026'!$A$4:$A$920=$A694)*'Facturación 2026'!$J$4:$J$920)*E694/(SUMPRODUCT(('Caja 1'!$A$4:$A$919=$A694)*'Caja 1'!$E$4:$E$919)+SUMPRODUCT(('Caja 2'!$A$4:$A$920=$A694)*'Caja 2'!$E$4:$E$920)),0))</f>
        <v/>
      </c>
      <c r="H694" s="128" t="str">
        <f t="shared" si="45"/>
        <v/>
      </c>
      <c r="I694" s="124" t="str">
        <f t="shared" si="46"/>
        <v/>
      </c>
      <c r="J694" s="987" t="str">
        <f>IF(A694="","",IFERROR(INDEX('Facturación 2026'!$L$4:$L$500,MATCH($A694,'Facturación 2026'!$A$4:$A$500,0)),""))</f>
        <v/>
      </c>
    </row>
    <row r="695" spans="1:10" ht="15.75" customHeight="1">
      <c r="A695" s="988"/>
      <c r="B695" s="122" t="str">
        <f t="shared" si="43"/>
        <v/>
      </c>
      <c r="C695" s="123"/>
      <c r="D695" s="131" t="str">
        <f t="array" ref="D695">IF(A695="","",SUMPRODUCT(('Detalle Turnos'!$I$3:$I$5028=$A695)*('Detalle Turnos'!$N$3:$N$5028=C695)*'Detalle Turnos'!$L$3:$L$5028))</f>
        <v/>
      </c>
      <c r="E695" s="127" t="str">
        <f t="array" ref="E695">IF(A695="","",SUMPRODUCT(('Detalle Turnos'!$I$3:$I$5028=$A695)*('Detalle Turnos'!$N$3:$N$5028=C695)*'Detalle Turnos'!$K$3:$K$5028))</f>
        <v/>
      </c>
      <c r="F695" s="127">
        <f t="shared" si="44"/>
        <v>0</v>
      </c>
      <c r="G695" s="127" t="str">
        <f t="array" ref="G695">IF(E695="","",IFERROR(SUMPRODUCT(('Facturación 2026'!$A$4:$A$920=$A695)*'Facturación 2026'!$J$4:$J$920)*E695/(SUMPRODUCT(('Caja 1'!$A$4:$A$919=$A695)*'Caja 1'!$E$4:$E$919)+SUMPRODUCT(('Caja 2'!$A$4:$A$920=$A695)*'Caja 2'!$E$4:$E$920)),0))</f>
        <v/>
      </c>
      <c r="H695" s="128" t="str">
        <f t="shared" si="45"/>
        <v/>
      </c>
      <c r="I695" s="124" t="str">
        <f t="shared" si="46"/>
        <v/>
      </c>
      <c r="J695" s="987" t="str">
        <f>IF(A695="","",IFERROR(INDEX('Facturación 2026'!$L$4:$L$500,MATCH($A695,'Facturación 2026'!$A$4:$A$500,0)),""))</f>
        <v/>
      </c>
    </row>
    <row r="696" spans="1:10" ht="15.75" customHeight="1">
      <c r="A696" s="988"/>
      <c r="B696" s="122" t="str">
        <f t="shared" si="43"/>
        <v/>
      </c>
      <c r="C696" s="123"/>
      <c r="D696" s="131" t="str">
        <f t="array" ref="D696">IF(A696="","",SUMPRODUCT(('Detalle Turnos'!$I$3:$I$5028=$A696)*('Detalle Turnos'!$N$3:$N$5028=C696)*'Detalle Turnos'!$L$3:$L$5028))</f>
        <v/>
      </c>
      <c r="E696" s="127" t="str">
        <f t="array" ref="E696">IF(A696="","",SUMPRODUCT(('Detalle Turnos'!$I$3:$I$5028=$A696)*('Detalle Turnos'!$N$3:$N$5028=C696)*'Detalle Turnos'!$K$3:$K$5028))</f>
        <v/>
      </c>
      <c r="F696" s="127">
        <f t="shared" si="44"/>
        <v>0</v>
      </c>
      <c r="G696" s="127" t="str">
        <f t="array" ref="G696">IF(E696="","",IFERROR(SUMPRODUCT(('Facturación 2026'!$A$4:$A$920=$A696)*'Facturación 2026'!$J$4:$J$920)*E696/(SUMPRODUCT(('Caja 1'!$A$4:$A$919=$A696)*'Caja 1'!$E$4:$E$919)+SUMPRODUCT(('Caja 2'!$A$4:$A$920=$A696)*'Caja 2'!$E$4:$E$920)),0))</f>
        <v/>
      </c>
      <c r="H696" s="128" t="str">
        <f t="shared" si="45"/>
        <v/>
      </c>
      <c r="I696" s="124" t="str">
        <f t="shared" si="46"/>
        <v/>
      </c>
      <c r="J696" s="987" t="str">
        <f>IF(A696="","",IFERROR(INDEX('Facturación 2026'!$L$4:$L$500,MATCH($A696,'Facturación 2026'!$A$4:$A$500,0)),""))</f>
        <v/>
      </c>
    </row>
    <row r="697" spans="1:10" ht="15.75" customHeight="1">
      <c r="A697" s="988"/>
      <c r="B697" s="122" t="str">
        <f t="shared" si="43"/>
        <v/>
      </c>
      <c r="C697" s="123"/>
      <c r="D697" s="131" t="str">
        <f t="array" ref="D697">IF(A697="","",SUMPRODUCT(('Detalle Turnos'!$I$3:$I$5028=$A697)*('Detalle Turnos'!$N$3:$N$5028=C697)*'Detalle Turnos'!$L$3:$L$5028))</f>
        <v/>
      </c>
      <c r="E697" s="127" t="str">
        <f t="array" ref="E697">IF(A697="","",SUMPRODUCT(('Detalle Turnos'!$I$3:$I$5028=$A697)*('Detalle Turnos'!$N$3:$N$5028=C697)*'Detalle Turnos'!$K$3:$K$5028))</f>
        <v/>
      </c>
      <c r="F697" s="127">
        <f t="shared" si="44"/>
        <v>0</v>
      </c>
      <c r="G697" s="127" t="str">
        <f t="array" ref="G697">IF(E697="","",IFERROR(SUMPRODUCT(('Facturación 2026'!$A$4:$A$920=$A697)*'Facturación 2026'!$J$4:$J$920)*E697/(SUMPRODUCT(('Caja 1'!$A$4:$A$919=$A697)*'Caja 1'!$E$4:$E$919)+SUMPRODUCT(('Caja 2'!$A$4:$A$920=$A697)*'Caja 2'!$E$4:$E$920)),0))</f>
        <v/>
      </c>
      <c r="H697" s="128" t="str">
        <f t="shared" si="45"/>
        <v/>
      </c>
      <c r="I697" s="124" t="str">
        <f t="shared" si="46"/>
        <v/>
      </c>
      <c r="J697" s="987" t="str">
        <f>IF(A697="","",IFERROR(INDEX('Facturación 2026'!$L$4:$L$500,MATCH($A697,'Facturación 2026'!$A$4:$A$500,0)),""))</f>
        <v/>
      </c>
    </row>
    <row r="698" spans="1:10" ht="15.75" customHeight="1">
      <c r="A698" s="988"/>
      <c r="B698" s="122" t="str">
        <f t="shared" si="43"/>
        <v/>
      </c>
      <c r="C698" s="123"/>
      <c r="D698" s="131" t="str">
        <f t="array" ref="D698">IF(A698="","",SUMPRODUCT(('Detalle Turnos'!$I$3:$I$5028=$A698)*('Detalle Turnos'!$N$3:$N$5028=C698)*'Detalle Turnos'!$L$3:$L$5028))</f>
        <v/>
      </c>
      <c r="E698" s="127" t="str">
        <f t="array" ref="E698">IF(A698="","",SUMPRODUCT(('Detalle Turnos'!$I$3:$I$5028=$A698)*('Detalle Turnos'!$N$3:$N$5028=C698)*'Detalle Turnos'!$K$3:$K$5028))</f>
        <v/>
      </c>
      <c r="F698" s="127">
        <f t="shared" si="44"/>
        <v>0</v>
      </c>
      <c r="G698" s="127" t="str">
        <f t="array" ref="G698">IF(E698="","",IFERROR(SUMPRODUCT(('Facturación 2026'!$A$4:$A$920=$A698)*'Facturación 2026'!$J$4:$J$920)*E698/(SUMPRODUCT(('Caja 1'!$A$4:$A$919=$A698)*'Caja 1'!$E$4:$E$919)+SUMPRODUCT(('Caja 2'!$A$4:$A$920=$A698)*'Caja 2'!$E$4:$E$920)),0))</f>
        <v/>
      </c>
      <c r="H698" s="128" t="str">
        <f t="shared" si="45"/>
        <v/>
      </c>
      <c r="I698" s="124" t="str">
        <f t="shared" si="46"/>
        <v/>
      </c>
      <c r="J698" s="987" t="str">
        <f>IF(A698="","",IFERROR(INDEX('Facturación 2026'!$L$4:$L$500,MATCH($A698,'Facturación 2026'!$A$4:$A$500,0)),""))</f>
        <v/>
      </c>
    </row>
    <row r="699" spans="1:10" ht="15.75" customHeight="1">
      <c r="A699" s="988"/>
      <c r="B699" s="122" t="str">
        <f t="shared" si="43"/>
        <v/>
      </c>
      <c r="C699" s="123"/>
      <c r="D699" s="131" t="str">
        <f t="array" ref="D699">IF(A699="","",SUMPRODUCT(('Detalle Turnos'!$I$3:$I$5028=$A699)*('Detalle Turnos'!$N$3:$N$5028=C699)*'Detalle Turnos'!$L$3:$L$5028))</f>
        <v/>
      </c>
      <c r="E699" s="127" t="str">
        <f t="array" ref="E699">IF(A699="","",SUMPRODUCT(('Detalle Turnos'!$I$3:$I$5028=$A699)*('Detalle Turnos'!$N$3:$N$5028=C699)*'Detalle Turnos'!$K$3:$K$5028))</f>
        <v/>
      </c>
      <c r="F699" s="127">
        <f t="shared" si="44"/>
        <v>0</v>
      </c>
      <c r="G699" s="127" t="str">
        <f t="array" ref="G699">IF(E699="","",IFERROR(SUMPRODUCT(('Facturación 2026'!$A$4:$A$920=$A699)*'Facturación 2026'!$J$4:$J$920)*E699/(SUMPRODUCT(('Caja 1'!$A$4:$A$919=$A699)*'Caja 1'!$E$4:$E$919)+SUMPRODUCT(('Caja 2'!$A$4:$A$920=$A699)*'Caja 2'!$E$4:$E$920)),0))</f>
        <v/>
      </c>
      <c r="H699" s="128" t="str">
        <f t="shared" si="45"/>
        <v/>
      </c>
      <c r="I699" s="124" t="str">
        <f t="shared" si="46"/>
        <v/>
      </c>
      <c r="J699" s="987" t="str">
        <f>IF(A699="","",IFERROR(INDEX('Facturación 2026'!$L$4:$L$500,MATCH($A699,'Facturación 2026'!$A$4:$A$500,0)),""))</f>
        <v/>
      </c>
    </row>
    <row r="700" spans="1:10" ht="15.75" customHeight="1">
      <c r="A700" s="988"/>
      <c r="B700" s="122" t="str">
        <f t="shared" si="43"/>
        <v/>
      </c>
      <c r="C700" s="123"/>
      <c r="D700" s="131" t="str">
        <f t="array" ref="D700">IF(A700="","",SUMPRODUCT(('Detalle Turnos'!$I$3:$I$5028=$A700)*('Detalle Turnos'!$N$3:$N$5028=C700)*'Detalle Turnos'!$L$3:$L$5028))</f>
        <v/>
      </c>
      <c r="E700" s="127" t="str">
        <f t="array" ref="E700">IF(A700="","",SUMPRODUCT(('Detalle Turnos'!$I$3:$I$5028=$A700)*('Detalle Turnos'!$N$3:$N$5028=C700)*'Detalle Turnos'!$K$3:$K$5028))</f>
        <v/>
      </c>
      <c r="F700" s="127">
        <f t="shared" si="44"/>
        <v>0</v>
      </c>
      <c r="G700" s="127" t="str">
        <f t="array" ref="G700">IF(E700="","",IFERROR(SUMPRODUCT(('Facturación 2026'!$A$4:$A$920=$A700)*'Facturación 2026'!$J$4:$J$920)*E700/(SUMPRODUCT(('Caja 1'!$A$4:$A$919=$A700)*'Caja 1'!$E$4:$E$919)+SUMPRODUCT(('Caja 2'!$A$4:$A$920=$A700)*'Caja 2'!$E$4:$E$920)),0))</f>
        <v/>
      </c>
      <c r="H700" s="128" t="str">
        <f t="shared" si="45"/>
        <v/>
      </c>
      <c r="I700" s="124" t="str">
        <f t="shared" si="46"/>
        <v/>
      </c>
      <c r="J700" s="987" t="str">
        <f>IF(A700="","",IFERROR(INDEX('Facturación 2026'!$L$4:$L$500,MATCH($A700,'Facturación 2026'!$A$4:$A$500,0)),""))</f>
        <v/>
      </c>
    </row>
    <row r="701" spans="1:10" ht="15.75" customHeight="1">
      <c r="A701" s="988"/>
      <c r="B701" s="122" t="str">
        <f t="shared" si="43"/>
        <v/>
      </c>
      <c r="C701" s="123"/>
      <c r="D701" s="131" t="str">
        <f t="array" ref="D701">IF(A701="","",SUMPRODUCT(('Detalle Turnos'!$I$3:$I$5028=$A701)*('Detalle Turnos'!$N$3:$N$5028=C701)*'Detalle Turnos'!$L$3:$L$5028))</f>
        <v/>
      </c>
      <c r="E701" s="127" t="str">
        <f t="array" ref="E701">IF(A701="","",SUMPRODUCT(('Detalle Turnos'!$I$3:$I$5028=$A701)*('Detalle Turnos'!$N$3:$N$5028=C701)*'Detalle Turnos'!$K$3:$K$5028))</f>
        <v/>
      </c>
      <c r="F701" s="127">
        <f t="shared" si="44"/>
        <v>0</v>
      </c>
      <c r="G701" s="127" t="str">
        <f t="array" ref="G701">IF(E701="","",IFERROR(SUMPRODUCT(('Facturación 2026'!$A$4:$A$920=$A701)*'Facturación 2026'!$J$4:$J$920)*E701/(SUMPRODUCT(('Caja 1'!$A$4:$A$919=$A701)*'Caja 1'!$E$4:$E$919)+SUMPRODUCT(('Caja 2'!$A$4:$A$920=$A701)*'Caja 2'!$E$4:$E$920)),0))</f>
        <v/>
      </c>
      <c r="H701" s="128" t="str">
        <f t="shared" si="45"/>
        <v/>
      </c>
      <c r="I701" s="124" t="str">
        <f t="shared" si="46"/>
        <v/>
      </c>
      <c r="J701" s="987" t="str">
        <f>IF(A701="","",IFERROR(INDEX('Facturación 2026'!$L$4:$L$500,MATCH($A701,'Facturación 2026'!$A$4:$A$500,0)),""))</f>
        <v/>
      </c>
    </row>
    <row r="702" spans="1:10" ht="15.75" customHeight="1">
      <c r="A702" s="988"/>
      <c r="B702" s="122" t="str">
        <f t="shared" si="43"/>
        <v/>
      </c>
      <c r="C702" s="123"/>
      <c r="D702" s="131" t="str">
        <f t="array" ref="D702">IF(A702="","",SUMPRODUCT(('Detalle Turnos'!$I$3:$I$5028=$A702)*('Detalle Turnos'!$N$3:$N$5028=C702)*'Detalle Turnos'!$L$3:$L$5028))</f>
        <v/>
      </c>
      <c r="E702" s="127" t="str">
        <f t="array" ref="E702">IF(A702="","",SUMPRODUCT(('Detalle Turnos'!$I$3:$I$5028=$A702)*('Detalle Turnos'!$N$3:$N$5028=C702)*'Detalle Turnos'!$K$3:$K$5028))</f>
        <v/>
      </c>
      <c r="F702" s="127">
        <f t="shared" si="44"/>
        <v>0</v>
      </c>
      <c r="G702" s="127" t="str">
        <f t="array" ref="G702">IF(E702="","",IFERROR(SUMPRODUCT(('Facturación 2026'!$A$4:$A$920=$A702)*'Facturación 2026'!$J$4:$J$920)*E702/(SUMPRODUCT(('Caja 1'!$A$4:$A$919=$A702)*'Caja 1'!$E$4:$E$919)+SUMPRODUCT(('Caja 2'!$A$4:$A$920=$A702)*'Caja 2'!$E$4:$E$920)),0))</f>
        <v/>
      </c>
      <c r="H702" s="128" t="str">
        <f t="shared" si="45"/>
        <v/>
      </c>
      <c r="I702" s="124" t="str">
        <f t="shared" si="46"/>
        <v/>
      </c>
      <c r="J702" s="987" t="str">
        <f>IF(A702="","",IFERROR(INDEX('Facturación 2026'!$L$4:$L$500,MATCH($A702,'Facturación 2026'!$A$4:$A$500,0)),""))</f>
        <v/>
      </c>
    </row>
    <row r="703" spans="1:10" ht="15.75" customHeight="1">
      <c r="A703" s="988"/>
      <c r="B703" s="122" t="str">
        <f t="shared" si="43"/>
        <v/>
      </c>
      <c r="C703" s="123"/>
      <c r="D703" s="131" t="str">
        <f t="array" ref="D703">IF(A703="","",SUMPRODUCT(('Detalle Turnos'!$I$3:$I$5028=$A703)*('Detalle Turnos'!$N$3:$N$5028=C703)*'Detalle Turnos'!$L$3:$L$5028))</f>
        <v/>
      </c>
      <c r="E703" s="127" t="str">
        <f t="array" ref="E703">IF(A703="","",SUMPRODUCT(('Detalle Turnos'!$I$3:$I$5028=$A703)*('Detalle Turnos'!$N$3:$N$5028=C703)*'Detalle Turnos'!$K$3:$K$5028))</f>
        <v/>
      </c>
      <c r="F703" s="127">
        <f t="shared" si="44"/>
        <v>0</v>
      </c>
      <c r="G703" s="127" t="str">
        <f t="array" ref="G703">IF(E703="","",IFERROR(SUMPRODUCT(('Facturación 2026'!$A$4:$A$920=$A703)*'Facturación 2026'!$J$4:$J$920)*E703/(SUMPRODUCT(('Caja 1'!$A$4:$A$919=$A703)*'Caja 1'!$E$4:$E$919)+SUMPRODUCT(('Caja 2'!$A$4:$A$920=$A703)*'Caja 2'!$E$4:$E$920)),0))</f>
        <v/>
      </c>
      <c r="H703" s="128" t="str">
        <f t="shared" si="45"/>
        <v/>
      </c>
      <c r="I703" s="124" t="str">
        <f t="shared" si="46"/>
        <v/>
      </c>
      <c r="J703" s="987" t="str">
        <f>IF(A703="","",IFERROR(INDEX('Facturación 2026'!$L$4:$L$500,MATCH($A703,'Facturación 2026'!$A$4:$A$500,0)),""))</f>
        <v/>
      </c>
    </row>
    <row r="704" spans="1:10" ht="15.75" customHeight="1">
      <c r="A704" s="988"/>
      <c r="B704" s="122" t="str">
        <f t="shared" si="43"/>
        <v/>
      </c>
      <c r="C704" s="123"/>
      <c r="D704" s="131" t="str">
        <f t="array" ref="D704">IF(A704="","",SUMPRODUCT(('Detalle Turnos'!$I$3:$I$5028=$A704)*('Detalle Turnos'!$N$3:$N$5028=C704)*'Detalle Turnos'!$L$3:$L$5028))</f>
        <v/>
      </c>
      <c r="E704" s="127" t="str">
        <f t="array" ref="E704">IF(A704="","",SUMPRODUCT(('Detalle Turnos'!$I$3:$I$5028=$A704)*('Detalle Turnos'!$N$3:$N$5028=C704)*'Detalle Turnos'!$K$3:$K$5028))</f>
        <v/>
      </c>
      <c r="F704" s="127">
        <f t="shared" si="44"/>
        <v>0</v>
      </c>
      <c r="G704" s="127" t="str">
        <f t="array" ref="G704">IF(E704="","",IFERROR(SUMPRODUCT(('Facturación 2026'!$A$4:$A$920=$A704)*'Facturación 2026'!$J$4:$J$920)*E704/(SUMPRODUCT(('Caja 1'!$A$4:$A$919=$A704)*'Caja 1'!$E$4:$E$919)+SUMPRODUCT(('Caja 2'!$A$4:$A$920=$A704)*'Caja 2'!$E$4:$E$920)),0))</f>
        <v/>
      </c>
      <c r="H704" s="128" t="str">
        <f t="shared" si="45"/>
        <v/>
      </c>
      <c r="I704" s="124" t="str">
        <f t="shared" si="46"/>
        <v/>
      </c>
      <c r="J704" s="987" t="str">
        <f>IF(A704="","",IFERROR(INDEX('Facturación 2026'!$L$4:$L$500,MATCH($A704,'Facturación 2026'!$A$4:$A$500,0)),""))</f>
        <v/>
      </c>
    </row>
    <row r="705" spans="1:10" ht="15.75" customHeight="1">
      <c r="A705" s="988"/>
      <c r="B705" s="122" t="str">
        <f t="shared" si="43"/>
        <v/>
      </c>
      <c r="C705" s="123"/>
      <c r="D705" s="131" t="str">
        <f t="array" ref="D705">IF(A705="","",SUMPRODUCT(('Detalle Turnos'!$I$3:$I$5028=$A705)*('Detalle Turnos'!$N$3:$N$5028=C705)*'Detalle Turnos'!$L$3:$L$5028))</f>
        <v/>
      </c>
      <c r="E705" s="127" t="str">
        <f t="array" ref="E705">IF(A705="","",SUMPRODUCT(('Detalle Turnos'!$I$3:$I$5028=$A705)*('Detalle Turnos'!$N$3:$N$5028=C705)*'Detalle Turnos'!$K$3:$K$5028))</f>
        <v/>
      </c>
      <c r="F705" s="127">
        <f t="shared" si="44"/>
        <v>0</v>
      </c>
      <c r="G705" s="127" t="str">
        <f t="array" ref="G705">IF(E705="","",IFERROR(SUMPRODUCT(('Facturación 2026'!$A$4:$A$920=$A705)*'Facturación 2026'!$J$4:$J$920)*E705/(SUMPRODUCT(('Caja 1'!$A$4:$A$919=$A705)*'Caja 1'!$E$4:$E$919)+SUMPRODUCT(('Caja 2'!$A$4:$A$920=$A705)*'Caja 2'!$E$4:$E$920)),0))</f>
        <v/>
      </c>
      <c r="H705" s="128" t="str">
        <f t="shared" si="45"/>
        <v/>
      </c>
      <c r="I705" s="124" t="str">
        <f t="shared" si="46"/>
        <v/>
      </c>
      <c r="J705" s="987" t="str">
        <f>IF(A705="","",IFERROR(INDEX('Facturación 2026'!$L$4:$L$500,MATCH($A705,'Facturación 2026'!$A$4:$A$500,0)),""))</f>
        <v/>
      </c>
    </row>
    <row r="706" spans="1:10" ht="15.75" customHeight="1">
      <c r="A706" s="988"/>
      <c r="B706" s="122" t="str">
        <f t="shared" si="43"/>
        <v/>
      </c>
      <c r="C706" s="123"/>
      <c r="D706" s="131" t="str">
        <f t="array" ref="D706">IF(A706="","",SUMPRODUCT(('Detalle Turnos'!$I$3:$I$5028=$A706)*('Detalle Turnos'!$N$3:$N$5028=C706)*'Detalle Turnos'!$L$3:$L$5028))</f>
        <v/>
      </c>
      <c r="E706" s="127" t="str">
        <f t="array" ref="E706">IF(A706="","",SUMPRODUCT(('Detalle Turnos'!$I$3:$I$5028=$A706)*('Detalle Turnos'!$N$3:$N$5028=C706)*'Detalle Turnos'!$K$3:$K$5028))</f>
        <v/>
      </c>
      <c r="F706" s="127">
        <f t="shared" si="44"/>
        <v>0</v>
      </c>
      <c r="G706" s="127" t="str">
        <f t="array" ref="G706">IF(E706="","",IFERROR(SUMPRODUCT(('Facturación 2026'!$A$4:$A$920=$A706)*'Facturación 2026'!$J$4:$J$920)*E706/(SUMPRODUCT(('Caja 1'!$A$4:$A$919=$A706)*'Caja 1'!$E$4:$E$919)+SUMPRODUCT(('Caja 2'!$A$4:$A$920=$A706)*'Caja 2'!$E$4:$E$920)),0))</f>
        <v/>
      </c>
      <c r="H706" s="128" t="str">
        <f t="shared" si="45"/>
        <v/>
      </c>
      <c r="I706" s="124" t="str">
        <f t="shared" si="46"/>
        <v/>
      </c>
      <c r="J706" s="987" t="str">
        <f>IF(A706="","",IFERROR(INDEX('Facturación 2026'!$L$4:$L$500,MATCH($A706,'Facturación 2026'!$A$4:$A$500,0)),""))</f>
        <v/>
      </c>
    </row>
    <row r="707" spans="1:10" ht="15.75" customHeight="1">
      <c r="A707" s="988"/>
      <c r="B707" s="122" t="str">
        <f t="shared" ref="B707:B770" si="47">IF(A707="","",CHOOSE(WEEKDAY(A707,2),"Lun","Mar","Mié","Jue","Vie","Sáb","Dom"))</f>
        <v/>
      </c>
      <c r="C707" s="123"/>
      <c r="D707" s="131" t="str">
        <f t="array" ref="D707">IF(A707="","",SUMPRODUCT(('Detalle Turnos'!$I$3:$I$5028=$A707)*('Detalle Turnos'!$N$3:$N$5028=C707)*'Detalle Turnos'!$L$3:$L$5028))</f>
        <v/>
      </c>
      <c r="E707" s="127" t="str">
        <f t="array" ref="E707">IF(A707="","",SUMPRODUCT(('Detalle Turnos'!$I$3:$I$5028=$A707)*('Detalle Turnos'!$N$3:$N$5028=C707)*'Detalle Turnos'!$K$3:$K$5028))</f>
        <v/>
      </c>
      <c r="F707" s="127">
        <f t="shared" ref="F707:F770" si="48">IFERROR(E707/D707,0)</f>
        <v>0</v>
      </c>
      <c r="G707" s="127" t="str">
        <f t="array" ref="G707">IF(E707="","",IFERROR(SUMPRODUCT(('Facturación 2026'!$A$4:$A$920=$A707)*'Facturación 2026'!$J$4:$J$920)*E707/(SUMPRODUCT(('Caja 1'!$A$4:$A$919=$A707)*'Caja 1'!$E$4:$E$919)+SUMPRODUCT(('Caja 2'!$A$4:$A$920=$A707)*'Caja 2'!$E$4:$E$920)),0))</f>
        <v/>
      </c>
      <c r="H707" s="128" t="str">
        <f t="shared" ref="H707:H770" si="49">IF(E707="","",E707-G707)</f>
        <v/>
      </c>
      <c r="I707" s="124" t="str">
        <f t="shared" ref="I707:I770" si="50">IF(E707="","",IFERROR(G707/E707,0))</f>
        <v/>
      </c>
      <c r="J707" s="987" t="str">
        <f>IF(A707="","",IFERROR(INDEX('Facturación 2026'!$L$4:$L$500,MATCH($A707,'Facturación 2026'!$A$4:$A$500,0)),""))</f>
        <v/>
      </c>
    </row>
    <row r="708" spans="1:10" ht="15.75" customHeight="1">
      <c r="A708" s="988"/>
      <c r="B708" s="122" t="str">
        <f t="shared" si="47"/>
        <v/>
      </c>
      <c r="C708" s="123"/>
      <c r="D708" s="131" t="str">
        <f t="array" ref="D708">IF(A708="","",SUMPRODUCT(('Detalle Turnos'!$I$3:$I$5028=$A708)*('Detalle Turnos'!$N$3:$N$5028=C708)*'Detalle Turnos'!$L$3:$L$5028))</f>
        <v/>
      </c>
      <c r="E708" s="127" t="str">
        <f t="array" ref="E708">IF(A708="","",SUMPRODUCT(('Detalle Turnos'!$I$3:$I$5028=$A708)*('Detalle Turnos'!$N$3:$N$5028=C708)*'Detalle Turnos'!$K$3:$K$5028))</f>
        <v/>
      </c>
      <c r="F708" s="127">
        <f t="shared" si="48"/>
        <v>0</v>
      </c>
      <c r="G708" s="127" t="str">
        <f t="array" ref="G708">IF(E708="","",IFERROR(SUMPRODUCT(('Facturación 2026'!$A$4:$A$920=$A708)*'Facturación 2026'!$J$4:$J$920)*E708/(SUMPRODUCT(('Caja 1'!$A$4:$A$919=$A708)*'Caja 1'!$E$4:$E$919)+SUMPRODUCT(('Caja 2'!$A$4:$A$920=$A708)*'Caja 2'!$E$4:$E$920)),0))</f>
        <v/>
      </c>
      <c r="H708" s="128" t="str">
        <f t="shared" si="49"/>
        <v/>
      </c>
      <c r="I708" s="124" t="str">
        <f t="shared" si="50"/>
        <v/>
      </c>
      <c r="J708" s="987" t="str">
        <f>IF(A708="","",IFERROR(INDEX('Facturación 2026'!$L$4:$L$500,MATCH($A708,'Facturación 2026'!$A$4:$A$500,0)),""))</f>
        <v/>
      </c>
    </row>
    <row r="709" spans="1:10" ht="15.75" customHeight="1">
      <c r="A709" s="988"/>
      <c r="B709" s="122" t="str">
        <f t="shared" si="47"/>
        <v/>
      </c>
      <c r="C709" s="123"/>
      <c r="D709" s="131" t="str">
        <f t="array" ref="D709">IF(A709="","",SUMPRODUCT(('Detalle Turnos'!$I$3:$I$5028=$A709)*('Detalle Turnos'!$N$3:$N$5028=C709)*'Detalle Turnos'!$L$3:$L$5028))</f>
        <v/>
      </c>
      <c r="E709" s="127" t="str">
        <f t="array" ref="E709">IF(A709="","",SUMPRODUCT(('Detalle Turnos'!$I$3:$I$5028=$A709)*('Detalle Turnos'!$N$3:$N$5028=C709)*'Detalle Turnos'!$K$3:$K$5028))</f>
        <v/>
      </c>
      <c r="F709" s="127">
        <f t="shared" si="48"/>
        <v>0</v>
      </c>
      <c r="G709" s="127" t="str">
        <f t="array" ref="G709">IF(E709="","",IFERROR(SUMPRODUCT(('Facturación 2026'!$A$4:$A$920=$A709)*'Facturación 2026'!$J$4:$J$920)*E709/(SUMPRODUCT(('Caja 1'!$A$4:$A$919=$A709)*'Caja 1'!$E$4:$E$919)+SUMPRODUCT(('Caja 2'!$A$4:$A$920=$A709)*'Caja 2'!$E$4:$E$920)),0))</f>
        <v/>
      </c>
      <c r="H709" s="128" t="str">
        <f t="shared" si="49"/>
        <v/>
      </c>
      <c r="I709" s="124" t="str">
        <f t="shared" si="50"/>
        <v/>
      </c>
      <c r="J709" s="987" t="str">
        <f>IF(A709="","",IFERROR(INDEX('Facturación 2026'!$L$4:$L$500,MATCH($A709,'Facturación 2026'!$A$4:$A$500,0)),""))</f>
        <v/>
      </c>
    </row>
    <row r="710" spans="1:10" ht="15.75" customHeight="1">
      <c r="A710" s="988"/>
      <c r="B710" s="122" t="str">
        <f t="shared" si="47"/>
        <v/>
      </c>
      <c r="C710" s="123"/>
      <c r="D710" s="131" t="str">
        <f t="array" ref="D710">IF(A710="","",SUMPRODUCT(('Detalle Turnos'!$I$3:$I$5028=$A710)*('Detalle Turnos'!$N$3:$N$5028=C710)*'Detalle Turnos'!$L$3:$L$5028))</f>
        <v/>
      </c>
      <c r="E710" s="127" t="str">
        <f t="array" ref="E710">IF(A710="","",SUMPRODUCT(('Detalle Turnos'!$I$3:$I$5028=$A710)*('Detalle Turnos'!$N$3:$N$5028=C710)*'Detalle Turnos'!$K$3:$K$5028))</f>
        <v/>
      </c>
      <c r="F710" s="127">
        <f t="shared" si="48"/>
        <v>0</v>
      </c>
      <c r="G710" s="127" t="str">
        <f t="array" ref="G710">IF(E710="","",IFERROR(SUMPRODUCT(('Facturación 2026'!$A$4:$A$920=$A710)*'Facturación 2026'!$J$4:$J$920)*E710/(SUMPRODUCT(('Caja 1'!$A$4:$A$919=$A710)*'Caja 1'!$E$4:$E$919)+SUMPRODUCT(('Caja 2'!$A$4:$A$920=$A710)*'Caja 2'!$E$4:$E$920)),0))</f>
        <v/>
      </c>
      <c r="H710" s="128" t="str">
        <f t="shared" si="49"/>
        <v/>
      </c>
      <c r="I710" s="124" t="str">
        <f t="shared" si="50"/>
        <v/>
      </c>
      <c r="J710" s="987" t="str">
        <f>IF(A710="","",IFERROR(INDEX('Facturación 2026'!$L$4:$L$500,MATCH($A710,'Facturación 2026'!$A$4:$A$500,0)),""))</f>
        <v/>
      </c>
    </row>
    <row r="711" spans="1:10" ht="15.75" customHeight="1">
      <c r="A711" s="988"/>
      <c r="B711" s="122" t="str">
        <f t="shared" si="47"/>
        <v/>
      </c>
      <c r="C711" s="123"/>
      <c r="D711" s="131" t="str">
        <f t="array" ref="D711">IF(A711="","",SUMPRODUCT(('Detalle Turnos'!$I$3:$I$5028=$A711)*('Detalle Turnos'!$N$3:$N$5028=C711)*'Detalle Turnos'!$L$3:$L$5028))</f>
        <v/>
      </c>
      <c r="E711" s="127" t="str">
        <f t="array" ref="E711">IF(A711="","",SUMPRODUCT(('Detalle Turnos'!$I$3:$I$5028=$A711)*('Detalle Turnos'!$N$3:$N$5028=C711)*'Detalle Turnos'!$K$3:$K$5028))</f>
        <v/>
      </c>
      <c r="F711" s="127">
        <f t="shared" si="48"/>
        <v>0</v>
      </c>
      <c r="G711" s="127" t="str">
        <f t="array" ref="G711">IF(E711="","",IFERROR(SUMPRODUCT(('Facturación 2026'!$A$4:$A$920=$A711)*'Facturación 2026'!$J$4:$J$920)*E711/(SUMPRODUCT(('Caja 1'!$A$4:$A$919=$A711)*'Caja 1'!$E$4:$E$919)+SUMPRODUCT(('Caja 2'!$A$4:$A$920=$A711)*'Caja 2'!$E$4:$E$920)),0))</f>
        <v/>
      </c>
      <c r="H711" s="128" t="str">
        <f t="shared" si="49"/>
        <v/>
      </c>
      <c r="I711" s="124" t="str">
        <f t="shared" si="50"/>
        <v/>
      </c>
      <c r="J711" s="987" t="str">
        <f>IF(A711="","",IFERROR(INDEX('Facturación 2026'!$L$4:$L$500,MATCH($A711,'Facturación 2026'!$A$4:$A$500,0)),""))</f>
        <v/>
      </c>
    </row>
    <row r="712" spans="1:10" ht="15.75" customHeight="1">
      <c r="A712" s="988"/>
      <c r="B712" s="122" t="str">
        <f t="shared" si="47"/>
        <v/>
      </c>
      <c r="C712" s="123"/>
      <c r="D712" s="131" t="str">
        <f t="array" ref="D712">IF(A712="","",SUMPRODUCT(('Detalle Turnos'!$I$3:$I$5028=$A712)*('Detalle Turnos'!$N$3:$N$5028=C712)*'Detalle Turnos'!$L$3:$L$5028))</f>
        <v/>
      </c>
      <c r="E712" s="127" t="str">
        <f t="array" ref="E712">IF(A712="","",SUMPRODUCT(('Detalle Turnos'!$I$3:$I$5028=$A712)*('Detalle Turnos'!$N$3:$N$5028=C712)*'Detalle Turnos'!$K$3:$K$5028))</f>
        <v/>
      </c>
      <c r="F712" s="127">
        <f t="shared" si="48"/>
        <v>0</v>
      </c>
      <c r="G712" s="127" t="str">
        <f t="array" ref="G712">IF(E712="","",IFERROR(SUMPRODUCT(('Facturación 2026'!$A$4:$A$920=$A712)*'Facturación 2026'!$J$4:$J$920)*E712/(SUMPRODUCT(('Caja 1'!$A$4:$A$919=$A712)*'Caja 1'!$E$4:$E$919)+SUMPRODUCT(('Caja 2'!$A$4:$A$920=$A712)*'Caja 2'!$E$4:$E$920)),0))</f>
        <v/>
      </c>
      <c r="H712" s="128" t="str">
        <f t="shared" si="49"/>
        <v/>
      </c>
      <c r="I712" s="124" t="str">
        <f t="shared" si="50"/>
        <v/>
      </c>
      <c r="J712" s="987" t="str">
        <f>IF(A712="","",IFERROR(INDEX('Facturación 2026'!$L$4:$L$500,MATCH($A712,'Facturación 2026'!$A$4:$A$500,0)),""))</f>
        <v/>
      </c>
    </row>
    <row r="713" spans="1:10" ht="15.75" customHeight="1">
      <c r="A713" s="988"/>
      <c r="B713" s="122" t="str">
        <f t="shared" si="47"/>
        <v/>
      </c>
      <c r="C713" s="123"/>
      <c r="D713" s="131" t="str">
        <f t="array" ref="D713">IF(A713="","",SUMPRODUCT(('Detalle Turnos'!$I$3:$I$5028=$A713)*('Detalle Turnos'!$N$3:$N$5028=C713)*'Detalle Turnos'!$L$3:$L$5028))</f>
        <v/>
      </c>
      <c r="E713" s="127" t="str">
        <f t="array" ref="E713">IF(A713="","",SUMPRODUCT(('Detalle Turnos'!$I$3:$I$5028=$A713)*('Detalle Turnos'!$N$3:$N$5028=C713)*'Detalle Turnos'!$K$3:$K$5028))</f>
        <v/>
      </c>
      <c r="F713" s="127">
        <f t="shared" si="48"/>
        <v>0</v>
      </c>
      <c r="G713" s="127" t="str">
        <f t="array" ref="G713">IF(E713="","",IFERROR(SUMPRODUCT(('Facturación 2026'!$A$4:$A$920=$A713)*'Facturación 2026'!$J$4:$J$920)*E713/(SUMPRODUCT(('Caja 1'!$A$4:$A$919=$A713)*'Caja 1'!$E$4:$E$919)+SUMPRODUCT(('Caja 2'!$A$4:$A$920=$A713)*'Caja 2'!$E$4:$E$920)),0))</f>
        <v/>
      </c>
      <c r="H713" s="128" t="str">
        <f t="shared" si="49"/>
        <v/>
      </c>
      <c r="I713" s="124" t="str">
        <f t="shared" si="50"/>
        <v/>
      </c>
      <c r="J713" s="987" t="str">
        <f>IF(A713="","",IFERROR(INDEX('Facturación 2026'!$L$4:$L$500,MATCH($A713,'Facturación 2026'!$A$4:$A$500,0)),""))</f>
        <v/>
      </c>
    </row>
    <row r="714" spans="1:10" ht="15.75" customHeight="1">
      <c r="A714" s="988"/>
      <c r="B714" s="122" t="str">
        <f t="shared" si="47"/>
        <v/>
      </c>
      <c r="C714" s="123"/>
      <c r="D714" s="131" t="str">
        <f t="array" ref="D714">IF(A714="","",SUMPRODUCT(('Detalle Turnos'!$I$3:$I$5028=$A714)*('Detalle Turnos'!$N$3:$N$5028=C714)*'Detalle Turnos'!$L$3:$L$5028))</f>
        <v/>
      </c>
      <c r="E714" s="127" t="str">
        <f t="array" ref="E714">IF(A714="","",SUMPRODUCT(('Detalle Turnos'!$I$3:$I$5028=$A714)*('Detalle Turnos'!$N$3:$N$5028=C714)*'Detalle Turnos'!$K$3:$K$5028))</f>
        <v/>
      </c>
      <c r="F714" s="127">
        <f t="shared" si="48"/>
        <v>0</v>
      </c>
      <c r="G714" s="127" t="str">
        <f t="array" ref="G714">IF(E714="","",IFERROR(SUMPRODUCT(('Facturación 2026'!$A$4:$A$920=$A714)*'Facturación 2026'!$J$4:$J$920)*E714/(SUMPRODUCT(('Caja 1'!$A$4:$A$919=$A714)*'Caja 1'!$E$4:$E$919)+SUMPRODUCT(('Caja 2'!$A$4:$A$920=$A714)*'Caja 2'!$E$4:$E$920)),0))</f>
        <v/>
      </c>
      <c r="H714" s="128" t="str">
        <f t="shared" si="49"/>
        <v/>
      </c>
      <c r="I714" s="124" t="str">
        <f t="shared" si="50"/>
        <v/>
      </c>
      <c r="J714" s="987" t="str">
        <f>IF(A714="","",IFERROR(INDEX('Facturación 2026'!$L$4:$L$500,MATCH($A714,'Facturación 2026'!$A$4:$A$500,0)),""))</f>
        <v/>
      </c>
    </row>
    <row r="715" spans="1:10" ht="15.75" customHeight="1">
      <c r="A715" s="988"/>
      <c r="B715" s="122" t="str">
        <f t="shared" si="47"/>
        <v/>
      </c>
      <c r="C715" s="123"/>
      <c r="D715" s="131" t="str">
        <f t="array" ref="D715">IF(A715="","",SUMPRODUCT(('Detalle Turnos'!$I$3:$I$5028=$A715)*('Detalle Turnos'!$N$3:$N$5028=C715)*'Detalle Turnos'!$L$3:$L$5028))</f>
        <v/>
      </c>
      <c r="E715" s="127" t="str">
        <f t="array" ref="E715">IF(A715="","",SUMPRODUCT(('Detalle Turnos'!$I$3:$I$5028=$A715)*('Detalle Turnos'!$N$3:$N$5028=C715)*'Detalle Turnos'!$K$3:$K$5028))</f>
        <v/>
      </c>
      <c r="F715" s="127">
        <f t="shared" si="48"/>
        <v>0</v>
      </c>
      <c r="G715" s="127" t="str">
        <f t="array" ref="G715">IF(E715="","",IFERROR(SUMPRODUCT(('Facturación 2026'!$A$4:$A$920=$A715)*'Facturación 2026'!$J$4:$J$920)*E715/(SUMPRODUCT(('Caja 1'!$A$4:$A$919=$A715)*'Caja 1'!$E$4:$E$919)+SUMPRODUCT(('Caja 2'!$A$4:$A$920=$A715)*'Caja 2'!$E$4:$E$920)),0))</f>
        <v/>
      </c>
      <c r="H715" s="128" t="str">
        <f t="shared" si="49"/>
        <v/>
      </c>
      <c r="I715" s="124" t="str">
        <f t="shared" si="50"/>
        <v/>
      </c>
      <c r="J715" s="987" t="str">
        <f>IF(A715="","",IFERROR(INDEX('Facturación 2026'!$L$4:$L$500,MATCH($A715,'Facturación 2026'!$A$4:$A$500,0)),""))</f>
        <v/>
      </c>
    </row>
    <row r="716" spans="1:10" ht="15.75" customHeight="1">
      <c r="A716" s="988"/>
      <c r="B716" s="122" t="str">
        <f t="shared" si="47"/>
        <v/>
      </c>
      <c r="C716" s="123"/>
      <c r="D716" s="131" t="str">
        <f t="array" ref="D716">IF(A716="","",SUMPRODUCT(('Detalle Turnos'!$I$3:$I$5028=$A716)*('Detalle Turnos'!$N$3:$N$5028=C716)*'Detalle Turnos'!$L$3:$L$5028))</f>
        <v/>
      </c>
      <c r="E716" s="127" t="str">
        <f t="array" ref="E716">IF(A716="","",SUMPRODUCT(('Detalle Turnos'!$I$3:$I$5028=$A716)*('Detalle Turnos'!$N$3:$N$5028=C716)*'Detalle Turnos'!$K$3:$K$5028))</f>
        <v/>
      </c>
      <c r="F716" s="127">
        <f t="shared" si="48"/>
        <v>0</v>
      </c>
      <c r="G716" s="127" t="str">
        <f t="array" ref="G716">IF(E716="","",IFERROR(SUMPRODUCT(('Facturación 2026'!$A$4:$A$920=$A716)*'Facturación 2026'!$J$4:$J$920)*E716/(SUMPRODUCT(('Caja 1'!$A$4:$A$919=$A716)*'Caja 1'!$E$4:$E$919)+SUMPRODUCT(('Caja 2'!$A$4:$A$920=$A716)*'Caja 2'!$E$4:$E$920)),0))</f>
        <v/>
      </c>
      <c r="H716" s="128" t="str">
        <f t="shared" si="49"/>
        <v/>
      </c>
      <c r="I716" s="124" t="str">
        <f t="shared" si="50"/>
        <v/>
      </c>
      <c r="J716" s="987" t="str">
        <f>IF(A716="","",IFERROR(INDEX('Facturación 2026'!$L$4:$L$500,MATCH($A716,'Facturación 2026'!$A$4:$A$500,0)),""))</f>
        <v/>
      </c>
    </row>
    <row r="717" spans="1:10" ht="15.75" customHeight="1">
      <c r="A717" s="988"/>
      <c r="B717" s="122" t="str">
        <f t="shared" si="47"/>
        <v/>
      </c>
      <c r="C717" s="123"/>
      <c r="D717" s="131" t="str">
        <f t="array" ref="D717">IF(A717="","",SUMPRODUCT(('Detalle Turnos'!$I$3:$I$5028=$A717)*('Detalle Turnos'!$N$3:$N$5028=C717)*'Detalle Turnos'!$L$3:$L$5028))</f>
        <v/>
      </c>
      <c r="E717" s="127" t="str">
        <f t="array" ref="E717">IF(A717="","",SUMPRODUCT(('Detalle Turnos'!$I$3:$I$5028=$A717)*('Detalle Turnos'!$N$3:$N$5028=C717)*'Detalle Turnos'!$K$3:$K$5028))</f>
        <v/>
      </c>
      <c r="F717" s="127">
        <f t="shared" si="48"/>
        <v>0</v>
      </c>
      <c r="G717" s="127" t="str">
        <f t="array" ref="G717">IF(E717="","",IFERROR(SUMPRODUCT(('Facturación 2026'!$A$4:$A$920=$A717)*'Facturación 2026'!$J$4:$J$920)*E717/(SUMPRODUCT(('Caja 1'!$A$4:$A$919=$A717)*'Caja 1'!$E$4:$E$919)+SUMPRODUCT(('Caja 2'!$A$4:$A$920=$A717)*'Caja 2'!$E$4:$E$920)),0))</f>
        <v/>
      </c>
      <c r="H717" s="128" t="str">
        <f t="shared" si="49"/>
        <v/>
      </c>
      <c r="I717" s="124" t="str">
        <f t="shared" si="50"/>
        <v/>
      </c>
      <c r="J717" s="987" t="str">
        <f>IF(A717="","",IFERROR(INDEX('Facturación 2026'!$L$4:$L$500,MATCH($A717,'Facturación 2026'!$A$4:$A$500,0)),""))</f>
        <v/>
      </c>
    </row>
    <row r="718" spans="1:10" ht="15.75" customHeight="1">
      <c r="A718" s="988"/>
      <c r="B718" s="122" t="str">
        <f t="shared" si="47"/>
        <v/>
      </c>
      <c r="C718" s="123"/>
      <c r="D718" s="131" t="str">
        <f t="array" ref="D718">IF(A718="","",SUMPRODUCT(('Detalle Turnos'!$I$3:$I$5028=$A718)*('Detalle Turnos'!$N$3:$N$5028=C718)*'Detalle Turnos'!$L$3:$L$5028))</f>
        <v/>
      </c>
      <c r="E718" s="127" t="str">
        <f t="array" ref="E718">IF(A718="","",SUMPRODUCT(('Detalle Turnos'!$I$3:$I$5028=$A718)*('Detalle Turnos'!$N$3:$N$5028=C718)*'Detalle Turnos'!$K$3:$K$5028))</f>
        <v/>
      </c>
      <c r="F718" s="127">
        <f t="shared" si="48"/>
        <v>0</v>
      </c>
      <c r="G718" s="127" t="str">
        <f t="array" ref="G718">IF(E718="","",IFERROR(SUMPRODUCT(('Facturación 2026'!$A$4:$A$920=$A718)*'Facturación 2026'!$J$4:$J$920)*E718/(SUMPRODUCT(('Caja 1'!$A$4:$A$919=$A718)*'Caja 1'!$E$4:$E$919)+SUMPRODUCT(('Caja 2'!$A$4:$A$920=$A718)*'Caja 2'!$E$4:$E$920)),0))</f>
        <v/>
      </c>
      <c r="H718" s="128" t="str">
        <f t="shared" si="49"/>
        <v/>
      </c>
      <c r="I718" s="124" t="str">
        <f t="shared" si="50"/>
        <v/>
      </c>
      <c r="J718" s="987" t="str">
        <f>IF(A718="","",IFERROR(INDEX('Facturación 2026'!$L$4:$L$500,MATCH($A718,'Facturación 2026'!$A$4:$A$500,0)),""))</f>
        <v/>
      </c>
    </row>
    <row r="719" spans="1:10" ht="15.75" customHeight="1">
      <c r="A719" s="988"/>
      <c r="B719" s="122" t="str">
        <f t="shared" si="47"/>
        <v/>
      </c>
      <c r="C719" s="123"/>
      <c r="D719" s="131" t="str">
        <f t="array" ref="D719">IF(A719="","",SUMPRODUCT(('Detalle Turnos'!$I$3:$I$5028=$A719)*('Detalle Turnos'!$N$3:$N$5028=C719)*'Detalle Turnos'!$L$3:$L$5028))</f>
        <v/>
      </c>
      <c r="E719" s="127" t="str">
        <f t="array" ref="E719">IF(A719="","",SUMPRODUCT(('Detalle Turnos'!$I$3:$I$5028=$A719)*('Detalle Turnos'!$N$3:$N$5028=C719)*'Detalle Turnos'!$K$3:$K$5028))</f>
        <v/>
      </c>
      <c r="F719" s="127">
        <f t="shared" si="48"/>
        <v>0</v>
      </c>
      <c r="G719" s="127" t="str">
        <f t="array" ref="G719">IF(E719="","",IFERROR(SUMPRODUCT(('Facturación 2026'!$A$4:$A$920=$A719)*'Facturación 2026'!$J$4:$J$920)*E719/(SUMPRODUCT(('Caja 1'!$A$4:$A$919=$A719)*'Caja 1'!$E$4:$E$919)+SUMPRODUCT(('Caja 2'!$A$4:$A$920=$A719)*'Caja 2'!$E$4:$E$920)),0))</f>
        <v/>
      </c>
      <c r="H719" s="128" t="str">
        <f t="shared" si="49"/>
        <v/>
      </c>
      <c r="I719" s="124" t="str">
        <f t="shared" si="50"/>
        <v/>
      </c>
      <c r="J719" s="987" t="str">
        <f>IF(A719="","",IFERROR(INDEX('Facturación 2026'!$L$4:$L$500,MATCH($A719,'Facturación 2026'!$A$4:$A$500,0)),""))</f>
        <v/>
      </c>
    </row>
    <row r="720" spans="1:10" ht="15.75" customHeight="1">
      <c r="A720" s="988"/>
      <c r="B720" s="122" t="str">
        <f t="shared" si="47"/>
        <v/>
      </c>
      <c r="C720" s="123"/>
      <c r="D720" s="131" t="str">
        <f t="array" ref="D720">IF(A720="","",SUMPRODUCT(('Detalle Turnos'!$I$3:$I$5028=$A720)*('Detalle Turnos'!$N$3:$N$5028=C720)*'Detalle Turnos'!$L$3:$L$5028))</f>
        <v/>
      </c>
      <c r="E720" s="127" t="str">
        <f t="array" ref="E720">IF(A720="","",SUMPRODUCT(('Detalle Turnos'!$I$3:$I$5028=$A720)*('Detalle Turnos'!$N$3:$N$5028=C720)*'Detalle Turnos'!$K$3:$K$5028))</f>
        <v/>
      </c>
      <c r="F720" s="127">
        <f t="shared" si="48"/>
        <v>0</v>
      </c>
      <c r="G720" s="127" t="str">
        <f t="array" ref="G720">IF(E720="","",IFERROR(SUMPRODUCT(('Facturación 2026'!$A$4:$A$920=$A720)*'Facturación 2026'!$J$4:$J$920)*E720/(SUMPRODUCT(('Caja 1'!$A$4:$A$919=$A720)*'Caja 1'!$E$4:$E$919)+SUMPRODUCT(('Caja 2'!$A$4:$A$920=$A720)*'Caja 2'!$E$4:$E$920)),0))</f>
        <v/>
      </c>
      <c r="H720" s="128" t="str">
        <f t="shared" si="49"/>
        <v/>
      </c>
      <c r="I720" s="124" t="str">
        <f t="shared" si="50"/>
        <v/>
      </c>
      <c r="J720" s="987" t="str">
        <f>IF(A720="","",IFERROR(INDEX('Facturación 2026'!$L$4:$L$500,MATCH($A720,'Facturación 2026'!$A$4:$A$500,0)),""))</f>
        <v/>
      </c>
    </row>
    <row r="721" spans="1:10" ht="15.75" customHeight="1">
      <c r="A721" s="988"/>
      <c r="B721" s="122" t="str">
        <f t="shared" si="47"/>
        <v/>
      </c>
      <c r="C721" s="123"/>
      <c r="D721" s="131" t="str">
        <f t="array" ref="D721">IF(A721="","",SUMPRODUCT(('Detalle Turnos'!$I$3:$I$5028=$A721)*('Detalle Turnos'!$N$3:$N$5028=C721)*'Detalle Turnos'!$L$3:$L$5028))</f>
        <v/>
      </c>
      <c r="E721" s="127" t="str">
        <f t="array" ref="E721">IF(A721="","",SUMPRODUCT(('Detalle Turnos'!$I$3:$I$5028=$A721)*('Detalle Turnos'!$N$3:$N$5028=C721)*'Detalle Turnos'!$K$3:$K$5028))</f>
        <v/>
      </c>
      <c r="F721" s="127">
        <f t="shared" si="48"/>
        <v>0</v>
      </c>
      <c r="G721" s="127" t="str">
        <f t="array" ref="G721">IF(E721="","",IFERROR(SUMPRODUCT(('Facturación 2026'!$A$4:$A$920=$A721)*'Facturación 2026'!$J$4:$J$920)*E721/(SUMPRODUCT(('Caja 1'!$A$4:$A$919=$A721)*'Caja 1'!$E$4:$E$919)+SUMPRODUCT(('Caja 2'!$A$4:$A$920=$A721)*'Caja 2'!$E$4:$E$920)),0))</f>
        <v/>
      </c>
      <c r="H721" s="128" t="str">
        <f t="shared" si="49"/>
        <v/>
      </c>
      <c r="I721" s="124" t="str">
        <f t="shared" si="50"/>
        <v/>
      </c>
      <c r="J721" s="987" t="str">
        <f>IF(A721="","",IFERROR(INDEX('Facturación 2026'!$L$4:$L$500,MATCH($A721,'Facturación 2026'!$A$4:$A$500,0)),""))</f>
        <v/>
      </c>
    </row>
    <row r="722" spans="1:10" ht="15.75" customHeight="1">
      <c r="A722" s="988"/>
      <c r="B722" s="122" t="str">
        <f t="shared" si="47"/>
        <v/>
      </c>
      <c r="C722" s="123"/>
      <c r="D722" s="131" t="str">
        <f t="array" ref="D722">IF(A722="","",SUMPRODUCT(('Detalle Turnos'!$I$3:$I$5028=$A722)*('Detalle Turnos'!$N$3:$N$5028=C722)*'Detalle Turnos'!$L$3:$L$5028))</f>
        <v/>
      </c>
      <c r="E722" s="127" t="str">
        <f t="array" ref="E722">IF(A722="","",SUMPRODUCT(('Detalle Turnos'!$I$3:$I$5028=$A722)*('Detalle Turnos'!$N$3:$N$5028=C722)*'Detalle Turnos'!$K$3:$K$5028))</f>
        <v/>
      </c>
      <c r="F722" s="127">
        <f t="shared" si="48"/>
        <v>0</v>
      </c>
      <c r="G722" s="127" t="str">
        <f t="array" ref="G722">IF(E722="","",IFERROR(SUMPRODUCT(('Facturación 2026'!$A$4:$A$920=$A722)*'Facturación 2026'!$J$4:$J$920)*E722/(SUMPRODUCT(('Caja 1'!$A$4:$A$919=$A722)*'Caja 1'!$E$4:$E$919)+SUMPRODUCT(('Caja 2'!$A$4:$A$920=$A722)*'Caja 2'!$E$4:$E$920)),0))</f>
        <v/>
      </c>
      <c r="H722" s="128" t="str">
        <f t="shared" si="49"/>
        <v/>
      </c>
      <c r="I722" s="124" t="str">
        <f t="shared" si="50"/>
        <v/>
      </c>
      <c r="J722" s="987" t="str">
        <f>IF(A722="","",IFERROR(INDEX('Facturación 2026'!$L$4:$L$500,MATCH($A722,'Facturación 2026'!$A$4:$A$500,0)),""))</f>
        <v/>
      </c>
    </row>
    <row r="723" spans="1:10" ht="15.75" customHeight="1">
      <c r="A723" s="988"/>
      <c r="B723" s="122" t="str">
        <f t="shared" si="47"/>
        <v/>
      </c>
      <c r="C723" s="123"/>
      <c r="D723" s="131" t="str">
        <f t="array" ref="D723">IF(A723="","",SUMPRODUCT(('Detalle Turnos'!$I$3:$I$5028=$A723)*('Detalle Turnos'!$N$3:$N$5028=C723)*'Detalle Turnos'!$L$3:$L$5028))</f>
        <v/>
      </c>
      <c r="E723" s="127" t="str">
        <f t="array" ref="E723">IF(A723="","",SUMPRODUCT(('Detalle Turnos'!$I$3:$I$5028=$A723)*('Detalle Turnos'!$N$3:$N$5028=C723)*'Detalle Turnos'!$K$3:$K$5028))</f>
        <v/>
      </c>
      <c r="F723" s="127">
        <f t="shared" si="48"/>
        <v>0</v>
      </c>
      <c r="G723" s="127" t="str">
        <f t="array" ref="G723">IF(E723="","",IFERROR(SUMPRODUCT(('Facturación 2026'!$A$4:$A$920=$A723)*'Facturación 2026'!$J$4:$J$920)*E723/(SUMPRODUCT(('Caja 1'!$A$4:$A$919=$A723)*'Caja 1'!$E$4:$E$919)+SUMPRODUCT(('Caja 2'!$A$4:$A$920=$A723)*'Caja 2'!$E$4:$E$920)),0))</f>
        <v/>
      </c>
      <c r="H723" s="128" t="str">
        <f t="shared" si="49"/>
        <v/>
      </c>
      <c r="I723" s="124" t="str">
        <f t="shared" si="50"/>
        <v/>
      </c>
      <c r="J723" s="987" t="str">
        <f>IF(A723="","",IFERROR(INDEX('Facturación 2026'!$L$4:$L$500,MATCH($A723,'Facturación 2026'!$A$4:$A$500,0)),""))</f>
        <v/>
      </c>
    </row>
    <row r="724" spans="1:10" ht="15.75" customHeight="1">
      <c r="A724" s="988"/>
      <c r="B724" s="122" t="str">
        <f t="shared" si="47"/>
        <v/>
      </c>
      <c r="C724" s="123"/>
      <c r="D724" s="131" t="str">
        <f t="array" ref="D724">IF(A724="","",SUMPRODUCT(('Detalle Turnos'!$I$3:$I$5028=$A724)*('Detalle Turnos'!$N$3:$N$5028=C724)*'Detalle Turnos'!$L$3:$L$5028))</f>
        <v/>
      </c>
      <c r="E724" s="127" t="str">
        <f t="array" ref="E724">IF(A724="","",SUMPRODUCT(('Detalle Turnos'!$I$3:$I$5028=$A724)*('Detalle Turnos'!$N$3:$N$5028=C724)*'Detalle Turnos'!$K$3:$K$5028))</f>
        <v/>
      </c>
      <c r="F724" s="127">
        <f t="shared" si="48"/>
        <v>0</v>
      </c>
      <c r="G724" s="127" t="str">
        <f t="array" ref="G724">IF(E724="","",IFERROR(SUMPRODUCT(('Facturación 2026'!$A$4:$A$920=$A724)*'Facturación 2026'!$J$4:$J$920)*E724/(SUMPRODUCT(('Caja 1'!$A$4:$A$919=$A724)*'Caja 1'!$E$4:$E$919)+SUMPRODUCT(('Caja 2'!$A$4:$A$920=$A724)*'Caja 2'!$E$4:$E$920)),0))</f>
        <v/>
      </c>
      <c r="H724" s="128" t="str">
        <f t="shared" si="49"/>
        <v/>
      </c>
      <c r="I724" s="124" t="str">
        <f t="shared" si="50"/>
        <v/>
      </c>
      <c r="J724" s="987" t="str">
        <f>IF(A724="","",IFERROR(INDEX('Facturación 2026'!$L$4:$L$500,MATCH($A724,'Facturación 2026'!$A$4:$A$500,0)),""))</f>
        <v/>
      </c>
    </row>
    <row r="725" spans="1:10" ht="15.75" customHeight="1">
      <c r="A725" s="988"/>
      <c r="B725" s="122" t="str">
        <f t="shared" si="47"/>
        <v/>
      </c>
      <c r="C725" s="123"/>
      <c r="D725" s="131" t="str">
        <f t="array" ref="D725">IF(A725="","",SUMPRODUCT(('Detalle Turnos'!$I$3:$I$5028=$A725)*('Detalle Turnos'!$N$3:$N$5028=C725)*'Detalle Turnos'!$L$3:$L$5028))</f>
        <v/>
      </c>
      <c r="E725" s="127" t="str">
        <f t="array" ref="E725">IF(A725="","",SUMPRODUCT(('Detalle Turnos'!$I$3:$I$5028=$A725)*('Detalle Turnos'!$N$3:$N$5028=C725)*'Detalle Turnos'!$K$3:$K$5028))</f>
        <v/>
      </c>
      <c r="F725" s="127">
        <f t="shared" si="48"/>
        <v>0</v>
      </c>
      <c r="G725" s="127" t="str">
        <f t="array" ref="G725">IF(E725="","",IFERROR(SUMPRODUCT(('Facturación 2026'!$A$4:$A$920=$A725)*'Facturación 2026'!$J$4:$J$920)*E725/(SUMPRODUCT(('Caja 1'!$A$4:$A$919=$A725)*'Caja 1'!$E$4:$E$919)+SUMPRODUCT(('Caja 2'!$A$4:$A$920=$A725)*'Caja 2'!$E$4:$E$920)),0))</f>
        <v/>
      </c>
      <c r="H725" s="128" t="str">
        <f t="shared" si="49"/>
        <v/>
      </c>
      <c r="I725" s="124" t="str">
        <f t="shared" si="50"/>
        <v/>
      </c>
      <c r="J725" s="987" t="str">
        <f>IF(A725="","",IFERROR(INDEX('Facturación 2026'!$L$4:$L$500,MATCH($A725,'Facturación 2026'!$A$4:$A$500,0)),""))</f>
        <v/>
      </c>
    </row>
    <row r="726" spans="1:10" ht="15.75" customHeight="1">
      <c r="A726" s="988"/>
      <c r="B726" s="122" t="str">
        <f t="shared" si="47"/>
        <v/>
      </c>
      <c r="C726" s="123"/>
      <c r="D726" s="131" t="str">
        <f t="array" ref="D726">IF(A726="","",SUMPRODUCT(('Detalle Turnos'!$I$3:$I$5028=$A726)*('Detalle Turnos'!$N$3:$N$5028=C726)*'Detalle Turnos'!$L$3:$L$5028))</f>
        <v/>
      </c>
      <c r="E726" s="127" t="str">
        <f t="array" ref="E726">IF(A726="","",SUMPRODUCT(('Detalle Turnos'!$I$3:$I$5028=$A726)*('Detalle Turnos'!$N$3:$N$5028=C726)*'Detalle Turnos'!$K$3:$K$5028))</f>
        <v/>
      </c>
      <c r="F726" s="127">
        <f t="shared" si="48"/>
        <v>0</v>
      </c>
      <c r="G726" s="127" t="str">
        <f t="array" ref="G726">IF(E726="","",IFERROR(SUMPRODUCT(('Facturación 2026'!$A$4:$A$920=$A726)*'Facturación 2026'!$J$4:$J$920)*E726/(SUMPRODUCT(('Caja 1'!$A$4:$A$919=$A726)*'Caja 1'!$E$4:$E$919)+SUMPRODUCT(('Caja 2'!$A$4:$A$920=$A726)*'Caja 2'!$E$4:$E$920)),0))</f>
        <v/>
      </c>
      <c r="H726" s="128" t="str">
        <f t="shared" si="49"/>
        <v/>
      </c>
      <c r="I726" s="124" t="str">
        <f t="shared" si="50"/>
        <v/>
      </c>
      <c r="J726" s="987" t="str">
        <f>IF(A726="","",IFERROR(INDEX('Facturación 2026'!$L$4:$L$500,MATCH($A726,'Facturación 2026'!$A$4:$A$500,0)),""))</f>
        <v/>
      </c>
    </row>
    <row r="727" spans="1:10" ht="15.75" customHeight="1">
      <c r="A727" s="988"/>
      <c r="B727" s="122" t="str">
        <f t="shared" si="47"/>
        <v/>
      </c>
      <c r="C727" s="123"/>
      <c r="D727" s="131" t="str">
        <f t="array" ref="D727">IF(A727="","",SUMPRODUCT(('Detalle Turnos'!$I$3:$I$5028=$A727)*('Detalle Turnos'!$N$3:$N$5028=C727)*'Detalle Turnos'!$L$3:$L$5028))</f>
        <v/>
      </c>
      <c r="E727" s="127" t="str">
        <f t="array" ref="E727">IF(A727="","",SUMPRODUCT(('Detalle Turnos'!$I$3:$I$5028=$A727)*('Detalle Turnos'!$N$3:$N$5028=C727)*'Detalle Turnos'!$K$3:$K$5028))</f>
        <v/>
      </c>
      <c r="F727" s="127">
        <f t="shared" si="48"/>
        <v>0</v>
      </c>
      <c r="G727" s="127" t="str">
        <f t="array" ref="G727">IF(E727="","",IFERROR(SUMPRODUCT(('Facturación 2026'!$A$4:$A$920=$A727)*'Facturación 2026'!$J$4:$J$920)*E727/(SUMPRODUCT(('Caja 1'!$A$4:$A$919=$A727)*'Caja 1'!$E$4:$E$919)+SUMPRODUCT(('Caja 2'!$A$4:$A$920=$A727)*'Caja 2'!$E$4:$E$920)),0))</f>
        <v/>
      </c>
      <c r="H727" s="128" t="str">
        <f t="shared" si="49"/>
        <v/>
      </c>
      <c r="I727" s="124" t="str">
        <f t="shared" si="50"/>
        <v/>
      </c>
      <c r="J727" s="987" t="str">
        <f>IF(A727="","",IFERROR(INDEX('Facturación 2026'!$L$4:$L$500,MATCH($A727,'Facturación 2026'!$A$4:$A$500,0)),""))</f>
        <v/>
      </c>
    </row>
    <row r="728" spans="1:10" ht="15.75" customHeight="1">
      <c r="A728" s="988"/>
      <c r="B728" s="122" t="str">
        <f t="shared" si="47"/>
        <v/>
      </c>
      <c r="C728" s="123"/>
      <c r="D728" s="131" t="str">
        <f t="array" ref="D728">IF(A728="","",SUMPRODUCT(('Detalle Turnos'!$I$3:$I$5028=$A728)*('Detalle Turnos'!$N$3:$N$5028=C728)*'Detalle Turnos'!$L$3:$L$5028))</f>
        <v/>
      </c>
      <c r="E728" s="127" t="str">
        <f t="array" ref="E728">IF(A728="","",SUMPRODUCT(('Detalle Turnos'!$I$3:$I$5028=$A728)*('Detalle Turnos'!$N$3:$N$5028=C728)*'Detalle Turnos'!$K$3:$K$5028))</f>
        <v/>
      </c>
      <c r="F728" s="127">
        <f t="shared" si="48"/>
        <v>0</v>
      </c>
      <c r="G728" s="127" t="str">
        <f t="array" ref="G728">IF(E728="","",IFERROR(SUMPRODUCT(('Facturación 2026'!$A$4:$A$920=$A728)*'Facturación 2026'!$J$4:$J$920)*E728/(SUMPRODUCT(('Caja 1'!$A$4:$A$919=$A728)*'Caja 1'!$E$4:$E$919)+SUMPRODUCT(('Caja 2'!$A$4:$A$920=$A728)*'Caja 2'!$E$4:$E$920)),0))</f>
        <v/>
      </c>
      <c r="H728" s="128" t="str">
        <f t="shared" si="49"/>
        <v/>
      </c>
      <c r="I728" s="124" t="str">
        <f t="shared" si="50"/>
        <v/>
      </c>
      <c r="J728" s="987" t="str">
        <f>IF(A728="","",IFERROR(INDEX('Facturación 2026'!$L$4:$L$500,MATCH($A728,'Facturación 2026'!$A$4:$A$500,0)),""))</f>
        <v/>
      </c>
    </row>
    <row r="729" spans="1:10" ht="15.75" customHeight="1">
      <c r="A729" s="988"/>
      <c r="B729" s="122" t="str">
        <f t="shared" si="47"/>
        <v/>
      </c>
      <c r="C729" s="123"/>
      <c r="D729" s="131" t="str">
        <f t="array" ref="D729">IF(A729="","",SUMPRODUCT(('Detalle Turnos'!$I$3:$I$5028=$A729)*('Detalle Turnos'!$N$3:$N$5028=C729)*'Detalle Turnos'!$L$3:$L$5028))</f>
        <v/>
      </c>
      <c r="E729" s="127" t="str">
        <f t="array" ref="E729">IF(A729="","",SUMPRODUCT(('Detalle Turnos'!$I$3:$I$5028=$A729)*('Detalle Turnos'!$N$3:$N$5028=C729)*'Detalle Turnos'!$K$3:$K$5028))</f>
        <v/>
      </c>
      <c r="F729" s="127">
        <f t="shared" si="48"/>
        <v>0</v>
      </c>
      <c r="G729" s="127" t="str">
        <f t="array" ref="G729">IF(E729="","",IFERROR(SUMPRODUCT(('Facturación 2026'!$A$4:$A$920=$A729)*'Facturación 2026'!$J$4:$J$920)*E729/(SUMPRODUCT(('Caja 1'!$A$4:$A$919=$A729)*'Caja 1'!$E$4:$E$919)+SUMPRODUCT(('Caja 2'!$A$4:$A$920=$A729)*'Caja 2'!$E$4:$E$920)),0))</f>
        <v/>
      </c>
      <c r="H729" s="128" t="str">
        <f t="shared" si="49"/>
        <v/>
      </c>
      <c r="I729" s="124" t="str">
        <f t="shared" si="50"/>
        <v/>
      </c>
      <c r="J729" s="987" t="str">
        <f>IF(A729="","",IFERROR(INDEX('Facturación 2026'!$L$4:$L$500,MATCH($A729,'Facturación 2026'!$A$4:$A$500,0)),""))</f>
        <v/>
      </c>
    </row>
    <row r="730" spans="1:10" ht="15.75" customHeight="1">
      <c r="A730" s="988"/>
      <c r="B730" s="122" t="str">
        <f t="shared" si="47"/>
        <v/>
      </c>
      <c r="C730" s="123"/>
      <c r="D730" s="131" t="str">
        <f t="array" ref="D730">IF(A730="","",SUMPRODUCT(('Detalle Turnos'!$I$3:$I$5028=$A730)*('Detalle Turnos'!$N$3:$N$5028=C730)*'Detalle Turnos'!$L$3:$L$5028))</f>
        <v/>
      </c>
      <c r="E730" s="127" t="str">
        <f t="array" ref="E730">IF(A730="","",SUMPRODUCT(('Detalle Turnos'!$I$3:$I$5028=$A730)*('Detalle Turnos'!$N$3:$N$5028=C730)*'Detalle Turnos'!$K$3:$K$5028))</f>
        <v/>
      </c>
      <c r="F730" s="127">
        <f t="shared" si="48"/>
        <v>0</v>
      </c>
      <c r="G730" s="127" t="str">
        <f t="array" ref="G730">IF(E730="","",IFERROR(SUMPRODUCT(('Facturación 2026'!$A$4:$A$920=$A730)*'Facturación 2026'!$J$4:$J$920)*E730/(SUMPRODUCT(('Caja 1'!$A$4:$A$919=$A730)*'Caja 1'!$E$4:$E$919)+SUMPRODUCT(('Caja 2'!$A$4:$A$920=$A730)*'Caja 2'!$E$4:$E$920)),0))</f>
        <v/>
      </c>
      <c r="H730" s="128" t="str">
        <f t="shared" si="49"/>
        <v/>
      </c>
      <c r="I730" s="124" t="str">
        <f t="shared" si="50"/>
        <v/>
      </c>
      <c r="J730" s="987" t="str">
        <f>IF(A730="","",IFERROR(INDEX('Facturación 2026'!$L$4:$L$500,MATCH($A730,'Facturación 2026'!$A$4:$A$500,0)),""))</f>
        <v/>
      </c>
    </row>
    <row r="731" spans="1:10" ht="15.75" customHeight="1">
      <c r="A731" s="988"/>
      <c r="B731" s="122" t="str">
        <f t="shared" si="47"/>
        <v/>
      </c>
      <c r="C731" s="123"/>
      <c r="D731" s="131" t="str">
        <f t="array" ref="D731">IF(A731="","",SUMPRODUCT(('Detalle Turnos'!$I$3:$I$5028=$A731)*('Detalle Turnos'!$N$3:$N$5028=C731)*'Detalle Turnos'!$L$3:$L$5028))</f>
        <v/>
      </c>
      <c r="E731" s="127" t="str">
        <f t="array" ref="E731">IF(A731="","",SUMPRODUCT(('Detalle Turnos'!$I$3:$I$5028=$A731)*('Detalle Turnos'!$N$3:$N$5028=C731)*'Detalle Turnos'!$K$3:$K$5028))</f>
        <v/>
      </c>
      <c r="F731" s="127">
        <f t="shared" si="48"/>
        <v>0</v>
      </c>
      <c r="G731" s="127" t="str">
        <f t="array" ref="G731">IF(E731="","",IFERROR(SUMPRODUCT(('Facturación 2026'!$A$4:$A$920=$A731)*'Facturación 2026'!$J$4:$J$920)*E731/(SUMPRODUCT(('Caja 1'!$A$4:$A$919=$A731)*'Caja 1'!$E$4:$E$919)+SUMPRODUCT(('Caja 2'!$A$4:$A$920=$A731)*'Caja 2'!$E$4:$E$920)),0))</f>
        <v/>
      </c>
      <c r="H731" s="128" t="str">
        <f t="shared" si="49"/>
        <v/>
      </c>
      <c r="I731" s="124" t="str">
        <f t="shared" si="50"/>
        <v/>
      </c>
      <c r="J731" s="987" t="str">
        <f>IF(A731="","",IFERROR(INDEX('Facturación 2026'!$L$4:$L$500,MATCH($A731,'Facturación 2026'!$A$4:$A$500,0)),""))</f>
        <v/>
      </c>
    </row>
    <row r="732" spans="1:10" ht="15.75" customHeight="1">
      <c r="A732" s="988"/>
      <c r="B732" s="122" t="str">
        <f t="shared" si="47"/>
        <v/>
      </c>
      <c r="C732" s="123"/>
      <c r="D732" s="131" t="str">
        <f t="array" ref="D732">IF(A732="","",SUMPRODUCT(('Detalle Turnos'!$I$3:$I$5028=$A732)*('Detalle Turnos'!$N$3:$N$5028=C732)*'Detalle Turnos'!$L$3:$L$5028))</f>
        <v/>
      </c>
      <c r="E732" s="127" t="str">
        <f t="array" ref="E732">IF(A732="","",SUMPRODUCT(('Detalle Turnos'!$I$3:$I$5028=$A732)*('Detalle Turnos'!$N$3:$N$5028=C732)*'Detalle Turnos'!$K$3:$K$5028))</f>
        <v/>
      </c>
      <c r="F732" s="127">
        <f t="shared" si="48"/>
        <v>0</v>
      </c>
      <c r="G732" s="127" t="str">
        <f t="array" ref="G732">IF(E732="","",IFERROR(SUMPRODUCT(('Facturación 2026'!$A$4:$A$920=$A732)*'Facturación 2026'!$J$4:$J$920)*E732/(SUMPRODUCT(('Caja 1'!$A$4:$A$919=$A732)*'Caja 1'!$E$4:$E$919)+SUMPRODUCT(('Caja 2'!$A$4:$A$920=$A732)*'Caja 2'!$E$4:$E$920)),0))</f>
        <v/>
      </c>
      <c r="H732" s="128" t="str">
        <f t="shared" si="49"/>
        <v/>
      </c>
      <c r="I732" s="124" t="str">
        <f t="shared" si="50"/>
        <v/>
      </c>
      <c r="J732" s="987" t="str">
        <f>IF(A732="","",IFERROR(INDEX('Facturación 2026'!$L$4:$L$500,MATCH($A732,'Facturación 2026'!$A$4:$A$500,0)),""))</f>
        <v/>
      </c>
    </row>
    <row r="733" spans="1:10" ht="15.75" customHeight="1">
      <c r="A733" s="988"/>
      <c r="B733" s="122" t="str">
        <f t="shared" si="47"/>
        <v/>
      </c>
      <c r="C733" s="123"/>
      <c r="D733" s="131" t="str">
        <f t="array" ref="D733">IF(A733="","",SUMPRODUCT(('Detalle Turnos'!$I$3:$I$5028=$A733)*('Detalle Turnos'!$N$3:$N$5028=C733)*'Detalle Turnos'!$L$3:$L$5028))</f>
        <v/>
      </c>
      <c r="E733" s="127" t="str">
        <f t="array" ref="E733">IF(A733="","",SUMPRODUCT(('Detalle Turnos'!$I$3:$I$5028=$A733)*('Detalle Turnos'!$N$3:$N$5028=C733)*'Detalle Turnos'!$K$3:$K$5028))</f>
        <v/>
      </c>
      <c r="F733" s="127">
        <f t="shared" si="48"/>
        <v>0</v>
      </c>
      <c r="G733" s="127" t="str">
        <f t="array" ref="G733">IF(E733="","",IFERROR(SUMPRODUCT(('Facturación 2026'!$A$4:$A$920=$A733)*'Facturación 2026'!$J$4:$J$920)*E733/(SUMPRODUCT(('Caja 1'!$A$4:$A$919=$A733)*'Caja 1'!$E$4:$E$919)+SUMPRODUCT(('Caja 2'!$A$4:$A$920=$A733)*'Caja 2'!$E$4:$E$920)),0))</f>
        <v/>
      </c>
      <c r="H733" s="128" t="str">
        <f t="shared" si="49"/>
        <v/>
      </c>
      <c r="I733" s="124" t="str">
        <f t="shared" si="50"/>
        <v/>
      </c>
      <c r="J733" s="987" t="str">
        <f>IF(A733="","",IFERROR(INDEX('Facturación 2026'!$L$4:$L$500,MATCH($A733,'Facturación 2026'!$A$4:$A$500,0)),""))</f>
        <v/>
      </c>
    </row>
    <row r="734" spans="1:10" ht="15.75" customHeight="1">
      <c r="A734" s="988"/>
      <c r="B734" s="122" t="str">
        <f t="shared" si="47"/>
        <v/>
      </c>
      <c r="C734" s="123"/>
      <c r="D734" s="131" t="str">
        <f t="array" ref="D734">IF(A734="","",SUMPRODUCT(('Detalle Turnos'!$I$3:$I$5028=$A734)*('Detalle Turnos'!$N$3:$N$5028=C734)*'Detalle Turnos'!$L$3:$L$5028))</f>
        <v/>
      </c>
      <c r="E734" s="127" t="str">
        <f t="array" ref="E734">IF(A734="","",SUMPRODUCT(('Detalle Turnos'!$I$3:$I$5028=$A734)*('Detalle Turnos'!$N$3:$N$5028=C734)*'Detalle Turnos'!$K$3:$K$5028))</f>
        <v/>
      </c>
      <c r="F734" s="127">
        <f t="shared" si="48"/>
        <v>0</v>
      </c>
      <c r="G734" s="127" t="str">
        <f t="array" ref="G734">IF(E734="","",IFERROR(SUMPRODUCT(('Facturación 2026'!$A$4:$A$920=$A734)*'Facturación 2026'!$J$4:$J$920)*E734/(SUMPRODUCT(('Caja 1'!$A$4:$A$919=$A734)*'Caja 1'!$E$4:$E$919)+SUMPRODUCT(('Caja 2'!$A$4:$A$920=$A734)*'Caja 2'!$E$4:$E$920)),0))</f>
        <v/>
      </c>
      <c r="H734" s="128" t="str">
        <f t="shared" si="49"/>
        <v/>
      </c>
      <c r="I734" s="124" t="str">
        <f t="shared" si="50"/>
        <v/>
      </c>
      <c r="J734" s="987" t="str">
        <f>IF(A734="","",IFERROR(INDEX('Facturación 2026'!$L$4:$L$500,MATCH($A734,'Facturación 2026'!$A$4:$A$500,0)),""))</f>
        <v/>
      </c>
    </row>
    <row r="735" spans="1:10" ht="15.75" customHeight="1">
      <c r="A735" s="988"/>
      <c r="B735" s="122" t="str">
        <f t="shared" si="47"/>
        <v/>
      </c>
      <c r="C735" s="123"/>
      <c r="D735" s="131" t="str">
        <f t="array" ref="D735">IF(A735="","",SUMPRODUCT(('Detalle Turnos'!$I$3:$I$5028=$A735)*('Detalle Turnos'!$N$3:$N$5028=C735)*'Detalle Turnos'!$L$3:$L$5028))</f>
        <v/>
      </c>
      <c r="E735" s="127" t="str">
        <f t="array" ref="E735">IF(A735="","",SUMPRODUCT(('Detalle Turnos'!$I$3:$I$5028=$A735)*('Detalle Turnos'!$N$3:$N$5028=C735)*'Detalle Turnos'!$K$3:$K$5028))</f>
        <v/>
      </c>
      <c r="F735" s="127">
        <f t="shared" si="48"/>
        <v>0</v>
      </c>
      <c r="G735" s="127" t="str">
        <f t="array" ref="G735">IF(E735="","",IFERROR(SUMPRODUCT(('Facturación 2026'!$A$4:$A$920=$A735)*'Facturación 2026'!$J$4:$J$920)*E735/(SUMPRODUCT(('Caja 1'!$A$4:$A$919=$A735)*'Caja 1'!$E$4:$E$919)+SUMPRODUCT(('Caja 2'!$A$4:$A$920=$A735)*'Caja 2'!$E$4:$E$920)),0))</f>
        <v/>
      </c>
      <c r="H735" s="128" t="str">
        <f t="shared" si="49"/>
        <v/>
      </c>
      <c r="I735" s="124" t="str">
        <f t="shared" si="50"/>
        <v/>
      </c>
      <c r="J735" s="987" t="str">
        <f>IF(A735="","",IFERROR(INDEX('Facturación 2026'!$L$4:$L$500,MATCH($A735,'Facturación 2026'!$A$4:$A$500,0)),""))</f>
        <v/>
      </c>
    </row>
    <row r="736" spans="1:10" ht="15.75" customHeight="1">
      <c r="A736" s="988"/>
      <c r="B736" s="122" t="str">
        <f t="shared" si="47"/>
        <v/>
      </c>
      <c r="C736" s="123"/>
      <c r="D736" s="131" t="str">
        <f t="array" ref="D736">IF(A736="","",SUMPRODUCT(('Detalle Turnos'!$I$3:$I$5028=$A736)*('Detalle Turnos'!$N$3:$N$5028=C736)*'Detalle Turnos'!$L$3:$L$5028))</f>
        <v/>
      </c>
      <c r="E736" s="127" t="str">
        <f t="array" ref="E736">IF(A736="","",SUMPRODUCT(('Detalle Turnos'!$I$3:$I$5028=$A736)*('Detalle Turnos'!$N$3:$N$5028=C736)*'Detalle Turnos'!$K$3:$K$5028))</f>
        <v/>
      </c>
      <c r="F736" s="127">
        <f t="shared" si="48"/>
        <v>0</v>
      </c>
      <c r="G736" s="127" t="str">
        <f t="array" ref="G736">IF(E736="","",IFERROR(SUMPRODUCT(('Facturación 2026'!$A$4:$A$920=$A736)*'Facturación 2026'!$J$4:$J$920)*E736/(SUMPRODUCT(('Caja 1'!$A$4:$A$919=$A736)*'Caja 1'!$E$4:$E$919)+SUMPRODUCT(('Caja 2'!$A$4:$A$920=$A736)*'Caja 2'!$E$4:$E$920)),0))</f>
        <v/>
      </c>
      <c r="H736" s="128" t="str">
        <f t="shared" si="49"/>
        <v/>
      </c>
      <c r="I736" s="124" t="str">
        <f t="shared" si="50"/>
        <v/>
      </c>
      <c r="J736" s="987" t="str">
        <f>IF(A736="","",IFERROR(INDEX('Facturación 2026'!$L$4:$L$500,MATCH($A736,'Facturación 2026'!$A$4:$A$500,0)),""))</f>
        <v/>
      </c>
    </row>
    <row r="737" spans="1:10" ht="15.75" customHeight="1">
      <c r="A737" s="988"/>
      <c r="B737" s="122" t="str">
        <f t="shared" si="47"/>
        <v/>
      </c>
      <c r="C737" s="123"/>
      <c r="D737" s="131" t="str">
        <f t="array" ref="D737">IF(A737="","",SUMPRODUCT(('Detalle Turnos'!$I$3:$I$5028=$A737)*('Detalle Turnos'!$N$3:$N$5028=C737)*'Detalle Turnos'!$L$3:$L$5028))</f>
        <v/>
      </c>
      <c r="E737" s="127" t="str">
        <f t="array" ref="E737">IF(A737="","",SUMPRODUCT(('Detalle Turnos'!$I$3:$I$5028=$A737)*('Detalle Turnos'!$N$3:$N$5028=C737)*'Detalle Turnos'!$K$3:$K$5028))</f>
        <v/>
      </c>
      <c r="F737" s="127">
        <f t="shared" si="48"/>
        <v>0</v>
      </c>
      <c r="G737" s="127" t="str">
        <f t="array" ref="G737">IF(E737="","",IFERROR(SUMPRODUCT(('Facturación 2026'!$A$4:$A$920=$A737)*'Facturación 2026'!$J$4:$J$920)*E737/(SUMPRODUCT(('Caja 1'!$A$4:$A$919=$A737)*'Caja 1'!$E$4:$E$919)+SUMPRODUCT(('Caja 2'!$A$4:$A$920=$A737)*'Caja 2'!$E$4:$E$920)),0))</f>
        <v/>
      </c>
      <c r="H737" s="128" t="str">
        <f t="shared" si="49"/>
        <v/>
      </c>
      <c r="I737" s="124" t="str">
        <f t="shared" si="50"/>
        <v/>
      </c>
      <c r="J737" s="987" t="str">
        <f>IF(A737="","",IFERROR(INDEX('Facturación 2026'!$L$4:$L$500,MATCH($A737,'Facturación 2026'!$A$4:$A$500,0)),""))</f>
        <v/>
      </c>
    </row>
    <row r="738" spans="1:10" ht="15.75" customHeight="1">
      <c r="A738" s="988"/>
      <c r="B738" s="122" t="str">
        <f t="shared" si="47"/>
        <v/>
      </c>
      <c r="C738" s="123"/>
      <c r="D738" s="131" t="str">
        <f t="array" ref="D738">IF(A738="","",SUMPRODUCT(('Detalle Turnos'!$I$3:$I$5028=$A738)*('Detalle Turnos'!$N$3:$N$5028=C738)*'Detalle Turnos'!$L$3:$L$5028))</f>
        <v/>
      </c>
      <c r="E738" s="127" t="str">
        <f t="array" ref="E738">IF(A738="","",SUMPRODUCT(('Detalle Turnos'!$I$3:$I$5028=$A738)*('Detalle Turnos'!$N$3:$N$5028=C738)*'Detalle Turnos'!$K$3:$K$5028))</f>
        <v/>
      </c>
      <c r="F738" s="127">
        <f t="shared" si="48"/>
        <v>0</v>
      </c>
      <c r="G738" s="127" t="str">
        <f t="array" ref="G738">IF(E738="","",IFERROR(SUMPRODUCT(('Facturación 2026'!$A$4:$A$920=$A738)*'Facturación 2026'!$J$4:$J$920)*E738/(SUMPRODUCT(('Caja 1'!$A$4:$A$919=$A738)*'Caja 1'!$E$4:$E$919)+SUMPRODUCT(('Caja 2'!$A$4:$A$920=$A738)*'Caja 2'!$E$4:$E$920)),0))</f>
        <v/>
      </c>
      <c r="H738" s="128" t="str">
        <f t="shared" si="49"/>
        <v/>
      </c>
      <c r="I738" s="124" t="str">
        <f t="shared" si="50"/>
        <v/>
      </c>
      <c r="J738" s="987" t="str">
        <f>IF(A738="","",IFERROR(INDEX('Facturación 2026'!$L$4:$L$500,MATCH($A738,'Facturación 2026'!$A$4:$A$500,0)),""))</f>
        <v/>
      </c>
    </row>
    <row r="739" spans="1:10" ht="15.75" customHeight="1">
      <c r="A739" s="988"/>
      <c r="B739" s="122" t="str">
        <f t="shared" si="47"/>
        <v/>
      </c>
      <c r="C739" s="123"/>
      <c r="D739" s="131" t="str">
        <f t="array" ref="D739">IF(A739="","",SUMPRODUCT(('Detalle Turnos'!$I$3:$I$5028=$A739)*('Detalle Turnos'!$N$3:$N$5028=C739)*'Detalle Turnos'!$L$3:$L$5028))</f>
        <v/>
      </c>
      <c r="E739" s="127" t="str">
        <f t="array" ref="E739">IF(A739="","",SUMPRODUCT(('Detalle Turnos'!$I$3:$I$5028=$A739)*('Detalle Turnos'!$N$3:$N$5028=C739)*'Detalle Turnos'!$K$3:$K$5028))</f>
        <v/>
      </c>
      <c r="F739" s="127">
        <f t="shared" si="48"/>
        <v>0</v>
      </c>
      <c r="G739" s="127" t="str">
        <f t="array" ref="G739">IF(E739="","",IFERROR(SUMPRODUCT(('Facturación 2026'!$A$4:$A$920=$A739)*'Facturación 2026'!$J$4:$J$920)*E739/(SUMPRODUCT(('Caja 1'!$A$4:$A$919=$A739)*'Caja 1'!$E$4:$E$919)+SUMPRODUCT(('Caja 2'!$A$4:$A$920=$A739)*'Caja 2'!$E$4:$E$920)),0))</f>
        <v/>
      </c>
      <c r="H739" s="128" t="str">
        <f t="shared" si="49"/>
        <v/>
      </c>
      <c r="I739" s="124" t="str">
        <f t="shared" si="50"/>
        <v/>
      </c>
      <c r="J739" s="987" t="str">
        <f>IF(A739="","",IFERROR(INDEX('Facturación 2026'!$L$4:$L$500,MATCH($A739,'Facturación 2026'!$A$4:$A$500,0)),""))</f>
        <v/>
      </c>
    </row>
    <row r="740" spans="1:10" ht="15.75" customHeight="1">
      <c r="A740" s="988"/>
      <c r="B740" s="122" t="str">
        <f t="shared" si="47"/>
        <v/>
      </c>
      <c r="C740" s="123"/>
      <c r="D740" s="131" t="str">
        <f t="array" ref="D740">IF(A740="","",SUMPRODUCT(('Detalle Turnos'!$I$3:$I$5028=$A740)*('Detalle Turnos'!$N$3:$N$5028=C740)*'Detalle Turnos'!$L$3:$L$5028))</f>
        <v/>
      </c>
      <c r="E740" s="127" t="str">
        <f t="array" ref="E740">IF(A740="","",SUMPRODUCT(('Detalle Turnos'!$I$3:$I$5028=$A740)*('Detalle Turnos'!$N$3:$N$5028=C740)*'Detalle Turnos'!$K$3:$K$5028))</f>
        <v/>
      </c>
      <c r="F740" s="127">
        <f t="shared" si="48"/>
        <v>0</v>
      </c>
      <c r="G740" s="127" t="str">
        <f t="array" ref="G740">IF(E740="","",IFERROR(SUMPRODUCT(('Facturación 2026'!$A$4:$A$920=$A740)*'Facturación 2026'!$J$4:$J$920)*E740/(SUMPRODUCT(('Caja 1'!$A$4:$A$919=$A740)*'Caja 1'!$E$4:$E$919)+SUMPRODUCT(('Caja 2'!$A$4:$A$920=$A740)*'Caja 2'!$E$4:$E$920)),0))</f>
        <v/>
      </c>
      <c r="H740" s="128" t="str">
        <f t="shared" si="49"/>
        <v/>
      </c>
      <c r="I740" s="124" t="str">
        <f t="shared" si="50"/>
        <v/>
      </c>
      <c r="J740" s="987" t="str">
        <f>IF(A740="","",IFERROR(INDEX('Facturación 2026'!$L$4:$L$500,MATCH($A740,'Facturación 2026'!$A$4:$A$500,0)),""))</f>
        <v/>
      </c>
    </row>
    <row r="741" spans="1:10" ht="15.75" customHeight="1">
      <c r="A741" s="988"/>
      <c r="B741" s="122" t="str">
        <f t="shared" si="47"/>
        <v/>
      </c>
      <c r="C741" s="123"/>
      <c r="D741" s="131" t="str">
        <f t="array" ref="D741">IF(A741="","",SUMPRODUCT(('Detalle Turnos'!$I$3:$I$5028=$A741)*('Detalle Turnos'!$N$3:$N$5028=C741)*'Detalle Turnos'!$L$3:$L$5028))</f>
        <v/>
      </c>
      <c r="E741" s="127" t="str">
        <f t="array" ref="E741">IF(A741="","",SUMPRODUCT(('Detalle Turnos'!$I$3:$I$5028=$A741)*('Detalle Turnos'!$N$3:$N$5028=C741)*'Detalle Turnos'!$K$3:$K$5028))</f>
        <v/>
      </c>
      <c r="F741" s="127">
        <f t="shared" si="48"/>
        <v>0</v>
      </c>
      <c r="G741" s="127" t="str">
        <f t="array" ref="G741">IF(E741="","",IFERROR(SUMPRODUCT(('Facturación 2026'!$A$4:$A$920=$A741)*'Facturación 2026'!$J$4:$J$920)*E741/(SUMPRODUCT(('Caja 1'!$A$4:$A$919=$A741)*'Caja 1'!$E$4:$E$919)+SUMPRODUCT(('Caja 2'!$A$4:$A$920=$A741)*'Caja 2'!$E$4:$E$920)),0))</f>
        <v/>
      </c>
      <c r="H741" s="128" t="str">
        <f t="shared" si="49"/>
        <v/>
      </c>
      <c r="I741" s="124" t="str">
        <f t="shared" si="50"/>
        <v/>
      </c>
      <c r="J741" s="987" t="str">
        <f>IF(A741="","",IFERROR(INDEX('Facturación 2026'!$L$4:$L$500,MATCH($A741,'Facturación 2026'!$A$4:$A$500,0)),""))</f>
        <v/>
      </c>
    </row>
    <row r="742" spans="1:10" ht="15.75" customHeight="1">
      <c r="A742" s="988"/>
      <c r="B742" s="122" t="str">
        <f t="shared" si="47"/>
        <v/>
      </c>
      <c r="C742" s="123"/>
      <c r="D742" s="131" t="str">
        <f t="array" ref="D742">IF(A742="","",SUMPRODUCT(('Detalle Turnos'!$I$3:$I$5028=$A742)*('Detalle Turnos'!$N$3:$N$5028=C742)*'Detalle Turnos'!$L$3:$L$5028))</f>
        <v/>
      </c>
      <c r="E742" s="127" t="str">
        <f t="array" ref="E742">IF(A742="","",SUMPRODUCT(('Detalle Turnos'!$I$3:$I$5028=$A742)*('Detalle Turnos'!$N$3:$N$5028=C742)*'Detalle Turnos'!$K$3:$K$5028))</f>
        <v/>
      </c>
      <c r="F742" s="127">
        <f t="shared" si="48"/>
        <v>0</v>
      </c>
      <c r="G742" s="127" t="str">
        <f t="array" ref="G742">IF(E742="","",IFERROR(SUMPRODUCT(('Facturación 2026'!$A$4:$A$920=$A742)*'Facturación 2026'!$J$4:$J$920)*E742/(SUMPRODUCT(('Caja 1'!$A$4:$A$919=$A742)*'Caja 1'!$E$4:$E$919)+SUMPRODUCT(('Caja 2'!$A$4:$A$920=$A742)*'Caja 2'!$E$4:$E$920)),0))</f>
        <v/>
      </c>
      <c r="H742" s="128" t="str">
        <f t="shared" si="49"/>
        <v/>
      </c>
      <c r="I742" s="124" t="str">
        <f t="shared" si="50"/>
        <v/>
      </c>
      <c r="J742" s="987" t="str">
        <f>IF(A742="","",IFERROR(INDEX('Facturación 2026'!$L$4:$L$500,MATCH($A742,'Facturación 2026'!$A$4:$A$500,0)),""))</f>
        <v/>
      </c>
    </row>
    <row r="743" spans="1:10" ht="15.75" customHeight="1">
      <c r="A743" s="988"/>
      <c r="B743" s="122" t="str">
        <f t="shared" si="47"/>
        <v/>
      </c>
      <c r="C743" s="123"/>
      <c r="D743" s="131" t="str">
        <f t="array" ref="D743">IF(A743="","",SUMPRODUCT(('Detalle Turnos'!$I$3:$I$5028=$A743)*('Detalle Turnos'!$N$3:$N$5028=C743)*'Detalle Turnos'!$L$3:$L$5028))</f>
        <v/>
      </c>
      <c r="E743" s="127" t="str">
        <f t="array" ref="E743">IF(A743="","",SUMPRODUCT(('Detalle Turnos'!$I$3:$I$5028=$A743)*('Detalle Turnos'!$N$3:$N$5028=C743)*'Detalle Turnos'!$K$3:$K$5028))</f>
        <v/>
      </c>
      <c r="F743" s="127">
        <f t="shared" si="48"/>
        <v>0</v>
      </c>
      <c r="G743" s="127" t="str">
        <f t="array" ref="G743">IF(E743="","",IFERROR(SUMPRODUCT(('Facturación 2026'!$A$4:$A$920=$A743)*'Facturación 2026'!$J$4:$J$920)*E743/(SUMPRODUCT(('Caja 1'!$A$4:$A$919=$A743)*'Caja 1'!$E$4:$E$919)+SUMPRODUCT(('Caja 2'!$A$4:$A$920=$A743)*'Caja 2'!$E$4:$E$920)),0))</f>
        <v/>
      </c>
      <c r="H743" s="128" t="str">
        <f t="shared" si="49"/>
        <v/>
      </c>
      <c r="I743" s="124" t="str">
        <f t="shared" si="50"/>
        <v/>
      </c>
      <c r="J743" s="987" t="str">
        <f>IF(A743="","",IFERROR(INDEX('Facturación 2026'!$L$4:$L$500,MATCH($A743,'Facturación 2026'!$A$4:$A$500,0)),""))</f>
        <v/>
      </c>
    </row>
    <row r="744" spans="1:10" ht="15.75" customHeight="1">
      <c r="A744" s="988"/>
      <c r="B744" s="122" t="str">
        <f t="shared" si="47"/>
        <v/>
      </c>
      <c r="C744" s="123"/>
      <c r="D744" s="131" t="str">
        <f t="array" ref="D744">IF(A744="","",SUMPRODUCT(('Detalle Turnos'!$I$3:$I$5028=$A744)*('Detalle Turnos'!$N$3:$N$5028=C744)*'Detalle Turnos'!$L$3:$L$5028))</f>
        <v/>
      </c>
      <c r="E744" s="127" t="str">
        <f t="array" ref="E744">IF(A744="","",SUMPRODUCT(('Detalle Turnos'!$I$3:$I$5028=$A744)*('Detalle Turnos'!$N$3:$N$5028=C744)*'Detalle Turnos'!$K$3:$K$5028))</f>
        <v/>
      </c>
      <c r="F744" s="127">
        <f t="shared" si="48"/>
        <v>0</v>
      </c>
      <c r="G744" s="127" t="str">
        <f t="array" ref="G744">IF(E744="","",IFERROR(SUMPRODUCT(('Facturación 2026'!$A$4:$A$920=$A744)*'Facturación 2026'!$J$4:$J$920)*E744/(SUMPRODUCT(('Caja 1'!$A$4:$A$919=$A744)*'Caja 1'!$E$4:$E$919)+SUMPRODUCT(('Caja 2'!$A$4:$A$920=$A744)*'Caja 2'!$E$4:$E$920)),0))</f>
        <v/>
      </c>
      <c r="H744" s="128" t="str">
        <f t="shared" si="49"/>
        <v/>
      </c>
      <c r="I744" s="124" t="str">
        <f t="shared" si="50"/>
        <v/>
      </c>
      <c r="J744" s="987" t="str">
        <f>IF(A744="","",IFERROR(INDEX('Facturación 2026'!$L$4:$L$500,MATCH($A744,'Facturación 2026'!$A$4:$A$500,0)),""))</f>
        <v/>
      </c>
    </row>
    <row r="745" spans="1:10" ht="15.75" customHeight="1">
      <c r="A745" s="988"/>
      <c r="B745" s="122" t="str">
        <f t="shared" si="47"/>
        <v/>
      </c>
      <c r="C745" s="123"/>
      <c r="D745" s="131" t="str">
        <f t="array" ref="D745">IF(A745="","",SUMPRODUCT(('Detalle Turnos'!$I$3:$I$5028=$A745)*('Detalle Turnos'!$N$3:$N$5028=C745)*'Detalle Turnos'!$L$3:$L$5028))</f>
        <v/>
      </c>
      <c r="E745" s="127" t="str">
        <f t="array" ref="E745">IF(A745="","",SUMPRODUCT(('Detalle Turnos'!$I$3:$I$5028=$A745)*('Detalle Turnos'!$N$3:$N$5028=C745)*'Detalle Turnos'!$K$3:$K$5028))</f>
        <v/>
      </c>
      <c r="F745" s="127">
        <f t="shared" si="48"/>
        <v>0</v>
      </c>
      <c r="G745" s="127" t="str">
        <f t="array" ref="G745">IF(E745="","",IFERROR(SUMPRODUCT(('Facturación 2026'!$A$4:$A$920=$A745)*'Facturación 2026'!$J$4:$J$920)*E745/(SUMPRODUCT(('Caja 1'!$A$4:$A$919=$A745)*'Caja 1'!$E$4:$E$919)+SUMPRODUCT(('Caja 2'!$A$4:$A$920=$A745)*'Caja 2'!$E$4:$E$920)),0))</f>
        <v/>
      </c>
      <c r="H745" s="128" t="str">
        <f t="shared" si="49"/>
        <v/>
      </c>
      <c r="I745" s="124" t="str">
        <f t="shared" si="50"/>
        <v/>
      </c>
      <c r="J745" s="987" t="str">
        <f>IF(A745="","",IFERROR(INDEX('Facturación 2026'!$L$4:$L$500,MATCH($A745,'Facturación 2026'!$A$4:$A$500,0)),""))</f>
        <v/>
      </c>
    </row>
    <row r="746" spans="1:10" ht="15.75" customHeight="1">
      <c r="A746" s="988"/>
      <c r="B746" s="122" t="str">
        <f t="shared" si="47"/>
        <v/>
      </c>
      <c r="C746" s="123"/>
      <c r="D746" s="131" t="str">
        <f t="array" ref="D746">IF(A746="","",SUMPRODUCT(('Detalle Turnos'!$I$3:$I$5028=$A746)*('Detalle Turnos'!$N$3:$N$5028=C746)*'Detalle Turnos'!$L$3:$L$5028))</f>
        <v/>
      </c>
      <c r="E746" s="127" t="str">
        <f t="array" ref="E746">IF(A746="","",SUMPRODUCT(('Detalle Turnos'!$I$3:$I$5028=$A746)*('Detalle Turnos'!$N$3:$N$5028=C746)*'Detalle Turnos'!$K$3:$K$5028))</f>
        <v/>
      </c>
      <c r="F746" s="127">
        <f t="shared" si="48"/>
        <v>0</v>
      </c>
      <c r="G746" s="127" t="str">
        <f t="array" ref="G746">IF(E746="","",IFERROR(SUMPRODUCT(('Facturación 2026'!$A$4:$A$920=$A746)*'Facturación 2026'!$J$4:$J$920)*E746/(SUMPRODUCT(('Caja 1'!$A$4:$A$919=$A746)*'Caja 1'!$E$4:$E$919)+SUMPRODUCT(('Caja 2'!$A$4:$A$920=$A746)*'Caja 2'!$E$4:$E$920)),0))</f>
        <v/>
      </c>
      <c r="H746" s="128" t="str">
        <f t="shared" si="49"/>
        <v/>
      </c>
      <c r="I746" s="124" t="str">
        <f t="shared" si="50"/>
        <v/>
      </c>
      <c r="J746" s="987" t="str">
        <f>IF(A746="","",IFERROR(INDEX('Facturación 2026'!$L$4:$L$500,MATCH($A746,'Facturación 2026'!$A$4:$A$500,0)),""))</f>
        <v/>
      </c>
    </row>
    <row r="747" spans="1:10" ht="15.75" customHeight="1">
      <c r="A747" s="988"/>
      <c r="B747" s="122" t="str">
        <f t="shared" si="47"/>
        <v/>
      </c>
      <c r="C747" s="123"/>
      <c r="D747" s="131" t="str">
        <f t="array" ref="D747">IF(A747="","",SUMPRODUCT(('Detalle Turnos'!$I$3:$I$5028=$A747)*('Detalle Turnos'!$N$3:$N$5028=C747)*'Detalle Turnos'!$L$3:$L$5028))</f>
        <v/>
      </c>
      <c r="E747" s="127" t="str">
        <f t="array" ref="E747">IF(A747="","",SUMPRODUCT(('Detalle Turnos'!$I$3:$I$5028=$A747)*('Detalle Turnos'!$N$3:$N$5028=C747)*'Detalle Turnos'!$K$3:$K$5028))</f>
        <v/>
      </c>
      <c r="F747" s="127">
        <f t="shared" si="48"/>
        <v>0</v>
      </c>
      <c r="G747" s="127" t="str">
        <f t="array" ref="G747">IF(E747="","",IFERROR(SUMPRODUCT(('Facturación 2026'!$A$4:$A$920=$A747)*'Facturación 2026'!$J$4:$J$920)*E747/(SUMPRODUCT(('Caja 1'!$A$4:$A$919=$A747)*'Caja 1'!$E$4:$E$919)+SUMPRODUCT(('Caja 2'!$A$4:$A$920=$A747)*'Caja 2'!$E$4:$E$920)),0))</f>
        <v/>
      </c>
      <c r="H747" s="128" t="str">
        <f t="shared" si="49"/>
        <v/>
      </c>
      <c r="I747" s="124" t="str">
        <f t="shared" si="50"/>
        <v/>
      </c>
      <c r="J747" s="987" t="str">
        <f>IF(A747="","",IFERROR(INDEX('Facturación 2026'!$L$4:$L$500,MATCH($A747,'Facturación 2026'!$A$4:$A$500,0)),""))</f>
        <v/>
      </c>
    </row>
    <row r="748" spans="1:10" ht="15.75" customHeight="1">
      <c r="A748" s="988"/>
      <c r="B748" s="122" t="str">
        <f t="shared" si="47"/>
        <v/>
      </c>
      <c r="C748" s="123"/>
      <c r="D748" s="131" t="str">
        <f t="array" ref="D748">IF(A748="","",SUMPRODUCT(('Detalle Turnos'!$I$3:$I$5028=$A748)*('Detalle Turnos'!$N$3:$N$5028=C748)*'Detalle Turnos'!$L$3:$L$5028))</f>
        <v/>
      </c>
      <c r="E748" s="127" t="str">
        <f t="array" ref="E748">IF(A748="","",SUMPRODUCT(('Detalle Turnos'!$I$3:$I$5028=$A748)*('Detalle Turnos'!$N$3:$N$5028=C748)*'Detalle Turnos'!$K$3:$K$5028))</f>
        <v/>
      </c>
      <c r="F748" s="127">
        <f t="shared" si="48"/>
        <v>0</v>
      </c>
      <c r="G748" s="127" t="str">
        <f t="array" ref="G748">IF(E748="","",IFERROR(SUMPRODUCT(('Facturación 2026'!$A$4:$A$920=$A748)*'Facturación 2026'!$J$4:$J$920)*E748/(SUMPRODUCT(('Caja 1'!$A$4:$A$919=$A748)*'Caja 1'!$E$4:$E$919)+SUMPRODUCT(('Caja 2'!$A$4:$A$920=$A748)*'Caja 2'!$E$4:$E$920)),0))</f>
        <v/>
      </c>
      <c r="H748" s="128" t="str">
        <f t="shared" si="49"/>
        <v/>
      </c>
      <c r="I748" s="124" t="str">
        <f t="shared" si="50"/>
        <v/>
      </c>
      <c r="J748" s="987" t="str">
        <f>IF(A748="","",IFERROR(INDEX('Facturación 2026'!$L$4:$L$500,MATCH($A748,'Facturación 2026'!$A$4:$A$500,0)),""))</f>
        <v/>
      </c>
    </row>
    <row r="749" spans="1:10" ht="15.75" customHeight="1">
      <c r="A749" s="988"/>
      <c r="B749" s="122" t="str">
        <f t="shared" si="47"/>
        <v/>
      </c>
      <c r="C749" s="123"/>
      <c r="D749" s="131" t="str">
        <f t="array" ref="D749">IF(A749="","",SUMPRODUCT(('Detalle Turnos'!$I$3:$I$5028=$A749)*('Detalle Turnos'!$N$3:$N$5028=C749)*'Detalle Turnos'!$L$3:$L$5028))</f>
        <v/>
      </c>
      <c r="E749" s="127" t="str">
        <f t="array" ref="E749">IF(A749="","",SUMPRODUCT(('Detalle Turnos'!$I$3:$I$5028=$A749)*('Detalle Turnos'!$N$3:$N$5028=C749)*'Detalle Turnos'!$K$3:$K$5028))</f>
        <v/>
      </c>
      <c r="F749" s="127">
        <f t="shared" si="48"/>
        <v>0</v>
      </c>
      <c r="G749" s="127" t="str">
        <f t="array" ref="G749">IF(E749="","",IFERROR(SUMPRODUCT(('Facturación 2026'!$A$4:$A$920=$A749)*'Facturación 2026'!$J$4:$J$920)*E749/(SUMPRODUCT(('Caja 1'!$A$4:$A$919=$A749)*'Caja 1'!$E$4:$E$919)+SUMPRODUCT(('Caja 2'!$A$4:$A$920=$A749)*'Caja 2'!$E$4:$E$920)),0))</f>
        <v/>
      </c>
      <c r="H749" s="128" t="str">
        <f t="shared" si="49"/>
        <v/>
      </c>
      <c r="I749" s="124" t="str">
        <f t="shared" si="50"/>
        <v/>
      </c>
      <c r="J749" s="987" t="str">
        <f>IF(A749="","",IFERROR(INDEX('Facturación 2026'!$L$4:$L$500,MATCH($A749,'Facturación 2026'!$A$4:$A$500,0)),""))</f>
        <v/>
      </c>
    </row>
    <row r="750" spans="1:10" ht="15.75" customHeight="1">
      <c r="A750" s="988"/>
      <c r="B750" s="122" t="str">
        <f t="shared" si="47"/>
        <v/>
      </c>
      <c r="C750" s="123"/>
      <c r="D750" s="131" t="str">
        <f t="array" ref="D750">IF(A750="","",SUMPRODUCT(('Detalle Turnos'!$I$3:$I$5028=$A750)*('Detalle Turnos'!$N$3:$N$5028=C750)*'Detalle Turnos'!$L$3:$L$5028))</f>
        <v/>
      </c>
      <c r="E750" s="127" t="str">
        <f t="array" ref="E750">IF(A750="","",SUMPRODUCT(('Detalle Turnos'!$I$3:$I$5028=$A750)*('Detalle Turnos'!$N$3:$N$5028=C750)*'Detalle Turnos'!$K$3:$K$5028))</f>
        <v/>
      </c>
      <c r="F750" s="127">
        <f t="shared" si="48"/>
        <v>0</v>
      </c>
      <c r="G750" s="127" t="str">
        <f t="array" ref="G750">IF(E750="","",IFERROR(SUMPRODUCT(('Facturación 2026'!$A$4:$A$920=$A750)*'Facturación 2026'!$J$4:$J$920)*E750/(SUMPRODUCT(('Caja 1'!$A$4:$A$919=$A750)*'Caja 1'!$E$4:$E$919)+SUMPRODUCT(('Caja 2'!$A$4:$A$920=$A750)*'Caja 2'!$E$4:$E$920)),0))</f>
        <v/>
      </c>
      <c r="H750" s="128" t="str">
        <f t="shared" si="49"/>
        <v/>
      </c>
      <c r="I750" s="124" t="str">
        <f t="shared" si="50"/>
        <v/>
      </c>
      <c r="J750" s="987" t="str">
        <f>IF(A750="","",IFERROR(INDEX('Facturación 2026'!$L$4:$L$500,MATCH($A750,'Facturación 2026'!$A$4:$A$500,0)),""))</f>
        <v/>
      </c>
    </row>
    <row r="751" spans="1:10" ht="15.75" customHeight="1">
      <c r="A751" s="988"/>
      <c r="B751" s="122" t="str">
        <f t="shared" si="47"/>
        <v/>
      </c>
      <c r="C751" s="123"/>
      <c r="D751" s="131" t="str">
        <f t="array" ref="D751">IF(A751="","",SUMPRODUCT(('Detalle Turnos'!$I$3:$I$5028=$A751)*('Detalle Turnos'!$N$3:$N$5028=C751)*'Detalle Turnos'!$L$3:$L$5028))</f>
        <v/>
      </c>
      <c r="E751" s="127" t="str">
        <f t="array" ref="E751">IF(A751="","",SUMPRODUCT(('Detalle Turnos'!$I$3:$I$5028=$A751)*('Detalle Turnos'!$N$3:$N$5028=C751)*'Detalle Turnos'!$K$3:$K$5028))</f>
        <v/>
      </c>
      <c r="F751" s="127">
        <f t="shared" si="48"/>
        <v>0</v>
      </c>
      <c r="G751" s="127" t="str">
        <f t="array" ref="G751">IF(E751="","",IFERROR(SUMPRODUCT(('Facturación 2026'!$A$4:$A$920=$A751)*'Facturación 2026'!$J$4:$J$920)*E751/(SUMPRODUCT(('Caja 1'!$A$4:$A$919=$A751)*'Caja 1'!$E$4:$E$919)+SUMPRODUCT(('Caja 2'!$A$4:$A$920=$A751)*'Caja 2'!$E$4:$E$920)),0))</f>
        <v/>
      </c>
      <c r="H751" s="128" t="str">
        <f t="shared" si="49"/>
        <v/>
      </c>
      <c r="I751" s="124" t="str">
        <f t="shared" si="50"/>
        <v/>
      </c>
      <c r="J751" s="987" t="str">
        <f>IF(A751="","",IFERROR(INDEX('Facturación 2026'!$L$4:$L$500,MATCH($A751,'Facturación 2026'!$A$4:$A$500,0)),""))</f>
        <v/>
      </c>
    </row>
    <row r="752" spans="1:10" ht="15.75" customHeight="1">
      <c r="A752" s="988"/>
      <c r="B752" s="122" t="str">
        <f t="shared" si="47"/>
        <v/>
      </c>
      <c r="C752" s="123"/>
      <c r="D752" s="131" t="str">
        <f t="array" ref="D752">IF(A752="","",SUMPRODUCT(('Detalle Turnos'!$I$3:$I$5028=$A752)*('Detalle Turnos'!$N$3:$N$5028=C752)*'Detalle Turnos'!$L$3:$L$5028))</f>
        <v/>
      </c>
      <c r="E752" s="127" t="str">
        <f t="array" ref="E752">IF(A752="","",SUMPRODUCT(('Detalle Turnos'!$I$3:$I$5028=$A752)*('Detalle Turnos'!$N$3:$N$5028=C752)*'Detalle Turnos'!$K$3:$K$5028))</f>
        <v/>
      </c>
      <c r="F752" s="127">
        <f t="shared" si="48"/>
        <v>0</v>
      </c>
      <c r="G752" s="127" t="str">
        <f t="array" ref="G752">IF(E752="","",IFERROR(SUMPRODUCT(('Facturación 2026'!$A$4:$A$920=$A752)*'Facturación 2026'!$J$4:$J$920)*E752/(SUMPRODUCT(('Caja 1'!$A$4:$A$919=$A752)*'Caja 1'!$E$4:$E$919)+SUMPRODUCT(('Caja 2'!$A$4:$A$920=$A752)*'Caja 2'!$E$4:$E$920)),0))</f>
        <v/>
      </c>
      <c r="H752" s="128" t="str">
        <f t="shared" si="49"/>
        <v/>
      </c>
      <c r="I752" s="124" t="str">
        <f t="shared" si="50"/>
        <v/>
      </c>
      <c r="J752" s="987" t="str">
        <f>IF(A752="","",IFERROR(INDEX('Facturación 2026'!$L$4:$L$500,MATCH($A752,'Facturación 2026'!$A$4:$A$500,0)),""))</f>
        <v/>
      </c>
    </row>
    <row r="753" spans="1:10" ht="15.75" customHeight="1">
      <c r="A753" s="988"/>
      <c r="B753" s="122" t="str">
        <f t="shared" si="47"/>
        <v/>
      </c>
      <c r="C753" s="123"/>
      <c r="D753" s="131" t="str">
        <f t="array" ref="D753">IF(A753="","",SUMPRODUCT(('Detalle Turnos'!$I$3:$I$5028=$A753)*('Detalle Turnos'!$N$3:$N$5028=C753)*'Detalle Turnos'!$L$3:$L$5028))</f>
        <v/>
      </c>
      <c r="E753" s="127" t="str">
        <f t="array" ref="E753">IF(A753="","",SUMPRODUCT(('Detalle Turnos'!$I$3:$I$5028=$A753)*('Detalle Turnos'!$N$3:$N$5028=C753)*'Detalle Turnos'!$K$3:$K$5028))</f>
        <v/>
      </c>
      <c r="F753" s="127">
        <f t="shared" si="48"/>
        <v>0</v>
      </c>
      <c r="G753" s="127" t="str">
        <f t="array" ref="G753">IF(E753="","",IFERROR(SUMPRODUCT(('Facturación 2026'!$A$4:$A$920=$A753)*'Facturación 2026'!$J$4:$J$920)*E753/(SUMPRODUCT(('Caja 1'!$A$4:$A$919=$A753)*'Caja 1'!$E$4:$E$919)+SUMPRODUCT(('Caja 2'!$A$4:$A$920=$A753)*'Caja 2'!$E$4:$E$920)),0))</f>
        <v/>
      </c>
      <c r="H753" s="128" t="str">
        <f t="shared" si="49"/>
        <v/>
      </c>
      <c r="I753" s="124" t="str">
        <f t="shared" si="50"/>
        <v/>
      </c>
      <c r="J753" s="987" t="str">
        <f>IF(A753="","",IFERROR(INDEX('Facturación 2026'!$L$4:$L$500,MATCH($A753,'Facturación 2026'!$A$4:$A$500,0)),""))</f>
        <v/>
      </c>
    </row>
    <row r="754" spans="1:10" ht="15.75" customHeight="1">
      <c r="A754" s="988"/>
      <c r="B754" s="122" t="str">
        <f t="shared" si="47"/>
        <v/>
      </c>
      <c r="C754" s="123"/>
      <c r="D754" s="131" t="str">
        <f t="array" ref="D754">IF(A754="","",SUMPRODUCT(('Detalle Turnos'!$I$3:$I$5028=$A754)*('Detalle Turnos'!$N$3:$N$5028=C754)*'Detalle Turnos'!$L$3:$L$5028))</f>
        <v/>
      </c>
      <c r="E754" s="127" t="str">
        <f t="array" ref="E754">IF(A754="","",SUMPRODUCT(('Detalle Turnos'!$I$3:$I$5028=$A754)*('Detalle Turnos'!$N$3:$N$5028=C754)*'Detalle Turnos'!$K$3:$K$5028))</f>
        <v/>
      </c>
      <c r="F754" s="127">
        <f t="shared" si="48"/>
        <v>0</v>
      </c>
      <c r="G754" s="127" t="str">
        <f t="array" ref="G754">IF(E754="","",IFERROR(SUMPRODUCT(('Facturación 2026'!$A$4:$A$920=$A754)*'Facturación 2026'!$J$4:$J$920)*E754/(SUMPRODUCT(('Caja 1'!$A$4:$A$919=$A754)*'Caja 1'!$E$4:$E$919)+SUMPRODUCT(('Caja 2'!$A$4:$A$920=$A754)*'Caja 2'!$E$4:$E$920)),0))</f>
        <v/>
      </c>
      <c r="H754" s="128" t="str">
        <f t="shared" si="49"/>
        <v/>
      </c>
      <c r="I754" s="124" t="str">
        <f t="shared" si="50"/>
        <v/>
      </c>
      <c r="J754" s="987" t="str">
        <f>IF(A754="","",IFERROR(INDEX('Facturación 2026'!$L$4:$L$500,MATCH($A754,'Facturación 2026'!$A$4:$A$500,0)),""))</f>
        <v/>
      </c>
    </row>
    <row r="755" spans="1:10" ht="15.75" customHeight="1">
      <c r="A755" s="988"/>
      <c r="B755" s="122" t="str">
        <f t="shared" si="47"/>
        <v/>
      </c>
      <c r="C755" s="123"/>
      <c r="D755" s="131" t="str">
        <f t="array" ref="D755">IF(A755="","",SUMPRODUCT(('Detalle Turnos'!$I$3:$I$5028=$A755)*('Detalle Turnos'!$N$3:$N$5028=C755)*'Detalle Turnos'!$L$3:$L$5028))</f>
        <v/>
      </c>
      <c r="E755" s="127" t="str">
        <f t="array" ref="E755">IF(A755="","",SUMPRODUCT(('Detalle Turnos'!$I$3:$I$5028=$A755)*('Detalle Turnos'!$N$3:$N$5028=C755)*'Detalle Turnos'!$K$3:$K$5028))</f>
        <v/>
      </c>
      <c r="F755" s="127">
        <f t="shared" si="48"/>
        <v>0</v>
      </c>
      <c r="G755" s="127" t="str">
        <f t="array" ref="G755">IF(E755="","",IFERROR(SUMPRODUCT(('Facturación 2026'!$A$4:$A$920=$A755)*'Facturación 2026'!$J$4:$J$920)*E755/(SUMPRODUCT(('Caja 1'!$A$4:$A$919=$A755)*'Caja 1'!$E$4:$E$919)+SUMPRODUCT(('Caja 2'!$A$4:$A$920=$A755)*'Caja 2'!$E$4:$E$920)),0))</f>
        <v/>
      </c>
      <c r="H755" s="128" t="str">
        <f t="shared" si="49"/>
        <v/>
      </c>
      <c r="I755" s="124" t="str">
        <f t="shared" si="50"/>
        <v/>
      </c>
      <c r="J755" s="987" t="str">
        <f>IF(A755="","",IFERROR(INDEX('Facturación 2026'!$L$4:$L$500,MATCH($A755,'Facturación 2026'!$A$4:$A$500,0)),""))</f>
        <v/>
      </c>
    </row>
    <row r="756" spans="1:10" ht="15.75" customHeight="1">
      <c r="A756" s="988"/>
      <c r="B756" s="122" t="str">
        <f t="shared" si="47"/>
        <v/>
      </c>
      <c r="C756" s="123"/>
      <c r="D756" s="131" t="str">
        <f t="array" ref="D756">IF(A756="","",SUMPRODUCT(('Detalle Turnos'!$I$3:$I$5028=$A756)*('Detalle Turnos'!$N$3:$N$5028=C756)*'Detalle Turnos'!$L$3:$L$5028))</f>
        <v/>
      </c>
      <c r="E756" s="127" t="str">
        <f t="array" ref="E756">IF(A756="","",SUMPRODUCT(('Detalle Turnos'!$I$3:$I$5028=$A756)*('Detalle Turnos'!$N$3:$N$5028=C756)*'Detalle Turnos'!$K$3:$K$5028))</f>
        <v/>
      </c>
      <c r="F756" s="127">
        <f t="shared" si="48"/>
        <v>0</v>
      </c>
      <c r="G756" s="127" t="str">
        <f t="array" ref="G756">IF(E756="","",IFERROR(SUMPRODUCT(('Facturación 2026'!$A$4:$A$920=$A756)*'Facturación 2026'!$J$4:$J$920)*E756/(SUMPRODUCT(('Caja 1'!$A$4:$A$919=$A756)*'Caja 1'!$E$4:$E$919)+SUMPRODUCT(('Caja 2'!$A$4:$A$920=$A756)*'Caja 2'!$E$4:$E$920)),0))</f>
        <v/>
      </c>
      <c r="H756" s="128" t="str">
        <f t="shared" si="49"/>
        <v/>
      </c>
      <c r="I756" s="124" t="str">
        <f t="shared" si="50"/>
        <v/>
      </c>
      <c r="J756" s="987" t="str">
        <f>IF(A756="","",IFERROR(INDEX('Facturación 2026'!$L$4:$L$500,MATCH($A756,'Facturación 2026'!$A$4:$A$500,0)),""))</f>
        <v/>
      </c>
    </row>
    <row r="757" spans="1:10" ht="15.75" customHeight="1">
      <c r="A757" s="988"/>
      <c r="B757" s="122" t="str">
        <f t="shared" si="47"/>
        <v/>
      </c>
      <c r="C757" s="123"/>
      <c r="D757" s="131" t="str">
        <f t="array" ref="D757">IF(A757="","",SUMPRODUCT(('Detalle Turnos'!$I$3:$I$5028=$A757)*('Detalle Turnos'!$N$3:$N$5028=C757)*'Detalle Turnos'!$L$3:$L$5028))</f>
        <v/>
      </c>
      <c r="E757" s="127" t="str">
        <f t="array" ref="E757">IF(A757="","",SUMPRODUCT(('Detalle Turnos'!$I$3:$I$5028=$A757)*('Detalle Turnos'!$N$3:$N$5028=C757)*'Detalle Turnos'!$K$3:$K$5028))</f>
        <v/>
      </c>
      <c r="F757" s="127">
        <f t="shared" si="48"/>
        <v>0</v>
      </c>
      <c r="G757" s="127" t="str">
        <f t="array" ref="G757">IF(E757="","",IFERROR(SUMPRODUCT(('Facturación 2026'!$A$4:$A$920=$A757)*'Facturación 2026'!$J$4:$J$920)*E757/(SUMPRODUCT(('Caja 1'!$A$4:$A$919=$A757)*'Caja 1'!$E$4:$E$919)+SUMPRODUCT(('Caja 2'!$A$4:$A$920=$A757)*'Caja 2'!$E$4:$E$920)),0))</f>
        <v/>
      </c>
      <c r="H757" s="128" t="str">
        <f t="shared" si="49"/>
        <v/>
      </c>
      <c r="I757" s="124" t="str">
        <f t="shared" si="50"/>
        <v/>
      </c>
      <c r="J757" s="987" t="str">
        <f>IF(A757="","",IFERROR(INDEX('Facturación 2026'!$L$4:$L$500,MATCH($A757,'Facturación 2026'!$A$4:$A$500,0)),""))</f>
        <v/>
      </c>
    </row>
    <row r="758" spans="1:10" ht="15.75" customHeight="1">
      <c r="A758" s="988"/>
      <c r="B758" s="122" t="str">
        <f t="shared" si="47"/>
        <v/>
      </c>
      <c r="C758" s="123"/>
      <c r="D758" s="131" t="str">
        <f t="array" ref="D758">IF(A758="","",SUMPRODUCT(('Detalle Turnos'!$I$3:$I$5028=$A758)*('Detalle Turnos'!$N$3:$N$5028=C758)*'Detalle Turnos'!$L$3:$L$5028))</f>
        <v/>
      </c>
      <c r="E758" s="127" t="str">
        <f t="array" ref="E758">IF(A758="","",SUMPRODUCT(('Detalle Turnos'!$I$3:$I$5028=$A758)*('Detalle Turnos'!$N$3:$N$5028=C758)*'Detalle Turnos'!$K$3:$K$5028))</f>
        <v/>
      </c>
      <c r="F758" s="127">
        <f t="shared" si="48"/>
        <v>0</v>
      </c>
      <c r="G758" s="127" t="str">
        <f t="array" ref="G758">IF(E758="","",IFERROR(SUMPRODUCT(('Facturación 2026'!$A$4:$A$920=$A758)*'Facturación 2026'!$J$4:$J$920)*E758/(SUMPRODUCT(('Caja 1'!$A$4:$A$919=$A758)*'Caja 1'!$E$4:$E$919)+SUMPRODUCT(('Caja 2'!$A$4:$A$920=$A758)*'Caja 2'!$E$4:$E$920)),0))</f>
        <v/>
      </c>
      <c r="H758" s="128" t="str">
        <f t="shared" si="49"/>
        <v/>
      </c>
      <c r="I758" s="124" t="str">
        <f t="shared" si="50"/>
        <v/>
      </c>
      <c r="J758" s="987" t="str">
        <f>IF(A758="","",IFERROR(INDEX('Facturación 2026'!$L$4:$L$500,MATCH($A758,'Facturación 2026'!$A$4:$A$500,0)),""))</f>
        <v/>
      </c>
    </row>
    <row r="759" spans="1:10" ht="15.75" customHeight="1">
      <c r="A759" s="988"/>
      <c r="B759" s="122" t="str">
        <f t="shared" si="47"/>
        <v/>
      </c>
      <c r="C759" s="123"/>
      <c r="D759" s="131" t="str">
        <f t="array" ref="D759">IF(A759="","",SUMPRODUCT(('Detalle Turnos'!$I$3:$I$5028=$A759)*('Detalle Turnos'!$N$3:$N$5028=C759)*'Detalle Turnos'!$L$3:$L$5028))</f>
        <v/>
      </c>
      <c r="E759" s="127" t="str">
        <f t="array" ref="E759">IF(A759="","",SUMPRODUCT(('Detalle Turnos'!$I$3:$I$5028=$A759)*('Detalle Turnos'!$N$3:$N$5028=C759)*'Detalle Turnos'!$K$3:$K$5028))</f>
        <v/>
      </c>
      <c r="F759" s="127">
        <f t="shared" si="48"/>
        <v>0</v>
      </c>
      <c r="G759" s="127" t="str">
        <f t="array" ref="G759">IF(E759="","",IFERROR(SUMPRODUCT(('Facturación 2026'!$A$4:$A$920=$A759)*'Facturación 2026'!$J$4:$J$920)*E759/(SUMPRODUCT(('Caja 1'!$A$4:$A$919=$A759)*'Caja 1'!$E$4:$E$919)+SUMPRODUCT(('Caja 2'!$A$4:$A$920=$A759)*'Caja 2'!$E$4:$E$920)),0))</f>
        <v/>
      </c>
      <c r="H759" s="128" t="str">
        <f t="shared" si="49"/>
        <v/>
      </c>
      <c r="I759" s="124" t="str">
        <f t="shared" si="50"/>
        <v/>
      </c>
      <c r="J759" s="987" t="str">
        <f>IF(A759="","",IFERROR(INDEX('Facturación 2026'!$L$4:$L$500,MATCH($A759,'Facturación 2026'!$A$4:$A$500,0)),""))</f>
        <v/>
      </c>
    </row>
    <row r="760" spans="1:10" ht="15.75" customHeight="1">
      <c r="A760" s="988"/>
      <c r="B760" s="122" t="str">
        <f t="shared" si="47"/>
        <v/>
      </c>
      <c r="C760" s="123"/>
      <c r="D760" s="131" t="str">
        <f t="array" ref="D760">IF(A760="","",SUMPRODUCT(('Detalle Turnos'!$I$3:$I$5028=$A760)*('Detalle Turnos'!$N$3:$N$5028=C760)*'Detalle Turnos'!$L$3:$L$5028))</f>
        <v/>
      </c>
      <c r="E760" s="127" t="str">
        <f t="array" ref="E760">IF(A760="","",SUMPRODUCT(('Detalle Turnos'!$I$3:$I$5028=$A760)*('Detalle Turnos'!$N$3:$N$5028=C760)*'Detalle Turnos'!$K$3:$K$5028))</f>
        <v/>
      </c>
      <c r="F760" s="127">
        <f t="shared" si="48"/>
        <v>0</v>
      </c>
      <c r="G760" s="127" t="str">
        <f t="array" ref="G760">IF(E760="","",IFERROR(SUMPRODUCT(('Facturación 2026'!$A$4:$A$920=$A760)*'Facturación 2026'!$J$4:$J$920)*E760/(SUMPRODUCT(('Caja 1'!$A$4:$A$919=$A760)*'Caja 1'!$E$4:$E$919)+SUMPRODUCT(('Caja 2'!$A$4:$A$920=$A760)*'Caja 2'!$E$4:$E$920)),0))</f>
        <v/>
      </c>
      <c r="H760" s="128" t="str">
        <f t="shared" si="49"/>
        <v/>
      </c>
      <c r="I760" s="124" t="str">
        <f t="shared" si="50"/>
        <v/>
      </c>
      <c r="J760" s="987" t="str">
        <f>IF(A760="","",IFERROR(INDEX('Facturación 2026'!$L$4:$L$500,MATCH($A760,'Facturación 2026'!$A$4:$A$500,0)),""))</f>
        <v/>
      </c>
    </row>
    <row r="761" spans="1:10" ht="15.75" customHeight="1">
      <c r="A761" s="988"/>
      <c r="B761" s="122" t="str">
        <f t="shared" si="47"/>
        <v/>
      </c>
      <c r="C761" s="123"/>
      <c r="D761" s="131" t="str">
        <f t="array" ref="D761">IF(A761="","",SUMPRODUCT(('Detalle Turnos'!$I$3:$I$5028=$A761)*('Detalle Turnos'!$N$3:$N$5028=C761)*'Detalle Turnos'!$L$3:$L$5028))</f>
        <v/>
      </c>
      <c r="E761" s="127" t="str">
        <f t="array" ref="E761">IF(A761="","",SUMPRODUCT(('Detalle Turnos'!$I$3:$I$5028=$A761)*('Detalle Turnos'!$N$3:$N$5028=C761)*'Detalle Turnos'!$K$3:$K$5028))</f>
        <v/>
      </c>
      <c r="F761" s="127">
        <f t="shared" si="48"/>
        <v>0</v>
      </c>
      <c r="G761" s="127" t="str">
        <f t="array" ref="G761">IF(E761="","",IFERROR(SUMPRODUCT(('Facturación 2026'!$A$4:$A$920=$A761)*'Facturación 2026'!$J$4:$J$920)*E761/(SUMPRODUCT(('Caja 1'!$A$4:$A$919=$A761)*'Caja 1'!$E$4:$E$919)+SUMPRODUCT(('Caja 2'!$A$4:$A$920=$A761)*'Caja 2'!$E$4:$E$920)),0))</f>
        <v/>
      </c>
      <c r="H761" s="128" t="str">
        <f t="shared" si="49"/>
        <v/>
      </c>
      <c r="I761" s="124" t="str">
        <f t="shared" si="50"/>
        <v/>
      </c>
      <c r="J761" s="987" t="str">
        <f>IF(A761="","",IFERROR(INDEX('Facturación 2026'!$L$4:$L$500,MATCH($A761,'Facturación 2026'!$A$4:$A$500,0)),""))</f>
        <v/>
      </c>
    </row>
    <row r="762" spans="1:10" ht="15.75" customHeight="1">
      <c r="A762" s="988"/>
      <c r="B762" s="122" t="str">
        <f t="shared" si="47"/>
        <v/>
      </c>
      <c r="C762" s="123"/>
      <c r="D762" s="131" t="str">
        <f t="array" ref="D762">IF(A762="","",SUMPRODUCT(('Detalle Turnos'!$I$3:$I$5028=$A762)*('Detalle Turnos'!$N$3:$N$5028=C762)*'Detalle Turnos'!$L$3:$L$5028))</f>
        <v/>
      </c>
      <c r="E762" s="127" t="str">
        <f t="array" ref="E762">IF(A762="","",SUMPRODUCT(('Detalle Turnos'!$I$3:$I$5028=$A762)*('Detalle Turnos'!$N$3:$N$5028=C762)*'Detalle Turnos'!$K$3:$K$5028))</f>
        <v/>
      </c>
      <c r="F762" s="127">
        <f t="shared" si="48"/>
        <v>0</v>
      </c>
      <c r="G762" s="127" t="str">
        <f t="array" ref="G762">IF(E762="","",IFERROR(SUMPRODUCT(('Facturación 2026'!$A$4:$A$920=$A762)*'Facturación 2026'!$J$4:$J$920)*E762/(SUMPRODUCT(('Caja 1'!$A$4:$A$919=$A762)*'Caja 1'!$E$4:$E$919)+SUMPRODUCT(('Caja 2'!$A$4:$A$920=$A762)*'Caja 2'!$E$4:$E$920)),0))</f>
        <v/>
      </c>
      <c r="H762" s="128" t="str">
        <f t="shared" si="49"/>
        <v/>
      </c>
      <c r="I762" s="124" t="str">
        <f t="shared" si="50"/>
        <v/>
      </c>
      <c r="J762" s="987" t="str">
        <f>IF(A762="","",IFERROR(INDEX('Facturación 2026'!$L$4:$L$500,MATCH($A762,'Facturación 2026'!$A$4:$A$500,0)),""))</f>
        <v/>
      </c>
    </row>
    <row r="763" spans="1:10" ht="15.75" customHeight="1">
      <c r="A763" s="988"/>
      <c r="B763" s="122" t="str">
        <f t="shared" si="47"/>
        <v/>
      </c>
      <c r="C763" s="123"/>
      <c r="D763" s="131" t="str">
        <f t="array" ref="D763">IF(A763="","",SUMPRODUCT(('Detalle Turnos'!$I$3:$I$5028=$A763)*('Detalle Turnos'!$N$3:$N$5028=C763)*'Detalle Turnos'!$L$3:$L$5028))</f>
        <v/>
      </c>
      <c r="E763" s="127" t="str">
        <f t="array" ref="E763">IF(A763="","",SUMPRODUCT(('Detalle Turnos'!$I$3:$I$5028=$A763)*('Detalle Turnos'!$N$3:$N$5028=C763)*'Detalle Turnos'!$K$3:$K$5028))</f>
        <v/>
      </c>
      <c r="F763" s="127">
        <f t="shared" si="48"/>
        <v>0</v>
      </c>
      <c r="G763" s="127" t="str">
        <f t="array" ref="G763">IF(E763="","",IFERROR(SUMPRODUCT(('Facturación 2026'!$A$4:$A$920=$A763)*'Facturación 2026'!$J$4:$J$920)*E763/(SUMPRODUCT(('Caja 1'!$A$4:$A$919=$A763)*'Caja 1'!$E$4:$E$919)+SUMPRODUCT(('Caja 2'!$A$4:$A$920=$A763)*'Caja 2'!$E$4:$E$920)),0))</f>
        <v/>
      </c>
      <c r="H763" s="128" t="str">
        <f t="shared" si="49"/>
        <v/>
      </c>
      <c r="I763" s="124" t="str">
        <f t="shared" si="50"/>
        <v/>
      </c>
      <c r="J763" s="987" t="str">
        <f>IF(A763="","",IFERROR(INDEX('Facturación 2026'!$L$4:$L$500,MATCH($A763,'Facturación 2026'!$A$4:$A$500,0)),""))</f>
        <v/>
      </c>
    </row>
    <row r="764" spans="1:10" ht="15.75" customHeight="1">
      <c r="A764" s="988"/>
      <c r="B764" s="122" t="str">
        <f t="shared" si="47"/>
        <v/>
      </c>
      <c r="C764" s="123"/>
      <c r="D764" s="131" t="str">
        <f t="array" ref="D764">IF(A764="","",SUMPRODUCT(('Detalle Turnos'!$I$3:$I$5028=$A764)*('Detalle Turnos'!$N$3:$N$5028=C764)*'Detalle Turnos'!$L$3:$L$5028))</f>
        <v/>
      </c>
      <c r="E764" s="127" t="str">
        <f t="array" ref="E764">IF(A764="","",SUMPRODUCT(('Detalle Turnos'!$I$3:$I$5028=$A764)*('Detalle Turnos'!$N$3:$N$5028=C764)*'Detalle Turnos'!$K$3:$K$5028))</f>
        <v/>
      </c>
      <c r="F764" s="127">
        <f t="shared" si="48"/>
        <v>0</v>
      </c>
      <c r="G764" s="127" t="str">
        <f t="array" ref="G764">IF(E764="","",IFERROR(SUMPRODUCT(('Facturación 2026'!$A$4:$A$920=$A764)*'Facturación 2026'!$J$4:$J$920)*E764/(SUMPRODUCT(('Caja 1'!$A$4:$A$919=$A764)*'Caja 1'!$E$4:$E$919)+SUMPRODUCT(('Caja 2'!$A$4:$A$920=$A764)*'Caja 2'!$E$4:$E$920)),0))</f>
        <v/>
      </c>
      <c r="H764" s="128" t="str">
        <f t="shared" si="49"/>
        <v/>
      </c>
      <c r="I764" s="124" t="str">
        <f t="shared" si="50"/>
        <v/>
      </c>
      <c r="J764" s="987" t="str">
        <f>IF(A764="","",IFERROR(INDEX('Facturación 2026'!$L$4:$L$500,MATCH($A764,'Facturación 2026'!$A$4:$A$500,0)),""))</f>
        <v/>
      </c>
    </row>
    <row r="765" spans="1:10" ht="15.75" customHeight="1">
      <c r="A765" s="988"/>
      <c r="B765" s="122" t="str">
        <f t="shared" si="47"/>
        <v/>
      </c>
      <c r="C765" s="123"/>
      <c r="D765" s="131" t="str">
        <f t="array" ref="D765">IF(A765="","",SUMPRODUCT(('Detalle Turnos'!$I$3:$I$5028=$A765)*('Detalle Turnos'!$N$3:$N$5028=C765)*'Detalle Turnos'!$L$3:$L$5028))</f>
        <v/>
      </c>
      <c r="E765" s="127" t="str">
        <f t="array" ref="E765">IF(A765="","",SUMPRODUCT(('Detalle Turnos'!$I$3:$I$5028=$A765)*('Detalle Turnos'!$N$3:$N$5028=C765)*'Detalle Turnos'!$K$3:$K$5028))</f>
        <v/>
      </c>
      <c r="F765" s="127">
        <f t="shared" si="48"/>
        <v>0</v>
      </c>
      <c r="G765" s="127" t="str">
        <f t="array" ref="G765">IF(E765="","",IFERROR(SUMPRODUCT(('Facturación 2026'!$A$4:$A$920=$A765)*'Facturación 2026'!$J$4:$J$920)*E765/(SUMPRODUCT(('Caja 1'!$A$4:$A$919=$A765)*'Caja 1'!$E$4:$E$919)+SUMPRODUCT(('Caja 2'!$A$4:$A$920=$A765)*'Caja 2'!$E$4:$E$920)),0))</f>
        <v/>
      </c>
      <c r="H765" s="128" t="str">
        <f t="shared" si="49"/>
        <v/>
      </c>
      <c r="I765" s="124" t="str">
        <f t="shared" si="50"/>
        <v/>
      </c>
      <c r="J765" s="987" t="str">
        <f>IF(A765="","",IFERROR(INDEX('Facturación 2026'!$L$4:$L$500,MATCH($A765,'Facturación 2026'!$A$4:$A$500,0)),""))</f>
        <v/>
      </c>
    </row>
    <row r="766" spans="1:10" ht="15.75" customHeight="1">
      <c r="A766" s="988"/>
      <c r="B766" s="122" t="str">
        <f t="shared" si="47"/>
        <v/>
      </c>
      <c r="C766" s="123"/>
      <c r="D766" s="131" t="str">
        <f t="array" ref="D766">IF(A766="","",SUMPRODUCT(('Detalle Turnos'!$I$3:$I$5028=$A766)*('Detalle Turnos'!$N$3:$N$5028=C766)*'Detalle Turnos'!$L$3:$L$5028))</f>
        <v/>
      </c>
      <c r="E766" s="127" t="str">
        <f t="array" ref="E766">IF(A766="","",SUMPRODUCT(('Detalle Turnos'!$I$3:$I$5028=$A766)*('Detalle Turnos'!$N$3:$N$5028=C766)*'Detalle Turnos'!$K$3:$K$5028))</f>
        <v/>
      </c>
      <c r="F766" s="127">
        <f t="shared" si="48"/>
        <v>0</v>
      </c>
      <c r="G766" s="127" t="str">
        <f t="array" ref="G766">IF(E766="","",IFERROR(SUMPRODUCT(('Facturación 2026'!$A$4:$A$920=$A766)*'Facturación 2026'!$J$4:$J$920)*E766/(SUMPRODUCT(('Caja 1'!$A$4:$A$919=$A766)*'Caja 1'!$E$4:$E$919)+SUMPRODUCT(('Caja 2'!$A$4:$A$920=$A766)*'Caja 2'!$E$4:$E$920)),0))</f>
        <v/>
      </c>
      <c r="H766" s="128" t="str">
        <f t="shared" si="49"/>
        <v/>
      </c>
      <c r="I766" s="124" t="str">
        <f t="shared" si="50"/>
        <v/>
      </c>
      <c r="J766" s="987" t="str">
        <f>IF(A766="","",IFERROR(INDEX('Facturación 2026'!$L$4:$L$500,MATCH($A766,'Facturación 2026'!$A$4:$A$500,0)),""))</f>
        <v/>
      </c>
    </row>
    <row r="767" spans="1:10" ht="15.75" customHeight="1">
      <c r="A767" s="988"/>
      <c r="B767" s="122" t="str">
        <f t="shared" si="47"/>
        <v/>
      </c>
      <c r="C767" s="123"/>
      <c r="D767" s="131" t="str">
        <f t="array" ref="D767">IF(A767="","",SUMPRODUCT(('Detalle Turnos'!$I$3:$I$5028=$A767)*('Detalle Turnos'!$N$3:$N$5028=C767)*'Detalle Turnos'!$L$3:$L$5028))</f>
        <v/>
      </c>
      <c r="E767" s="127" t="str">
        <f t="array" ref="E767">IF(A767="","",SUMPRODUCT(('Detalle Turnos'!$I$3:$I$5028=$A767)*('Detalle Turnos'!$N$3:$N$5028=C767)*'Detalle Turnos'!$K$3:$K$5028))</f>
        <v/>
      </c>
      <c r="F767" s="127">
        <f t="shared" si="48"/>
        <v>0</v>
      </c>
      <c r="G767" s="127" t="str">
        <f t="array" ref="G767">IF(E767="","",IFERROR(SUMPRODUCT(('Facturación 2026'!$A$4:$A$920=$A767)*'Facturación 2026'!$J$4:$J$920)*E767/(SUMPRODUCT(('Caja 1'!$A$4:$A$919=$A767)*'Caja 1'!$E$4:$E$919)+SUMPRODUCT(('Caja 2'!$A$4:$A$920=$A767)*'Caja 2'!$E$4:$E$920)),0))</f>
        <v/>
      </c>
      <c r="H767" s="128" t="str">
        <f t="shared" si="49"/>
        <v/>
      </c>
      <c r="I767" s="124" t="str">
        <f t="shared" si="50"/>
        <v/>
      </c>
      <c r="J767" s="987" t="str">
        <f>IF(A767="","",IFERROR(INDEX('Facturación 2026'!$L$4:$L$500,MATCH($A767,'Facturación 2026'!$A$4:$A$500,0)),""))</f>
        <v/>
      </c>
    </row>
    <row r="768" spans="1:10" ht="15.75" customHeight="1">
      <c r="A768" s="988"/>
      <c r="B768" s="122" t="str">
        <f t="shared" si="47"/>
        <v/>
      </c>
      <c r="C768" s="123"/>
      <c r="D768" s="131" t="str">
        <f t="array" ref="D768">IF(A768="","",SUMPRODUCT(('Detalle Turnos'!$I$3:$I$5028=$A768)*('Detalle Turnos'!$N$3:$N$5028=C768)*'Detalle Turnos'!$L$3:$L$5028))</f>
        <v/>
      </c>
      <c r="E768" s="127" t="str">
        <f t="array" ref="E768">IF(A768="","",SUMPRODUCT(('Detalle Turnos'!$I$3:$I$5028=$A768)*('Detalle Turnos'!$N$3:$N$5028=C768)*'Detalle Turnos'!$K$3:$K$5028))</f>
        <v/>
      </c>
      <c r="F768" s="127">
        <f t="shared" si="48"/>
        <v>0</v>
      </c>
      <c r="G768" s="127" t="str">
        <f t="array" ref="G768">IF(E768="","",IFERROR(SUMPRODUCT(('Facturación 2026'!$A$4:$A$920=$A768)*'Facturación 2026'!$J$4:$J$920)*E768/(SUMPRODUCT(('Caja 1'!$A$4:$A$919=$A768)*'Caja 1'!$E$4:$E$919)+SUMPRODUCT(('Caja 2'!$A$4:$A$920=$A768)*'Caja 2'!$E$4:$E$920)),0))</f>
        <v/>
      </c>
      <c r="H768" s="128" t="str">
        <f t="shared" si="49"/>
        <v/>
      </c>
      <c r="I768" s="124" t="str">
        <f t="shared" si="50"/>
        <v/>
      </c>
      <c r="J768" s="987" t="str">
        <f>IF(A768="","",IFERROR(INDEX('Facturación 2026'!$L$4:$L$500,MATCH($A768,'Facturación 2026'!$A$4:$A$500,0)),""))</f>
        <v/>
      </c>
    </row>
    <row r="769" spans="1:10" ht="15.75" customHeight="1">
      <c r="A769" s="988"/>
      <c r="B769" s="122" t="str">
        <f t="shared" si="47"/>
        <v/>
      </c>
      <c r="C769" s="123"/>
      <c r="D769" s="131" t="str">
        <f t="array" ref="D769">IF(A769="","",SUMPRODUCT(('Detalle Turnos'!$I$3:$I$5028=$A769)*('Detalle Turnos'!$N$3:$N$5028=C769)*'Detalle Turnos'!$L$3:$L$5028))</f>
        <v/>
      </c>
      <c r="E769" s="127" t="str">
        <f t="array" ref="E769">IF(A769="","",SUMPRODUCT(('Detalle Turnos'!$I$3:$I$5028=$A769)*('Detalle Turnos'!$N$3:$N$5028=C769)*'Detalle Turnos'!$K$3:$K$5028))</f>
        <v/>
      </c>
      <c r="F769" s="127">
        <f t="shared" si="48"/>
        <v>0</v>
      </c>
      <c r="G769" s="127" t="str">
        <f t="array" ref="G769">IF(E769="","",IFERROR(SUMPRODUCT(('Facturación 2026'!$A$4:$A$920=$A769)*'Facturación 2026'!$J$4:$J$920)*E769/(SUMPRODUCT(('Caja 1'!$A$4:$A$919=$A769)*'Caja 1'!$E$4:$E$919)+SUMPRODUCT(('Caja 2'!$A$4:$A$920=$A769)*'Caja 2'!$E$4:$E$920)),0))</f>
        <v/>
      </c>
      <c r="H769" s="128" t="str">
        <f t="shared" si="49"/>
        <v/>
      </c>
      <c r="I769" s="124" t="str">
        <f t="shared" si="50"/>
        <v/>
      </c>
      <c r="J769" s="987" t="str">
        <f>IF(A769="","",IFERROR(INDEX('Facturación 2026'!$L$4:$L$500,MATCH($A769,'Facturación 2026'!$A$4:$A$500,0)),""))</f>
        <v/>
      </c>
    </row>
    <row r="770" spans="1:10" ht="15.75" customHeight="1">
      <c r="A770" s="988"/>
      <c r="B770" s="122" t="str">
        <f t="shared" si="47"/>
        <v/>
      </c>
      <c r="C770" s="123"/>
      <c r="D770" s="131" t="str">
        <f t="array" ref="D770">IF(A770="","",SUMPRODUCT(('Detalle Turnos'!$I$3:$I$5028=$A770)*('Detalle Turnos'!$N$3:$N$5028=C770)*'Detalle Turnos'!$L$3:$L$5028))</f>
        <v/>
      </c>
      <c r="E770" s="127" t="str">
        <f t="array" ref="E770">IF(A770="","",SUMPRODUCT(('Detalle Turnos'!$I$3:$I$5028=$A770)*('Detalle Turnos'!$N$3:$N$5028=C770)*'Detalle Turnos'!$K$3:$K$5028))</f>
        <v/>
      </c>
      <c r="F770" s="127">
        <f t="shared" si="48"/>
        <v>0</v>
      </c>
      <c r="G770" s="127" t="str">
        <f t="array" ref="G770">IF(E770="","",IFERROR(SUMPRODUCT(('Facturación 2026'!$A$4:$A$920=$A770)*'Facturación 2026'!$J$4:$J$920)*E770/(SUMPRODUCT(('Caja 1'!$A$4:$A$919=$A770)*'Caja 1'!$E$4:$E$919)+SUMPRODUCT(('Caja 2'!$A$4:$A$920=$A770)*'Caja 2'!$E$4:$E$920)),0))</f>
        <v/>
      </c>
      <c r="H770" s="128" t="str">
        <f t="shared" si="49"/>
        <v/>
      </c>
      <c r="I770" s="124" t="str">
        <f t="shared" si="50"/>
        <v/>
      </c>
      <c r="J770" s="987" t="str">
        <f>IF(A770="","",IFERROR(INDEX('Facturación 2026'!$L$4:$L$500,MATCH($A770,'Facturación 2026'!$A$4:$A$500,0)),""))</f>
        <v/>
      </c>
    </row>
    <row r="771" spans="1:10" ht="15.75" customHeight="1">
      <c r="A771" s="988"/>
      <c r="B771" s="122" t="str">
        <f t="shared" ref="B771:B834" si="51">IF(A771="","",CHOOSE(WEEKDAY(A771,2),"Lun","Mar","Mié","Jue","Vie","Sáb","Dom"))</f>
        <v/>
      </c>
      <c r="C771" s="123"/>
      <c r="D771" s="131" t="str">
        <f t="array" ref="D771">IF(A771="","",SUMPRODUCT(('Detalle Turnos'!$I$3:$I$5028=$A771)*('Detalle Turnos'!$N$3:$N$5028=C771)*'Detalle Turnos'!$L$3:$L$5028))</f>
        <v/>
      </c>
      <c r="E771" s="127" t="str">
        <f t="array" ref="E771">IF(A771="","",SUMPRODUCT(('Detalle Turnos'!$I$3:$I$5028=$A771)*('Detalle Turnos'!$N$3:$N$5028=C771)*'Detalle Turnos'!$K$3:$K$5028))</f>
        <v/>
      </c>
      <c r="F771" s="127">
        <f t="shared" ref="F771:F834" si="52">IFERROR(E771/D771,0)</f>
        <v>0</v>
      </c>
      <c r="G771" s="127" t="str">
        <f t="array" ref="G771">IF(E771="","",IFERROR(SUMPRODUCT(('Facturación 2026'!$A$4:$A$920=$A771)*'Facturación 2026'!$J$4:$J$920)*E771/(SUMPRODUCT(('Caja 1'!$A$4:$A$919=$A771)*'Caja 1'!$E$4:$E$919)+SUMPRODUCT(('Caja 2'!$A$4:$A$920=$A771)*'Caja 2'!$E$4:$E$920)),0))</f>
        <v/>
      </c>
      <c r="H771" s="128" t="str">
        <f t="shared" ref="H771:H834" si="53">IF(E771="","",E771-G771)</f>
        <v/>
      </c>
      <c r="I771" s="124" t="str">
        <f t="shared" ref="I771:I834" si="54">IF(E771="","",IFERROR(G771/E771,0))</f>
        <v/>
      </c>
      <c r="J771" s="987" t="str">
        <f>IF(A771="","",IFERROR(INDEX('Facturación 2026'!$L$4:$L$500,MATCH($A771,'Facturación 2026'!$A$4:$A$500,0)),""))</f>
        <v/>
      </c>
    </row>
    <row r="772" spans="1:10" ht="15.75" customHeight="1">
      <c r="A772" s="988"/>
      <c r="B772" s="122" t="str">
        <f t="shared" si="51"/>
        <v/>
      </c>
      <c r="C772" s="123"/>
      <c r="D772" s="131" t="str">
        <f t="array" ref="D772">IF(A772="","",SUMPRODUCT(('Detalle Turnos'!$I$3:$I$5028=$A772)*('Detalle Turnos'!$N$3:$N$5028=C772)*'Detalle Turnos'!$L$3:$L$5028))</f>
        <v/>
      </c>
      <c r="E772" s="127" t="str">
        <f t="array" ref="E772">IF(A772="","",SUMPRODUCT(('Detalle Turnos'!$I$3:$I$5028=$A772)*('Detalle Turnos'!$N$3:$N$5028=C772)*'Detalle Turnos'!$K$3:$K$5028))</f>
        <v/>
      </c>
      <c r="F772" s="127">
        <f t="shared" si="52"/>
        <v>0</v>
      </c>
      <c r="G772" s="127" t="str">
        <f t="array" ref="G772">IF(E772="","",IFERROR(SUMPRODUCT(('Facturación 2026'!$A$4:$A$920=$A772)*'Facturación 2026'!$J$4:$J$920)*E772/(SUMPRODUCT(('Caja 1'!$A$4:$A$919=$A772)*'Caja 1'!$E$4:$E$919)+SUMPRODUCT(('Caja 2'!$A$4:$A$920=$A772)*'Caja 2'!$E$4:$E$920)),0))</f>
        <v/>
      </c>
      <c r="H772" s="128" t="str">
        <f t="shared" si="53"/>
        <v/>
      </c>
      <c r="I772" s="124" t="str">
        <f t="shared" si="54"/>
        <v/>
      </c>
      <c r="J772" s="987" t="str">
        <f>IF(A772="","",IFERROR(INDEX('Facturación 2026'!$L$4:$L$500,MATCH($A772,'Facturación 2026'!$A$4:$A$500,0)),""))</f>
        <v/>
      </c>
    </row>
    <row r="773" spans="1:10" ht="15.75" customHeight="1">
      <c r="A773" s="988"/>
      <c r="B773" s="122" t="str">
        <f t="shared" si="51"/>
        <v/>
      </c>
      <c r="C773" s="123"/>
      <c r="D773" s="131" t="str">
        <f t="array" ref="D773">IF(A773="","",SUMPRODUCT(('Detalle Turnos'!$I$3:$I$5028=$A773)*('Detalle Turnos'!$N$3:$N$5028=C773)*'Detalle Turnos'!$L$3:$L$5028))</f>
        <v/>
      </c>
      <c r="E773" s="127" t="str">
        <f t="array" ref="E773">IF(A773="","",SUMPRODUCT(('Detalle Turnos'!$I$3:$I$5028=$A773)*('Detalle Turnos'!$N$3:$N$5028=C773)*'Detalle Turnos'!$K$3:$K$5028))</f>
        <v/>
      </c>
      <c r="F773" s="127">
        <f t="shared" si="52"/>
        <v>0</v>
      </c>
      <c r="G773" s="127" t="str">
        <f t="array" ref="G773">IF(E773="","",IFERROR(SUMPRODUCT(('Facturación 2026'!$A$4:$A$920=$A773)*'Facturación 2026'!$J$4:$J$920)*E773/(SUMPRODUCT(('Caja 1'!$A$4:$A$919=$A773)*'Caja 1'!$E$4:$E$919)+SUMPRODUCT(('Caja 2'!$A$4:$A$920=$A773)*'Caja 2'!$E$4:$E$920)),0))</f>
        <v/>
      </c>
      <c r="H773" s="128" t="str">
        <f t="shared" si="53"/>
        <v/>
      </c>
      <c r="I773" s="124" t="str">
        <f t="shared" si="54"/>
        <v/>
      </c>
      <c r="J773" s="987" t="str">
        <f>IF(A773="","",IFERROR(INDEX('Facturación 2026'!$L$4:$L$500,MATCH($A773,'Facturación 2026'!$A$4:$A$500,0)),""))</f>
        <v/>
      </c>
    </row>
    <row r="774" spans="1:10" ht="15.75" customHeight="1">
      <c r="A774" s="988"/>
      <c r="B774" s="122" t="str">
        <f t="shared" si="51"/>
        <v/>
      </c>
      <c r="C774" s="123"/>
      <c r="D774" s="131" t="str">
        <f t="array" ref="D774">IF(A774="","",SUMPRODUCT(('Detalle Turnos'!$I$3:$I$5028=$A774)*('Detalle Turnos'!$N$3:$N$5028=C774)*'Detalle Turnos'!$L$3:$L$5028))</f>
        <v/>
      </c>
      <c r="E774" s="127" t="str">
        <f t="array" ref="E774">IF(A774="","",SUMPRODUCT(('Detalle Turnos'!$I$3:$I$5028=$A774)*('Detalle Turnos'!$N$3:$N$5028=C774)*'Detalle Turnos'!$K$3:$K$5028))</f>
        <v/>
      </c>
      <c r="F774" s="127">
        <f t="shared" si="52"/>
        <v>0</v>
      </c>
      <c r="G774" s="127" t="str">
        <f t="array" ref="G774">IF(E774="","",IFERROR(SUMPRODUCT(('Facturación 2026'!$A$4:$A$920=$A774)*'Facturación 2026'!$J$4:$J$920)*E774/(SUMPRODUCT(('Caja 1'!$A$4:$A$919=$A774)*'Caja 1'!$E$4:$E$919)+SUMPRODUCT(('Caja 2'!$A$4:$A$920=$A774)*'Caja 2'!$E$4:$E$920)),0))</f>
        <v/>
      </c>
      <c r="H774" s="128" t="str">
        <f t="shared" si="53"/>
        <v/>
      </c>
      <c r="I774" s="124" t="str">
        <f t="shared" si="54"/>
        <v/>
      </c>
      <c r="J774" s="987" t="str">
        <f>IF(A774="","",IFERROR(INDEX('Facturación 2026'!$L$4:$L$500,MATCH($A774,'Facturación 2026'!$A$4:$A$500,0)),""))</f>
        <v/>
      </c>
    </row>
    <row r="775" spans="1:10" ht="15.75" customHeight="1">
      <c r="A775" s="988"/>
      <c r="B775" s="122" t="str">
        <f t="shared" si="51"/>
        <v/>
      </c>
      <c r="C775" s="123"/>
      <c r="D775" s="131" t="str">
        <f t="array" ref="D775">IF(A775="","",SUMPRODUCT(('Detalle Turnos'!$I$3:$I$5028=$A775)*('Detalle Turnos'!$N$3:$N$5028=C775)*'Detalle Turnos'!$L$3:$L$5028))</f>
        <v/>
      </c>
      <c r="E775" s="127" t="str">
        <f t="array" ref="E775">IF(A775="","",SUMPRODUCT(('Detalle Turnos'!$I$3:$I$5028=$A775)*('Detalle Turnos'!$N$3:$N$5028=C775)*'Detalle Turnos'!$K$3:$K$5028))</f>
        <v/>
      </c>
      <c r="F775" s="127">
        <f t="shared" si="52"/>
        <v>0</v>
      </c>
      <c r="G775" s="127" t="str">
        <f t="array" ref="G775">IF(E775="","",IFERROR(SUMPRODUCT(('Facturación 2026'!$A$4:$A$920=$A775)*'Facturación 2026'!$J$4:$J$920)*E775/(SUMPRODUCT(('Caja 1'!$A$4:$A$919=$A775)*'Caja 1'!$E$4:$E$919)+SUMPRODUCT(('Caja 2'!$A$4:$A$920=$A775)*'Caja 2'!$E$4:$E$920)),0))</f>
        <v/>
      </c>
      <c r="H775" s="128" t="str">
        <f t="shared" si="53"/>
        <v/>
      </c>
      <c r="I775" s="124" t="str">
        <f t="shared" si="54"/>
        <v/>
      </c>
      <c r="J775" s="987" t="str">
        <f>IF(A775="","",IFERROR(INDEX('Facturación 2026'!$L$4:$L$500,MATCH($A775,'Facturación 2026'!$A$4:$A$500,0)),""))</f>
        <v/>
      </c>
    </row>
    <row r="776" spans="1:10" ht="15.75" customHeight="1">
      <c r="A776" s="988"/>
      <c r="B776" s="122" t="str">
        <f t="shared" si="51"/>
        <v/>
      </c>
      <c r="C776" s="123"/>
      <c r="D776" s="131" t="str">
        <f t="array" ref="D776">IF(A776="","",SUMPRODUCT(('Detalle Turnos'!$I$3:$I$5028=$A776)*('Detalle Turnos'!$N$3:$N$5028=C776)*'Detalle Turnos'!$L$3:$L$5028))</f>
        <v/>
      </c>
      <c r="E776" s="127" t="str">
        <f t="array" ref="E776">IF(A776="","",SUMPRODUCT(('Detalle Turnos'!$I$3:$I$5028=$A776)*('Detalle Turnos'!$N$3:$N$5028=C776)*'Detalle Turnos'!$K$3:$K$5028))</f>
        <v/>
      </c>
      <c r="F776" s="127">
        <f t="shared" si="52"/>
        <v>0</v>
      </c>
      <c r="G776" s="127" t="str">
        <f t="array" ref="G776">IF(E776="","",IFERROR(SUMPRODUCT(('Facturación 2026'!$A$4:$A$920=$A776)*'Facturación 2026'!$J$4:$J$920)*E776/(SUMPRODUCT(('Caja 1'!$A$4:$A$919=$A776)*'Caja 1'!$E$4:$E$919)+SUMPRODUCT(('Caja 2'!$A$4:$A$920=$A776)*'Caja 2'!$E$4:$E$920)),0))</f>
        <v/>
      </c>
      <c r="H776" s="128" t="str">
        <f t="shared" si="53"/>
        <v/>
      </c>
      <c r="I776" s="124" t="str">
        <f t="shared" si="54"/>
        <v/>
      </c>
      <c r="J776" s="987" t="str">
        <f>IF(A776="","",IFERROR(INDEX('Facturación 2026'!$L$4:$L$500,MATCH($A776,'Facturación 2026'!$A$4:$A$500,0)),""))</f>
        <v/>
      </c>
    </row>
    <row r="777" spans="1:10" ht="15.75" customHeight="1">
      <c r="A777" s="988"/>
      <c r="B777" s="122" t="str">
        <f t="shared" si="51"/>
        <v/>
      </c>
      <c r="C777" s="123"/>
      <c r="D777" s="131" t="str">
        <f t="array" ref="D777">IF(A777="","",SUMPRODUCT(('Detalle Turnos'!$I$3:$I$5028=$A777)*('Detalle Turnos'!$N$3:$N$5028=C777)*'Detalle Turnos'!$L$3:$L$5028))</f>
        <v/>
      </c>
      <c r="E777" s="127" t="str">
        <f t="array" ref="E777">IF(A777="","",SUMPRODUCT(('Detalle Turnos'!$I$3:$I$5028=$A777)*('Detalle Turnos'!$N$3:$N$5028=C777)*'Detalle Turnos'!$K$3:$K$5028))</f>
        <v/>
      </c>
      <c r="F777" s="127">
        <f t="shared" si="52"/>
        <v>0</v>
      </c>
      <c r="G777" s="127" t="str">
        <f t="array" ref="G777">IF(E777="","",IFERROR(SUMPRODUCT(('Facturación 2026'!$A$4:$A$920=$A777)*'Facturación 2026'!$J$4:$J$920)*E777/(SUMPRODUCT(('Caja 1'!$A$4:$A$919=$A777)*'Caja 1'!$E$4:$E$919)+SUMPRODUCT(('Caja 2'!$A$4:$A$920=$A777)*'Caja 2'!$E$4:$E$920)),0))</f>
        <v/>
      </c>
      <c r="H777" s="128" t="str">
        <f t="shared" si="53"/>
        <v/>
      </c>
      <c r="I777" s="124" t="str">
        <f t="shared" si="54"/>
        <v/>
      </c>
      <c r="J777" s="987" t="str">
        <f>IF(A777="","",IFERROR(INDEX('Facturación 2026'!$L$4:$L$500,MATCH($A777,'Facturación 2026'!$A$4:$A$500,0)),""))</f>
        <v/>
      </c>
    </row>
    <row r="778" spans="1:10" ht="15.75" customHeight="1">
      <c r="A778" s="988"/>
      <c r="B778" s="122" t="str">
        <f t="shared" si="51"/>
        <v/>
      </c>
      <c r="C778" s="123"/>
      <c r="D778" s="131" t="str">
        <f t="array" ref="D778">IF(A778="","",SUMPRODUCT(('Detalle Turnos'!$I$3:$I$5028=$A778)*('Detalle Turnos'!$N$3:$N$5028=C778)*'Detalle Turnos'!$L$3:$L$5028))</f>
        <v/>
      </c>
      <c r="E778" s="127" t="str">
        <f t="array" ref="E778">IF(A778="","",SUMPRODUCT(('Detalle Turnos'!$I$3:$I$5028=$A778)*('Detalle Turnos'!$N$3:$N$5028=C778)*'Detalle Turnos'!$K$3:$K$5028))</f>
        <v/>
      </c>
      <c r="F778" s="127">
        <f t="shared" si="52"/>
        <v>0</v>
      </c>
      <c r="G778" s="127" t="str">
        <f t="array" ref="G778">IF(E778="","",IFERROR(SUMPRODUCT(('Facturación 2026'!$A$4:$A$920=$A778)*'Facturación 2026'!$J$4:$J$920)*E778/(SUMPRODUCT(('Caja 1'!$A$4:$A$919=$A778)*'Caja 1'!$E$4:$E$919)+SUMPRODUCT(('Caja 2'!$A$4:$A$920=$A778)*'Caja 2'!$E$4:$E$920)),0))</f>
        <v/>
      </c>
      <c r="H778" s="128" t="str">
        <f t="shared" si="53"/>
        <v/>
      </c>
      <c r="I778" s="124" t="str">
        <f t="shared" si="54"/>
        <v/>
      </c>
      <c r="J778" s="987" t="str">
        <f>IF(A778="","",IFERROR(INDEX('Facturación 2026'!$L$4:$L$500,MATCH($A778,'Facturación 2026'!$A$4:$A$500,0)),""))</f>
        <v/>
      </c>
    </row>
    <row r="779" spans="1:10" ht="15.75" customHeight="1">
      <c r="A779" s="988"/>
      <c r="B779" s="122" t="str">
        <f t="shared" si="51"/>
        <v/>
      </c>
      <c r="C779" s="123"/>
      <c r="D779" s="131" t="str">
        <f t="array" ref="D779">IF(A779="","",SUMPRODUCT(('Detalle Turnos'!$I$3:$I$5028=$A779)*('Detalle Turnos'!$N$3:$N$5028=C779)*'Detalle Turnos'!$L$3:$L$5028))</f>
        <v/>
      </c>
      <c r="E779" s="127" t="str">
        <f t="array" ref="E779">IF(A779="","",SUMPRODUCT(('Detalle Turnos'!$I$3:$I$5028=$A779)*('Detalle Turnos'!$N$3:$N$5028=C779)*'Detalle Turnos'!$K$3:$K$5028))</f>
        <v/>
      </c>
      <c r="F779" s="127">
        <f t="shared" si="52"/>
        <v>0</v>
      </c>
      <c r="G779" s="127" t="str">
        <f t="array" ref="G779">IF(E779="","",IFERROR(SUMPRODUCT(('Facturación 2026'!$A$4:$A$920=$A779)*'Facturación 2026'!$J$4:$J$920)*E779/(SUMPRODUCT(('Caja 1'!$A$4:$A$919=$A779)*'Caja 1'!$E$4:$E$919)+SUMPRODUCT(('Caja 2'!$A$4:$A$920=$A779)*'Caja 2'!$E$4:$E$920)),0))</f>
        <v/>
      </c>
      <c r="H779" s="128" t="str">
        <f t="shared" si="53"/>
        <v/>
      </c>
      <c r="I779" s="124" t="str">
        <f t="shared" si="54"/>
        <v/>
      </c>
      <c r="J779" s="987" t="str">
        <f>IF(A779="","",IFERROR(INDEX('Facturación 2026'!$L$4:$L$500,MATCH($A779,'Facturación 2026'!$A$4:$A$500,0)),""))</f>
        <v/>
      </c>
    </row>
    <row r="780" spans="1:10" ht="15.75" customHeight="1">
      <c r="A780" s="988"/>
      <c r="B780" s="122" t="str">
        <f t="shared" si="51"/>
        <v/>
      </c>
      <c r="C780" s="123"/>
      <c r="D780" s="131" t="str">
        <f t="array" ref="D780">IF(A780="","",SUMPRODUCT(('Detalle Turnos'!$I$3:$I$5028=$A780)*('Detalle Turnos'!$N$3:$N$5028=C780)*'Detalle Turnos'!$L$3:$L$5028))</f>
        <v/>
      </c>
      <c r="E780" s="127" t="str">
        <f t="array" ref="E780">IF(A780="","",SUMPRODUCT(('Detalle Turnos'!$I$3:$I$5028=$A780)*('Detalle Turnos'!$N$3:$N$5028=C780)*'Detalle Turnos'!$K$3:$K$5028))</f>
        <v/>
      </c>
      <c r="F780" s="127">
        <f t="shared" si="52"/>
        <v>0</v>
      </c>
      <c r="G780" s="127" t="str">
        <f t="array" ref="G780">IF(E780="","",IFERROR(SUMPRODUCT(('Facturación 2026'!$A$4:$A$920=$A780)*'Facturación 2026'!$J$4:$J$920)*E780/(SUMPRODUCT(('Caja 1'!$A$4:$A$919=$A780)*'Caja 1'!$E$4:$E$919)+SUMPRODUCT(('Caja 2'!$A$4:$A$920=$A780)*'Caja 2'!$E$4:$E$920)),0))</f>
        <v/>
      </c>
      <c r="H780" s="128" t="str">
        <f t="shared" si="53"/>
        <v/>
      </c>
      <c r="I780" s="124" t="str">
        <f t="shared" si="54"/>
        <v/>
      </c>
      <c r="J780" s="987" t="str">
        <f>IF(A780="","",IFERROR(INDEX('Facturación 2026'!$L$4:$L$500,MATCH($A780,'Facturación 2026'!$A$4:$A$500,0)),""))</f>
        <v/>
      </c>
    </row>
    <row r="781" spans="1:10" ht="15.75" customHeight="1">
      <c r="A781" s="988"/>
      <c r="B781" s="122" t="str">
        <f t="shared" si="51"/>
        <v/>
      </c>
      <c r="C781" s="123"/>
      <c r="D781" s="131" t="str">
        <f t="array" ref="D781">IF(A781="","",SUMPRODUCT(('Detalle Turnos'!$I$3:$I$5028=$A781)*('Detalle Turnos'!$N$3:$N$5028=C781)*'Detalle Turnos'!$L$3:$L$5028))</f>
        <v/>
      </c>
      <c r="E781" s="127" t="str">
        <f t="array" ref="E781">IF(A781="","",SUMPRODUCT(('Detalle Turnos'!$I$3:$I$5028=$A781)*('Detalle Turnos'!$N$3:$N$5028=C781)*'Detalle Turnos'!$K$3:$K$5028))</f>
        <v/>
      </c>
      <c r="F781" s="127">
        <f t="shared" si="52"/>
        <v>0</v>
      </c>
      <c r="G781" s="127" t="str">
        <f t="array" ref="G781">IF(E781="","",IFERROR(SUMPRODUCT(('Facturación 2026'!$A$4:$A$920=$A781)*'Facturación 2026'!$J$4:$J$920)*E781/(SUMPRODUCT(('Caja 1'!$A$4:$A$919=$A781)*'Caja 1'!$E$4:$E$919)+SUMPRODUCT(('Caja 2'!$A$4:$A$920=$A781)*'Caja 2'!$E$4:$E$920)),0))</f>
        <v/>
      </c>
      <c r="H781" s="128" t="str">
        <f t="shared" si="53"/>
        <v/>
      </c>
      <c r="I781" s="124" t="str">
        <f t="shared" si="54"/>
        <v/>
      </c>
      <c r="J781" s="987" t="str">
        <f>IF(A781="","",IFERROR(INDEX('Facturación 2026'!$L$4:$L$500,MATCH($A781,'Facturación 2026'!$A$4:$A$500,0)),""))</f>
        <v/>
      </c>
    </row>
    <row r="782" spans="1:10" ht="15.75" customHeight="1">
      <c r="A782" s="988"/>
      <c r="B782" s="122" t="str">
        <f t="shared" si="51"/>
        <v/>
      </c>
      <c r="C782" s="123"/>
      <c r="D782" s="131" t="str">
        <f t="array" ref="D782">IF(A782="","",SUMPRODUCT(('Detalle Turnos'!$I$3:$I$5028=$A782)*('Detalle Turnos'!$N$3:$N$5028=C782)*'Detalle Turnos'!$L$3:$L$5028))</f>
        <v/>
      </c>
      <c r="E782" s="127" t="str">
        <f t="array" ref="E782">IF(A782="","",SUMPRODUCT(('Detalle Turnos'!$I$3:$I$5028=$A782)*('Detalle Turnos'!$N$3:$N$5028=C782)*'Detalle Turnos'!$K$3:$K$5028))</f>
        <v/>
      </c>
      <c r="F782" s="127">
        <f t="shared" si="52"/>
        <v>0</v>
      </c>
      <c r="G782" s="127" t="str">
        <f t="array" ref="G782">IF(E782="","",IFERROR(SUMPRODUCT(('Facturación 2026'!$A$4:$A$920=$A782)*'Facturación 2026'!$J$4:$J$920)*E782/(SUMPRODUCT(('Caja 1'!$A$4:$A$919=$A782)*'Caja 1'!$E$4:$E$919)+SUMPRODUCT(('Caja 2'!$A$4:$A$920=$A782)*'Caja 2'!$E$4:$E$920)),0))</f>
        <v/>
      </c>
      <c r="H782" s="128" t="str">
        <f t="shared" si="53"/>
        <v/>
      </c>
      <c r="I782" s="124" t="str">
        <f t="shared" si="54"/>
        <v/>
      </c>
      <c r="J782" s="987" t="str">
        <f>IF(A782="","",IFERROR(INDEX('Facturación 2026'!$L$4:$L$500,MATCH($A782,'Facturación 2026'!$A$4:$A$500,0)),""))</f>
        <v/>
      </c>
    </row>
    <row r="783" spans="1:10" ht="15.75" customHeight="1">
      <c r="A783" s="988"/>
      <c r="B783" s="122" t="str">
        <f t="shared" si="51"/>
        <v/>
      </c>
      <c r="C783" s="123"/>
      <c r="D783" s="131" t="str">
        <f t="array" ref="D783">IF(A783="","",SUMPRODUCT(('Detalle Turnos'!$I$3:$I$5028=$A783)*('Detalle Turnos'!$N$3:$N$5028=C783)*'Detalle Turnos'!$L$3:$L$5028))</f>
        <v/>
      </c>
      <c r="E783" s="127" t="str">
        <f t="array" ref="E783">IF(A783="","",SUMPRODUCT(('Detalle Turnos'!$I$3:$I$5028=$A783)*('Detalle Turnos'!$N$3:$N$5028=C783)*'Detalle Turnos'!$K$3:$K$5028))</f>
        <v/>
      </c>
      <c r="F783" s="127">
        <f t="shared" si="52"/>
        <v>0</v>
      </c>
      <c r="G783" s="127" t="str">
        <f t="array" ref="G783">IF(E783="","",IFERROR(SUMPRODUCT(('Facturación 2026'!$A$4:$A$920=$A783)*'Facturación 2026'!$J$4:$J$920)*E783/(SUMPRODUCT(('Caja 1'!$A$4:$A$919=$A783)*'Caja 1'!$E$4:$E$919)+SUMPRODUCT(('Caja 2'!$A$4:$A$920=$A783)*'Caja 2'!$E$4:$E$920)),0))</f>
        <v/>
      </c>
      <c r="H783" s="128" t="str">
        <f t="shared" si="53"/>
        <v/>
      </c>
      <c r="I783" s="124" t="str">
        <f t="shared" si="54"/>
        <v/>
      </c>
      <c r="J783" s="987" t="str">
        <f>IF(A783="","",IFERROR(INDEX('Facturación 2026'!$L$4:$L$500,MATCH($A783,'Facturación 2026'!$A$4:$A$500,0)),""))</f>
        <v/>
      </c>
    </row>
    <row r="784" spans="1:10" ht="15.75" customHeight="1">
      <c r="A784" s="988"/>
      <c r="B784" s="122" t="str">
        <f t="shared" si="51"/>
        <v/>
      </c>
      <c r="C784" s="123"/>
      <c r="D784" s="131" t="str">
        <f t="array" ref="D784">IF(A784="","",SUMPRODUCT(('Detalle Turnos'!$I$3:$I$5028=$A784)*('Detalle Turnos'!$N$3:$N$5028=C784)*'Detalle Turnos'!$L$3:$L$5028))</f>
        <v/>
      </c>
      <c r="E784" s="127" t="str">
        <f t="array" ref="E784">IF(A784="","",SUMPRODUCT(('Detalle Turnos'!$I$3:$I$5028=$A784)*('Detalle Turnos'!$N$3:$N$5028=C784)*'Detalle Turnos'!$K$3:$K$5028))</f>
        <v/>
      </c>
      <c r="F784" s="127">
        <f t="shared" si="52"/>
        <v>0</v>
      </c>
      <c r="G784" s="127" t="str">
        <f t="array" ref="G784">IF(E784="","",IFERROR(SUMPRODUCT(('Facturación 2026'!$A$4:$A$920=$A784)*'Facturación 2026'!$J$4:$J$920)*E784/(SUMPRODUCT(('Caja 1'!$A$4:$A$919=$A784)*'Caja 1'!$E$4:$E$919)+SUMPRODUCT(('Caja 2'!$A$4:$A$920=$A784)*'Caja 2'!$E$4:$E$920)),0))</f>
        <v/>
      </c>
      <c r="H784" s="128" t="str">
        <f t="shared" si="53"/>
        <v/>
      </c>
      <c r="I784" s="124" t="str">
        <f t="shared" si="54"/>
        <v/>
      </c>
      <c r="J784" s="987" t="str">
        <f>IF(A784="","",IFERROR(INDEX('Facturación 2026'!$L$4:$L$500,MATCH($A784,'Facturación 2026'!$A$4:$A$500,0)),""))</f>
        <v/>
      </c>
    </row>
    <row r="785" spans="1:10" ht="15.75" customHeight="1">
      <c r="A785" s="988"/>
      <c r="B785" s="122" t="str">
        <f t="shared" si="51"/>
        <v/>
      </c>
      <c r="C785" s="123"/>
      <c r="D785" s="131" t="str">
        <f t="array" ref="D785">IF(A785="","",SUMPRODUCT(('Detalle Turnos'!$I$3:$I$5028=$A785)*('Detalle Turnos'!$N$3:$N$5028=C785)*'Detalle Turnos'!$L$3:$L$5028))</f>
        <v/>
      </c>
      <c r="E785" s="127" t="str">
        <f t="array" ref="E785">IF(A785="","",SUMPRODUCT(('Detalle Turnos'!$I$3:$I$5028=$A785)*('Detalle Turnos'!$N$3:$N$5028=C785)*'Detalle Turnos'!$K$3:$K$5028))</f>
        <v/>
      </c>
      <c r="F785" s="127">
        <f t="shared" si="52"/>
        <v>0</v>
      </c>
      <c r="G785" s="127" t="str">
        <f t="array" ref="G785">IF(E785="","",IFERROR(SUMPRODUCT(('Facturación 2026'!$A$4:$A$920=$A785)*'Facturación 2026'!$J$4:$J$920)*E785/(SUMPRODUCT(('Caja 1'!$A$4:$A$919=$A785)*'Caja 1'!$E$4:$E$919)+SUMPRODUCT(('Caja 2'!$A$4:$A$920=$A785)*'Caja 2'!$E$4:$E$920)),0))</f>
        <v/>
      </c>
      <c r="H785" s="128" t="str">
        <f t="shared" si="53"/>
        <v/>
      </c>
      <c r="I785" s="124" t="str">
        <f t="shared" si="54"/>
        <v/>
      </c>
      <c r="J785" s="987" t="str">
        <f>IF(A785="","",IFERROR(INDEX('Facturación 2026'!$L$4:$L$500,MATCH($A785,'Facturación 2026'!$A$4:$A$500,0)),""))</f>
        <v/>
      </c>
    </row>
    <row r="786" spans="1:10" ht="15.75" customHeight="1">
      <c r="A786" s="988"/>
      <c r="B786" s="122" t="str">
        <f t="shared" si="51"/>
        <v/>
      </c>
      <c r="C786" s="123"/>
      <c r="D786" s="131" t="str">
        <f t="array" ref="D786">IF(A786="","",SUMPRODUCT(('Detalle Turnos'!$I$3:$I$5028=$A786)*('Detalle Turnos'!$N$3:$N$5028=C786)*'Detalle Turnos'!$L$3:$L$5028))</f>
        <v/>
      </c>
      <c r="E786" s="127" t="str">
        <f t="array" ref="E786">IF(A786="","",SUMPRODUCT(('Detalle Turnos'!$I$3:$I$5028=$A786)*('Detalle Turnos'!$N$3:$N$5028=C786)*'Detalle Turnos'!$K$3:$K$5028))</f>
        <v/>
      </c>
      <c r="F786" s="127">
        <f t="shared" si="52"/>
        <v>0</v>
      </c>
      <c r="G786" s="127" t="str">
        <f t="array" ref="G786">IF(E786="","",IFERROR(SUMPRODUCT(('Facturación 2026'!$A$4:$A$920=$A786)*'Facturación 2026'!$J$4:$J$920)*E786/(SUMPRODUCT(('Caja 1'!$A$4:$A$919=$A786)*'Caja 1'!$E$4:$E$919)+SUMPRODUCT(('Caja 2'!$A$4:$A$920=$A786)*'Caja 2'!$E$4:$E$920)),0))</f>
        <v/>
      </c>
      <c r="H786" s="128" t="str">
        <f t="shared" si="53"/>
        <v/>
      </c>
      <c r="I786" s="124" t="str">
        <f t="shared" si="54"/>
        <v/>
      </c>
      <c r="J786" s="987" t="str">
        <f>IF(A786="","",IFERROR(INDEX('Facturación 2026'!$L$4:$L$500,MATCH($A786,'Facturación 2026'!$A$4:$A$500,0)),""))</f>
        <v/>
      </c>
    </row>
    <row r="787" spans="1:10" ht="15.75" customHeight="1">
      <c r="A787" s="988"/>
      <c r="B787" s="122" t="str">
        <f t="shared" si="51"/>
        <v/>
      </c>
      <c r="C787" s="123"/>
      <c r="D787" s="131" t="str">
        <f t="array" ref="D787">IF(A787="","",SUMPRODUCT(('Detalle Turnos'!$I$3:$I$5028=$A787)*('Detalle Turnos'!$N$3:$N$5028=C787)*'Detalle Turnos'!$L$3:$L$5028))</f>
        <v/>
      </c>
      <c r="E787" s="127" t="str">
        <f t="array" ref="E787">IF(A787="","",SUMPRODUCT(('Detalle Turnos'!$I$3:$I$5028=$A787)*('Detalle Turnos'!$N$3:$N$5028=C787)*'Detalle Turnos'!$K$3:$K$5028))</f>
        <v/>
      </c>
      <c r="F787" s="127">
        <f t="shared" si="52"/>
        <v>0</v>
      </c>
      <c r="G787" s="127" t="str">
        <f t="array" ref="G787">IF(E787="","",IFERROR(SUMPRODUCT(('Facturación 2026'!$A$4:$A$920=$A787)*'Facturación 2026'!$J$4:$J$920)*E787/(SUMPRODUCT(('Caja 1'!$A$4:$A$919=$A787)*'Caja 1'!$E$4:$E$919)+SUMPRODUCT(('Caja 2'!$A$4:$A$920=$A787)*'Caja 2'!$E$4:$E$920)),0))</f>
        <v/>
      </c>
      <c r="H787" s="128" t="str">
        <f t="shared" si="53"/>
        <v/>
      </c>
      <c r="I787" s="124" t="str">
        <f t="shared" si="54"/>
        <v/>
      </c>
      <c r="J787" s="987" t="str">
        <f>IF(A787="","",IFERROR(INDEX('Facturación 2026'!$L$4:$L$500,MATCH($A787,'Facturación 2026'!$A$4:$A$500,0)),""))</f>
        <v/>
      </c>
    </row>
    <row r="788" spans="1:10" ht="15.75" customHeight="1">
      <c r="A788" s="988"/>
      <c r="B788" s="122" t="str">
        <f t="shared" si="51"/>
        <v/>
      </c>
      <c r="C788" s="123"/>
      <c r="D788" s="131" t="str">
        <f t="array" ref="D788">IF(A788="","",SUMPRODUCT(('Detalle Turnos'!$I$3:$I$5028=$A788)*('Detalle Turnos'!$N$3:$N$5028=C788)*'Detalle Turnos'!$L$3:$L$5028))</f>
        <v/>
      </c>
      <c r="E788" s="127" t="str">
        <f t="array" ref="E788">IF(A788="","",SUMPRODUCT(('Detalle Turnos'!$I$3:$I$5028=$A788)*('Detalle Turnos'!$N$3:$N$5028=C788)*'Detalle Turnos'!$K$3:$K$5028))</f>
        <v/>
      </c>
      <c r="F788" s="127">
        <f t="shared" si="52"/>
        <v>0</v>
      </c>
      <c r="G788" s="127" t="str">
        <f t="array" ref="G788">IF(E788="","",IFERROR(SUMPRODUCT(('Facturación 2026'!$A$4:$A$920=$A788)*'Facturación 2026'!$J$4:$J$920)*E788/(SUMPRODUCT(('Caja 1'!$A$4:$A$919=$A788)*'Caja 1'!$E$4:$E$919)+SUMPRODUCT(('Caja 2'!$A$4:$A$920=$A788)*'Caja 2'!$E$4:$E$920)),0))</f>
        <v/>
      </c>
      <c r="H788" s="128" t="str">
        <f t="shared" si="53"/>
        <v/>
      </c>
      <c r="I788" s="124" t="str">
        <f t="shared" si="54"/>
        <v/>
      </c>
      <c r="J788" s="987" t="str">
        <f>IF(A788="","",IFERROR(INDEX('Facturación 2026'!$L$4:$L$500,MATCH($A788,'Facturación 2026'!$A$4:$A$500,0)),""))</f>
        <v/>
      </c>
    </row>
    <row r="789" spans="1:10" ht="15.75" customHeight="1">
      <c r="A789" s="988"/>
      <c r="B789" s="122" t="str">
        <f t="shared" si="51"/>
        <v/>
      </c>
      <c r="C789" s="123"/>
      <c r="D789" s="131" t="str">
        <f t="array" ref="D789">IF(A789="","",SUMPRODUCT(('Detalle Turnos'!$I$3:$I$5028=$A789)*('Detalle Turnos'!$N$3:$N$5028=C789)*'Detalle Turnos'!$L$3:$L$5028))</f>
        <v/>
      </c>
      <c r="E789" s="127" t="str">
        <f t="array" ref="E789">IF(A789="","",SUMPRODUCT(('Detalle Turnos'!$I$3:$I$5028=$A789)*('Detalle Turnos'!$N$3:$N$5028=C789)*'Detalle Turnos'!$K$3:$K$5028))</f>
        <v/>
      </c>
      <c r="F789" s="127">
        <f t="shared" si="52"/>
        <v>0</v>
      </c>
      <c r="G789" s="127" t="str">
        <f t="array" ref="G789">IF(E789="","",IFERROR(SUMPRODUCT(('Facturación 2026'!$A$4:$A$920=$A789)*'Facturación 2026'!$J$4:$J$920)*E789/(SUMPRODUCT(('Caja 1'!$A$4:$A$919=$A789)*'Caja 1'!$E$4:$E$919)+SUMPRODUCT(('Caja 2'!$A$4:$A$920=$A789)*'Caja 2'!$E$4:$E$920)),0))</f>
        <v/>
      </c>
      <c r="H789" s="128" t="str">
        <f t="shared" si="53"/>
        <v/>
      </c>
      <c r="I789" s="124" t="str">
        <f t="shared" si="54"/>
        <v/>
      </c>
      <c r="J789" s="987" t="str">
        <f>IF(A789="","",IFERROR(INDEX('Facturación 2026'!$L$4:$L$500,MATCH($A789,'Facturación 2026'!$A$4:$A$500,0)),""))</f>
        <v/>
      </c>
    </row>
    <row r="790" spans="1:10" ht="15.75" customHeight="1">
      <c r="A790" s="988"/>
      <c r="B790" s="122" t="str">
        <f t="shared" si="51"/>
        <v/>
      </c>
      <c r="C790" s="123"/>
      <c r="D790" s="131" t="str">
        <f t="array" ref="D790">IF(A790="","",SUMPRODUCT(('Detalle Turnos'!$I$3:$I$5028=$A790)*('Detalle Turnos'!$N$3:$N$5028=C790)*'Detalle Turnos'!$L$3:$L$5028))</f>
        <v/>
      </c>
      <c r="E790" s="127" t="str">
        <f t="array" ref="E790">IF(A790="","",SUMPRODUCT(('Detalle Turnos'!$I$3:$I$5028=$A790)*('Detalle Turnos'!$N$3:$N$5028=C790)*'Detalle Turnos'!$K$3:$K$5028))</f>
        <v/>
      </c>
      <c r="F790" s="127">
        <f t="shared" si="52"/>
        <v>0</v>
      </c>
      <c r="G790" s="127" t="str">
        <f t="array" ref="G790">IF(E790="","",IFERROR(SUMPRODUCT(('Facturación 2026'!$A$4:$A$920=$A790)*'Facturación 2026'!$J$4:$J$920)*E790/(SUMPRODUCT(('Caja 1'!$A$4:$A$919=$A790)*'Caja 1'!$E$4:$E$919)+SUMPRODUCT(('Caja 2'!$A$4:$A$920=$A790)*'Caja 2'!$E$4:$E$920)),0))</f>
        <v/>
      </c>
      <c r="H790" s="128" t="str">
        <f t="shared" si="53"/>
        <v/>
      </c>
      <c r="I790" s="124" t="str">
        <f t="shared" si="54"/>
        <v/>
      </c>
      <c r="J790" s="987" t="str">
        <f>IF(A790="","",IFERROR(INDEX('Facturación 2026'!$L$4:$L$500,MATCH($A790,'Facturación 2026'!$A$4:$A$500,0)),""))</f>
        <v/>
      </c>
    </row>
    <row r="791" spans="1:10" ht="15.75" customHeight="1">
      <c r="A791" s="988"/>
      <c r="B791" s="122" t="str">
        <f t="shared" si="51"/>
        <v/>
      </c>
      <c r="C791" s="123"/>
      <c r="D791" s="131" t="str">
        <f t="array" ref="D791">IF(A791="","",SUMPRODUCT(('Detalle Turnos'!$I$3:$I$5028=$A791)*('Detalle Turnos'!$N$3:$N$5028=C791)*'Detalle Turnos'!$L$3:$L$5028))</f>
        <v/>
      </c>
      <c r="E791" s="127" t="str">
        <f t="array" ref="E791">IF(A791="","",SUMPRODUCT(('Detalle Turnos'!$I$3:$I$5028=$A791)*('Detalle Turnos'!$N$3:$N$5028=C791)*'Detalle Turnos'!$K$3:$K$5028))</f>
        <v/>
      </c>
      <c r="F791" s="127">
        <f t="shared" si="52"/>
        <v>0</v>
      </c>
      <c r="G791" s="127" t="str">
        <f t="array" ref="G791">IF(E791="","",IFERROR(SUMPRODUCT(('Facturación 2026'!$A$4:$A$920=$A791)*'Facturación 2026'!$J$4:$J$920)*E791/(SUMPRODUCT(('Caja 1'!$A$4:$A$919=$A791)*'Caja 1'!$E$4:$E$919)+SUMPRODUCT(('Caja 2'!$A$4:$A$920=$A791)*'Caja 2'!$E$4:$E$920)),0))</f>
        <v/>
      </c>
      <c r="H791" s="128" t="str">
        <f t="shared" si="53"/>
        <v/>
      </c>
      <c r="I791" s="124" t="str">
        <f t="shared" si="54"/>
        <v/>
      </c>
      <c r="J791" s="987" t="str">
        <f>IF(A791="","",IFERROR(INDEX('Facturación 2026'!$L$4:$L$500,MATCH($A791,'Facturación 2026'!$A$4:$A$500,0)),""))</f>
        <v/>
      </c>
    </row>
    <row r="792" spans="1:10" ht="15.75" customHeight="1">
      <c r="A792" s="988"/>
      <c r="B792" s="122" t="str">
        <f t="shared" si="51"/>
        <v/>
      </c>
      <c r="C792" s="123"/>
      <c r="D792" s="131" t="str">
        <f t="array" ref="D792">IF(A792="","",SUMPRODUCT(('Detalle Turnos'!$I$3:$I$5028=$A792)*('Detalle Turnos'!$N$3:$N$5028=C792)*'Detalle Turnos'!$L$3:$L$5028))</f>
        <v/>
      </c>
      <c r="E792" s="127" t="str">
        <f t="array" ref="E792">IF(A792="","",SUMPRODUCT(('Detalle Turnos'!$I$3:$I$5028=$A792)*('Detalle Turnos'!$N$3:$N$5028=C792)*'Detalle Turnos'!$K$3:$K$5028))</f>
        <v/>
      </c>
      <c r="F792" s="127">
        <f t="shared" si="52"/>
        <v>0</v>
      </c>
      <c r="G792" s="127" t="str">
        <f t="array" ref="G792">IF(E792="","",IFERROR(SUMPRODUCT(('Facturación 2026'!$A$4:$A$920=$A792)*'Facturación 2026'!$J$4:$J$920)*E792/(SUMPRODUCT(('Caja 1'!$A$4:$A$919=$A792)*'Caja 1'!$E$4:$E$919)+SUMPRODUCT(('Caja 2'!$A$4:$A$920=$A792)*'Caja 2'!$E$4:$E$920)),0))</f>
        <v/>
      </c>
      <c r="H792" s="128" t="str">
        <f t="shared" si="53"/>
        <v/>
      </c>
      <c r="I792" s="124" t="str">
        <f t="shared" si="54"/>
        <v/>
      </c>
      <c r="J792" s="987" t="str">
        <f>IF(A792="","",IFERROR(INDEX('Facturación 2026'!$L$4:$L$500,MATCH($A792,'Facturación 2026'!$A$4:$A$500,0)),""))</f>
        <v/>
      </c>
    </row>
    <row r="793" spans="1:10" ht="15.75" customHeight="1">
      <c r="A793" s="988"/>
      <c r="B793" s="122" t="str">
        <f t="shared" si="51"/>
        <v/>
      </c>
      <c r="C793" s="123"/>
      <c r="D793" s="131" t="str">
        <f t="array" ref="D793">IF(A793="","",SUMPRODUCT(('Detalle Turnos'!$I$3:$I$5028=$A793)*('Detalle Turnos'!$N$3:$N$5028=C793)*'Detalle Turnos'!$L$3:$L$5028))</f>
        <v/>
      </c>
      <c r="E793" s="127" t="str">
        <f t="array" ref="E793">IF(A793="","",SUMPRODUCT(('Detalle Turnos'!$I$3:$I$5028=$A793)*('Detalle Turnos'!$N$3:$N$5028=C793)*'Detalle Turnos'!$K$3:$K$5028))</f>
        <v/>
      </c>
      <c r="F793" s="127">
        <f t="shared" si="52"/>
        <v>0</v>
      </c>
      <c r="G793" s="127" t="str">
        <f t="array" ref="G793">IF(E793="","",IFERROR(SUMPRODUCT(('Facturación 2026'!$A$4:$A$920=$A793)*'Facturación 2026'!$J$4:$J$920)*E793/(SUMPRODUCT(('Caja 1'!$A$4:$A$919=$A793)*'Caja 1'!$E$4:$E$919)+SUMPRODUCT(('Caja 2'!$A$4:$A$920=$A793)*'Caja 2'!$E$4:$E$920)),0))</f>
        <v/>
      </c>
      <c r="H793" s="128" t="str">
        <f t="shared" si="53"/>
        <v/>
      </c>
      <c r="I793" s="124" t="str">
        <f t="shared" si="54"/>
        <v/>
      </c>
      <c r="J793" s="987" t="str">
        <f>IF(A793="","",IFERROR(INDEX('Facturación 2026'!$L$4:$L$500,MATCH($A793,'Facturación 2026'!$A$4:$A$500,0)),""))</f>
        <v/>
      </c>
    </row>
    <row r="794" spans="1:10" ht="15.75" customHeight="1">
      <c r="A794" s="988"/>
      <c r="B794" s="122" t="str">
        <f t="shared" si="51"/>
        <v/>
      </c>
      <c r="C794" s="123"/>
      <c r="D794" s="131" t="str">
        <f t="array" ref="D794">IF(A794="","",SUMPRODUCT(('Detalle Turnos'!$I$3:$I$5028=$A794)*('Detalle Turnos'!$N$3:$N$5028=C794)*'Detalle Turnos'!$L$3:$L$5028))</f>
        <v/>
      </c>
      <c r="E794" s="127" t="str">
        <f t="array" ref="E794">IF(A794="","",SUMPRODUCT(('Detalle Turnos'!$I$3:$I$5028=$A794)*('Detalle Turnos'!$N$3:$N$5028=C794)*'Detalle Turnos'!$K$3:$K$5028))</f>
        <v/>
      </c>
      <c r="F794" s="127">
        <f t="shared" si="52"/>
        <v>0</v>
      </c>
      <c r="G794" s="127" t="str">
        <f t="array" ref="G794">IF(E794="","",IFERROR(SUMPRODUCT(('Facturación 2026'!$A$4:$A$920=$A794)*'Facturación 2026'!$J$4:$J$920)*E794/(SUMPRODUCT(('Caja 1'!$A$4:$A$919=$A794)*'Caja 1'!$E$4:$E$919)+SUMPRODUCT(('Caja 2'!$A$4:$A$920=$A794)*'Caja 2'!$E$4:$E$920)),0))</f>
        <v/>
      </c>
      <c r="H794" s="128" t="str">
        <f t="shared" si="53"/>
        <v/>
      </c>
      <c r="I794" s="124" t="str">
        <f t="shared" si="54"/>
        <v/>
      </c>
      <c r="J794" s="987" t="str">
        <f>IF(A794="","",IFERROR(INDEX('Facturación 2026'!$L$4:$L$500,MATCH($A794,'Facturación 2026'!$A$4:$A$500,0)),""))</f>
        <v/>
      </c>
    </row>
    <row r="795" spans="1:10" ht="15.75" customHeight="1">
      <c r="A795" s="988"/>
      <c r="B795" s="122" t="str">
        <f t="shared" si="51"/>
        <v/>
      </c>
      <c r="C795" s="123"/>
      <c r="D795" s="131" t="str">
        <f t="array" ref="D795">IF(A795="","",SUMPRODUCT(('Detalle Turnos'!$I$3:$I$5028=$A795)*('Detalle Turnos'!$N$3:$N$5028=C795)*'Detalle Turnos'!$L$3:$L$5028))</f>
        <v/>
      </c>
      <c r="E795" s="127" t="str">
        <f t="array" ref="E795">IF(A795="","",SUMPRODUCT(('Detalle Turnos'!$I$3:$I$5028=$A795)*('Detalle Turnos'!$N$3:$N$5028=C795)*'Detalle Turnos'!$K$3:$K$5028))</f>
        <v/>
      </c>
      <c r="F795" s="127">
        <f t="shared" si="52"/>
        <v>0</v>
      </c>
      <c r="G795" s="127" t="str">
        <f t="array" ref="G795">IF(E795="","",IFERROR(SUMPRODUCT(('Facturación 2026'!$A$4:$A$920=$A795)*'Facturación 2026'!$J$4:$J$920)*E795/(SUMPRODUCT(('Caja 1'!$A$4:$A$919=$A795)*'Caja 1'!$E$4:$E$919)+SUMPRODUCT(('Caja 2'!$A$4:$A$920=$A795)*'Caja 2'!$E$4:$E$920)),0))</f>
        <v/>
      </c>
      <c r="H795" s="128" t="str">
        <f t="shared" si="53"/>
        <v/>
      </c>
      <c r="I795" s="124" t="str">
        <f t="shared" si="54"/>
        <v/>
      </c>
      <c r="J795" s="987" t="str">
        <f>IF(A795="","",IFERROR(INDEX('Facturación 2026'!$L$4:$L$500,MATCH($A795,'Facturación 2026'!$A$4:$A$500,0)),""))</f>
        <v/>
      </c>
    </row>
    <row r="796" spans="1:10" ht="15.75" customHeight="1">
      <c r="A796" s="988"/>
      <c r="B796" s="122" t="str">
        <f t="shared" si="51"/>
        <v/>
      </c>
      <c r="C796" s="123"/>
      <c r="D796" s="131" t="str">
        <f t="array" ref="D796">IF(A796="","",SUMPRODUCT(('Detalle Turnos'!$I$3:$I$5028=$A796)*('Detalle Turnos'!$N$3:$N$5028=C796)*'Detalle Turnos'!$L$3:$L$5028))</f>
        <v/>
      </c>
      <c r="E796" s="127" t="str">
        <f t="array" ref="E796">IF(A796="","",SUMPRODUCT(('Detalle Turnos'!$I$3:$I$5028=$A796)*('Detalle Turnos'!$N$3:$N$5028=C796)*'Detalle Turnos'!$K$3:$K$5028))</f>
        <v/>
      </c>
      <c r="F796" s="127">
        <f t="shared" si="52"/>
        <v>0</v>
      </c>
      <c r="G796" s="127" t="str">
        <f t="array" ref="G796">IF(E796="","",IFERROR(SUMPRODUCT(('Facturación 2026'!$A$4:$A$920=$A796)*'Facturación 2026'!$J$4:$J$920)*E796/(SUMPRODUCT(('Caja 1'!$A$4:$A$919=$A796)*'Caja 1'!$E$4:$E$919)+SUMPRODUCT(('Caja 2'!$A$4:$A$920=$A796)*'Caja 2'!$E$4:$E$920)),0))</f>
        <v/>
      </c>
      <c r="H796" s="128" t="str">
        <f t="shared" si="53"/>
        <v/>
      </c>
      <c r="I796" s="124" t="str">
        <f t="shared" si="54"/>
        <v/>
      </c>
      <c r="J796" s="987" t="str">
        <f>IF(A796="","",IFERROR(INDEX('Facturación 2026'!$L$4:$L$500,MATCH($A796,'Facturación 2026'!$A$4:$A$500,0)),""))</f>
        <v/>
      </c>
    </row>
    <row r="797" spans="1:10" ht="15.75" customHeight="1">
      <c r="A797" s="988"/>
      <c r="B797" s="122" t="str">
        <f t="shared" si="51"/>
        <v/>
      </c>
      <c r="C797" s="123"/>
      <c r="D797" s="131" t="str">
        <f t="array" ref="D797">IF(A797="","",SUMPRODUCT(('Detalle Turnos'!$I$3:$I$5028=$A797)*('Detalle Turnos'!$N$3:$N$5028=C797)*'Detalle Turnos'!$L$3:$L$5028))</f>
        <v/>
      </c>
      <c r="E797" s="127" t="str">
        <f t="array" ref="E797">IF(A797="","",SUMPRODUCT(('Detalle Turnos'!$I$3:$I$5028=$A797)*('Detalle Turnos'!$N$3:$N$5028=C797)*'Detalle Turnos'!$K$3:$K$5028))</f>
        <v/>
      </c>
      <c r="F797" s="127">
        <f t="shared" si="52"/>
        <v>0</v>
      </c>
      <c r="G797" s="127" t="str">
        <f t="array" ref="G797">IF(E797="","",IFERROR(SUMPRODUCT(('Facturación 2026'!$A$4:$A$920=$A797)*'Facturación 2026'!$J$4:$J$920)*E797/(SUMPRODUCT(('Caja 1'!$A$4:$A$919=$A797)*'Caja 1'!$E$4:$E$919)+SUMPRODUCT(('Caja 2'!$A$4:$A$920=$A797)*'Caja 2'!$E$4:$E$920)),0))</f>
        <v/>
      </c>
      <c r="H797" s="128" t="str">
        <f t="shared" si="53"/>
        <v/>
      </c>
      <c r="I797" s="124" t="str">
        <f t="shared" si="54"/>
        <v/>
      </c>
      <c r="J797" s="987" t="str">
        <f>IF(A797="","",IFERROR(INDEX('Facturación 2026'!$L$4:$L$500,MATCH($A797,'Facturación 2026'!$A$4:$A$500,0)),""))</f>
        <v/>
      </c>
    </row>
    <row r="798" spans="1:10" ht="15.75" customHeight="1">
      <c r="A798" s="988"/>
      <c r="B798" s="122" t="str">
        <f t="shared" si="51"/>
        <v/>
      </c>
      <c r="C798" s="123"/>
      <c r="D798" s="131" t="str">
        <f t="array" ref="D798">IF(A798="","",SUMPRODUCT(('Detalle Turnos'!$I$3:$I$5028=$A798)*('Detalle Turnos'!$N$3:$N$5028=C798)*'Detalle Turnos'!$L$3:$L$5028))</f>
        <v/>
      </c>
      <c r="E798" s="127" t="str">
        <f t="array" ref="E798">IF(A798="","",SUMPRODUCT(('Detalle Turnos'!$I$3:$I$5028=$A798)*('Detalle Turnos'!$N$3:$N$5028=C798)*'Detalle Turnos'!$K$3:$K$5028))</f>
        <v/>
      </c>
      <c r="F798" s="127">
        <f t="shared" si="52"/>
        <v>0</v>
      </c>
      <c r="G798" s="127" t="str">
        <f t="array" ref="G798">IF(E798="","",IFERROR(SUMPRODUCT(('Facturación 2026'!$A$4:$A$920=$A798)*'Facturación 2026'!$J$4:$J$920)*E798/(SUMPRODUCT(('Caja 1'!$A$4:$A$919=$A798)*'Caja 1'!$E$4:$E$919)+SUMPRODUCT(('Caja 2'!$A$4:$A$920=$A798)*'Caja 2'!$E$4:$E$920)),0))</f>
        <v/>
      </c>
      <c r="H798" s="128" t="str">
        <f t="shared" si="53"/>
        <v/>
      </c>
      <c r="I798" s="124" t="str">
        <f t="shared" si="54"/>
        <v/>
      </c>
      <c r="J798" s="987" t="str">
        <f>IF(A798="","",IFERROR(INDEX('Facturación 2026'!$L$4:$L$500,MATCH($A798,'Facturación 2026'!$A$4:$A$500,0)),""))</f>
        <v/>
      </c>
    </row>
    <row r="799" spans="1:10" ht="15.75" customHeight="1">
      <c r="A799" s="988"/>
      <c r="B799" s="122" t="str">
        <f t="shared" si="51"/>
        <v/>
      </c>
      <c r="C799" s="123"/>
      <c r="D799" s="131" t="str">
        <f t="array" ref="D799">IF(A799="","",SUMPRODUCT(('Detalle Turnos'!$I$3:$I$5028=$A799)*('Detalle Turnos'!$N$3:$N$5028=C799)*'Detalle Turnos'!$L$3:$L$5028))</f>
        <v/>
      </c>
      <c r="E799" s="127" t="str">
        <f t="array" ref="E799">IF(A799="","",SUMPRODUCT(('Detalle Turnos'!$I$3:$I$5028=$A799)*('Detalle Turnos'!$N$3:$N$5028=C799)*'Detalle Turnos'!$K$3:$K$5028))</f>
        <v/>
      </c>
      <c r="F799" s="127">
        <f t="shared" si="52"/>
        <v>0</v>
      </c>
      <c r="G799" s="127" t="str">
        <f t="array" ref="G799">IF(E799="","",IFERROR(SUMPRODUCT(('Facturación 2026'!$A$4:$A$920=$A799)*'Facturación 2026'!$J$4:$J$920)*E799/(SUMPRODUCT(('Caja 1'!$A$4:$A$919=$A799)*'Caja 1'!$E$4:$E$919)+SUMPRODUCT(('Caja 2'!$A$4:$A$920=$A799)*'Caja 2'!$E$4:$E$920)),0))</f>
        <v/>
      </c>
      <c r="H799" s="128" t="str">
        <f t="shared" si="53"/>
        <v/>
      </c>
      <c r="I799" s="124" t="str">
        <f t="shared" si="54"/>
        <v/>
      </c>
      <c r="J799" s="987" t="str">
        <f>IF(A799="","",IFERROR(INDEX('Facturación 2026'!$L$4:$L$500,MATCH($A799,'Facturación 2026'!$A$4:$A$500,0)),""))</f>
        <v/>
      </c>
    </row>
    <row r="800" spans="1:10" ht="15.75" customHeight="1">
      <c r="A800" s="988"/>
      <c r="B800" s="122" t="str">
        <f t="shared" si="51"/>
        <v/>
      </c>
      <c r="C800" s="123"/>
      <c r="D800" s="131" t="str">
        <f t="array" ref="D800">IF(A800="","",SUMPRODUCT(('Detalle Turnos'!$I$3:$I$5028=$A800)*('Detalle Turnos'!$N$3:$N$5028=C800)*'Detalle Turnos'!$L$3:$L$5028))</f>
        <v/>
      </c>
      <c r="E800" s="127" t="str">
        <f t="array" ref="E800">IF(A800="","",SUMPRODUCT(('Detalle Turnos'!$I$3:$I$5028=$A800)*('Detalle Turnos'!$N$3:$N$5028=C800)*'Detalle Turnos'!$K$3:$K$5028))</f>
        <v/>
      </c>
      <c r="F800" s="127">
        <f t="shared" si="52"/>
        <v>0</v>
      </c>
      <c r="G800" s="127" t="str">
        <f t="array" ref="G800">IF(E800="","",IFERROR(SUMPRODUCT(('Facturación 2026'!$A$4:$A$920=$A800)*'Facturación 2026'!$J$4:$J$920)*E800/(SUMPRODUCT(('Caja 1'!$A$4:$A$919=$A800)*'Caja 1'!$E$4:$E$919)+SUMPRODUCT(('Caja 2'!$A$4:$A$920=$A800)*'Caja 2'!$E$4:$E$920)),0))</f>
        <v/>
      </c>
      <c r="H800" s="128" t="str">
        <f t="shared" si="53"/>
        <v/>
      </c>
      <c r="I800" s="124" t="str">
        <f t="shared" si="54"/>
        <v/>
      </c>
      <c r="J800" s="987" t="str">
        <f>IF(A800="","",IFERROR(INDEX('Facturación 2026'!$L$4:$L$500,MATCH($A800,'Facturación 2026'!$A$4:$A$500,0)),""))</f>
        <v/>
      </c>
    </row>
    <row r="801" spans="1:10" ht="15.75" customHeight="1">
      <c r="A801" s="988"/>
      <c r="B801" s="122" t="str">
        <f t="shared" si="51"/>
        <v/>
      </c>
      <c r="C801" s="123"/>
      <c r="D801" s="131" t="str">
        <f t="array" ref="D801">IF(A801="","",SUMPRODUCT(('Detalle Turnos'!$I$3:$I$5028=$A801)*('Detalle Turnos'!$N$3:$N$5028=C801)*'Detalle Turnos'!$L$3:$L$5028))</f>
        <v/>
      </c>
      <c r="E801" s="127" t="str">
        <f t="array" ref="E801">IF(A801="","",SUMPRODUCT(('Detalle Turnos'!$I$3:$I$5028=$A801)*('Detalle Turnos'!$N$3:$N$5028=C801)*'Detalle Turnos'!$K$3:$K$5028))</f>
        <v/>
      </c>
      <c r="F801" s="127">
        <f t="shared" si="52"/>
        <v>0</v>
      </c>
      <c r="G801" s="127" t="str">
        <f t="array" ref="G801">IF(E801="","",IFERROR(SUMPRODUCT(('Facturación 2026'!$A$4:$A$920=$A801)*'Facturación 2026'!$J$4:$J$920)*E801/(SUMPRODUCT(('Caja 1'!$A$4:$A$919=$A801)*'Caja 1'!$E$4:$E$919)+SUMPRODUCT(('Caja 2'!$A$4:$A$920=$A801)*'Caja 2'!$E$4:$E$920)),0))</f>
        <v/>
      </c>
      <c r="H801" s="128" t="str">
        <f t="shared" si="53"/>
        <v/>
      </c>
      <c r="I801" s="124" t="str">
        <f t="shared" si="54"/>
        <v/>
      </c>
      <c r="J801" s="987" t="str">
        <f>IF(A801="","",IFERROR(INDEX('Facturación 2026'!$L$4:$L$500,MATCH($A801,'Facturación 2026'!$A$4:$A$500,0)),""))</f>
        <v/>
      </c>
    </row>
    <row r="802" spans="1:10" ht="15.75" customHeight="1">
      <c r="A802" s="988"/>
      <c r="B802" s="122" t="str">
        <f t="shared" si="51"/>
        <v/>
      </c>
      <c r="C802" s="123"/>
      <c r="D802" s="131" t="str">
        <f t="array" ref="D802">IF(A802="","",SUMPRODUCT(('Detalle Turnos'!$I$3:$I$5028=$A802)*('Detalle Turnos'!$N$3:$N$5028=C802)*'Detalle Turnos'!$L$3:$L$5028))</f>
        <v/>
      </c>
      <c r="E802" s="127" t="str">
        <f t="array" ref="E802">IF(A802="","",SUMPRODUCT(('Detalle Turnos'!$I$3:$I$5028=$A802)*('Detalle Turnos'!$N$3:$N$5028=C802)*'Detalle Turnos'!$K$3:$K$5028))</f>
        <v/>
      </c>
      <c r="F802" s="127">
        <f t="shared" si="52"/>
        <v>0</v>
      </c>
      <c r="G802" s="127" t="str">
        <f t="array" ref="G802">IF(E802="","",IFERROR(SUMPRODUCT(('Facturación 2026'!$A$4:$A$920=$A802)*'Facturación 2026'!$J$4:$J$920)*E802/(SUMPRODUCT(('Caja 1'!$A$4:$A$919=$A802)*'Caja 1'!$E$4:$E$919)+SUMPRODUCT(('Caja 2'!$A$4:$A$920=$A802)*'Caja 2'!$E$4:$E$920)),0))</f>
        <v/>
      </c>
      <c r="H802" s="128" t="str">
        <f t="shared" si="53"/>
        <v/>
      </c>
      <c r="I802" s="124" t="str">
        <f t="shared" si="54"/>
        <v/>
      </c>
      <c r="J802" s="987" t="str">
        <f>IF(A802="","",IFERROR(INDEX('Facturación 2026'!$L$4:$L$500,MATCH($A802,'Facturación 2026'!$A$4:$A$500,0)),""))</f>
        <v/>
      </c>
    </row>
    <row r="803" spans="1:10" ht="15.75" customHeight="1">
      <c r="A803" s="988"/>
      <c r="B803" s="122" t="str">
        <f t="shared" si="51"/>
        <v/>
      </c>
      <c r="C803" s="123"/>
      <c r="D803" s="131" t="str">
        <f t="array" ref="D803">IF(A803="","",SUMPRODUCT(('Detalle Turnos'!$I$3:$I$5028=$A803)*('Detalle Turnos'!$N$3:$N$5028=C803)*'Detalle Turnos'!$L$3:$L$5028))</f>
        <v/>
      </c>
      <c r="E803" s="127" t="str">
        <f t="array" ref="E803">IF(A803="","",SUMPRODUCT(('Detalle Turnos'!$I$3:$I$5028=$A803)*('Detalle Turnos'!$N$3:$N$5028=C803)*'Detalle Turnos'!$K$3:$K$5028))</f>
        <v/>
      </c>
      <c r="F803" s="127">
        <f t="shared" si="52"/>
        <v>0</v>
      </c>
      <c r="G803" s="127" t="str">
        <f t="array" ref="G803">IF(E803="","",IFERROR(SUMPRODUCT(('Facturación 2026'!$A$4:$A$920=$A803)*'Facturación 2026'!$J$4:$J$920)*E803/(SUMPRODUCT(('Caja 1'!$A$4:$A$919=$A803)*'Caja 1'!$E$4:$E$919)+SUMPRODUCT(('Caja 2'!$A$4:$A$920=$A803)*'Caja 2'!$E$4:$E$920)),0))</f>
        <v/>
      </c>
      <c r="H803" s="128" t="str">
        <f t="shared" si="53"/>
        <v/>
      </c>
      <c r="I803" s="124" t="str">
        <f t="shared" si="54"/>
        <v/>
      </c>
      <c r="J803" s="987" t="str">
        <f>IF(A803="","",IFERROR(INDEX('Facturación 2026'!$L$4:$L$500,MATCH($A803,'Facturación 2026'!$A$4:$A$500,0)),""))</f>
        <v/>
      </c>
    </row>
    <row r="804" spans="1:10" ht="15.75" customHeight="1">
      <c r="A804" s="988"/>
      <c r="B804" s="122" t="str">
        <f t="shared" si="51"/>
        <v/>
      </c>
      <c r="C804" s="123"/>
      <c r="D804" s="131" t="str">
        <f t="array" ref="D804">IF(A804="","",SUMPRODUCT(('Detalle Turnos'!$I$3:$I$5028=$A804)*('Detalle Turnos'!$N$3:$N$5028=C804)*'Detalle Turnos'!$L$3:$L$5028))</f>
        <v/>
      </c>
      <c r="E804" s="127" t="str">
        <f t="array" ref="E804">IF(A804="","",SUMPRODUCT(('Detalle Turnos'!$I$3:$I$5028=$A804)*('Detalle Turnos'!$N$3:$N$5028=C804)*'Detalle Turnos'!$K$3:$K$5028))</f>
        <v/>
      </c>
      <c r="F804" s="127">
        <f t="shared" si="52"/>
        <v>0</v>
      </c>
      <c r="G804" s="127" t="str">
        <f t="array" ref="G804">IF(E804="","",IFERROR(SUMPRODUCT(('Facturación 2026'!$A$4:$A$920=$A804)*'Facturación 2026'!$J$4:$J$920)*E804/(SUMPRODUCT(('Caja 1'!$A$4:$A$919=$A804)*'Caja 1'!$E$4:$E$919)+SUMPRODUCT(('Caja 2'!$A$4:$A$920=$A804)*'Caja 2'!$E$4:$E$920)),0))</f>
        <v/>
      </c>
      <c r="H804" s="128" t="str">
        <f t="shared" si="53"/>
        <v/>
      </c>
      <c r="I804" s="124" t="str">
        <f t="shared" si="54"/>
        <v/>
      </c>
      <c r="J804" s="987" t="str">
        <f>IF(A804="","",IFERROR(INDEX('Facturación 2026'!$L$4:$L$500,MATCH($A804,'Facturación 2026'!$A$4:$A$500,0)),""))</f>
        <v/>
      </c>
    </row>
    <row r="805" spans="1:10" ht="15.75" customHeight="1">
      <c r="A805" s="988"/>
      <c r="B805" s="122" t="str">
        <f t="shared" si="51"/>
        <v/>
      </c>
      <c r="C805" s="123"/>
      <c r="D805" s="131" t="str">
        <f t="array" ref="D805">IF(A805="","",SUMPRODUCT(('Detalle Turnos'!$I$3:$I$5028=$A805)*('Detalle Turnos'!$N$3:$N$5028=C805)*'Detalle Turnos'!$L$3:$L$5028))</f>
        <v/>
      </c>
      <c r="E805" s="127" t="str">
        <f t="array" ref="E805">IF(A805="","",SUMPRODUCT(('Detalle Turnos'!$I$3:$I$5028=$A805)*('Detalle Turnos'!$N$3:$N$5028=C805)*'Detalle Turnos'!$K$3:$K$5028))</f>
        <v/>
      </c>
      <c r="F805" s="127">
        <f t="shared" si="52"/>
        <v>0</v>
      </c>
      <c r="G805" s="127" t="str">
        <f t="array" ref="G805">IF(E805="","",IFERROR(SUMPRODUCT(('Facturación 2026'!$A$4:$A$920=$A805)*'Facturación 2026'!$J$4:$J$920)*E805/(SUMPRODUCT(('Caja 1'!$A$4:$A$919=$A805)*'Caja 1'!$E$4:$E$919)+SUMPRODUCT(('Caja 2'!$A$4:$A$920=$A805)*'Caja 2'!$E$4:$E$920)),0))</f>
        <v/>
      </c>
      <c r="H805" s="128" t="str">
        <f t="shared" si="53"/>
        <v/>
      </c>
      <c r="I805" s="124" t="str">
        <f t="shared" si="54"/>
        <v/>
      </c>
      <c r="J805" s="987" t="str">
        <f>IF(A805="","",IFERROR(INDEX('Facturación 2026'!$L$4:$L$500,MATCH($A805,'Facturación 2026'!$A$4:$A$500,0)),""))</f>
        <v/>
      </c>
    </row>
    <row r="806" spans="1:10" ht="15.75" customHeight="1">
      <c r="A806" s="988"/>
      <c r="B806" s="122" t="str">
        <f t="shared" si="51"/>
        <v/>
      </c>
      <c r="C806" s="123"/>
      <c r="D806" s="131" t="str">
        <f t="array" ref="D806">IF(A806="","",SUMPRODUCT(('Detalle Turnos'!$I$3:$I$5028=$A806)*('Detalle Turnos'!$N$3:$N$5028=C806)*'Detalle Turnos'!$L$3:$L$5028))</f>
        <v/>
      </c>
      <c r="E806" s="127" t="str">
        <f t="array" ref="E806">IF(A806="","",SUMPRODUCT(('Detalle Turnos'!$I$3:$I$5028=$A806)*('Detalle Turnos'!$N$3:$N$5028=C806)*'Detalle Turnos'!$K$3:$K$5028))</f>
        <v/>
      </c>
      <c r="F806" s="127">
        <f t="shared" si="52"/>
        <v>0</v>
      </c>
      <c r="G806" s="127" t="str">
        <f t="array" ref="G806">IF(E806="","",IFERROR(SUMPRODUCT(('Facturación 2026'!$A$4:$A$920=$A806)*'Facturación 2026'!$J$4:$J$920)*E806/(SUMPRODUCT(('Caja 1'!$A$4:$A$919=$A806)*'Caja 1'!$E$4:$E$919)+SUMPRODUCT(('Caja 2'!$A$4:$A$920=$A806)*'Caja 2'!$E$4:$E$920)),0))</f>
        <v/>
      </c>
      <c r="H806" s="128" t="str">
        <f t="shared" si="53"/>
        <v/>
      </c>
      <c r="I806" s="124" t="str">
        <f t="shared" si="54"/>
        <v/>
      </c>
      <c r="J806" s="987" t="str">
        <f>IF(A806="","",IFERROR(INDEX('Facturación 2026'!$L$4:$L$500,MATCH($A806,'Facturación 2026'!$A$4:$A$500,0)),""))</f>
        <v/>
      </c>
    </row>
    <row r="807" spans="1:10" ht="15.75" customHeight="1">
      <c r="A807" s="988"/>
      <c r="B807" s="122" t="str">
        <f t="shared" si="51"/>
        <v/>
      </c>
      <c r="C807" s="123"/>
      <c r="D807" s="131" t="str">
        <f t="array" ref="D807">IF(A807="","",SUMPRODUCT(('Detalle Turnos'!$I$3:$I$5028=$A807)*('Detalle Turnos'!$N$3:$N$5028=C807)*'Detalle Turnos'!$L$3:$L$5028))</f>
        <v/>
      </c>
      <c r="E807" s="127" t="str">
        <f t="array" ref="E807">IF(A807="","",SUMPRODUCT(('Detalle Turnos'!$I$3:$I$5028=$A807)*('Detalle Turnos'!$N$3:$N$5028=C807)*'Detalle Turnos'!$K$3:$K$5028))</f>
        <v/>
      </c>
      <c r="F807" s="127">
        <f t="shared" si="52"/>
        <v>0</v>
      </c>
      <c r="G807" s="127" t="str">
        <f t="array" ref="G807">IF(E807="","",IFERROR(SUMPRODUCT(('Facturación 2026'!$A$4:$A$920=$A807)*'Facturación 2026'!$J$4:$J$920)*E807/(SUMPRODUCT(('Caja 1'!$A$4:$A$919=$A807)*'Caja 1'!$E$4:$E$919)+SUMPRODUCT(('Caja 2'!$A$4:$A$920=$A807)*'Caja 2'!$E$4:$E$920)),0))</f>
        <v/>
      </c>
      <c r="H807" s="128" t="str">
        <f t="shared" si="53"/>
        <v/>
      </c>
      <c r="I807" s="124" t="str">
        <f t="shared" si="54"/>
        <v/>
      </c>
      <c r="J807" s="987" t="str">
        <f>IF(A807="","",IFERROR(INDEX('Facturación 2026'!$L$4:$L$500,MATCH($A807,'Facturación 2026'!$A$4:$A$500,0)),""))</f>
        <v/>
      </c>
    </row>
    <row r="808" spans="1:10" ht="15.75" customHeight="1">
      <c r="A808" s="988"/>
      <c r="B808" s="122" t="str">
        <f t="shared" si="51"/>
        <v/>
      </c>
      <c r="C808" s="123"/>
      <c r="D808" s="131" t="str">
        <f t="array" ref="D808">IF(A808="","",SUMPRODUCT(('Detalle Turnos'!$I$3:$I$5028=$A808)*('Detalle Turnos'!$N$3:$N$5028=C808)*'Detalle Turnos'!$L$3:$L$5028))</f>
        <v/>
      </c>
      <c r="E808" s="127" t="str">
        <f t="array" ref="E808">IF(A808="","",SUMPRODUCT(('Detalle Turnos'!$I$3:$I$5028=$A808)*('Detalle Turnos'!$N$3:$N$5028=C808)*'Detalle Turnos'!$K$3:$K$5028))</f>
        <v/>
      </c>
      <c r="F808" s="127">
        <f t="shared" si="52"/>
        <v>0</v>
      </c>
      <c r="G808" s="127" t="str">
        <f t="array" ref="G808">IF(E808="","",IFERROR(SUMPRODUCT(('Facturación 2026'!$A$4:$A$920=$A808)*'Facturación 2026'!$J$4:$J$920)*E808/(SUMPRODUCT(('Caja 1'!$A$4:$A$919=$A808)*'Caja 1'!$E$4:$E$919)+SUMPRODUCT(('Caja 2'!$A$4:$A$920=$A808)*'Caja 2'!$E$4:$E$920)),0))</f>
        <v/>
      </c>
      <c r="H808" s="128" t="str">
        <f t="shared" si="53"/>
        <v/>
      </c>
      <c r="I808" s="124" t="str">
        <f t="shared" si="54"/>
        <v/>
      </c>
      <c r="J808" s="987" t="str">
        <f>IF(A808="","",IFERROR(INDEX('Facturación 2026'!$L$4:$L$500,MATCH($A808,'Facturación 2026'!$A$4:$A$500,0)),""))</f>
        <v/>
      </c>
    </row>
    <row r="809" spans="1:10" ht="15.75" customHeight="1">
      <c r="A809" s="988"/>
      <c r="B809" s="122" t="str">
        <f t="shared" si="51"/>
        <v/>
      </c>
      <c r="C809" s="123"/>
      <c r="D809" s="131" t="str">
        <f t="array" ref="D809">IF(A809="","",SUMPRODUCT(('Detalle Turnos'!$I$3:$I$5028=$A809)*('Detalle Turnos'!$N$3:$N$5028=C809)*'Detalle Turnos'!$L$3:$L$5028))</f>
        <v/>
      </c>
      <c r="E809" s="127" t="str">
        <f t="array" ref="E809">IF(A809="","",SUMPRODUCT(('Detalle Turnos'!$I$3:$I$5028=$A809)*('Detalle Turnos'!$N$3:$N$5028=C809)*'Detalle Turnos'!$K$3:$K$5028))</f>
        <v/>
      </c>
      <c r="F809" s="127">
        <f t="shared" si="52"/>
        <v>0</v>
      </c>
      <c r="G809" s="127" t="str">
        <f t="array" ref="G809">IF(E809="","",IFERROR(SUMPRODUCT(('Facturación 2026'!$A$4:$A$920=$A809)*'Facturación 2026'!$J$4:$J$920)*E809/(SUMPRODUCT(('Caja 1'!$A$4:$A$919=$A809)*'Caja 1'!$E$4:$E$919)+SUMPRODUCT(('Caja 2'!$A$4:$A$920=$A809)*'Caja 2'!$E$4:$E$920)),0))</f>
        <v/>
      </c>
      <c r="H809" s="128" t="str">
        <f t="shared" si="53"/>
        <v/>
      </c>
      <c r="I809" s="124" t="str">
        <f t="shared" si="54"/>
        <v/>
      </c>
      <c r="J809" s="987" t="str">
        <f>IF(A809="","",IFERROR(INDEX('Facturación 2026'!$L$4:$L$500,MATCH($A809,'Facturación 2026'!$A$4:$A$500,0)),""))</f>
        <v/>
      </c>
    </row>
    <row r="810" spans="1:10" ht="15.75" customHeight="1">
      <c r="A810" s="988"/>
      <c r="B810" s="122" t="str">
        <f t="shared" si="51"/>
        <v/>
      </c>
      <c r="C810" s="123"/>
      <c r="D810" s="131" t="str">
        <f t="array" ref="D810">IF(A810="","",SUMPRODUCT(('Detalle Turnos'!$I$3:$I$5028=$A810)*('Detalle Turnos'!$N$3:$N$5028=C810)*'Detalle Turnos'!$L$3:$L$5028))</f>
        <v/>
      </c>
      <c r="E810" s="127" t="str">
        <f t="array" ref="E810">IF(A810="","",SUMPRODUCT(('Detalle Turnos'!$I$3:$I$5028=$A810)*('Detalle Turnos'!$N$3:$N$5028=C810)*'Detalle Turnos'!$K$3:$K$5028))</f>
        <v/>
      </c>
      <c r="F810" s="127">
        <f t="shared" si="52"/>
        <v>0</v>
      </c>
      <c r="G810" s="127" t="str">
        <f t="array" ref="G810">IF(E810="","",IFERROR(SUMPRODUCT(('Facturación 2026'!$A$4:$A$920=$A810)*'Facturación 2026'!$J$4:$J$920)*E810/(SUMPRODUCT(('Caja 1'!$A$4:$A$919=$A810)*'Caja 1'!$E$4:$E$919)+SUMPRODUCT(('Caja 2'!$A$4:$A$920=$A810)*'Caja 2'!$E$4:$E$920)),0))</f>
        <v/>
      </c>
      <c r="H810" s="128" t="str">
        <f t="shared" si="53"/>
        <v/>
      </c>
      <c r="I810" s="124" t="str">
        <f t="shared" si="54"/>
        <v/>
      </c>
      <c r="J810" s="987" t="str">
        <f>IF(A810="","",IFERROR(INDEX('Facturación 2026'!$L$4:$L$500,MATCH($A810,'Facturación 2026'!$A$4:$A$500,0)),""))</f>
        <v/>
      </c>
    </row>
    <row r="811" spans="1:10" ht="15.75" customHeight="1">
      <c r="A811" s="988"/>
      <c r="B811" s="122" t="str">
        <f t="shared" si="51"/>
        <v/>
      </c>
      <c r="C811" s="123"/>
      <c r="D811" s="131" t="str">
        <f t="array" ref="D811">IF(A811="","",SUMPRODUCT(('Detalle Turnos'!$I$3:$I$5028=$A811)*('Detalle Turnos'!$N$3:$N$5028=C811)*'Detalle Turnos'!$L$3:$L$5028))</f>
        <v/>
      </c>
      <c r="E811" s="127" t="str">
        <f t="array" ref="E811">IF(A811="","",SUMPRODUCT(('Detalle Turnos'!$I$3:$I$5028=$A811)*('Detalle Turnos'!$N$3:$N$5028=C811)*'Detalle Turnos'!$K$3:$K$5028))</f>
        <v/>
      </c>
      <c r="F811" s="127">
        <f t="shared" si="52"/>
        <v>0</v>
      </c>
      <c r="G811" s="127" t="str">
        <f t="array" ref="G811">IF(E811="","",IFERROR(SUMPRODUCT(('Facturación 2026'!$A$4:$A$920=$A811)*'Facturación 2026'!$J$4:$J$920)*E811/(SUMPRODUCT(('Caja 1'!$A$4:$A$919=$A811)*'Caja 1'!$E$4:$E$919)+SUMPRODUCT(('Caja 2'!$A$4:$A$920=$A811)*'Caja 2'!$E$4:$E$920)),0))</f>
        <v/>
      </c>
      <c r="H811" s="128" t="str">
        <f t="shared" si="53"/>
        <v/>
      </c>
      <c r="I811" s="124" t="str">
        <f t="shared" si="54"/>
        <v/>
      </c>
      <c r="J811" s="987" t="str">
        <f>IF(A811="","",IFERROR(INDEX('Facturación 2026'!$L$4:$L$500,MATCH($A811,'Facturación 2026'!$A$4:$A$500,0)),""))</f>
        <v/>
      </c>
    </row>
    <row r="812" spans="1:10" ht="15.75" customHeight="1">
      <c r="A812" s="988"/>
      <c r="B812" s="122" t="str">
        <f t="shared" si="51"/>
        <v/>
      </c>
      <c r="C812" s="123"/>
      <c r="D812" s="131" t="str">
        <f t="array" ref="D812">IF(A812="","",SUMPRODUCT(('Detalle Turnos'!$I$3:$I$5028=$A812)*('Detalle Turnos'!$N$3:$N$5028=C812)*'Detalle Turnos'!$L$3:$L$5028))</f>
        <v/>
      </c>
      <c r="E812" s="127" t="str">
        <f t="array" ref="E812">IF(A812="","",SUMPRODUCT(('Detalle Turnos'!$I$3:$I$5028=$A812)*('Detalle Turnos'!$N$3:$N$5028=C812)*'Detalle Turnos'!$K$3:$K$5028))</f>
        <v/>
      </c>
      <c r="F812" s="127">
        <f t="shared" si="52"/>
        <v>0</v>
      </c>
      <c r="G812" s="127" t="str">
        <f t="array" ref="G812">IF(E812="","",IFERROR(SUMPRODUCT(('Facturación 2026'!$A$4:$A$920=$A812)*'Facturación 2026'!$J$4:$J$920)*E812/(SUMPRODUCT(('Caja 1'!$A$4:$A$919=$A812)*'Caja 1'!$E$4:$E$919)+SUMPRODUCT(('Caja 2'!$A$4:$A$920=$A812)*'Caja 2'!$E$4:$E$920)),0))</f>
        <v/>
      </c>
      <c r="H812" s="128" t="str">
        <f t="shared" si="53"/>
        <v/>
      </c>
      <c r="I812" s="124" t="str">
        <f t="shared" si="54"/>
        <v/>
      </c>
      <c r="J812" s="987" t="str">
        <f>IF(A812="","",IFERROR(INDEX('Facturación 2026'!$L$4:$L$500,MATCH($A812,'Facturación 2026'!$A$4:$A$500,0)),""))</f>
        <v/>
      </c>
    </row>
    <row r="813" spans="1:10" ht="15.75" customHeight="1">
      <c r="A813" s="988"/>
      <c r="B813" s="122" t="str">
        <f t="shared" si="51"/>
        <v/>
      </c>
      <c r="C813" s="123"/>
      <c r="D813" s="131" t="str">
        <f t="array" ref="D813">IF(A813="","",SUMPRODUCT(('Detalle Turnos'!$I$3:$I$5028=$A813)*('Detalle Turnos'!$N$3:$N$5028=C813)*'Detalle Turnos'!$L$3:$L$5028))</f>
        <v/>
      </c>
      <c r="E813" s="127" t="str">
        <f t="array" ref="E813">IF(A813="","",SUMPRODUCT(('Detalle Turnos'!$I$3:$I$5028=$A813)*('Detalle Turnos'!$N$3:$N$5028=C813)*'Detalle Turnos'!$K$3:$K$5028))</f>
        <v/>
      </c>
      <c r="F813" s="127">
        <f t="shared" si="52"/>
        <v>0</v>
      </c>
      <c r="G813" s="127" t="str">
        <f t="array" ref="G813">IF(E813="","",IFERROR(SUMPRODUCT(('Facturación 2026'!$A$4:$A$920=$A813)*'Facturación 2026'!$J$4:$J$920)*E813/(SUMPRODUCT(('Caja 1'!$A$4:$A$919=$A813)*'Caja 1'!$E$4:$E$919)+SUMPRODUCT(('Caja 2'!$A$4:$A$920=$A813)*'Caja 2'!$E$4:$E$920)),0))</f>
        <v/>
      </c>
      <c r="H813" s="128" t="str">
        <f t="shared" si="53"/>
        <v/>
      </c>
      <c r="I813" s="124" t="str">
        <f t="shared" si="54"/>
        <v/>
      </c>
      <c r="J813" s="987" t="str">
        <f>IF(A813="","",IFERROR(INDEX('Facturación 2026'!$L$4:$L$500,MATCH($A813,'Facturación 2026'!$A$4:$A$500,0)),""))</f>
        <v/>
      </c>
    </row>
    <row r="814" spans="1:10" ht="15.75" customHeight="1">
      <c r="A814" s="988"/>
      <c r="B814" s="122" t="str">
        <f t="shared" si="51"/>
        <v/>
      </c>
      <c r="C814" s="123"/>
      <c r="D814" s="131" t="str">
        <f t="array" ref="D814">IF(A814="","",SUMPRODUCT(('Detalle Turnos'!$I$3:$I$5028=$A814)*('Detalle Turnos'!$N$3:$N$5028=C814)*'Detalle Turnos'!$L$3:$L$5028))</f>
        <v/>
      </c>
      <c r="E814" s="127" t="str">
        <f t="array" ref="E814">IF(A814="","",SUMPRODUCT(('Detalle Turnos'!$I$3:$I$5028=$A814)*('Detalle Turnos'!$N$3:$N$5028=C814)*'Detalle Turnos'!$K$3:$K$5028))</f>
        <v/>
      </c>
      <c r="F814" s="127">
        <f t="shared" si="52"/>
        <v>0</v>
      </c>
      <c r="G814" s="127" t="str">
        <f t="array" ref="G814">IF(E814="","",IFERROR(SUMPRODUCT(('Facturación 2026'!$A$4:$A$920=$A814)*'Facturación 2026'!$J$4:$J$920)*E814/(SUMPRODUCT(('Caja 1'!$A$4:$A$919=$A814)*'Caja 1'!$E$4:$E$919)+SUMPRODUCT(('Caja 2'!$A$4:$A$920=$A814)*'Caja 2'!$E$4:$E$920)),0))</f>
        <v/>
      </c>
      <c r="H814" s="128" t="str">
        <f t="shared" si="53"/>
        <v/>
      </c>
      <c r="I814" s="124" t="str">
        <f t="shared" si="54"/>
        <v/>
      </c>
      <c r="J814" s="987" t="str">
        <f>IF(A814="","",IFERROR(INDEX('Facturación 2026'!$L$4:$L$500,MATCH($A814,'Facturación 2026'!$A$4:$A$500,0)),""))</f>
        <v/>
      </c>
    </row>
    <row r="815" spans="1:10" ht="15.75" customHeight="1">
      <c r="A815" s="988"/>
      <c r="B815" s="122" t="str">
        <f t="shared" si="51"/>
        <v/>
      </c>
      <c r="C815" s="123"/>
      <c r="D815" s="131" t="str">
        <f t="array" ref="D815">IF(A815="","",SUMPRODUCT(('Detalle Turnos'!$I$3:$I$5028=$A815)*('Detalle Turnos'!$N$3:$N$5028=C815)*'Detalle Turnos'!$L$3:$L$5028))</f>
        <v/>
      </c>
      <c r="E815" s="127" t="str">
        <f t="array" ref="E815">IF(A815="","",SUMPRODUCT(('Detalle Turnos'!$I$3:$I$5028=$A815)*('Detalle Turnos'!$N$3:$N$5028=C815)*'Detalle Turnos'!$K$3:$K$5028))</f>
        <v/>
      </c>
      <c r="F815" s="127">
        <f t="shared" si="52"/>
        <v>0</v>
      </c>
      <c r="G815" s="127" t="str">
        <f t="array" ref="G815">IF(E815="","",IFERROR(SUMPRODUCT(('Facturación 2026'!$A$4:$A$920=$A815)*'Facturación 2026'!$J$4:$J$920)*E815/(SUMPRODUCT(('Caja 1'!$A$4:$A$919=$A815)*'Caja 1'!$E$4:$E$919)+SUMPRODUCT(('Caja 2'!$A$4:$A$920=$A815)*'Caja 2'!$E$4:$E$920)),0))</f>
        <v/>
      </c>
      <c r="H815" s="128" t="str">
        <f t="shared" si="53"/>
        <v/>
      </c>
      <c r="I815" s="124" t="str">
        <f t="shared" si="54"/>
        <v/>
      </c>
      <c r="J815" s="987" t="str">
        <f>IF(A815="","",IFERROR(INDEX('Facturación 2026'!$L$4:$L$500,MATCH($A815,'Facturación 2026'!$A$4:$A$500,0)),""))</f>
        <v/>
      </c>
    </row>
    <row r="816" spans="1:10" ht="15.75" customHeight="1">
      <c r="A816" s="988"/>
      <c r="B816" s="122" t="str">
        <f t="shared" si="51"/>
        <v/>
      </c>
      <c r="C816" s="123"/>
      <c r="D816" s="131" t="str">
        <f t="array" ref="D816">IF(A816="","",SUMPRODUCT(('Detalle Turnos'!$I$3:$I$5028=$A816)*('Detalle Turnos'!$N$3:$N$5028=C816)*'Detalle Turnos'!$L$3:$L$5028))</f>
        <v/>
      </c>
      <c r="E816" s="127" t="str">
        <f t="array" ref="E816">IF(A816="","",SUMPRODUCT(('Detalle Turnos'!$I$3:$I$5028=$A816)*('Detalle Turnos'!$N$3:$N$5028=C816)*'Detalle Turnos'!$K$3:$K$5028))</f>
        <v/>
      </c>
      <c r="F816" s="127">
        <f t="shared" si="52"/>
        <v>0</v>
      </c>
      <c r="G816" s="127" t="str">
        <f t="array" ref="G816">IF(E816="","",IFERROR(SUMPRODUCT(('Facturación 2026'!$A$4:$A$920=$A816)*'Facturación 2026'!$J$4:$J$920)*E816/(SUMPRODUCT(('Caja 1'!$A$4:$A$919=$A816)*'Caja 1'!$E$4:$E$919)+SUMPRODUCT(('Caja 2'!$A$4:$A$920=$A816)*'Caja 2'!$E$4:$E$920)),0))</f>
        <v/>
      </c>
      <c r="H816" s="128" t="str">
        <f t="shared" si="53"/>
        <v/>
      </c>
      <c r="I816" s="124" t="str">
        <f t="shared" si="54"/>
        <v/>
      </c>
      <c r="J816" s="987" t="str">
        <f>IF(A816="","",IFERROR(INDEX('Facturación 2026'!$L$4:$L$500,MATCH($A816,'Facturación 2026'!$A$4:$A$500,0)),""))</f>
        <v/>
      </c>
    </row>
    <row r="817" spans="1:10" ht="15.75" customHeight="1">
      <c r="A817" s="988"/>
      <c r="B817" s="122" t="str">
        <f t="shared" si="51"/>
        <v/>
      </c>
      <c r="C817" s="123"/>
      <c r="D817" s="131" t="str">
        <f t="array" ref="D817">IF(A817="","",SUMPRODUCT(('Detalle Turnos'!$I$3:$I$5028=$A817)*('Detalle Turnos'!$N$3:$N$5028=C817)*'Detalle Turnos'!$L$3:$L$5028))</f>
        <v/>
      </c>
      <c r="E817" s="127" t="str">
        <f t="array" ref="E817">IF(A817="","",SUMPRODUCT(('Detalle Turnos'!$I$3:$I$5028=$A817)*('Detalle Turnos'!$N$3:$N$5028=C817)*'Detalle Turnos'!$K$3:$K$5028))</f>
        <v/>
      </c>
      <c r="F817" s="127">
        <f t="shared" si="52"/>
        <v>0</v>
      </c>
      <c r="G817" s="127" t="str">
        <f t="array" ref="G817">IF(E817="","",IFERROR(SUMPRODUCT(('Facturación 2026'!$A$4:$A$920=$A817)*'Facturación 2026'!$J$4:$J$920)*E817/(SUMPRODUCT(('Caja 1'!$A$4:$A$919=$A817)*'Caja 1'!$E$4:$E$919)+SUMPRODUCT(('Caja 2'!$A$4:$A$920=$A817)*'Caja 2'!$E$4:$E$920)),0))</f>
        <v/>
      </c>
      <c r="H817" s="128" t="str">
        <f t="shared" si="53"/>
        <v/>
      </c>
      <c r="I817" s="124" t="str">
        <f t="shared" si="54"/>
        <v/>
      </c>
      <c r="J817" s="987" t="str">
        <f>IF(A817="","",IFERROR(INDEX('Facturación 2026'!$L$4:$L$500,MATCH($A817,'Facturación 2026'!$A$4:$A$500,0)),""))</f>
        <v/>
      </c>
    </row>
    <row r="818" spans="1:10" ht="15.75" customHeight="1">
      <c r="A818" s="988"/>
      <c r="B818" s="122" t="str">
        <f t="shared" si="51"/>
        <v/>
      </c>
      <c r="C818" s="123"/>
      <c r="D818" s="131" t="str">
        <f t="array" ref="D818">IF(A818="","",SUMPRODUCT(('Detalle Turnos'!$I$3:$I$5028=$A818)*('Detalle Turnos'!$N$3:$N$5028=C818)*'Detalle Turnos'!$L$3:$L$5028))</f>
        <v/>
      </c>
      <c r="E818" s="127" t="str">
        <f t="array" ref="E818">IF(A818="","",SUMPRODUCT(('Detalle Turnos'!$I$3:$I$5028=$A818)*('Detalle Turnos'!$N$3:$N$5028=C818)*'Detalle Turnos'!$K$3:$K$5028))</f>
        <v/>
      </c>
      <c r="F818" s="127">
        <f t="shared" si="52"/>
        <v>0</v>
      </c>
      <c r="G818" s="127" t="str">
        <f t="array" ref="G818">IF(E818="","",IFERROR(SUMPRODUCT(('Facturación 2026'!$A$4:$A$920=$A818)*'Facturación 2026'!$J$4:$J$920)*E818/(SUMPRODUCT(('Caja 1'!$A$4:$A$919=$A818)*'Caja 1'!$E$4:$E$919)+SUMPRODUCT(('Caja 2'!$A$4:$A$920=$A818)*'Caja 2'!$E$4:$E$920)),0))</f>
        <v/>
      </c>
      <c r="H818" s="128" t="str">
        <f t="shared" si="53"/>
        <v/>
      </c>
      <c r="I818" s="124" t="str">
        <f t="shared" si="54"/>
        <v/>
      </c>
      <c r="J818" s="987" t="str">
        <f>IF(A818="","",IFERROR(INDEX('Facturación 2026'!$L$4:$L$500,MATCH($A818,'Facturación 2026'!$A$4:$A$500,0)),""))</f>
        <v/>
      </c>
    </row>
    <row r="819" spans="1:10" ht="15.75" customHeight="1">
      <c r="A819" s="988"/>
      <c r="B819" s="122" t="str">
        <f t="shared" si="51"/>
        <v/>
      </c>
      <c r="C819" s="123"/>
      <c r="D819" s="131" t="str">
        <f t="array" ref="D819">IF(A819="","",SUMPRODUCT(('Detalle Turnos'!$I$3:$I$5028=$A819)*('Detalle Turnos'!$N$3:$N$5028=C819)*'Detalle Turnos'!$L$3:$L$5028))</f>
        <v/>
      </c>
      <c r="E819" s="127" t="str">
        <f t="array" ref="E819">IF(A819="","",SUMPRODUCT(('Detalle Turnos'!$I$3:$I$5028=$A819)*('Detalle Turnos'!$N$3:$N$5028=C819)*'Detalle Turnos'!$K$3:$K$5028))</f>
        <v/>
      </c>
      <c r="F819" s="127">
        <f t="shared" si="52"/>
        <v>0</v>
      </c>
      <c r="G819" s="127" t="str">
        <f t="array" ref="G819">IF(E819="","",IFERROR(SUMPRODUCT(('Facturación 2026'!$A$4:$A$920=$A819)*'Facturación 2026'!$J$4:$J$920)*E819/(SUMPRODUCT(('Caja 1'!$A$4:$A$919=$A819)*'Caja 1'!$E$4:$E$919)+SUMPRODUCT(('Caja 2'!$A$4:$A$920=$A819)*'Caja 2'!$E$4:$E$920)),0))</f>
        <v/>
      </c>
      <c r="H819" s="128" t="str">
        <f t="shared" si="53"/>
        <v/>
      </c>
      <c r="I819" s="124" t="str">
        <f t="shared" si="54"/>
        <v/>
      </c>
      <c r="J819" s="987" t="str">
        <f>IF(A819="","",IFERROR(INDEX('Facturación 2026'!$L$4:$L$500,MATCH($A819,'Facturación 2026'!$A$4:$A$500,0)),""))</f>
        <v/>
      </c>
    </row>
    <row r="820" spans="1:10" ht="15.75" customHeight="1">
      <c r="A820" s="988"/>
      <c r="B820" s="122" t="str">
        <f t="shared" si="51"/>
        <v/>
      </c>
      <c r="C820" s="123"/>
      <c r="D820" s="131" t="str">
        <f t="array" ref="D820">IF(A820="","",SUMPRODUCT(('Detalle Turnos'!$I$3:$I$5028=$A820)*('Detalle Turnos'!$N$3:$N$5028=C820)*'Detalle Turnos'!$L$3:$L$5028))</f>
        <v/>
      </c>
      <c r="E820" s="127" t="str">
        <f t="array" ref="E820">IF(A820="","",SUMPRODUCT(('Detalle Turnos'!$I$3:$I$5028=$A820)*('Detalle Turnos'!$N$3:$N$5028=C820)*'Detalle Turnos'!$K$3:$K$5028))</f>
        <v/>
      </c>
      <c r="F820" s="127">
        <f t="shared" si="52"/>
        <v>0</v>
      </c>
      <c r="G820" s="127" t="str">
        <f t="array" ref="G820">IF(E820="","",IFERROR(SUMPRODUCT(('Facturación 2026'!$A$4:$A$920=$A820)*'Facturación 2026'!$J$4:$J$920)*E820/(SUMPRODUCT(('Caja 1'!$A$4:$A$919=$A820)*'Caja 1'!$E$4:$E$919)+SUMPRODUCT(('Caja 2'!$A$4:$A$920=$A820)*'Caja 2'!$E$4:$E$920)),0))</f>
        <v/>
      </c>
      <c r="H820" s="128" t="str">
        <f t="shared" si="53"/>
        <v/>
      </c>
      <c r="I820" s="124" t="str">
        <f t="shared" si="54"/>
        <v/>
      </c>
      <c r="J820" s="987" t="str">
        <f>IF(A820="","",IFERROR(INDEX('Facturación 2026'!$L$4:$L$500,MATCH($A820,'Facturación 2026'!$A$4:$A$500,0)),""))</f>
        <v/>
      </c>
    </row>
    <row r="821" spans="1:10" ht="15.75" customHeight="1">
      <c r="A821" s="988"/>
      <c r="B821" s="122" t="str">
        <f t="shared" si="51"/>
        <v/>
      </c>
      <c r="C821" s="123"/>
      <c r="D821" s="131" t="str">
        <f t="array" ref="D821">IF(A821="","",SUMPRODUCT(('Detalle Turnos'!$I$3:$I$5028=$A821)*('Detalle Turnos'!$N$3:$N$5028=C821)*'Detalle Turnos'!$L$3:$L$5028))</f>
        <v/>
      </c>
      <c r="E821" s="127" t="str">
        <f t="array" ref="E821">IF(A821="","",SUMPRODUCT(('Detalle Turnos'!$I$3:$I$5028=$A821)*('Detalle Turnos'!$N$3:$N$5028=C821)*'Detalle Turnos'!$K$3:$K$5028))</f>
        <v/>
      </c>
      <c r="F821" s="127">
        <f t="shared" si="52"/>
        <v>0</v>
      </c>
      <c r="G821" s="127" t="str">
        <f t="array" ref="G821">IF(E821="","",IFERROR(SUMPRODUCT(('Facturación 2026'!$A$4:$A$920=$A821)*'Facturación 2026'!$J$4:$J$920)*E821/(SUMPRODUCT(('Caja 1'!$A$4:$A$919=$A821)*'Caja 1'!$E$4:$E$919)+SUMPRODUCT(('Caja 2'!$A$4:$A$920=$A821)*'Caja 2'!$E$4:$E$920)),0))</f>
        <v/>
      </c>
      <c r="H821" s="128" t="str">
        <f t="shared" si="53"/>
        <v/>
      </c>
      <c r="I821" s="124" t="str">
        <f t="shared" si="54"/>
        <v/>
      </c>
      <c r="J821" s="987" t="str">
        <f>IF(A821="","",IFERROR(INDEX('Facturación 2026'!$L$4:$L$500,MATCH($A821,'Facturación 2026'!$A$4:$A$500,0)),""))</f>
        <v/>
      </c>
    </row>
    <row r="822" spans="1:10" ht="15.75" customHeight="1">
      <c r="A822" s="988"/>
      <c r="B822" s="122" t="str">
        <f t="shared" si="51"/>
        <v/>
      </c>
      <c r="C822" s="123"/>
      <c r="D822" s="131" t="str">
        <f t="array" ref="D822">IF(A822="","",SUMPRODUCT(('Detalle Turnos'!$I$3:$I$5028=$A822)*('Detalle Turnos'!$N$3:$N$5028=C822)*'Detalle Turnos'!$L$3:$L$5028))</f>
        <v/>
      </c>
      <c r="E822" s="127" t="str">
        <f t="array" ref="E822">IF(A822="","",SUMPRODUCT(('Detalle Turnos'!$I$3:$I$5028=$A822)*('Detalle Turnos'!$N$3:$N$5028=C822)*'Detalle Turnos'!$K$3:$K$5028))</f>
        <v/>
      </c>
      <c r="F822" s="127">
        <f t="shared" si="52"/>
        <v>0</v>
      </c>
      <c r="G822" s="127" t="str">
        <f t="array" ref="G822">IF(E822="","",IFERROR(SUMPRODUCT(('Facturación 2026'!$A$4:$A$920=$A822)*'Facturación 2026'!$J$4:$J$920)*E822/(SUMPRODUCT(('Caja 1'!$A$4:$A$919=$A822)*'Caja 1'!$E$4:$E$919)+SUMPRODUCT(('Caja 2'!$A$4:$A$920=$A822)*'Caja 2'!$E$4:$E$920)),0))</f>
        <v/>
      </c>
      <c r="H822" s="128" t="str">
        <f t="shared" si="53"/>
        <v/>
      </c>
      <c r="I822" s="124" t="str">
        <f t="shared" si="54"/>
        <v/>
      </c>
      <c r="J822" s="987" t="str">
        <f>IF(A822="","",IFERROR(INDEX('Facturación 2026'!$L$4:$L$500,MATCH($A822,'Facturación 2026'!$A$4:$A$500,0)),""))</f>
        <v/>
      </c>
    </row>
    <row r="823" spans="1:10" ht="15.75" customHeight="1">
      <c r="A823" s="988"/>
      <c r="B823" s="122" t="str">
        <f t="shared" si="51"/>
        <v/>
      </c>
      <c r="C823" s="123"/>
      <c r="D823" s="131" t="str">
        <f t="array" ref="D823">IF(A823="","",SUMPRODUCT(('Detalle Turnos'!$I$3:$I$5028=$A823)*('Detalle Turnos'!$N$3:$N$5028=C823)*'Detalle Turnos'!$L$3:$L$5028))</f>
        <v/>
      </c>
      <c r="E823" s="127" t="str">
        <f t="array" ref="E823">IF(A823="","",SUMPRODUCT(('Detalle Turnos'!$I$3:$I$5028=$A823)*('Detalle Turnos'!$N$3:$N$5028=C823)*'Detalle Turnos'!$K$3:$K$5028))</f>
        <v/>
      </c>
      <c r="F823" s="127">
        <f t="shared" si="52"/>
        <v>0</v>
      </c>
      <c r="G823" s="127" t="str">
        <f t="array" ref="G823">IF(E823="","",IFERROR(SUMPRODUCT(('Facturación 2026'!$A$4:$A$920=$A823)*'Facturación 2026'!$J$4:$J$920)*E823/(SUMPRODUCT(('Caja 1'!$A$4:$A$919=$A823)*'Caja 1'!$E$4:$E$919)+SUMPRODUCT(('Caja 2'!$A$4:$A$920=$A823)*'Caja 2'!$E$4:$E$920)),0))</f>
        <v/>
      </c>
      <c r="H823" s="128" t="str">
        <f t="shared" si="53"/>
        <v/>
      </c>
      <c r="I823" s="124" t="str">
        <f t="shared" si="54"/>
        <v/>
      </c>
      <c r="J823" s="987" t="str">
        <f>IF(A823="","",IFERROR(INDEX('Facturación 2026'!$L$4:$L$500,MATCH($A823,'Facturación 2026'!$A$4:$A$500,0)),""))</f>
        <v/>
      </c>
    </row>
    <row r="824" spans="1:10" ht="15.75" customHeight="1">
      <c r="A824" s="988"/>
      <c r="B824" s="122" t="str">
        <f t="shared" si="51"/>
        <v/>
      </c>
      <c r="C824" s="123"/>
      <c r="D824" s="131" t="str">
        <f t="array" ref="D824">IF(A824="","",SUMPRODUCT(('Detalle Turnos'!$I$3:$I$5028=$A824)*('Detalle Turnos'!$N$3:$N$5028=C824)*'Detalle Turnos'!$L$3:$L$5028))</f>
        <v/>
      </c>
      <c r="E824" s="127" t="str">
        <f t="array" ref="E824">IF(A824="","",SUMPRODUCT(('Detalle Turnos'!$I$3:$I$5028=$A824)*('Detalle Turnos'!$N$3:$N$5028=C824)*'Detalle Turnos'!$K$3:$K$5028))</f>
        <v/>
      </c>
      <c r="F824" s="127">
        <f t="shared" si="52"/>
        <v>0</v>
      </c>
      <c r="G824" s="127" t="str">
        <f t="array" ref="G824">IF(E824="","",IFERROR(SUMPRODUCT(('Facturación 2026'!$A$4:$A$920=$A824)*'Facturación 2026'!$J$4:$J$920)*E824/(SUMPRODUCT(('Caja 1'!$A$4:$A$919=$A824)*'Caja 1'!$E$4:$E$919)+SUMPRODUCT(('Caja 2'!$A$4:$A$920=$A824)*'Caja 2'!$E$4:$E$920)),0))</f>
        <v/>
      </c>
      <c r="H824" s="128" t="str">
        <f t="shared" si="53"/>
        <v/>
      </c>
      <c r="I824" s="124" t="str">
        <f t="shared" si="54"/>
        <v/>
      </c>
      <c r="J824" s="987" t="str">
        <f>IF(A824="","",IFERROR(INDEX('Facturación 2026'!$L$4:$L$500,MATCH($A824,'Facturación 2026'!$A$4:$A$500,0)),""))</f>
        <v/>
      </c>
    </row>
    <row r="825" spans="1:10" ht="15.75" customHeight="1">
      <c r="A825" s="988"/>
      <c r="B825" s="122" t="str">
        <f t="shared" si="51"/>
        <v/>
      </c>
      <c r="C825" s="123"/>
      <c r="D825" s="131" t="str">
        <f t="array" ref="D825">IF(A825="","",SUMPRODUCT(('Detalle Turnos'!$I$3:$I$5028=$A825)*('Detalle Turnos'!$N$3:$N$5028=C825)*'Detalle Turnos'!$L$3:$L$5028))</f>
        <v/>
      </c>
      <c r="E825" s="127" t="str">
        <f t="array" ref="E825">IF(A825="","",SUMPRODUCT(('Detalle Turnos'!$I$3:$I$5028=$A825)*('Detalle Turnos'!$N$3:$N$5028=C825)*'Detalle Turnos'!$K$3:$K$5028))</f>
        <v/>
      </c>
      <c r="F825" s="127">
        <f t="shared" si="52"/>
        <v>0</v>
      </c>
      <c r="G825" s="127" t="str">
        <f t="array" ref="G825">IF(E825="","",IFERROR(SUMPRODUCT(('Facturación 2026'!$A$4:$A$920=$A825)*'Facturación 2026'!$J$4:$J$920)*E825/(SUMPRODUCT(('Caja 1'!$A$4:$A$919=$A825)*'Caja 1'!$E$4:$E$919)+SUMPRODUCT(('Caja 2'!$A$4:$A$920=$A825)*'Caja 2'!$E$4:$E$920)),0))</f>
        <v/>
      </c>
      <c r="H825" s="128" t="str">
        <f t="shared" si="53"/>
        <v/>
      </c>
      <c r="I825" s="124" t="str">
        <f t="shared" si="54"/>
        <v/>
      </c>
      <c r="J825" s="987" t="str">
        <f>IF(A825="","",IFERROR(INDEX('Facturación 2026'!$L$4:$L$500,MATCH($A825,'Facturación 2026'!$A$4:$A$500,0)),""))</f>
        <v/>
      </c>
    </row>
    <row r="826" spans="1:10" ht="15.75" customHeight="1">
      <c r="A826" s="988"/>
      <c r="B826" s="122" t="str">
        <f t="shared" si="51"/>
        <v/>
      </c>
      <c r="C826" s="123"/>
      <c r="D826" s="131" t="str">
        <f t="array" ref="D826">IF(A826="","",SUMPRODUCT(('Detalle Turnos'!$I$3:$I$5028=$A826)*('Detalle Turnos'!$N$3:$N$5028=C826)*'Detalle Turnos'!$L$3:$L$5028))</f>
        <v/>
      </c>
      <c r="E826" s="127" t="str">
        <f t="array" ref="E826">IF(A826="","",SUMPRODUCT(('Detalle Turnos'!$I$3:$I$5028=$A826)*('Detalle Turnos'!$N$3:$N$5028=C826)*'Detalle Turnos'!$K$3:$K$5028))</f>
        <v/>
      </c>
      <c r="F826" s="127">
        <f t="shared" si="52"/>
        <v>0</v>
      </c>
      <c r="G826" s="127" t="str">
        <f t="array" ref="G826">IF(E826="","",IFERROR(SUMPRODUCT(('Facturación 2026'!$A$4:$A$920=$A826)*'Facturación 2026'!$J$4:$J$920)*E826/(SUMPRODUCT(('Caja 1'!$A$4:$A$919=$A826)*'Caja 1'!$E$4:$E$919)+SUMPRODUCT(('Caja 2'!$A$4:$A$920=$A826)*'Caja 2'!$E$4:$E$920)),0))</f>
        <v/>
      </c>
      <c r="H826" s="128" t="str">
        <f t="shared" si="53"/>
        <v/>
      </c>
      <c r="I826" s="124" t="str">
        <f t="shared" si="54"/>
        <v/>
      </c>
      <c r="J826" s="987" t="str">
        <f>IF(A826="","",IFERROR(INDEX('Facturación 2026'!$L$4:$L$500,MATCH($A826,'Facturación 2026'!$A$4:$A$500,0)),""))</f>
        <v/>
      </c>
    </row>
    <row r="827" spans="1:10" ht="15.75" customHeight="1">
      <c r="A827" s="988"/>
      <c r="B827" s="122" t="str">
        <f t="shared" si="51"/>
        <v/>
      </c>
      <c r="C827" s="123"/>
      <c r="D827" s="131" t="str">
        <f t="array" ref="D827">IF(A827="","",SUMPRODUCT(('Detalle Turnos'!$I$3:$I$5028=$A827)*('Detalle Turnos'!$N$3:$N$5028=C827)*'Detalle Turnos'!$L$3:$L$5028))</f>
        <v/>
      </c>
      <c r="E827" s="127" t="str">
        <f t="array" ref="E827">IF(A827="","",SUMPRODUCT(('Detalle Turnos'!$I$3:$I$5028=$A827)*('Detalle Turnos'!$N$3:$N$5028=C827)*'Detalle Turnos'!$K$3:$K$5028))</f>
        <v/>
      </c>
      <c r="F827" s="127">
        <f t="shared" si="52"/>
        <v>0</v>
      </c>
      <c r="G827" s="127" t="str">
        <f t="array" ref="G827">IF(E827="","",IFERROR(SUMPRODUCT(('Facturación 2026'!$A$4:$A$920=$A827)*'Facturación 2026'!$J$4:$J$920)*E827/(SUMPRODUCT(('Caja 1'!$A$4:$A$919=$A827)*'Caja 1'!$E$4:$E$919)+SUMPRODUCT(('Caja 2'!$A$4:$A$920=$A827)*'Caja 2'!$E$4:$E$920)),0))</f>
        <v/>
      </c>
      <c r="H827" s="128" t="str">
        <f t="shared" si="53"/>
        <v/>
      </c>
      <c r="I827" s="124" t="str">
        <f t="shared" si="54"/>
        <v/>
      </c>
      <c r="J827" s="987" t="str">
        <f>IF(A827="","",IFERROR(INDEX('Facturación 2026'!$L$4:$L$500,MATCH($A827,'Facturación 2026'!$A$4:$A$500,0)),""))</f>
        <v/>
      </c>
    </row>
    <row r="828" spans="1:10" ht="15.75" customHeight="1">
      <c r="A828" s="988"/>
      <c r="B828" s="122" t="str">
        <f t="shared" si="51"/>
        <v/>
      </c>
      <c r="C828" s="123"/>
      <c r="D828" s="131" t="str">
        <f t="array" ref="D828">IF(A828="","",SUMPRODUCT(('Detalle Turnos'!$I$3:$I$5028=$A828)*('Detalle Turnos'!$N$3:$N$5028=C828)*'Detalle Turnos'!$L$3:$L$5028))</f>
        <v/>
      </c>
      <c r="E828" s="127" t="str">
        <f t="array" ref="E828">IF(A828="","",SUMPRODUCT(('Detalle Turnos'!$I$3:$I$5028=$A828)*('Detalle Turnos'!$N$3:$N$5028=C828)*'Detalle Turnos'!$K$3:$K$5028))</f>
        <v/>
      </c>
      <c r="F828" s="127">
        <f t="shared" si="52"/>
        <v>0</v>
      </c>
      <c r="G828" s="127" t="str">
        <f t="array" ref="G828">IF(E828="","",IFERROR(SUMPRODUCT(('Facturación 2026'!$A$4:$A$920=$A828)*'Facturación 2026'!$J$4:$J$920)*E828/(SUMPRODUCT(('Caja 1'!$A$4:$A$919=$A828)*'Caja 1'!$E$4:$E$919)+SUMPRODUCT(('Caja 2'!$A$4:$A$920=$A828)*'Caja 2'!$E$4:$E$920)),0))</f>
        <v/>
      </c>
      <c r="H828" s="128" t="str">
        <f t="shared" si="53"/>
        <v/>
      </c>
      <c r="I828" s="124" t="str">
        <f t="shared" si="54"/>
        <v/>
      </c>
      <c r="J828" s="987" t="str">
        <f>IF(A828="","",IFERROR(INDEX('Facturación 2026'!$L$4:$L$500,MATCH($A828,'Facturación 2026'!$A$4:$A$500,0)),""))</f>
        <v/>
      </c>
    </row>
    <row r="829" spans="1:10" ht="15.75" customHeight="1">
      <c r="A829" s="988"/>
      <c r="B829" s="122" t="str">
        <f t="shared" si="51"/>
        <v/>
      </c>
      <c r="C829" s="123"/>
      <c r="D829" s="131" t="str">
        <f t="array" ref="D829">IF(A829="","",SUMPRODUCT(('Detalle Turnos'!$I$3:$I$5028=$A829)*('Detalle Turnos'!$N$3:$N$5028=C829)*'Detalle Turnos'!$L$3:$L$5028))</f>
        <v/>
      </c>
      <c r="E829" s="127" t="str">
        <f t="array" ref="E829">IF(A829="","",SUMPRODUCT(('Detalle Turnos'!$I$3:$I$5028=$A829)*('Detalle Turnos'!$N$3:$N$5028=C829)*'Detalle Turnos'!$K$3:$K$5028))</f>
        <v/>
      </c>
      <c r="F829" s="127">
        <f t="shared" si="52"/>
        <v>0</v>
      </c>
      <c r="G829" s="127" t="str">
        <f t="array" ref="G829">IF(E829="","",IFERROR(SUMPRODUCT(('Facturación 2026'!$A$4:$A$920=$A829)*'Facturación 2026'!$J$4:$J$920)*E829/(SUMPRODUCT(('Caja 1'!$A$4:$A$919=$A829)*'Caja 1'!$E$4:$E$919)+SUMPRODUCT(('Caja 2'!$A$4:$A$920=$A829)*'Caja 2'!$E$4:$E$920)),0))</f>
        <v/>
      </c>
      <c r="H829" s="128" t="str">
        <f t="shared" si="53"/>
        <v/>
      </c>
      <c r="I829" s="124" t="str">
        <f t="shared" si="54"/>
        <v/>
      </c>
      <c r="J829" s="987" t="str">
        <f>IF(A829="","",IFERROR(INDEX('Facturación 2026'!$L$4:$L$500,MATCH($A829,'Facturación 2026'!$A$4:$A$500,0)),""))</f>
        <v/>
      </c>
    </row>
    <row r="830" spans="1:10" ht="15.75" customHeight="1">
      <c r="A830" s="988"/>
      <c r="B830" s="122" t="str">
        <f t="shared" si="51"/>
        <v/>
      </c>
      <c r="C830" s="123"/>
      <c r="D830" s="131" t="str">
        <f t="array" ref="D830">IF(A830="","",SUMPRODUCT(('Detalle Turnos'!$I$3:$I$5028=$A830)*('Detalle Turnos'!$N$3:$N$5028=C830)*'Detalle Turnos'!$L$3:$L$5028))</f>
        <v/>
      </c>
      <c r="E830" s="127" t="str">
        <f t="array" ref="E830">IF(A830="","",SUMPRODUCT(('Detalle Turnos'!$I$3:$I$5028=$A830)*('Detalle Turnos'!$N$3:$N$5028=C830)*'Detalle Turnos'!$K$3:$K$5028))</f>
        <v/>
      </c>
      <c r="F830" s="127">
        <f t="shared" si="52"/>
        <v>0</v>
      </c>
      <c r="G830" s="127" t="str">
        <f t="array" ref="G830">IF(E830="","",IFERROR(SUMPRODUCT(('Facturación 2026'!$A$4:$A$920=$A830)*'Facturación 2026'!$J$4:$J$920)*E830/(SUMPRODUCT(('Caja 1'!$A$4:$A$919=$A830)*'Caja 1'!$E$4:$E$919)+SUMPRODUCT(('Caja 2'!$A$4:$A$920=$A830)*'Caja 2'!$E$4:$E$920)),0))</f>
        <v/>
      </c>
      <c r="H830" s="128" t="str">
        <f t="shared" si="53"/>
        <v/>
      </c>
      <c r="I830" s="124" t="str">
        <f t="shared" si="54"/>
        <v/>
      </c>
      <c r="J830" s="987" t="str">
        <f>IF(A830="","",IFERROR(INDEX('Facturación 2026'!$L$4:$L$500,MATCH($A830,'Facturación 2026'!$A$4:$A$500,0)),""))</f>
        <v/>
      </c>
    </row>
    <row r="831" spans="1:10" ht="15.75" customHeight="1">
      <c r="A831" s="988"/>
      <c r="B831" s="122" t="str">
        <f t="shared" si="51"/>
        <v/>
      </c>
      <c r="C831" s="123"/>
      <c r="D831" s="131" t="str">
        <f t="array" ref="D831">IF(A831="","",SUMPRODUCT(('Detalle Turnos'!$I$3:$I$5028=$A831)*('Detalle Turnos'!$N$3:$N$5028=C831)*'Detalle Turnos'!$L$3:$L$5028))</f>
        <v/>
      </c>
      <c r="E831" s="127" t="str">
        <f t="array" ref="E831">IF(A831="","",SUMPRODUCT(('Detalle Turnos'!$I$3:$I$5028=$A831)*('Detalle Turnos'!$N$3:$N$5028=C831)*'Detalle Turnos'!$K$3:$K$5028))</f>
        <v/>
      </c>
      <c r="F831" s="127">
        <f t="shared" si="52"/>
        <v>0</v>
      </c>
      <c r="G831" s="127" t="str">
        <f t="array" ref="G831">IF(E831="","",IFERROR(SUMPRODUCT(('Facturación 2026'!$A$4:$A$920=$A831)*'Facturación 2026'!$J$4:$J$920)*E831/(SUMPRODUCT(('Caja 1'!$A$4:$A$919=$A831)*'Caja 1'!$E$4:$E$919)+SUMPRODUCT(('Caja 2'!$A$4:$A$920=$A831)*'Caja 2'!$E$4:$E$920)),0))</f>
        <v/>
      </c>
      <c r="H831" s="128" t="str">
        <f t="shared" si="53"/>
        <v/>
      </c>
      <c r="I831" s="124" t="str">
        <f t="shared" si="54"/>
        <v/>
      </c>
      <c r="J831" s="987" t="str">
        <f>IF(A831="","",IFERROR(INDEX('Facturación 2026'!$L$4:$L$500,MATCH($A831,'Facturación 2026'!$A$4:$A$500,0)),""))</f>
        <v/>
      </c>
    </row>
    <row r="832" spans="1:10" ht="15.75" customHeight="1">
      <c r="A832" s="988"/>
      <c r="B832" s="122" t="str">
        <f t="shared" si="51"/>
        <v/>
      </c>
      <c r="C832" s="123"/>
      <c r="D832" s="131" t="str">
        <f t="array" ref="D832">IF(A832="","",SUMPRODUCT(('Detalle Turnos'!$I$3:$I$5028=$A832)*('Detalle Turnos'!$N$3:$N$5028=C832)*'Detalle Turnos'!$L$3:$L$5028))</f>
        <v/>
      </c>
      <c r="E832" s="127" t="str">
        <f t="array" ref="E832">IF(A832="","",SUMPRODUCT(('Detalle Turnos'!$I$3:$I$5028=$A832)*('Detalle Turnos'!$N$3:$N$5028=C832)*'Detalle Turnos'!$K$3:$K$5028))</f>
        <v/>
      </c>
      <c r="F832" s="127">
        <f t="shared" si="52"/>
        <v>0</v>
      </c>
      <c r="G832" s="127" t="str">
        <f t="array" ref="G832">IF(E832="","",IFERROR(SUMPRODUCT(('Facturación 2026'!$A$4:$A$920=$A832)*'Facturación 2026'!$J$4:$J$920)*E832/(SUMPRODUCT(('Caja 1'!$A$4:$A$919=$A832)*'Caja 1'!$E$4:$E$919)+SUMPRODUCT(('Caja 2'!$A$4:$A$920=$A832)*'Caja 2'!$E$4:$E$920)),0))</f>
        <v/>
      </c>
      <c r="H832" s="128" t="str">
        <f t="shared" si="53"/>
        <v/>
      </c>
      <c r="I832" s="124" t="str">
        <f t="shared" si="54"/>
        <v/>
      </c>
      <c r="J832" s="987" t="str">
        <f>IF(A832="","",IFERROR(INDEX('Facturación 2026'!$L$4:$L$500,MATCH($A832,'Facturación 2026'!$A$4:$A$500,0)),""))</f>
        <v/>
      </c>
    </row>
    <row r="833" spans="1:10" ht="15.75" customHeight="1">
      <c r="A833" s="988"/>
      <c r="B833" s="122" t="str">
        <f t="shared" si="51"/>
        <v/>
      </c>
      <c r="C833" s="123"/>
      <c r="D833" s="131" t="str">
        <f t="array" ref="D833">IF(A833="","",SUMPRODUCT(('Detalle Turnos'!$I$3:$I$5028=$A833)*('Detalle Turnos'!$N$3:$N$5028=C833)*'Detalle Turnos'!$L$3:$L$5028))</f>
        <v/>
      </c>
      <c r="E833" s="127" t="str">
        <f t="array" ref="E833">IF(A833="","",SUMPRODUCT(('Detalle Turnos'!$I$3:$I$5028=$A833)*('Detalle Turnos'!$N$3:$N$5028=C833)*'Detalle Turnos'!$K$3:$K$5028))</f>
        <v/>
      </c>
      <c r="F833" s="127">
        <f t="shared" si="52"/>
        <v>0</v>
      </c>
      <c r="G833" s="127" t="str">
        <f t="array" ref="G833">IF(E833="","",IFERROR(SUMPRODUCT(('Facturación 2026'!$A$4:$A$920=$A833)*'Facturación 2026'!$J$4:$J$920)*E833/(SUMPRODUCT(('Caja 1'!$A$4:$A$919=$A833)*'Caja 1'!$E$4:$E$919)+SUMPRODUCT(('Caja 2'!$A$4:$A$920=$A833)*'Caja 2'!$E$4:$E$920)),0))</f>
        <v/>
      </c>
      <c r="H833" s="128" t="str">
        <f t="shared" si="53"/>
        <v/>
      </c>
      <c r="I833" s="124" t="str">
        <f t="shared" si="54"/>
        <v/>
      </c>
      <c r="J833" s="987" t="str">
        <f>IF(A833="","",IFERROR(INDEX('Facturación 2026'!$L$4:$L$500,MATCH($A833,'Facturación 2026'!$A$4:$A$500,0)),""))</f>
        <v/>
      </c>
    </row>
    <row r="834" spans="1:10" ht="15.75" customHeight="1">
      <c r="A834" s="988"/>
      <c r="B834" s="122" t="str">
        <f t="shared" si="51"/>
        <v/>
      </c>
      <c r="C834" s="123"/>
      <c r="D834" s="131" t="str">
        <f t="array" ref="D834">IF(A834="","",SUMPRODUCT(('Detalle Turnos'!$I$3:$I$5028=$A834)*('Detalle Turnos'!$N$3:$N$5028=C834)*'Detalle Turnos'!$L$3:$L$5028))</f>
        <v/>
      </c>
      <c r="E834" s="127" t="str">
        <f t="array" ref="E834">IF(A834="","",SUMPRODUCT(('Detalle Turnos'!$I$3:$I$5028=$A834)*('Detalle Turnos'!$N$3:$N$5028=C834)*'Detalle Turnos'!$K$3:$K$5028))</f>
        <v/>
      </c>
      <c r="F834" s="127">
        <f t="shared" si="52"/>
        <v>0</v>
      </c>
      <c r="G834" s="127" t="str">
        <f t="array" ref="G834">IF(E834="","",IFERROR(SUMPRODUCT(('Facturación 2026'!$A$4:$A$920=$A834)*'Facturación 2026'!$J$4:$J$920)*E834/(SUMPRODUCT(('Caja 1'!$A$4:$A$919=$A834)*'Caja 1'!$E$4:$E$919)+SUMPRODUCT(('Caja 2'!$A$4:$A$920=$A834)*'Caja 2'!$E$4:$E$920)),0))</f>
        <v/>
      </c>
      <c r="H834" s="128" t="str">
        <f t="shared" si="53"/>
        <v/>
      </c>
      <c r="I834" s="124" t="str">
        <f t="shared" si="54"/>
        <v/>
      </c>
      <c r="J834" s="987" t="str">
        <f>IF(A834="","",IFERROR(INDEX('Facturación 2026'!$L$4:$L$500,MATCH($A834,'Facturación 2026'!$A$4:$A$500,0)),""))</f>
        <v/>
      </c>
    </row>
    <row r="835" spans="1:10" ht="15.75" customHeight="1">
      <c r="A835" s="988"/>
      <c r="B835" s="122" t="str">
        <f t="shared" ref="B835:B898" si="55">IF(A835="","",CHOOSE(WEEKDAY(A835,2),"Lun","Mar","Mié","Jue","Vie","Sáb","Dom"))</f>
        <v/>
      </c>
      <c r="C835" s="123"/>
      <c r="D835" s="131" t="str">
        <f t="array" ref="D835">IF(A835="","",SUMPRODUCT(('Detalle Turnos'!$I$3:$I$5028=$A835)*('Detalle Turnos'!$N$3:$N$5028=C835)*'Detalle Turnos'!$L$3:$L$5028))</f>
        <v/>
      </c>
      <c r="E835" s="127" t="str">
        <f t="array" ref="E835">IF(A835="","",SUMPRODUCT(('Detalle Turnos'!$I$3:$I$5028=$A835)*('Detalle Turnos'!$N$3:$N$5028=C835)*'Detalle Turnos'!$K$3:$K$5028))</f>
        <v/>
      </c>
      <c r="F835" s="127">
        <f t="shared" ref="F835:F898" si="56">IFERROR(E835/D835,0)</f>
        <v>0</v>
      </c>
      <c r="G835" s="127" t="str">
        <f t="array" ref="G835">IF(E835="","",IFERROR(SUMPRODUCT(('Facturación 2026'!$A$4:$A$920=$A835)*'Facturación 2026'!$J$4:$J$920)*E835/(SUMPRODUCT(('Caja 1'!$A$4:$A$919=$A835)*'Caja 1'!$E$4:$E$919)+SUMPRODUCT(('Caja 2'!$A$4:$A$920=$A835)*'Caja 2'!$E$4:$E$920)),0))</f>
        <v/>
      </c>
      <c r="H835" s="128" t="str">
        <f t="shared" ref="H835:H898" si="57">IF(E835="","",E835-G835)</f>
        <v/>
      </c>
      <c r="I835" s="124" t="str">
        <f t="shared" ref="I835:I898" si="58">IF(E835="","",IFERROR(G835/E835,0))</f>
        <v/>
      </c>
      <c r="J835" s="987" t="str">
        <f>IF(A835="","",IFERROR(INDEX('Facturación 2026'!$L$4:$L$500,MATCH($A835,'Facturación 2026'!$A$4:$A$500,0)),""))</f>
        <v/>
      </c>
    </row>
    <row r="836" spans="1:10" ht="15.75" customHeight="1">
      <c r="A836" s="988"/>
      <c r="B836" s="122" t="str">
        <f t="shared" si="55"/>
        <v/>
      </c>
      <c r="C836" s="123"/>
      <c r="D836" s="131" t="str">
        <f t="array" ref="D836">IF(A836="","",SUMPRODUCT(('Detalle Turnos'!$I$3:$I$5028=$A836)*('Detalle Turnos'!$N$3:$N$5028=C836)*'Detalle Turnos'!$L$3:$L$5028))</f>
        <v/>
      </c>
      <c r="E836" s="127" t="str">
        <f t="array" ref="E836">IF(A836="","",SUMPRODUCT(('Detalle Turnos'!$I$3:$I$5028=$A836)*('Detalle Turnos'!$N$3:$N$5028=C836)*'Detalle Turnos'!$K$3:$K$5028))</f>
        <v/>
      </c>
      <c r="F836" s="127">
        <f t="shared" si="56"/>
        <v>0</v>
      </c>
      <c r="G836" s="127" t="str">
        <f t="array" ref="G836">IF(E836="","",IFERROR(SUMPRODUCT(('Facturación 2026'!$A$4:$A$920=$A836)*'Facturación 2026'!$J$4:$J$920)*E836/(SUMPRODUCT(('Caja 1'!$A$4:$A$919=$A836)*'Caja 1'!$E$4:$E$919)+SUMPRODUCT(('Caja 2'!$A$4:$A$920=$A836)*'Caja 2'!$E$4:$E$920)),0))</f>
        <v/>
      </c>
      <c r="H836" s="128" t="str">
        <f t="shared" si="57"/>
        <v/>
      </c>
      <c r="I836" s="124" t="str">
        <f t="shared" si="58"/>
        <v/>
      </c>
      <c r="J836" s="987" t="str">
        <f>IF(A836="","",IFERROR(INDEX('Facturación 2026'!$L$4:$L$500,MATCH($A836,'Facturación 2026'!$A$4:$A$500,0)),""))</f>
        <v/>
      </c>
    </row>
    <row r="837" spans="1:10" ht="15.75" customHeight="1">
      <c r="A837" s="988"/>
      <c r="B837" s="122" t="str">
        <f t="shared" si="55"/>
        <v/>
      </c>
      <c r="C837" s="123"/>
      <c r="D837" s="131" t="str">
        <f t="array" ref="D837">IF(A837="","",SUMPRODUCT(('Detalle Turnos'!$I$3:$I$5028=$A837)*('Detalle Turnos'!$N$3:$N$5028=C837)*'Detalle Turnos'!$L$3:$L$5028))</f>
        <v/>
      </c>
      <c r="E837" s="127" t="str">
        <f t="array" ref="E837">IF(A837="","",SUMPRODUCT(('Detalle Turnos'!$I$3:$I$5028=$A837)*('Detalle Turnos'!$N$3:$N$5028=C837)*'Detalle Turnos'!$K$3:$K$5028))</f>
        <v/>
      </c>
      <c r="F837" s="127">
        <f t="shared" si="56"/>
        <v>0</v>
      </c>
      <c r="G837" s="127" t="str">
        <f t="array" ref="G837">IF(E837="","",IFERROR(SUMPRODUCT(('Facturación 2026'!$A$4:$A$920=$A837)*'Facturación 2026'!$J$4:$J$920)*E837/(SUMPRODUCT(('Caja 1'!$A$4:$A$919=$A837)*'Caja 1'!$E$4:$E$919)+SUMPRODUCT(('Caja 2'!$A$4:$A$920=$A837)*'Caja 2'!$E$4:$E$920)),0))</f>
        <v/>
      </c>
      <c r="H837" s="128" t="str">
        <f t="shared" si="57"/>
        <v/>
      </c>
      <c r="I837" s="124" t="str">
        <f t="shared" si="58"/>
        <v/>
      </c>
      <c r="J837" s="987" t="str">
        <f>IF(A837="","",IFERROR(INDEX('Facturación 2026'!$L$4:$L$500,MATCH($A837,'Facturación 2026'!$A$4:$A$500,0)),""))</f>
        <v/>
      </c>
    </row>
    <row r="838" spans="1:10" ht="15.75" customHeight="1">
      <c r="A838" s="988"/>
      <c r="B838" s="122" t="str">
        <f t="shared" si="55"/>
        <v/>
      </c>
      <c r="C838" s="123"/>
      <c r="D838" s="131" t="str">
        <f t="array" ref="D838">IF(A838="","",SUMPRODUCT(('Detalle Turnos'!$I$3:$I$5028=$A838)*('Detalle Turnos'!$N$3:$N$5028=C838)*'Detalle Turnos'!$L$3:$L$5028))</f>
        <v/>
      </c>
      <c r="E838" s="127" t="str">
        <f t="array" ref="E838">IF(A838="","",SUMPRODUCT(('Detalle Turnos'!$I$3:$I$5028=$A838)*('Detalle Turnos'!$N$3:$N$5028=C838)*'Detalle Turnos'!$K$3:$K$5028))</f>
        <v/>
      </c>
      <c r="F838" s="127">
        <f t="shared" si="56"/>
        <v>0</v>
      </c>
      <c r="G838" s="127" t="str">
        <f t="array" ref="G838">IF(E838="","",IFERROR(SUMPRODUCT(('Facturación 2026'!$A$4:$A$920=$A838)*'Facturación 2026'!$J$4:$J$920)*E838/(SUMPRODUCT(('Caja 1'!$A$4:$A$919=$A838)*'Caja 1'!$E$4:$E$919)+SUMPRODUCT(('Caja 2'!$A$4:$A$920=$A838)*'Caja 2'!$E$4:$E$920)),0))</f>
        <v/>
      </c>
      <c r="H838" s="128" t="str">
        <f t="shared" si="57"/>
        <v/>
      </c>
      <c r="I838" s="124" t="str">
        <f t="shared" si="58"/>
        <v/>
      </c>
      <c r="J838" s="987" t="str">
        <f>IF(A838="","",IFERROR(INDEX('Facturación 2026'!$L$4:$L$500,MATCH($A838,'Facturación 2026'!$A$4:$A$500,0)),""))</f>
        <v/>
      </c>
    </row>
    <row r="839" spans="1:10" ht="15.75" customHeight="1">
      <c r="A839" s="988"/>
      <c r="B839" s="122" t="str">
        <f t="shared" si="55"/>
        <v/>
      </c>
      <c r="C839" s="123"/>
      <c r="D839" s="131" t="str">
        <f t="array" ref="D839">IF(A839="","",SUMPRODUCT(('Detalle Turnos'!$I$3:$I$5028=$A839)*('Detalle Turnos'!$N$3:$N$5028=C839)*'Detalle Turnos'!$L$3:$L$5028))</f>
        <v/>
      </c>
      <c r="E839" s="127" t="str">
        <f t="array" ref="E839">IF(A839="","",SUMPRODUCT(('Detalle Turnos'!$I$3:$I$5028=$A839)*('Detalle Turnos'!$N$3:$N$5028=C839)*'Detalle Turnos'!$K$3:$K$5028))</f>
        <v/>
      </c>
      <c r="F839" s="127">
        <f t="shared" si="56"/>
        <v>0</v>
      </c>
      <c r="G839" s="127" t="str">
        <f t="array" ref="G839">IF(E839="","",IFERROR(SUMPRODUCT(('Facturación 2026'!$A$4:$A$920=$A839)*'Facturación 2026'!$J$4:$J$920)*E839/(SUMPRODUCT(('Caja 1'!$A$4:$A$919=$A839)*'Caja 1'!$E$4:$E$919)+SUMPRODUCT(('Caja 2'!$A$4:$A$920=$A839)*'Caja 2'!$E$4:$E$920)),0))</f>
        <v/>
      </c>
      <c r="H839" s="128" t="str">
        <f t="shared" si="57"/>
        <v/>
      </c>
      <c r="I839" s="124" t="str">
        <f t="shared" si="58"/>
        <v/>
      </c>
      <c r="J839" s="987" t="str">
        <f>IF(A839="","",IFERROR(INDEX('Facturación 2026'!$L$4:$L$500,MATCH($A839,'Facturación 2026'!$A$4:$A$500,0)),""))</f>
        <v/>
      </c>
    </row>
    <row r="840" spans="1:10" ht="15.75" customHeight="1">
      <c r="A840" s="988"/>
      <c r="B840" s="122" t="str">
        <f t="shared" si="55"/>
        <v/>
      </c>
      <c r="C840" s="123"/>
      <c r="D840" s="131" t="str">
        <f t="array" ref="D840">IF(A840="","",SUMPRODUCT(('Detalle Turnos'!$I$3:$I$5028=$A840)*('Detalle Turnos'!$N$3:$N$5028=C840)*'Detalle Turnos'!$L$3:$L$5028))</f>
        <v/>
      </c>
      <c r="E840" s="127" t="str">
        <f t="array" ref="E840">IF(A840="","",SUMPRODUCT(('Detalle Turnos'!$I$3:$I$5028=$A840)*('Detalle Turnos'!$N$3:$N$5028=C840)*'Detalle Turnos'!$K$3:$K$5028))</f>
        <v/>
      </c>
      <c r="F840" s="127">
        <f t="shared" si="56"/>
        <v>0</v>
      </c>
      <c r="G840" s="127" t="str">
        <f t="array" ref="G840">IF(E840="","",IFERROR(SUMPRODUCT(('Facturación 2026'!$A$4:$A$920=$A840)*'Facturación 2026'!$J$4:$J$920)*E840/(SUMPRODUCT(('Caja 1'!$A$4:$A$919=$A840)*'Caja 1'!$E$4:$E$919)+SUMPRODUCT(('Caja 2'!$A$4:$A$920=$A840)*'Caja 2'!$E$4:$E$920)),0))</f>
        <v/>
      </c>
      <c r="H840" s="128" t="str">
        <f t="shared" si="57"/>
        <v/>
      </c>
      <c r="I840" s="124" t="str">
        <f t="shared" si="58"/>
        <v/>
      </c>
      <c r="J840" s="987" t="str">
        <f>IF(A840="","",IFERROR(INDEX('Facturación 2026'!$L$4:$L$500,MATCH($A840,'Facturación 2026'!$A$4:$A$500,0)),""))</f>
        <v/>
      </c>
    </row>
    <row r="841" spans="1:10" ht="15.75" customHeight="1">
      <c r="A841" s="988"/>
      <c r="B841" s="122" t="str">
        <f t="shared" si="55"/>
        <v/>
      </c>
      <c r="C841" s="123"/>
      <c r="D841" s="131" t="str">
        <f t="array" ref="D841">IF(A841="","",SUMPRODUCT(('Detalle Turnos'!$I$3:$I$5028=$A841)*('Detalle Turnos'!$N$3:$N$5028=C841)*'Detalle Turnos'!$L$3:$L$5028))</f>
        <v/>
      </c>
      <c r="E841" s="127" t="str">
        <f t="array" ref="E841">IF(A841="","",SUMPRODUCT(('Detalle Turnos'!$I$3:$I$5028=$A841)*('Detalle Turnos'!$N$3:$N$5028=C841)*'Detalle Turnos'!$K$3:$K$5028))</f>
        <v/>
      </c>
      <c r="F841" s="127">
        <f t="shared" si="56"/>
        <v>0</v>
      </c>
      <c r="G841" s="127" t="str">
        <f t="array" ref="G841">IF(E841="","",IFERROR(SUMPRODUCT(('Facturación 2026'!$A$4:$A$920=$A841)*'Facturación 2026'!$J$4:$J$920)*E841/(SUMPRODUCT(('Caja 1'!$A$4:$A$919=$A841)*'Caja 1'!$E$4:$E$919)+SUMPRODUCT(('Caja 2'!$A$4:$A$920=$A841)*'Caja 2'!$E$4:$E$920)),0))</f>
        <v/>
      </c>
      <c r="H841" s="128" t="str">
        <f t="shared" si="57"/>
        <v/>
      </c>
      <c r="I841" s="124" t="str">
        <f t="shared" si="58"/>
        <v/>
      </c>
      <c r="J841" s="987" t="str">
        <f>IF(A841="","",IFERROR(INDEX('Facturación 2026'!$L$4:$L$500,MATCH($A841,'Facturación 2026'!$A$4:$A$500,0)),""))</f>
        <v/>
      </c>
    </row>
    <row r="842" spans="1:10" ht="15.75" customHeight="1">
      <c r="A842" s="988"/>
      <c r="B842" s="122" t="str">
        <f t="shared" si="55"/>
        <v/>
      </c>
      <c r="C842" s="123"/>
      <c r="D842" s="131" t="str">
        <f t="array" ref="D842">IF(A842="","",SUMPRODUCT(('Detalle Turnos'!$I$3:$I$5028=$A842)*('Detalle Turnos'!$N$3:$N$5028=C842)*'Detalle Turnos'!$L$3:$L$5028))</f>
        <v/>
      </c>
      <c r="E842" s="127" t="str">
        <f t="array" ref="E842">IF(A842="","",SUMPRODUCT(('Detalle Turnos'!$I$3:$I$5028=$A842)*('Detalle Turnos'!$N$3:$N$5028=C842)*'Detalle Turnos'!$K$3:$K$5028))</f>
        <v/>
      </c>
      <c r="F842" s="127">
        <f t="shared" si="56"/>
        <v>0</v>
      </c>
      <c r="G842" s="127" t="str">
        <f t="array" ref="G842">IF(E842="","",IFERROR(SUMPRODUCT(('Facturación 2026'!$A$4:$A$920=$A842)*'Facturación 2026'!$J$4:$J$920)*E842/(SUMPRODUCT(('Caja 1'!$A$4:$A$919=$A842)*'Caja 1'!$E$4:$E$919)+SUMPRODUCT(('Caja 2'!$A$4:$A$920=$A842)*'Caja 2'!$E$4:$E$920)),0))</f>
        <v/>
      </c>
      <c r="H842" s="128" t="str">
        <f t="shared" si="57"/>
        <v/>
      </c>
      <c r="I842" s="124" t="str">
        <f t="shared" si="58"/>
        <v/>
      </c>
      <c r="J842" s="987" t="str">
        <f>IF(A842="","",IFERROR(INDEX('Facturación 2026'!$L$4:$L$500,MATCH($A842,'Facturación 2026'!$A$4:$A$500,0)),""))</f>
        <v/>
      </c>
    </row>
    <row r="843" spans="1:10" ht="15.75" customHeight="1">
      <c r="A843" s="988"/>
      <c r="B843" s="122" t="str">
        <f t="shared" si="55"/>
        <v/>
      </c>
      <c r="C843" s="123"/>
      <c r="D843" s="131" t="str">
        <f t="array" ref="D843">IF(A843="","",SUMPRODUCT(('Detalle Turnos'!$I$3:$I$5028=$A843)*('Detalle Turnos'!$N$3:$N$5028=C843)*'Detalle Turnos'!$L$3:$L$5028))</f>
        <v/>
      </c>
      <c r="E843" s="127" t="str">
        <f t="array" ref="E843">IF(A843="","",SUMPRODUCT(('Detalle Turnos'!$I$3:$I$5028=$A843)*('Detalle Turnos'!$N$3:$N$5028=C843)*'Detalle Turnos'!$K$3:$K$5028))</f>
        <v/>
      </c>
      <c r="F843" s="127">
        <f t="shared" si="56"/>
        <v>0</v>
      </c>
      <c r="G843" s="127" t="str">
        <f t="array" ref="G843">IF(E843="","",IFERROR(SUMPRODUCT(('Facturación 2026'!$A$4:$A$920=$A843)*'Facturación 2026'!$J$4:$J$920)*E843/(SUMPRODUCT(('Caja 1'!$A$4:$A$919=$A843)*'Caja 1'!$E$4:$E$919)+SUMPRODUCT(('Caja 2'!$A$4:$A$920=$A843)*'Caja 2'!$E$4:$E$920)),0))</f>
        <v/>
      </c>
      <c r="H843" s="128" t="str">
        <f t="shared" si="57"/>
        <v/>
      </c>
      <c r="I843" s="124" t="str">
        <f t="shared" si="58"/>
        <v/>
      </c>
      <c r="J843" s="987" t="str">
        <f>IF(A843="","",IFERROR(INDEX('Facturación 2026'!$L$4:$L$500,MATCH($A843,'Facturación 2026'!$A$4:$A$500,0)),""))</f>
        <v/>
      </c>
    </row>
    <row r="844" spans="1:10" ht="15.75" customHeight="1">
      <c r="A844" s="988"/>
      <c r="B844" s="122" t="str">
        <f t="shared" si="55"/>
        <v/>
      </c>
      <c r="C844" s="123"/>
      <c r="D844" s="131" t="str">
        <f t="array" ref="D844">IF(A844="","",SUMPRODUCT(('Detalle Turnos'!$I$3:$I$5028=$A844)*('Detalle Turnos'!$N$3:$N$5028=C844)*'Detalle Turnos'!$L$3:$L$5028))</f>
        <v/>
      </c>
      <c r="E844" s="127" t="str">
        <f t="array" ref="E844">IF(A844="","",SUMPRODUCT(('Detalle Turnos'!$I$3:$I$5028=$A844)*('Detalle Turnos'!$N$3:$N$5028=C844)*'Detalle Turnos'!$K$3:$K$5028))</f>
        <v/>
      </c>
      <c r="F844" s="127">
        <f t="shared" si="56"/>
        <v>0</v>
      </c>
      <c r="G844" s="127" t="str">
        <f t="array" ref="G844">IF(E844="","",IFERROR(SUMPRODUCT(('Facturación 2026'!$A$4:$A$920=$A844)*'Facturación 2026'!$J$4:$J$920)*E844/(SUMPRODUCT(('Caja 1'!$A$4:$A$919=$A844)*'Caja 1'!$E$4:$E$919)+SUMPRODUCT(('Caja 2'!$A$4:$A$920=$A844)*'Caja 2'!$E$4:$E$920)),0))</f>
        <v/>
      </c>
      <c r="H844" s="128" t="str">
        <f t="shared" si="57"/>
        <v/>
      </c>
      <c r="I844" s="124" t="str">
        <f t="shared" si="58"/>
        <v/>
      </c>
      <c r="J844" s="987" t="str">
        <f>IF(A844="","",IFERROR(INDEX('Facturación 2026'!$L$4:$L$500,MATCH($A844,'Facturación 2026'!$A$4:$A$500,0)),""))</f>
        <v/>
      </c>
    </row>
    <row r="845" spans="1:10" ht="15.75" customHeight="1">
      <c r="A845" s="988"/>
      <c r="B845" s="122" t="str">
        <f t="shared" si="55"/>
        <v/>
      </c>
      <c r="C845" s="123"/>
      <c r="D845" s="131" t="str">
        <f t="array" ref="D845">IF(A845="","",SUMPRODUCT(('Detalle Turnos'!$I$3:$I$5028=$A845)*('Detalle Turnos'!$N$3:$N$5028=C845)*'Detalle Turnos'!$L$3:$L$5028))</f>
        <v/>
      </c>
      <c r="E845" s="127" t="str">
        <f t="array" ref="E845">IF(A845="","",SUMPRODUCT(('Detalle Turnos'!$I$3:$I$5028=$A845)*('Detalle Turnos'!$N$3:$N$5028=C845)*'Detalle Turnos'!$K$3:$K$5028))</f>
        <v/>
      </c>
      <c r="F845" s="127">
        <f t="shared" si="56"/>
        <v>0</v>
      </c>
      <c r="G845" s="127" t="str">
        <f t="array" ref="G845">IF(E845="","",IFERROR(SUMPRODUCT(('Facturación 2026'!$A$4:$A$920=$A845)*'Facturación 2026'!$J$4:$J$920)*E845/(SUMPRODUCT(('Caja 1'!$A$4:$A$919=$A845)*'Caja 1'!$E$4:$E$919)+SUMPRODUCT(('Caja 2'!$A$4:$A$920=$A845)*'Caja 2'!$E$4:$E$920)),0))</f>
        <v/>
      </c>
      <c r="H845" s="128" t="str">
        <f t="shared" si="57"/>
        <v/>
      </c>
      <c r="I845" s="124" t="str">
        <f t="shared" si="58"/>
        <v/>
      </c>
      <c r="J845" s="987" t="str">
        <f>IF(A845="","",IFERROR(INDEX('Facturación 2026'!$L$4:$L$500,MATCH($A845,'Facturación 2026'!$A$4:$A$500,0)),""))</f>
        <v/>
      </c>
    </row>
    <row r="846" spans="1:10" ht="15.75" customHeight="1">
      <c r="A846" s="988"/>
      <c r="B846" s="122" t="str">
        <f t="shared" si="55"/>
        <v/>
      </c>
      <c r="C846" s="123"/>
      <c r="D846" s="131" t="str">
        <f t="array" ref="D846">IF(A846="","",SUMPRODUCT(('Detalle Turnos'!$I$3:$I$5028=$A846)*('Detalle Turnos'!$N$3:$N$5028=C846)*'Detalle Turnos'!$L$3:$L$5028))</f>
        <v/>
      </c>
      <c r="E846" s="127" t="str">
        <f t="array" ref="E846">IF(A846="","",SUMPRODUCT(('Detalle Turnos'!$I$3:$I$5028=$A846)*('Detalle Turnos'!$N$3:$N$5028=C846)*'Detalle Turnos'!$K$3:$K$5028))</f>
        <v/>
      </c>
      <c r="F846" s="127">
        <f t="shared" si="56"/>
        <v>0</v>
      </c>
      <c r="G846" s="127" t="str">
        <f t="array" ref="G846">IF(E846="","",IFERROR(SUMPRODUCT(('Facturación 2026'!$A$4:$A$920=$A846)*'Facturación 2026'!$J$4:$J$920)*E846/(SUMPRODUCT(('Caja 1'!$A$4:$A$919=$A846)*'Caja 1'!$E$4:$E$919)+SUMPRODUCT(('Caja 2'!$A$4:$A$920=$A846)*'Caja 2'!$E$4:$E$920)),0))</f>
        <v/>
      </c>
      <c r="H846" s="128" t="str">
        <f t="shared" si="57"/>
        <v/>
      </c>
      <c r="I846" s="124" t="str">
        <f t="shared" si="58"/>
        <v/>
      </c>
      <c r="J846" s="987" t="str">
        <f>IF(A846="","",IFERROR(INDEX('Facturación 2026'!$L$4:$L$500,MATCH($A846,'Facturación 2026'!$A$4:$A$500,0)),""))</f>
        <v/>
      </c>
    </row>
    <row r="847" spans="1:10" ht="15.75" customHeight="1">
      <c r="A847" s="988"/>
      <c r="B847" s="122" t="str">
        <f t="shared" si="55"/>
        <v/>
      </c>
      <c r="C847" s="123"/>
      <c r="D847" s="131" t="str">
        <f t="array" ref="D847">IF(A847="","",SUMPRODUCT(('Detalle Turnos'!$I$3:$I$5028=$A847)*('Detalle Turnos'!$N$3:$N$5028=C847)*'Detalle Turnos'!$L$3:$L$5028))</f>
        <v/>
      </c>
      <c r="E847" s="127" t="str">
        <f t="array" ref="E847">IF(A847="","",SUMPRODUCT(('Detalle Turnos'!$I$3:$I$5028=$A847)*('Detalle Turnos'!$N$3:$N$5028=C847)*'Detalle Turnos'!$K$3:$K$5028))</f>
        <v/>
      </c>
      <c r="F847" s="127">
        <f t="shared" si="56"/>
        <v>0</v>
      </c>
      <c r="G847" s="127" t="str">
        <f t="array" ref="G847">IF(E847="","",IFERROR(SUMPRODUCT(('Facturación 2026'!$A$4:$A$920=$A847)*'Facturación 2026'!$J$4:$J$920)*E847/(SUMPRODUCT(('Caja 1'!$A$4:$A$919=$A847)*'Caja 1'!$E$4:$E$919)+SUMPRODUCT(('Caja 2'!$A$4:$A$920=$A847)*'Caja 2'!$E$4:$E$920)),0))</f>
        <v/>
      </c>
      <c r="H847" s="128" t="str">
        <f t="shared" si="57"/>
        <v/>
      </c>
      <c r="I847" s="124" t="str">
        <f t="shared" si="58"/>
        <v/>
      </c>
      <c r="J847" s="987" t="str">
        <f>IF(A847="","",IFERROR(INDEX('Facturación 2026'!$L$4:$L$500,MATCH($A847,'Facturación 2026'!$A$4:$A$500,0)),""))</f>
        <v/>
      </c>
    </row>
    <row r="848" spans="1:10" ht="15.75" customHeight="1">
      <c r="A848" s="988"/>
      <c r="B848" s="122" t="str">
        <f t="shared" si="55"/>
        <v/>
      </c>
      <c r="C848" s="123"/>
      <c r="D848" s="131" t="str">
        <f t="array" ref="D848">IF(A848="","",SUMPRODUCT(('Detalle Turnos'!$I$3:$I$5028=$A848)*('Detalle Turnos'!$N$3:$N$5028=C848)*'Detalle Turnos'!$L$3:$L$5028))</f>
        <v/>
      </c>
      <c r="E848" s="127" t="str">
        <f t="array" ref="E848">IF(A848="","",SUMPRODUCT(('Detalle Turnos'!$I$3:$I$5028=$A848)*('Detalle Turnos'!$N$3:$N$5028=C848)*'Detalle Turnos'!$K$3:$K$5028))</f>
        <v/>
      </c>
      <c r="F848" s="127">
        <f t="shared" si="56"/>
        <v>0</v>
      </c>
      <c r="G848" s="127" t="str">
        <f t="array" ref="G848">IF(E848="","",IFERROR(SUMPRODUCT(('Facturación 2026'!$A$4:$A$920=$A848)*'Facturación 2026'!$J$4:$J$920)*E848/(SUMPRODUCT(('Caja 1'!$A$4:$A$919=$A848)*'Caja 1'!$E$4:$E$919)+SUMPRODUCT(('Caja 2'!$A$4:$A$920=$A848)*'Caja 2'!$E$4:$E$920)),0))</f>
        <v/>
      </c>
      <c r="H848" s="128" t="str">
        <f t="shared" si="57"/>
        <v/>
      </c>
      <c r="I848" s="124" t="str">
        <f t="shared" si="58"/>
        <v/>
      </c>
      <c r="J848" s="987" t="str">
        <f>IF(A848="","",IFERROR(INDEX('Facturación 2026'!$L$4:$L$500,MATCH($A848,'Facturación 2026'!$A$4:$A$500,0)),""))</f>
        <v/>
      </c>
    </row>
    <row r="849" spans="1:10" ht="15.75" customHeight="1">
      <c r="A849" s="988"/>
      <c r="B849" s="122" t="str">
        <f t="shared" si="55"/>
        <v/>
      </c>
      <c r="C849" s="123"/>
      <c r="D849" s="131" t="str">
        <f t="array" ref="D849">IF(A849="","",SUMPRODUCT(('Detalle Turnos'!$I$3:$I$5028=$A849)*('Detalle Turnos'!$N$3:$N$5028=C849)*'Detalle Turnos'!$L$3:$L$5028))</f>
        <v/>
      </c>
      <c r="E849" s="127" t="str">
        <f t="array" ref="E849">IF(A849="","",SUMPRODUCT(('Detalle Turnos'!$I$3:$I$5028=$A849)*('Detalle Turnos'!$N$3:$N$5028=C849)*'Detalle Turnos'!$K$3:$K$5028))</f>
        <v/>
      </c>
      <c r="F849" s="127">
        <f t="shared" si="56"/>
        <v>0</v>
      </c>
      <c r="G849" s="127" t="str">
        <f t="array" ref="G849">IF(E849="","",IFERROR(SUMPRODUCT(('Facturación 2026'!$A$4:$A$920=$A849)*'Facturación 2026'!$J$4:$J$920)*E849/(SUMPRODUCT(('Caja 1'!$A$4:$A$919=$A849)*'Caja 1'!$E$4:$E$919)+SUMPRODUCT(('Caja 2'!$A$4:$A$920=$A849)*'Caja 2'!$E$4:$E$920)),0))</f>
        <v/>
      </c>
      <c r="H849" s="128" t="str">
        <f t="shared" si="57"/>
        <v/>
      </c>
      <c r="I849" s="124" t="str">
        <f t="shared" si="58"/>
        <v/>
      </c>
      <c r="J849" s="987" t="str">
        <f>IF(A849="","",IFERROR(INDEX('Facturación 2026'!$L$4:$L$500,MATCH($A849,'Facturación 2026'!$A$4:$A$500,0)),""))</f>
        <v/>
      </c>
    </row>
    <row r="850" spans="1:10" ht="15.75" customHeight="1">
      <c r="A850" s="988"/>
      <c r="B850" s="122" t="str">
        <f t="shared" si="55"/>
        <v/>
      </c>
      <c r="C850" s="123"/>
      <c r="D850" s="131" t="str">
        <f t="array" ref="D850">IF(A850="","",SUMPRODUCT(('Detalle Turnos'!$I$3:$I$5028=$A850)*('Detalle Turnos'!$N$3:$N$5028=C850)*'Detalle Turnos'!$L$3:$L$5028))</f>
        <v/>
      </c>
      <c r="E850" s="127" t="str">
        <f t="array" ref="E850">IF(A850="","",SUMPRODUCT(('Detalle Turnos'!$I$3:$I$5028=$A850)*('Detalle Turnos'!$N$3:$N$5028=C850)*'Detalle Turnos'!$K$3:$K$5028))</f>
        <v/>
      </c>
      <c r="F850" s="127">
        <f t="shared" si="56"/>
        <v>0</v>
      </c>
      <c r="G850" s="127" t="str">
        <f t="array" ref="G850">IF(E850="","",IFERROR(SUMPRODUCT(('Facturación 2026'!$A$4:$A$920=$A850)*'Facturación 2026'!$J$4:$J$920)*E850/(SUMPRODUCT(('Caja 1'!$A$4:$A$919=$A850)*'Caja 1'!$E$4:$E$919)+SUMPRODUCT(('Caja 2'!$A$4:$A$920=$A850)*'Caja 2'!$E$4:$E$920)),0))</f>
        <v/>
      </c>
      <c r="H850" s="128" t="str">
        <f t="shared" si="57"/>
        <v/>
      </c>
      <c r="I850" s="124" t="str">
        <f t="shared" si="58"/>
        <v/>
      </c>
      <c r="J850" s="987" t="str">
        <f>IF(A850="","",IFERROR(INDEX('Facturación 2026'!$L$4:$L$500,MATCH($A850,'Facturación 2026'!$A$4:$A$500,0)),""))</f>
        <v/>
      </c>
    </row>
    <row r="851" spans="1:10" ht="15.75" customHeight="1">
      <c r="A851" s="988"/>
      <c r="B851" s="122" t="str">
        <f t="shared" si="55"/>
        <v/>
      </c>
      <c r="C851" s="123"/>
      <c r="D851" s="131" t="str">
        <f t="array" ref="D851">IF(A851="","",SUMPRODUCT(('Detalle Turnos'!$I$3:$I$5028=$A851)*('Detalle Turnos'!$N$3:$N$5028=C851)*'Detalle Turnos'!$L$3:$L$5028))</f>
        <v/>
      </c>
      <c r="E851" s="127" t="str">
        <f t="array" ref="E851">IF(A851="","",SUMPRODUCT(('Detalle Turnos'!$I$3:$I$5028=$A851)*('Detalle Turnos'!$N$3:$N$5028=C851)*'Detalle Turnos'!$K$3:$K$5028))</f>
        <v/>
      </c>
      <c r="F851" s="127">
        <f t="shared" si="56"/>
        <v>0</v>
      </c>
      <c r="G851" s="127" t="str">
        <f t="array" ref="G851">IF(E851="","",IFERROR(SUMPRODUCT(('Facturación 2026'!$A$4:$A$920=$A851)*'Facturación 2026'!$J$4:$J$920)*E851/(SUMPRODUCT(('Caja 1'!$A$4:$A$919=$A851)*'Caja 1'!$E$4:$E$919)+SUMPRODUCT(('Caja 2'!$A$4:$A$920=$A851)*'Caja 2'!$E$4:$E$920)),0))</f>
        <v/>
      </c>
      <c r="H851" s="128" t="str">
        <f t="shared" si="57"/>
        <v/>
      </c>
      <c r="I851" s="124" t="str">
        <f t="shared" si="58"/>
        <v/>
      </c>
      <c r="J851" s="987" t="str">
        <f>IF(A851="","",IFERROR(INDEX('Facturación 2026'!$L$4:$L$500,MATCH($A851,'Facturación 2026'!$A$4:$A$500,0)),""))</f>
        <v/>
      </c>
    </row>
    <row r="852" spans="1:10" ht="15.75" customHeight="1">
      <c r="A852" s="988"/>
      <c r="B852" s="122" t="str">
        <f t="shared" si="55"/>
        <v/>
      </c>
      <c r="C852" s="123"/>
      <c r="D852" s="131" t="str">
        <f t="array" ref="D852">IF(A852="","",SUMPRODUCT(('Detalle Turnos'!$I$3:$I$5028=$A852)*('Detalle Turnos'!$N$3:$N$5028=C852)*'Detalle Turnos'!$L$3:$L$5028))</f>
        <v/>
      </c>
      <c r="E852" s="127" t="str">
        <f t="array" ref="E852">IF(A852="","",SUMPRODUCT(('Detalle Turnos'!$I$3:$I$5028=$A852)*('Detalle Turnos'!$N$3:$N$5028=C852)*'Detalle Turnos'!$K$3:$K$5028))</f>
        <v/>
      </c>
      <c r="F852" s="127">
        <f t="shared" si="56"/>
        <v>0</v>
      </c>
      <c r="G852" s="127" t="str">
        <f t="array" ref="G852">IF(E852="","",IFERROR(SUMPRODUCT(('Facturación 2026'!$A$4:$A$920=$A852)*'Facturación 2026'!$J$4:$J$920)*E852/(SUMPRODUCT(('Caja 1'!$A$4:$A$919=$A852)*'Caja 1'!$E$4:$E$919)+SUMPRODUCT(('Caja 2'!$A$4:$A$920=$A852)*'Caja 2'!$E$4:$E$920)),0))</f>
        <v/>
      </c>
      <c r="H852" s="128" t="str">
        <f t="shared" si="57"/>
        <v/>
      </c>
      <c r="I852" s="124" t="str">
        <f t="shared" si="58"/>
        <v/>
      </c>
      <c r="J852" s="987" t="str">
        <f>IF(A852="","",IFERROR(INDEX('Facturación 2026'!$L$4:$L$500,MATCH($A852,'Facturación 2026'!$A$4:$A$500,0)),""))</f>
        <v/>
      </c>
    </row>
    <row r="853" spans="1:10" ht="15.75" customHeight="1">
      <c r="A853" s="988"/>
      <c r="B853" s="122" t="str">
        <f t="shared" si="55"/>
        <v/>
      </c>
      <c r="C853" s="123"/>
      <c r="D853" s="131" t="str">
        <f t="array" ref="D853">IF(A853="","",SUMPRODUCT(('Detalle Turnos'!$I$3:$I$5028=$A853)*('Detalle Turnos'!$N$3:$N$5028=C853)*'Detalle Turnos'!$L$3:$L$5028))</f>
        <v/>
      </c>
      <c r="E853" s="127" t="str">
        <f t="array" ref="E853">IF(A853="","",SUMPRODUCT(('Detalle Turnos'!$I$3:$I$5028=$A853)*('Detalle Turnos'!$N$3:$N$5028=C853)*'Detalle Turnos'!$K$3:$K$5028))</f>
        <v/>
      </c>
      <c r="F853" s="127">
        <f t="shared" si="56"/>
        <v>0</v>
      </c>
      <c r="G853" s="127" t="str">
        <f t="array" ref="G853">IF(E853="","",IFERROR(SUMPRODUCT(('Facturación 2026'!$A$4:$A$920=$A853)*'Facturación 2026'!$J$4:$J$920)*E853/(SUMPRODUCT(('Caja 1'!$A$4:$A$919=$A853)*'Caja 1'!$E$4:$E$919)+SUMPRODUCT(('Caja 2'!$A$4:$A$920=$A853)*'Caja 2'!$E$4:$E$920)),0))</f>
        <v/>
      </c>
      <c r="H853" s="128" t="str">
        <f t="shared" si="57"/>
        <v/>
      </c>
      <c r="I853" s="124" t="str">
        <f t="shared" si="58"/>
        <v/>
      </c>
      <c r="J853" s="987" t="str">
        <f>IF(A853="","",IFERROR(INDEX('Facturación 2026'!$L$4:$L$500,MATCH($A853,'Facturación 2026'!$A$4:$A$500,0)),""))</f>
        <v/>
      </c>
    </row>
    <row r="854" spans="1:10" ht="15.75" customHeight="1">
      <c r="A854" s="988"/>
      <c r="B854" s="122" t="str">
        <f t="shared" si="55"/>
        <v/>
      </c>
      <c r="C854" s="123"/>
      <c r="D854" s="131" t="str">
        <f t="array" ref="D854">IF(A854="","",SUMPRODUCT(('Detalle Turnos'!$I$3:$I$5028=$A854)*('Detalle Turnos'!$N$3:$N$5028=C854)*'Detalle Turnos'!$L$3:$L$5028))</f>
        <v/>
      </c>
      <c r="E854" s="127" t="str">
        <f t="array" ref="E854">IF(A854="","",SUMPRODUCT(('Detalle Turnos'!$I$3:$I$5028=$A854)*('Detalle Turnos'!$N$3:$N$5028=C854)*'Detalle Turnos'!$K$3:$K$5028))</f>
        <v/>
      </c>
      <c r="F854" s="127">
        <f t="shared" si="56"/>
        <v>0</v>
      </c>
      <c r="G854" s="127" t="str">
        <f t="array" ref="G854">IF(E854="","",IFERROR(SUMPRODUCT(('Facturación 2026'!$A$4:$A$920=$A854)*'Facturación 2026'!$J$4:$J$920)*E854/(SUMPRODUCT(('Caja 1'!$A$4:$A$919=$A854)*'Caja 1'!$E$4:$E$919)+SUMPRODUCT(('Caja 2'!$A$4:$A$920=$A854)*'Caja 2'!$E$4:$E$920)),0))</f>
        <v/>
      </c>
      <c r="H854" s="128" t="str">
        <f t="shared" si="57"/>
        <v/>
      </c>
      <c r="I854" s="124" t="str">
        <f t="shared" si="58"/>
        <v/>
      </c>
      <c r="J854" s="987" t="str">
        <f>IF(A854="","",IFERROR(INDEX('Facturación 2026'!$L$4:$L$500,MATCH($A854,'Facturación 2026'!$A$4:$A$500,0)),""))</f>
        <v/>
      </c>
    </row>
    <row r="855" spans="1:10" ht="15.75" customHeight="1">
      <c r="A855" s="988"/>
      <c r="B855" s="122" t="str">
        <f t="shared" si="55"/>
        <v/>
      </c>
      <c r="C855" s="123"/>
      <c r="D855" s="131" t="str">
        <f t="array" ref="D855">IF(A855="","",SUMPRODUCT(('Detalle Turnos'!$I$3:$I$5028=$A855)*('Detalle Turnos'!$N$3:$N$5028=C855)*'Detalle Turnos'!$L$3:$L$5028))</f>
        <v/>
      </c>
      <c r="E855" s="127" t="str">
        <f t="array" ref="E855">IF(A855="","",SUMPRODUCT(('Detalle Turnos'!$I$3:$I$5028=$A855)*('Detalle Turnos'!$N$3:$N$5028=C855)*'Detalle Turnos'!$K$3:$K$5028))</f>
        <v/>
      </c>
      <c r="F855" s="127">
        <f t="shared" si="56"/>
        <v>0</v>
      </c>
      <c r="G855" s="127" t="str">
        <f t="array" ref="G855">IF(E855="","",IFERROR(SUMPRODUCT(('Facturación 2026'!$A$4:$A$920=$A855)*'Facturación 2026'!$J$4:$J$920)*E855/(SUMPRODUCT(('Caja 1'!$A$4:$A$919=$A855)*'Caja 1'!$E$4:$E$919)+SUMPRODUCT(('Caja 2'!$A$4:$A$920=$A855)*'Caja 2'!$E$4:$E$920)),0))</f>
        <v/>
      </c>
      <c r="H855" s="128" t="str">
        <f t="shared" si="57"/>
        <v/>
      </c>
      <c r="I855" s="124" t="str">
        <f t="shared" si="58"/>
        <v/>
      </c>
      <c r="J855" s="987" t="str">
        <f>IF(A855="","",IFERROR(INDEX('Facturación 2026'!$L$4:$L$500,MATCH($A855,'Facturación 2026'!$A$4:$A$500,0)),""))</f>
        <v/>
      </c>
    </row>
    <row r="856" spans="1:10" ht="15.75" customHeight="1">
      <c r="A856" s="988"/>
      <c r="B856" s="122" t="str">
        <f t="shared" si="55"/>
        <v/>
      </c>
      <c r="C856" s="123"/>
      <c r="D856" s="131" t="str">
        <f t="array" ref="D856">IF(A856="","",SUMPRODUCT(('Detalle Turnos'!$I$3:$I$5028=$A856)*('Detalle Turnos'!$N$3:$N$5028=C856)*'Detalle Turnos'!$L$3:$L$5028))</f>
        <v/>
      </c>
      <c r="E856" s="127" t="str">
        <f t="array" ref="E856">IF(A856="","",SUMPRODUCT(('Detalle Turnos'!$I$3:$I$5028=$A856)*('Detalle Turnos'!$N$3:$N$5028=C856)*'Detalle Turnos'!$K$3:$K$5028))</f>
        <v/>
      </c>
      <c r="F856" s="127">
        <f t="shared" si="56"/>
        <v>0</v>
      </c>
      <c r="G856" s="127" t="str">
        <f t="array" ref="G856">IF(E856="","",IFERROR(SUMPRODUCT(('Facturación 2026'!$A$4:$A$920=$A856)*'Facturación 2026'!$J$4:$J$920)*E856/(SUMPRODUCT(('Caja 1'!$A$4:$A$919=$A856)*'Caja 1'!$E$4:$E$919)+SUMPRODUCT(('Caja 2'!$A$4:$A$920=$A856)*'Caja 2'!$E$4:$E$920)),0))</f>
        <v/>
      </c>
      <c r="H856" s="128" t="str">
        <f t="shared" si="57"/>
        <v/>
      </c>
      <c r="I856" s="124" t="str">
        <f t="shared" si="58"/>
        <v/>
      </c>
      <c r="J856" s="987" t="str">
        <f>IF(A856="","",IFERROR(INDEX('Facturación 2026'!$L$4:$L$500,MATCH($A856,'Facturación 2026'!$A$4:$A$500,0)),""))</f>
        <v/>
      </c>
    </row>
    <row r="857" spans="1:10" ht="15.75" customHeight="1">
      <c r="A857" s="988"/>
      <c r="B857" s="122" t="str">
        <f t="shared" si="55"/>
        <v/>
      </c>
      <c r="C857" s="123"/>
      <c r="D857" s="131" t="str">
        <f t="array" ref="D857">IF(A857="","",SUMPRODUCT(('Detalle Turnos'!$I$3:$I$5028=$A857)*('Detalle Turnos'!$N$3:$N$5028=C857)*'Detalle Turnos'!$L$3:$L$5028))</f>
        <v/>
      </c>
      <c r="E857" s="127" t="str">
        <f t="array" ref="E857">IF(A857="","",SUMPRODUCT(('Detalle Turnos'!$I$3:$I$5028=$A857)*('Detalle Turnos'!$N$3:$N$5028=C857)*'Detalle Turnos'!$K$3:$K$5028))</f>
        <v/>
      </c>
      <c r="F857" s="127">
        <f t="shared" si="56"/>
        <v>0</v>
      </c>
      <c r="G857" s="127" t="str">
        <f t="array" ref="G857">IF(E857="","",IFERROR(SUMPRODUCT(('Facturación 2026'!$A$4:$A$920=$A857)*'Facturación 2026'!$J$4:$J$920)*E857/(SUMPRODUCT(('Caja 1'!$A$4:$A$919=$A857)*'Caja 1'!$E$4:$E$919)+SUMPRODUCT(('Caja 2'!$A$4:$A$920=$A857)*'Caja 2'!$E$4:$E$920)),0))</f>
        <v/>
      </c>
      <c r="H857" s="128" t="str">
        <f t="shared" si="57"/>
        <v/>
      </c>
      <c r="I857" s="124" t="str">
        <f t="shared" si="58"/>
        <v/>
      </c>
      <c r="J857" s="987" t="str">
        <f>IF(A857="","",IFERROR(INDEX('Facturación 2026'!$L$4:$L$500,MATCH($A857,'Facturación 2026'!$A$4:$A$500,0)),""))</f>
        <v/>
      </c>
    </row>
    <row r="858" spans="1:10" ht="15.75" customHeight="1">
      <c r="A858" s="988"/>
      <c r="B858" s="122" t="str">
        <f t="shared" si="55"/>
        <v/>
      </c>
      <c r="C858" s="123"/>
      <c r="D858" s="131" t="str">
        <f t="array" ref="D858">IF(A858="","",SUMPRODUCT(('Detalle Turnos'!$I$3:$I$5028=$A858)*('Detalle Turnos'!$N$3:$N$5028=C858)*'Detalle Turnos'!$L$3:$L$5028))</f>
        <v/>
      </c>
      <c r="E858" s="127" t="str">
        <f t="array" ref="E858">IF(A858="","",SUMPRODUCT(('Detalle Turnos'!$I$3:$I$5028=$A858)*('Detalle Turnos'!$N$3:$N$5028=C858)*'Detalle Turnos'!$K$3:$K$5028))</f>
        <v/>
      </c>
      <c r="F858" s="127">
        <f t="shared" si="56"/>
        <v>0</v>
      </c>
      <c r="G858" s="127" t="str">
        <f t="array" ref="G858">IF(E858="","",IFERROR(SUMPRODUCT(('Facturación 2026'!$A$4:$A$920=$A858)*'Facturación 2026'!$J$4:$J$920)*E858/(SUMPRODUCT(('Caja 1'!$A$4:$A$919=$A858)*'Caja 1'!$E$4:$E$919)+SUMPRODUCT(('Caja 2'!$A$4:$A$920=$A858)*'Caja 2'!$E$4:$E$920)),0))</f>
        <v/>
      </c>
      <c r="H858" s="128" t="str">
        <f t="shared" si="57"/>
        <v/>
      </c>
      <c r="I858" s="124" t="str">
        <f t="shared" si="58"/>
        <v/>
      </c>
      <c r="J858" s="987" t="str">
        <f>IF(A858="","",IFERROR(INDEX('Facturación 2026'!$L$4:$L$500,MATCH($A858,'Facturación 2026'!$A$4:$A$500,0)),""))</f>
        <v/>
      </c>
    </row>
    <row r="859" spans="1:10" ht="15.75" customHeight="1">
      <c r="A859" s="988"/>
      <c r="B859" s="122" t="str">
        <f t="shared" si="55"/>
        <v/>
      </c>
      <c r="C859" s="123"/>
      <c r="D859" s="131" t="str">
        <f t="array" ref="D859">IF(A859="","",SUMPRODUCT(('Detalle Turnos'!$I$3:$I$5028=$A859)*('Detalle Turnos'!$N$3:$N$5028=C859)*'Detalle Turnos'!$L$3:$L$5028))</f>
        <v/>
      </c>
      <c r="E859" s="127" t="str">
        <f t="array" ref="E859">IF(A859="","",SUMPRODUCT(('Detalle Turnos'!$I$3:$I$5028=$A859)*('Detalle Turnos'!$N$3:$N$5028=C859)*'Detalle Turnos'!$K$3:$K$5028))</f>
        <v/>
      </c>
      <c r="F859" s="127">
        <f t="shared" si="56"/>
        <v>0</v>
      </c>
      <c r="G859" s="127" t="str">
        <f t="array" ref="G859">IF(E859="","",IFERROR(SUMPRODUCT(('Facturación 2026'!$A$4:$A$920=$A859)*'Facturación 2026'!$J$4:$J$920)*E859/(SUMPRODUCT(('Caja 1'!$A$4:$A$919=$A859)*'Caja 1'!$E$4:$E$919)+SUMPRODUCT(('Caja 2'!$A$4:$A$920=$A859)*'Caja 2'!$E$4:$E$920)),0))</f>
        <v/>
      </c>
      <c r="H859" s="128" t="str">
        <f t="shared" si="57"/>
        <v/>
      </c>
      <c r="I859" s="124" t="str">
        <f t="shared" si="58"/>
        <v/>
      </c>
      <c r="J859" s="987" t="str">
        <f>IF(A859="","",IFERROR(INDEX('Facturación 2026'!$L$4:$L$500,MATCH($A859,'Facturación 2026'!$A$4:$A$500,0)),""))</f>
        <v/>
      </c>
    </row>
    <row r="860" spans="1:10" ht="15.75" customHeight="1">
      <c r="A860" s="988"/>
      <c r="B860" s="122" t="str">
        <f t="shared" si="55"/>
        <v/>
      </c>
      <c r="C860" s="123"/>
      <c r="D860" s="131" t="str">
        <f t="array" ref="D860">IF(A860="","",SUMPRODUCT(('Detalle Turnos'!$I$3:$I$5028=$A860)*('Detalle Turnos'!$N$3:$N$5028=C860)*'Detalle Turnos'!$L$3:$L$5028))</f>
        <v/>
      </c>
      <c r="E860" s="127" t="str">
        <f t="array" ref="E860">IF(A860="","",SUMPRODUCT(('Detalle Turnos'!$I$3:$I$5028=$A860)*('Detalle Turnos'!$N$3:$N$5028=C860)*'Detalle Turnos'!$K$3:$K$5028))</f>
        <v/>
      </c>
      <c r="F860" s="127">
        <f t="shared" si="56"/>
        <v>0</v>
      </c>
      <c r="G860" s="127" t="str">
        <f t="array" ref="G860">IF(E860="","",IFERROR(SUMPRODUCT(('Facturación 2026'!$A$4:$A$920=$A860)*'Facturación 2026'!$J$4:$J$920)*E860/(SUMPRODUCT(('Caja 1'!$A$4:$A$919=$A860)*'Caja 1'!$E$4:$E$919)+SUMPRODUCT(('Caja 2'!$A$4:$A$920=$A860)*'Caja 2'!$E$4:$E$920)),0))</f>
        <v/>
      </c>
      <c r="H860" s="128" t="str">
        <f t="shared" si="57"/>
        <v/>
      </c>
      <c r="I860" s="124" t="str">
        <f t="shared" si="58"/>
        <v/>
      </c>
      <c r="J860" s="987" t="str">
        <f>IF(A860="","",IFERROR(INDEX('Facturación 2026'!$L$4:$L$500,MATCH($A860,'Facturación 2026'!$A$4:$A$500,0)),""))</f>
        <v/>
      </c>
    </row>
    <row r="861" spans="1:10" ht="15.75" customHeight="1">
      <c r="A861" s="988"/>
      <c r="B861" s="122" t="str">
        <f t="shared" si="55"/>
        <v/>
      </c>
      <c r="C861" s="123"/>
      <c r="D861" s="131" t="str">
        <f t="array" ref="D861">IF(A861="","",SUMPRODUCT(('Detalle Turnos'!$I$3:$I$5028=$A861)*('Detalle Turnos'!$N$3:$N$5028=C861)*'Detalle Turnos'!$L$3:$L$5028))</f>
        <v/>
      </c>
      <c r="E861" s="127" t="str">
        <f t="array" ref="E861">IF(A861="","",SUMPRODUCT(('Detalle Turnos'!$I$3:$I$5028=$A861)*('Detalle Turnos'!$N$3:$N$5028=C861)*'Detalle Turnos'!$K$3:$K$5028))</f>
        <v/>
      </c>
      <c r="F861" s="127">
        <f t="shared" si="56"/>
        <v>0</v>
      </c>
      <c r="G861" s="127" t="str">
        <f t="array" ref="G861">IF(E861="","",IFERROR(SUMPRODUCT(('Facturación 2026'!$A$4:$A$920=$A861)*'Facturación 2026'!$J$4:$J$920)*E861/(SUMPRODUCT(('Caja 1'!$A$4:$A$919=$A861)*'Caja 1'!$E$4:$E$919)+SUMPRODUCT(('Caja 2'!$A$4:$A$920=$A861)*'Caja 2'!$E$4:$E$920)),0))</f>
        <v/>
      </c>
      <c r="H861" s="128" t="str">
        <f t="shared" si="57"/>
        <v/>
      </c>
      <c r="I861" s="124" t="str">
        <f t="shared" si="58"/>
        <v/>
      </c>
      <c r="J861" s="987" t="str">
        <f>IF(A861="","",IFERROR(INDEX('Facturación 2026'!$L$4:$L$500,MATCH($A861,'Facturación 2026'!$A$4:$A$500,0)),""))</f>
        <v/>
      </c>
    </row>
    <row r="862" spans="1:10" ht="15.75" customHeight="1">
      <c r="A862" s="988"/>
      <c r="B862" s="122" t="str">
        <f t="shared" si="55"/>
        <v/>
      </c>
      <c r="C862" s="123"/>
      <c r="D862" s="131" t="str">
        <f t="array" ref="D862">IF(A862="","",SUMPRODUCT(('Detalle Turnos'!$I$3:$I$5028=$A862)*('Detalle Turnos'!$N$3:$N$5028=C862)*'Detalle Turnos'!$L$3:$L$5028))</f>
        <v/>
      </c>
      <c r="E862" s="127" t="str">
        <f t="array" ref="E862">IF(A862="","",SUMPRODUCT(('Detalle Turnos'!$I$3:$I$5028=$A862)*('Detalle Turnos'!$N$3:$N$5028=C862)*'Detalle Turnos'!$K$3:$K$5028))</f>
        <v/>
      </c>
      <c r="F862" s="127">
        <f t="shared" si="56"/>
        <v>0</v>
      </c>
      <c r="G862" s="127" t="str">
        <f t="array" ref="G862">IF(E862="","",IFERROR(SUMPRODUCT(('Facturación 2026'!$A$4:$A$920=$A862)*'Facturación 2026'!$J$4:$J$920)*E862/(SUMPRODUCT(('Caja 1'!$A$4:$A$919=$A862)*'Caja 1'!$E$4:$E$919)+SUMPRODUCT(('Caja 2'!$A$4:$A$920=$A862)*'Caja 2'!$E$4:$E$920)),0))</f>
        <v/>
      </c>
      <c r="H862" s="128" t="str">
        <f t="shared" si="57"/>
        <v/>
      </c>
      <c r="I862" s="124" t="str">
        <f t="shared" si="58"/>
        <v/>
      </c>
      <c r="J862" s="987" t="str">
        <f>IF(A862="","",IFERROR(INDEX('Facturación 2026'!$L$4:$L$500,MATCH($A862,'Facturación 2026'!$A$4:$A$500,0)),""))</f>
        <v/>
      </c>
    </row>
    <row r="863" spans="1:10" ht="15.75" customHeight="1">
      <c r="A863" s="988"/>
      <c r="B863" s="122" t="str">
        <f t="shared" si="55"/>
        <v/>
      </c>
      <c r="C863" s="123"/>
      <c r="D863" s="131" t="str">
        <f t="array" ref="D863">IF(A863="","",SUMPRODUCT(('Detalle Turnos'!$I$3:$I$5028=$A863)*('Detalle Turnos'!$N$3:$N$5028=C863)*'Detalle Turnos'!$L$3:$L$5028))</f>
        <v/>
      </c>
      <c r="E863" s="127" t="str">
        <f t="array" ref="E863">IF(A863="","",SUMPRODUCT(('Detalle Turnos'!$I$3:$I$5028=$A863)*('Detalle Turnos'!$N$3:$N$5028=C863)*'Detalle Turnos'!$K$3:$K$5028))</f>
        <v/>
      </c>
      <c r="F863" s="127">
        <f t="shared" si="56"/>
        <v>0</v>
      </c>
      <c r="G863" s="127" t="str">
        <f t="array" ref="G863">IF(E863="","",IFERROR(SUMPRODUCT(('Facturación 2026'!$A$4:$A$920=$A863)*'Facturación 2026'!$J$4:$J$920)*E863/(SUMPRODUCT(('Caja 1'!$A$4:$A$919=$A863)*'Caja 1'!$E$4:$E$919)+SUMPRODUCT(('Caja 2'!$A$4:$A$920=$A863)*'Caja 2'!$E$4:$E$920)),0))</f>
        <v/>
      </c>
      <c r="H863" s="128" t="str">
        <f t="shared" si="57"/>
        <v/>
      </c>
      <c r="I863" s="124" t="str">
        <f t="shared" si="58"/>
        <v/>
      </c>
      <c r="J863" s="987" t="str">
        <f>IF(A863="","",IFERROR(INDEX('Facturación 2026'!$L$4:$L$500,MATCH($A863,'Facturación 2026'!$A$4:$A$500,0)),""))</f>
        <v/>
      </c>
    </row>
    <row r="864" spans="1:10" ht="15.75" customHeight="1">
      <c r="A864" s="988"/>
      <c r="B864" s="122" t="str">
        <f t="shared" si="55"/>
        <v/>
      </c>
      <c r="C864" s="123"/>
      <c r="D864" s="131" t="str">
        <f t="array" ref="D864">IF(A864="","",SUMPRODUCT(('Detalle Turnos'!$I$3:$I$5028=$A864)*('Detalle Turnos'!$N$3:$N$5028=C864)*'Detalle Turnos'!$L$3:$L$5028))</f>
        <v/>
      </c>
      <c r="E864" s="127" t="str">
        <f t="array" ref="E864">IF(A864="","",SUMPRODUCT(('Detalle Turnos'!$I$3:$I$5028=$A864)*('Detalle Turnos'!$N$3:$N$5028=C864)*'Detalle Turnos'!$K$3:$K$5028))</f>
        <v/>
      </c>
      <c r="F864" s="127">
        <f t="shared" si="56"/>
        <v>0</v>
      </c>
      <c r="G864" s="127" t="str">
        <f t="array" ref="G864">IF(E864="","",IFERROR(SUMPRODUCT(('Facturación 2026'!$A$4:$A$920=$A864)*'Facturación 2026'!$J$4:$J$920)*E864/(SUMPRODUCT(('Caja 1'!$A$4:$A$919=$A864)*'Caja 1'!$E$4:$E$919)+SUMPRODUCT(('Caja 2'!$A$4:$A$920=$A864)*'Caja 2'!$E$4:$E$920)),0))</f>
        <v/>
      </c>
      <c r="H864" s="128" t="str">
        <f t="shared" si="57"/>
        <v/>
      </c>
      <c r="I864" s="124" t="str">
        <f t="shared" si="58"/>
        <v/>
      </c>
      <c r="J864" s="987" t="str">
        <f>IF(A864="","",IFERROR(INDEX('Facturación 2026'!$L$4:$L$500,MATCH($A864,'Facturación 2026'!$A$4:$A$500,0)),""))</f>
        <v/>
      </c>
    </row>
    <row r="865" spans="1:10" ht="15.75" customHeight="1">
      <c r="A865" s="988"/>
      <c r="B865" s="122" t="str">
        <f t="shared" si="55"/>
        <v/>
      </c>
      <c r="C865" s="123"/>
      <c r="D865" s="131" t="str">
        <f t="array" ref="D865">IF(A865="","",SUMPRODUCT(('Detalle Turnos'!$I$3:$I$5028=$A865)*('Detalle Turnos'!$N$3:$N$5028=C865)*'Detalle Turnos'!$L$3:$L$5028))</f>
        <v/>
      </c>
      <c r="E865" s="127" t="str">
        <f t="array" ref="E865">IF(A865="","",SUMPRODUCT(('Detalle Turnos'!$I$3:$I$5028=$A865)*('Detalle Turnos'!$N$3:$N$5028=C865)*'Detalle Turnos'!$K$3:$K$5028))</f>
        <v/>
      </c>
      <c r="F865" s="127">
        <f t="shared" si="56"/>
        <v>0</v>
      </c>
      <c r="G865" s="127" t="str">
        <f t="array" ref="G865">IF(E865="","",IFERROR(SUMPRODUCT(('Facturación 2026'!$A$4:$A$920=$A865)*'Facturación 2026'!$J$4:$J$920)*E865/(SUMPRODUCT(('Caja 1'!$A$4:$A$919=$A865)*'Caja 1'!$E$4:$E$919)+SUMPRODUCT(('Caja 2'!$A$4:$A$920=$A865)*'Caja 2'!$E$4:$E$920)),0))</f>
        <v/>
      </c>
      <c r="H865" s="128" t="str">
        <f t="shared" si="57"/>
        <v/>
      </c>
      <c r="I865" s="124" t="str">
        <f t="shared" si="58"/>
        <v/>
      </c>
      <c r="J865" s="987" t="str">
        <f>IF(A865="","",IFERROR(INDEX('Facturación 2026'!$L$4:$L$500,MATCH($A865,'Facturación 2026'!$A$4:$A$500,0)),""))</f>
        <v/>
      </c>
    </row>
    <row r="866" spans="1:10" ht="15.75" customHeight="1">
      <c r="A866" s="988"/>
      <c r="B866" s="122" t="str">
        <f t="shared" si="55"/>
        <v/>
      </c>
      <c r="C866" s="123"/>
      <c r="D866" s="131" t="str">
        <f t="array" ref="D866">IF(A866="","",SUMPRODUCT(('Detalle Turnos'!$I$3:$I$5028=$A866)*('Detalle Turnos'!$N$3:$N$5028=C866)*'Detalle Turnos'!$L$3:$L$5028))</f>
        <v/>
      </c>
      <c r="E866" s="127" t="str">
        <f t="array" ref="E866">IF(A866="","",SUMPRODUCT(('Detalle Turnos'!$I$3:$I$5028=$A866)*('Detalle Turnos'!$N$3:$N$5028=C866)*'Detalle Turnos'!$K$3:$K$5028))</f>
        <v/>
      </c>
      <c r="F866" s="127">
        <f t="shared" si="56"/>
        <v>0</v>
      </c>
      <c r="G866" s="127" t="str">
        <f t="array" ref="G866">IF(E866="","",IFERROR(SUMPRODUCT(('Facturación 2026'!$A$4:$A$920=$A866)*'Facturación 2026'!$J$4:$J$920)*E866/(SUMPRODUCT(('Caja 1'!$A$4:$A$919=$A866)*'Caja 1'!$E$4:$E$919)+SUMPRODUCT(('Caja 2'!$A$4:$A$920=$A866)*'Caja 2'!$E$4:$E$920)),0))</f>
        <v/>
      </c>
      <c r="H866" s="128" t="str">
        <f t="shared" si="57"/>
        <v/>
      </c>
      <c r="I866" s="124" t="str">
        <f t="shared" si="58"/>
        <v/>
      </c>
      <c r="J866" s="987" t="str">
        <f>IF(A866="","",IFERROR(INDEX('Facturación 2026'!$L$4:$L$500,MATCH($A866,'Facturación 2026'!$A$4:$A$500,0)),""))</f>
        <v/>
      </c>
    </row>
    <row r="867" spans="1:10" ht="15.75" customHeight="1">
      <c r="A867" s="988"/>
      <c r="B867" s="122" t="str">
        <f t="shared" si="55"/>
        <v/>
      </c>
      <c r="C867" s="123"/>
      <c r="D867" s="131" t="str">
        <f t="array" ref="D867">IF(A867="","",SUMPRODUCT(('Detalle Turnos'!$I$3:$I$5028=$A867)*('Detalle Turnos'!$N$3:$N$5028=C867)*'Detalle Turnos'!$L$3:$L$5028))</f>
        <v/>
      </c>
      <c r="E867" s="127" t="str">
        <f t="array" ref="E867">IF(A867="","",SUMPRODUCT(('Detalle Turnos'!$I$3:$I$5028=$A867)*('Detalle Turnos'!$N$3:$N$5028=C867)*'Detalle Turnos'!$K$3:$K$5028))</f>
        <v/>
      </c>
      <c r="F867" s="127">
        <f t="shared" si="56"/>
        <v>0</v>
      </c>
      <c r="G867" s="127" t="str">
        <f t="array" ref="G867">IF(E867="","",IFERROR(SUMPRODUCT(('Facturación 2026'!$A$4:$A$920=$A867)*'Facturación 2026'!$J$4:$J$920)*E867/(SUMPRODUCT(('Caja 1'!$A$4:$A$919=$A867)*'Caja 1'!$E$4:$E$919)+SUMPRODUCT(('Caja 2'!$A$4:$A$920=$A867)*'Caja 2'!$E$4:$E$920)),0))</f>
        <v/>
      </c>
      <c r="H867" s="128" t="str">
        <f t="shared" si="57"/>
        <v/>
      </c>
      <c r="I867" s="124" t="str">
        <f t="shared" si="58"/>
        <v/>
      </c>
      <c r="J867" s="987" t="str">
        <f>IF(A867="","",IFERROR(INDEX('Facturación 2026'!$L$4:$L$500,MATCH($A867,'Facturación 2026'!$A$4:$A$500,0)),""))</f>
        <v/>
      </c>
    </row>
    <row r="868" spans="1:10" ht="15.75" customHeight="1">
      <c r="A868" s="988"/>
      <c r="B868" s="122" t="str">
        <f t="shared" si="55"/>
        <v/>
      </c>
      <c r="C868" s="123"/>
      <c r="D868" s="131" t="str">
        <f t="array" ref="D868">IF(A868="","",SUMPRODUCT(('Detalle Turnos'!$I$3:$I$5028=$A868)*('Detalle Turnos'!$N$3:$N$5028=C868)*'Detalle Turnos'!$L$3:$L$5028))</f>
        <v/>
      </c>
      <c r="E868" s="127" t="str">
        <f t="array" ref="E868">IF(A868="","",SUMPRODUCT(('Detalle Turnos'!$I$3:$I$5028=$A868)*('Detalle Turnos'!$N$3:$N$5028=C868)*'Detalle Turnos'!$K$3:$K$5028))</f>
        <v/>
      </c>
      <c r="F868" s="127">
        <f t="shared" si="56"/>
        <v>0</v>
      </c>
      <c r="G868" s="127" t="str">
        <f t="array" ref="G868">IF(E868="","",IFERROR(SUMPRODUCT(('Facturación 2026'!$A$4:$A$920=$A868)*'Facturación 2026'!$J$4:$J$920)*E868/(SUMPRODUCT(('Caja 1'!$A$4:$A$919=$A868)*'Caja 1'!$E$4:$E$919)+SUMPRODUCT(('Caja 2'!$A$4:$A$920=$A868)*'Caja 2'!$E$4:$E$920)),0))</f>
        <v/>
      </c>
      <c r="H868" s="128" t="str">
        <f t="shared" si="57"/>
        <v/>
      </c>
      <c r="I868" s="124" t="str">
        <f t="shared" si="58"/>
        <v/>
      </c>
      <c r="J868" s="987" t="str">
        <f>IF(A868="","",IFERROR(INDEX('Facturación 2026'!$L$4:$L$500,MATCH($A868,'Facturación 2026'!$A$4:$A$500,0)),""))</f>
        <v/>
      </c>
    </row>
    <row r="869" spans="1:10" ht="15.75" customHeight="1">
      <c r="A869" s="988"/>
      <c r="B869" s="122" t="str">
        <f t="shared" si="55"/>
        <v/>
      </c>
      <c r="C869" s="123"/>
      <c r="D869" s="131" t="str">
        <f t="array" ref="D869">IF(A869="","",SUMPRODUCT(('Detalle Turnos'!$I$3:$I$5028=$A869)*('Detalle Turnos'!$N$3:$N$5028=C869)*'Detalle Turnos'!$L$3:$L$5028))</f>
        <v/>
      </c>
      <c r="E869" s="127" t="str">
        <f t="array" ref="E869">IF(A869="","",SUMPRODUCT(('Detalle Turnos'!$I$3:$I$5028=$A869)*('Detalle Turnos'!$N$3:$N$5028=C869)*'Detalle Turnos'!$K$3:$K$5028))</f>
        <v/>
      </c>
      <c r="F869" s="127">
        <f t="shared" si="56"/>
        <v>0</v>
      </c>
      <c r="G869" s="127" t="str">
        <f t="array" ref="G869">IF(E869="","",IFERROR(SUMPRODUCT(('Facturación 2026'!$A$4:$A$920=$A869)*'Facturación 2026'!$J$4:$J$920)*E869/(SUMPRODUCT(('Caja 1'!$A$4:$A$919=$A869)*'Caja 1'!$E$4:$E$919)+SUMPRODUCT(('Caja 2'!$A$4:$A$920=$A869)*'Caja 2'!$E$4:$E$920)),0))</f>
        <v/>
      </c>
      <c r="H869" s="128" t="str">
        <f t="shared" si="57"/>
        <v/>
      </c>
      <c r="I869" s="124" t="str">
        <f t="shared" si="58"/>
        <v/>
      </c>
      <c r="J869" s="987" t="str">
        <f>IF(A869="","",IFERROR(INDEX('Facturación 2026'!$L$4:$L$500,MATCH($A869,'Facturación 2026'!$A$4:$A$500,0)),""))</f>
        <v/>
      </c>
    </row>
    <row r="870" spans="1:10" ht="15.75" customHeight="1">
      <c r="A870" s="988"/>
      <c r="B870" s="122" t="str">
        <f t="shared" si="55"/>
        <v/>
      </c>
      <c r="C870" s="123"/>
      <c r="D870" s="131" t="str">
        <f t="array" ref="D870">IF(A870="","",SUMPRODUCT(('Detalle Turnos'!$I$3:$I$5028=$A870)*('Detalle Turnos'!$N$3:$N$5028=C870)*'Detalle Turnos'!$L$3:$L$5028))</f>
        <v/>
      </c>
      <c r="E870" s="127" t="str">
        <f t="array" ref="E870">IF(A870="","",SUMPRODUCT(('Detalle Turnos'!$I$3:$I$5028=$A870)*('Detalle Turnos'!$N$3:$N$5028=C870)*'Detalle Turnos'!$K$3:$K$5028))</f>
        <v/>
      </c>
      <c r="F870" s="127">
        <f t="shared" si="56"/>
        <v>0</v>
      </c>
      <c r="G870" s="127" t="str">
        <f t="array" ref="G870">IF(E870="","",IFERROR(SUMPRODUCT(('Facturación 2026'!$A$4:$A$920=$A870)*'Facturación 2026'!$J$4:$J$920)*E870/(SUMPRODUCT(('Caja 1'!$A$4:$A$919=$A870)*'Caja 1'!$E$4:$E$919)+SUMPRODUCT(('Caja 2'!$A$4:$A$920=$A870)*'Caja 2'!$E$4:$E$920)),0))</f>
        <v/>
      </c>
      <c r="H870" s="128" t="str">
        <f t="shared" si="57"/>
        <v/>
      </c>
      <c r="I870" s="124" t="str">
        <f t="shared" si="58"/>
        <v/>
      </c>
      <c r="J870" s="987" t="str">
        <f>IF(A870="","",IFERROR(INDEX('Facturación 2026'!$L$4:$L$500,MATCH($A870,'Facturación 2026'!$A$4:$A$500,0)),""))</f>
        <v/>
      </c>
    </row>
    <row r="871" spans="1:10" ht="15.75" customHeight="1">
      <c r="A871" s="988"/>
      <c r="B871" s="122" t="str">
        <f t="shared" si="55"/>
        <v/>
      </c>
      <c r="C871" s="123"/>
      <c r="D871" s="131" t="str">
        <f t="array" ref="D871">IF(A871="","",SUMPRODUCT(('Detalle Turnos'!$I$3:$I$5028=$A871)*('Detalle Turnos'!$N$3:$N$5028=C871)*'Detalle Turnos'!$L$3:$L$5028))</f>
        <v/>
      </c>
      <c r="E871" s="127" t="str">
        <f t="array" ref="E871">IF(A871="","",SUMPRODUCT(('Detalle Turnos'!$I$3:$I$5028=$A871)*('Detalle Turnos'!$N$3:$N$5028=C871)*'Detalle Turnos'!$K$3:$K$5028))</f>
        <v/>
      </c>
      <c r="F871" s="127">
        <f t="shared" si="56"/>
        <v>0</v>
      </c>
      <c r="G871" s="127" t="str">
        <f t="array" ref="G871">IF(E871="","",IFERROR(SUMPRODUCT(('Facturación 2026'!$A$4:$A$920=$A871)*'Facturación 2026'!$J$4:$J$920)*E871/(SUMPRODUCT(('Caja 1'!$A$4:$A$919=$A871)*'Caja 1'!$E$4:$E$919)+SUMPRODUCT(('Caja 2'!$A$4:$A$920=$A871)*'Caja 2'!$E$4:$E$920)),0))</f>
        <v/>
      </c>
      <c r="H871" s="128" t="str">
        <f t="shared" si="57"/>
        <v/>
      </c>
      <c r="I871" s="124" t="str">
        <f t="shared" si="58"/>
        <v/>
      </c>
      <c r="J871" s="987" t="str">
        <f>IF(A871="","",IFERROR(INDEX('Facturación 2026'!$L$4:$L$500,MATCH($A871,'Facturación 2026'!$A$4:$A$500,0)),""))</f>
        <v/>
      </c>
    </row>
    <row r="872" spans="1:10" ht="15.75" customHeight="1">
      <c r="A872" s="988"/>
      <c r="B872" s="122" t="str">
        <f t="shared" si="55"/>
        <v/>
      </c>
      <c r="C872" s="123"/>
      <c r="D872" s="131" t="str">
        <f t="array" ref="D872">IF(A872="","",SUMPRODUCT(('Detalle Turnos'!$I$3:$I$5028=$A872)*('Detalle Turnos'!$N$3:$N$5028=C872)*'Detalle Turnos'!$L$3:$L$5028))</f>
        <v/>
      </c>
      <c r="E872" s="127" t="str">
        <f t="array" ref="E872">IF(A872="","",SUMPRODUCT(('Detalle Turnos'!$I$3:$I$5028=$A872)*('Detalle Turnos'!$N$3:$N$5028=C872)*'Detalle Turnos'!$K$3:$K$5028))</f>
        <v/>
      </c>
      <c r="F872" s="127">
        <f t="shared" si="56"/>
        <v>0</v>
      </c>
      <c r="G872" s="127" t="str">
        <f t="array" ref="G872">IF(E872="","",IFERROR(SUMPRODUCT(('Facturación 2026'!$A$4:$A$920=$A872)*'Facturación 2026'!$J$4:$J$920)*E872/(SUMPRODUCT(('Caja 1'!$A$4:$A$919=$A872)*'Caja 1'!$E$4:$E$919)+SUMPRODUCT(('Caja 2'!$A$4:$A$920=$A872)*'Caja 2'!$E$4:$E$920)),0))</f>
        <v/>
      </c>
      <c r="H872" s="128" t="str">
        <f t="shared" si="57"/>
        <v/>
      </c>
      <c r="I872" s="124" t="str">
        <f t="shared" si="58"/>
        <v/>
      </c>
      <c r="J872" s="987" t="str">
        <f>IF(A872="","",IFERROR(INDEX('Facturación 2026'!$L$4:$L$500,MATCH($A872,'Facturación 2026'!$A$4:$A$500,0)),""))</f>
        <v/>
      </c>
    </row>
    <row r="873" spans="1:10" ht="15.75" customHeight="1">
      <c r="A873" s="988"/>
      <c r="B873" s="122" t="str">
        <f t="shared" si="55"/>
        <v/>
      </c>
      <c r="C873" s="123"/>
      <c r="D873" s="131" t="str">
        <f t="array" ref="D873">IF(A873="","",SUMPRODUCT(('Detalle Turnos'!$I$3:$I$5028=$A873)*('Detalle Turnos'!$N$3:$N$5028=C873)*'Detalle Turnos'!$L$3:$L$5028))</f>
        <v/>
      </c>
      <c r="E873" s="127" t="str">
        <f t="array" ref="E873">IF(A873="","",SUMPRODUCT(('Detalle Turnos'!$I$3:$I$5028=$A873)*('Detalle Turnos'!$N$3:$N$5028=C873)*'Detalle Turnos'!$K$3:$K$5028))</f>
        <v/>
      </c>
      <c r="F873" s="127">
        <f t="shared" si="56"/>
        <v>0</v>
      </c>
      <c r="G873" s="127" t="str">
        <f t="array" ref="G873">IF(E873="","",IFERROR(SUMPRODUCT(('Facturación 2026'!$A$4:$A$920=$A873)*'Facturación 2026'!$J$4:$J$920)*E873/(SUMPRODUCT(('Caja 1'!$A$4:$A$919=$A873)*'Caja 1'!$E$4:$E$919)+SUMPRODUCT(('Caja 2'!$A$4:$A$920=$A873)*'Caja 2'!$E$4:$E$920)),0))</f>
        <v/>
      </c>
      <c r="H873" s="128" t="str">
        <f t="shared" si="57"/>
        <v/>
      </c>
      <c r="I873" s="124" t="str">
        <f t="shared" si="58"/>
        <v/>
      </c>
      <c r="J873" s="987" t="str">
        <f>IF(A873="","",IFERROR(INDEX('Facturación 2026'!$L$4:$L$500,MATCH($A873,'Facturación 2026'!$A$4:$A$500,0)),""))</f>
        <v/>
      </c>
    </row>
    <row r="874" spans="1:10" ht="15.75" customHeight="1">
      <c r="A874" s="988"/>
      <c r="B874" s="122" t="str">
        <f t="shared" si="55"/>
        <v/>
      </c>
      <c r="C874" s="123"/>
      <c r="D874" s="131" t="str">
        <f t="array" ref="D874">IF(A874="","",SUMPRODUCT(('Detalle Turnos'!$I$3:$I$5028=$A874)*('Detalle Turnos'!$N$3:$N$5028=C874)*'Detalle Turnos'!$L$3:$L$5028))</f>
        <v/>
      </c>
      <c r="E874" s="127" t="str">
        <f t="array" ref="E874">IF(A874="","",SUMPRODUCT(('Detalle Turnos'!$I$3:$I$5028=$A874)*('Detalle Turnos'!$N$3:$N$5028=C874)*'Detalle Turnos'!$K$3:$K$5028))</f>
        <v/>
      </c>
      <c r="F874" s="127">
        <f t="shared" si="56"/>
        <v>0</v>
      </c>
      <c r="G874" s="127" t="str">
        <f t="array" ref="G874">IF(E874="","",IFERROR(SUMPRODUCT(('Facturación 2026'!$A$4:$A$920=$A874)*'Facturación 2026'!$J$4:$J$920)*E874/(SUMPRODUCT(('Caja 1'!$A$4:$A$919=$A874)*'Caja 1'!$E$4:$E$919)+SUMPRODUCT(('Caja 2'!$A$4:$A$920=$A874)*'Caja 2'!$E$4:$E$920)),0))</f>
        <v/>
      </c>
      <c r="H874" s="128" t="str">
        <f t="shared" si="57"/>
        <v/>
      </c>
      <c r="I874" s="124" t="str">
        <f t="shared" si="58"/>
        <v/>
      </c>
      <c r="J874" s="987" t="str">
        <f>IF(A874="","",IFERROR(INDEX('Facturación 2026'!$L$4:$L$500,MATCH($A874,'Facturación 2026'!$A$4:$A$500,0)),""))</f>
        <v/>
      </c>
    </row>
    <row r="875" spans="1:10" ht="15.75" customHeight="1">
      <c r="A875" s="988"/>
      <c r="B875" s="122" t="str">
        <f t="shared" si="55"/>
        <v/>
      </c>
      <c r="C875" s="123"/>
      <c r="D875" s="131" t="str">
        <f t="array" ref="D875">IF(A875="","",SUMPRODUCT(('Detalle Turnos'!$I$3:$I$5028=$A875)*('Detalle Turnos'!$N$3:$N$5028=C875)*'Detalle Turnos'!$L$3:$L$5028))</f>
        <v/>
      </c>
      <c r="E875" s="127" t="str">
        <f t="array" ref="E875">IF(A875="","",SUMPRODUCT(('Detalle Turnos'!$I$3:$I$5028=$A875)*('Detalle Turnos'!$N$3:$N$5028=C875)*'Detalle Turnos'!$K$3:$K$5028))</f>
        <v/>
      </c>
      <c r="F875" s="127">
        <f t="shared" si="56"/>
        <v>0</v>
      </c>
      <c r="G875" s="127" t="str">
        <f t="array" ref="G875">IF(E875="","",IFERROR(SUMPRODUCT(('Facturación 2026'!$A$4:$A$920=$A875)*'Facturación 2026'!$J$4:$J$920)*E875/(SUMPRODUCT(('Caja 1'!$A$4:$A$919=$A875)*'Caja 1'!$E$4:$E$919)+SUMPRODUCT(('Caja 2'!$A$4:$A$920=$A875)*'Caja 2'!$E$4:$E$920)),0))</f>
        <v/>
      </c>
      <c r="H875" s="128" t="str">
        <f t="shared" si="57"/>
        <v/>
      </c>
      <c r="I875" s="124" t="str">
        <f t="shared" si="58"/>
        <v/>
      </c>
      <c r="J875" s="987" t="str">
        <f>IF(A875="","",IFERROR(INDEX('Facturación 2026'!$L$4:$L$500,MATCH($A875,'Facturación 2026'!$A$4:$A$500,0)),""))</f>
        <v/>
      </c>
    </row>
    <row r="876" spans="1:10" ht="15.75" customHeight="1">
      <c r="A876" s="988"/>
      <c r="B876" s="122" t="str">
        <f t="shared" si="55"/>
        <v/>
      </c>
      <c r="C876" s="123"/>
      <c r="D876" s="131" t="str">
        <f t="array" ref="D876">IF(A876="","",SUMPRODUCT(('Detalle Turnos'!$I$3:$I$5028=$A876)*('Detalle Turnos'!$N$3:$N$5028=C876)*'Detalle Turnos'!$L$3:$L$5028))</f>
        <v/>
      </c>
      <c r="E876" s="127" t="str">
        <f t="array" ref="E876">IF(A876="","",SUMPRODUCT(('Detalle Turnos'!$I$3:$I$5028=$A876)*('Detalle Turnos'!$N$3:$N$5028=C876)*'Detalle Turnos'!$K$3:$K$5028))</f>
        <v/>
      </c>
      <c r="F876" s="127">
        <f t="shared" si="56"/>
        <v>0</v>
      </c>
      <c r="G876" s="127" t="str">
        <f t="array" ref="G876">IF(E876="","",IFERROR(SUMPRODUCT(('Facturación 2026'!$A$4:$A$920=$A876)*'Facturación 2026'!$J$4:$J$920)*E876/(SUMPRODUCT(('Caja 1'!$A$4:$A$919=$A876)*'Caja 1'!$E$4:$E$919)+SUMPRODUCT(('Caja 2'!$A$4:$A$920=$A876)*'Caja 2'!$E$4:$E$920)),0))</f>
        <v/>
      </c>
      <c r="H876" s="128" t="str">
        <f t="shared" si="57"/>
        <v/>
      </c>
      <c r="I876" s="124" t="str">
        <f t="shared" si="58"/>
        <v/>
      </c>
      <c r="J876" s="987" t="str">
        <f>IF(A876="","",IFERROR(INDEX('Facturación 2026'!$L$4:$L$500,MATCH($A876,'Facturación 2026'!$A$4:$A$500,0)),""))</f>
        <v/>
      </c>
    </row>
    <row r="877" spans="1:10" ht="15.75" customHeight="1">
      <c r="A877" s="988"/>
      <c r="B877" s="122" t="str">
        <f t="shared" si="55"/>
        <v/>
      </c>
      <c r="C877" s="123"/>
      <c r="D877" s="131" t="str">
        <f t="array" ref="D877">IF(A877="","",SUMPRODUCT(('Detalle Turnos'!$I$3:$I$5028=$A877)*('Detalle Turnos'!$N$3:$N$5028=C877)*'Detalle Turnos'!$L$3:$L$5028))</f>
        <v/>
      </c>
      <c r="E877" s="127" t="str">
        <f t="array" ref="E877">IF(A877="","",SUMPRODUCT(('Detalle Turnos'!$I$3:$I$5028=$A877)*('Detalle Turnos'!$N$3:$N$5028=C877)*'Detalle Turnos'!$K$3:$K$5028))</f>
        <v/>
      </c>
      <c r="F877" s="127">
        <f t="shared" si="56"/>
        <v>0</v>
      </c>
      <c r="G877" s="127" t="str">
        <f t="array" ref="G877">IF(E877="","",IFERROR(SUMPRODUCT(('Facturación 2026'!$A$4:$A$920=$A877)*'Facturación 2026'!$J$4:$J$920)*E877/(SUMPRODUCT(('Caja 1'!$A$4:$A$919=$A877)*'Caja 1'!$E$4:$E$919)+SUMPRODUCT(('Caja 2'!$A$4:$A$920=$A877)*'Caja 2'!$E$4:$E$920)),0))</f>
        <v/>
      </c>
      <c r="H877" s="128" t="str">
        <f t="shared" si="57"/>
        <v/>
      </c>
      <c r="I877" s="124" t="str">
        <f t="shared" si="58"/>
        <v/>
      </c>
      <c r="J877" s="987" t="str">
        <f>IF(A877="","",IFERROR(INDEX('Facturación 2026'!$L$4:$L$500,MATCH($A877,'Facturación 2026'!$A$4:$A$500,0)),""))</f>
        <v/>
      </c>
    </row>
    <row r="878" spans="1:10" ht="15.75" customHeight="1">
      <c r="A878" s="988"/>
      <c r="B878" s="122" t="str">
        <f t="shared" si="55"/>
        <v/>
      </c>
      <c r="C878" s="123"/>
      <c r="D878" s="131" t="str">
        <f t="array" ref="D878">IF(A878="","",SUMPRODUCT(('Detalle Turnos'!$I$3:$I$5028=$A878)*('Detalle Turnos'!$N$3:$N$5028=C878)*'Detalle Turnos'!$L$3:$L$5028))</f>
        <v/>
      </c>
      <c r="E878" s="127" t="str">
        <f t="array" ref="E878">IF(A878="","",SUMPRODUCT(('Detalle Turnos'!$I$3:$I$5028=$A878)*('Detalle Turnos'!$N$3:$N$5028=C878)*'Detalle Turnos'!$K$3:$K$5028))</f>
        <v/>
      </c>
      <c r="F878" s="127">
        <f t="shared" si="56"/>
        <v>0</v>
      </c>
      <c r="G878" s="127" t="str">
        <f t="array" ref="G878">IF(E878="","",IFERROR(SUMPRODUCT(('Facturación 2026'!$A$4:$A$920=$A878)*'Facturación 2026'!$J$4:$J$920)*E878/(SUMPRODUCT(('Caja 1'!$A$4:$A$919=$A878)*'Caja 1'!$E$4:$E$919)+SUMPRODUCT(('Caja 2'!$A$4:$A$920=$A878)*'Caja 2'!$E$4:$E$920)),0))</f>
        <v/>
      </c>
      <c r="H878" s="128" t="str">
        <f t="shared" si="57"/>
        <v/>
      </c>
      <c r="I878" s="124" t="str">
        <f t="shared" si="58"/>
        <v/>
      </c>
      <c r="J878" s="987" t="str">
        <f>IF(A878="","",IFERROR(INDEX('Facturación 2026'!$L$4:$L$500,MATCH($A878,'Facturación 2026'!$A$4:$A$500,0)),""))</f>
        <v/>
      </c>
    </row>
    <row r="879" spans="1:10" ht="15.75" customHeight="1">
      <c r="A879" s="988"/>
      <c r="B879" s="122" t="str">
        <f t="shared" si="55"/>
        <v/>
      </c>
      <c r="C879" s="123"/>
      <c r="D879" s="131" t="str">
        <f t="array" ref="D879">IF(A879="","",SUMPRODUCT(('Detalle Turnos'!$I$3:$I$5028=$A879)*('Detalle Turnos'!$N$3:$N$5028=C879)*'Detalle Turnos'!$L$3:$L$5028))</f>
        <v/>
      </c>
      <c r="E879" s="127" t="str">
        <f t="array" ref="E879">IF(A879="","",SUMPRODUCT(('Detalle Turnos'!$I$3:$I$5028=$A879)*('Detalle Turnos'!$N$3:$N$5028=C879)*'Detalle Turnos'!$K$3:$K$5028))</f>
        <v/>
      </c>
      <c r="F879" s="127">
        <f t="shared" si="56"/>
        <v>0</v>
      </c>
      <c r="G879" s="127" t="str">
        <f t="array" ref="G879">IF(E879="","",IFERROR(SUMPRODUCT(('Facturación 2026'!$A$4:$A$920=$A879)*'Facturación 2026'!$J$4:$J$920)*E879/(SUMPRODUCT(('Caja 1'!$A$4:$A$919=$A879)*'Caja 1'!$E$4:$E$919)+SUMPRODUCT(('Caja 2'!$A$4:$A$920=$A879)*'Caja 2'!$E$4:$E$920)),0))</f>
        <v/>
      </c>
      <c r="H879" s="128" t="str">
        <f t="shared" si="57"/>
        <v/>
      </c>
      <c r="I879" s="124" t="str">
        <f t="shared" si="58"/>
        <v/>
      </c>
      <c r="J879" s="987" t="str">
        <f>IF(A879="","",IFERROR(INDEX('Facturación 2026'!$L$4:$L$500,MATCH($A879,'Facturación 2026'!$A$4:$A$500,0)),""))</f>
        <v/>
      </c>
    </row>
    <row r="880" spans="1:10" ht="15.75" customHeight="1">
      <c r="A880" s="988"/>
      <c r="B880" s="122" t="str">
        <f t="shared" si="55"/>
        <v/>
      </c>
      <c r="C880" s="123"/>
      <c r="D880" s="131" t="str">
        <f t="array" ref="D880">IF(A880="","",SUMPRODUCT(('Detalle Turnos'!$I$3:$I$5028=$A880)*('Detalle Turnos'!$N$3:$N$5028=C880)*'Detalle Turnos'!$L$3:$L$5028))</f>
        <v/>
      </c>
      <c r="E880" s="127" t="str">
        <f t="array" ref="E880">IF(A880="","",SUMPRODUCT(('Detalle Turnos'!$I$3:$I$5028=$A880)*('Detalle Turnos'!$N$3:$N$5028=C880)*'Detalle Turnos'!$K$3:$K$5028))</f>
        <v/>
      </c>
      <c r="F880" s="127">
        <f t="shared" si="56"/>
        <v>0</v>
      </c>
      <c r="G880" s="127" t="str">
        <f t="array" ref="G880">IF(E880="","",IFERROR(SUMPRODUCT(('Facturación 2026'!$A$4:$A$920=$A880)*'Facturación 2026'!$J$4:$J$920)*E880/(SUMPRODUCT(('Caja 1'!$A$4:$A$919=$A880)*'Caja 1'!$E$4:$E$919)+SUMPRODUCT(('Caja 2'!$A$4:$A$920=$A880)*'Caja 2'!$E$4:$E$920)),0))</f>
        <v/>
      </c>
      <c r="H880" s="128" t="str">
        <f t="shared" si="57"/>
        <v/>
      </c>
      <c r="I880" s="124" t="str">
        <f t="shared" si="58"/>
        <v/>
      </c>
      <c r="J880" s="987" t="str">
        <f>IF(A880="","",IFERROR(INDEX('Facturación 2026'!$L$4:$L$500,MATCH($A880,'Facturación 2026'!$A$4:$A$500,0)),""))</f>
        <v/>
      </c>
    </row>
    <row r="881" spans="1:10" ht="15.75" customHeight="1">
      <c r="A881" s="988"/>
      <c r="B881" s="122" t="str">
        <f t="shared" si="55"/>
        <v/>
      </c>
      <c r="C881" s="123"/>
      <c r="D881" s="131" t="str">
        <f t="array" ref="D881">IF(A881="","",SUMPRODUCT(('Detalle Turnos'!$I$3:$I$5028=$A881)*('Detalle Turnos'!$N$3:$N$5028=C881)*'Detalle Turnos'!$L$3:$L$5028))</f>
        <v/>
      </c>
      <c r="E881" s="127" t="str">
        <f t="array" ref="E881">IF(A881="","",SUMPRODUCT(('Detalle Turnos'!$I$3:$I$5028=$A881)*('Detalle Turnos'!$N$3:$N$5028=C881)*'Detalle Turnos'!$K$3:$K$5028))</f>
        <v/>
      </c>
      <c r="F881" s="127">
        <f t="shared" si="56"/>
        <v>0</v>
      </c>
      <c r="G881" s="127" t="str">
        <f t="array" ref="G881">IF(E881="","",IFERROR(SUMPRODUCT(('Facturación 2026'!$A$4:$A$920=$A881)*'Facturación 2026'!$J$4:$J$920)*E881/(SUMPRODUCT(('Caja 1'!$A$4:$A$919=$A881)*'Caja 1'!$E$4:$E$919)+SUMPRODUCT(('Caja 2'!$A$4:$A$920=$A881)*'Caja 2'!$E$4:$E$920)),0))</f>
        <v/>
      </c>
      <c r="H881" s="128" t="str">
        <f t="shared" si="57"/>
        <v/>
      </c>
      <c r="I881" s="124" t="str">
        <f t="shared" si="58"/>
        <v/>
      </c>
      <c r="J881" s="987" t="str">
        <f>IF(A881="","",IFERROR(INDEX('Facturación 2026'!$L$4:$L$500,MATCH($A881,'Facturación 2026'!$A$4:$A$500,0)),""))</f>
        <v/>
      </c>
    </row>
    <row r="882" spans="1:10" ht="15.75" customHeight="1">
      <c r="A882" s="988"/>
      <c r="B882" s="122" t="str">
        <f t="shared" si="55"/>
        <v/>
      </c>
      <c r="C882" s="123"/>
      <c r="D882" s="131" t="str">
        <f t="array" ref="D882">IF(A882="","",SUMPRODUCT(('Detalle Turnos'!$I$3:$I$5028=$A882)*('Detalle Turnos'!$N$3:$N$5028=C882)*'Detalle Turnos'!$L$3:$L$5028))</f>
        <v/>
      </c>
      <c r="E882" s="127" t="str">
        <f t="array" ref="E882">IF(A882="","",SUMPRODUCT(('Detalle Turnos'!$I$3:$I$5028=$A882)*('Detalle Turnos'!$N$3:$N$5028=C882)*'Detalle Turnos'!$K$3:$K$5028))</f>
        <v/>
      </c>
      <c r="F882" s="127">
        <f t="shared" si="56"/>
        <v>0</v>
      </c>
      <c r="G882" s="127" t="str">
        <f t="array" ref="G882">IF(E882="","",IFERROR(SUMPRODUCT(('Facturación 2026'!$A$4:$A$920=$A882)*'Facturación 2026'!$J$4:$J$920)*E882/(SUMPRODUCT(('Caja 1'!$A$4:$A$919=$A882)*'Caja 1'!$E$4:$E$919)+SUMPRODUCT(('Caja 2'!$A$4:$A$920=$A882)*'Caja 2'!$E$4:$E$920)),0))</f>
        <v/>
      </c>
      <c r="H882" s="128" t="str">
        <f t="shared" si="57"/>
        <v/>
      </c>
      <c r="I882" s="124" t="str">
        <f t="shared" si="58"/>
        <v/>
      </c>
      <c r="J882" s="987" t="str">
        <f>IF(A882="","",IFERROR(INDEX('Facturación 2026'!$L$4:$L$500,MATCH($A882,'Facturación 2026'!$A$4:$A$500,0)),""))</f>
        <v/>
      </c>
    </row>
    <row r="883" spans="1:10" ht="15.75" customHeight="1">
      <c r="A883" s="988"/>
      <c r="B883" s="122" t="str">
        <f t="shared" si="55"/>
        <v/>
      </c>
      <c r="C883" s="123"/>
      <c r="D883" s="131" t="str">
        <f t="array" ref="D883">IF(A883="","",SUMPRODUCT(('Detalle Turnos'!$I$3:$I$5028=$A883)*('Detalle Turnos'!$N$3:$N$5028=C883)*'Detalle Turnos'!$L$3:$L$5028))</f>
        <v/>
      </c>
      <c r="E883" s="127" t="str">
        <f t="array" ref="E883">IF(A883="","",SUMPRODUCT(('Detalle Turnos'!$I$3:$I$5028=$A883)*('Detalle Turnos'!$N$3:$N$5028=C883)*'Detalle Turnos'!$K$3:$K$5028))</f>
        <v/>
      </c>
      <c r="F883" s="127">
        <f t="shared" si="56"/>
        <v>0</v>
      </c>
      <c r="G883" s="127" t="str">
        <f t="array" ref="G883">IF(E883="","",IFERROR(SUMPRODUCT(('Facturación 2026'!$A$4:$A$920=$A883)*'Facturación 2026'!$J$4:$J$920)*E883/(SUMPRODUCT(('Caja 1'!$A$4:$A$919=$A883)*'Caja 1'!$E$4:$E$919)+SUMPRODUCT(('Caja 2'!$A$4:$A$920=$A883)*'Caja 2'!$E$4:$E$920)),0))</f>
        <v/>
      </c>
      <c r="H883" s="128" t="str">
        <f t="shared" si="57"/>
        <v/>
      </c>
      <c r="I883" s="124" t="str">
        <f t="shared" si="58"/>
        <v/>
      </c>
      <c r="J883" s="987" t="str">
        <f>IF(A883="","",IFERROR(INDEX('Facturación 2026'!$L$4:$L$500,MATCH($A883,'Facturación 2026'!$A$4:$A$500,0)),""))</f>
        <v/>
      </c>
    </row>
    <row r="884" spans="1:10" ht="15.75" customHeight="1">
      <c r="A884" s="988"/>
      <c r="B884" s="122" t="str">
        <f t="shared" si="55"/>
        <v/>
      </c>
      <c r="C884" s="123"/>
      <c r="D884" s="131" t="str">
        <f t="array" ref="D884">IF(A884="","",SUMPRODUCT(('Detalle Turnos'!$I$3:$I$5028=$A884)*('Detalle Turnos'!$N$3:$N$5028=C884)*'Detalle Turnos'!$L$3:$L$5028))</f>
        <v/>
      </c>
      <c r="E884" s="127" t="str">
        <f t="array" ref="E884">IF(A884="","",SUMPRODUCT(('Detalle Turnos'!$I$3:$I$5028=$A884)*('Detalle Turnos'!$N$3:$N$5028=C884)*'Detalle Turnos'!$K$3:$K$5028))</f>
        <v/>
      </c>
      <c r="F884" s="127">
        <f t="shared" si="56"/>
        <v>0</v>
      </c>
      <c r="G884" s="127" t="str">
        <f t="array" ref="G884">IF(E884="","",IFERROR(SUMPRODUCT(('Facturación 2026'!$A$4:$A$920=$A884)*'Facturación 2026'!$J$4:$J$920)*E884/(SUMPRODUCT(('Caja 1'!$A$4:$A$919=$A884)*'Caja 1'!$E$4:$E$919)+SUMPRODUCT(('Caja 2'!$A$4:$A$920=$A884)*'Caja 2'!$E$4:$E$920)),0))</f>
        <v/>
      </c>
      <c r="H884" s="128" t="str">
        <f t="shared" si="57"/>
        <v/>
      </c>
      <c r="I884" s="124" t="str">
        <f t="shared" si="58"/>
        <v/>
      </c>
      <c r="J884" s="987" t="str">
        <f>IF(A884="","",IFERROR(INDEX('Facturación 2026'!$L$4:$L$500,MATCH($A884,'Facturación 2026'!$A$4:$A$500,0)),""))</f>
        <v/>
      </c>
    </row>
    <row r="885" spans="1:10" ht="15.75" customHeight="1">
      <c r="A885" s="988"/>
      <c r="B885" s="122" t="str">
        <f t="shared" si="55"/>
        <v/>
      </c>
      <c r="C885" s="123"/>
      <c r="D885" s="131" t="str">
        <f t="array" ref="D885">IF(A885="","",SUMPRODUCT(('Detalle Turnos'!$I$3:$I$5028=$A885)*('Detalle Turnos'!$N$3:$N$5028=C885)*'Detalle Turnos'!$L$3:$L$5028))</f>
        <v/>
      </c>
      <c r="E885" s="127" t="str">
        <f t="array" ref="E885">IF(A885="","",SUMPRODUCT(('Detalle Turnos'!$I$3:$I$5028=$A885)*('Detalle Turnos'!$N$3:$N$5028=C885)*'Detalle Turnos'!$K$3:$K$5028))</f>
        <v/>
      </c>
      <c r="F885" s="127">
        <f t="shared" si="56"/>
        <v>0</v>
      </c>
      <c r="G885" s="127" t="str">
        <f t="array" ref="G885">IF(E885="","",IFERROR(SUMPRODUCT(('Facturación 2026'!$A$4:$A$920=$A885)*'Facturación 2026'!$J$4:$J$920)*E885/(SUMPRODUCT(('Caja 1'!$A$4:$A$919=$A885)*'Caja 1'!$E$4:$E$919)+SUMPRODUCT(('Caja 2'!$A$4:$A$920=$A885)*'Caja 2'!$E$4:$E$920)),0))</f>
        <v/>
      </c>
      <c r="H885" s="128" t="str">
        <f t="shared" si="57"/>
        <v/>
      </c>
      <c r="I885" s="124" t="str">
        <f t="shared" si="58"/>
        <v/>
      </c>
      <c r="J885" s="987" t="str">
        <f>IF(A885="","",IFERROR(INDEX('Facturación 2026'!$L$4:$L$500,MATCH($A885,'Facturación 2026'!$A$4:$A$500,0)),""))</f>
        <v/>
      </c>
    </row>
    <row r="886" spans="1:10" ht="15.75" customHeight="1">
      <c r="A886" s="988"/>
      <c r="B886" s="122" t="str">
        <f t="shared" si="55"/>
        <v/>
      </c>
      <c r="C886" s="123"/>
      <c r="D886" s="131" t="str">
        <f t="array" ref="D886">IF(A886="","",SUMPRODUCT(('Detalle Turnos'!$I$3:$I$5028=$A886)*('Detalle Turnos'!$N$3:$N$5028=C886)*'Detalle Turnos'!$L$3:$L$5028))</f>
        <v/>
      </c>
      <c r="E886" s="127" t="str">
        <f t="array" ref="E886">IF(A886="","",SUMPRODUCT(('Detalle Turnos'!$I$3:$I$5028=$A886)*('Detalle Turnos'!$N$3:$N$5028=C886)*'Detalle Turnos'!$K$3:$K$5028))</f>
        <v/>
      </c>
      <c r="F886" s="127">
        <f t="shared" si="56"/>
        <v>0</v>
      </c>
      <c r="G886" s="127" t="str">
        <f t="array" ref="G886">IF(E886="","",IFERROR(SUMPRODUCT(('Facturación 2026'!$A$4:$A$920=$A886)*'Facturación 2026'!$J$4:$J$920)*E886/(SUMPRODUCT(('Caja 1'!$A$4:$A$919=$A886)*'Caja 1'!$E$4:$E$919)+SUMPRODUCT(('Caja 2'!$A$4:$A$920=$A886)*'Caja 2'!$E$4:$E$920)),0))</f>
        <v/>
      </c>
      <c r="H886" s="128" t="str">
        <f t="shared" si="57"/>
        <v/>
      </c>
      <c r="I886" s="124" t="str">
        <f t="shared" si="58"/>
        <v/>
      </c>
      <c r="J886" s="987" t="str">
        <f>IF(A886="","",IFERROR(INDEX('Facturación 2026'!$L$4:$L$500,MATCH($A886,'Facturación 2026'!$A$4:$A$500,0)),""))</f>
        <v/>
      </c>
    </row>
    <row r="887" spans="1:10" ht="15.75" customHeight="1">
      <c r="A887" s="988"/>
      <c r="B887" s="122" t="str">
        <f t="shared" si="55"/>
        <v/>
      </c>
      <c r="C887" s="123"/>
      <c r="D887" s="131" t="str">
        <f t="array" ref="D887">IF(A887="","",SUMPRODUCT(('Detalle Turnos'!$I$3:$I$5028=$A887)*('Detalle Turnos'!$N$3:$N$5028=C887)*'Detalle Turnos'!$L$3:$L$5028))</f>
        <v/>
      </c>
      <c r="E887" s="127" t="str">
        <f t="array" ref="E887">IF(A887="","",SUMPRODUCT(('Detalle Turnos'!$I$3:$I$5028=$A887)*('Detalle Turnos'!$N$3:$N$5028=C887)*'Detalle Turnos'!$K$3:$K$5028))</f>
        <v/>
      </c>
      <c r="F887" s="127">
        <f t="shared" si="56"/>
        <v>0</v>
      </c>
      <c r="G887" s="127" t="str">
        <f t="array" ref="G887">IF(E887="","",IFERROR(SUMPRODUCT(('Facturación 2026'!$A$4:$A$920=$A887)*'Facturación 2026'!$J$4:$J$920)*E887/(SUMPRODUCT(('Caja 1'!$A$4:$A$919=$A887)*'Caja 1'!$E$4:$E$919)+SUMPRODUCT(('Caja 2'!$A$4:$A$920=$A887)*'Caja 2'!$E$4:$E$920)),0))</f>
        <v/>
      </c>
      <c r="H887" s="128" t="str">
        <f t="shared" si="57"/>
        <v/>
      </c>
      <c r="I887" s="124" t="str">
        <f t="shared" si="58"/>
        <v/>
      </c>
      <c r="J887" s="987" t="str">
        <f>IF(A887="","",IFERROR(INDEX('Facturación 2026'!$L$4:$L$500,MATCH($A887,'Facturación 2026'!$A$4:$A$500,0)),""))</f>
        <v/>
      </c>
    </row>
    <row r="888" spans="1:10" ht="15.75" customHeight="1">
      <c r="A888" s="988"/>
      <c r="B888" s="122" t="str">
        <f t="shared" si="55"/>
        <v/>
      </c>
      <c r="C888" s="123"/>
      <c r="D888" s="131" t="str">
        <f t="array" ref="D888">IF(A888="","",SUMPRODUCT(('Detalle Turnos'!$I$3:$I$5028=$A888)*('Detalle Turnos'!$N$3:$N$5028=C888)*'Detalle Turnos'!$L$3:$L$5028))</f>
        <v/>
      </c>
      <c r="E888" s="127" t="str">
        <f t="array" ref="E888">IF(A888="","",SUMPRODUCT(('Detalle Turnos'!$I$3:$I$5028=$A888)*('Detalle Turnos'!$N$3:$N$5028=C888)*'Detalle Turnos'!$K$3:$K$5028))</f>
        <v/>
      </c>
      <c r="F888" s="127">
        <f t="shared" si="56"/>
        <v>0</v>
      </c>
      <c r="G888" s="127" t="str">
        <f t="array" ref="G888">IF(E888="","",IFERROR(SUMPRODUCT(('Facturación 2026'!$A$4:$A$920=$A888)*'Facturación 2026'!$J$4:$J$920)*E888/(SUMPRODUCT(('Caja 1'!$A$4:$A$919=$A888)*'Caja 1'!$E$4:$E$919)+SUMPRODUCT(('Caja 2'!$A$4:$A$920=$A888)*'Caja 2'!$E$4:$E$920)),0))</f>
        <v/>
      </c>
      <c r="H888" s="128" t="str">
        <f t="shared" si="57"/>
        <v/>
      </c>
      <c r="I888" s="124" t="str">
        <f t="shared" si="58"/>
        <v/>
      </c>
      <c r="J888" s="987" t="str">
        <f>IF(A888="","",IFERROR(INDEX('Facturación 2026'!$L$4:$L$500,MATCH($A888,'Facturación 2026'!$A$4:$A$500,0)),""))</f>
        <v/>
      </c>
    </row>
    <row r="889" spans="1:10" ht="15.75" customHeight="1">
      <c r="A889" s="988"/>
      <c r="B889" s="122" t="str">
        <f t="shared" si="55"/>
        <v/>
      </c>
      <c r="C889" s="123"/>
      <c r="D889" s="131" t="str">
        <f t="array" ref="D889">IF(A889="","",SUMPRODUCT(('Detalle Turnos'!$I$3:$I$5028=$A889)*('Detalle Turnos'!$N$3:$N$5028=C889)*'Detalle Turnos'!$L$3:$L$5028))</f>
        <v/>
      </c>
      <c r="E889" s="127" t="str">
        <f t="array" ref="E889">IF(A889="","",SUMPRODUCT(('Detalle Turnos'!$I$3:$I$5028=$A889)*('Detalle Turnos'!$N$3:$N$5028=C889)*'Detalle Turnos'!$K$3:$K$5028))</f>
        <v/>
      </c>
      <c r="F889" s="127">
        <f t="shared" si="56"/>
        <v>0</v>
      </c>
      <c r="G889" s="127" t="str">
        <f t="array" ref="G889">IF(E889="","",IFERROR(SUMPRODUCT(('Facturación 2026'!$A$4:$A$920=$A889)*'Facturación 2026'!$J$4:$J$920)*E889/(SUMPRODUCT(('Caja 1'!$A$4:$A$919=$A889)*'Caja 1'!$E$4:$E$919)+SUMPRODUCT(('Caja 2'!$A$4:$A$920=$A889)*'Caja 2'!$E$4:$E$920)),0))</f>
        <v/>
      </c>
      <c r="H889" s="128" t="str">
        <f t="shared" si="57"/>
        <v/>
      </c>
      <c r="I889" s="124" t="str">
        <f t="shared" si="58"/>
        <v/>
      </c>
      <c r="J889" s="987" t="str">
        <f>IF(A889="","",IFERROR(INDEX('Facturación 2026'!$L$4:$L$500,MATCH($A889,'Facturación 2026'!$A$4:$A$500,0)),""))</f>
        <v/>
      </c>
    </row>
    <row r="890" spans="1:10" ht="15.75" customHeight="1">
      <c r="A890" s="988"/>
      <c r="B890" s="122" t="str">
        <f t="shared" si="55"/>
        <v/>
      </c>
      <c r="C890" s="123"/>
      <c r="D890" s="131" t="str">
        <f t="array" ref="D890">IF(A890="","",SUMPRODUCT(('Detalle Turnos'!$I$3:$I$5028=$A890)*('Detalle Turnos'!$N$3:$N$5028=C890)*'Detalle Turnos'!$L$3:$L$5028))</f>
        <v/>
      </c>
      <c r="E890" s="127" t="str">
        <f t="array" ref="E890">IF(A890="","",SUMPRODUCT(('Detalle Turnos'!$I$3:$I$5028=$A890)*('Detalle Turnos'!$N$3:$N$5028=C890)*'Detalle Turnos'!$K$3:$K$5028))</f>
        <v/>
      </c>
      <c r="F890" s="127">
        <f t="shared" si="56"/>
        <v>0</v>
      </c>
      <c r="G890" s="127" t="str">
        <f t="array" ref="G890">IF(E890="","",IFERROR(SUMPRODUCT(('Facturación 2026'!$A$4:$A$920=$A890)*'Facturación 2026'!$J$4:$J$920)*E890/(SUMPRODUCT(('Caja 1'!$A$4:$A$919=$A890)*'Caja 1'!$E$4:$E$919)+SUMPRODUCT(('Caja 2'!$A$4:$A$920=$A890)*'Caja 2'!$E$4:$E$920)),0))</f>
        <v/>
      </c>
      <c r="H890" s="128" t="str">
        <f t="shared" si="57"/>
        <v/>
      </c>
      <c r="I890" s="124" t="str">
        <f t="shared" si="58"/>
        <v/>
      </c>
      <c r="J890" s="987" t="str">
        <f>IF(A890="","",IFERROR(INDEX('Facturación 2026'!$L$4:$L$500,MATCH($A890,'Facturación 2026'!$A$4:$A$500,0)),""))</f>
        <v/>
      </c>
    </row>
    <row r="891" spans="1:10" ht="15.75" customHeight="1">
      <c r="A891" s="988"/>
      <c r="B891" s="122" t="str">
        <f t="shared" si="55"/>
        <v/>
      </c>
      <c r="C891" s="123"/>
      <c r="D891" s="131" t="str">
        <f t="array" ref="D891">IF(A891="","",SUMPRODUCT(('Detalle Turnos'!$I$3:$I$5028=$A891)*('Detalle Turnos'!$N$3:$N$5028=C891)*'Detalle Turnos'!$L$3:$L$5028))</f>
        <v/>
      </c>
      <c r="E891" s="127" t="str">
        <f t="array" ref="E891">IF(A891="","",SUMPRODUCT(('Detalle Turnos'!$I$3:$I$5028=$A891)*('Detalle Turnos'!$N$3:$N$5028=C891)*'Detalle Turnos'!$K$3:$K$5028))</f>
        <v/>
      </c>
      <c r="F891" s="127">
        <f t="shared" si="56"/>
        <v>0</v>
      </c>
      <c r="G891" s="127" t="str">
        <f t="array" ref="G891">IF(E891="","",IFERROR(SUMPRODUCT(('Facturación 2026'!$A$4:$A$920=$A891)*'Facturación 2026'!$J$4:$J$920)*E891/(SUMPRODUCT(('Caja 1'!$A$4:$A$919=$A891)*'Caja 1'!$E$4:$E$919)+SUMPRODUCT(('Caja 2'!$A$4:$A$920=$A891)*'Caja 2'!$E$4:$E$920)),0))</f>
        <v/>
      </c>
      <c r="H891" s="128" t="str">
        <f t="shared" si="57"/>
        <v/>
      </c>
      <c r="I891" s="124" t="str">
        <f t="shared" si="58"/>
        <v/>
      </c>
      <c r="J891" s="987" t="str">
        <f>IF(A891="","",IFERROR(INDEX('Facturación 2026'!$L$4:$L$500,MATCH($A891,'Facturación 2026'!$A$4:$A$500,0)),""))</f>
        <v/>
      </c>
    </row>
    <row r="892" spans="1:10" ht="15.75" customHeight="1">
      <c r="A892" s="988"/>
      <c r="B892" s="122" t="str">
        <f t="shared" si="55"/>
        <v/>
      </c>
      <c r="C892" s="123"/>
      <c r="D892" s="131" t="str">
        <f t="array" ref="D892">IF(A892="","",SUMPRODUCT(('Detalle Turnos'!$I$3:$I$5028=$A892)*('Detalle Turnos'!$N$3:$N$5028=C892)*'Detalle Turnos'!$L$3:$L$5028))</f>
        <v/>
      </c>
      <c r="E892" s="127" t="str">
        <f t="array" ref="E892">IF(A892="","",SUMPRODUCT(('Detalle Turnos'!$I$3:$I$5028=$A892)*('Detalle Turnos'!$N$3:$N$5028=C892)*'Detalle Turnos'!$K$3:$K$5028))</f>
        <v/>
      </c>
      <c r="F892" s="127">
        <f t="shared" si="56"/>
        <v>0</v>
      </c>
      <c r="G892" s="127" t="str">
        <f t="array" ref="G892">IF(E892="","",IFERROR(SUMPRODUCT(('Facturación 2026'!$A$4:$A$920=$A892)*'Facturación 2026'!$J$4:$J$920)*E892/(SUMPRODUCT(('Caja 1'!$A$4:$A$919=$A892)*'Caja 1'!$E$4:$E$919)+SUMPRODUCT(('Caja 2'!$A$4:$A$920=$A892)*'Caja 2'!$E$4:$E$920)),0))</f>
        <v/>
      </c>
      <c r="H892" s="128" t="str">
        <f t="shared" si="57"/>
        <v/>
      </c>
      <c r="I892" s="124" t="str">
        <f t="shared" si="58"/>
        <v/>
      </c>
      <c r="J892" s="987" t="str">
        <f>IF(A892="","",IFERROR(INDEX('Facturación 2026'!$L$4:$L$500,MATCH($A892,'Facturación 2026'!$A$4:$A$500,0)),""))</f>
        <v/>
      </c>
    </row>
    <row r="893" spans="1:10" ht="15.75" customHeight="1">
      <c r="A893" s="988"/>
      <c r="B893" s="122" t="str">
        <f t="shared" si="55"/>
        <v/>
      </c>
      <c r="C893" s="123"/>
      <c r="D893" s="131" t="str">
        <f t="array" ref="D893">IF(A893="","",SUMPRODUCT(('Detalle Turnos'!$I$3:$I$5028=$A893)*('Detalle Turnos'!$N$3:$N$5028=C893)*'Detalle Turnos'!$L$3:$L$5028))</f>
        <v/>
      </c>
      <c r="E893" s="127" t="str">
        <f t="array" ref="E893">IF(A893="","",SUMPRODUCT(('Detalle Turnos'!$I$3:$I$5028=$A893)*('Detalle Turnos'!$N$3:$N$5028=C893)*'Detalle Turnos'!$K$3:$K$5028))</f>
        <v/>
      </c>
      <c r="F893" s="127">
        <f t="shared" si="56"/>
        <v>0</v>
      </c>
      <c r="G893" s="127" t="str">
        <f t="array" ref="G893">IF(E893="","",IFERROR(SUMPRODUCT(('Facturación 2026'!$A$4:$A$920=$A893)*'Facturación 2026'!$J$4:$J$920)*E893/(SUMPRODUCT(('Caja 1'!$A$4:$A$919=$A893)*'Caja 1'!$E$4:$E$919)+SUMPRODUCT(('Caja 2'!$A$4:$A$920=$A893)*'Caja 2'!$E$4:$E$920)),0))</f>
        <v/>
      </c>
      <c r="H893" s="128" t="str">
        <f t="shared" si="57"/>
        <v/>
      </c>
      <c r="I893" s="124" t="str">
        <f t="shared" si="58"/>
        <v/>
      </c>
      <c r="J893" s="987" t="str">
        <f>IF(A893="","",IFERROR(INDEX('Facturación 2026'!$L$4:$L$500,MATCH($A893,'Facturación 2026'!$A$4:$A$500,0)),""))</f>
        <v/>
      </c>
    </row>
    <row r="894" spans="1:10" ht="15.75" customHeight="1">
      <c r="A894" s="988"/>
      <c r="B894" s="122" t="str">
        <f t="shared" si="55"/>
        <v/>
      </c>
      <c r="C894" s="123"/>
      <c r="D894" s="131" t="str">
        <f t="array" ref="D894">IF(A894="","",SUMPRODUCT(('Detalle Turnos'!$I$3:$I$5028=$A894)*('Detalle Turnos'!$N$3:$N$5028=C894)*'Detalle Turnos'!$L$3:$L$5028))</f>
        <v/>
      </c>
      <c r="E894" s="127" t="str">
        <f t="array" ref="E894">IF(A894="","",SUMPRODUCT(('Detalle Turnos'!$I$3:$I$5028=$A894)*('Detalle Turnos'!$N$3:$N$5028=C894)*'Detalle Turnos'!$K$3:$K$5028))</f>
        <v/>
      </c>
      <c r="F894" s="127">
        <f t="shared" si="56"/>
        <v>0</v>
      </c>
      <c r="G894" s="127" t="str">
        <f t="array" ref="G894">IF(E894="","",IFERROR(SUMPRODUCT(('Facturación 2026'!$A$4:$A$920=$A894)*'Facturación 2026'!$J$4:$J$920)*E894/(SUMPRODUCT(('Caja 1'!$A$4:$A$919=$A894)*'Caja 1'!$E$4:$E$919)+SUMPRODUCT(('Caja 2'!$A$4:$A$920=$A894)*'Caja 2'!$E$4:$E$920)),0))</f>
        <v/>
      </c>
      <c r="H894" s="128" t="str">
        <f t="shared" si="57"/>
        <v/>
      </c>
      <c r="I894" s="124" t="str">
        <f t="shared" si="58"/>
        <v/>
      </c>
      <c r="J894" s="987" t="str">
        <f>IF(A894="","",IFERROR(INDEX('Facturación 2026'!$L$4:$L$500,MATCH($A894,'Facturación 2026'!$A$4:$A$500,0)),""))</f>
        <v/>
      </c>
    </row>
    <row r="895" spans="1:10" ht="15.75" customHeight="1">
      <c r="A895" s="988"/>
      <c r="B895" s="122" t="str">
        <f t="shared" si="55"/>
        <v/>
      </c>
      <c r="C895" s="123"/>
      <c r="D895" s="131" t="str">
        <f t="array" ref="D895">IF(A895="","",SUMPRODUCT(('Detalle Turnos'!$I$3:$I$5028=$A895)*('Detalle Turnos'!$N$3:$N$5028=C895)*'Detalle Turnos'!$L$3:$L$5028))</f>
        <v/>
      </c>
      <c r="E895" s="127" t="str">
        <f t="array" ref="E895">IF(A895="","",SUMPRODUCT(('Detalle Turnos'!$I$3:$I$5028=$A895)*('Detalle Turnos'!$N$3:$N$5028=C895)*'Detalle Turnos'!$K$3:$K$5028))</f>
        <v/>
      </c>
      <c r="F895" s="127">
        <f t="shared" si="56"/>
        <v>0</v>
      </c>
      <c r="G895" s="127" t="str">
        <f t="array" ref="G895">IF(E895="","",IFERROR(SUMPRODUCT(('Facturación 2026'!$A$4:$A$920=$A895)*'Facturación 2026'!$J$4:$J$920)*E895/(SUMPRODUCT(('Caja 1'!$A$4:$A$919=$A895)*'Caja 1'!$E$4:$E$919)+SUMPRODUCT(('Caja 2'!$A$4:$A$920=$A895)*'Caja 2'!$E$4:$E$920)),0))</f>
        <v/>
      </c>
      <c r="H895" s="128" t="str">
        <f t="shared" si="57"/>
        <v/>
      </c>
      <c r="I895" s="124" t="str">
        <f t="shared" si="58"/>
        <v/>
      </c>
      <c r="J895" s="987" t="str">
        <f>IF(A895="","",IFERROR(INDEX('Facturación 2026'!$L$4:$L$500,MATCH($A895,'Facturación 2026'!$A$4:$A$500,0)),""))</f>
        <v/>
      </c>
    </row>
    <row r="896" spans="1:10" ht="15.75" customHeight="1">
      <c r="A896" s="988"/>
      <c r="B896" s="122" t="str">
        <f t="shared" si="55"/>
        <v/>
      </c>
      <c r="C896" s="123"/>
      <c r="D896" s="131" t="str">
        <f t="array" ref="D896">IF(A896="","",SUMPRODUCT(('Detalle Turnos'!$I$3:$I$5028=$A896)*('Detalle Turnos'!$N$3:$N$5028=C896)*'Detalle Turnos'!$L$3:$L$5028))</f>
        <v/>
      </c>
      <c r="E896" s="127" t="str">
        <f t="array" ref="E896">IF(A896="","",SUMPRODUCT(('Detalle Turnos'!$I$3:$I$5028=$A896)*('Detalle Turnos'!$N$3:$N$5028=C896)*'Detalle Turnos'!$K$3:$K$5028))</f>
        <v/>
      </c>
      <c r="F896" s="127">
        <f t="shared" si="56"/>
        <v>0</v>
      </c>
      <c r="G896" s="127" t="str">
        <f t="array" ref="G896">IF(E896="","",IFERROR(SUMPRODUCT(('Facturación 2026'!$A$4:$A$920=$A896)*'Facturación 2026'!$J$4:$J$920)*E896/(SUMPRODUCT(('Caja 1'!$A$4:$A$919=$A896)*'Caja 1'!$E$4:$E$919)+SUMPRODUCT(('Caja 2'!$A$4:$A$920=$A896)*'Caja 2'!$E$4:$E$920)),0))</f>
        <v/>
      </c>
      <c r="H896" s="128" t="str">
        <f t="shared" si="57"/>
        <v/>
      </c>
      <c r="I896" s="124" t="str">
        <f t="shared" si="58"/>
        <v/>
      </c>
      <c r="J896" s="987" t="str">
        <f>IF(A896="","",IFERROR(INDEX('Facturación 2026'!$L$4:$L$500,MATCH($A896,'Facturación 2026'!$A$4:$A$500,0)),""))</f>
        <v/>
      </c>
    </row>
    <row r="897" spans="1:10" ht="15.75" customHeight="1">
      <c r="A897" s="988"/>
      <c r="B897" s="122" t="str">
        <f t="shared" si="55"/>
        <v/>
      </c>
      <c r="C897" s="123"/>
      <c r="D897" s="131" t="str">
        <f t="array" ref="D897">IF(A897="","",SUMPRODUCT(('Detalle Turnos'!$I$3:$I$5028=$A897)*('Detalle Turnos'!$N$3:$N$5028=C897)*'Detalle Turnos'!$L$3:$L$5028))</f>
        <v/>
      </c>
      <c r="E897" s="127" t="str">
        <f t="array" ref="E897">IF(A897="","",SUMPRODUCT(('Detalle Turnos'!$I$3:$I$5028=$A897)*('Detalle Turnos'!$N$3:$N$5028=C897)*'Detalle Turnos'!$K$3:$K$5028))</f>
        <v/>
      </c>
      <c r="F897" s="127">
        <f t="shared" si="56"/>
        <v>0</v>
      </c>
      <c r="G897" s="127" t="str">
        <f t="array" ref="G897">IF(E897="","",IFERROR(SUMPRODUCT(('Facturación 2026'!$A$4:$A$920=$A897)*'Facturación 2026'!$J$4:$J$920)*E897/(SUMPRODUCT(('Caja 1'!$A$4:$A$919=$A897)*'Caja 1'!$E$4:$E$919)+SUMPRODUCT(('Caja 2'!$A$4:$A$920=$A897)*'Caja 2'!$E$4:$E$920)),0))</f>
        <v/>
      </c>
      <c r="H897" s="128" t="str">
        <f t="shared" si="57"/>
        <v/>
      </c>
      <c r="I897" s="124" t="str">
        <f t="shared" si="58"/>
        <v/>
      </c>
      <c r="J897" s="987" t="str">
        <f>IF(A897="","",IFERROR(INDEX('Facturación 2026'!$L$4:$L$500,MATCH($A897,'Facturación 2026'!$A$4:$A$500,0)),""))</f>
        <v/>
      </c>
    </row>
    <row r="898" spans="1:10" ht="15.75" customHeight="1">
      <c r="A898" s="988"/>
      <c r="B898" s="122" t="str">
        <f t="shared" si="55"/>
        <v/>
      </c>
      <c r="C898" s="123"/>
      <c r="D898" s="131" t="str">
        <f t="array" ref="D898">IF(A898="","",SUMPRODUCT(('Detalle Turnos'!$I$3:$I$5028=$A898)*('Detalle Turnos'!$N$3:$N$5028=C898)*'Detalle Turnos'!$L$3:$L$5028))</f>
        <v/>
      </c>
      <c r="E898" s="127" t="str">
        <f t="array" ref="E898">IF(A898="","",SUMPRODUCT(('Detalle Turnos'!$I$3:$I$5028=$A898)*('Detalle Turnos'!$N$3:$N$5028=C898)*'Detalle Turnos'!$K$3:$K$5028))</f>
        <v/>
      </c>
      <c r="F898" s="127">
        <f t="shared" si="56"/>
        <v>0</v>
      </c>
      <c r="G898" s="127" t="str">
        <f t="array" ref="G898">IF(E898="","",IFERROR(SUMPRODUCT(('Facturación 2026'!$A$4:$A$920=$A898)*'Facturación 2026'!$J$4:$J$920)*E898/(SUMPRODUCT(('Caja 1'!$A$4:$A$919=$A898)*'Caja 1'!$E$4:$E$919)+SUMPRODUCT(('Caja 2'!$A$4:$A$920=$A898)*'Caja 2'!$E$4:$E$920)),0))</f>
        <v/>
      </c>
      <c r="H898" s="128" t="str">
        <f t="shared" si="57"/>
        <v/>
      </c>
      <c r="I898" s="124" t="str">
        <f t="shared" si="58"/>
        <v/>
      </c>
      <c r="J898" s="987" t="str">
        <f>IF(A898="","",IFERROR(INDEX('Facturación 2026'!$L$4:$L$500,MATCH($A898,'Facturación 2026'!$A$4:$A$500,0)),""))</f>
        <v/>
      </c>
    </row>
    <row r="899" spans="1:10" ht="15.75" customHeight="1">
      <c r="A899" s="988"/>
      <c r="B899" s="122" t="str">
        <f t="shared" ref="B899:B919" si="59">IF(A899="","",CHOOSE(WEEKDAY(A899,2),"Lun","Mar","Mié","Jue","Vie","Sáb","Dom"))</f>
        <v/>
      </c>
      <c r="C899" s="123"/>
      <c r="D899" s="131" t="str">
        <f t="array" ref="D899">IF(A899="","",SUMPRODUCT(('Detalle Turnos'!$I$3:$I$5028=$A899)*('Detalle Turnos'!$N$3:$N$5028=C899)*'Detalle Turnos'!$L$3:$L$5028))</f>
        <v/>
      </c>
      <c r="E899" s="127" t="str">
        <f t="array" ref="E899">IF(A899="","",SUMPRODUCT(('Detalle Turnos'!$I$3:$I$5028=$A899)*('Detalle Turnos'!$N$3:$N$5028=C899)*'Detalle Turnos'!$K$3:$K$5028))</f>
        <v/>
      </c>
      <c r="F899" s="127">
        <f t="shared" ref="F899:F919" si="60">IFERROR(E899/D899,0)</f>
        <v>0</v>
      </c>
      <c r="G899" s="127" t="str">
        <f t="array" ref="G899">IF(E899="","",IFERROR(SUMPRODUCT(('Facturación 2026'!$A$4:$A$920=$A899)*'Facturación 2026'!$J$4:$J$920)*E899/(SUMPRODUCT(('Caja 1'!$A$4:$A$919=$A899)*'Caja 1'!$E$4:$E$919)+SUMPRODUCT(('Caja 2'!$A$4:$A$920=$A899)*'Caja 2'!$E$4:$E$920)),0))</f>
        <v/>
      </c>
      <c r="H899" s="128" t="str">
        <f t="shared" ref="H899:H919" si="61">IF(E899="","",E899-G899)</f>
        <v/>
      </c>
      <c r="I899" s="124" t="str">
        <f t="shared" ref="I899:I919" si="62">IF(E899="","",IFERROR(G899/E899,0))</f>
        <v/>
      </c>
      <c r="J899" s="987" t="str">
        <f>IF(A899="","",IFERROR(INDEX('Facturación 2026'!$L$4:$L$500,MATCH($A899,'Facturación 2026'!$A$4:$A$500,0)),""))</f>
        <v/>
      </c>
    </row>
    <row r="900" spans="1:10" ht="15.75" customHeight="1">
      <c r="A900" s="988"/>
      <c r="B900" s="122" t="str">
        <f t="shared" si="59"/>
        <v/>
      </c>
      <c r="C900" s="123"/>
      <c r="D900" s="131" t="str">
        <f t="array" ref="D900">IF(A900="","",SUMPRODUCT(('Detalle Turnos'!$I$3:$I$5028=$A900)*('Detalle Turnos'!$N$3:$N$5028=C900)*'Detalle Turnos'!$L$3:$L$5028))</f>
        <v/>
      </c>
      <c r="E900" s="127" t="str">
        <f t="array" ref="E900">IF(A900="","",SUMPRODUCT(('Detalle Turnos'!$I$3:$I$5028=$A900)*('Detalle Turnos'!$N$3:$N$5028=C900)*'Detalle Turnos'!$K$3:$K$5028))</f>
        <v/>
      </c>
      <c r="F900" s="127">
        <f t="shared" si="60"/>
        <v>0</v>
      </c>
      <c r="G900" s="127" t="str">
        <f t="array" ref="G900">IF(E900="","",IFERROR(SUMPRODUCT(('Facturación 2026'!$A$4:$A$920=$A900)*'Facturación 2026'!$J$4:$J$920)*E900/(SUMPRODUCT(('Caja 1'!$A$4:$A$919=$A900)*'Caja 1'!$E$4:$E$919)+SUMPRODUCT(('Caja 2'!$A$4:$A$920=$A900)*'Caja 2'!$E$4:$E$920)),0))</f>
        <v/>
      </c>
      <c r="H900" s="128" t="str">
        <f t="shared" si="61"/>
        <v/>
      </c>
      <c r="I900" s="124" t="str">
        <f t="shared" si="62"/>
        <v/>
      </c>
      <c r="J900" s="987" t="str">
        <f>IF(A900="","",IFERROR(INDEX('Facturación 2026'!$L$4:$L$500,MATCH($A900,'Facturación 2026'!$A$4:$A$500,0)),""))</f>
        <v/>
      </c>
    </row>
    <row r="901" spans="1:10" ht="15.75" customHeight="1">
      <c r="A901" s="988"/>
      <c r="B901" s="122" t="str">
        <f t="shared" si="59"/>
        <v/>
      </c>
      <c r="C901" s="123"/>
      <c r="D901" s="131" t="str">
        <f t="array" ref="D901">IF(A901="","",SUMPRODUCT(('Detalle Turnos'!$I$3:$I$5028=$A901)*('Detalle Turnos'!$N$3:$N$5028=C901)*'Detalle Turnos'!$L$3:$L$5028))</f>
        <v/>
      </c>
      <c r="E901" s="127" t="str">
        <f t="array" ref="E901">IF(A901="","",SUMPRODUCT(('Detalle Turnos'!$I$3:$I$5028=$A901)*('Detalle Turnos'!$N$3:$N$5028=C901)*'Detalle Turnos'!$K$3:$K$5028))</f>
        <v/>
      </c>
      <c r="F901" s="127">
        <f t="shared" si="60"/>
        <v>0</v>
      </c>
      <c r="G901" s="127" t="str">
        <f t="array" ref="G901">IF(E901="","",IFERROR(SUMPRODUCT(('Facturación 2026'!$A$4:$A$920=$A901)*'Facturación 2026'!$J$4:$J$920)*E901/(SUMPRODUCT(('Caja 1'!$A$4:$A$919=$A901)*'Caja 1'!$E$4:$E$919)+SUMPRODUCT(('Caja 2'!$A$4:$A$920=$A901)*'Caja 2'!$E$4:$E$920)),0))</f>
        <v/>
      </c>
      <c r="H901" s="128" t="str">
        <f t="shared" si="61"/>
        <v/>
      </c>
      <c r="I901" s="124" t="str">
        <f t="shared" si="62"/>
        <v/>
      </c>
      <c r="J901" s="987" t="str">
        <f>IF(A901="","",IFERROR(INDEX('Facturación 2026'!$L$4:$L$500,MATCH($A901,'Facturación 2026'!$A$4:$A$500,0)),""))</f>
        <v/>
      </c>
    </row>
    <row r="902" spans="1:10" ht="15.75" customHeight="1">
      <c r="A902" s="988"/>
      <c r="B902" s="122" t="str">
        <f t="shared" si="59"/>
        <v/>
      </c>
      <c r="C902" s="123"/>
      <c r="D902" s="131" t="str">
        <f t="array" ref="D902">IF(A902="","",SUMPRODUCT(('Detalle Turnos'!$I$3:$I$5028=$A902)*('Detalle Turnos'!$N$3:$N$5028=C902)*'Detalle Turnos'!$L$3:$L$5028))</f>
        <v/>
      </c>
      <c r="E902" s="127" t="str">
        <f t="array" ref="E902">IF(A902="","",SUMPRODUCT(('Detalle Turnos'!$I$3:$I$5028=$A902)*('Detalle Turnos'!$N$3:$N$5028=C902)*'Detalle Turnos'!$K$3:$K$5028))</f>
        <v/>
      </c>
      <c r="F902" s="127">
        <f t="shared" si="60"/>
        <v>0</v>
      </c>
      <c r="G902" s="127" t="str">
        <f t="array" ref="G902">IF(E902="","",IFERROR(SUMPRODUCT(('Facturación 2026'!$A$4:$A$920=$A902)*'Facturación 2026'!$J$4:$J$920)*E902/(SUMPRODUCT(('Caja 1'!$A$4:$A$919=$A902)*'Caja 1'!$E$4:$E$919)+SUMPRODUCT(('Caja 2'!$A$4:$A$920=$A902)*'Caja 2'!$E$4:$E$920)),0))</f>
        <v/>
      </c>
      <c r="H902" s="128" t="str">
        <f t="shared" si="61"/>
        <v/>
      </c>
      <c r="I902" s="124" t="str">
        <f t="shared" si="62"/>
        <v/>
      </c>
      <c r="J902" s="987" t="str">
        <f>IF(A902="","",IFERROR(INDEX('Facturación 2026'!$L$4:$L$500,MATCH($A902,'Facturación 2026'!$A$4:$A$500,0)),""))</f>
        <v/>
      </c>
    </row>
    <row r="903" spans="1:10" ht="15.75" customHeight="1">
      <c r="A903" s="988"/>
      <c r="B903" s="122" t="str">
        <f t="shared" si="59"/>
        <v/>
      </c>
      <c r="C903" s="123"/>
      <c r="D903" s="131" t="str">
        <f t="array" ref="D903">IF(A903="","",SUMPRODUCT(('Detalle Turnos'!$I$3:$I$5028=$A903)*('Detalle Turnos'!$N$3:$N$5028=C903)*'Detalle Turnos'!$L$3:$L$5028))</f>
        <v/>
      </c>
      <c r="E903" s="127" t="str">
        <f t="array" ref="E903">IF(A903="","",SUMPRODUCT(('Detalle Turnos'!$I$3:$I$5028=$A903)*('Detalle Turnos'!$N$3:$N$5028=C903)*'Detalle Turnos'!$K$3:$K$5028))</f>
        <v/>
      </c>
      <c r="F903" s="127">
        <f t="shared" si="60"/>
        <v>0</v>
      </c>
      <c r="G903" s="127" t="str">
        <f t="array" ref="G903">IF(E903="","",IFERROR(SUMPRODUCT(('Facturación 2026'!$A$4:$A$920=$A903)*'Facturación 2026'!$J$4:$J$920)*E903/(SUMPRODUCT(('Caja 1'!$A$4:$A$919=$A903)*'Caja 1'!$E$4:$E$919)+SUMPRODUCT(('Caja 2'!$A$4:$A$920=$A903)*'Caja 2'!$E$4:$E$920)),0))</f>
        <v/>
      </c>
      <c r="H903" s="128" t="str">
        <f t="shared" si="61"/>
        <v/>
      </c>
      <c r="I903" s="124" t="str">
        <f t="shared" si="62"/>
        <v/>
      </c>
      <c r="J903" s="987" t="str">
        <f>IF(A903="","",IFERROR(INDEX('Facturación 2026'!$L$4:$L$500,MATCH($A903,'Facturación 2026'!$A$4:$A$500,0)),""))</f>
        <v/>
      </c>
    </row>
    <row r="904" spans="1:10" ht="15.75" customHeight="1">
      <c r="A904" s="988"/>
      <c r="B904" s="122" t="str">
        <f t="shared" si="59"/>
        <v/>
      </c>
      <c r="C904" s="123"/>
      <c r="D904" s="131" t="str">
        <f t="array" ref="D904">IF(A904="","",SUMPRODUCT(('Detalle Turnos'!$I$3:$I$5028=$A904)*('Detalle Turnos'!$N$3:$N$5028=C904)*'Detalle Turnos'!$L$3:$L$5028))</f>
        <v/>
      </c>
      <c r="E904" s="127" t="str">
        <f t="array" ref="E904">IF(A904="","",SUMPRODUCT(('Detalle Turnos'!$I$3:$I$5028=$A904)*('Detalle Turnos'!$N$3:$N$5028=C904)*'Detalle Turnos'!$K$3:$K$5028))</f>
        <v/>
      </c>
      <c r="F904" s="127">
        <f t="shared" si="60"/>
        <v>0</v>
      </c>
      <c r="G904" s="127" t="str">
        <f t="array" ref="G904">IF(E904="","",IFERROR(SUMPRODUCT(('Facturación 2026'!$A$4:$A$920=$A904)*'Facturación 2026'!$J$4:$J$920)*E904/(SUMPRODUCT(('Caja 1'!$A$4:$A$919=$A904)*'Caja 1'!$E$4:$E$919)+SUMPRODUCT(('Caja 2'!$A$4:$A$920=$A904)*'Caja 2'!$E$4:$E$920)),0))</f>
        <v/>
      </c>
      <c r="H904" s="128" t="str">
        <f t="shared" si="61"/>
        <v/>
      </c>
      <c r="I904" s="124" t="str">
        <f t="shared" si="62"/>
        <v/>
      </c>
      <c r="J904" s="987" t="str">
        <f>IF(A904="","",IFERROR(INDEX('Facturación 2026'!$L$4:$L$500,MATCH($A904,'Facturación 2026'!$A$4:$A$500,0)),""))</f>
        <v/>
      </c>
    </row>
    <row r="905" spans="1:10" ht="15.75" customHeight="1">
      <c r="A905" s="988"/>
      <c r="B905" s="122" t="str">
        <f t="shared" si="59"/>
        <v/>
      </c>
      <c r="C905" s="123"/>
      <c r="D905" s="131" t="str">
        <f t="array" ref="D905">IF(A905="","",SUMPRODUCT(('Detalle Turnos'!$I$3:$I$5028=$A905)*('Detalle Turnos'!$N$3:$N$5028=C905)*'Detalle Turnos'!$L$3:$L$5028))</f>
        <v/>
      </c>
      <c r="E905" s="127" t="str">
        <f t="array" ref="E905">IF(A905="","",SUMPRODUCT(('Detalle Turnos'!$I$3:$I$5028=$A905)*('Detalle Turnos'!$N$3:$N$5028=C905)*'Detalle Turnos'!$K$3:$K$5028))</f>
        <v/>
      </c>
      <c r="F905" s="127">
        <f t="shared" si="60"/>
        <v>0</v>
      </c>
      <c r="G905" s="127" t="str">
        <f t="array" ref="G905">IF(E905="","",IFERROR(SUMPRODUCT(('Facturación 2026'!$A$4:$A$920=$A905)*'Facturación 2026'!$J$4:$J$920)*E905/(SUMPRODUCT(('Caja 1'!$A$4:$A$919=$A905)*'Caja 1'!$E$4:$E$919)+SUMPRODUCT(('Caja 2'!$A$4:$A$920=$A905)*'Caja 2'!$E$4:$E$920)),0))</f>
        <v/>
      </c>
      <c r="H905" s="128" t="str">
        <f t="shared" si="61"/>
        <v/>
      </c>
      <c r="I905" s="124" t="str">
        <f t="shared" si="62"/>
        <v/>
      </c>
      <c r="J905" s="987" t="str">
        <f>IF(A905="","",IFERROR(INDEX('Facturación 2026'!$L$4:$L$500,MATCH($A905,'Facturación 2026'!$A$4:$A$500,0)),""))</f>
        <v/>
      </c>
    </row>
    <row r="906" spans="1:10" ht="15.75" customHeight="1">
      <c r="A906" s="988"/>
      <c r="B906" s="122" t="str">
        <f t="shared" si="59"/>
        <v/>
      </c>
      <c r="C906" s="123"/>
      <c r="D906" s="131" t="str">
        <f t="array" ref="D906">IF(A906="","",SUMPRODUCT(('Detalle Turnos'!$I$3:$I$5028=$A906)*('Detalle Turnos'!$N$3:$N$5028=C906)*'Detalle Turnos'!$L$3:$L$5028))</f>
        <v/>
      </c>
      <c r="E906" s="127" t="str">
        <f t="array" ref="E906">IF(A906="","",SUMPRODUCT(('Detalle Turnos'!$I$3:$I$5028=$A906)*('Detalle Turnos'!$N$3:$N$5028=C906)*'Detalle Turnos'!$K$3:$K$5028))</f>
        <v/>
      </c>
      <c r="F906" s="127">
        <f t="shared" si="60"/>
        <v>0</v>
      </c>
      <c r="G906" s="127" t="str">
        <f t="array" ref="G906">IF(E906="","",IFERROR(SUMPRODUCT(('Facturación 2026'!$A$4:$A$920=$A906)*'Facturación 2026'!$J$4:$J$920)*E906/(SUMPRODUCT(('Caja 1'!$A$4:$A$919=$A906)*'Caja 1'!$E$4:$E$919)+SUMPRODUCT(('Caja 2'!$A$4:$A$920=$A906)*'Caja 2'!$E$4:$E$920)),0))</f>
        <v/>
      </c>
      <c r="H906" s="128" t="str">
        <f t="shared" si="61"/>
        <v/>
      </c>
      <c r="I906" s="124" t="str">
        <f t="shared" si="62"/>
        <v/>
      </c>
      <c r="J906" s="987" t="str">
        <f>IF(A906="","",IFERROR(INDEX('Facturación 2026'!$L$4:$L$500,MATCH($A906,'Facturación 2026'!$A$4:$A$500,0)),""))</f>
        <v/>
      </c>
    </row>
    <row r="907" spans="1:10" ht="15.75" customHeight="1">
      <c r="A907" s="988"/>
      <c r="B907" s="122" t="str">
        <f t="shared" si="59"/>
        <v/>
      </c>
      <c r="C907" s="123"/>
      <c r="D907" s="131" t="str">
        <f t="array" ref="D907">IF(A907="","",SUMPRODUCT(('Detalle Turnos'!$I$3:$I$5028=$A907)*('Detalle Turnos'!$N$3:$N$5028=C907)*'Detalle Turnos'!$L$3:$L$5028))</f>
        <v/>
      </c>
      <c r="E907" s="127" t="str">
        <f t="array" ref="E907">IF(A907="","",SUMPRODUCT(('Detalle Turnos'!$I$3:$I$5028=$A907)*('Detalle Turnos'!$N$3:$N$5028=C907)*'Detalle Turnos'!$K$3:$K$5028))</f>
        <v/>
      </c>
      <c r="F907" s="127">
        <f t="shared" si="60"/>
        <v>0</v>
      </c>
      <c r="G907" s="127" t="str">
        <f t="array" ref="G907">IF(E907="","",IFERROR(SUMPRODUCT(('Facturación 2026'!$A$4:$A$920=$A907)*'Facturación 2026'!$J$4:$J$920)*E907/(SUMPRODUCT(('Caja 1'!$A$4:$A$919=$A907)*'Caja 1'!$E$4:$E$919)+SUMPRODUCT(('Caja 2'!$A$4:$A$920=$A907)*'Caja 2'!$E$4:$E$920)),0))</f>
        <v/>
      </c>
      <c r="H907" s="128" t="str">
        <f t="shared" si="61"/>
        <v/>
      </c>
      <c r="I907" s="124" t="str">
        <f t="shared" si="62"/>
        <v/>
      </c>
      <c r="J907" s="987" t="str">
        <f>IF(A907="","",IFERROR(INDEX('Facturación 2026'!$L$4:$L$500,MATCH($A907,'Facturación 2026'!$A$4:$A$500,0)),""))</f>
        <v/>
      </c>
    </row>
    <row r="908" spans="1:10" ht="15.75" customHeight="1">
      <c r="A908" s="988"/>
      <c r="B908" s="122" t="str">
        <f t="shared" si="59"/>
        <v/>
      </c>
      <c r="C908" s="123"/>
      <c r="D908" s="131" t="str">
        <f t="array" ref="D908">IF(A908="","",SUMPRODUCT(('Detalle Turnos'!$I$3:$I$5028=$A908)*('Detalle Turnos'!$N$3:$N$5028=C908)*'Detalle Turnos'!$L$3:$L$5028))</f>
        <v/>
      </c>
      <c r="E908" s="127" t="str">
        <f t="array" ref="E908">IF(A908="","",SUMPRODUCT(('Detalle Turnos'!$I$3:$I$5028=$A908)*('Detalle Turnos'!$N$3:$N$5028=C908)*'Detalle Turnos'!$K$3:$K$5028))</f>
        <v/>
      </c>
      <c r="F908" s="127">
        <f t="shared" si="60"/>
        <v>0</v>
      </c>
      <c r="G908" s="127" t="str">
        <f t="array" ref="G908">IF(E908="","",IFERROR(SUMPRODUCT(('Facturación 2026'!$A$4:$A$920=$A908)*'Facturación 2026'!$J$4:$J$920)*E908/(SUMPRODUCT(('Caja 1'!$A$4:$A$919=$A908)*'Caja 1'!$E$4:$E$919)+SUMPRODUCT(('Caja 2'!$A$4:$A$920=$A908)*'Caja 2'!$E$4:$E$920)),0))</f>
        <v/>
      </c>
      <c r="H908" s="128" t="str">
        <f t="shared" si="61"/>
        <v/>
      </c>
      <c r="I908" s="124" t="str">
        <f t="shared" si="62"/>
        <v/>
      </c>
      <c r="J908" s="987" t="str">
        <f>IF(A908="","",IFERROR(INDEX('Facturación 2026'!$L$4:$L$500,MATCH($A908,'Facturación 2026'!$A$4:$A$500,0)),""))</f>
        <v/>
      </c>
    </row>
    <row r="909" spans="1:10" ht="15.75" customHeight="1">
      <c r="A909" s="988"/>
      <c r="B909" s="122" t="str">
        <f t="shared" si="59"/>
        <v/>
      </c>
      <c r="C909" s="123"/>
      <c r="D909" s="131" t="str">
        <f t="array" ref="D909">IF(A909="","",SUMPRODUCT(('Detalle Turnos'!$I$3:$I$5028=$A909)*('Detalle Turnos'!$N$3:$N$5028=C909)*'Detalle Turnos'!$L$3:$L$5028))</f>
        <v/>
      </c>
      <c r="E909" s="127" t="str">
        <f t="array" ref="E909">IF(A909="","",SUMPRODUCT(('Detalle Turnos'!$I$3:$I$5028=$A909)*('Detalle Turnos'!$N$3:$N$5028=C909)*'Detalle Turnos'!$K$3:$K$5028))</f>
        <v/>
      </c>
      <c r="F909" s="127">
        <f t="shared" si="60"/>
        <v>0</v>
      </c>
      <c r="G909" s="127" t="str">
        <f t="array" ref="G909">IF(E909="","",IFERROR(SUMPRODUCT(('Facturación 2026'!$A$4:$A$920=$A909)*'Facturación 2026'!$J$4:$J$920)*E909/(SUMPRODUCT(('Caja 1'!$A$4:$A$919=$A909)*'Caja 1'!$E$4:$E$919)+SUMPRODUCT(('Caja 2'!$A$4:$A$920=$A909)*'Caja 2'!$E$4:$E$920)),0))</f>
        <v/>
      </c>
      <c r="H909" s="128" t="str">
        <f t="shared" si="61"/>
        <v/>
      </c>
      <c r="I909" s="124" t="str">
        <f t="shared" si="62"/>
        <v/>
      </c>
      <c r="J909" s="987" t="str">
        <f>IF(A909="","",IFERROR(INDEX('Facturación 2026'!$L$4:$L$500,MATCH($A909,'Facturación 2026'!$A$4:$A$500,0)),""))</f>
        <v/>
      </c>
    </row>
    <row r="910" spans="1:10" ht="15.75" customHeight="1">
      <c r="A910" s="988"/>
      <c r="B910" s="122" t="str">
        <f t="shared" si="59"/>
        <v/>
      </c>
      <c r="C910" s="123"/>
      <c r="D910" s="131" t="str">
        <f t="array" ref="D910">IF(A910="","",SUMPRODUCT(('Detalle Turnos'!$I$3:$I$5028=$A910)*('Detalle Turnos'!$N$3:$N$5028=C910)*'Detalle Turnos'!$L$3:$L$5028))</f>
        <v/>
      </c>
      <c r="E910" s="127" t="str">
        <f t="array" ref="E910">IF(A910="","",SUMPRODUCT(('Detalle Turnos'!$I$3:$I$5028=$A910)*('Detalle Turnos'!$N$3:$N$5028=C910)*'Detalle Turnos'!$K$3:$K$5028))</f>
        <v/>
      </c>
      <c r="F910" s="127">
        <f t="shared" si="60"/>
        <v>0</v>
      </c>
      <c r="G910" s="127" t="str">
        <f t="array" ref="G910">IF(E910="","",IFERROR(SUMPRODUCT(('Facturación 2026'!$A$4:$A$920=$A910)*'Facturación 2026'!$J$4:$J$920)*E910/(SUMPRODUCT(('Caja 1'!$A$4:$A$919=$A910)*'Caja 1'!$E$4:$E$919)+SUMPRODUCT(('Caja 2'!$A$4:$A$920=$A910)*'Caja 2'!$E$4:$E$920)),0))</f>
        <v/>
      </c>
      <c r="H910" s="128" t="str">
        <f t="shared" si="61"/>
        <v/>
      </c>
      <c r="I910" s="124" t="str">
        <f t="shared" si="62"/>
        <v/>
      </c>
      <c r="J910" s="987" t="str">
        <f>IF(A910="","",IFERROR(INDEX('Facturación 2026'!$L$4:$L$500,MATCH($A910,'Facturación 2026'!$A$4:$A$500,0)),""))</f>
        <v/>
      </c>
    </row>
    <row r="911" spans="1:10" ht="15.75" customHeight="1">
      <c r="A911" s="988"/>
      <c r="B911" s="122" t="str">
        <f t="shared" si="59"/>
        <v/>
      </c>
      <c r="C911" s="123"/>
      <c r="D911" s="131" t="str">
        <f t="array" ref="D911">IF(A911="","",SUMPRODUCT(('Detalle Turnos'!$I$3:$I$5028=$A911)*('Detalle Turnos'!$N$3:$N$5028=C911)*'Detalle Turnos'!$L$3:$L$5028))</f>
        <v/>
      </c>
      <c r="E911" s="127" t="str">
        <f t="array" ref="E911">IF(A911="","",SUMPRODUCT(('Detalle Turnos'!$I$3:$I$5028=$A911)*('Detalle Turnos'!$N$3:$N$5028=C911)*'Detalle Turnos'!$K$3:$K$5028))</f>
        <v/>
      </c>
      <c r="F911" s="127">
        <f t="shared" si="60"/>
        <v>0</v>
      </c>
      <c r="G911" s="127" t="str">
        <f t="array" ref="G911">IF(E911="","",IFERROR(SUMPRODUCT(('Facturación 2026'!$A$4:$A$920=$A911)*'Facturación 2026'!$J$4:$J$920)*E911/(SUMPRODUCT(('Caja 1'!$A$4:$A$919=$A911)*'Caja 1'!$E$4:$E$919)+SUMPRODUCT(('Caja 2'!$A$4:$A$920=$A911)*'Caja 2'!$E$4:$E$920)),0))</f>
        <v/>
      </c>
      <c r="H911" s="128" t="str">
        <f t="shared" si="61"/>
        <v/>
      </c>
      <c r="I911" s="124" t="str">
        <f t="shared" si="62"/>
        <v/>
      </c>
      <c r="J911" s="987" t="str">
        <f>IF(A911="","",IFERROR(INDEX('Facturación 2026'!$L$4:$L$500,MATCH($A911,'Facturación 2026'!$A$4:$A$500,0)),""))</f>
        <v/>
      </c>
    </row>
    <row r="912" spans="1:10" ht="15.75" customHeight="1">
      <c r="A912" s="988"/>
      <c r="B912" s="122" t="str">
        <f t="shared" si="59"/>
        <v/>
      </c>
      <c r="C912" s="123"/>
      <c r="D912" s="131" t="str">
        <f t="array" ref="D912">IF(A912="","",SUMPRODUCT(('Detalle Turnos'!$I$3:$I$5028=$A912)*('Detalle Turnos'!$N$3:$N$5028=C912)*'Detalle Turnos'!$L$3:$L$5028))</f>
        <v/>
      </c>
      <c r="E912" s="127" t="str">
        <f t="array" ref="E912">IF(A912="","",SUMPRODUCT(('Detalle Turnos'!$I$3:$I$5028=$A912)*('Detalle Turnos'!$N$3:$N$5028=C912)*'Detalle Turnos'!$K$3:$K$5028))</f>
        <v/>
      </c>
      <c r="F912" s="127">
        <f t="shared" si="60"/>
        <v>0</v>
      </c>
      <c r="G912" s="127" t="str">
        <f t="array" ref="G912">IF(E912="","",IFERROR(SUMPRODUCT(('Facturación 2026'!$A$4:$A$920=$A912)*'Facturación 2026'!$J$4:$J$920)*E912/(SUMPRODUCT(('Caja 1'!$A$4:$A$919=$A912)*'Caja 1'!$E$4:$E$919)+SUMPRODUCT(('Caja 2'!$A$4:$A$920=$A912)*'Caja 2'!$E$4:$E$920)),0))</f>
        <v/>
      </c>
      <c r="H912" s="128" t="str">
        <f t="shared" si="61"/>
        <v/>
      </c>
      <c r="I912" s="124" t="str">
        <f t="shared" si="62"/>
        <v/>
      </c>
      <c r="J912" s="987" t="str">
        <f>IF(A912="","",IFERROR(INDEX('Facturación 2026'!$L$4:$L$500,MATCH($A912,'Facturación 2026'!$A$4:$A$500,0)),""))</f>
        <v/>
      </c>
    </row>
    <row r="913" spans="1:10" ht="15.75" customHeight="1">
      <c r="A913" s="988"/>
      <c r="B913" s="122" t="str">
        <f t="shared" si="59"/>
        <v/>
      </c>
      <c r="C913" s="123"/>
      <c r="D913" s="131" t="str">
        <f t="array" ref="D913">IF(A913="","",SUMPRODUCT(('Detalle Turnos'!$I$3:$I$5028=$A913)*('Detalle Turnos'!$N$3:$N$5028=C913)*'Detalle Turnos'!$L$3:$L$5028))</f>
        <v/>
      </c>
      <c r="E913" s="127" t="str">
        <f t="array" ref="E913">IF(A913="","",SUMPRODUCT(('Detalle Turnos'!$I$3:$I$5028=$A913)*('Detalle Turnos'!$N$3:$N$5028=C913)*'Detalle Turnos'!$K$3:$K$5028))</f>
        <v/>
      </c>
      <c r="F913" s="127">
        <f t="shared" si="60"/>
        <v>0</v>
      </c>
      <c r="G913" s="127" t="str">
        <f t="array" ref="G913">IF(E913="","",IFERROR(SUMPRODUCT(('Facturación 2026'!$A$4:$A$920=$A913)*'Facturación 2026'!$J$4:$J$920)*E913/(SUMPRODUCT(('Caja 1'!$A$4:$A$919=$A913)*'Caja 1'!$E$4:$E$919)+SUMPRODUCT(('Caja 2'!$A$4:$A$920=$A913)*'Caja 2'!$E$4:$E$920)),0))</f>
        <v/>
      </c>
      <c r="H913" s="128" t="str">
        <f t="shared" si="61"/>
        <v/>
      </c>
      <c r="I913" s="124" t="str">
        <f t="shared" si="62"/>
        <v/>
      </c>
      <c r="J913" s="987" t="str">
        <f>IF(A913="","",IFERROR(INDEX('Facturación 2026'!$L$4:$L$500,MATCH($A913,'Facturación 2026'!$A$4:$A$500,0)),""))</f>
        <v/>
      </c>
    </row>
    <row r="914" spans="1:10" ht="15.75" customHeight="1">
      <c r="A914" s="988"/>
      <c r="B914" s="122" t="str">
        <f t="shared" si="59"/>
        <v/>
      </c>
      <c r="C914" s="123"/>
      <c r="D914" s="131" t="str">
        <f t="array" ref="D914">IF(A914="","",SUMPRODUCT(('Detalle Turnos'!$I$3:$I$5028=$A914)*('Detalle Turnos'!$N$3:$N$5028=C914)*'Detalle Turnos'!$L$3:$L$5028))</f>
        <v/>
      </c>
      <c r="E914" s="127" t="str">
        <f t="array" ref="E914">IF(A914="","",SUMPRODUCT(('Detalle Turnos'!$I$3:$I$5028=$A914)*('Detalle Turnos'!$N$3:$N$5028=C914)*'Detalle Turnos'!$K$3:$K$5028))</f>
        <v/>
      </c>
      <c r="F914" s="127">
        <f t="shared" si="60"/>
        <v>0</v>
      </c>
      <c r="G914" s="127" t="str">
        <f t="array" ref="G914">IF(E914="","",IFERROR(SUMPRODUCT(('Facturación 2026'!$A$4:$A$920=$A914)*'Facturación 2026'!$J$4:$J$920)*E914/(SUMPRODUCT(('Caja 1'!$A$4:$A$919=$A914)*'Caja 1'!$E$4:$E$919)+SUMPRODUCT(('Caja 2'!$A$4:$A$920=$A914)*'Caja 2'!$E$4:$E$920)),0))</f>
        <v/>
      </c>
      <c r="H914" s="128" t="str">
        <f t="shared" si="61"/>
        <v/>
      </c>
      <c r="I914" s="124" t="str">
        <f t="shared" si="62"/>
        <v/>
      </c>
      <c r="J914" s="987" t="str">
        <f>IF(A914="","",IFERROR(INDEX('Facturación 2026'!$L$4:$L$500,MATCH($A914,'Facturación 2026'!$A$4:$A$500,0)),""))</f>
        <v/>
      </c>
    </row>
    <row r="915" spans="1:10" ht="15.75" customHeight="1">
      <c r="A915" s="988"/>
      <c r="B915" s="122" t="str">
        <f t="shared" si="59"/>
        <v/>
      </c>
      <c r="C915" s="123"/>
      <c r="D915" s="131" t="str">
        <f t="array" ref="D915">IF(A915="","",SUMPRODUCT(('Detalle Turnos'!$I$3:$I$5028=$A915)*('Detalle Turnos'!$N$3:$N$5028=C915)*'Detalle Turnos'!$L$3:$L$5028))</f>
        <v/>
      </c>
      <c r="E915" s="127" t="str">
        <f t="array" ref="E915">IF(A915="","",SUMPRODUCT(('Detalle Turnos'!$I$3:$I$5028=$A915)*('Detalle Turnos'!$N$3:$N$5028=C915)*'Detalle Turnos'!$K$3:$K$5028))</f>
        <v/>
      </c>
      <c r="F915" s="127">
        <f t="shared" si="60"/>
        <v>0</v>
      </c>
      <c r="G915" s="127" t="str">
        <f t="array" ref="G915">IF(E915="","",IFERROR(SUMPRODUCT(('Facturación 2026'!$A$4:$A$920=$A915)*'Facturación 2026'!$J$4:$J$920)*E915/(SUMPRODUCT(('Caja 1'!$A$4:$A$919=$A915)*'Caja 1'!$E$4:$E$919)+SUMPRODUCT(('Caja 2'!$A$4:$A$920=$A915)*'Caja 2'!$E$4:$E$920)),0))</f>
        <v/>
      </c>
      <c r="H915" s="128" t="str">
        <f t="shared" si="61"/>
        <v/>
      </c>
      <c r="I915" s="124" t="str">
        <f t="shared" si="62"/>
        <v/>
      </c>
      <c r="J915" s="987" t="str">
        <f>IF(A915="","",IFERROR(INDEX('Facturación 2026'!$L$4:$L$500,MATCH($A915,'Facturación 2026'!$A$4:$A$500,0)),""))</f>
        <v/>
      </c>
    </row>
    <row r="916" spans="1:10" ht="15.75" customHeight="1">
      <c r="A916" s="988"/>
      <c r="B916" s="122" t="str">
        <f t="shared" si="59"/>
        <v/>
      </c>
      <c r="C916" s="123"/>
      <c r="D916" s="131" t="str">
        <f t="array" ref="D916">IF(A916="","",SUMPRODUCT(('Detalle Turnos'!$I$3:$I$5028=$A916)*('Detalle Turnos'!$N$3:$N$5028=C916)*'Detalle Turnos'!$L$3:$L$5028))</f>
        <v/>
      </c>
      <c r="E916" s="127" t="str">
        <f t="array" ref="E916">IF(A916="","",SUMPRODUCT(('Detalle Turnos'!$I$3:$I$5028=$A916)*('Detalle Turnos'!$N$3:$N$5028=C916)*'Detalle Turnos'!$K$3:$K$5028))</f>
        <v/>
      </c>
      <c r="F916" s="127">
        <f t="shared" si="60"/>
        <v>0</v>
      </c>
      <c r="G916" s="127" t="str">
        <f t="array" ref="G916">IF(E916="","",IFERROR(SUMPRODUCT(('Facturación 2026'!$A$4:$A$920=$A916)*'Facturación 2026'!$J$4:$J$920)*E916/(SUMPRODUCT(('Caja 1'!$A$4:$A$919=$A916)*'Caja 1'!$E$4:$E$919)+SUMPRODUCT(('Caja 2'!$A$4:$A$920=$A916)*'Caja 2'!$E$4:$E$920)),0))</f>
        <v/>
      </c>
      <c r="H916" s="128" t="str">
        <f t="shared" si="61"/>
        <v/>
      </c>
      <c r="I916" s="124" t="str">
        <f t="shared" si="62"/>
        <v/>
      </c>
      <c r="J916" s="987" t="str">
        <f>IF(A916="","",IFERROR(INDEX('Facturación 2026'!$L$4:$L$500,MATCH($A916,'Facturación 2026'!$A$4:$A$500,0)),""))</f>
        <v/>
      </c>
    </row>
    <row r="917" spans="1:10" ht="15.75" customHeight="1">
      <c r="A917" s="988"/>
      <c r="B917" s="122" t="str">
        <f t="shared" si="59"/>
        <v/>
      </c>
      <c r="C917" s="123"/>
      <c r="D917" s="131" t="str">
        <f t="array" ref="D917">IF(A917="","",SUMPRODUCT(('Detalle Turnos'!$I$3:$I$5028=$A917)*('Detalle Turnos'!$N$3:$N$5028=C917)*'Detalle Turnos'!$L$3:$L$5028))</f>
        <v/>
      </c>
      <c r="E917" s="127" t="str">
        <f t="array" ref="E917">IF(A917="","",SUMPRODUCT(('Detalle Turnos'!$I$3:$I$5028=$A917)*('Detalle Turnos'!$N$3:$N$5028=C917)*'Detalle Turnos'!$K$3:$K$5028))</f>
        <v/>
      </c>
      <c r="F917" s="127">
        <f t="shared" si="60"/>
        <v>0</v>
      </c>
      <c r="G917" s="127" t="str">
        <f t="array" ref="G917">IF(E917="","",IFERROR(SUMPRODUCT(('Facturación 2026'!$A$4:$A$920=$A917)*'Facturación 2026'!$J$4:$J$920)*E917/(SUMPRODUCT(('Caja 1'!$A$4:$A$919=$A917)*'Caja 1'!$E$4:$E$919)+SUMPRODUCT(('Caja 2'!$A$4:$A$920=$A917)*'Caja 2'!$E$4:$E$920)),0))</f>
        <v/>
      </c>
      <c r="H917" s="128" t="str">
        <f t="shared" si="61"/>
        <v/>
      </c>
      <c r="I917" s="124" t="str">
        <f t="shared" si="62"/>
        <v/>
      </c>
      <c r="J917" s="987" t="str">
        <f>IF(A917="","",IFERROR(INDEX('Facturación 2026'!$L$4:$L$500,MATCH($A917,'Facturación 2026'!$A$4:$A$500,0)),""))</f>
        <v/>
      </c>
    </row>
    <row r="918" spans="1:10" ht="15.75" customHeight="1">
      <c r="A918" s="988"/>
      <c r="B918" s="122" t="str">
        <f t="shared" si="59"/>
        <v/>
      </c>
      <c r="C918" s="123"/>
      <c r="D918" s="131" t="str">
        <f t="array" ref="D918">IF(A918="","",SUMPRODUCT(('Detalle Turnos'!$I$3:$I$5028=$A918)*('Detalle Turnos'!$N$3:$N$5028=C918)*'Detalle Turnos'!$L$3:$L$5028))</f>
        <v/>
      </c>
      <c r="E918" s="127" t="str">
        <f t="array" ref="E918">IF(A918="","",SUMPRODUCT(('Detalle Turnos'!$I$3:$I$5028=$A918)*('Detalle Turnos'!$N$3:$N$5028=C918)*'Detalle Turnos'!$K$3:$K$5028))</f>
        <v/>
      </c>
      <c r="F918" s="127">
        <f t="shared" si="60"/>
        <v>0</v>
      </c>
      <c r="G918" s="127" t="str">
        <f t="array" ref="G918">IF(E918="","",IFERROR(SUMPRODUCT(('Facturación 2026'!$A$4:$A$920=$A918)*'Facturación 2026'!$J$4:$J$920)*E918/(SUMPRODUCT(('Caja 1'!$A$4:$A$919=$A918)*'Caja 1'!$E$4:$E$919)+SUMPRODUCT(('Caja 2'!$A$4:$A$920=$A918)*'Caja 2'!$E$4:$E$920)),0))</f>
        <v/>
      </c>
      <c r="H918" s="128" t="str">
        <f t="shared" si="61"/>
        <v/>
      </c>
      <c r="I918" s="124" t="str">
        <f t="shared" si="62"/>
        <v/>
      </c>
      <c r="J918" s="987" t="str">
        <f>IF(A918="","",IFERROR(INDEX('Facturación 2026'!$L$4:$L$500,MATCH($A918,'Facturación 2026'!$A$4:$A$500,0)),""))</f>
        <v/>
      </c>
    </row>
    <row r="919" spans="1:10" ht="15.75" customHeight="1">
      <c r="A919" s="988"/>
      <c r="B919" s="122" t="str">
        <f t="shared" si="59"/>
        <v/>
      </c>
      <c r="C919" s="123"/>
      <c r="D919" s="131" t="str">
        <f t="array" ref="D919">IF(A919="","",SUMPRODUCT(('Detalle Turnos'!$I$3:$I$5028=$A919)*('Detalle Turnos'!$N$3:$N$5028=C919)*'Detalle Turnos'!$L$3:$L$5028))</f>
        <v/>
      </c>
      <c r="E919" s="127" t="str">
        <f t="array" ref="E919">IF(A919="","",SUMPRODUCT(('Detalle Turnos'!$I$3:$I$5028=$A919)*('Detalle Turnos'!$N$3:$N$5028=C919)*'Detalle Turnos'!$K$3:$K$5028))</f>
        <v/>
      </c>
      <c r="F919" s="127">
        <f t="shared" si="60"/>
        <v>0</v>
      </c>
      <c r="G919" s="127" t="str">
        <f t="array" ref="G919">IF(E919="","",IFERROR(SUMPRODUCT(('Facturación 2026'!$A$4:$A$920=$A919)*'Facturación 2026'!$J$4:$J$920)*E919/(SUMPRODUCT(('Caja 1'!$A$4:$A$919=$A919)*'Caja 1'!$E$4:$E$919)+SUMPRODUCT(('Caja 2'!$A$4:$A$920=$A919)*'Caja 2'!$E$4:$E$920)),0))</f>
        <v/>
      </c>
      <c r="H919" s="128" t="str">
        <f t="shared" si="61"/>
        <v/>
      </c>
      <c r="I919" s="124" t="str">
        <f t="shared" si="62"/>
        <v/>
      </c>
      <c r="J919" s="987" t="str">
        <f>IF(A919="","",IFERROR(INDEX('Facturación 2026'!$L$4:$L$500,MATCH($A919,'Facturación 2026'!$A$4:$A$500,0)),""))</f>
        <v/>
      </c>
    </row>
    <row r="920" spans="1:10" ht="15.75" customHeight="1">
      <c r="A920" s="990"/>
      <c r="B920" s="145"/>
      <c r="C920" s="145"/>
      <c r="D920" s="145"/>
      <c r="E920" s="145"/>
      <c r="F920" s="145"/>
      <c r="G920" s="145"/>
      <c r="H920" s="145"/>
      <c r="I920" s="145"/>
      <c r="J920" s="145"/>
    </row>
    <row r="921" spans="1:10" ht="15.75" customHeight="1">
      <c r="A921" s="990"/>
      <c r="B921" s="145"/>
      <c r="C921" s="145"/>
      <c r="D921" s="145"/>
      <c r="E921" s="145"/>
      <c r="F921" s="145"/>
      <c r="G921" s="145"/>
      <c r="H921" s="145"/>
      <c r="I921" s="145"/>
      <c r="J921" s="145"/>
    </row>
    <row r="922" spans="1:10" ht="15.75" customHeight="1">
      <c r="A922" s="990"/>
      <c r="B922" s="145"/>
      <c r="C922" s="145"/>
      <c r="D922" s="145"/>
      <c r="E922" s="145"/>
      <c r="F922" s="145"/>
      <c r="G922" s="145"/>
      <c r="H922" s="145"/>
      <c r="I922" s="145"/>
      <c r="J922" s="145"/>
    </row>
    <row r="923" spans="1:10" ht="15.75" customHeight="1">
      <c r="A923" s="990"/>
      <c r="B923" s="145"/>
      <c r="C923" s="145"/>
      <c r="D923" s="145"/>
      <c r="E923" s="145"/>
      <c r="F923" s="145"/>
      <c r="G923" s="145"/>
      <c r="H923" s="145"/>
      <c r="I923" s="145"/>
      <c r="J923" s="145"/>
    </row>
    <row r="924" spans="1:10" ht="15.75" customHeight="1">
      <c r="A924" s="990"/>
      <c r="B924" s="145"/>
      <c r="C924" s="145"/>
      <c r="D924" s="145"/>
      <c r="E924" s="145"/>
      <c r="F924" s="145"/>
      <c r="G924" s="145"/>
      <c r="H924" s="145"/>
      <c r="I924" s="145"/>
      <c r="J924" s="145"/>
    </row>
    <row r="925" spans="1:10" ht="15.75" customHeight="1">
      <c r="A925" s="1194"/>
      <c r="B925" s="1140"/>
      <c r="C925" s="1140"/>
      <c r="D925" s="1140"/>
      <c r="E925" s="1140"/>
      <c r="F925" s="1140"/>
      <c r="G925" s="145"/>
      <c r="H925" s="145"/>
      <c r="I925" s="145"/>
      <c r="J925" s="145"/>
    </row>
    <row r="926" spans="1:10" ht="15.75" customHeight="1">
      <c r="A926" s="990"/>
      <c r="B926" s="145"/>
      <c r="C926" s="145"/>
      <c r="D926" s="145"/>
      <c r="E926" s="145"/>
      <c r="F926" s="145"/>
      <c r="G926" s="145"/>
      <c r="H926" s="145"/>
      <c r="I926" s="145"/>
      <c r="J926" s="145"/>
    </row>
    <row r="927" spans="1:10" ht="15.75" customHeight="1">
      <c r="A927" s="990"/>
      <c r="B927" s="145"/>
      <c r="C927" s="145"/>
      <c r="D927" s="145"/>
      <c r="E927" s="145"/>
      <c r="F927" s="145"/>
      <c r="G927" s="145"/>
      <c r="H927" s="145"/>
      <c r="I927" s="145"/>
      <c r="J927" s="145"/>
    </row>
    <row r="928" spans="1:10" ht="15.75" customHeight="1">
      <c r="A928" s="990"/>
      <c r="B928" s="145"/>
      <c r="C928" s="145"/>
      <c r="D928" s="145"/>
      <c r="E928" s="145"/>
      <c r="F928" s="145"/>
      <c r="G928" s="145"/>
      <c r="H928" s="145"/>
      <c r="I928" s="145"/>
      <c r="J928" s="145"/>
    </row>
    <row r="929" spans="1:10" ht="15.75" customHeight="1">
      <c r="A929" s="990"/>
      <c r="B929" s="145"/>
      <c r="C929" s="145"/>
      <c r="D929" s="145"/>
      <c r="E929" s="145"/>
      <c r="F929" s="145"/>
      <c r="G929" s="145"/>
      <c r="H929" s="145"/>
      <c r="I929" s="145"/>
      <c r="J929" s="145"/>
    </row>
    <row r="930" spans="1:10" ht="15.75" customHeight="1">
      <c r="A930" s="990"/>
      <c r="B930" s="145"/>
      <c r="C930" s="145"/>
      <c r="D930" s="145"/>
      <c r="E930" s="145"/>
      <c r="F930" s="145"/>
      <c r="G930" s="145"/>
      <c r="H930" s="145"/>
      <c r="I930" s="145"/>
      <c r="J930" s="145"/>
    </row>
    <row r="931" spans="1:10" ht="15.75" customHeight="1">
      <c r="A931" s="990"/>
      <c r="B931" s="145"/>
      <c r="C931" s="145"/>
      <c r="D931" s="145"/>
      <c r="E931" s="145"/>
      <c r="F931" s="145"/>
      <c r="G931" s="145"/>
      <c r="H931" s="145"/>
      <c r="I931" s="145"/>
      <c r="J931" s="145"/>
    </row>
    <row r="932" spans="1:10" ht="15.75" customHeight="1">
      <c r="A932" s="990"/>
      <c r="B932" s="145"/>
      <c r="C932" s="145"/>
      <c r="D932" s="145"/>
      <c r="E932" s="145"/>
      <c r="F932" s="145"/>
      <c r="G932" s="145"/>
      <c r="H932" s="145"/>
      <c r="I932" s="145"/>
      <c r="J932" s="145"/>
    </row>
    <row r="933" spans="1:10" ht="15.75" customHeight="1">
      <c r="A933" s="990"/>
      <c r="B933" s="145"/>
      <c r="C933" s="145"/>
      <c r="D933" s="145"/>
      <c r="E933" s="145"/>
      <c r="F933" s="145"/>
      <c r="G933" s="145"/>
      <c r="H933" s="145"/>
      <c r="I933" s="145"/>
      <c r="J933" s="145"/>
    </row>
    <row r="934" spans="1:10" ht="15.75" customHeight="1">
      <c r="A934" s="990"/>
      <c r="B934" s="145"/>
      <c r="C934" s="145"/>
      <c r="D934" s="145"/>
      <c r="E934" s="145"/>
      <c r="F934" s="145"/>
      <c r="G934" s="145"/>
      <c r="H934" s="145"/>
      <c r="I934" s="145"/>
      <c r="J934" s="145"/>
    </row>
    <row r="935" spans="1:10" ht="15.75" customHeight="1">
      <c r="A935" s="990"/>
      <c r="B935" s="145"/>
      <c r="C935" s="145"/>
      <c r="D935" s="145"/>
      <c r="E935" s="145"/>
      <c r="F935" s="145"/>
      <c r="G935" s="145"/>
      <c r="H935" s="145"/>
      <c r="I935" s="145"/>
      <c r="J935" s="145"/>
    </row>
    <row r="936" spans="1:10" ht="15.75" customHeight="1">
      <c r="A936" s="990"/>
      <c r="B936" s="145"/>
      <c r="C936" s="145"/>
      <c r="D936" s="145"/>
      <c r="E936" s="145"/>
      <c r="F936" s="145"/>
      <c r="G936" s="145"/>
      <c r="H936" s="145"/>
      <c r="I936" s="145"/>
      <c r="J936" s="145"/>
    </row>
    <row r="937" spans="1:10" ht="15.75" customHeight="1">
      <c r="A937" s="990"/>
      <c r="B937" s="145"/>
      <c r="C937" s="145"/>
      <c r="D937" s="145"/>
      <c r="E937" s="145"/>
      <c r="F937" s="145"/>
      <c r="G937" s="145"/>
      <c r="H937" s="145"/>
      <c r="I937" s="145"/>
      <c r="J937" s="145"/>
    </row>
    <row r="938" spans="1:10" ht="15.75" customHeight="1">
      <c r="A938" s="990"/>
      <c r="B938" s="145"/>
      <c r="C938" s="145"/>
      <c r="D938" s="145"/>
      <c r="E938" s="145"/>
      <c r="F938" s="145"/>
      <c r="G938" s="145"/>
      <c r="H938" s="145"/>
      <c r="I938" s="145"/>
      <c r="J938" s="145"/>
    </row>
    <row r="939" spans="1:10" ht="15.75" customHeight="1">
      <c r="A939" s="990"/>
      <c r="B939" s="145"/>
      <c r="C939" s="145"/>
      <c r="D939" s="145"/>
      <c r="E939" s="145"/>
      <c r="F939" s="145"/>
      <c r="G939" s="145"/>
      <c r="H939" s="145"/>
      <c r="I939" s="145"/>
      <c r="J939" s="145"/>
    </row>
    <row r="940" spans="1:10" ht="15.75" customHeight="1">
      <c r="A940" s="990"/>
      <c r="B940" s="145"/>
      <c r="C940" s="145"/>
      <c r="D940" s="145"/>
      <c r="E940" s="145"/>
      <c r="F940" s="145"/>
      <c r="G940" s="145"/>
      <c r="H940" s="145"/>
      <c r="I940" s="145"/>
      <c r="J940" s="145"/>
    </row>
    <row r="941" spans="1:10" ht="15.75" customHeight="1">
      <c r="A941" s="990"/>
      <c r="B941" s="145"/>
      <c r="C941" s="145"/>
      <c r="D941" s="145"/>
      <c r="E941" s="145"/>
      <c r="F941" s="145"/>
      <c r="G941" s="145"/>
      <c r="H941" s="145"/>
      <c r="I941" s="145"/>
      <c r="J941" s="145"/>
    </row>
    <row r="942" spans="1:10" ht="15.75" customHeight="1">
      <c r="A942" s="990"/>
      <c r="B942" s="145"/>
      <c r="C942" s="145"/>
      <c r="D942" s="145"/>
      <c r="E942" s="145"/>
      <c r="F942" s="145"/>
      <c r="G942" s="145"/>
      <c r="H942" s="145"/>
      <c r="I942" s="145"/>
      <c r="J942" s="145"/>
    </row>
    <row r="943" spans="1:10" ht="15.75" customHeight="1">
      <c r="A943" s="990"/>
      <c r="B943" s="145"/>
      <c r="C943" s="145"/>
      <c r="D943" s="145"/>
      <c r="E943" s="145"/>
      <c r="F943" s="145"/>
      <c r="G943" s="145"/>
      <c r="H943" s="145"/>
      <c r="I943" s="145"/>
      <c r="J943" s="145"/>
    </row>
    <row r="944" spans="1:10" ht="15.75" customHeight="1">
      <c r="A944" s="990"/>
      <c r="B944" s="145"/>
      <c r="C944" s="145"/>
      <c r="D944" s="145"/>
      <c r="E944" s="145"/>
      <c r="F944" s="145"/>
      <c r="G944" s="145"/>
      <c r="H944" s="145"/>
      <c r="I944" s="145"/>
      <c r="J944" s="145"/>
    </row>
    <row r="945" spans="1:10" ht="15.75" customHeight="1">
      <c r="A945" s="990"/>
      <c r="B945" s="145"/>
      <c r="C945" s="145"/>
      <c r="D945" s="145"/>
      <c r="E945" s="145"/>
      <c r="F945" s="145"/>
      <c r="G945" s="145"/>
      <c r="H945" s="145"/>
      <c r="I945" s="145"/>
      <c r="J945" s="145"/>
    </row>
    <row r="946" spans="1:10" ht="15.75" customHeight="1">
      <c r="A946" s="990"/>
      <c r="B946" s="145"/>
      <c r="C946" s="145"/>
      <c r="D946" s="145"/>
      <c r="E946" s="145"/>
      <c r="F946" s="145"/>
      <c r="G946" s="145"/>
      <c r="H946" s="145"/>
      <c r="I946" s="145"/>
      <c r="J946" s="145"/>
    </row>
    <row r="947" spans="1:10" ht="15.75" customHeight="1">
      <c r="A947" s="990"/>
      <c r="B947" s="145"/>
      <c r="C947" s="145"/>
      <c r="D947" s="145"/>
      <c r="E947" s="145"/>
      <c r="F947" s="145"/>
      <c r="G947" s="145"/>
      <c r="H947" s="145"/>
      <c r="I947" s="145"/>
      <c r="J947" s="145"/>
    </row>
    <row r="948" spans="1:10" ht="15.75" customHeight="1">
      <c r="A948" s="990"/>
      <c r="B948" s="145"/>
      <c r="C948" s="145"/>
      <c r="D948" s="145"/>
      <c r="E948" s="145"/>
      <c r="F948" s="145"/>
      <c r="G948" s="145"/>
      <c r="H948" s="145"/>
      <c r="I948" s="145"/>
      <c r="J948" s="145"/>
    </row>
    <row r="949" spans="1:10" ht="15.75" customHeight="1">
      <c r="A949" s="990"/>
      <c r="B949" s="145"/>
      <c r="C949" s="145"/>
      <c r="D949" s="145"/>
      <c r="E949" s="145"/>
      <c r="F949" s="145"/>
      <c r="G949" s="145"/>
      <c r="H949" s="145"/>
      <c r="I949" s="145"/>
      <c r="J949" s="145"/>
    </row>
    <row r="950" spans="1:10" ht="15.75" customHeight="1">
      <c r="A950" s="990"/>
      <c r="B950" s="145"/>
      <c r="C950" s="145"/>
      <c r="D950" s="145"/>
      <c r="E950" s="145"/>
      <c r="F950" s="145"/>
      <c r="G950" s="145"/>
      <c r="H950" s="145"/>
      <c r="I950" s="145"/>
      <c r="J950" s="145"/>
    </row>
    <row r="951" spans="1:10" ht="15.75" customHeight="1">
      <c r="A951" s="990"/>
      <c r="B951" s="145"/>
      <c r="C951" s="145"/>
      <c r="D951" s="145"/>
      <c r="E951" s="145"/>
      <c r="F951" s="145"/>
      <c r="G951" s="145"/>
      <c r="H951" s="145"/>
      <c r="I951" s="145"/>
      <c r="J951" s="145"/>
    </row>
    <row r="952" spans="1:10" ht="15.75" customHeight="1">
      <c r="A952" s="990"/>
      <c r="B952" s="145"/>
      <c r="C952" s="145"/>
      <c r="D952" s="145"/>
      <c r="E952" s="145"/>
      <c r="F952" s="145"/>
      <c r="G952" s="145"/>
      <c r="H952" s="145"/>
      <c r="I952" s="145"/>
      <c r="J952" s="145"/>
    </row>
    <row r="953" spans="1:10" ht="15.75" customHeight="1">
      <c r="A953" s="990"/>
      <c r="B953" s="145"/>
      <c r="C953" s="145"/>
      <c r="D953" s="145"/>
      <c r="E953" s="145"/>
      <c r="F953" s="145"/>
      <c r="G953" s="145"/>
      <c r="H953" s="145"/>
      <c r="I953" s="145"/>
      <c r="J953" s="145"/>
    </row>
    <row r="954" spans="1:10" ht="15.75" customHeight="1">
      <c r="A954" s="990"/>
      <c r="B954" s="145"/>
      <c r="C954" s="145"/>
      <c r="D954" s="145"/>
      <c r="E954" s="145"/>
      <c r="F954" s="145"/>
      <c r="G954" s="145"/>
      <c r="H954" s="145"/>
      <c r="I954" s="145"/>
      <c r="J954" s="145"/>
    </row>
    <row r="955" spans="1:10" ht="15.75" customHeight="1">
      <c r="A955" s="990"/>
      <c r="B955" s="145"/>
      <c r="C955" s="145"/>
      <c r="D955" s="145"/>
      <c r="E955" s="145"/>
      <c r="F955" s="145"/>
      <c r="G955" s="145"/>
      <c r="H955" s="145"/>
      <c r="I955" s="145"/>
      <c r="J955" s="145"/>
    </row>
    <row r="956" spans="1:10" ht="15.75" customHeight="1">
      <c r="A956" s="990"/>
      <c r="B956" s="145"/>
      <c r="C956" s="145"/>
      <c r="D956" s="145"/>
      <c r="E956" s="145"/>
      <c r="F956" s="145"/>
      <c r="G956" s="145"/>
      <c r="H956" s="145"/>
      <c r="I956" s="145"/>
      <c r="J956" s="145"/>
    </row>
    <row r="957" spans="1:10" ht="15.75" customHeight="1">
      <c r="A957" s="990"/>
      <c r="B957" s="145"/>
      <c r="C957" s="145"/>
      <c r="D957" s="145"/>
      <c r="E957" s="145"/>
      <c r="F957" s="145"/>
      <c r="G957" s="145"/>
      <c r="H957" s="145"/>
      <c r="I957" s="145"/>
      <c r="J957" s="145"/>
    </row>
    <row r="958" spans="1:10" ht="15.75" customHeight="1">
      <c r="A958" s="990"/>
      <c r="B958" s="145"/>
      <c r="C958" s="145"/>
      <c r="D958" s="145"/>
      <c r="E958" s="145"/>
      <c r="F958" s="145"/>
      <c r="G958" s="145"/>
      <c r="H958" s="145"/>
      <c r="I958" s="145"/>
      <c r="J958" s="145"/>
    </row>
    <row r="959" spans="1:10" ht="15.75" customHeight="1">
      <c r="A959" s="990"/>
      <c r="B959" s="145"/>
      <c r="C959" s="145"/>
      <c r="D959" s="145"/>
      <c r="E959" s="145"/>
      <c r="F959" s="145"/>
      <c r="G959" s="145"/>
      <c r="H959" s="145"/>
      <c r="I959" s="145"/>
      <c r="J959" s="145"/>
    </row>
    <row r="960" spans="1:10" ht="15.75" customHeight="1">
      <c r="A960" s="990"/>
      <c r="B960" s="145"/>
      <c r="C960" s="145"/>
      <c r="D960" s="145"/>
      <c r="E960" s="145"/>
      <c r="F960" s="145"/>
      <c r="G960" s="145"/>
      <c r="H960" s="145"/>
      <c r="I960" s="145"/>
      <c r="J960" s="145"/>
    </row>
    <row r="961" spans="1:10" ht="15.75" customHeight="1">
      <c r="A961" s="990"/>
      <c r="B961" s="145"/>
      <c r="C961" s="145"/>
      <c r="D961" s="145"/>
      <c r="E961" s="145"/>
      <c r="F961" s="145"/>
      <c r="G961" s="145"/>
      <c r="H961" s="145"/>
      <c r="I961" s="145"/>
      <c r="J961" s="145"/>
    </row>
    <row r="962" spans="1:10" ht="15.75" customHeight="1">
      <c r="A962" s="990"/>
      <c r="B962" s="145"/>
      <c r="C962" s="145"/>
      <c r="D962" s="145"/>
      <c r="E962" s="145"/>
      <c r="F962" s="145"/>
      <c r="G962" s="145"/>
      <c r="H962" s="145"/>
      <c r="I962" s="145"/>
      <c r="J962" s="145"/>
    </row>
    <row r="963" spans="1:10" ht="15.75" customHeight="1">
      <c r="A963" s="990"/>
      <c r="B963" s="145"/>
      <c r="C963" s="145"/>
      <c r="D963" s="145"/>
      <c r="E963" s="145"/>
      <c r="F963" s="145"/>
      <c r="G963" s="145"/>
      <c r="H963" s="145"/>
      <c r="I963" s="145"/>
      <c r="J963" s="145"/>
    </row>
    <row r="964" spans="1:10" ht="15.75" customHeight="1">
      <c r="A964" s="990"/>
      <c r="B964" s="145"/>
      <c r="C964" s="145"/>
      <c r="D964" s="145"/>
      <c r="E964" s="145"/>
      <c r="F964" s="145"/>
      <c r="G964" s="145"/>
      <c r="H964" s="145"/>
      <c r="I964" s="145"/>
      <c r="J964" s="145"/>
    </row>
    <row r="965" spans="1:10" ht="15.75" customHeight="1">
      <c r="A965" s="990"/>
      <c r="B965" s="145"/>
      <c r="C965" s="145"/>
      <c r="D965" s="145"/>
      <c r="E965" s="145"/>
      <c r="F965" s="145"/>
      <c r="G965" s="145"/>
      <c r="H965" s="145"/>
      <c r="I965" s="145"/>
      <c r="J965" s="145"/>
    </row>
    <row r="966" spans="1:10" ht="15.75" customHeight="1">
      <c r="A966" s="990"/>
      <c r="B966" s="145"/>
      <c r="C966" s="145"/>
      <c r="D966" s="145"/>
      <c r="E966" s="145"/>
      <c r="F966" s="145"/>
      <c r="G966" s="145"/>
      <c r="H966" s="145"/>
      <c r="I966" s="145"/>
      <c r="J966" s="145"/>
    </row>
    <row r="967" spans="1:10" ht="15.75" customHeight="1">
      <c r="A967" s="990"/>
      <c r="B967" s="145"/>
      <c r="C967" s="145"/>
      <c r="D967" s="145"/>
      <c r="E967" s="145"/>
      <c r="F967" s="145"/>
      <c r="G967" s="145"/>
      <c r="H967" s="145"/>
      <c r="I967" s="145"/>
      <c r="J967" s="145"/>
    </row>
    <row r="968" spans="1:10" ht="15.75" customHeight="1">
      <c r="A968" s="990"/>
      <c r="B968" s="145"/>
      <c r="C968" s="145"/>
      <c r="D968" s="145"/>
      <c r="E968" s="145"/>
      <c r="F968" s="145"/>
      <c r="G968" s="145"/>
      <c r="H968" s="145"/>
      <c r="I968" s="145"/>
      <c r="J968" s="145"/>
    </row>
    <row r="969" spans="1:10" ht="15.75" customHeight="1">
      <c r="A969" s="990"/>
      <c r="B969" s="145"/>
      <c r="C969" s="145"/>
      <c r="D969" s="145"/>
      <c r="E969" s="145"/>
      <c r="F969" s="145"/>
      <c r="G969" s="145"/>
      <c r="H969" s="145"/>
      <c r="I969" s="145"/>
      <c r="J969" s="145"/>
    </row>
    <row r="970" spans="1:10" ht="15.75" customHeight="1">
      <c r="A970" s="990"/>
      <c r="B970" s="145"/>
      <c r="C970" s="145"/>
      <c r="D970" s="145"/>
      <c r="E970" s="145"/>
      <c r="F970" s="145"/>
      <c r="G970" s="145"/>
      <c r="H970" s="145"/>
      <c r="I970" s="145"/>
      <c r="J970" s="145"/>
    </row>
    <row r="971" spans="1:10" ht="15.75" customHeight="1">
      <c r="A971" s="990"/>
      <c r="B971" s="145"/>
      <c r="C971" s="145"/>
      <c r="D971" s="145"/>
      <c r="E971" s="145"/>
      <c r="F971" s="145"/>
      <c r="G971" s="145"/>
      <c r="H971" s="145"/>
      <c r="I971" s="145"/>
      <c r="J971" s="145"/>
    </row>
    <row r="972" spans="1:10" ht="15.75" customHeight="1">
      <c r="A972" s="990"/>
      <c r="B972" s="145"/>
      <c r="C972" s="145"/>
      <c r="D972" s="145"/>
      <c r="E972" s="145"/>
      <c r="F972" s="145"/>
      <c r="G972" s="145"/>
      <c r="H972" s="145"/>
      <c r="I972" s="145"/>
      <c r="J972" s="145"/>
    </row>
    <row r="973" spans="1:10" ht="15.75" customHeight="1">
      <c r="A973" s="990"/>
      <c r="B973" s="145"/>
      <c r="C973" s="145"/>
      <c r="D973" s="145"/>
      <c r="E973" s="145"/>
      <c r="F973" s="145"/>
      <c r="G973" s="145"/>
      <c r="H973" s="145"/>
      <c r="I973" s="145"/>
      <c r="J973" s="145"/>
    </row>
    <row r="974" spans="1:10" ht="15.75" customHeight="1">
      <c r="A974" s="990"/>
      <c r="B974" s="145"/>
      <c r="C974" s="145"/>
      <c r="D974" s="145"/>
      <c r="E974" s="145"/>
      <c r="F974" s="145"/>
      <c r="G974" s="145"/>
      <c r="H974" s="145"/>
      <c r="I974" s="145"/>
      <c r="J974" s="145"/>
    </row>
    <row r="975" spans="1:10" ht="15.75" customHeight="1">
      <c r="A975" s="990"/>
      <c r="B975" s="145"/>
      <c r="C975" s="145"/>
      <c r="D975" s="145"/>
      <c r="E975" s="145"/>
      <c r="F975" s="145"/>
      <c r="G975" s="145"/>
      <c r="H975" s="145"/>
      <c r="I975" s="145"/>
      <c r="J975" s="145"/>
    </row>
    <row r="976" spans="1:10" ht="15.75" customHeight="1">
      <c r="A976" s="990"/>
      <c r="B976" s="145"/>
      <c r="C976" s="145"/>
      <c r="D976" s="145"/>
      <c r="E976" s="145"/>
      <c r="F976" s="145"/>
      <c r="G976" s="145"/>
      <c r="H976" s="145"/>
      <c r="I976" s="145"/>
      <c r="J976" s="145"/>
    </row>
    <row r="977" spans="1:10" ht="15.75" customHeight="1">
      <c r="A977" s="990"/>
      <c r="B977" s="145"/>
      <c r="C977" s="145"/>
      <c r="D977" s="145"/>
      <c r="E977" s="145"/>
      <c r="F977" s="145"/>
      <c r="G977" s="145"/>
      <c r="H977" s="145"/>
      <c r="I977" s="145"/>
      <c r="J977" s="145"/>
    </row>
    <row r="978" spans="1:10" ht="15.75" customHeight="1">
      <c r="A978" s="990"/>
      <c r="B978" s="145"/>
      <c r="C978" s="145"/>
      <c r="D978" s="145"/>
      <c r="E978" s="145"/>
      <c r="F978" s="145"/>
      <c r="G978" s="145"/>
      <c r="H978" s="145"/>
      <c r="I978" s="145"/>
      <c r="J978" s="145"/>
    </row>
    <row r="979" spans="1:10" ht="15.75" customHeight="1">
      <c r="A979" s="990"/>
      <c r="B979" s="145"/>
      <c r="C979" s="145"/>
      <c r="D979" s="145"/>
      <c r="E979" s="145"/>
      <c r="F979" s="145"/>
      <c r="G979" s="145"/>
      <c r="H979" s="145"/>
      <c r="I979" s="145"/>
      <c r="J979" s="145"/>
    </row>
    <row r="980" spans="1:10" ht="15.75" customHeight="1">
      <c r="A980" s="990"/>
      <c r="B980" s="145"/>
      <c r="C980" s="145"/>
      <c r="D980" s="145"/>
      <c r="E980" s="145"/>
      <c r="F980" s="145"/>
      <c r="G980" s="145"/>
      <c r="H980" s="145"/>
      <c r="I980" s="145"/>
      <c r="J980" s="145"/>
    </row>
    <row r="981" spans="1:10" ht="15.75" customHeight="1">
      <c r="A981" s="990"/>
      <c r="B981" s="145"/>
      <c r="C981" s="145"/>
      <c r="D981" s="145"/>
      <c r="E981" s="145"/>
      <c r="F981" s="145"/>
      <c r="G981" s="145"/>
      <c r="H981" s="145"/>
      <c r="I981" s="145"/>
      <c r="J981" s="145"/>
    </row>
    <row r="982" spans="1:10" ht="15.75" customHeight="1">
      <c r="A982" s="990"/>
      <c r="B982" s="145"/>
      <c r="C982" s="145"/>
      <c r="D982" s="145"/>
      <c r="E982" s="145"/>
      <c r="F982" s="145"/>
      <c r="G982" s="145"/>
      <c r="H982" s="145"/>
      <c r="I982" s="145"/>
      <c r="J982" s="145"/>
    </row>
    <row r="983" spans="1:10" ht="15.75" customHeight="1">
      <c r="A983" s="990"/>
      <c r="B983" s="145"/>
      <c r="C983" s="145"/>
      <c r="D983" s="145"/>
      <c r="E983" s="145"/>
      <c r="F983" s="145"/>
      <c r="G983" s="145"/>
      <c r="H983" s="145"/>
      <c r="I983" s="145"/>
      <c r="J983" s="145"/>
    </row>
    <row r="984" spans="1:10" ht="15.75" customHeight="1">
      <c r="A984" s="990"/>
      <c r="B984" s="145"/>
      <c r="C984" s="145"/>
      <c r="D984" s="145"/>
      <c r="E984" s="145"/>
      <c r="F984" s="145"/>
      <c r="G984" s="145"/>
      <c r="H984" s="145"/>
      <c r="I984" s="145"/>
      <c r="J984" s="145"/>
    </row>
    <row r="985" spans="1:10" ht="15.75" customHeight="1">
      <c r="A985" s="990"/>
      <c r="B985" s="145"/>
      <c r="C985" s="145"/>
      <c r="D985" s="145"/>
      <c r="E985" s="145"/>
      <c r="F985" s="145"/>
      <c r="G985" s="145"/>
      <c r="H985" s="145"/>
      <c r="I985" s="145"/>
      <c r="J985" s="145"/>
    </row>
    <row r="986" spans="1:10" ht="15.75" customHeight="1">
      <c r="A986" s="990"/>
      <c r="B986" s="145"/>
      <c r="C986" s="145"/>
      <c r="D986" s="145"/>
      <c r="E986" s="145"/>
      <c r="F986" s="145"/>
      <c r="G986" s="145"/>
      <c r="H986" s="145"/>
      <c r="I986" s="145"/>
      <c r="J986" s="145"/>
    </row>
    <row r="987" spans="1:10" ht="15.75" customHeight="1">
      <c r="A987" s="990"/>
      <c r="B987" s="145"/>
      <c r="C987" s="145"/>
      <c r="D987" s="145"/>
      <c r="E987" s="145"/>
      <c r="F987" s="145"/>
      <c r="G987" s="145"/>
      <c r="H987" s="145"/>
      <c r="I987" s="145"/>
      <c r="J987" s="145"/>
    </row>
    <row r="988" spans="1:10" ht="15.75" customHeight="1">
      <c r="A988" s="990"/>
      <c r="B988" s="145"/>
      <c r="C988" s="145"/>
      <c r="D988" s="145"/>
      <c r="E988" s="145"/>
      <c r="F988" s="145"/>
      <c r="G988" s="145"/>
      <c r="H988" s="145"/>
      <c r="I988" s="145"/>
      <c r="J988" s="145"/>
    </row>
    <row r="989" spans="1:10" ht="15.75" customHeight="1">
      <c r="A989" s="990"/>
      <c r="B989" s="145"/>
      <c r="C989" s="145"/>
      <c r="D989" s="145"/>
      <c r="E989" s="145"/>
      <c r="F989" s="145"/>
      <c r="G989" s="145"/>
      <c r="H989" s="145"/>
      <c r="I989" s="145"/>
      <c r="J989" s="145"/>
    </row>
    <row r="990" spans="1:10" ht="15.75" customHeight="1">
      <c r="A990" s="990"/>
      <c r="B990" s="145"/>
      <c r="C990" s="145"/>
      <c r="D990" s="145"/>
      <c r="E990" s="145"/>
      <c r="F990" s="145"/>
      <c r="G990" s="145"/>
      <c r="H990" s="145"/>
      <c r="I990" s="145"/>
      <c r="J990" s="145"/>
    </row>
    <row r="991" spans="1:10" ht="15.75" customHeight="1">
      <c r="A991" s="990"/>
      <c r="B991" s="145"/>
      <c r="C991" s="145"/>
      <c r="D991" s="145"/>
      <c r="E991" s="145"/>
      <c r="F991" s="145"/>
      <c r="G991" s="145"/>
      <c r="H991" s="145"/>
      <c r="I991" s="145"/>
      <c r="J991" s="145"/>
    </row>
    <row r="992" spans="1:10" ht="15.75" customHeight="1">
      <c r="A992" s="990"/>
      <c r="B992" s="145"/>
      <c r="C992" s="145"/>
      <c r="D992" s="145"/>
      <c r="E992" s="145"/>
      <c r="F992" s="145"/>
      <c r="G992" s="145"/>
      <c r="H992" s="145"/>
      <c r="I992" s="145"/>
      <c r="J992" s="145"/>
    </row>
    <row r="993" spans="1:10" ht="15.75" customHeight="1">
      <c r="A993" s="990"/>
      <c r="B993" s="145"/>
      <c r="C993" s="145"/>
      <c r="D993" s="145"/>
      <c r="E993" s="145"/>
      <c r="F993" s="145"/>
      <c r="G993" s="145"/>
      <c r="H993" s="145"/>
      <c r="I993" s="145"/>
      <c r="J993" s="145"/>
    </row>
    <row r="994" spans="1:10" ht="15.75" customHeight="1">
      <c r="A994" s="990"/>
      <c r="B994" s="145"/>
      <c r="C994" s="145"/>
      <c r="D994" s="145"/>
      <c r="E994" s="145"/>
      <c r="F994" s="145"/>
      <c r="G994" s="145"/>
      <c r="H994" s="145"/>
      <c r="I994" s="145"/>
      <c r="J994" s="145"/>
    </row>
    <row r="995" spans="1:10" ht="15.75" customHeight="1">
      <c r="A995" s="990"/>
      <c r="B995" s="145"/>
      <c r="C995" s="145"/>
      <c r="D995" s="145"/>
      <c r="E995" s="145"/>
      <c r="F995" s="145"/>
      <c r="G995" s="145"/>
      <c r="H995" s="145"/>
      <c r="I995" s="145"/>
      <c r="J995" s="145"/>
    </row>
    <row r="996" spans="1:10" ht="15.75" customHeight="1">
      <c r="A996" s="990"/>
      <c r="B996" s="145"/>
      <c r="C996" s="145"/>
      <c r="D996" s="145"/>
      <c r="E996" s="145"/>
      <c r="F996" s="145"/>
      <c r="G996" s="145"/>
      <c r="H996" s="145"/>
      <c r="I996" s="145"/>
      <c r="J996" s="145"/>
    </row>
    <row r="997" spans="1:10" ht="15.75" customHeight="1">
      <c r="A997" s="990"/>
      <c r="B997" s="145"/>
      <c r="C997" s="145"/>
      <c r="D997" s="145"/>
      <c r="E997" s="145"/>
      <c r="F997" s="145"/>
      <c r="G997" s="145"/>
      <c r="H997" s="145"/>
      <c r="I997" s="145"/>
      <c r="J997" s="145"/>
    </row>
    <row r="998" spans="1:10" ht="15.75" customHeight="1">
      <c r="A998" s="990"/>
      <c r="B998" s="145"/>
      <c r="C998" s="145"/>
      <c r="D998" s="145"/>
      <c r="E998" s="145"/>
      <c r="F998" s="145"/>
      <c r="G998" s="145"/>
      <c r="H998" s="145"/>
      <c r="I998" s="145"/>
      <c r="J998" s="145"/>
    </row>
    <row r="999" spans="1:10" ht="15.75" customHeight="1">
      <c r="A999" s="990"/>
      <c r="B999" s="145"/>
      <c r="C999" s="145"/>
      <c r="D999" s="145"/>
      <c r="E999" s="145"/>
      <c r="F999" s="145"/>
      <c r="G999" s="145"/>
      <c r="H999" s="145"/>
      <c r="I999" s="145"/>
      <c r="J999" s="145"/>
    </row>
    <row r="1000" spans="1:10" ht="15.75" customHeight="1">
      <c r="A1000" s="990"/>
      <c r="B1000" s="145"/>
      <c r="C1000" s="145"/>
      <c r="D1000" s="145"/>
      <c r="E1000" s="145"/>
      <c r="F1000" s="145"/>
      <c r="G1000" s="145"/>
      <c r="H1000" s="145"/>
      <c r="I1000" s="145"/>
      <c r="J1000" s="145"/>
    </row>
    <row r="1001" spans="1:10" ht="15.75" customHeight="1">
      <c r="A1001" s="990"/>
      <c r="B1001" s="145"/>
      <c r="C1001" s="145"/>
      <c r="D1001" s="145"/>
      <c r="E1001" s="145"/>
      <c r="F1001" s="145"/>
      <c r="G1001" s="145"/>
      <c r="H1001" s="145"/>
      <c r="I1001" s="145"/>
      <c r="J1001" s="145"/>
    </row>
    <row r="1002" spans="1:10" ht="15.75" customHeight="1">
      <c r="A1002" s="990"/>
      <c r="B1002" s="145"/>
      <c r="C1002" s="145"/>
      <c r="D1002" s="145"/>
      <c r="E1002" s="145"/>
      <c r="F1002" s="145"/>
      <c r="G1002" s="145"/>
      <c r="H1002" s="145"/>
      <c r="I1002" s="145"/>
      <c r="J1002" s="145"/>
    </row>
    <row r="1003" spans="1:10" ht="15.75" customHeight="1">
      <c r="A1003" s="990"/>
      <c r="B1003" s="145"/>
      <c r="C1003" s="145"/>
      <c r="D1003" s="145"/>
      <c r="E1003" s="145"/>
      <c r="F1003" s="145"/>
      <c r="G1003" s="145"/>
      <c r="H1003" s="145"/>
      <c r="I1003" s="145"/>
      <c r="J1003" s="145"/>
    </row>
    <row r="1004" spans="1:10" ht="15.75" customHeight="1">
      <c r="A1004" s="990"/>
      <c r="B1004" s="145"/>
      <c r="C1004" s="145"/>
      <c r="D1004" s="145"/>
      <c r="E1004" s="145"/>
      <c r="F1004" s="145"/>
      <c r="G1004" s="145"/>
      <c r="H1004" s="145"/>
      <c r="I1004" s="145"/>
      <c r="J1004" s="145"/>
    </row>
    <row r="1005" spans="1:10" ht="15.75" customHeight="1">
      <c r="A1005" s="990"/>
      <c r="B1005" s="145"/>
      <c r="C1005" s="145"/>
      <c r="D1005" s="145"/>
      <c r="E1005" s="145"/>
      <c r="F1005" s="145"/>
      <c r="G1005" s="145"/>
      <c r="H1005" s="145"/>
      <c r="I1005" s="145"/>
      <c r="J1005" s="145"/>
    </row>
    <row r="1006" spans="1:10" ht="15.75" customHeight="1">
      <c r="A1006" s="990"/>
      <c r="B1006" s="145"/>
      <c r="C1006" s="145"/>
      <c r="D1006" s="145"/>
      <c r="E1006" s="145"/>
      <c r="F1006" s="145"/>
      <c r="G1006" s="145"/>
      <c r="H1006" s="145"/>
      <c r="I1006" s="145"/>
      <c r="J1006" s="145"/>
    </row>
    <row r="1007" spans="1:10" ht="15.75" customHeight="1">
      <c r="A1007" s="990"/>
      <c r="B1007" s="145"/>
      <c r="C1007" s="145"/>
      <c r="D1007" s="145"/>
      <c r="E1007" s="145"/>
      <c r="F1007" s="145"/>
      <c r="G1007" s="145"/>
      <c r="H1007" s="145"/>
      <c r="I1007" s="145"/>
      <c r="J1007" s="145"/>
    </row>
    <row r="1008" spans="1:10" ht="15.75" customHeight="1">
      <c r="A1008" s="990"/>
      <c r="B1008" s="145"/>
      <c r="C1008" s="145"/>
      <c r="D1008" s="145"/>
      <c r="E1008" s="145"/>
      <c r="F1008" s="145"/>
      <c r="G1008" s="145"/>
      <c r="H1008" s="145"/>
      <c r="I1008" s="145"/>
      <c r="J1008" s="145"/>
    </row>
    <row r="1009" spans="1:10" ht="15.75" customHeight="1">
      <c r="A1009" s="990"/>
      <c r="B1009" s="145"/>
      <c r="C1009" s="145"/>
      <c r="D1009" s="145"/>
      <c r="E1009" s="145"/>
      <c r="F1009" s="145"/>
      <c r="G1009" s="145"/>
      <c r="H1009" s="145"/>
      <c r="I1009" s="145"/>
      <c r="J1009" s="145"/>
    </row>
    <row r="1010" spans="1:10" ht="15.75" customHeight="1">
      <c r="A1010" s="990"/>
      <c r="B1010" s="145"/>
      <c r="C1010" s="145"/>
      <c r="D1010" s="145"/>
      <c r="E1010" s="145"/>
      <c r="F1010" s="145"/>
      <c r="G1010" s="145"/>
      <c r="H1010" s="145"/>
      <c r="I1010" s="145"/>
      <c r="J1010" s="145"/>
    </row>
    <row r="1011" spans="1:10" ht="15.75" customHeight="1">
      <c r="A1011" s="990"/>
      <c r="B1011" s="145"/>
      <c r="C1011" s="145"/>
      <c r="D1011" s="145"/>
      <c r="E1011" s="145"/>
      <c r="F1011" s="145"/>
      <c r="G1011" s="145"/>
      <c r="H1011" s="145"/>
      <c r="I1011" s="145"/>
      <c r="J1011" s="145"/>
    </row>
    <row r="1012" spans="1:10" ht="15.75" customHeight="1">
      <c r="A1012" s="990"/>
      <c r="B1012" s="145"/>
      <c r="C1012" s="145"/>
      <c r="D1012" s="145"/>
      <c r="E1012" s="145"/>
      <c r="F1012" s="145"/>
      <c r="G1012" s="145"/>
      <c r="H1012" s="145"/>
      <c r="I1012" s="145"/>
      <c r="J1012" s="145"/>
    </row>
    <row r="1013" spans="1:10" ht="15.75" customHeight="1">
      <c r="A1013" s="990"/>
      <c r="B1013" s="145"/>
      <c r="C1013" s="145"/>
      <c r="D1013" s="145"/>
      <c r="E1013" s="145"/>
      <c r="F1013" s="145"/>
      <c r="G1013" s="145"/>
      <c r="H1013" s="145"/>
      <c r="I1013" s="145"/>
      <c r="J1013" s="145"/>
    </row>
    <row r="1014" spans="1:10" ht="15.75" customHeight="1">
      <c r="A1014" s="990"/>
      <c r="B1014" s="145"/>
      <c r="C1014" s="145"/>
      <c r="D1014" s="145"/>
      <c r="E1014" s="145"/>
      <c r="F1014" s="145"/>
      <c r="G1014" s="145"/>
      <c r="H1014" s="145"/>
      <c r="I1014" s="145"/>
      <c r="J1014" s="145"/>
    </row>
    <row r="1015" spans="1:10" ht="15.75" customHeight="1">
      <c r="A1015" s="990"/>
      <c r="B1015" s="145"/>
      <c r="C1015" s="145"/>
      <c r="D1015" s="145"/>
      <c r="E1015" s="145"/>
      <c r="F1015" s="145"/>
      <c r="G1015" s="145"/>
      <c r="H1015" s="145"/>
      <c r="I1015" s="145"/>
      <c r="J1015" s="145"/>
    </row>
    <row r="1016" spans="1:10" ht="15" customHeight="1">
      <c r="A1016" s="1070"/>
      <c r="B1016" s="145"/>
      <c r="C1016" s="145"/>
      <c r="D1016" s="145"/>
      <c r="E1016" s="145"/>
      <c r="F1016" s="145"/>
      <c r="G1016" s="145"/>
      <c r="H1016" s="145"/>
      <c r="I1016" s="145"/>
      <c r="J1016" s="145"/>
    </row>
    <row r="1017" spans="1:10" ht="15" customHeight="1">
      <c r="A1017" s="1070"/>
      <c r="B1017" s="145"/>
      <c r="C1017" s="145"/>
      <c r="D1017" s="145"/>
      <c r="E1017" s="145"/>
      <c r="F1017" s="145"/>
      <c r="G1017" s="145"/>
      <c r="H1017" s="145"/>
      <c r="I1017" s="145"/>
      <c r="J1017" s="145"/>
    </row>
    <row r="1018" spans="1:10" ht="15" customHeight="1">
      <c r="A1018" s="1070"/>
      <c r="B1018" s="145"/>
      <c r="C1018" s="145"/>
      <c r="D1018" s="145"/>
      <c r="E1018" s="145"/>
      <c r="F1018" s="145"/>
      <c r="G1018" s="145"/>
      <c r="H1018" s="145"/>
      <c r="I1018" s="145"/>
      <c r="J1018" s="145"/>
    </row>
    <row r="1019" spans="1:10" ht="15" customHeight="1">
      <c r="A1019" s="1070"/>
      <c r="B1019" s="145"/>
      <c r="C1019" s="145"/>
      <c r="D1019" s="145"/>
      <c r="E1019" s="145"/>
      <c r="F1019" s="145"/>
      <c r="G1019" s="145"/>
      <c r="H1019" s="145"/>
      <c r="I1019" s="145"/>
      <c r="J1019" s="145"/>
    </row>
    <row r="1020" spans="1:10" ht="15" customHeight="1">
      <c r="A1020" s="1070"/>
      <c r="B1020" s="145"/>
      <c r="C1020" s="145"/>
      <c r="D1020" s="145"/>
      <c r="E1020" s="145"/>
      <c r="F1020" s="145"/>
      <c r="G1020" s="145"/>
      <c r="H1020" s="145"/>
      <c r="I1020" s="145"/>
      <c r="J1020" s="145"/>
    </row>
    <row r="1021" spans="1:10" ht="15" customHeight="1">
      <c r="A1021" s="1070"/>
      <c r="B1021" s="145"/>
      <c r="C1021" s="145"/>
      <c r="D1021" s="145"/>
      <c r="E1021" s="145"/>
      <c r="F1021" s="145"/>
      <c r="G1021" s="145"/>
      <c r="H1021" s="145"/>
      <c r="I1021" s="145"/>
      <c r="J1021" s="145"/>
    </row>
    <row r="1022" spans="1:10" ht="15" customHeight="1">
      <c r="A1022" s="1070"/>
      <c r="B1022" s="145"/>
      <c r="C1022" s="145"/>
      <c r="D1022" s="145"/>
      <c r="E1022" s="145"/>
      <c r="F1022" s="145"/>
      <c r="G1022" s="145"/>
      <c r="H1022" s="145"/>
      <c r="I1022" s="145"/>
      <c r="J1022" s="145"/>
    </row>
    <row r="1023" spans="1:10" ht="15" customHeight="1">
      <c r="A1023" s="1070"/>
      <c r="B1023" s="145"/>
      <c r="C1023" s="145"/>
      <c r="D1023" s="145"/>
      <c r="E1023" s="145"/>
      <c r="F1023" s="145"/>
      <c r="G1023" s="145"/>
      <c r="H1023" s="145"/>
      <c r="I1023" s="145"/>
      <c r="J1023" s="145"/>
    </row>
    <row r="1024" spans="1:10" ht="15" customHeight="1">
      <c r="B1024" s="145"/>
      <c r="C1024" s="145"/>
      <c r="D1024" s="145"/>
      <c r="E1024" s="145"/>
      <c r="F1024" s="145"/>
      <c r="G1024" s="145"/>
      <c r="H1024" s="145"/>
      <c r="I1024" s="145"/>
      <c r="J1024" s="145"/>
    </row>
    <row r="1025" spans="2:10" ht="15" customHeight="1">
      <c r="B1025" s="145"/>
      <c r="C1025" s="145"/>
      <c r="D1025" s="145"/>
      <c r="E1025" s="145"/>
      <c r="F1025" s="145"/>
      <c r="G1025" s="145"/>
      <c r="H1025" s="145"/>
      <c r="I1025" s="145"/>
      <c r="J1025" s="145"/>
    </row>
    <row r="1026" spans="2:10" ht="15" customHeight="1">
      <c r="B1026" s="145"/>
      <c r="C1026" s="145"/>
      <c r="D1026" s="145"/>
      <c r="E1026" s="145"/>
      <c r="F1026" s="145"/>
      <c r="G1026" s="145"/>
      <c r="H1026" s="145"/>
      <c r="I1026" s="145"/>
      <c r="J1026" s="145"/>
    </row>
    <row r="1027" spans="2:10" ht="15" customHeight="1">
      <c r="B1027" s="145"/>
      <c r="C1027" s="145"/>
      <c r="D1027" s="145"/>
      <c r="E1027" s="145"/>
      <c r="F1027" s="145"/>
      <c r="G1027" s="145"/>
      <c r="H1027" s="145"/>
      <c r="I1027" s="145"/>
      <c r="J1027" s="145"/>
    </row>
    <row r="1028" spans="2:10" ht="15" customHeight="1">
      <c r="B1028" s="145"/>
      <c r="C1028" s="145"/>
      <c r="D1028" s="145"/>
      <c r="E1028" s="145"/>
      <c r="F1028" s="145"/>
      <c r="G1028" s="145"/>
      <c r="H1028" s="145"/>
      <c r="I1028" s="145"/>
      <c r="J1028" s="145"/>
    </row>
    <row r="1029" spans="2:10" ht="15" customHeight="1">
      <c r="B1029" s="145"/>
      <c r="C1029" s="145"/>
      <c r="D1029" s="145"/>
      <c r="E1029" s="145"/>
      <c r="F1029" s="145"/>
      <c r="G1029" s="145"/>
      <c r="H1029" s="145"/>
      <c r="I1029" s="145"/>
      <c r="J1029" s="145"/>
    </row>
    <row r="1030" spans="2:10" ht="15" customHeight="1">
      <c r="B1030" s="145"/>
      <c r="C1030" s="145"/>
      <c r="D1030" s="145"/>
      <c r="E1030" s="145"/>
      <c r="F1030" s="145"/>
      <c r="G1030" s="145"/>
      <c r="H1030" s="145"/>
      <c r="I1030" s="145"/>
      <c r="J1030" s="145"/>
    </row>
    <row r="1031" spans="2:10" ht="15" customHeight="1">
      <c r="B1031" s="145"/>
      <c r="C1031" s="145"/>
      <c r="D1031" s="145"/>
      <c r="E1031" s="145"/>
      <c r="F1031" s="145"/>
      <c r="G1031" s="145"/>
      <c r="H1031" s="145"/>
      <c r="I1031" s="145"/>
      <c r="J1031" s="145"/>
    </row>
    <row r="1032" spans="2:10" ht="15" customHeight="1">
      <c r="B1032" s="145"/>
      <c r="C1032" s="145"/>
      <c r="D1032" s="145"/>
      <c r="E1032" s="145"/>
      <c r="F1032" s="145"/>
      <c r="G1032" s="145"/>
      <c r="H1032" s="145"/>
      <c r="I1032" s="145"/>
      <c r="J1032" s="145"/>
    </row>
    <row r="1033" spans="2:10" ht="15" customHeight="1">
      <c r="B1033" s="145"/>
      <c r="C1033" s="145"/>
      <c r="D1033" s="145"/>
      <c r="E1033" s="145"/>
      <c r="F1033" s="145"/>
      <c r="G1033" s="145"/>
      <c r="H1033" s="145"/>
      <c r="I1033" s="145"/>
      <c r="J1033" s="145"/>
    </row>
    <row r="1034" spans="2:10" ht="15" customHeight="1">
      <c r="B1034" s="145"/>
      <c r="C1034" s="145"/>
      <c r="D1034" s="145"/>
      <c r="E1034" s="145"/>
      <c r="F1034" s="145"/>
      <c r="G1034" s="145"/>
      <c r="H1034" s="145"/>
      <c r="I1034" s="145"/>
      <c r="J1034" s="145"/>
    </row>
    <row r="1035" spans="2:10" ht="15" customHeight="1">
      <c r="B1035" s="145"/>
      <c r="C1035" s="145"/>
      <c r="D1035" s="145"/>
      <c r="E1035" s="145"/>
      <c r="F1035" s="145"/>
      <c r="G1035" s="145"/>
      <c r="H1035" s="145"/>
      <c r="I1035" s="145"/>
      <c r="J1035" s="145"/>
    </row>
    <row r="1036" spans="2:10" ht="15" customHeight="1">
      <c r="B1036" s="145"/>
      <c r="C1036" s="145"/>
      <c r="D1036" s="145"/>
      <c r="E1036" s="145"/>
      <c r="F1036" s="145"/>
      <c r="G1036" s="145"/>
      <c r="H1036" s="145"/>
      <c r="I1036" s="145"/>
      <c r="J1036" s="145"/>
    </row>
    <row r="1037" spans="2:10" ht="15" customHeight="1">
      <c r="B1037" s="145"/>
      <c r="C1037" s="145"/>
      <c r="D1037" s="145"/>
      <c r="E1037" s="145"/>
      <c r="F1037" s="145"/>
      <c r="G1037" s="145"/>
      <c r="H1037" s="145"/>
      <c r="I1037" s="145"/>
      <c r="J1037" s="145"/>
    </row>
    <row r="1038" spans="2:10" ht="15" customHeight="1">
      <c r="B1038" s="145"/>
      <c r="C1038" s="145"/>
      <c r="D1038" s="145"/>
      <c r="E1038" s="145"/>
      <c r="F1038" s="145"/>
      <c r="G1038" s="145"/>
      <c r="H1038" s="145"/>
      <c r="I1038" s="145"/>
      <c r="J1038" s="145"/>
    </row>
    <row r="1039" spans="2:10" ht="15" customHeight="1">
      <c r="B1039" s="145"/>
      <c r="C1039" s="145"/>
      <c r="D1039" s="145"/>
      <c r="E1039" s="145"/>
      <c r="F1039" s="145"/>
      <c r="G1039" s="145"/>
      <c r="H1039" s="145"/>
      <c r="I1039" s="145"/>
      <c r="J1039" s="145"/>
    </row>
    <row r="1040" spans="2:10" ht="15" customHeight="1">
      <c r="B1040" s="145"/>
      <c r="C1040" s="145"/>
      <c r="D1040" s="145"/>
      <c r="E1040" s="145"/>
      <c r="F1040" s="145"/>
      <c r="G1040" s="145"/>
      <c r="H1040" s="145"/>
      <c r="I1040" s="145"/>
      <c r="J1040" s="145"/>
    </row>
    <row r="1041" spans="2:10" ht="15" customHeight="1">
      <c r="B1041" s="145"/>
      <c r="C1041" s="145"/>
      <c r="D1041" s="145"/>
      <c r="E1041" s="145"/>
      <c r="F1041" s="145"/>
      <c r="G1041" s="145"/>
      <c r="H1041" s="145"/>
      <c r="I1041" s="145"/>
      <c r="J1041" s="145"/>
    </row>
    <row r="1042" spans="2:10" ht="15" customHeight="1">
      <c r="B1042" s="145"/>
      <c r="C1042" s="145"/>
      <c r="D1042" s="145"/>
      <c r="E1042" s="145"/>
      <c r="F1042" s="145"/>
      <c r="G1042" s="145"/>
      <c r="H1042" s="145"/>
      <c r="I1042" s="145"/>
      <c r="J1042" s="145"/>
    </row>
    <row r="1043" spans="2:10" ht="15" customHeight="1">
      <c r="B1043" s="145"/>
      <c r="C1043" s="145"/>
      <c r="D1043" s="145"/>
      <c r="E1043" s="145"/>
      <c r="F1043" s="145"/>
      <c r="G1043" s="145"/>
      <c r="H1043" s="145"/>
      <c r="I1043" s="145"/>
      <c r="J1043" s="145"/>
    </row>
    <row r="1044" spans="2:10" ht="15" customHeight="1">
      <c r="B1044" s="145"/>
      <c r="C1044" s="145"/>
      <c r="D1044" s="145"/>
      <c r="E1044" s="145"/>
      <c r="F1044" s="145"/>
      <c r="G1044" s="145"/>
      <c r="H1044" s="145"/>
      <c r="I1044" s="145"/>
      <c r="J1044" s="145"/>
    </row>
    <row r="1045" spans="2:10" ht="15" customHeight="1">
      <c r="B1045" s="145"/>
      <c r="C1045" s="145"/>
      <c r="D1045" s="145"/>
      <c r="E1045" s="145"/>
      <c r="F1045" s="145"/>
      <c r="G1045" s="145"/>
      <c r="H1045" s="145"/>
      <c r="I1045" s="145"/>
      <c r="J1045" s="145"/>
    </row>
    <row r="1046" spans="2:10" ht="15" customHeight="1">
      <c r="B1046" s="145"/>
      <c r="C1046" s="145"/>
      <c r="D1046" s="145"/>
      <c r="E1046" s="145"/>
      <c r="F1046" s="145"/>
      <c r="G1046" s="145"/>
      <c r="H1046" s="145"/>
      <c r="I1046" s="145"/>
      <c r="J1046" s="145"/>
    </row>
  </sheetData>
  <mergeCells count="4">
    <mergeCell ref="A925:F925"/>
    <mergeCell ref="A1:J1"/>
    <mergeCell ref="L1:U1"/>
    <mergeCell ref="A2:J2"/>
  </mergeCells>
  <pageMargins left="0.75" right="0.75" top="1" bottom="1" header="0" footer="0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10"/>
  <sheetViews>
    <sheetView showGridLines="0" zoomScale="133" workbookViewId="0">
      <pane ySplit="3" topLeftCell="A188" activePane="bottomLeft" state="frozen"/>
      <selection pane="bottomLeft" activeCell="D203" sqref="D203"/>
    </sheetView>
  </sheetViews>
  <sheetFormatPr baseColWidth="10" defaultColWidth="14.5" defaultRowHeight="15" customHeight="1"/>
  <cols>
    <col min="1" max="1" width="14.1640625" customWidth="1"/>
    <col min="2" max="2" width="6.6640625" customWidth="1"/>
    <col min="3" max="3" width="11.6640625" customWidth="1"/>
    <col min="4" max="4" width="14.1640625" customWidth="1"/>
    <col min="5" max="5" width="13.33203125" customWidth="1"/>
    <col min="6" max="6" width="14.1640625" customWidth="1"/>
    <col min="7" max="7" width="15.83203125" customWidth="1"/>
    <col min="8" max="8" width="12.5" customWidth="1"/>
    <col min="9" max="9" width="10" customWidth="1"/>
    <col min="10" max="10" width="18.33203125" customWidth="1"/>
    <col min="11" max="15" width="8.6640625" customWidth="1"/>
    <col min="16" max="16" width="12.83203125" customWidth="1"/>
    <col min="17" max="17" width="8.6640625" customWidth="1"/>
    <col min="18" max="18" width="10.5" customWidth="1"/>
    <col min="19" max="19" width="12.6640625" customWidth="1"/>
    <col min="20" max="24" width="8.6640625" customWidth="1"/>
  </cols>
  <sheetData>
    <row r="1" spans="1:21" ht="30" customHeight="1">
      <c r="A1" s="1197" t="s">
        <v>501</v>
      </c>
      <c r="B1" s="1140"/>
      <c r="C1" s="1140"/>
      <c r="D1" s="1140"/>
      <c r="E1" s="1140"/>
      <c r="F1" s="1140"/>
      <c r="G1" s="1140"/>
      <c r="H1" s="1140"/>
      <c r="I1" s="1140"/>
      <c r="J1" s="1140"/>
      <c r="K1" s="74"/>
      <c r="L1" s="1195" t="s">
        <v>483</v>
      </c>
      <c r="M1" s="1140"/>
      <c r="N1" s="1140"/>
      <c r="O1" s="1140"/>
      <c r="P1" s="1140"/>
      <c r="Q1" s="1140"/>
      <c r="R1" s="1140"/>
      <c r="S1" s="1140"/>
      <c r="T1" s="1140"/>
      <c r="U1" s="1140"/>
    </row>
    <row r="2" spans="1:21" ht="20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130" t="s">
        <v>66</v>
      </c>
      <c r="M2" s="130"/>
      <c r="N2" s="130"/>
      <c r="O2" s="130" t="s">
        <v>485</v>
      </c>
      <c r="P2" s="130" t="s">
        <v>486</v>
      </c>
      <c r="Q2" s="130" t="s">
        <v>487</v>
      </c>
      <c r="R2" s="130" t="s">
        <v>488</v>
      </c>
      <c r="S2" s="130" t="s">
        <v>71</v>
      </c>
      <c r="T2" s="130" t="s">
        <v>72</v>
      </c>
      <c r="U2" s="130"/>
    </row>
    <row r="3" spans="1:21" ht="24" customHeight="1">
      <c r="A3" s="659" t="s">
        <v>438</v>
      </c>
      <c r="B3" s="659" t="s">
        <v>489</v>
      </c>
      <c r="C3" s="659" t="s">
        <v>490</v>
      </c>
      <c r="D3" s="659" t="s">
        <v>491</v>
      </c>
      <c r="E3" s="659" t="s">
        <v>492</v>
      </c>
      <c r="F3" s="659" t="s">
        <v>487</v>
      </c>
      <c r="G3" s="659" t="s">
        <v>488</v>
      </c>
      <c r="H3" s="659" t="s">
        <v>71</v>
      </c>
      <c r="I3" s="659" t="s">
        <v>72</v>
      </c>
      <c r="J3" s="659" t="s">
        <v>493</v>
      </c>
      <c r="K3" s="74"/>
      <c r="L3" s="674" t="s">
        <v>78</v>
      </c>
      <c r="M3" s="145"/>
      <c r="N3" s="145"/>
      <c r="O3" s="675">
        <f t="array" ref="O3">SUMPRODUCT((MONTH($A$4:$A$166)=1)*IFERROR($D$4:$D$166*1,0))</f>
        <v>1828</v>
      </c>
      <c r="P3" s="676">
        <f t="array" ref="P3">SUMPRODUCT((MONTH($A$4:$A$166)=1)*IFERROR($E$4:$E$166*1,0))</f>
        <v>22953.639999999992</v>
      </c>
      <c r="Q3" s="676">
        <f t="shared" ref="Q3:Q8" si="0">IFERROR(P3/O3,0)</f>
        <v>12.556695842450761</v>
      </c>
      <c r="R3" s="676">
        <f t="array" ref="R3">SUMPRODUCT((MONTH($A$4:$A$166)=1)*IFERROR($G$4:$G$166*1,0))</f>
        <v>9050.7232248634045</v>
      </c>
      <c r="S3" s="676">
        <f t="shared" ref="S3:S8" si="1">P3-R3</f>
        <v>13902.916775136588</v>
      </c>
      <c r="T3" s="126">
        <f t="shared" ref="T3:T8" si="2">IFERROR(R3/P3,0)</f>
        <v>0.39430448612348229</v>
      </c>
      <c r="U3" s="145"/>
    </row>
    <row r="4" spans="1:21" ht="18" customHeight="1">
      <c r="A4" s="660">
        <v>46024</v>
      </c>
      <c r="B4" s="661" t="s">
        <v>502</v>
      </c>
      <c r="C4" s="662" t="s">
        <v>146</v>
      </c>
      <c r="D4" s="663">
        <f t="array" ref="D4">IF(A4="","",SUMPRODUCT(('Detalle Turnos'!$Q$3:$Q$500=$A4)*('Detalle Turnos'!$S$3:$S$500=C4)*'Detalle Turnos'!$T$3:$T$500))</f>
        <v>23</v>
      </c>
      <c r="E4" s="664">
        <f t="array" ref="E4">IF(A4="","",SUMPRODUCT(('Detalle Turnos'!$Q$3:$Q$500=$A4)*('Detalle Turnos'!$S$3:$S$500=C4)*'Detalle Turnos'!$U$3:$U$500))</f>
        <v>92.73</v>
      </c>
      <c r="F4" s="664">
        <f t="shared" ref="F4:F67" si="3">IFERROR(E4/D4,0)</f>
        <v>4.0317391304347829</v>
      </c>
      <c r="G4" s="664">
        <f t="array" ref="G4">IFERROR(SUMPRODUCT(('Facturación 2026'!$A$4:$A$253=A4)*'Facturación 2026'!$J$4:$J$253)*E4/SUMPRODUCT(('Facturación 2026'!$A$4:$A$253=A4)*'Facturación 2026'!$F$4:$F$253),0)</f>
        <v>30.99027961434215</v>
      </c>
      <c r="H4" s="665">
        <f t="shared" ref="H4:H35" si="4">E4-G4</f>
        <v>61.739720385657854</v>
      </c>
      <c r="I4" s="666">
        <f t="shared" ref="I4:I67" si="5">IFERROR(G4/E4,0)</f>
        <v>0.33419906841736385</v>
      </c>
      <c r="J4" s="74" t="str">
        <f>IFERROR(INDEX('Facturación 2026'!$L$4:$L$253,MATCH(A4,'Facturación 2026'!$A$4:$A$253,0)),"")</f>
        <v/>
      </c>
      <c r="K4" s="74"/>
      <c r="L4" s="674" t="s">
        <v>80</v>
      </c>
      <c r="M4" s="145"/>
      <c r="N4" s="145"/>
      <c r="O4" s="675">
        <f t="array" ref="O4">SUMPRODUCT((MONTH($A$4:$A$166)=2)*IFERROR($D$4:$D$166*1,0))</f>
        <v>1739</v>
      </c>
      <c r="P4" s="676">
        <f t="array" ref="P4">SUMPRODUCT((MONTH($A$4:$A$166)=2)*IFERROR($E$4:$E$166*1,0))</f>
        <v>22438.92</v>
      </c>
      <c r="Q4" s="676">
        <f t="shared" si="0"/>
        <v>12.903346751006325</v>
      </c>
      <c r="R4" s="676">
        <f t="array" ref="R4">SUMPRODUCT((MONTH($A$4:$A$166)=2)*IFERROR($G$4:$G$166*1,0))</f>
        <v>6799.6936536413605</v>
      </c>
      <c r="S4" s="676">
        <f t="shared" si="1"/>
        <v>15639.226346358639</v>
      </c>
      <c r="T4" s="126">
        <f t="shared" si="2"/>
        <v>0.30303123562280898</v>
      </c>
      <c r="U4" s="145"/>
    </row>
    <row r="5" spans="1:21" ht="18" customHeight="1">
      <c r="A5" s="660">
        <v>46024</v>
      </c>
      <c r="B5" s="661" t="s">
        <v>502</v>
      </c>
      <c r="C5" s="667" t="s">
        <v>494</v>
      </c>
      <c r="D5" s="663">
        <f t="array" ref="D5">IF(A5="","",SUMPRODUCT(('Detalle Turnos'!$Q$3:$Q$500=$A5)*('Detalle Turnos'!$S$3:$S$500=C5)*'Detalle Turnos'!$T$3:$T$500))</f>
        <v>36</v>
      </c>
      <c r="E5" s="664">
        <f t="array" ref="E5">IF(A5="","",SUMPRODUCT(('Detalle Turnos'!$Q$3:$Q$500=$A5)*('Detalle Turnos'!$S$3:$S$500=C5)*'Detalle Turnos'!$U$3:$U$500))</f>
        <v>612</v>
      </c>
      <c r="F5" s="664">
        <f t="shared" si="3"/>
        <v>17</v>
      </c>
      <c r="G5" s="664">
        <f t="array" ref="G5">IFERROR(SUMPRODUCT(('Facturación 2026'!$A$4:$A$253=A5)*'Facturación 2026'!$J$4:$J$253)*E5/SUMPRODUCT(('Facturación 2026'!$A$4:$A$253=A5)*'Facturación 2026'!$F$4:$F$253),0)</f>
        <v>204.52982987142667</v>
      </c>
      <c r="H5" s="665">
        <f t="shared" si="4"/>
        <v>407.47017012857333</v>
      </c>
      <c r="I5" s="666">
        <f t="shared" si="5"/>
        <v>0.33419906841736385</v>
      </c>
      <c r="J5" s="74" t="str">
        <f>IFERROR(INDEX('Facturación 2026'!$L$4:$L$253,MATCH(A5,'Facturación 2026'!$A$4:$A$253,0)),"")</f>
        <v/>
      </c>
      <c r="K5" s="74"/>
      <c r="L5" s="674" t="s">
        <v>81</v>
      </c>
      <c r="M5" s="145"/>
      <c r="N5" s="145"/>
      <c r="O5" s="675">
        <f t="array" ref="O5">SUMPRODUCT((MONTH($A$4:$A$166)=3)*IFERROR($D$4:$D$166*1,0))</f>
        <v>1337</v>
      </c>
      <c r="P5" s="676">
        <f t="array" ref="P5">SUMPRODUCT((MONTH($A$4:$A$166)=3)*IFERROR($E$4:$E$166*1,0))</f>
        <v>16379.43</v>
      </c>
      <c r="Q5" s="676">
        <f t="shared" si="0"/>
        <v>12.250882572924459</v>
      </c>
      <c r="R5" s="676">
        <f t="array" ref="R5">SUMPRODUCT((MONTH($A$4:$A$166)=3)*IFERROR($G$4:$G$166*1,0))</f>
        <v>4888.7507200355194</v>
      </c>
      <c r="S5" s="676">
        <f t="shared" si="1"/>
        <v>11490.679279964481</v>
      </c>
      <c r="T5" s="126">
        <f t="shared" si="2"/>
        <v>0.29846891619766497</v>
      </c>
      <c r="U5" s="145"/>
    </row>
    <row r="6" spans="1:21" ht="18" customHeight="1">
      <c r="A6" s="660">
        <v>46024</v>
      </c>
      <c r="B6" s="661" t="s">
        <v>502</v>
      </c>
      <c r="C6" s="668" t="s">
        <v>497</v>
      </c>
      <c r="D6" s="663">
        <f t="array" ref="D6">IF(A6="","",SUMPRODUCT(('Detalle Turnos'!$Q$3:$Q$500=$A6)*('Detalle Turnos'!$S$3:$S$500=C6)*'Detalle Turnos'!$T$3:$T$500))</f>
        <v>51</v>
      </c>
      <c r="E6" s="664">
        <f t="array" ref="E6">IF(A6="","",SUMPRODUCT(('Detalle Turnos'!$Q$3:$Q$500=$A6)*('Detalle Turnos'!$S$3:$S$500=C6)*'Detalle Turnos'!$U$3:$U$500))</f>
        <v>727.68</v>
      </c>
      <c r="F6" s="664">
        <f t="shared" si="3"/>
        <v>14.268235294117646</v>
      </c>
      <c r="G6" s="664">
        <f t="array" ref="G6">IFERROR(SUMPRODUCT(('Facturación 2026'!$A$4:$A$253=A6)*'Facturación 2026'!$J$4:$J$253)*E6/SUMPRODUCT(('Facturación 2026'!$A$4:$A$253=A6)*'Facturación 2026'!$F$4:$F$253),0)</f>
        <v>243.18997810594729</v>
      </c>
      <c r="H6" s="665">
        <f t="shared" si="4"/>
        <v>484.49002189405269</v>
      </c>
      <c r="I6" s="666">
        <f t="shared" si="5"/>
        <v>0.3341990684173638</v>
      </c>
      <c r="J6" s="74" t="str">
        <f>IFERROR(INDEX('Facturación 2026'!$L$4:$L$253,MATCH(A6,'Facturación 2026'!$A$4:$A$253,0)),"")</f>
        <v/>
      </c>
      <c r="K6" s="74"/>
      <c r="L6" s="674" t="s">
        <v>82</v>
      </c>
      <c r="M6" s="145"/>
      <c r="N6" s="145"/>
      <c r="O6" s="675">
        <f t="array" ref="O6">SUMPRODUCT((MONTH($A$4:$A$166)=4)*IFERROR($D$4:$D$166*1,0))</f>
        <v>525</v>
      </c>
      <c r="P6" s="676">
        <f t="array" ref="P6">SUMPRODUCT((MONTH($A$4:$A$166)=4)*IFERROR($E$4:$E$166*1,0))</f>
        <v>7382.9719999999998</v>
      </c>
      <c r="Q6" s="676">
        <f t="shared" si="0"/>
        <v>14.062803809523809</v>
      </c>
      <c r="R6" s="676">
        <f t="array" ref="R6">SUMPRODUCT((MONTH($A$4:$A$166)=4)*IFERROR($G$4:$G$166*1,0))</f>
        <v>0</v>
      </c>
      <c r="S6" s="676">
        <f t="shared" si="1"/>
        <v>7382.9719999999998</v>
      </c>
      <c r="T6" s="126">
        <f t="shared" si="2"/>
        <v>0</v>
      </c>
      <c r="U6" s="145"/>
    </row>
    <row r="7" spans="1:21" ht="18" customHeight="1">
      <c r="A7" s="660">
        <v>46025</v>
      </c>
      <c r="B7" s="661" t="s">
        <v>503</v>
      </c>
      <c r="C7" s="662" t="s">
        <v>146</v>
      </c>
      <c r="D7" s="663">
        <f t="array" ref="D7">IF(A7="","",SUMPRODUCT(('Detalle Turnos'!$Q$3:$Q$500=$A7)*('Detalle Turnos'!$S$3:$S$500=C7)*'Detalle Turnos'!$T$3:$T$500))</f>
        <v>19</v>
      </c>
      <c r="E7" s="664">
        <f t="array" ref="E7">IF(A7="","",SUMPRODUCT(('Detalle Turnos'!$Q$3:$Q$500=$A7)*('Detalle Turnos'!$S$3:$S$500=C7)*'Detalle Turnos'!$U$3:$U$500))</f>
        <v>74.14</v>
      </c>
      <c r="F7" s="664">
        <f t="shared" si="3"/>
        <v>3.9021052631578947</v>
      </c>
      <c r="G7" s="664">
        <f t="array" ref="G7">IFERROR(SUMPRODUCT(('Facturación 2026'!$A$4:$A$253=A7)*'Facturación 2026'!$J$4:$J$253)*E7/SUMPRODUCT(('Facturación 2026'!$A$4:$A$253=A7)*'Facturación 2026'!$F$4:$F$253),0)</f>
        <v>25.476600142990975</v>
      </c>
      <c r="H7" s="665">
        <f t="shared" si="4"/>
        <v>48.663399857009026</v>
      </c>
      <c r="I7" s="666">
        <f t="shared" si="5"/>
        <v>0.34362827276761498</v>
      </c>
      <c r="J7" s="74" t="str">
        <f>IFERROR(INDEX('Facturación 2026'!$L$4:$L$253,MATCH(A7,'Facturación 2026'!$A$4:$A$253,0)),"")</f>
        <v/>
      </c>
      <c r="K7" s="74"/>
      <c r="L7" s="640" t="s">
        <v>97</v>
      </c>
      <c r="M7" s="640"/>
      <c r="N7" s="640"/>
      <c r="O7" s="677">
        <f>SUM(O3:O6)</f>
        <v>5429</v>
      </c>
      <c r="P7" s="678">
        <f>SUM(P3:P6)</f>
        <v>69154.961999999985</v>
      </c>
      <c r="Q7" s="678">
        <f t="shared" si="0"/>
        <v>12.738066310554427</v>
      </c>
      <c r="R7" s="678">
        <f>SUM(R3:R6)</f>
        <v>20739.167598540284</v>
      </c>
      <c r="S7" s="678">
        <f t="shared" si="1"/>
        <v>48415.794401459701</v>
      </c>
      <c r="T7" s="679">
        <f t="shared" si="2"/>
        <v>0.29989413628107103</v>
      </c>
      <c r="U7" s="640"/>
    </row>
    <row r="8" spans="1:21" ht="18" customHeight="1">
      <c r="A8" s="660">
        <v>46025</v>
      </c>
      <c r="B8" s="661" t="s">
        <v>503</v>
      </c>
      <c r="C8" s="667" t="s">
        <v>494</v>
      </c>
      <c r="D8" s="663">
        <f t="array" ref="D8">IF(A8="","",SUMPRODUCT(('Detalle Turnos'!$Q$3:$Q$500=$A8)*('Detalle Turnos'!$S$3:$S$500=C8)*'Detalle Turnos'!$T$3:$T$500))</f>
        <v>73</v>
      </c>
      <c r="E8" s="664">
        <f t="array" ref="E8">IF(A8="","",SUMPRODUCT(('Detalle Turnos'!$Q$3:$Q$500=$A8)*('Detalle Turnos'!$S$3:$S$500=C8)*'Detalle Turnos'!$U$3:$U$500))</f>
        <v>1054.32</v>
      </c>
      <c r="F8" s="664">
        <f t="shared" si="3"/>
        <v>14.442739726027396</v>
      </c>
      <c r="G8" s="664">
        <f t="array" ref="G8">IFERROR(SUMPRODUCT(('Facturación 2026'!$A$4:$A$253=A8)*'Facturación 2026'!$J$4:$J$253)*E8/SUMPRODUCT(('Facturación 2026'!$A$4:$A$253=A8)*'Facturación 2026'!$F$4:$F$253),0)</f>
        <v>362.29416054435177</v>
      </c>
      <c r="H8" s="665">
        <f t="shared" si="4"/>
        <v>692.02583945564811</v>
      </c>
      <c r="I8" s="666">
        <f t="shared" si="5"/>
        <v>0.34362827276761493</v>
      </c>
      <c r="J8" s="74" t="str">
        <f>IFERROR(INDEX('Facturación 2026'!$L$4:$L$253,MATCH(A8,'Facturación 2026'!$A$4:$A$253,0)),"")</f>
        <v/>
      </c>
      <c r="K8" s="74"/>
      <c r="L8" s="674" t="s">
        <v>480</v>
      </c>
      <c r="M8" s="145"/>
      <c r="N8" s="145"/>
      <c r="O8" s="145">
        <f>SUM(O3:O7)</f>
        <v>10858</v>
      </c>
      <c r="P8" s="145">
        <f>SUM(P3:P7)</f>
        <v>138309.92399999997</v>
      </c>
      <c r="Q8" s="676">
        <f t="shared" si="0"/>
        <v>12.738066310554427</v>
      </c>
      <c r="R8" s="145">
        <f>SUM(R3:R7)</f>
        <v>41478.335197080567</v>
      </c>
      <c r="S8" s="676">
        <f t="shared" si="1"/>
        <v>96831.588802919403</v>
      </c>
      <c r="T8" s="126">
        <f t="shared" si="2"/>
        <v>0.29989413628107103</v>
      </c>
      <c r="U8" s="145"/>
    </row>
    <row r="9" spans="1:21" ht="18" customHeight="1">
      <c r="A9" s="660">
        <v>46025</v>
      </c>
      <c r="B9" s="661" t="s">
        <v>503</v>
      </c>
      <c r="C9" s="668" t="s">
        <v>497</v>
      </c>
      <c r="D9" s="663">
        <f t="array" ref="D9">IF(A9="","",SUMPRODUCT(('Detalle Turnos'!$Q$3:$Q$500=$A9)*('Detalle Turnos'!$S$3:$S$500=C9)*'Detalle Turnos'!$T$3:$T$500))</f>
        <v>30</v>
      </c>
      <c r="E9" s="664">
        <f t="array" ref="E9">IF(A9="","",SUMPRODUCT(('Detalle Turnos'!$Q$3:$Q$500=$A9)*('Detalle Turnos'!$S$3:$S$500=C9)*'Detalle Turnos'!$U$3:$U$500))</f>
        <v>382.82</v>
      </c>
      <c r="F9" s="664">
        <f t="shared" si="3"/>
        <v>12.760666666666667</v>
      </c>
      <c r="G9" s="664">
        <f t="array" ref="G9">IFERROR(SUMPRODUCT(('Facturación 2026'!$A$4:$A$253=A9)*'Facturación 2026'!$J$4:$J$253)*E9/SUMPRODUCT(('Facturación 2026'!$A$4:$A$253=A9)*'Facturación 2026'!$F$4:$F$253),0)</f>
        <v>131.54777538089837</v>
      </c>
      <c r="H9" s="665">
        <f t="shared" si="4"/>
        <v>251.27222461910162</v>
      </c>
      <c r="I9" s="666">
        <f t="shared" si="5"/>
        <v>0.34362827276761498</v>
      </c>
      <c r="J9" s="74" t="str">
        <f>IFERROR(INDEX('Facturación 2026'!$L$4:$L$253,MATCH(A9,'Facturación 2026'!$A$4:$A$253,0)),"")</f>
        <v/>
      </c>
      <c r="K9" s="74"/>
      <c r="L9" s="680" t="s">
        <v>495</v>
      </c>
      <c r="M9" s="145"/>
      <c r="N9" s="145"/>
      <c r="O9" s="145"/>
      <c r="P9" s="145"/>
      <c r="Q9" s="145"/>
      <c r="R9" s="145"/>
      <c r="S9" s="145"/>
      <c r="T9" s="145"/>
      <c r="U9" s="145"/>
    </row>
    <row r="10" spans="1:21" ht="18" customHeight="1">
      <c r="A10" s="660">
        <v>46026</v>
      </c>
      <c r="B10" s="661" t="s">
        <v>504</v>
      </c>
      <c r="C10" s="662" t="s">
        <v>146</v>
      </c>
      <c r="D10" s="663">
        <f t="array" ref="D10">IF(A10="","",SUMPRODUCT(('Detalle Turnos'!$Q$3:$Q$500=$A10)*('Detalle Turnos'!$S$3:$S$500=C10)*'Detalle Turnos'!$T$3:$T$500))</f>
        <v>11</v>
      </c>
      <c r="E10" s="664">
        <f t="array" ref="E10">IF(A10="","",SUMPRODUCT(('Detalle Turnos'!$Q$3:$Q$500=$A10)*('Detalle Turnos'!$S$3:$S$500=C10)*'Detalle Turnos'!$U$3:$U$500))</f>
        <v>47.41</v>
      </c>
      <c r="F10" s="664">
        <f t="shared" si="3"/>
        <v>4.3099999999999996</v>
      </c>
      <c r="G10" s="664">
        <f t="array" ref="G10">IFERROR(SUMPRODUCT(('Facturación 2026'!$A$4:$A$253=A10)*'Facturación 2026'!$J$4:$J$253)*E10/SUMPRODUCT(('Facturación 2026'!$A$4:$A$253=A10)*'Facturación 2026'!$F$4:$F$253),0)</f>
        <v>23.326966237428831</v>
      </c>
      <c r="H10" s="665">
        <f t="shared" si="4"/>
        <v>24.083033762571166</v>
      </c>
      <c r="I10" s="666">
        <f t="shared" si="5"/>
        <v>0.49202628638322787</v>
      </c>
      <c r="J10" s="74" t="str">
        <f>IFERROR(INDEX('Facturación 2026'!$L$4:$L$253,MATCH(A10,'Facturación 2026'!$A$4:$A$253,0)),"")</f>
        <v/>
      </c>
      <c r="K10" s="74"/>
      <c r="L10" s="130" t="s">
        <v>490</v>
      </c>
      <c r="M10" s="130"/>
      <c r="N10" s="130"/>
      <c r="O10" s="130" t="s">
        <v>485</v>
      </c>
      <c r="P10" s="130" t="s">
        <v>486</v>
      </c>
      <c r="Q10" s="130" t="s">
        <v>496</v>
      </c>
      <c r="R10" s="130" t="s">
        <v>487</v>
      </c>
      <c r="S10" s="130" t="s">
        <v>71</v>
      </c>
      <c r="T10" s="130" t="s">
        <v>72</v>
      </c>
      <c r="U10" s="130"/>
    </row>
    <row r="11" spans="1:21" ht="18" customHeight="1">
      <c r="A11" s="660">
        <v>46026</v>
      </c>
      <c r="B11" s="661" t="s">
        <v>504</v>
      </c>
      <c r="C11" s="667" t="s">
        <v>494</v>
      </c>
      <c r="D11" s="663">
        <f t="array" ref="D11">IF(A11="","",SUMPRODUCT(('Detalle Turnos'!$Q$3:$Q$500=$A11)*('Detalle Turnos'!$S$3:$S$500=C11)*'Detalle Turnos'!$T$3:$T$500))</f>
        <v>62</v>
      </c>
      <c r="E11" s="664">
        <f t="array" ref="E11">IF(A11="","",SUMPRODUCT(('Detalle Turnos'!$Q$3:$Q$500=$A11)*('Detalle Turnos'!$S$3:$S$500=C11)*'Detalle Turnos'!$U$3:$U$500))</f>
        <v>816.14</v>
      </c>
      <c r="F11" s="664">
        <f t="shared" si="3"/>
        <v>13.163548387096775</v>
      </c>
      <c r="G11" s="664">
        <f t="array" ref="G11">IFERROR(SUMPRODUCT(('Facturación 2026'!$A$4:$A$253=A11)*'Facturación 2026'!$J$4:$J$253)*E11/SUMPRODUCT(('Facturación 2026'!$A$4:$A$253=A11)*'Facturación 2026'!$F$4:$F$253),0)</f>
        <v>401.56233336880757</v>
      </c>
      <c r="H11" s="665">
        <f t="shared" si="4"/>
        <v>414.57766663119241</v>
      </c>
      <c r="I11" s="666">
        <f t="shared" si="5"/>
        <v>0.49202628638322787</v>
      </c>
      <c r="J11" s="74" t="str">
        <f>IFERROR(INDEX('Facturación 2026'!$L$4:$L$253,MATCH(A11,'Facturación 2026'!$A$4:$A$253,0)),"")</f>
        <v/>
      </c>
      <c r="K11" s="74"/>
      <c r="L11" s="681" t="s">
        <v>146</v>
      </c>
      <c r="M11" s="145"/>
      <c r="N11" s="145"/>
      <c r="O11" s="675">
        <f t="array" ref="O11">SUMPRODUCT(($C$4:$C$166="Mañana")*IFERROR($D$4:$D$166*1,0))</f>
        <v>1050</v>
      </c>
      <c r="P11" s="676">
        <f t="array" ref="P11">SUMPRODUCT(($C$4:$C$166="Mañana")*IFERROR($E$4:$E$166*1,0))</f>
        <v>4466.5389999999989</v>
      </c>
      <c r="Q11" s="126">
        <f>IFERROR(P11/$E$173,0)</f>
        <v>24.031221753540216</v>
      </c>
      <c r="R11" s="676">
        <f>IFERROR(P11/O11,0)</f>
        <v>4.2538466666666652</v>
      </c>
      <c r="S11" s="676">
        <f t="array" ref="S11">SUMPRODUCT(($C$4:$C$164="Mañana")*$H$4:$H$164)</f>
        <v>2741.6264701960936</v>
      </c>
      <c r="T11" s="126">
        <f>IFERROR(1-S11/P11,0)</f>
        <v>0.38618548495913851</v>
      </c>
      <c r="U11" s="145"/>
    </row>
    <row r="12" spans="1:21" ht="18" customHeight="1">
      <c r="A12" s="660">
        <v>46029</v>
      </c>
      <c r="B12" s="661" t="s">
        <v>505</v>
      </c>
      <c r="C12" s="662" t="s">
        <v>146</v>
      </c>
      <c r="D12" s="663">
        <f t="array" ref="D12">IF(A12="","",SUMPRODUCT(('Detalle Turnos'!$Q$3:$Q$500=$A12)*('Detalle Turnos'!$S$3:$S$500=C12)*'Detalle Turnos'!$T$3:$T$500))</f>
        <v>9</v>
      </c>
      <c r="E12" s="664">
        <f t="array" ref="E12">IF(A12="","",SUMPRODUCT(('Detalle Turnos'!$Q$3:$Q$500=$A12)*('Detalle Turnos'!$S$3:$S$500=C12)*'Detalle Turnos'!$U$3:$U$500))</f>
        <v>39.049999999999997</v>
      </c>
      <c r="F12" s="664">
        <f t="shared" si="3"/>
        <v>4.3388888888888886</v>
      </c>
      <c r="G12" s="664">
        <f t="array" ref="G12">IFERROR(SUMPRODUCT(('Facturación 2026'!$A$4:$A$253=A12)*'Facturación 2026'!$J$4:$J$253)*E12/SUMPRODUCT(('Facturación 2026'!$A$4:$A$253=A12)*'Facturación 2026'!$F$4:$F$253),0)</f>
        <v>28.9164307705109</v>
      </c>
      <c r="H12" s="665">
        <f t="shared" si="4"/>
        <v>10.133569229489098</v>
      </c>
      <c r="I12" s="666">
        <f t="shared" si="5"/>
        <v>0.74049758695290402</v>
      </c>
      <c r="J12" s="74" t="str">
        <f>IFERROR(INDEX('Facturación 2026'!$L$4:$L$253,MATCH(A12,'Facturación 2026'!$A$4:$A$253,0)),"")</f>
        <v/>
      </c>
      <c r="K12" s="74"/>
      <c r="L12" s="682" t="s">
        <v>229</v>
      </c>
      <c r="M12" s="145"/>
      <c r="N12" s="145"/>
      <c r="O12" s="675">
        <f t="array" ref="O12">SUMPRODUCT(($C$4:$C$166="Mediodia")*IFERROR($D$4:$D$166*1,0))</f>
        <v>2686</v>
      </c>
      <c r="P12" s="676">
        <f t="array" ref="P12">SUMPRODUCT(($C$4:$C$166="Mediodia")*IFERROR($E$4:$E$166*1,0))</f>
        <v>37622.942999999992</v>
      </c>
      <c r="Q12" s="126">
        <f>IFERROR(P12/$E$173,0)</f>
        <v>202.4218945035079</v>
      </c>
      <c r="R12" s="676">
        <f>IFERROR(P12/O12,0)</f>
        <v>14.007052494415484</v>
      </c>
      <c r="S12" s="676">
        <f t="array" ref="S12">SUMPRODUCT(($C$4:$C$164="Mediodia")*$H$4:$H$164)</f>
        <v>25620.672371560006</v>
      </c>
      <c r="T12" s="126">
        <f>IFERROR(1-S12/P12,0)</f>
        <v>0.31901466688663849</v>
      </c>
      <c r="U12" s="145"/>
    </row>
    <row r="13" spans="1:21" ht="18" customHeight="1">
      <c r="A13" s="660">
        <v>46029</v>
      </c>
      <c r="B13" s="661" t="s">
        <v>505</v>
      </c>
      <c r="C13" s="667" t="s">
        <v>494</v>
      </c>
      <c r="D13" s="663">
        <f t="array" ref="D13">IF(A13="","",SUMPRODUCT(('Detalle Turnos'!$Q$3:$Q$500=$A13)*('Detalle Turnos'!$S$3:$S$500=C13)*'Detalle Turnos'!$T$3:$T$500))</f>
        <v>27</v>
      </c>
      <c r="E13" s="664">
        <f t="array" ref="E13">IF(A13="","",SUMPRODUCT(('Detalle Turnos'!$Q$3:$Q$500=$A13)*('Detalle Turnos'!$S$3:$S$500=C13)*'Detalle Turnos'!$U$3:$U$500))</f>
        <v>215.77</v>
      </c>
      <c r="F13" s="664">
        <f t="shared" si="3"/>
        <v>7.9914814814814816</v>
      </c>
      <c r="G13" s="664">
        <f t="array" ref="G13">IFERROR(SUMPRODUCT(('Facturación 2026'!$A$4:$A$253=A13)*'Facturación 2026'!$J$4:$J$253)*E13/SUMPRODUCT(('Facturación 2026'!$A$4:$A$253=A13)*'Facturación 2026'!$F$4:$F$253),0)</f>
        <v>159.77716433682809</v>
      </c>
      <c r="H13" s="665">
        <f t="shared" si="4"/>
        <v>55.992835663171917</v>
      </c>
      <c r="I13" s="666">
        <f t="shared" si="5"/>
        <v>0.74049758695290391</v>
      </c>
      <c r="J13" s="74" t="str">
        <f>IFERROR(INDEX('Facturación 2026'!$L$4:$L$253,MATCH(A13,'Facturación 2026'!$A$4:$A$253,0)),"")</f>
        <v/>
      </c>
      <c r="K13" s="74"/>
      <c r="L13" s="683" t="s">
        <v>497</v>
      </c>
      <c r="M13" s="145"/>
      <c r="N13" s="145"/>
      <c r="O13" s="675">
        <f t="array" ref="O13">SUMPRODUCT(($C$4:$C$166="Noche")*IFERROR($D$4:$D$166*1,0))</f>
        <v>1693</v>
      </c>
      <c r="P13" s="676">
        <f t="array" ref="P13">SUMPRODUCT(($C$4:$C$166="Noche")*IFERROR($E$4:$E$166*1,0))</f>
        <v>27065.479999999996</v>
      </c>
      <c r="Q13" s="126">
        <f>IFERROR(P13/$E$173,0)</f>
        <v>145.61980803167904</v>
      </c>
      <c r="R13" s="676">
        <f>IFERROR(P13/O13,0)</f>
        <v>15.986698168930889</v>
      </c>
      <c r="S13" s="676">
        <f t="array" ref="S13">SUMPRODUCT(($C$4:$C$164="Noche")*$H$4:$H$164)</f>
        <v>18794.813559703613</v>
      </c>
      <c r="T13" s="126">
        <f>IFERROR(1-S13/P13,0)</f>
        <v>0.3055798914446145</v>
      </c>
      <c r="U13" s="145"/>
    </row>
    <row r="14" spans="1:21" ht="18" customHeight="1">
      <c r="A14" s="660">
        <v>46029</v>
      </c>
      <c r="B14" s="661" t="s">
        <v>505</v>
      </c>
      <c r="C14" s="668" t="s">
        <v>497</v>
      </c>
      <c r="D14" s="663">
        <f t="array" ref="D14">IF(A14="","",SUMPRODUCT(('Detalle Turnos'!$Q$3:$Q$500=$A14)*('Detalle Turnos'!$S$3:$S$500=C14)*'Detalle Turnos'!$T$3:$T$500))</f>
        <v>12</v>
      </c>
      <c r="E14" s="664">
        <f t="array" ref="E14">IF(A14="","",SUMPRODUCT(('Detalle Turnos'!$Q$3:$Q$500=$A14)*('Detalle Turnos'!$S$3:$S$500=C14)*'Detalle Turnos'!$U$3:$U$500))</f>
        <v>133.22999999999999</v>
      </c>
      <c r="F14" s="664">
        <f t="shared" si="3"/>
        <v>11.102499999999999</v>
      </c>
      <c r="G14" s="664">
        <f t="array" ref="G14">IFERROR(SUMPRODUCT(('Facturación 2026'!$A$4:$A$253=A14)*'Facturación 2026'!$J$4:$J$253)*E14/SUMPRODUCT(('Facturación 2026'!$A$4:$A$253=A14)*'Facturación 2026'!$F$4:$F$253),0)</f>
        <v>98.656493509735398</v>
      </c>
      <c r="H14" s="665">
        <f t="shared" si="4"/>
        <v>34.573506490264592</v>
      </c>
      <c r="I14" s="666">
        <f t="shared" si="5"/>
        <v>0.74049758695290402</v>
      </c>
      <c r="J14" s="74" t="str">
        <f>IFERROR(INDEX('Facturación 2026'!$L$4:$L$253,MATCH(A14,'Facturación 2026'!$A$4:$A$253,0)),"")</f>
        <v/>
      </c>
      <c r="K14" s="74"/>
      <c r="L14" s="74" t="s">
        <v>480</v>
      </c>
      <c r="M14" s="74"/>
      <c r="N14" s="74"/>
      <c r="O14" s="74">
        <f>SUM(O11:O13)</f>
        <v>5429</v>
      </c>
      <c r="P14" s="74">
        <f>SUM(P11:P13)</f>
        <v>69154.961999999985</v>
      </c>
      <c r="Q14" s="74">
        <f>SUM(Q11:Q13)</f>
        <v>372.07292428872717</v>
      </c>
      <c r="R14" s="74">
        <f>IFERROR(P14/O14,0)</f>
        <v>12.738066310554427</v>
      </c>
      <c r="S14" s="74">
        <f>SUM(S11:S13)</f>
        <v>47157.112401459715</v>
      </c>
      <c r="T14" s="74">
        <f>IFERROR(1-S14/P14,0)</f>
        <v>0.3180950283587789</v>
      </c>
      <c r="U14" s="74"/>
    </row>
    <row r="15" spans="1:21" ht="18" customHeight="1">
      <c r="A15" s="660">
        <v>46030</v>
      </c>
      <c r="B15" s="661" t="s">
        <v>506</v>
      </c>
      <c r="C15" s="662" t="s">
        <v>146</v>
      </c>
      <c r="D15" s="663">
        <f t="array" ref="D15">IF(A15="","",SUMPRODUCT(('Detalle Turnos'!$Q$3:$Q$500=$A15)*('Detalle Turnos'!$S$3:$S$500=C15)*'Detalle Turnos'!$T$3:$T$500))</f>
        <v>4</v>
      </c>
      <c r="E15" s="664">
        <f t="array" ref="E15">IF(A15="","",SUMPRODUCT(('Detalle Turnos'!$Q$3:$Q$500=$A15)*('Detalle Turnos'!$S$3:$S$500=C15)*'Detalle Turnos'!$U$3:$U$500))</f>
        <v>7.41</v>
      </c>
      <c r="F15" s="664">
        <f t="shared" si="3"/>
        <v>1.8525</v>
      </c>
      <c r="G15" s="664">
        <f t="array" ref="G15">IFERROR(SUMPRODUCT(('Facturación 2026'!$A$4:$A$253=A15)*'Facturación 2026'!$J$4:$J$253)*E15/SUMPRODUCT(('Facturación 2026'!$A$4:$A$253=A15)*'Facturación 2026'!$F$4:$F$253),0)</f>
        <v>5.5200554705716369</v>
      </c>
      <c r="H15" s="665">
        <f t="shared" si="4"/>
        <v>1.8899445294283632</v>
      </c>
      <c r="I15" s="666">
        <f t="shared" si="5"/>
        <v>0.74494675716216419</v>
      </c>
      <c r="J15" s="74" t="str">
        <f>IFERROR(INDEX('Facturación 2026'!$L$4:$L$253,MATCH(A15,'Facturación 2026'!$A$4:$A$253,0)),"")</f>
        <v/>
      </c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</row>
    <row r="16" spans="1:21" ht="18" customHeight="1">
      <c r="A16" s="660">
        <v>46030</v>
      </c>
      <c r="B16" s="661" t="s">
        <v>506</v>
      </c>
      <c r="C16" s="667" t="s">
        <v>494</v>
      </c>
      <c r="D16" s="663">
        <f t="array" ref="D16">IF(A16="","",SUMPRODUCT(('Detalle Turnos'!$Q$3:$Q$500=$A16)*('Detalle Turnos'!$S$3:$S$500=C16)*'Detalle Turnos'!$T$3:$T$500))</f>
        <v>20</v>
      </c>
      <c r="E16" s="664">
        <f t="array" ref="E16">IF(A16="","",SUMPRODUCT(('Detalle Turnos'!$Q$3:$Q$500=$A16)*('Detalle Turnos'!$S$3:$S$500=C16)*'Detalle Turnos'!$U$3:$U$500))</f>
        <v>415.55</v>
      </c>
      <c r="F16" s="664">
        <f t="shared" si="3"/>
        <v>20.7775</v>
      </c>
      <c r="G16" s="664">
        <f t="array" ref="G16">IFERROR(SUMPRODUCT(('Facturación 2026'!$A$4:$A$253=A16)*'Facturación 2026'!$J$4:$J$253)*E16/SUMPRODUCT(('Facturación 2026'!$A$4:$A$253=A16)*'Facturación 2026'!$F$4:$F$253),0)</f>
        <v>309.56262493873737</v>
      </c>
      <c r="H16" s="665">
        <f t="shared" si="4"/>
        <v>105.98737506126264</v>
      </c>
      <c r="I16" s="666">
        <f t="shared" si="5"/>
        <v>0.7449467571621643</v>
      </c>
      <c r="J16" s="74" t="str">
        <f>IFERROR(INDEX('Facturación 2026'!$L$4:$L$253,MATCH(A16,'Facturación 2026'!$A$4:$A$253,0)),"")</f>
        <v/>
      </c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</row>
    <row r="17" spans="1:10" ht="18" customHeight="1">
      <c r="A17" s="660">
        <v>46030</v>
      </c>
      <c r="B17" s="661" t="s">
        <v>506</v>
      </c>
      <c r="C17" s="668" t="s">
        <v>497</v>
      </c>
      <c r="D17" s="663">
        <f t="array" ref="D17">IF(A17="","",SUMPRODUCT(('Detalle Turnos'!$Q$3:$Q$500=$A17)*('Detalle Turnos'!$S$3:$S$500=C17)*'Detalle Turnos'!$T$3:$T$500))</f>
        <v>2</v>
      </c>
      <c r="E17" s="664">
        <f t="array" ref="E17">IF(A17="","",SUMPRODUCT(('Detalle Turnos'!$Q$3:$Q$500=$A17)*('Detalle Turnos'!$S$3:$S$500=C17)*'Detalle Turnos'!$U$3:$U$500))</f>
        <v>36.229999999999997</v>
      </c>
      <c r="F17" s="664">
        <f t="shared" si="3"/>
        <v>18.114999999999998</v>
      </c>
      <c r="G17" s="664">
        <f t="array" ref="G17">IFERROR(SUMPRODUCT(('Facturación 2026'!$A$4:$A$253=A17)*'Facturación 2026'!$J$4:$J$253)*E17/SUMPRODUCT(('Facturación 2026'!$A$4:$A$253=A17)*'Facturación 2026'!$F$4:$F$253),0)</f>
        <v>26.989421011985208</v>
      </c>
      <c r="H17" s="665">
        <f t="shared" si="4"/>
        <v>9.2405789880147893</v>
      </c>
      <c r="I17" s="666">
        <f t="shared" si="5"/>
        <v>0.74494675716216419</v>
      </c>
      <c r="J17" s="74" t="str">
        <f>IFERROR(INDEX('Facturación 2026'!$L$4:$L$253,MATCH(A17,'Facturación 2026'!$A$4:$A$253,0)),"")</f>
        <v/>
      </c>
    </row>
    <row r="18" spans="1:10" ht="18" customHeight="1">
      <c r="A18" s="660">
        <v>46031</v>
      </c>
      <c r="B18" s="661" t="s">
        <v>502</v>
      </c>
      <c r="C18" s="662" t="s">
        <v>146</v>
      </c>
      <c r="D18" s="663">
        <f t="array" ref="D18">IF(A18="","",SUMPRODUCT(('Detalle Turnos'!$Q$3:$Q$500=$A18)*('Detalle Turnos'!$S$3:$S$500=C18)*'Detalle Turnos'!$T$3:$T$500))</f>
        <v>9</v>
      </c>
      <c r="E18" s="664">
        <f t="array" ref="E18">IF(A18="","",SUMPRODUCT(('Detalle Turnos'!$Q$3:$Q$500=$A18)*('Detalle Turnos'!$S$3:$S$500=C18)*'Detalle Turnos'!$U$3:$U$500))</f>
        <v>26.91</v>
      </c>
      <c r="F18" s="664">
        <f t="shared" si="3"/>
        <v>2.99</v>
      </c>
      <c r="G18" s="664">
        <f t="array" ref="G18">IFERROR(SUMPRODUCT(('Facturación 2026'!$A$4:$A$253=A18)*'Facturación 2026'!$J$4:$J$253)*E18/SUMPRODUCT(('Facturación 2026'!$A$4:$A$253=A18)*'Facturación 2026'!$F$4:$F$253),0)</f>
        <v>11.737137207179799</v>
      </c>
      <c r="H18" s="665">
        <f t="shared" si="4"/>
        <v>15.172862792820201</v>
      </c>
      <c r="I18" s="666">
        <f t="shared" si="5"/>
        <v>0.43616266098772943</v>
      </c>
      <c r="J18" s="74" t="str">
        <f>IFERROR(INDEX('Facturación 2026'!$L$4:$L$253,MATCH(A18,'Facturación 2026'!$A$4:$A$253,0)),"")</f>
        <v/>
      </c>
    </row>
    <row r="19" spans="1:10" ht="18" customHeight="1">
      <c r="A19" s="660">
        <v>46031</v>
      </c>
      <c r="B19" s="661" t="s">
        <v>502</v>
      </c>
      <c r="C19" s="667" t="s">
        <v>494</v>
      </c>
      <c r="D19" s="663">
        <f t="array" ref="D19">IF(A19="","",SUMPRODUCT(('Detalle Turnos'!$Q$3:$Q$500=$A19)*('Detalle Turnos'!$S$3:$S$500=C19)*'Detalle Turnos'!$T$3:$T$500))</f>
        <v>9</v>
      </c>
      <c r="E19" s="664">
        <f t="array" ref="E19">IF(A19="","",SUMPRODUCT(('Detalle Turnos'!$Q$3:$Q$500=$A19)*('Detalle Turnos'!$S$3:$S$500=C19)*'Detalle Turnos'!$U$3:$U$500))</f>
        <v>79.959999999999994</v>
      </c>
      <c r="F19" s="664">
        <f t="shared" si="3"/>
        <v>8.8844444444444441</v>
      </c>
      <c r="G19" s="664">
        <f t="array" ref="G19">IFERROR(SUMPRODUCT(('Facturación 2026'!$A$4:$A$253=A19)*'Facturación 2026'!$J$4:$J$253)*E19/SUMPRODUCT(('Facturación 2026'!$A$4:$A$253=A19)*'Facturación 2026'!$F$4:$F$253),0)</f>
        <v>34.875566372578845</v>
      </c>
      <c r="H19" s="665">
        <f t="shared" si="4"/>
        <v>45.084433627421149</v>
      </c>
      <c r="I19" s="666">
        <f t="shared" si="5"/>
        <v>0.43616266098772949</v>
      </c>
      <c r="J19" s="74" t="str">
        <f>IFERROR(INDEX('Facturación 2026'!$L$4:$L$253,MATCH(A19,'Facturación 2026'!$A$4:$A$253,0)),"")</f>
        <v/>
      </c>
    </row>
    <row r="20" spans="1:10" ht="18" customHeight="1">
      <c r="A20" s="660">
        <v>46031</v>
      </c>
      <c r="B20" s="661" t="s">
        <v>502</v>
      </c>
      <c r="C20" s="668" t="s">
        <v>497</v>
      </c>
      <c r="D20" s="663">
        <f t="array" ref="D20">IF(A20="","",SUMPRODUCT(('Detalle Turnos'!$Q$3:$Q$500=$A20)*('Detalle Turnos'!$S$3:$S$500=C20)*'Detalle Turnos'!$T$3:$T$500))</f>
        <v>35</v>
      </c>
      <c r="E20" s="664">
        <f t="array" ref="E20">IF(A20="","",SUMPRODUCT(('Detalle Turnos'!$Q$3:$Q$500=$A20)*('Detalle Turnos'!$S$3:$S$500=C20)*'Detalle Turnos'!$U$3:$U$500))</f>
        <v>652.09</v>
      </c>
      <c r="F20" s="664">
        <f t="shared" si="3"/>
        <v>18.631142857142859</v>
      </c>
      <c r="G20" s="664">
        <f t="array" ref="G20">IFERROR(SUMPRODUCT(('Facturación 2026'!$A$4:$A$253=A20)*'Facturación 2026'!$J$4:$J$253)*E20/SUMPRODUCT(('Facturación 2026'!$A$4:$A$253=A20)*'Facturación 2026'!$F$4:$F$253),0)</f>
        <v>284.41730960348855</v>
      </c>
      <c r="H20" s="665">
        <f t="shared" si="4"/>
        <v>367.67269039651148</v>
      </c>
      <c r="I20" s="666">
        <f t="shared" si="5"/>
        <v>0.43616266098772949</v>
      </c>
      <c r="J20" s="74" t="str">
        <f>IFERROR(INDEX('Facturación 2026'!$L$4:$L$253,MATCH(A20,'Facturación 2026'!$A$4:$A$253,0)),"")</f>
        <v/>
      </c>
    </row>
    <row r="21" spans="1:10" ht="18" customHeight="1">
      <c r="A21" s="660">
        <v>46032</v>
      </c>
      <c r="B21" s="661" t="s">
        <v>503</v>
      </c>
      <c r="C21" s="662" t="s">
        <v>146</v>
      </c>
      <c r="D21" s="663">
        <f t="array" ref="D21">IF(A21="","",SUMPRODUCT(('Detalle Turnos'!$Q$3:$Q$500=$A21)*('Detalle Turnos'!$S$3:$S$500=C21)*'Detalle Turnos'!$T$3:$T$500))</f>
        <v>15</v>
      </c>
      <c r="E21" s="664">
        <f t="array" ref="E21">IF(A21="","",SUMPRODUCT(('Detalle Turnos'!$Q$3:$Q$500=$A21)*('Detalle Turnos'!$S$3:$S$500=C21)*'Detalle Turnos'!$U$3:$U$500))</f>
        <v>42</v>
      </c>
      <c r="F21" s="664">
        <f t="shared" si="3"/>
        <v>2.8</v>
      </c>
      <c r="G21" s="664">
        <f t="array" ref="G21">IFERROR(SUMPRODUCT(('Facturación 2026'!$A$4:$A$253=A21)*'Facturación 2026'!$J$4:$J$253)*E21/SUMPRODUCT(('Facturación 2026'!$A$4:$A$253=A21)*'Facturación 2026'!$F$4:$F$253),0)</f>
        <v>10.48989009542071</v>
      </c>
      <c r="H21" s="665">
        <f t="shared" si="4"/>
        <v>31.510109904579288</v>
      </c>
      <c r="I21" s="666">
        <f t="shared" si="5"/>
        <v>0.24975928798620739</v>
      </c>
      <c r="J21" s="74" t="str">
        <f>IFERROR(INDEX('Facturación 2026'!$L$4:$L$253,MATCH(A21,'Facturación 2026'!$A$4:$A$253,0)),"")</f>
        <v/>
      </c>
    </row>
    <row r="22" spans="1:10" ht="18" customHeight="1">
      <c r="A22" s="660">
        <v>46032</v>
      </c>
      <c r="B22" s="661" t="s">
        <v>503</v>
      </c>
      <c r="C22" s="667" t="s">
        <v>494</v>
      </c>
      <c r="D22" s="663">
        <f t="array" ref="D22">IF(A22="","",SUMPRODUCT(('Detalle Turnos'!$Q$3:$Q$500=$A22)*('Detalle Turnos'!$S$3:$S$500=C22)*'Detalle Turnos'!$T$3:$T$500))</f>
        <v>66</v>
      </c>
      <c r="E22" s="664">
        <f t="array" ref="E22">IF(A22="","",SUMPRODUCT(('Detalle Turnos'!$Q$3:$Q$500=$A22)*('Detalle Turnos'!$S$3:$S$500=C22)*'Detalle Turnos'!$U$3:$U$500))</f>
        <v>1129.4100000000001</v>
      </c>
      <c r="F22" s="664">
        <f t="shared" si="3"/>
        <v>17.112272727272728</v>
      </c>
      <c r="G22" s="664">
        <f t="array" ref="G22">IFERROR(SUMPRODUCT(('Facturación 2026'!$A$4:$A$253=A22)*'Facturación 2026'!$J$4:$J$253)*E22/SUMPRODUCT(('Facturación 2026'!$A$4:$A$253=A22)*'Facturación 2026'!$F$4:$F$253),0)</f>
        <v>282.08063744450254</v>
      </c>
      <c r="H22" s="665">
        <f t="shared" si="4"/>
        <v>847.32936255549748</v>
      </c>
      <c r="I22" s="666">
        <f t="shared" si="5"/>
        <v>0.24975928798620742</v>
      </c>
      <c r="J22" s="74" t="str">
        <f>IFERROR(INDEX('Facturación 2026'!$L$4:$L$253,MATCH(A22,'Facturación 2026'!$A$4:$A$253,0)),"")</f>
        <v/>
      </c>
    </row>
    <row r="23" spans="1:10" ht="18" customHeight="1">
      <c r="A23" s="660">
        <v>46032</v>
      </c>
      <c r="B23" s="661" t="s">
        <v>503</v>
      </c>
      <c r="C23" s="668" t="s">
        <v>497</v>
      </c>
      <c r="D23" s="663">
        <f t="array" ref="D23">IF(A23="","",SUMPRODUCT(('Detalle Turnos'!$Q$3:$Q$500=$A23)*('Detalle Turnos'!$S$3:$S$500=C23)*'Detalle Turnos'!$T$3:$T$500))</f>
        <v>63</v>
      </c>
      <c r="E23" s="664">
        <f t="array" ref="E23">IF(A23="","",SUMPRODUCT(('Detalle Turnos'!$Q$3:$Q$500=$A23)*('Detalle Turnos'!$S$3:$S$500=C23)*'Detalle Turnos'!$U$3:$U$500))</f>
        <v>1131.23</v>
      </c>
      <c r="F23" s="664">
        <f t="shared" si="3"/>
        <v>17.956031746031748</v>
      </c>
      <c r="G23" s="664">
        <f t="array" ref="G23">IFERROR(SUMPRODUCT(('Facturación 2026'!$A$4:$A$253=A23)*'Facturación 2026'!$J$4:$J$253)*E23/SUMPRODUCT(('Facturación 2026'!$A$4:$A$253=A23)*'Facturación 2026'!$F$4:$F$253),0)</f>
        <v>282.53519934863738</v>
      </c>
      <c r="H23" s="665">
        <f t="shared" si="4"/>
        <v>848.69480065136258</v>
      </c>
      <c r="I23" s="666">
        <f t="shared" si="5"/>
        <v>0.24975928798620739</v>
      </c>
      <c r="J23" s="74" t="str">
        <f>IFERROR(INDEX('Facturación 2026'!$L$4:$L$253,MATCH(A23,'Facturación 2026'!$A$4:$A$253,0)),"")</f>
        <v/>
      </c>
    </row>
    <row r="24" spans="1:10" ht="18" customHeight="1">
      <c r="A24" s="660">
        <v>46033</v>
      </c>
      <c r="B24" s="661" t="s">
        <v>504</v>
      </c>
      <c r="C24" s="662" t="s">
        <v>146</v>
      </c>
      <c r="D24" s="663">
        <f t="array" ref="D24">IF(A24="","",SUMPRODUCT(('Detalle Turnos'!$Q$3:$Q$500=$A24)*('Detalle Turnos'!$S$3:$S$500=C24)*'Detalle Turnos'!$T$3:$T$500))</f>
        <v>17</v>
      </c>
      <c r="E24" s="664">
        <f t="array" ref="E24">IF(A24="","",SUMPRODUCT(('Detalle Turnos'!$Q$3:$Q$500=$A24)*('Detalle Turnos'!$S$3:$S$500=C24)*'Detalle Turnos'!$U$3:$U$500))</f>
        <v>67.14</v>
      </c>
      <c r="F24" s="664">
        <f t="shared" si="3"/>
        <v>3.9494117647058822</v>
      </c>
      <c r="G24" s="664">
        <f t="array" ref="G24">IFERROR(SUMPRODUCT(('Facturación 2026'!$A$4:$A$253=A24)*'Facturación 2026'!$J$4:$J$253)*E24/SUMPRODUCT(('Facturación 2026'!$A$4:$A$253=A24)*'Facturación 2026'!$F$4:$F$253),0)</f>
        <v>30.971058866891326</v>
      </c>
      <c r="H24" s="665">
        <f t="shared" si="4"/>
        <v>36.168941133108675</v>
      </c>
      <c r="I24" s="666">
        <f t="shared" si="5"/>
        <v>0.46129071889918566</v>
      </c>
      <c r="J24" s="74" t="str">
        <f>IFERROR(INDEX('Facturación 2026'!$L$4:$L$253,MATCH(A24,'Facturación 2026'!$A$4:$A$253,0)),"")</f>
        <v/>
      </c>
    </row>
    <row r="25" spans="1:10" ht="18" customHeight="1">
      <c r="A25" s="660">
        <v>46033</v>
      </c>
      <c r="B25" s="661" t="s">
        <v>504</v>
      </c>
      <c r="C25" s="667" t="s">
        <v>494</v>
      </c>
      <c r="D25" s="663">
        <f t="array" ref="D25">IF(A25="","",SUMPRODUCT(('Detalle Turnos'!$Q$3:$Q$500=$A25)*('Detalle Turnos'!$S$3:$S$500=C25)*'Detalle Turnos'!$T$3:$T$500))</f>
        <v>61</v>
      </c>
      <c r="E25" s="664">
        <f t="array" ref="E25">IF(A25="","",SUMPRODUCT(('Detalle Turnos'!$Q$3:$Q$500=$A25)*('Detalle Turnos'!$S$3:$S$500=C25)*'Detalle Turnos'!$U$3:$U$500))</f>
        <v>720.5</v>
      </c>
      <c r="F25" s="664">
        <f t="shared" si="3"/>
        <v>11.811475409836065</v>
      </c>
      <c r="G25" s="664">
        <f t="array" ref="G25">IFERROR(SUMPRODUCT(('Facturación 2026'!$A$4:$A$253=A25)*'Facturación 2026'!$J$4:$J$253)*E25/SUMPRODUCT(('Facturación 2026'!$A$4:$A$253=A25)*'Facturación 2026'!$F$4:$F$253),0)</f>
        <v>332.35996296686329</v>
      </c>
      <c r="H25" s="665">
        <f t="shared" si="4"/>
        <v>388.14003703313671</v>
      </c>
      <c r="I25" s="666">
        <f t="shared" si="5"/>
        <v>0.46129071889918571</v>
      </c>
      <c r="J25" s="74" t="str">
        <f>IFERROR(INDEX('Facturación 2026'!$L$4:$L$253,MATCH(A25,'Facturación 2026'!$A$4:$A$253,0)),"")</f>
        <v/>
      </c>
    </row>
    <row r="26" spans="1:10" ht="18" customHeight="1">
      <c r="A26" s="660">
        <v>46036</v>
      </c>
      <c r="B26" s="661" t="s">
        <v>505</v>
      </c>
      <c r="C26" s="662" t="s">
        <v>146</v>
      </c>
      <c r="D26" s="663">
        <f t="array" ref="D26">IF(A26="","",SUMPRODUCT(('Detalle Turnos'!$Q$3:$Q$500=$A26)*('Detalle Turnos'!$S$3:$S$500=C26)*'Detalle Turnos'!$T$3:$T$500))</f>
        <v>17</v>
      </c>
      <c r="E26" s="664">
        <f t="array" ref="E26">IF(A26="","",SUMPRODUCT(('Detalle Turnos'!$Q$3:$Q$500=$A26)*('Detalle Turnos'!$S$3:$S$500=C26)*'Detalle Turnos'!$U$3:$U$500))</f>
        <v>135.22999999999999</v>
      </c>
      <c r="F26" s="664">
        <f t="shared" si="3"/>
        <v>7.9547058823529406</v>
      </c>
      <c r="G26" s="664">
        <f t="array" ref="G26">IFERROR(SUMPRODUCT(('Facturación 2026'!$A$4:$A$253=A26)*'Facturación 2026'!$J$4:$J$253)*E26/SUMPRODUCT(('Facturación 2026'!$A$4:$A$253=A26)*'Facturación 2026'!$F$4:$F$253),0)</f>
        <v>86.738536683586489</v>
      </c>
      <c r="H26" s="665">
        <f t="shared" si="4"/>
        <v>48.491463316413501</v>
      </c>
      <c r="I26" s="666">
        <f t="shared" si="5"/>
        <v>0.64141489820000364</v>
      </c>
      <c r="J26" s="74" t="str">
        <f>IFERROR(INDEX('Facturación 2026'!$L$4:$L$253,MATCH(A26,'Facturación 2026'!$A$4:$A$253,0)),"")</f>
        <v/>
      </c>
    </row>
    <row r="27" spans="1:10" ht="18" customHeight="1">
      <c r="A27" s="669">
        <v>46036</v>
      </c>
      <c r="B27" s="670" t="s">
        <v>505</v>
      </c>
      <c r="C27" s="671" t="s">
        <v>494</v>
      </c>
      <c r="D27" s="663">
        <f t="array" ref="D27">IF(A27="","",SUMPRODUCT(('Detalle Turnos'!$Q$3:$Q$500=$A27)*('Detalle Turnos'!$S$3:$S$500=C27)*'Detalle Turnos'!$T$3:$T$500))</f>
        <v>15</v>
      </c>
      <c r="E27" s="664">
        <f t="array" ref="E27">IF(A27="","",SUMPRODUCT(('Detalle Turnos'!$Q$3:$Q$500=$A27)*('Detalle Turnos'!$S$3:$S$500=C27)*'Detalle Turnos'!$U$3:$U$500))</f>
        <v>113.23</v>
      </c>
      <c r="F27" s="664">
        <f t="shared" si="3"/>
        <v>7.5486666666666666</v>
      </c>
      <c r="G27" s="664">
        <f t="array" ref="G27">IFERROR(SUMPRODUCT(('Facturación 2026'!$A$4:$A$253=A27)*'Facturación 2026'!$J$4:$J$253)*E27/SUMPRODUCT(('Facturación 2026'!$A$4:$A$253=A27)*'Facturación 2026'!$F$4:$F$253),0)</f>
        <v>72.627408923186408</v>
      </c>
      <c r="H27" s="665">
        <f t="shared" si="4"/>
        <v>40.602591076813596</v>
      </c>
      <c r="I27" s="666">
        <f t="shared" si="5"/>
        <v>0.64141489820000364</v>
      </c>
      <c r="J27" s="74" t="str">
        <f>IFERROR(INDEX('Facturación 2026'!$L$4:$L$253,MATCH(A27,'Facturación 2026'!$A$4:$A$253,0)),"")</f>
        <v/>
      </c>
    </row>
    <row r="28" spans="1:10" ht="18" customHeight="1">
      <c r="A28" s="669">
        <v>46036</v>
      </c>
      <c r="B28" s="670" t="s">
        <v>505</v>
      </c>
      <c r="C28" s="672" t="s">
        <v>497</v>
      </c>
      <c r="D28" s="663">
        <f t="array" ref="D28">IF(A28="","",SUMPRODUCT(('Detalle Turnos'!$Q$3:$Q$500=$A28)*('Detalle Turnos'!$S$3:$S$500=C28)*'Detalle Turnos'!$T$3:$T$500))</f>
        <v>8</v>
      </c>
      <c r="E28" s="664">
        <f t="array" ref="E28">IF(A28="","",SUMPRODUCT(('Detalle Turnos'!$Q$3:$Q$500=$A28)*('Detalle Turnos'!$S$3:$S$500=C28)*'Detalle Turnos'!$U$3:$U$500))</f>
        <v>87.18</v>
      </c>
      <c r="F28" s="664">
        <f t="shared" si="3"/>
        <v>10.897500000000001</v>
      </c>
      <c r="G28" s="664">
        <f t="array" ref="G28">IFERROR(SUMPRODUCT(('Facturación 2026'!$A$4:$A$253=A28)*'Facturación 2026'!$J$4:$J$253)*E28/SUMPRODUCT(('Facturación 2026'!$A$4:$A$253=A28)*'Facturación 2026'!$F$4:$F$253),0)</f>
        <v>55.918550825076323</v>
      </c>
      <c r="H28" s="665">
        <f t="shared" si="4"/>
        <v>31.261449174923683</v>
      </c>
      <c r="I28" s="666">
        <f t="shared" si="5"/>
        <v>0.64141489820000364</v>
      </c>
      <c r="J28" s="74" t="str">
        <f>IFERROR(INDEX('Facturación 2026'!$L$4:$L$253,MATCH(A28,'Facturación 2026'!$A$4:$A$253,0)),"")</f>
        <v/>
      </c>
    </row>
    <row r="29" spans="1:10" ht="18" customHeight="1">
      <c r="A29" s="669">
        <v>46037</v>
      </c>
      <c r="B29" s="670" t="s">
        <v>506</v>
      </c>
      <c r="C29" s="673" t="s">
        <v>146</v>
      </c>
      <c r="D29" s="663">
        <f t="array" ref="D29">IF(A29="","",SUMPRODUCT(('Detalle Turnos'!$Q$3:$Q$500=$A29)*('Detalle Turnos'!$S$3:$S$500=C29)*'Detalle Turnos'!$T$3:$T$500))</f>
        <v>8</v>
      </c>
      <c r="E29" s="664">
        <f t="array" ref="E29">IF(A29="","",SUMPRODUCT(('Detalle Turnos'!$Q$3:$Q$500=$A29)*('Detalle Turnos'!$S$3:$S$500=C29)*'Detalle Turnos'!$U$3:$U$500))</f>
        <v>59.09</v>
      </c>
      <c r="F29" s="664">
        <f t="shared" si="3"/>
        <v>7.3862500000000004</v>
      </c>
      <c r="G29" s="664">
        <f t="array" ref="G29">IFERROR(SUMPRODUCT(('Facturación 2026'!$A$4:$A$253=A29)*'Facturación 2026'!$J$4:$J$253)*E29/SUMPRODUCT(('Facturación 2026'!$A$4:$A$253=A29)*'Facturación 2026'!$F$4:$F$253),0)</f>
        <v>34.580521161722722</v>
      </c>
      <c r="H29" s="665">
        <f t="shared" si="4"/>
        <v>24.509478838277282</v>
      </c>
      <c r="I29" s="666">
        <f t="shared" si="5"/>
        <v>0.58521782301104619</v>
      </c>
      <c r="J29" s="74" t="str">
        <f>IFERROR(INDEX('Facturación 2026'!$L$4:$L$253,MATCH(A29,'Facturación 2026'!$A$4:$A$253,0)),"")</f>
        <v/>
      </c>
    </row>
    <row r="30" spans="1:10" ht="18" customHeight="1">
      <c r="A30" s="669">
        <v>46037</v>
      </c>
      <c r="B30" s="670" t="s">
        <v>506</v>
      </c>
      <c r="C30" s="671" t="s">
        <v>494</v>
      </c>
      <c r="D30" s="663">
        <f t="array" ref="D30">IF(A30="","",SUMPRODUCT(('Detalle Turnos'!$Q$3:$Q$500=$A30)*('Detalle Turnos'!$S$3:$S$500=C30)*'Detalle Turnos'!$T$3:$T$500))</f>
        <v>33</v>
      </c>
      <c r="E30" s="664">
        <f t="array" ref="E30">IF(A30="","",SUMPRODUCT(('Detalle Turnos'!$Q$3:$Q$500=$A30)*('Detalle Turnos'!$S$3:$S$500=C30)*'Detalle Turnos'!$U$3:$U$500))</f>
        <v>457.86</v>
      </c>
      <c r="F30" s="664">
        <f t="shared" si="3"/>
        <v>13.874545454545455</v>
      </c>
      <c r="G30" s="664">
        <f t="array" ref="G30">IFERROR(SUMPRODUCT(('Facturación 2026'!$A$4:$A$253=A30)*'Facturación 2026'!$J$4:$J$253)*E30/SUMPRODUCT(('Facturación 2026'!$A$4:$A$253=A30)*'Facturación 2026'!$F$4:$F$253),0)</f>
        <v>267.94783244383763</v>
      </c>
      <c r="H30" s="665">
        <f t="shared" si="4"/>
        <v>189.91216755616239</v>
      </c>
      <c r="I30" s="666">
        <f t="shared" si="5"/>
        <v>0.58521782301104619</v>
      </c>
      <c r="J30" s="74" t="str">
        <f>IFERROR(INDEX('Facturación 2026'!$L$4:$L$253,MATCH(A30,'Facturación 2026'!$A$4:$A$253,0)),"")</f>
        <v/>
      </c>
    </row>
    <row r="31" spans="1:10" ht="18" customHeight="1">
      <c r="A31" s="669">
        <v>46037</v>
      </c>
      <c r="B31" s="670" t="s">
        <v>506</v>
      </c>
      <c r="C31" s="672" t="s">
        <v>497</v>
      </c>
      <c r="D31" s="663">
        <f t="array" ref="D31">IF(A31="","",SUMPRODUCT(('Detalle Turnos'!$Q$3:$Q$500=$A31)*('Detalle Turnos'!$S$3:$S$500=C31)*'Detalle Turnos'!$T$3:$T$500))</f>
        <v>12</v>
      </c>
      <c r="E31" s="664">
        <f t="array" ref="E31">IF(A31="","",SUMPRODUCT(('Detalle Turnos'!$Q$3:$Q$500=$A31)*('Detalle Turnos'!$S$3:$S$500=C31)*'Detalle Turnos'!$U$3:$U$500))</f>
        <v>204.5</v>
      </c>
      <c r="F31" s="664">
        <f t="shared" si="3"/>
        <v>17.041666666666668</v>
      </c>
      <c r="G31" s="664">
        <f t="array" ref="G31">IFERROR(SUMPRODUCT(('Facturación 2026'!$A$4:$A$253=A31)*'Facturación 2026'!$J$4:$J$253)*E31/SUMPRODUCT(('Facturación 2026'!$A$4:$A$253=A31)*'Facturación 2026'!$F$4:$F$253),0)</f>
        <v>119.67704480575894</v>
      </c>
      <c r="H31" s="665">
        <f t="shared" si="4"/>
        <v>84.822955194241061</v>
      </c>
      <c r="I31" s="666">
        <f t="shared" si="5"/>
        <v>0.58521782301104619</v>
      </c>
      <c r="J31" s="74" t="str">
        <f>IFERROR(INDEX('Facturación 2026'!$L$4:$L$253,MATCH(A31,'Facturación 2026'!$A$4:$A$253,0)),"")</f>
        <v/>
      </c>
    </row>
    <row r="32" spans="1:10" ht="18" customHeight="1">
      <c r="A32" s="669">
        <v>46038</v>
      </c>
      <c r="B32" s="670" t="s">
        <v>502</v>
      </c>
      <c r="C32" s="673" t="s">
        <v>146</v>
      </c>
      <c r="D32" s="663">
        <f t="array" ref="D32">IF(A32="","",SUMPRODUCT(('Detalle Turnos'!$Q$3:$Q$500=$A32)*('Detalle Turnos'!$S$3:$S$500=C32)*'Detalle Turnos'!$T$3:$T$500))</f>
        <v>14</v>
      </c>
      <c r="E32" s="664">
        <f t="array" ref="E32">IF(A32="","",SUMPRODUCT(('Detalle Turnos'!$Q$3:$Q$500=$A32)*('Detalle Turnos'!$S$3:$S$500=C32)*'Detalle Turnos'!$U$3:$U$500))</f>
        <v>66.59</v>
      </c>
      <c r="F32" s="664">
        <f t="shared" si="3"/>
        <v>4.7564285714285717</v>
      </c>
      <c r="G32" s="664">
        <f t="array" ref="G32">IFERROR(SUMPRODUCT(('Facturación 2026'!$A$4:$A$253=A32)*'Facturación 2026'!$J$4:$J$253)*E32/SUMPRODUCT(('Facturación 2026'!$A$4:$A$253=A32)*'Facturación 2026'!$F$4:$F$253),0)</f>
        <v>28.816727480934336</v>
      </c>
      <c r="H32" s="665">
        <f t="shared" si="4"/>
        <v>37.773272519065671</v>
      </c>
      <c r="I32" s="666">
        <f t="shared" si="5"/>
        <v>0.43274857307304904</v>
      </c>
      <c r="J32" s="74" t="str">
        <f>IFERROR(INDEX('Facturación 2026'!$L$4:$L$253,MATCH(A32,'Facturación 2026'!$A$4:$A$253,0)),"")</f>
        <v/>
      </c>
    </row>
    <row r="33" spans="1:10" ht="18" customHeight="1">
      <c r="A33" s="669">
        <v>46038</v>
      </c>
      <c r="B33" s="670" t="s">
        <v>502</v>
      </c>
      <c r="C33" s="671" t="s">
        <v>494</v>
      </c>
      <c r="D33" s="663">
        <f t="array" ref="D33">IF(A33="","",SUMPRODUCT(('Detalle Turnos'!$Q$3:$Q$500=$A33)*('Detalle Turnos'!$S$3:$S$500=C33)*'Detalle Turnos'!$T$3:$T$500))</f>
        <v>14</v>
      </c>
      <c r="E33" s="664">
        <f t="array" ref="E33">IF(A33="","",SUMPRODUCT(('Detalle Turnos'!$Q$3:$Q$500=$A33)*('Detalle Turnos'!$S$3:$S$500=C33)*'Detalle Turnos'!$U$3:$U$500))</f>
        <v>157.82</v>
      </c>
      <c r="F33" s="664">
        <f t="shared" si="3"/>
        <v>11.272857142857143</v>
      </c>
      <c r="G33" s="664">
        <f t="array" ref="G33">IFERROR(SUMPRODUCT(('Facturación 2026'!$A$4:$A$253=A33)*'Facturación 2026'!$J$4:$J$253)*E33/SUMPRODUCT(('Facturación 2026'!$A$4:$A$253=A33)*'Facturación 2026'!$F$4:$F$253),0)</f>
        <v>68.2963798023886</v>
      </c>
      <c r="H33" s="665">
        <f t="shared" si="4"/>
        <v>89.523620197611393</v>
      </c>
      <c r="I33" s="666">
        <f t="shared" si="5"/>
        <v>0.43274857307304904</v>
      </c>
      <c r="J33" s="74" t="str">
        <f>IFERROR(INDEX('Facturación 2026'!$L$4:$L$253,MATCH(A33,'Facturación 2026'!$A$4:$A$253,0)),"")</f>
        <v/>
      </c>
    </row>
    <row r="34" spans="1:10" ht="18" customHeight="1">
      <c r="A34" s="669">
        <v>46038</v>
      </c>
      <c r="B34" s="670" t="s">
        <v>502</v>
      </c>
      <c r="C34" s="672" t="s">
        <v>497</v>
      </c>
      <c r="D34" s="663">
        <f t="array" ref="D34">IF(A34="","",SUMPRODUCT(('Detalle Turnos'!$Q$3:$Q$500=$A34)*('Detalle Turnos'!$S$3:$S$500=C34)*'Detalle Turnos'!$T$3:$T$500))</f>
        <v>49</v>
      </c>
      <c r="E34" s="664">
        <f t="array" ref="E34">IF(A34="","",SUMPRODUCT(('Detalle Turnos'!$Q$3:$Q$500=$A34)*('Detalle Turnos'!$S$3:$S$500=C34)*'Detalle Turnos'!$U$3:$U$500))</f>
        <v>915.73</v>
      </c>
      <c r="F34" s="664">
        <f t="shared" si="3"/>
        <v>18.688367346938776</v>
      </c>
      <c r="G34" s="664">
        <f t="array" ref="G34">IFERROR(SUMPRODUCT(('Facturación 2026'!$A$4:$A$253=A34)*'Facturación 2026'!$J$4:$J$253)*E34/SUMPRODUCT(('Facturación 2026'!$A$4:$A$253=A34)*'Facturación 2026'!$F$4:$F$253),0)</f>
        <v>396.28085082018316</v>
      </c>
      <c r="H34" s="665">
        <f t="shared" si="4"/>
        <v>519.44914917981691</v>
      </c>
      <c r="I34" s="666">
        <f t="shared" si="5"/>
        <v>0.43274857307304898</v>
      </c>
      <c r="J34" s="74" t="str">
        <f>IFERROR(INDEX('Facturación 2026'!$L$4:$L$253,MATCH(A34,'Facturación 2026'!$A$4:$A$253,0)),"")</f>
        <v/>
      </c>
    </row>
    <row r="35" spans="1:10" ht="18" customHeight="1">
      <c r="A35" s="669">
        <v>46039</v>
      </c>
      <c r="B35" s="670" t="s">
        <v>503</v>
      </c>
      <c r="C35" s="673" t="s">
        <v>146</v>
      </c>
      <c r="D35" s="663">
        <f t="array" ref="D35">IF(A35="","",SUMPRODUCT(('Detalle Turnos'!$Q$3:$Q$500=$A35)*('Detalle Turnos'!$S$3:$S$500=C35)*'Detalle Turnos'!$T$3:$T$500))</f>
        <v>9</v>
      </c>
      <c r="E35" s="664">
        <f t="array" ref="E35">IF(A35="","",SUMPRODUCT(('Detalle Turnos'!$Q$3:$Q$500=$A35)*('Detalle Turnos'!$S$3:$S$500=C35)*'Detalle Turnos'!$U$3:$U$500))</f>
        <v>41.59</v>
      </c>
      <c r="F35" s="664">
        <f t="shared" si="3"/>
        <v>4.6211111111111114</v>
      </c>
      <c r="G35" s="664">
        <f t="array" ref="G35">IFERROR(SUMPRODUCT(('Facturación 2026'!$A$4:$A$253=A35)*'Facturación 2026'!$J$4:$J$253)*E35/SUMPRODUCT(('Facturación 2026'!$A$4:$A$253=A35)*'Facturación 2026'!$F$4:$F$253),0)</f>
        <v>22.332890218574327</v>
      </c>
      <c r="H35" s="665">
        <f t="shared" si="4"/>
        <v>19.257109781425676</v>
      </c>
      <c r="I35" s="666">
        <f t="shared" si="5"/>
        <v>0.53697740366853397</v>
      </c>
      <c r="J35" s="74" t="str">
        <f>IFERROR(INDEX('Facturación 2026'!$L$4:$L$253,MATCH(A35,'Facturación 2026'!$A$4:$A$253,0)),"")</f>
        <v/>
      </c>
    </row>
    <row r="36" spans="1:10" ht="18" customHeight="1">
      <c r="A36" s="669">
        <v>46039</v>
      </c>
      <c r="B36" s="670" t="s">
        <v>503</v>
      </c>
      <c r="C36" s="671" t="s">
        <v>494</v>
      </c>
      <c r="D36" s="663">
        <f t="array" ref="D36">IF(A36="","",SUMPRODUCT(('Detalle Turnos'!$Q$3:$Q$500=$A36)*('Detalle Turnos'!$S$3:$S$500=C36)*'Detalle Turnos'!$T$3:$T$500))</f>
        <v>42</v>
      </c>
      <c r="E36" s="664">
        <f t="array" ref="E36">IF(A36="","",SUMPRODUCT(('Detalle Turnos'!$Q$3:$Q$500=$A36)*('Detalle Turnos'!$S$3:$S$500=C36)*'Detalle Turnos'!$U$3:$U$500))</f>
        <v>457.55</v>
      </c>
      <c r="F36" s="664">
        <f t="shared" si="3"/>
        <v>10.894047619047619</v>
      </c>
      <c r="G36" s="664">
        <f t="array" ref="G36">IFERROR(SUMPRODUCT(('Facturación 2026'!$A$4:$A$253=A36)*'Facturación 2026'!$J$4:$J$253)*E36/SUMPRODUCT(('Facturación 2026'!$A$4:$A$253=A36)*'Facturación 2026'!$F$4:$F$253),0)</f>
        <v>245.6940110485377</v>
      </c>
      <c r="H36" s="665">
        <f t="shared" ref="H36:H67" si="6">E36-G36</f>
        <v>211.85598895146231</v>
      </c>
      <c r="I36" s="666">
        <f t="shared" si="5"/>
        <v>0.53697740366853397</v>
      </c>
      <c r="J36" s="74" t="str">
        <f>IFERROR(INDEX('Facturación 2026'!$L$4:$L$253,MATCH(A36,'Facturación 2026'!$A$4:$A$253,0)),"")</f>
        <v/>
      </c>
    </row>
    <row r="37" spans="1:10" ht="18" customHeight="1">
      <c r="A37" s="669">
        <v>46039</v>
      </c>
      <c r="B37" s="670" t="s">
        <v>503</v>
      </c>
      <c r="C37" s="672" t="s">
        <v>497</v>
      </c>
      <c r="D37" s="663">
        <f t="array" ref="D37">IF(A37="","",SUMPRODUCT(('Detalle Turnos'!$Q$3:$Q$500=$A37)*('Detalle Turnos'!$S$3:$S$500=C37)*'Detalle Turnos'!$T$3:$T$500))</f>
        <v>28</v>
      </c>
      <c r="E37" s="664">
        <f t="array" ref="E37">IF(A37="","",SUMPRODUCT(('Detalle Turnos'!$Q$3:$Q$500=$A37)*('Detalle Turnos'!$S$3:$S$500=C37)*'Detalle Turnos'!$U$3:$U$500))</f>
        <v>455.55</v>
      </c>
      <c r="F37" s="664">
        <f t="shared" si="3"/>
        <v>16.269642857142859</v>
      </c>
      <c r="G37" s="664">
        <f t="array" ref="G37">IFERROR(SUMPRODUCT(('Facturación 2026'!$A$4:$A$253=A37)*'Facturación 2026'!$J$4:$J$253)*E37/SUMPRODUCT(('Facturación 2026'!$A$4:$A$253=A37)*'Facturación 2026'!$F$4:$F$253),0)</f>
        <v>244.62005624120064</v>
      </c>
      <c r="H37" s="665">
        <f t="shared" si="6"/>
        <v>210.92994375879937</v>
      </c>
      <c r="I37" s="666">
        <f t="shared" si="5"/>
        <v>0.53697740366853397</v>
      </c>
      <c r="J37" s="74" t="str">
        <f>IFERROR(INDEX('Facturación 2026'!$L$4:$L$253,MATCH(A37,'Facturación 2026'!$A$4:$A$253,0)),"")</f>
        <v/>
      </c>
    </row>
    <row r="38" spans="1:10" ht="18" customHeight="1">
      <c r="A38" s="669">
        <v>46040</v>
      </c>
      <c r="B38" s="670" t="s">
        <v>504</v>
      </c>
      <c r="C38" s="673" t="s">
        <v>146</v>
      </c>
      <c r="D38" s="663">
        <f t="array" ref="D38">IF(A38="","",SUMPRODUCT(('Detalle Turnos'!$Q$3:$Q$500=$A38)*('Detalle Turnos'!$S$3:$S$500=C38)*'Detalle Turnos'!$T$3:$T$500))</f>
        <v>11</v>
      </c>
      <c r="E38" s="664">
        <f t="array" ref="E38">IF(A38="","",SUMPRODUCT(('Detalle Turnos'!$Q$3:$Q$500=$A38)*('Detalle Turnos'!$S$3:$S$500=C38)*'Detalle Turnos'!$U$3:$U$500))</f>
        <v>70.5</v>
      </c>
      <c r="F38" s="664">
        <f t="shared" si="3"/>
        <v>6.4090909090909092</v>
      </c>
      <c r="G38" s="664">
        <f t="array" ref="G38">IFERROR(SUMPRODUCT(('Facturación 2026'!$A$4:$A$253=A38)*'Facturación 2026'!$J$4:$J$253)*E38/SUMPRODUCT(('Facturación 2026'!$A$4:$A$253=A38)*'Facturación 2026'!$F$4:$F$253),0)</f>
        <v>27.339087684790449</v>
      </c>
      <c r="H38" s="665">
        <f t="shared" si="6"/>
        <v>43.160912315209551</v>
      </c>
      <c r="I38" s="666">
        <f t="shared" si="5"/>
        <v>0.38778847779844611</v>
      </c>
      <c r="J38" s="74" t="str">
        <f>IFERROR(INDEX('Facturación 2026'!$L$4:$L$253,MATCH(A38,'Facturación 2026'!$A$4:$A$253,0)),"")</f>
        <v/>
      </c>
    </row>
    <row r="39" spans="1:10" ht="18" customHeight="1">
      <c r="A39" s="669">
        <v>46040</v>
      </c>
      <c r="B39" s="670" t="s">
        <v>504</v>
      </c>
      <c r="C39" s="671" t="s">
        <v>494</v>
      </c>
      <c r="D39" s="663">
        <f t="array" ref="D39">IF(A39="","",SUMPRODUCT(('Detalle Turnos'!$Q$3:$Q$500=$A39)*('Detalle Turnos'!$S$3:$S$500=C39)*'Detalle Turnos'!$T$3:$T$500))</f>
        <v>69</v>
      </c>
      <c r="E39" s="664">
        <f t="array" ref="E39">IF(A39="","",SUMPRODUCT(('Detalle Turnos'!$Q$3:$Q$500=$A39)*('Detalle Turnos'!$S$3:$S$500=C39)*'Detalle Turnos'!$U$3:$U$500))</f>
        <v>935.32</v>
      </c>
      <c r="F39" s="664">
        <f t="shared" si="3"/>
        <v>13.555362318840581</v>
      </c>
      <c r="G39" s="664">
        <f t="array" ref="G39">IFERROR(SUMPRODUCT(('Facturación 2026'!$A$4:$A$253=A39)*'Facturación 2026'!$J$4:$J$253)*E39/SUMPRODUCT(('Facturación 2026'!$A$4:$A$253=A39)*'Facturación 2026'!$F$4:$F$253),0)</f>
        <v>362.70631905444259</v>
      </c>
      <c r="H39" s="665">
        <f t="shared" si="6"/>
        <v>572.61368094555746</v>
      </c>
      <c r="I39" s="666">
        <f t="shared" si="5"/>
        <v>0.38778847779844605</v>
      </c>
      <c r="J39" s="74" t="str">
        <f>IFERROR(INDEX('Facturación 2026'!$L$4:$L$253,MATCH(A39,'Facturación 2026'!$A$4:$A$253,0)),"")</f>
        <v/>
      </c>
    </row>
    <row r="40" spans="1:10" ht="18" customHeight="1">
      <c r="A40" s="669">
        <v>46043</v>
      </c>
      <c r="B40" s="670" t="s">
        <v>505</v>
      </c>
      <c r="C40" s="673" t="s">
        <v>146</v>
      </c>
      <c r="D40" s="663">
        <f t="array" ref="D40">IF(A40="","",SUMPRODUCT(('Detalle Turnos'!$Q$3:$Q$500=$A40)*('Detalle Turnos'!$S$3:$S$500=C40)*'Detalle Turnos'!$T$3:$T$500))</f>
        <v>26</v>
      </c>
      <c r="E40" s="664">
        <f t="array" ref="E40">IF(A40="","",SUMPRODUCT(('Detalle Turnos'!$Q$3:$Q$500=$A40)*('Detalle Turnos'!$S$3:$S$500=C40)*'Detalle Turnos'!$U$3:$U$500))</f>
        <v>102.46</v>
      </c>
      <c r="F40" s="664">
        <f t="shared" si="3"/>
        <v>3.9407692307692304</v>
      </c>
      <c r="G40" s="664">
        <f t="array" ref="G40">IFERROR(SUMPRODUCT(('Facturación 2026'!$A$4:$A$253=A40)*'Facturación 2026'!$J$4:$J$253)*E40/SUMPRODUCT(('Facturación 2026'!$A$4:$A$253=A40)*'Facturación 2026'!$F$4:$F$253),0)</f>
        <v>57.571905477909503</v>
      </c>
      <c r="H40" s="665">
        <f t="shared" si="6"/>
        <v>44.888094522090491</v>
      </c>
      <c r="I40" s="666">
        <f t="shared" si="5"/>
        <v>0.56189640325892554</v>
      </c>
      <c r="J40" s="74" t="str">
        <f>IFERROR(INDEX('Facturación 2026'!$L$4:$L$253,MATCH(A40,'Facturación 2026'!$A$4:$A$253,0)),"")</f>
        <v/>
      </c>
    </row>
    <row r="41" spans="1:10" ht="18" customHeight="1">
      <c r="A41" s="669">
        <v>46043</v>
      </c>
      <c r="B41" s="670" t="s">
        <v>505</v>
      </c>
      <c r="C41" s="671" t="s">
        <v>494</v>
      </c>
      <c r="D41" s="663">
        <f t="array" ref="D41">IF(A41="","",SUMPRODUCT(('Detalle Turnos'!$Q$3:$Q$500=$A41)*('Detalle Turnos'!$S$3:$S$500=C41)*'Detalle Turnos'!$T$3:$T$500))</f>
        <v>21</v>
      </c>
      <c r="E41" s="664">
        <f t="array" ref="E41">IF(A41="","",SUMPRODUCT(('Detalle Turnos'!$Q$3:$Q$500=$A41)*('Detalle Turnos'!$S$3:$S$500=C41)*'Detalle Turnos'!$U$3:$U$500))</f>
        <v>214.91</v>
      </c>
      <c r="F41" s="664">
        <f t="shared" si="3"/>
        <v>10.233809523809523</v>
      </c>
      <c r="G41" s="664">
        <f t="array" ref="G41">IFERROR(SUMPRODUCT(('Facturación 2026'!$A$4:$A$253=A41)*'Facturación 2026'!$J$4:$J$253)*E41/SUMPRODUCT(('Facturación 2026'!$A$4:$A$253=A41)*'Facturación 2026'!$F$4:$F$253),0)</f>
        <v>120.75715602437567</v>
      </c>
      <c r="H41" s="665">
        <f t="shared" si="6"/>
        <v>94.152843975624322</v>
      </c>
      <c r="I41" s="666">
        <f t="shared" si="5"/>
        <v>0.56189640325892554</v>
      </c>
      <c r="J41" s="74" t="str">
        <f>IFERROR(INDEX('Facturación 2026'!$L$4:$L$253,MATCH(A41,'Facturación 2026'!$A$4:$A$253,0)),"")</f>
        <v/>
      </c>
    </row>
    <row r="42" spans="1:10" ht="18" customHeight="1">
      <c r="A42" s="669">
        <v>46043</v>
      </c>
      <c r="B42" s="670" t="s">
        <v>505</v>
      </c>
      <c r="C42" s="672" t="s">
        <v>497</v>
      </c>
      <c r="D42" s="663">
        <f t="array" ref="D42">IF(A42="","",SUMPRODUCT(('Detalle Turnos'!$Q$3:$Q$500=$A42)*('Detalle Turnos'!$S$3:$S$500=C42)*'Detalle Turnos'!$T$3:$T$500))</f>
        <v>13</v>
      </c>
      <c r="E42" s="664">
        <f t="array" ref="E42">IF(A42="","",SUMPRODUCT(('Detalle Turnos'!$Q$3:$Q$500=$A42)*('Detalle Turnos'!$S$3:$S$500=C42)*'Detalle Turnos'!$U$3:$U$500))</f>
        <v>203.73</v>
      </c>
      <c r="F42" s="664">
        <f t="shared" si="3"/>
        <v>15.671538461538461</v>
      </c>
      <c r="G42" s="664">
        <f t="array" ref="G42">IFERROR(SUMPRODUCT(('Facturación 2026'!$A$4:$A$253=A42)*'Facturación 2026'!$J$4:$J$253)*E42/SUMPRODUCT(('Facturación 2026'!$A$4:$A$253=A42)*'Facturación 2026'!$F$4:$F$253),0)</f>
        <v>114.47515423594089</v>
      </c>
      <c r="H42" s="665">
        <f t="shared" si="6"/>
        <v>89.254845764059098</v>
      </c>
      <c r="I42" s="666">
        <f t="shared" si="5"/>
        <v>0.56189640325892554</v>
      </c>
      <c r="J42" s="74" t="str">
        <f>IFERROR(INDEX('Facturación 2026'!$L$4:$L$253,MATCH(A42,'Facturación 2026'!$A$4:$A$253,0)),"")</f>
        <v/>
      </c>
    </row>
    <row r="43" spans="1:10" ht="18" customHeight="1">
      <c r="A43" s="669">
        <v>46044</v>
      </c>
      <c r="B43" s="670" t="s">
        <v>506</v>
      </c>
      <c r="C43" s="673" t="s">
        <v>146</v>
      </c>
      <c r="D43" s="663">
        <f t="array" ref="D43">IF(A43="","",SUMPRODUCT(('Detalle Turnos'!$Q$3:$Q$500=$A43)*('Detalle Turnos'!$S$3:$S$500=C43)*'Detalle Turnos'!$T$3:$T$500))</f>
        <v>23</v>
      </c>
      <c r="E43" s="664">
        <f t="array" ref="E43">IF(A43="","",SUMPRODUCT(('Detalle Turnos'!$Q$3:$Q$500=$A43)*('Detalle Turnos'!$S$3:$S$500=C43)*'Detalle Turnos'!$U$3:$U$500))</f>
        <v>84.91</v>
      </c>
      <c r="F43" s="664">
        <f t="shared" si="3"/>
        <v>3.6917391304347826</v>
      </c>
      <c r="G43" s="664">
        <f t="array" ref="G43">IFERROR(SUMPRODUCT(('Facturación 2026'!$A$4:$A$253=A43)*'Facturación 2026'!$J$4:$J$253)*E43/SUMPRODUCT(('Facturación 2026'!$A$4:$A$253=A43)*'Facturación 2026'!$F$4:$F$253),0)</f>
        <v>42.935965714154136</v>
      </c>
      <c r="H43" s="665">
        <f t="shared" si="6"/>
        <v>41.97403428584586</v>
      </c>
      <c r="I43" s="666">
        <f t="shared" si="5"/>
        <v>0.50566441778535087</v>
      </c>
      <c r="J43" s="74" t="str">
        <f>IFERROR(INDEX('Facturación 2026'!$L$4:$L$253,MATCH(A43,'Facturación 2026'!$A$4:$A$253,0)),"")</f>
        <v/>
      </c>
    </row>
    <row r="44" spans="1:10" ht="18" customHeight="1">
      <c r="A44" s="669">
        <v>46044</v>
      </c>
      <c r="B44" s="670" t="s">
        <v>506</v>
      </c>
      <c r="C44" s="671" t="s">
        <v>494</v>
      </c>
      <c r="D44" s="663">
        <f t="array" ref="D44">IF(A44="","",SUMPRODUCT(('Detalle Turnos'!$Q$3:$Q$500=$A44)*('Detalle Turnos'!$S$3:$S$500=C44)*'Detalle Turnos'!$T$3:$T$500))</f>
        <v>45</v>
      </c>
      <c r="E44" s="664">
        <f t="array" ref="E44">IF(A44="","",SUMPRODUCT(('Detalle Turnos'!$Q$3:$Q$500=$A44)*('Detalle Turnos'!$S$3:$S$500=C44)*'Detalle Turnos'!$U$3:$U$500))</f>
        <v>509.59</v>
      </c>
      <c r="F44" s="664">
        <f t="shared" si="3"/>
        <v>11.324222222222222</v>
      </c>
      <c r="G44" s="664">
        <f t="array" ref="G44">IFERROR(SUMPRODUCT(('Facturación 2026'!$A$4:$A$253=A44)*'Facturación 2026'!$J$4:$J$253)*E44/SUMPRODUCT(('Facturación 2026'!$A$4:$A$253=A44)*'Facturación 2026'!$F$4:$F$253),0)</f>
        <v>257.6815306592369</v>
      </c>
      <c r="H44" s="665">
        <f t="shared" si="6"/>
        <v>251.90846934076308</v>
      </c>
      <c r="I44" s="666">
        <f t="shared" si="5"/>
        <v>0.50566441778535076</v>
      </c>
      <c r="J44" s="74" t="str">
        <f>IFERROR(INDEX('Facturación 2026'!$L$4:$L$253,MATCH(A44,'Facturación 2026'!$A$4:$A$253,0)),"")</f>
        <v/>
      </c>
    </row>
    <row r="45" spans="1:10" ht="18" customHeight="1">
      <c r="A45" s="669">
        <v>46044</v>
      </c>
      <c r="B45" s="670" t="s">
        <v>506</v>
      </c>
      <c r="C45" s="672" t="s">
        <v>497</v>
      </c>
      <c r="D45" s="663">
        <f t="array" ref="D45">IF(A45="","",SUMPRODUCT(('Detalle Turnos'!$Q$3:$Q$500=$A45)*('Detalle Turnos'!$S$3:$S$500=C45)*'Detalle Turnos'!$T$3:$T$500))</f>
        <v>6</v>
      </c>
      <c r="E45" s="664">
        <f t="array" ref="E45">IF(A45="","",SUMPRODUCT(('Detalle Turnos'!$Q$3:$Q$500=$A45)*('Detalle Turnos'!$S$3:$S$500=C45)*'Detalle Turnos'!$U$3:$U$500))</f>
        <v>82.73</v>
      </c>
      <c r="F45" s="664">
        <f t="shared" si="3"/>
        <v>13.788333333333334</v>
      </c>
      <c r="G45" s="664">
        <f t="array" ref="G45">IFERROR(SUMPRODUCT(('Facturación 2026'!$A$4:$A$253=A45)*'Facturación 2026'!$J$4:$J$253)*E45/SUMPRODUCT(('Facturación 2026'!$A$4:$A$253=A45)*'Facturación 2026'!$F$4:$F$253),0)</f>
        <v>41.833617283382075</v>
      </c>
      <c r="H45" s="665">
        <f t="shared" si="6"/>
        <v>40.896382716617929</v>
      </c>
      <c r="I45" s="666">
        <f t="shared" si="5"/>
        <v>0.50566441778535087</v>
      </c>
      <c r="J45" s="74" t="str">
        <f>IFERROR(INDEX('Facturación 2026'!$L$4:$L$253,MATCH(A45,'Facturación 2026'!$A$4:$A$253,0)),"")</f>
        <v/>
      </c>
    </row>
    <row r="46" spans="1:10" ht="18" customHeight="1">
      <c r="A46" s="669">
        <v>46045</v>
      </c>
      <c r="B46" s="670" t="s">
        <v>502</v>
      </c>
      <c r="C46" s="673" t="s">
        <v>146</v>
      </c>
      <c r="D46" s="663">
        <f t="array" ref="D46">IF(A46="","",SUMPRODUCT(('Detalle Turnos'!$Q$3:$Q$500=$A46)*('Detalle Turnos'!$S$3:$S$500=C46)*'Detalle Turnos'!$T$3:$T$500))</f>
        <v>5</v>
      </c>
      <c r="E46" s="664">
        <f t="array" ref="E46">IF(A46="","",SUMPRODUCT(('Detalle Turnos'!$Q$3:$Q$500=$A46)*('Detalle Turnos'!$S$3:$S$500=C46)*'Detalle Turnos'!$U$3:$U$500))</f>
        <v>21</v>
      </c>
      <c r="F46" s="664">
        <f t="shared" si="3"/>
        <v>4.2</v>
      </c>
      <c r="G46" s="664">
        <f t="array" ref="G46">IFERROR(SUMPRODUCT(('Facturación 2026'!$A$4:$A$253=A46)*'Facturación 2026'!$J$4:$J$253)*E46/SUMPRODUCT(('Facturación 2026'!$A$4:$A$253=A46)*'Facturación 2026'!$F$4:$F$253),0)</f>
        <v>9.141486101627164</v>
      </c>
      <c r="H46" s="665">
        <f t="shared" si="6"/>
        <v>11.858513898372836</v>
      </c>
      <c r="I46" s="666">
        <f t="shared" si="5"/>
        <v>0.43530886198224589</v>
      </c>
      <c r="J46" s="74" t="str">
        <f>IFERROR(INDEX('Facturación 2026'!$L$4:$L$253,MATCH(A46,'Facturación 2026'!$A$4:$A$253,0)),"")</f>
        <v/>
      </c>
    </row>
    <row r="47" spans="1:10" ht="18" customHeight="1">
      <c r="A47" s="669">
        <v>46045</v>
      </c>
      <c r="B47" s="670" t="s">
        <v>502</v>
      </c>
      <c r="C47" s="671" t="s">
        <v>494</v>
      </c>
      <c r="D47" s="663">
        <f t="array" ref="D47">IF(A47="","",SUMPRODUCT(('Detalle Turnos'!$Q$3:$Q$500=$A47)*('Detalle Turnos'!$S$3:$S$500=C47)*'Detalle Turnos'!$T$3:$T$500))</f>
        <v>17</v>
      </c>
      <c r="E47" s="664">
        <f t="array" ref="E47">IF(A47="","",SUMPRODUCT(('Detalle Turnos'!$Q$3:$Q$500=$A47)*('Detalle Turnos'!$S$3:$S$500=C47)*'Detalle Turnos'!$U$3:$U$500))</f>
        <v>144</v>
      </c>
      <c r="F47" s="664">
        <f t="shared" si="3"/>
        <v>8.4705882352941178</v>
      </c>
      <c r="G47" s="664">
        <f t="array" ref="G47">IFERROR(SUMPRODUCT(('Facturación 2026'!$A$4:$A$253=A47)*'Facturación 2026'!$J$4:$J$253)*E47/SUMPRODUCT(('Facturación 2026'!$A$4:$A$253=A47)*'Facturación 2026'!$F$4:$F$253),0)</f>
        <v>62.68447612544341</v>
      </c>
      <c r="H47" s="665">
        <f t="shared" si="6"/>
        <v>81.31552387455659</v>
      </c>
      <c r="I47" s="666">
        <f t="shared" si="5"/>
        <v>0.43530886198224589</v>
      </c>
      <c r="J47" s="74" t="str">
        <f>IFERROR(INDEX('Facturación 2026'!$L$4:$L$253,MATCH(A47,'Facturación 2026'!$A$4:$A$253,0)),"")</f>
        <v/>
      </c>
    </row>
    <row r="48" spans="1:10" ht="18" customHeight="1">
      <c r="A48" s="669">
        <v>46045</v>
      </c>
      <c r="B48" s="670" t="s">
        <v>502</v>
      </c>
      <c r="C48" s="672" t="s">
        <v>497</v>
      </c>
      <c r="D48" s="663">
        <f t="array" ref="D48">IF(A48="","",SUMPRODUCT(('Detalle Turnos'!$Q$3:$Q$500=$A48)*('Detalle Turnos'!$S$3:$S$500=C48)*'Detalle Turnos'!$T$3:$T$500))</f>
        <v>51</v>
      </c>
      <c r="E48" s="664">
        <f t="array" ref="E48">IF(A48="","",SUMPRODUCT(('Detalle Turnos'!$Q$3:$Q$500=$A48)*('Detalle Turnos'!$S$3:$S$500=C48)*'Detalle Turnos'!$U$3:$U$500))</f>
        <v>812.96</v>
      </c>
      <c r="F48" s="664">
        <f t="shared" si="3"/>
        <v>15.940392156862746</v>
      </c>
      <c r="G48" s="664">
        <f t="array" ref="G48">IFERROR(SUMPRODUCT(('Facturación 2026'!$A$4:$A$253=A48)*'Facturación 2026'!$J$4:$J$253)*E48/SUMPRODUCT(('Facturación 2026'!$A$4:$A$253=A48)*'Facturación 2026'!$F$4:$F$253),0)</f>
        <v>353.88869243708666</v>
      </c>
      <c r="H48" s="665">
        <f t="shared" si="6"/>
        <v>459.07130756291338</v>
      </c>
      <c r="I48" s="666">
        <f t="shared" si="5"/>
        <v>0.43530886198224594</v>
      </c>
      <c r="J48" s="74" t="str">
        <f>IFERROR(INDEX('Facturación 2026'!$L$4:$L$253,MATCH(A48,'Facturación 2026'!$A$4:$A$253,0)),"")</f>
        <v/>
      </c>
    </row>
    <row r="49" spans="1:10" ht="18" customHeight="1">
      <c r="A49" s="669">
        <v>46046</v>
      </c>
      <c r="B49" s="670" t="s">
        <v>503</v>
      </c>
      <c r="C49" s="673" t="s">
        <v>146</v>
      </c>
      <c r="D49" s="663">
        <f t="array" ref="D49">IF(A49="","",SUMPRODUCT(('Detalle Turnos'!$Q$3:$Q$500=$A49)*('Detalle Turnos'!$S$3:$S$500=C49)*'Detalle Turnos'!$T$3:$T$500))</f>
        <v>25</v>
      </c>
      <c r="E49" s="664">
        <f t="array" ref="E49">IF(A49="","",SUMPRODUCT(('Detalle Turnos'!$Q$3:$Q$500=$A49)*('Detalle Turnos'!$S$3:$S$500=C49)*'Detalle Turnos'!$U$3:$U$500))</f>
        <v>124.18</v>
      </c>
      <c r="F49" s="664">
        <f t="shared" si="3"/>
        <v>4.9672000000000001</v>
      </c>
      <c r="G49" s="664">
        <f t="array" ref="G49">IFERROR(SUMPRODUCT(('Facturación 2026'!$A$4:$A$253=A49)*'Facturación 2026'!$J$4:$J$253)*E49/SUMPRODUCT(('Facturación 2026'!$A$4:$A$253=A49)*'Facturación 2026'!$F$4:$F$253),0)</f>
        <v>43.364854084010325</v>
      </c>
      <c r="H49" s="665">
        <f t="shared" si="6"/>
        <v>80.815145915989689</v>
      </c>
      <c r="I49" s="666">
        <f t="shared" si="5"/>
        <v>0.34920964796271803</v>
      </c>
      <c r="J49" s="74" t="str">
        <f>IFERROR(INDEX('Facturación 2026'!$L$4:$L$253,MATCH(A49,'Facturación 2026'!$A$4:$A$253,0)),"")</f>
        <v/>
      </c>
    </row>
    <row r="50" spans="1:10" ht="18" customHeight="1">
      <c r="A50" s="669">
        <v>46046</v>
      </c>
      <c r="B50" s="670" t="s">
        <v>503</v>
      </c>
      <c r="C50" s="671" t="s">
        <v>494</v>
      </c>
      <c r="D50" s="663">
        <f t="array" ref="D50">IF(A50="","",SUMPRODUCT(('Detalle Turnos'!$Q$3:$Q$500=$A50)*('Detalle Turnos'!$S$3:$S$500=C50)*'Detalle Turnos'!$T$3:$T$500))</f>
        <v>54</v>
      </c>
      <c r="E50" s="664">
        <f t="array" ref="E50">IF(A50="","",SUMPRODUCT(('Detalle Turnos'!$Q$3:$Q$500=$A50)*('Detalle Turnos'!$S$3:$S$500=C50)*'Detalle Turnos'!$U$3:$U$500))</f>
        <v>674</v>
      </c>
      <c r="F50" s="664">
        <f t="shared" si="3"/>
        <v>12.481481481481481</v>
      </c>
      <c r="G50" s="664">
        <f t="array" ref="G50">IFERROR(SUMPRODUCT(('Facturación 2026'!$A$4:$A$253=A50)*'Facturación 2026'!$J$4:$J$253)*E50/SUMPRODUCT(('Facturación 2026'!$A$4:$A$253=A50)*'Facturación 2026'!$F$4:$F$253),0)</f>
        <v>235.36730272687194</v>
      </c>
      <c r="H50" s="665">
        <f t="shared" si="6"/>
        <v>438.63269727312809</v>
      </c>
      <c r="I50" s="666">
        <f t="shared" si="5"/>
        <v>0.34920964796271803</v>
      </c>
      <c r="J50" s="74" t="str">
        <f>IFERROR(INDEX('Facturación 2026'!$L$4:$L$253,MATCH(A50,'Facturación 2026'!$A$4:$A$253,0)),"")</f>
        <v/>
      </c>
    </row>
    <row r="51" spans="1:10" ht="18" customHeight="1">
      <c r="A51" s="669">
        <v>46046</v>
      </c>
      <c r="B51" s="670" t="s">
        <v>503</v>
      </c>
      <c r="C51" s="672" t="s">
        <v>497</v>
      </c>
      <c r="D51" s="663">
        <f t="array" ref="D51">IF(A51="","",SUMPRODUCT(('Detalle Turnos'!$Q$3:$Q$500=$A51)*('Detalle Turnos'!$S$3:$S$500=C51)*'Detalle Turnos'!$T$3:$T$500))</f>
        <v>47</v>
      </c>
      <c r="E51" s="664">
        <f t="array" ref="E51">IF(A51="","",SUMPRODUCT(('Detalle Turnos'!$Q$3:$Q$500=$A51)*('Detalle Turnos'!$S$3:$S$500=C51)*'Detalle Turnos'!$U$3:$U$500))</f>
        <v>668.82</v>
      </c>
      <c r="F51" s="664">
        <f t="shared" si="3"/>
        <v>14.230212765957448</v>
      </c>
      <c r="G51" s="664">
        <f t="array" ref="G51">IFERROR(SUMPRODUCT(('Facturación 2026'!$A$4:$A$253=A51)*'Facturación 2026'!$J$4:$J$253)*E51/SUMPRODUCT(('Facturación 2026'!$A$4:$A$253=A51)*'Facturación 2026'!$F$4:$F$253),0)</f>
        <v>233.55839675042509</v>
      </c>
      <c r="H51" s="665">
        <f t="shared" si="6"/>
        <v>435.26160324957493</v>
      </c>
      <c r="I51" s="666">
        <f t="shared" si="5"/>
        <v>0.34920964796271803</v>
      </c>
      <c r="J51" s="74" t="str">
        <f>IFERROR(INDEX('Facturación 2026'!$L$4:$L$253,MATCH(A51,'Facturación 2026'!$A$4:$A$253,0)),"")</f>
        <v/>
      </c>
    </row>
    <row r="52" spans="1:10" ht="18" customHeight="1">
      <c r="A52" s="669">
        <v>46047</v>
      </c>
      <c r="B52" s="670" t="s">
        <v>504</v>
      </c>
      <c r="C52" s="673" t="s">
        <v>146</v>
      </c>
      <c r="D52" s="663">
        <f t="array" ref="D52">IF(A52="","",SUMPRODUCT(('Detalle Turnos'!$Q$3:$Q$500=$A52)*('Detalle Turnos'!$S$3:$S$500=C52)*'Detalle Turnos'!$T$3:$T$500))</f>
        <v>32</v>
      </c>
      <c r="E52" s="664">
        <f t="array" ref="E52">IF(A52="","",SUMPRODUCT(('Detalle Turnos'!$Q$3:$Q$500=$A52)*('Detalle Turnos'!$S$3:$S$500=C52)*'Detalle Turnos'!$U$3:$U$500))</f>
        <v>175.09</v>
      </c>
      <c r="F52" s="664">
        <f t="shared" si="3"/>
        <v>5.4715625000000001</v>
      </c>
      <c r="G52" s="664">
        <f t="array" ref="G52">IFERROR(SUMPRODUCT(('Facturación 2026'!$A$4:$A$253=A52)*'Facturación 2026'!$J$4:$J$253)*E52/SUMPRODUCT(('Facturación 2026'!$A$4:$A$253=A52)*'Facturación 2026'!$F$4:$F$253),0)</f>
        <v>45.746400112279993</v>
      </c>
      <c r="H52" s="665">
        <f t="shared" si="6"/>
        <v>129.34359988772002</v>
      </c>
      <c r="I52" s="666">
        <f t="shared" si="5"/>
        <v>0.26127363134547943</v>
      </c>
      <c r="J52" s="74" t="str">
        <f>IFERROR(INDEX('Facturación 2026'!$L$4:$L$253,MATCH(A52,'Facturación 2026'!$A$4:$A$253,0)),"")</f>
        <v/>
      </c>
    </row>
    <row r="53" spans="1:10" ht="18" customHeight="1">
      <c r="A53" s="669">
        <v>46047</v>
      </c>
      <c r="B53" s="670" t="s">
        <v>504</v>
      </c>
      <c r="C53" s="671" t="s">
        <v>494</v>
      </c>
      <c r="D53" s="663">
        <f t="array" ref="D53">IF(A53="","",SUMPRODUCT(('Detalle Turnos'!$Q$3:$Q$500=$A53)*('Detalle Turnos'!$S$3:$S$500=C53)*'Detalle Turnos'!$T$3:$T$500))</f>
        <v>105</v>
      </c>
      <c r="E53" s="664">
        <f t="array" ref="E53">IF(A53="","",SUMPRODUCT(('Detalle Turnos'!$Q$3:$Q$500=$A53)*('Detalle Turnos'!$S$3:$S$500=C53)*'Detalle Turnos'!$U$3:$U$500))</f>
        <v>1511.64</v>
      </c>
      <c r="F53" s="664">
        <f t="shared" si="3"/>
        <v>14.396571428571429</v>
      </c>
      <c r="G53" s="664">
        <f t="array" ref="G53">IFERROR(SUMPRODUCT(('Facturación 2026'!$A$4:$A$253=A53)*'Facturación 2026'!$J$4:$J$253)*E53/SUMPRODUCT(('Facturación 2026'!$A$4:$A$253=A53)*'Facturación 2026'!$F$4:$F$253),0)</f>
        <v>394.95167208708057</v>
      </c>
      <c r="H53" s="665">
        <f t="shared" si="6"/>
        <v>1116.6883279129195</v>
      </c>
      <c r="I53" s="666">
        <f t="shared" si="5"/>
        <v>0.26127363134547943</v>
      </c>
      <c r="J53" s="74" t="str">
        <f>IFERROR(INDEX('Facturación 2026'!$L$4:$L$253,MATCH(A53,'Facturación 2026'!$A$4:$A$253,0)),"")</f>
        <v/>
      </c>
    </row>
    <row r="54" spans="1:10" ht="18" customHeight="1">
      <c r="A54" s="669">
        <v>46050</v>
      </c>
      <c r="B54" s="670" t="s">
        <v>505</v>
      </c>
      <c r="C54" s="673" t="s">
        <v>146</v>
      </c>
      <c r="D54" s="663">
        <f t="array" ref="D54">IF(A54="","",SUMPRODUCT(('Detalle Turnos'!$Q$3:$Q$500=$A54)*('Detalle Turnos'!$S$3:$S$500=C54)*'Detalle Turnos'!$T$3:$T$500))</f>
        <v>22</v>
      </c>
      <c r="E54" s="664">
        <f t="array" ref="E54">IF(A54="","",SUMPRODUCT(('Detalle Turnos'!$Q$3:$Q$500=$A54)*('Detalle Turnos'!$S$3:$S$500=C54)*'Detalle Turnos'!$U$3:$U$500))</f>
        <v>74.64</v>
      </c>
      <c r="F54" s="664">
        <f t="shared" si="3"/>
        <v>3.3927272727272726</v>
      </c>
      <c r="G54" s="664">
        <f t="array" ref="G54">IFERROR(SUMPRODUCT(('Facturación 2026'!$A$4:$A$253=A54)*'Facturación 2026'!$J$4:$J$253)*E54/SUMPRODUCT(('Facturación 2026'!$A$4:$A$253=A54)*'Facturación 2026'!$F$4:$F$253),0)</f>
        <v>65.823240592974273</v>
      </c>
      <c r="H54" s="665">
        <f t="shared" si="6"/>
        <v>8.816759407025728</v>
      </c>
      <c r="I54" s="666">
        <f t="shared" si="5"/>
        <v>0.88187621373223835</v>
      </c>
      <c r="J54" s="74" t="str">
        <f>IFERROR(INDEX('Facturación 2026'!$L$4:$L$253,MATCH(A54,'Facturación 2026'!$A$4:$A$253,0)),"")</f>
        <v/>
      </c>
    </row>
    <row r="55" spans="1:10" ht="18" customHeight="1">
      <c r="A55" s="669">
        <v>46050</v>
      </c>
      <c r="B55" s="670" t="s">
        <v>505</v>
      </c>
      <c r="C55" s="671" t="s">
        <v>494</v>
      </c>
      <c r="D55" s="663">
        <f t="array" ref="D55">IF(A55="","",SUMPRODUCT(('Detalle Turnos'!$Q$3:$Q$500=$A55)*('Detalle Turnos'!$S$3:$S$500=C55)*'Detalle Turnos'!$T$3:$T$500))</f>
        <v>15</v>
      </c>
      <c r="E55" s="664">
        <f t="array" ref="E55">IF(A55="","",SUMPRODUCT(('Detalle Turnos'!$Q$3:$Q$500=$A55)*('Detalle Turnos'!$S$3:$S$500=C55)*'Detalle Turnos'!$U$3:$U$500))</f>
        <v>117.64</v>
      </c>
      <c r="F55" s="664">
        <f t="shared" si="3"/>
        <v>7.8426666666666671</v>
      </c>
      <c r="G55" s="664">
        <f t="array" ref="G55">IFERROR(SUMPRODUCT(('Facturación 2026'!$A$4:$A$253=A55)*'Facturación 2026'!$J$4:$J$253)*E55/SUMPRODUCT(('Facturación 2026'!$A$4:$A$253=A55)*'Facturación 2026'!$F$4:$F$253),0)</f>
        <v>103.74391778346052</v>
      </c>
      <c r="H55" s="665">
        <f t="shared" si="6"/>
        <v>13.896082216539483</v>
      </c>
      <c r="I55" s="666">
        <f t="shared" si="5"/>
        <v>0.88187621373223835</v>
      </c>
      <c r="J55" s="74" t="str">
        <f>IFERROR(INDEX('Facturación 2026'!$L$4:$L$253,MATCH(A55,'Facturación 2026'!$A$4:$A$253,0)),"")</f>
        <v/>
      </c>
    </row>
    <row r="56" spans="1:10" ht="18" customHeight="1">
      <c r="A56" s="669">
        <v>46050</v>
      </c>
      <c r="B56" s="670" t="s">
        <v>505</v>
      </c>
      <c r="C56" s="672" t="s">
        <v>497</v>
      </c>
      <c r="D56" s="663">
        <f t="array" ref="D56">IF(A56="","",SUMPRODUCT(('Detalle Turnos'!$Q$3:$Q$500=$A56)*('Detalle Turnos'!$S$3:$S$500=C56)*'Detalle Turnos'!$T$3:$T$500))</f>
        <v>6</v>
      </c>
      <c r="E56" s="664">
        <f t="array" ref="E56">IF(A56="","",SUMPRODUCT(('Detalle Turnos'!$Q$3:$Q$500=$A56)*('Detalle Turnos'!$S$3:$S$500=C56)*'Detalle Turnos'!$U$3:$U$500))</f>
        <v>125.41</v>
      </c>
      <c r="F56" s="664">
        <f t="shared" si="3"/>
        <v>20.901666666666667</v>
      </c>
      <c r="G56" s="664">
        <f t="array" ref="G56">IFERROR(SUMPRODUCT(('Facturación 2026'!$A$4:$A$253=A56)*'Facturación 2026'!$J$4:$J$253)*E56/SUMPRODUCT(('Facturación 2026'!$A$4:$A$253=A56)*'Facturación 2026'!$F$4:$F$253),0)</f>
        <v>110.59609596416001</v>
      </c>
      <c r="H56" s="665">
        <f t="shared" si="6"/>
        <v>14.813904035839982</v>
      </c>
      <c r="I56" s="666">
        <f t="shared" si="5"/>
        <v>0.88187621373223835</v>
      </c>
      <c r="J56" s="74" t="str">
        <f>IFERROR(INDEX('Facturación 2026'!$L$4:$L$253,MATCH(A56,'Facturación 2026'!$A$4:$A$253,0)),"")</f>
        <v/>
      </c>
    </row>
    <row r="57" spans="1:10" ht="18" customHeight="1">
      <c r="A57" s="669">
        <v>46051</v>
      </c>
      <c r="B57" s="670" t="s">
        <v>506</v>
      </c>
      <c r="C57" s="673" t="s">
        <v>146</v>
      </c>
      <c r="D57" s="663">
        <f t="array" ref="D57">IF(A57="","",SUMPRODUCT(('Detalle Turnos'!$Q$3:$Q$500=$A57)*('Detalle Turnos'!$S$3:$S$500=C57)*'Detalle Turnos'!$T$3:$T$500))</f>
        <v>30</v>
      </c>
      <c r="E57" s="664">
        <f t="array" ref="E57">IF(A57="","",SUMPRODUCT(('Detalle Turnos'!$Q$3:$Q$500=$A57)*('Detalle Turnos'!$S$3:$S$500=C57)*'Detalle Turnos'!$U$3:$U$500))</f>
        <v>96.09</v>
      </c>
      <c r="F57" s="664">
        <f t="shared" si="3"/>
        <v>3.2030000000000003</v>
      </c>
      <c r="G57" s="664">
        <f t="array" ref="G57">IFERROR(SUMPRODUCT(('Facturación 2026'!$A$4:$A$253=A57)*'Facturación 2026'!$J$4:$J$253)*E57/SUMPRODUCT(('Facturación 2026'!$A$4:$A$253=A57)*'Facturación 2026'!$F$4:$F$253),0)</f>
        <v>23.878221793165988</v>
      </c>
      <c r="H57" s="665">
        <f t="shared" si="6"/>
        <v>72.211778206834012</v>
      </c>
      <c r="I57" s="666">
        <f t="shared" si="5"/>
        <v>0.24849850965934006</v>
      </c>
      <c r="J57" s="74" t="str">
        <f>IFERROR(INDEX('Facturación 2026'!$L$4:$L$253,MATCH(A57,'Facturación 2026'!$A$4:$A$253,0)),"")</f>
        <v/>
      </c>
    </row>
    <row r="58" spans="1:10" ht="18" customHeight="1">
      <c r="A58" s="669">
        <v>46051</v>
      </c>
      <c r="B58" s="670" t="s">
        <v>506</v>
      </c>
      <c r="C58" s="671" t="s">
        <v>494</v>
      </c>
      <c r="D58" s="663">
        <f t="array" ref="D58">IF(A58="","",SUMPRODUCT(('Detalle Turnos'!$Q$3:$Q$500=$A58)*('Detalle Turnos'!$S$3:$S$500=C58)*'Detalle Turnos'!$T$3:$T$500))</f>
        <v>42</v>
      </c>
      <c r="E58" s="664">
        <f t="array" ref="E58">IF(A58="","",SUMPRODUCT(('Detalle Turnos'!$Q$3:$Q$500=$A58)*('Detalle Turnos'!$S$3:$S$500=C58)*'Detalle Turnos'!$U$3:$U$500))</f>
        <v>678.23</v>
      </c>
      <c r="F58" s="664">
        <f t="shared" si="3"/>
        <v>16.148333333333333</v>
      </c>
      <c r="G58" s="664">
        <f t="array" ref="G58">IFERROR(SUMPRODUCT(('Facturación 2026'!$A$4:$A$253=A58)*'Facturación 2026'!$J$4:$J$253)*E58/SUMPRODUCT(('Facturación 2026'!$A$4:$A$253=A58)*'Facturación 2026'!$F$4:$F$253),0)</f>
        <v>168.53914420625421</v>
      </c>
      <c r="H58" s="665">
        <f t="shared" si="6"/>
        <v>509.69085579374581</v>
      </c>
      <c r="I58" s="666">
        <f t="shared" si="5"/>
        <v>0.24849850965934006</v>
      </c>
      <c r="J58" s="74" t="str">
        <f>IFERROR(INDEX('Facturación 2026'!$L$4:$L$253,MATCH(A58,'Facturación 2026'!$A$4:$A$253,0)),"")</f>
        <v/>
      </c>
    </row>
    <row r="59" spans="1:10" ht="18" customHeight="1">
      <c r="A59" s="669">
        <v>46051</v>
      </c>
      <c r="B59" s="670" t="s">
        <v>506</v>
      </c>
      <c r="C59" s="672" t="s">
        <v>497</v>
      </c>
      <c r="D59" s="663">
        <f t="array" ref="D59">IF(A59="","",SUMPRODUCT(('Detalle Turnos'!$Q$3:$Q$500=$A59)*('Detalle Turnos'!$S$3:$S$500=C59)*'Detalle Turnos'!$T$3:$T$500))</f>
        <v>12</v>
      </c>
      <c r="E59" s="664">
        <f t="array" ref="E59">IF(A59="","",SUMPRODUCT(('Detalle Turnos'!$Q$3:$Q$500=$A59)*('Detalle Turnos'!$S$3:$S$500=C59)*'Detalle Turnos'!$U$3:$U$500))</f>
        <v>275.95999999999998</v>
      </c>
      <c r="F59" s="664">
        <f t="shared" si="3"/>
        <v>22.996666666666666</v>
      </c>
      <c r="G59" s="664">
        <f t="array" ref="G59">IFERROR(SUMPRODUCT(('Facturación 2026'!$A$4:$A$253=A59)*'Facturación 2026'!$J$4:$J$253)*E59/SUMPRODUCT(('Facturación 2026'!$A$4:$A$253=A59)*'Facturación 2026'!$F$4:$F$253),0)</f>
        <v>68.575648725591478</v>
      </c>
      <c r="H59" s="665">
        <f t="shared" si="6"/>
        <v>207.38435127440852</v>
      </c>
      <c r="I59" s="666">
        <f t="shared" si="5"/>
        <v>0.24849850965934006</v>
      </c>
      <c r="J59" s="74" t="str">
        <f>IFERROR(INDEX('Facturación 2026'!$L$4:$L$253,MATCH(A59,'Facturación 2026'!$A$4:$A$253,0)),"")</f>
        <v/>
      </c>
    </row>
    <row r="60" spans="1:10" ht="18" customHeight="1">
      <c r="A60" s="669">
        <v>46052</v>
      </c>
      <c r="B60" s="670" t="s">
        <v>502</v>
      </c>
      <c r="C60" s="673" t="s">
        <v>146</v>
      </c>
      <c r="D60" s="663">
        <f t="array" ref="D60">IF(A60="","",SUMPRODUCT(('Detalle Turnos'!$Q$3:$Q$500=$A60)*('Detalle Turnos'!$S$3:$S$500=C60)*'Detalle Turnos'!$T$3:$T$500))</f>
        <v>4</v>
      </c>
      <c r="E60" s="664">
        <f t="array" ref="E60">IF(A60="","",SUMPRODUCT(('Detalle Turnos'!$Q$3:$Q$500=$A60)*('Detalle Turnos'!$S$3:$S$500=C60)*'Detalle Turnos'!$U$3:$U$500))</f>
        <v>10.36</v>
      </c>
      <c r="F60" s="664">
        <f t="shared" si="3"/>
        <v>2.59</v>
      </c>
      <c r="G60" s="664">
        <f t="array" ref="G60">IFERROR(SUMPRODUCT(('Facturación 2026'!$A$4:$A$253=A60)*'Facturación 2026'!$J$4:$J$253)*E60/SUMPRODUCT(('Facturación 2026'!$A$4:$A$253=A60)*'Facturación 2026'!$F$4:$F$253),0)</f>
        <v>2.8445542238964356</v>
      </c>
      <c r="H60" s="665">
        <f t="shared" si="6"/>
        <v>7.5154457761035633</v>
      </c>
      <c r="I60" s="666">
        <f t="shared" si="5"/>
        <v>0.27457087103247452</v>
      </c>
      <c r="J60" s="74" t="str">
        <f>IFERROR(INDEX('Facturación 2026'!$L$4:$L$253,MATCH(A60,'Facturación 2026'!$A$4:$A$253,0)),"")</f>
        <v/>
      </c>
    </row>
    <row r="61" spans="1:10" ht="18" customHeight="1">
      <c r="A61" s="669">
        <v>46052</v>
      </c>
      <c r="B61" s="670" t="s">
        <v>502</v>
      </c>
      <c r="C61" s="671" t="s">
        <v>494</v>
      </c>
      <c r="D61" s="663">
        <f t="array" ref="D61">IF(A61="","",SUMPRODUCT(('Detalle Turnos'!$Q$3:$Q$500=$A61)*('Detalle Turnos'!$S$3:$S$500=C61)*'Detalle Turnos'!$T$3:$T$500))</f>
        <v>25</v>
      </c>
      <c r="E61" s="664">
        <f t="array" ref="E61">IF(A61="","",SUMPRODUCT(('Detalle Turnos'!$Q$3:$Q$500=$A61)*('Detalle Turnos'!$S$3:$S$500=C61)*'Detalle Turnos'!$U$3:$U$500))</f>
        <v>311.45999999999998</v>
      </c>
      <c r="F61" s="664">
        <f t="shared" si="3"/>
        <v>12.458399999999999</v>
      </c>
      <c r="G61" s="664">
        <f t="array" ref="G61">IFERROR(SUMPRODUCT(('Facturación 2026'!$A$4:$A$253=A61)*'Facturación 2026'!$J$4:$J$253)*E61/SUMPRODUCT(('Facturación 2026'!$A$4:$A$253=A61)*'Facturación 2026'!$F$4:$F$253),0)</f>
        <v>85.517843491774499</v>
      </c>
      <c r="H61" s="665">
        <f t="shared" si="6"/>
        <v>225.94215650822548</v>
      </c>
      <c r="I61" s="666">
        <f t="shared" si="5"/>
        <v>0.27457087103247452</v>
      </c>
      <c r="J61" s="74" t="str">
        <f>IFERROR(INDEX('Facturación 2026'!$L$4:$L$253,MATCH(A61,'Facturación 2026'!$A$4:$A$253,0)),"")</f>
        <v/>
      </c>
    </row>
    <row r="62" spans="1:10" ht="18" customHeight="1">
      <c r="A62" s="669">
        <v>46052</v>
      </c>
      <c r="B62" s="670" t="s">
        <v>502</v>
      </c>
      <c r="C62" s="672" t="s">
        <v>497</v>
      </c>
      <c r="D62" s="663">
        <f t="array" ref="D62">IF(A62="","",SUMPRODUCT(('Detalle Turnos'!$Q$3:$Q$500=$A62)*('Detalle Turnos'!$S$3:$S$500=C62)*'Detalle Turnos'!$T$3:$T$500))</f>
        <v>85</v>
      </c>
      <c r="E62" s="664">
        <f t="array" ref="E62">IF(A62="","",SUMPRODUCT(('Detalle Turnos'!$Q$3:$Q$500=$A62)*('Detalle Turnos'!$S$3:$S$500=C62)*'Detalle Turnos'!$U$3:$U$500))</f>
        <v>1400.91</v>
      </c>
      <c r="F62" s="664">
        <f t="shared" si="3"/>
        <v>16.48129411764706</v>
      </c>
      <c r="G62" s="664">
        <f t="array" ref="G62">IFERROR(SUMPRODUCT(('Facturación 2026'!$A$4:$A$253=A62)*'Facturación 2026'!$J$4:$J$253)*E62/SUMPRODUCT(('Facturación 2026'!$A$4:$A$253=A62)*'Facturación 2026'!$F$4:$F$253),0)</f>
        <v>384.64907893810391</v>
      </c>
      <c r="H62" s="665">
        <f t="shared" si="6"/>
        <v>1016.2609210618962</v>
      </c>
      <c r="I62" s="666">
        <f t="shared" si="5"/>
        <v>0.27457087103247452</v>
      </c>
      <c r="J62" s="74" t="str">
        <f>IFERROR(INDEX('Facturación 2026'!$L$4:$L$253,MATCH(A62,'Facturación 2026'!$A$4:$A$253,0)),"")</f>
        <v/>
      </c>
    </row>
    <row r="63" spans="1:10" ht="18" customHeight="1">
      <c r="A63" s="669">
        <v>46053</v>
      </c>
      <c r="B63" s="670" t="s">
        <v>503</v>
      </c>
      <c r="C63" s="673" t="s">
        <v>146</v>
      </c>
      <c r="D63" s="663">
        <f t="array" ref="D63">IF(A63="","",SUMPRODUCT(('Detalle Turnos'!$Q$3:$Q$500=$A63)*('Detalle Turnos'!$S$3:$S$500=C63)*'Detalle Turnos'!$T$3:$T$500))</f>
        <v>16</v>
      </c>
      <c r="E63" s="664">
        <f t="array" ref="E63">IF(A63="","",SUMPRODUCT(('Detalle Turnos'!$Q$3:$Q$500=$A63)*('Detalle Turnos'!$S$3:$S$500=C63)*'Detalle Turnos'!$U$3:$U$500))</f>
        <v>66.05</v>
      </c>
      <c r="F63" s="664">
        <f t="shared" si="3"/>
        <v>4.1281249999999998</v>
      </c>
      <c r="G63" s="664">
        <f t="array" ref="G63">IFERROR(SUMPRODUCT(('Facturación 2026'!$A$4:$A$253=A63)*'Facturación 2026'!$J$4:$J$253)*E63/SUMPRODUCT(('Facturación 2026'!$A$4:$A$253=A63)*'Facturación 2026'!$F$4:$F$253),0)</f>
        <v>23.548176271764582</v>
      </c>
      <c r="H63" s="665">
        <f t="shared" si="6"/>
        <v>42.501823728235415</v>
      </c>
      <c r="I63" s="666">
        <f t="shared" si="5"/>
        <v>0.35652045831589074</v>
      </c>
      <c r="J63" s="74" t="str">
        <f>IFERROR(INDEX('Facturación 2026'!$L$4:$L$253,MATCH(A63,'Facturación 2026'!$A$4:$A$253,0)),"")</f>
        <v/>
      </c>
    </row>
    <row r="64" spans="1:10" ht="18" customHeight="1">
      <c r="A64" s="669">
        <v>46053</v>
      </c>
      <c r="B64" s="670" t="s">
        <v>503</v>
      </c>
      <c r="C64" s="671" t="s">
        <v>494</v>
      </c>
      <c r="D64" s="663">
        <f t="array" ref="D64">IF(A64="","",SUMPRODUCT(('Detalle Turnos'!$Q$3:$Q$500=$A64)*('Detalle Turnos'!$S$3:$S$500=C64)*'Detalle Turnos'!$T$3:$T$500))</f>
        <v>63</v>
      </c>
      <c r="E64" s="664">
        <f t="array" ref="E64">IF(A64="","",SUMPRODUCT(('Detalle Turnos'!$Q$3:$Q$500=$A64)*('Detalle Turnos'!$S$3:$S$500=C64)*'Detalle Turnos'!$U$3:$U$500))</f>
        <v>1084.27</v>
      </c>
      <c r="F64" s="664">
        <f t="shared" si="3"/>
        <v>17.21063492063492</v>
      </c>
      <c r="G64" s="664">
        <f t="array" ref="G64">IFERROR(SUMPRODUCT(('Facturación 2026'!$A$4:$A$253=A64)*'Facturación 2026'!$J$4:$J$253)*E64/SUMPRODUCT(('Facturación 2026'!$A$4:$A$253=A64)*'Facturación 2026'!$F$4:$F$253),0)</f>
        <v>386.56443733817082</v>
      </c>
      <c r="H64" s="665">
        <f t="shared" si="6"/>
        <v>697.70556266182916</v>
      </c>
      <c r="I64" s="666">
        <f t="shared" si="5"/>
        <v>0.35652045831589074</v>
      </c>
      <c r="J64" s="74" t="str">
        <f>IFERROR(INDEX('Facturación 2026'!$L$4:$L$253,MATCH(A64,'Facturación 2026'!$A$4:$A$253,0)),"")</f>
        <v/>
      </c>
    </row>
    <row r="65" spans="1:10" ht="18" customHeight="1">
      <c r="A65" s="669">
        <v>46053</v>
      </c>
      <c r="B65" s="670" t="s">
        <v>503</v>
      </c>
      <c r="C65" s="672" t="s">
        <v>497</v>
      </c>
      <c r="D65" s="663">
        <f t="array" ref="D65">IF(A65="","",SUMPRODUCT(('Detalle Turnos'!$Q$3:$Q$500=$A65)*('Detalle Turnos'!$S$3:$S$500=C65)*'Detalle Turnos'!$T$3:$T$500))</f>
        <v>55</v>
      </c>
      <c r="E65" s="664">
        <f t="array" ref="E65">IF(A65="","",SUMPRODUCT(('Detalle Turnos'!$Q$3:$Q$500=$A65)*('Detalle Turnos'!$S$3:$S$500=C65)*'Detalle Turnos'!$U$3:$U$500))</f>
        <v>721.14</v>
      </c>
      <c r="F65" s="664">
        <f t="shared" si="3"/>
        <v>13.111636363636363</v>
      </c>
      <c r="G65" s="664">
        <f t="array" ref="G65">IFERROR(SUMPRODUCT(('Facturación 2026'!$A$4:$A$253=A65)*'Facturación 2026'!$J$4:$J$253)*E65/SUMPRODUCT(('Facturación 2026'!$A$4:$A$253=A65)*'Facturación 2026'!$F$4:$F$253),0)</f>
        <v>257.10116330992145</v>
      </c>
      <c r="H65" s="665">
        <f t="shared" si="6"/>
        <v>464.03883669007854</v>
      </c>
      <c r="I65" s="666">
        <f t="shared" si="5"/>
        <v>0.35652045831589074</v>
      </c>
      <c r="J65" s="74" t="str">
        <f>IFERROR(INDEX('Facturación 2026'!$L$4:$L$253,MATCH(A65,'Facturación 2026'!$A$4:$A$253,0)),"")</f>
        <v/>
      </c>
    </row>
    <row r="66" spans="1:10" ht="18" customHeight="1">
      <c r="A66" s="669">
        <v>46054</v>
      </c>
      <c r="B66" s="670" t="s">
        <v>504</v>
      </c>
      <c r="C66" s="673" t="s">
        <v>146</v>
      </c>
      <c r="D66" s="663">
        <f t="array" ref="D66">IF(A66="","",SUMPRODUCT(('Detalle Turnos'!$Q$3:$Q$500=$A66)*('Detalle Turnos'!$S$3:$S$500=C66)*'Detalle Turnos'!$T$3:$T$500))</f>
        <v>37</v>
      </c>
      <c r="E66" s="664">
        <f t="array" ref="E66">IF(A66="","",SUMPRODUCT(('Detalle Turnos'!$Q$3:$Q$500=$A66)*('Detalle Turnos'!$S$3:$S$500=C66)*'Detalle Turnos'!$U$3:$U$500))</f>
        <v>137.82</v>
      </c>
      <c r="F66" s="664">
        <f t="shared" si="3"/>
        <v>3.7248648648648648</v>
      </c>
      <c r="G66" s="664">
        <f t="array" ref="G66">IFERROR(SUMPRODUCT(('Facturación 2026'!$A$4:$A$253=A66)*'Facturación 2026'!$J$4:$J$253)*E66/SUMPRODUCT(('Facturación 2026'!$A$4:$A$253=A66)*'Facturación 2026'!$F$4:$F$253),0)</f>
        <v>58.519954429106861</v>
      </c>
      <c r="H66" s="665">
        <f t="shared" si="6"/>
        <v>79.300045570893133</v>
      </c>
      <c r="I66" s="666">
        <f t="shared" si="5"/>
        <v>0.42461148185391717</v>
      </c>
      <c r="J66" s="74" t="str">
        <f>IFERROR(INDEX('Facturación 2026'!$L$4:$L$253,MATCH(A66,'Facturación 2026'!$A$4:$A$253,0)),"")</f>
        <v/>
      </c>
    </row>
    <row r="67" spans="1:10" ht="18" customHeight="1">
      <c r="A67" s="669">
        <v>46054</v>
      </c>
      <c r="B67" s="670" t="s">
        <v>504</v>
      </c>
      <c r="C67" s="671" t="s">
        <v>494</v>
      </c>
      <c r="D67" s="663">
        <f t="array" ref="D67">IF(A67="","",SUMPRODUCT(('Detalle Turnos'!$Q$3:$Q$500=$A67)*('Detalle Turnos'!$S$3:$S$500=C67)*'Detalle Turnos'!$T$3:$T$500))</f>
        <v>87</v>
      </c>
      <c r="E67" s="664">
        <f t="array" ref="E67">IF(A67="","",SUMPRODUCT(('Detalle Turnos'!$Q$3:$Q$500=$A67)*('Detalle Turnos'!$S$3:$S$500=C67)*'Detalle Turnos'!$U$3:$U$500))</f>
        <v>870.23</v>
      </c>
      <c r="F67" s="664">
        <f t="shared" si="3"/>
        <v>10.00264367816092</v>
      </c>
      <c r="G67" s="664">
        <f t="array" ref="G67">IFERROR(SUMPRODUCT(('Facturación 2026'!$A$4:$A$253=A67)*'Facturación 2026'!$J$4:$J$253)*E67/SUMPRODUCT(('Facturación 2026'!$A$4:$A$253=A67)*'Facturación 2026'!$F$4:$F$253),0)</f>
        <v>369.50964985373435</v>
      </c>
      <c r="H67" s="665">
        <f t="shared" si="6"/>
        <v>500.72035014626567</v>
      </c>
      <c r="I67" s="666">
        <f t="shared" si="5"/>
        <v>0.42461148185391717</v>
      </c>
      <c r="J67" s="74" t="str">
        <f>IFERROR(INDEX('Facturación 2026'!$L$4:$L$253,MATCH(A67,'Facturación 2026'!$A$4:$A$253,0)),"")</f>
        <v/>
      </c>
    </row>
    <row r="68" spans="1:10" ht="18" customHeight="1">
      <c r="A68" s="669">
        <v>46057</v>
      </c>
      <c r="B68" s="670" t="s">
        <v>505</v>
      </c>
      <c r="C68" s="673" t="s">
        <v>146</v>
      </c>
      <c r="D68" s="663">
        <f t="array" ref="D68">IF(A68="","",SUMPRODUCT(('Detalle Turnos'!$Q$3:$Q$500=$A68)*('Detalle Turnos'!$S$3:$S$500=C68)*'Detalle Turnos'!$T$3:$T$500))</f>
        <v>15</v>
      </c>
      <c r="E68" s="664">
        <f t="array" ref="E68">IF(A68="","",SUMPRODUCT(('Detalle Turnos'!$Q$3:$Q$500=$A68)*('Detalle Turnos'!$S$3:$S$500=C68)*'Detalle Turnos'!$U$3:$U$500))</f>
        <v>43.59</v>
      </c>
      <c r="F68" s="664">
        <f t="shared" ref="F68:F131" si="7">IFERROR(E68/D68,0)</f>
        <v>2.9060000000000001</v>
      </c>
      <c r="G68" s="664">
        <f t="array" ref="G68">IFERROR(SUMPRODUCT(('Facturación 2026'!$A$4:$A$253=A68)*'Facturación 2026'!$J$4:$J$253)*E68/SUMPRODUCT(('Facturación 2026'!$A$4:$A$253=A68)*'Facturación 2026'!$F$4:$F$253),0)</f>
        <v>36.765150183618658</v>
      </c>
      <c r="H68" s="665">
        <f t="shared" ref="H68:H99" si="8">E68-G68</f>
        <v>6.8248498163813451</v>
      </c>
      <c r="I68" s="666">
        <f t="shared" ref="I68:I131" si="9">IFERROR(G68/E68,0)</f>
        <v>0.84343083697221044</v>
      </c>
      <c r="J68" s="74" t="str">
        <f>IFERROR(INDEX('Facturación 2026'!$L$4:$L$253,MATCH(A68,'Facturación 2026'!$A$4:$A$253,0)),"")</f>
        <v/>
      </c>
    </row>
    <row r="69" spans="1:10" ht="18" customHeight="1">
      <c r="A69" s="669">
        <v>46057</v>
      </c>
      <c r="B69" s="670" t="s">
        <v>505</v>
      </c>
      <c r="C69" s="671" t="s">
        <v>494</v>
      </c>
      <c r="D69" s="663">
        <f t="array" ref="D69">IF(A69="","",SUMPRODUCT(('Detalle Turnos'!$Q$3:$Q$500=$A69)*('Detalle Turnos'!$S$3:$S$500=C69)*'Detalle Turnos'!$T$3:$T$500))</f>
        <v>19</v>
      </c>
      <c r="E69" s="664">
        <f t="array" ref="E69">IF(A69="","",SUMPRODUCT(('Detalle Turnos'!$Q$3:$Q$500=$A69)*('Detalle Turnos'!$S$3:$S$500=C69)*'Detalle Turnos'!$U$3:$U$500))</f>
        <v>194.68</v>
      </c>
      <c r="F69" s="664">
        <f t="shared" si="7"/>
        <v>10.246315789473684</v>
      </c>
      <c r="G69" s="664">
        <f t="array" ref="G69">IFERROR(SUMPRODUCT(('Facturación 2026'!$A$4:$A$253=A69)*'Facturación 2026'!$J$4:$J$253)*E69/SUMPRODUCT(('Facturación 2026'!$A$4:$A$253=A69)*'Facturación 2026'!$F$4:$F$253),0)</f>
        <v>164.19911534174994</v>
      </c>
      <c r="H69" s="665">
        <f t="shared" si="8"/>
        <v>30.480884658250062</v>
      </c>
      <c r="I69" s="666">
        <f t="shared" si="9"/>
        <v>0.84343083697221044</v>
      </c>
      <c r="J69" s="74" t="str">
        <f>IFERROR(INDEX('Facturación 2026'!$L$4:$L$253,MATCH(A69,'Facturación 2026'!$A$4:$A$253,0)),"")</f>
        <v/>
      </c>
    </row>
    <row r="70" spans="1:10" ht="18" customHeight="1">
      <c r="A70" s="669">
        <v>46057</v>
      </c>
      <c r="B70" s="670" t="s">
        <v>505</v>
      </c>
      <c r="C70" s="672" t="s">
        <v>497</v>
      </c>
      <c r="D70" s="663">
        <f t="array" ref="D70">IF(A70="","",SUMPRODUCT(('Detalle Turnos'!$Q$3:$Q$500=$A70)*('Detalle Turnos'!$S$3:$S$500=C70)*'Detalle Turnos'!$T$3:$T$500))</f>
        <v>5</v>
      </c>
      <c r="E70" s="664">
        <f t="array" ref="E70">IF(A70="","",SUMPRODUCT(('Detalle Turnos'!$Q$3:$Q$500=$A70)*('Detalle Turnos'!$S$3:$S$500=C70)*'Detalle Turnos'!$U$3:$U$500))</f>
        <v>83.91</v>
      </c>
      <c r="F70" s="664">
        <f t="shared" si="7"/>
        <v>16.782</v>
      </c>
      <c r="G70" s="664">
        <f t="array" ref="G70">IFERROR(SUMPRODUCT(('Facturación 2026'!$A$4:$A$253=A70)*'Facturación 2026'!$J$4:$J$253)*E70/SUMPRODUCT(('Facturación 2026'!$A$4:$A$253=A70)*'Facturación 2026'!$F$4:$F$253),0)</f>
        <v>70.772281530338176</v>
      </c>
      <c r="H70" s="665">
        <f t="shared" si="8"/>
        <v>13.13771846966182</v>
      </c>
      <c r="I70" s="666">
        <f t="shared" si="9"/>
        <v>0.84343083697221044</v>
      </c>
      <c r="J70" s="74" t="str">
        <f>IFERROR(INDEX('Facturación 2026'!$L$4:$L$253,MATCH(A70,'Facturación 2026'!$A$4:$A$253,0)),"")</f>
        <v/>
      </c>
    </row>
    <row r="71" spans="1:10" ht="18" customHeight="1">
      <c r="A71" s="669">
        <v>46058</v>
      </c>
      <c r="B71" s="670" t="s">
        <v>506</v>
      </c>
      <c r="C71" s="673" t="s">
        <v>146</v>
      </c>
      <c r="D71" s="663">
        <f t="array" ref="D71">IF(A71="","",SUMPRODUCT(('Detalle Turnos'!$Q$3:$Q$500=$A71)*('Detalle Turnos'!$S$3:$S$500=C71)*'Detalle Turnos'!$T$3:$T$500))</f>
        <v>12</v>
      </c>
      <c r="E71" s="664">
        <f t="array" ref="E71">IF(A71="","",SUMPRODUCT(('Detalle Turnos'!$Q$3:$Q$500=$A71)*('Detalle Turnos'!$S$3:$S$500=C71)*'Detalle Turnos'!$U$3:$U$500))</f>
        <v>32.590000000000003</v>
      </c>
      <c r="F71" s="664">
        <f t="shared" si="7"/>
        <v>2.7158333333333338</v>
      </c>
      <c r="G71" s="664">
        <f t="array" ref="G71">IFERROR(SUMPRODUCT(('Facturación 2026'!$A$4:$A$253=A71)*'Facturación 2026'!$J$4:$J$253)*E71/SUMPRODUCT(('Facturación 2026'!$A$4:$A$253=A71)*'Facturación 2026'!$F$4:$F$253),0)</f>
        <v>13.172980688669483</v>
      </c>
      <c r="H71" s="665">
        <f t="shared" si="8"/>
        <v>19.41701931133052</v>
      </c>
      <c r="I71" s="666">
        <f t="shared" si="9"/>
        <v>0.40420315092572817</v>
      </c>
      <c r="J71" s="74" t="str">
        <f>IFERROR(INDEX('Facturación 2026'!$L$4:$L$253,MATCH(A71,'Facturación 2026'!$A$4:$A$253,0)),"")</f>
        <v/>
      </c>
    </row>
    <row r="72" spans="1:10" ht="18" customHeight="1">
      <c r="A72" s="669">
        <v>46058</v>
      </c>
      <c r="B72" s="670" t="s">
        <v>506</v>
      </c>
      <c r="C72" s="671" t="s">
        <v>494</v>
      </c>
      <c r="D72" s="663">
        <f t="array" ref="D72">IF(A72="","",SUMPRODUCT(('Detalle Turnos'!$Q$3:$Q$500=$A72)*('Detalle Turnos'!$S$3:$S$500=C72)*'Detalle Turnos'!$T$3:$T$500))</f>
        <v>15</v>
      </c>
      <c r="E72" s="664">
        <f t="array" ref="E72">IF(A72="","",SUMPRODUCT(('Detalle Turnos'!$Q$3:$Q$500=$A72)*('Detalle Turnos'!$S$3:$S$500=C72)*'Detalle Turnos'!$U$3:$U$500))</f>
        <v>275.91000000000003</v>
      </c>
      <c r="F72" s="664">
        <f t="shared" si="7"/>
        <v>18.394000000000002</v>
      </c>
      <c r="G72" s="664">
        <f t="array" ref="G72">IFERROR(SUMPRODUCT(('Facturación 2026'!$A$4:$A$253=A72)*'Facturación 2026'!$J$4:$J$253)*E72/SUMPRODUCT(('Facturación 2026'!$A$4:$A$253=A72)*'Facturación 2026'!$F$4:$F$253),0)</f>
        <v>111.52369137191766</v>
      </c>
      <c r="H72" s="665">
        <f t="shared" si="8"/>
        <v>164.38630862808236</v>
      </c>
      <c r="I72" s="666">
        <f t="shared" si="9"/>
        <v>0.40420315092572817</v>
      </c>
      <c r="J72" s="74" t="str">
        <f>IFERROR(INDEX('Facturación 2026'!$L$4:$L$253,MATCH(A72,'Facturación 2026'!$A$4:$A$253,0)),"")</f>
        <v/>
      </c>
    </row>
    <row r="73" spans="1:10" ht="18" customHeight="1">
      <c r="A73" s="669">
        <v>46058</v>
      </c>
      <c r="B73" s="670" t="s">
        <v>506</v>
      </c>
      <c r="C73" s="672" t="s">
        <v>497</v>
      </c>
      <c r="D73" s="663">
        <f t="array" ref="D73">IF(A73="","",SUMPRODUCT(('Detalle Turnos'!$Q$3:$Q$500=$A73)*('Detalle Turnos'!$S$3:$S$500=C73)*'Detalle Turnos'!$T$3:$T$500))</f>
        <v>39</v>
      </c>
      <c r="E73" s="664">
        <f t="array" ref="E73">IF(A73="","",SUMPRODUCT(('Detalle Turnos'!$Q$3:$Q$500=$A73)*('Detalle Turnos'!$S$3:$S$500=C73)*'Detalle Turnos'!$U$3:$U$500))</f>
        <v>624.32000000000005</v>
      </c>
      <c r="F73" s="664">
        <f t="shared" si="7"/>
        <v>16.00820512820513</v>
      </c>
      <c r="G73" s="664">
        <f t="array" ref="G73">IFERROR(SUMPRODUCT(('Facturación 2026'!$A$4:$A$253=A73)*'Facturación 2026'!$J$4:$J$253)*E73/SUMPRODUCT(('Facturación 2026'!$A$4:$A$253=A73)*'Facturación 2026'!$F$4:$F$253),0)</f>
        <v>252.35211118595063</v>
      </c>
      <c r="H73" s="665">
        <f t="shared" si="8"/>
        <v>371.96788881404939</v>
      </c>
      <c r="I73" s="666">
        <f t="shared" si="9"/>
        <v>0.40420315092572817</v>
      </c>
      <c r="J73" s="74" t="str">
        <f>IFERROR(INDEX('Facturación 2026'!$L$4:$L$253,MATCH(A73,'Facturación 2026'!$A$4:$A$253,0)),"")</f>
        <v/>
      </c>
    </row>
    <row r="74" spans="1:10" ht="18" customHeight="1">
      <c r="A74" s="669">
        <v>46059</v>
      </c>
      <c r="B74" s="670" t="s">
        <v>502</v>
      </c>
      <c r="C74" s="673" t="s">
        <v>146</v>
      </c>
      <c r="D74" s="663">
        <f t="array" ref="D74">IF(A74="","",SUMPRODUCT(('Detalle Turnos'!$Q$3:$Q$500=$A74)*('Detalle Turnos'!$S$3:$S$500=C74)*'Detalle Turnos'!$T$3:$T$500))</f>
        <v>14</v>
      </c>
      <c r="E74" s="664">
        <f t="array" ref="E74">IF(A74="","",SUMPRODUCT(('Detalle Turnos'!$Q$3:$Q$500=$A74)*('Detalle Turnos'!$S$3:$S$500=C74)*'Detalle Turnos'!$U$3:$U$500))</f>
        <v>66.09</v>
      </c>
      <c r="F74" s="664">
        <f t="shared" si="7"/>
        <v>4.7207142857142861</v>
      </c>
      <c r="G74" s="664">
        <f t="array" ref="G74">IFERROR(SUMPRODUCT(('Facturación 2026'!$A$4:$A$253=A74)*'Facturación 2026'!$J$4:$J$253)*E74/SUMPRODUCT(('Facturación 2026'!$A$4:$A$253=A74)*'Facturación 2026'!$F$4:$F$253),0)</f>
        <v>20.13061851759128</v>
      </c>
      <c r="H74" s="665">
        <f t="shared" si="8"/>
        <v>45.959381482408723</v>
      </c>
      <c r="I74" s="666">
        <f t="shared" si="9"/>
        <v>0.30459401600228897</v>
      </c>
      <c r="J74" s="74" t="str">
        <f>IFERROR(INDEX('Facturación 2026'!$L$4:$L$253,MATCH(A74,'Facturación 2026'!$A$4:$A$253,0)),"")</f>
        <v/>
      </c>
    </row>
    <row r="75" spans="1:10" ht="18" customHeight="1">
      <c r="A75" s="669">
        <v>46059</v>
      </c>
      <c r="B75" s="670" t="s">
        <v>502</v>
      </c>
      <c r="C75" s="671" t="s">
        <v>494</v>
      </c>
      <c r="D75" s="663">
        <f t="array" ref="D75">IF(A75="","",SUMPRODUCT(('Detalle Turnos'!$Q$3:$Q$500=$A75)*('Detalle Turnos'!$S$3:$S$500=C75)*'Detalle Turnos'!$T$3:$T$500))</f>
        <v>18</v>
      </c>
      <c r="E75" s="664">
        <f t="array" ref="E75">IF(A75="","",SUMPRODUCT(('Detalle Turnos'!$Q$3:$Q$500=$A75)*('Detalle Turnos'!$S$3:$S$500=C75)*'Detalle Turnos'!$U$3:$U$500))</f>
        <v>414</v>
      </c>
      <c r="F75" s="664">
        <f t="shared" si="7"/>
        <v>23</v>
      </c>
      <c r="G75" s="664">
        <f t="array" ref="G75">IFERROR(SUMPRODUCT(('Facturación 2026'!$A$4:$A$253=A75)*'Facturación 2026'!$J$4:$J$253)*E75/SUMPRODUCT(('Facturación 2026'!$A$4:$A$253=A75)*'Facturación 2026'!$F$4:$F$253),0)</f>
        <v>126.10192262494763</v>
      </c>
      <c r="H75" s="665">
        <f t="shared" si="8"/>
        <v>287.89807737505237</v>
      </c>
      <c r="I75" s="666">
        <f t="shared" si="9"/>
        <v>0.30459401600228897</v>
      </c>
      <c r="J75" s="74" t="str">
        <f>IFERROR(INDEX('Facturación 2026'!$L$4:$L$253,MATCH(A75,'Facturación 2026'!$A$4:$A$253,0)),"")</f>
        <v/>
      </c>
    </row>
    <row r="76" spans="1:10" ht="18" customHeight="1">
      <c r="A76" s="669">
        <v>46059</v>
      </c>
      <c r="B76" s="670" t="s">
        <v>502</v>
      </c>
      <c r="C76" s="672" t="s">
        <v>497</v>
      </c>
      <c r="D76" s="663">
        <f t="array" ref="D76">IF(A76="","",SUMPRODUCT(('Detalle Turnos'!$Q$3:$Q$500=$A76)*('Detalle Turnos'!$S$3:$S$500=C76)*'Detalle Turnos'!$T$3:$T$500))</f>
        <v>82</v>
      </c>
      <c r="E76" s="664">
        <f t="array" ref="E76">IF(A76="","",SUMPRODUCT(('Detalle Turnos'!$Q$3:$Q$500=$A76)*('Detalle Turnos'!$S$3:$S$500=C76)*'Detalle Turnos'!$U$3:$U$500))</f>
        <v>1328.73</v>
      </c>
      <c r="F76" s="664">
        <f t="shared" si="7"/>
        <v>16.204024390243902</v>
      </c>
      <c r="G76" s="664">
        <f t="array" ref="G76">IFERROR(SUMPRODUCT(('Facturación 2026'!$A$4:$A$253=A76)*'Facturación 2026'!$J$4:$J$253)*E76/SUMPRODUCT(('Facturación 2026'!$A$4:$A$253=A76)*'Facturación 2026'!$F$4:$F$253),0)</f>
        <v>404.7232068827214</v>
      </c>
      <c r="H76" s="665">
        <f t="shared" si="8"/>
        <v>924.00679311727868</v>
      </c>
      <c r="I76" s="666">
        <f t="shared" si="9"/>
        <v>0.30459401600228897</v>
      </c>
      <c r="J76" s="74" t="str">
        <f>IFERROR(INDEX('Facturación 2026'!$L$4:$L$253,MATCH(A76,'Facturación 2026'!$A$4:$A$253,0)),"")</f>
        <v/>
      </c>
    </row>
    <row r="77" spans="1:10" ht="18" customHeight="1">
      <c r="A77" s="669">
        <v>46060</v>
      </c>
      <c r="B77" s="670" t="s">
        <v>503</v>
      </c>
      <c r="C77" s="673" t="s">
        <v>146</v>
      </c>
      <c r="D77" s="663">
        <f t="array" ref="D77">IF(A77="","",SUMPRODUCT(('Detalle Turnos'!$Q$3:$Q$500=$A77)*('Detalle Turnos'!$S$3:$S$500=C77)*'Detalle Turnos'!$T$3:$T$500))</f>
        <v>40</v>
      </c>
      <c r="E77" s="664">
        <f t="array" ref="E77">IF(A77="","",SUMPRODUCT(('Detalle Turnos'!$Q$3:$Q$500=$A77)*('Detalle Turnos'!$S$3:$S$500=C77)*'Detalle Turnos'!$U$3:$U$500))</f>
        <v>216.77</v>
      </c>
      <c r="F77" s="664">
        <f t="shared" si="7"/>
        <v>5.4192499999999999</v>
      </c>
      <c r="G77" s="664">
        <f t="array" ref="G77">IFERROR(SUMPRODUCT(('Facturación 2026'!$A$4:$A$253=A77)*'Facturación 2026'!$J$4:$J$253)*E77/SUMPRODUCT(('Facturación 2026'!$A$4:$A$253=A77)*'Facturación 2026'!$F$4:$F$253),0)</f>
        <v>39.875848856581314</v>
      </c>
      <c r="H77" s="665">
        <f t="shared" si="8"/>
        <v>176.8941511434187</v>
      </c>
      <c r="I77" s="666">
        <f t="shared" si="9"/>
        <v>0.183954647121748</v>
      </c>
      <c r="J77" s="74" t="str">
        <f>IFERROR(INDEX('Facturación 2026'!$L$4:$L$253,MATCH(A77,'Facturación 2026'!$A$4:$A$253,0)),"")</f>
        <v/>
      </c>
    </row>
    <row r="78" spans="1:10" ht="18" customHeight="1">
      <c r="A78" s="669">
        <v>46060</v>
      </c>
      <c r="B78" s="670" t="s">
        <v>503</v>
      </c>
      <c r="C78" s="671" t="s">
        <v>494</v>
      </c>
      <c r="D78" s="663">
        <f t="array" ref="D78">IF(A78="","",SUMPRODUCT(('Detalle Turnos'!$Q$3:$Q$500=$A78)*('Detalle Turnos'!$S$3:$S$500=C78)*'Detalle Turnos'!$T$3:$T$500))</f>
        <v>135</v>
      </c>
      <c r="E78" s="664">
        <f t="array" ref="E78">IF(A78="","",SUMPRODUCT(('Detalle Turnos'!$Q$3:$Q$500=$A78)*('Detalle Turnos'!$S$3:$S$500=C78)*'Detalle Turnos'!$U$3:$U$500))</f>
        <v>2381.59</v>
      </c>
      <c r="F78" s="664">
        <f t="shared" si="7"/>
        <v>17.64140740740741</v>
      </c>
      <c r="G78" s="664">
        <f t="array" ref="G78">IFERROR(SUMPRODUCT(('Facturación 2026'!$A$4:$A$253=A78)*'Facturación 2026'!$J$4:$J$253)*E78/SUMPRODUCT(('Facturación 2026'!$A$4:$A$253=A78)*'Facturación 2026'!$F$4:$F$253),0)</f>
        <v>438.10454803868384</v>
      </c>
      <c r="H78" s="665">
        <f t="shared" si="8"/>
        <v>1943.4854519613164</v>
      </c>
      <c r="I78" s="666">
        <f t="shared" si="9"/>
        <v>0.183954647121748</v>
      </c>
      <c r="J78" s="74" t="str">
        <f>IFERROR(INDEX('Facturación 2026'!$L$4:$L$253,MATCH(A78,'Facturación 2026'!$A$4:$A$253,0)),"")</f>
        <v/>
      </c>
    </row>
    <row r="79" spans="1:10" ht="18" customHeight="1">
      <c r="A79" s="669">
        <v>46060</v>
      </c>
      <c r="B79" s="670" t="s">
        <v>503</v>
      </c>
      <c r="C79" s="672" t="s">
        <v>497</v>
      </c>
      <c r="D79" s="663">
        <f t="array" ref="D79">IF(A79="","",SUMPRODUCT(('Detalle Turnos'!$Q$3:$Q$500=$A79)*('Detalle Turnos'!$S$3:$S$500=C79)*'Detalle Turnos'!$T$3:$T$500))</f>
        <v>73</v>
      </c>
      <c r="E79" s="664">
        <f t="array" ref="E79">IF(A79="","",SUMPRODUCT(('Detalle Turnos'!$Q$3:$Q$500=$A79)*('Detalle Turnos'!$S$3:$S$500=C79)*'Detalle Turnos'!$U$3:$U$500))</f>
        <v>1250.82</v>
      </c>
      <c r="F79" s="664">
        <f t="shared" si="7"/>
        <v>17.134520547945204</v>
      </c>
      <c r="G79" s="664">
        <f t="array" ref="G79">IFERROR(SUMPRODUCT(('Facturación 2026'!$A$4:$A$253=A79)*'Facturación 2026'!$J$4:$J$253)*E79/SUMPRODUCT(('Facturación 2026'!$A$4:$A$253=A79)*'Facturación 2026'!$F$4:$F$253),0)</f>
        <v>230.09415171282481</v>
      </c>
      <c r="H79" s="665">
        <f t="shared" si="8"/>
        <v>1020.7258482871752</v>
      </c>
      <c r="I79" s="666">
        <f t="shared" si="9"/>
        <v>0.183954647121748</v>
      </c>
      <c r="J79" s="74" t="str">
        <f>IFERROR(INDEX('Facturación 2026'!$L$4:$L$253,MATCH(A79,'Facturación 2026'!$A$4:$A$253,0)),"")</f>
        <v/>
      </c>
    </row>
    <row r="80" spans="1:10" ht="18" customHeight="1">
      <c r="A80" s="669">
        <v>46061</v>
      </c>
      <c r="B80" s="670" t="s">
        <v>504</v>
      </c>
      <c r="C80" s="673" t="s">
        <v>146</v>
      </c>
      <c r="D80" s="663">
        <f t="array" ref="D80">IF(A80="","",SUMPRODUCT(('Detalle Turnos'!$Q$3:$Q$500=$A80)*('Detalle Turnos'!$S$3:$S$500=C80)*'Detalle Turnos'!$T$3:$T$500))</f>
        <v>25</v>
      </c>
      <c r="E80" s="664">
        <f t="array" ref="E80">IF(A80="","",SUMPRODUCT(('Detalle Turnos'!$Q$3:$Q$500=$A80)*('Detalle Turnos'!$S$3:$S$500=C80)*'Detalle Turnos'!$U$3:$U$500))</f>
        <v>212.14</v>
      </c>
      <c r="F80" s="664">
        <f t="shared" si="7"/>
        <v>8.4855999999999998</v>
      </c>
      <c r="G80" s="664">
        <f t="array" ref="G80">IFERROR(SUMPRODUCT(('Facturación 2026'!$A$4:$A$253=A80)*'Facturación 2026'!$J$4:$J$253)*E80/SUMPRODUCT(('Facturación 2026'!$A$4:$A$253=A80)*'Facturación 2026'!$F$4:$F$253),0)</f>
        <v>54.430210378648553</v>
      </c>
      <c r="H80" s="665">
        <f t="shared" si="8"/>
        <v>157.70978962135143</v>
      </c>
      <c r="I80" s="666">
        <f t="shared" si="9"/>
        <v>0.25657683783656338</v>
      </c>
      <c r="J80" s="74" t="str">
        <f>IFERROR(INDEX('Facturación 2026'!$L$4:$L$253,MATCH(A80,'Facturación 2026'!$A$4:$A$253,0)),"")</f>
        <v/>
      </c>
    </row>
    <row r="81" spans="1:10" ht="18" customHeight="1">
      <c r="A81" s="669">
        <v>46061</v>
      </c>
      <c r="B81" s="670" t="s">
        <v>504</v>
      </c>
      <c r="C81" s="671" t="s">
        <v>494</v>
      </c>
      <c r="D81" s="663">
        <f t="array" ref="D81">IF(A81="","",SUMPRODUCT(('Detalle Turnos'!$Q$3:$Q$500=$A81)*('Detalle Turnos'!$S$3:$S$500=C81)*'Detalle Turnos'!$T$3:$T$500))</f>
        <v>140</v>
      </c>
      <c r="E81" s="664">
        <f t="array" ref="E81">IF(A81="","",SUMPRODUCT(('Detalle Turnos'!$Q$3:$Q$500=$A81)*('Detalle Turnos'!$S$3:$S$500=C81)*'Detalle Turnos'!$U$3:$U$500))</f>
        <v>1808.82</v>
      </c>
      <c r="F81" s="664">
        <f t="shared" si="7"/>
        <v>12.920142857142856</v>
      </c>
      <c r="G81" s="664">
        <f t="array" ref="G81">IFERROR(SUMPRODUCT(('Facturación 2026'!$A$4:$A$253=A81)*'Facturación 2026'!$J$4:$J$253)*E81/SUMPRODUCT(('Facturación 2026'!$A$4:$A$253=A81)*'Facturación 2026'!$F$4:$F$253),0)</f>
        <v>464.10131581553259</v>
      </c>
      <c r="H81" s="665">
        <f t="shared" si="8"/>
        <v>1344.7186841844673</v>
      </c>
      <c r="I81" s="666">
        <f t="shared" si="9"/>
        <v>0.25657683783656338</v>
      </c>
      <c r="J81" s="74" t="str">
        <f>IFERROR(INDEX('Facturación 2026'!$L$4:$L$253,MATCH(A81,'Facturación 2026'!$A$4:$A$253,0)),"")</f>
        <v/>
      </c>
    </row>
    <row r="82" spans="1:10" ht="18" customHeight="1">
      <c r="A82" s="669">
        <v>46064</v>
      </c>
      <c r="B82" s="670" t="s">
        <v>505</v>
      </c>
      <c r="C82" s="673" t="s">
        <v>146</v>
      </c>
      <c r="D82" s="663">
        <f t="array" ref="D82">IF(A82="","",SUMPRODUCT(('Detalle Turnos'!$Q$3:$Q$500=$A82)*('Detalle Turnos'!$S$3:$S$500=C82)*'Detalle Turnos'!$T$3:$T$500))</f>
        <v>21</v>
      </c>
      <c r="E82" s="664">
        <f t="array" ref="E82">IF(A82="","",SUMPRODUCT(('Detalle Turnos'!$Q$3:$Q$500=$A82)*('Detalle Turnos'!$S$3:$S$500=C82)*'Detalle Turnos'!$U$3:$U$500))</f>
        <v>88.91</v>
      </c>
      <c r="F82" s="664">
        <f t="shared" si="7"/>
        <v>4.2338095238095237</v>
      </c>
      <c r="G82" s="664">
        <f t="array" ref="G82">IFERROR(SUMPRODUCT(('Facturación 2026'!$A$4:$A$253=A82)*'Facturación 2026'!$J$4:$J$253)*E82/SUMPRODUCT(('Facturación 2026'!$A$4:$A$253=A82)*'Facturación 2026'!$F$4:$F$253),0)</f>
        <v>40.525594026940794</v>
      </c>
      <c r="H82" s="665">
        <f t="shared" si="8"/>
        <v>48.384405973059202</v>
      </c>
      <c r="I82" s="666">
        <f t="shared" si="9"/>
        <v>0.45580467919177592</v>
      </c>
      <c r="J82" s="74" t="str">
        <f>IFERROR(INDEX('Facturación 2026'!$L$4:$L$253,MATCH(A82,'Facturación 2026'!$A$4:$A$253,0)),"")</f>
        <v/>
      </c>
    </row>
    <row r="83" spans="1:10" ht="18" customHeight="1">
      <c r="A83" s="669">
        <v>46064</v>
      </c>
      <c r="B83" s="670" t="s">
        <v>505</v>
      </c>
      <c r="C83" s="671" t="s">
        <v>494</v>
      </c>
      <c r="D83" s="663">
        <f t="array" ref="D83">IF(A83="","",SUMPRODUCT(('Detalle Turnos'!$Q$3:$Q$500=$A83)*('Detalle Turnos'!$S$3:$S$500=C83)*'Detalle Turnos'!$T$3:$T$500))</f>
        <v>24</v>
      </c>
      <c r="E83" s="664">
        <f t="array" ref="E83">IF(A83="","",SUMPRODUCT(('Detalle Turnos'!$Q$3:$Q$500=$A83)*('Detalle Turnos'!$S$3:$S$500=C83)*'Detalle Turnos'!$U$3:$U$500))</f>
        <v>296.64</v>
      </c>
      <c r="F83" s="664">
        <f t="shared" si="7"/>
        <v>12.36</v>
      </c>
      <c r="G83" s="664">
        <f t="array" ref="G83">IFERROR(SUMPRODUCT(('Facturación 2026'!$A$4:$A$253=A83)*'Facturación 2026'!$J$4:$J$253)*E83/SUMPRODUCT(('Facturación 2026'!$A$4:$A$253=A83)*'Facturación 2026'!$F$4:$F$253),0)</f>
        <v>135.20990003544838</v>
      </c>
      <c r="H83" s="665">
        <f t="shared" si="8"/>
        <v>161.4300999645516</v>
      </c>
      <c r="I83" s="666">
        <f t="shared" si="9"/>
        <v>0.45580467919177586</v>
      </c>
      <c r="J83" s="74" t="str">
        <f>IFERROR(INDEX('Facturación 2026'!$L$4:$L$253,MATCH(A83,'Facturación 2026'!$A$4:$A$253,0)),"")</f>
        <v/>
      </c>
    </row>
    <row r="84" spans="1:10" ht="18" customHeight="1">
      <c r="A84" s="669">
        <v>46064</v>
      </c>
      <c r="B84" s="670" t="s">
        <v>505</v>
      </c>
      <c r="C84" s="672" t="s">
        <v>497</v>
      </c>
      <c r="D84" s="663">
        <f t="array" ref="D84">IF(A84="","",SUMPRODUCT(('Detalle Turnos'!$Q$3:$Q$500=$A84)*('Detalle Turnos'!$S$3:$S$500=C84)*'Detalle Turnos'!$T$3:$T$500))</f>
        <v>40</v>
      </c>
      <c r="E84" s="664">
        <f t="array" ref="E84">IF(A84="","",SUMPRODUCT(('Detalle Turnos'!$Q$3:$Q$500=$A84)*('Detalle Turnos'!$S$3:$S$500=C84)*'Detalle Turnos'!$U$3:$U$500))</f>
        <v>601</v>
      </c>
      <c r="F84" s="664">
        <f t="shared" si="7"/>
        <v>15.025</v>
      </c>
      <c r="G84" s="664">
        <f t="array" ref="G84">IFERROR(SUMPRODUCT(('Facturación 2026'!$A$4:$A$253=A84)*'Facturación 2026'!$J$4:$J$253)*E84/SUMPRODUCT(('Facturación 2026'!$A$4:$A$253=A84)*'Facturación 2026'!$F$4:$F$253),0)</f>
        <v>273.9386121942573</v>
      </c>
      <c r="H84" s="665">
        <f t="shared" si="8"/>
        <v>327.0613878057427</v>
      </c>
      <c r="I84" s="666">
        <f t="shared" si="9"/>
        <v>0.45580467919177586</v>
      </c>
      <c r="J84" s="74" t="str">
        <f>IFERROR(INDEX('Facturación 2026'!$L$4:$L$253,MATCH(A84,'Facturación 2026'!$A$4:$A$253,0)),"")</f>
        <v/>
      </c>
    </row>
    <row r="85" spans="1:10" ht="18" customHeight="1">
      <c r="A85" s="669">
        <v>46065</v>
      </c>
      <c r="B85" s="670" t="s">
        <v>506</v>
      </c>
      <c r="C85" s="673" t="s">
        <v>146</v>
      </c>
      <c r="D85" s="663">
        <f t="array" ref="D85">IF(A85="","",SUMPRODUCT(('Detalle Turnos'!$Q$3:$Q$500=$A85)*('Detalle Turnos'!$S$3:$S$500=C85)*'Detalle Turnos'!$T$3:$T$500))</f>
        <v>15</v>
      </c>
      <c r="E85" s="664">
        <f t="array" ref="E85">IF(A85="","",SUMPRODUCT(('Detalle Turnos'!$Q$3:$Q$500=$A85)*('Detalle Turnos'!$S$3:$S$500=C85)*'Detalle Turnos'!$U$3:$U$500))</f>
        <v>37.14</v>
      </c>
      <c r="F85" s="664">
        <f t="shared" si="7"/>
        <v>2.476</v>
      </c>
      <c r="G85" s="664">
        <f t="array" ref="G85">IFERROR(SUMPRODUCT(('Facturación 2026'!$A$4:$A$253=A85)*'Facturación 2026'!$J$4:$J$253)*E85/SUMPRODUCT(('Facturación 2026'!$A$4:$A$253=A85)*'Facturación 2026'!$F$4:$F$253),0)</f>
        <v>28.206127952660424</v>
      </c>
      <c r="H85" s="665">
        <f t="shared" si="8"/>
        <v>8.9338720473395767</v>
      </c>
      <c r="I85" s="666">
        <f t="shared" si="9"/>
        <v>0.75945417212332855</v>
      </c>
      <c r="J85" s="74" t="str">
        <f>IFERROR(INDEX('Facturación 2026'!$L$4:$L$253,MATCH(A85,'Facturación 2026'!$A$4:$A$253,0)),"")</f>
        <v/>
      </c>
    </row>
    <row r="86" spans="1:10" ht="18" customHeight="1">
      <c r="A86" s="669">
        <v>46065</v>
      </c>
      <c r="B86" s="670" t="s">
        <v>506</v>
      </c>
      <c r="C86" s="671" t="s">
        <v>494</v>
      </c>
      <c r="D86" s="663">
        <f t="array" ref="D86">IF(A86="","",SUMPRODUCT(('Detalle Turnos'!$Q$3:$Q$500=$A86)*('Detalle Turnos'!$S$3:$S$500=C86)*'Detalle Turnos'!$T$3:$T$500))</f>
        <v>24</v>
      </c>
      <c r="E86" s="664">
        <f t="array" ref="E86">IF(A86="","",SUMPRODUCT(('Detalle Turnos'!$Q$3:$Q$500=$A86)*('Detalle Turnos'!$S$3:$S$500=C86)*'Detalle Turnos'!$U$3:$U$500))</f>
        <v>165.46</v>
      </c>
      <c r="F86" s="664">
        <f t="shared" si="7"/>
        <v>6.894166666666667</v>
      </c>
      <c r="G86" s="664">
        <f t="array" ref="G86">IFERROR(SUMPRODUCT(('Facturación 2026'!$A$4:$A$253=A86)*'Facturación 2026'!$J$4:$J$253)*E86/SUMPRODUCT(('Facturación 2026'!$A$4:$A$253=A86)*'Facturación 2026'!$F$4:$F$253),0)</f>
        <v>125.65928731952596</v>
      </c>
      <c r="H86" s="665">
        <f t="shared" si="8"/>
        <v>39.800712680474049</v>
      </c>
      <c r="I86" s="666">
        <f t="shared" si="9"/>
        <v>0.75945417212332866</v>
      </c>
      <c r="J86" s="74" t="str">
        <f>IFERROR(INDEX('Facturación 2026'!$L$4:$L$253,MATCH(A86,'Facturación 2026'!$A$4:$A$253,0)),"")</f>
        <v/>
      </c>
    </row>
    <row r="87" spans="1:10" ht="18" customHeight="1">
      <c r="A87" s="669">
        <v>46065</v>
      </c>
      <c r="B87" s="670" t="s">
        <v>506</v>
      </c>
      <c r="C87" s="672" t="s">
        <v>497</v>
      </c>
      <c r="D87" s="663">
        <f t="array" ref="D87">IF(A87="","",SUMPRODUCT(('Detalle Turnos'!$Q$3:$Q$500=$A87)*('Detalle Turnos'!$S$3:$S$500=C87)*'Detalle Turnos'!$T$3:$T$500))</f>
        <v>20</v>
      </c>
      <c r="E87" s="664">
        <f t="array" ref="E87">IF(A87="","",SUMPRODUCT(('Detalle Turnos'!$Q$3:$Q$500=$A87)*('Detalle Turnos'!$S$3:$S$500=C87)*'Detalle Turnos'!$U$3:$U$500))</f>
        <v>258.36</v>
      </c>
      <c r="F87" s="664">
        <f t="shared" si="7"/>
        <v>12.918000000000001</v>
      </c>
      <c r="G87" s="664">
        <f t="array" ref="G87">IFERROR(SUMPRODUCT(('Facturación 2026'!$A$4:$A$253=A87)*'Facturación 2026'!$J$4:$J$253)*E87/SUMPRODUCT(('Facturación 2026'!$A$4:$A$253=A87)*'Facturación 2026'!$F$4:$F$253),0)</f>
        <v>196.21257990978319</v>
      </c>
      <c r="H87" s="665">
        <f t="shared" si="8"/>
        <v>62.147420090216826</v>
      </c>
      <c r="I87" s="666">
        <f t="shared" si="9"/>
        <v>0.75945417212332855</v>
      </c>
      <c r="J87" s="74" t="str">
        <f>IFERROR(INDEX('Facturación 2026'!$L$4:$L$253,MATCH(A87,'Facturación 2026'!$A$4:$A$253,0)),"")</f>
        <v/>
      </c>
    </row>
    <row r="88" spans="1:10" ht="18" customHeight="1">
      <c r="A88" s="669">
        <v>46066</v>
      </c>
      <c r="B88" s="670" t="s">
        <v>502</v>
      </c>
      <c r="C88" s="673" t="s">
        <v>146</v>
      </c>
      <c r="D88" s="663">
        <f t="array" ref="D88">IF(A88="","",SUMPRODUCT(('Detalle Turnos'!$Q$3:$Q$500=$A88)*('Detalle Turnos'!$S$3:$S$500=C88)*'Detalle Turnos'!$T$3:$T$500))</f>
        <v>35</v>
      </c>
      <c r="E88" s="664">
        <f t="array" ref="E88">IF(A88="","",SUMPRODUCT(('Detalle Turnos'!$Q$3:$Q$500=$A88)*('Detalle Turnos'!$S$3:$S$500=C88)*'Detalle Turnos'!$U$3:$U$500))</f>
        <v>129.68</v>
      </c>
      <c r="F88" s="664">
        <f t="shared" si="7"/>
        <v>3.7051428571428575</v>
      </c>
      <c r="G88" s="664">
        <f t="array" ref="G88">IFERROR(SUMPRODUCT(('Facturación 2026'!$A$4:$A$253=A88)*'Facturación 2026'!$J$4:$J$253)*E88/SUMPRODUCT(('Facturación 2026'!$A$4:$A$253=A88)*'Facturación 2026'!$F$4:$F$253),0)</f>
        <v>62.166315570471014</v>
      </c>
      <c r="H88" s="665">
        <f t="shared" si="8"/>
        <v>67.513684429528993</v>
      </c>
      <c r="I88" s="666">
        <f t="shared" si="9"/>
        <v>0.47938244579326811</v>
      </c>
      <c r="J88" s="74" t="str">
        <f>IFERROR(INDEX('Facturación 2026'!$L$4:$L$253,MATCH(A88,'Facturación 2026'!$A$4:$A$253,0)),"")</f>
        <v/>
      </c>
    </row>
    <row r="89" spans="1:10" ht="18" customHeight="1">
      <c r="A89" s="669">
        <v>46066</v>
      </c>
      <c r="B89" s="670" t="s">
        <v>502</v>
      </c>
      <c r="C89" s="671" t="s">
        <v>494</v>
      </c>
      <c r="D89" s="663">
        <f t="array" ref="D89">IF(A89="","",SUMPRODUCT(('Detalle Turnos'!$Q$3:$Q$500=$A89)*('Detalle Turnos'!$S$3:$S$500=C89)*'Detalle Turnos'!$T$3:$T$500))</f>
        <v>26</v>
      </c>
      <c r="E89" s="664">
        <f t="array" ref="E89">IF(A89="","",SUMPRODUCT(('Detalle Turnos'!$Q$3:$Q$500=$A89)*('Detalle Turnos'!$S$3:$S$500=C89)*'Detalle Turnos'!$U$3:$U$500))</f>
        <v>298.14</v>
      </c>
      <c r="F89" s="664">
        <f t="shared" si="7"/>
        <v>11.466923076923077</v>
      </c>
      <c r="G89" s="664">
        <f t="array" ref="G89">IFERROR(SUMPRODUCT(('Facturación 2026'!$A$4:$A$253=A89)*'Facturación 2026'!$J$4:$J$253)*E89/SUMPRODUCT(('Facturación 2026'!$A$4:$A$253=A89)*'Facturación 2026'!$F$4:$F$253),0)</f>
        <v>142.92308238880494</v>
      </c>
      <c r="H89" s="665">
        <f t="shared" si="8"/>
        <v>155.21691761119504</v>
      </c>
      <c r="I89" s="666">
        <f t="shared" si="9"/>
        <v>0.47938244579326811</v>
      </c>
      <c r="J89" s="74" t="str">
        <f>IFERROR(INDEX('Facturación 2026'!$L$4:$L$253,MATCH(A89,'Facturación 2026'!$A$4:$A$253,0)),"")</f>
        <v/>
      </c>
    </row>
    <row r="90" spans="1:10" ht="18" customHeight="1">
      <c r="A90" s="669">
        <v>46066</v>
      </c>
      <c r="B90" s="670" t="s">
        <v>502</v>
      </c>
      <c r="C90" s="672" t="s">
        <v>497</v>
      </c>
      <c r="D90" s="663">
        <f t="array" ref="D90">IF(A90="","",SUMPRODUCT(('Detalle Turnos'!$Q$3:$Q$500=$A90)*('Detalle Turnos'!$S$3:$S$500=C90)*'Detalle Turnos'!$T$3:$T$500))</f>
        <v>33</v>
      </c>
      <c r="E90" s="664">
        <f t="array" ref="E90">IF(A90="","",SUMPRODUCT(('Detalle Turnos'!$Q$3:$Q$500=$A90)*('Detalle Turnos'!$S$3:$S$500=C90)*'Detalle Turnos'!$U$3:$U$500))</f>
        <v>501.77</v>
      </c>
      <c r="F90" s="664">
        <f t="shared" si="7"/>
        <v>15.205151515151515</v>
      </c>
      <c r="G90" s="664">
        <f t="array" ref="G90">IFERROR(SUMPRODUCT(('Facturación 2026'!$A$4:$A$253=A90)*'Facturación 2026'!$J$4:$J$253)*E90/SUMPRODUCT(('Facturación 2026'!$A$4:$A$253=A90)*'Facturación 2026'!$F$4:$F$253),0)</f>
        <v>240.53972982568811</v>
      </c>
      <c r="H90" s="665">
        <f t="shared" si="8"/>
        <v>261.23027017431184</v>
      </c>
      <c r="I90" s="666">
        <f t="shared" si="9"/>
        <v>0.47938244579326805</v>
      </c>
      <c r="J90" s="74" t="str">
        <f>IFERROR(INDEX('Facturación 2026'!$L$4:$L$253,MATCH(A90,'Facturación 2026'!$A$4:$A$253,0)),"")</f>
        <v/>
      </c>
    </row>
    <row r="91" spans="1:10" ht="18" customHeight="1">
      <c r="A91" s="669">
        <v>46067</v>
      </c>
      <c r="B91" s="670" t="s">
        <v>503</v>
      </c>
      <c r="C91" s="673" t="s">
        <v>146</v>
      </c>
      <c r="D91" s="663">
        <f t="array" ref="D91">IF(A91="","",SUMPRODUCT(('Detalle Turnos'!$Q$3:$Q$500=$A91)*('Detalle Turnos'!$S$3:$S$500=C91)*'Detalle Turnos'!$T$3:$T$500))</f>
        <v>21</v>
      </c>
      <c r="E91" s="664">
        <f t="array" ref="E91">IF(A91="","",SUMPRODUCT(('Detalle Turnos'!$Q$3:$Q$500=$A91)*('Detalle Turnos'!$S$3:$S$500=C91)*'Detalle Turnos'!$U$3:$U$500))</f>
        <v>85.41</v>
      </c>
      <c r="F91" s="664">
        <f t="shared" si="7"/>
        <v>4.0671428571428567</v>
      </c>
      <c r="G91" s="664">
        <f t="array" ref="G91">IFERROR(SUMPRODUCT(('Facturación 2026'!$A$4:$A$253=A91)*'Facturación 2026'!$J$4:$J$253)*E91/SUMPRODUCT(('Facturación 2026'!$A$4:$A$253=A91)*'Facturación 2026'!$F$4:$F$253),0)</f>
        <v>14.33183618801373</v>
      </c>
      <c r="H91" s="665">
        <f t="shared" si="8"/>
        <v>71.078163811986272</v>
      </c>
      <c r="I91" s="666">
        <f t="shared" si="9"/>
        <v>0.16780044711408185</v>
      </c>
      <c r="J91" s="74" t="str">
        <f>IFERROR(INDEX('Facturación 2026'!$L$4:$L$253,MATCH(A91,'Facturación 2026'!$A$4:$A$253,0)),"")</f>
        <v>San Valentín</v>
      </c>
    </row>
    <row r="92" spans="1:10" ht="18" customHeight="1">
      <c r="A92" s="669">
        <v>46067</v>
      </c>
      <c r="B92" s="670" t="s">
        <v>503</v>
      </c>
      <c r="C92" s="671" t="s">
        <v>494</v>
      </c>
      <c r="D92" s="663">
        <f t="array" ref="D92">IF(A92="","",SUMPRODUCT(('Detalle Turnos'!$Q$3:$Q$500=$A92)*('Detalle Turnos'!$S$3:$S$500=C92)*'Detalle Turnos'!$T$3:$T$500))</f>
        <v>57</v>
      </c>
      <c r="E92" s="664">
        <f t="array" ref="E92">IF(A92="","",SUMPRODUCT(('Detalle Turnos'!$Q$3:$Q$500=$A92)*('Detalle Turnos'!$S$3:$S$500=C92)*'Detalle Turnos'!$U$3:$U$500))</f>
        <v>1013.09</v>
      </c>
      <c r="F92" s="664">
        <f t="shared" si="7"/>
        <v>17.773508771929826</v>
      </c>
      <c r="G92" s="664">
        <f t="array" ref="G92">IFERROR(SUMPRODUCT(('Facturación 2026'!$A$4:$A$253=A92)*'Facturación 2026'!$J$4:$J$253)*E92/SUMPRODUCT(('Facturación 2026'!$A$4:$A$253=A92)*'Facturación 2026'!$F$4:$F$253),0)</f>
        <v>169.99695496680519</v>
      </c>
      <c r="H92" s="665">
        <f t="shared" si="8"/>
        <v>843.09304503319481</v>
      </c>
      <c r="I92" s="666">
        <f t="shared" si="9"/>
        <v>0.16780044711408185</v>
      </c>
      <c r="J92" s="74" t="str">
        <f>IFERROR(INDEX('Facturación 2026'!$L$4:$L$253,MATCH(A92,'Facturación 2026'!$A$4:$A$253,0)),"")</f>
        <v>San Valentín</v>
      </c>
    </row>
    <row r="93" spans="1:10" ht="18" customHeight="1">
      <c r="A93" s="669">
        <v>46067</v>
      </c>
      <c r="B93" s="670" t="s">
        <v>503</v>
      </c>
      <c r="C93" s="672" t="s">
        <v>497</v>
      </c>
      <c r="D93" s="663">
        <f t="array" ref="D93">IF(A93="","",SUMPRODUCT(('Detalle Turnos'!$Q$3:$Q$500=$A93)*('Detalle Turnos'!$S$3:$S$500=C93)*'Detalle Turnos'!$T$3:$T$500))</f>
        <v>130</v>
      </c>
      <c r="E93" s="664">
        <f t="array" ref="E93">IF(A93="","",SUMPRODUCT(('Detalle Turnos'!$Q$3:$Q$500=$A93)*('Detalle Turnos'!$S$3:$S$500=C93)*'Detalle Turnos'!$U$3:$U$500))</f>
        <v>1898.82</v>
      </c>
      <c r="F93" s="664">
        <f t="shared" si="7"/>
        <v>14.606307692307691</v>
      </c>
      <c r="G93" s="664">
        <f t="array" ref="G93">IFERROR(SUMPRODUCT(('Facturación 2026'!$A$4:$A$253=A93)*'Facturación 2026'!$J$4:$J$253)*E93/SUMPRODUCT(('Facturación 2026'!$A$4:$A$253=A93)*'Facturación 2026'!$F$4:$F$253),0)</f>
        <v>318.62284498916085</v>
      </c>
      <c r="H93" s="665">
        <f t="shared" si="8"/>
        <v>1580.1971550108392</v>
      </c>
      <c r="I93" s="666">
        <f t="shared" si="9"/>
        <v>0.16780044711408182</v>
      </c>
      <c r="J93" s="74" t="str">
        <f>IFERROR(INDEX('Facturación 2026'!$L$4:$L$253,MATCH(A93,'Facturación 2026'!$A$4:$A$253,0)),"")</f>
        <v>San Valentín</v>
      </c>
    </row>
    <row r="94" spans="1:10" ht="18" customHeight="1">
      <c r="A94" s="669">
        <v>46068</v>
      </c>
      <c r="B94" s="670" t="s">
        <v>504</v>
      </c>
      <c r="C94" s="673" t="s">
        <v>146</v>
      </c>
      <c r="D94" s="663">
        <f t="array" ref="D94">IF(A94="","",SUMPRODUCT(('Detalle Turnos'!$Q$3:$Q$500=$A94)*('Detalle Turnos'!$S$3:$S$500=C94)*'Detalle Turnos'!$T$3:$T$500))</f>
        <v>15</v>
      </c>
      <c r="E94" s="664">
        <f t="array" ref="E94">IF(A94="","",SUMPRODUCT(('Detalle Turnos'!$Q$3:$Q$500=$A94)*('Detalle Turnos'!$S$3:$S$500=C94)*'Detalle Turnos'!$U$3:$U$500))</f>
        <v>66.36</v>
      </c>
      <c r="F94" s="664">
        <f t="shared" si="7"/>
        <v>4.4240000000000004</v>
      </c>
      <c r="G94" s="664">
        <f t="array" ref="G94">IFERROR(SUMPRODUCT(('Facturación 2026'!$A$4:$A$253=A94)*'Facturación 2026'!$J$4:$J$253)*E94/SUMPRODUCT(('Facturación 2026'!$A$4:$A$253=A94)*'Facturación 2026'!$F$4:$F$253),0)</f>
        <v>21.262244460833035</v>
      </c>
      <c r="H94" s="665">
        <f t="shared" si="8"/>
        <v>45.097755539166968</v>
      </c>
      <c r="I94" s="666">
        <f t="shared" si="9"/>
        <v>0.32040754160387336</v>
      </c>
      <c r="J94" s="74" t="str">
        <f>IFERROR(INDEX('Facturación 2026'!$L$4:$L$253,MATCH(A94,'Facturación 2026'!$A$4:$A$253,0)),"")</f>
        <v/>
      </c>
    </row>
    <row r="95" spans="1:10" ht="18" customHeight="1">
      <c r="A95" s="669">
        <v>46068</v>
      </c>
      <c r="B95" s="670" t="s">
        <v>504</v>
      </c>
      <c r="C95" s="671" t="s">
        <v>494</v>
      </c>
      <c r="D95" s="663">
        <f t="array" ref="D95">IF(A95="","",SUMPRODUCT(('Detalle Turnos'!$Q$3:$Q$500=$A95)*('Detalle Turnos'!$S$3:$S$500=C95)*'Detalle Turnos'!$T$3:$T$500))</f>
        <v>70</v>
      </c>
      <c r="E95" s="664">
        <f t="array" ref="E95">IF(A95="","",SUMPRODUCT(('Detalle Turnos'!$Q$3:$Q$500=$A95)*('Detalle Turnos'!$S$3:$S$500=C95)*'Detalle Turnos'!$U$3:$U$500))</f>
        <v>1168.6400000000001</v>
      </c>
      <c r="F95" s="664">
        <f t="shared" si="7"/>
        <v>16.694857142857146</v>
      </c>
      <c r="G95" s="664">
        <f t="array" ref="G95">IFERROR(SUMPRODUCT(('Facturación 2026'!$A$4:$A$253=A95)*'Facturación 2026'!$J$4:$J$253)*E95/SUMPRODUCT(('Facturación 2026'!$A$4:$A$253=A95)*'Facturación 2026'!$F$4:$F$253),0)</f>
        <v>374.44106941995062</v>
      </c>
      <c r="H95" s="665">
        <f t="shared" si="8"/>
        <v>794.19893058004948</v>
      </c>
      <c r="I95" s="666">
        <f t="shared" si="9"/>
        <v>0.32040754160387336</v>
      </c>
      <c r="J95" s="74" t="str">
        <f>IFERROR(INDEX('Facturación 2026'!$L$4:$L$253,MATCH(A95,'Facturación 2026'!$A$4:$A$253,0)),"")</f>
        <v/>
      </c>
    </row>
    <row r="96" spans="1:10" ht="18" customHeight="1">
      <c r="A96" s="669">
        <v>46071</v>
      </c>
      <c r="B96" s="670" t="s">
        <v>505</v>
      </c>
      <c r="C96" s="673" t="s">
        <v>146</v>
      </c>
      <c r="D96" s="663">
        <f t="array" ref="D96">IF(A96="","",SUMPRODUCT(('Detalle Turnos'!$Q$3:$Q$500=$A96)*('Detalle Turnos'!$S$3:$S$500=C96)*'Detalle Turnos'!$T$3:$T$500))</f>
        <v>20</v>
      </c>
      <c r="E96" s="664">
        <f t="array" ref="E96">IF(A96="","",SUMPRODUCT(('Detalle Turnos'!$Q$3:$Q$500=$A96)*('Detalle Turnos'!$S$3:$S$500=C96)*'Detalle Turnos'!$U$3:$U$500))</f>
        <v>84.27</v>
      </c>
      <c r="F96" s="664">
        <f t="shared" si="7"/>
        <v>4.2134999999999998</v>
      </c>
      <c r="G96" s="664">
        <f t="array" ref="G96">IFERROR(SUMPRODUCT(('Facturación 2026'!$A$4:$A$253=A96)*'Facturación 2026'!$J$4:$J$253)*E96/SUMPRODUCT(('Facturación 2026'!$A$4:$A$253=A96)*'Facturación 2026'!$F$4:$F$253),0)</f>
        <v>44.994242750707393</v>
      </c>
      <c r="H96" s="665">
        <f t="shared" si="8"/>
        <v>39.275757249292603</v>
      </c>
      <c r="I96" s="666">
        <f t="shared" si="9"/>
        <v>0.53392954492354805</v>
      </c>
      <c r="J96" s="74" t="str">
        <f>IFERROR(INDEX('Facturación 2026'!$L$4:$L$253,MATCH(A96,'Facturación 2026'!$A$4:$A$253,0)),"")</f>
        <v/>
      </c>
    </row>
    <row r="97" spans="1:10" ht="18" customHeight="1">
      <c r="A97" s="669">
        <v>46071</v>
      </c>
      <c r="B97" s="670" t="s">
        <v>505</v>
      </c>
      <c r="C97" s="671" t="s">
        <v>494</v>
      </c>
      <c r="D97" s="663">
        <f t="array" ref="D97">IF(A97="","",SUMPRODUCT(('Detalle Turnos'!$Q$3:$Q$500=$A97)*('Detalle Turnos'!$S$3:$S$500=C97)*'Detalle Turnos'!$T$3:$T$500))</f>
        <v>21</v>
      </c>
      <c r="E97" s="664">
        <f t="array" ref="E97">IF(A97="","",SUMPRODUCT(('Detalle Turnos'!$Q$3:$Q$500=$A97)*('Detalle Turnos'!$S$3:$S$500=C97)*'Detalle Turnos'!$U$3:$U$500))</f>
        <v>203.09</v>
      </c>
      <c r="F97" s="664">
        <f t="shared" si="7"/>
        <v>9.6709523809523805</v>
      </c>
      <c r="G97" s="664">
        <f t="array" ref="G97">IFERROR(SUMPRODUCT(('Facturación 2026'!$A$4:$A$253=A97)*'Facturación 2026'!$J$4:$J$253)*E97/SUMPRODUCT(('Facturación 2026'!$A$4:$A$253=A97)*'Facturación 2026'!$F$4:$F$253),0)</f>
        <v>108.43575127852338</v>
      </c>
      <c r="H97" s="665">
        <f t="shared" si="8"/>
        <v>94.65424872147662</v>
      </c>
      <c r="I97" s="666">
        <f t="shared" si="9"/>
        <v>0.53392954492354805</v>
      </c>
      <c r="J97" s="74" t="str">
        <f>IFERROR(INDEX('Facturación 2026'!$L$4:$L$253,MATCH(A97,'Facturación 2026'!$A$4:$A$253,0)),"")</f>
        <v/>
      </c>
    </row>
    <row r="98" spans="1:10" ht="18" customHeight="1">
      <c r="A98" s="669">
        <v>46071</v>
      </c>
      <c r="B98" s="670" t="s">
        <v>505</v>
      </c>
      <c r="C98" s="672" t="s">
        <v>497</v>
      </c>
      <c r="D98" s="663">
        <f t="array" ref="D98">IF(A98="","",SUMPRODUCT(('Detalle Turnos'!$Q$3:$Q$500=$A98)*('Detalle Turnos'!$S$3:$S$500=C98)*'Detalle Turnos'!$T$3:$T$500))</f>
        <v>13</v>
      </c>
      <c r="E98" s="664">
        <f t="array" ref="E98">IF(A98="","",SUMPRODUCT(('Detalle Turnos'!$Q$3:$Q$500=$A98)*('Detalle Turnos'!$S$3:$S$500=C98)*'Detalle Turnos'!$U$3:$U$500))</f>
        <v>195.86</v>
      </c>
      <c r="F98" s="664">
        <f t="shared" si="7"/>
        <v>15.066153846153847</v>
      </c>
      <c r="G98" s="664">
        <f t="array" ref="G98">IFERROR(SUMPRODUCT(('Facturación 2026'!$A$4:$A$253=A98)*'Facturación 2026'!$J$4:$J$253)*E98/SUMPRODUCT(('Facturación 2026'!$A$4:$A$253=A98)*'Facturación 2026'!$F$4:$F$253),0)</f>
        <v>104.57544066872613</v>
      </c>
      <c r="H98" s="665">
        <f t="shared" si="8"/>
        <v>91.284559331273883</v>
      </c>
      <c r="I98" s="666">
        <f t="shared" si="9"/>
        <v>0.53392954492354805</v>
      </c>
      <c r="J98" s="74" t="str">
        <f>IFERROR(INDEX('Facturación 2026'!$L$4:$L$253,MATCH(A98,'Facturación 2026'!$A$4:$A$253,0)),"")</f>
        <v/>
      </c>
    </row>
    <row r="99" spans="1:10" ht="18" customHeight="1">
      <c r="A99" s="669">
        <v>46072</v>
      </c>
      <c r="B99" s="670" t="s">
        <v>506</v>
      </c>
      <c r="C99" s="673" t="s">
        <v>146</v>
      </c>
      <c r="D99" s="663">
        <f t="array" ref="D99">IF(A99="","",SUMPRODUCT(('Detalle Turnos'!$Q$3:$Q$500=$A99)*('Detalle Turnos'!$S$3:$S$500=C99)*'Detalle Turnos'!$T$3:$T$500))</f>
        <v>14</v>
      </c>
      <c r="E99" s="664">
        <f t="array" ref="E99">IF(A99="","",SUMPRODUCT(('Detalle Turnos'!$Q$3:$Q$500=$A99)*('Detalle Turnos'!$S$3:$S$500=C99)*'Detalle Turnos'!$U$3:$U$500))</f>
        <v>68.959999999999994</v>
      </c>
      <c r="F99" s="664">
        <f t="shared" si="7"/>
        <v>4.9257142857142853</v>
      </c>
      <c r="G99" s="664">
        <f t="array" ref="G99">IFERROR(SUMPRODUCT(('Facturación 2026'!$A$4:$A$253=A99)*'Facturación 2026'!$J$4:$J$253)*E99/SUMPRODUCT(('Facturación 2026'!$A$4:$A$253=A99)*'Facturación 2026'!$F$4:$F$253),0)</f>
        <v>37.248613203143712</v>
      </c>
      <c r="H99" s="665">
        <f t="shared" si="8"/>
        <v>31.711386796856281</v>
      </c>
      <c r="I99" s="666">
        <f t="shared" si="9"/>
        <v>0.54014810329384744</v>
      </c>
      <c r="J99" s="74" t="str">
        <f>IFERROR(INDEX('Facturación 2026'!$L$4:$L$253,MATCH(A99,'Facturación 2026'!$A$4:$A$253,0)),"")</f>
        <v/>
      </c>
    </row>
    <row r="100" spans="1:10" ht="18" customHeight="1">
      <c r="A100" s="669">
        <v>46072</v>
      </c>
      <c r="B100" s="670" t="s">
        <v>506</v>
      </c>
      <c r="C100" s="671" t="s">
        <v>494</v>
      </c>
      <c r="D100" s="663">
        <f t="array" ref="D100">IF(A100="","",SUMPRODUCT(('Detalle Turnos'!$Q$3:$Q$500=$A100)*('Detalle Turnos'!$S$3:$S$500=C100)*'Detalle Turnos'!$T$3:$T$500))</f>
        <v>32</v>
      </c>
      <c r="E100" s="664">
        <f t="array" ref="E100">IF(A100="","",SUMPRODUCT(('Detalle Turnos'!$Q$3:$Q$500=$A100)*('Detalle Turnos'!$S$3:$S$500=C100)*'Detalle Turnos'!$U$3:$U$500))</f>
        <v>408.73</v>
      </c>
      <c r="F100" s="664">
        <f t="shared" si="7"/>
        <v>12.772812500000001</v>
      </c>
      <c r="G100" s="664">
        <f t="array" ref="G100">IFERROR(SUMPRODUCT(('Facturación 2026'!$A$4:$A$253=A100)*'Facturación 2026'!$J$4:$J$253)*E100/SUMPRODUCT(('Facturación 2026'!$A$4:$A$253=A100)*'Facturación 2026'!$F$4:$F$253),0)</f>
        <v>220.77473425929429</v>
      </c>
      <c r="H100" s="665">
        <f t="shared" ref="H100:H131" si="10">E100-G100</f>
        <v>187.95526574070573</v>
      </c>
      <c r="I100" s="666">
        <f t="shared" si="9"/>
        <v>0.54014810329384744</v>
      </c>
      <c r="J100" s="74" t="str">
        <f>IFERROR(INDEX('Facturación 2026'!$L$4:$L$253,MATCH(A100,'Facturación 2026'!$A$4:$A$253,0)),"")</f>
        <v/>
      </c>
    </row>
    <row r="101" spans="1:10" ht="18" customHeight="1">
      <c r="A101" s="669">
        <v>46072</v>
      </c>
      <c r="B101" s="670" t="s">
        <v>506</v>
      </c>
      <c r="C101" s="672" t="s">
        <v>497</v>
      </c>
      <c r="D101" s="663">
        <f t="array" ref="D101">IF(A101="","",SUMPRODUCT(('Detalle Turnos'!$Q$3:$Q$500=$A101)*('Detalle Turnos'!$S$3:$S$500=C101)*'Detalle Turnos'!$T$3:$T$500))</f>
        <v>13</v>
      </c>
      <c r="E101" s="664">
        <f t="array" ref="E101">IF(A101="","",SUMPRODUCT(('Detalle Turnos'!$Q$3:$Q$500=$A101)*('Detalle Turnos'!$S$3:$S$500=C101)*'Detalle Turnos'!$U$3:$U$500))</f>
        <v>57.5</v>
      </c>
      <c r="F101" s="664">
        <f t="shared" si="7"/>
        <v>4.4230769230769234</v>
      </c>
      <c r="G101" s="664">
        <f t="array" ref="G101">IFERROR(SUMPRODUCT(('Facturación 2026'!$A$4:$A$253=A101)*'Facturación 2026'!$J$4:$J$253)*E101/SUMPRODUCT(('Facturación 2026'!$A$4:$A$253=A101)*'Facturación 2026'!$F$4:$F$253),0)</f>
        <v>31.058515939396226</v>
      </c>
      <c r="H101" s="665">
        <f t="shared" si="10"/>
        <v>26.441484060603774</v>
      </c>
      <c r="I101" s="666">
        <f t="shared" si="9"/>
        <v>0.54014810329384744</v>
      </c>
      <c r="J101" s="74" t="str">
        <f>IFERROR(INDEX('Facturación 2026'!$L$4:$L$253,MATCH(A101,'Facturación 2026'!$A$4:$A$253,0)),"")</f>
        <v/>
      </c>
    </row>
    <row r="102" spans="1:10" ht="18" customHeight="1">
      <c r="A102" s="669">
        <v>46073</v>
      </c>
      <c r="B102" s="670" t="s">
        <v>502</v>
      </c>
      <c r="C102" s="673" t="s">
        <v>146</v>
      </c>
      <c r="D102" s="663">
        <f t="array" ref="D102">IF(A102="","",SUMPRODUCT(('Detalle Turnos'!$Q$3:$Q$500=$A102)*('Detalle Turnos'!$S$3:$S$500=C102)*'Detalle Turnos'!$T$3:$T$500))</f>
        <v>12</v>
      </c>
      <c r="E102" s="664">
        <f t="array" ref="E102">IF(A102="","",SUMPRODUCT(('Detalle Turnos'!$Q$3:$Q$500=$A102)*('Detalle Turnos'!$S$3:$S$500=C102)*'Detalle Turnos'!$U$3:$U$500))</f>
        <v>53.41</v>
      </c>
      <c r="F102" s="664">
        <f t="shared" si="7"/>
        <v>4.4508333333333328</v>
      </c>
      <c r="G102" s="664">
        <f t="array" ref="G102">IFERROR(SUMPRODUCT(('Facturación 2026'!$A$4:$A$253=A102)*'Facturación 2026'!$J$4:$J$253)*E102/SUMPRODUCT(('Facturación 2026'!$A$4:$A$253=A102)*'Facturación 2026'!$F$4:$F$253),0)</f>
        <v>20.925048828590022</v>
      </c>
      <c r="H102" s="665">
        <f t="shared" si="10"/>
        <v>32.484951171409975</v>
      </c>
      <c r="I102" s="666">
        <f t="shared" si="9"/>
        <v>0.39178147965905302</v>
      </c>
      <c r="J102" s="74" t="str">
        <f>IFERROR(INDEX('Facturación 2026'!$L$4:$L$253,MATCH(A102,'Facturación 2026'!$A$4:$A$253,0)),"")</f>
        <v/>
      </c>
    </row>
    <row r="103" spans="1:10" ht="18" customHeight="1">
      <c r="A103" s="669">
        <v>46073</v>
      </c>
      <c r="B103" s="670" t="s">
        <v>502</v>
      </c>
      <c r="C103" s="671" t="s">
        <v>494</v>
      </c>
      <c r="D103" s="663">
        <f t="array" ref="D103">IF(A103="","",SUMPRODUCT(('Detalle Turnos'!$Q$3:$Q$500=$A103)*('Detalle Turnos'!$S$3:$S$500=C103)*'Detalle Turnos'!$T$3:$T$500))</f>
        <v>24</v>
      </c>
      <c r="E103" s="664">
        <f t="array" ref="E103">IF(A103="","",SUMPRODUCT(('Detalle Turnos'!$Q$3:$Q$500=$A103)*('Detalle Turnos'!$S$3:$S$500=C103)*'Detalle Turnos'!$U$3:$U$500))</f>
        <v>320.05</v>
      </c>
      <c r="F103" s="664">
        <f t="shared" si="7"/>
        <v>13.335416666666667</v>
      </c>
      <c r="G103" s="664">
        <f t="array" ref="G103">IFERROR(SUMPRODUCT(('Facturación 2026'!$A$4:$A$253=A103)*'Facturación 2026'!$J$4:$J$253)*E103/SUMPRODUCT(('Facturación 2026'!$A$4:$A$253=A103)*'Facturación 2026'!$F$4:$F$253),0)</f>
        <v>125.38966256487993</v>
      </c>
      <c r="H103" s="665">
        <f t="shared" si="10"/>
        <v>194.66033743512008</v>
      </c>
      <c r="I103" s="666">
        <f t="shared" si="9"/>
        <v>0.39178147965905302</v>
      </c>
      <c r="J103" s="74" t="str">
        <f>IFERROR(INDEX('Facturación 2026'!$L$4:$L$253,MATCH(A103,'Facturación 2026'!$A$4:$A$253,0)),"")</f>
        <v/>
      </c>
    </row>
    <row r="104" spans="1:10" ht="18" customHeight="1">
      <c r="A104" s="669">
        <v>46073</v>
      </c>
      <c r="B104" s="670" t="s">
        <v>502</v>
      </c>
      <c r="C104" s="672" t="s">
        <v>497</v>
      </c>
      <c r="D104" s="663">
        <f t="array" ref="D104">IF(A104="","",SUMPRODUCT(('Detalle Turnos'!$Q$3:$Q$500=$A104)*('Detalle Turnos'!$S$3:$S$500=C104)*'Detalle Turnos'!$T$3:$T$500))</f>
        <v>35</v>
      </c>
      <c r="E104" s="664">
        <f t="array" ref="E104">IF(A104="","",SUMPRODUCT(('Detalle Turnos'!$Q$3:$Q$500=$A104)*('Detalle Turnos'!$S$3:$S$500=C104)*'Detalle Turnos'!$U$3:$U$500))</f>
        <v>593.41</v>
      </c>
      <c r="F104" s="664">
        <f t="shared" si="7"/>
        <v>16.954571428571427</v>
      </c>
      <c r="G104" s="664">
        <f t="array" ref="G104">IFERROR(SUMPRODUCT(('Facturación 2026'!$A$4:$A$253=A104)*'Facturación 2026'!$J$4:$J$253)*E104/SUMPRODUCT(('Facturación 2026'!$A$4:$A$253=A104)*'Facturación 2026'!$F$4:$F$253),0)</f>
        <v>232.48704784447864</v>
      </c>
      <c r="H104" s="665">
        <f t="shared" si="10"/>
        <v>360.92295215552133</v>
      </c>
      <c r="I104" s="666">
        <f t="shared" si="9"/>
        <v>0.39178147965905302</v>
      </c>
      <c r="J104" s="74" t="str">
        <f>IFERROR(INDEX('Facturación 2026'!$L$4:$L$253,MATCH(A104,'Facturación 2026'!$A$4:$A$253,0)),"")</f>
        <v/>
      </c>
    </row>
    <row r="105" spans="1:10" ht="18" customHeight="1">
      <c r="A105" s="669">
        <v>46074</v>
      </c>
      <c r="B105" s="670" t="s">
        <v>503</v>
      </c>
      <c r="C105" s="673" t="s">
        <v>146</v>
      </c>
      <c r="D105" s="663">
        <f t="array" ref="D105">IF(A105="","",SUMPRODUCT(('Detalle Turnos'!$Q$3:$Q$500=$A105)*('Detalle Turnos'!$S$3:$S$500=C105)*'Detalle Turnos'!$T$3:$T$500))</f>
        <v>21</v>
      </c>
      <c r="E105" s="664">
        <f t="array" ref="E105">IF(A105="","",SUMPRODUCT(('Detalle Turnos'!$Q$3:$Q$500=$A105)*('Detalle Turnos'!$S$3:$S$500=C105)*'Detalle Turnos'!$U$3:$U$500))</f>
        <v>63.36</v>
      </c>
      <c r="F105" s="664">
        <f t="shared" si="7"/>
        <v>3.0171428571428569</v>
      </c>
      <c r="G105" s="664">
        <f t="array" ref="G105">IFERROR(SUMPRODUCT(('Facturación 2026'!$A$4:$A$253=A105)*'Facturación 2026'!$J$4:$J$253)*E105/SUMPRODUCT(('Facturación 2026'!$A$4:$A$253=A105)*'Facturación 2026'!$F$4:$F$253),0)</f>
        <v>13.79919697278965</v>
      </c>
      <c r="H105" s="665">
        <f t="shared" si="10"/>
        <v>49.560803027210348</v>
      </c>
      <c r="I105" s="666">
        <f t="shared" si="9"/>
        <v>0.2177903562624629</v>
      </c>
      <c r="J105" s="74" t="str">
        <f>IFERROR(INDEX('Facturación 2026'!$L$4:$L$253,MATCH(A105,'Facturación 2026'!$A$4:$A$253,0)),"")</f>
        <v/>
      </c>
    </row>
    <row r="106" spans="1:10" ht="18" customHeight="1">
      <c r="A106" s="669">
        <v>46074</v>
      </c>
      <c r="B106" s="670" t="s">
        <v>503</v>
      </c>
      <c r="C106" s="671" t="s">
        <v>494</v>
      </c>
      <c r="D106" s="663">
        <f t="array" ref="D106">IF(A106="","",SUMPRODUCT(('Detalle Turnos'!$Q$3:$Q$500=$A106)*('Detalle Turnos'!$S$3:$S$500=C106)*'Detalle Turnos'!$T$3:$T$500))</f>
        <v>68</v>
      </c>
      <c r="E106" s="664">
        <f t="array" ref="E106">IF(A106="","",SUMPRODUCT(('Detalle Turnos'!$Q$3:$Q$500=$A106)*('Detalle Turnos'!$S$3:$S$500=C106)*'Detalle Turnos'!$U$3:$U$500))</f>
        <v>1210.6600000000001</v>
      </c>
      <c r="F106" s="664">
        <f t="shared" si="7"/>
        <v>17.803823529411765</v>
      </c>
      <c r="G106" s="664">
        <f t="array" ref="G106">IFERROR(SUMPRODUCT(('Facturación 2026'!$A$4:$A$253=A106)*'Facturación 2026'!$J$4:$J$253)*E106/SUMPRODUCT(('Facturación 2026'!$A$4:$A$253=A106)*'Facturación 2026'!$F$4:$F$253),0)</f>
        <v>263.67007271271336</v>
      </c>
      <c r="H106" s="665">
        <f t="shared" si="10"/>
        <v>946.98992728728672</v>
      </c>
      <c r="I106" s="666">
        <f t="shared" si="9"/>
        <v>0.2177903562624629</v>
      </c>
      <c r="J106" s="74" t="str">
        <f>IFERROR(INDEX('Facturación 2026'!$L$4:$L$253,MATCH(A106,'Facturación 2026'!$A$4:$A$253,0)),"")</f>
        <v/>
      </c>
    </row>
    <row r="107" spans="1:10" ht="18" customHeight="1">
      <c r="A107" s="669">
        <v>46074</v>
      </c>
      <c r="B107" s="670" t="s">
        <v>503</v>
      </c>
      <c r="C107" s="672" t="s">
        <v>497</v>
      </c>
      <c r="D107" s="663">
        <f t="array" ref="D107">IF(A107="","",SUMPRODUCT(('Detalle Turnos'!$Q$3:$Q$500=$A107)*('Detalle Turnos'!$S$3:$S$500=C107)*'Detalle Turnos'!$T$3:$T$500))</f>
        <v>69</v>
      </c>
      <c r="E107" s="664">
        <f t="array" ref="E107">IF(A107="","",SUMPRODUCT(('Detalle Turnos'!$Q$3:$Q$500=$A107)*('Detalle Turnos'!$S$3:$S$500=C107)*'Detalle Turnos'!$U$3:$U$500))</f>
        <v>1163.23</v>
      </c>
      <c r="F107" s="664">
        <f t="shared" si="7"/>
        <v>16.858405797101451</v>
      </c>
      <c r="G107" s="664">
        <f t="array" ref="G107">IFERROR(SUMPRODUCT(('Facturación 2026'!$A$4:$A$253=A107)*'Facturación 2026'!$J$4:$J$253)*E107/SUMPRODUCT(('Facturación 2026'!$A$4:$A$253=A107)*'Facturación 2026'!$F$4:$F$253),0)</f>
        <v>253.34027611518476</v>
      </c>
      <c r="H107" s="665">
        <f t="shared" si="10"/>
        <v>909.88972388481523</v>
      </c>
      <c r="I107" s="666">
        <f t="shared" si="9"/>
        <v>0.21779035626246293</v>
      </c>
      <c r="J107" s="74" t="str">
        <f>IFERROR(INDEX('Facturación 2026'!$L$4:$L$253,MATCH(A107,'Facturación 2026'!$A$4:$A$253,0)),"")</f>
        <v/>
      </c>
    </row>
    <row r="108" spans="1:10" ht="18" customHeight="1">
      <c r="A108" s="669">
        <v>46075</v>
      </c>
      <c r="B108" s="670" t="s">
        <v>504</v>
      </c>
      <c r="C108" s="673" t="s">
        <v>146</v>
      </c>
      <c r="D108" s="663">
        <f t="array" ref="D108">IF(A108="","",SUMPRODUCT(('Detalle Turnos'!$Q$3:$Q$500=$A108)*('Detalle Turnos'!$S$3:$S$500=C108)*'Detalle Turnos'!$T$3:$T$500))</f>
        <v>22</v>
      </c>
      <c r="E108" s="664">
        <f t="array" ref="E108">IF(A108="","",SUMPRODUCT(('Detalle Turnos'!$Q$3:$Q$500=$A108)*('Detalle Turnos'!$S$3:$S$500=C108)*'Detalle Turnos'!$U$3:$U$500))</f>
        <v>95.41</v>
      </c>
      <c r="F108" s="664">
        <f t="shared" si="7"/>
        <v>4.3368181818181819</v>
      </c>
      <c r="G108" s="664">
        <f t="array" ref="G108">IFERROR(SUMPRODUCT(('Facturación 2026'!$A$4:$A$253=A108)*'Facturación 2026'!$J$4:$J$253)*E108/SUMPRODUCT(('Facturación 2026'!$A$4:$A$253=A108)*'Facturación 2026'!$F$4:$F$253),0)</f>
        <v>22.441963931890669</v>
      </c>
      <c r="H108" s="665">
        <f t="shared" si="10"/>
        <v>72.968036068109328</v>
      </c>
      <c r="I108" s="666">
        <f t="shared" si="9"/>
        <v>0.2352160563032247</v>
      </c>
      <c r="J108" s="74" t="str">
        <f>IFERROR(INDEX('Facturación 2026'!$L$4:$L$253,MATCH(A108,'Facturación 2026'!$A$4:$A$253,0)),"")</f>
        <v>Carnaval</v>
      </c>
    </row>
    <row r="109" spans="1:10" ht="18" customHeight="1">
      <c r="A109" s="669">
        <v>46075</v>
      </c>
      <c r="B109" s="670" t="s">
        <v>504</v>
      </c>
      <c r="C109" s="671" t="s">
        <v>494</v>
      </c>
      <c r="D109" s="663">
        <f t="array" ref="D109">IF(A109="","",SUMPRODUCT(('Detalle Turnos'!$Q$3:$Q$500=$A109)*('Detalle Turnos'!$S$3:$S$500=C109)*'Detalle Turnos'!$T$3:$T$500))</f>
        <v>88</v>
      </c>
      <c r="E109" s="664">
        <f t="array" ref="E109">IF(A109="","",SUMPRODUCT(('Detalle Turnos'!$Q$3:$Q$500=$A109)*('Detalle Turnos'!$S$3:$S$500=C109)*'Detalle Turnos'!$U$3:$U$500))</f>
        <v>1369.55</v>
      </c>
      <c r="F109" s="664">
        <f t="shared" si="7"/>
        <v>15.563068181818181</v>
      </c>
      <c r="G109" s="664">
        <f t="array" ref="G109">IFERROR(SUMPRODUCT(('Facturación 2026'!$A$4:$A$253=A109)*'Facturación 2026'!$J$4:$J$253)*E109/SUMPRODUCT(('Facturación 2026'!$A$4:$A$253=A109)*'Facturación 2026'!$F$4:$F$253),0)</f>
        <v>322.14014991008139</v>
      </c>
      <c r="H109" s="665">
        <f t="shared" si="10"/>
        <v>1047.4098500899186</v>
      </c>
      <c r="I109" s="666">
        <f t="shared" si="9"/>
        <v>0.2352160563032247</v>
      </c>
      <c r="J109" s="74" t="str">
        <f>IFERROR(INDEX('Facturación 2026'!$L$4:$L$253,MATCH(A109,'Facturación 2026'!$A$4:$A$253,0)),"")</f>
        <v>Carnaval</v>
      </c>
    </row>
    <row r="110" spans="1:10" ht="18" customHeight="1">
      <c r="A110" s="669">
        <v>46092</v>
      </c>
      <c r="B110" s="670" t="s">
        <v>505</v>
      </c>
      <c r="C110" s="673" t="s">
        <v>146</v>
      </c>
      <c r="D110" s="663">
        <f t="array" ref="D110">IF(A110="","",SUMPRODUCT(('Detalle Turnos'!$Q$3:$Q$500=$A110)*('Detalle Turnos'!$S$3:$S$500=C110)*'Detalle Turnos'!$T$3:$T$500))</f>
        <v>8</v>
      </c>
      <c r="E110" s="664">
        <f t="array" ref="E110">IF(A110="","",SUMPRODUCT(('Detalle Turnos'!$Q$3:$Q$500=$A110)*('Detalle Turnos'!$S$3:$S$500=C110)*'Detalle Turnos'!$U$3:$U$500))</f>
        <v>35.270000000000003</v>
      </c>
      <c r="F110" s="664">
        <f t="shared" si="7"/>
        <v>4.4087500000000004</v>
      </c>
      <c r="G110" s="664">
        <f t="array" ref="G110">IFERROR(SUMPRODUCT(('Facturación 2026'!$A$4:$A$253=A110)*'Facturación 2026'!$J$4:$J$253)*E110/SUMPRODUCT(('Facturación 2026'!$A$4:$A$253=A110)*'Facturación 2026'!$F$4:$F$253),0)</f>
        <v>26.01720414406898</v>
      </c>
      <c r="H110" s="665">
        <f t="shared" si="10"/>
        <v>9.2527958559310228</v>
      </c>
      <c r="I110" s="666">
        <f t="shared" si="9"/>
        <v>0.73765818384091231</v>
      </c>
      <c r="J110" s="74" t="str">
        <f>IFERROR(INDEX('Facturación 2026'!$L$4:$L$253,MATCH(A110,'Facturación 2026'!$A$4:$A$253,0)),"")</f>
        <v/>
      </c>
    </row>
    <row r="111" spans="1:10" ht="18" customHeight="1">
      <c r="A111" s="669">
        <v>46092</v>
      </c>
      <c r="B111" s="670" t="s">
        <v>505</v>
      </c>
      <c r="C111" s="671" t="s">
        <v>494</v>
      </c>
      <c r="D111" s="663">
        <f t="array" ref="D111">IF(A111="","",SUMPRODUCT(('Detalle Turnos'!$Q$3:$Q$500=$A111)*('Detalle Turnos'!$S$3:$S$500=C111)*'Detalle Turnos'!$T$3:$T$500))</f>
        <v>17</v>
      </c>
      <c r="E111" s="664">
        <f t="array" ref="E111">IF(A111="","",SUMPRODUCT(('Detalle Turnos'!$Q$3:$Q$500=$A111)*('Detalle Turnos'!$S$3:$S$500=C111)*'Detalle Turnos'!$U$3:$U$500))</f>
        <v>178.23</v>
      </c>
      <c r="F111" s="664">
        <f t="shared" si="7"/>
        <v>10.484117647058824</v>
      </c>
      <c r="G111" s="664">
        <f t="array" ref="G111">IFERROR(SUMPRODUCT(('Facturación 2026'!$A$4:$A$253=A111)*'Facturación 2026'!$J$4:$J$253)*E111/SUMPRODUCT(('Facturación 2026'!$A$4:$A$253=A111)*'Facturación 2026'!$F$4:$F$253),0)</f>
        <v>131.47281810596579</v>
      </c>
      <c r="H111" s="665">
        <f t="shared" si="10"/>
        <v>46.757181894034204</v>
      </c>
      <c r="I111" s="666">
        <f t="shared" si="9"/>
        <v>0.73765818384091231</v>
      </c>
      <c r="J111" s="74" t="str">
        <f>IFERROR(INDEX('Facturación 2026'!$L$4:$L$253,MATCH(A111,'Facturación 2026'!$A$4:$A$253,0)),"")</f>
        <v/>
      </c>
    </row>
    <row r="112" spans="1:10" ht="18" customHeight="1">
      <c r="A112" s="669">
        <v>46092</v>
      </c>
      <c r="B112" s="670" t="s">
        <v>505</v>
      </c>
      <c r="C112" s="672" t="s">
        <v>497</v>
      </c>
      <c r="D112" s="663">
        <f t="array" ref="D112">IF(A112="","",SUMPRODUCT(('Detalle Turnos'!$Q$3:$Q$500=$A112)*('Detalle Turnos'!$S$3:$S$500=C112)*'Detalle Turnos'!$T$3:$T$500))</f>
        <v>12</v>
      </c>
      <c r="E112" s="664">
        <f t="array" ref="E112">IF(A112="","",SUMPRODUCT(('Detalle Turnos'!$Q$3:$Q$500=$A112)*('Detalle Turnos'!$S$3:$S$500=C112)*'Detalle Turnos'!$U$3:$U$500))</f>
        <v>92.18</v>
      </c>
      <c r="F112" s="664">
        <f t="shared" si="7"/>
        <v>7.6816666666666675</v>
      </c>
      <c r="G112" s="664">
        <f t="array" ref="G112">IFERROR(SUMPRODUCT(('Facturación 2026'!$A$4:$A$253=A112)*'Facturación 2026'!$J$4:$J$253)*E112/SUMPRODUCT(('Facturación 2026'!$A$4:$A$253=A112)*'Facturación 2026'!$F$4:$F$253),0)</f>
        <v>67.997331386455301</v>
      </c>
      <c r="H112" s="665">
        <f t="shared" si="10"/>
        <v>24.182668613544706</v>
      </c>
      <c r="I112" s="666">
        <f t="shared" si="9"/>
        <v>0.73765818384091231</v>
      </c>
      <c r="J112" s="74" t="str">
        <f>IFERROR(INDEX('Facturación 2026'!$L$4:$L$253,MATCH(A112,'Facturación 2026'!$A$4:$A$253,0)),"")</f>
        <v/>
      </c>
    </row>
    <row r="113" spans="1:10" ht="18" customHeight="1">
      <c r="A113" s="669">
        <v>46093</v>
      </c>
      <c r="B113" s="670" t="s">
        <v>506</v>
      </c>
      <c r="C113" s="673" t="s">
        <v>146</v>
      </c>
      <c r="D113" s="663">
        <f t="array" ref="D113">IF(A113="","",SUMPRODUCT(('Detalle Turnos'!$Q$3:$Q$500=$A113)*('Detalle Turnos'!$S$3:$S$500=C113)*'Detalle Turnos'!$T$3:$T$500))</f>
        <v>12</v>
      </c>
      <c r="E113" s="664">
        <f t="array" ref="E113">IF(A113="","",SUMPRODUCT(('Detalle Turnos'!$Q$3:$Q$500=$A113)*('Detalle Turnos'!$S$3:$S$500=C113)*'Detalle Turnos'!$U$3:$U$500))</f>
        <v>24.96</v>
      </c>
      <c r="F113" s="664">
        <f t="shared" si="7"/>
        <v>2.08</v>
      </c>
      <c r="G113" s="664">
        <f t="array" ref="G113">IFERROR(SUMPRODUCT(('Facturación 2026'!$A$4:$A$253=A113)*'Facturación 2026'!$J$4:$J$253)*E113/SUMPRODUCT(('Facturación 2026'!$A$4:$A$253=A113)*'Facturación 2026'!$F$4:$F$253),0)</f>
        <v>20.373722568409647</v>
      </c>
      <c r="H113" s="665">
        <f t="shared" si="10"/>
        <v>4.5862774315903536</v>
      </c>
      <c r="I113" s="666">
        <f t="shared" si="9"/>
        <v>0.81625491059333521</v>
      </c>
      <c r="J113" s="74" t="str">
        <f>IFERROR(INDEX('Facturación 2026'!$L$4:$L$253,MATCH(A113,'Facturación 2026'!$A$4:$A$253,0)),"")</f>
        <v/>
      </c>
    </row>
    <row r="114" spans="1:10" ht="18" customHeight="1">
      <c r="A114" s="669">
        <v>46093</v>
      </c>
      <c r="B114" s="670" t="s">
        <v>506</v>
      </c>
      <c r="C114" s="671" t="s">
        <v>494</v>
      </c>
      <c r="D114" s="663">
        <f t="array" ref="D114">IF(A114="","",SUMPRODUCT(('Detalle Turnos'!$Q$3:$Q$500=$A114)*('Detalle Turnos'!$S$3:$S$500=C114)*'Detalle Turnos'!$T$3:$T$500))</f>
        <v>26</v>
      </c>
      <c r="E114" s="664">
        <f t="array" ref="E114">IF(A114="","",SUMPRODUCT(('Detalle Turnos'!$Q$3:$Q$500=$A114)*('Detalle Turnos'!$S$3:$S$500=C114)*'Detalle Turnos'!$U$3:$U$500))</f>
        <v>283</v>
      </c>
      <c r="F114" s="664">
        <f t="shared" si="7"/>
        <v>10.884615384615385</v>
      </c>
      <c r="G114" s="664">
        <f t="array" ref="G114">IFERROR(SUMPRODUCT(('Facturación 2026'!$A$4:$A$253=A114)*'Facturación 2026'!$J$4:$J$253)*E114/SUMPRODUCT(('Facturación 2026'!$A$4:$A$253=A114)*'Facturación 2026'!$F$4:$F$253),0)</f>
        <v>231.00013969791382</v>
      </c>
      <c r="H114" s="665">
        <f t="shared" si="10"/>
        <v>51.999860302086176</v>
      </c>
      <c r="I114" s="666">
        <f t="shared" si="9"/>
        <v>0.8162549105933351</v>
      </c>
      <c r="J114" s="74" t="str">
        <f>IFERROR(INDEX('Facturación 2026'!$L$4:$L$253,MATCH(A114,'Facturación 2026'!$A$4:$A$253,0)),"")</f>
        <v/>
      </c>
    </row>
    <row r="115" spans="1:10" ht="18" customHeight="1">
      <c r="A115" s="669">
        <v>46093</v>
      </c>
      <c r="B115" s="670" t="s">
        <v>506</v>
      </c>
      <c r="C115" s="672" t="s">
        <v>497</v>
      </c>
      <c r="D115" s="663">
        <f t="array" ref="D115">IF(A115="","",SUMPRODUCT(('Detalle Turnos'!$Q$3:$Q$500=$A115)*('Detalle Turnos'!$S$3:$S$500=C115)*'Detalle Turnos'!$T$3:$T$500))</f>
        <v>10</v>
      </c>
      <c r="E115" s="664">
        <f t="array" ref="E115">IF(A115="","",SUMPRODUCT(('Detalle Turnos'!$Q$3:$Q$500=$A115)*('Detalle Turnos'!$S$3:$S$500=C115)*'Detalle Turnos'!$U$3:$U$500))</f>
        <v>169.55</v>
      </c>
      <c r="F115" s="664">
        <f t="shared" si="7"/>
        <v>16.955000000000002</v>
      </c>
      <c r="G115" s="664">
        <f t="array" ref="G115">IFERROR(SUMPRODUCT(('Facturación 2026'!$A$4:$A$253=A115)*'Facturación 2026'!$J$4:$J$253)*E115/SUMPRODUCT(('Facturación 2026'!$A$4:$A$253=A115)*'Facturación 2026'!$F$4:$F$253),0)</f>
        <v>138.39602009109998</v>
      </c>
      <c r="H115" s="665">
        <f t="shared" si="10"/>
        <v>31.153979908900027</v>
      </c>
      <c r="I115" s="666">
        <f t="shared" si="9"/>
        <v>0.8162549105933351</v>
      </c>
      <c r="J115" s="74" t="str">
        <f>IFERROR(INDEX('Facturación 2026'!$L$4:$L$253,MATCH(A115,'Facturación 2026'!$A$4:$A$253,0)),"")</f>
        <v/>
      </c>
    </row>
    <row r="116" spans="1:10" ht="18" customHeight="1">
      <c r="A116" s="669">
        <v>46094</v>
      </c>
      <c r="B116" s="670" t="s">
        <v>502</v>
      </c>
      <c r="C116" s="673" t="s">
        <v>146</v>
      </c>
      <c r="D116" s="663">
        <f t="array" ref="D116">IF(A116="","",SUMPRODUCT(('Detalle Turnos'!$Q$3:$Q$500=$A116)*('Detalle Turnos'!$S$3:$S$500=C116)*'Detalle Turnos'!$T$3:$T$500))</f>
        <v>8</v>
      </c>
      <c r="E116" s="664">
        <f t="array" ref="E116">IF(A116="","",SUMPRODUCT(('Detalle Turnos'!$Q$3:$Q$500=$A116)*('Detalle Turnos'!$S$3:$S$500=C116)*'Detalle Turnos'!$U$3:$U$500))</f>
        <v>26.68</v>
      </c>
      <c r="F116" s="664">
        <f t="shared" si="7"/>
        <v>3.335</v>
      </c>
      <c r="G116" s="664">
        <f t="array" ref="G116">IFERROR(SUMPRODUCT(('Facturación 2026'!$A$4:$A$253=A116)*'Facturación 2026'!$J$4:$J$253)*E116/SUMPRODUCT(('Facturación 2026'!$A$4:$A$253=A116)*'Facturación 2026'!$F$4:$F$253),0)</f>
        <v>11.233364669729918</v>
      </c>
      <c r="H116" s="665">
        <f t="shared" si="10"/>
        <v>15.446635330270082</v>
      </c>
      <c r="I116" s="666">
        <f t="shared" si="9"/>
        <v>0.42104065478747815</v>
      </c>
      <c r="J116" s="74" t="str">
        <f>IFERROR(INDEX('Facturación 2026'!$L$4:$L$253,MATCH(A116,'Facturación 2026'!$A$4:$A$253,0)),"")</f>
        <v/>
      </c>
    </row>
    <row r="117" spans="1:10" ht="18" customHeight="1">
      <c r="A117" s="669">
        <v>46094</v>
      </c>
      <c r="B117" s="670" t="s">
        <v>502</v>
      </c>
      <c r="C117" s="671" t="s">
        <v>494</v>
      </c>
      <c r="D117" s="663">
        <f t="array" ref="D117">IF(A117="","",SUMPRODUCT(('Detalle Turnos'!$Q$3:$Q$500=$A117)*('Detalle Turnos'!$S$3:$S$500=C117)*'Detalle Turnos'!$T$3:$T$500))</f>
        <v>18</v>
      </c>
      <c r="E117" s="664">
        <f t="array" ref="E117">IF(A117="","",SUMPRODUCT(('Detalle Turnos'!$Q$3:$Q$500=$A117)*('Detalle Turnos'!$S$3:$S$500=C117)*'Detalle Turnos'!$U$3:$U$500))</f>
        <v>328.64</v>
      </c>
      <c r="F117" s="664">
        <f t="shared" si="7"/>
        <v>18.257777777777775</v>
      </c>
      <c r="G117" s="664">
        <f t="array" ref="G117">IFERROR(SUMPRODUCT(('Facturación 2026'!$A$4:$A$253=A117)*'Facturación 2026'!$J$4:$J$253)*E117/SUMPRODUCT(('Facturación 2026'!$A$4:$A$253=A117)*'Facturación 2026'!$F$4:$F$253),0)</f>
        <v>138.37080078935679</v>
      </c>
      <c r="H117" s="665">
        <f t="shared" si="10"/>
        <v>190.26919921064319</v>
      </c>
      <c r="I117" s="666">
        <f t="shared" si="9"/>
        <v>0.4210406547874781</v>
      </c>
      <c r="J117" s="74" t="str">
        <f>IFERROR(INDEX('Facturación 2026'!$L$4:$L$253,MATCH(A117,'Facturación 2026'!$A$4:$A$253,0)),"")</f>
        <v/>
      </c>
    </row>
    <row r="118" spans="1:10" ht="18" customHeight="1">
      <c r="A118" s="669">
        <v>46094</v>
      </c>
      <c r="B118" s="670" t="s">
        <v>502</v>
      </c>
      <c r="C118" s="672" t="s">
        <v>497</v>
      </c>
      <c r="D118" s="663">
        <f t="array" ref="D118">IF(A118="","",SUMPRODUCT(('Detalle Turnos'!$Q$3:$Q$500=$A118)*('Detalle Turnos'!$S$3:$S$500=C118)*'Detalle Turnos'!$T$3:$T$500))</f>
        <v>59</v>
      </c>
      <c r="E118" s="664">
        <f t="array" ref="E118">IF(A118="","",SUMPRODUCT(('Detalle Turnos'!$Q$3:$Q$500=$A118)*('Detalle Turnos'!$S$3:$S$500=C118)*'Detalle Turnos'!$U$3:$U$500))</f>
        <v>842.55</v>
      </c>
      <c r="F118" s="664">
        <f t="shared" si="7"/>
        <v>14.280508474576271</v>
      </c>
      <c r="G118" s="664">
        <f t="array" ref="G118">IFERROR(SUMPRODUCT(('Facturación 2026'!$A$4:$A$253=A118)*'Facturación 2026'!$J$4:$J$253)*E118/SUMPRODUCT(('Facturación 2026'!$A$4:$A$253=A118)*'Facturación 2026'!$F$4:$F$253),0)</f>
        <v>354.74780369118969</v>
      </c>
      <c r="H118" s="665">
        <f t="shared" si="10"/>
        <v>487.80219630881027</v>
      </c>
      <c r="I118" s="666">
        <f t="shared" si="9"/>
        <v>0.42104065478747815</v>
      </c>
      <c r="J118" s="74" t="str">
        <f>IFERROR(INDEX('Facturación 2026'!$L$4:$L$253,MATCH(A118,'Facturación 2026'!$A$4:$A$253,0)),"")</f>
        <v/>
      </c>
    </row>
    <row r="119" spans="1:10" ht="18" customHeight="1">
      <c r="A119" s="669">
        <v>46095</v>
      </c>
      <c r="B119" s="670" t="s">
        <v>503</v>
      </c>
      <c r="C119" s="673" t="s">
        <v>146</v>
      </c>
      <c r="D119" s="663">
        <f t="array" ref="D119">IF(A119="","",SUMPRODUCT(('Detalle Turnos'!$Q$3:$Q$500=$A119)*('Detalle Turnos'!$S$3:$S$500=C119)*'Detalle Turnos'!$T$3:$T$500))</f>
        <v>23</v>
      </c>
      <c r="E119" s="664">
        <f t="array" ref="E119">IF(A119="","",SUMPRODUCT(('Detalle Turnos'!$Q$3:$Q$500=$A119)*('Detalle Turnos'!$S$3:$S$500=C119)*'Detalle Turnos'!$U$3:$U$500))</f>
        <v>112.91</v>
      </c>
      <c r="F119" s="664">
        <f t="shared" si="7"/>
        <v>4.9091304347826084</v>
      </c>
      <c r="G119" s="664">
        <f t="array" ref="G119">IFERROR(SUMPRODUCT(('Facturación 2026'!$A$4:$A$253=A119)*'Facturación 2026'!$J$4:$J$253)*E119/SUMPRODUCT(('Facturación 2026'!$A$4:$A$253=A119)*'Facturación 2026'!$F$4:$F$253),0)</f>
        <v>29.689582739960127</v>
      </c>
      <c r="H119" s="665">
        <f t="shared" si="10"/>
        <v>83.220417260039866</v>
      </c>
      <c r="I119" s="666">
        <f t="shared" si="9"/>
        <v>0.26294909875086464</v>
      </c>
      <c r="J119" s="74" t="str">
        <f>IFERROR(INDEX('Facturación 2026'!$L$4:$L$253,MATCH(A119,'Facturación 2026'!$A$4:$A$253,0)),"")</f>
        <v/>
      </c>
    </row>
    <row r="120" spans="1:10" ht="18" customHeight="1">
      <c r="A120" s="669">
        <v>46095</v>
      </c>
      <c r="B120" s="670" t="s">
        <v>503</v>
      </c>
      <c r="C120" s="671" t="s">
        <v>494</v>
      </c>
      <c r="D120" s="663">
        <f t="array" ref="D120">IF(A120="","",SUMPRODUCT(('Detalle Turnos'!$Q$3:$Q$500=$A120)*('Detalle Turnos'!$S$3:$S$500=C120)*'Detalle Turnos'!$T$3:$T$500))</f>
        <v>53</v>
      </c>
      <c r="E120" s="664">
        <f t="array" ref="E120">IF(A120="","",SUMPRODUCT(('Detalle Turnos'!$Q$3:$Q$500=$A120)*('Detalle Turnos'!$S$3:$S$500=C120)*'Detalle Turnos'!$U$3:$U$500))</f>
        <v>830.5</v>
      </c>
      <c r="F120" s="664">
        <f t="shared" si="7"/>
        <v>15.669811320754716</v>
      </c>
      <c r="G120" s="664">
        <f t="array" ref="G120">IFERROR(SUMPRODUCT(('Facturación 2026'!$A$4:$A$253=A120)*'Facturación 2026'!$J$4:$J$253)*E120/SUMPRODUCT(('Facturación 2026'!$A$4:$A$253=A120)*'Facturación 2026'!$F$4:$F$253),0)</f>
        <v>218.37922651259308</v>
      </c>
      <c r="H120" s="665">
        <f t="shared" si="10"/>
        <v>612.12077348740695</v>
      </c>
      <c r="I120" s="666">
        <f t="shared" si="9"/>
        <v>0.26294909875086464</v>
      </c>
      <c r="J120" s="74" t="str">
        <f>IFERROR(INDEX('Facturación 2026'!$L$4:$L$253,MATCH(A120,'Facturación 2026'!$A$4:$A$253,0)),"")</f>
        <v/>
      </c>
    </row>
    <row r="121" spans="1:10" ht="18" customHeight="1">
      <c r="A121" s="669">
        <v>46095</v>
      </c>
      <c r="B121" s="670" t="s">
        <v>503</v>
      </c>
      <c r="C121" s="672" t="s">
        <v>497</v>
      </c>
      <c r="D121" s="663">
        <f t="array" ref="D121">IF(A121="","",SUMPRODUCT(('Detalle Turnos'!$Q$3:$Q$500=$A121)*('Detalle Turnos'!$S$3:$S$500=C121)*'Detalle Turnos'!$T$3:$T$500))</f>
        <v>48</v>
      </c>
      <c r="E121" s="664">
        <f t="array" ref="E121">IF(A121="","",SUMPRODUCT(('Detalle Turnos'!$Q$3:$Q$500=$A121)*('Detalle Turnos'!$S$3:$S$500=C121)*'Detalle Turnos'!$U$3:$U$500))</f>
        <v>887.77</v>
      </c>
      <c r="F121" s="664">
        <f t="shared" si="7"/>
        <v>18.495208333333334</v>
      </c>
      <c r="G121" s="664">
        <f t="array" ref="G121">IFERROR(SUMPRODUCT(('Facturación 2026'!$A$4:$A$253=A121)*'Facturación 2026'!$J$4:$J$253)*E121/SUMPRODUCT(('Facturación 2026'!$A$4:$A$253=A121)*'Facturación 2026'!$F$4:$F$253),0)</f>
        <v>233.43832139805511</v>
      </c>
      <c r="H121" s="665">
        <f t="shared" si="10"/>
        <v>654.33167860194487</v>
      </c>
      <c r="I121" s="666">
        <f t="shared" si="9"/>
        <v>0.26294909875086464</v>
      </c>
      <c r="J121" s="74" t="str">
        <f>IFERROR(INDEX('Facturación 2026'!$L$4:$L$253,MATCH(A121,'Facturación 2026'!$A$4:$A$253,0)),"")</f>
        <v/>
      </c>
    </row>
    <row r="122" spans="1:10" ht="18" customHeight="1">
      <c r="A122" s="669">
        <v>46096</v>
      </c>
      <c r="B122" s="670" t="s">
        <v>504</v>
      </c>
      <c r="C122" s="673" t="s">
        <v>146</v>
      </c>
      <c r="D122" s="663">
        <f t="array" ref="D122">IF(A122="","",SUMPRODUCT(('Detalle Turnos'!$Q$3:$Q$500=$A122)*('Detalle Turnos'!$S$3:$S$500=C122)*'Detalle Turnos'!$T$3:$T$500))</f>
        <v>49</v>
      </c>
      <c r="E122" s="664">
        <f t="array" ref="E122">IF(A122="","",SUMPRODUCT(('Detalle Turnos'!$Q$3:$Q$500=$A122)*('Detalle Turnos'!$S$3:$S$500=C122)*'Detalle Turnos'!$U$3:$U$500))</f>
        <v>223.23</v>
      </c>
      <c r="F122" s="664">
        <f t="shared" si="7"/>
        <v>4.5557142857142852</v>
      </c>
      <c r="G122" s="664">
        <f t="array" ref="G122">IFERROR(SUMPRODUCT(('Facturación 2026'!$A$4:$A$253=A122)*'Facturación 2026'!$J$4:$J$253)*E122/SUMPRODUCT(('Facturación 2026'!$A$4:$A$253=A122)*'Facturación 2026'!$F$4:$F$253),0)</f>
        <v>41.262314279272388</v>
      </c>
      <c r="H122" s="665">
        <f t="shared" si="10"/>
        <v>181.96768572072762</v>
      </c>
      <c r="I122" s="666">
        <f t="shared" si="9"/>
        <v>0.18484215508342244</v>
      </c>
      <c r="J122" s="74" t="str">
        <f>IFERROR(INDEX('Facturación 2026'!$L$4:$L$253,MATCH(A122,'Facturación 2026'!$A$4:$A$253,0)),"")</f>
        <v>Mercado Olla</v>
      </c>
    </row>
    <row r="123" spans="1:10" ht="18" customHeight="1">
      <c r="A123" s="669">
        <v>46096</v>
      </c>
      <c r="B123" s="670" t="s">
        <v>504</v>
      </c>
      <c r="C123" s="671" t="s">
        <v>494</v>
      </c>
      <c r="D123" s="663">
        <f t="array" ref="D123">IF(A123="","",SUMPRODUCT(('Detalle Turnos'!$Q$3:$Q$500=$A123)*('Detalle Turnos'!$S$3:$S$500=C123)*'Detalle Turnos'!$T$3:$T$500))</f>
        <v>195</v>
      </c>
      <c r="E123" s="664">
        <f t="array" ref="E123">IF(A123="","",SUMPRODUCT(('Detalle Turnos'!$Q$3:$Q$500=$A123)*('Detalle Turnos'!$S$3:$S$500=C123)*'Detalle Turnos'!$U$3:$U$500))</f>
        <v>2308.0500000000002</v>
      </c>
      <c r="F123" s="664">
        <f t="shared" si="7"/>
        <v>11.836153846153847</v>
      </c>
      <c r="G123" s="664">
        <f t="array" ref="G123">IFERROR(SUMPRODUCT(('Facturación 2026'!$A$4:$A$253=A123)*'Facturación 2026'!$J$4:$J$253)*E123/SUMPRODUCT(('Facturación 2026'!$A$4:$A$253=A123)*'Facturación 2026'!$F$4:$F$253),0)</f>
        <v>426.62493604029322</v>
      </c>
      <c r="H123" s="665">
        <f t="shared" si="10"/>
        <v>1881.4250639597069</v>
      </c>
      <c r="I123" s="666">
        <f t="shared" si="9"/>
        <v>0.18484215508342244</v>
      </c>
      <c r="J123" s="74" t="str">
        <f>IFERROR(INDEX('Facturación 2026'!$L$4:$L$253,MATCH(A123,'Facturación 2026'!$A$4:$A$253,0)),"")</f>
        <v>Mercado Olla</v>
      </c>
    </row>
    <row r="124" spans="1:10" ht="18" customHeight="1">
      <c r="A124" s="669">
        <v>46099</v>
      </c>
      <c r="B124" s="670" t="s">
        <v>505</v>
      </c>
      <c r="C124" s="673" t="s">
        <v>146</v>
      </c>
      <c r="D124" s="663">
        <f t="array" ref="D124">IF(A124="","",SUMPRODUCT(('Detalle Turnos'!$Q$3:$Q$500=$A124)*('Detalle Turnos'!$S$3:$S$500=C124)*'Detalle Turnos'!$T$3:$T$500))</f>
        <v>22</v>
      </c>
      <c r="E124" s="664">
        <f t="array" ref="E124">IF(A124="","",SUMPRODUCT(('Detalle Turnos'!$Q$3:$Q$500=$A124)*('Detalle Turnos'!$S$3:$S$500=C124)*'Detalle Turnos'!$U$3:$U$500))</f>
        <v>90.14</v>
      </c>
      <c r="F124" s="664">
        <f t="shared" si="7"/>
        <v>4.0972727272727276</v>
      </c>
      <c r="G124" s="664">
        <f t="array" ref="G124">IFERROR(SUMPRODUCT(('Facturación 2026'!$A$4:$A$253=A124)*'Facturación 2026'!$J$4:$J$253)*E124/SUMPRODUCT(('Facturación 2026'!$A$4:$A$253=A124)*'Facturación 2026'!$F$4:$F$253),0)</f>
        <v>38.696988384648769</v>
      </c>
      <c r="H124" s="665">
        <f t="shared" si="10"/>
        <v>51.443011615351232</v>
      </c>
      <c r="I124" s="666">
        <f t="shared" si="9"/>
        <v>0.42929873956788073</v>
      </c>
      <c r="J124" s="74" t="str">
        <f>IFERROR(INDEX('Facturación 2026'!$L$4:$L$253,MATCH(A124,'Facturación 2026'!$A$4:$A$253,0)),"")</f>
        <v/>
      </c>
    </row>
    <row r="125" spans="1:10" ht="18" customHeight="1">
      <c r="A125" s="669">
        <v>46099</v>
      </c>
      <c r="B125" s="670" t="s">
        <v>505</v>
      </c>
      <c r="C125" s="671" t="s">
        <v>494</v>
      </c>
      <c r="D125" s="663">
        <f t="array" ref="D125">IF(A125="","",SUMPRODUCT(('Detalle Turnos'!$Q$3:$Q$500=$A125)*('Detalle Turnos'!$S$3:$S$500=C125)*'Detalle Turnos'!$T$3:$T$500))</f>
        <v>29</v>
      </c>
      <c r="E125" s="664">
        <f t="array" ref="E125">IF(A125="","",SUMPRODUCT(('Detalle Turnos'!$Q$3:$Q$500=$A125)*('Detalle Turnos'!$S$3:$S$500=C125)*'Detalle Turnos'!$U$3:$U$500))</f>
        <v>511.55</v>
      </c>
      <c r="F125" s="664">
        <f t="shared" si="7"/>
        <v>17.639655172413793</v>
      </c>
      <c r="G125" s="664">
        <f t="array" ref="G125">IFERROR(SUMPRODUCT(('Facturación 2026'!$A$4:$A$253=A125)*'Facturación 2026'!$J$4:$J$253)*E125/SUMPRODUCT(('Facturación 2026'!$A$4:$A$253=A125)*'Facturación 2026'!$F$4:$F$253),0)</f>
        <v>219.60777022594937</v>
      </c>
      <c r="H125" s="665">
        <f t="shared" si="10"/>
        <v>291.94222977405065</v>
      </c>
      <c r="I125" s="666">
        <f t="shared" si="9"/>
        <v>0.42929873956788067</v>
      </c>
      <c r="J125" s="74" t="str">
        <f>IFERROR(INDEX('Facturación 2026'!$L$4:$L$253,MATCH(A125,'Facturación 2026'!$A$4:$A$253,0)),"")</f>
        <v/>
      </c>
    </row>
    <row r="126" spans="1:10" ht="18" customHeight="1">
      <c r="A126" s="669">
        <v>46099</v>
      </c>
      <c r="B126" s="670" t="s">
        <v>505</v>
      </c>
      <c r="C126" s="672" t="s">
        <v>497</v>
      </c>
      <c r="D126" s="663">
        <f t="array" ref="D126">IF(A126="","",SUMPRODUCT(('Detalle Turnos'!$Q$3:$Q$500=$A126)*('Detalle Turnos'!$S$3:$S$500=C126)*'Detalle Turnos'!$T$3:$T$500))</f>
        <v>7</v>
      </c>
      <c r="E126" s="664">
        <f t="array" ref="E126">IF(A126="","",SUMPRODUCT(('Detalle Turnos'!$Q$3:$Q$500=$A126)*('Detalle Turnos'!$S$3:$S$500=C126)*'Detalle Turnos'!$U$3:$U$500))</f>
        <v>108.14</v>
      </c>
      <c r="F126" s="664">
        <f t="shared" si="7"/>
        <v>15.448571428571428</v>
      </c>
      <c r="G126" s="664">
        <f t="array" ref="G126">IFERROR(SUMPRODUCT(('Facturación 2026'!$A$4:$A$253=A126)*'Facturación 2026'!$J$4:$J$253)*E126/SUMPRODUCT(('Facturación 2026'!$A$4:$A$253=A126)*'Facturación 2026'!$F$4:$F$253),0)</f>
        <v>46.424365696870623</v>
      </c>
      <c r="H126" s="665">
        <f t="shared" si="10"/>
        <v>61.715634303129377</v>
      </c>
      <c r="I126" s="666">
        <f t="shared" si="9"/>
        <v>0.42929873956788073</v>
      </c>
      <c r="J126" s="74" t="str">
        <f>IFERROR(INDEX('Facturación 2026'!$L$4:$L$253,MATCH(A126,'Facturación 2026'!$A$4:$A$253,0)),"")</f>
        <v/>
      </c>
    </row>
    <row r="127" spans="1:10" ht="18" customHeight="1">
      <c r="A127" s="669">
        <v>46100</v>
      </c>
      <c r="B127" s="670" t="s">
        <v>506</v>
      </c>
      <c r="C127" s="673" t="s">
        <v>146</v>
      </c>
      <c r="D127" s="663">
        <f t="array" ref="D127">IF(A127="","",SUMPRODUCT(('Detalle Turnos'!$Q$3:$Q$500=$A127)*('Detalle Turnos'!$S$3:$S$500=C127)*'Detalle Turnos'!$T$3:$T$500))</f>
        <v>8</v>
      </c>
      <c r="E127" s="664">
        <f t="array" ref="E127">IF(A127="","",SUMPRODUCT(('Detalle Turnos'!$Q$3:$Q$500=$A127)*('Detalle Turnos'!$S$3:$S$500=C127)*'Detalle Turnos'!$U$3:$U$500))</f>
        <v>21.09</v>
      </c>
      <c r="F127" s="664">
        <f t="shared" si="7"/>
        <v>2.63625</v>
      </c>
      <c r="G127" s="664">
        <f t="array" ref="G127">IFERROR(SUMPRODUCT(('Facturación 2026'!$A$4:$A$253=A127)*'Facturación 2026'!$J$4:$J$253)*E127/SUMPRODUCT(('Facturación 2026'!$A$4:$A$253=A127)*'Facturación 2026'!$F$4:$F$253),0)</f>
        <v>13.413371856202339</v>
      </c>
      <c r="H127" s="665">
        <f t="shared" si="10"/>
        <v>7.6766281437976609</v>
      </c>
      <c r="I127" s="666">
        <f t="shared" si="9"/>
        <v>0.63600625207218298</v>
      </c>
      <c r="J127" s="74" t="str">
        <f>IFERROR(INDEX('Facturación 2026'!$L$4:$L$253,MATCH(A127,'Facturación 2026'!$A$4:$A$253,0)),"")</f>
        <v/>
      </c>
    </row>
    <row r="128" spans="1:10" ht="18" customHeight="1">
      <c r="A128" s="669">
        <v>46100</v>
      </c>
      <c r="B128" s="670" t="s">
        <v>506</v>
      </c>
      <c r="C128" s="671" t="s">
        <v>494</v>
      </c>
      <c r="D128" s="663">
        <f t="array" ref="D128">IF(A128="","",SUMPRODUCT(('Detalle Turnos'!$Q$3:$Q$500=$A128)*('Detalle Turnos'!$S$3:$S$500=C128)*'Detalle Turnos'!$T$3:$T$500))</f>
        <v>19</v>
      </c>
      <c r="E128" s="664">
        <f t="array" ref="E128">IF(A128="","",SUMPRODUCT(('Detalle Turnos'!$Q$3:$Q$500=$A128)*('Detalle Turnos'!$S$3:$S$500=C128)*'Detalle Turnos'!$U$3:$U$500))</f>
        <v>180.77</v>
      </c>
      <c r="F128" s="664">
        <f t="shared" si="7"/>
        <v>9.5142105263157895</v>
      </c>
      <c r="G128" s="664">
        <f t="array" ref="G128">IFERROR(SUMPRODUCT(('Facturación 2026'!$A$4:$A$253=A128)*'Facturación 2026'!$J$4:$J$253)*E128/SUMPRODUCT(('Facturación 2026'!$A$4:$A$253=A128)*'Facturación 2026'!$F$4:$F$253),0)</f>
        <v>114.97085018708852</v>
      </c>
      <c r="H128" s="665">
        <f t="shared" si="10"/>
        <v>65.799149812911494</v>
      </c>
      <c r="I128" s="666">
        <f t="shared" si="9"/>
        <v>0.63600625207218298</v>
      </c>
      <c r="J128" s="74" t="str">
        <f>IFERROR(INDEX('Facturación 2026'!$L$4:$L$253,MATCH(A128,'Facturación 2026'!$A$4:$A$253,0)),"")</f>
        <v/>
      </c>
    </row>
    <row r="129" spans="1:10" ht="18" customHeight="1">
      <c r="A129" s="669">
        <v>46100</v>
      </c>
      <c r="B129" s="670" t="s">
        <v>506</v>
      </c>
      <c r="C129" s="672" t="s">
        <v>497</v>
      </c>
      <c r="D129" s="663">
        <f t="array" ref="D129">IF(A129="","",SUMPRODUCT(('Detalle Turnos'!$Q$3:$Q$500=$A129)*('Detalle Turnos'!$S$3:$S$500=C129)*'Detalle Turnos'!$T$3:$T$500))</f>
        <v>15</v>
      </c>
      <c r="E129" s="664">
        <f t="array" ref="E129">IF(A129="","",SUMPRODUCT(('Detalle Turnos'!$Q$3:$Q$500=$A129)*('Detalle Turnos'!$S$3:$S$500=C129)*'Detalle Turnos'!$U$3:$U$500))</f>
        <v>268.18</v>
      </c>
      <c r="F129" s="664">
        <f t="shared" si="7"/>
        <v>17.878666666666668</v>
      </c>
      <c r="G129" s="664">
        <f t="array" ref="G129">IFERROR(SUMPRODUCT(('Facturación 2026'!$A$4:$A$253=A129)*'Facturación 2026'!$J$4:$J$253)*E129/SUMPRODUCT(('Facturación 2026'!$A$4:$A$253=A129)*'Facturación 2026'!$F$4:$F$253),0)</f>
        <v>170.56415668071801</v>
      </c>
      <c r="H129" s="665">
        <f t="shared" si="10"/>
        <v>97.615843319281993</v>
      </c>
      <c r="I129" s="666">
        <f t="shared" si="9"/>
        <v>0.63600625207218286</v>
      </c>
      <c r="J129" s="74" t="str">
        <f>IFERROR(INDEX('Facturación 2026'!$L$4:$L$253,MATCH(A129,'Facturación 2026'!$A$4:$A$253,0)),"")</f>
        <v/>
      </c>
    </row>
    <row r="130" spans="1:10" ht="18" customHeight="1">
      <c r="A130" s="669">
        <v>46101</v>
      </c>
      <c r="B130" s="670" t="s">
        <v>502</v>
      </c>
      <c r="C130" s="673" t="s">
        <v>146</v>
      </c>
      <c r="D130" s="663">
        <f t="array" ref="D130">IF(A130="","",SUMPRODUCT(('Detalle Turnos'!$Q$3:$Q$500=$A130)*('Detalle Turnos'!$S$3:$S$500=C130)*'Detalle Turnos'!$T$3:$T$500))</f>
        <v>10</v>
      </c>
      <c r="E130" s="664">
        <f t="array" ref="E130">IF(A130="","",SUMPRODUCT(('Detalle Turnos'!$Q$3:$Q$500=$A130)*('Detalle Turnos'!$S$3:$S$500=C130)*'Detalle Turnos'!$U$3:$U$500))</f>
        <v>37.46</v>
      </c>
      <c r="F130" s="664">
        <f t="shared" si="7"/>
        <v>3.746</v>
      </c>
      <c r="G130" s="664">
        <f t="array" ref="G130">IFERROR(SUMPRODUCT(('Facturación 2026'!$A$4:$A$253=A130)*'Facturación 2026'!$J$4:$J$253)*E130/SUMPRODUCT(('Facturación 2026'!$A$4:$A$253=A130)*'Facturación 2026'!$F$4:$F$253),0)</f>
        <v>11.773289879857259</v>
      </c>
      <c r="H130" s="665">
        <f t="shared" si="10"/>
        <v>25.686710120142742</v>
      </c>
      <c r="I130" s="666">
        <f t="shared" si="9"/>
        <v>0.31428963907787666</v>
      </c>
      <c r="J130" s="74" t="str">
        <f>IFERROR(INDEX('Facturación 2026'!$L$4:$L$253,MATCH(A130,'Facturación 2026'!$A$4:$A$253,0)),"")</f>
        <v/>
      </c>
    </row>
    <row r="131" spans="1:10" ht="18" customHeight="1">
      <c r="A131" s="669">
        <v>46101</v>
      </c>
      <c r="B131" s="670" t="s">
        <v>502</v>
      </c>
      <c r="C131" s="671" t="s">
        <v>494</v>
      </c>
      <c r="D131" s="663">
        <f t="array" ref="D131">IF(A131="","",SUMPRODUCT(('Detalle Turnos'!$Q$3:$Q$500=$A131)*('Detalle Turnos'!$S$3:$S$500=C131)*'Detalle Turnos'!$T$3:$T$500))</f>
        <v>21</v>
      </c>
      <c r="E131" s="664">
        <f t="array" ref="E131">IF(A131="","",SUMPRODUCT(('Detalle Turnos'!$Q$3:$Q$500=$A131)*('Detalle Turnos'!$S$3:$S$500=C131)*'Detalle Turnos'!$U$3:$U$500))</f>
        <v>318.14</v>
      </c>
      <c r="F131" s="664">
        <f t="shared" si="7"/>
        <v>15.149523809523808</v>
      </c>
      <c r="G131" s="664">
        <f t="array" ref="G131">IFERROR(SUMPRODUCT(('Facturación 2026'!$A$4:$A$253=A131)*'Facturación 2026'!$J$4:$J$253)*E131/SUMPRODUCT(('Facturación 2026'!$A$4:$A$253=A131)*'Facturación 2026'!$F$4:$F$253),0)</f>
        <v>99.98810577623567</v>
      </c>
      <c r="H131" s="665">
        <f t="shared" si="10"/>
        <v>218.15189422376432</v>
      </c>
      <c r="I131" s="666">
        <f t="shared" si="9"/>
        <v>0.31428963907787666</v>
      </c>
      <c r="J131" s="74" t="str">
        <f>IFERROR(INDEX('Facturación 2026'!$L$4:$L$253,MATCH(A131,'Facturación 2026'!$A$4:$A$253,0)),"")</f>
        <v/>
      </c>
    </row>
    <row r="132" spans="1:10" ht="18" customHeight="1">
      <c r="A132" s="669">
        <v>46101</v>
      </c>
      <c r="B132" s="670" t="s">
        <v>502</v>
      </c>
      <c r="C132" s="672" t="s">
        <v>497</v>
      </c>
      <c r="D132" s="663">
        <f t="array" ref="D132">IF(A132="","",SUMPRODUCT(('Detalle Turnos'!$Q$3:$Q$500=$A132)*('Detalle Turnos'!$S$3:$S$500=C132)*'Detalle Turnos'!$T$3:$T$500))</f>
        <v>44</v>
      </c>
      <c r="E132" s="664">
        <f t="array" ref="E132">IF(A132="","",SUMPRODUCT(('Detalle Turnos'!$Q$3:$Q$500=$A132)*('Detalle Turnos'!$S$3:$S$500=C132)*'Detalle Turnos'!$U$3:$U$500))</f>
        <v>762.14</v>
      </c>
      <c r="F132" s="664">
        <f t="shared" ref="F132:F195" si="11">IFERROR(E132/D132,0)</f>
        <v>17.321363636363635</v>
      </c>
      <c r="G132" s="664">
        <f t="array" ref="G132">IFERROR(SUMPRODUCT(('Facturación 2026'!$A$4:$A$253=A132)*'Facturación 2026'!$J$4:$J$253)*E132/SUMPRODUCT(('Facturación 2026'!$A$4:$A$253=A132)*'Facturación 2026'!$F$4:$F$253),0)</f>
        <v>239.53270552681292</v>
      </c>
      <c r="H132" s="665">
        <f t="shared" ref="H132:H163" si="12">E132-G132</f>
        <v>522.60729447318704</v>
      </c>
      <c r="I132" s="666">
        <f t="shared" ref="I132:I195" si="13">IFERROR(G132/E132,0)</f>
        <v>0.31428963907787666</v>
      </c>
      <c r="J132" s="74" t="str">
        <f>IFERROR(INDEX('Facturación 2026'!$L$4:$L$253,MATCH(A132,'Facturación 2026'!$A$4:$A$253,0)),"")</f>
        <v/>
      </c>
    </row>
    <row r="133" spans="1:10" ht="18" customHeight="1">
      <c r="A133" s="669">
        <v>46102</v>
      </c>
      <c r="B133" s="670" t="s">
        <v>503</v>
      </c>
      <c r="C133" s="673" t="s">
        <v>146</v>
      </c>
      <c r="D133" s="663">
        <f t="array" ref="D133">IF(A133="","",SUMPRODUCT(('Detalle Turnos'!$Q$3:$Q$500=$A133)*('Detalle Turnos'!$S$3:$S$500=C133)*'Detalle Turnos'!$T$3:$T$500))</f>
        <v>19</v>
      </c>
      <c r="E133" s="664">
        <f t="array" ref="E133">IF(A133="","",SUMPRODUCT(('Detalle Turnos'!$Q$3:$Q$500=$A133)*('Detalle Turnos'!$S$3:$S$500=C133)*'Detalle Turnos'!$U$3:$U$500))</f>
        <v>84.41</v>
      </c>
      <c r="F133" s="664">
        <f t="shared" si="11"/>
        <v>4.4426315789473678</v>
      </c>
      <c r="G133" s="664">
        <f t="array" ref="G133">IFERROR(SUMPRODUCT(('Facturación 2026'!$A$4:$A$253=A133)*'Facturación 2026'!$J$4:$J$253)*E133/SUMPRODUCT(('Facturación 2026'!$A$4:$A$253=A133)*'Facturación 2026'!$F$4:$F$253),0)</f>
        <v>21.729481428600003</v>
      </c>
      <c r="H133" s="665">
        <f t="shared" si="12"/>
        <v>62.680518571399993</v>
      </c>
      <c r="I133" s="666">
        <f t="shared" si="13"/>
        <v>0.25742780984006641</v>
      </c>
      <c r="J133" s="74" t="str">
        <f>IFERROR(INDEX('Facturación 2026'!$L$4:$L$253,MATCH(A133,'Facturación 2026'!$A$4:$A$253,0)),"")</f>
        <v/>
      </c>
    </row>
    <row r="134" spans="1:10" ht="18" customHeight="1">
      <c r="A134" s="669">
        <v>46102</v>
      </c>
      <c r="B134" s="670" t="s">
        <v>503</v>
      </c>
      <c r="C134" s="671" t="s">
        <v>494</v>
      </c>
      <c r="D134" s="663">
        <f t="array" ref="D134">IF(A134="","",SUMPRODUCT(('Detalle Turnos'!$Q$3:$Q$500=$A134)*('Detalle Turnos'!$S$3:$S$500=C134)*'Detalle Turnos'!$T$3:$T$500))</f>
        <v>24</v>
      </c>
      <c r="E134" s="664">
        <f t="array" ref="E134">IF(A134="","",SUMPRODUCT(('Detalle Turnos'!$Q$3:$Q$500=$A134)*('Detalle Turnos'!$S$3:$S$500=C134)*'Detalle Turnos'!$U$3:$U$500))</f>
        <v>360.46</v>
      </c>
      <c r="F134" s="664">
        <f t="shared" si="11"/>
        <v>15.019166666666665</v>
      </c>
      <c r="G134" s="664">
        <f t="array" ref="G134">IFERROR(SUMPRODUCT(('Facturación 2026'!$A$4:$A$253=A134)*'Facturación 2026'!$J$4:$J$253)*E134/SUMPRODUCT(('Facturación 2026'!$A$4:$A$253=A134)*'Facturación 2026'!$F$4:$F$253),0)</f>
        <v>92.79242833495033</v>
      </c>
      <c r="H134" s="665">
        <f t="shared" si="12"/>
        <v>267.66757166504965</v>
      </c>
      <c r="I134" s="666">
        <f t="shared" si="13"/>
        <v>0.25742780984006641</v>
      </c>
      <c r="J134" s="74" t="str">
        <f>IFERROR(INDEX('Facturación 2026'!$L$4:$L$253,MATCH(A134,'Facturación 2026'!$A$4:$A$253,0)),"")</f>
        <v/>
      </c>
    </row>
    <row r="135" spans="1:10" ht="18" customHeight="1">
      <c r="A135" s="669">
        <v>46102</v>
      </c>
      <c r="B135" s="670" t="s">
        <v>503</v>
      </c>
      <c r="C135" s="672" t="s">
        <v>497</v>
      </c>
      <c r="D135" s="663">
        <f t="array" ref="D135">IF(A135="","",SUMPRODUCT(('Detalle Turnos'!$Q$3:$Q$500=$A135)*('Detalle Turnos'!$S$3:$S$500=C135)*'Detalle Turnos'!$T$3:$T$500))</f>
        <v>78</v>
      </c>
      <c r="E135" s="664">
        <f t="array" ref="E135">IF(A135="","",SUMPRODUCT(('Detalle Turnos'!$Q$3:$Q$500=$A135)*('Detalle Turnos'!$S$3:$S$500=C135)*'Detalle Turnos'!$U$3:$U$500))</f>
        <v>1212.96</v>
      </c>
      <c r="F135" s="664">
        <f t="shared" si="11"/>
        <v>15.550769230769232</v>
      </c>
      <c r="G135" s="664">
        <f t="array" ref="G135">IFERROR(SUMPRODUCT(('Facturación 2026'!$A$4:$A$253=A135)*'Facturación 2026'!$J$4:$J$253)*E135/SUMPRODUCT(('Facturación 2026'!$A$4:$A$253=A135)*'Facturación 2026'!$F$4:$F$253),0)</f>
        <v>312.24963622360696</v>
      </c>
      <c r="H135" s="665">
        <f t="shared" si="12"/>
        <v>900.71036377639302</v>
      </c>
      <c r="I135" s="666">
        <f t="shared" si="13"/>
        <v>0.25742780984006641</v>
      </c>
      <c r="J135" s="74" t="str">
        <f>IFERROR(INDEX('Facturación 2026'!$L$4:$L$253,MATCH(A135,'Facturación 2026'!$A$4:$A$253,0)),"")</f>
        <v/>
      </c>
    </row>
    <row r="136" spans="1:10" ht="18" customHeight="1">
      <c r="A136" s="669">
        <v>46103</v>
      </c>
      <c r="B136" s="670" t="s">
        <v>504</v>
      </c>
      <c r="C136" s="673" t="s">
        <v>146</v>
      </c>
      <c r="D136" s="663">
        <f t="array" ref="D136">IF(A136="","",SUMPRODUCT(('Detalle Turnos'!$Q$3:$Q$500=$A136)*('Detalle Turnos'!$S$3:$S$500=C136)*'Detalle Turnos'!$T$3:$T$500))</f>
        <v>29</v>
      </c>
      <c r="E136" s="664">
        <f t="array" ref="E136">IF(A136="","",SUMPRODUCT(('Detalle Turnos'!$Q$3:$Q$500=$A136)*('Detalle Turnos'!$S$3:$S$500=C136)*'Detalle Turnos'!$U$3:$U$500))</f>
        <v>101.5</v>
      </c>
      <c r="F136" s="664">
        <f t="shared" si="11"/>
        <v>3.5</v>
      </c>
      <c r="G136" s="664">
        <f t="array" ref="G136">IFERROR(SUMPRODUCT(('Facturación 2026'!$A$4:$A$253=A136)*'Facturación 2026'!$J$4:$J$253)*E136/SUMPRODUCT(('Facturación 2026'!$A$4:$A$253=A136)*'Facturación 2026'!$F$4:$F$253),0)</f>
        <v>58.267365225118489</v>
      </c>
      <c r="H136" s="665">
        <f t="shared" si="12"/>
        <v>43.232634774881511</v>
      </c>
      <c r="I136" s="666">
        <f t="shared" si="13"/>
        <v>0.57406271157752209</v>
      </c>
      <c r="J136" s="74" t="str">
        <f>IFERROR(INDEX('Facturación 2026'!$L$4:$L$253,MATCH(A136,'Facturación 2026'!$A$4:$A$253,0)),"")</f>
        <v/>
      </c>
    </row>
    <row r="137" spans="1:10" ht="18" customHeight="1">
      <c r="A137" s="669">
        <v>46103</v>
      </c>
      <c r="B137" s="670" t="s">
        <v>504</v>
      </c>
      <c r="C137" s="671" t="s">
        <v>494</v>
      </c>
      <c r="D137" s="663">
        <f t="array" ref="D137">IF(A137="","",SUMPRODUCT(('Detalle Turnos'!$Q$3:$Q$500=$A137)*('Detalle Turnos'!$S$3:$S$500=C137)*'Detalle Turnos'!$T$3:$T$500))</f>
        <v>44</v>
      </c>
      <c r="E137" s="664">
        <f t="array" ref="E137">IF(A137="","",SUMPRODUCT(('Detalle Turnos'!$Q$3:$Q$500=$A137)*('Detalle Turnos'!$S$3:$S$500=C137)*'Detalle Turnos'!$U$3:$U$500))</f>
        <v>446.41</v>
      </c>
      <c r="F137" s="664">
        <f t="shared" si="11"/>
        <v>10.145681818181819</v>
      </c>
      <c r="G137" s="664">
        <f t="array" ref="G137">IFERROR(SUMPRODUCT(('Facturación 2026'!$A$4:$A$253=A137)*'Facturación 2026'!$J$4:$J$253)*E137/SUMPRODUCT(('Facturación 2026'!$A$4:$A$253=A137)*'Facturación 2026'!$F$4:$F$253),0)</f>
        <v>256.26733507532163</v>
      </c>
      <c r="H137" s="665">
        <f t="shared" si="12"/>
        <v>190.1426649246784</v>
      </c>
      <c r="I137" s="666">
        <f t="shared" si="13"/>
        <v>0.57406271157752209</v>
      </c>
      <c r="J137" s="74" t="str">
        <f>IFERROR(INDEX('Facturación 2026'!$L$4:$L$253,MATCH(A137,'Facturación 2026'!$A$4:$A$253,0)),"")</f>
        <v/>
      </c>
    </row>
    <row r="138" spans="1:10" ht="18" customHeight="1">
      <c r="A138" s="669">
        <v>46103</v>
      </c>
      <c r="B138" s="670" t="s">
        <v>505</v>
      </c>
      <c r="C138" s="673" t="s">
        <v>146</v>
      </c>
      <c r="D138" s="663">
        <f t="array" ref="D138">IF(A138="","",SUMPRODUCT(('Detalle Turnos'!$Q$3:$Q$500=$A138)*('Detalle Turnos'!$S$3:$S$500=C138)*'Detalle Turnos'!$T$3:$T$500))</f>
        <v>29</v>
      </c>
      <c r="E138" s="664">
        <f t="array" ref="E138">IF(A138="","",SUMPRODUCT(('Detalle Turnos'!$Q$3:$Q$500=$A138)*('Detalle Turnos'!$S$3:$S$500=C138)*'Detalle Turnos'!$U$3:$U$500))</f>
        <v>101.5</v>
      </c>
      <c r="F138" s="664">
        <f t="shared" si="11"/>
        <v>3.5</v>
      </c>
      <c r="G138" s="664">
        <f t="array" ref="G138">IFERROR(SUMPRODUCT(('Facturación 2026'!$A$4:$A$253=A138)*'Facturación 2026'!$J$4:$J$253)*E138/SUMPRODUCT(('Facturación 2026'!$A$4:$A$253=A138)*'Facturación 2026'!$F$4:$F$253),0)</f>
        <v>58.267365225118489</v>
      </c>
      <c r="H138" s="665">
        <f t="shared" si="12"/>
        <v>43.232634774881511</v>
      </c>
      <c r="I138" s="666">
        <f t="shared" si="13"/>
        <v>0.57406271157752209</v>
      </c>
      <c r="J138" s="74" t="str">
        <f>IFERROR(INDEX('Facturación 2026'!$L$4:$L$253,MATCH(A138,'Facturación 2026'!$A$4:$A$253,0)),"")</f>
        <v/>
      </c>
    </row>
    <row r="139" spans="1:10" ht="18" customHeight="1">
      <c r="A139" s="669">
        <v>46106</v>
      </c>
      <c r="B139" s="670" t="s">
        <v>505</v>
      </c>
      <c r="C139" s="671" t="s">
        <v>494</v>
      </c>
      <c r="D139" s="663">
        <f t="array" ref="D139">IF(A139="","",SUMPRODUCT(('Detalle Turnos'!$Q$3:$Q$500=$A139)*('Detalle Turnos'!$S$3:$S$500=C139)*'Detalle Turnos'!$T$3:$T$500))</f>
        <v>14</v>
      </c>
      <c r="E139" s="664">
        <f t="array" ref="E139">IF(A139="","",SUMPRODUCT(('Detalle Turnos'!$Q$3:$Q$500=$A139)*('Detalle Turnos'!$S$3:$S$500=C139)*'Detalle Turnos'!$U$3:$U$500))</f>
        <v>141.09</v>
      </c>
      <c r="F139" s="664">
        <f t="shared" si="11"/>
        <v>10.077857142857143</v>
      </c>
      <c r="G139" s="664">
        <f t="array" ref="G139">IFERROR(SUMPRODUCT(('Facturación 2026'!$A$4:$A$253=A139)*'Facturación 2026'!$J$4:$J$253)*E139/SUMPRODUCT(('Facturación 2026'!$A$4:$A$253=A139)*'Facturación 2026'!$F$4:$F$253),0)</f>
        <v>78.144967528679757</v>
      </c>
      <c r="H139" s="665">
        <f t="shared" si="12"/>
        <v>62.945032471320246</v>
      </c>
      <c r="I139" s="666">
        <f t="shared" si="13"/>
        <v>0.55386609631213946</v>
      </c>
      <c r="J139" s="74" t="str">
        <f>IFERROR(INDEX('Facturación 2026'!$L$4:$L$253,MATCH(A139,'Facturación 2026'!$A$4:$A$253,0)),"")</f>
        <v/>
      </c>
    </row>
    <row r="140" spans="1:10" ht="18" customHeight="1">
      <c r="A140" s="669">
        <v>46106</v>
      </c>
      <c r="B140" s="670" t="s">
        <v>505</v>
      </c>
      <c r="C140" s="672" t="s">
        <v>497</v>
      </c>
      <c r="D140" s="663">
        <f t="array" ref="D140">IF(A140="","",SUMPRODUCT(('Detalle Turnos'!$Q$3:$Q$500=$A140)*('Detalle Turnos'!$S$3:$S$500=C140)*'Detalle Turnos'!$T$3:$T$500))</f>
        <v>23</v>
      </c>
      <c r="E140" s="664">
        <f t="array" ref="E140">IF(A140="","",SUMPRODUCT(('Detalle Turnos'!$Q$3:$Q$500=$A140)*('Detalle Turnos'!$S$3:$S$500=C140)*'Detalle Turnos'!$U$3:$U$500))</f>
        <v>339.68</v>
      </c>
      <c r="F140" s="664">
        <f t="shared" si="11"/>
        <v>14.768695652173914</v>
      </c>
      <c r="G140" s="664">
        <f t="array" ref="G140">IFERROR(SUMPRODUCT(('Facturación 2026'!$A$4:$A$253=A140)*'Facturación 2026'!$J$4:$J$253)*E140/SUMPRODUCT(('Facturación 2026'!$A$4:$A$253=A140)*'Facturación 2026'!$F$4:$F$253),0)</f>
        <v>188.13723559530754</v>
      </c>
      <c r="H140" s="665">
        <f t="shared" si="12"/>
        <v>151.54276440469246</v>
      </c>
      <c r="I140" s="666">
        <f t="shared" si="13"/>
        <v>0.55386609631213946</v>
      </c>
      <c r="J140" s="74" t="str">
        <f>IFERROR(INDEX('Facturación 2026'!$L$4:$L$253,MATCH(A140,'Facturación 2026'!$A$4:$A$253,0)),"")</f>
        <v/>
      </c>
    </row>
    <row r="141" spans="1:10" ht="18" customHeight="1">
      <c r="A141" s="669">
        <v>46106</v>
      </c>
      <c r="B141" s="670" t="s">
        <v>506</v>
      </c>
      <c r="C141" s="673" t="s">
        <v>146</v>
      </c>
      <c r="D141" s="663">
        <f t="array" ref="D141">IF(A141="","",SUMPRODUCT(('Detalle Turnos'!$Q$3:$Q$500=$A141)*('Detalle Turnos'!$S$3:$S$500=C141)*'Detalle Turnos'!$T$3:$T$500))</f>
        <v>26</v>
      </c>
      <c r="E141" s="664">
        <f t="array" ref="E141">IF(A141="","",SUMPRODUCT(('Detalle Turnos'!$Q$3:$Q$500=$A141)*('Detalle Turnos'!$S$3:$S$500=C141)*'Detalle Turnos'!$U$3:$U$500))</f>
        <v>99.18</v>
      </c>
      <c r="F141" s="664">
        <f t="shared" si="11"/>
        <v>3.8146153846153847</v>
      </c>
      <c r="G141" s="664">
        <f t="array" ref="G141">IFERROR(SUMPRODUCT(('Facturación 2026'!$A$4:$A$253=A141)*'Facturación 2026'!$J$4:$J$253)*E141/SUMPRODUCT(('Facturación 2026'!$A$4:$A$253=A141)*'Facturación 2026'!$F$4:$F$253),0)</f>
        <v>54.932439432237999</v>
      </c>
      <c r="H141" s="665">
        <f t="shared" si="12"/>
        <v>44.247560567762008</v>
      </c>
      <c r="I141" s="666">
        <f t="shared" si="13"/>
        <v>0.55386609631213946</v>
      </c>
      <c r="J141" s="74" t="str">
        <f>IFERROR(INDEX('Facturación 2026'!$L$4:$L$253,MATCH(A141,'Facturación 2026'!$A$4:$A$253,0)),"")</f>
        <v/>
      </c>
    </row>
    <row r="142" spans="1:10" ht="18" customHeight="1">
      <c r="A142" s="669">
        <v>46107</v>
      </c>
      <c r="B142" s="670" t="s">
        <v>506</v>
      </c>
      <c r="C142" s="671" t="s">
        <v>494</v>
      </c>
      <c r="D142" s="663">
        <f t="array" ref="D142">IF(A142="","",SUMPRODUCT(('Detalle Turnos'!$Q$3:$Q$500=$A142)*('Detalle Turnos'!$S$3:$S$500=C142)*'Detalle Turnos'!$T$3:$T$500))</f>
        <v>9</v>
      </c>
      <c r="E142" s="664">
        <f t="array" ref="E142">IF(A142="","",SUMPRODUCT(('Detalle Turnos'!$Q$3:$Q$500=$A142)*('Detalle Turnos'!$S$3:$S$500=C142)*'Detalle Turnos'!$U$3:$U$500))</f>
        <v>172.14</v>
      </c>
      <c r="F142" s="664">
        <f t="shared" si="11"/>
        <v>19.126666666666665</v>
      </c>
      <c r="G142" s="664">
        <f t="array" ref="G142">IFERROR(SUMPRODUCT(('Facturación 2026'!$A$4:$A$253=A142)*'Facturación 2026'!$J$4:$J$253)*E142/SUMPRODUCT(('Facturación 2026'!$A$4:$A$253=A142)*'Facturación 2026'!$F$4:$F$253),0)</f>
        <v>81.673171084337341</v>
      </c>
      <c r="H142" s="665">
        <f t="shared" si="12"/>
        <v>90.466828915662646</v>
      </c>
      <c r="I142" s="666">
        <f t="shared" si="13"/>
        <v>0.47445783132530117</v>
      </c>
      <c r="J142" s="74" t="str">
        <f>IFERROR(INDEX('Facturación 2026'!$L$4:$L$253,MATCH(A142,'Facturación 2026'!$A$4:$A$253,0)),"")</f>
        <v/>
      </c>
    </row>
    <row r="143" spans="1:10" ht="18" customHeight="1">
      <c r="A143" s="669">
        <v>46107</v>
      </c>
      <c r="B143" s="670" t="s">
        <v>506</v>
      </c>
      <c r="C143" s="672" t="s">
        <v>497</v>
      </c>
      <c r="D143" s="663">
        <f t="array" ref="D143">IF(A143="","",SUMPRODUCT(('Detalle Turnos'!$Q$3:$Q$500=$A143)*('Detalle Turnos'!$S$3:$S$500=C143)*'Detalle Turnos'!$T$3:$T$500))</f>
        <v>18</v>
      </c>
      <c r="E143" s="664">
        <f t="array" ref="E143">IF(A143="","",SUMPRODUCT(('Detalle Turnos'!$Q$3:$Q$500=$A143)*('Detalle Turnos'!$S$3:$S$500=C143)*'Detalle Turnos'!$U$3:$U$500))</f>
        <v>254.14</v>
      </c>
      <c r="F143" s="664">
        <f t="shared" si="11"/>
        <v>14.118888888888888</v>
      </c>
      <c r="G143" s="664">
        <f t="array" ref="G143">IFERROR(SUMPRODUCT(('Facturación 2026'!$A$4:$A$253=A143)*'Facturación 2026'!$J$4:$J$253)*E143/SUMPRODUCT(('Facturación 2026'!$A$4:$A$253=A143)*'Facturación 2026'!$F$4:$F$253),0)</f>
        <v>120.57871325301204</v>
      </c>
      <c r="H143" s="665">
        <f t="shared" si="12"/>
        <v>133.56128674698795</v>
      </c>
      <c r="I143" s="666">
        <f t="shared" si="13"/>
        <v>0.47445783132530117</v>
      </c>
      <c r="J143" s="74" t="str">
        <f>IFERROR(INDEX('Facturación 2026'!$L$4:$L$253,MATCH(A143,'Facturación 2026'!$A$4:$A$253,0)),"")</f>
        <v/>
      </c>
    </row>
    <row r="144" spans="1:10" ht="18" customHeight="1">
      <c r="A144" s="669">
        <v>46107</v>
      </c>
      <c r="B144" s="670" t="s">
        <v>502</v>
      </c>
      <c r="C144" s="673" t="s">
        <v>146</v>
      </c>
      <c r="D144" s="663">
        <f t="array" ref="D144">IF(A144="","",SUMPRODUCT(('Detalle Turnos'!$Q$3:$Q$500=$A144)*('Detalle Turnos'!$S$3:$S$500=C144)*'Detalle Turnos'!$T$3:$T$500))</f>
        <v>10</v>
      </c>
      <c r="E144" s="664">
        <f t="array" ref="E144">IF(A144="","",SUMPRODUCT(('Detalle Turnos'!$Q$3:$Q$500=$A144)*('Detalle Turnos'!$S$3:$S$500=C144)*'Detalle Turnos'!$U$3:$U$500))</f>
        <v>33.770000000000003</v>
      </c>
      <c r="F144" s="664">
        <f t="shared" si="11"/>
        <v>3.3770000000000002</v>
      </c>
      <c r="G144" s="664">
        <f t="array" ref="G144">IFERROR(SUMPRODUCT(('Facturación 2026'!$A$4:$A$253=A144)*'Facturación 2026'!$J$4:$J$253)*E144/SUMPRODUCT(('Facturación 2026'!$A$4:$A$253=A144)*'Facturación 2026'!$F$4:$F$253),0)</f>
        <v>16.022440963855423</v>
      </c>
      <c r="H144" s="665">
        <f t="shared" si="12"/>
        <v>17.74755903614458</v>
      </c>
      <c r="I144" s="666">
        <f t="shared" si="13"/>
        <v>0.47445783132530123</v>
      </c>
      <c r="J144" s="74" t="str">
        <f>IFERROR(INDEX('Facturación 2026'!$L$4:$L$253,MATCH(A144,'Facturación 2026'!$A$4:$A$253,0)),"")</f>
        <v/>
      </c>
    </row>
    <row r="145" spans="1:10" ht="18" customHeight="1">
      <c r="A145" s="669">
        <v>46108</v>
      </c>
      <c r="B145" s="670" t="s">
        <v>502</v>
      </c>
      <c r="C145" s="671" t="s">
        <v>494</v>
      </c>
      <c r="D145" s="663">
        <f t="array" ref="D145">IF(A145="","",SUMPRODUCT(('Detalle Turnos'!$Q$3:$Q$500=$A145)*('Detalle Turnos'!$S$3:$S$500=C145)*'Detalle Turnos'!$T$3:$T$500))</f>
        <v>31</v>
      </c>
      <c r="E145" s="664">
        <f t="array" ref="E145">IF(A145="","",SUMPRODUCT(('Detalle Turnos'!$Q$3:$Q$500=$A145)*('Detalle Turnos'!$S$3:$S$500=C145)*'Detalle Turnos'!$U$3:$U$500))</f>
        <v>578.82000000000005</v>
      </c>
      <c r="F145" s="664">
        <f t="shared" si="11"/>
        <v>18.671612903225807</v>
      </c>
      <c r="G145" s="664">
        <f t="array" ref="G145">IFERROR(SUMPRODUCT(('Facturación 2026'!$A$4:$A$253=A145)*'Facturación 2026'!$J$4:$J$253)*E145/SUMPRODUCT(('Facturación 2026'!$A$4:$A$253=A145)*'Facturación 2026'!$F$4:$F$253),0)</f>
        <v>161.65714066312472</v>
      </c>
      <c r="H145" s="665">
        <f t="shared" si="12"/>
        <v>417.16285933687533</v>
      </c>
      <c r="I145" s="666">
        <f t="shared" si="13"/>
        <v>0.2792874134672691</v>
      </c>
      <c r="J145" s="74" t="str">
        <f>IFERROR(INDEX('Facturación 2026'!$L$4:$L$253,MATCH(A145,'Facturación 2026'!$A$4:$A$253,0)),"")</f>
        <v/>
      </c>
    </row>
    <row r="146" spans="1:10" ht="18" customHeight="1">
      <c r="A146" s="669">
        <v>46108</v>
      </c>
      <c r="B146" s="670" t="s">
        <v>502</v>
      </c>
      <c r="C146" s="672" t="s">
        <v>497</v>
      </c>
      <c r="D146" s="663">
        <f t="array" ref="D146">IF(A146="","",SUMPRODUCT(('Detalle Turnos'!$Q$3:$Q$500=$A146)*('Detalle Turnos'!$S$3:$S$500=C146)*'Detalle Turnos'!$T$3:$T$500))</f>
        <v>59</v>
      </c>
      <c r="E146" s="664">
        <f t="array" ref="E146">IF(A146="","",SUMPRODUCT(('Detalle Turnos'!$Q$3:$Q$500=$A146)*('Detalle Turnos'!$S$3:$S$500=C146)*'Detalle Turnos'!$U$3:$U$500))</f>
        <v>1151</v>
      </c>
      <c r="F146" s="664">
        <f t="shared" si="11"/>
        <v>19.508474576271187</v>
      </c>
      <c r="G146" s="664">
        <f t="array" ref="G146">IFERROR(SUMPRODUCT(('Facturación 2026'!$A$4:$A$253=A146)*'Facturación 2026'!$J$4:$J$253)*E146/SUMPRODUCT(('Facturación 2026'!$A$4:$A$253=A146)*'Facturación 2026'!$F$4:$F$253),0)</f>
        <v>321.45981290082676</v>
      </c>
      <c r="H146" s="665">
        <f t="shared" si="12"/>
        <v>829.54018709917318</v>
      </c>
      <c r="I146" s="666">
        <f t="shared" si="13"/>
        <v>0.2792874134672691</v>
      </c>
      <c r="J146" s="74" t="str">
        <f>IFERROR(INDEX('Facturación 2026'!$L$4:$L$253,MATCH(A146,'Facturación 2026'!$A$4:$A$253,0)),"")</f>
        <v/>
      </c>
    </row>
    <row r="147" spans="1:10" ht="18" customHeight="1">
      <c r="A147" s="669">
        <v>46108</v>
      </c>
      <c r="B147" s="670" t="s">
        <v>503</v>
      </c>
      <c r="C147" s="673" t="s">
        <v>146</v>
      </c>
      <c r="D147" s="663">
        <f t="array" ref="D147">IF(A147="","",SUMPRODUCT(('Detalle Turnos'!$Q$3:$Q$500=$A147)*('Detalle Turnos'!$S$3:$S$500=C147)*'Detalle Turnos'!$T$3:$T$500))</f>
        <v>7</v>
      </c>
      <c r="E147" s="664">
        <f t="array" ref="E147">IF(A147="","",SUMPRODUCT(('Detalle Turnos'!$Q$3:$Q$500=$A147)*('Detalle Turnos'!$S$3:$S$500=C147)*'Detalle Turnos'!$U$3:$U$500))</f>
        <v>13.96</v>
      </c>
      <c r="F147" s="664">
        <f t="shared" si="11"/>
        <v>1.9942857142857144</v>
      </c>
      <c r="G147" s="664">
        <f t="array" ref="G147">IFERROR(SUMPRODUCT(('Facturación 2026'!$A$4:$A$253=A147)*'Facturación 2026'!$J$4:$J$253)*E147/SUMPRODUCT(('Facturación 2026'!$A$4:$A$253=A147)*'Facturación 2026'!$F$4:$F$253),0)</f>
        <v>3.898852292003077</v>
      </c>
      <c r="H147" s="665">
        <f t="shared" si="12"/>
        <v>10.061147707996923</v>
      </c>
      <c r="I147" s="666">
        <f t="shared" si="13"/>
        <v>0.2792874134672691</v>
      </c>
      <c r="J147" s="74" t="str">
        <f>IFERROR(INDEX('Facturación 2026'!$L$4:$L$253,MATCH(A147,'Facturación 2026'!$A$4:$A$253,0)),"")</f>
        <v/>
      </c>
    </row>
    <row r="148" spans="1:10" ht="18" customHeight="1">
      <c r="A148" s="669">
        <v>46109</v>
      </c>
      <c r="B148" s="670" t="s">
        <v>503</v>
      </c>
      <c r="C148" s="671" t="s">
        <v>494</v>
      </c>
      <c r="D148" s="663">
        <f t="array" ref="D148">IF(A148="","",SUMPRODUCT(('Detalle Turnos'!$Q$3:$Q$500=$A148)*('Detalle Turnos'!$S$3:$S$500=C148)*'Detalle Turnos'!$T$3:$T$500))</f>
        <v>36</v>
      </c>
      <c r="E148" s="664">
        <f t="array" ref="E148">IF(A148="","",SUMPRODUCT(('Detalle Turnos'!$Q$3:$Q$500=$A148)*('Detalle Turnos'!$S$3:$S$500=C148)*'Detalle Turnos'!$U$3:$U$500))</f>
        <v>598.09</v>
      </c>
      <c r="F148" s="664">
        <f t="shared" si="11"/>
        <v>16.613611111111112</v>
      </c>
      <c r="G148" s="664">
        <f t="array" ref="G148">IFERROR(SUMPRODUCT(('Facturación 2026'!$A$4:$A$253=A148)*'Facturación 2026'!$J$4:$J$253)*E148/SUMPRODUCT(('Facturación 2026'!$A$4:$A$253=A148)*'Facturación 2026'!$F$4:$F$253),0)</f>
        <v>16.745318956433469</v>
      </c>
      <c r="H148" s="665">
        <f t="shared" si="12"/>
        <v>581.34468104356654</v>
      </c>
      <c r="I148" s="666">
        <f t="shared" si="13"/>
        <v>2.7997991868169453E-2</v>
      </c>
      <c r="J148" s="74" t="str">
        <f>IFERROR(INDEX('Facturación 2026'!$L$4:$L$253,MATCH(A148,'Facturación 2026'!$A$4:$A$253,0)),"")</f>
        <v/>
      </c>
    </row>
    <row r="149" spans="1:10" ht="18" customHeight="1">
      <c r="A149" s="669">
        <v>46109</v>
      </c>
      <c r="B149" s="670" t="s">
        <v>503</v>
      </c>
      <c r="C149" s="672" t="s">
        <v>497</v>
      </c>
      <c r="D149" s="663">
        <f t="array" ref="D149">IF(A149="","",SUMPRODUCT(('Detalle Turnos'!$Q$3:$Q$500=$A149)*('Detalle Turnos'!$S$3:$S$500=C149)*'Detalle Turnos'!$T$3:$T$500))</f>
        <v>47</v>
      </c>
      <c r="E149" s="664">
        <f t="array" ref="E149">IF(A149="","",SUMPRODUCT(('Detalle Turnos'!$Q$3:$Q$500=$A149)*('Detalle Turnos'!$S$3:$S$500=C149)*'Detalle Turnos'!$U$3:$U$500))</f>
        <v>711.23</v>
      </c>
      <c r="F149" s="664">
        <f t="shared" si="11"/>
        <v>15.132553191489363</v>
      </c>
      <c r="G149" s="664">
        <f t="array" ref="G149">IFERROR(SUMPRODUCT(('Facturación 2026'!$A$4:$A$253=A149)*'Facturación 2026'!$J$4:$J$253)*E149/SUMPRODUCT(('Facturación 2026'!$A$4:$A$253=A149)*'Facturación 2026'!$F$4:$F$253),0)</f>
        <v>19.913011756398156</v>
      </c>
      <c r="H149" s="665">
        <f t="shared" si="12"/>
        <v>691.31698824360183</v>
      </c>
      <c r="I149" s="666">
        <f t="shared" si="13"/>
        <v>2.7997991868169446E-2</v>
      </c>
      <c r="J149" s="74" t="str">
        <f>IFERROR(INDEX('Facturación 2026'!$L$4:$L$253,MATCH(A149,'Facturación 2026'!$A$4:$A$253,0)),"")</f>
        <v/>
      </c>
    </row>
    <row r="150" spans="1:10" ht="18" customHeight="1">
      <c r="A150" s="669">
        <v>46109</v>
      </c>
      <c r="B150" s="670" t="s">
        <v>504</v>
      </c>
      <c r="C150" s="673" t="s">
        <v>146</v>
      </c>
      <c r="D150" s="663">
        <f t="array" ref="D150">IF(A150="","",SUMPRODUCT(('Detalle Turnos'!$Q$3:$Q$500=$A150)*('Detalle Turnos'!$S$3:$S$500=C150)*'Detalle Turnos'!$T$3:$T$500))</f>
        <v>17</v>
      </c>
      <c r="E150" s="664">
        <f t="array" ref="E150">IF(A150="","",SUMPRODUCT(('Detalle Turnos'!$Q$3:$Q$500=$A150)*('Detalle Turnos'!$S$3:$S$500=C150)*'Detalle Turnos'!$U$3:$U$500))</f>
        <v>72.819999999999993</v>
      </c>
      <c r="F150" s="664">
        <f t="shared" si="11"/>
        <v>4.2835294117647056</v>
      </c>
      <c r="G150" s="664">
        <f t="array" ref="G150">IFERROR(SUMPRODUCT(('Facturación 2026'!$A$4:$A$253=A150)*'Facturación 2026'!$J$4:$J$253)*E150/SUMPRODUCT(('Facturación 2026'!$A$4:$A$253=A150)*'Facturación 2026'!$F$4:$F$253),0)</f>
        <v>2.0388137678400993</v>
      </c>
      <c r="H150" s="665">
        <f t="shared" si="12"/>
        <v>70.781186232159897</v>
      </c>
      <c r="I150" s="666">
        <f t="shared" si="13"/>
        <v>2.7997991868169453E-2</v>
      </c>
      <c r="J150" s="74" t="str">
        <f>IFERROR(INDEX('Facturación 2026'!$L$4:$L$253,MATCH(A150,'Facturación 2026'!$A$4:$A$253,0)),"")</f>
        <v/>
      </c>
    </row>
    <row r="151" spans="1:10" ht="18" customHeight="1">
      <c r="A151" s="669">
        <v>46110</v>
      </c>
      <c r="B151" s="670" t="s">
        <v>504</v>
      </c>
      <c r="C151" s="671" t="s">
        <v>494</v>
      </c>
      <c r="D151" s="663">
        <f t="array" ref="D151">IF(A151="","",SUMPRODUCT(('Detalle Turnos'!$Q$3:$Q$500=$A151)*('Detalle Turnos'!$S$3:$S$500=C151)*'Detalle Turnos'!$T$3:$T$500))</f>
        <v>104</v>
      </c>
      <c r="E151" s="664">
        <f t="array" ref="E151">IF(A151="","",SUMPRODUCT(('Detalle Turnos'!$Q$3:$Q$500=$A151)*('Detalle Turnos'!$S$3:$S$500=C151)*'Detalle Turnos'!$U$3:$U$500))</f>
        <v>1265.1400000000001</v>
      </c>
      <c r="F151" s="664">
        <f t="shared" si="11"/>
        <v>12.164807692307694</v>
      </c>
      <c r="G151" s="664">
        <f t="array" ref="G151">IFERROR(SUMPRODUCT(('Facturación 2026'!$A$4:$A$253=A151)*'Facturación 2026'!$J$4:$J$253)*E151/SUMPRODUCT(('Facturación 2026'!$A$4:$A$253=A151)*'Facturación 2026'!$F$4:$F$253),0)</f>
        <v>0</v>
      </c>
      <c r="H151" s="665">
        <f t="shared" si="12"/>
        <v>1265.1400000000001</v>
      </c>
      <c r="I151" s="666">
        <f t="shared" si="13"/>
        <v>0</v>
      </c>
      <c r="J151" s="74" t="str">
        <f>IFERROR(INDEX('Facturación 2026'!$L$4:$L$253,MATCH(A151,'Facturación 2026'!$A$4:$A$253,0)),"")</f>
        <v>Semana Santa</v>
      </c>
    </row>
    <row r="152" spans="1:10" ht="18" customHeight="1">
      <c r="A152" s="669">
        <v>46110</v>
      </c>
      <c r="B152" s="670" t="s">
        <v>504</v>
      </c>
      <c r="C152" s="672" t="s">
        <v>497</v>
      </c>
      <c r="D152" s="663">
        <f t="array" ref="D152">IF(A152="","",SUMPRODUCT(('Detalle Turnos'!$Q$3:$Q$500=$A152)*('Detalle Turnos'!$S$3:$S$500=C152)*'Detalle Turnos'!$T$3:$T$500))</f>
        <v>0</v>
      </c>
      <c r="E152" s="664">
        <f t="array" ref="E152">IF(A152="","",SUMPRODUCT(('Detalle Turnos'!$Q$3:$Q$500=$A152)*('Detalle Turnos'!$S$3:$S$500=C152)*'Detalle Turnos'!$U$3:$U$500))</f>
        <v>0</v>
      </c>
      <c r="F152" s="664">
        <f t="shared" si="11"/>
        <v>0</v>
      </c>
      <c r="G152" s="664">
        <f t="array" ref="G152">IFERROR(SUMPRODUCT(('Facturación 2026'!$A$4:$A$253=A152)*'Facturación 2026'!$J$4:$J$253)*E152/SUMPRODUCT(('Facturación 2026'!$A$4:$A$253=A152)*'Facturación 2026'!$F$4:$F$253),0)</f>
        <v>0</v>
      </c>
      <c r="H152" s="665">
        <f t="shared" si="12"/>
        <v>0</v>
      </c>
      <c r="I152" s="666">
        <f t="shared" si="13"/>
        <v>0</v>
      </c>
      <c r="J152" s="74" t="str">
        <f>IFERROR(INDEX('Facturación 2026'!$L$4:$L$253,MATCH(A152,'Facturación 2026'!$A$4:$A$253,0)),"")</f>
        <v>Semana Santa</v>
      </c>
    </row>
    <row r="153" spans="1:10" ht="18" customHeight="1">
      <c r="A153" s="669">
        <v>46113</v>
      </c>
      <c r="B153" s="670" t="s">
        <v>505</v>
      </c>
      <c r="C153" s="673" t="s">
        <v>146</v>
      </c>
      <c r="D153" s="663">
        <f t="array" ref="D153">IF(A153="","",SUMPRODUCT(('Detalle Turnos'!$Q$3:$Q$500=$A153)*('Detalle Turnos'!$S$3:$S$500=C153)*'Detalle Turnos'!$T$3:$T$500))</f>
        <v>16</v>
      </c>
      <c r="E153" s="664">
        <f t="array" ref="E153">IF(A153="","",SUMPRODUCT(('Detalle Turnos'!$Q$3:$Q$500=$A153)*('Detalle Turnos'!$S$3:$S$500=C153)*'Detalle Turnos'!$U$3:$U$500))</f>
        <v>95.45</v>
      </c>
      <c r="F153" s="664">
        <f t="shared" si="11"/>
        <v>5.9656250000000002</v>
      </c>
      <c r="G153" s="664">
        <f t="array" ref="G153">IFERROR(SUMPRODUCT(('Facturación 2026'!$A$4:$A$253=A153)*'Facturación 2026'!$J$4:$J$253)*E153/SUMPRODUCT(('Facturación 2026'!$A$4:$A$253=A153)*'Facturación 2026'!$F$4:$F$253),0)</f>
        <v>0</v>
      </c>
      <c r="H153" s="665">
        <f t="shared" si="12"/>
        <v>95.45</v>
      </c>
      <c r="I153" s="666">
        <f t="shared" si="13"/>
        <v>0</v>
      </c>
      <c r="J153" s="74" t="str">
        <f>IFERROR(INDEX('Facturación 2026'!$L$4:$L$253,MATCH(A153,'Facturación 2026'!$A$4:$A$253,0)),"")</f>
        <v/>
      </c>
    </row>
    <row r="154" spans="1:10" ht="18" customHeight="1">
      <c r="A154" s="669">
        <v>46113</v>
      </c>
      <c r="B154" s="670" t="s">
        <v>505</v>
      </c>
      <c r="C154" s="671" t="s">
        <v>494</v>
      </c>
      <c r="D154" s="663">
        <f t="array" ref="D154">IF(A154="","",SUMPRODUCT(('Detalle Turnos'!$Q$3:$Q$500=$A154)*('Detalle Turnos'!$S$3:$S$500=C154)*'Detalle Turnos'!$T$3:$T$500))</f>
        <v>32</v>
      </c>
      <c r="E154" s="664">
        <f t="array" ref="E154">IF(A154="","",SUMPRODUCT(('Detalle Turnos'!$Q$3:$Q$500=$A154)*('Detalle Turnos'!$S$3:$S$500=C154)*'Detalle Turnos'!$U$3:$U$500))</f>
        <v>595.73</v>
      </c>
      <c r="F154" s="664">
        <f t="shared" si="11"/>
        <v>18.616562500000001</v>
      </c>
      <c r="G154" s="664">
        <f t="array" ref="G154">IFERROR(SUMPRODUCT(('Facturación 2026'!$A$4:$A$253=A154)*'Facturación 2026'!$J$4:$J$253)*E154/SUMPRODUCT(('Facturación 2026'!$A$4:$A$253=A154)*'Facturación 2026'!$F$4:$F$253),0)</f>
        <v>0</v>
      </c>
      <c r="H154" s="665">
        <f t="shared" si="12"/>
        <v>595.73</v>
      </c>
      <c r="I154" s="666">
        <f t="shared" si="13"/>
        <v>0</v>
      </c>
      <c r="J154" s="74" t="str">
        <f>IFERROR(INDEX('Facturación 2026'!$L$4:$L$253,MATCH(A154,'Facturación 2026'!$A$4:$A$253,0)),"")</f>
        <v/>
      </c>
    </row>
    <row r="155" spans="1:10" ht="18" customHeight="1">
      <c r="A155" s="669">
        <v>46113</v>
      </c>
      <c r="B155" s="670" t="s">
        <v>505</v>
      </c>
      <c r="C155" s="672" t="s">
        <v>497</v>
      </c>
      <c r="D155" s="663">
        <f t="array" ref="D155">IF(A155="","",SUMPRODUCT(('Detalle Turnos'!$Q$3:$Q$500=$A155)*('Detalle Turnos'!$S$3:$S$500=C155)*'Detalle Turnos'!$T$3:$T$500))</f>
        <v>27</v>
      </c>
      <c r="E155" s="664">
        <f t="array" ref="E155">IF(A155="","",SUMPRODUCT(('Detalle Turnos'!$Q$3:$Q$500=$A155)*('Detalle Turnos'!$S$3:$S$500=C155)*'Detalle Turnos'!$U$3:$U$500))</f>
        <v>387.32</v>
      </c>
      <c r="F155" s="664">
        <f t="shared" si="11"/>
        <v>14.345185185185185</v>
      </c>
      <c r="G155" s="664">
        <f t="array" ref="G155">IFERROR(SUMPRODUCT(('Facturación 2026'!$A$4:$A$253=A155)*'Facturación 2026'!$J$4:$J$253)*E155/SUMPRODUCT(('Facturación 2026'!$A$4:$A$253=A155)*'Facturación 2026'!$F$4:$F$253),0)</f>
        <v>0</v>
      </c>
      <c r="H155" s="665">
        <f t="shared" si="12"/>
        <v>387.32</v>
      </c>
      <c r="I155" s="666">
        <f t="shared" si="13"/>
        <v>0</v>
      </c>
      <c r="J155" s="74" t="str">
        <f>IFERROR(INDEX('Facturación 2026'!$L$4:$L$253,MATCH(A155,'Facturación 2026'!$A$4:$A$253,0)),"")</f>
        <v/>
      </c>
    </row>
    <row r="156" spans="1:10" ht="15.75" customHeight="1">
      <c r="A156" s="669">
        <v>46114</v>
      </c>
      <c r="B156" s="670" t="s">
        <v>506</v>
      </c>
      <c r="C156" s="671" t="s">
        <v>146</v>
      </c>
      <c r="D156" s="663">
        <f t="array" ref="D156">IF(A156="","",SUMPRODUCT(('Detalle Turnos'!$Q$3:$Q$500=$A156)*('Detalle Turnos'!$S$3:$S$500=C156)*'Detalle Turnos'!$T$3:$T$500))</f>
        <v>18</v>
      </c>
      <c r="E156" s="664">
        <f t="array" ref="E156">IF(A156="","",SUMPRODUCT(('Detalle Turnos'!$Q$3:$Q$500=$A156)*('Detalle Turnos'!$S$3:$S$500=C156)*'Detalle Turnos'!$U$3:$U$500))</f>
        <v>67.77</v>
      </c>
      <c r="F156" s="664">
        <f t="shared" si="11"/>
        <v>3.7649999999999997</v>
      </c>
      <c r="G156" s="664">
        <f t="array" ref="G156">IFERROR(SUMPRODUCT(('Facturación 2026'!$A$4:$A$253=A156)*'Facturación 2026'!$J$4:$J$253)*E156/SUMPRODUCT(('Facturación 2026'!$A$4:$A$253=A156)*'Facturación 2026'!$F$4:$F$253),0)</f>
        <v>0</v>
      </c>
      <c r="H156" s="665">
        <f t="shared" si="12"/>
        <v>67.77</v>
      </c>
      <c r="I156" s="666">
        <f t="shared" si="13"/>
        <v>0</v>
      </c>
      <c r="J156" s="74" t="str">
        <f>IFERROR(INDEX('Facturación 2026'!$L$4:$L$253,MATCH(A156,'Facturación 2026'!$A$4:$A$253,0)),"")</f>
        <v/>
      </c>
    </row>
    <row r="157" spans="1:10" ht="15.75" customHeight="1">
      <c r="A157" s="669">
        <v>46114</v>
      </c>
      <c r="B157" s="670" t="s">
        <v>506</v>
      </c>
      <c r="C157" s="672" t="s">
        <v>494</v>
      </c>
      <c r="D157" s="663">
        <f t="array" ref="D157">IF(A157="","",SUMPRODUCT(('Detalle Turnos'!$Q$3:$Q$500=$A157)*('Detalle Turnos'!$S$3:$S$500=C157)*'Detalle Turnos'!$T$3:$T$500))</f>
        <v>31</v>
      </c>
      <c r="E157" s="664">
        <f t="array" ref="E157">IF(A157="","",SUMPRODUCT(('Detalle Turnos'!$Q$3:$Q$500=$A157)*('Detalle Turnos'!$S$3:$S$500=C157)*'Detalle Turnos'!$U$3:$U$500))</f>
        <v>638.32000000000005</v>
      </c>
      <c r="F157" s="664">
        <f t="shared" si="11"/>
        <v>20.590967741935486</v>
      </c>
      <c r="G157" s="664">
        <f t="array" ref="G157">IFERROR(SUMPRODUCT(('Facturación 2026'!$A$4:$A$253=A157)*'Facturación 2026'!$J$4:$J$253)*E157/SUMPRODUCT(('Facturación 2026'!$A$4:$A$253=A157)*'Facturación 2026'!$F$4:$F$253),0)</f>
        <v>0</v>
      </c>
      <c r="H157" s="665">
        <f t="shared" si="12"/>
        <v>638.32000000000005</v>
      </c>
      <c r="I157" s="666">
        <f t="shared" si="13"/>
        <v>0</v>
      </c>
      <c r="J157" s="74" t="str">
        <f>IFERROR(INDEX('Facturación 2026'!$L$4:$L$253,MATCH(A157,'Facturación 2026'!$A$4:$A$253,0)),"")</f>
        <v/>
      </c>
    </row>
    <row r="158" spans="1:10">
      <c r="A158" s="669">
        <v>46114</v>
      </c>
      <c r="B158" s="670" t="s">
        <v>506</v>
      </c>
      <c r="C158" s="672" t="s">
        <v>497</v>
      </c>
      <c r="D158" s="663">
        <f t="array" ref="D158">IF(A158="","",SUMPRODUCT(('Detalle Turnos'!$Q$3:$Q$500=$A158)*('Detalle Turnos'!$S$3:$S$500=C158)*'Detalle Turnos'!$T$3:$T$500))</f>
        <v>37</v>
      </c>
      <c r="E158" s="664">
        <f t="array" ref="E158">IF(A158="","",SUMPRODUCT(('Detalle Turnos'!$Q$3:$Q$500=$A158)*('Detalle Turnos'!$S$3:$S$500=C158)*'Detalle Turnos'!$U$3:$U$500))</f>
        <v>684.46</v>
      </c>
      <c r="F158" s="664">
        <f t="shared" si="11"/>
        <v>18.498918918918921</v>
      </c>
      <c r="G158" s="664">
        <f t="array" ref="G158">IFERROR(SUMPRODUCT(('Facturación 2026'!$A$4:$A$253=A158)*'Facturación 2026'!$J$4:$J$253)*E158/SUMPRODUCT(('Facturación 2026'!$A$4:$A$253=A158)*'Facturación 2026'!$F$4:$F$253),0)</f>
        <v>0</v>
      </c>
      <c r="H158" s="665">
        <f t="shared" si="12"/>
        <v>684.46</v>
      </c>
      <c r="I158" s="666">
        <f t="shared" si="13"/>
        <v>0</v>
      </c>
      <c r="J158" s="74" t="str">
        <f>IFERROR(INDEX('Facturación 2026'!$L$4:$L$253,MATCH(A158,'Facturación 2026'!$A$4:$A$253,0)),"")</f>
        <v/>
      </c>
    </row>
    <row r="159" spans="1:10">
      <c r="A159" s="669">
        <v>46115</v>
      </c>
      <c r="B159" s="670" t="s">
        <v>502</v>
      </c>
      <c r="C159" s="671" t="s">
        <v>146</v>
      </c>
      <c r="D159" s="663">
        <f t="array" ref="D159">IF(A159="","",SUMPRODUCT(('Detalle Turnos'!$Q$3:$Q$500=$A159)*('Detalle Turnos'!$S$3:$S$500=C159)*'Detalle Turnos'!$T$3:$T$500))</f>
        <v>9</v>
      </c>
      <c r="E159" s="664">
        <f t="array" ref="E159">IF(A159="","",SUMPRODUCT(('Detalle Turnos'!$Q$3:$Q$500=$A159)*('Detalle Turnos'!$S$3:$S$500=C159)*'Detalle Turnos'!$U$3:$U$500))</f>
        <v>34</v>
      </c>
      <c r="F159" s="664">
        <f t="shared" si="11"/>
        <v>3.7777777777777777</v>
      </c>
      <c r="G159" s="664">
        <f t="array" ref="G159">IFERROR(SUMPRODUCT(('Facturación 2026'!$A$4:$A$253=A159)*'Facturación 2026'!$J$4:$J$253)*E159/SUMPRODUCT(('Facturación 2026'!$A$4:$A$253=A159)*'Facturación 2026'!$F$4:$F$253),0)</f>
        <v>0</v>
      </c>
      <c r="H159" s="665">
        <f t="shared" si="12"/>
        <v>34</v>
      </c>
      <c r="I159" s="666">
        <f t="shared" si="13"/>
        <v>0</v>
      </c>
      <c r="J159" s="74" t="str">
        <f>IFERROR(INDEX('Facturación 2026'!$L$4:$L$253,MATCH(A159,'Facturación 2026'!$A$4:$A$253,0)),"")</f>
        <v/>
      </c>
    </row>
    <row r="160" spans="1:10">
      <c r="A160" s="669">
        <v>46115</v>
      </c>
      <c r="B160" s="670" t="s">
        <v>502</v>
      </c>
      <c r="C160" s="672" t="s">
        <v>494</v>
      </c>
      <c r="D160" s="663">
        <f t="array" ref="D160">IF(A160="","",SUMPRODUCT(('Detalle Turnos'!$Q$3:$Q$500=$A160)*('Detalle Turnos'!$S$3:$S$500=C160)*'Detalle Turnos'!$T$3:$T$500))</f>
        <v>70</v>
      </c>
      <c r="E160" s="664">
        <f t="array" ref="E160">IF(A160="","",SUMPRODUCT(('Detalle Turnos'!$Q$3:$Q$500=$A160)*('Detalle Turnos'!$S$3:$S$500=C160)*'Detalle Turnos'!$U$3:$U$500))</f>
        <v>1096.82</v>
      </c>
      <c r="F160" s="664">
        <f t="shared" si="11"/>
        <v>15.668857142857142</v>
      </c>
      <c r="G160" s="664">
        <f t="array" ref="G160">IFERROR(SUMPRODUCT(('Facturación 2026'!$A$4:$A$253=A160)*'Facturación 2026'!$J$4:$J$253)*E160/SUMPRODUCT(('Facturación 2026'!$A$4:$A$253=A160)*'Facturación 2026'!$F$4:$F$253),0)</f>
        <v>0</v>
      </c>
      <c r="H160" s="665">
        <f t="shared" si="12"/>
        <v>1096.82</v>
      </c>
      <c r="I160" s="666">
        <f t="shared" si="13"/>
        <v>0</v>
      </c>
      <c r="J160" s="74" t="str">
        <f>IFERROR(INDEX('Facturación 2026'!$L$4:$L$253,MATCH(A160,'Facturación 2026'!$A$4:$A$253,0)),"")</f>
        <v/>
      </c>
    </row>
    <row r="161" spans="1:10">
      <c r="A161" s="669">
        <v>46115</v>
      </c>
      <c r="B161" s="670" t="s">
        <v>502</v>
      </c>
      <c r="C161" s="672" t="s">
        <v>497</v>
      </c>
      <c r="D161" s="663">
        <f t="array" ref="D161">IF(A161="","",SUMPRODUCT(('Detalle Turnos'!$Q$3:$Q$500=$A161)*('Detalle Turnos'!$S$3:$S$500=C161)*'Detalle Turnos'!$T$3:$T$500))</f>
        <v>60</v>
      </c>
      <c r="E161" s="664">
        <f t="array" ref="E161">IF(A161="","",SUMPRODUCT(('Detalle Turnos'!$Q$3:$Q$500=$A161)*('Detalle Turnos'!$S$3:$S$500=C161)*'Detalle Turnos'!$U$3:$U$500))</f>
        <v>1089.96</v>
      </c>
      <c r="F161" s="664">
        <f t="shared" si="11"/>
        <v>18.166</v>
      </c>
      <c r="G161" s="664">
        <f t="array" ref="G161">IFERROR(SUMPRODUCT(('Facturación 2026'!$A$4:$A$253=A161)*'Facturación 2026'!$J$4:$J$253)*E161/SUMPRODUCT(('Facturación 2026'!$A$4:$A$253=A161)*'Facturación 2026'!$F$4:$F$253),0)</f>
        <v>0</v>
      </c>
      <c r="H161" s="665">
        <f t="shared" si="12"/>
        <v>1089.96</v>
      </c>
      <c r="I161" s="666">
        <f t="shared" si="13"/>
        <v>0</v>
      </c>
      <c r="J161" s="74" t="str">
        <f>IFERROR(INDEX('Facturación 2026'!$L$4:$L$253,MATCH(A161,'Facturación 2026'!$A$4:$A$253,0)),"")</f>
        <v/>
      </c>
    </row>
    <row r="162" spans="1:10">
      <c r="A162" s="669">
        <v>46116</v>
      </c>
      <c r="B162" s="670" t="s">
        <v>503</v>
      </c>
      <c r="C162" s="671" t="s">
        <v>146</v>
      </c>
      <c r="D162" s="663">
        <f t="array" ref="D162">IF(A162="","",SUMPRODUCT(('Detalle Turnos'!$Q$3:$Q$500=$A162)*('Detalle Turnos'!$S$3:$S$500=C162)*'Detalle Turnos'!$T$3:$T$500))</f>
        <v>16</v>
      </c>
      <c r="E162" s="664">
        <f t="array" ref="E162">IF(A162="","",SUMPRODUCT(('Detalle Turnos'!$Q$3:$Q$500=$A162)*('Detalle Turnos'!$S$3:$S$500=C162)*'Detalle Turnos'!$U$3:$U$500))</f>
        <v>77.55</v>
      </c>
      <c r="F162" s="664">
        <f t="shared" si="11"/>
        <v>4.8468749999999998</v>
      </c>
      <c r="G162" s="664">
        <f t="array" ref="G162">IFERROR(SUMPRODUCT(('Facturación 2026'!$A$4:$A$253=A162)*'Facturación 2026'!$J$4:$J$253)*E162/SUMPRODUCT(('Facturación 2026'!$A$4:$A$253=A162)*'Facturación 2026'!$F$4:$F$253),0)</f>
        <v>0</v>
      </c>
      <c r="H162" s="665">
        <f t="shared" si="12"/>
        <v>77.55</v>
      </c>
      <c r="I162" s="666">
        <f t="shared" si="13"/>
        <v>0</v>
      </c>
      <c r="J162" s="74" t="str">
        <f>IFERROR(INDEX('Facturación 2026'!$L$4:$L$253,MATCH(A162,'Facturación 2026'!$A$4:$A$253,0)),"")</f>
        <v/>
      </c>
    </row>
    <row r="163" spans="1:10">
      <c r="A163" s="669">
        <v>46116</v>
      </c>
      <c r="B163" s="670" t="s">
        <v>503</v>
      </c>
      <c r="C163" s="672" t="s">
        <v>494</v>
      </c>
      <c r="D163" s="663">
        <f t="array" ref="D163">IF(A163="","",SUMPRODUCT(('Detalle Turnos'!$Q$3:$Q$500=$A163)*('Detalle Turnos'!$S$3:$S$500=C163)*'Detalle Turnos'!$T$3:$T$500))</f>
        <v>69</v>
      </c>
      <c r="E163" s="664">
        <f t="array" ref="E163">IF(A163="","",SUMPRODUCT(('Detalle Turnos'!$Q$3:$Q$500=$A163)*('Detalle Turnos'!$S$3:$S$500=C163)*'Detalle Turnos'!$U$3:$U$500))</f>
        <v>828.32</v>
      </c>
      <c r="F163" s="664">
        <f t="shared" si="11"/>
        <v>12.004637681159421</v>
      </c>
      <c r="G163" s="664">
        <f t="array" ref="G163">IFERROR(SUMPRODUCT(('Facturación 2026'!$A$4:$A$253=A163)*'Facturación 2026'!$J$4:$J$253)*E163/SUMPRODUCT(('Facturación 2026'!$A$4:$A$253=A163)*'Facturación 2026'!$F$4:$F$253),0)</f>
        <v>0</v>
      </c>
      <c r="H163" s="665">
        <f t="shared" si="12"/>
        <v>828.32</v>
      </c>
      <c r="I163" s="666">
        <f t="shared" si="13"/>
        <v>0</v>
      </c>
      <c r="J163" s="74" t="str">
        <f>IFERROR(INDEX('Facturación 2026'!$L$4:$L$253,MATCH(A163,'Facturación 2026'!$A$4:$A$253,0)),"")</f>
        <v/>
      </c>
    </row>
    <row r="164" spans="1:10">
      <c r="A164" s="669">
        <v>46116</v>
      </c>
      <c r="B164" s="670" t="s">
        <v>503</v>
      </c>
      <c r="C164" s="672" t="s">
        <v>497</v>
      </c>
      <c r="D164" s="663">
        <f t="array" ref="D164">IF(A164="","",SUMPRODUCT(('Detalle Turnos'!$Q$3:$Q$500=$A164)*('Detalle Turnos'!$S$3:$S$500=C164)*'Detalle Turnos'!$T$3:$T$500))</f>
        <v>32</v>
      </c>
      <c r="E164" s="664">
        <f t="array" ref="E164">IF(A164="","",SUMPRODUCT(('Detalle Turnos'!$Q$3:$Q$500=$A164)*('Detalle Turnos'!$S$3:$S$500=C164)*'Detalle Turnos'!$U$3:$U$500))</f>
        <v>528.59</v>
      </c>
      <c r="F164" s="664">
        <f t="shared" si="11"/>
        <v>16.518437500000001</v>
      </c>
      <c r="G164" s="664">
        <f t="array" ref="G164">IFERROR(SUMPRODUCT(('Facturación 2026'!$A$4:$A$253=A164)*'Facturación 2026'!$J$4:$J$253)*E164/SUMPRODUCT(('Facturación 2026'!$A$4:$A$253=A164)*'Facturación 2026'!$F$4:$F$253),0)</f>
        <v>0</v>
      </c>
      <c r="H164" s="665">
        <f t="shared" ref="H164" si="14">E164-G164</f>
        <v>528.59</v>
      </c>
      <c r="I164" s="666">
        <f t="shared" si="13"/>
        <v>0</v>
      </c>
      <c r="J164" s="74" t="str">
        <f>IFERROR(INDEX('Facturación 2026'!$L$4:$L$253,MATCH(A164,'Facturación 2026'!$A$4:$A$253,0)),"")</f>
        <v/>
      </c>
    </row>
    <row r="165" spans="1:10" ht="15.75" customHeight="1">
      <c r="A165" s="1071">
        <f>46117</f>
        <v>46117</v>
      </c>
      <c r="B165" s="1000" t="str">
        <f t="shared" ref="B165:B199" si="15">IF(A165="","",CHOOSE(WEEKDAY(A165,2),"Lun","Mar","Mié","Jue","Vie","Sáb","Dom"))</f>
        <v>Dom</v>
      </c>
      <c r="C165" s="662" t="s">
        <v>146</v>
      </c>
      <c r="D165" s="1001">
        <f t="array" ref="D165">IF(A165="","",SUMPRODUCT(('Detalle Turnos'!$Q$3:$Q$500=A165)*('Detalle Turnos'!$S$3:$S$500=C165)*'Detalle Turnos'!$T$3:$T$500))</f>
        <v>26</v>
      </c>
      <c r="E165" s="664">
        <f t="array" ref="E165">IF(A165="","",SUMPRODUCT(('Detalle Turnos'!$Q$3:$Q$500=A165)*('Detalle Turnos'!$S$3:$S$500=C165)*'Detalle Turnos'!$U$3:$U$500))</f>
        <v>106.40900000000001</v>
      </c>
      <c r="F165" s="664">
        <f t="shared" si="11"/>
        <v>4.092653846153846</v>
      </c>
      <c r="G165" s="664">
        <f t="array" ref="G165">IFERROR(SUMPRODUCT(('Facturación 2026'!$A$4:$A$253=A165)*'Facturación 2026'!$J$4:$J$253)*E165/SUMPRODUCT(('Facturación 2026'!$A$4:$A$253=A165)*'Facturación 2026'!$F$4:$F$253),0)</f>
        <v>0</v>
      </c>
      <c r="H165" s="665">
        <f t="shared" ref="H165:H204" si="16">IF(E165="","",E165-G165)</f>
        <v>106.40900000000001</v>
      </c>
      <c r="I165" s="666">
        <f t="shared" si="13"/>
        <v>0</v>
      </c>
      <c r="J165" s="1072" t="str">
        <f>IFERROR(INDEX('Facturación 2026'!$L$4:$L$253,MATCH(A165,'Facturación 2026'!$A$4:$A$253,0)),"")</f>
        <v/>
      </c>
    </row>
    <row r="166" spans="1:10" ht="28" customHeight="1">
      <c r="A166" s="1071">
        <f>46117</f>
        <v>46117</v>
      </c>
      <c r="B166" s="1000" t="str">
        <f t="shared" si="15"/>
        <v>Dom</v>
      </c>
      <c r="C166" s="667" t="s">
        <v>494</v>
      </c>
      <c r="D166" s="1001">
        <f t="array" ref="D166">IF(A166="","",SUMPRODUCT(('Detalle Turnos'!$Q$3:$Q$500=A166)*('Detalle Turnos'!$S$3:$S$500=C166)*'Detalle Turnos'!$T$3:$T$500))</f>
        <v>82</v>
      </c>
      <c r="E166" s="664">
        <f t="array" ref="E166">IF(A166="","",SUMPRODUCT(('Detalle Turnos'!$Q$3:$Q$500=A166)*('Detalle Turnos'!$S$3:$S$500=C166)*'Detalle Turnos'!$U$3:$U$500))</f>
        <v>1152.2729999999999</v>
      </c>
      <c r="F166" s="664">
        <f t="shared" si="11"/>
        <v>14.052109756097559</v>
      </c>
      <c r="G166" s="664">
        <f t="array" ref="G166">IFERROR(SUMPRODUCT(('Facturación 2026'!$A$4:$A$253=A166)*'Facturación 2026'!$J$4:$J$253)*E166/SUMPRODUCT(('Facturación 2026'!$A$4:$A$253=A166)*'Facturación 2026'!$F$4:$F$253),0)</f>
        <v>0</v>
      </c>
      <c r="H166" s="665">
        <f t="shared" si="16"/>
        <v>1152.2729999999999</v>
      </c>
      <c r="I166" s="666">
        <f t="shared" si="13"/>
        <v>0</v>
      </c>
      <c r="J166" s="1072" t="str">
        <f>IFERROR(INDEX('Facturación 2026'!$L$4:$L$253,MATCH(A166,'Facturación 2026'!$A$4:$A$253,0)),"")</f>
        <v/>
      </c>
    </row>
    <row r="167" spans="1:10" ht="22" customHeight="1">
      <c r="A167" s="1071">
        <f>46117</f>
        <v>46117</v>
      </c>
      <c r="B167" s="1000" t="str">
        <f t="shared" si="15"/>
        <v>Dom</v>
      </c>
      <c r="C167" s="668" t="s">
        <v>497</v>
      </c>
      <c r="D167" s="1001">
        <f t="array" ref="D167">IF(A167="","",SUMPRODUCT(('Detalle Turnos'!$Q$3:$Q$500=A167)*('Detalle Turnos'!$S$3:$S$500=C167)*'Detalle Turnos'!$T$3:$T$500))</f>
        <v>42</v>
      </c>
      <c r="E167" s="664">
        <f t="array" ref="E167">IF(A167="","",SUMPRODUCT(('Detalle Turnos'!$Q$3:$Q$500=A167)*('Detalle Turnos'!$S$3:$S$500=C167)*'Detalle Turnos'!$U$3:$U$500))</f>
        <v>775.40899999999999</v>
      </c>
      <c r="F167" s="664">
        <f t="shared" si="11"/>
        <v>18.462119047619048</v>
      </c>
      <c r="G167" s="664">
        <f t="array" ref="G167">IFERROR(SUMPRODUCT(('Facturación 2026'!$A$4:$A$253=A167)*'Facturación 2026'!$J$4:$J$253)*E167/SUMPRODUCT(('Facturación 2026'!$A$4:$A$253=A167)*'Facturación 2026'!$F$4:$F$253),0)</f>
        <v>0</v>
      </c>
      <c r="H167" s="665">
        <f t="shared" si="16"/>
        <v>775.40899999999999</v>
      </c>
      <c r="I167" s="666">
        <f t="shared" si="13"/>
        <v>0</v>
      </c>
      <c r="J167" s="1072" t="str">
        <f>IFERROR(INDEX('Facturación 2026'!$L$4:$L$253,MATCH(A167,'Facturación 2026'!$A$4:$A$253,0)),"")</f>
        <v/>
      </c>
    </row>
    <row r="168" spans="1:10" ht="15.75" customHeight="1">
      <c r="A168" s="1071">
        <f>46118</f>
        <v>46118</v>
      </c>
      <c r="B168" s="1000" t="str">
        <f t="shared" si="15"/>
        <v>Lun</v>
      </c>
      <c r="C168" s="662" t="s">
        <v>146</v>
      </c>
      <c r="D168" s="1001">
        <f t="array" ref="D168">IF(A168="","",SUMPRODUCT(('Detalle Turnos'!$Q$3:$Q$500=A168)*('Detalle Turnos'!$S$3:$S$500=C168)*'Detalle Turnos'!$T$3:$T$500))</f>
        <v>0</v>
      </c>
      <c r="E168" s="664">
        <f t="array" ref="E168">IF(A168="","",SUMPRODUCT(('Detalle Turnos'!$Q$3:$Q$500=A168)*('Detalle Turnos'!$S$3:$S$500=C168)*'Detalle Turnos'!$U$3:$U$500))</f>
        <v>0</v>
      </c>
      <c r="F168" s="664">
        <f t="shared" si="11"/>
        <v>0</v>
      </c>
      <c r="G168" s="664">
        <f t="array" ref="G168">IFERROR(SUMPRODUCT(('Facturación 2026'!$A$4:$A$253=A168)*'Facturación 2026'!$J$4:$J$253)*E168/SUMPRODUCT(('Facturación 2026'!$A$4:$A$253=A168)*'Facturación 2026'!$F$4:$F$253),0)</f>
        <v>0</v>
      </c>
      <c r="H168" s="665">
        <f t="shared" si="16"/>
        <v>0</v>
      </c>
      <c r="I168" s="666">
        <f t="shared" si="13"/>
        <v>0</v>
      </c>
      <c r="J168" s="1072" t="str">
        <f>IFERROR(INDEX('Facturación 2026'!$L$4:$L$253,MATCH(A168,'Facturación 2026'!$A$4:$A$253,0)),"")</f>
        <v/>
      </c>
    </row>
    <row r="169" spans="1:10" ht="15.75" customHeight="1">
      <c r="A169" s="1071">
        <f>46118</f>
        <v>46118</v>
      </c>
      <c r="B169" s="1000" t="str">
        <f t="shared" si="15"/>
        <v>Lun</v>
      </c>
      <c r="C169" s="667" t="s">
        <v>494</v>
      </c>
      <c r="D169" s="1001">
        <f t="array" ref="D169">IF(A169="","",SUMPRODUCT(('Detalle Turnos'!$Q$3:$Q$500=A169)*('Detalle Turnos'!$S$3:$S$500=C169)*'Detalle Turnos'!$T$3:$T$500))</f>
        <v>0</v>
      </c>
      <c r="E169" s="664">
        <f t="array" ref="E169">IF(A169="","",SUMPRODUCT(('Detalle Turnos'!$Q$3:$Q$500=A169)*('Detalle Turnos'!$S$3:$S$500=C169)*'Detalle Turnos'!$U$3:$U$500))</f>
        <v>0</v>
      </c>
      <c r="F169" s="664">
        <f t="shared" si="11"/>
        <v>0</v>
      </c>
      <c r="G169" s="664">
        <f t="array" ref="G169">IFERROR(SUMPRODUCT(('Facturación 2026'!$A$4:$A$253=A169)*'Facturación 2026'!$J$4:$J$253)*E169/SUMPRODUCT(('Facturación 2026'!$A$4:$A$253=A169)*'Facturación 2026'!$F$4:$F$253),0)</f>
        <v>0</v>
      </c>
      <c r="H169" s="665">
        <f t="shared" si="16"/>
        <v>0</v>
      </c>
      <c r="I169" s="666">
        <f t="shared" si="13"/>
        <v>0</v>
      </c>
      <c r="J169" s="1072" t="str">
        <f>IFERROR(INDEX('Facturación 2026'!$L$4:$L$253,MATCH(A169,'Facturación 2026'!$A$4:$A$253,0)),"")</f>
        <v/>
      </c>
    </row>
    <row r="170" spans="1:10" ht="15.75" customHeight="1">
      <c r="A170" s="1071">
        <f>46120</f>
        <v>46120</v>
      </c>
      <c r="B170" s="1000" t="str">
        <f t="shared" si="15"/>
        <v>Mié</v>
      </c>
      <c r="C170" s="667" t="s">
        <v>494</v>
      </c>
      <c r="D170" s="1001">
        <f t="array" ref="D170">IF(A170="","",SUMPRODUCT(('Detalle Turnos'!$Q$3:$Q$500=A170)*('Detalle Turnos'!$S$3:$S$500=C170)*'Detalle Turnos'!$T$3:$T$500))</f>
        <v>17</v>
      </c>
      <c r="E170" s="664">
        <f t="array" ref="E170">IF(A170="","",SUMPRODUCT(('Detalle Turnos'!$Q$3:$Q$500=A170)*('Detalle Turnos'!$S$3:$S$500=C170)*'Detalle Turnos'!$U$3:$U$500))</f>
        <v>214.773</v>
      </c>
      <c r="F170" s="664">
        <f t="shared" si="11"/>
        <v>12.633705882352942</v>
      </c>
      <c r="G170" s="664">
        <f t="array" ref="G170">IFERROR(SUMPRODUCT(('Facturación 2026'!$A$4:$A$253=A170)*'Facturación 2026'!$J$4:$J$253)*E170/SUMPRODUCT(('Facturación 2026'!$A$4:$A$253=A170)*'Facturación 2026'!$F$4:$F$253),0)</f>
        <v>0</v>
      </c>
      <c r="H170" s="665">
        <f t="shared" si="16"/>
        <v>214.773</v>
      </c>
      <c r="I170" s="666">
        <f t="shared" si="13"/>
        <v>0</v>
      </c>
      <c r="J170" s="1072" t="str">
        <f>IFERROR(INDEX('Facturación 2026'!$L$4:$L$253,MATCH(A170,'Facturación 2026'!$A$4:$A$253,0)),"")</f>
        <v/>
      </c>
    </row>
    <row r="171" spans="1:10" ht="15.75" customHeight="1">
      <c r="A171" s="1071">
        <f>46120</f>
        <v>46120</v>
      </c>
      <c r="B171" s="1000" t="str">
        <f t="shared" si="15"/>
        <v>Mié</v>
      </c>
      <c r="C171" s="668" t="s">
        <v>497</v>
      </c>
      <c r="D171" s="1001">
        <f t="array" ref="D171">IF(A171="","",SUMPRODUCT(('Detalle Turnos'!$Q$3:$Q$500=A171)*('Detalle Turnos'!$S$3:$S$500=C171)*'Detalle Turnos'!$T$3:$T$500))</f>
        <v>18</v>
      </c>
      <c r="E171" s="664">
        <f t="array" ref="E171">IF(A171="","",SUMPRODUCT(('Detalle Turnos'!$Q$3:$Q$500=A171)*('Detalle Turnos'!$S$3:$S$500=C171)*'Detalle Turnos'!$U$3:$U$500))</f>
        <v>124.636</v>
      </c>
      <c r="F171" s="664">
        <f t="shared" si="11"/>
        <v>6.9242222222222223</v>
      </c>
      <c r="G171" s="664">
        <f t="array" ref="G171">IFERROR(SUMPRODUCT(('Facturación 2026'!$A$4:$A$253=A171)*'Facturación 2026'!$J$4:$J$253)*E171/SUMPRODUCT(('Facturación 2026'!$A$4:$A$253=A171)*'Facturación 2026'!$F$4:$F$253),0)</f>
        <v>0</v>
      </c>
      <c r="H171" s="665">
        <f t="shared" si="16"/>
        <v>124.636</v>
      </c>
      <c r="I171" s="666">
        <f t="shared" si="13"/>
        <v>0</v>
      </c>
      <c r="J171" s="1072" t="str">
        <f>IFERROR(INDEX('Facturación 2026'!$L$4:$L$253,MATCH(A171,'Facturación 2026'!$A$4:$A$253,0)),"")</f>
        <v/>
      </c>
    </row>
    <row r="172" spans="1:10" ht="15.75" customHeight="1">
      <c r="A172" s="1071">
        <f>46121</f>
        <v>46121</v>
      </c>
      <c r="B172" s="1000" t="str">
        <f t="shared" si="15"/>
        <v>Jue</v>
      </c>
      <c r="C172" s="662" t="s">
        <v>146</v>
      </c>
      <c r="D172" s="1001">
        <f t="array" ref="D172">IF(A172="","",SUMPRODUCT(('Detalle Turnos'!$Q$3:$Q$500=A172)*('Detalle Turnos'!$S$3:$S$500=C172)*'Detalle Turnos'!$T$3:$T$500))</f>
        <v>0</v>
      </c>
      <c r="E172" s="664">
        <f t="array" ref="E172">IF(A172="","",SUMPRODUCT(('Detalle Turnos'!$Q$3:$Q$500=A172)*('Detalle Turnos'!$S$3:$S$500=C172)*'Detalle Turnos'!$U$3:$U$500))</f>
        <v>0</v>
      </c>
      <c r="F172" s="664">
        <f t="shared" si="11"/>
        <v>0</v>
      </c>
      <c r="G172" s="664">
        <f t="array" ref="G172">IFERROR(SUMPRODUCT(('Facturación 2026'!$A$4:$A$253=A172)*'Facturación 2026'!$J$4:$J$253)*E172/SUMPRODUCT(('Facturación 2026'!$A$4:$A$253=A172)*'Facturación 2026'!$F$4:$F$253),0)</f>
        <v>0</v>
      </c>
      <c r="H172" s="665">
        <f t="shared" si="16"/>
        <v>0</v>
      </c>
      <c r="I172" s="666">
        <f t="shared" si="13"/>
        <v>0</v>
      </c>
      <c r="J172" s="1072" t="str">
        <f>IFERROR(INDEX('Facturación 2026'!$L$4:$L$253,MATCH(A172,'Facturación 2026'!$A$4:$A$253,0)),"")</f>
        <v/>
      </c>
    </row>
    <row r="173" spans="1:10" ht="15.75" customHeight="1">
      <c r="A173" s="1071">
        <f>46121</f>
        <v>46121</v>
      </c>
      <c r="B173" s="1000" t="str">
        <f t="shared" si="15"/>
        <v>Jue</v>
      </c>
      <c r="C173" s="667" t="s">
        <v>494</v>
      </c>
      <c r="D173" s="1001">
        <f t="array" ref="D173">IF(A173="","",SUMPRODUCT(('Detalle Turnos'!$Q$3:$Q$500=A173)*('Detalle Turnos'!$S$3:$S$500=C173)*'Detalle Turnos'!$T$3:$T$500))</f>
        <v>20</v>
      </c>
      <c r="E173" s="664">
        <f t="array" ref="E173">IF(A173="","",SUMPRODUCT(('Detalle Turnos'!$Q$3:$Q$500=A173)*('Detalle Turnos'!$S$3:$S$500=C173)*'Detalle Turnos'!$U$3:$U$500))</f>
        <v>185.864</v>
      </c>
      <c r="F173" s="664">
        <f t="shared" si="11"/>
        <v>9.2932000000000006</v>
      </c>
      <c r="G173" s="664">
        <f t="array" ref="G173">IFERROR(SUMPRODUCT(('Facturación 2026'!$A$4:$A$253=A173)*'Facturación 2026'!$J$4:$J$253)*E173/SUMPRODUCT(('Facturación 2026'!$A$4:$A$253=A173)*'Facturación 2026'!$F$4:$F$253),0)</f>
        <v>0</v>
      </c>
      <c r="H173" s="665">
        <f t="shared" si="16"/>
        <v>185.864</v>
      </c>
      <c r="I173" s="666">
        <f t="shared" si="13"/>
        <v>0</v>
      </c>
      <c r="J173" s="1072" t="str">
        <f>IFERROR(INDEX('Facturación 2026'!$L$4:$L$253,MATCH(A173,'Facturación 2026'!$A$4:$A$253,0)),"")</f>
        <v/>
      </c>
    </row>
    <row r="174" spans="1:10" ht="15.75" customHeight="1">
      <c r="A174" s="1071">
        <f>46121</f>
        <v>46121</v>
      </c>
      <c r="B174" s="1000" t="str">
        <f t="shared" si="15"/>
        <v>Jue</v>
      </c>
      <c r="C174" s="668" t="s">
        <v>497</v>
      </c>
      <c r="D174" s="1001">
        <f t="array" ref="D174">IF(A174="","",SUMPRODUCT(('Detalle Turnos'!$Q$3:$Q$500=A174)*('Detalle Turnos'!$S$3:$S$500=C174)*'Detalle Turnos'!$T$3:$T$500))</f>
        <v>16</v>
      </c>
      <c r="E174" s="664">
        <f t="array" ref="E174">IF(A174="","",SUMPRODUCT(('Detalle Turnos'!$Q$3:$Q$500=A174)*('Detalle Turnos'!$S$3:$S$500=C174)*'Detalle Turnos'!$U$3:$U$500))</f>
        <v>315.04500000000002</v>
      </c>
      <c r="F174" s="664">
        <f t="shared" si="11"/>
        <v>19.690312500000001</v>
      </c>
      <c r="G174" s="664">
        <f t="array" ref="G174">IFERROR(SUMPRODUCT(('Facturación 2026'!$A$4:$A$253=A174)*'Facturación 2026'!$J$4:$J$253)*E174/SUMPRODUCT(('Facturación 2026'!$A$4:$A$253=A174)*'Facturación 2026'!$F$4:$F$253),0)</f>
        <v>0</v>
      </c>
      <c r="H174" s="665">
        <f t="shared" si="16"/>
        <v>315.04500000000002</v>
      </c>
      <c r="I174" s="666">
        <f t="shared" si="13"/>
        <v>0</v>
      </c>
      <c r="J174" s="1072" t="str">
        <f>IFERROR(INDEX('Facturación 2026'!$L$4:$L$253,MATCH(A174,'Facturación 2026'!$A$4:$A$253,0)),"")</f>
        <v/>
      </c>
    </row>
    <row r="175" spans="1:10" ht="15.75" customHeight="1">
      <c r="A175" s="1071">
        <f>46122</f>
        <v>46122</v>
      </c>
      <c r="B175" s="1000" t="str">
        <f t="shared" si="15"/>
        <v>Vie</v>
      </c>
      <c r="C175" s="667" t="s">
        <v>494</v>
      </c>
      <c r="D175" s="1001">
        <f t="array" ref="D175">IF(A175="","",SUMPRODUCT(('Detalle Turnos'!$Q$3:$Q$500=A175)*('Detalle Turnos'!$S$3:$S$500=C175)*'Detalle Turnos'!$T$3:$T$500))</f>
        <v>18</v>
      </c>
      <c r="E175" s="664">
        <f t="array" ref="E175">IF(A175="","",SUMPRODUCT(('Detalle Turnos'!$Q$3:$Q$500=A175)*('Detalle Turnos'!$S$3:$S$500=C175)*'Detalle Turnos'!$U$3:$U$500))</f>
        <v>226.04499999999999</v>
      </c>
      <c r="F175" s="664">
        <f t="shared" si="11"/>
        <v>12.558055555555555</v>
      </c>
      <c r="G175" s="664">
        <f t="array" ref="G175">IFERROR(SUMPRODUCT(('Facturación 2026'!$A$4:$A$253=A175)*'Facturación 2026'!$J$4:$J$253)*E175/SUMPRODUCT(('Facturación 2026'!$A$4:$A$253=A175)*'Facturación 2026'!$F$4:$F$253),0)</f>
        <v>0</v>
      </c>
      <c r="H175" s="665">
        <f t="shared" si="16"/>
        <v>226.04499999999999</v>
      </c>
      <c r="I175" s="666">
        <f t="shared" si="13"/>
        <v>0</v>
      </c>
      <c r="J175" s="1072" t="str">
        <f>IFERROR(INDEX('Facturación 2026'!$L$4:$L$253,MATCH(A175,'Facturación 2026'!$A$4:$A$253,0)),"")</f>
        <v/>
      </c>
    </row>
    <row r="176" spans="1:10" ht="15.75" customHeight="1">
      <c r="A176" s="1071">
        <f>46122</f>
        <v>46122</v>
      </c>
      <c r="B176" s="1000" t="str">
        <f t="shared" si="15"/>
        <v>Vie</v>
      </c>
      <c r="C176" s="668" t="s">
        <v>497</v>
      </c>
      <c r="D176" s="1001">
        <f t="array" ref="D176">IF(A176="","",SUMPRODUCT(('Detalle Turnos'!$Q$3:$Q$500=A176)*('Detalle Turnos'!$S$3:$S$500=C176)*'Detalle Turnos'!$T$3:$T$500))</f>
        <v>37</v>
      </c>
      <c r="E176" s="664">
        <f t="array" ref="E176">IF(A176="","",SUMPRODUCT(('Detalle Turnos'!$Q$3:$Q$500=A176)*('Detalle Turnos'!$S$3:$S$500=C176)*'Detalle Turnos'!$U$3:$U$500))</f>
        <v>477.90899999999999</v>
      </c>
      <c r="F176" s="664">
        <f t="shared" si="11"/>
        <v>12.916459459459459</v>
      </c>
      <c r="G176" s="664">
        <f t="array" ref="G176">IFERROR(SUMPRODUCT(('Facturación 2026'!$A$4:$A$253=A176)*'Facturación 2026'!$J$4:$J$253)*E176/SUMPRODUCT(('Facturación 2026'!$A$4:$A$253=A176)*'Facturación 2026'!$F$4:$F$253),0)</f>
        <v>0</v>
      </c>
      <c r="H176" s="665">
        <f t="shared" si="16"/>
        <v>477.90899999999999</v>
      </c>
      <c r="I176" s="666">
        <f t="shared" si="13"/>
        <v>0</v>
      </c>
      <c r="J176" s="1072" t="str">
        <f>IFERROR(INDEX('Facturación 2026'!$L$4:$L$253,MATCH(A176,'Facturación 2026'!$A$4:$A$253,0)),"")</f>
        <v/>
      </c>
    </row>
    <row r="177" spans="1:10" ht="15.75" customHeight="1">
      <c r="A177" s="1071">
        <f>46123</f>
        <v>46123</v>
      </c>
      <c r="B177" s="1000" t="str">
        <f t="shared" si="15"/>
        <v>Sáb</v>
      </c>
      <c r="C177" s="662" t="s">
        <v>146</v>
      </c>
      <c r="D177" s="1001">
        <f t="array" ref="D177">IF(A177="","",SUMPRODUCT(('Detalle Turnos'!$Q$3:$Q$500=A177)*('Detalle Turnos'!$S$3:$S$500=C177)*'Detalle Turnos'!$T$3:$T$500))</f>
        <v>21</v>
      </c>
      <c r="E177" s="664">
        <f t="array" ref="E177">IF(A177="","",SUMPRODUCT(('Detalle Turnos'!$Q$3:$Q$500=A177)*('Detalle Turnos'!$S$3:$S$500=C177)*'Detalle Turnos'!$U$3:$U$500))</f>
        <v>85.272999999999996</v>
      </c>
      <c r="F177" s="664">
        <f t="shared" si="11"/>
        <v>4.0606190476190474</v>
      </c>
      <c r="G177" s="664">
        <f t="array" ref="G177">IFERROR(SUMPRODUCT(('Facturación 2026'!$A$4:$A$253=A177)*'Facturación 2026'!$J$4:$J$253)*E177/SUMPRODUCT(('Facturación 2026'!$A$4:$A$253=A177)*'Facturación 2026'!$F$4:$F$253),0)</f>
        <v>0</v>
      </c>
      <c r="H177" s="665">
        <f t="shared" si="16"/>
        <v>85.272999999999996</v>
      </c>
      <c r="I177" s="666">
        <f t="shared" si="13"/>
        <v>0</v>
      </c>
      <c r="J177" s="1072" t="str">
        <f>IFERROR(INDEX('Facturación 2026'!$L$4:$L$253,MATCH(A177,'Facturación 2026'!$A$4:$A$253,0)),"")</f>
        <v/>
      </c>
    </row>
    <row r="178" spans="1:10" ht="15.75" customHeight="1">
      <c r="A178" s="1071">
        <f>46123</f>
        <v>46123</v>
      </c>
      <c r="B178" s="1000" t="str">
        <f t="shared" si="15"/>
        <v>Sáb</v>
      </c>
      <c r="C178" s="667" t="s">
        <v>494</v>
      </c>
      <c r="D178" s="1001">
        <f t="array" ref="D178">IF(A178="","",SUMPRODUCT(('Detalle Turnos'!$Q$3:$Q$500=A178)*('Detalle Turnos'!$S$3:$S$500=C178)*'Detalle Turnos'!$T$3:$T$500))</f>
        <v>55</v>
      </c>
      <c r="E178" s="664">
        <f t="array" ref="E178">IF(A178="","",SUMPRODUCT(('Detalle Turnos'!$Q$3:$Q$500=A178)*('Detalle Turnos'!$S$3:$S$500=C178)*'Detalle Turnos'!$U$3:$U$500))</f>
        <v>772.31799999999998</v>
      </c>
      <c r="F178" s="664">
        <f t="shared" si="11"/>
        <v>14.042145454545453</v>
      </c>
      <c r="G178" s="664">
        <f t="array" ref="G178">IFERROR(SUMPRODUCT(('Facturación 2026'!$A$4:$A$253=A178)*'Facturación 2026'!$J$4:$J$253)*E178/SUMPRODUCT(('Facturación 2026'!$A$4:$A$253=A178)*'Facturación 2026'!$F$4:$F$253),0)</f>
        <v>0</v>
      </c>
      <c r="H178" s="665">
        <f t="shared" si="16"/>
        <v>772.31799999999998</v>
      </c>
      <c r="I178" s="666">
        <f t="shared" si="13"/>
        <v>0</v>
      </c>
      <c r="J178" s="1072" t="str">
        <f>IFERROR(INDEX('Facturación 2026'!$L$4:$L$253,MATCH(A178,'Facturación 2026'!$A$4:$A$253,0)),"")</f>
        <v/>
      </c>
    </row>
    <row r="179" spans="1:10" ht="15.75" customHeight="1">
      <c r="A179" s="1071">
        <f>46123</f>
        <v>46123</v>
      </c>
      <c r="B179" s="1000" t="str">
        <f t="shared" si="15"/>
        <v>Sáb</v>
      </c>
      <c r="C179" s="668" t="s">
        <v>497</v>
      </c>
      <c r="D179" s="1001">
        <f t="array" ref="D179">IF(A179="","",SUMPRODUCT(('Detalle Turnos'!$Q$3:$Q$500=A179)*('Detalle Turnos'!$S$3:$S$500=C179)*'Detalle Turnos'!$T$3:$T$500))</f>
        <v>53</v>
      </c>
      <c r="E179" s="664">
        <f t="array" ref="E179">IF(A179="","",SUMPRODUCT(('Detalle Turnos'!$Q$3:$Q$500=A179)*('Detalle Turnos'!$S$3:$S$500=C179)*'Detalle Turnos'!$U$3:$U$500))</f>
        <v>947.95500000000004</v>
      </c>
      <c r="F179" s="664">
        <f t="shared" si="11"/>
        <v>17.885943396226416</v>
      </c>
      <c r="G179" s="664">
        <f t="array" ref="G179">IFERROR(SUMPRODUCT(('Facturación 2026'!$A$4:$A$253=A179)*'Facturación 2026'!$J$4:$J$253)*E179/SUMPRODUCT(('Facturación 2026'!$A$4:$A$253=A179)*'Facturación 2026'!$F$4:$F$253),0)</f>
        <v>0</v>
      </c>
      <c r="H179" s="665">
        <f t="shared" si="16"/>
        <v>947.95500000000004</v>
      </c>
      <c r="I179" s="666">
        <f t="shared" si="13"/>
        <v>0</v>
      </c>
      <c r="J179" s="1072" t="str">
        <f>IFERROR(INDEX('Facturación 2026'!$L$4:$L$253,MATCH(A179,'Facturación 2026'!$A$4:$A$253,0)),"")</f>
        <v/>
      </c>
    </row>
    <row r="180" spans="1:10" ht="15.75" customHeight="1">
      <c r="A180" s="1071">
        <f>46124</f>
        <v>46124</v>
      </c>
      <c r="B180" s="1000" t="str">
        <f t="shared" si="15"/>
        <v>Dom</v>
      </c>
      <c r="C180" s="662" t="s">
        <v>146</v>
      </c>
      <c r="D180" s="1001">
        <f t="array" ref="D180">IF(A180="","",SUMPRODUCT(('Detalle Turnos'!$Q$3:$Q$500=A180)*('Detalle Turnos'!$S$3:$S$500=C180)*'Detalle Turnos'!$T$3:$T$500))</f>
        <v>28</v>
      </c>
      <c r="E180" s="664">
        <f t="array" ref="E180">IF(A180="","",SUMPRODUCT(('Detalle Turnos'!$Q$3:$Q$500=A180)*('Detalle Turnos'!$S$3:$S$500=C180)*'Detalle Turnos'!$U$3:$U$500))</f>
        <v>123.227</v>
      </c>
      <c r="F180" s="664">
        <f t="shared" si="11"/>
        <v>4.4009642857142861</v>
      </c>
      <c r="G180" s="664">
        <f t="array" ref="G180">IFERROR(SUMPRODUCT(('Facturación 2026'!$A$4:$A$253=A180)*'Facturación 2026'!$J$4:$J$253)*E180/SUMPRODUCT(('Facturación 2026'!$A$4:$A$253=A180)*'Facturación 2026'!$F$4:$F$253),0)</f>
        <v>0</v>
      </c>
      <c r="H180" s="665">
        <f t="shared" si="16"/>
        <v>123.227</v>
      </c>
      <c r="I180" s="666">
        <f t="shared" si="13"/>
        <v>0</v>
      </c>
      <c r="J180" s="1072" t="str">
        <f>IFERROR(INDEX('Facturación 2026'!$L$4:$L$253,MATCH(A180,'Facturación 2026'!$A$4:$A$253,0)),"")</f>
        <v/>
      </c>
    </row>
    <row r="181" spans="1:10" ht="15.75" customHeight="1">
      <c r="A181" s="1071">
        <f>46124</f>
        <v>46124</v>
      </c>
      <c r="B181" s="1000" t="str">
        <f t="shared" si="15"/>
        <v>Dom</v>
      </c>
      <c r="C181" s="667" t="s">
        <v>494</v>
      </c>
      <c r="D181" s="1001">
        <f t="array" ref="D181">IF(A181="","",SUMPRODUCT(('Detalle Turnos'!$Q$3:$Q$500=A181)*('Detalle Turnos'!$S$3:$S$500=C181)*'Detalle Turnos'!$T$3:$T$500))</f>
        <v>31</v>
      </c>
      <c r="E181" s="664">
        <f t="array" ref="E181">IF(A181="","",SUMPRODUCT(('Detalle Turnos'!$Q$3:$Q$500=A181)*('Detalle Turnos'!$S$3:$S$500=C181)*'Detalle Turnos'!$U$3:$U$500))</f>
        <v>481.63600000000002</v>
      </c>
      <c r="F181" s="664">
        <f t="shared" si="11"/>
        <v>15.536645161290323</v>
      </c>
      <c r="G181" s="664">
        <f t="array" ref="G181">IFERROR(SUMPRODUCT(('Facturación 2026'!$A$4:$A$253=A181)*'Facturación 2026'!$J$4:$J$253)*E181/SUMPRODUCT(('Facturación 2026'!$A$4:$A$253=A181)*'Facturación 2026'!$F$4:$F$253),0)</f>
        <v>0</v>
      </c>
      <c r="H181" s="665">
        <f t="shared" si="16"/>
        <v>481.63600000000002</v>
      </c>
      <c r="I181" s="666">
        <f t="shared" si="13"/>
        <v>0</v>
      </c>
      <c r="J181" s="1072" t="str">
        <f>IFERROR(INDEX('Facturación 2026'!$L$4:$L$253,MATCH(A181,'Facturación 2026'!$A$4:$A$253,0)),"")</f>
        <v/>
      </c>
    </row>
    <row r="182" spans="1:10" ht="15.75" customHeight="1">
      <c r="A182" s="1071">
        <f>46124</f>
        <v>46124</v>
      </c>
      <c r="B182" s="1000" t="str">
        <f t="shared" si="15"/>
        <v>Dom</v>
      </c>
      <c r="C182" s="668" t="s">
        <v>497</v>
      </c>
      <c r="D182" s="1001">
        <f t="array" ref="D182">IF(A182="","",SUMPRODUCT(('Detalle Turnos'!$Q$3:$Q$500=A182)*('Detalle Turnos'!$S$3:$S$500=C182)*'Detalle Turnos'!$T$3:$T$500))</f>
        <v>6</v>
      </c>
      <c r="E182" s="664">
        <f t="array" ref="E182">IF(A182="","",SUMPRODUCT(('Detalle Turnos'!$Q$3:$Q$500=A182)*('Detalle Turnos'!$S$3:$S$500=C182)*'Detalle Turnos'!$U$3:$U$500))</f>
        <v>61.045000000000002</v>
      </c>
      <c r="F182" s="664">
        <f t="shared" si="11"/>
        <v>10.174166666666666</v>
      </c>
      <c r="G182" s="664">
        <f t="array" ref="G182">IFERROR(SUMPRODUCT(('Facturación 2026'!$A$4:$A$253=A182)*'Facturación 2026'!$J$4:$J$253)*E182/SUMPRODUCT(('Facturación 2026'!$A$4:$A$253=A182)*'Facturación 2026'!$F$4:$F$253),0)</f>
        <v>0</v>
      </c>
      <c r="H182" s="665">
        <f t="shared" si="16"/>
        <v>61.045000000000002</v>
      </c>
      <c r="I182" s="666">
        <f t="shared" si="13"/>
        <v>0</v>
      </c>
      <c r="J182" s="1072" t="str">
        <f>IFERROR(INDEX('Facturación 2026'!$L$4:$L$253,MATCH(A182,'Facturación 2026'!$A$4:$A$253,0)),"")</f>
        <v/>
      </c>
    </row>
    <row r="183" spans="1:10" ht="15.75" customHeight="1">
      <c r="A183" s="1071">
        <f>46127</f>
        <v>46127</v>
      </c>
      <c r="B183" s="1000" t="str">
        <f t="shared" si="15"/>
        <v>Mié</v>
      </c>
      <c r="C183" s="667" t="s">
        <v>494</v>
      </c>
      <c r="D183" s="1001">
        <f t="array" ref="D183">IF(A183="","",SUMPRODUCT(('Detalle Turnos'!$Q$3:$Q$500=A183)*('Detalle Turnos'!$S$3:$S$500=C183)*'Detalle Turnos'!$T$3:$T$500))</f>
        <v>24</v>
      </c>
      <c r="E183" s="664">
        <f t="array" ref="E183">IF(A183="","",SUMPRODUCT(('Detalle Turnos'!$Q$3:$Q$500=A183)*('Detalle Turnos'!$S$3:$S$500=C183)*'Detalle Turnos'!$U$3:$U$500))</f>
        <v>302.63600000000002</v>
      </c>
      <c r="F183" s="664">
        <f t="shared" si="11"/>
        <v>12.609833333333334</v>
      </c>
      <c r="G183" s="664">
        <f t="array" ref="G183">IFERROR(SUMPRODUCT(('Facturación 2026'!$A$4:$A$253=A183)*'Facturación 2026'!$J$4:$J$253)*E183/SUMPRODUCT(('Facturación 2026'!$A$4:$A$253=A183)*'Facturación 2026'!$F$4:$F$253),0)</f>
        <v>0</v>
      </c>
      <c r="H183" s="665">
        <f t="shared" si="16"/>
        <v>302.63600000000002</v>
      </c>
      <c r="I183" s="666">
        <f t="shared" si="13"/>
        <v>0</v>
      </c>
      <c r="J183" s="1072" t="str">
        <f>IFERROR(INDEX('Facturación 2026'!$L$4:$L$253,MATCH(A183,'Facturación 2026'!$A$4:$A$253,0)),"")</f>
        <v/>
      </c>
    </row>
    <row r="184" spans="1:10" ht="15.75" customHeight="1">
      <c r="A184" s="1071">
        <f>46127</f>
        <v>46127</v>
      </c>
      <c r="B184" s="1000" t="str">
        <f t="shared" si="15"/>
        <v>Mié</v>
      </c>
      <c r="C184" s="668" t="s">
        <v>497</v>
      </c>
      <c r="D184" s="1001">
        <f t="array" ref="D184">IF(A184="","",SUMPRODUCT(('Detalle Turnos'!$Q$3:$Q$500=A184)*('Detalle Turnos'!$S$3:$S$500=C184)*'Detalle Turnos'!$T$3:$T$500))</f>
        <v>14</v>
      </c>
      <c r="E184" s="664">
        <f t="array" ref="E184">IF(A184="","",SUMPRODUCT(('Detalle Turnos'!$Q$3:$Q$500=A184)*('Detalle Turnos'!$S$3:$S$500=C184)*'Detalle Turnos'!$U$3:$U$500))</f>
        <v>187.09100000000001</v>
      </c>
      <c r="F184" s="664">
        <f t="shared" si="11"/>
        <v>13.363642857142858</v>
      </c>
      <c r="G184" s="664">
        <f t="array" ref="G184">IFERROR(SUMPRODUCT(('Facturación 2026'!$A$4:$A$253=A184)*'Facturación 2026'!$J$4:$J$253)*E184/SUMPRODUCT(('Facturación 2026'!$A$4:$A$253=A184)*'Facturación 2026'!$F$4:$F$253),0)</f>
        <v>0</v>
      </c>
      <c r="H184" s="665">
        <f t="shared" si="16"/>
        <v>187.09100000000001</v>
      </c>
      <c r="I184" s="666">
        <f t="shared" si="13"/>
        <v>0</v>
      </c>
      <c r="J184" s="1072" t="str">
        <f>IFERROR(INDEX('Facturación 2026'!$L$4:$L$253,MATCH(A184,'Facturación 2026'!$A$4:$A$253,0)),"")</f>
        <v/>
      </c>
    </row>
    <row r="185" spans="1:10" ht="15.75" customHeight="1">
      <c r="A185" s="1071">
        <f>46128</f>
        <v>46128</v>
      </c>
      <c r="B185" s="1000" t="str">
        <f t="shared" si="15"/>
        <v>Jue</v>
      </c>
      <c r="C185" s="667" t="s">
        <v>494</v>
      </c>
      <c r="D185" s="1001">
        <f t="array" ref="D185">IF(A185="","",SUMPRODUCT(('Detalle Turnos'!$Q$3:$Q$500=A185)*('Detalle Turnos'!$S$3:$S$500=C185)*'Detalle Turnos'!$T$3:$T$500))</f>
        <v>20</v>
      </c>
      <c r="E185" s="664">
        <f t="array" ref="E185">IF(A185="","",SUMPRODUCT(('Detalle Turnos'!$Q$3:$Q$500=A185)*('Detalle Turnos'!$S$3:$S$500=C185)*'Detalle Turnos'!$U$3:$U$500))</f>
        <v>421.95499999999998</v>
      </c>
      <c r="F185" s="664">
        <f t="shared" si="11"/>
        <v>21.097749999999998</v>
      </c>
      <c r="G185" s="664">
        <f t="array" ref="G185">IFERROR(SUMPRODUCT(('Facturación 2026'!$A$4:$A$253=A185)*'Facturación 2026'!$J$4:$J$253)*E185/SUMPRODUCT(('Facturación 2026'!$A$4:$A$253=A185)*'Facturación 2026'!$F$4:$F$253),0)</f>
        <v>0</v>
      </c>
      <c r="H185" s="665">
        <f t="shared" si="16"/>
        <v>421.95499999999998</v>
      </c>
      <c r="I185" s="666">
        <f t="shared" si="13"/>
        <v>0</v>
      </c>
      <c r="J185" s="1072" t="str">
        <f>IFERROR(INDEX('Facturación 2026'!$L$4:$L$253,MATCH(A185,'Facturación 2026'!$A$4:$A$253,0)),"")</f>
        <v/>
      </c>
    </row>
    <row r="186" spans="1:10" ht="15.75" customHeight="1">
      <c r="A186" s="1071">
        <f>46128</f>
        <v>46128</v>
      </c>
      <c r="B186" s="1000" t="str">
        <f t="shared" si="15"/>
        <v>Jue</v>
      </c>
      <c r="C186" s="668" t="s">
        <v>497</v>
      </c>
      <c r="D186" s="1001">
        <f t="array" ref="D186">IF(A186="","",SUMPRODUCT(('Detalle Turnos'!$Q$3:$Q$500=A186)*('Detalle Turnos'!$S$3:$S$500=C186)*'Detalle Turnos'!$T$3:$T$500))</f>
        <v>32</v>
      </c>
      <c r="E186" s="664">
        <f t="array" ref="E186">IF(A186="","",SUMPRODUCT(('Detalle Turnos'!$Q$3:$Q$500=A186)*('Detalle Turnos'!$S$3:$S$500=C186)*'Detalle Turnos'!$U$3:$U$500))</f>
        <v>403.04500000000002</v>
      </c>
      <c r="F186" s="664">
        <f t="shared" si="11"/>
        <v>12.59515625</v>
      </c>
      <c r="G186" s="664">
        <f t="array" ref="G186">IFERROR(SUMPRODUCT(('Facturación 2026'!$A$4:$A$253=A186)*'Facturación 2026'!$J$4:$J$253)*E186/SUMPRODUCT(('Facturación 2026'!$A$4:$A$253=A186)*'Facturación 2026'!$F$4:$F$253),0)</f>
        <v>0</v>
      </c>
      <c r="H186" s="665">
        <f t="shared" si="16"/>
        <v>403.04500000000002</v>
      </c>
      <c r="I186" s="666">
        <f t="shared" si="13"/>
        <v>0</v>
      </c>
      <c r="J186" s="1072" t="str">
        <f>IFERROR(INDEX('Facturación 2026'!$L$4:$L$253,MATCH(A186,'Facturación 2026'!$A$4:$A$253,0)),"")</f>
        <v/>
      </c>
    </row>
    <row r="187" spans="1:10" ht="15.75" customHeight="1">
      <c r="A187" s="1071">
        <f>46129</f>
        <v>46129</v>
      </c>
      <c r="B187" s="1000" t="str">
        <f t="shared" si="15"/>
        <v>Vie</v>
      </c>
      <c r="C187" s="667" t="s">
        <v>494</v>
      </c>
      <c r="D187" s="1001">
        <f t="array" ref="D187">IF(A187="","",SUMPRODUCT(('Detalle Turnos'!$Q$3:$Q$500=A187)*('Detalle Turnos'!$S$3:$S$500=C187)*'Detalle Turnos'!$T$3:$T$500))</f>
        <v>20</v>
      </c>
      <c r="E187" s="664">
        <f t="array" ref="E187">IF(A187="","",SUMPRODUCT(('Detalle Turnos'!$Q$3:$Q$500=A187)*('Detalle Turnos'!$S$3:$S$500=C187)*'Detalle Turnos'!$U$3:$U$500))</f>
        <v>310.81799999999998</v>
      </c>
      <c r="F187" s="664">
        <f t="shared" si="11"/>
        <v>15.540899999999999</v>
      </c>
      <c r="G187" s="664">
        <f t="array" ref="G187">IFERROR(SUMPRODUCT(('Facturación 2026'!$A$4:$A$253=A187)*'Facturación 2026'!$J$4:$J$253)*E187/SUMPRODUCT(('Facturación 2026'!$A$4:$A$253=A187)*'Facturación 2026'!$F$4:$F$253),0)</f>
        <v>0</v>
      </c>
      <c r="H187" s="665">
        <f t="shared" si="16"/>
        <v>310.81799999999998</v>
      </c>
      <c r="I187" s="666">
        <f t="shared" si="13"/>
        <v>0</v>
      </c>
      <c r="J187" s="1072" t="str">
        <f>IFERROR(INDEX('Facturación 2026'!$L$4:$L$253,MATCH(A187,'Facturación 2026'!$A$4:$A$253,0)),"")</f>
        <v/>
      </c>
    </row>
    <row r="188" spans="1:10" ht="15.75" customHeight="1">
      <c r="A188" s="1071">
        <f>46129</f>
        <v>46129</v>
      </c>
      <c r="B188" s="1000" t="str">
        <f t="shared" si="15"/>
        <v>Vie</v>
      </c>
      <c r="C188" s="668" t="s">
        <v>497</v>
      </c>
      <c r="D188" s="1001">
        <f t="array" ref="D188">IF(A188="","",SUMPRODUCT(('Detalle Turnos'!$Q$3:$Q$500=A188)*('Detalle Turnos'!$S$3:$S$500=C188)*'Detalle Turnos'!$T$3:$T$500))</f>
        <v>58</v>
      </c>
      <c r="E188" s="664">
        <f t="array" ref="E188">IF(A188="","",SUMPRODUCT(('Detalle Turnos'!$Q$3:$Q$500=A188)*('Detalle Turnos'!$S$3:$S$500=C188)*'Detalle Turnos'!$U$3:$U$500))</f>
        <v>884.40899999999999</v>
      </c>
      <c r="F188" s="664">
        <f t="shared" si="11"/>
        <v>15.248431034482758</v>
      </c>
      <c r="G188" s="664">
        <f t="array" ref="G188">IFERROR(SUMPRODUCT(('Facturación 2026'!$A$4:$A$253=A188)*'Facturación 2026'!$J$4:$J$253)*E188/SUMPRODUCT(('Facturación 2026'!$A$4:$A$253=A188)*'Facturación 2026'!$F$4:$F$253),0)</f>
        <v>0</v>
      </c>
      <c r="H188" s="665">
        <f t="shared" si="16"/>
        <v>884.40899999999999</v>
      </c>
      <c r="I188" s="666">
        <f t="shared" si="13"/>
        <v>0</v>
      </c>
      <c r="J188" s="1072" t="str">
        <f>IFERROR(INDEX('Facturación 2026'!$L$4:$L$253,MATCH(A188,'Facturación 2026'!$A$4:$A$253,0)),"")</f>
        <v/>
      </c>
    </row>
    <row r="189" spans="1:10" ht="15.75" customHeight="1">
      <c r="A189" s="1071">
        <f>46130</f>
        <v>46130</v>
      </c>
      <c r="B189" s="1000" t="str">
        <f t="shared" si="15"/>
        <v>Sáb</v>
      </c>
      <c r="C189" s="662" t="s">
        <v>146</v>
      </c>
      <c r="D189" s="1001">
        <f t="array" ref="D189">IF(A189="","",SUMPRODUCT(('Detalle Turnos'!$Q$3:$Q$500=A189)*('Detalle Turnos'!$S$3:$S$500=C189)*'Detalle Turnos'!$T$3:$T$500))</f>
        <v>18</v>
      </c>
      <c r="E189" s="664">
        <f t="array" ref="E189">IF(A189="","",SUMPRODUCT(('Detalle Turnos'!$Q$3:$Q$500=A189)*('Detalle Turnos'!$S$3:$S$500=C189)*'Detalle Turnos'!$U$3:$U$500))</f>
        <v>119.636</v>
      </c>
      <c r="F189" s="664">
        <f t="shared" si="11"/>
        <v>6.6464444444444446</v>
      </c>
      <c r="G189" s="664">
        <f t="array" ref="G189">IFERROR(SUMPRODUCT(('Facturación 2026'!$A$4:$A$253=A189)*'Facturación 2026'!$J$4:$J$253)*E189/SUMPRODUCT(('Facturación 2026'!$A$4:$A$253=A189)*'Facturación 2026'!$F$4:$F$253),0)</f>
        <v>0</v>
      </c>
      <c r="H189" s="665">
        <f t="shared" si="16"/>
        <v>119.636</v>
      </c>
      <c r="I189" s="666">
        <f t="shared" si="13"/>
        <v>0</v>
      </c>
      <c r="J189" s="1072" t="str">
        <f>IFERROR(INDEX('Facturación 2026'!$L$4:$L$253,MATCH(A189,'Facturación 2026'!$A$4:$A$253,0)),"")</f>
        <v/>
      </c>
    </row>
    <row r="190" spans="1:10" ht="15.75" customHeight="1">
      <c r="A190" s="1071">
        <f>46130</f>
        <v>46130</v>
      </c>
      <c r="B190" s="1000" t="str">
        <f t="shared" si="15"/>
        <v>Sáb</v>
      </c>
      <c r="C190" s="667" t="s">
        <v>494</v>
      </c>
      <c r="D190" s="1001">
        <f t="array" ref="D190">IF(A190="","",SUMPRODUCT(('Detalle Turnos'!$Q$3:$Q$500=A190)*('Detalle Turnos'!$S$3:$S$500=C190)*'Detalle Turnos'!$T$3:$T$500))</f>
        <v>33</v>
      </c>
      <c r="E190" s="664">
        <f t="array" ref="E190">IF(A190="","",SUMPRODUCT(('Detalle Turnos'!$Q$3:$Q$500=A190)*('Detalle Turnos'!$S$3:$S$500=C190)*'Detalle Turnos'!$U$3:$U$500))</f>
        <v>608.09100000000001</v>
      </c>
      <c r="F190" s="664">
        <f t="shared" si="11"/>
        <v>18.427</v>
      </c>
      <c r="G190" s="664">
        <f t="array" ref="G190">IFERROR(SUMPRODUCT(('Facturación 2026'!$A$4:$A$253=A190)*'Facturación 2026'!$J$4:$J$253)*E190/SUMPRODUCT(('Facturación 2026'!$A$4:$A$253=A190)*'Facturación 2026'!$F$4:$F$253),0)</f>
        <v>0</v>
      </c>
      <c r="H190" s="665">
        <f t="shared" si="16"/>
        <v>608.09100000000001</v>
      </c>
      <c r="I190" s="666">
        <f t="shared" si="13"/>
        <v>0</v>
      </c>
      <c r="J190" s="1072" t="str">
        <f>IFERROR(INDEX('Facturación 2026'!$L$4:$L$253,MATCH(A190,'Facturación 2026'!$A$4:$A$253,0)),"")</f>
        <v/>
      </c>
    </row>
    <row r="191" spans="1:10" ht="15.75" customHeight="1">
      <c r="A191" s="1071">
        <f>46130</f>
        <v>46130</v>
      </c>
      <c r="B191" s="1000" t="str">
        <f t="shared" si="15"/>
        <v>Sáb</v>
      </c>
      <c r="C191" s="668" t="s">
        <v>497</v>
      </c>
      <c r="D191" s="1001">
        <f t="array" ref="D191">IF(A191="","",SUMPRODUCT(('Detalle Turnos'!$Q$3:$Q$500=A191)*('Detalle Turnos'!$S$3:$S$500=C191)*'Detalle Turnos'!$T$3:$T$500))</f>
        <v>39</v>
      </c>
      <c r="E191" s="664">
        <f t="array" ref="E191">IF(A191="","",SUMPRODUCT(('Detalle Turnos'!$Q$3:$Q$500=A191)*('Detalle Turnos'!$S$3:$S$500=C191)*'Detalle Turnos'!$U$3:$U$500))</f>
        <v>624.40899999999999</v>
      </c>
      <c r="F191" s="664">
        <f t="shared" si="11"/>
        <v>16.010487179487178</v>
      </c>
      <c r="G191" s="664">
        <f t="array" ref="G191">IFERROR(SUMPRODUCT(('Facturación 2026'!$A$4:$A$253=A191)*'Facturación 2026'!$J$4:$J$253)*E191/SUMPRODUCT(('Facturación 2026'!$A$4:$A$253=A191)*'Facturación 2026'!$F$4:$F$253),0)</f>
        <v>0</v>
      </c>
      <c r="H191" s="665">
        <f t="shared" si="16"/>
        <v>624.40899999999999</v>
      </c>
      <c r="I191" s="666">
        <f t="shared" si="13"/>
        <v>0</v>
      </c>
      <c r="J191" s="1072" t="str">
        <f>IFERROR(INDEX('Facturación 2026'!$L$4:$L$253,MATCH(A191,'Facturación 2026'!$A$4:$A$253,0)),"")</f>
        <v/>
      </c>
    </row>
    <row r="192" spans="1:10" ht="15.75" customHeight="1">
      <c r="A192" s="1071">
        <f>46131</f>
        <v>46131</v>
      </c>
      <c r="B192" s="1000" t="str">
        <f t="shared" si="15"/>
        <v>Dom</v>
      </c>
      <c r="C192" s="662" t="s">
        <v>146</v>
      </c>
      <c r="D192" s="1001">
        <f t="array" ref="D192">IF(A192="","",SUMPRODUCT(('Detalle Turnos'!$Q$3:$Q$500=A192)*('Detalle Turnos'!$S$3:$S$500=C192)*'Detalle Turnos'!$T$3:$T$500))</f>
        <v>21</v>
      </c>
      <c r="E192" s="664">
        <f t="array" ref="E192">IF(A192="","",SUMPRODUCT(('Detalle Turnos'!$Q$3:$Q$500=A192)*('Detalle Turnos'!$S$3:$S$500=C192)*'Detalle Turnos'!$U$3:$U$500))</f>
        <v>91.090999999999994</v>
      </c>
      <c r="F192" s="664">
        <f t="shared" si="11"/>
        <v>4.3376666666666663</v>
      </c>
      <c r="G192" s="664">
        <f t="array" ref="G192">IFERROR(SUMPRODUCT(('Facturación 2026'!$A$4:$A$253=A192)*'Facturación 2026'!$J$4:$J$253)*E192/SUMPRODUCT(('Facturación 2026'!$A$4:$A$253=A192)*'Facturación 2026'!$F$4:$F$253),0)</f>
        <v>0</v>
      </c>
      <c r="H192" s="665">
        <f t="shared" si="16"/>
        <v>91.090999999999994</v>
      </c>
      <c r="I192" s="666">
        <f t="shared" si="13"/>
        <v>0</v>
      </c>
      <c r="J192" s="1072" t="str">
        <f>IFERROR(INDEX('Facturación 2026'!$L$4:$L$253,MATCH(A192,'Facturación 2026'!$A$4:$A$253,0)),"")</f>
        <v/>
      </c>
    </row>
    <row r="193" spans="1:10" ht="15.75" customHeight="1">
      <c r="A193" s="1071">
        <f>46131</f>
        <v>46131</v>
      </c>
      <c r="B193" s="1000" t="str">
        <f t="shared" si="15"/>
        <v>Dom</v>
      </c>
      <c r="C193" s="667" t="s">
        <v>494</v>
      </c>
      <c r="D193" s="1001">
        <f t="array" ref="D193">IF(A193="","",SUMPRODUCT(('Detalle Turnos'!$Q$3:$Q$500=A193)*('Detalle Turnos'!$S$3:$S$500=C193)*'Detalle Turnos'!$T$3:$T$500))</f>
        <v>42</v>
      </c>
      <c r="E193" s="664">
        <f t="array" ref="E193">IF(A193="","",SUMPRODUCT(('Detalle Turnos'!$Q$3:$Q$500=A193)*('Detalle Turnos'!$S$3:$S$500=C193)*'Detalle Turnos'!$U$3:$U$500))</f>
        <v>611.95500000000004</v>
      </c>
      <c r="F193" s="664">
        <f t="shared" si="11"/>
        <v>14.570357142857144</v>
      </c>
      <c r="G193" s="664">
        <f t="array" ref="G193">IFERROR(SUMPRODUCT(('Facturación 2026'!$A$4:$A$253=A193)*'Facturación 2026'!$J$4:$J$253)*E193/SUMPRODUCT(('Facturación 2026'!$A$4:$A$253=A193)*'Facturación 2026'!$F$4:$F$253),0)</f>
        <v>0</v>
      </c>
      <c r="H193" s="665">
        <f t="shared" si="16"/>
        <v>611.95500000000004</v>
      </c>
      <c r="I193" s="666">
        <f t="shared" si="13"/>
        <v>0</v>
      </c>
      <c r="J193" s="1072" t="str">
        <f>IFERROR(INDEX('Facturación 2026'!$L$4:$L$253,MATCH(A193,'Facturación 2026'!$A$4:$A$253,0)),"")</f>
        <v/>
      </c>
    </row>
    <row r="194" spans="1:10" ht="15.75" customHeight="1">
      <c r="A194" s="1071">
        <f>46131</f>
        <v>46131</v>
      </c>
      <c r="B194" s="1000" t="str">
        <f t="shared" si="15"/>
        <v>Dom</v>
      </c>
      <c r="C194" s="668" t="s">
        <v>497</v>
      </c>
      <c r="D194" s="1001">
        <f t="array" ref="D194">IF(A194="","",SUMPRODUCT(('Detalle Turnos'!$Q$3:$Q$500=A194)*('Detalle Turnos'!$S$3:$S$500=C194)*'Detalle Turnos'!$T$3:$T$500))</f>
        <v>23</v>
      </c>
      <c r="E194" s="664">
        <f t="array" ref="E194">IF(A194="","",SUMPRODUCT(('Detalle Turnos'!$Q$3:$Q$500=A194)*('Detalle Turnos'!$S$3:$S$500=C194)*'Detalle Turnos'!$U$3:$U$500))</f>
        <v>326.27300000000002</v>
      </c>
      <c r="F194" s="664">
        <f t="shared" si="11"/>
        <v>14.185782608695654</v>
      </c>
      <c r="G194" s="664">
        <f t="array" ref="G194">IFERROR(SUMPRODUCT(('Facturación 2026'!$A$4:$A$253=A194)*'Facturación 2026'!$J$4:$J$253)*E194/SUMPRODUCT(('Facturación 2026'!$A$4:$A$253=A194)*'Facturación 2026'!$F$4:$F$253),0)</f>
        <v>0</v>
      </c>
      <c r="H194" s="665">
        <f t="shared" si="16"/>
        <v>326.27300000000002</v>
      </c>
      <c r="I194" s="666">
        <f t="shared" si="13"/>
        <v>0</v>
      </c>
      <c r="J194" s="1072" t="str">
        <f>IFERROR(INDEX('Facturación 2026'!$L$4:$L$253,MATCH(A194,'Facturación 2026'!$A$4:$A$253,0)),"")</f>
        <v/>
      </c>
    </row>
    <row r="195" spans="1:10" ht="15.75" customHeight="1">
      <c r="A195" s="1071">
        <f>46134</f>
        <v>46134</v>
      </c>
      <c r="B195" s="1000" t="str">
        <f t="shared" si="15"/>
        <v>Mié</v>
      </c>
      <c r="C195" s="667" t="s">
        <v>494</v>
      </c>
      <c r="D195" s="1001">
        <f t="array" ref="D195">IF(A195="","",SUMPRODUCT(('Detalle Turnos'!$Q$3:$Q$500=A195)*('Detalle Turnos'!$S$3:$S$500=C195)*'Detalle Turnos'!$T$3:$T$500))</f>
        <v>31</v>
      </c>
      <c r="E195" s="664">
        <f t="array" ref="E195">IF(A195="","",SUMPRODUCT(('Detalle Turnos'!$Q$3:$Q$500=A195)*('Detalle Turnos'!$S$3:$S$500=C195)*'Detalle Turnos'!$U$3:$U$500))</f>
        <v>413.68</v>
      </c>
      <c r="F195" s="664">
        <f t="shared" si="11"/>
        <v>13.344516129032259</v>
      </c>
      <c r="G195" s="664">
        <f t="array" ref="G195">IFERROR(SUMPRODUCT(('Facturación 2026'!$A$4:$A$253=A195)*'Facturación 2026'!$J$4:$J$253)*E195/SUMPRODUCT(('Facturación 2026'!$A$4:$A$253=A195)*'Facturación 2026'!$F$4:$F$253),0)</f>
        <v>0</v>
      </c>
      <c r="H195" s="665">
        <f t="shared" si="16"/>
        <v>413.68</v>
      </c>
      <c r="I195" s="666">
        <f t="shared" si="13"/>
        <v>0</v>
      </c>
      <c r="J195" s="1072" t="str">
        <f>IFERROR(INDEX('Facturación 2026'!$L$4:$L$253,MATCH(A195,'Facturación 2026'!$A$4:$A$253,0)),"")</f>
        <v/>
      </c>
    </row>
    <row r="196" spans="1:10" ht="15.75" customHeight="1">
      <c r="A196" s="1071">
        <f>46134</f>
        <v>46134</v>
      </c>
      <c r="B196" s="1000" t="str">
        <f t="shared" si="15"/>
        <v>Mié</v>
      </c>
      <c r="C196" s="668" t="s">
        <v>497</v>
      </c>
      <c r="D196" s="1001">
        <f t="array" ref="D196">IF(A196="","",SUMPRODUCT(('Detalle Turnos'!$Q$3:$Q$500=A196)*('Detalle Turnos'!$S$3:$S$500=C196)*'Detalle Turnos'!$T$3:$T$500))</f>
        <v>11</v>
      </c>
      <c r="E196" s="664">
        <f t="array" ref="E196">IF(A196="","",SUMPRODUCT(('Detalle Turnos'!$Q$3:$Q$500=A196)*('Detalle Turnos'!$S$3:$S$500=C196)*'Detalle Turnos'!$U$3:$U$500))</f>
        <v>129.05000000000001</v>
      </c>
      <c r="F196" s="664">
        <f t="shared" ref="F196:F204" si="17">IFERROR(E196/D196,0)</f>
        <v>11.731818181818182</v>
      </c>
      <c r="G196" s="664">
        <f t="array" ref="G196">IFERROR(SUMPRODUCT(('Facturación 2026'!$A$4:$A$253=A196)*'Facturación 2026'!$J$4:$J$253)*E196/SUMPRODUCT(('Facturación 2026'!$A$4:$A$253=A196)*'Facturación 2026'!$F$4:$F$253),0)</f>
        <v>0</v>
      </c>
      <c r="H196" s="665">
        <f t="shared" si="16"/>
        <v>129.05000000000001</v>
      </c>
      <c r="I196" s="666">
        <f t="shared" ref="I196:I204" si="18">IFERROR(G196/E196,0)</f>
        <v>0</v>
      </c>
      <c r="J196" s="1072" t="str">
        <f>IFERROR(INDEX('Facturación 2026'!$L$4:$L$253,MATCH(A196,'Facturación 2026'!$A$4:$A$253,0)),"")</f>
        <v/>
      </c>
    </row>
    <row r="197" spans="1:10" ht="15.75" customHeight="1">
      <c r="A197" s="1071">
        <f>46135</f>
        <v>46135</v>
      </c>
      <c r="B197" s="1000" t="str">
        <f t="shared" si="15"/>
        <v>Jue</v>
      </c>
      <c r="C197" s="662" t="s">
        <v>146</v>
      </c>
      <c r="D197" s="1001">
        <f t="array" ref="D197">IF(A197="","",SUMPRODUCT(('Detalle Turnos'!$Q$3:$Q$4998=A197)*('Detalle Turnos'!$S$3:$S$4998=C197)*'Detalle Turnos'!$T$3:$T$4998))</f>
        <v>18</v>
      </c>
      <c r="E197" s="664">
        <f t="array" ref="E197">IF(A197="","",SUMPRODUCT(('Detalle Turnos'!$Q$3:$Q$4998=A197)*('Detalle Turnos'!$S$3:$S$4998=C197)*'Detalle Turnos'!$U$3:$U$4998))</f>
        <v>74.27</v>
      </c>
      <c r="F197" s="664">
        <f t="shared" si="17"/>
        <v>4.1261111111111113</v>
      </c>
      <c r="G197" s="664">
        <f t="array" ref="G197">IFERROR(SUMPRODUCT(('Facturación 2026'!$A$4:$A$253=A197)*'Facturación 2026'!$J$4:$J$253)*E197/SUMPRODUCT(('Facturación 2026'!$A$4:$A$253=A197)*'Facturación 2026'!$F$4:$F$253),0)</f>
        <v>0</v>
      </c>
      <c r="H197" s="665">
        <f t="shared" si="16"/>
        <v>74.27</v>
      </c>
      <c r="I197" s="666">
        <f t="shared" si="18"/>
        <v>0</v>
      </c>
      <c r="J197" s="1073" t="str">
        <f>IFERROR(INDEX('Facturación 2026'!$L$4:$L$253,MATCH(A197,'Facturación 2026'!$A$4:$A$253,0)),"")</f>
        <v>Sant Jordi</v>
      </c>
    </row>
    <row r="198" spans="1:10" ht="15.75" customHeight="1">
      <c r="A198" s="1071">
        <f>46135</f>
        <v>46135</v>
      </c>
      <c r="B198" s="1000" t="str">
        <f t="shared" si="15"/>
        <v>Jue</v>
      </c>
      <c r="C198" s="667" t="s">
        <v>494</v>
      </c>
      <c r="D198" s="1001">
        <f t="array" ref="D198">IF(A198="","",SUMPRODUCT(('Detalle Turnos'!$Q$3:$Q$4998=A198)*('Detalle Turnos'!$S$3:$S$4998=C198)*'Detalle Turnos'!$T$3:$T$4998))</f>
        <v>50</v>
      </c>
      <c r="E198" s="664">
        <f t="array" ref="E198">IF(A198="","",SUMPRODUCT(('Detalle Turnos'!$Q$3:$Q$4998=A198)*('Detalle Turnos'!$S$3:$S$4998=C198)*'Detalle Turnos'!$U$3:$U$4998))</f>
        <v>925.77</v>
      </c>
      <c r="F198" s="664">
        <f t="shared" si="17"/>
        <v>18.5154</v>
      </c>
      <c r="G198" s="664">
        <f t="array" ref="G198">IFERROR(SUMPRODUCT(('Facturación 2026'!$A$4:$A$253=A198)*'Facturación 2026'!$J$4:$J$253)*E198/SUMPRODUCT(('Facturación 2026'!$A$4:$A$253=A198)*'Facturación 2026'!$F$4:$F$253),0)</f>
        <v>0</v>
      </c>
      <c r="H198" s="665">
        <f t="shared" si="16"/>
        <v>925.77</v>
      </c>
      <c r="I198" s="666">
        <f t="shared" si="18"/>
        <v>0</v>
      </c>
      <c r="J198" s="1073" t="str">
        <f>IFERROR(INDEX('Facturación 2026'!$L$4:$L$253,MATCH(A198,'Facturación 2026'!$A$4:$A$253,0)),"")</f>
        <v>Sant Jordi</v>
      </c>
    </row>
    <row r="199" spans="1:10" ht="15.75" customHeight="1">
      <c r="A199" s="1071">
        <f>46135</f>
        <v>46135</v>
      </c>
      <c r="B199" s="1000" t="str">
        <f t="shared" si="15"/>
        <v>Jue</v>
      </c>
      <c r="C199" s="668" t="s">
        <v>497</v>
      </c>
      <c r="D199" s="1001">
        <f t="array" ref="D199">IF(A199="","",SUMPRODUCT(('Detalle Turnos'!$Q$3:$Q$4998=A199)*('Detalle Turnos'!$S$3:$S$4998=C199)*'Detalle Turnos'!$T$3:$T$4998))</f>
        <v>74</v>
      </c>
      <c r="E199" s="664">
        <f t="array" ref="E199">IF(A199="","",SUMPRODUCT(('Detalle Turnos'!$Q$3:$Q$4998=A199)*('Detalle Turnos'!$S$3:$S$4998=C199)*'Detalle Turnos'!$U$3:$U$4998))</f>
        <v>1043.77</v>
      </c>
      <c r="F199" s="664">
        <f t="shared" si="17"/>
        <v>14.105</v>
      </c>
      <c r="G199" s="664">
        <f t="array" ref="G199">IFERROR(SUMPRODUCT(('Facturación 2026'!$A$4:$A$253=A199)*'Facturación 2026'!$J$4:$J$253)*E199/SUMPRODUCT(('Facturación 2026'!$A$4:$A$253=A199)*'Facturación 2026'!$F$4:$F$253),0)</f>
        <v>0</v>
      </c>
      <c r="H199" s="665">
        <f t="shared" si="16"/>
        <v>1043.77</v>
      </c>
      <c r="I199" s="666">
        <f t="shared" si="18"/>
        <v>0</v>
      </c>
      <c r="J199" s="1073" t="str">
        <f>IFERROR(INDEX('Facturación 2026'!$L$4:$L$253,MATCH(A199,'Facturación 2026'!$A$4:$A$253,0)),"")</f>
        <v>Sant Jordi</v>
      </c>
    </row>
    <row r="200" spans="1:10" ht="15.75" customHeight="1">
      <c r="A200" s="684">
        <v>46136</v>
      </c>
      <c r="B200" s="74"/>
      <c r="C200" s="74" t="s">
        <v>494</v>
      </c>
      <c r="D200" s="1001">
        <f t="array" ref="D200">IF(A200="","",SUMPRODUCT(('Detalle Turnos'!$Q$3:$Q$4998=A200)*('Detalle Turnos'!$S$3:$S$4998=C200)*'Detalle Turnos'!$T$3:$T$4998))</f>
        <v>50</v>
      </c>
      <c r="E200" s="664">
        <f t="array" ref="E200">IF(A200="","",SUMPRODUCT(('Detalle Turnos'!$Q$3:$Q$4998=A200)*('Detalle Turnos'!$S$3:$S$4998=C200)*'Detalle Turnos'!$U$3:$U$4998))</f>
        <v>221.77</v>
      </c>
      <c r="F200" s="664">
        <f t="shared" si="17"/>
        <v>4.4354000000000005</v>
      </c>
      <c r="G200" s="664">
        <f t="array" ref="G200">IFERROR(SUMPRODUCT(('Facturación 2026'!$A$4:$A$253=A200)*'Facturación 2026'!$J$4:$J$253)*E200/SUMPRODUCT(('Facturación 2026'!$A$4:$A$253=A200)*'Facturación 2026'!$F$4:$F$253),0)</f>
        <v>0</v>
      </c>
      <c r="H200" s="665">
        <f t="shared" si="16"/>
        <v>221.77</v>
      </c>
      <c r="I200" s="666">
        <f t="shared" si="18"/>
        <v>0</v>
      </c>
      <c r="J200" s="1073" t="str">
        <f>IFERROR(INDEX('Facturación 2026'!$L$4:$L$253,MATCH(A200,'Facturación 2026'!$A$4:$A$253,0)),"")</f>
        <v/>
      </c>
    </row>
    <row r="201" spans="1:10" ht="15.75" customHeight="1">
      <c r="A201" s="658">
        <v>46136</v>
      </c>
      <c r="B201" s="145"/>
      <c r="C201" s="145" t="s">
        <v>497</v>
      </c>
      <c r="D201" s="1001">
        <f t="array" ref="D201">IF(A201="","",SUMPRODUCT(('Detalle Turnos'!$Q$3:$Q$4998=A201)*('Detalle Turnos'!$S$3:$S$4998=C201)*'Detalle Turnos'!$T$3:$T$4998))</f>
        <v>45</v>
      </c>
      <c r="E201" s="664">
        <f t="array" ref="E201">IF(A201="","",SUMPRODUCT(('Detalle Turnos'!$Q$3:$Q$4998=A201)*('Detalle Turnos'!$S$3:$S$4998=C201)*'Detalle Turnos'!$U$3:$U$4998))</f>
        <v>815.23</v>
      </c>
      <c r="F201" s="664">
        <f t="shared" si="17"/>
        <v>18.116222222222223</v>
      </c>
      <c r="G201" s="664">
        <f t="array" ref="G201">IFERROR(SUMPRODUCT(('Facturación 2026'!$A$4:$A$253=A201)*'Facturación 2026'!$J$4:$J$253)*E201/SUMPRODUCT(('Facturación 2026'!$A$4:$A$253=A201)*'Facturación 2026'!$F$4:$F$253),0)</f>
        <v>0</v>
      </c>
      <c r="H201" s="665">
        <f t="shared" si="16"/>
        <v>815.23</v>
      </c>
      <c r="I201" s="666">
        <f t="shared" si="18"/>
        <v>0</v>
      </c>
      <c r="J201" s="1073" t="str">
        <f>IFERROR(INDEX('Facturación 2026'!$L$4:$L$253,MATCH(A201,'Facturación 2026'!$A$4:$A$253,0)),"")</f>
        <v/>
      </c>
    </row>
    <row r="202" spans="1:10" ht="15.75" customHeight="1">
      <c r="A202" s="658">
        <v>46137</v>
      </c>
      <c r="B202" s="145"/>
      <c r="C202" s="662" t="s">
        <v>146</v>
      </c>
      <c r="D202" s="1001">
        <f t="array" ref="D202">IF(A202="","",SUMPRODUCT(('Detalle Turnos'!$Q$3:$Q$4998=A202)*('Detalle Turnos'!$S$3:$S$4998=C202)*'Detalle Turnos'!$T$3:$T$4998))</f>
        <v>19</v>
      </c>
      <c r="E202" s="664">
        <f t="array" ref="E202">IF(A202="","",SUMPRODUCT(('Detalle Turnos'!$Q$3:$Q$4998=A202)*('Detalle Turnos'!$S$3:$S$4998=C202)*'Detalle Turnos'!$U$3:$U$4998))</f>
        <v>64.86</v>
      </c>
      <c r="F202" s="664">
        <f t="shared" si="17"/>
        <v>3.4136842105263159</v>
      </c>
      <c r="G202" s="664">
        <f t="array" ref="G202">IFERROR(SUMPRODUCT(('Facturación 2026'!$A$4:$A$253=A202)*'Facturación 2026'!$J$4:$J$253)*E202/SUMPRODUCT(('Facturación 2026'!$A$4:$A$253=A202)*'Facturación 2026'!$F$4:$F$253),0)</f>
        <v>0</v>
      </c>
      <c r="H202" s="665">
        <f t="shared" si="16"/>
        <v>64.86</v>
      </c>
      <c r="I202" s="666">
        <f t="shared" si="18"/>
        <v>0</v>
      </c>
      <c r="J202" s="1073" t="str">
        <f>IFERROR(INDEX('Facturación 2026'!$L$4:$L$253,MATCH(A202,'Facturación 2026'!$A$4:$A$253,0)),"")</f>
        <v/>
      </c>
    </row>
    <row r="203" spans="1:10" ht="15.75" customHeight="1">
      <c r="A203" s="658">
        <v>46137</v>
      </c>
      <c r="B203" s="145"/>
      <c r="C203" s="667" t="s">
        <v>494</v>
      </c>
      <c r="D203" s="1001">
        <f t="array" ref="D203">IF(A203="","",SUMPRODUCT(('Detalle Turnos'!$Q$3:$Q$4998=A203)*('Detalle Turnos'!$S$3:$S$4998=C203)*'Detalle Turnos'!$T$3:$T$4998))</f>
        <v>50</v>
      </c>
      <c r="E203" s="664">
        <f t="array" ref="E203">IF(A203="","",SUMPRODUCT(('Detalle Turnos'!$Q$3:$Q$4998=A203)*('Detalle Turnos'!$S$3:$S$4998=C203)*'Detalle Turnos'!$U$3:$U$4998))</f>
        <v>838.27</v>
      </c>
      <c r="F203" s="664">
        <f t="shared" si="17"/>
        <v>16.7654</v>
      </c>
      <c r="G203" s="664">
        <f t="array" ref="G203">IFERROR(SUMPRODUCT(('Facturación 2026'!$A$4:$A$253=A203)*'Facturación 2026'!$J$4:$J$253)*E203/SUMPRODUCT(('Facturación 2026'!$A$4:$A$253=A203)*'Facturación 2026'!$F$4:$F$253),0)</f>
        <v>0</v>
      </c>
      <c r="H203" s="665">
        <f t="shared" si="16"/>
        <v>838.27</v>
      </c>
      <c r="I203" s="666">
        <f t="shared" si="18"/>
        <v>0</v>
      </c>
      <c r="J203" s="1074" t="s">
        <v>507</v>
      </c>
    </row>
    <row r="204" spans="1:10" ht="15.75" customHeight="1">
      <c r="A204" s="658">
        <v>46137</v>
      </c>
      <c r="B204" s="145"/>
      <c r="C204" s="668" t="s">
        <v>497</v>
      </c>
      <c r="D204" s="1001">
        <f t="array" ref="D204">IF(A204="","",SUMPRODUCT(('Detalle Turnos'!$Q$3:$Q$4998=A204)*('Detalle Turnos'!$S$3:$S$4998=C204)*'Detalle Turnos'!$T$3:$T$4998))</f>
        <v>66</v>
      </c>
      <c r="E204" s="664">
        <f t="array" ref="E204">IF(A204="","",SUMPRODUCT(('Detalle Turnos'!$Q$3:$Q$4998=A204)*('Detalle Turnos'!$S$3:$S$4998=C204)*'Detalle Turnos'!$U$3:$U$4998))</f>
        <v>740.77</v>
      </c>
      <c r="F204" s="664">
        <f t="shared" si="17"/>
        <v>11.223787878787878</v>
      </c>
      <c r="G204" s="664">
        <f t="array" ref="G204">IFERROR(SUMPRODUCT(('Facturación 2026'!$A$4:$A$253=A204)*'Facturación 2026'!$J$4:$J$253)*E204/SUMPRODUCT(('Facturación 2026'!$A$4:$A$253=A204)*'Facturación 2026'!$F$4:$F$253),0)</f>
        <v>0</v>
      </c>
      <c r="H204" s="665">
        <f t="shared" si="16"/>
        <v>740.77</v>
      </c>
      <c r="I204" s="666">
        <f t="shared" si="18"/>
        <v>0</v>
      </c>
      <c r="J204" s="145"/>
    </row>
    <row r="205" spans="1:10" ht="15.75" customHeight="1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</row>
    <row r="206" spans="1:10" ht="15.75" customHeight="1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</row>
    <row r="207" spans="1:10" ht="15.75" customHeight="1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</row>
    <row r="208" spans="1:10" ht="15.75" customHeight="1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</row>
    <row r="209" spans="1:10" ht="15.75" customHeight="1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</row>
    <row r="210" spans="1:10" ht="15.75" customHeight="1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</row>
    <row r="211" spans="1:10" ht="15.75" customHeight="1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</row>
    <row r="212" spans="1:10" ht="15.75" customHeight="1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</row>
    <row r="213" spans="1:10" ht="15.75" customHeight="1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</row>
    <row r="214" spans="1:10" ht="15.75" customHeight="1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</row>
    <row r="215" spans="1:10" ht="15.75" customHeight="1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</row>
    <row r="216" spans="1:10" ht="15.75" customHeight="1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</row>
    <row r="217" spans="1:10" ht="15.75" customHeight="1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</row>
    <row r="218" spans="1:10" ht="15.75" customHeight="1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</row>
    <row r="219" spans="1:10" ht="15.75" customHeight="1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</row>
    <row r="220" spans="1:10" ht="15.75" customHeight="1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</row>
    <row r="221" spans="1:10" ht="15.75" customHeight="1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</row>
    <row r="222" spans="1:10" ht="15.75" customHeight="1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</row>
    <row r="223" spans="1:10" ht="15.75" customHeight="1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</row>
    <row r="224" spans="1:10" ht="15.75" customHeight="1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</row>
    <row r="225" spans="1:10" ht="15.75" customHeight="1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</row>
    <row r="226" spans="1:10" ht="15.75" customHeight="1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</row>
    <row r="227" spans="1:10" ht="15.75" customHeight="1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</row>
    <row r="228" spans="1:10" ht="15.75" customHeight="1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</row>
    <row r="229" spans="1:10" ht="15.75" customHeight="1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</row>
    <row r="230" spans="1:10" ht="15.75" customHeight="1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</row>
    <row r="231" spans="1:10" ht="15.75" customHeight="1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</row>
    <row r="232" spans="1:10" ht="15.75" customHeight="1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</row>
    <row r="233" spans="1:10" ht="15.75" customHeight="1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</row>
    <row r="234" spans="1:10" ht="15.75" customHeight="1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</row>
    <row r="235" spans="1:10" ht="15.75" customHeight="1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</row>
    <row r="236" spans="1:10" ht="15.75" customHeight="1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</row>
    <row r="237" spans="1:10" ht="15.75" customHeight="1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</row>
    <row r="238" spans="1:10" ht="15.75" customHeight="1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</row>
    <row r="239" spans="1:10" ht="15.75" customHeight="1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</row>
    <row r="240" spans="1:10" ht="15.75" customHeight="1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</row>
    <row r="241" spans="1:10" ht="15.75" customHeight="1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</row>
    <row r="242" spans="1:10" ht="15.75" customHeight="1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</row>
    <row r="243" spans="1:10" ht="15.75" customHeight="1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</row>
    <row r="244" spans="1:10" ht="15.75" customHeight="1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</row>
    <row r="245" spans="1:10" ht="15.75" customHeight="1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</row>
    <row r="246" spans="1:10" ht="15.75" customHeight="1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</row>
    <row r="247" spans="1:10" ht="15.75" customHeight="1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</row>
    <row r="248" spans="1:10" ht="15.75" customHeight="1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</row>
    <row r="249" spans="1:10" ht="15.75" customHeight="1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</row>
    <row r="250" spans="1:10" ht="15.75" customHeight="1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</row>
    <row r="251" spans="1:10" ht="15.75" customHeight="1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</row>
    <row r="252" spans="1:10" ht="15.75" customHeight="1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</row>
    <row r="253" spans="1:10" ht="15.75" customHeight="1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</row>
    <row r="254" spans="1:10" ht="15.75" customHeight="1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</row>
    <row r="255" spans="1:10" ht="15.75" customHeight="1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</row>
    <row r="256" spans="1:10" ht="15.75" customHeight="1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</row>
    <row r="257" spans="1:10" ht="15.75" customHeight="1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</row>
    <row r="258" spans="1:10" ht="15.75" customHeight="1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</row>
    <row r="259" spans="1:10" ht="15.75" customHeight="1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</row>
    <row r="260" spans="1:10" ht="15.75" customHeight="1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</row>
    <row r="261" spans="1:10" ht="15.75" customHeight="1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</row>
    <row r="262" spans="1:10" ht="15.75" customHeight="1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</row>
    <row r="263" spans="1:10" ht="15.75" customHeight="1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</row>
    <row r="264" spans="1:10" ht="15.75" customHeight="1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</row>
    <row r="265" spans="1:10" ht="15.75" customHeight="1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</row>
    <row r="266" spans="1:10" ht="15.75" customHeight="1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</row>
    <row r="267" spans="1:10" ht="15.75" customHeight="1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</row>
    <row r="268" spans="1:10" ht="15.75" customHeight="1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</row>
    <row r="269" spans="1:10" ht="15.75" customHeight="1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</row>
    <row r="270" spans="1:10" ht="15.75" customHeight="1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</row>
    <row r="271" spans="1:10" ht="15.75" customHeight="1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</row>
    <row r="272" spans="1:10" ht="15.75" customHeight="1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</row>
    <row r="273" spans="1:10" ht="15.75" customHeight="1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</row>
    <row r="274" spans="1:10" ht="15.75" customHeight="1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</row>
    <row r="275" spans="1:10" ht="15.75" customHeight="1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</row>
    <row r="276" spans="1:10" ht="15.75" customHeight="1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</row>
    <row r="277" spans="1:10" ht="15.75" customHeight="1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</row>
    <row r="278" spans="1:10" ht="15.75" customHeight="1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</row>
    <row r="279" spans="1:10" ht="15.75" customHeight="1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</row>
    <row r="280" spans="1:10" ht="15.75" customHeight="1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</row>
    <row r="281" spans="1:10" ht="15.75" customHeight="1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</row>
    <row r="282" spans="1:10" ht="15.75" customHeight="1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</row>
    <row r="283" spans="1:10" ht="15.75" customHeight="1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</row>
    <row r="284" spans="1:10" ht="15.75" customHeight="1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</row>
    <row r="285" spans="1:10" ht="15.75" customHeight="1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</row>
    <row r="286" spans="1:10" ht="15.75" customHeight="1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</row>
    <row r="287" spans="1:10" ht="15.75" customHeight="1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</row>
    <row r="288" spans="1:10" ht="15.75" customHeight="1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</row>
    <row r="289" spans="1:10" ht="15.75" customHeight="1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</row>
    <row r="290" spans="1:10" ht="15.75" customHeight="1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</row>
    <row r="291" spans="1:10" ht="15.75" customHeight="1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</row>
    <row r="292" spans="1:10" ht="15.75" customHeight="1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</row>
    <row r="293" spans="1:10" ht="15.75" customHeight="1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</row>
    <row r="294" spans="1:10" ht="15.75" customHeight="1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</row>
    <row r="295" spans="1:10" ht="15.75" customHeight="1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</row>
    <row r="296" spans="1:10" ht="15.75" customHeight="1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</row>
    <row r="297" spans="1:10" ht="15.75" customHeight="1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</row>
    <row r="298" spans="1:10" ht="15.75" customHeight="1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</row>
    <row r="299" spans="1:10" ht="15.75" customHeight="1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</row>
    <row r="300" spans="1:10" ht="15.75" customHeight="1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</row>
    <row r="301" spans="1:10" ht="15.75" customHeight="1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</row>
    <row r="302" spans="1:10" ht="15.75" customHeight="1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</row>
    <row r="303" spans="1:10" ht="15.75" customHeight="1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</row>
    <row r="304" spans="1:10" ht="15.75" customHeight="1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</row>
    <row r="305" spans="1:10" ht="15.75" customHeight="1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</row>
    <row r="306" spans="1:10" ht="15.75" customHeight="1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</row>
    <row r="307" spans="1:10" ht="15.75" customHeight="1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</row>
    <row r="308" spans="1:10" ht="15.75" customHeight="1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</row>
    <row r="309" spans="1:10" ht="15.75" customHeight="1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</row>
    <row r="310" spans="1:10" ht="15.75" customHeight="1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</row>
    <row r="311" spans="1:10" ht="15.75" customHeight="1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</row>
    <row r="312" spans="1:10" ht="15.75" customHeight="1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</row>
    <row r="313" spans="1:10" ht="15.75" customHeight="1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</row>
    <row r="314" spans="1:10" ht="15.75" customHeight="1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</row>
    <row r="315" spans="1:10" ht="15.75" customHeight="1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</row>
    <row r="316" spans="1:10" ht="15.75" customHeight="1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</row>
    <row r="317" spans="1:10" ht="15.75" customHeight="1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</row>
    <row r="318" spans="1:10" ht="15.75" customHeight="1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</row>
    <row r="319" spans="1:10" ht="15.75" customHeight="1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</row>
    <row r="320" spans="1:10" ht="15.75" customHeight="1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</row>
    <row r="321" spans="1:10" ht="15.75" customHeight="1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</row>
    <row r="322" spans="1:10" ht="15.75" customHeight="1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</row>
    <row r="323" spans="1:10" ht="15.75" customHeight="1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</row>
    <row r="324" spans="1:10" ht="15.75" customHeight="1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</row>
    <row r="325" spans="1:10" ht="15.75" customHeight="1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</row>
    <row r="326" spans="1:10" ht="15.75" customHeight="1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</row>
    <row r="327" spans="1:10" ht="15.75" customHeight="1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</row>
    <row r="328" spans="1:10" ht="15.75" customHeight="1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</row>
    <row r="329" spans="1:10" ht="15.75" customHeight="1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</row>
    <row r="330" spans="1:10" ht="15.75" customHeight="1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</row>
    <row r="331" spans="1:10" ht="15.75" customHeight="1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</row>
    <row r="332" spans="1:10" ht="15.75" customHeight="1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</row>
    <row r="333" spans="1:10" ht="15.75" customHeight="1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</row>
    <row r="334" spans="1:10" ht="15.75" customHeight="1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</row>
    <row r="335" spans="1:10" ht="15.75" customHeight="1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</row>
    <row r="336" spans="1:10" ht="15.75" customHeight="1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</row>
    <row r="337" spans="1:10" ht="15.75" customHeight="1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</row>
    <row r="338" spans="1:10" ht="15.75" customHeight="1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</row>
    <row r="339" spans="1:10" ht="15.75" customHeight="1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</row>
    <row r="340" spans="1:10" ht="15.75" customHeight="1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</row>
    <row r="341" spans="1:10" ht="15.75" customHeight="1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</row>
    <row r="342" spans="1:10" ht="15.75" customHeight="1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</row>
    <row r="343" spans="1:10" ht="15.75" customHeight="1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</row>
    <row r="344" spans="1:10" ht="15.75" customHeight="1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</row>
    <row r="345" spans="1:10" ht="15.75" customHeight="1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</row>
    <row r="346" spans="1:10" ht="15.75" customHeight="1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</row>
    <row r="347" spans="1:10" ht="15.75" customHeight="1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</row>
    <row r="348" spans="1:10" ht="15.75" customHeight="1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</row>
    <row r="349" spans="1:10" ht="15.75" customHeight="1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</row>
    <row r="350" spans="1:10" ht="15.75" customHeight="1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</row>
    <row r="351" spans="1:10" ht="15.75" customHeight="1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</row>
    <row r="352" spans="1:10" ht="15.75" customHeight="1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</row>
    <row r="353" spans="1:10" ht="15.75" customHeight="1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</row>
    <row r="354" spans="1:10" ht="15.75" customHeight="1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</row>
    <row r="355" spans="1:10" ht="15.75" customHeight="1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</row>
    <row r="356" spans="1:10" ht="15.75" customHeight="1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</row>
    <row r="357" spans="1:10" ht="15.75" customHeight="1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</row>
    <row r="358" spans="1:10" ht="15.75" customHeight="1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</row>
    <row r="359" spans="1:10" ht="15.75" customHeight="1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</row>
    <row r="360" spans="1:10" ht="15.75" customHeight="1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</row>
    <row r="361" spans="1:10" ht="15.75" customHeight="1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</row>
    <row r="362" spans="1:10" ht="15.75" customHeight="1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</row>
    <row r="363" spans="1:10" ht="15.75" customHeight="1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</row>
    <row r="364" spans="1:10" ht="15.75" customHeight="1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</row>
    <row r="365" spans="1:10" ht="15.75" customHeight="1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</row>
    <row r="366" spans="1:10" ht="15.75" customHeight="1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</row>
    <row r="367" spans="1:10" ht="15.75" customHeight="1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</row>
    <row r="368" spans="1:10" ht="15.75" customHeight="1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</row>
    <row r="369" spans="1:10" ht="15.75" customHeight="1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</row>
    <row r="370" spans="1:10" ht="15.75" customHeight="1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</row>
    <row r="371" spans="1:10" ht="15.75" customHeight="1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</row>
    <row r="372" spans="1:10" ht="15.75" customHeight="1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</row>
    <row r="373" spans="1:10" ht="15.75" customHeight="1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</row>
    <row r="374" spans="1:10" ht="15.75" customHeight="1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</row>
    <row r="375" spans="1:10" ht="15.75" customHeight="1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</row>
    <row r="376" spans="1:10" ht="15.75" customHeight="1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</row>
    <row r="377" spans="1:10" ht="15.75" customHeight="1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</row>
    <row r="378" spans="1:10" ht="15.75" customHeight="1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</row>
    <row r="379" spans="1:10" ht="15.75" customHeight="1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</row>
    <row r="380" spans="1:10" ht="15.75" customHeight="1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</row>
    <row r="381" spans="1:10" ht="15.75" customHeight="1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</row>
    <row r="382" spans="1:10" ht="15.75" customHeight="1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</row>
    <row r="383" spans="1:10" ht="15.75" customHeight="1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</row>
    <row r="384" spans="1:10" ht="15.75" customHeight="1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</row>
    <row r="385" spans="1:10" ht="15.75" customHeight="1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</row>
    <row r="386" spans="1:10" ht="15.75" customHeight="1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</row>
    <row r="387" spans="1:10" ht="15.75" customHeight="1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</row>
    <row r="388" spans="1:10" ht="15.75" customHeight="1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</row>
    <row r="389" spans="1:10" ht="15.75" customHeight="1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</row>
    <row r="390" spans="1:10" ht="15.75" customHeight="1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</row>
    <row r="391" spans="1:10" ht="15.75" customHeight="1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</row>
    <row r="392" spans="1:10" ht="15.75" customHeight="1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</row>
    <row r="393" spans="1:10" ht="15.75" customHeight="1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</row>
    <row r="394" spans="1:10" ht="15.75" customHeight="1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</row>
    <row r="395" spans="1:10" ht="15.75" customHeight="1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</row>
    <row r="396" spans="1:10" ht="15.75" customHeight="1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</row>
    <row r="397" spans="1:10" ht="15.75" customHeight="1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</row>
    <row r="398" spans="1:10" ht="15.75" customHeight="1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</row>
    <row r="399" spans="1:10" ht="15.75" customHeight="1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</row>
    <row r="400" spans="1:10" ht="15.75" customHeight="1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</row>
    <row r="401" spans="1:10" ht="15.75" customHeight="1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</row>
    <row r="402" spans="1:10" ht="15.75" customHeight="1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</row>
    <row r="403" spans="1:10" ht="15.75" customHeight="1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</row>
    <row r="404" spans="1:10" ht="15.75" customHeight="1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</row>
    <row r="405" spans="1:10" ht="15.75" customHeight="1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</row>
    <row r="406" spans="1:10" ht="15.75" customHeight="1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</row>
    <row r="407" spans="1:10" ht="15.75" customHeight="1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</row>
    <row r="408" spans="1:10" ht="15.75" customHeight="1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</row>
    <row r="409" spans="1:10" ht="15.75" customHeight="1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</row>
    <row r="410" spans="1:10" ht="15.75" customHeight="1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</row>
    <row r="411" spans="1:10" ht="15.75" customHeight="1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</row>
    <row r="412" spans="1:10" ht="15.75" customHeight="1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</row>
    <row r="413" spans="1:10" ht="15.75" customHeight="1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</row>
    <row r="414" spans="1:10" ht="15.75" customHeight="1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</row>
    <row r="415" spans="1:10" ht="15.75" customHeight="1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</row>
    <row r="416" spans="1:10" ht="15.75" customHeight="1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</row>
    <row r="417" spans="1:10" ht="15.75" customHeight="1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</row>
    <row r="418" spans="1:10" ht="15.75" customHeight="1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</row>
    <row r="419" spans="1:10" ht="15.75" customHeight="1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</row>
    <row r="420" spans="1:10" ht="15.75" customHeight="1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</row>
    <row r="421" spans="1:10" ht="15.75" customHeight="1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</row>
    <row r="422" spans="1:10" ht="15.75" customHeight="1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</row>
    <row r="423" spans="1:10" ht="15.75" customHeight="1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</row>
    <row r="424" spans="1:10" ht="15.75" customHeight="1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</row>
    <row r="425" spans="1:10" ht="15.75" customHeight="1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</row>
    <row r="426" spans="1:10" ht="15.75" customHeight="1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</row>
    <row r="427" spans="1:10" ht="15.75" customHeight="1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</row>
    <row r="428" spans="1:10" ht="15.75" customHeight="1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</row>
    <row r="429" spans="1:10" ht="15.75" customHeight="1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</row>
    <row r="430" spans="1:10" ht="15.75" customHeight="1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</row>
    <row r="431" spans="1:10" ht="15.75" customHeight="1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</row>
    <row r="432" spans="1:10" ht="15.75" customHeight="1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</row>
    <row r="433" spans="1:10" ht="15.75" customHeight="1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</row>
    <row r="434" spans="1:10" ht="15.75" customHeight="1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</row>
    <row r="435" spans="1:10" ht="15.75" customHeight="1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</row>
    <row r="436" spans="1:10" ht="15.75" customHeight="1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</row>
    <row r="437" spans="1:10" ht="15.75" customHeight="1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</row>
    <row r="438" spans="1:10" ht="15.75" customHeight="1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</row>
    <row r="439" spans="1:10" ht="15.75" customHeight="1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</row>
    <row r="440" spans="1:10" ht="15.75" customHeight="1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</row>
    <row r="441" spans="1:10" ht="15.75" customHeight="1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</row>
    <row r="442" spans="1:10" ht="15.75" customHeight="1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</row>
    <row r="443" spans="1:10" ht="15.75" customHeight="1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</row>
    <row r="444" spans="1:10" ht="15.75" customHeight="1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</row>
    <row r="445" spans="1:10" ht="15.75" customHeight="1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</row>
    <row r="446" spans="1:10" ht="15.75" customHeight="1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</row>
    <row r="447" spans="1:10" ht="15.75" customHeight="1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</row>
    <row r="448" spans="1:10" ht="15.75" customHeight="1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</row>
    <row r="449" spans="1:10" ht="15.75" customHeight="1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</row>
    <row r="450" spans="1:10" ht="15.75" customHeight="1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</row>
    <row r="451" spans="1:10" ht="15.75" customHeight="1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</row>
    <row r="452" spans="1:10" ht="15.75" customHeight="1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</row>
    <row r="453" spans="1:10" ht="15.75" customHeight="1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</row>
    <row r="454" spans="1:10" ht="15.75" customHeight="1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</row>
    <row r="455" spans="1:10" ht="15.75" customHeight="1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</row>
    <row r="456" spans="1:10" ht="15.75" customHeight="1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</row>
    <row r="457" spans="1:10" ht="15.75" customHeight="1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</row>
    <row r="458" spans="1:10" ht="15.75" customHeight="1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</row>
    <row r="459" spans="1:10" ht="15.75" customHeight="1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</row>
    <row r="460" spans="1:10" ht="15.75" customHeight="1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</row>
    <row r="461" spans="1:10" ht="15.75" customHeight="1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</row>
    <row r="462" spans="1:10" ht="15.75" customHeight="1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</row>
    <row r="463" spans="1:10" ht="15.75" customHeight="1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</row>
    <row r="464" spans="1:10" ht="15.75" customHeight="1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</row>
    <row r="465" spans="1:10" ht="15.75" customHeight="1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</row>
    <row r="466" spans="1:10" ht="15.75" customHeight="1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</row>
    <row r="467" spans="1:10" ht="15.75" customHeight="1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</row>
    <row r="468" spans="1:10" ht="15.75" customHeight="1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</row>
    <row r="469" spans="1:10" ht="15.75" customHeight="1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</row>
    <row r="470" spans="1:10" ht="15.75" customHeight="1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</row>
    <row r="471" spans="1:10" ht="15.75" customHeight="1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</row>
    <row r="472" spans="1:10" ht="15.75" customHeight="1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</row>
    <row r="473" spans="1:10" ht="15.75" customHeight="1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</row>
    <row r="474" spans="1:10" ht="15.75" customHeight="1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</row>
    <row r="475" spans="1:10" ht="15.75" customHeight="1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</row>
    <row r="476" spans="1:10" ht="15.75" customHeight="1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</row>
    <row r="477" spans="1:10" ht="15.75" customHeight="1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</row>
    <row r="478" spans="1:10" ht="15.75" customHeight="1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</row>
    <row r="479" spans="1:10" ht="15.75" customHeight="1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</row>
    <row r="480" spans="1:10" ht="15.75" customHeight="1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</row>
    <row r="481" spans="1:10" ht="15.75" customHeight="1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</row>
    <row r="482" spans="1:10" ht="15.75" customHeight="1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</row>
    <row r="483" spans="1:10" ht="15.75" customHeight="1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</row>
    <row r="484" spans="1:10" ht="15.75" customHeight="1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</row>
    <row r="485" spans="1:10" ht="15.75" customHeight="1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</row>
    <row r="486" spans="1:10" ht="15.75" customHeight="1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</row>
    <row r="487" spans="1:10" ht="15.75" customHeight="1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</row>
    <row r="488" spans="1:10" ht="15.75" customHeight="1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</row>
    <row r="489" spans="1:10" ht="15.75" customHeight="1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</row>
    <row r="490" spans="1:10" ht="15.75" customHeight="1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</row>
    <row r="491" spans="1:10" ht="15.75" customHeight="1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</row>
    <row r="492" spans="1:10" ht="15.75" customHeight="1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</row>
    <row r="493" spans="1:10" ht="15.75" customHeight="1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</row>
    <row r="494" spans="1:10" ht="15.75" customHeight="1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</row>
    <row r="495" spans="1:10" ht="15.75" customHeight="1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</row>
    <row r="496" spans="1:10" ht="15.75" customHeight="1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</row>
    <row r="497" spans="1:10" ht="15.75" customHeight="1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</row>
    <row r="498" spans="1:10" ht="15.75" customHeight="1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</row>
    <row r="499" spans="1:10" ht="15.75" customHeight="1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</row>
    <row r="500" spans="1:10" ht="15.75" customHeight="1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</row>
    <row r="501" spans="1:10" ht="15.75" customHeight="1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</row>
    <row r="502" spans="1:10" ht="15.75" customHeight="1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</row>
    <row r="503" spans="1:10" ht="15.75" customHeight="1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</row>
    <row r="504" spans="1:10" ht="15.75" customHeight="1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</row>
    <row r="505" spans="1:10" ht="15.75" customHeight="1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</row>
    <row r="506" spans="1:10" ht="15.75" customHeight="1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</row>
    <row r="507" spans="1:10" ht="15.75" customHeight="1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</row>
    <row r="508" spans="1:10" ht="15.75" customHeight="1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</row>
    <row r="509" spans="1:10" ht="15.75" customHeight="1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</row>
    <row r="510" spans="1:10" ht="15.75" customHeight="1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</row>
    <row r="511" spans="1:10" ht="15.75" customHeight="1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</row>
    <row r="512" spans="1:10" ht="15.75" customHeight="1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</row>
    <row r="513" spans="1:10" ht="15.75" customHeight="1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</row>
    <row r="514" spans="1:10" ht="15.75" customHeight="1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</row>
    <row r="515" spans="1:10" ht="15.75" customHeight="1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</row>
    <row r="516" spans="1:10" ht="15.75" customHeight="1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</row>
    <row r="517" spans="1:10" ht="15.75" customHeight="1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</row>
    <row r="518" spans="1:10" ht="15.75" customHeight="1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</row>
    <row r="519" spans="1:10" ht="15.75" customHeight="1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</row>
    <row r="520" spans="1:10" ht="15.75" customHeight="1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</row>
    <row r="521" spans="1:10" ht="15.75" customHeight="1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</row>
    <row r="522" spans="1:10" ht="15.75" customHeight="1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</row>
    <row r="523" spans="1:10" ht="15.75" customHeight="1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</row>
    <row r="524" spans="1:10" ht="15.75" customHeight="1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</row>
    <row r="525" spans="1:10" ht="15.75" customHeight="1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</row>
    <row r="526" spans="1:10" ht="15.75" customHeight="1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</row>
    <row r="527" spans="1:10" ht="15.75" customHeight="1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</row>
    <row r="528" spans="1:10" ht="15.75" customHeight="1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</row>
    <row r="529" spans="1:10" ht="15.75" customHeight="1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</row>
    <row r="530" spans="1:10" ht="15.75" customHeight="1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</row>
    <row r="531" spans="1:10" ht="15.75" customHeight="1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</row>
    <row r="532" spans="1:10" ht="15.75" customHeight="1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</row>
    <row r="533" spans="1:10" ht="15.75" customHeight="1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</row>
    <row r="534" spans="1:10" ht="15.75" customHeight="1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</row>
    <row r="535" spans="1:10" ht="15.75" customHeight="1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</row>
    <row r="536" spans="1:10" ht="15.75" customHeight="1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</row>
    <row r="537" spans="1:10" ht="15.75" customHeight="1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</row>
    <row r="538" spans="1:10" ht="15.75" customHeight="1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</row>
    <row r="539" spans="1:10" ht="15.75" customHeight="1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</row>
    <row r="540" spans="1:10" ht="15.75" customHeight="1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</row>
    <row r="541" spans="1:10" ht="15.75" customHeight="1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</row>
    <row r="542" spans="1:10" ht="15.75" customHeight="1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</row>
    <row r="543" spans="1:10" ht="15.75" customHeight="1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</row>
    <row r="544" spans="1:10" ht="15.75" customHeight="1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</row>
    <row r="545" spans="1:10" ht="15.75" customHeight="1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</row>
    <row r="546" spans="1:10" ht="15.75" customHeight="1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</row>
    <row r="547" spans="1:10" ht="15.75" customHeight="1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</row>
    <row r="548" spans="1:10" ht="15.75" customHeight="1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</row>
    <row r="549" spans="1:10" ht="15.75" customHeight="1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</row>
    <row r="550" spans="1:10" ht="15.75" customHeight="1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</row>
    <row r="551" spans="1:10" ht="15.75" customHeight="1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</row>
    <row r="552" spans="1:10" ht="15.75" customHeight="1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</row>
    <row r="553" spans="1:10" ht="15.75" customHeight="1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</row>
    <row r="554" spans="1:10" ht="15.75" customHeight="1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</row>
    <row r="555" spans="1:10" ht="15.75" customHeight="1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</row>
    <row r="556" spans="1:10" ht="15.75" customHeight="1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</row>
    <row r="557" spans="1:10" ht="15.75" customHeight="1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</row>
    <row r="558" spans="1:10" ht="15.75" customHeight="1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</row>
    <row r="559" spans="1:10" ht="15.75" customHeight="1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</row>
    <row r="560" spans="1:10" ht="15.75" customHeight="1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</row>
    <row r="561" spans="1:10" ht="15.75" customHeight="1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</row>
    <row r="562" spans="1:10" ht="15.75" customHeight="1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</row>
    <row r="563" spans="1:10" ht="15.75" customHeight="1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</row>
    <row r="564" spans="1:10" ht="15.75" customHeight="1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</row>
    <row r="565" spans="1:10" ht="15.75" customHeight="1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</row>
    <row r="566" spans="1:10" ht="15.75" customHeight="1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</row>
    <row r="567" spans="1:10" ht="15.75" customHeight="1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</row>
    <row r="568" spans="1:10" ht="15.75" customHeight="1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</row>
    <row r="569" spans="1:10" ht="15.75" customHeight="1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</row>
    <row r="570" spans="1:10" ht="15.75" customHeight="1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</row>
    <row r="571" spans="1:10" ht="15.75" customHeight="1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</row>
    <row r="572" spans="1:10" ht="15.75" customHeight="1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</row>
    <row r="573" spans="1:10" ht="15.75" customHeight="1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</row>
    <row r="574" spans="1:10" ht="15.75" customHeight="1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</row>
    <row r="575" spans="1:10" ht="15.75" customHeight="1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</row>
    <row r="576" spans="1:10" ht="15.75" customHeight="1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</row>
    <row r="577" spans="1:10" ht="15.75" customHeight="1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</row>
    <row r="578" spans="1:10" ht="15.75" customHeight="1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</row>
    <row r="579" spans="1:10" ht="15.75" customHeight="1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</row>
    <row r="580" spans="1:10" ht="15.75" customHeight="1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</row>
    <row r="581" spans="1:10" ht="15.75" customHeight="1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</row>
    <row r="582" spans="1:10" ht="15.75" customHeight="1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</row>
    <row r="583" spans="1:10" ht="15.75" customHeight="1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</row>
    <row r="584" spans="1:10" ht="15.75" customHeight="1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</row>
    <row r="585" spans="1:10" ht="15.75" customHeight="1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</row>
    <row r="586" spans="1:10" ht="15.75" customHeight="1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</row>
    <row r="587" spans="1:10" ht="15.75" customHeight="1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</row>
    <row r="588" spans="1:10" ht="15.75" customHeight="1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</row>
    <row r="589" spans="1:10" ht="15.75" customHeight="1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</row>
    <row r="590" spans="1:10" ht="15.75" customHeight="1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</row>
    <row r="591" spans="1:10" ht="15.75" customHeight="1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</row>
    <row r="592" spans="1:10" ht="15.75" customHeight="1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</row>
    <row r="593" spans="1:10" ht="15.75" customHeight="1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</row>
    <row r="594" spans="1:10" ht="15.75" customHeight="1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</row>
    <row r="595" spans="1:10" ht="15.75" customHeight="1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</row>
    <row r="596" spans="1:10" ht="15.75" customHeight="1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</row>
    <row r="597" spans="1:10" ht="15.75" customHeight="1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</row>
    <row r="598" spans="1:10" ht="15.75" customHeight="1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</row>
    <row r="599" spans="1:10" ht="15.75" customHeight="1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</row>
    <row r="600" spans="1:10" ht="15.75" customHeight="1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</row>
    <row r="601" spans="1:10" ht="15.75" customHeight="1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</row>
    <row r="602" spans="1:10" ht="15.75" customHeight="1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</row>
    <row r="603" spans="1:10" ht="15.75" customHeight="1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</row>
    <row r="604" spans="1:10" ht="15.75" customHeight="1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</row>
    <row r="605" spans="1:10" ht="15.75" customHeight="1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</row>
    <row r="606" spans="1:10" ht="15.75" customHeight="1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</row>
    <row r="607" spans="1:10" ht="15.75" customHeight="1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</row>
    <row r="608" spans="1:10" ht="15.75" customHeight="1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</row>
    <row r="609" spans="1:10" ht="15.75" customHeight="1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</row>
    <row r="610" spans="1:10" ht="15.75" customHeight="1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</row>
    <row r="611" spans="1:10" ht="15.75" customHeight="1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</row>
    <row r="612" spans="1:10" ht="15.75" customHeight="1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</row>
    <row r="613" spans="1:10" ht="15.75" customHeight="1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</row>
    <row r="614" spans="1:10" ht="15.75" customHeight="1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</row>
    <row r="615" spans="1:10" ht="15.75" customHeight="1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</row>
    <row r="616" spans="1:10" ht="15.75" customHeight="1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</row>
    <row r="617" spans="1:10" ht="15.75" customHeight="1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</row>
    <row r="618" spans="1:10" ht="15.75" customHeight="1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</row>
    <row r="619" spans="1:10" ht="15.75" customHeight="1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</row>
    <row r="620" spans="1:10" ht="15.75" customHeight="1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</row>
    <row r="621" spans="1:10" ht="15.75" customHeight="1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</row>
    <row r="622" spans="1:10" ht="15.75" customHeight="1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</row>
    <row r="623" spans="1:10" ht="15.75" customHeight="1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</row>
    <row r="624" spans="1:10" ht="15.75" customHeight="1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</row>
    <row r="625" spans="1:10" ht="15.75" customHeight="1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</row>
    <row r="626" spans="1:10" ht="15.75" customHeight="1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</row>
    <row r="627" spans="1:10" ht="15.75" customHeight="1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</row>
    <row r="628" spans="1:10" ht="15.75" customHeight="1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</row>
    <row r="629" spans="1:10" ht="15.75" customHeight="1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</row>
    <row r="630" spans="1:10" ht="15.75" customHeight="1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</row>
    <row r="631" spans="1:10" ht="15.75" customHeight="1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</row>
    <row r="632" spans="1:10" ht="15.75" customHeight="1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</row>
    <row r="633" spans="1:10" ht="15.75" customHeight="1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</row>
    <row r="634" spans="1:10" ht="15.75" customHeight="1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</row>
    <row r="635" spans="1:10" ht="15.75" customHeight="1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</row>
    <row r="636" spans="1:10" ht="15.75" customHeight="1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</row>
    <row r="637" spans="1:10" ht="15.75" customHeight="1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</row>
    <row r="638" spans="1:10" ht="15.75" customHeight="1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</row>
    <row r="639" spans="1:10" ht="15.75" customHeight="1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</row>
    <row r="640" spans="1:10" ht="15.75" customHeight="1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</row>
    <row r="641" spans="1:10" ht="15.75" customHeight="1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</row>
    <row r="642" spans="1:10" ht="15.75" customHeight="1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</row>
    <row r="643" spans="1:10" ht="15.75" customHeight="1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</row>
    <row r="644" spans="1:10" ht="15.75" customHeight="1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</row>
    <row r="645" spans="1:10" ht="15.75" customHeight="1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</row>
    <row r="646" spans="1:10" ht="15.75" customHeight="1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</row>
    <row r="647" spans="1:10" ht="15.75" customHeight="1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</row>
    <row r="648" spans="1:10" ht="15.75" customHeight="1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</row>
    <row r="649" spans="1:10" ht="15.75" customHeight="1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</row>
    <row r="650" spans="1:10" ht="15.75" customHeight="1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</row>
    <row r="651" spans="1:10" ht="15.75" customHeight="1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</row>
    <row r="652" spans="1:10" ht="15.75" customHeight="1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</row>
    <row r="653" spans="1:10" ht="15.75" customHeight="1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</row>
    <row r="654" spans="1:10" ht="15.75" customHeight="1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</row>
    <row r="655" spans="1:10" ht="15.75" customHeight="1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</row>
    <row r="656" spans="1:10" ht="15.75" customHeight="1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</row>
    <row r="657" spans="1:10" ht="15.75" customHeight="1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</row>
    <row r="658" spans="1:10" ht="15.75" customHeight="1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</row>
    <row r="659" spans="1:10" ht="15.75" customHeight="1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</row>
    <row r="660" spans="1:10" ht="15.75" customHeight="1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</row>
    <row r="661" spans="1:10" ht="15.75" customHeight="1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</row>
    <row r="662" spans="1:10" ht="15.75" customHeight="1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</row>
    <row r="663" spans="1:10" ht="15.75" customHeight="1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</row>
    <row r="664" spans="1:10" ht="15.75" customHeight="1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</row>
    <row r="665" spans="1:10" ht="15.75" customHeight="1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</row>
    <row r="666" spans="1:10" ht="15.75" customHeight="1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</row>
    <row r="667" spans="1:10" ht="15.75" customHeight="1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</row>
    <row r="668" spans="1:10" ht="15.75" customHeight="1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</row>
    <row r="669" spans="1:10" ht="15.75" customHeight="1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</row>
    <row r="670" spans="1:10" ht="15.75" customHeight="1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</row>
    <row r="671" spans="1:10" ht="15.75" customHeight="1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</row>
    <row r="672" spans="1:10" ht="15.75" customHeight="1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</row>
    <row r="673" spans="1:10" ht="15.75" customHeight="1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</row>
    <row r="674" spans="1:10" ht="15.75" customHeight="1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</row>
    <row r="675" spans="1:10" ht="15.75" customHeight="1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</row>
    <row r="676" spans="1:10" ht="15.75" customHeight="1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</row>
    <row r="677" spans="1:10" ht="15.75" customHeight="1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</row>
    <row r="678" spans="1:10" ht="15.75" customHeight="1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</row>
    <row r="679" spans="1:10" ht="15.75" customHeight="1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</row>
    <row r="680" spans="1:10" ht="15.75" customHeight="1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</row>
    <row r="681" spans="1:10" ht="15.75" customHeight="1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</row>
    <row r="682" spans="1:10" ht="15.75" customHeight="1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</row>
    <row r="683" spans="1:10" ht="15.75" customHeight="1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</row>
    <row r="684" spans="1:10" ht="15.75" customHeight="1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</row>
    <row r="685" spans="1:10" ht="15.75" customHeight="1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</row>
    <row r="686" spans="1:10" ht="15.75" customHeight="1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</row>
    <row r="687" spans="1:10" ht="15.75" customHeight="1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</row>
    <row r="688" spans="1:10" ht="15.75" customHeight="1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</row>
    <row r="689" spans="1:10" ht="15.75" customHeight="1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</row>
    <row r="690" spans="1:10" ht="15.75" customHeight="1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</row>
    <row r="691" spans="1:10" ht="15.75" customHeight="1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</row>
    <row r="692" spans="1:10" ht="15.75" customHeight="1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</row>
    <row r="693" spans="1:10" ht="15.75" customHeight="1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</row>
    <row r="694" spans="1:10" ht="15.75" customHeight="1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</row>
    <row r="695" spans="1:10" ht="15.75" customHeight="1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</row>
    <row r="696" spans="1:10" ht="15.75" customHeight="1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</row>
    <row r="697" spans="1:10" ht="15.75" customHeight="1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</row>
    <row r="698" spans="1:10" ht="15.75" customHeight="1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</row>
    <row r="699" spans="1:10" ht="15.75" customHeight="1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</row>
    <row r="700" spans="1:10" ht="15.75" customHeight="1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</row>
    <row r="701" spans="1:10" ht="15.75" customHeight="1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</row>
    <row r="702" spans="1:10" ht="15.75" customHeight="1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</row>
    <row r="703" spans="1:10" ht="15.75" customHeight="1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</row>
    <row r="704" spans="1:10" ht="15.75" customHeight="1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</row>
    <row r="705" spans="1:10" ht="15.75" customHeight="1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</row>
    <row r="706" spans="1:10" ht="15.75" customHeight="1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</row>
    <row r="707" spans="1:10" ht="15.75" customHeight="1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</row>
    <row r="708" spans="1:10" ht="15.75" customHeight="1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</row>
    <row r="709" spans="1:10" ht="15.75" customHeight="1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</row>
    <row r="710" spans="1:10" ht="15.75" customHeight="1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</row>
    <row r="711" spans="1:10" ht="15.75" customHeight="1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</row>
    <row r="712" spans="1:10" ht="15.75" customHeight="1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</row>
    <row r="713" spans="1:10" ht="15.75" customHeight="1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</row>
    <row r="714" spans="1:10" ht="15.75" customHeight="1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</row>
    <row r="715" spans="1:10" ht="15.75" customHeight="1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</row>
    <row r="716" spans="1:10" ht="15.75" customHeight="1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</row>
    <row r="717" spans="1:10" ht="15.75" customHeight="1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</row>
    <row r="718" spans="1:10" ht="15.75" customHeight="1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</row>
    <row r="719" spans="1:10" ht="15.75" customHeight="1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</row>
    <row r="720" spans="1:10" ht="15.75" customHeight="1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</row>
    <row r="721" spans="1:10" ht="15.75" customHeight="1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</row>
    <row r="722" spans="1:10" ht="15.75" customHeight="1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</row>
    <row r="723" spans="1:10" ht="15.75" customHeight="1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</row>
    <row r="724" spans="1:10" ht="15.75" customHeight="1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</row>
    <row r="725" spans="1:10" ht="15.75" customHeight="1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</row>
    <row r="726" spans="1:10" ht="15.75" customHeight="1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</row>
    <row r="727" spans="1:10" ht="15.75" customHeight="1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</row>
    <row r="728" spans="1:10" ht="15.75" customHeight="1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</row>
    <row r="729" spans="1:10" ht="15.75" customHeight="1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</row>
    <row r="730" spans="1:10" ht="15.75" customHeight="1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</row>
    <row r="731" spans="1:10" ht="15.75" customHeight="1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</row>
    <row r="732" spans="1:10" ht="15.75" customHeight="1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</row>
    <row r="733" spans="1:10" ht="15.75" customHeight="1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</row>
    <row r="734" spans="1:10" ht="15.75" customHeight="1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</row>
    <row r="735" spans="1:10" ht="15.75" customHeight="1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</row>
    <row r="736" spans="1:10" ht="15.75" customHeight="1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</row>
    <row r="737" spans="1:10" ht="15.75" customHeight="1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</row>
    <row r="738" spans="1:10" ht="15.75" customHeight="1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</row>
    <row r="739" spans="1:10" ht="15.75" customHeight="1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</row>
    <row r="740" spans="1:10" ht="15.75" customHeight="1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</row>
    <row r="741" spans="1:10" ht="15.75" customHeight="1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</row>
    <row r="742" spans="1:10" ht="15.75" customHeight="1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</row>
    <row r="743" spans="1:10" ht="15.75" customHeight="1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</row>
    <row r="744" spans="1:10" ht="15.75" customHeight="1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</row>
    <row r="745" spans="1:10" ht="15.75" customHeight="1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</row>
    <row r="746" spans="1:10" ht="15.75" customHeight="1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</row>
    <row r="747" spans="1:10" ht="15.75" customHeight="1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</row>
    <row r="748" spans="1:10" ht="15.75" customHeight="1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</row>
    <row r="749" spans="1:10" ht="15.75" customHeight="1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</row>
    <row r="750" spans="1:10" ht="15.75" customHeight="1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</row>
    <row r="751" spans="1:10" ht="15.75" customHeight="1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</row>
    <row r="752" spans="1:10" ht="15.75" customHeight="1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</row>
    <row r="753" spans="1:10" ht="15.75" customHeight="1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</row>
    <row r="754" spans="1:10" ht="15.75" customHeight="1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</row>
    <row r="755" spans="1:10" ht="15.75" customHeight="1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</row>
    <row r="756" spans="1:10" ht="15.75" customHeight="1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</row>
    <row r="757" spans="1:10" ht="15.75" customHeight="1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</row>
    <row r="758" spans="1:10" ht="15.75" customHeight="1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</row>
    <row r="759" spans="1:10" ht="15.75" customHeight="1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</row>
    <row r="760" spans="1:10" ht="15.75" customHeight="1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</row>
    <row r="761" spans="1:10" ht="15.75" customHeight="1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</row>
    <row r="762" spans="1:10" ht="15.75" customHeight="1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</row>
    <row r="763" spans="1:10" ht="15.75" customHeight="1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</row>
    <row r="764" spans="1:10" ht="15.75" customHeight="1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</row>
    <row r="765" spans="1:10" ht="15.75" customHeight="1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</row>
    <row r="766" spans="1:10" ht="15.75" customHeight="1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</row>
    <row r="767" spans="1:10" ht="15.75" customHeight="1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</row>
    <row r="768" spans="1:10" ht="15.75" customHeight="1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</row>
    <row r="769" spans="1:10" ht="15.75" customHeight="1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</row>
    <row r="770" spans="1:10" ht="15.75" customHeight="1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</row>
    <row r="771" spans="1:10" ht="15.75" customHeight="1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</row>
    <row r="772" spans="1:10" ht="15.75" customHeight="1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</row>
    <row r="773" spans="1:10" ht="15.75" customHeight="1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</row>
    <row r="774" spans="1:10" ht="15.75" customHeight="1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</row>
    <row r="775" spans="1:10" ht="15.75" customHeight="1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</row>
    <row r="776" spans="1:10" ht="15.75" customHeight="1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</row>
    <row r="777" spans="1:10" ht="15.75" customHeight="1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</row>
    <row r="778" spans="1:10" ht="15.75" customHeight="1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</row>
    <row r="779" spans="1:10" ht="15.75" customHeight="1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</row>
    <row r="780" spans="1:10" ht="15.75" customHeight="1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</row>
    <row r="781" spans="1:10" ht="15.75" customHeight="1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</row>
    <row r="782" spans="1:10" ht="15.75" customHeight="1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</row>
    <row r="783" spans="1:10" ht="15.75" customHeight="1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</row>
    <row r="784" spans="1:10" ht="15.75" customHeight="1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</row>
    <row r="785" spans="1:10" ht="15.75" customHeight="1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</row>
    <row r="786" spans="1:10" ht="15.75" customHeight="1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</row>
    <row r="787" spans="1:10" ht="15.75" customHeight="1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</row>
    <row r="788" spans="1:10" ht="15.75" customHeight="1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</row>
    <row r="789" spans="1:10" ht="15.75" customHeight="1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</row>
    <row r="790" spans="1:10" ht="15.75" customHeight="1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</row>
    <row r="791" spans="1:10" ht="15.75" customHeight="1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</row>
    <row r="792" spans="1:10" ht="15.75" customHeight="1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</row>
    <row r="793" spans="1:10" ht="15.75" customHeight="1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</row>
    <row r="794" spans="1:10" ht="15.75" customHeight="1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</row>
    <row r="795" spans="1:10" ht="15.75" customHeight="1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</row>
    <row r="796" spans="1:10" ht="15.75" customHeight="1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</row>
    <row r="797" spans="1:10" ht="15.75" customHeight="1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</row>
    <row r="798" spans="1:10" ht="15.75" customHeight="1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</row>
    <row r="799" spans="1:10" ht="15.75" customHeight="1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</row>
    <row r="800" spans="1:10" ht="15.75" customHeight="1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</row>
    <row r="801" spans="1:10" ht="15.75" customHeight="1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</row>
    <row r="802" spans="1:10" ht="15.75" customHeight="1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</row>
    <row r="803" spans="1:10" ht="15.75" customHeight="1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</row>
    <row r="804" spans="1:10" ht="15.75" customHeight="1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</row>
    <row r="805" spans="1:10" ht="15.75" customHeight="1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</row>
    <row r="806" spans="1:10" ht="15.75" customHeight="1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</row>
    <row r="807" spans="1:10" ht="15.75" customHeight="1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</row>
    <row r="808" spans="1:10" ht="15.75" customHeight="1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</row>
    <row r="809" spans="1:10" ht="15.75" customHeight="1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</row>
    <row r="810" spans="1:10" ht="15.75" customHeight="1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</row>
    <row r="811" spans="1:10" ht="15.75" customHeight="1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</row>
    <row r="812" spans="1:10" ht="15.75" customHeight="1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</row>
    <row r="813" spans="1:10" ht="15.75" customHeight="1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</row>
    <row r="814" spans="1:10" ht="15.75" customHeight="1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</row>
    <row r="815" spans="1:10" ht="15.75" customHeight="1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</row>
    <row r="816" spans="1:10" ht="15.75" customHeight="1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</row>
    <row r="817" spans="1:10" ht="15.75" customHeight="1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</row>
    <row r="818" spans="1:10" ht="15.75" customHeight="1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</row>
    <row r="819" spans="1:10" ht="15.75" customHeight="1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</row>
    <row r="820" spans="1:10" ht="15.75" customHeight="1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</row>
    <row r="821" spans="1:10" ht="15.75" customHeight="1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</row>
    <row r="822" spans="1:10" ht="15.75" customHeight="1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</row>
    <row r="823" spans="1:10" ht="15.75" customHeight="1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</row>
    <row r="824" spans="1:10" ht="15.75" customHeight="1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</row>
    <row r="825" spans="1:10" ht="15.75" customHeight="1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</row>
    <row r="826" spans="1:10" ht="15.75" customHeight="1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</row>
    <row r="827" spans="1:10" ht="15.75" customHeight="1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</row>
    <row r="828" spans="1:10" ht="15.75" customHeight="1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</row>
    <row r="829" spans="1:10" ht="15.75" customHeight="1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</row>
    <row r="830" spans="1:10" ht="15.75" customHeight="1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</row>
    <row r="831" spans="1:10" ht="15.75" customHeight="1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</row>
    <row r="832" spans="1:10" ht="15.75" customHeight="1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</row>
    <row r="833" spans="1:10" ht="15.75" customHeight="1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</row>
    <row r="834" spans="1:10" ht="15.75" customHeight="1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</row>
    <row r="835" spans="1:10" ht="15.75" customHeight="1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</row>
    <row r="836" spans="1:10" ht="15.75" customHeight="1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</row>
    <row r="837" spans="1:10" ht="15.75" customHeight="1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</row>
    <row r="838" spans="1:10" ht="15.75" customHeight="1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</row>
    <row r="839" spans="1:10" ht="15.75" customHeight="1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</row>
    <row r="840" spans="1:10" ht="15.75" customHeight="1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</row>
    <row r="841" spans="1:10" ht="15.75" customHeight="1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</row>
    <row r="842" spans="1:10" ht="15.75" customHeight="1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</row>
    <row r="843" spans="1:10" ht="15.75" customHeight="1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</row>
    <row r="844" spans="1:10" ht="15.75" customHeight="1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</row>
    <row r="845" spans="1:10" ht="15.75" customHeight="1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</row>
    <row r="846" spans="1:10" ht="15.75" customHeight="1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</row>
    <row r="847" spans="1:10" ht="15.75" customHeight="1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</row>
    <row r="848" spans="1:10" ht="15.75" customHeight="1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</row>
    <row r="849" spans="1:10" ht="15.75" customHeight="1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</row>
    <row r="850" spans="1:10" ht="15.75" customHeight="1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</row>
    <row r="851" spans="1:10" ht="15.75" customHeight="1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</row>
    <row r="852" spans="1:10" ht="15.75" customHeight="1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</row>
    <row r="853" spans="1:10" ht="15.75" customHeight="1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</row>
    <row r="854" spans="1:10" ht="15.75" customHeight="1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</row>
    <row r="855" spans="1:10" ht="15.75" customHeight="1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</row>
    <row r="856" spans="1:10" ht="15.75" customHeight="1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</row>
    <row r="857" spans="1:10" ht="15.75" customHeight="1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</row>
    <row r="858" spans="1:10" ht="15.75" customHeight="1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</row>
    <row r="859" spans="1:10" ht="15.75" customHeight="1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</row>
    <row r="860" spans="1:10" ht="15.75" customHeight="1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</row>
    <row r="861" spans="1:10" ht="15.75" customHeight="1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</row>
    <row r="862" spans="1:10" ht="15.75" customHeight="1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</row>
    <row r="863" spans="1:10" ht="15.75" customHeight="1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</row>
    <row r="864" spans="1:10" ht="15.75" customHeight="1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</row>
    <row r="865" spans="1:10" ht="15.75" customHeight="1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</row>
    <row r="866" spans="1:10" ht="15.75" customHeight="1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</row>
    <row r="867" spans="1:10" ht="15.75" customHeight="1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</row>
    <row r="868" spans="1:10" ht="15.75" customHeight="1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</row>
    <row r="869" spans="1:10" ht="15.75" customHeight="1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</row>
    <row r="870" spans="1:10" ht="15.75" customHeight="1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</row>
    <row r="871" spans="1:10" ht="15.75" customHeight="1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</row>
    <row r="872" spans="1:10" ht="15.75" customHeight="1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</row>
    <row r="873" spans="1:10" ht="15.75" customHeight="1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</row>
    <row r="874" spans="1:10" ht="15.75" customHeight="1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</row>
    <row r="875" spans="1:10" ht="15.75" customHeight="1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</row>
    <row r="876" spans="1:10" ht="15.75" customHeight="1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</row>
    <row r="877" spans="1:10" ht="15.75" customHeight="1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</row>
    <row r="878" spans="1:10" ht="15.75" customHeight="1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</row>
    <row r="879" spans="1:10" ht="15.75" customHeight="1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</row>
    <row r="880" spans="1:10" ht="15.75" customHeight="1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</row>
    <row r="881" spans="1:10" ht="15.75" customHeight="1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</row>
    <row r="882" spans="1:10" ht="15.75" customHeight="1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</row>
    <row r="883" spans="1:10" ht="15.75" customHeight="1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</row>
    <row r="884" spans="1:10" ht="15.75" customHeight="1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</row>
    <row r="885" spans="1:10" ht="15.75" customHeight="1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</row>
    <row r="886" spans="1:10" ht="15.75" customHeight="1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</row>
    <row r="887" spans="1:10" ht="15.75" customHeight="1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</row>
    <row r="888" spans="1:10" ht="15.75" customHeight="1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</row>
    <row r="889" spans="1:10" ht="15.75" customHeight="1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</row>
    <row r="890" spans="1:10" ht="15.75" customHeight="1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</row>
    <row r="891" spans="1:10" ht="15.75" customHeight="1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</row>
    <row r="892" spans="1:10" ht="15.75" customHeight="1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</row>
    <row r="893" spans="1:10" ht="15.75" customHeight="1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</row>
    <row r="894" spans="1:10" ht="15.75" customHeight="1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</row>
    <row r="895" spans="1:10" ht="15.75" customHeight="1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</row>
    <row r="896" spans="1:10" ht="15.75" customHeight="1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</row>
    <row r="897" spans="1:10" ht="15.75" customHeight="1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</row>
    <row r="898" spans="1:10" ht="15.75" customHeight="1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</row>
    <row r="899" spans="1:10" ht="15.75" customHeight="1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</row>
    <row r="900" spans="1:10" ht="15.75" customHeight="1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</row>
    <row r="901" spans="1:10" ht="15.75" customHeight="1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</row>
    <row r="902" spans="1:10" ht="15.75" customHeight="1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</row>
    <row r="903" spans="1:10" ht="15.75" customHeight="1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</row>
    <row r="904" spans="1:10" ht="15.75" customHeight="1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</row>
    <row r="905" spans="1:10" ht="15.75" customHeight="1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</row>
    <row r="906" spans="1:10" ht="15.75" customHeight="1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</row>
    <row r="907" spans="1:10" ht="15.75" customHeight="1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</row>
    <row r="908" spans="1:10" ht="15.75" customHeight="1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</row>
    <row r="909" spans="1:10" ht="15.75" customHeight="1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</row>
    <row r="910" spans="1:10" ht="15.75" customHeight="1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</row>
    <row r="911" spans="1:10" ht="15.75" customHeight="1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</row>
    <row r="912" spans="1:10" ht="15.75" customHeight="1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</row>
    <row r="913" spans="1:10" ht="15.75" customHeight="1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</row>
    <row r="914" spans="1:10" ht="15.75" customHeight="1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</row>
    <row r="915" spans="1:10" ht="15.75" customHeight="1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</row>
    <row r="916" spans="1:10" ht="15.75" customHeight="1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</row>
    <row r="917" spans="1:10" ht="15.75" customHeight="1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</row>
    <row r="918" spans="1:10" ht="15.75" customHeight="1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</row>
    <row r="919" spans="1:10" ht="15.75" customHeight="1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</row>
    <row r="920" spans="1:10" ht="15.75" customHeight="1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</row>
    <row r="921" spans="1:10" ht="15.75" customHeight="1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</row>
    <row r="922" spans="1:10" ht="15.75" customHeight="1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</row>
    <row r="923" spans="1:10" ht="15.75" customHeight="1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</row>
    <row r="924" spans="1:10" ht="15.75" customHeight="1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</row>
    <row r="925" spans="1:10" ht="15.75" customHeight="1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</row>
    <row r="926" spans="1:10" ht="15.75" customHeight="1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</row>
    <row r="927" spans="1:10" ht="15.75" customHeight="1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</row>
    <row r="928" spans="1:10" ht="15.75" customHeight="1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</row>
    <row r="929" spans="1:10" ht="15.75" customHeight="1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</row>
    <row r="930" spans="1:10" ht="15.75" customHeight="1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</row>
    <row r="931" spans="1:10" ht="15.75" customHeight="1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</row>
    <row r="932" spans="1:10" ht="15.75" customHeight="1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</row>
    <row r="933" spans="1:10" ht="15.75" customHeight="1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</row>
    <row r="934" spans="1:10" ht="15.75" customHeight="1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</row>
    <row r="935" spans="1:10" ht="15.75" customHeight="1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</row>
    <row r="936" spans="1:10" ht="15.75" customHeight="1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</row>
    <row r="937" spans="1:10" ht="15.75" customHeight="1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</row>
    <row r="938" spans="1:10" ht="15.75" customHeight="1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</row>
    <row r="939" spans="1:10" ht="15.75" customHeight="1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</row>
    <row r="940" spans="1:10" ht="15.75" customHeight="1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</row>
    <row r="941" spans="1:10" ht="15.75" customHeight="1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</row>
    <row r="942" spans="1:10" ht="15.75" customHeight="1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</row>
    <row r="943" spans="1:10" ht="15.75" customHeight="1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</row>
    <row r="944" spans="1:10" ht="15.75" customHeight="1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</row>
    <row r="945" spans="1:10" ht="15.75" customHeight="1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</row>
    <row r="946" spans="1:10" ht="15.75" customHeight="1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</row>
    <row r="947" spans="1:10" ht="15.75" customHeight="1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</row>
    <row r="948" spans="1:10" ht="15.75" customHeight="1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</row>
    <row r="949" spans="1:10" ht="15.75" customHeight="1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</row>
    <row r="950" spans="1:10" ht="15.75" customHeight="1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</row>
    <row r="951" spans="1:10" ht="15.75" customHeight="1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</row>
    <row r="952" spans="1:10" ht="15.75" customHeight="1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</row>
    <row r="953" spans="1:10" ht="15.75" customHeight="1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</row>
    <row r="954" spans="1:10" ht="15.75" customHeight="1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</row>
    <row r="955" spans="1:10" ht="15.75" customHeight="1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</row>
    <row r="956" spans="1:10" ht="15.75" customHeight="1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</row>
    <row r="957" spans="1:10" ht="15.75" customHeight="1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</row>
    <row r="958" spans="1:10" ht="15.75" customHeight="1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</row>
    <row r="959" spans="1:10" ht="15.75" customHeight="1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</row>
    <row r="960" spans="1:10" ht="15.75" customHeight="1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</row>
    <row r="961" spans="1:10" ht="15.75" customHeight="1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</row>
    <row r="962" spans="1:10" ht="15.75" customHeight="1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</row>
    <row r="963" spans="1:10" ht="15.75" customHeight="1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</row>
    <row r="964" spans="1:10" ht="15.75" customHeight="1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</row>
    <row r="965" spans="1:10" ht="15.75" customHeight="1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</row>
    <row r="966" spans="1:10" ht="15.75" customHeight="1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</row>
    <row r="967" spans="1:10" ht="15.75" customHeight="1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</row>
    <row r="968" spans="1:10" ht="15.75" customHeight="1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</row>
    <row r="969" spans="1:10" ht="15.75" customHeight="1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</row>
    <row r="970" spans="1:10" ht="15.75" customHeight="1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</row>
    <row r="971" spans="1:10" ht="15.75" customHeight="1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</row>
    <row r="972" spans="1:10" ht="15.75" customHeight="1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</row>
    <row r="973" spans="1:10" ht="15.75" customHeight="1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</row>
    <row r="974" spans="1:10" ht="15.75" customHeight="1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</row>
    <row r="975" spans="1:10" ht="15.75" customHeight="1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</row>
    <row r="976" spans="1:10" ht="15.75" customHeight="1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</row>
    <row r="977" spans="1:10" ht="15.75" customHeight="1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</row>
    <row r="978" spans="1:10" ht="15.75" customHeight="1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</row>
    <row r="979" spans="1:10" ht="15.75" customHeight="1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</row>
    <row r="980" spans="1:10" ht="15.75" customHeight="1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</row>
    <row r="981" spans="1:10" ht="15.75" customHeight="1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</row>
    <row r="982" spans="1:10" ht="15.75" customHeight="1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</row>
    <row r="983" spans="1:10" ht="15.75" customHeight="1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</row>
    <row r="984" spans="1:10" ht="15.75" customHeight="1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</row>
    <row r="985" spans="1:10" ht="15.75" customHeight="1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</row>
    <row r="986" spans="1:10" ht="15.75" customHeight="1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</row>
    <row r="987" spans="1:10" ht="15.75" customHeight="1">
      <c r="A987" s="145"/>
      <c r="B987" s="145"/>
      <c r="C987" s="145"/>
      <c r="D987" s="145"/>
      <c r="E987" s="145"/>
      <c r="F987" s="145"/>
      <c r="G987" s="145"/>
      <c r="H987" s="145"/>
      <c r="I987" s="145"/>
      <c r="J987" s="145"/>
    </row>
    <row r="988" spans="1:10" ht="15.75" customHeight="1">
      <c r="A988" s="145"/>
      <c r="B988" s="145"/>
      <c r="C988" s="145"/>
      <c r="D988" s="145"/>
      <c r="E988" s="145"/>
      <c r="F988" s="145"/>
      <c r="G988" s="145"/>
      <c r="H988" s="145"/>
      <c r="I988" s="145"/>
      <c r="J988" s="145"/>
    </row>
    <row r="989" spans="1:10" ht="15.75" customHeight="1">
      <c r="A989" s="145"/>
      <c r="B989" s="145"/>
      <c r="C989" s="145"/>
      <c r="D989" s="145"/>
      <c r="E989" s="145"/>
      <c r="F989" s="145"/>
      <c r="G989" s="145"/>
      <c r="H989" s="145"/>
      <c r="I989" s="145"/>
      <c r="J989" s="145"/>
    </row>
    <row r="990" spans="1:10" ht="15.75" customHeight="1">
      <c r="A990" s="145"/>
      <c r="B990" s="145"/>
      <c r="C990" s="145"/>
      <c r="D990" s="145"/>
      <c r="E990" s="145"/>
      <c r="F990" s="145"/>
      <c r="G990" s="145"/>
      <c r="H990" s="145"/>
      <c r="I990" s="145"/>
      <c r="J990" s="145"/>
    </row>
    <row r="991" spans="1:10" ht="15.75" customHeight="1">
      <c r="A991" s="145"/>
      <c r="B991" s="145"/>
      <c r="C991" s="145"/>
      <c r="D991" s="145"/>
      <c r="E991" s="145"/>
      <c r="F991" s="145"/>
      <c r="G991" s="145"/>
      <c r="H991" s="145"/>
      <c r="I991" s="145"/>
      <c r="J991" s="145"/>
    </row>
    <row r="992" spans="1:10" ht="15.75" customHeight="1">
      <c r="A992" s="145"/>
      <c r="B992" s="145"/>
      <c r="C992" s="145"/>
      <c r="D992" s="145"/>
      <c r="E992" s="145"/>
      <c r="F992" s="145"/>
      <c r="G992" s="145"/>
      <c r="H992" s="145"/>
      <c r="I992" s="145"/>
      <c r="J992" s="145"/>
    </row>
    <row r="993" spans="1:10" ht="15.75" customHeight="1">
      <c r="A993" s="145"/>
      <c r="B993" s="145"/>
      <c r="C993" s="145"/>
      <c r="D993" s="145"/>
      <c r="E993" s="145"/>
      <c r="F993" s="145"/>
      <c r="G993" s="145"/>
      <c r="H993" s="145"/>
      <c r="I993" s="145"/>
      <c r="J993" s="145"/>
    </row>
    <row r="994" spans="1:10" ht="15.75" customHeight="1">
      <c r="A994" s="145"/>
      <c r="B994" s="145"/>
      <c r="C994" s="145"/>
      <c r="D994" s="145"/>
      <c r="E994" s="145"/>
      <c r="F994" s="145"/>
      <c r="G994" s="145"/>
      <c r="H994" s="145"/>
      <c r="I994" s="145"/>
      <c r="J994" s="145"/>
    </row>
    <row r="995" spans="1:10" ht="15.75" customHeight="1">
      <c r="A995" s="145"/>
      <c r="B995" s="145"/>
      <c r="C995" s="145"/>
      <c r="D995" s="145"/>
      <c r="E995" s="145"/>
      <c r="F995" s="145"/>
      <c r="G995" s="145"/>
      <c r="H995" s="145"/>
      <c r="I995" s="145"/>
      <c r="J995" s="145"/>
    </row>
    <row r="996" spans="1:10" ht="15.75" customHeight="1">
      <c r="A996" s="145"/>
      <c r="B996" s="145"/>
      <c r="C996" s="145"/>
      <c r="D996" s="145"/>
      <c r="E996" s="145"/>
      <c r="F996" s="145"/>
      <c r="G996" s="145"/>
      <c r="H996" s="145"/>
      <c r="I996" s="145"/>
      <c r="J996" s="145"/>
    </row>
    <row r="997" spans="1:10" ht="15.75" customHeight="1">
      <c r="A997" s="145"/>
      <c r="B997" s="145"/>
      <c r="C997" s="145"/>
      <c r="D997" s="145"/>
      <c r="E997" s="145"/>
      <c r="F997" s="145"/>
      <c r="G997" s="145"/>
      <c r="H997" s="145"/>
      <c r="I997" s="145"/>
      <c r="J997" s="145"/>
    </row>
    <row r="998" spans="1:10" ht="15.75" customHeight="1">
      <c r="A998" s="145"/>
      <c r="B998" s="145"/>
      <c r="C998" s="145"/>
      <c r="D998" s="145"/>
      <c r="E998" s="145"/>
      <c r="F998" s="145"/>
      <c r="G998" s="145"/>
      <c r="H998" s="145"/>
      <c r="I998" s="145"/>
      <c r="J998" s="145"/>
    </row>
    <row r="999" spans="1:10" ht="15.75" customHeight="1">
      <c r="A999" s="145"/>
      <c r="B999" s="145"/>
      <c r="C999" s="145"/>
      <c r="D999" s="145"/>
      <c r="E999" s="145"/>
      <c r="F999" s="145"/>
      <c r="G999" s="145"/>
      <c r="H999" s="145"/>
      <c r="I999" s="145"/>
      <c r="J999" s="145"/>
    </row>
    <row r="1000" spans="1:10" ht="15.75" customHeight="1">
      <c r="A1000" s="145"/>
      <c r="B1000" s="145"/>
      <c r="C1000" s="145"/>
      <c r="D1000" s="145"/>
      <c r="E1000" s="145"/>
      <c r="F1000" s="145"/>
      <c r="G1000" s="145"/>
      <c r="H1000" s="145"/>
      <c r="I1000" s="145"/>
      <c r="J1000" s="145"/>
    </row>
    <row r="1001" spans="1:10" ht="15" customHeight="1">
      <c r="A1001" s="145"/>
      <c r="B1001" s="145"/>
      <c r="C1001" s="145"/>
      <c r="D1001" s="145"/>
      <c r="E1001" s="145"/>
      <c r="F1001" s="145"/>
      <c r="G1001" s="145"/>
      <c r="H1001" s="145"/>
      <c r="I1001" s="145"/>
      <c r="J1001" s="145"/>
    </row>
    <row r="1002" spans="1:10" ht="15" customHeight="1">
      <c r="A1002" s="145"/>
      <c r="B1002" s="145"/>
      <c r="C1002" s="145"/>
      <c r="D1002" s="145"/>
      <c r="E1002" s="145"/>
      <c r="F1002" s="145"/>
      <c r="G1002" s="145"/>
      <c r="H1002" s="145"/>
      <c r="I1002" s="145"/>
      <c r="J1002" s="145"/>
    </row>
    <row r="1003" spans="1:10" ht="15" customHeight="1">
      <c r="A1003" s="145"/>
      <c r="B1003" s="145"/>
      <c r="C1003" s="145"/>
      <c r="D1003" s="145"/>
      <c r="E1003" s="145"/>
      <c r="F1003" s="145"/>
      <c r="G1003" s="145"/>
      <c r="H1003" s="145"/>
      <c r="I1003" s="145"/>
      <c r="J1003" s="145"/>
    </row>
    <row r="1004" spans="1:10" ht="15" customHeight="1">
      <c r="A1004" s="145"/>
      <c r="B1004" s="145"/>
      <c r="C1004" s="145"/>
      <c r="D1004" s="145"/>
      <c r="E1004" s="145"/>
      <c r="F1004" s="145"/>
      <c r="G1004" s="145"/>
      <c r="H1004" s="145"/>
      <c r="I1004" s="145"/>
      <c r="J1004" s="145"/>
    </row>
    <row r="1005" spans="1:10" ht="15" customHeight="1">
      <c r="A1005" s="145"/>
      <c r="B1005" s="145"/>
      <c r="C1005" s="145"/>
      <c r="D1005" s="145"/>
      <c r="E1005" s="145"/>
      <c r="F1005" s="145"/>
      <c r="G1005" s="145"/>
      <c r="H1005" s="145"/>
      <c r="I1005" s="145"/>
      <c r="J1005" s="145"/>
    </row>
    <row r="1006" spans="1:10" ht="15" customHeight="1">
      <c r="A1006" s="145"/>
      <c r="B1006" s="145"/>
      <c r="C1006" s="145"/>
      <c r="D1006" s="145"/>
      <c r="E1006" s="145"/>
      <c r="F1006" s="145"/>
      <c r="G1006" s="145"/>
      <c r="H1006" s="145"/>
      <c r="I1006" s="145"/>
      <c r="J1006" s="145"/>
    </row>
    <row r="1007" spans="1:10" ht="15" customHeight="1">
      <c r="A1007" s="145"/>
      <c r="B1007" s="145"/>
      <c r="C1007" s="145"/>
      <c r="D1007" s="145"/>
      <c r="E1007" s="145"/>
      <c r="F1007" s="145"/>
      <c r="G1007" s="145"/>
      <c r="H1007" s="145"/>
      <c r="I1007" s="145"/>
      <c r="J1007" s="145"/>
    </row>
    <row r="1008" spans="1:10" ht="15" customHeight="1">
      <c r="A1008" s="145"/>
      <c r="B1008" s="145"/>
      <c r="C1008" s="145"/>
      <c r="D1008" s="145"/>
      <c r="E1008" s="145"/>
      <c r="F1008" s="145"/>
      <c r="G1008" s="145"/>
      <c r="H1008" s="145"/>
      <c r="I1008" s="145"/>
      <c r="J1008" s="145"/>
    </row>
    <row r="1009" spans="1:10" ht="15" customHeight="1">
      <c r="A1009" s="145"/>
      <c r="B1009" s="145"/>
      <c r="C1009" s="145"/>
      <c r="D1009" s="145"/>
      <c r="E1009" s="145"/>
      <c r="F1009" s="145"/>
      <c r="G1009" s="145"/>
      <c r="H1009" s="145"/>
      <c r="I1009" s="145"/>
      <c r="J1009" s="145"/>
    </row>
    <row r="1010" spans="1:10" ht="15" customHeight="1">
      <c r="A1010" s="145"/>
      <c r="B1010" s="145"/>
      <c r="C1010" s="145"/>
      <c r="D1010" s="145"/>
      <c r="E1010" s="145"/>
      <c r="F1010" s="145"/>
      <c r="G1010" s="145"/>
      <c r="H1010" s="145"/>
      <c r="I1010" s="145"/>
      <c r="J1010" s="145"/>
    </row>
  </sheetData>
  <mergeCells count="2">
    <mergeCell ref="A1:J1"/>
    <mergeCell ref="L1:U1"/>
  </mergeCells>
  <pageMargins left="0.75" right="0.75" top="1" bottom="1" header="0" footer="0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33"/>
  <sheetViews>
    <sheetView showGridLines="0" zoomScale="175" zoomScaleNormal="175" workbookViewId="0">
      <pane ySplit="4" topLeftCell="A804" activePane="bottomLeft" state="frozen"/>
      <selection pane="bottomLeft" activeCell="C789" sqref="C789"/>
    </sheetView>
  </sheetViews>
  <sheetFormatPr baseColWidth="10" defaultColWidth="14.5" defaultRowHeight="15" customHeight="1"/>
  <cols>
    <col min="1" max="1" width="13" style="59" customWidth="1"/>
    <col min="2" max="2" width="8" customWidth="1"/>
    <col min="3" max="3" width="11" style="1017" customWidth="1"/>
    <col min="4" max="4" width="14" customWidth="1"/>
    <col min="5" max="6" width="12.33203125" customWidth="1"/>
    <col min="7" max="7" width="11.5" style="1038" customWidth="1"/>
    <col min="8" max="8" width="12.33203125" style="463" customWidth="1"/>
    <col min="9" max="11" width="14.1640625" style="463" customWidth="1"/>
    <col min="12" max="12" width="14.1640625" style="1049" customWidth="1"/>
    <col min="13" max="13" width="9.1640625" customWidth="1"/>
    <col min="14" max="14" width="11.5" style="59" customWidth="1"/>
    <col min="15" max="26" width="8.6640625" customWidth="1"/>
  </cols>
  <sheetData>
    <row r="1" spans="1:26" ht="31.5" customHeight="1">
      <c r="A1" s="1168" t="s">
        <v>508</v>
      </c>
      <c r="B1" s="1140"/>
      <c r="C1" s="1199"/>
      <c r="D1" s="1140"/>
      <c r="E1" s="1140"/>
      <c r="F1" s="1140"/>
      <c r="G1" s="1200"/>
      <c r="H1" s="1201"/>
      <c r="I1" s="1201"/>
      <c r="J1" s="1201"/>
      <c r="K1" s="1201"/>
      <c r="L1" s="1202"/>
      <c r="M1" s="1140"/>
      <c r="N1" s="68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684"/>
    </row>
    <row r="2" spans="1:26" ht="18" customHeight="1">
      <c r="A2" s="1198" t="s">
        <v>509</v>
      </c>
      <c r="B2" s="1140"/>
      <c r="C2" s="1199"/>
      <c r="D2" s="1140"/>
      <c r="E2" s="1140"/>
      <c r="F2" s="1140"/>
      <c r="G2" s="1200"/>
      <c r="H2" s="1201"/>
      <c r="I2" s="1201"/>
      <c r="J2" s="1201"/>
      <c r="K2" s="1201"/>
      <c r="L2" s="1202"/>
      <c r="M2" s="1140"/>
      <c r="N2" s="68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1.75" customHeight="1">
      <c r="A3" s="685"/>
      <c r="B3" s="686"/>
      <c r="C3" s="686"/>
      <c r="D3" s="686"/>
      <c r="E3" s="686"/>
      <c r="F3" s="686"/>
      <c r="G3" s="1037"/>
      <c r="H3" s="1039"/>
      <c r="I3" s="1039"/>
      <c r="J3" s="1039"/>
      <c r="K3" s="1039"/>
      <c r="L3" s="1039"/>
      <c r="M3" s="686"/>
      <c r="N3" s="68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684"/>
    </row>
    <row r="4" spans="1:26" ht="21.75" customHeight="1">
      <c r="A4" s="658" t="s">
        <v>438</v>
      </c>
      <c r="B4" s="658" t="s">
        <v>510</v>
      </c>
      <c r="C4" s="674" t="s">
        <v>490</v>
      </c>
      <c r="D4" s="909" t="s">
        <v>511</v>
      </c>
      <c r="E4" s="687" t="s">
        <v>512</v>
      </c>
      <c r="F4" s="687" t="s">
        <v>513</v>
      </c>
      <c r="G4" s="688" t="s">
        <v>514</v>
      </c>
      <c r="H4" s="676" t="s">
        <v>515</v>
      </c>
      <c r="I4" s="676" t="s">
        <v>516</v>
      </c>
      <c r="J4" s="676" t="s">
        <v>517</v>
      </c>
      <c r="K4" s="676" t="s">
        <v>518</v>
      </c>
      <c r="L4" s="1044" t="s">
        <v>519</v>
      </c>
      <c r="M4" s="145" t="s">
        <v>520</v>
      </c>
      <c r="N4" s="684" t="s">
        <v>521</v>
      </c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5" customHeight="1">
      <c r="A5" s="658">
        <v>46024</v>
      </c>
      <c r="B5" s="658" t="str">
        <f t="shared" ref="B5:B68" si="0">IF(A5="","",PROPER(TEXT(A5,"ddd")))</f>
        <v>Vie</v>
      </c>
      <c r="C5" s="674" t="s">
        <v>146</v>
      </c>
      <c r="D5" s="885" t="s">
        <v>522</v>
      </c>
      <c r="E5" s="687">
        <v>0.25</v>
      </c>
      <c r="F5" s="687">
        <v>0.54166666666666663</v>
      </c>
      <c r="G5" s="688">
        <f t="shared" ref="G5:G68" si="1">IF(F5&lt;E5,F5+1-E5,F5-E5)*24</f>
        <v>6.9999999999999991</v>
      </c>
      <c r="H5" s="676">
        <f>IF(D5="","",IFERROR(VLOOKUP(D5,'Resumen Empleado'!$A$4:$B$17,2,FALSE),""))</f>
        <v>10</v>
      </c>
      <c r="I5" s="676">
        <f t="shared" ref="I5:I68" si="2">IF(OR(E5="",F5="",H5=""),0,MAX(0,(MIN(IF(F5&lt;E5,F5+1,F5),TIME(12,0,0))-MAX(E5,TIME(5,0,0))))*24*H5)</f>
        <v>60</v>
      </c>
      <c r="J5" s="676">
        <f t="shared" ref="J5:J68" si="3">IF(OR(E5="",F5="",H5=""),0,MAX(0,(MIN(IF(F5&lt;E5,F5+1,F5),TIME(19,0,0))-MAX(E5,TIME(12,0,0))))*24*H5)</f>
        <v>9.9999999999999911</v>
      </c>
      <c r="K5" s="676">
        <f t="shared" ref="K5:K15" si="4">IF(OR(E5="",F5="",H5=""),0,MAX(0,(MIN(IF(F5&lt;E5,F5+1,F5),1+TIME(5,0,0))-MAX(E5,TIME(19,0,0))))*24*H5)</f>
        <v>0</v>
      </c>
      <c r="L5" s="1044">
        <f t="shared" ref="L5:L68" si="5">SUM(I5:K5)</f>
        <v>69.999999999999986</v>
      </c>
      <c r="M5" s="145" t="str">
        <f t="shared" ref="M5:M68" si="6">IF(A5="","",IF(G5&gt;12,"⚠ Verificar",""))</f>
        <v/>
      </c>
      <c r="N5" s="684">
        <f t="shared" ref="N5:N68" si="7">IF(A5="","",IF(ISNUMBER(A5),A5,DATE(VALUE(RIGHT(A5,4)),VALUE(MID(A5,4,2)),VALUE(LEFT(A5,2)))))</f>
        <v>46024</v>
      </c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>
      <c r="A6" s="658">
        <v>46024</v>
      </c>
      <c r="B6" s="658" t="str">
        <f t="shared" si="0"/>
        <v>Vie</v>
      </c>
      <c r="C6" s="674" t="s">
        <v>146</v>
      </c>
      <c r="D6" s="885" t="s">
        <v>523</v>
      </c>
      <c r="E6" s="687">
        <v>0.26041666666666669</v>
      </c>
      <c r="F6" s="687">
        <v>0.66666666666666663</v>
      </c>
      <c r="G6" s="688">
        <f t="shared" si="1"/>
        <v>9.7499999999999982</v>
      </c>
      <c r="H6" s="676">
        <f>IF(D6="","",IFERROR(VLOOKUP(D6,'Resumen Empleado'!$A$4:$B$17,2,FALSE),""))</f>
        <v>6.39</v>
      </c>
      <c r="I6" s="676">
        <f t="shared" si="2"/>
        <v>36.7425</v>
      </c>
      <c r="J6" s="676">
        <f t="shared" si="3"/>
        <v>25.559999999999992</v>
      </c>
      <c r="K6" s="676">
        <f t="shared" si="4"/>
        <v>0</v>
      </c>
      <c r="L6" s="1044">
        <f t="shared" si="5"/>
        <v>62.302499999999995</v>
      </c>
      <c r="M6" s="145" t="str">
        <f t="shared" si="6"/>
        <v/>
      </c>
      <c r="N6" s="684">
        <f t="shared" si="7"/>
        <v>46024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>
      <c r="A7" s="658">
        <v>46024</v>
      </c>
      <c r="B7" s="658" t="str">
        <f t="shared" si="0"/>
        <v>Vie</v>
      </c>
      <c r="C7" s="674" t="s">
        <v>146</v>
      </c>
      <c r="D7" s="885" t="s">
        <v>524</v>
      </c>
      <c r="E7" s="687">
        <v>0.5</v>
      </c>
      <c r="F7" s="687">
        <v>0.66666666666666663</v>
      </c>
      <c r="G7" s="688">
        <f t="shared" si="1"/>
        <v>3.9999999999999991</v>
      </c>
      <c r="H7" s="676">
        <f>IF(D7="","",IFERROR(VLOOKUP(D7,'Resumen Empleado'!$A$4:$B$17,2,FALSE),""))</f>
        <v>7.3</v>
      </c>
      <c r="I7" s="676">
        <f t="shared" si="2"/>
        <v>0</v>
      </c>
      <c r="J7" s="676">
        <f t="shared" si="3"/>
        <v>29.199999999999992</v>
      </c>
      <c r="K7" s="676">
        <f t="shared" si="4"/>
        <v>0</v>
      </c>
      <c r="L7" s="1044">
        <f t="shared" si="5"/>
        <v>29.199999999999992</v>
      </c>
      <c r="M7" s="145" t="str">
        <f t="shared" si="6"/>
        <v/>
      </c>
      <c r="N7" s="684">
        <f t="shared" si="7"/>
        <v>46024</v>
      </c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15" customHeight="1">
      <c r="A8" s="658">
        <v>46024</v>
      </c>
      <c r="B8" s="658" t="str">
        <f t="shared" si="0"/>
        <v>Vie</v>
      </c>
      <c r="C8" s="674" t="s">
        <v>146</v>
      </c>
      <c r="D8" s="885" t="s">
        <v>525</v>
      </c>
      <c r="E8" s="687">
        <v>0.54166666666666663</v>
      </c>
      <c r="F8" s="687">
        <v>0.66666666666666663</v>
      </c>
      <c r="G8" s="688">
        <f t="shared" si="1"/>
        <v>3</v>
      </c>
      <c r="H8" s="676">
        <f>IF(D8="","",IFERROR(VLOOKUP(D8,'Resumen Empleado'!$A$4:$B$17,2,FALSE),""))</f>
        <v>7.25</v>
      </c>
      <c r="I8" s="676">
        <f t="shared" si="2"/>
        <v>0</v>
      </c>
      <c r="J8" s="676">
        <f t="shared" si="3"/>
        <v>21.75</v>
      </c>
      <c r="K8" s="676">
        <f t="shared" si="4"/>
        <v>0</v>
      </c>
      <c r="L8" s="1044">
        <f t="shared" si="5"/>
        <v>21.75</v>
      </c>
      <c r="M8" s="145" t="str">
        <f t="shared" si="6"/>
        <v/>
      </c>
      <c r="N8" s="684">
        <f t="shared" si="7"/>
        <v>46024</v>
      </c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15" customHeight="1">
      <c r="A9" s="658">
        <v>46024</v>
      </c>
      <c r="B9" s="658" t="str">
        <f t="shared" si="0"/>
        <v>Vie</v>
      </c>
      <c r="C9" s="674" t="s">
        <v>146</v>
      </c>
      <c r="D9" s="885" t="s">
        <v>526</v>
      </c>
      <c r="E9" s="687">
        <v>0.41666666666666669</v>
      </c>
      <c r="F9" s="687">
        <v>0.66666666666666663</v>
      </c>
      <c r="G9" s="688">
        <f t="shared" si="1"/>
        <v>5.9999999999999982</v>
      </c>
      <c r="H9" s="676">
        <f>IF(D9="","",IFERROR(VLOOKUP(D9,'Resumen Empleado'!$A$4:$B$17,2,FALSE),""))</f>
        <v>16</v>
      </c>
      <c r="I9" s="676">
        <f t="shared" si="2"/>
        <v>31.999999999999993</v>
      </c>
      <c r="J9" s="676">
        <f t="shared" si="3"/>
        <v>63.999999999999986</v>
      </c>
      <c r="K9" s="676">
        <f t="shared" si="4"/>
        <v>0</v>
      </c>
      <c r="L9" s="1044">
        <f t="shared" si="5"/>
        <v>95.999999999999972</v>
      </c>
      <c r="M9" s="145" t="str">
        <f t="shared" si="6"/>
        <v/>
      </c>
      <c r="N9" s="684">
        <f t="shared" si="7"/>
        <v>46024</v>
      </c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ht="15" customHeight="1">
      <c r="A10" s="658">
        <v>46024</v>
      </c>
      <c r="B10" s="658" t="str">
        <f t="shared" si="0"/>
        <v>Vie</v>
      </c>
      <c r="C10" s="674" t="s">
        <v>497</v>
      </c>
      <c r="D10" s="885" t="s">
        <v>522</v>
      </c>
      <c r="E10" s="687">
        <v>0.8125</v>
      </c>
      <c r="F10" s="687">
        <v>0.91666666666666663</v>
      </c>
      <c r="G10" s="688">
        <f t="shared" si="1"/>
        <v>2.4999999999999991</v>
      </c>
      <c r="H10" s="676">
        <f>IF(D10="","",IFERROR(VLOOKUP(D10,'Resumen Empleado'!$A$4:$B$17,2,FALSE),""))</f>
        <v>10</v>
      </c>
      <c r="I10" s="676">
        <f t="shared" si="2"/>
        <v>0</v>
      </c>
      <c r="J10" s="676">
        <f t="shared" si="3"/>
        <v>0</v>
      </c>
      <c r="K10" s="676">
        <f t="shared" si="4"/>
        <v>24.999999999999993</v>
      </c>
      <c r="L10" s="1044">
        <f t="shared" si="5"/>
        <v>24.999999999999993</v>
      </c>
      <c r="M10" s="145" t="str">
        <f t="shared" si="6"/>
        <v/>
      </c>
      <c r="N10" s="684">
        <f t="shared" si="7"/>
        <v>46024</v>
      </c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ht="15" customHeight="1">
      <c r="A11" s="658">
        <v>46024</v>
      </c>
      <c r="B11" s="658" t="str">
        <f t="shared" si="0"/>
        <v>Vie</v>
      </c>
      <c r="C11" s="674" t="s">
        <v>497</v>
      </c>
      <c r="D11" s="885" t="s">
        <v>525</v>
      </c>
      <c r="E11" s="687">
        <v>0.79166666666666663</v>
      </c>
      <c r="F11" s="687">
        <v>0.97916666666666663</v>
      </c>
      <c r="G11" s="688">
        <f t="shared" si="1"/>
        <v>4.5</v>
      </c>
      <c r="H11" s="676">
        <f>IF(D11="","",IFERROR(VLOOKUP(D11,'Resumen Empleado'!$A$4:$B$17,2,FALSE),""))</f>
        <v>7.25</v>
      </c>
      <c r="I11" s="676">
        <f t="shared" si="2"/>
        <v>0</v>
      </c>
      <c r="J11" s="676">
        <f t="shared" si="3"/>
        <v>0</v>
      </c>
      <c r="K11" s="676">
        <f t="shared" si="4"/>
        <v>32.625</v>
      </c>
      <c r="L11" s="1044">
        <f t="shared" si="5"/>
        <v>32.625</v>
      </c>
      <c r="M11" s="145" t="str">
        <f t="shared" si="6"/>
        <v/>
      </c>
      <c r="N11" s="684">
        <f t="shared" si="7"/>
        <v>46024</v>
      </c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15" customHeight="1">
      <c r="A12" s="658">
        <v>46024</v>
      </c>
      <c r="B12" s="658" t="str">
        <f t="shared" si="0"/>
        <v>Vie</v>
      </c>
      <c r="C12" s="674" t="s">
        <v>497</v>
      </c>
      <c r="D12" s="885" t="s">
        <v>523</v>
      </c>
      <c r="E12" s="687">
        <v>0.79166666666666663</v>
      </c>
      <c r="F12" s="687">
        <v>0.97916666666666663</v>
      </c>
      <c r="G12" s="688">
        <f t="shared" si="1"/>
        <v>4.5</v>
      </c>
      <c r="H12" s="676">
        <f>IF(D12="","",IFERROR(VLOOKUP(D12,'Resumen Empleado'!$A$4:$B$17,2,FALSE),""))</f>
        <v>6.39</v>
      </c>
      <c r="I12" s="676">
        <f t="shared" si="2"/>
        <v>0</v>
      </c>
      <c r="J12" s="676">
        <f t="shared" si="3"/>
        <v>0</v>
      </c>
      <c r="K12" s="676">
        <f t="shared" si="4"/>
        <v>28.754999999999999</v>
      </c>
      <c r="L12" s="1044">
        <f t="shared" si="5"/>
        <v>28.754999999999999</v>
      </c>
      <c r="M12" s="145" t="str">
        <f t="shared" si="6"/>
        <v/>
      </c>
      <c r="N12" s="684">
        <f t="shared" si="7"/>
        <v>46024</v>
      </c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ht="15" customHeight="1">
      <c r="A13" s="658">
        <v>46024</v>
      </c>
      <c r="B13" s="658" t="str">
        <f t="shared" si="0"/>
        <v>Vie</v>
      </c>
      <c r="C13" s="674" t="s">
        <v>497</v>
      </c>
      <c r="D13" s="885" t="s">
        <v>524</v>
      </c>
      <c r="E13" s="687">
        <v>0.8125</v>
      </c>
      <c r="F13" s="687">
        <v>0.97916666666666663</v>
      </c>
      <c r="G13" s="688">
        <f t="shared" si="1"/>
        <v>3.9999999999999991</v>
      </c>
      <c r="H13" s="676">
        <f>IF(D13="","",IFERROR(VLOOKUP(D13,'Resumen Empleado'!$A$4:$B$17,2,FALSE),""))</f>
        <v>7.3</v>
      </c>
      <c r="I13" s="676">
        <f t="shared" si="2"/>
        <v>0</v>
      </c>
      <c r="J13" s="676">
        <f t="shared" si="3"/>
        <v>0</v>
      </c>
      <c r="K13" s="676">
        <f t="shared" si="4"/>
        <v>29.199999999999992</v>
      </c>
      <c r="L13" s="1044">
        <f t="shared" si="5"/>
        <v>29.199999999999992</v>
      </c>
      <c r="M13" s="145" t="str">
        <f t="shared" si="6"/>
        <v/>
      </c>
      <c r="N13" s="684">
        <f t="shared" si="7"/>
        <v>46024</v>
      </c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ht="15" customHeight="1">
      <c r="A14" s="658">
        <v>46024</v>
      </c>
      <c r="B14" s="658" t="str">
        <f t="shared" si="0"/>
        <v>Vie</v>
      </c>
      <c r="C14" s="674" t="s">
        <v>497</v>
      </c>
      <c r="D14" s="885" t="s">
        <v>526</v>
      </c>
      <c r="E14" s="687">
        <v>0.83333333333333337</v>
      </c>
      <c r="F14" s="687">
        <v>0.97916666666666663</v>
      </c>
      <c r="G14" s="688">
        <f t="shared" si="1"/>
        <v>3.4999999999999982</v>
      </c>
      <c r="H14" s="676">
        <f>IF(D14="","",IFERROR(VLOOKUP(D14,'Resumen Empleado'!$A$4:$B$17,2,FALSE),""))</f>
        <v>16</v>
      </c>
      <c r="I14" s="676">
        <f t="shared" si="2"/>
        <v>0</v>
      </c>
      <c r="J14" s="676">
        <f t="shared" si="3"/>
        <v>0</v>
      </c>
      <c r="K14" s="676">
        <f t="shared" si="4"/>
        <v>55.999999999999972</v>
      </c>
      <c r="L14" s="1044">
        <f t="shared" si="5"/>
        <v>55.999999999999972</v>
      </c>
      <c r="M14" s="145" t="str">
        <f t="shared" si="6"/>
        <v/>
      </c>
      <c r="N14" s="684">
        <f t="shared" si="7"/>
        <v>46024</v>
      </c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15" customHeight="1">
      <c r="A15" s="658">
        <v>46024</v>
      </c>
      <c r="B15" s="658" t="str">
        <f t="shared" si="0"/>
        <v>Vie</v>
      </c>
      <c r="C15" s="674" t="s">
        <v>497</v>
      </c>
      <c r="D15" s="885" t="s">
        <v>527</v>
      </c>
      <c r="E15" s="687">
        <v>0.8125</v>
      </c>
      <c r="F15" s="687">
        <v>0.89583333333333337</v>
      </c>
      <c r="G15" s="688">
        <f t="shared" si="1"/>
        <v>2.0000000000000009</v>
      </c>
      <c r="H15" s="676" t="str">
        <f>IF(D15="","",IFERROR(VLOOKUP(D15,'Resumen Empleado'!$A$4:$B$17,2,FALSE),""))</f>
        <v/>
      </c>
      <c r="I15" s="676">
        <f t="shared" si="2"/>
        <v>0</v>
      </c>
      <c r="J15" s="676">
        <f t="shared" si="3"/>
        <v>0</v>
      </c>
      <c r="K15" s="676">
        <f t="shared" si="4"/>
        <v>0</v>
      </c>
      <c r="L15" s="1044">
        <f t="shared" si="5"/>
        <v>0</v>
      </c>
      <c r="M15" s="145" t="str">
        <f t="shared" si="6"/>
        <v/>
      </c>
      <c r="N15" s="684">
        <f t="shared" si="7"/>
        <v>46024</v>
      </c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ht="15" customHeight="1">
      <c r="A16" s="658">
        <v>46024</v>
      </c>
      <c r="B16" s="658" t="str">
        <f t="shared" si="0"/>
        <v>Vie</v>
      </c>
      <c r="C16" s="674" t="s">
        <v>146</v>
      </c>
      <c r="D16" s="885" t="s">
        <v>528</v>
      </c>
      <c r="E16" s="687">
        <v>0.33333333333333331</v>
      </c>
      <c r="F16" s="687">
        <v>0.66666666666666663</v>
      </c>
      <c r="G16" s="688">
        <f t="shared" si="1"/>
        <v>8</v>
      </c>
      <c r="H16" s="676">
        <f>IF(D16="","",IFERROR(VLOOKUP(D16,'Resumen Empleado'!$A$4:$B$17,2,FALSE),""))</f>
        <v>11</v>
      </c>
      <c r="I16" s="676">
        <f t="shared" si="2"/>
        <v>44</v>
      </c>
      <c r="J16" s="676">
        <f t="shared" si="3"/>
        <v>43.999999999999993</v>
      </c>
      <c r="K16" s="676">
        <f>IF(OR(E16="",F16="",H16=""),0,MAX(0,(MIN(IF(F16&lt;E16,1+F16,F16),1+TIME(5,0,0))-MAX(E16,TIME(19,0,0))))*24*H16)</f>
        <v>0</v>
      </c>
      <c r="L16" s="1044">
        <f t="shared" si="5"/>
        <v>88</v>
      </c>
      <c r="M16" s="145" t="str">
        <f t="shared" si="6"/>
        <v/>
      </c>
      <c r="N16" s="684">
        <f t="shared" si="7"/>
        <v>46024</v>
      </c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14" ht="15" customHeight="1">
      <c r="A17" s="658">
        <v>46025</v>
      </c>
      <c r="B17" s="658" t="str">
        <f t="shared" si="0"/>
        <v>Sáb</v>
      </c>
      <c r="C17" s="674" t="s">
        <v>146</v>
      </c>
      <c r="D17" s="885" t="s">
        <v>522</v>
      </c>
      <c r="E17" s="687">
        <v>0.33333333333333331</v>
      </c>
      <c r="F17" s="687">
        <v>0.54166666666666663</v>
      </c>
      <c r="G17" s="688">
        <f t="shared" si="1"/>
        <v>5</v>
      </c>
      <c r="H17" s="676">
        <f>IF(D17="","",IFERROR(VLOOKUP(D17,'Resumen Empleado'!$A$4:$B$17,2,FALSE),""))</f>
        <v>10</v>
      </c>
      <c r="I17" s="676">
        <f t="shared" si="2"/>
        <v>40</v>
      </c>
      <c r="J17" s="676">
        <f t="shared" si="3"/>
        <v>9.9999999999999911</v>
      </c>
      <c r="K17" s="676">
        <f t="shared" ref="K17:K26" si="8">IF(OR(E17="",F17="",H17=""),0,MAX(0,(MIN(IF(F17&lt;E17,F17+1,F17),1+TIME(5,0,0))-MAX(E17,TIME(19,0,0))))*24*H17)</f>
        <v>0</v>
      </c>
      <c r="L17" s="1044">
        <f t="shared" si="5"/>
        <v>49.999999999999993</v>
      </c>
      <c r="M17" s="145" t="str">
        <f t="shared" si="6"/>
        <v/>
      </c>
      <c r="N17" s="684">
        <f t="shared" si="7"/>
        <v>46025</v>
      </c>
    </row>
    <row r="18" spans="1:14" ht="15" customHeight="1">
      <c r="A18" s="658">
        <v>46025</v>
      </c>
      <c r="B18" s="658" t="str">
        <f t="shared" si="0"/>
        <v>Sáb</v>
      </c>
      <c r="C18" s="674" t="s">
        <v>146</v>
      </c>
      <c r="D18" s="885" t="s">
        <v>524</v>
      </c>
      <c r="E18" s="687">
        <v>0.30208333333333331</v>
      </c>
      <c r="F18" s="687">
        <v>0.66666666666666663</v>
      </c>
      <c r="G18" s="688">
        <f t="shared" si="1"/>
        <v>8.75</v>
      </c>
      <c r="H18" s="676">
        <f>IF(D18="","",IFERROR(VLOOKUP(D18,'Resumen Empleado'!$A$4:$B$17,2,FALSE),""))</f>
        <v>7.3</v>
      </c>
      <c r="I18" s="676">
        <f t="shared" si="2"/>
        <v>34.674999999999997</v>
      </c>
      <c r="J18" s="676">
        <f t="shared" si="3"/>
        <v>29.199999999999992</v>
      </c>
      <c r="K18" s="676">
        <f t="shared" si="8"/>
        <v>0</v>
      </c>
      <c r="L18" s="1044">
        <f t="shared" si="5"/>
        <v>63.874999999999986</v>
      </c>
      <c r="M18" s="145" t="str">
        <f t="shared" si="6"/>
        <v/>
      </c>
      <c r="N18" s="684">
        <f t="shared" si="7"/>
        <v>46025</v>
      </c>
    </row>
    <row r="19" spans="1:14" ht="15" customHeight="1">
      <c r="A19" s="658">
        <v>46025</v>
      </c>
      <c r="B19" s="658" t="str">
        <f t="shared" si="0"/>
        <v>Sáb</v>
      </c>
      <c r="C19" s="674" t="s">
        <v>146</v>
      </c>
      <c r="D19" s="885" t="s">
        <v>523</v>
      </c>
      <c r="E19" s="687">
        <v>0.5</v>
      </c>
      <c r="F19" s="687">
        <v>0.66666666666666663</v>
      </c>
      <c r="G19" s="688">
        <f t="shared" si="1"/>
        <v>3.9999999999999991</v>
      </c>
      <c r="H19" s="676">
        <f>IF(D19="","",IFERROR(VLOOKUP(D19,'Resumen Empleado'!$A$4:$B$17,2,FALSE),""))</f>
        <v>6.39</v>
      </c>
      <c r="I19" s="676">
        <f t="shared" si="2"/>
        <v>0</v>
      </c>
      <c r="J19" s="676">
        <f t="shared" si="3"/>
        <v>25.559999999999992</v>
      </c>
      <c r="K19" s="676">
        <f t="shared" si="8"/>
        <v>0</v>
      </c>
      <c r="L19" s="1044">
        <f t="shared" si="5"/>
        <v>25.559999999999992</v>
      </c>
      <c r="M19" s="145" t="str">
        <f t="shared" si="6"/>
        <v/>
      </c>
      <c r="N19" s="684">
        <f t="shared" si="7"/>
        <v>46025</v>
      </c>
    </row>
    <row r="20" spans="1:14" ht="15" customHeight="1">
      <c r="A20" s="658">
        <v>46025</v>
      </c>
      <c r="B20" s="658" t="str">
        <f t="shared" si="0"/>
        <v>Sáb</v>
      </c>
      <c r="C20" s="674" t="s">
        <v>146</v>
      </c>
      <c r="D20" s="885" t="s">
        <v>526</v>
      </c>
      <c r="E20" s="687">
        <v>0.375</v>
      </c>
      <c r="F20" s="687">
        <v>0.66666666666666663</v>
      </c>
      <c r="G20" s="688">
        <f t="shared" si="1"/>
        <v>6.9999999999999991</v>
      </c>
      <c r="H20" s="676">
        <f>IF(D20="","",IFERROR(VLOOKUP(D20,'Resumen Empleado'!$A$4:$B$17,2,FALSE),""))</f>
        <v>16</v>
      </c>
      <c r="I20" s="676">
        <f t="shared" si="2"/>
        <v>48</v>
      </c>
      <c r="J20" s="676">
        <f t="shared" si="3"/>
        <v>63.999999999999986</v>
      </c>
      <c r="K20" s="676">
        <f t="shared" si="8"/>
        <v>0</v>
      </c>
      <c r="L20" s="1044">
        <f t="shared" si="5"/>
        <v>111.99999999999999</v>
      </c>
      <c r="M20" s="145" t="str">
        <f t="shared" si="6"/>
        <v/>
      </c>
      <c r="N20" s="684">
        <f t="shared" si="7"/>
        <v>46025</v>
      </c>
    </row>
    <row r="21" spans="1:14" ht="15" customHeight="1">
      <c r="A21" s="658">
        <v>46025</v>
      </c>
      <c r="B21" s="658" t="str">
        <f t="shared" si="0"/>
        <v>Sáb</v>
      </c>
      <c r="C21" s="674" t="s">
        <v>146</v>
      </c>
      <c r="D21" s="885" t="s">
        <v>525</v>
      </c>
      <c r="E21" s="687">
        <v>0.375</v>
      </c>
      <c r="F21" s="687">
        <v>0.66666666666666663</v>
      </c>
      <c r="G21" s="688">
        <f t="shared" si="1"/>
        <v>6.9999999999999991</v>
      </c>
      <c r="H21" s="676">
        <f>IF(D21="","",IFERROR(VLOOKUP(D21,'Resumen Empleado'!$A$4:$B$17,2,FALSE),""))</f>
        <v>7.25</v>
      </c>
      <c r="I21" s="676">
        <f t="shared" si="2"/>
        <v>21.75</v>
      </c>
      <c r="J21" s="676">
        <f t="shared" si="3"/>
        <v>28.999999999999993</v>
      </c>
      <c r="K21" s="676">
        <f t="shared" si="8"/>
        <v>0</v>
      </c>
      <c r="L21" s="1044">
        <f t="shared" si="5"/>
        <v>50.749999999999993</v>
      </c>
      <c r="M21" s="145" t="str">
        <f t="shared" si="6"/>
        <v/>
      </c>
      <c r="N21" s="684">
        <f t="shared" si="7"/>
        <v>46025</v>
      </c>
    </row>
    <row r="22" spans="1:14" ht="15" customHeight="1">
      <c r="A22" s="658">
        <v>46025</v>
      </c>
      <c r="B22" s="658" t="str">
        <f t="shared" si="0"/>
        <v>Sáb</v>
      </c>
      <c r="C22" s="674" t="s">
        <v>497</v>
      </c>
      <c r="D22" s="885" t="s">
        <v>522</v>
      </c>
      <c r="E22" s="687">
        <v>0.80208333333333337</v>
      </c>
      <c r="F22" s="687">
        <v>0.92708333333333337</v>
      </c>
      <c r="G22" s="688">
        <f t="shared" si="1"/>
        <v>3</v>
      </c>
      <c r="H22" s="676">
        <f>IF(D22="","",IFERROR(VLOOKUP(D22,'Resumen Empleado'!$A$4:$B$17,2,FALSE),""))</f>
        <v>10</v>
      </c>
      <c r="I22" s="676">
        <f t="shared" si="2"/>
        <v>0</v>
      </c>
      <c r="J22" s="676">
        <f t="shared" si="3"/>
        <v>0</v>
      </c>
      <c r="K22" s="676">
        <f t="shared" si="8"/>
        <v>30</v>
      </c>
      <c r="L22" s="1044">
        <f t="shared" si="5"/>
        <v>30</v>
      </c>
      <c r="M22" s="145" t="str">
        <f t="shared" si="6"/>
        <v/>
      </c>
      <c r="N22" s="684">
        <f t="shared" si="7"/>
        <v>46025</v>
      </c>
    </row>
    <row r="23" spans="1:14" ht="15" customHeight="1">
      <c r="A23" s="658">
        <v>46025</v>
      </c>
      <c r="B23" s="658" t="str">
        <f t="shared" si="0"/>
        <v>Sáb</v>
      </c>
      <c r="C23" s="674" t="s">
        <v>497</v>
      </c>
      <c r="D23" s="885" t="s">
        <v>525</v>
      </c>
      <c r="E23" s="687">
        <v>0.79166666666666663</v>
      </c>
      <c r="F23" s="687">
        <v>0.96875</v>
      </c>
      <c r="G23" s="688">
        <f t="shared" si="1"/>
        <v>4.2500000000000009</v>
      </c>
      <c r="H23" s="676">
        <f>IF(D23="","",IFERROR(VLOOKUP(D23,'Resumen Empleado'!$A$4:$B$17,2,FALSE),""))</f>
        <v>7.25</v>
      </c>
      <c r="I23" s="676">
        <f t="shared" si="2"/>
        <v>0</v>
      </c>
      <c r="J23" s="676">
        <f t="shared" si="3"/>
        <v>0</v>
      </c>
      <c r="K23" s="676">
        <f t="shared" si="8"/>
        <v>30.812500000000007</v>
      </c>
      <c r="L23" s="1044">
        <f t="shared" si="5"/>
        <v>30.812500000000007</v>
      </c>
      <c r="M23" s="145" t="str">
        <f t="shared" si="6"/>
        <v/>
      </c>
      <c r="N23" s="684">
        <f t="shared" si="7"/>
        <v>46025</v>
      </c>
    </row>
    <row r="24" spans="1:14" ht="15" customHeight="1">
      <c r="A24" s="658">
        <v>46025</v>
      </c>
      <c r="B24" s="658" t="str">
        <f t="shared" si="0"/>
        <v>Sáb</v>
      </c>
      <c r="C24" s="674" t="s">
        <v>497</v>
      </c>
      <c r="D24" s="885" t="s">
        <v>523</v>
      </c>
      <c r="E24" s="687">
        <v>0.79166666666666663</v>
      </c>
      <c r="F24" s="687">
        <v>0.96875</v>
      </c>
      <c r="G24" s="688">
        <f t="shared" si="1"/>
        <v>4.2500000000000009</v>
      </c>
      <c r="H24" s="676">
        <f>IF(D24="","",IFERROR(VLOOKUP(D24,'Resumen Empleado'!$A$4:$B$17,2,FALSE),""))</f>
        <v>6.39</v>
      </c>
      <c r="I24" s="676">
        <f t="shared" si="2"/>
        <v>0</v>
      </c>
      <c r="J24" s="676">
        <f t="shared" si="3"/>
        <v>0</v>
      </c>
      <c r="K24" s="676">
        <f t="shared" si="8"/>
        <v>27.157500000000006</v>
      </c>
      <c r="L24" s="1044">
        <f t="shared" si="5"/>
        <v>27.157500000000006</v>
      </c>
      <c r="M24" s="145" t="str">
        <f t="shared" si="6"/>
        <v/>
      </c>
      <c r="N24" s="684">
        <f t="shared" si="7"/>
        <v>46025</v>
      </c>
    </row>
    <row r="25" spans="1:14" ht="15" customHeight="1">
      <c r="A25" s="658">
        <v>46025</v>
      </c>
      <c r="B25" s="658" t="str">
        <f t="shared" si="0"/>
        <v>Sáb</v>
      </c>
      <c r="C25" s="674" t="s">
        <v>497</v>
      </c>
      <c r="D25" s="885" t="s">
        <v>526</v>
      </c>
      <c r="E25" s="687">
        <v>0.83333333333333337</v>
      </c>
      <c r="F25" s="687">
        <v>0.96875</v>
      </c>
      <c r="G25" s="688">
        <f t="shared" si="1"/>
        <v>3.2499999999999991</v>
      </c>
      <c r="H25" s="676">
        <f>IF(D25="","",IFERROR(VLOOKUP(D25,'Resumen Empleado'!$A$4:$B$17,2,FALSE),""))</f>
        <v>16</v>
      </c>
      <c r="I25" s="676">
        <f t="shared" si="2"/>
        <v>0</v>
      </c>
      <c r="J25" s="676">
        <f t="shared" si="3"/>
        <v>0</v>
      </c>
      <c r="K25" s="676">
        <f t="shared" si="8"/>
        <v>51.999999999999986</v>
      </c>
      <c r="L25" s="1044">
        <f t="shared" si="5"/>
        <v>51.999999999999986</v>
      </c>
      <c r="M25" s="145" t="str">
        <f t="shared" si="6"/>
        <v/>
      </c>
      <c r="N25" s="684">
        <f t="shared" si="7"/>
        <v>46025</v>
      </c>
    </row>
    <row r="26" spans="1:14" ht="15" customHeight="1">
      <c r="A26" s="658">
        <v>46025</v>
      </c>
      <c r="B26" s="658" t="str">
        <f t="shared" si="0"/>
        <v>Sáb</v>
      </c>
      <c r="C26" s="674" t="s">
        <v>497</v>
      </c>
      <c r="D26" s="885" t="s">
        <v>524</v>
      </c>
      <c r="E26" s="687">
        <v>0.8125</v>
      </c>
      <c r="F26" s="687">
        <v>0.96875</v>
      </c>
      <c r="G26" s="688">
        <f t="shared" si="1"/>
        <v>3.75</v>
      </c>
      <c r="H26" s="676">
        <f>IF(D26="","",IFERROR(VLOOKUP(D26,'Resumen Empleado'!$A$4:$B$17,2,FALSE),""))</f>
        <v>7.3</v>
      </c>
      <c r="I26" s="676">
        <f t="shared" si="2"/>
        <v>0</v>
      </c>
      <c r="J26" s="676">
        <f t="shared" si="3"/>
        <v>0</v>
      </c>
      <c r="K26" s="676">
        <f t="shared" si="8"/>
        <v>27.375</v>
      </c>
      <c r="L26" s="1044">
        <f t="shared" si="5"/>
        <v>27.375</v>
      </c>
      <c r="M26" s="145" t="str">
        <f t="shared" si="6"/>
        <v/>
      </c>
      <c r="N26" s="684">
        <f t="shared" si="7"/>
        <v>46025</v>
      </c>
    </row>
    <row r="27" spans="1:14" ht="19.5" customHeight="1">
      <c r="A27" s="658">
        <v>46025</v>
      </c>
      <c r="B27" s="658" t="str">
        <f t="shared" si="0"/>
        <v>Sáb</v>
      </c>
      <c r="C27" s="674" t="s">
        <v>146</v>
      </c>
      <c r="D27" s="885" t="s">
        <v>528</v>
      </c>
      <c r="E27" s="687">
        <v>0.33333333333333331</v>
      </c>
      <c r="F27" s="687">
        <v>0.66666666666666663</v>
      </c>
      <c r="G27" s="688">
        <f t="shared" si="1"/>
        <v>8</v>
      </c>
      <c r="H27" s="676">
        <f>IF(D27="","",IFERROR(VLOOKUP(D27,'Resumen Empleado'!$A$4:$B$17,2,FALSE),""))</f>
        <v>11</v>
      </c>
      <c r="I27" s="676">
        <f t="shared" si="2"/>
        <v>44</v>
      </c>
      <c r="J27" s="676">
        <f t="shared" si="3"/>
        <v>43.999999999999993</v>
      </c>
      <c r="K27" s="676">
        <f>IF(OR(E27="",F27="",H27=""),0,MAX(0,(MIN(IF(F27&lt;E27,1+F27,F27),1+TIME(5,0,0))-MAX(E27,TIME(19,0,0))))*24*H27)</f>
        <v>0</v>
      </c>
      <c r="L27" s="1044">
        <f t="shared" si="5"/>
        <v>88</v>
      </c>
      <c r="M27" s="145" t="str">
        <f t="shared" si="6"/>
        <v/>
      </c>
      <c r="N27" s="684">
        <f t="shared" si="7"/>
        <v>46025</v>
      </c>
    </row>
    <row r="28" spans="1:14" ht="19.5" customHeight="1">
      <c r="A28" s="658">
        <v>46026</v>
      </c>
      <c r="B28" s="658" t="str">
        <f t="shared" si="0"/>
        <v>Dom</v>
      </c>
      <c r="C28" s="674" t="s">
        <v>146</v>
      </c>
      <c r="D28" s="885" t="s">
        <v>522</v>
      </c>
      <c r="E28" s="687">
        <v>0.33333333333333331</v>
      </c>
      <c r="F28" s="687">
        <v>0.66666666666666663</v>
      </c>
      <c r="G28" s="688">
        <f t="shared" si="1"/>
        <v>8</v>
      </c>
      <c r="H28" s="676">
        <f>IF(D28="","",IFERROR(VLOOKUP(D28,'Resumen Empleado'!$A$4:$B$17,2,FALSE),""))</f>
        <v>10</v>
      </c>
      <c r="I28" s="676">
        <f t="shared" si="2"/>
        <v>40</v>
      </c>
      <c r="J28" s="676">
        <f t="shared" si="3"/>
        <v>39.999999999999993</v>
      </c>
      <c r="K28" s="676">
        <f>IF(OR(E28="",F28="",H28=""),0,MAX(0,(MIN(IF(F28&lt;E28,F28+1,F28),1+TIME(5,0,0))-MAX(E28,TIME(19,0,0))))*24*H28)</f>
        <v>0</v>
      </c>
      <c r="L28" s="1044">
        <f t="shared" si="5"/>
        <v>80</v>
      </c>
      <c r="M28" s="145" t="str">
        <f t="shared" si="6"/>
        <v/>
      </c>
      <c r="N28" s="684">
        <f t="shared" si="7"/>
        <v>46026</v>
      </c>
    </row>
    <row r="29" spans="1:14" ht="15" customHeight="1">
      <c r="A29" s="658">
        <v>46026</v>
      </c>
      <c r="B29" s="658" t="str">
        <f t="shared" si="0"/>
        <v>Dom</v>
      </c>
      <c r="C29" s="674" t="s">
        <v>146</v>
      </c>
      <c r="D29" s="885" t="s">
        <v>523</v>
      </c>
      <c r="E29" s="687">
        <v>0.30208333333333331</v>
      </c>
      <c r="F29" s="687">
        <v>0.6875</v>
      </c>
      <c r="G29" s="688">
        <f t="shared" si="1"/>
        <v>9.25</v>
      </c>
      <c r="H29" s="676">
        <f>IF(D29="","",IFERROR(VLOOKUP(D29,'Resumen Empleado'!$A$4:$B$17,2,FALSE),""))</f>
        <v>6.39</v>
      </c>
      <c r="I29" s="676">
        <f t="shared" si="2"/>
        <v>30.352499999999999</v>
      </c>
      <c r="J29" s="676">
        <f t="shared" si="3"/>
        <v>28.754999999999999</v>
      </c>
      <c r="K29" s="676">
        <f>IF(OR(E29="",F29="",H29=""),0,MAX(0,(MIN(IF(F29&lt;E29,F29+1,F29),1+TIME(5,0,0))-MAX(E29,TIME(19,0,0))))*24*H29)</f>
        <v>0</v>
      </c>
      <c r="L29" s="1044">
        <f t="shared" si="5"/>
        <v>59.107500000000002</v>
      </c>
      <c r="M29" s="145" t="str">
        <f t="shared" si="6"/>
        <v/>
      </c>
      <c r="N29" s="684">
        <f t="shared" si="7"/>
        <v>46026</v>
      </c>
    </row>
    <row r="30" spans="1:14" ht="15" customHeight="1">
      <c r="A30" s="658">
        <v>46026</v>
      </c>
      <c r="B30" s="658" t="str">
        <f t="shared" si="0"/>
        <v>Dom</v>
      </c>
      <c r="C30" s="674" t="s">
        <v>146</v>
      </c>
      <c r="D30" s="885" t="s">
        <v>526</v>
      </c>
      <c r="E30" s="687">
        <v>0.30208333333333331</v>
      </c>
      <c r="F30" s="687">
        <v>0.6875</v>
      </c>
      <c r="G30" s="688">
        <f t="shared" si="1"/>
        <v>9.25</v>
      </c>
      <c r="H30" s="676">
        <f>IF(D30="","",IFERROR(VLOOKUP(D30,'Resumen Empleado'!$A$4:$B$17,2,FALSE),""))</f>
        <v>16</v>
      </c>
      <c r="I30" s="676">
        <f t="shared" si="2"/>
        <v>76</v>
      </c>
      <c r="J30" s="676">
        <f t="shared" si="3"/>
        <v>72</v>
      </c>
      <c r="K30" s="676">
        <f>IF(OR(E30="",F30="",H30=""),0,MAX(0,(MIN(IF(F30&lt;E30,F30+1,F30),1+TIME(5,0,0))-MAX(E30,TIME(19,0,0))))*24*H30)</f>
        <v>0</v>
      </c>
      <c r="L30" s="1044">
        <f t="shared" si="5"/>
        <v>148</v>
      </c>
      <c r="M30" s="145" t="str">
        <f t="shared" si="6"/>
        <v/>
      </c>
      <c r="N30" s="684">
        <f t="shared" si="7"/>
        <v>46026</v>
      </c>
    </row>
    <row r="31" spans="1:14" ht="15" customHeight="1">
      <c r="A31" s="658">
        <v>46026</v>
      </c>
      <c r="B31" s="658" t="str">
        <f t="shared" si="0"/>
        <v>Dom</v>
      </c>
      <c r="C31" s="674" t="s">
        <v>146</v>
      </c>
      <c r="D31" s="885" t="s">
        <v>525</v>
      </c>
      <c r="E31" s="687">
        <v>0.375</v>
      </c>
      <c r="F31" s="687">
        <v>0.6875</v>
      </c>
      <c r="G31" s="688">
        <f t="shared" si="1"/>
        <v>7.5</v>
      </c>
      <c r="H31" s="676">
        <f>IF(D31="","",IFERROR(VLOOKUP(D31,'Resumen Empleado'!$A$4:$B$17,2,FALSE),""))</f>
        <v>7.25</v>
      </c>
      <c r="I31" s="676">
        <f t="shared" si="2"/>
        <v>21.75</v>
      </c>
      <c r="J31" s="676">
        <f t="shared" si="3"/>
        <v>32.625</v>
      </c>
      <c r="K31" s="676">
        <f>IF(OR(E31="",F31="",H31=""),0,MAX(0,(MIN(IF(F31&lt;E31,F31+1,F31),1+TIME(5,0,0))-MAX(E31,TIME(19,0,0))))*24*H31)</f>
        <v>0</v>
      </c>
      <c r="L31" s="1044">
        <f t="shared" si="5"/>
        <v>54.375</v>
      </c>
      <c r="M31" s="145" t="str">
        <f t="shared" si="6"/>
        <v/>
      </c>
      <c r="N31" s="684">
        <f t="shared" si="7"/>
        <v>46026</v>
      </c>
    </row>
    <row r="32" spans="1:14" ht="15" customHeight="1">
      <c r="A32" s="658">
        <v>46026</v>
      </c>
      <c r="B32" s="658" t="str">
        <f t="shared" si="0"/>
        <v>Dom</v>
      </c>
      <c r="C32" s="674" t="s">
        <v>146</v>
      </c>
      <c r="D32" s="885" t="s">
        <v>524</v>
      </c>
      <c r="E32" s="687">
        <v>0.5</v>
      </c>
      <c r="F32" s="687">
        <v>0.6875</v>
      </c>
      <c r="G32" s="688">
        <f t="shared" si="1"/>
        <v>4.5</v>
      </c>
      <c r="H32" s="676">
        <f>IF(D32="","",IFERROR(VLOOKUP(D32,'Resumen Empleado'!$A$4:$B$17,2,FALSE),""))</f>
        <v>7.3</v>
      </c>
      <c r="I32" s="676">
        <f t="shared" si="2"/>
        <v>0</v>
      </c>
      <c r="J32" s="676">
        <f t="shared" si="3"/>
        <v>32.85</v>
      </c>
      <c r="K32" s="676">
        <f>IF(OR(E32="",F32="",H32=""),0,MAX(0,(MIN(IF(F32&lt;E32,F32+1,F32),1+TIME(5,0,0))-MAX(E32,TIME(19,0,0))))*24*H32)</f>
        <v>0</v>
      </c>
      <c r="L32" s="1044">
        <f t="shared" si="5"/>
        <v>32.85</v>
      </c>
      <c r="M32" s="145" t="str">
        <f t="shared" si="6"/>
        <v/>
      </c>
      <c r="N32" s="684">
        <f t="shared" si="7"/>
        <v>46026</v>
      </c>
    </row>
    <row r="33" spans="1:14" ht="15" customHeight="1">
      <c r="A33" s="658">
        <v>46026</v>
      </c>
      <c r="B33" s="658" t="str">
        <f t="shared" si="0"/>
        <v>Dom</v>
      </c>
      <c r="C33" s="674" t="s">
        <v>146</v>
      </c>
      <c r="D33" s="885" t="s">
        <v>528</v>
      </c>
      <c r="E33" s="687">
        <v>0.33333333333333331</v>
      </c>
      <c r="F33" s="687">
        <v>0.66666666666666663</v>
      </c>
      <c r="G33" s="688">
        <f t="shared" si="1"/>
        <v>8</v>
      </c>
      <c r="H33" s="676">
        <f>IF(D33="","",IFERROR(VLOOKUP(D33,'Resumen Empleado'!$A$4:$B$17,2,FALSE),""))</f>
        <v>11</v>
      </c>
      <c r="I33" s="676">
        <f t="shared" si="2"/>
        <v>44</v>
      </c>
      <c r="J33" s="676">
        <f t="shared" si="3"/>
        <v>43.999999999999993</v>
      </c>
      <c r="K33" s="676">
        <f>IF(OR(E33="",F33="",H33=""),0,MAX(0,(MIN(IF(F33&lt;E33,1+F33,F33),1+TIME(5,0,0))-MAX(E33,TIME(19,0,0))))*24*H33)</f>
        <v>0</v>
      </c>
      <c r="L33" s="1044">
        <f t="shared" si="5"/>
        <v>88</v>
      </c>
      <c r="M33" s="145" t="str">
        <f t="shared" si="6"/>
        <v/>
      </c>
      <c r="N33" s="684">
        <f t="shared" si="7"/>
        <v>46026</v>
      </c>
    </row>
    <row r="34" spans="1:14" ht="15" customHeight="1">
      <c r="A34" s="658">
        <v>46029</v>
      </c>
      <c r="B34" s="658" t="str">
        <f t="shared" si="0"/>
        <v>Mié</v>
      </c>
      <c r="C34" s="674" t="s">
        <v>146</v>
      </c>
      <c r="D34" s="885" t="s">
        <v>522</v>
      </c>
      <c r="E34" s="687">
        <v>0.29166666666666669</v>
      </c>
      <c r="F34" s="687">
        <v>0.54166666666666663</v>
      </c>
      <c r="G34" s="688">
        <f t="shared" si="1"/>
        <v>5.9999999999999982</v>
      </c>
      <c r="H34" s="676">
        <f>IF(D34="","",IFERROR(VLOOKUP(D34,'Resumen Empleado'!$A$4:$B$17,2,FALSE),""))</f>
        <v>10</v>
      </c>
      <c r="I34" s="676">
        <f t="shared" si="2"/>
        <v>50</v>
      </c>
      <c r="J34" s="676">
        <f t="shared" si="3"/>
        <v>9.9999999999999911</v>
      </c>
      <c r="K34" s="676">
        <f t="shared" ref="K34:K42" si="9">IF(OR(E34="",F34="",H34=""),0,MAX(0,(MIN(IF(F34&lt;E34,F34+1,F34),1+TIME(5,0,0))-MAX(E34,TIME(19,0,0))))*24*H34)</f>
        <v>0</v>
      </c>
      <c r="L34" s="1044">
        <f t="shared" si="5"/>
        <v>59.999999999999993</v>
      </c>
      <c r="M34" s="145" t="str">
        <f t="shared" si="6"/>
        <v/>
      </c>
      <c r="N34" s="684">
        <f t="shared" si="7"/>
        <v>46029</v>
      </c>
    </row>
    <row r="35" spans="1:14" ht="15" customHeight="1">
      <c r="A35" s="658">
        <v>46029</v>
      </c>
      <c r="B35" s="658" t="str">
        <f t="shared" si="0"/>
        <v>Mié</v>
      </c>
      <c r="C35" s="674" t="s">
        <v>146</v>
      </c>
      <c r="D35" s="885" t="s">
        <v>525</v>
      </c>
      <c r="E35" s="687">
        <v>0.54166666666666663</v>
      </c>
      <c r="F35" s="687">
        <v>0.66666666666666663</v>
      </c>
      <c r="G35" s="688">
        <f t="shared" si="1"/>
        <v>3</v>
      </c>
      <c r="H35" s="676">
        <f>IF(D35="","",IFERROR(VLOOKUP(D35,'Resumen Empleado'!$A$4:$B$17,2,FALSE),""))</f>
        <v>7.25</v>
      </c>
      <c r="I35" s="676">
        <f t="shared" si="2"/>
        <v>0</v>
      </c>
      <c r="J35" s="676">
        <f t="shared" si="3"/>
        <v>21.75</v>
      </c>
      <c r="K35" s="676">
        <f t="shared" si="9"/>
        <v>0</v>
      </c>
      <c r="L35" s="1044">
        <f t="shared" si="5"/>
        <v>21.75</v>
      </c>
      <c r="M35" s="145" t="str">
        <f t="shared" si="6"/>
        <v/>
      </c>
      <c r="N35" s="684">
        <f t="shared" si="7"/>
        <v>46029</v>
      </c>
    </row>
    <row r="36" spans="1:14" ht="15" customHeight="1">
      <c r="A36" s="658">
        <v>46029</v>
      </c>
      <c r="B36" s="658" t="str">
        <f t="shared" si="0"/>
        <v>Mié</v>
      </c>
      <c r="C36" s="674" t="s">
        <v>146</v>
      </c>
      <c r="D36" s="885" t="s">
        <v>526</v>
      </c>
      <c r="E36" s="687">
        <v>0.41666666666666669</v>
      </c>
      <c r="F36" s="687">
        <v>0.66666666666666663</v>
      </c>
      <c r="G36" s="688">
        <f t="shared" si="1"/>
        <v>5.9999999999999982</v>
      </c>
      <c r="H36" s="676">
        <f>IF(D36="","",IFERROR(VLOOKUP(D36,'Resumen Empleado'!$A$4:$B$17,2,FALSE),""))</f>
        <v>16</v>
      </c>
      <c r="I36" s="676">
        <f t="shared" si="2"/>
        <v>31.999999999999993</v>
      </c>
      <c r="J36" s="676">
        <f t="shared" si="3"/>
        <v>63.999999999999986</v>
      </c>
      <c r="K36" s="676">
        <f t="shared" si="9"/>
        <v>0</v>
      </c>
      <c r="L36" s="1044">
        <f t="shared" si="5"/>
        <v>95.999999999999972</v>
      </c>
      <c r="M36" s="145" t="str">
        <f t="shared" si="6"/>
        <v/>
      </c>
      <c r="N36" s="684">
        <f t="shared" si="7"/>
        <v>46029</v>
      </c>
    </row>
    <row r="37" spans="1:14" ht="15" customHeight="1">
      <c r="A37" s="658">
        <v>46029</v>
      </c>
      <c r="B37" s="658" t="str">
        <f t="shared" si="0"/>
        <v>Mié</v>
      </c>
      <c r="C37" s="674" t="s">
        <v>146</v>
      </c>
      <c r="D37" s="885" t="s">
        <v>523</v>
      </c>
      <c r="E37" s="687">
        <v>0.51041666666666663</v>
      </c>
      <c r="F37" s="687">
        <v>0.63541666666666663</v>
      </c>
      <c r="G37" s="688">
        <f t="shared" si="1"/>
        <v>3</v>
      </c>
      <c r="H37" s="676">
        <f>IF(D37="","",IFERROR(VLOOKUP(D37,'Resumen Empleado'!$A$4:$B$17,2,FALSE),""))</f>
        <v>6.39</v>
      </c>
      <c r="I37" s="676">
        <f t="shared" si="2"/>
        <v>0</v>
      </c>
      <c r="J37" s="676">
        <f t="shared" si="3"/>
        <v>19.169999999999998</v>
      </c>
      <c r="K37" s="676">
        <f t="shared" si="9"/>
        <v>0</v>
      </c>
      <c r="L37" s="1044">
        <f t="shared" si="5"/>
        <v>19.169999999999998</v>
      </c>
      <c r="M37" s="145" t="str">
        <f t="shared" si="6"/>
        <v/>
      </c>
      <c r="N37" s="684">
        <f t="shared" si="7"/>
        <v>46029</v>
      </c>
    </row>
    <row r="38" spans="1:14" ht="15" customHeight="1">
      <c r="A38" s="658">
        <v>46029</v>
      </c>
      <c r="B38" s="658" t="str">
        <f t="shared" si="0"/>
        <v>Mié</v>
      </c>
      <c r="C38" s="674" t="s">
        <v>146</v>
      </c>
      <c r="D38" s="885" t="s">
        <v>524</v>
      </c>
      <c r="E38" s="687">
        <v>0.30208333333333331</v>
      </c>
      <c r="F38" s="687">
        <v>0.66666666666666663</v>
      </c>
      <c r="G38" s="688">
        <f t="shared" si="1"/>
        <v>8.75</v>
      </c>
      <c r="H38" s="676">
        <f>IF(D38="","",IFERROR(VLOOKUP(D38,'Resumen Empleado'!$A$4:$B$17,2,FALSE),""))</f>
        <v>7.3</v>
      </c>
      <c r="I38" s="676">
        <f t="shared" si="2"/>
        <v>34.674999999999997</v>
      </c>
      <c r="J38" s="676">
        <f t="shared" si="3"/>
        <v>29.199999999999992</v>
      </c>
      <c r="K38" s="676">
        <f t="shared" si="9"/>
        <v>0</v>
      </c>
      <c r="L38" s="1044">
        <f t="shared" si="5"/>
        <v>63.874999999999986</v>
      </c>
      <c r="M38" s="145" t="str">
        <f t="shared" si="6"/>
        <v/>
      </c>
      <c r="N38" s="684">
        <f t="shared" si="7"/>
        <v>46029</v>
      </c>
    </row>
    <row r="39" spans="1:14" ht="15" customHeight="1">
      <c r="A39" s="658">
        <v>46029</v>
      </c>
      <c r="B39" s="658" t="str">
        <f t="shared" si="0"/>
        <v>Mié</v>
      </c>
      <c r="C39" s="674" t="s">
        <v>497</v>
      </c>
      <c r="D39" s="885" t="s">
        <v>525</v>
      </c>
      <c r="E39" s="687">
        <v>0.79166666666666663</v>
      </c>
      <c r="F39" s="687">
        <v>0.95833333333333337</v>
      </c>
      <c r="G39" s="688">
        <f t="shared" si="1"/>
        <v>4.0000000000000018</v>
      </c>
      <c r="H39" s="676">
        <f>IF(D39="","",IFERROR(VLOOKUP(D39,'Resumen Empleado'!$A$4:$B$17,2,FALSE),""))</f>
        <v>7.25</v>
      </c>
      <c r="I39" s="676">
        <f t="shared" si="2"/>
        <v>0</v>
      </c>
      <c r="J39" s="676">
        <f t="shared" si="3"/>
        <v>0</v>
      </c>
      <c r="K39" s="676">
        <f t="shared" si="9"/>
        <v>29.000000000000014</v>
      </c>
      <c r="L39" s="1044">
        <f t="shared" si="5"/>
        <v>29.000000000000014</v>
      </c>
      <c r="M39" s="145" t="str">
        <f t="shared" si="6"/>
        <v/>
      </c>
      <c r="N39" s="684">
        <f t="shared" si="7"/>
        <v>46029</v>
      </c>
    </row>
    <row r="40" spans="1:14" ht="15" customHeight="1">
      <c r="A40" s="658">
        <v>46029</v>
      </c>
      <c r="B40" s="658" t="str">
        <f t="shared" si="0"/>
        <v>Mié</v>
      </c>
      <c r="C40" s="674" t="s">
        <v>497</v>
      </c>
      <c r="D40" s="885" t="s">
        <v>523</v>
      </c>
      <c r="E40" s="687">
        <v>0.79166666666666663</v>
      </c>
      <c r="F40" s="687">
        <v>0.91666666666666663</v>
      </c>
      <c r="G40" s="688">
        <f t="shared" si="1"/>
        <v>3</v>
      </c>
      <c r="H40" s="676">
        <f>IF(D40="","",IFERROR(VLOOKUP(D40,'Resumen Empleado'!$A$4:$B$17,2,FALSE),""))</f>
        <v>6.39</v>
      </c>
      <c r="I40" s="676">
        <f t="shared" si="2"/>
        <v>0</v>
      </c>
      <c r="J40" s="676">
        <f t="shared" si="3"/>
        <v>0</v>
      </c>
      <c r="K40" s="676">
        <f t="shared" si="9"/>
        <v>19.169999999999998</v>
      </c>
      <c r="L40" s="1044">
        <f t="shared" si="5"/>
        <v>19.169999999999998</v>
      </c>
      <c r="M40" s="145" t="str">
        <f t="shared" si="6"/>
        <v/>
      </c>
      <c r="N40" s="684">
        <f t="shared" si="7"/>
        <v>46029</v>
      </c>
    </row>
    <row r="41" spans="1:14" ht="15" customHeight="1">
      <c r="A41" s="658">
        <v>46029</v>
      </c>
      <c r="B41" s="658" t="str">
        <f t="shared" si="0"/>
        <v>Mié</v>
      </c>
      <c r="C41" s="674" t="s">
        <v>497</v>
      </c>
      <c r="D41" s="885" t="s">
        <v>526</v>
      </c>
      <c r="E41" s="687">
        <v>0.83333333333333337</v>
      </c>
      <c r="F41" s="687">
        <v>0.95833333333333337</v>
      </c>
      <c r="G41" s="688">
        <f t="shared" si="1"/>
        <v>3</v>
      </c>
      <c r="H41" s="676">
        <f>IF(D41="","",IFERROR(VLOOKUP(D41,'Resumen Empleado'!$A$4:$B$17,2,FALSE),""))</f>
        <v>16</v>
      </c>
      <c r="I41" s="676">
        <f t="shared" si="2"/>
        <v>0</v>
      </c>
      <c r="J41" s="676">
        <f t="shared" si="3"/>
        <v>0</v>
      </c>
      <c r="K41" s="676">
        <f t="shared" si="9"/>
        <v>48</v>
      </c>
      <c r="L41" s="1044">
        <f t="shared" si="5"/>
        <v>48</v>
      </c>
      <c r="M41" s="145" t="str">
        <f t="shared" si="6"/>
        <v/>
      </c>
      <c r="N41" s="684">
        <f t="shared" si="7"/>
        <v>46029</v>
      </c>
    </row>
    <row r="42" spans="1:14" ht="15" customHeight="1">
      <c r="A42" s="658">
        <v>46029</v>
      </c>
      <c r="B42" s="658" t="str">
        <f t="shared" si="0"/>
        <v>Mié</v>
      </c>
      <c r="C42" s="674" t="s">
        <v>497</v>
      </c>
      <c r="D42" s="885" t="s">
        <v>527</v>
      </c>
      <c r="E42" s="687">
        <v>0.8125</v>
      </c>
      <c r="F42" s="687">
        <v>0.89583333333333337</v>
      </c>
      <c r="G42" s="688">
        <f t="shared" si="1"/>
        <v>2.0000000000000009</v>
      </c>
      <c r="H42" s="676" t="str">
        <f>IF(D42="","",IFERROR(VLOOKUP(D42,'Resumen Empleado'!$A$4:$B$17,2,FALSE),""))</f>
        <v/>
      </c>
      <c r="I42" s="676">
        <f t="shared" si="2"/>
        <v>0</v>
      </c>
      <c r="J42" s="676">
        <f t="shared" si="3"/>
        <v>0</v>
      </c>
      <c r="K42" s="676">
        <f t="shared" si="9"/>
        <v>0</v>
      </c>
      <c r="L42" s="1044">
        <f t="shared" si="5"/>
        <v>0</v>
      </c>
      <c r="M42" s="145" t="str">
        <f t="shared" si="6"/>
        <v/>
      </c>
      <c r="N42" s="684">
        <f t="shared" si="7"/>
        <v>46029</v>
      </c>
    </row>
    <row r="43" spans="1:14" ht="15" customHeight="1">
      <c r="A43" s="658">
        <v>46029</v>
      </c>
      <c r="B43" s="658" t="str">
        <f t="shared" si="0"/>
        <v>Mié</v>
      </c>
      <c r="C43" s="674" t="s">
        <v>146</v>
      </c>
      <c r="D43" s="885" t="s">
        <v>528</v>
      </c>
      <c r="E43" s="687">
        <v>0.33333333333333331</v>
      </c>
      <c r="F43" s="687">
        <v>0.66666666666666663</v>
      </c>
      <c r="G43" s="688">
        <f t="shared" si="1"/>
        <v>8</v>
      </c>
      <c r="H43" s="676">
        <f>IF(D43="","",IFERROR(VLOOKUP(D43,'Resumen Empleado'!$A$4:$B$17,2,FALSE),""))</f>
        <v>11</v>
      </c>
      <c r="I43" s="676">
        <f t="shared" si="2"/>
        <v>44</v>
      </c>
      <c r="J43" s="676">
        <f t="shared" si="3"/>
        <v>43.999999999999993</v>
      </c>
      <c r="K43" s="676">
        <f>IF(OR(E43="",F43="",H43=""),0,MAX(0,(MIN(IF(F43&lt;E43,1+F43,F43),1+TIME(5,0,0))-MAX(E43,TIME(19,0,0))))*24*H43)</f>
        <v>0</v>
      </c>
      <c r="L43" s="1044">
        <f t="shared" si="5"/>
        <v>88</v>
      </c>
      <c r="M43" s="145" t="str">
        <f t="shared" si="6"/>
        <v/>
      </c>
      <c r="N43" s="684">
        <f t="shared" si="7"/>
        <v>46029</v>
      </c>
    </row>
    <row r="44" spans="1:14" ht="15" customHeight="1">
      <c r="A44" s="658">
        <v>46030</v>
      </c>
      <c r="B44" s="658" t="str">
        <f t="shared" si="0"/>
        <v>Jue</v>
      </c>
      <c r="C44" s="674" t="s">
        <v>146</v>
      </c>
      <c r="D44" s="885" t="s">
        <v>524</v>
      </c>
      <c r="E44" s="687">
        <v>0.30208333333333331</v>
      </c>
      <c r="F44" s="687">
        <v>0.34375</v>
      </c>
      <c r="G44" s="688">
        <f t="shared" si="1"/>
        <v>1.0000000000000004</v>
      </c>
      <c r="H44" s="676">
        <f>IF(D44="","",IFERROR(VLOOKUP(D44,'Resumen Empleado'!$A$4:$B$17,2,FALSE),""))</f>
        <v>7.3</v>
      </c>
      <c r="I44" s="676">
        <f t="shared" si="2"/>
        <v>7.3000000000000034</v>
      </c>
      <c r="J44" s="676">
        <f t="shared" si="3"/>
        <v>0</v>
      </c>
      <c r="K44" s="676">
        <f t="shared" ref="K44:K54" si="10">IF(OR(E44="",F44="",H44=""),0,MAX(0,(MIN(IF(F44&lt;E44,F44+1,F44),1+TIME(5,0,0))-MAX(E44,TIME(19,0,0))))*24*H44)</f>
        <v>0</v>
      </c>
      <c r="L44" s="1044">
        <f t="shared" si="5"/>
        <v>7.3000000000000034</v>
      </c>
      <c r="M44" s="145" t="str">
        <f t="shared" si="6"/>
        <v/>
      </c>
      <c r="N44" s="684">
        <f t="shared" si="7"/>
        <v>46030</v>
      </c>
    </row>
    <row r="45" spans="1:14" ht="15" customHeight="1">
      <c r="A45" s="658">
        <v>46030</v>
      </c>
      <c r="B45" s="658" t="str">
        <f t="shared" si="0"/>
        <v>Jue</v>
      </c>
      <c r="C45" s="674" t="s">
        <v>146</v>
      </c>
      <c r="D45" s="885" t="s">
        <v>522</v>
      </c>
      <c r="E45" s="687">
        <v>0.29166666666666669</v>
      </c>
      <c r="F45" s="687">
        <v>0.66666666666666663</v>
      </c>
      <c r="G45" s="688">
        <f t="shared" si="1"/>
        <v>8.9999999999999982</v>
      </c>
      <c r="H45" s="676">
        <f>IF(D45="","",IFERROR(VLOOKUP(D45,'Resumen Empleado'!$A$4:$B$17,2,FALSE),""))</f>
        <v>10</v>
      </c>
      <c r="I45" s="676">
        <f t="shared" si="2"/>
        <v>50</v>
      </c>
      <c r="J45" s="676">
        <f t="shared" si="3"/>
        <v>39.999999999999993</v>
      </c>
      <c r="K45" s="676">
        <f t="shared" si="10"/>
        <v>0</v>
      </c>
      <c r="L45" s="1044">
        <f t="shared" si="5"/>
        <v>90</v>
      </c>
      <c r="M45" s="145" t="str">
        <f t="shared" si="6"/>
        <v/>
      </c>
      <c r="N45" s="684">
        <f t="shared" si="7"/>
        <v>46030</v>
      </c>
    </row>
    <row r="46" spans="1:14" ht="15" customHeight="1">
      <c r="A46" s="658">
        <v>46030</v>
      </c>
      <c r="B46" s="658" t="str">
        <f t="shared" si="0"/>
        <v>Jue</v>
      </c>
      <c r="C46" s="674" t="s">
        <v>146</v>
      </c>
      <c r="D46" s="885" t="s">
        <v>525</v>
      </c>
      <c r="E46" s="687">
        <v>0.34375</v>
      </c>
      <c r="F46" s="687">
        <v>0.67708333333333337</v>
      </c>
      <c r="G46" s="688">
        <f t="shared" si="1"/>
        <v>8</v>
      </c>
      <c r="H46" s="676">
        <f>IF(D46="","",IFERROR(VLOOKUP(D46,'Resumen Empleado'!$A$4:$B$17,2,FALSE),""))</f>
        <v>7.25</v>
      </c>
      <c r="I46" s="676">
        <f t="shared" si="2"/>
        <v>27.1875</v>
      </c>
      <c r="J46" s="676">
        <f t="shared" si="3"/>
        <v>30.812500000000007</v>
      </c>
      <c r="K46" s="676">
        <f t="shared" si="10"/>
        <v>0</v>
      </c>
      <c r="L46" s="1044">
        <f t="shared" si="5"/>
        <v>58.000000000000007</v>
      </c>
      <c r="M46" s="145" t="str">
        <f t="shared" si="6"/>
        <v/>
      </c>
      <c r="N46" s="684">
        <f t="shared" si="7"/>
        <v>46030</v>
      </c>
    </row>
    <row r="47" spans="1:14" ht="15" customHeight="1">
      <c r="A47" s="658">
        <v>46030</v>
      </c>
      <c r="B47" s="658" t="str">
        <f t="shared" si="0"/>
        <v>Jue</v>
      </c>
      <c r="C47" s="674" t="s">
        <v>146</v>
      </c>
      <c r="D47" s="885" t="s">
        <v>523</v>
      </c>
      <c r="E47" s="687">
        <v>0.51041666666666663</v>
      </c>
      <c r="F47" s="687">
        <v>0.66666666666666663</v>
      </c>
      <c r="G47" s="688">
        <f t="shared" si="1"/>
        <v>3.75</v>
      </c>
      <c r="H47" s="676">
        <f>IF(D47="","",IFERROR(VLOOKUP(D47,'Resumen Empleado'!$A$4:$B$17,2,FALSE),""))</f>
        <v>6.39</v>
      </c>
      <c r="I47" s="676">
        <f t="shared" si="2"/>
        <v>0</v>
      </c>
      <c r="J47" s="676">
        <f t="shared" si="3"/>
        <v>23.962499999999999</v>
      </c>
      <c r="K47" s="676">
        <f t="shared" si="10"/>
        <v>0</v>
      </c>
      <c r="L47" s="1044">
        <f t="shared" si="5"/>
        <v>23.962499999999999</v>
      </c>
      <c r="M47" s="145" t="str">
        <f t="shared" si="6"/>
        <v/>
      </c>
      <c r="N47" s="684">
        <f t="shared" si="7"/>
        <v>46030</v>
      </c>
    </row>
    <row r="48" spans="1:14" ht="15" customHeight="1">
      <c r="A48" s="658">
        <v>46030</v>
      </c>
      <c r="B48" s="658" t="str">
        <f t="shared" si="0"/>
        <v>Jue</v>
      </c>
      <c r="C48" s="674" t="s">
        <v>146</v>
      </c>
      <c r="D48" s="885" t="s">
        <v>526</v>
      </c>
      <c r="E48" s="687">
        <v>0.41666666666666669</v>
      </c>
      <c r="F48" s="687">
        <v>0.66666666666666663</v>
      </c>
      <c r="G48" s="688">
        <f t="shared" si="1"/>
        <v>5.9999999999999982</v>
      </c>
      <c r="H48" s="676">
        <f>IF(D48="","",IFERROR(VLOOKUP(D48,'Resumen Empleado'!$A$4:$B$17,2,FALSE),""))</f>
        <v>16</v>
      </c>
      <c r="I48" s="676">
        <f t="shared" si="2"/>
        <v>31.999999999999993</v>
      </c>
      <c r="J48" s="676">
        <f t="shared" si="3"/>
        <v>63.999999999999986</v>
      </c>
      <c r="K48" s="676">
        <f t="shared" si="10"/>
        <v>0</v>
      </c>
      <c r="L48" s="1044">
        <f t="shared" si="5"/>
        <v>95.999999999999972</v>
      </c>
      <c r="M48" s="145" t="str">
        <f t="shared" si="6"/>
        <v/>
      </c>
      <c r="N48" s="684">
        <f t="shared" si="7"/>
        <v>46030</v>
      </c>
    </row>
    <row r="49" spans="1:14" ht="15" customHeight="1">
      <c r="A49" s="658">
        <v>46030</v>
      </c>
      <c r="B49" s="658" t="str">
        <f t="shared" si="0"/>
        <v>Jue</v>
      </c>
      <c r="C49" s="674" t="s">
        <v>146</v>
      </c>
      <c r="D49" s="885" t="s">
        <v>522</v>
      </c>
      <c r="E49" s="687">
        <v>0.54166666666666663</v>
      </c>
      <c r="F49" s="687">
        <v>0.66666666666666663</v>
      </c>
      <c r="G49" s="688">
        <f t="shared" si="1"/>
        <v>3</v>
      </c>
      <c r="H49" s="676">
        <f>IF(D49="","",IFERROR(VLOOKUP(D49,'Resumen Empleado'!$A$4:$B$17,2,FALSE),""))</f>
        <v>10</v>
      </c>
      <c r="I49" s="676">
        <f t="shared" si="2"/>
        <v>0</v>
      </c>
      <c r="J49" s="676">
        <f t="shared" si="3"/>
        <v>30</v>
      </c>
      <c r="K49" s="676">
        <f t="shared" si="10"/>
        <v>0</v>
      </c>
      <c r="L49" s="1044">
        <f t="shared" si="5"/>
        <v>30</v>
      </c>
      <c r="M49" s="145" t="str">
        <f t="shared" si="6"/>
        <v/>
      </c>
      <c r="N49" s="684">
        <f t="shared" si="7"/>
        <v>46030</v>
      </c>
    </row>
    <row r="50" spans="1:14" ht="15" customHeight="1">
      <c r="A50" s="658">
        <v>46030</v>
      </c>
      <c r="B50" s="658" t="str">
        <f t="shared" si="0"/>
        <v>Jue</v>
      </c>
      <c r="C50" s="674" t="s">
        <v>146</v>
      </c>
      <c r="D50" s="885" t="s">
        <v>523</v>
      </c>
      <c r="E50" s="687">
        <v>0.55208333333333337</v>
      </c>
      <c r="F50" s="687">
        <v>0.66666666666666663</v>
      </c>
      <c r="G50" s="688">
        <f t="shared" si="1"/>
        <v>2.7499999999999982</v>
      </c>
      <c r="H50" s="676">
        <f>IF(D50="","",IFERROR(VLOOKUP(D50,'Resumen Empleado'!$A$4:$B$17,2,FALSE),""))</f>
        <v>6.39</v>
      </c>
      <c r="I50" s="676">
        <f t="shared" si="2"/>
        <v>0</v>
      </c>
      <c r="J50" s="676">
        <f t="shared" si="3"/>
        <v>17.572499999999987</v>
      </c>
      <c r="K50" s="676">
        <f t="shared" si="10"/>
        <v>0</v>
      </c>
      <c r="L50" s="1044">
        <f t="shared" si="5"/>
        <v>17.572499999999987</v>
      </c>
      <c r="M50" s="145" t="str">
        <f t="shared" si="6"/>
        <v/>
      </c>
      <c r="N50" s="684">
        <f t="shared" si="7"/>
        <v>46030</v>
      </c>
    </row>
    <row r="51" spans="1:14" ht="15" customHeight="1">
      <c r="A51" s="658">
        <v>46030</v>
      </c>
      <c r="B51" s="658" t="str">
        <f t="shared" si="0"/>
        <v>Jue</v>
      </c>
      <c r="C51" s="674" t="s">
        <v>497</v>
      </c>
      <c r="D51" s="885" t="s">
        <v>526</v>
      </c>
      <c r="E51" s="687">
        <v>0.83333333333333337</v>
      </c>
      <c r="F51" s="687">
        <v>0.92708333333333337</v>
      </c>
      <c r="G51" s="688">
        <f t="shared" si="1"/>
        <v>2.25</v>
      </c>
      <c r="H51" s="676">
        <f>IF(D51="","",IFERROR(VLOOKUP(D51,'Resumen Empleado'!$A$4:$B$17,2,FALSE),""))</f>
        <v>16</v>
      </c>
      <c r="I51" s="676">
        <f t="shared" si="2"/>
        <v>0</v>
      </c>
      <c r="J51" s="676">
        <f t="shared" si="3"/>
        <v>0</v>
      </c>
      <c r="K51" s="676">
        <f t="shared" si="10"/>
        <v>36</v>
      </c>
      <c r="L51" s="1044">
        <f t="shared" si="5"/>
        <v>36</v>
      </c>
      <c r="M51" s="145" t="str">
        <f t="shared" si="6"/>
        <v/>
      </c>
      <c r="N51" s="684">
        <f t="shared" si="7"/>
        <v>46030</v>
      </c>
    </row>
    <row r="52" spans="1:14" ht="15" customHeight="1">
      <c r="A52" s="658">
        <v>46030</v>
      </c>
      <c r="B52" s="658" t="str">
        <f t="shared" si="0"/>
        <v>Jue</v>
      </c>
      <c r="C52" s="674" t="s">
        <v>497</v>
      </c>
      <c r="D52" s="885" t="s">
        <v>523</v>
      </c>
      <c r="E52" s="687">
        <v>0.79166666666666663</v>
      </c>
      <c r="F52" s="687">
        <v>0.95833333333333337</v>
      </c>
      <c r="G52" s="688">
        <f t="shared" si="1"/>
        <v>4.0000000000000018</v>
      </c>
      <c r="H52" s="676">
        <f>IF(D52="","",IFERROR(VLOOKUP(D52,'Resumen Empleado'!$A$4:$B$17,2,FALSE),""))</f>
        <v>6.39</v>
      </c>
      <c r="I52" s="676">
        <f t="shared" si="2"/>
        <v>0</v>
      </c>
      <c r="J52" s="676">
        <f t="shared" si="3"/>
        <v>0</v>
      </c>
      <c r="K52" s="676">
        <f t="shared" si="10"/>
        <v>25.560000000000009</v>
      </c>
      <c r="L52" s="1044">
        <f t="shared" si="5"/>
        <v>25.560000000000009</v>
      </c>
      <c r="M52" s="145" t="str">
        <f t="shared" si="6"/>
        <v/>
      </c>
      <c r="N52" s="684">
        <f t="shared" si="7"/>
        <v>46030</v>
      </c>
    </row>
    <row r="53" spans="1:14" ht="15" customHeight="1">
      <c r="A53" s="658">
        <v>46030</v>
      </c>
      <c r="B53" s="658" t="str">
        <f t="shared" si="0"/>
        <v>Jue</v>
      </c>
      <c r="C53" s="674" t="s">
        <v>497</v>
      </c>
      <c r="D53" s="885" t="s">
        <v>524</v>
      </c>
      <c r="E53" s="687">
        <v>0.79166666666666663</v>
      </c>
      <c r="F53" s="687">
        <v>0.95833333333333337</v>
      </c>
      <c r="G53" s="688">
        <f t="shared" si="1"/>
        <v>4.0000000000000018</v>
      </c>
      <c r="H53" s="676">
        <f>IF(D53="","",IFERROR(VLOOKUP(D53,'Resumen Empleado'!$A$4:$B$17,2,FALSE),""))</f>
        <v>7.3</v>
      </c>
      <c r="I53" s="676">
        <f t="shared" si="2"/>
        <v>0</v>
      </c>
      <c r="J53" s="676">
        <f t="shared" si="3"/>
        <v>0</v>
      </c>
      <c r="K53" s="676">
        <f t="shared" si="10"/>
        <v>29.200000000000014</v>
      </c>
      <c r="L53" s="1044">
        <f t="shared" si="5"/>
        <v>29.200000000000014</v>
      </c>
      <c r="M53" s="145" t="str">
        <f t="shared" si="6"/>
        <v/>
      </c>
      <c r="N53" s="684">
        <f t="shared" si="7"/>
        <v>46030</v>
      </c>
    </row>
    <row r="54" spans="1:14" ht="15" customHeight="1">
      <c r="A54" s="658">
        <v>46030</v>
      </c>
      <c r="B54" s="658" t="str">
        <f t="shared" si="0"/>
        <v>Jue</v>
      </c>
      <c r="C54" s="674" t="s">
        <v>497</v>
      </c>
      <c r="D54" s="885" t="s">
        <v>527</v>
      </c>
      <c r="E54" s="687">
        <v>0.8125</v>
      </c>
      <c r="F54" s="687">
        <v>0.89583333333333337</v>
      </c>
      <c r="G54" s="688">
        <f t="shared" si="1"/>
        <v>2.0000000000000009</v>
      </c>
      <c r="H54" s="676" t="str">
        <f>IF(D54="","",IFERROR(VLOOKUP(D54,'Resumen Empleado'!$A$4:$B$17,2,FALSE),""))</f>
        <v/>
      </c>
      <c r="I54" s="676">
        <f t="shared" si="2"/>
        <v>0</v>
      </c>
      <c r="J54" s="676">
        <f t="shared" si="3"/>
        <v>0</v>
      </c>
      <c r="K54" s="676">
        <f t="shared" si="10"/>
        <v>0</v>
      </c>
      <c r="L54" s="1044">
        <f t="shared" si="5"/>
        <v>0</v>
      </c>
      <c r="M54" s="145" t="str">
        <f t="shared" si="6"/>
        <v/>
      </c>
      <c r="N54" s="684">
        <f t="shared" si="7"/>
        <v>46030</v>
      </c>
    </row>
    <row r="55" spans="1:14" ht="15" customHeight="1">
      <c r="A55" s="658">
        <v>46030</v>
      </c>
      <c r="B55" s="658" t="str">
        <f t="shared" si="0"/>
        <v>Jue</v>
      </c>
      <c r="C55" s="674" t="s">
        <v>146</v>
      </c>
      <c r="D55" s="885" t="s">
        <v>528</v>
      </c>
      <c r="E55" s="687">
        <v>0.33333333333333331</v>
      </c>
      <c r="F55" s="687">
        <v>0.66666666666666663</v>
      </c>
      <c r="G55" s="688">
        <f t="shared" si="1"/>
        <v>8</v>
      </c>
      <c r="H55" s="676">
        <f>IF(D55="","",IFERROR(VLOOKUP(D55,'Resumen Empleado'!$A$4:$B$17,2,FALSE),""))</f>
        <v>11</v>
      </c>
      <c r="I55" s="676">
        <f t="shared" si="2"/>
        <v>44</v>
      </c>
      <c r="J55" s="676">
        <f t="shared" si="3"/>
        <v>43.999999999999993</v>
      </c>
      <c r="K55" s="676">
        <f>IF(OR(E55="",F55="",H55=""),0,MAX(0,(MIN(IF(F55&lt;E55,1+F55,F55),1+TIME(5,0,0))-MAX(E55,TIME(19,0,0))))*24*H55)</f>
        <v>0</v>
      </c>
      <c r="L55" s="1044">
        <f t="shared" si="5"/>
        <v>88</v>
      </c>
      <c r="M55" s="145" t="str">
        <f t="shared" si="6"/>
        <v/>
      </c>
      <c r="N55" s="684">
        <f t="shared" si="7"/>
        <v>46030</v>
      </c>
    </row>
    <row r="56" spans="1:14" ht="15" customHeight="1">
      <c r="A56" s="658">
        <v>46031</v>
      </c>
      <c r="B56" s="658" t="str">
        <f t="shared" si="0"/>
        <v>Vie</v>
      </c>
      <c r="C56" s="674" t="s">
        <v>146</v>
      </c>
      <c r="D56" s="885" t="s">
        <v>526</v>
      </c>
      <c r="E56" s="687">
        <v>0.46875</v>
      </c>
      <c r="F56" s="687">
        <v>0.66666666666666663</v>
      </c>
      <c r="G56" s="688">
        <f t="shared" si="1"/>
        <v>4.7499999999999991</v>
      </c>
      <c r="H56" s="676">
        <f>IF(D56="","",IFERROR(VLOOKUP(D56,'Resumen Empleado'!$A$4:$B$17,2,FALSE),""))</f>
        <v>16</v>
      </c>
      <c r="I56" s="676">
        <f t="shared" si="2"/>
        <v>12</v>
      </c>
      <c r="J56" s="676">
        <f t="shared" si="3"/>
        <v>63.999999999999986</v>
      </c>
      <c r="K56" s="676">
        <f t="shared" ref="K56:K63" si="11">IF(OR(E56="",F56="",H56=""),0,MAX(0,(MIN(IF(F56&lt;E56,F56+1,F56),1+TIME(5,0,0))-MAX(E56,TIME(19,0,0))))*24*H56)</f>
        <v>0</v>
      </c>
      <c r="L56" s="1044">
        <f t="shared" si="5"/>
        <v>75.999999999999986</v>
      </c>
      <c r="M56" s="145" t="str">
        <f t="shared" si="6"/>
        <v/>
      </c>
      <c r="N56" s="684">
        <f t="shared" si="7"/>
        <v>46031</v>
      </c>
    </row>
    <row r="57" spans="1:14" ht="15" customHeight="1">
      <c r="A57" s="658">
        <v>46031</v>
      </c>
      <c r="B57" s="658" t="str">
        <f t="shared" si="0"/>
        <v>Vie</v>
      </c>
      <c r="C57" s="674" t="s">
        <v>146</v>
      </c>
      <c r="D57" s="885" t="s">
        <v>524</v>
      </c>
      <c r="E57" s="687">
        <v>0.30208333333333331</v>
      </c>
      <c r="F57" s="687">
        <v>0.64583333333333337</v>
      </c>
      <c r="G57" s="688">
        <f t="shared" si="1"/>
        <v>8.2500000000000018</v>
      </c>
      <c r="H57" s="676">
        <f>IF(D57="","",IFERROR(VLOOKUP(D57,'Resumen Empleado'!$A$4:$B$17,2,FALSE),""))</f>
        <v>7.3</v>
      </c>
      <c r="I57" s="676">
        <f t="shared" si="2"/>
        <v>34.674999999999997</v>
      </c>
      <c r="J57" s="676">
        <f t="shared" si="3"/>
        <v>25.550000000000004</v>
      </c>
      <c r="K57" s="676">
        <f t="shared" si="11"/>
        <v>0</v>
      </c>
      <c r="L57" s="1044">
        <f t="shared" si="5"/>
        <v>60.225000000000001</v>
      </c>
      <c r="M57" s="145" t="str">
        <f t="shared" si="6"/>
        <v/>
      </c>
      <c r="N57" s="684">
        <f t="shared" si="7"/>
        <v>46031</v>
      </c>
    </row>
    <row r="58" spans="1:14" ht="15" customHeight="1">
      <c r="A58" s="658">
        <v>46031</v>
      </c>
      <c r="B58" s="658" t="str">
        <f t="shared" si="0"/>
        <v>Vie</v>
      </c>
      <c r="C58" s="674" t="s">
        <v>146</v>
      </c>
      <c r="D58" s="885" t="s">
        <v>525</v>
      </c>
      <c r="E58" s="687">
        <v>0.5625</v>
      </c>
      <c r="F58" s="687">
        <v>0.66666666666666663</v>
      </c>
      <c r="G58" s="688">
        <f t="shared" si="1"/>
        <v>2.4999999999999991</v>
      </c>
      <c r="H58" s="676">
        <f>IF(D58="","",IFERROR(VLOOKUP(D58,'Resumen Empleado'!$A$4:$B$17,2,FALSE),""))</f>
        <v>7.25</v>
      </c>
      <c r="I58" s="676">
        <f t="shared" si="2"/>
        <v>0</v>
      </c>
      <c r="J58" s="676">
        <f t="shared" si="3"/>
        <v>18.124999999999993</v>
      </c>
      <c r="K58" s="676">
        <f t="shared" si="11"/>
        <v>0</v>
      </c>
      <c r="L58" s="1044">
        <f t="shared" si="5"/>
        <v>18.124999999999993</v>
      </c>
      <c r="M58" s="145" t="str">
        <f t="shared" si="6"/>
        <v/>
      </c>
      <c r="N58" s="684">
        <f t="shared" si="7"/>
        <v>46031</v>
      </c>
    </row>
    <row r="59" spans="1:14" ht="15" customHeight="1">
      <c r="A59" s="658">
        <v>46031</v>
      </c>
      <c r="B59" s="658" t="str">
        <f t="shared" si="0"/>
        <v>Vie</v>
      </c>
      <c r="C59" s="674" t="s">
        <v>497</v>
      </c>
      <c r="D59" s="885" t="s">
        <v>524</v>
      </c>
      <c r="E59" s="687">
        <v>0.85416666666666663</v>
      </c>
      <c r="F59" s="687">
        <v>0</v>
      </c>
      <c r="G59" s="688">
        <f t="shared" si="1"/>
        <v>3.5000000000000009</v>
      </c>
      <c r="H59" s="676">
        <f>IF(D59="","",IFERROR(VLOOKUP(D59,'Resumen Empleado'!$A$4:$B$17,2,FALSE),""))</f>
        <v>7.3</v>
      </c>
      <c r="I59" s="676">
        <f t="shared" si="2"/>
        <v>0</v>
      </c>
      <c r="J59" s="676">
        <f t="shared" si="3"/>
        <v>0</v>
      </c>
      <c r="K59" s="676">
        <f t="shared" si="11"/>
        <v>25.550000000000004</v>
      </c>
      <c r="L59" s="1044">
        <f t="shared" si="5"/>
        <v>25.550000000000004</v>
      </c>
      <c r="M59" s="145" t="str">
        <f t="shared" si="6"/>
        <v/>
      </c>
      <c r="N59" s="684">
        <f t="shared" si="7"/>
        <v>46031</v>
      </c>
    </row>
    <row r="60" spans="1:14" ht="15" customHeight="1">
      <c r="A60" s="658">
        <v>46031</v>
      </c>
      <c r="B60" s="658" t="str">
        <f t="shared" si="0"/>
        <v>Vie</v>
      </c>
      <c r="C60" s="674" t="s">
        <v>497</v>
      </c>
      <c r="D60" s="885" t="s">
        <v>525</v>
      </c>
      <c r="E60" s="687">
        <v>0.79166666666666663</v>
      </c>
      <c r="F60" s="687">
        <v>0</v>
      </c>
      <c r="G60" s="688">
        <f t="shared" si="1"/>
        <v>5.0000000000000009</v>
      </c>
      <c r="H60" s="676">
        <f>IF(D60="","",IFERROR(VLOOKUP(D60,'Resumen Empleado'!$A$4:$B$17,2,FALSE),""))</f>
        <v>7.25</v>
      </c>
      <c r="I60" s="676">
        <f t="shared" si="2"/>
        <v>0</v>
      </c>
      <c r="J60" s="676">
        <f t="shared" si="3"/>
        <v>0</v>
      </c>
      <c r="K60" s="676">
        <f t="shared" si="11"/>
        <v>36.250000000000007</v>
      </c>
      <c r="L60" s="1044">
        <f t="shared" si="5"/>
        <v>36.250000000000007</v>
      </c>
      <c r="M60" s="145" t="str">
        <f t="shared" si="6"/>
        <v/>
      </c>
      <c r="N60" s="684">
        <f t="shared" si="7"/>
        <v>46031</v>
      </c>
    </row>
    <row r="61" spans="1:14" ht="15" customHeight="1">
      <c r="A61" s="658">
        <v>46031</v>
      </c>
      <c r="B61" s="658" t="str">
        <f t="shared" si="0"/>
        <v>Vie</v>
      </c>
      <c r="C61" s="674" t="s">
        <v>497</v>
      </c>
      <c r="D61" s="885" t="s">
        <v>523</v>
      </c>
      <c r="E61" s="687">
        <v>0.79166666666666663</v>
      </c>
      <c r="F61" s="687">
        <v>0</v>
      </c>
      <c r="G61" s="688">
        <f t="shared" si="1"/>
        <v>5.0000000000000009</v>
      </c>
      <c r="H61" s="676">
        <f>IF(D61="","",IFERROR(VLOOKUP(D61,'Resumen Empleado'!$A$4:$B$17,2,FALSE),""))</f>
        <v>6.39</v>
      </c>
      <c r="I61" s="676">
        <f t="shared" si="2"/>
        <v>0</v>
      </c>
      <c r="J61" s="676">
        <f t="shared" si="3"/>
        <v>0</v>
      </c>
      <c r="K61" s="676">
        <f t="shared" si="11"/>
        <v>31.950000000000003</v>
      </c>
      <c r="L61" s="1044">
        <f t="shared" si="5"/>
        <v>31.950000000000003</v>
      </c>
      <c r="M61" s="145" t="str">
        <f t="shared" si="6"/>
        <v/>
      </c>
      <c r="N61" s="684">
        <f t="shared" si="7"/>
        <v>46031</v>
      </c>
    </row>
    <row r="62" spans="1:14" ht="15" customHeight="1">
      <c r="A62" s="658">
        <v>46031</v>
      </c>
      <c r="B62" s="658" t="str">
        <f t="shared" si="0"/>
        <v>Vie</v>
      </c>
      <c r="C62" s="674" t="s">
        <v>497</v>
      </c>
      <c r="D62" s="885" t="s">
        <v>526</v>
      </c>
      <c r="E62" s="687">
        <v>0.83333333333333337</v>
      </c>
      <c r="F62" s="687">
        <v>0</v>
      </c>
      <c r="G62" s="688">
        <f t="shared" si="1"/>
        <v>3.9999999999999991</v>
      </c>
      <c r="H62" s="676">
        <f>IF(D62="","",IFERROR(VLOOKUP(D62,'Resumen Empleado'!$A$4:$B$17,2,FALSE),""))</f>
        <v>16</v>
      </c>
      <c r="I62" s="676">
        <f t="shared" si="2"/>
        <v>0</v>
      </c>
      <c r="J62" s="676">
        <f t="shared" si="3"/>
        <v>0</v>
      </c>
      <c r="K62" s="676">
        <f t="shared" si="11"/>
        <v>63.999999999999986</v>
      </c>
      <c r="L62" s="1044">
        <f t="shared" si="5"/>
        <v>63.999999999999986</v>
      </c>
      <c r="M62" s="145" t="str">
        <f t="shared" si="6"/>
        <v/>
      </c>
      <c r="N62" s="684">
        <f t="shared" si="7"/>
        <v>46031</v>
      </c>
    </row>
    <row r="63" spans="1:14" ht="15" customHeight="1">
      <c r="A63" s="658">
        <v>46031</v>
      </c>
      <c r="B63" s="658" t="str">
        <f t="shared" si="0"/>
        <v>Vie</v>
      </c>
      <c r="C63" s="674" t="s">
        <v>497</v>
      </c>
      <c r="D63" s="885" t="s">
        <v>522</v>
      </c>
      <c r="E63" s="687">
        <v>0.79166666666666663</v>
      </c>
      <c r="F63" s="687">
        <v>0.91666666666666663</v>
      </c>
      <c r="G63" s="688">
        <f t="shared" si="1"/>
        <v>3</v>
      </c>
      <c r="H63" s="676">
        <f>IF(D63="","",IFERROR(VLOOKUP(D63,'Resumen Empleado'!$A$4:$B$17,2,FALSE),""))</f>
        <v>10</v>
      </c>
      <c r="I63" s="676">
        <f t="shared" si="2"/>
        <v>0</v>
      </c>
      <c r="J63" s="676">
        <f t="shared" si="3"/>
        <v>0</v>
      </c>
      <c r="K63" s="676">
        <f t="shared" si="11"/>
        <v>30</v>
      </c>
      <c r="L63" s="1044">
        <f t="shared" si="5"/>
        <v>30</v>
      </c>
      <c r="M63" s="145" t="str">
        <f t="shared" si="6"/>
        <v/>
      </c>
      <c r="N63" s="684">
        <f t="shared" si="7"/>
        <v>46031</v>
      </c>
    </row>
    <row r="64" spans="1:14" ht="15" customHeight="1">
      <c r="A64" s="658">
        <v>46031</v>
      </c>
      <c r="B64" s="658" t="str">
        <f t="shared" si="0"/>
        <v>Vie</v>
      </c>
      <c r="C64" s="674" t="s">
        <v>146</v>
      </c>
      <c r="D64" s="885" t="s">
        <v>528</v>
      </c>
      <c r="E64" s="687">
        <v>0.33333333333333331</v>
      </c>
      <c r="F64" s="687">
        <v>0.66666666666666663</v>
      </c>
      <c r="G64" s="688">
        <f t="shared" si="1"/>
        <v>8</v>
      </c>
      <c r="H64" s="676">
        <f>IF(D64="","",IFERROR(VLOOKUP(D64,'Resumen Empleado'!$A$4:$B$17,2,FALSE),""))</f>
        <v>11</v>
      </c>
      <c r="I64" s="676">
        <f t="shared" si="2"/>
        <v>44</v>
      </c>
      <c r="J64" s="676">
        <f t="shared" si="3"/>
        <v>43.999999999999993</v>
      </c>
      <c r="K64" s="676">
        <f>IF(OR(E64="",F64="",H64=""),0,MAX(0,(MIN(IF(F64&lt;E64,1+F64,F64),1+TIME(5,0,0))-MAX(E64,TIME(19,0,0))))*24*H64)</f>
        <v>0</v>
      </c>
      <c r="L64" s="1044">
        <f t="shared" si="5"/>
        <v>88</v>
      </c>
      <c r="M64" s="145" t="str">
        <f t="shared" si="6"/>
        <v/>
      </c>
      <c r="N64" s="684">
        <f t="shared" si="7"/>
        <v>46031</v>
      </c>
    </row>
    <row r="65" spans="1:14" ht="15" customHeight="1">
      <c r="A65" s="658">
        <v>46032</v>
      </c>
      <c r="B65" s="658" t="str">
        <f t="shared" si="0"/>
        <v>Sáb</v>
      </c>
      <c r="C65" s="674" t="s">
        <v>146</v>
      </c>
      <c r="D65" s="885" t="s">
        <v>522</v>
      </c>
      <c r="E65" s="687">
        <v>0.33333333333333331</v>
      </c>
      <c r="F65" s="687">
        <v>0.6875</v>
      </c>
      <c r="G65" s="688">
        <f t="shared" si="1"/>
        <v>8.5</v>
      </c>
      <c r="H65" s="676">
        <f>IF(D65="","",IFERROR(VLOOKUP(D65,'Resumen Empleado'!$A$4:$B$17,2,FALSE),""))</f>
        <v>10</v>
      </c>
      <c r="I65" s="676">
        <f t="shared" si="2"/>
        <v>40</v>
      </c>
      <c r="J65" s="676">
        <f t="shared" si="3"/>
        <v>45</v>
      </c>
      <c r="K65" s="676">
        <f t="shared" ref="K65:K74" si="12">IF(OR(E65="",F65="",H65=""),0,MAX(0,(MIN(IF(F65&lt;E65,F65+1,F65),1+TIME(5,0,0))-MAX(E65,TIME(19,0,0))))*24*H65)</f>
        <v>0</v>
      </c>
      <c r="L65" s="1044">
        <f t="shared" si="5"/>
        <v>85</v>
      </c>
      <c r="M65" s="145" t="str">
        <f t="shared" si="6"/>
        <v/>
      </c>
      <c r="N65" s="684">
        <f t="shared" si="7"/>
        <v>46032</v>
      </c>
    </row>
    <row r="66" spans="1:14" ht="15" customHeight="1">
      <c r="A66" s="658">
        <v>46032</v>
      </c>
      <c r="B66" s="658" t="str">
        <f t="shared" si="0"/>
        <v>Sáb</v>
      </c>
      <c r="C66" s="674" t="s">
        <v>146</v>
      </c>
      <c r="D66" s="885" t="s">
        <v>524</v>
      </c>
      <c r="E66" s="687">
        <v>0.53125</v>
      </c>
      <c r="F66" s="687">
        <v>0.69791666666666663</v>
      </c>
      <c r="G66" s="688">
        <f t="shared" si="1"/>
        <v>3.9999999999999991</v>
      </c>
      <c r="H66" s="676">
        <f>IF(D66="","",IFERROR(VLOOKUP(D66,'Resumen Empleado'!$A$4:$B$17,2,FALSE),""))</f>
        <v>7.3</v>
      </c>
      <c r="I66" s="676">
        <f t="shared" si="2"/>
        <v>0</v>
      </c>
      <c r="J66" s="676">
        <f t="shared" si="3"/>
        <v>29.199999999999992</v>
      </c>
      <c r="K66" s="676">
        <f t="shared" si="12"/>
        <v>0</v>
      </c>
      <c r="L66" s="1044">
        <f t="shared" si="5"/>
        <v>29.199999999999992</v>
      </c>
      <c r="M66" s="145" t="str">
        <f t="shared" si="6"/>
        <v/>
      </c>
      <c r="N66" s="684">
        <f t="shared" si="7"/>
        <v>46032</v>
      </c>
    </row>
    <row r="67" spans="1:14" ht="15" customHeight="1">
      <c r="A67" s="658">
        <v>46032</v>
      </c>
      <c r="B67" s="658" t="str">
        <f t="shared" si="0"/>
        <v>Sáb</v>
      </c>
      <c r="C67" s="674" t="s">
        <v>146</v>
      </c>
      <c r="D67" s="885" t="s">
        <v>523</v>
      </c>
      <c r="E67" s="687">
        <v>0.30208333333333331</v>
      </c>
      <c r="F67" s="687">
        <v>0.66666666666666663</v>
      </c>
      <c r="G67" s="688">
        <f t="shared" si="1"/>
        <v>8.75</v>
      </c>
      <c r="H67" s="676">
        <f>IF(D67="","",IFERROR(VLOOKUP(D67,'Resumen Empleado'!$A$4:$B$17,2,FALSE),""))</f>
        <v>6.39</v>
      </c>
      <c r="I67" s="676">
        <f t="shared" si="2"/>
        <v>30.352499999999999</v>
      </c>
      <c r="J67" s="676">
        <f t="shared" si="3"/>
        <v>25.559999999999992</v>
      </c>
      <c r="K67" s="676">
        <f t="shared" si="12"/>
        <v>0</v>
      </c>
      <c r="L67" s="1044">
        <f t="shared" si="5"/>
        <v>55.912499999999994</v>
      </c>
      <c r="M67" s="145" t="str">
        <f t="shared" si="6"/>
        <v/>
      </c>
      <c r="N67" s="684">
        <f t="shared" si="7"/>
        <v>46032</v>
      </c>
    </row>
    <row r="68" spans="1:14" ht="15" customHeight="1">
      <c r="A68" s="658">
        <v>46032</v>
      </c>
      <c r="B68" s="658" t="str">
        <f t="shared" si="0"/>
        <v>Sáb</v>
      </c>
      <c r="C68" s="674" t="s">
        <v>146</v>
      </c>
      <c r="D68" s="885" t="s">
        <v>526</v>
      </c>
      <c r="E68" s="687">
        <v>0.375</v>
      </c>
      <c r="F68" s="687">
        <v>0.66666666666666663</v>
      </c>
      <c r="G68" s="688">
        <f t="shared" si="1"/>
        <v>6.9999999999999991</v>
      </c>
      <c r="H68" s="676">
        <f>IF(D68="","",IFERROR(VLOOKUP(D68,'Resumen Empleado'!$A$4:$B$17,2,FALSE),""))</f>
        <v>16</v>
      </c>
      <c r="I68" s="676">
        <f t="shared" si="2"/>
        <v>48</v>
      </c>
      <c r="J68" s="676">
        <f t="shared" si="3"/>
        <v>63.999999999999986</v>
      </c>
      <c r="K68" s="676">
        <f t="shared" si="12"/>
        <v>0</v>
      </c>
      <c r="L68" s="1044">
        <f t="shared" si="5"/>
        <v>111.99999999999999</v>
      </c>
      <c r="M68" s="145" t="str">
        <f t="shared" si="6"/>
        <v/>
      </c>
      <c r="N68" s="684">
        <f t="shared" si="7"/>
        <v>46032</v>
      </c>
    </row>
    <row r="69" spans="1:14" ht="15" customHeight="1">
      <c r="A69" s="658">
        <v>46032</v>
      </c>
      <c r="B69" s="658" t="str">
        <f t="shared" ref="B69:B132" si="13">IF(A69="","",PROPER(TEXT(A69,"ddd")))</f>
        <v>Sáb</v>
      </c>
      <c r="C69" s="674" t="s">
        <v>146</v>
      </c>
      <c r="D69" s="885" t="s">
        <v>525</v>
      </c>
      <c r="E69" s="687">
        <v>0.39583333333333331</v>
      </c>
      <c r="F69" s="687">
        <v>0.66666666666666663</v>
      </c>
      <c r="G69" s="688">
        <f t="shared" ref="G69:G132" si="14">IF(F69&lt;E69,F69+1-E69,F69-E69)*24</f>
        <v>6.5</v>
      </c>
      <c r="H69" s="676">
        <f>IF(D69="","",IFERROR(VLOOKUP(D69,'Resumen Empleado'!$A$4:$B$17,2,FALSE),""))</f>
        <v>7.25</v>
      </c>
      <c r="I69" s="676">
        <f t="shared" ref="I69:I132" si="15">IF(OR(E69="",F69="",H69=""),0,MAX(0,(MIN(IF(F69&lt;E69,F69+1,F69),TIME(12,0,0))-MAX(E69,TIME(5,0,0))))*24*H69)</f>
        <v>18.125000000000004</v>
      </c>
      <c r="J69" s="676">
        <f t="shared" ref="J69:J132" si="16">IF(OR(E69="",F69="",H69=""),0,MAX(0,(MIN(IF(F69&lt;E69,F69+1,F69),TIME(19,0,0))-MAX(E69,TIME(12,0,0))))*24*H69)</f>
        <v>28.999999999999993</v>
      </c>
      <c r="K69" s="676">
        <f t="shared" si="12"/>
        <v>0</v>
      </c>
      <c r="L69" s="1044">
        <f t="shared" ref="L69:L132" si="17">SUM(I69:K69)</f>
        <v>47.125</v>
      </c>
      <c r="M69" s="145" t="str">
        <f t="shared" ref="M69:M132" si="18">IF(A69="","",IF(G69&gt;12,"⚠ Verificar",""))</f>
        <v/>
      </c>
      <c r="N69" s="684">
        <f t="shared" ref="N69:N132" si="19">IF(A69="","",IF(ISNUMBER(A69),A69,DATE(VALUE(RIGHT(A69,4)),VALUE(MID(A69,4,2)),VALUE(LEFT(A69,2)))))</f>
        <v>46032</v>
      </c>
    </row>
    <row r="70" spans="1:14" ht="15" customHeight="1">
      <c r="A70" s="658">
        <v>46032</v>
      </c>
      <c r="B70" s="658" t="str">
        <f t="shared" si="13"/>
        <v>Sáb</v>
      </c>
      <c r="C70" s="674" t="s">
        <v>497</v>
      </c>
      <c r="D70" s="885" t="s">
        <v>522</v>
      </c>
      <c r="E70" s="687">
        <v>0.79166666666666663</v>
      </c>
      <c r="F70" s="687">
        <v>0.95833333333333337</v>
      </c>
      <c r="G70" s="688">
        <f t="shared" si="14"/>
        <v>4.0000000000000018</v>
      </c>
      <c r="H70" s="676">
        <f>IF(D70="","",IFERROR(VLOOKUP(D70,'Resumen Empleado'!$A$4:$B$17,2,FALSE),""))</f>
        <v>10</v>
      </c>
      <c r="I70" s="676">
        <f t="shared" si="15"/>
        <v>0</v>
      </c>
      <c r="J70" s="676">
        <f t="shared" si="16"/>
        <v>0</v>
      </c>
      <c r="K70" s="676">
        <f t="shared" si="12"/>
        <v>40.000000000000014</v>
      </c>
      <c r="L70" s="1044">
        <f t="shared" si="17"/>
        <v>40.000000000000014</v>
      </c>
      <c r="M70" s="145" t="str">
        <f t="shared" si="18"/>
        <v/>
      </c>
      <c r="N70" s="684">
        <f t="shared" si="19"/>
        <v>46032</v>
      </c>
    </row>
    <row r="71" spans="1:14" ht="15" customHeight="1">
      <c r="A71" s="658">
        <v>46032</v>
      </c>
      <c r="B71" s="658" t="str">
        <f t="shared" si="13"/>
        <v>Sáb</v>
      </c>
      <c r="C71" s="674" t="s">
        <v>497</v>
      </c>
      <c r="D71" s="885" t="s">
        <v>523</v>
      </c>
      <c r="E71" s="687">
        <v>0.79166666666666663</v>
      </c>
      <c r="F71" s="687">
        <v>0</v>
      </c>
      <c r="G71" s="688">
        <f t="shared" si="14"/>
        <v>5.0000000000000009</v>
      </c>
      <c r="H71" s="676">
        <f>IF(D71="","",IFERROR(VLOOKUP(D71,'Resumen Empleado'!$A$4:$B$17,2,FALSE),""))</f>
        <v>6.39</v>
      </c>
      <c r="I71" s="676">
        <f t="shared" si="15"/>
        <v>0</v>
      </c>
      <c r="J71" s="676">
        <f t="shared" si="16"/>
        <v>0</v>
      </c>
      <c r="K71" s="676">
        <f t="shared" si="12"/>
        <v>31.950000000000003</v>
      </c>
      <c r="L71" s="1044">
        <f t="shared" si="17"/>
        <v>31.950000000000003</v>
      </c>
      <c r="M71" s="145" t="str">
        <f t="shared" si="18"/>
        <v/>
      </c>
      <c r="N71" s="684">
        <f t="shared" si="19"/>
        <v>46032</v>
      </c>
    </row>
    <row r="72" spans="1:14" ht="15" customHeight="1">
      <c r="A72" s="658">
        <v>46032</v>
      </c>
      <c r="B72" s="658" t="str">
        <f t="shared" si="13"/>
        <v>Sáb</v>
      </c>
      <c r="C72" s="674" t="s">
        <v>497</v>
      </c>
      <c r="D72" s="885" t="s">
        <v>524</v>
      </c>
      <c r="E72" s="687">
        <v>0.85416666666666663</v>
      </c>
      <c r="F72" s="687">
        <v>0</v>
      </c>
      <c r="G72" s="688">
        <f t="shared" si="14"/>
        <v>3.5000000000000009</v>
      </c>
      <c r="H72" s="676">
        <f>IF(D72="","",IFERROR(VLOOKUP(D72,'Resumen Empleado'!$A$4:$B$17,2,FALSE),""))</f>
        <v>7.3</v>
      </c>
      <c r="I72" s="676">
        <f t="shared" si="15"/>
        <v>0</v>
      </c>
      <c r="J72" s="676">
        <f t="shared" si="16"/>
        <v>0</v>
      </c>
      <c r="K72" s="676">
        <f t="shared" si="12"/>
        <v>25.550000000000004</v>
      </c>
      <c r="L72" s="1044">
        <f t="shared" si="17"/>
        <v>25.550000000000004</v>
      </c>
      <c r="M72" s="145" t="str">
        <f t="shared" si="18"/>
        <v/>
      </c>
      <c r="N72" s="684">
        <f t="shared" si="19"/>
        <v>46032</v>
      </c>
    </row>
    <row r="73" spans="1:14" ht="15" customHeight="1">
      <c r="A73" s="658">
        <v>46032</v>
      </c>
      <c r="B73" s="658" t="str">
        <f t="shared" si="13"/>
        <v>Sáb</v>
      </c>
      <c r="C73" s="674" t="s">
        <v>497</v>
      </c>
      <c r="D73" s="885" t="s">
        <v>525</v>
      </c>
      <c r="E73" s="687">
        <v>0.79166666666666663</v>
      </c>
      <c r="F73" s="687">
        <v>0</v>
      </c>
      <c r="G73" s="688">
        <f t="shared" si="14"/>
        <v>5.0000000000000009</v>
      </c>
      <c r="H73" s="676">
        <f>IF(D73="","",IFERROR(VLOOKUP(D73,'Resumen Empleado'!$A$4:$B$17,2,FALSE),""))</f>
        <v>7.25</v>
      </c>
      <c r="I73" s="676">
        <f t="shared" si="15"/>
        <v>0</v>
      </c>
      <c r="J73" s="676">
        <f t="shared" si="16"/>
        <v>0</v>
      </c>
      <c r="K73" s="676">
        <f t="shared" si="12"/>
        <v>36.250000000000007</v>
      </c>
      <c r="L73" s="1044">
        <f t="shared" si="17"/>
        <v>36.250000000000007</v>
      </c>
      <c r="M73" s="145" t="str">
        <f t="shared" si="18"/>
        <v/>
      </c>
      <c r="N73" s="684">
        <f t="shared" si="19"/>
        <v>46032</v>
      </c>
    </row>
    <row r="74" spans="1:14" ht="15" customHeight="1">
      <c r="A74" s="658">
        <v>46032</v>
      </c>
      <c r="B74" s="658" t="str">
        <f t="shared" si="13"/>
        <v>Sáb</v>
      </c>
      <c r="C74" s="674" t="s">
        <v>497</v>
      </c>
      <c r="D74" s="885" t="s">
        <v>526</v>
      </c>
      <c r="E74" s="687">
        <v>0.85416666666666663</v>
      </c>
      <c r="F74" s="687">
        <v>0</v>
      </c>
      <c r="G74" s="688">
        <f t="shared" si="14"/>
        <v>3.5000000000000009</v>
      </c>
      <c r="H74" s="676">
        <f>IF(D74="","",IFERROR(VLOOKUP(D74,'Resumen Empleado'!$A$4:$B$17,2,FALSE),""))</f>
        <v>16</v>
      </c>
      <c r="I74" s="676">
        <f t="shared" si="15"/>
        <v>0</v>
      </c>
      <c r="J74" s="676">
        <f t="shared" si="16"/>
        <v>0</v>
      </c>
      <c r="K74" s="676">
        <f t="shared" si="12"/>
        <v>56.000000000000014</v>
      </c>
      <c r="L74" s="1044">
        <f t="shared" si="17"/>
        <v>56.000000000000014</v>
      </c>
      <c r="M74" s="145" t="str">
        <f t="shared" si="18"/>
        <v/>
      </c>
      <c r="N74" s="684">
        <f t="shared" si="19"/>
        <v>46032</v>
      </c>
    </row>
    <row r="75" spans="1:14" ht="15" customHeight="1">
      <c r="A75" s="658">
        <v>46032</v>
      </c>
      <c r="B75" s="658" t="str">
        <f t="shared" si="13"/>
        <v>Sáb</v>
      </c>
      <c r="C75" s="674" t="s">
        <v>146</v>
      </c>
      <c r="D75" s="885" t="s">
        <v>528</v>
      </c>
      <c r="E75" s="687">
        <v>0.33333333333333331</v>
      </c>
      <c r="F75" s="687">
        <v>0.66666666666666663</v>
      </c>
      <c r="G75" s="688">
        <f t="shared" si="14"/>
        <v>8</v>
      </c>
      <c r="H75" s="676">
        <f>IF(D75="","",IFERROR(VLOOKUP(D75,'Resumen Empleado'!$A$4:$B$17,2,FALSE),""))</f>
        <v>11</v>
      </c>
      <c r="I75" s="676">
        <f t="shared" si="15"/>
        <v>44</v>
      </c>
      <c r="J75" s="676">
        <f t="shared" si="16"/>
        <v>43.999999999999993</v>
      </c>
      <c r="K75" s="676">
        <f>IF(OR(E75="",F75="",H75=""),0,MAX(0,(MIN(IF(F75&lt;E75,1+F75,F75),1+TIME(5,0,0))-MAX(E75,TIME(19,0,0))))*24*H75)</f>
        <v>0</v>
      </c>
      <c r="L75" s="1044">
        <f t="shared" si="17"/>
        <v>88</v>
      </c>
      <c r="M75" s="145" t="str">
        <f t="shared" si="18"/>
        <v/>
      </c>
      <c r="N75" s="684">
        <f t="shared" si="19"/>
        <v>46032</v>
      </c>
    </row>
    <row r="76" spans="1:14" ht="15" customHeight="1">
      <c r="A76" s="658">
        <v>46033</v>
      </c>
      <c r="B76" s="658" t="str">
        <f t="shared" si="13"/>
        <v>Dom</v>
      </c>
      <c r="C76" s="674" t="s">
        <v>146</v>
      </c>
      <c r="D76" s="885" t="s">
        <v>522</v>
      </c>
      <c r="E76" s="687">
        <v>0.33333333333333331</v>
      </c>
      <c r="F76" s="687">
        <v>0.625</v>
      </c>
      <c r="G76" s="688">
        <f t="shared" si="14"/>
        <v>7</v>
      </c>
      <c r="H76" s="676">
        <f>IF(D76="","",IFERROR(VLOOKUP(D76,'Resumen Empleado'!$A$4:$B$17,2,FALSE),""))</f>
        <v>10</v>
      </c>
      <c r="I76" s="676">
        <f t="shared" si="15"/>
        <v>40</v>
      </c>
      <c r="J76" s="676">
        <f t="shared" si="16"/>
        <v>30</v>
      </c>
      <c r="K76" s="676">
        <f>IF(OR(E76="",F76="",H76=""),0,MAX(0,(MIN(IF(F76&lt;E76,F76+1,F76),1+TIME(5,0,0))-MAX(E76,TIME(19,0,0))))*24*H76)</f>
        <v>0</v>
      </c>
      <c r="L76" s="1044">
        <f t="shared" si="17"/>
        <v>70</v>
      </c>
      <c r="M76" s="145" t="str">
        <f t="shared" si="18"/>
        <v/>
      </c>
      <c r="N76" s="684">
        <f t="shared" si="19"/>
        <v>46033</v>
      </c>
    </row>
    <row r="77" spans="1:14" ht="15" customHeight="1">
      <c r="A77" s="658">
        <v>46033</v>
      </c>
      <c r="B77" s="658" t="str">
        <f t="shared" si="13"/>
        <v>Dom</v>
      </c>
      <c r="C77" s="674" t="s">
        <v>146</v>
      </c>
      <c r="D77" s="885" t="s">
        <v>523</v>
      </c>
      <c r="E77" s="687">
        <v>0.30208333333333331</v>
      </c>
      <c r="F77" s="687">
        <v>0.66666666666666663</v>
      </c>
      <c r="G77" s="688">
        <f t="shared" si="14"/>
        <v>8.75</v>
      </c>
      <c r="H77" s="676">
        <f>IF(D77="","",IFERROR(VLOOKUP(D77,'Resumen Empleado'!$A$4:$B$17,2,FALSE),""))</f>
        <v>6.39</v>
      </c>
      <c r="I77" s="676">
        <f t="shared" si="15"/>
        <v>30.352499999999999</v>
      </c>
      <c r="J77" s="676">
        <f t="shared" si="16"/>
        <v>25.559999999999992</v>
      </c>
      <c r="K77" s="676">
        <f>IF(OR(E77="",F77="",H77=""),0,MAX(0,(MIN(IF(F77&lt;E77,F77+1,F77),1+TIME(5,0,0))-MAX(E77,TIME(19,0,0))))*24*H77)</f>
        <v>0</v>
      </c>
      <c r="L77" s="1044">
        <f t="shared" si="17"/>
        <v>55.912499999999994</v>
      </c>
      <c r="M77" s="145" t="str">
        <f t="shared" si="18"/>
        <v/>
      </c>
      <c r="N77" s="684">
        <f t="shared" si="19"/>
        <v>46033</v>
      </c>
    </row>
    <row r="78" spans="1:14" ht="15" customHeight="1">
      <c r="A78" s="658">
        <v>46033</v>
      </c>
      <c r="B78" s="658" t="str">
        <f t="shared" si="13"/>
        <v>Dom</v>
      </c>
      <c r="C78" s="674" t="s">
        <v>146</v>
      </c>
      <c r="D78" s="885" t="s">
        <v>526</v>
      </c>
      <c r="E78" s="687">
        <v>0.39583333333333331</v>
      </c>
      <c r="F78" s="687">
        <v>0.66666666666666663</v>
      </c>
      <c r="G78" s="688">
        <f t="shared" si="14"/>
        <v>6.5</v>
      </c>
      <c r="H78" s="676">
        <f>IF(D78="","",IFERROR(VLOOKUP(D78,'Resumen Empleado'!$A$4:$B$17,2,FALSE),""))</f>
        <v>16</v>
      </c>
      <c r="I78" s="676">
        <f t="shared" si="15"/>
        <v>40.000000000000007</v>
      </c>
      <c r="J78" s="676">
        <f t="shared" si="16"/>
        <v>63.999999999999986</v>
      </c>
      <c r="K78" s="676">
        <f>IF(OR(E78="",F78="",H78=""),0,MAX(0,(MIN(IF(F78&lt;E78,F78+1,F78),1+TIME(5,0,0))-MAX(E78,TIME(19,0,0))))*24*H78)</f>
        <v>0</v>
      </c>
      <c r="L78" s="1044">
        <f t="shared" si="17"/>
        <v>104</v>
      </c>
      <c r="M78" s="145" t="str">
        <f t="shared" si="18"/>
        <v/>
      </c>
      <c r="N78" s="684">
        <f t="shared" si="19"/>
        <v>46033</v>
      </c>
    </row>
    <row r="79" spans="1:14" ht="15" customHeight="1">
      <c r="A79" s="658">
        <v>46033</v>
      </c>
      <c r="B79" s="658" t="str">
        <f t="shared" si="13"/>
        <v>Dom</v>
      </c>
      <c r="C79" s="674" t="s">
        <v>146</v>
      </c>
      <c r="D79" s="885" t="s">
        <v>524</v>
      </c>
      <c r="E79" s="687">
        <v>0.5</v>
      </c>
      <c r="F79" s="687">
        <v>0.66666666666666663</v>
      </c>
      <c r="G79" s="688">
        <f t="shared" si="14"/>
        <v>3.9999999999999991</v>
      </c>
      <c r="H79" s="676">
        <f>IF(D79="","",IFERROR(VLOOKUP(D79,'Resumen Empleado'!$A$4:$B$17,2,FALSE),""))</f>
        <v>7.3</v>
      </c>
      <c r="I79" s="676">
        <f t="shared" si="15"/>
        <v>0</v>
      </c>
      <c r="J79" s="676">
        <f t="shared" si="16"/>
        <v>29.199999999999992</v>
      </c>
      <c r="K79" s="676">
        <f>IF(OR(E79="",F79="",H79=""),0,MAX(0,(MIN(IF(F79&lt;E79,F79+1,F79),1+TIME(5,0,0))-MAX(E79,TIME(19,0,0))))*24*H79)</f>
        <v>0</v>
      </c>
      <c r="L79" s="1044">
        <f t="shared" si="17"/>
        <v>29.199999999999992</v>
      </c>
      <c r="M79" s="145" t="str">
        <f t="shared" si="18"/>
        <v/>
      </c>
      <c r="N79" s="684">
        <f t="shared" si="19"/>
        <v>46033</v>
      </c>
    </row>
    <row r="80" spans="1:14" ht="15" customHeight="1">
      <c r="A80" s="658">
        <v>46033</v>
      </c>
      <c r="B80" s="658" t="str">
        <f t="shared" si="13"/>
        <v>Dom</v>
      </c>
      <c r="C80" s="674" t="s">
        <v>146</v>
      </c>
      <c r="D80" s="885" t="s">
        <v>525</v>
      </c>
      <c r="E80" s="687">
        <v>0.39583333333333331</v>
      </c>
      <c r="F80" s="687">
        <v>0.66666666666666663</v>
      </c>
      <c r="G80" s="688">
        <f t="shared" si="14"/>
        <v>6.5</v>
      </c>
      <c r="H80" s="676">
        <f>IF(D80="","",IFERROR(VLOOKUP(D80,'Resumen Empleado'!$A$4:$B$17,2,FALSE),""))</f>
        <v>7.25</v>
      </c>
      <c r="I80" s="676">
        <f t="shared" si="15"/>
        <v>18.125000000000004</v>
      </c>
      <c r="J80" s="676">
        <f t="shared" si="16"/>
        <v>28.999999999999993</v>
      </c>
      <c r="K80" s="676">
        <f>IF(OR(E80="",F80="",H80=""),0,MAX(0,(MIN(IF(F80&lt;E80,F80+1,F80),1+TIME(5,0,0))-MAX(E80,TIME(19,0,0))))*24*H80)</f>
        <v>0</v>
      </c>
      <c r="L80" s="1044">
        <f t="shared" si="17"/>
        <v>47.125</v>
      </c>
      <c r="M80" s="145" t="str">
        <f t="shared" si="18"/>
        <v/>
      </c>
      <c r="N80" s="684">
        <f t="shared" si="19"/>
        <v>46033</v>
      </c>
    </row>
    <row r="81" spans="1:14" ht="15" customHeight="1">
      <c r="A81" s="658">
        <v>46033</v>
      </c>
      <c r="B81" s="658" t="str">
        <f t="shared" si="13"/>
        <v>Dom</v>
      </c>
      <c r="C81" s="674" t="s">
        <v>146</v>
      </c>
      <c r="D81" s="885" t="s">
        <v>528</v>
      </c>
      <c r="E81" s="687">
        <v>0.33333333333333331</v>
      </c>
      <c r="F81" s="687">
        <v>0.66666666666666663</v>
      </c>
      <c r="G81" s="688">
        <f t="shared" si="14"/>
        <v>8</v>
      </c>
      <c r="H81" s="676">
        <f>IF(D81="","",IFERROR(VLOOKUP(D81,'Resumen Empleado'!$A$4:$B$17,2,FALSE),""))</f>
        <v>11</v>
      </c>
      <c r="I81" s="676">
        <f t="shared" si="15"/>
        <v>44</v>
      </c>
      <c r="J81" s="676">
        <f t="shared" si="16"/>
        <v>43.999999999999993</v>
      </c>
      <c r="K81" s="676">
        <f>IF(OR(E81="",F81="",H81=""),0,MAX(0,(MIN(IF(F81&lt;E81,1+F81,F81),1+TIME(5,0,0))-MAX(E81,TIME(19,0,0))))*24*H81)</f>
        <v>0</v>
      </c>
      <c r="L81" s="1044">
        <f t="shared" si="17"/>
        <v>88</v>
      </c>
      <c r="M81" s="145" t="str">
        <f t="shared" si="18"/>
        <v/>
      </c>
      <c r="N81" s="684">
        <f t="shared" si="19"/>
        <v>46033</v>
      </c>
    </row>
    <row r="82" spans="1:14" ht="15" customHeight="1">
      <c r="A82" s="658">
        <v>46034</v>
      </c>
      <c r="B82" s="658" t="str">
        <f t="shared" si="13"/>
        <v>Lun</v>
      </c>
      <c r="C82" s="674" t="s">
        <v>497</v>
      </c>
      <c r="D82" s="885" t="s">
        <v>527</v>
      </c>
      <c r="E82" s="687">
        <v>0.8125</v>
      </c>
      <c r="F82" s="687">
        <v>0.89583333333333337</v>
      </c>
      <c r="G82" s="688">
        <f t="shared" si="14"/>
        <v>2.0000000000000009</v>
      </c>
      <c r="H82" s="676" t="str">
        <f>IF(D82="","",IFERROR(VLOOKUP(D82,'Resumen Empleado'!$A$4:$B$17,2,FALSE),""))</f>
        <v/>
      </c>
      <c r="I82" s="676">
        <f t="shared" si="15"/>
        <v>0</v>
      </c>
      <c r="J82" s="676">
        <f t="shared" si="16"/>
        <v>0</v>
      </c>
      <c r="K82" s="676">
        <f>IF(OR(E82="",F82="",H82=""),0,MAX(0,(MIN(IF(F82&lt;E82,F82+1,F82),1+TIME(5,0,0))-MAX(E82,TIME(19,0,0))))*24*H82)</f>
        <v>0</v>
      </c>
      <c r="L82" s="1044">
        <f t="shared" si="17"/>
        <v>0</v>
      </c>
      <c r="M82" s="145" t="str">
        <f t="shared" si="18"/>
        <v/>
      </c>
      <c r="N82" s="684">
        <f t="shared" si="19"/>
        <v>46034</v>
      </c>
    </row>
    <row r="83" spans="1:14" ht="15" customHeight="1">
      <c r="A83" s="658">
        <v>46034</v>
      </c>
      <c r="B83" s="658" t="str">
        <f t="shared" si="13"/>
        <v>Lun</v>
      </c>
      <c r="C83" s="674" t="s">
        <v>146</v>
      </c>
      <c r="D83" s="885" t="s">
        <v>528</v>
      </c>
      <c r="E83" s="687">
        <v>0.33333333333333331</v>
      </c>
      <c r="F83" s="687">
        <v>0.66666666666666663</v>
      </c>
      <c r="G83" s="688">
        <f t="shared" si="14"/>
        <v>8</v>
      </c>
      <c r="H83" s="676">
        <f>IF(D83="","",IFERROR(VLOOKUP(D83,'Resumen Empleado'!$A$4:$B$17,2,FALSE),""))</f>
        <v>11</v>
      </c>
      <c r="I83" s="676">
        <f t="shared" si="15"/>
        <v>44</v>
      </c>
      <c r="J83" s="676">
        <f t="shared" si="16"/>
        <v>43.999999999999993</v>
      </c>
      <c r="K83" s="676">
        <f>IF(OR(E83="",F83="",H83=""),0,MAX(0,(MIN(IF(F83&lt;E83,1+F83,F83),1+TIME(5,0,0))-MAX(E83,TIME(19,0,0))))*24*H83)</f>
        <v>0</v>
      </c>
      <c r="L83" s="1044">
        <f t="shared" si="17"/>
        <v>88</v>
      </c>
      <c r="M83" s="145" t="str">
        <f t="shared" si="18"/>
        <v/>
      </c>
      <c r="N83" s="684">
        <f t="shared" si="19"/>
        <v>46034</v>
      </c>
    </row>
    <row r="84" spans="1:14" ht="15" customHeight="1">
      <c r="A84" s="658">
        <v>46035</v>
      </c>
      <c r="B84" s="658" t="str">
        <f t="shared" si="13"/>
        <v>Mar</v>
      </c>
      <c r="C84" s="674" t="s">
        <v>497</v>
      </c>
      <c r="D84" s="885" t="s">
        <v>527</v>
      </c>
      <c r="E84" s="687">
        <v>0.8125</v>
      </c>
      <c r="F84" s="687">
        <v>0.89583333333333337</v>
      </c>
      <c r="G84" s="688">
        <f t="shared" si="14"/>
        <v>2.0000000000000009</v>
      </c>
      <c r="H84" s="676" t="str">
        <f>IF(D84="","",IFERROR(VLOOKUP(D84,'Resumen Empleado'!$A$4:$B$17,2,FALSE),""))</f>
        <v/>
      </c>
      <c r="I84" s="676">
        <f t="shared" si="15"/>
        <v>0</v>
      </c>
      <c r="J84" s="676">
        <f t="shared" si="16"/>
        <v>0</v>
      </c>
      <c r="K84" s="676">
        <f>IF(OR(E84="",F84="",H84=""),0,MAX(0,(MIN(IF(F84&lt;E84,F84+1,F84),1+TIME(5,0,0))-MAX(E84,TIME(19,0,0))))*24*H84)</f>
        <v>0</v>
      </c>
      <c r="L84" s="1044">
        <f t="shared" si="17"/>
        <v>0</v>
      </c>
      <c r="M84" s="145" t="str">
        <f t="shared" si="18"/>
        <v/>
      </c>
      <c r="N84" s="684">
        <f t="shared" si="19"/>
        <v>46035</v>
      </c>
    </row>
    <row r="85" spans="1:14" ht="15" customHeight="1">
      <c r="A85" s="658">
        <v>46035</v>
      </c>
      <c r="B85" s="658" t="str">
        <f t="shared" si="13"/>
        <v>Mar</v>
      </c>
      <c r="C85" s="674" t="s">
        <v>146</v>
      </c>
      <c r="D85" s="885" t="s">
        <v>528</v>
      </c>
      <c r="E85" s="687">
        <v>0.33333333333333331</v>
      </c>
      <c r="F85" s="687">
        <v>0.66666666666666663</v>
      </c>
      <c r="G85" s="688">
        <f t="shared" si="14"/>
        <v>8</v>
      </c>
      <c r="H85" s="676">
        <f>IF(D85="","",IFERROR(VLOOKUP(D85,'Resumen Empleado'!$A$4:$B$17,2,FALSE),""))</f>
        <v>11</v>
      </c>
      <c r="I85" s="676">
        <f t="shared" si="15"/>
        <v>44</v>
      </c>
      <c r="J85" s="676">
        <f t="shared" si="16"/>
        <v>43.999999999999993</v>
      </c>
      <c r="K85" s="676">
        <f>IF(OR(E85="",F85="",H85=""),0,MAX(0,(MIN(IF(F85&lt;E85,1+F85,F85),1+TIME(5,0,0))-MAX(E85,TIME(19,0,0))))*24*H85)</f>
        <v>0</v>
      </c>
      <c r="L85" s="1044">
        <f t="shared" si="17"/>
        <v>88</v>
      </c>
      <c r="M85" s="145" t="str">
        <f t="shared" si="18"/>
        <v/>
      </c>
      <c r="N85" s="684">
        <f t="shared" si="19"/>
        <v>46035</v>
      </c>
    </row>
    <row r="86" spans="1:14" ht="15" customHeight="1">
      <c r="A86" s="658">
        <v>46036</v>
      </c>
      <c r="B86" s="658" t="str">
        <f t="shared" si="13"/>
        <v>Mié</v>
      </c>
      <c r="C86" s="674" t="s">
        <v>146</v>
      </c>
      <c r="D86" s="885" t="s">
        <v>522</v>
      </c>
      <c r="E86" s="687">
        <v>0.29166666666666669</v>
      </c>
      <c r="F86" s="687">
        <v>0.5</v>
      </c>
      <c r="G86" s="688">
        <f t="shared" si="14"/>
        <v>5</v>
      </c>
      <c r="H86" s="676">
        <f>IF(D86="","",IFERROR(VLOOKUP(D86,'Resumen Empleado'!$A$4:$B$17,2,FALSE),""))</f>
        <v>10</v>
      </c>
      <c r="I86" s="676">
        <f t="shared" si="15"/>
        <v>50</v>
      </c>
      <c r="J86" s="676">
        <f t="shared" si="16"/>
        <v>0</v>
      </c>
      <c r="K86" s="676">
        <f t="shared" ref="K86:K91" si="20">IF(OR(E86="",F86="",H86=""),0,MAX(0,(MIN(IF(F86&lt;E86,F86+1,F86),1+TIME(5,0,0))-MAX(E86,TIME(19,0,0))))*24*H86)</f>
        <v>0</v>
      </c>
      <c r="L86" s="1044">
        <f t="shared" si="17"/>
        <v>50</v>
      </c>
      <c r="M86" s="145" t="str">
        <f t="shared" si="18"/>
        <v/>
      </c>
      <c r="N86" s="684">
        <f t="shared" si="19"/>
        <v>46036</v>
      </c>
    </row>
    <row r="87" spans="1:14" ht="15" customHeight="1">
      <c r="A87" s="658">
        <v>46036</v>
      </c>
      <c r="B87" s="658" t="str">
        <f t="shared" si="13"/>
        <v>Mié</v>
      </c>
      <c r="C87" s="674" t="s">
        <v>146</v>
      </c>
      <c r="D87" s="885" t="s">
        <v>525</v>
      </c>
      <c r="E87" s="687">
        <v>0.54166666666666663</v>
      </c>
      <c r="F87" s="687">
        <v>0.66666666666666663</v>
      </c>
      <c r="G87" s="688">
        <f t="shared" si="14"/>
        <v>3</v>
      </c>
      <c r="H87" s="676">
        <f>IF(D87="","",IFERROR(VLOOKUP(D87,'Resumen Empleado'!$A$4:$B$17,2,FALSE),""))</f>
        <v>7.25</v>
      </c>
      <c r="I87" s="676">
        <f t="shared" si="15"/>
        <v>0</v>
      </c>
      <c r="J87" s="676">
        <f t="shared" si="16"/>
        <v>21.75</v>
      </c>
      <c r="K87" s="676">
        <f t="shared" si="20"/>
        <v>0</v>
      </c>
      <c r="L87" s="1044">
        <f t="shared" si="17"/>
        <v>21.75</v>
      </c>
      <c r="M87" s="145" t="str">
        <f t="shared" si="18"/>
        <v/>
      </c>
      <c r="N87" s="684">
        <f t="shared" si="19"/>
        <v>46036</v>
      </c>
    </row>
    <row r="88" spans="1:14" ht="15" customHeight="1">
      <c r="A88" s="658">
        <v>46036</v>
      </c>
      <c r="B88" s="658" t="str">
        <f t="shared" si="13"/>
        <v>Mié</v>
      </c>
      <c r="C88" s="674" t="s">
        <v>146</v>
      </c>
      <c r="D88" s="885" t="s">
        <v>523</v>
      </c>
      <c r="E88" s="687">
        <v>0.51041666666666663</v>
      </c>
      <c r="F88" s="687">
        <v>0.63541666666666663</v>
      </c>
      <c r="G88" s="688">
        <f t="shared" si="14"/>
        <v>3</v>
      </c>
      <c r="H88" s="676">
        <f>IF(D88="","",IFERROR(VLOOKUP(D88,'Resumen Empleado'!$A$4:$B$17,2,FALSE),""))</f>
        <v>6.39</v>
      </c>
      <c r="I88" s="676">
        <f t="shared" si="15"/>
        <v>0</v>
      </c>
      <c r="J88" s="676">
        <f t="shared" si="16"/>
        <v>19.169999999999998</v>
      </c>
      <c r="K88" s="676">
        <f t="shared" si="20"/>
        <v>0</v>
      </c>
      <c r="L88" s="1044">
        <f t="shared" si="17"/>
        <v>19.169999999999998</v>
      </c>
      <c r="M88" s="145" t="str">
        <f t="shared" si="18"/>
        <v/>
      </c>
      <c r="N88" s="684">
        <f t="shared" si="19"/>
        <v>46036</v>
      </c>
    </row>
    <row r="89" spans="1:14" ht="15" customHeight="1">
      <c r="A89" s="658">
        <v>46036</v>
      </c>
      <c r="B89" s="658" t="str">
        <f t="shared" si="13"/>
        <v>Mié</v>
      </c>
      <c r="C89" s="674" t="s">
        <v>146</v>
      </c>
      <c r="D89" s="885" t="s">
        <v>526</v>
      </c>
      <c r="E89" s="687">
        <v>0.41666666666666669</v>
      </c>
      <c r="F89" s="687">
        <v>0.66666666666666663</v>
      </c>
      <c r="G89" s="688">
        <f t="shared" si="14"/>
        <v>5.9999999999999982</v>
      </c>
      <c r="H89" s="676">
        <f>IF(D89="","",IFERROR(VLOOKUP(D89,'Resumen Empleado'!$A$4:$B$17,2,FALSE),""))</f>
        <v>16</v>
      </c>
      <c r="I89" s="676">
        <f t="shared" si="15"/>
        <v>31.999999999999993</v>
      </c>
      <c r="J89" s="676">
        <f t="shared" si="16"/>
        <v>63.999999999999986</v>
      </c>
      <c r="K89" s="676">
        <f t="shared" si="20"/>
        <v>0</v>
      </c>
      <c r="L89" s="1044">
        <f t="shared" si="17"/>
        <v>95.999999999999972</v>
      </c>
      <c r="M89" s="145" t="str">
        <f t="shared" si="18"/>
        <v/>
      </c>
      <c r="N89" s="684">
        <f t="shared" si="19"/>
        <v>46036</v>
      </c>
    </row>
    <row r="90" spans="1:14" ht="15" customHeight="1">
      <c r="A90" s="658">
        <v>46036</v>
      </c>
      <c r="B90" s="658" t="str">
        <f t="shared" si="13"/>
        <v>Mié</v>
      </c>
      <c r="C90" s="674" t="s">
        <v>146</v>
      </c>
      <c r="D90" s="885" t="s">
        <v>524</v>
      </c>
      <c r="E90" s="687">
        <v>0.26041666666666669</v>
      </c>
      <c r="F90" s="687">
        <v>0.64583333333333337</v>
      </c>
      <c r="G90" s="688">
        <f t="shared" si="14"/>
        <v>9.25</v>
      </c>
      <c r="H90" s="676">
        <f>IF(D90="","",IFERROR(VLOOKUP(D90,'Resumen Empleado'!$A$4:$B$17,2,FALSE),""))</f>
        <v>7.3</v>
      </c>
      <c r="I90" s="676">
        <f t="shared" si="15"/>
        <v>41.975000000000001</v>
      </c>
      <c r="J90" s="676">
        <f t="shared" si="16"/>
        <v>25.550000000000004</v>
      </c>
      <c r="K90" s="676">
        <f t="shared" si="20"/>
        <v>0</v>
      </c>
      <c r="L90" s="1044">
        <f t="shared" si="17"/>
        <v>67.525000000000006</v>
      </c>
      <c r="M90" s="145" t="str">
        <f t="shared" si="18"/>
        <v/>
      </c>
      <c r="N90" s="684">
        <f t="shared" si="19"/>
        <v>46036</v>
      </c>
    </row>
    <row r="91" spans="1:14" ht="15" customHeight="1">
      <c r="A91" s="658">
        <v>46036</v>
      </c>
      <c r="B91" s="658" t="str">
        <f t="shared" si="13"/>
        <v>Mié</v>
      </c>
      <c r="C91" s="674" t="s">
        <v>497</v>
      </c>
      <c r="D91" s="885" t="s">
        <v>527</v>
      </c>
      <c r="E91" s="687">
        <v>0.8125</v>
      </c>
      <c r="F91" s="687">
        <v>0.89583333333333337</v>
      </c>
      <c r="G91" s="688">
        <f t="shared" si="14"/>
        <v>2.0000000000000009</v>
      </c>
      <c r="H91" s="676" t="str">
        <f>IF(D91="","",IFERROR(VLOOKUP(D91,'Resumen Empleado'!$A$4:$B$17,2,FALSE),""))</f>
        <v/>
      </c>
      <c r="I91" s="676">
        <f t="shared" si="15"/>
        <v>0</v>
      </c>
      <c r="J91" s="676">
        <f t="shared" si="16"/>
        <v>0</v>
      </c>
      <c r="K91" s="676">
        <f t="shared" si="20"/>
        <v>0</v>
      </c>
      <c r="L91" s="1044">
        <f t="shared" si="17"/>
        <v>0</v>
      </c>
      <c r="M91" s="145" t="str">
        <f t="shared" si="18"/>
        <v/>
      </c>
      <c r="N91" s="684">
        <f t="shared" si="19"/>
        <v>46036</v>
      </c>
    </row>
    <row r="92" spans="1:14" ht="15" customHeight="1">
      <c r="A92" s="658">
        <v>46036</v>
      </c>
      <c r="B92" s="658" t="str">
        <f t="shared" si="13"/>
        <v>Mié</v>
      </c>
      <c r="C92" s="674" t="s">
        <v>146</v>
      </c>
      <c r="D92" s="885" t="s">
        <v>528</v>
      </c>
      <c r="E92" s="687">
        <v>0.33333333333333331</v>
      </c>
      <c r="F92" s="687">
        <v>0.66666666666666663</v>
      </c>
      <c r="G92" s="688">
        <f t="shared" si="14"/>
        <v>8</v>
      </c>
      <c r="H92" s="676">
        <f>IF(D92="","",IFERROR(VLOOKUP(D92,'Resumen Empleado'!$A$4:$B$17,2,FALSE),""))</f>
        <v>11</v>
      </c>
      <c r="I92" s="676">
        <f t="shared" si="15"/>
        <v>44</v>
      </c>
      <c r="J92" s="676">
        <f t="shared" si="16"/>
        <v>43.999999999999993</v>
      </c>
      <c r="K92" s="676">
        <f>IF(OR(E92="",F92="",H92=""),0,MAX(0,(MIN(IF(F92&lt;E92,1+F92,F92),1+TIME(5,0,0))-MAX(E92,TIME(19,0,0))))*24*H92)</f>
        <v>0</v>
      </c>
      <c r="L92" s="1044">
        <f t="shared" si="17"/>
        <v>88</v>
      </c>
      <c r="M92" s="145" t="str">
        <f t="shared" si="18"/>
        <v/>
      </c>
      <c r="N92" s="684">
        <f t="shared" si="19"/>
        <v>46036</v>
      </c>
    </row>
    <row r="93" spans="1:14" ht="15" customHeight="1">
      <c r="A93" s="658">
        <v>46037</v>
      </c>
      <c r="B93" s="658" t="str">
        <f t="shared" si="13"/>
        <v>Jue</v>
      </c>
      <c r="C93" s="674" t="s">
        <v>146</v>
      </c>
      <c r="D93" s="885" t="s">
        <v>522</v>
      </c>
      <c r="E93" s="687">
        <v>0.29166666666666669</v>
      </c>
      <c r="F93" s="687">
        <v>0.66666666666666663</v>
      </c>
      <c r="G93" s="688">
        <f t="shared" si="14"/>
        <v>8.9999999999999982</v>
      </c>
      <c r="H93" s="676">
        <f>IF(D93="","",IFERROR(VLOOKUP(D93,'Resumen Empleado'!$A$4:$B$17,2,FALSE),""))</f>
        <v>10</v>
      </c>
      <c r="I93" s="676">
        <f t="shared" si="15"/>
        <v>50</v>
      </c>
      <c r="J93" s="676">
        <f t="shared" si="16"/>
        <v>39.999999999999993</v>
      </c>
      <c r="K93" s="676">
        <f t="shared" ref="K93:K101" si="21">IF(OR(E93="",F93="",H93=""),0,MAX(0,(MIN(IF(F93&lt;E93,F93+1,F93),1+TIME(5,0,0))-MAX(E93,TIME(19,0,0))))*24*H93)</f>
        <v>0</v>
      </c>
      <c r="L93" s="1044">
        <f t="shared" si="17"/>
        <v>90</v>
      </c>
      <c r="M93" s="145" t="str">
        <f t="shared" si="18"/>
        <v/>
      </c>
      <c r="N93" s="684">
        <f t="shared" si="19"/>
        <v>46037</v>
      </c>
    </row>
    <row r="94" spans="1:14" ht="15" customHeight="1">
      <c r="A94" s="658">
        <v>46037</v>
      </c>
      <c r="B94" s="658" t="str">
        <f t="shared" si="13"/>
        <v>Jue</v>
      </c>
      <c r="C94" s="674" t="s">
        <v>146</v>
      </c>
      <c r="D94" s="885" t="s">
        <v>524</v>
      </c>
      <c r="E94" s="687">
        <v>0.26041666666666669</v>
      </c>
      <c r="F94" s="687">
        <v>0.34375</v>
      </c>
      <c r="G94" s="688">
        <f t="shared" si="14"/>
        <v>1.9999999999999996</v>
      </c>
      <c r="H94" s="676">
        <f>IF(D94="","",IFERROR(VLOOKUP(D94,'Resumen Empleado'!$A$4:$B$17,2,FALSE),""))</f>
        <v>7.3</v>
      </c>
      <c r="I94" s="676">
        <f t="shared" si="15"/>
        <v>14.599999999999996</v>
      </c>
      <c r="J94" s="676">
        <f t="shared" si="16"/>
        <v>0</v>
      </c>
      <c r="K94" s="676">
        <f t="shared" si="21"/>
        <v>0</v>
      </c>
      <c r="L94" s="1044">
        <f t="shared" si="17"/>
        <v>14.599999999999996</v>
      </c>
      <c r="M94" s="145" t="str">
        <f t="shared" si="18"/>
        <v/>
      </c>
      <c r="N94" s="684">
        <f t="shared" si="19"/>
        <v>46037</v>
      </c>
    </row>
    <row r="95" spans="1:14" ht="15" customHeight="1">
      <c r="A95" s="658">
        <v>46037</v>
      </c>
      <c r="B95" s="658" t="str">
        <f t="shared" si="13"/>
        <v>Jue</v>
      </c>
      <c r="C95" s="674" t="s">
        <v>146</v>
      </c>
      <c r="D95" s="885" t="s">
        <v>523</v>
      </c>
      <c r="E95" s="687">
        <v>0.51041666666666663</v>
      </c>
      <c r="F95" s="687">
        <v>0.66666666666666663</v>
      </c>
      <c r="G95" s="688">
        <f t="shared" si="14"/>
        <v>3.75</v>
      </c>
      <c r="H95" s="676">
        <f>IF(D95="","",IFERROR(VLOOKUP(D95,'Resumen Empleado'!$A$4:$B$17,2,FALSE),""))</f>
        <v>6.39</v>
      </c>
      <c r="I95" s="676">
        <f t="shared" si="15"/>
        <v>0</v>
      </c>
      <c r="J95" s="676">
        <f t="shared" si="16"/>
        <v>23.962499999999999</v>
      </c>
      <c r="K95" s="676">
        <f t="shared" si="21"/>
        <v>0</v>
      </c>
      <c r="L95" s="1044">
        <f t="shared" si="17"/>
        <v>23.962499999999999</v>
      </c>
      <c r="M95" s="145" t="str">
        <f t="shared" si="18"/>
        <v/>
      </c>
      <c r="N95" s="684">
        <f t="shared" si="19"/>
        <v>46037</v>
      </c>
    </row>
    <row r="96" spans="1:14" ht="15" customHeight="1">
      <c r="A96" s="658">
        <v>46037</v>
      </c>
      <c r="B96" s="658" t="str">
        <f t="shared" si="13"/>
        <v>Jue</v>
      </c>
      <c r="C96" s="674" t="s">
        <v>146</v>
      </c>
      <c r="D96" s="885" t="s">
        <v>526</v>
      </c>
      <c r="E96" s="687">
        <v>0.41666666666666669</v>
      </c>
      <c r="F96" s="687">
        <v>0.66666666666666663</v>
      </c>
      <c r="G96" s="688">
        <f t="shared" si="14"/>
        <v>5.9999999999999982</v>
      </c>
      <c r="H96" s="676">
        <f>IF(D96="","",IFERROR(VLOOKUP(D96,'Resumen Empleado'!$A$4:$B$17,2,FALSE),""))</f>
        <v>16</v>
      </c>
      <c r="I96" s="676">
        <f t="shared" si="15"/>
        <v>31.999999999999993</v>
      </c>
      <c r="J96" s="676">
        <f t="shared" si="16"/>
        <v>63.999999999999986</v>
      </c>
      <c r="K96" s="676">
        <f t="shared" si="21"/>
        <v>0</v>
      </c>
      <c r="L96" s="1044">
        <f t="shared" si="17"/>
        <v>95.999999999999972</v>
      </c>
      <c r="M96" s="145" t="str">
        <f t="shared" si="18"/>
        <v/>
      </c>
      <c r="N96" s="684">
        <f t="shared" si="19"/>
        <v>46037</v>
      </c>
    </row>
    <row r="97" spans="1:14" ht="15" customHeight="1">
      <c r="A97" s="658">
        <v>46037</v>
      </c>
      <c r="B97" s="658" t="str">
        <f t="shared" si="13"/>
        <v>Jue</v>
      </c>
      <c r="C97" s="674" t="s">
        <v>146</v>
      </c>
      <c r="D97" s="885" t="s">
        <v>525</v>
      </c>
      <c r="E97" s="687">
        <v>0.34375</v>
      </c>
      <c r="F97" s="687">
        <v>0.66666666666666663</v>
      </c>
      <c r="G97" s="688">
        <f t="shared" si="14"/>
        <v>7.7499999999999991</v>
      </c>
      <c r="H97" s="676">
        <f>IF(D97="","",IFERROR(VLOOKUP(D97,'Resumen Empleado'!$A$4:$B$17,2,FALSE),""))</f>
        <v>7.25</v>
      </c>
      <c r="I97" s="676">
        <f t="shared" si="15"/>
        <v>27.1875</v>
      </c>
      <c r="J97" s="676">
        <f t="shared" si="16"/>
        <v>28.999999999999993</v>
      </c>
      <c r="K97" s="676">
        <f t="shared" si="21"/>
        <v>0</v>
      </c>
      <c r="L97" s="1044">
        <f t="shared" si="17"/>
        <v>56.187499999999993</v>
      </c>
      <c r="M97" s="145" t="str">
        <f t="shared" si="18"/>
        <v/>
      </c>
      <c r="N97" s="684">
        <f t="shared" si="19"/>
        <v>46037</v>
      </c>
    </row>
    <row r="98" spans="1:14" ht="15" customHeight="1">
      <c r="A98" s="658">
        <v>46037</v>
      </c>
      <c r="B98" s="658" t="str">
        <f t="shared" si="13"/>
        <v>Jue</v>
      </c>
      <c r="C98" s="674" t="s">
        <v>497</v>
      </c>
      <c r="D98" s="885" t="s">
        <v>523</v>
      </c>
      <c r="E98" s="687">
        <v>0.79166666666666663</v>
      </c>
      <c r="F98" s="687">
        <v>0.95833333333333337</v>
      </c>
      <c r="G98" s="688">
        <f t="shared" si="14"/>
        <v>4.0000000000000018</v>
      </c>
      <c r="H98" s="676">
        <f>IF(D98="","",IFERROR(VLOOKUP(D98,'Resumen Empleado'!$A$4:$B$17,2,FALSE),""))</f>
        <v>6.39</v>
      </c>
      <c r="I98" s="676">
        <f t="shared" si="15"/>
        <v>0</v>
      </c>
      <c r="J98" s="676">
        <f t="shared" si="16"/>
        <v>0</v>
      </c>
      <c r="K98" s="676">
        <f t="shared" si="21"/>
        <v>25.560000000000009</v>
      </c>
      <c r="L98" s="1044">
        <f t="shared" si="17"/>
        <v>25.560000000000009</v>
      </c>
      <c r="M98" s="145" t="str">
        <f t="shared" si="18"/>
        <v/>
      </c>
      <c r="N98" s="684">
        <f t="shared" si="19"/>
        <v>46037</v>
      </c>
    </row>
    <row r="99" spans="1:14" ht="15" customHeight="1">
      <c r="A99" s="658">
        <v>46037</v>
      </c>
      <c r="B99" s="658" t="str">
        <f t="shared" si="13"/>
        <v>Jue</v>
      </c>
      <c r="C99" s="674" t="s">
        <v>497</v>
      </c>
      <c r="D99" s="885" t="s">
        <v>526</v>
      </c>
      <c r="E99" s="687">
        <v>0.83333333333333337</v>
      </c>
      <c r="F99" s="687">
        <v>0.95833333333333337</v>
      </c>
      <c r="G99" s="688">
        <f t="shared" si="14"/>
        <v>3</v>
      </c>
      <c r="H99" s="676">
        <f>IF(D99="","",IFERROR(VLOOKUP(D99,'Resumen Empleado'!$A$4:$B$17,2,FALSE),""))</f>
        <v>16</v>
      </c>
      <c r="I99" s="676">
        <f t="shared" si="15"/>
        <v>0</v>
      </c>
      <c r="J99" s="676">
        <f t="shared" si="16"/>
        <v>0</v>
      </c>
      <c r="K99" s="676">
        <f t="shared" si="21"/>
        <v>48</v>
      </c>
      <c r="L99" s="1044">
        <f t="shared" si="17"/>
        <v>48</v>
      </c>
      <c r="M99" s="145" t="str">
        <f t="shared" si="18"/>
        <v/>
      </c>
      <c r="N99" s="684">
        <f t="shared" si="19"/>
        <v>46037</v>
      </c>
    </row>
    <row r="100" spans="1:14" ht="15" customHeight="1">
      <c r="A100" s="658">
        <v>46037</v>
      </c>
      <c r="B100" s="658" t="str">
        <f t="shared" si="13"/>
        <v>Jue</v>
      </c>
      <c r="C100" s="674" t="s">
        <v>497</v>
      </c>
      <c r="D100" s="885" t="s">
        <v>524</v>
      </c>
      <c r="E100" s="687">
        <v>0.79166666666666663</v>
      </c>
      <c r="F100" s="687">
        <v>0.95833333333333337</v>
      </c>
      <c r="G100" s="688">
        <f t="shared" si="14"/>
        <v>4.0000000000000018</v>
      </c>
      <c r="H100" s="676">
        <f>IF(D100="","",IFERROR(VLOOKUP(D100,'Resumen Empleado'!$A$4:$B$17,2,FALSE),""))</f>
        <v>7.3</v>
      </c>
      <c r="I100" s="676">
        <f t="shared" si="15"/>
        <v>0</v>
      </c>
      <c r="J100" s="676">
        <f t="shared" si="16"/>
        <v>0</v>
      </c>
      <c r="K100" s="676">
        <f t="shared" si="21"/>
        <v>29.200000000000014</v>
      </c>
      <c r="L100" s="1044">
        <f t="shared" si="17"/>
        <v>29.200000000000014</v>
      </c>
      <c r="M100" s="145" t="str">
        <f t="shared" si="18"/>
        <v/>
      </c>
      <c r="N100" s="684">
        <f t="shared" si="19"/>
        <v>46037</v>
      </c>
    </row>
    <row r="101" spans="1:14" ht="15" customHeight="1">
      <c r="A101" s="658">
        <v>46037</v>
      </c>
      <c r="B101" s="658" t="str">
        <f t="shared" si="13"/>
        <v>Jue</v>
      </c>
      <c r="C101" s="674" t="s">
        <v>497</v>
      </c>
      <c r="D101" s="885" t="s">
        <v>527</v>
      </c>
      <c r="E101" s="687">
        <v>0.8125</v>
      </c>
      <c r="F101" s="687">
        <v>0.89583333333333337</v>
      </c>
      <c r="G101" s="688">
        <f t="shared" si="14"/>
        <v>2.0000000000000009</v>
      </c>
      <c r="H101" s="676" t="str">
        <f>IF(D101="","",IFERROR(VLOOKUP(D101,'Resumen Empleado'!$A$4:$B$17,2,FALSE),""))</f>
        <v/>
      </c>
      <c r="I101" s="676">
        <f t="shared" si="15"/>
        <v>0</v>
      </c>
      <c r="J101" s="676">
        <f t="shared" si="16"/>
        <v>0</v>
      </c>
      <c r="K101" s="676">
        <f t="shared" si="21"/>
        <v>0</v>
      </c>
      <c r="L101" s="1044">
        <f t="shared" si="17"/>
        <v>0</v>
      </c>
      <c r="M101" s="145" t="str">
        <f t="shared" si="18"/>
        <v/>
      </c>
      <c r="N101" s="684">
        <f t="shared" si="19"/>
        <v>46037</v>
      </c>
    </row>
    <row r="102" spans="1:14" ht="15" customHeight="1">
      <c r="A102" s="658">
        <v>46037</v>
      </c>
      <c r="B102" s="658" t="str">
        <f t="shared" si="13"/>
        <v>Jue</v>
      </c>
      <c r="C102" s="674" t="s">
        <v>146</v>
      </c>
      <c r="D102" s="885" t="s">
        <v>528</v>
      </c>
      <c r="E102" s="687">
        <v>0.33333333333333331</v>
      </c>
      <c r="F102" s="687">
        <v>0.66666666666666663</v>
      </c>
      <c r="G102" s="688">
        <f t="shared" si="14"/>
        <v>8</v>
      </c>
      <c r="H102" s="676">
        <f>IF(D102="","",IFERROR(VLOOKUP(D102,'Resumen Empleado'!$A$4:$B$17,2,FALSE),""))</f>
        <v>11</v>
      </c>
      <c r="I102" s="676">
        <f t="shared" si="15"/>
        <v>44</v>
      </c>
      <c r="J102" s="676">
        <f t="shared" si="16"/>
        <v>43.999999999999993</v>
      </c>
      <c r="K102" s="676">
        <f>IF(OR(E102="",F102="",H102=""),0,MAX(0,(MIN(IF(F102&lt;E102,1+F102,F102),1+TIME(5,0,0))-MAX(E102,TIME(19,0,0))))*24*H102)</f>
        <v>0</v>
      </c>
      <c r="L102" s="1044">
        <f t="shared" si="17"/>
        <v>88</v>
      </c>
      <c r="M102" s="145" t="str">
        <f t="shared" si="18"/>
        <v/>
      </c>
      <c r="N102" s="684">
        <f t="shared" si="19"/>
        <v>46037</v>
      </c>
    </row>
    <row r="103" spans="1:14" ht="15" customHeight="1">
      <c r="A103" s="658">
        <v>46038</v>
      </c>
      <c r="B103" s="658" t="str">
        <f t="shared" si="13"/>
        <v>Vie</v>
      </c>
      <c r="C103" s="674" t="s">
        <v>146</v>
      </c>
      <c r="D103" s="885" t="s">
        <v>522</v>
      </c>
      <c r="E103" s="687">
        <v>0.29166666666666669</v>
      </c>
      <c r="F103" s="687">
        <v>0.54166666666666663</v>
      </c>
      <c r="G103" s="688">
        <f t="shared" si="14"/>
        <v>5.9999999999999982</v>
      </c>
      <c r="H103" s="676">
        <f>IF(D103="","",IFERROR(VLOOKUP(D103,'Resumen Empleado'!$A$4:$B$17,2,FALSE),""))</f>
        <v>10</v>
      </c>
      <c r="I103" s="676">
        <f t="shared" si="15"/>
        <v>50</v>
      </c>
      <c r="J103" s="676">
        <f t="shared" si="16"/>
        <v>9.9999999999999911</v>
      </c>
      <c r="K103" s="676">
        <f t="shared" ref="K103:K113" si="22">IF(OR(E103="",F103="",H103=""),0,MAX(0,(MIN(IF(F103&lt;E103,F103+1,F103),1+TIME(5,0,0))-MAX(E103,TIME(19,0,0))))*24*H103)</f>
        <v>0</v>
      </c>
      <c r="L103" s="1044">
        <f t="shared" si="17"/>
        <v>59.999999999999993</v>
      </c>
      <c r="M103" s="145" t="str">
        <f t="shared" si="18"/>
        <v/>
      </c>
      <c r="N103" s="684">
        <f t="shared" si="19"/>
        <v>46038</v>
      </c>
    </row>
    <row r="104" spans="1:14" ht="15" customHeight="1">
      <c r="A104" s="658">
        <v>46038</v>
      </c>
      <c r="B104" s="658" t="str">
        <f t="shared" si="13"/>
        <v>Vie</v>
      </c>
      <c r="C104" s="674" t="s">
        <v>146</v>
      </c>
      <c r="D104" s="885" t="s">
        <v>526</v>
      </c>
      <c r="E104" s="687">
        <v>0.41666666666666669</v>
      </c>
      <c r="F104" s="687">
        <v>0.66666666666666663</v>
      </c>
      <c r="G104" s="688">
        <f t="shared" si="14"/>
        <v>5.9999999999999982</v>
      </c>
      <c r="H104" s="676">
        <f>IF(D104="","",IFERROR(VLOOKUP(D104,'Resumen Empleado'!$A$4:$B$17,2,FALSE),""))</f>
        <v>16</v>
      </c>
      <c r="I104" s="676">
        <f t="shared" si="15"/>
        <v>31.999999999999993</v>
      </c>
      <c r="J104" s="676">
        <f t="shared" si="16"/>
        <v>63.999999999999986</v>
      </c>
      <c r="K104" s="676">
        <f t="shared" si="22"/>
        <v>0</v>
      </c>
      <c r="L104" s="1044">
        <f t="shared" si="17"/>
        <v>95.999999999999972</v>
      </c>
      <c r="M104" s="145" t="str">
        <f t="shared" si="18"/>
        <v/>
      </c>
      <c r="N104" s="684">
        <f t="shared" si="19"/>
        <v>46038</v>
      </c>
    </row>
    <row r="105" spans="1:14" ht="15" customHeight="1">
      <c r="A105" s="658">
        <v>46038</v>
      </c>
      <c r="B105" s="658" t="str">
        <f t="shared" si="13"/>
        <v>Vie</v>
      </c>
      <c r="C105" s="674" t="s">
        <v>146</v>
      </c>
      <c r="D105" s="885" t="s">
        <v>524</v>
      </c>
      <c r="E105" s="687">
        <v>0.30208333333333331</v>
      </c>
      <c r="F105" s="687">
        <v>0.66666666666666663</v>
      </c>
      <c r="G105" s="688">
        <f t="shared" si="14"/>
        <v>8.75</v>
      </c>
      <c r="H105" s="676">
        <f>IF(D105="","",IFERROR(VLOOKUP(D105,'Resumen Empleado'!$A$4:$B$17,2,FALSE),""))</f>
        <v>7.3</v>
      </c>
      <c r="I105" s="676">
        <f t="shared" si="15"/>
        <v>34.674999999999997</v>
      </c>
      <c r="J105" s="676">
        <f t="shared" si="16"/>
        <v>29.199999999999992</v>
      </c>
      <c r="K105" s="676">
        <f t="shared" si="22"/>
        <v>0</v>
      </c>
      <c r="L105" s="1044">
        <f t="shared" si="17"/>
        <v>63.874999999999986</v>
      </c>
      <c r="M105" s="145" t="str">
        <f t="shared" si="18"/>
        <v/>
      </c>
      <c r="N105" s="684">
        <f t="shared" si="19"/>
        <v>46038</v>
      </c>
    </row>
    <row r="106" spans="1:14" ht="15" customHeight="1">
      <c r="A106" s="658">
        <v>46038</v>
      </c>
      <c r="B106" s="658" t="str">
        <f t="shared" si="13"/>
        <v>Vie</v>
      </c>
      <c r="C106" s="674" t="s">
        <v>146</v>
      </c>
      <c r="D106" s="885" t="s">
        <v>525</v>
      </c>
      <c r="E106" s="687">
        <v>0.5625</v>
      </c>
      <c r="F106" s="687">
        <v>0.66666666666666663</v>
      </c>
      <c r="G106" s="688">
        <f t="shared" si="14"/>
        <v>2.4999999999999991</v>
      </c>
      <c r="H106" s="676">
        <f>IF(D106="","",IFERROR(VLOOKUP(D106,'Resumen Empleado'!$A$4:$B$17,2,FALSE),""))</f>
        <v>7.25</v>
      </c>
      <c r="I106" s="676">
        <f t="shared" si="15"/>
        <v>0</v>
      </c>
      <c r="J106" s="676">
        <f t="shared" si="16"/>
        <v>18.124999999999993</v>
      </c>
      <c r="K106" s="676">
        <f t="shared" si="22"/>
        <v>0</v>
      </c>
      <c r="L106" s="1044">
        <f t="shared" si="17"/>
        <v>18.124999999999993</v>
      </c>
      <c r="M106" s="145" t="str">
        <f t="shared" si="18"/>
        <v/>
      </c>
      <c r="N106" s="684">
        <f t="shared" si="19"/>
        <v>46038</v>
      </c>
    </row>
    <row r="107" spans="1:14" ht="15" customHeight="1">
      <c r="A107" s="658">
        <v>46038</v>
      </c>
      <c r="B107" s="658" t="str">
        <f t="shared" si="13"/>
        <v>Vie</v>
      </c>
      <c r="C107" s="674" t="s">
        <v>146</v>
      </c>
      <c r="D107" s="885" t="s">
        <v>523</v>
      </c>
      <c r="E107" s="687">
        <v>0.53125</v>
      </c>
      <c r="F107" s="687">
        <v>0.66666666666666663</v>
      </c>
      <c r="G107" s="688">
        <f t="shared" si="14"/>
        <v>3.2499999999999991</v>
      </c>
      <c r="H107" s="676">
        <f>IF(D107="","",IFERROR(VLOOKUP(D107,'Resumen Empleado'!$A$4:$B$17,2,FALSE),""))</f>
        <v>6.39</v>
      </c>
      <c r="I107" s="676">
        <f t="shared" si="15"/>
        <v>0</v>
      </c>
      <c r="J107" s="676">
        <f t="shared" si="16"/>
        <v>20.767499999999995</v>
      </c>
      <c r="K107" s="676">
        <f t="shared" si="22"/>
        <v>0</v>
      </c>
      <c r="L107" s="1044">
        <f t="shared" si="17"/>
        <v>20.767499999999995</v>
      </c>
      <c r="M107" s="145" t="str">
        <f t="shared" si="18"/>
        <v/>
      </c>
      <c r="N107" s="684">
        <f t="shared" si="19"/>
        <v>46038</v>
      </c>
    </row>
    <row r="108" spans="1:14" ht="15" customHeight="1">
      <c r="A108" s="658">
        <v>46038</v>
      </c>
      <c r="B108" s="658" t="str">
        <f t="shared" si="13"/>
        <v>Vie</v>
      </c>
      <c r="C108" s="674" t="s">
        <v>497</v>
      </c>
      <c r="D108" s="885" t="s">
        <v>522</v>
      </c>
      <c r="E108" s="687">
        <v>0.8125</v>
      </c>
      <c r="F108" s="687">
        <v>0.95833333333333337</v>
      </c>
      <c r="G108" s="688">
        <f t="shared" si="14"/>
        <v>3.5000000000000009</v>
      </c>
      <c r="H108" s="676">
        <f>IF(D108="","",IFERROR(VLOOKUP(D108,'Resumen Empleado'!$A$4:$B$17,2,FALSE),""))</f>
        <v>10</v>
      </c>
      <c r="I108" s="676">
        <f t="shared" si="15"/>
        <v>0</v>
      </c>
      <c r="J108" s="676">
        <f t="shared" si="16"/>
        <v>0</v>
      </c>
      <c r="K108" s="676">
        <f t="shared" si="22"/>
        <v>35.000000000000007</v>
      </c>
      <c r="L108" s="1044">
        <f t="shared" si="17"/>
        <v>35.000000000000007</v>
      </c>
      <c r="M108" s="145" t="str">
        <f t="shared" si="18"/>
        <v/>
      </c>
      <c r="N108" s="684">
        <f t="shared" si="19"/>
        <v>46038</v>
      </c>
    </row>
    <row r="109" spans="1:14" ht="15" customHeight="1">
      <c r="A109" s="658">
        <v>46038</v>
      </c>
      <c r="B109" s="658" t="str">
        <f t="shared" si="13"/>
        <v>Vie</v>
      </c>
      <c r="C109" s="674" t="s">
        <v>497</v>
      </c>
      <c r="D109" s="885" t="s">
        <v>525</v>
      </c>
      <c r="E109" s="687">
        <v>0.79166666666666663</v>
      </c>
      <c r="F109" s="687">
        <v>0</v>
      </c>
      <c r="G109" s="688">
        <f t="shared" si="14"/>
        <v>5.0000000000000009</v>
      </c>
      <c r="H109" s="676">
        <f>IF(D109="","",IFERROR(VLOOKUP(D109,'Resumen Empleado'!$A$4:$B$17,2,FALSE),""))</f>
        <v>7.25</v>
      </c>
      <c r="I109" s="676">
        <f t="shared" si="15"/>
        <v>0</v>
      </c>
      <c r="J109" s="676">
        <f t="shared" si="16"/>
        <v>0</v>
      </c>
      <c r="K109" s="676">
        <f t="shared" si="22"/>
        <v>36.250000000000007</v>
      </c>
      <c r="L109" s="1044">
        <f t="shared" si="17"/>
        <v>36.250000000000007</v>
      </c>
      <c r="M109" s="145" t="str">
        <f t="shared" si="18"/>
        <v/>
      </c>
      <c r="N109" s="684">
        <f t="shared" si="19"/>
        <v>46038</v>
      </c>
    </row>
    <row r="110" spans="1:14" ht="15" customHeight="1">
      <c r="A110" s="658">
        <v>46038</v>
      </c>
      <c r="B110" s="658" t="str">
        <f t="shared" si="13"/>
        <v>Vie</v>
      </c>
      <c r="C110" s="674" t="s">
        <v>497</v>
      </c>
      <c r="D110" s="885" t="s">
        <v>523</v>
      </c>
      <c r="E110" s="687">
        <v>0.79166666666666663</v>
      </c>
      <c r="F110" s="687">
        <v>0</v>
      </c>
      <c r="G110" s="688">
        <f t="shared" si="14"/>
        <v>5.0000000000000009</v>
      </c>
      <c r="H110" s="676">
        <f>IF(D110="","",IFERROR(VLOOKUP(D110,'Resumen Empleado'!$A$4:$B$17,2,FALSE),""))</f>
        <v>6.39</v>
      </c>
      <c r="I110" s="676">
        <f t="shared" si="15"/>
        <v>0</v>
      </c>
      <c r="J110" s="676">
        <f t="shared" si="16"/>
        <v>0</v>
      </c>
      <c r="K110" s="676">
        <f t="shared" si="22"/>
        <v>31.950000000000003</v>
      </c>
      <c r="L110" s="1044">
        <f t="shared" si="17"/>
        <v>31.950000000000003</v>
      </c>
      <c r="M110" s="145" t="str">
        <f t="shared" si="18"/>
        <v/>
      </c>
      <c r="N110" s="684">
        <f t="shared" si="19"/>
        <v>46038</v>
      </c>
    </row>
    <row r="111" spans="1:14" ht="15" customHeight="1">
      <c r="A111" s="658">
        <v>46038</v>
      </c>
      <c r="B111" s="658" t="str">
        <f t="shared" si="13"/>
        <v>Vie</v>
      </c>
      <c r="C111" s="674" t="s">
        <v>497</v>
      </c>
      <c r="D111" s="885" t="s">
        <v>524</v>
      </c>
      <c r="E111" s="687">
        <v>0.84375</v>
      </c>
      <c r="F111" s="687">
        <v>0</v>
      </c>
      <c r="G111" s="688">
        <f t="shared" si="14"/>
        <v>3.75</v>
      </c>
      <c r="H111" s="676">
        <f>IF(D111="","",IFERROR(VLOOKUP(D111,'Resumen Empleado'!$A$4:$B$17,2,FALSE),""))</f>
        <v>7.3</v>
      </c>
      <c r="I111" s="676">
        <f t="shared" si="15"/>
        <v>0</v>
      </c>
      <c r="J111" s="676">
        <f t="shared" si="16"/>
        <v>0</v>
      </c>
      <c r="K111" s="676">
        <f t="shared" si="22"/>
        <v>27.375</v>
      </c>
      <c r="L111" s="1044">
        <f t="shared" si="17"/>
        <v>27.375</v>
      </c>
      <c r="M111" s="145" t="str">
        <f t="shared" si="18"/>
        <v/>
      </c>
      <c r="N111" s="684">
        <f t="shared" si="19"/>
        <v>46038</v>
      </c>
    </row>
    <row r="112" spans="1:14" ht="15" customHeight="1">
      <c r="A112" s="658">
        <v>46038</v>
      </c>
      <c r="B112" s="658" t="str">
        <f t="shared" si="13"/>
        <v>Vie</v>
      </c>
      <c r="C112" s="674" t="s">
        <v>497</v>
      </c>
      <c r="D112" s="885" t="s">
        <v>526</v>
      </c>
      <c r="E112" s="687">
        <v>0.83333333333333337</v>
      </c>
      <c r="F112" s="687">
        <v>0</v>
      </c>
      <c r="G112" s="688">
        <f t="shared" si="14"/>
        <v>3.9999999999999991</v>
      </c>
      <c r="H112" s="676">
        <f>IF(D112="","",IFERROR(VLOOKUP(D112,'Resumen Empleado'!$A$4:$B$17,2,FALSE),""))</f>
        <v>16</v>
      </c>
      <c r="I112" s="676">
        <f t="shared" si="15"/>
        <v>0</v>
      </c>
      <c r="J112" s="676">
        <f t="shared" si="16"/>
        <v>0</v>
      </c>
      <c r="K112" s="676">
        <f t="shared" si="22"/>
        <v>63.999999999999986</v>
      </c>
      <c r="L112" s="1044">
        <f t="shared" si="17"/>
        <v>63.999999999999986</v>
      </c>
      <c r="M112" s="145" t="str">
        <f t="shared" si="18"/>
        <v/>
      </c>
      <c r="N112" s="684">
        <f t="shared" si="19"/>
        <v>46038</v>
      </c>
    </row>
    <row r="113" spans="1:14" ht="15" customHeight="1">
      <c r="A113" s="658">
        <v>46038</v>
      </c>
      <c r="B113" s="658" t="str">
        <f t="shared" si="13"/>
        <v>Vie</v>
      </c>
      <c r="C113" s="674" t="s">
        <v>497</v>
      </c>
      <c r="D113" s="885" t="s">
        <v>527</v>
      </c>
      <c r="E113" s="687">
        <v>0.8125</v>
      </c>
      <c r="F113" s="687">
        <v>0.89583333333333337</v>
      </c>
      <c r="G113" s="688">
        <f t="shared" si="14"/>
        <v>2.0000000000000009</v>
      </c>
      <c r="H113" s="676" t="str">
        <f>IF(D113="","",IFERROR(VLOOKUP(D113,'Resumen Empleado'!$A$4:$B$17,2,FALSE),""))</f>
        <v/>
      </c>
      <c r="I113" s="676">
        <f t="shared" si="15"/>
        <v>0</v>
      </c>
      <c r="J113" s="676">
        <f t="shared" si="16"/>
        <v>0</v>
      </c>
      <c r="K113" s="676">
        <f t="shared" si="22"/>
        <v>0</v>
      </c>
      <c r="L113" s="1044">
        <f t="shared" si="17"/>
        <v>0</v>
      </c>
      <c r="M113" s="145" t="str">
        <f t="shared" si="18"/>
        <v/>
      </c>
      <c r="N113" s="684">
        <f t="shared" si="19"/>
        <v>46038</v>
      </c>
    </row>
    <row r="114" spans="1:14" ht="15" customHeight="1">
      <c r="A114" s="658">
        <v>46038</v>
      </c>
      <c r="B114" s="658" t="str">
        <f t="shared" si="13"/>
        <v>Vie</v>
      </c>
      <c r="C114" s="674" t="s">
        <v>146</v>
      </c>
      <c r="D114" s="885" t="s">
        <v>528</v>
      </c>
      <c r="E114" s="687">
        <v>0.33333333333333331</v>
      </c>
      <c r="F114" s="687">
        <v>0.66666666666666663</v>
      </c>
      <c r="G114" s="688">
        <f t="shared" si="14"/>
        <v>8</v>
      </c>
      <c r="H114" s="676">
        <f>IF(D114="","",IFERROR(VLOOKUP(D114,'Resumen Empleado'!$A$4:$B$17,2,FALSE),""))</f>
        <v>11</v>
      </c>
      <c r="I114" s="676">
        <f t="shared" si="15"/>
        <v>44</v>
      </c>
      <c r="J114" s="676">
        <f t="shared" si="16"/>
        <v>43.999999999999993</v>
      </c>
      <c r="K114" s="676">
        <f>IF(OR(E114="",F114="",H114=""),0,MAX(0,(MIN(IF(F114&lt;E114,1+F114,F114),1+TIME(5,0,0))-MAX(E114,TIME(19,0,0))))*24*H114)</f>
        <v>0</v>
      </c>
      <c r="L114" s="1044">
        <f t="shared" si="17"/>
        <v>88</v>
      </c>
      <c r="M114" s="145" t="str">
        <f t="shared" si="18"/>
        <v/>
      </c>
      <c r="N114" s="684">
        <f t="shared" si="19"/>
        <v>46038</v>
      </c>
    </row>
    <row r="115" spans="1:14" ht="15" customHeight="1">
      <c r="A115" s="658">
        <v>46039</v>
      </c>
      <c r="B115" s="658" t="str">
        <f t="shared" si="13"/>
        <v>Sáb</v>
      </c>
      <c r="C115" s="674" t="s">
        <v>146</v>
      </c>
      <c r="D115" s="885" t="s">
        <v>526</v>
      </c>
      <c r="E115" s="687">
        <v>0.39583333333333331</v>
      </c>
      <c r="F115" s="687">
        <v>0.66666666666666663</v>
      </c>
      <c r="G115" s="688">
        <f t="shared" si="14"/>
        <v>6.5</v>
      </c>
      <c r="H115" s="676">
        <f>IF(D115="","",IFERROR(VLOOKUP(D115,'Resumen Empleado'!$A$4:$B$17,2,FALSE),""))</f>
        <v>16</v>
      </c>
      <c r="I115" s="676">
        <f t="shared" si="15"/>
        <v>40.000000000000007</v>
      </c>
      <c r="J115" s="676">
        <f t="shared" si="16"/>
        <v>63.999999999999986</v>
      </c>
      <c r="K115" s="676">
        <f t="shared" ref="K115:K124" si="23">IF(OR(E115="",F115="",H115=""),0,MAX(0,(MIN(IF(F115&lt;E115,F115+1,F115),1+TIME(5,0,0))-MAX(E115,TIME(19,0,0))))*24*H115)</f>
        <v>0</v>
      </c>
      <c r="L115" s="1044">
        <f t="shared" si="17"/>
        <v>104</v>
      </c>
      <c r="M115" s="145" t="str">
        <f t="shared" si="18"/>
        <v/>
      </c>
      <c r="N115" s="684">
        <f t="shared" si="19"/>
        <v>46039</v>
      </c>
    </row>
    <row r="116" spans="1:14" ht="15" customHeight="1">
      <c r="A116" s="658">
        <v>46039</v>
      </c>
      <c r="B116" s="658" t="str">
        <f t="shared" si="13"/>
        <v>Sáb</v>
      </c>
      <c r="C116" s="674" t="s">
        <v>146</v>
      </c>
      <c r="D116" s="885" t="s">
        <v>525</v>
      </c>
      <c r="E116" s="687">
        <v>0.39583333333333331</v>
      </c>
      <c r="F116" s="687">
        <v>0.60416666666666663</v>
      </c>
      <c r="G116" s="688">
        <f t="shared" si="14"/>
        <v>5</v>
      </c>
      <c r="H116" s="676">
        <f>IF(D116="","",IFERROR(VLOOKUP(D116,'Resumen Empleado'!$A$4:$B$17,2,FALSE),""))</f>
        <v>7.25</v>
      </c>
      <c r="I116" s="676">
        <f t="shared" si="15"/>
        <v>18.125000000000004</v>
      </c>
      <c r="J116" s="676">
        <f t="shared" si="16"/>
        <v>18.124999999999993</v>
      </c>
      <c r="K116" s="676">
        <f t="shared" si="23"/>
        <v>0</v>
      </c>
      <c r="L116" s="1044">
        <f t="shared" si="17"/>
        <v>36.25</v>
      </c>
      <c r="M116" s="145" t="str">
        <f t="shared" si="18"/>
        <v/>
      </c>
      <c r="N116" s="684">
        <f t="shared" si="19"/>
        <v>46039</v>
      </c>
    </row>
    <row r="117" spans="1:14" ht="15" customHeight="1">
      <c r="A117" s="658">
        <v>46039</v>
      </c>
      <c r="B117" s="658" t="str">
        <f t="shared" si="13"/>
        <v>Sáb</v>
      </c>
      <c r="C117" s="674" t="s">
        <v>146</v>
      </c>
      <c r="D117" s="885" t="s">
        <v>524</v>
      </c>
      <c r="E117" s="687">
        <v>0.55208333333333337</v>
      </c>
      <c r="F117" s="687">
        <v>0.67708333333333337</v>
      </c>
      <c r="G117" s="688">
        <f t="shared" si="14"/>
        <v>3</v>
      </c>
      <c r="H117" s="676">
        <f>IF(D117="","",IFERROR(VLOOKUP(D117,'Resumen Empleado'!$A$4:$B$17,2,FALSE),""))</f>
        <v>7.3</v>
      </c>
      <c r="I117" s="676">
        <f t="shared" si="15"/>
        <v>0</v>
      </c>
      <c r="J117" s="676">
        <f t="shared" si="16"/>
        <v>21.9</v>
      </c>
      <c r="K117" s="676">
        <f t="shared" si="23"/>
        <v>0</v>
      </c>
      <c r="L117" s="1044">
        <f t="shared" si="17"/>
        <v>21.9</v>
      </c>
      <c r="M117" s="145" t="str">
        <f t="shared" si="18"/>
        <v/>
      </c>
      <c r="N117" s="684">
        <f t="shared" si="19"/>
        <v>46039</v>
      </c>
    </row>
    <row r="118" spans="1:14" ht="15" customHeight="1">
      <c r="A118" s="658">
        <v>46039</v>
      </c>
      <c r="B118" s="658" t="str">
        <f t="shared" si="13"/>
        <v>Sáb</v>
      </c>
      <c r="C118" s="674" t="s">
        <v>146</v>
      </c>
      <c r="D118" s="885" t="s">
        <v>523</v>
      </c>
      <c r="E118" s="687">
        <v>0.30208333333333331</v>
      </c>
      <c r="F118" s="687">
        <v>0.625</v>
      </c>
      <c r="G118" s="688">
        <f t="shared" si="14"/>
        <v>7.75</v>
      </c>
      <c r="H118" s="676">
        <f>IF(D118="","",IFERROR(VLOOKUP(D118,'Resumen Empleado'!$A$4:$B$17,2,FALSE),""))</f>
        <v>6.39</v>
      </c>
      <c r="I118" s="676">
        <f t="shared" si="15"/>
        <v>30.352499999999999</v>
      </c>
      <c r="J118" s="676">
        <f t="shared" si="16"/>
        <v>19.169999999999998</v>
      </c>
      <c r="K118" s="676">
        <f t="shared" si="23"/>
        <v>0</v>
      </c>
      <c r="L118" s="1044">
        <f t="shared" si="17"/>
        <v>49.522499999999994</v>
      </c>
      <c r="M118" s="145" t="str">
        <f t="shared" si="18"/>
        <v/>
      </c>
      <c r="N118" s="684">
        <f t="shared" si="19"/>
        <v>46039</v>
      </c>
    </row>
    <row r="119" spans="1:14" ht="15" customHeight="1">
      <c r="A119" s="658">
        <v>46039</v>
      </c>
      <c r="B119" s="658" t="str">
        <f t="shared" si="13"/>
        <v>Sáb</v>
      </c>
      <c r="C119" s="674" t="s">
        <v>146</v>
      </c>
      <c r="D119" s="885" t="s">
        <v>522</v>
      </c>
      <c r="E119" s="687">
        <v>0.33333333333333331</v>
      </c>
      <c r="F119" s="687">
        <v>0.66666666666666663</v>
      </c>
      <c r="G119" s="688">
        <f t="shared" si="14"/>
        <v>8</v>
      </c>
      <c r="H119" s="676">
        <f>IF(D119="","",IFERROR(VLOOKUP(D119,'Resumen Empleado'!$A$4:$B$17,2,FALSE),""))</f>
        <v>10</v>
      </c>
      <c r="I119" s="676">
        <f t="shared" si="15"/>
        <v>40</v>
      </c>
      <c r="J119" s="676">
        <f t="shared" si="16"/>
        <v>39.999999999999993</v>
      </c>
      <c r="K119" s="676">
        <f t="shared" si="23"/>
        <v>0</v>
      </c>
      <c r="L119" s="1044">
        <f t="shared" si="17"/>
        <v>80</v>
      </c>
      <c r="M119" s="145" t="str">
        <f t="shared" si="18"/>
        <v/>
      </c>
      <c r="N119" s="684">
        <f t="shared" si="19"/>
        <v>46039</v>
      </c>
    </row>
    <row r="120" spans="1:14" ht="15" customHeight="1">
      <c r="A120" s="658">
        <v>46039</v>
      </c>
      <c r="B120" s="658" t="str">
        <f t="shared" si="13"/>
        <v>Sáb</v>
      </c>
      <c r="C120" s="674" t="s">
        <v>497</v>
      </c>
      <c r="D120" s="885" t="s">
        <v>526</v>
      </c>
      <c r="E120" s="687">
        <v>0.85416666666666663</v>
      </c>
      <c r="F120" s="687">
        <v>0.97916666666666663</v>
      </c>
      <c r="G120" s="688">
        <f t="shared" si="14"/>
        <v>3</v>
      </c>
      <c r="H120" s="676">
        <f>IF(D120="","",IFERROR(VLOOKUP(D120,'Resumen Empleado'!$A$4:$B$17,2,FALSE),""))</f>
        <v>16</v>
      </c>
      <c r="I120" s="676">
        <f t="shared" si="15"/>
        <v>0</v>
      </c>
      <c r="J120" s="676">
        <f t="shared" si="16"/>
        <v>0</v>
      </c>
      <c r="K120" s="676">
        <f t="shared" si="23"/>
        <v>48</v>
      </c>
      <c r="L120" s="1044">
        <f t="shared" si="17"/>
        <v>48</v>
      </c>
      <c r="M120" s="145" t="str">
        <f t="shared" si="18"/>
        <v/>
      </c>
      <c r="N120" s="684">
        <f t="shared" si="19"/>
        <v>46039</v>
      </c>
    </row>
    <row r="121" spans="1:14" ht="15" customHeight="1">
      <c r="A121" s="658">
        <v>46039</v>
      </c>
      <c r="B121" s="658" t="str">
        <f t="shared" si="13"/>
        <v>Sáb</v>
      </c>
      <c r="C121" s="674" t="s">
        <v>497</v>
      </c>
      <c r="D121" s="885" t="s">
        <v>524</v>
      </c>
      <c r="E121" s="687">
        <v>0.84375</v>
      </c>
      <c r="F121" s="687">
        <v>0.97916666666666663</v>
      </c>
      <c r="G121" s="688">
        <f t="shared" si="14"/>
        <v>3.2499999999999991</v>
      </c>
      <c r="H121" s="676">
        <f>IF(D121="","",IFERROR(VLOOKUP(D121,'Resumen Empleado'!$A$4:$B$17,2,FALSE),""))</f>
        <v>7.3</v>
      </c>
      <c r="I121" s="676">
        <f t="shared" si="15"/>
        <v>0</v>
      </c>
      <c r="J121" s="676">
        <f t="shared" si="16"/>
        <v>0</v>
      </c>
      <c r="K121" s="676">
        <f t="shared" si="23"/>
        <v>23.724999999999994</v>
      </c>
      <c r="L121" s="1044">
        <f t="shared" si="17"/>
        <v>23.724999999999994</v>
      </c>
      <c r="M121" s="145" t="str">
        <f t="shared" si="18"/>
        <v/>
      </c>
      <c r="N121" s="684">
        <f t="shared" si="19"/>
        <v>46039</v>
      </c>
    </row>
    <row r="122" spans="1:14" ht="15" customHeight="1">
      <c r="A122" s="658">
        <v>46039</v>
      </c>
      <c r="B122" s="658" t="str">
        <f t="shared" si="13"/>
        <v>Sáb</v>
      </c>
      <c r="C122" s="674" t="s">
        <v>497</v>
      </c>
      <c r="D122" s="885" t="s">
        <v>523</v>
      </c>
      <c r="E122" s="687">
        <v>0.79166666666666663</v>
      </c>
      <c r="F122" s="687">
        <v>0.97916666666666663</v>
      </c>
      <c r="G122" s="688">
        <f t="shared" si="14"/>
        <v>4.5</v>
      </c>
      <c r="H122" s="676">
        <f>IF(D122="","",IFERROR(VLOOKUP(D122,'Resumen Empleado'!$A$4:$B$17,2,FALSE),""))</f>
        <v>6.39</v>
      </c>
      <c r="I122" s="676">
        <f t="shared" si="15"/>
        <v>0</v>
      </c>
      <c r="J122" s="676">
        <f t="shared" si="16"/>
        <v>0</v>
      </c>
      <c r="K122" s="676">
        <f t="shared" si="23"/>
        <v>28.754999999999999</v>
      </c>
      <c r="L122" s="1044">
        <f t="shared" si="17"/>
        <v>28.754999999999999</v>
      </c>
      <c r="M122" s="145" t="str">
        <f t="shared" si="18"/>
        <v/>
      </c>
      <c r="N122" s="684">
        <f t="shared" si="19"/>
        <v>46039</v>
      </c>
    </row>
    <row r="123" spans="1:14" ht="15" customHeight="1">
      <c r="A123" s="658">
        <v>46039</v>
      </c>
      <c r="B123" s="658" t="str">
        <f t="shared" si="13"/>
        <v>Sáb</v>
      </c>
      <c r="C123" s="674" t="s">
        <v>497</v>
      </c>
      <c r="D123" s="885" t="s">
        <v>525</v>
      </c>
      <c r="E123" s="687">
        <v>0.79166666666666663</v>
      </c>
      <c r="F123" s="687">
        <v>0.97916666666666663</v>
      </c>
      <c r="G123" s="688">
        <f t="shared" si="14"/>
        <v>4.5</v>
      </c>
      <c r="H123" s="676">
        <f>IF(D123="","",IFERROR(VLOOKUP(D123,'Resumen Empleado'!$A$4:$B$17,2,FALSE),""))</f>
        <v>7.25</v>
      </c>
      <c r="I123" s="676">
        <f t="shared" si="15"/>
        <v>0</v>
      </c>
      <c r="J123" s="676">
        <f t="shared" si="16"/>
        <v>0</v>
      </c>
      <c r="K123" s="676">
        <f t="shared" si="23"/>
        <v>32.625</v>
      </c>
      <c r="L123" s="1044">
        <f t="shared" si="17"/>
        <v>32.625</v>
      </c>
      <c r="M123" s="145" t="str">
        <f t="shared" si="18"/>
        <v/>
      </c>
      <c r="N123" s="684">
        <f t="shared" si="19"/>
        <v>46039</v>
      </c>
    </row>
    <row r="124" spans="1:14" ht="15" customHeight="1">
      <c r="A124" s="658">
        <v>46039</v>
      </c>
      <c r="B124" s="658" t="str">
        <f t="shared" si="13"/>
        <v>Sáb</v>
      </c>
      <c r="C124" s="674" t="s">
        <v>497</v>
      </c>
      <c r="D124" s="885" t="s">
        <v>522</v>
      </c>
      <c r="E124" s="687">
        <v>0.79166666666666663</v>
      </c>
      <c r="F124" s="687">
        <v>0.89583333333333337</v>
      </c>
      <c r="G124" s="688">
        <f t="shared" si="14"/>
        <v>2.5000000000000018</v>
      </c>
      <c r="H124" s="676">
        <f>IF(D124="","",IFERROR(VLOOKUP(D124,'Resumen Empleado'!$A$4:$B$17,2,FALSE),""))</f>
        <v>10</v>
      </c>
      <c r="I124" s="676">
        <f t="shared" si="15"/>
        <v>0</v>
      </c>
      <c r="J124" s="676">
        <f t="shared" si="16"/>
        <v>0</v>
      </c>
      <c r="K124" s="676">
        <f t="shared" si="23"/>
        <v>25.000000000000018</v>
      </c>
      <c r="L124" s="1044">
        <f t="shared" si="17"/>
        <v>25.000000000000018</v>
      </c>
      <c r="M124" s="145" t="str">
        <f t="shared" si="18"/>
        <v/>
      </c>
      <c r="N124" s="684">
        <f t="shared" si="19"/>
        <v>46039</v>
      </c>
    </row>
    <row r="125" spans="1:14" ht="15" customHeight="1">
      <c r="A125" s="658">
        <v>46039</v>
      </c>
      <c r="B125" s="658" t="str">
        <f t="shared" si="13"/>
        <v>Sáb</v>
      </c>
      <c r="C125" s="674" t="s">
        <v>146</v>
      </c>
      <c r="D125" s="885" t="s">
        <v>528</v>
      </c>
      <c r="E125" s="687">
        <v>0.33333333333333331</v>
      </c>
      <c r="F125" s="687">
        <v>0.66666666666666663</v>
      </c>
      <c r="G125" s="688">
        <f t="shared" si="14"/>
        <v>8</v>
      </c>
      <c r="H125" s="676">
        <f>IF(D125="","",IFERROR(VLOOKUP(D125,'Resumen Empleado'!$A$4:$B$17,2,FALSE),""))</f>
        <v>11</v>
      </c>
      <c r="I125" s="676">
        <f t="shared" si="15"/>
        <v>44</v>
      </c>
      <c r="J125" s="676">
        <f t="shared" si="16"/>
        <v>43.999999999999993</v>
      </c>
      <c r="K125" s="676">
        <f>IF(OR(E125="",F125="",H125=""),0,MAX(0,(MIN(IF(F125&lt;E125,1+F125,F125),1+TIME(5,0,0))-MAX(E125,TIME(19,0,0))))*24*H125)</f>
        <v>0</v>
      </c>
      <c r="L125" s="1044">
        <f t="shared" si="17"/>
        <v>88</v>
      </c>
      <c r="M125" s="145" t="str">
        <f t="shared" si="18"/>
        <v/>
      </c>
      <c r="N125" s="684">
        <f t="shared" si="19"/>
        <v>46039</v>
      </c>
    </row>
    <row r="126" spans="1:14" ht="15" customHeight="1">
      <c r="A126" s="658">
        <v>46040</v>
      </c>
      <c r="B126" s="658" t="str">
        <f t="shared" si="13"/>
        <v>Dom</v>
      </c>
      <c r="C126" s="674" t="s">
        <v>146</v>
      </c>
      <c r="D126" s="885" t="s">
        <v>522</v>
      </c>
      <c r="E126" s="687">
        <v>0.29166666666666669</v>
      </c>
      <c r="F126" s="687">
        <v>0.64583333333333337</v>
      </c>
      <c r="G126" s="688">
        <f t="shared" si="14"/>
        <v>8.5</v>
      </c>
      <c r="H126" s="676">
        <f>IF(D126="","",IFERROR(VLOOKUP(D126,'Resumen Empleado'!$A$4:$B$17,2,FALSE),""))</f>
        <v>10</v>
      </c>
      <c r="I126" s="676">
        <f t="shared" si="15"/>
        <v>50</v>
      </c>
      <c r="J126" s="676">
        <f t="shared" si="16"/>
        <v>35.000000000000007</v>
      </c>
      <c r="K126" s="676">
        <f>IF(OR(E126="",F126="",H126=""),0,MAX(0,(MIN(IF(F126&lt;E126,F126+1,F126),1+TIME(5,0,0))-MAX(E126,TIME(19,0,0))))*24*H126)</f>
        <v>0</v>
      </c>
      <c r="L126" s="1044">
        <f t="shared" si="17"/>
        <v>85</v>
      </c>
      <c r="M126" s="145" t="str">
        <f t="shared" si="18"/>
        <v/>
      </c>
      <c r="N126" s="684">
        <f t="shared" si="19"/>
        <v>46040</v>
      </c>
    </row>
    <row r="127" spans="1:14" ht="15" customHeight="1">
      <c r="A127" s="658">
        <v>46040</v>
      </c>
      <c r="B127" s="658" t="str">
        <f t="shared" si="13"/>
        <v>Dom</v>
      </c>
      <c r="C127" s="674" t="s">
        <v>146</v>
      </c>
      <c r="D127" s="885" t="s">
        <v>525</v>
      </c>
      <c r="E127" s="687">
        <v>0.39583333333333331</v>
      </c>
      <c r="F127" s="687">
        <v>0.6875</v>
      </c>
      <c r="G127" s="688">
        <f t="shared" si="14"/>
        <v>7</v>
      </c>
      <c r="H127" s="676">
        <f>IF(D127="","",IFERROR(VLOOKUP(D127,'Resumen Empleado'!$A$4:$B$17,2,FALSE),""))</f>
        <v>7.25</v>
      </c>
      <c r="I127" s="676">
        <f t="shared" si="15"/>
        <v>18.125000000000004</v>
      </c>
      <c r="J127" s="676">
        <f t="shared" si="16"/>
        <v>32.625</v>
      </c>
      <c r="K127" s="676">
        <f>IF(OR(E127="",F127="",H127=""),0,MAX(0,(MIN(IF(F127&lt;E127,F127+1,F127),1+TIME(5,0,0))-MAX(E127,TIME(19,0,0))))*24*H127)</f>
        <v>0</v>
      </c>
      <c r="L127" s="1044">
        <f t="shared" si="17"/>
        <v>50.75</v>
      </c>
      <c r="M127" s="145" t="str">
        <f t="shared" si="18"/>
        <v/>
      </c>
      <c r="N127" s="684">
        <f t="shared" si="19"/>
        <v>46040</v>
      </c>
    </row>
    <row r="128" spans="1:14" ht="15" customHeight="1">
      <c r="A128" s="658">
        <v>46040</v>
      </c>
      <c r="B128" s="658" t="str">
        <f t="shared" si="13"/>
        <v>Dom</v>
      </c>
      <c r="C128" s="674" t="s">
        <v>146</v>
      </c>
      <c r="D128" s="885" t="s">
        <v>524</v>
      </c>
      <c r="E128" s="687">
        <v>0.5</v>
      </c>
      <c r="F128" s="687">
        <v>0.6875</v>
      </c>
      <c r="G128" s="688">
        <f t="shared" si="14"/>
        <v>4.5</v>
      </c>
      <c r="H128" s="676">
        <f>IF(D128="","",IFERROR(VLOOKUP(D128,'Resumen Empleado'!$A$4:$B$17,2,FALSE),""))</f>
        <v>7.3</v>
      </c>
      <c r="I128" s="676">
        <f t="shared" si="15"/>
        <v>0</v>
      </c>
      <c r="J128" s="676">
        <f t="shared" si="16"/>
        <v>32.85</v>
      </c>
      <c r="K128" s="676">
        <f>IF(OR(E128="",F128="",H128=""),0,MAX(0,(MIN(IF(F128&lt;E128,F128+1,F128),1+TIME(5,0,0))-MAX(E128,TIME(19,0,0))))*24*H128)</f>
        <v>0</v>
      </c>
      <c r="L128" s="1044">
        <f t="shared" si="17"/>
        <v>32.85</v>
      </c>
      <c r="M128" s="145" t="str">
        <f t="shared" si="18"/>
        <v/>
      </c>
      <c r="N128" s="684">
        <f t="shared" si="19"/>
        <v>46040</v>
      </c>
    </row>
    <row r="129" spans="1:14" ht="15" customHeight="1">
      <c r="A129" s="658">
        <v>46040</v>
      </c>
      <c r="B129" s="658" t="str">
        <f t="shared" si="13"/>
        <v>Dom</v>
      </c>
      <c r="C129" s="674" t="s">
        <v>146</v>
      </c>
      <c r="D129" s="885" t="s">
        <v>526</v>
      </c>
      <c r="E129" s="687">
        <v>0.375</v>
      </c>
      <c r="F129" s="687">
        <v>0.6875</v>
      </c>
      <c r="G129" s="688">
        <f t="shared" si="14"/>
        <v>7.5</v>
      </c>
      <c r="H129" s="676">
        <f>IF(D129="","",IFERROR(VLOOKUP(D129,'Resumen Empleado'!$A$4:$B$17,2,FALSE),""))</f>
        <v>16</v>
      </c>
      <c r="I129" s="676">
        <f t="shared" si="15"/>
        <v>48</v>
      </c>
      <c r="J129" s="676">
        <f t="shared" si="16"/>
        <v>72</v>
      </c>
      <c r="K129" s="676">
        <f>IF(OR(E129="",F129="",H129=""),0,MAX(0,(MIN(IF(F129&lt;E129,F129+1,F129),1+TIME(5,0,0))-MAX(E129,TIME(19,0,0))))*24*H129)</f>
        <v>0</v>
      </c>
      <c r="L129" s="1044">
        <f t="shared" si="17"/>
        <v>120</v>
      </c>
      <c r="M129" s="145" t="str">
        <f t="shared" si="18"/>
        <v/>
      </c>
      <c r="N129" s="684">
        <f t="shared" si="19"/>
        <v>46040</v>
      </c>
    </row>
    <row r="130" spans="1:14" ht="15" customHeight="1">
      <c r="A130" s="658">
        <v>46040</v>
      </c>
      <c r="B130" s="658" t="str">
        <f t="shared" si="13"/>
        <v>Dom</v>
      </c>
      <c r="C130" s="674" t="s">
        <v>146</v>
      </c>
      <c r="D130" s="885" t="s">
        <v>523</v>
      </c>
      <c r="E130" s="687">
        <v>0.30208333333333331</v>
      </c>
      <c r="F130" s="687">
        <v>0.6875</v>
      </c>
      <c r="G130" s="688">
        <f t="shared" si="14"/>
        <v>9.25</v>
      </c>
      <c r="H130" s="676">
        <f>IF(D130="","",IFERROR(VLOOKUP(D130,'Resumen Empleado'!$A$4:$B$17,2,FALSE),""))</f>
        <v>6.39</v>
      </c>
      <c r="I130" s="676">
        <f t="shared" si="15"/>
        <v>30.352499999999999</v>
      </c>
      <c r="J130" s="676">
        <f t="shared" si="16"/>
        <v>28.754999999999999</v>
      </c>
      <c r="K130" s="676">
        <f>IF(OR(E130="",F130="",H130=""),0,MAX(0,(MIN(IF(F130&lt;E130,F130+1,F130),1+TIME(5,0,0))-MAX(E130,TIME(19,0,0))))*24*H130)</f>
        <v>0</v>
      </c>
      <c r="L130" s="1044">
        <f t="shared" si="17"/>
        <v>59.107500000000002</v>
      </c>
      <c r="M130" s="145" t="str">
        <f t="shared" si="18"/>
        <v/>
      </c>
      <c r="N130" s="684">
        <f t="shared" si="19"/>
        <v>46040</v>
      </c>
    </row>
    <row r="131" spans="1:14" ht="15" customHeight="1">
      <c r="A131" s="658">
        <v>46040</v>
      </c>
      <c r="B131" s="658" t="str">
        <f t="shared" si="13"/>
        <v>Dom</v>
      </c>
      <c r="C131" s="674" t="s">
        <v>146</v>
      </c>
      <c r="D131" s="885" t="s">
        <v>528</v>
      </c>
      <c r="E131" s="687">
        <v>0.33333333333333331</v>
      </c>
      <c r="F131" s="687">
        <v>0.66666666666666663</v>
      </c>
      <c r="G131" s="688">
        <f t="shared" si="14"/>
        <v>8</v>
      </c>
      <c r="H131" s="676">
        <f>IF(D131="","",IFERROR(VLOOKUP(D131,'Resumen Empleado'!$A$4:$B$17,2,FALSE),""))</f>
        <v>11</v>
      </c>
      <c r="I131" s="676">
        <f t="shared" si="15"/>
        <v>44</v>
      </c>
      <c r="J131" s="676">
        <f t="shared" si="16"/>
        <v>43.999999999999993</v>
      </c>
      <c r="K131" s="676">
        <f>IF(OR(E131="",F131="",H131=""),0,MAX(0,(MIN(IF(F131&lt;E131,1+F131,F131),1+TIME(5,0,0))-MAX(E131,TIME(19,0,0))))*24*H131)</f>
        <v>0</v>
      </c>
      <c r="L131" s="1044">
        <f t="shared" si="17"/>
        <v>88</v>
      </c>
      <c r="M131" s="145" t="str">
        <f t="shared" si="18"/>
        <v/>
      </c>
      <c r="N131" s="684">
        <f t="shared" si="19"/>
        <v>46040</v>
      </c>
    </row>
    <row r="132" spans="1:14" ht="15" customHeight="1">
      <c r="A132" s="658">
        <v>46041</v>
      </c>
      <c r="B132" s="658" t="str">
        <f t="shared" si="13"/>
        <v>Lun</v>
      </c>
      <c r="C132" s="674" t="s">
        <v>497</v>
      </c>
      <c r="D132" s="885" t="s">
        <v>527</v>
      </c>
      <c r="E132" s="687">
        <v>0.8125</v>
      </c>
      <c r="F132" s="687">
        <v>0.89583333333333337</v>
      </c>
      <c r="G132" s="688">
        <f t="shared" si="14"/>
        <v>2.0000000000000009</v>
      </c>
      <c r="H132" s="676" t="str">
        <f>IF(D132="","",IFERROR(VLOOKUP(D132,'Resumen Empleado'!$A$4:$B$17,2,FALSE),""))</f>
        <v/>
      </c>
      <c r="I132" s="676">
        <f t="shared" si="15"/>
        <v>0</v>
      </c>
      <c r="J132" s="676">
        <f t="shared" si="16"/>
        <v>0</v>
      </c>
      <c r="K132" s="676">
        <f>IF(OR(E132="",F132="",H132=""),0,MAX(0,(MIN(IF(F132&lt;E132,F132+1,F132),1+TIME(5,0,0))-MAX(E132,TIME(19,0,0))))*24*H132)</f>
        <v>0</v>
      </c>
      <c r="L132" s="1044">
        <f t="shared" si="17"/>
        <v>0</v>
      </c>
      <c r="M132" s="145" t="str">
        <f t="shared" si="18"/>
        <v/>
      </c>
      <c r="N132" s="684">
        <f t="shared" si="19"/>
        <v>46041</v>
      </c>
    </row>
    <row r="133" spans="1:14" ht="15" customHeight="1">
      <c r="A133" s="658">
        <v>46041</v>
      </c>
      <c r="B133" s="658" t="str">
        <f t="shared" ref="B133:B196" si="24">IF(A133="","",PROPER(TEXT(A133,"ddd")))</f>
        <v>Lun</v>
      </c>
      <c r="C133" s="674" t="s">
        <v>146</v>
      </c>
      <c r="D133" s="885" t="s">
        <v>528</v>
      </c>
      <c r="E133" s="687">
        <v>0.33333333333333331</v>
      </c>
      <c r="F133" s="687">
        <v>0.66666666666666663</v>
      </c>
      <c r="G133" s="688">
        <f t="shared" ref="G133:G196" si="25">IF(F133&lt;E133,F133+1-E133,F133-E133)*24</f>
        <v>8</v>
      </c>
      <c r="H133" s="676">
        <f>IF(D133="","",IFERROR(VLOOKUP(D133,'Resumen Empleado'!$A$4:$B$17,2,FALSE),""))</f>
        <v>11</v>
      </c>
      <c r="I133" s="676">
        <f t="shared" ref="I133:I196" si="26">IF(OR(E133="",F133="",H133=""),0,MAX(0,(MIN(IF(F133&lt;E133,F133+1,F133),TIME(12,0,0))-MAX(E133,TIME(5,0,0))))*24*H133)</f>
        <v>44</v>
      </c>
      <c r="J133" s="676">
        <f t="shared" ref="J133:J196" si="27">IF(OR(E133="",F133="",H133=""),0,MAX(0,(MIN(IF(F133&lt;E133,F133+1,F133),TIME(19,0,0))-MAX(E133,TIME(12,0,0))))*24*H133)</f>
        <v>43.999999999999993</v>
      </c>
      <c r="K133" s="676">
        <f>IF(OR(E133="",F133="",H133=""),0,MAX(0,(MIN(IF(F133&lt;E133,1+F133,F133),1+TIME(5,0,0))-MAX(E133,TIME(19,0,0))))*24*H133)</f>
        <v>0</v>
      </c>
      <c r="L133" s="1044">
        <f t="shared" ref="L133:L196" si="28">SUM(I133:K133)</f>
        <v>88</v>
      </c>
      <c r="M133" s="145" t="str">
        <f t="shared" ref="M133:M196" si="29">IF(A133="","",IF(G133&gt;12,"⚠ Verificar",""))</f>
        <v/>
      </c>
      <c r="N133" s="684">
        <f t="shared" ref="N133:N196" si="30">IF(A133="","",IF(ISNUMBER(A133),A133,DATE(VALUE(RIGHT(A133,4)),VALUE(MID(A133,4,2)),VALUE(LEFT(A133,2)))))</f>
        <v>46041</v>
      </c>
    </row>
    <row r="134" spans="1:14" ht="15" customHeight="1">
      <c r="A134" s="658">
        <v>46042</v>
      </c>
      <c r="B134" s="658" t="str">
        <f t="shared" si="24"/>
        <v>Mar</v>
      </c>
      <c r="C134" s="674" t="s">
        <v>497</v>
      </c>
      <c r="D134" s="885" t="s">
        <v>527</v>
      </c>
      <c r="E134" s="687">
        <v>0.8125</v>
      </c>
      <c r="F134" s="687">
        <v>0.89583333333333337</v>
      </c>
      <c r="G134" s="688">
        <f t="shared" si="25"/>
        <v>2.0000000000000009</v>
      </c>
      <c r="H134" s="676" t="str">
        <f>IF(D134="","",IFERROR(VLOOKUP(D134,'Resumen Empleado'!$A$4:$B$17,2,FALSE),""))</f>
        <v/>
      </c>
      <c r="I134" s="676">
        <f t="shared" si="26"/>
        <v>0</v>
      </c>
      <c r="J134" s="676">
        <f t="shared" si="27"/>
        <v>0</v>
      </c>
      <c r="K134" s="676">
        <f>IF(OR(E134="",F134="",H134=""),0,MAX(0,(MIN(IF(F134&lt;E134,F134+1,F134),1+TIME(5,0,0))-MAX(E134,TIME(19,0,0))))*24*H134)</f>
        <v>0</v>
      </c>
      <c r="L134" s="1044">
        <f t="shared" si="28"/>
        <v>0</v>
      </c>
      <c r="M134" s="145" t="str">
        <f t="shared" si="29"/>
        <v/>
      </c>
      <c r="N134" s="684">
        <f t="shared" si="30"/>
        <v>46042</v>
      </c>
    </row>
    <row r="135" spans="1:14" ht="15" customHeight="1">
      <c r="A135" s="658">
        <v>46042</v>
      </c>
      <c r="B135" s="658" t="str">
        <f t="shared" si="24"/>
        <v>Mar</v>
      </c>
      <c r="C135" s="674" t="s">
        <v>146</v>
      </c>
      <c r="D135" s="885" t="s">
        <v>528</v>
      </c>
      <c r="E135" s="687">
        <v>0.33333333333333331</v>
      </c>
      <c r="F135" s="687">
        <v>0.66666666666666663</v>
      </c>
      <c r="G135" s="688">
        <f t="shared" si="25"/>
        <v>8</v>
      </c>
      <c r="H135" s="676">
        <f>IF(D135="","",IFERROR(VLOOKUP(D135,'Resumen Empleado'!$A$4:$B$17,2,FALSE),""))</f>
        <v>11</v>
      </c>
      <c r="I135" s="676">
        <f t="shared" si="26"/>
        <v>44</v>
      </c>
      <c r="J135" s="676">
        <f t="shared" si="27"/>
        <v>43.999999999999993</v>
      </c>
      <c r="K135" s="676">
        <f>IF(OR(E135="",F135="",H135=""),0,MAX(0,(MIN(IF(F135&lt;E135,1+F135,F135),1+TIME(5,0,0))-MAX(E135,TIME(19,0,0))))*24*H135)</f>
        <v>0</v>
      </c>
      <c r="L135" s="1044">
        <f t="shared" si="28"/>
        <v>88</v>
      </c>
      <c r="M135" s="145" t="str">
        <f t="shared" si="29"/>
        <v/>
      </c>
      <c r="N135" s="684">
        <f t="shared" si="30"/>
        <v>46042</v>
      </c>
    </row>
    <row r="136" spans="1:14" ht="15" customHeight="1">
      <c r="A136" s="658">
        <v>46043</v>
      </c>
      <c r="B136" s="658" t="str">
        <f t="shared" si="24"/>
        <v>Mié</v>
      </c>
      <c r="C136" s="674" t="s">
        <v>497</v>
      </c>
      <c r="D136" s="885" t="s">
        <v>523</v>
      </c>
      <c r="E136" s="687">
        <v>0.79166666666666663</v>
      </c>
      <c r="F136" s="687">
        <v>0.95833333333333337</v>
      </c>
      <c r="G136" s="688">
        <f t="shared" si="25"/>
        <v>4.0000000000000018</v>
      </c>
      <c r="H136" s="676">
        <f>IF(D136="","",IFERROR(VLOOKUP(D136,'Resumen Empleado'!$A$4:$B$17,2,FALSE),""))</f>
        <v>6.39</v>
      </c>
      <c r="I136" s="676">
        <f t="shared" si="26"/>
        <v>0</v>
      </c>
      <c r="J136" s="676">
        <f t="shared" si="27"/>
        <v>0</v>
      </c>
      <c r="K136" s="676">
        <f t="shared" ref="K136:K144" si="31">IF(OR(E136="",F136="",H136=""),0,MAX(0,(MIN(IF(F136&lt;E136,F136+1,F136),1+TIME(5,0,0))-MAX(E136,TIME(19,0,0))))*24*H136)</f>
        <v>25.560000000000009</v>
      </c>
      <c r="L136" s="1044">
        <f t="shared" si="28"/>
        <v>25.560000000000009</v>
      </c>
      <c r="M136" s="145" t="str">
        <f t="shared" si="29"/>
        <v/>
      </c>
      <c r="N136" s="684">
        <f t="shared" si="30"/>
        <v>46043</v>
      </c>
    </row>
    <row r="137" spans="1:14" ht="15" customHeight="1">
      <c r="A137" s="658">
        <v>46043</v>
      </c>
      <c r="B137" s="658" t="str">
        <f t="shared" si="24"/>
        <v>Mié</v>
      </c>
      <c r="C137" s="674" t="s">
        <v>497</v>
      </c>
      <c r="D137" s="885" t="s">
        <v>525</v>
      </c>
      <c r="E137" s="687">
        <v>0.79166666666666663</v>
      </c>
      <c r="F137" s="687">
        <v>0.95833333333333337</v>
      </c>
      <c r="G137" s="688">
        <f t="shared" si="25"/>
        <v>4.0000000000000018</v>
      </c>
      <c r="H137" s="676">
        <f>IF(D137="","",IFERROR(VLOOKUP(D137,'Resumen Empleado'!$A$4:$B$17,2,FALSE),""))</f>
        <v>7.25</v>
      </c>
      <c r="I137" s="676">
        <f t="shared" si="26"/>
        <v>0</v>
      </c>
      <c r="J137" s="676">
        <f t="shared" si="27"/>
        <v>0</v>
      </c>
      <c r="K137" s="676">
        <f t="shared" si="31"/>
        <v>29.000000000000014</v>
      </c>
      <c r="L137" s="1044">
        <f t="shared" si="28"/>
        <v>29.000000000000014</v>
      </c>
      <c r="M137" s="145" t="str">
        <f t="shared" si="29"/>
        <v/>
      </c>
      <c r="N137" s="684">
        <f t="shared" si="30"/>
        <v>46043</v>
      </c>
    </row>
    <row r="138" spans="1:14" ht="15" customHeight="1">
      <c r="A138" s="658">
        <v>46043</v>
      </c>
      <c r="B138" s="658" t="str">
        <f t="shared" si="24"/>
        <v>Mié</v>
      </c>
      <c r="C138" s="674" t="s">
        <v>497</v>
      </c>
      <c r="D138" s="885" t="s">
        <v>526</v>
      </c>
      <c r="E138" s="687">
        <v>0.83333333333333337</v>
      </c>
      <c r="F138" s="687">
        <v>0.95833333333333337</v>
      </c>
      <c r="G138" s="688">
        <f t="shared" si="25"/>
        <v>3</v>
      </c>
      <c r="H138" s="676">
        <f>IF(D138="","",IFERROR(VLOOKUP(D138,'Resumen Empleado'!$A$4:$B$17,2,FALSE),""))</f>
        <v>16</v>
      </c>
      <c r="I138" s="676">
        <f t="shared" si="26"/>
        <v>0</v>
      </c>
      <c r="J138" s="676">
        <f t="shared" si="27"/>
        <v>0</v>
      </c>
      <c r="K138" s="676">
        <f t="shared" si="31"/>
        <v>48</v>
      </c>
      <c r="L138" s="1044">
        <f t="shared" si="28"/>
        <v>48</v>
      </c>
      <c r="M138" s="145" t="str">
        <f t="shared" si="29"/>
        <v/>
      </c>
      <c r="N138" s="684">
        <f t="shared" si="30"/>
        <v>46043</v>
      </c>
    </row>
    <row r="139" spans="1:14" ht="15" customHeight="1">
      <c r="A139" s="658">
        <v>46043</v>
      </c>
      <c r="B139" s="658" t="str">
        <f t="shared" si="24"/>
        <v>Mié</v>
      </c>
      <c r="C139" s="674" t="s">
        <v>497</v>
      </c>
      <c r="D139" s="885" t="s">
        <v>527</v>
      </c>
      <c r="E139" s="687">
        <v>0.8125</v>
      </c>
      <c r="F139" s="687">
        <v>0.89583333333333337</v>
      </c>
      <c r="G139" s="688">
        <f t="shared" si="25"/>
        <v>2.0000000000000009</v>
      </c>
      <c r="H139" s="676" t="str">
        <f>IF(D139="","",IFERROR(VLOOKUP(D139,'Resumen Empleado'!$A$4:$B$17,2,FALSE),""))</f>
        <v/>
      </c>
      <c r="I139" s="676">
        <f t="shared" si="26"/>
        <v>0</v>
      </c>
      <c r="J139" s="676">
        <f t="shared" si="27"/>
        <v>0</v>
      </c>
      <c r="K139" s="676">
        <f t="shared" si="31"/>
        <v>0</v>
      </c>
      <c r="L139" s="1044">
        <f t="shared" si="28"/>
        <v>0</v>
      </c>
      <c r="M139" s="145" t="str">
        <f t="shared" si="29"/>
        <v/>
      </c>
      <c r="N139" s="684">
        <f t="shared" si="30"/>
        <v>46043</v>
      </c>
    </row>
    <row r="140" spans="1:14" ht="15" customHeight="1">
      <c r="A140" s="658">
        <v>46043</v>
      </c>
      <c r="B140" s="658" t="str">
        <f t="shared" si="24"/>
        <v>Mié</v>
      </c>
      <c r="C140" s="674" t="s">
        <v>146</v>
      </c>
      <c r="D140" s="885" t="s">
        <v>525</v>
      </c>
      <c r="E140" s="687">
        <v>0.54166666666666663</v>
      </c>
      <c r="F140" s="687">
        <v>0.66666666666666663</v>
      </c>
      <c r="G140" s="688">
        <f t="shared" si="25"/>
        <v>3</v>
      </c>
      <c r="H140" s="676">
        <f>IF(D140="","",IFERROR(VLOOKUP(D140,'Resumen Empleado'!$A$4:$B$17,2,FALSE),""))</f>
        <v>7.25</v>
      </c>
      <c r="I140" s="676">
        <f t="shared" si="26"/>
        <v>0</v>
      </c>
      <c r="J140" s="676">
        <f t="shared" si="27"/>
        <v>21.75</v>
      </c>
      <c r="K140" s="676">
        <f t="shared" si="31"/>
        <v>0</v>
      </c>
      <c r="L140" s="1044">
        <f t="shared" si="28"/>
        <v>21.75</v>
      </c>
      <c r="M140" s="145" t="str">
        <f t="shared" si="29"/>
        <v/>
      </c>
      <c r="N140" s="684">
        <f t="shared" si="30"/>
        <v>46043</v>
      </c>
    </row>
    <row r="141" spans="1:14" ht="15" customHeight="1">
      <c r="A141" s="658">
        <v>46043</v>
      </c>
      <c r="B141" s="658" t="str">
        <f t="shared" si="24"/>
        <v>Mié</v>
      </c>
      <c r="C141" s="674" t="s">
        <v>146</v>
      </c>
      <c r="D141" s="885" t="s">
        <v>524</v>
      </c>
      <c r="E141" s="687">
        <v>0.30208333333333331</v>
      </c>
      <c r="F141" s="687">
        <v>0.66666666666666663</v>
      </c>
      <c r="G141" s="688">
        <f t="shared" si="25"/>
        <v>8.75</v>
      </c>
      <c r="H141" s="676">
        <f>IF(D141="","",IFERROR(VLOOKUP(D141,'Resumen Empleado'!$A$4:$B$17,2,FALSE),""))</f>
        <v>7.3</v>
      </c>
      <c r="I141" s="676">
        <f t="shared" si="26"/>
        <v>34.674999999999997</v>
      </c>
      <c r="J141" s="676">
        <f t="shared" si="27"/>
        <v>29.199999999999992</v>
      </c>
      <c r="K141" s="676">
        <f t="shared" si="31"/>
        <v>0</v>
      </c>
      <c r="L141" s="1044">
        <f t="shared" si="28"/>
        <v>63.874999999999986</v>
      </c>
      <c r="M141" s="145" t="str">
        <f t="shared" si="29"/>
        <v/>
      </c>
      <c r="N141" s="684">
        <f t="shared" si="30"/>
        <v>46043</v>
      </c>
    </row>
    <row r="142" spans="1:14" ht="15" customHeight="1">
      <c r="A142" s="658">
        <v>46043</v>
      </c>
      <c r="B142" s="658" t="str">
        <f t="shared" si="24"/>
        <v>Mié</v>
      </c>
      <c r="C142" s="674" t="s">
        <v>146</v>
      </c>
      <c r="D142" s="885" t="s">
        <v>526</v>
      </c>
      <c r="E142" s="687">
        <v>0.41666666666666669</v>
      </c>
      <c r="F142" s="687">
        <v>0.63541666666666663</v>
      </c>
      <c r="G142" s="688">
        <f t="shared" si="25"/>
        <v>5.2499999999999982</v>
      </c>
      <c r="H142" s="676">
        <f>IF(D142="","",IFERROR(VLOOKUP(D142,'Resumen Empleado'!$A$4:$B$17,2,FALSE),""))</f>
        <v>16</v>
      </c>
      <c r="I142" s="676">
        <f t="shared" si="26"/>
        <v>31.999999999999993</v>
      </c>
      <c r="J142" s="676">
        <f t="shared" si="27"/>
        <v>51.999999999999986</v>
      </c>
      <c r="K142" s="676">
        <f t="shared" si="31"/>
        <v>0</v>
      </c>
      <c r="L142" s="1044">
        <f t="shared" si="28"/>
        <v>83.999999999999972</v>
      </c>
      <c r="M142" s="145" t="str">
        <f t="shared" si="29"/>
        <v/>
      </c>
      <c r="N142" s="684">
        <f t="shared" si="30"/>
        <v>46043</v>
      </c>
    </row>
    <row r="143" spans="1:14" ht="15" customHeight="1">
      <c r="A143" s="658">
        <v>46043</v>
      </c>
      <c r="B143" s="658" t="str">
        <f t="shared" si="24"/>
        <v>Mié</v>
      </c>
      <c r="C143" s="674" t="s">
        <v>146</v>
      </c>
      <c r="D143" s="885" t="s">
        <v>523</v>
      </c>
      <c r="E143" s="687">
        <v>0.51041666666666663</v>
      </c>
      <c r="F143" s="687">
        <v>0.66666666666666663</v>
      </c>
      <c r="G143" s="688">
        <f t="shared" si="25"/>
        <v>3.75</v>
      </c>
      <c r="H143" s="676">
        <f>IF(D143="","",IFERROR(VLOOKUP(D143,'Resumen Empleado'!$A$4:$B$17,2,FALSE),""))</f>
        <v>6.39</v>
      </c>
      <c r="I143" s="676">
        <f t="shared" si="26"/>
        <v>0</v>
      </c>
      <c r="J143" s="676">
        <f t="shared" si="27"/>
        <v>23.962499999999999</v>
      </c>
      <c r="K143" s="676">
        <f t="shared" si="31"/>
        <v>0</v>
      </c>
      <c r="L143" s="1044">
        <f t="shared" si="28"/>
        <v>23.962499999999999</v>
      </c>
      <c r="M143" s="145" t="str">
        <f t="shared" si="29"/>
        <v/>
      </c>
      <c r="N143" s="684">
        <f t="shared" si="30"/>
        <v>46043</v>
      </c>
    </row>
    <row r="144" spans="1:14" ht="15" customHeight="1">
      <c r="A144" s="658">
        <v>46043</v>
      </c>
      <c r="B144" s="658" t="str">
        <f t="shared" si="24"/>
        <v>Mié</v>
      </c>
      <c r="C144" s="674" t="s">
        <v>146</v>
      </c>
      <c r="D144" s="885" t="s">
        <v>522</v>
      </c>
      <c r="E144" s="687">
        <v>0.29166666666666669</v>
      </c>
      <c r="F144" s="687">
        <v>0.45833333333333331</v>
      </c>
      <c r="G144" s="688">
        <f t="shared" si="25"/>
        <v>3.9999999999999991</v>
      </c>
      <c r="H144" s="676">
        <f>IF(D144="","",IFERROR(VLOOKUP(D144,'Resumen Empleado'!$A$4:$B$17,2,FALSE),""))</f>
        <v>10</v>
      </c>
      <c r="I144" s="676">
        <f t="shared" si="26"/>
        <v>39.999999999999993</v>
      </c>
      <c r="J144" s="676">
        <f t="shared" si="27"/>
        <v>0</v>
      </c>
      <c r="K144" s="676">
        <f t="shared" si="31"/>
        <v>0</v>
      </c>
      <c r="L144" s="1044">
        <f t="shared" si="28"/>
        <v>39.999999999999993</v>
      </c>
      <c r="M144" s="145" t="str">
        <f t="shared" si="29"/>
        <v/>
      </c>
      <c r="N144" s="684">
        <f t="shared" si="30"/>
        <v>46043</v>
      </c>
    </row>
    <row r="145" spans="1:14" ht="15" customHeight="1">
      <c r="A145" s="658">
        <v>46043</v>
      </c>
      <c r="B145" s="658" t="str">
        <f t="shared" si="24"/>
        <v>Mié</v>
      </c>
      <c r="C145" s="674" t="s">
        <v>146</v>
      </c>
      <c r="D145" s="885" t="s">
        <v>528</v>
      </c>
      <c r="E145" s="687">
        <v>0.33333333333333331</v>
      </c>
      <c r="F145" s="687">
        <v>0.66666666666666663</v>
      </c>
      <c r="G145" s="688">
        <f t="shared" si="25"/>
        <v>8</v>
      </c>
      <c r="H145" s="676">
        <f>IF(D145="","",IFERROR(VLOOKUP(D145,'Resumen Empleado'!$A$4:$B$17,2,FALSE),""))</f>
        <v>11</v>
      </c>
      <c r="I145" s="676">
        <f t="shared" si="26"/>
        <v>44</v>
      </c>
      <c r="J145" s="676">
        <f t="shared" si="27"/>
        <v>43.999999999999993</v>
      </c>
      <c r="K145" s="676">
        <f>IF(OR(E145="",F145="",H145=""),0,MAX(0,(MIN(IF(F145&lt;E145,1+F145,F145),1+TIME(5,0,0))-MAX(E145,TIME(19,0,0))))*24*H145)</f>
        <v>0</v>
      </c>
      <c r="L145" s="1044">
        <f t="shared" si="28"/>
        <v>88</v>
      </c>
      <c r="M145" s="145" t="str">
        <f t="shared" si="29"/>
        <v/>
      </c>
      <c r="N145" s="684">
        <f t="shared" si="30"/>
        <v>46043</v>
      </c>
    </row>
    <row r="146" spans="1:14" ht="15" customHeight="1">
      <c r="A146" s="658">
        <v>46044</v>
      </c>
      <c r="B146" s="658" t="str">
        <f t="shared" si="24"/>
        <v>Jue</v>
      </c>
      <c r="C146" s="674" t="s">
        <v>146</v>
      </c>
      <c r="D146" s="885" t="s">
        <v>524</v>
      </c>
      <c r="E146" s="687">
        <v>0.30208333333333331</v>
      </c>
      <c r="F146" s="687">
        <v>0.51041666666666663</v>
      </c>
      <c r="G146" s="688">
        <f t="shared" si="25"/>
        <v>5</v>
      </c>
      <c r="H146" s="676">
        <f>IF(D146="","",IFERROR(VLOOKUP(D146,'Resumen Empleado'!$A$4:$B$17,2,FALSE),""))</f>
        <v>7.3</v>
      </c>
      <c r="I146" s="676">
        <f t="shared" si="26"/>
        <v>34.674999999999997</v>
      </c>
      <c r="J146" s="676">
        <f t="shared" si="27"/>
        <v>1.8249999999999935</v>
      </c>
      <c r="K146" s="676">
        <f t="shared" ref="K146:K155" si="32">IF(OR(E146="",F146="",H146=""),0,MAX(0,(MIN(IF(F146&lt;E146,F146+1,F146),1+TIME(5,0,0))-MAX(E146,TIME(19,0,0))))*24*H146)</f>
        <v>0</v>
      </c>
      <c r="L146" s="1044">
        <f t="shared" si="28"/>
        <v>36.499999999999993</v>
      </c>
      <c r="M146" s="145" t="str">
        <f t="shared" si="29"/>
        <v/>
      </c>
      <c r="N146" s="684">
        <f t="shared" si="30"/>
        <v>46044</v>
      </c>
    </row>
    <row r="147" spans="1:14" ht="15" customHeight="1">
      <c r="A147" s="658">
        <v>46044</v>
      </c>
      <c r="B147" s="658" t="str">
        <f t="shared" si="24"/>
        <v>Jue</v>
      </c>
      <c r="C147" s="674" t="s">
        <v>146</v>
      </c>
      <c r="D147" s="885" t="s">
        <v>525</v>
      </c>
      <c r="E147" s="687">
        <v>0.51041666666666663</v>
      </c>
      <c r="F147" s="687">
        <v>0.66666666666666663</v>
      </c>
      <c r="G147" s="688">
        <f t="shared" si="25"/>
        <v>3.75</v>
      </c>
      <c r="H147" s="676">
        <f>IF(D147="","",IFERROR(VLOOKUP(D147,'Resumen Empleado'!$A$4:$B$17,2,FALSE),""))</f>
        <v>7.25</v>
      </c>
      <c r="I147" s="676">
        <f t="shared" si="26"/>
        <v>0</v>
      </c>
      <c r="J147" s="676">
        <f t="shared" si="27"/>
        <v>27.1875</v>
      </c>
      <c r="K147" s="676">
        <f t="shared" si="32"/>
        <v>0</v>
      </c>
      <c r="L147" s="1044">
        <f t="shared" si="28"/>
        <v>27.1875</v>
      </c>
      <c r="M147" s="145" t="str">
        <f t="shared" si="29"/>
        <v/>
      </c>
      <c r="N147" s="684">
        <f t="shared" si="30"/>
        <v>46044</v>
      </c>
    </row>
    <row r="148" spans="1:14" ht="15" customHeight="1">
      <c r="A148" s="658">
        <v>46044</v>
      </c>
      <c r="B148" s="658" t="str">
        <f t="shared" si="24"/>
        <v>Jue</v>
      </c>
      <c r="C148" s="674" t="s">
        <v>146</v>
      </c>
      <c r="D148" s="885" t="s">
        <v>522</v>
      </c>
      <c r="E148" s="687">
        <v>0.29166666666666669</v>
      </c>
      <c r="F148" s="687">
        <v>0.4375</v>
      </c>
      <c r="G148" s="688">
        <f t="shared" si="25"/>
        <v>3.4999999999999996</v>
      </c>
      <c r="H148" s="676">
        <f>IF(D148="","",IFERROR(VLOOKUP(D148,'Resumen Empleado'!$A$4:$B$17,2,FALSE),""))</f>
        <v>10</v>
      </c>
      <c r="I148" s="676">
        <f t="shared" si="26"/>
        <v>34.999999999999993</v>
      </c>
      <c r="J148" s="676">
        <f t="shared" si="27"/>
        <v>0</v>
      </c>
      <c r="K148" s="676">
        <f t="shared" si="32"/>
        <v>0</v>
      </c>
      <c r="L148" s="1044">
        <f t="shared" si="28"/>
        <v>34.999999999999993</v>
      </c>
      <c r="M148" s="145" t="str">
        <f t="shared" si="29"/>
        <v/>
      </c>
      <c r="N148" s="684">
        <f t="shared" si="30"/>
        <v>46044</v>
      </c>
    </row>
    <row r="149" spans="1:14" ht="15" customHeight="1">
      <c r="A149" s="658">
        <v>46044</v>
      </c>
      <c r="B149" s="658" t="str">
        <f t="shared" si="24"/>
        <v>Jue</v>
      </c>
      <c r="C149" s="674" t="s">
        <v>146</v>
      </c>
      <c r="D149" s="885" t="s">
        <v>522</v>
      </c>
      <c r="E149" s="687">
        <v>0.54166666666666663</v>
      </c>
      <c r="F149" s="687">
        <v>0.66666666666666663</v>
      </c>
      <c r="G149" s="688">
        <f t="shared" si="25"/>
        <v>3</v>
      </c>
      <c r="H149" s="676">
        <f>IF(D149="","",IFERROR(VLOOKUP(D149,'Resumen Empleado'!$A$4:$B$17,2,FALSE),""))</f>
        <v>10</v>
      </c>
      <c r="I149" s="676">
        <f t="shared" si="26"/>
        <v>0</v>
      </c>
      <c r="J149" s="676">
        <f t="shared" si="27"/>
        <v>30</v>
      </c>
      <c r="K149" s="676">
        <f t="shared" si="32"/>
        <v>0</v>
      </c>
      <c r="L149" s="1044">
        <f t="shared" si="28"/>
        <v>30</v>
      </c>
      <c r="M149" s="145" t="str">
        <f t="shared" si="29"/>
        <v/>
      </c>
      <c r="N149" s="684">
        <f t="shared" si="30"/>
        <v>46044</v>
      </c>
    </row>
    <row r="150" spans="1:14" ht="15" customHeight="1">
      <c r="A150" s="658">
        <v>46044</v>
      </c>
      <c r="B150" s="658" t="str">
        <f t="shared" si="24"/>
        <v>Jue</v>
      </c>
      <c r="C150" s="674" t="s">
        <v>146</v>
      </c>
      <c r="D150" s="885" t="s">
        <v>526</v>
      </c>
      <c r="E150" s="687">
        <v>0.41666666666666669</v>
      </c>
      <c r="F150" s="687">
        <v>0.66666666666666663</v>
      </c>
      <c r="G150" s="688">
        <f t="shared" si="25"/>
        <v>5.9999999999999982</v>
      </c>
      <c r="H150" s="676">
        <f>IF(D150="","",IFERROR(VLOOKUP(D150,'Resumen Empleado'!$A$4:$B$17,2,FALSE),""))</f>
        <v>16</v>
      </c>
      <c r="I150" s="676">
        <f t="shared" si="26"/>
        <v>31.999999999999993</v>
      </c>
      <c r="J150" s="676">
        <f t="shared" si="27"/>
        <v>63.999999999999986</v>
      </c>
      <c r="K150" s="676">
        <f t="shared" si="32"/>
        <v>0</v>
      </c>
      <c r="L150" s="1044">
        <f t="shared" si="28"/>
        <v>95.999999999999972</v>
      </c>
      <c r="M150" s="145" t="str">
        <f t="shared" si="29"/>
        <v/>
      </c>
      <c r="N150" s="684">
        <f t="shared" si="30"/>
        <v>46044</v>
      </c>
    </row>
    <row r="151" spans="1:14" ht="15" customHeight="1">
      <c r="A151" s="658">
        <v>46044</v>
      </c>
      <c r="B151" s="658" t="str">
        <f t="shared" si="24"/>
        <v>Jue</v>
      </c>
      <c r="C151" s="674" t="s">
        <v>146</v>
      </c>
      <c r="D151" s="885" t="s">
        <v>523</v>
      </c>
      <c r="E151" s="687">
        <v>0.51041666666666663</v>
      </c>
      <c r="F151" s="687">
        <v>0.66666666666666663</v>
      </c>
      <c r="G151" s="688">
        <f t="shared" si="25"/>
        <v>3.75</v>
      </c>
      <c r="H151" s="676">
        <f>IF(D151="","",IFERROR(VLOOKUP(D151,'Resumen Empleado'!$A$4:$B$17,2,FALSE),""))</f>
        <v>6.39</v>
      </c>
      <c r="I151" s="676">
        <f t="shared" si="26"/>
        <v>0</v>
      </c>
      <c r="J151" s="676">
        <f t="shared" si="27"/>
        <v>23.962499999999999</v>
      </c>
      <c r="K151" s="676">
        <f t="shared" si="32"/>
        <v>0</v>
      </c>
      <c r="L151" s="1044">
        <f t="shared" si="28"/>
        <v>23.962499999999999</v>
      </c>
      <c r="M151" s="145" t="str">
        <f t="shared" si="29"/>
        <v/>
      </c>
      <c r="N151" s="684">
        <f t="shared" si="30"/>
        <v>46044</v>
      </c>
    </row>
    <row r="152" spans="1:14" ht="15" customHeight="1">
      <c r="A152" s="658">
        <v>46044</v>
      </c>
      <c r="B152" s="658" t="str">
        <f t="shared" si="24"/>
        <v>Jue</v>
      </c>
      <c r="C152" s="674" t="s">
        <v>497</v>
      </c>
      <c r="D152" s="885" t="s">
        <v>523</v>
      </c>
      <c r="E152" s="687">
        <v>0.79166666666666663</v>
      </c>
      <c r="F152" s="687">
        <v>0.95833333333333337</v>
      </c>
      <c r="G152" s="688">
        <f t="shared" si="25"/>
        <v>4.0000000000000018</v>
      </c>
      <c r="H152" s="676">
        <f>IF(D152="","",IFERROR(VLOOKUP(D152,'Resumen Empleado'!$A$4:$B$17,2,FALSE),""))</f>
        <v>6.39</v>
      </c>
      <c r="I152" s="676">
        <f t="shared" si="26"/>
        <v>0</v>
      </c>
      <c r="J152" s="676">
        <f t="shared" si="27"/>
        <v>0</v>
      </c>
      <c r="K152" s="676">
        <f t="shared" si="32"/>
        <v>25.560000000000009</v>
      </c>
      <c r="L152" s="1044">
        <f t="shared" si="28"/>
        <v>25.560000000000009</v>
      </c>
      <c r="M152" s="145" t="str">
        <f t="shared" si="29"/>
        <v/>
      </c>
      <c r="N152" s="684">
        <f t="shared" si="30"/>
        <v>46044</v>
      </c>
    </row>
    <row r="153" spans="1:14" ht="15" customHeight="1">
      <c r="A153" s="658">
        <v>46044</v>
      </c>
      <c r="B153" s="658" t="str">
        <f t="shared" si="24"/>
        <v>Jue</v>
      </c>
      <c r="C153" s="674" t="s">
        <v>497</v>
      </c>
      <c r="D153" s="885" t="s">
        <v>526</v>
      </c>
      <c r="E153" s="687">
        <v>0.83333333333333337</v>
      </c>
      <c r="F153" s="687">
        <v>0.95833333333333337</v>
      </c>
      <c r="G153" s="688">
        <f t="shared" si="25"/>
        <v>3</v>
      </c>
      <c r="H153" s="676">
        <f>IF(D153="","",IFERROR(VLOOKUP(D153,'Resumen Empleado'!$A$4:$B$17,2,FALSE),""))</f>
        <v>16</v>
      </c>
      <c r="I153" s="676">
        <f t="shared" si="26"/>
        <v>0</v>
      </c>
      <c r="J153" s="676">
        <f t="shared" si="27"/>
        <v>0</v>
      </c>
      <c r="K153" s="676">
        <f t="shared" si="32"/>
        <v>48</v>
      </c>
      <c r="L153" s="1044">
        <f t="shared" si="28"/>
        <v>48</v>
      </c>
      <c r="M153" s="145" t="str">
        <f t="shared" si="29"/>
        <v/>
      </c>
      <c r="N153" s="684">
        <f t="shared" si="30"/>
        <v>46044</v>
      </c>
    </row>
    <row r="154" spans="1:14" ht="15" customHeight="1">
      <c r="A154" s="658">
        <v>46044</v>
      </c>
      <c r="B154" s="658" t="str">
        <f t="shared" si="24"/>
        <v>Jue</v>
      </c>
      <c r="C154" s="674" t="s">
        <v>497</v>
      </c>
      <c r="D154" s="885" t="s">
        <v>525</v>
      </c>
      <c r="E154" s="687">
        <v>0.79166666666666663</v>
      </c>
      <c r="F154" s="687">
        <v>0.95833333333333337</v>
      </c>
      <c r="G154" s="688">
        <f t="shared" si="25"/>
        <v>4.0000000000000018</v>
      </c>
      <c r="H154" s="676">
        <f>IF(D154="","",IFERROR(VLOOKUP(D154,'Resumen Empleado'!$A$4:$B$17,2,FALSE),""))</f>
        <v>7.25</v>
      </c>
      <c r="I154" s="676">
        <f t="shared" si="26"/>
        <v>0</v>
      </c>
      <c r="J154" s="676">
        <f t="shared" si="27"/>
        <v>0</v>
      </c>
      <c r="K154" s="676">
        <f t="shared" si="32"/>
        <v>29.000000000000014</v>
      </c>
      <c r="L154" s="1044">
        <f t="shared" si="28"/>
        <v>29.000000000000014</v>
      </c>
      <c r="M154" s="145" t="str">
        <f t="shared" si="29"/>
        <v/>
      </c>
      <c r="N154" s="684">
        <f t="shared" si="30"/>
        <v>46044</v>
      </c>
    </row>
    <row r="155" spans="1:14" ht="15" customHeight="1">
      <c r="A155" s="658">
        <v>46044</v>
      </c>
      <c r="B155" s="658" t="str">
        <f t="shared" si="24"/>
        <v>Jue</v>
      </c>
      <c r="C155" s="674" t="s">
        <v>497</v>
      </c>
      <c r="D155" s="885" t="s">
        <v>527</v>
      </c>
      <c r="E155" s="687">
        <v>0.8125</v>
      </c>
      <c r="F155" s="687">
        <v>0.89583333333333337</v>
      </c>
      <c r="G155" s="688">
        <f t="shared" si="25"/>
        <v>2.0000000000000009</v>
      </c>
      <c r="H155" s="676" t="str">
        <f>IF(D155="","",IFERROR(VLOOKUP(D155,'Resumen Empleado'!$A$4:$B$17,2,FALSE),""))</f>
        <v/>
      </c>
      <c r="I155" s="676">
        <f t="shared" si="26"/>
        <v>0</v>
      </c>
      <c r="J155" s="676">
        <f t="shared" si="27"/>
        <v>0</v>
      </c>
      <c r="K155" s="676">
        <f t="shared" si="32"/>
        <v>0</v>
      </c>
      <c r="L155" s="1044">
        <f t="shared" si="28"/>
        <v>0</v>
      </c>
      <c r="M155" s="145" t="str">
        <f t="shared" si="29"/>
        <v/>
      </c>
      <c r="N155" s="684">
        <f t="shared" si="30"/>
        <v>46044</v>
      </c>
    </row>
    <row r="156" spans="1:14" ht="15" customHeight="1">
      <c r="A156" s="658">
        <v>46044</v>
      </c>
      <c r="B156" s="658" t="str">
        <f t="shared" si="24"/>
        <v>Jue</v>
      </c>
      <c r="C156" s="674" t="s">
        <v>146</v>
      </c>
      <c r="D156" s="885" t="s">
        <v>528</v>
      </c>
      <c r="E156" s="687">
        <v>0.33333333333333331</v>
      </c>
      <c r="F156" s="687">
        <v>0.66666666666666663</v>
      </c>
      <c r="G156" s="688">
        <f t="shared" si="25"/>
        <v>8</v>
      </c>
      <c r="H156" s="676">
        <f>IF(D156="","",IFERROR(VLOOKUP(D156,'Resumen Empleado'!$A$4:$B$17,2,FALSE),""))</f>
        <v>11</v>
      </c>
      <c r="I156" s="676">
        <f t="shared" si="26"/>
        <v>44</v>
      </c>
      <c r="J156" s="676">
        <f t="shared" si="27"/>
        <v>43.999999999999993</v>
      </c>
      <c r="K156" s="676">
        <f>IF(OR(E156="",F156="",H156=""),0,MAX(0,(MIN(IF(F156&lt;E156,1+F156,F156),1+TIME(5,0,0))-MAX(E156,TIME(19,0,0))))*24*H156)</f>
        <v>0</v>
      </c>
      <c r="L156" s="1044">
        <f t="shared" si="28"/>
        <v>88</v>
      </c>
      <c r="M156" s="145" t="str">
        <f t="shared" si="29"/>
        <v/>
      </c>
      <c r="N156" s="684">
        <f t="shared" si="30"/>
        <v>46044</v>
      </c>
    </row>
    <row r="157" spans="1:14" ht="15" customHeight="1">
      <c r="A157" s="658">
        <v>46045</v>
      </c>
      <c r="B157" s="658" t="str">
        <f t="shared" si="24"/>
        <v>Vie</v>
      </c>
      <c r="C157" s="674" t="s">
        <v>146</v>
      </c>
      <c r="D157" s="885" t="s">
        <v>526</v>
      </c>
      <c r="E157" s="687">
        <v>0.4375</v>
      </c>
      <c r="F157" s="687">
        <v>0.66666666666666663</v>
      </c>
      <c r="G157" s="688">
        <f t="shared" si="25"/>
        <v>5.4999999999999991</v>
      </c>
      <c r="H157" s="676">
        <f>IF(D157="","",IFERROR(VLOOKUP(D157,'Resumen Empleado'!$A$4:$B$17,2,FALSE),""))</f>
        <v>16</v>
      </c>
      <c r="I157" s="676">
        <f t="shared" si="26"/>
        <v>24</v>
      </c>
      <c r="J157" s="676">
        <f t="shared" si="27"/>
        <v>63.999999999999986</v>
      </c>
      <c r="K157" s="676">
        <f t="shared" ref="K157:K167" si="33">IF(OR(E157="",F157="",H157=""),0,MAX(0,(MIN(IF(F157&lt;E157,F157+1,F157),1+TIME(5,0,0))-MAX(E157,TIME(19,0,0))))*24*H157)</f>
        <v>0</v>
      </c>
      <c r="L157" s="1044">
        <f t="shared" si="28"/>
        <v>87.999999999999986</v>
      </c>
      <c r="M157" s="145" t="str">
        <f t="shared" si="29"/>
        <v/>
      </c>
      <c r="N157" s="684">
        <f t="shared" si="30"/>
        <v>46045</v>
      </c>
    </row>
    <row r="158" spans="1:14" ht="15" customHeight="1">
      <c r="A158" s="658">
        <v>46045</v>
      </c>
      <c r="B158" s="658" t="str">
        <f t="shared" si="24"/>
        <v>Vie</v>
      </c>
      <c r="C158" s="674" t="s">
        <v>146</v>
      </c>
      <c r="D158" s="885" t="s">
        <v>522</v>
      </c>
      <c r="E158" s="687">
        <v>0.29166666666666669</v>
      </c>
      <c r="F158" s="687">
        <v>0.45833333333333331</v>
      </c>
      <c r="G158" s="688">
        <f t="shared" si="25"/>
        <v>3.9999999999999991</v>
      </c>
      <c r="H158" s="676">
        <f>IF(D158="","",IFERROR(VLOOKUP(D158,'Resumen Empleado'!$A$4:$B$17,2,FALSE),""))</f>
        <v>10</v>
      </c>
      <c r="I158" s="676">
        <f t="shared" si="26"/>
        <v>39.999999999999993</v>
      </c>
      <c r="J158" s="676">
        <f t="shared" si="27"/>
        <v>0</v>
      </c>
      <c r="K158" s="676">
        <f t="shared" si="33"/>
        <v>0</v>
      </c>
      <c r="L158" s="1044">
        <f t="shared" si="28"/>
        <v>39.999999999999993</v>
      </c>
      <c r="M158" s="145" t="str">
        <f t="shared" si="29"/>
        <v/>
      </c>
      <c r="N158" s="684">
        <f t="shared" si="30"/>
        <v>46045</v>
      </c>
    </row>
    <row r="159" spans="1:14" ht="15" customHeight="1">
      <c r="A159" s="658">
        <v>46045</v>
      </c>
      <c r="B159" s="658" t="str">
        <f t="shared" si="24"/>
        <v>Vie</v>
      </c>
      <c r="C159" s="674" t="s">
        <v>146</v>
      </c>
      <c r="D159" s="885" t="s">
        <v>524</v>
      </c>
      <c r="E159" s="687">
        <v>0.30208333333333331</v>
      </c>
      <c r="F159" s="687">
        <v>0.66666666666666663</v>
      </c>
      <c r="G159" s="688">
        <f t="shared" si="25"/>
        <v>8.75</v>
      </c>
      <c r="H159" s="676">
        <f>IF(D159="","",IFERROR(VLOOKUP(D159,'Resumen Empleado'!$A$4:$B$17,2,FALSE),""))</f>
        <v>7.3</v>
      </c>
      <c r="I159" s="676">
        <f t="shared" si="26"/>
        <v>34.674999999999997</v>
      </c>
      <c r="J159" s="676">
        <f t="shared" si="27"/>
        <v>29.199999999999992</v>
      </c>
      <c r="K159" s="676">
        <f t="shared" si="33"/>
        <v>0</v>
      </c>
      <c r="L159" s="1044">
        <f t="shared" si="28"/>
        <v>63.874999999999986</v>
      </c>
      <c r="M159" s="145" t="str">
        <f t="shared" si="29"/>
        <v/>
      </c>
      <c r="N159" s="684">
        <f t="shared" si="30"/>
        <v>46045</v>
      </c>
    </row>
    <row r="160" spans="1:14" ht="15" customHeight="1">
      <c r="A160" s="658">
        <v>46045</v>
      </c>
      <c r="B160" s="658" t="str">
        <f t="shared" si="24"/>
        <v>Vie</v>
      </c>
      <c r="C160" s="674" t="s">
        <v>146</v>
      </c>
      <c r="D160" s="885" t="s">
        <v>523</v>
      </c>
      <c r="E160" s="687">
        <v>0.51041666666666663</v>
      </c>
      <c r="F160" s="687">
        <v>0.63541666666666663</v>
      </c>
      <c r="G160" s="688">
        <f t="shared" si="25"/>
        <v>3</v>
      </c>
      <c r="H160" s="676">
        <f>IF(D160="","",IFERROR(VLOOKUP(D160,'Resumen Empleado'!$A$4:$B$17,2,FALSE),""))</f>
        <v>6.39</v>
      </c>
      <c r="I160" s="676">
        <f t="shared" si="26"/>
        <v>0</v>
      </c>
      <c r="J160" s="676">
        <f t="shared" si="27"/>
        <v>19.169999999999998</v>
      </c>
      <c r="K160" s="676">
        <f t="shared" si="33"/>
        <v>0</v>
      </c>
      <c r="L160" s="1044">
        <f t="shared" si="28"/>
        <v>19.169999999999998</v>
      </c>
      <c r="M160" s="145" t="str">
        <f t="shared" si="29"/>
        <v/>
      </c>
      <c r="N160" s="684">
        <f t="shared" si="30"/>
        <v>46045</v>
      </c>
    </row>
    <row r="161" spans="1:14" ht="15" customHeight="1">
      <c r="A161" s="658">
        <v>46045</v>
      </c>
      <c r="B161" s="658" t="str">
        <f t="shared" si="24"/>
        <v>Vie</v>
      </c>
      <c r="C161" s="674" t="s">
        <v>146</v>
      </c>
      <c r="D161" s="885" t="s">
        <v>525</v>
      </c>
      <c r="E161" s="687">
        <v>0.5625</v>
      </c>
      <c r="F161" s="687">
        <v>0.66666666666666663</v>
      </c>
      <c r="G161" s="688">
        <f t="shared" si="25"/>
        <v>2.4999999999999991</v>
      </c>
      <c r="H161" s="676">
        <f>IF(D161="","",IFERROR(VLOOKUP(D161,'Resumen Empleado'!$A$4:$B$17,2,FALSE),""))</f>
        <v>7.25</v>
      </c>
      <c r="I161" s="676">
        <f t="shared" si="26"/>
        <v>0</v>
      </c>
      <c r="J161" s="676">
        <f t="shared" si="27"/>
        <v>18.124999999999993</v>
      </c>
      <c r="K161" s="676">
        <f t="shared" si="33"/>
        <v>0</v>
      </c>
      <c r="L161" s="1044">
        <f t="shared" si="28"/>
        <v>18.124999999999993</v>
      </c>
      <c r="M161" s="145" t="str">
        <f t="shared" si="29"/>
        <v/>
      </c>
      <c r="N161" s="684">
        <f t="shared" si="30"/>
        <v>46045</v>
      </c>
    </row>
    <row r="162" spans="1:14" ht="15" customHeight="1">
      <c r="A162" s="658">
        <v>46045</v>
      </c>
      <c r="B162" s="658" t="str">
        <f t="shared" si="24"/>
        <v>Vie</v>
      </c>
      <c r="C162" s="674" t="s">
        <v>497</v>
      </c>
      <c r="D162" s="885" t="s">
        <v>524</v>
      </c>
      <c r="E162" s="687">
        <v>0.84375</v>
      </c>
      <c r="F162" s="687">
        <v>0</v>
      </c>
      <c r="G162" s="688">
        <f t="shared" si="25"/>
        <v>3.75</v>
      </c>
      <c r="H162" s="676">
        <f>IF(D162="","",IFERROR(VLOOKUP(D162,'Resumen Empleado'!$A$4:$B$17,2,FALSE),""))</f>
        <v>7.3</v>
      </c>
      <c r="I162" s="676">
        <f t="shared" si="26"/>
        <v>0</v>
      </c>
      <c r="J162" s="676">
        <f t="shared" si="27"/>
        <v>0</v>
      </c>
      <c r="K162" s="676">
        <f t="shared" si="33"/>
        <v>27.375</v>
      </c>
      <c r="L162" s="1044">
        <f t="shared" si="28"/>
        <v>27.375</v>
      </c>
      <c r="M162" s="145" t="str">
        <f t="shared" si="29"/>
        <v/>
      </c>
      <c r="N162" s="684">
        <f t="shared" si="30"/>
        <v>46045</v>
      </c>
    </row>
    <row r="163" spans="1:14" ht="15" customHeight="1">
      <c r="A163" s="658">
        <v>46045</v>
      </c>
      <c r="B163" s="658" t="str">
        <f t="shared" si="24"/>
        <v>Vie</v>
      </c>
      <c r="C163" s="674" t="s">
        <v>497</v>
      </c>
      <c r="D163" s="885" t="s">
        <v>526</v>
      </c>
      <c r="E163" s="687">
        <v>0.79166666666666663</v>
      </c>
      <c r="F163" s="687">
        <v>0</v>
      </c>
      <c r="G163" s="688">
        <f t="shared" si="25"/>
        <v>5.0000000000000009</v>
      </c>
      <c r="H163" s="676">
        <f>IF(D163="","",IFERROR(VLOOKUP(D163,'Resumen Empleado'!$A$4:$B$17,2,FALSE),""))</f>
        <v>16</v>
      </c>
      <c r="I163" s="676">
        <f t="shared" si="26"/>
        <v>0</v>
      </c>
      <c r="J163" s="676">
        <f t="shared" si="27"/>
        <v>0</v>
      </c>
      <c r="K163" s="676">
        <f t="shared" si="33"/>
        <v>80.000000000000014</v>
      </c>
      <c r="L163" s="1044">
        <f t="shared" si="28"/>
        <v>80.000000000000014</v>
      </c>
      <c r="M163" s="145" t="str">
        <f t="shared" si="29"/>
        <v/>
      </c>
      <c r="N163" s="684">
        <f t="shared" si="30"/>
        <v>46045</v>
      </c>
    </row>
    <row r="164" spans="1:14" ht="15" customHeight="1">
      <c r="A164" s="658">
        <v>46045</v>
      </c>
      <c r="B164" s="658" t="str">
        <f t="shared" si="24"/>
        <v>Vie</v>
      </c>
      <c r="C164" s="674" t="s">
        <v>497</v>
      </c>
      <c r="D164" s="885" t="s">
        <v>523</v>
      </c>
      <c r="E164" s="687">
        <v>0.79166666666666663</v>
      </c>
      <c r="F164" s="687">
        <v>0</v>
      </c>
      <c r="G164" s="688">
        <f t="shared" si="25"/>
        <v>5.0000000000000009</v>
      </c>
      <c r="H164" s="676">
        <f>IF(D164="","",IFERROR(VLOOKUP(D164,'Resumen Empleado'!$A$4:$B$17,2,FALSE),""))</f>
        <v>6.39</v>
      </c>
      <c r="I164" s="676">
        <f t="shared" si="26"/>
        <v>0</v>
      </c>
      <c r="J164" s="676">
        <f t="shared" si="27"/>
        <v>0</v>
      </c>
      <c r="K164" s="676">
        <f t="shared" si="33"/>
        <v>31.950000000000003</v>
      </c>
      <c r="L164" s="1044">
        <f t="shared" si="28"/>
        <v>31.950000000000003</v>
      </c>
      <c r="M164" s="145" t="str">
        <f t="shared" si="29"/>
        <v/>
      </c>
      <c r="N164" s="684">
        <f t="shared" si="30"/>
        <v>46045</v>
      </c>
    </row>
    <row r="165" spans="1:14" ht="15" customHeight="1">
      <c r="A165" s="658">
        <v>46045</v>
      </c>
      <c r="B165" s="658" t="str">
        <f t="shared" si="24"/>
        <v>Vie</v>
      </c>
      <c r="C165" s="674" t="s">
        <v>497</v>
      </c>
      <c r="D165" s="885" t="s">
        <v>525</v>
      </c>
      <c r="E165" s="687">
        <v>0.79166666666666663</v>
      </c>
      <c r="F165" s="687">
        <v>0</v>
      </c>
      <c r="G165" s="688">
        <f t="shared" si="25"/>
        <v>5.0000000000000009</v>
      </c>
      <c r="H165" s="676">
        <f>IF(D165="","",IFERROR(VLOOKUP(D165,'Resumen Empleado'!$A$4:$B$17,2,FALSE),""))</f>
        <v>7.25</v>
      </c>
      <c r="I165" s="676">
        <f t="shared" si="26"/>
        <v>0</v>
      </c>
      <c r="J165" s="676">
        <f t="shared" si="27"/>
        <v>0</v>
      </c>
      <c r="K165" s="676">
        <f t="shared" si="33"/>
        <v>36.250000000000007</v>
      </c>
      <c r="L165" s="1044">
        <f t="shared" si="28"/>
        <v>36.250000000000007</v>
      </c>
      <c r="M165" s="145" t="str">
        <f t="shared" si="29"/>
        <v/>
      </c>
      <c r="N165" s="684">
        <f t="shared" si="30"/>
        <v>46045</v>
      </c>
    </row>
    <row r="166" spans="1:14" ht="15" customHeight="1">
      <c r="A166" s="658">
        <v>46045</v>
      </c>
      <c r="B166" s="658" t="str">
        <f t="shared" si="24"/>
        <v>Vie</v>
      </c>
      <c r="C166" s="674" t="s">
        <v>497</v>
      </c>
      <c r="D166" s="885" t="s">
        <v>522</v>
      </c>
      <c r="E166" s="687">
        <v>0.80208333333333337</v>
      </c>
      <c r="F166" s="687">
        <v>0.92708333333333337</v>
      </c>
      <c r="G166" s="688">
        <f t="shared" si="25"/>
        <v>3</v>
      </c>
      <c r="H166" s="676">
        <f>IF(D166="","",IFERROR(VLOOKUP(D166,'Resumen Empleado'!$A$4:$B$17,2,FALSE),""))</f>
        <v>10</v>
      </c>
      <c r="I166" s="676">
        <f t="shared" si="26"/>
        <v>0</v>
      </c>
      <c r="J166" s="676">
        <f t="shared" si="27"/>
        <v>0</v>
      </c>
      <c r="K166" s="676">
        <f t="shared" si="33"/>
        <v>30</v>
      </c>
      <c r="L166" s="1044">
        <f t="shared" si="28"/>
        <v>30</v>
      </c>
      <c r="M166" s="145" t="str">
        <f t="shared" si="29"/>
        <v/>
      </c>
      <c r="N166" s="684">
        <f t="shared" si="30"/>
        <v>46045</v>
      </c>
    </row>
    <row r="167" spans="1:14" ht="15" customHeight="1">
      <c r="A167" s="658">
        <v>46045</v>
      </c>
      <c r="B167" s="658" t="str">
        <f t="shared" si="24"/>
        <v>Vie</v>
      </c>
      <c r="C167" s="674" t="s">
        <v>497</v>
      </c>
      <c r="D167" s="885" t="s">
        <v>527</v>
      </c>
      <c r="E167" s="687">
        <v>0.8125</v>
      </c>
      <c r="F167" s="687">
        <v>0.89583333333333337</v>
      </c>
      <c r="G167" s="688">
        <f t="shared" si="25"/>
        <v>2.0000000000000009</v>
      </c>
      <c r="H167" s="676" t="str">
        <f>IF(D167="","",IFERROR(VLOOKUP(D167,'Resumen Empleado'!$A$4:$B$17,2,FALSE),""))</f>
        <v/>
      </c>
      <c r="I167" s="676">
        <f t="shared" si="26"/>
        <v>0</v>
      </c>
      <c r="J167" s="676">
        <f t="shared" si="27"/>
        <v>0</v>
      </c>
      <c r="K167" s="676">
        <f t="shared" si="33"/>
        <v>0</v>
      </c>
      <c r="L167" s="1044">
        <f t="shared" si="28"/>
        <v>0</v>
      </c>
      <c r="M167" s="145" t="str">
        <f t="shared" si="29"/>
        <v/>
      </c>
      <c r="N167" s="684">
        <f t="shared" si="30"/>
        <v>46045</v>
      </c>
    </row>
    <row r="168" spans="1:14" ht="15" customHeight="1">
      <c r="A168" s="658">
        <v>46045</v>
      </c>
      <c r="B168" s="658" t="str">
        <f t="shared" si="24"/>
        <v>Vie</v>
      </c>
      <c r="C168" s="674" t="s">
        <v>146</v>
      </c>
      <c r="D168" s="885" t="s">
        <v>528</v>
      </c>
      <c r="E168" s="687">
        <v>0.33333333333333331</v>
      </c>
      <c r="F168" s="687">
        <v>0.66666666666666663</v>
      </c>
      <c r="G168" s="688">
        <f t="shared" si="25"/>
        <v>8</v>
      </c>
      <c r="H168" s="676">
        <f>IF(D168="","",IFERROR(VLOOKUP(D168,'Resumen Empleado'!$A$4:$B$17,2,FALSE),""))</f>
        <v>11</v>
      </c>
      <c r="I168" s="676">
        <f t="shared" si="26"/>
        <v>44</v>
      </c>
      <c r="J168" s="676">
        <f t="shared" si="27"/>
        <v>43.999999999999993</v>
      </c>
      <c r="K168" s="676">
        <f>IF(OR(E168="",F168="",H168=""),0,MAX(0,(MIN(IF(F168&lt;E168,1+F168,F168),1+TIME(5,0,0))-MAX(E168,TIME(19,0,0))))*24*H168)</f>
        <v>0</v>
      </c>
      <c r="L168" s="1044">
        <f t="shared" si="28"/>
        <v>88</v>
      </c>
      <c r="M168" s="145" t="str">
        <f t="shared" si="29"/>
        <v/>
      </c>
      <c r="N168" s="684">
        <f t="shared" si="30"/>
        <v>46045</v>
      </c>
    </row>
    <row r="169" spans="1:14" ht="15" customHeight="1">
      <c r="A169" s="658">
        <v>46046</v>
      </c>
      <c r="B169" s="658" t="str">
        <f t="shared" si="24"/>
        <v>Sáb</v>
      </c>
      <c r="C169" s="674" t="s">
        <v>146</v>
      </c>
      <c r="D169" s="885" t="s">
        <v>525</v>
      </c>
      <c r="E169" s="687">
        <v>0.39583333333333331</v>
      </c>
      <c r="F169" s="687">
        <v>0.63541666666666663</v>
      </c>
      <c r="G169" s="688">
        <f t="shared" si="25"/>
        <v>5.75</v>
      </c>
      <c r="H169" s="676">
        <f>IF(D169="","",IFERROR(VLOOKUP(D169,'Resumen Empleado'!$A$4:$B$17,2,FALSE),""))</f>
        <v>7.25</v>
      </c>
      <c r="I169" s="676">
        <f t="shared" si="26"/>
        <v>18.125000000000004</v>
      </c>
      <c r="J169" s="676">
        <f t="shared" si="27"/>
        <v>23.562499999999993</v>
      </c>
      <c r="K169" s="676">
        <f t="shared" ref="K169:K179" si="34">IF(OR(E169="",F169="",H169=""),0,MAX(0,(MIN(IF(F169&lt;E169,F169+1,F169),1+TIME(5,0,0))-MAX(E169,TIME(19,0,0))))*24*H169)</f>
        <v>0</v>
      </c>
      <c r="L169" s="1044">
        <f t="shared" si="28"/>
        <v>41.6875</v>
      </c>
      <c r="M169" s="145" t="str">
        <f t="shared" si="29"/>
        <v/>
      </c>
      <c r="N169" s="684">
        <f t="shared" si="30"/>
        <v>46046</v>
      </c>
    </row>
    <row r="170" spans="1:14" ht="15" customHeight="1">
      <c r="A170" s="658">
        <v>46046</v>
      </c>
      <c r="B170" s="658" t="str">
        <f t="shared" si="24"/>
        <v>Sáb</v>
      </c>
      <c r="C170" s="674" t="s">
        <v>146</v>
      </c>
      <c r="D170" s="885" t="s">
        <v>524</v>
      </c>
      <c r="E170" s="687">
        <v>0.53125</v>
      </c>
      <c r="F170" s="687">
        <v>0.66666666666666663</v>
      </c>
      <c r="G170" s="688">
        <f t="shared" si="25"/>
        <v>3.2499999999999991</v>
      </c>
      <c r="H170" s="676">
        <f>IF(D170="","",IFERROR(VLOOKUP(D170,'Resumen Empleado'!$A$4:$B$17,2,FALSE),""))</f>
        <v>7.3</v>
      </c>
      <c r="I170" s="676">
        <f t="shared" si="26"/>
        <v>0</v>
      </c>
      <c r="J170" s="676">
        <f t="shared" si="27"/>
        <v>23.724999999999994</v>
      </c>
      <c r="K170" s="676">
        <f t="shared" si="34"/>
        <v>0</v>
      </c>
      <c r="L170" s="1044">
        <f t="shared" si="28"/>
        <v>23.724999999999994</v>
      </c>
      <c r="M170" s="145" t="str">
        <f t="shared" si="29"/>
        <v/>
      </c>
      <c r="N170" s="684">
        <f t="shared" si="30"/>
        <v>46046</v>
      </c>
    </row>
    <row r="171" spans="1:14" ht="15" customHeight="1">
      <c r="A171" s="658">
        <v>46046</v>
      </c>
      <c r="B171" s="658" t="str">
        <f t="shared" si="24"/>
        <v>Sáb</v>
      </c>
      <c r="C171" s="674" t="s">
        <v>146</v>
      </c>
      <c r="D171" s="885" t="s">
        <v>526</v>
      </c>
      <c r="E171" s="687">
        <v>0.375</v>
      </c>
      <c r="F171" s="687">
        <v>0.66666666666666663</v>
      </c>
      <c r="G171" s="688">
        <f t="shared" si="25"/>
        <v>6.9999999999999991</v>
      </c>
      <c r="H171" s="676">
        <f>IF(D171="","",IFERROR(VLOOKUP(D171,'Resumen Empleado'!$A$4:$B$17,2,FALSE),""))</f>
        <v>16</v>
      </c>
      <c r="I171" s="676">
        <f t="shared" si="26"/>
        <v>48</v>
      </c>
      <c r="J171" s="676">
        <f t="shared" si="27"/>
        <v>63.999999999999986</v>
      </c>
      <c r="K171" s="676">
        <f t="shared" si="34"/>
        <v>0</v>
      </c>
      <c r="L171" s="1044">
        <f t="shared" si="28"/>
        <v>111.99999999999999</v>
      </c>
      <c r="M171" s="145" t="str">
        <f t="shared" si="29"/>
        <v/>
      </c>
      <c r="N171" s="684">
        <f t="shared" si="30"/>
        <v>46046</v>
      </c>
    </row>
    <row r="172" spans="1:14" ht="15" customHeight="1">
      <c r="A172" s="658">
        <v>46046</v>
      </c>
      <c r="B172" s="658" t="str">
        <f t="shared" si="24"/>
        <v>Sáb</v>
      </c>
      <c r="C172" s="674" t="s">
        <v>146</v>
      </c>
      <c r="D172" s="885" t="s">
        <v>523</v>
      </c>
      <c r="E172" s="687">
        <v>0.30208333333333331</v>
      </c>
      <c r="F172" s="687">
        <v>0.625</v>
      </c>
      <c r="G172" s="688">
        <f t="shared" si="25"/>
        <v>7.75</v>
      </c>
      <c r="H172" s="676">
        <f>IF(D172="","",IFERROR(VLOOKUP(D172,'Resumen Empleado'!$A$4:$B$17,2,FALSE),""))</f>
        <v>6.39</v>
      </c>
      <c r="I172" s="676">
        <f t="shared" si="26"/>
        <v>30.352499999999999</v>
      </c>
      <c r="J172" s="676">
        <f t="shared" si="27"/>
        <v>19.169999999999998</v>
      </c>
      <c r="K172" s="676">
        <f t="shared" si="34"/>
        <v>0</v>
      </c>
      <c r="L172" s="1044">
        <f t="shared" si="28"/>
        <v>49.522499999999994</v>
      </c>
      <c r="M172" s="145" t="str">
        <f t="shared" si="29"/>
        <v/>
      </c>
      <c r="N172" s="684">
        <f t="shared" si="30"/>
        <v>46046</v>
      </c>
    </row>
    <row r="173" spans="1:14" ht="15" customHeight="1">
      <c r="A173" s="658">
        <v>46046</v>
      </c>
      <c r="B173" s="658" t="str">
        <f t="shared" si="24"/>
        <v>Sáb</v>
      </c>
      <c r="C173" s="674" t="s">
        <v>146</v>
      </c>
      <c r="D173" s="885" t="s">
        <v>522</v>
      </c>
      <c r="E173" s="687">
        <v>0.33333333333333331</v>
      </c>
      <c r="F173" s="687">
        <v>0.375</v>
      </c>
      <c r="G173" s="688">
        <f t="shared" si="25"/>
        <v>1.0000000000000004</v>
      </c>
      <c r="H173" s="676">
        <f>IF(D173="","",IFERROR(VLOOKUP(D173,'Resumen Empleado'!$A$4:$B$17,2,FALSE),""))</f>
        <v>10</v>
      </c>
      <c r="I173" s="676">
        <f t="shared" si="26"/>
        <v>10.000000000000004</v>
      </c>
      <c r="J173" s="676">
        <f t="shared" si="27"/>
        <v>0</v>
      </c>
      <c r="K173" s="676">
        <f t="shared" si="34"/>
        <v>0</v>
      </c>
      <c r="L173" s="1044">
        <f t="shared" si="28"/>
        <v>10.000000000000004</v>
      </c>
      <c r="M173" s="145" t="str">
        <f t="shared" si="29"/>
        <v/>
      </c>
      <c r="N173" s="684">
        <f t="shared" si="30"/>
        <v>46046</v>
      </c>
    </row>
    <row r="174" spans="1:14" ht="15" customHeight="1">
      <c r="A174" s="658">
        <v>46046</v>
      </c>
      <c r="B174" s="658" t="str">
        <f t="shared" si="24"/>
        <v>Sáb</v>
      </c>
      <c r="C174" s="674" t="s">
        <v>146</v>
      </c>
      <c r="D174" s="885" t="s">
        <v>522</v>
      </c>
      <c r="E174" s="687">
        <v>0.5</v>
      </c>
      <c r="F174" s="687">
        <v>0.64583333333333337</v>
      </c>
      <c r="G174" s="688">
        <f t="shared" si="25"/>
        <v>3.5000000000000009</v>
      </c>
      <c r="H174" s="676">
        <f>IF(D174="","",IFERROR(VLOOKUP(D174,'Resumen Empleado'!$A$4:$B$17,2,FALSE),""))</f>
        <v>10</v>
      </c>
      <c r="I174" s="676">
        <f t="shared" si="26"/>
        <v>0</v>
      </c>
      <c r="J174" s="676">
        <f t="shared" si="27"/>
        <v>35.000000000000007</v>
      </c>
      <c r="K174" s="676">
        <f t="shared" si="34"/>
        <v>0</v>
      </c>
      <c r="L174" s="1044">
        <f t="shared" si="28"/>
        <v>35.000000000000007</v>
      </c>
      <c r="M174" s="145" t="str">
        <f t="shared" si="29"/>
        <v/>
      </c>
      <c r="N174" s="684">
        <f t="shared" si="30"/>
        <v>46046</v>
      </c>
    </row>
    <row r="175" spans="1:14" ht="15" customHeight="1">
      <c r="A175" s="658">
        <v>46046</v>
      </c>
      <c r="B175" s="658" t="str">
        <f t="shared" si="24"/>
        <v>Sáb</v>
      </c>
      <c r="C175" s="674" t="s">
        <v>497</v>
      </c>
      <c r="D175" s="885" t="s">
        <v>522</v>
      </c>
      <c r="E175" s="687">
        <v>0.79166666666666663</v>
      </c>
      <c r="F175" s="687">
        <v>0.9375</v>
      </c>
      <c r="G175" s="688">
        <f t="shared" si="25"/>
        <v>3.5000000000000009</v>
      </c>
      <c r="H175" s="676">
        <f>IF(D175="","",IFERROR(VLOOKUP(D175,'Resumen Empleado'!$A$4:$B$17,2,FALSE),""))</f>
        <v>10</v>
      </c>
      <c r="I175" s="676">
        <f t="shared" si="26"/>
        <v>0</v>
      </c>
      <c r="J175" s="676">
        <f t="shared" si="27"/>
        <v>0</v>
      </c>
      <c r="K175" s="676">
        <f t="shared" si="34"/>
        <v>35.000000000000007</v>
      </c>
      <c r="L175" s="1044">
        <f t="shared" si="28"/>
        <v>35.000000000000007</v>
      </c>
      <c r="M175" s="145" t="str">
        <f t="shared" si="29"/>
        <v/>
      </c>
      <c r="N175" s="684">
        <f t="shared" si="30"/>
        <v>46046</v>
      </c>
    </row>
    <row r="176" spans="1:14" ht="15" customHeight="1">
      <c r="A176" s="658">
        <v>46046</v>
      </c>
      <c r="B176" s="658" t="str">
        <f t="shared" si="24"/>
        <v>Sáb</v>
      </c>
      <c r="C176" s="674" t="s">
        <v>497</v>
      </c>
      <c r="D176" s="885" t="s">
        <v>524</v>
      </c>
      <c r="E176" s="687">
        <v>0.84375</v>
      </c>
      <c r="F176" s="687">
        <v>0</v>
      </c>
      <c r="G176" s="688">
        <f t="shared" si="25"/>
        <v>3.75</v>
      </c>
      <c r="H176" s="676">
        <f>IF(D176="","",IFERROR(VLOOKUP(D176,'Resumen Empleado'!$A$4:$B$17,2,FALSE),""))</f>
        <v>7.3</v>
      </c>
      <c r="I176" s="676">
        <f t="shared" si="26"/>
        <v>0</v>
      </c>
      <c r="J176" s="676">
        <f t="shared" si="27"/>
        <v>0</v>
      </c>
      <c r="K176" s="676">
        <f t="shared" si="34"/>
        <v>27.375</v>
      </c>
      <c r="L176" s="1044">
        <f t="shared" si="28"/>
        <v>27.375</v>
      </c>
      <c r="M176" s="145" t="str">
        <f t="shared" si="29"/>
        <v/>
      </c>
      <c r="N176" s="684">
        <f t="shared" si="30"/>
        <v>46046</v>
      </c>
    </row>
    <row r="177" spans="1:14" ht="15" customHeight="1">
      <c r="A177" s="658">
        <v>46046</v>
      </c>
      <c r="B177" s="658" t="str">
        <f t="shared" si="24"/>
        <v>Sáb</v>
      </c>
      <c r="C177" s="674" t="s">
        <v>497</v>
      </c>
      <c r="D177" s="885" t="s">
        <v>525</v>
      </c>
      <c r="E177" s="687">
        <v>0.79166666666666663</v>
      </c>
      <c r="F177" s="687">
        <v>0</v>
      </c>
      <c r="G177" s="688">
        <f t="shared" si="25"/>
        <v>5.0000000000000009</v>
      </c>
      <c r="H177" s="676">
        <f>IF(D177="","",IFERROR(VLOOKUP(D177,'Resumen Empleado'!$A$4:$B$17,2,FALSE),""))</f>
        <v>7.25</v>
      </c>
      <c r="I177" s="676">
        <f t="shared" si="26"/>
        <v>0</v>
      </c>
      <c r="J177" s="676">
        <f t="shared" si="27"/>
        <v>0</v>
      </c>
      <c r="K177" s="676">
        <f t="shared" si="34"/>
        <v>36.250000000000007</v>
      </c>
      <c r="L177" s="1044">
        <f t="shared" si="28"/>
        <v>36.250000000000007</v>
      </c>
      <c r="M177" s="145" t="str">
        <f t="shared" si="29"/>
        <v/>
      </c>
      <c r="N177" s="684">
        <f t="shared" si="30"/>
        <v>46046</v>
      </c>
    </row>
    <row r="178" spans="1:14" ht="15" customHeight="1">
      <c r="A178" s="658">
        <v>46046</v>
      </c>
      <c r="B178" s="658" t="str">
        <f t="shared" si="24"/>
        <v>Sáb</v>
      </c>
      <c r="C178" s="674" t="s">
        <v>497</v>
      </c>
      <c r="D178" s="885" t="s">
        <v>526</v>
      </c>
      <c r="E178" s="687">
        <v>0.83333333333333337</v>
      </c>
      <c r="F178" s="687">
        <v>0</v>
      </c>
      <c r="G178" s="688">
        <f t="shared" si="25"/>
        <v>3.9999999999999991</v>
      </c>
      <c r="H178" s="676">
        <f>IF(D178="","",IFERROR(VLOOKUP(D178,'Resumen Empleado'!$A$4:$B$17,2,FALSE),""))</f>
        <v>16</v>
      </c>
      <c r="I178" s="676">
        <f t="shared" si="26"/>
        <v>0</v>
      </c>
      <c r="J178" s="676">
        <f t="shared" si="27"/>
        <v>0</v>
      </c>
      <c r="K178" s="676">
        <f t="shared" si="34"/>
        <v>63.999999999999986</v>
      </c>
      <c r="L178" s="1044">
        <f t="shared" si="28"/>
        <v>63.999999999999986</v>
      </c>
      <c r="M178" s="145" t="str">
        <f t="shared" si="29"/>
        <v/>
      </c>
      <c r="N178" s="684">
        <f t="shared" si="30"/>
        <v>46046</v>
      </c>
    </row>
    <row r="179" spans="1:14" ht="15" customHeight="1">
      <c r="A179" s="658">
        <v>46046</v>
      </c>
      <c r="B179" s="658" t="str">
        <f t="shared" si="24"/>
        <v>Sáb</v>
      </c>
      <c r="C179" s="674" t="s">
        <v>497</v>
      </c>
      <c r="D179" s="885" t="s">
        <v>523</v>
      </c>
      <c r="E179" s="687">
        <v>0.79166666666666663</v>
      </c>
      <c r="F179" s="687">
        <v>0</v>
      </c>
      <c r="G179" s="688">
        <f t="shared" si="25"/>
        <v>5.0000000000000009</v>
      </c>
      <c r="H179" s="676">
        <f>IF(D179="","",IFERROR(VLOOKUP(D179,'Resumen Empleado'!$A$4:$B$17,2,FALSE),""))</f>
        <v>6.39</v>
      </c>
      <c r="I179" s="676">
        <f t="shared" si="26"/>
        <v>0</v>
      </c>
      <c r="J179" s="676">
        <f t="shared" si="27"/>
        <v>0</v>
      </c>
      <c r="K179" s="676">
        <f t="shared" si="34"/>
        <v>31.950000000000003</v>
      </c>
      <c r="L179" s="1044">
        <f t="shared" si="28"/>
        <v>31.950000000000003</v>
      </c>
      <c r="M179" s="145" t="str">
        <f t="shared" si="29"/>
        <v/>
      </c>
      <c r="N179" s="684">
        <f t="shared" si="30"/>
        <v>46046</v>
      </c>
    </row>
    <row r="180" spans="1:14" ht="15" customHeight="1">
      <c r="A180" s="658">
        <v>46046</v>
      </c>
      <c r="B180" s="658" t="str">
        <f t="shared" si="24"/>
        <v>Sáb</v>
      </c>
      <c r="C180" s="674" t="s">
        <v>146</v>
      </c>
      <c r="D180" s="885" t="s">
        <v>528</v>
      </c>
      <c r="E180" s="687">
        <v>0.33333333333333331</v>
      </c>
      <c r="F180" s="687">
        <v>0.66666666666666663</v>
      </c>
      <c r="G180" s="688">
        <f t="shared" si="25"/>
        <v>8</v>
      </c>
      <c r="H180" s="676">
        <f>IF(D180="","",IFERROR(VLOOKUP(D180,'Resumen Empleado'!$A$4:$B$17,2,FALSE),""))</f>
        <v>11</v>
      </c>
      <c r="I180" s="676">
        <f t="shared" si="26"/>
        <v>44</v>
      </c>
      <c r="J180" s="676">
        <f t="shared" si="27"/>
        <v>43.999999999999993</v>
      </c>
      <c r="K180" s="676">
        <f>IF(OR(E180="",F180="",H180=""),0,MAX(0,(MIN(IF(F180&lt;E180,1+F180,F180),1+TIME(5,0,0))-MAX(E180,TIME(19,0,0))))*24*H180)</f>
        <v>0</v>
      </c>
      <c r="L180" s="1044">
        <f t="shared" si="28"/>
        <v>88</v>
      </c>
      <c r="M180" s="145" t="str">
        <f t="shared" si="29"/>
        <v/>
      </c>
      <c r="N180" s="684">
        <f t="shared" si="30"/>
        <v>46046</v>
      </c>
    </row>
    <row r="181" spans="1:14" ht="15" customHeight="1">
      <c r="A181" s="658">
        <v>46047</v>
      </c>
      <c r="B181" s="658" t="str">
        <f t="shared" si="24"/>
        <v>Dom</v>
      </c>
      <c r="C181" s="674" t="s">
        <v>146</v>
      </c>
      <c r="D181" s="885" t="s">
        <v>523</v>
      </c>
      <c r="E181" s="687">
        <v>0.30208333333333331</v>
      </c>
      <c r="F181" s="687">
        <v>0.70833333333333337</v>
      </c>
      <c r="G181" s="688">
        <f t="shared" si="25"/>
        <v>9.7500000000000018</v>
      </c>
      <c r="H181" s="676">
        <f>IF(D181="","",IFERROR(VLOOKUP(D181,'Resumen Empleado'!$A$4:$B$17,2,FALSE),""))</f>
        <v>6.39</v>
      </c>
      <c r="I181" s="676">
        <f t="shared" si="26"/>
        <v>30.352499999999999</v>
      </c>
      <c r="J181" s="676">
        <f t="shared" si="27"/>
        <v>31.950000000000003</v>
      </c>
      <c r="K181" s="676">
        <f t="shared" ref="K181:K186" si="35">IF(OR(E181="",F181="",H181=""),0,MAX(0,(MIN(IF(F181&lt;E181,F181+1,F181),1+TIME(5,0,0))-MAX(E181,TIME(19,0,0))))*24*H181)</f>
        <v>0</v>
      </c>
      <c r="L181" s="1044">
        <f t="shared" si="28"/>
        <v>62.302500000000002</v>
      </c>
      <c r="M181" s="145" t="str">
        <f t="shared" si="29"/>
        <v/>
      </c>
      <c r="N181" s="684">
        <f t="shared" si="30"/>
        <v>46047</v>
      </c>
    </row>
    <row r="182" spans="1:14" ht="15" customHeight="1">
      <c r="A182" s="658">
        <v>46047</v>
      </c>
      <c r="B182" s="658" t="str">
        <f t="shared" si="24"/>
        <v>Dom</v>
      </c>
      <c r="C182" s="674" t="s">
        <v>146</v>
      </c>
      <c r="D182" s="885" t="s">
        <v>526</v>
      </c>
      <c r="E182" s="687">
        <v>0.40625</v>
      </c>
      <c r="F182" s="687">
        <v>0.70833333333333337</v>
      </c>
      <c r="G182" s="688">
        <f t="shared" si="25"/>
        <v>7.2500000000000009</v>
      </c>
      <c r="H182" s="676">
        <f>IF(D182="","",IFERROR(VLOOKUP(D182,'Resumen Empleado'!$A$4:$B$17,2,FALSE),""))</f>
        <v>16</v>
      </c>
      <c r="I182" s="676">
        <f t="shared" si="26"/>
        <v>36</v>
      </c>
      <c r="J182" s="676">
        <f t="shared" si="27"/>
        <v>80.000000000000014</v>
      </c>
      <c r="K182" s="676">
        <f t="shared" si="35"/>
        <v>0</v>
      </c>
      <c r="L182" s="1044">
        <f t="shared" si="28"/>
        <v>116.00000000000001</v>
      </c>
      <c r="M182" s="145" t="str">
        <f t="shared" si="29"/>
        <v/>
      </c>
      <c r="N182" s="684">
        <f t="shared" si="30"/>
        <v>46047</v>
      </c>
    </row>
    <row r="183" spans="1:14" ht="15" customHeight="1">
      <c r="A183" s="658">
        <v>46047</v>
      </c>
      <c r="B183" s="658" t="str">
        <f t="shared" si="24"/>
        <v>Dom</v>
      </c>
      <c r="C183" s="674" t="s">
        <v>146</v>
      </c>
      <c r="D183" s="885" t="s">
        <v>522</v>
      </c>
      <c r="E183" s="687">
        <v>0.33333333333333331</v>
      </c>
      <c r="F183" s="687">
        <v>0.67708333333333337</v>
      </c>
      <c r="G183" s="688">
        <f t="shared" si="25"/>
        <v>8.2500000000000018</v>
      </c>
      <c r="H183" s="676">
        <f>IF(D183="","",IFERROR(VLOOKUP(D183,'Resumen Empleado'!$A$4:$B$17,2,FALSE),""))</f>
        <v>10</v>
      </c>
      <c r="I183" s="676">
        <f t="shared" si="26"/>
        <v>40</v>
      </c>
      <c r="J183" s="676">
        <f t="shared" si="27"/>
        <v>42.500000000000007</v>
      </c>
      <c r="K183" s="676">
        <f t="shared" si="35"/>
        <v>0</v>
      </c>
      <c r="L183" s="1044">
        <f t="shared" si="28"/>
        <v>82.5</v>
      </c>
      <c r="M183" s="145" t="str">
        <f t="shared" si="29"/>
        <v/>
      </c>
      <c r="N183" s="684">
        <f t="shared" si="30"/>
        <v>46047</v>
      </c>
    </row>
    <row r="184" spans="1:14" ht="15" customHeight="1">
      <c r="A184" s="658">
        <v>46047</v>
      </c>
      <c r="B184" s="658" t="str">
        <f t="shared" si="24"/>
        <v>Dom</v>
      </c>
      <c r="C184" s="674" t="s">
        <v>146</v>
      </c>
      <c r="D184" s="885" t="s">
        <v>525</v>
      </c>
      <c r="E184" s="687">
        <v>0.39583333333333331</v>
      </c>
      <c r="F184" s="687">
        <v>0.70833333333333337</v>
      </c>
      <c r="G184" s="688">
        <f t="shared" si="25"/>
        <v>7.5000000000000018</v>
      </c>
      <c r="H184" s="676">
        <f>IF(D184="","",IFERROR(VLOOKUP(D184,'Resumen Empleado'!$A$4:$B$17,2,FALSE),""))</f>
        <v>7.25</v>
      </c>
      <c r="I184" s="676">
        <f t="shared" si="26"/>
        <v>18.125000000000004</v>
      </c>
      <c r="J184" s="676">
        <f t="shared" si="27"/>
        <v>36.250000000000007</v>
      </c>
      <c r="K184" s="676">
        <f t="shared" si="35"/>
        <v>0</v>
      </c>
      <c r="L184" s="1044">
        <f t="shared" si="28"/>
        <v>54.375000000000014</v>
      </c>
      <c r="M184" s="145" t="str">
        <f t="shared" si="29"/>
        <v/>
      </c>
      <c r="N184" s="684">
        <f t="shared" si="30"/>
        <v>46047</v>
      </c>
    </row>
    <row r="185" spans="1:14" ht="15" customHeight="1">
      <c r="A185" s="658">
        <v>46047</v>
      </c>
      <c r="B185" s="658" t="str">
        <f t="shared" si="24"/>
        <v>Dom</v>
      </c>
      <c r="C185" s="674" t="s">
        <v>146</v>
      </c>
      <c r="D185" s="885" t="s">
        <v>524</v>
      </c>
      <c r="E185" s="687">
        <v>0.54166666666666663</v>
      </c>
      <c r="F185" s="687">
        <v>0.70833333333333337</v>
      </c>
      <c r="G185" s="688">
        <f t="shared" si="25"/>
        <v>4.0000000000000018</v>
      </c>
      <c r="H185" s="676">
        <f>IF(D185="","",IFERROR(VLOOKUP(D185,'Resumen Empleado'!$A$4:$B$17,2,FALSE),""))</f>
        <v>7.3</v>
      </c>
      <c r="I185" s="676">
        <f t="shared" si="26"/>
        <v>0</v>
      </c>
      <c r="J185" s="676">
        <f t="shared" si="27"/>
        <v>29.200000000000014</v>
      </c>
      <c r="K185" s="676">
        <f t="shared" si="35"/>
        <v>0</v>
      </c>
      <c r="L185" s="1044">
        <f t="shared" si="28"/>
        <v>29.200000000000014</v>
      </c>
      <c r="M185" s="145" t="str">
        <f t="shared" si="29"/>
        <v/>
      </c>
      <c r="N185" s="684">
        <f t="shared" si="30"/>
        <v>46047</v>
      </c>
    </row>
    <row r="186" spans="1:14" ht="15" customHeight="1">
      <c r="A186" s="658">
        <v>46047</v>
      </c>
      <c r="B186" s="658" t="str">
        <f t="shared" si="24"/>
        <v>Dom</v>
      </c>
      <c r="C186" s="674" t="s">
        <v>146</v>
      </c>
      <c r="D186" s="885" t="s">
        <v>529</v>
      </c>
      <c r="E186" s="687">
        <v>0.5</v>
      </c>
      <c r="F186" s="687">
        <v>0.70833333333333337</v>
      </c>
      <c r="G186" s="688">
        <f t="shared" si="25"/>
        <v>5.0000000000000009</v>
      </c>
      <c r="H186" s="676">
        <f>IF(D186="","",IFERROR(VLOOKUP(D186,'Resumen Empleado'!$A$4:$B$17,2,FALSE),""))</f>
        <v>8</v>
      </c>
      <c r="I186" s="676">
        <f t="shared" si="26"/>
        <v>0</v>
      </c>
      <c r="J186" s="676">
        <f t="shared" si="27"/>
        <v>40.000000000000007</v>
      </c>
      <c r="K186" s="676">
        <f t="shared" si="35"/>
        <v>0</v>
      </c>
      <c r="L186" s="1044">
        <f t="shared" si="28"/>
        <v>40.000000000000007</v>
      </c>
      <c r="M186" s="145" t="str">
        <f t="shared" si="29"/>
        <v/>
      </c>
      <c r="N186" s="684">
        <f t="shared" si="30"/>
        <v>46047</v>
      </c>
    </row>
    <row r="187" spans="1:14" ht="15" customHeight="1">
      <c r="A187" s="658">
        <v>46047</v>
      </c>
      <c r="B187" s="658" t="str">
        <f t="shared" si="24"/>
        <v>Dom</v>
      </c>
      <c r="C187" s="674" t="s">
        <v>146</v>
      </c>
      <c r="D187" s="885" t="s">
        <v>528</v>
      </c>
      <c r="E187" s="687">
        <v>0.33333333333333331</v>
      </c>
      <c r="F187" s="687">
        <v>0.66666666666666663</v>
      </c>
      <c r="G187" s="688">
        <f t="shared" si="25"/>
        <v>8</v>
      </c>
      <c r="H187" s="676">
        <f>IF(D187="","",IFERROR(VLOOKUP(D187,'Resumen Empleado'!$A$4:$B$17,2,FALSE),""))</f>
        <v>11</v>
      </c>
      <c r="I187" s="676">
        <f t="shared" si="26"/>
        <v>44</v>
      </c>
      <c r="J187" s="676">
        <f t="shared" si="27"/>
        <v>43.999999999999993</v>
      </c>
      <c r="K187" s="676">
        <f>IF(OR(E187="",F187="",H187=""),0,MAX(0,(MIN(IF(F187&lt;E187,1+F187,F187),1+TIME(5,0,0))-MAX(E187,TIME(19,0,0))))*24*H187)</f>
        <v>0</v>
      </c>
      <c r="L187" s="1044">
        <f t="shared" si="28"/>
        <v>88</v>
      </c>
      <c r="M187" s="145" t="str">
        <f t="shared" si="29"/>
        <v/>
      </c>
      <c r="N187" s="684">
        <f t="shared" si="30"/>
        <v>46047</v>
      </c>
    </row>
    <row r="188" spans="1:14" ht="15" customHeight="1">
      <c r="A188" s="658">
        <v>46048</v>
      </c>
      <c r="B188" s="658" t="str">
        <f t="shared" si="24"/>
        <v>Lun</v>
      </c>
      <c r="C188" s="674" t="s">
        <v>497</v>
      </c>
      <c r="D188" s="885" t="s">
        <v>527</v>
      </c>
      <c r="E188" s="687">
        <v>0.8125</v>
      </c>
      <c r="F188" s="687">
        <v>0.89583333333333337</v>
      </c>
      <c r="G188" s="688">
        <f t="shared" si="25"/>
        <v>2.0000000000000009</v>
      </c>
      <c r="H188" s="676" t="str">
        <f>IF(D188="","",IFERROR(VLOOKUP(D188,'Resumen Empleado'!$A$4:$B$17,2,FALSE),""))</f>
        <v/>
      </c>
      <c r="I188" s="676">
        <f t="shared" si="26"/>
        <v>0</v>
      </c>
      <c r="J188" s="676">
        <f t="shared" si="27"/>
        <v>0</v>
      </c>
      <c r="K188" s="676">
        <f>IF(OR(E188="",F188="",H188=""),0,MAX(0,(MIN(IF(F188&lt;E188,F188+1,F188),1+TIME(5,0,0))-MAX(E188,TIME(19,0,0))))*24*H188)</f>
        <v>0</v>
      </c>
      <c r="L188" s="1044">
        <f t="shared" si="28"/>
        <v>0</v>
      </c>
      <c r="M188" s="145" t="str">
        <f t="shared" si="29"/>
        <v/>
      </c>
      <c r="N188" s="684">
        <f t="shared" si="30"/>
        <v>46048</v>
      </c>
    </row>
    <row r="189" spans="1:14" ht="15" customHeight="1">
      <c r="A189" s="658">
        <v>46048</v>
      </c>
      <c r="B189" s="658" t="str">
        <f t="shared" si="24"/>
        <v>Lun</v>
      </c>
      <c r="C189" s="674" t="s">
        <v>146</v>
      </c>
      <c r="D189" s="885" t="s">
        <v>528</v>
      </c>
      <c r="E189" s="687">
        <v>0.33333333333333331</v>
      </c>
      <c r="F189" s="687">
        <v>0.66666666666666663</v>
      </c>
      <c r="G189" s="688">
        <f t="shared" si="25"/>
        <v>8</v>
      </c>
      <c r="H189" s="676">
        <f>IF(D189="","",IFERROR(VLOOKUP(D189,'Resumen Empleado'!$A$4:$B$17,2,FALSE),""))</f>
        <v>11</v>
      </c>
      <c r="I189" s="676">
        <f t="shared" si="26"/>
        <v>44</v>
      </c>
      <c r="J189" s="676">
        <f t="shared" si="27"/>
        <v>43.999999999999993</v>
      </c>
      <c r="K189" s="676">
        <f>IF(OR(E189="",F189="",H189=""),0,MAX(0,(MIN(IF(F189&lt;E189,1+F189,F189),1+TIME(5,0,0))-MAX(E189,TIME(19,0,0))))*24*H189)</f>
        <v>0</v>
      </c>
      <c r="L189" s="1044">
        <f t="shared" si="28"/>
        <v>88</v>
      </c>
      <c r="M189" s="145" t="str">
        <f t="shared" si="29"/>
        <v/>
      </c>
      <c r="N189" s="684">
        <f t="shared" si="30"/>
        <v>46048</v>
      </c>
    </row>
    <row r="190" spans="1:14" ht="15" customHeight="1">
      <c r="A190" s="658">
        <v>46049</v>
      </c>
      <c r="B190" s="658" t="str">
        <f t="shared" si="24"/>
        <v>Mar</v>
      </c>
      <c r="C190" s="674" t="s">
        <v>497</v>
      </c>
      <c r="D190" s="885" t="s">
        <v>527</v>
      </c>
      <c r="E190" s="687">
        <v>0.8125</v>
      </c>
      <c r="F190" s="687">
        <v>0.89583333333333337</v>
      </c>
      <c r="G190" s="688">
        <f t="shared" si="25"/>
        <v>2.0000000000000009</v>
      </c>
      <c r="H190" s="676" t="str">
        <f>IF(D190="","",IFERROR(VLOOKUP(D190,'Resumen Empleado'!$A$4:$B$17,2,FALSE),""))</f>
        <v/>
      </c>
      <c r="I190" s="676">
        <f t="shared" si="26"/>
        <v>0</v>
      </c>
      <c r="J190" s="676">
        <f t="shared" si="27"/>
        <v>0</v>
      </c>
      <c r="K190" s="676">
        <f>IF(OR(E190="",F190="",H190=""),0,MAX(0,(MIN(IF(F190&lt;E190,F190+1,F190),1+TIME(5,0,0))-MAX(E190,TIME(19,0,0))))*24*H190)</f>
        <v>0</v>
      </c>
      <c r="L190" s="1044">
        <f t="shared" si="28"/>
        <v>0</v>
      </c>
      <c r="M190" s="145" t="str">
        <f t="shared" si="29"/>
        <v/>
      </c>
      <c r="N190" s="684">
        <f t="shared" si="30"/>
        <v>46049</v>
      </c>
    </row>
    <row r="191" spans="1:14" ht="15" customHeight="1">
      <c r="A191" s="658">
        <v>46049</v>
      </c>
      <c r="B191" s="658" t="str">
        <f t="shared" si="24"/>
        <v>Mar</v>
      </c>
      <c r="C191" s="674" t="s">
        <v>146</v>
      </c>
      <c r="D191" s="885" t="s">
        <v>528</v>
      </c>
      <c r="E191" s="687">
        <v>0.33333333333333331</v>
      </c>
      <c r="F191" s="687">
        <v>0.66666666666666663</v>
      </c>
      <c r="G191" s="688">
        <f t="shared" si="25"/>
        <v>8</v>
      </c>
      <c r="H191" s="676">
        <f>IF(D191="","",IFERROR(VLOOKUP(D191,'Resumen Empleado'!$A$4:$B$17,2,FALSE),""))</f>
        <v>11</v>
      </c>
      <c r="I191" s="676">
        <f t="shared" si="26"/>
        <v>44</v>
      </c>
      <c r="J191" s="676">
        <f t="shared" si="27"/>
        <v>43.999999999999993</v>
      </c>
      <c r="K191" s="676">
        <f>IF(OR(E191="",F191="",H191=""),0,MAX(0,(MIN(IF(F191&lt;E191,1+F191,F191),1+TIME(5,0,0))-MAX(E191,TIME(19,0,0))))*24*H191)</f>
        <v>0</v>
      </c>
      <c r="L191" s="1044">
        <f t="shared" si="28"/>
        <v>88</v>
      </c>
      <c r="M191" s="145" t="str">
        <f t="shared" si="29"/>
        <v/>
      </c>
      <c r="N191" s="684">
        <f t="shared" si="30"/>
        <v>46049</v>
      </c>
    </row>
    <row r="192" spans="1:14" ht="15" customHeight="1">
      <c r="A192" s="658">
        <v>46050</v>
      </c>
      <c r="B192" s="658" t="str">
        <f t="shared" si="24"/>
        <v>Mié</v>
      </c>
      <c r="C192" s="674" t="s">
        <v>146</v>
      </c>
      <c r="D192" s="885" t="s">
        <v>522</v>
      </c>
      <c r="E192" s="687">
        <v>0.29166666666666669</v>
      </c>
      <c r="F192" s="687">
        <v>0.54166666666666663</v>
      </c>
      <c r="G192" s="688">
        <f t="shared" si="25"/>
        <v>5.9999999999999982</v>
      </c>
      <c r="H192" s="676">
        <f>IF(D192="","",IFERROR(VLOOKUP(D192,'Resumen Empleado'!$A$4:$B$17,2,FALSE),""))</f>
        <v>10</v>
      </c>
      <c r="I192" s="676">
        <f t="shared" si="26"/>
        <v>50</v>
      </c>
      <c r="J192" s="676">
        <f t="shared" si="27"/>
        <v>9.9999999999999911</v>
      </c>
      <c r="K192" s="676">
        <f t="shared" ref="K192:K200" si="36">IF(OR(E192="",F192="",H192=""),0,MAX(0,(MIN(IF(F192&lt;E192,F192+1,F192),1+TIME(5,0,0))-MAX(E192,TIME(19,0,0))))*24*H192)</f>
        <v>0</v>
      </c>
      <c r="L192" s="1044">
        <f t="shared" si="28"/>
        <v>59.999999999999993</v>
      </c>
      <c r="M192" s="145" t="str">
        <f t="shared" si="29"/>
        <v/>
      </c>
      <c r="N192" s="684">
        <f t="shared" si="30"/>
        <v>46050</v>
      </c>
    </row>
    <row r="193" spans="1:14" ht="15" customHeight="1">
      <c r="A193" s="658">
        <v>46050</v>
      </c>
      <c r="B193" s="658" t="str">
        <f t="shared" si="24"/>
        <v>Mié</v>
      </c>
      <c r="C193" s="674" t="s">
        <v>146</v>
      </c>
      <c r="D193" s="885" t="s">
        <v>524</v>
      </c>
      <c r="E193" s="687">
        <v>0.26041666666666669</v>
      </c>
      <c r="F193" s="687">
        <v>0.66666666666666663</v>
      </c>
      <c r="G193" s="688">
        <f t="shared" si="25"/>
        <v>9.7499999999999982</v>
      </c>
      <c r="H193" s="676">
        <f>IF(D193="","",IFERROR(VLOOKUP(D193,'Resumen Empleado'!$A$4:$B$17,2,FALSE),""))</f>
        <v>7.3</v>
      </c>
      <c r="I193" s="676">
        <f t="shared" si="26"/>
        <v>41.975000000000001</v>
      </c>
      <c r="J193" s="676">
        <f t="shared" si="27"/>
        <v>29.199999999999992</v>
      </c>
      <c r="K193" s="676">
        <f t="shared" si="36"/>
        <v>0</v>
      </c>
      <c r="L193" s="1044">
        <f t="shared" si="28"/>
        <v>71.174999999999997</v>
      </c>
      <c r="M193" s="145" t="str">
        <f t="shared" si="29"/>
        <v/>
      </c>
      <c r="N193" s="684">
        <f t="shared" si="30"/>
        <v>46050</v>
      </c>
    </row>
    <row r="194" spans="1:14" ht="15" customHeight="1">
      <c r="A194" s="658">
        <v>46050</v>
      </c>
      <c r="B194" s="658" t="str">
        <f t="shared" si="24"/>
        <v>Mié</v>
      </c>
      <c r="C194" s="674" t="s">
        <v>146</v>
      </c>
      <c r="D194" s="885" t="s">
        <v>526</v>
      </c>
      <c r="E194" s="687">
        <v>0.41666666666666669</v>
      </c>
      <c r="F194" s="687">
        <v>0.66666666666666663</v>
      </c>
      <c r="G194" s="688">
        <f t="shared" si="25"/>
        <v>5.9999999999999982</v>
      </c>
      <c r="H194" s="676">
        <f>IF(D194="","",IFERROR(VLOOKUP(D194,'Resumen Empleado'!$A$4:$B$17,2,FALSE),""))</f>
        <v>16</v>
      </c>
      <c r="I194" s="676">
        <f t="shared" si="26"/>
        <v>31.999999999999993</v>
      </c>
      <c r="J194" s="676">
        <f t="shared" si="27"/>
        <v>63.999999999999986</v>
      </c>
      <c r="K194" s="676">
        <f t="shared" si="36"/>
        <v>0</v>
      </c>
      <c r="L194" s="1044">
        <f t="shared" si="28"/>
        <v>95.999999999999972</v>
      </c>
      <c r="M194" s="145" t="str">
        <f t="shared" si="29"/>
        <v/>
      </c>
      <c r="N194" s="684">
        <f t="shared" si="30"/>
        <v>46050</v>
      </c>
    </row>
    <row r="195" spans="1:14" ht="15" customHeight="1">
      <c r="A195" s="658">
        <v>46050</v>
      </c>
      <c r="B195" s="658" t="str">
        <f t="shared" si="24"/>
        <v>Mié</v>
      </c>
      <c r="C195" s="674" t="s">
        <v>146</v>
      </c>
      <c r="D195" s="885" t="s">
        <v>523</v>
      </c>
      <c r="E195" s="687">
        <v>0.51041666666666663</v>
      </c>
      <c r="F195" s="687">
        <v>0.63541666666666663</v>
      </c>
      <c r="G195" s="688">
        <f t="shared" si="25"/>
        <v>3</v>
      </c>
      <c r="H195" s="676">
        <f>IF(D195="","",IFERROR(VLOOKUP(D195,'Resumen Empleado'!$A$4:$B$17,2,FALSE),""))</f>
        <v>6.39</v>
      </c>
      <c r="I195" s="676">
        <f t="shared" si="26"/>
        <v>0</v>
      </c>
      <c r="J195" s="676">
        <f t="shared" si="27"/>
        <v>19.169999999999998</v>
      </c>
      <c r="K195" s="676">
        <f t="shared" si="36"/>
        <v>0</v>
      </c>
      <c r="L195" s="1044">
        <f t="shared" si="28"/>
        <v>19.169999999999998</v>
      </c>
      <c r="M195" s="145" t="str">
        <f t="shared" si="29"/>
        <v/>
      </c>
      <c r="N195" s="684">
        <f t="shared" si="30"/>
        <v>46050</v>
      </c>
    </row>
    <row r="196" spans="1:14" ht="15" customHeight="1">
      <c r="A196" s="658">
        <v>46050</v>
      </c>
      <c r="B196" s="658" t="str">
        <f t="shared" si="24"/>
        <v>Mié</v>
      </c>
      <c r="C196" s="674" t="s">
        <v>146</v>
      </c>
      <c r="D196" s="885" t="s">
        <v>525</v>
      </c>
      <c r="E196" s="687">
        <v>0.54166666666666663</v>
      </c>
      <c r="F196" s="687">
        <v>0.66666666666666663</v>
      </c>
      <c r="G196" s="688">
        <f t="shared" si="25"/>
        <v>3</v>
      </c>
      <c r="H196" s="676">
        <f>IF(D196="","",IFERROR(VLOOKUP(D196,'Resumen Empleado'!$A$4:$B$17,2,FALSE),""))</f>
        <v>7.25</v>
      </c>
      <c r="I196" s="676">
        <f t="shared" si="26"/>
        <v>0</v>
      </c>
      <c r="J196" s="676">
        <f t="shared" si="27"/>
        <v>21.75</v>
      </c>
      <c r="K196" s="676">
        <f t="shared" si="36"/>
        <v>0</v>
      </c>
      <c r="L196" s="1044">
        <f t="shared" si="28"/>
        <v>21.75</v>
      </c>
      <c r="M196" s="145" t="str">
        <f t="shared" si="29"/>
        <v/>
      </c>
      <c r="N196" s="684">
        <f t="shared" si="30"/>
        <v>46050</v>
      </c>
    </row>
    <row r="197" spans="1:14" ht="15" customHeight="1">
      <c r="A197" s="658">
        <v>46050</v>
      </c>
      <c r="B197" s="658" t="str">
        <f t="shared" ref="B197:B260" si="37">IF(A197="","",PROPER(TEXT(A197,"ddd")))</f>
        <v>Mié</v>
      </c>
      <c r="C197" s="674" t="s">
        <v>497</v>
      </c>
      <c r="D197" s="885" t="s">
        <v>525</v>
      </c>
      <c r="E197" s="687">
        <v>0.79166666666666663</v>
      </c>
      <c r="F197" s="687">
        <v>0.95833333333333337</v>
      </c>
      <c r="G197" s="688">
        <f t="shared" ref="G197:G260" si="38">IF(F197&lt;E197,F197+1-E197,F197-E197)*24</f>
        <v>4.0000000000000018</v>
      </c>
      <c r="H197" s="676">
        <f>IF(D197="","",IFERROR(VLOOKUP(D197,'Resumen Empleado'!$A$4:$B$17,2,FALSE),""))</f>
        <v>7.25</v>
      </c>
      <c r="I197" s="676">
        <f t="shared" ref="I197:I260" si="39">IF(OR(E197="",F197="",H197=""),0,MAX(0,(MIN(IF(F197&lt;E197,F197+1,F197),TIME(12,0,0))-MAX(E197,TIME(5,0,0))))*24*H197)</f>
        <v>0</v>
      </c>
      <c r="J197" s="676">
        <f t="shared" ref="J197:J260" si="40">IF(OR(E197="",F197="",H197=""),0,MAX(0,(MIN(IF(F197&lt;E197,F197+1,F197),TIME(19,0,0))-MAX(E197,TIME(12,0,0))))*24*H197)</f>
        <v>0</v>
      </c>
      <c r="K197" s="676">
        <f t="shared" si="36"/>
        <v>29.000000000000014</v>
      </c>
      <c r="L197" s="1044">
        <f t="shared" ref="L197:L260" si="41">SUM(I197:K197)</f>
        <v>29.000000000000014</v>
      </c>
      <c r="M197" s="145" t="str">
        <f t="shared" ref="M197:M260" si="42">IF(A197="","",IF(G197&gt;12,"⚠ Verificar",""))</f>
        <v/>
      </c>
      <c r="N197" s="684">
        <f t="shared" ref="N197:N260" si="43">IF(A197="","",IF(ISNUMBER(A197),A197,DATE(VALUE(RIGHT(A197,4)),VALUE(MID(A197,4,2)),VALUE(LEFT(A197,2)))))</f>
        <v>46050</v>
      </c>
    </row>
    <row r="198" spans="1:14" ht="15" customHeight="1">
      <c r="A198" s="658">
        <v>46050</v>
      </c>
      <c r="B198" s="658" t="str">
        <f t="shared" si="37"/>
        <v>Mié</v>
      </c>
      <c r="C198" s="674" t="s">
        <v>497</v>
      </c>
      <c r="D198" s="885" t="s">
        <v>523</v>
      </c>
      <c r="E198" s="687">
        <v>0.79166666666666663</v>
      </c>
      <c r="F198" s="687">
        <v>0.95833333333333337</v>
      </c>
      <c r="G198" s="688">
        <f t="shared" si="38"/>
        <v>4.0000000000000018</v>
      </c>
      <c r="H198" s="676">
        <f>IF(D198="","",IFERROR(VLOOKUP(D198,'Resumen Empleado'!$A$4:$B$17,2,FALSE),""))</f>
        <v>6.39</v>
      </c>
      <c r="I198" s="676">
        <f t="shared" si="39"/>
        <v>0</v>
      </c>
      <c r="J198" s="676">
        <f t="shared" si="40"/>
        <v>0</v>
      </c>
      <c r="K198" s="676">
        <f t="shared" si="36"/>
        <v>25.560000000000009</v>
      </c>
      <c r="L198" s="1044">
        <f t="shared" si="41"/>
        <v>25.560000000000009</v>
      </c>
      <c r="M198" s="145" t="str">
        <f t="shared" si="42"/>
        <v/>
      </c>
      <c r="N198" s="684">
        <f t="shared" si="43"/>
        <v>46050</v>
      </c>
    </row>
    <row r="199" spans="1:14" ht="15" customHeight="1">
      <c r="A199" s="658">
        <v>46050</v>
      </c>
      <c r="B199" s="658" t="str">
        <f t="shared" si="37"/>
        <v>Mié</v>
      </c>
      <c r="C199" s="674" t="s">
        <v>497</v>
      </c>
      <c r="D199" s="885" t="s">
        <v>526</v>
      </c>
      <c r="E199" s="687">
        <v>0.83333333333333337</v>
      </c>
      <c r="F199" s="687">
        <v>0.95833333333333337</v>
      </c>
      <c r="G199" s="688">
        <f t="shared" si="38"/>
        <v>3</v>
      </c>
      <c r="H199" s="676">
        <f>IF(D199="","",IFERROR(VLOOKUP(D199,'Resumen Empleado'!$A$4:$B$17,2,FALSE),""))</f>
        <v>16</v>
      </c>
      <c r="I199" s="676">
        <f t="shared" si="39"/>
        <v>0</v>
      </c>
      <c r="J199" s="676">
        <f t="shared" si="40"/>
        <v>0</v>
      </c>
      <c r="K199" s="676">
        <f t="shared" si="36"/>
        <v>48</v>
      </c>
      <c r="L199" s="1044">
        <f t="shared" si="41"/>
        <v>48</v>
      </c>
      <c r="M199" s="145" t="str">
        <f t="shared" si="42"/>
        <v/>
      </c>
      <c r="N199" s="684">
        <f t="shared" si="43"/>
        <v>46050</v>
      </c>
    </row>
    <row r="200" spans="1:14" ht="15" customHeight="1">
      <c r="A200" s="658">
        <v>46050</v>
      </c>
      <c r="B200" s="658" t="str">
        <f t="shared" si="37"/>
        <v>Mié</v>
      </c>
      <c r="C200" s="674" t="s">
        <v>497</v>
      </c>
      <c r="D200" s="885" t="s">
        <v>527</v>
      </c>
      <c r="E200" s="687">
        <v>0.8125</v>
      </c>
      <c r="F200" s="687">
        <v>0.89583333333333337</v>
      </c>
      <c r="G200" s="688">
        <f t="shared" si="38"/>
        <v>2.0000000000000009</v>
      </c>
      <c r="H200" s="676" t="str">
        <f>IF(D200="","",IFERROR(VLOOKUP(D200,'Resumen Empleado'!$A$4:$B$17,2,FALSE),""))</f>
        <v/>
      </c>
      <c r="I200" s="676">
        <f t="shared" si="39"/>
        <v>0</v>
      </c>
      <c r="J200" s="676">
        <f t="shared" si="40"/>
        <v>0</v>
      </c>
      <c r="K200" s="676">
        <f t="shared" si="36"/>
        <v>0</v>
      </c>
      <c r="L200" s="1044">
        <f t="shared" si="41"/>
        <v>0</v>
      </c>
      <c r="M200" s="145" t="str">
        <f t="shared" si="42"/>
        <v/>
      </c>
      <c r="N200" s="684">
        <f t="shared" si="43"/>
        <v>46050</v>
      </c>
    </row>
    <row r="201" spans="1:14" ht="15" customHeight="1">
      <c r="A201" s="658">
        <v>46050</v>
      </c>
      <c r="B201" s="658" t="str">
        <f t="shared" si="37"/>
        <v>Mié</v>
      </c>
      <c r="C201" s="674" t="s">
        <v>146</v>
      </c>
      <c r="D201" s="885" t="s">
        <v>528</v>
      </c>
      <c r="E201" s="687">
        <v>0.33333333333333331</v>
      </c>
      <c r="F201" s="687">
        <v>0.66666666666666663</v>
      </c>
      <c r="G201" s="688">
        <f t="shared" si="38"/>
        <v>8</v>
      </c>
      <c r="H201" s="676">
        <f>IF(D201="","",IFERROR(VLOOKUP(D201,'Resumen Empleado'!$A$4:$B$17,2,FALSE),""))</f>
        <v>11</v>
      </c>
      <c r="I201" s="676">
        <f t="shared" si="39"/>
        <v>44</v>
      </c>
      <c r="J201" s="676">
        <f t="shared" si="40"/>
        <v>43.999999999999993</v>
      </c>
      <c r="K201" s="676">
        <f>IF(OR(E201="",F201="",H201=""),0,MAX(0,(MIN(IF(F201&lt;E201,1+F201,F201),1+TIME(5,0,0))-MAX(E201,TIME(19,0,0))))*24*H201)</f>
        <v>0</v>
      </c>
      <c r="L201" s="1044">
        <f t="shared" si="41"/>
        <v>88</v>
      </c>
      <c r="M201" s="145" t="str">
        <f t="shared" si="42"/>
        <v/>
      </c>
      <c r="N201" s="684">
        <f t="shared" si="43"/>
        <v>46050</v>
      </c>
    </row>
    <row r="202" spans="1:14" ht="15" customHeight="1">
      <c r="A202" s="658">
        <v>46051</v>
      </c>
      <c r="B202" s="658" t="str">
        <f t="shared" si="37"/>
        <v>Jue</v>
      </c>
      <c r="C202" s="674" t="s">
        <v>146</v>
      </c>
      <c r="D202" s="885" t="s">
        <v>524</v>
      </c>
      <c r="E202" s="687">
        <v>0.26041666666666669</v>
      </c>
      <c r="F202" s="687">
        <v>0.34375</v>
      </c>
      <c r="G202" s="688">
        <f t="shared" si="38"/>
        <v>1.9999999999999996</v>
      </c>
      <c r="H202" s="676">
        <f>IF(D202="","",IFERROR(VLOOKUP(D202,'Resumen Empleado'!$A$4:$B$17,2,FALSE),""))</f>
        <v>7.3</v>
      </c>
      <c r="I202" s="676">
        <f t="shared" si="39"/>
        <v>14.599999999999996</v>
      </c>
      <c r="J202" s="676">
        <f t="shared" si="40"/>
        <v>0</v>
      </c>
      <c r="K202" s="676">
        <f t="shared" ref="K202:K207" si="44">IF(OR(E202="",F202="",H202=""),0,MAX(0,(MIN(IF(F202&lt;E202,F202+1,F202),1+TIME(5,0,0))-MAX(E202,TIME(19,0,0))))*24*H202)</f>
        <v>0</v>
      </c>
      <c r="L202" s="1044">
        <f t="shared" si="41"/>
        <v>14.599999999999996</v>
      </c>
      <c r="M202" s="145" t="str">
        <f t="shared" si="42"/>
        <v/>
      </c>
      <c r="N202" s="684">
        <f t="shared" si="43"/>
        <v>46051</v>
      </c>
    </row>
    <row r="203" spans="1:14" ht="15" customHeight="1">
      <c r="A203" s="658">
        <v>46051</v>
      </c>
      <c r="B203" s="658" t="str">
        <f t="shared" si="37"/>
        <v>Jue</v>
      </c>
      <c r="C203" s="674" t="s">
        <v>146</v>
      </c>
      <c r="D203" s="885" t="s">
        <v>525</v>
      </c>
      <c r="E203" s="687">
        <v>0.54166666666666663</v>
      </c>
      <c r="F203" s="687">
        <v>0.66666666666666663</v>
      </c>
      <c r="G203" s="688">
        <f t="shared" si="38"/>
        <v>3</v>
      </c>
      <c r="H203" s="676">
        <f>IF(D203="","",IFERROR(VLOOKUP(D203,'Resumen Empleado'!$A$4:$B$17,2,FALSE),""))</f>
        <v>7.25</v>
      </c>
      <c r="I203" s="676">
        <f t="shared" si="39"/>
        <v>0</v>
      </c>
      <c r="J203" s="676">
        <f t="shared" si="40"/>
        <v>21.75</v>
      </c>
      <c r="K203" s="676">
        <f t="shared" si="44"/>
        <v>0</v>
      </c>
      <c r="L203" s="1044">
        <f t="shared" si="41"/>
        <v>21.75</v>
      </c>
      <c r="M203" s="145" t="str">
        <f t="shared" si="42"/>
        <v/>
      </c>
      <c r="N203" s="684">
        <f t="shared" si="43"/>
        <v>46051</v>
      </c>
    </row>
    <row r="204" spans="1:14" ht="15" customHeight="1">
      <c r="A204" s="658">
        <v>46051</v>
      </c>
      <c r="B204" s="658" t="str">
        <f t="shared" si="37"/>
        <v>Jue</v>
      </c>
      <c r="C204" s="674" t="s">
        <v>146</v>
      </c>
      <c r="D204" s="885" t="s">
        <v>522</v>
      </c>
      <c r="E204" s="687">
        <v>0.29166666666666669</v>
      </c>
      <c r="F204" s="687">
        <v>0.66666666666666663</v>
      </c>
      <c r="G204" s="688">
        <f t="shared" si="38"/>
        <v>8.9999999999999982</v>
      </c>
      <c r="H204" s="676">
        <f>IF(D204="","",IFERROR(VLOOKUP(D204,'Resumen Empleado'!$A$4:$B$17,2,FALSE),""))</f>
        <v>10</v>
      </c>
      <c r="I204" s="676">
        <f t="shared" si="39"/>
        <v>50</v>
      </c>
      <c r="J204" s="676">
        <f t="shared" si="40"/>
        <v>39.999999999999993</v>
      </c>
      <c r="K204" s="676">
        <f t="shared" si="44"/>
        <v>0</v>
      </c>
      <c r="L204" s="1044">
        <f t="shared" si="41"/>
        <v>90</v>
      </c>
      <c r="M204" s="145" t="str">
        <f t="shared" si="42"/>
        <v/>
      </c>
      <c r="N204" s="684">
        <f t="shared" si="43"/>
        <v>46051</v>
      </c>
    </row>
    <row r="205" spans="1:14" ht="15" customHeight="1">
      <c r="A205" s="658">
        <v>46051</v>
      </c>
      <c r="B205" s="658" t="str">
        <f t="shared" si="37"/>
        <v>Jue</v>
      </c>
      <c r="C205" s="674" t="s">
        <v>146</v>
      </c>
      <c r="D205" s="885" t="s">
        <v>526</v>
      </c>
      <c r="E205" s="687">
        <v>0.41666666666666669</v>
      </c>
      <c r="F205" s="687">
        <v>0.66666666666666663</v>
      </c>
      <c r="G205" s="688">
        <f t="shared" si="38"/>
        <v>5.9999999999999982</v>
      </c>
      <c r="H205" s="676">
        <f>IF(D205="","",IFERROR(VLOOKUP(D205,'Resumen Empleado'!$A$4:$B$17,2,FALSE),""))</f>
        <v>16</v>
      </c>
      <c r="I205" s="676">
        <f t="shared" si="39"/>
        <v>31.999999999999993</v>
      </c>
      <c r="J205" s="676">
        <f t="shared" si="40"/>
        <v>63.999999999999986</v>
      </c>
      <c r="K205" s="676">
        <f t="shared" si="44"/>
        <v>0</v>
      </c>
      <c r="L205" s="1044">
        <f t="shared" si="41"/>
        <v>95.999999999999972</v>
      </c>
      <c r="M205" s="145" t="str">
        <f t="shared" si="42"/>
        <v/>
      </c>
      <c r="N205" s="684">
        <f t="shared" si="43"/>
        <v>46051</v>
      </c>
    </row>
    <row r="206" spans="1:14" ht="15" customHeight="1">
      <c r="A206" s="658">
        <v>46051</v>
      </c>
      <c r="B206" s="658" t="str">
        <f t="shared" si="37"/>
        <v>Jue</v>
      </c>
      <c r="C206" s="674" t="s">
        <v>146</v>
      </c>
      <c r="D206" s="885" t="s">
        <v>523</v>
      </c>
      <c r="E206" s="687">
        <v>0.51041666666666663</v>
      </c>
      <c r="F206" s="687">
        <v>0.66666666666666663</v>
      </c>
      <c r="G206" s="688">
        <f t="shared" si="38"/>
        <v>3.75</v>
      </c>
      <c r="H206" s="676">
        <f>IF(D206="","",IFERROR(VLOOKUP(D206,'Resumen Empleado'!$A$4:$B$17,2,FALSE),""))</f>
        <v>6.39</v>
      </c>
      <c r="I206" s="676">
        <f t="shared" si="39"/>
        <v>0</v>
      </c>
      <c r="J206" s="676">
        <f t="shared" si="40"/>
        <v>23.962499999999999</v>
      </c>
      <c r="K206" s="676">
        <f t="shared" si="44"/>
        <v>0</v>
      </c>
      <c r="L206" s="1044">
        <f t="shared" si="41"/>
        <v>23.962499999999999</v>
      </c>
      <c r="M206" s="145" t="str">
        <f t="shared" si="42"/>
        <v/>
      </c>
      <c r="N206" s="684">
        <f t="shared" si="43"/>
        <v>46051</v>
      </c>
    </row>
    <row r="207" spans="1:14" ht="15" customHeight="1">
      <c r="A207" s="658">
        <v>46051</v>
      </c>
      <c r="B207" s="658" t="str">
        <f t="shared" si="37"/>
        <v>Jue</v>
      </c>
      <c r="C207" s="674" t="s">
        <v>497</v>
      </c>
      <c r="D207" s="885" t="s">
        <v>527</v>
      </c>
      <c r="E207" s="687">
        <v>0.8125</v>
      </c>
      <c r="F207" s="687">
        <v>0.89583333333333337</v>
      </c>
      <c r="G207" s="688">
        <f t="shared" si="38"/>
        <v>2.0000000000000009</v>
      </c>
      <c r="H207" s="676" t="str">
        <f>IF(D207="","",IFERROR(VLOOKUP(D207,'Resumen Empleado'!$A$4:$B$17,2,FALSE),""))</f>
        <v/>
      </c>
      <c r="I207" s="676">
        <f t="shared" si="39"/>
        <v>0</v>
      </c>
      <c r="J207" s="676">
        <f t="shared" si="40"/>
        <v>0</v>
      </c>
      <c r="K207" s="676">
        <f t="shared" si="44"/>
        <v>0</v>
      </c>
      <c r="L207" s="1044">
        <f t="shared" si="41"/>
        <v>0</v>
      </c>
      <c r="M207" s="145" t="str">
        <f t="shared" si="42"/>
        <v/>
      </c>
      <c r="N207" s="684">
        <f t="shared" si="43"/>
        <v>46051</v>
      </c>
    </row>
    <row r="208" spans="1:14" ht="15" customHeight="1">
      <c r="A208" s="658">
        <v>46051</v>
      </c>
      <c r="B208" s="658" t="str">
        <f t="shared" si="37"/>
        <v>Jue</v>
      </c>
      <c r="C208" s="674" t="s">
        <v>146</v>
      </c>
      <c r="D208" s="885" t="s">
        <v>528</v>
      </c>
      <c r="E208" s="687">
        <v>0.33333333333333331</v>
      </c>
      <c r="F208" s="687">
        <v>0.66666666666666663</v>
      </c>
      <c r="G208" s="688">
        <f t="shared" si="38"/>
        <v>8</v>
      </c>
      <c r="H208" s="676">
        <f>IF(D208="","",IFERROR(VLOOKUP(D208,'Resumen Empleado'!$A$4:$B$17,2,FALSE),""))</f>
        <v>11</v>
      </c>
      <c r="I208" s="676">
        <f t="shared" si="39"/>
        <v>44</v>
      </c>
      <c r="J208" s="676">
        <f t="shared" si="40"/>
        <v>43.999999999999993</v>
      </c>
      <c r="K208" s="676">
        <f>IF(OR(E208="",F208="",H208=""),0,MAX(0,(MIN(IF(F208&lt;E208,1+F208,F208),1+TIME(5,0,0))-MAX(E208,TIME(19,0,0))))*24*H208)</f>
        <v>0</v>
      </c>
      <c r="L208" s="1044">
        <f t="shared" si="41"/>
        <v>88</v>
      </c>
      <c r="M208" s="145" t="str">
        <f t="shared" si="42"/>
        <v/>
      </c>
      <c r="N208" s="684">
        <f t="shared" si="43"/>
        <v>46051</v>
      </c>
    </row>
    <row r="209" spans="1:14" ht="15" customHeight="1">
      <c r="A209" s="658">
        <v>46052</v>
      </c>
      <c r="B209" s="658" t="str">
        <f t="shared" si="37"/>
        <v>Vie</v>
      </c>
      <c r="C209" s="674" t="s">
        <v>146</v>
      </c>
      <c r="D209" s="885" t="s">
        <v>522</v>
      </c>
      <c r="E209" s="687">
        <v>0.29166666666666669</v>
      </c>
      <c r="F209" s="687">
        <v>0.45833333333333331</v>
      </c>
      <c r="G209" s="688">
        <f t="shared" si="38"/>
        <v>3.9999999999999991</v>
      </c>
      <c r="H209" s="676">
        <f>IF(D209="","",IFERROR(VLOOKUP(D209,'Resumen Empleado'!$A$4:$B$17,2,FALSE),""))</f>
        <v>10</v>
      </c>
      <c r="I209" s="676">
        <f t="shared" si="39"/>
        <v>39.999999999999993</v>
      </c>
      <c r="J209" s="676">
        <f t="shared" si="40"/>
        <v>0</v>
      </c>
      <c r="K209" s="676">
        <f t="shared" ref="K209:K219" si="45">IF(OR(E209="",F209="",H209=""),0,MAX(0,(MIN(IF(F209&lt;E209,F209+1,F209),1+TIME(5,0,0))-MAX(E209,TIME(19,0,0))))*24*H209)</f>
        <v>0</v>
      </c>
      <c r="L209" s="1044">
        <f t="shared" si="41"/>
        <v>39.999999999999993</v>
      </c>
      <c r="M209" s="145" t="str">
        <f t="shared" si="42"/>
        <v/>
      </c>
      <c r="N209" s="684">
        <f t="shared" si="43"/>
        <v>46052</v>
      </c>
    </row>
    <row r="210" spans="1:14" ht="15" customHeight="1">
      <c r="A210" s="658">
        <v>46052</v>
      </c>
      <c r="B210" s="658" t="str">
        <f t="shared" si="37"/>
        <v>Vie</v>
      </c>
      <c r="C210" s="674" t="s">
        <v>146</v>
      </c>
      <c r="D210" s="885" t="s">
        <v>525</v>
      </c>
      <c r="E210" s="687">
        <v>0.54166666666666663</v>
      </c>
      <c r="F210" s="687">
        <v>0.66666666666666663</v>
      </c>
      <c r="G210" s="688">
        <f t="shared" si="38"/>
        <v>3</v>
      </c>
      <c r="H210" s="676">
        <f>IF(D210="","",IFERROR(VLOOKUP(D210,'Resumen Empleado'!$A$4:$B$17,2,FALSE),""))</f>
        <v>7.25</v>
      </c>
      <c r="I210" s="676">
        <f t="shared" si="39"/>
        <v>0</v>
      </c>
      <c r="J210" s="676">
        <f t="shared" si="40"/>
        <v>21.75</v>
      </c>
      <c r="K210" s="676">
        <f t="shared" si="45"/>
        <v>0</v>
      </c>
      <c r="L210" s="1044">
        <f t="shared" si="41"/>
        <v>21.75</v>
      </c>
      <c r="M210" s="145" t="str">
        <f t="shared" si="42"/>
        <v/>
      </c>
      <c r="N210" s="684">
        <f t="shared" si="43"/>
        <v>46052</v>
      </c>
    </row>
    <row r="211" spans="1:14" ht="15" customHeight="1">
      <c r="A211" s="658">
        <v>46052</v>
      </c>
      <c r="B211" s="658" t="str">
        <f t="shared" si="37"/>
        <v>Vie</v>
      </c>
      <c r="C211" s="674" t="s">
        <v>146</v>
      </c>
      <c r="D211" s="885" t="s">
        <v>524</v>
      </c>
      <c r="E211" s="687">
        <v>0.26041666666666669</v>
      </c>
      <c r="F211" s="687">
        <v>0.66666666666666663</v>
      </c>
      <c r="G211" s="688">
        <f t="shared" si="38"/>
        <v>9.7499999999999982</v>
      </c>
      <c r="H211" s="676">
        <f>IF(D211="","",IFERROR(VLOOKUP(D211,'Resumen Empleado'!$A$4:$B$17,2,FALSE),""))</f>
        <v>7.3</v>
      </c>
      <c r="I211" s="676">
        <f t="shared" si="39"/>
        <v>41.975000000000001</v>
      </c>
      <c r="J211" s="676">
        <f t="shared" si="40"/>
        <v>29.199999999999992</v>
      </c>
      <c r="K211" s="676">
        <f t="shared" si="45"/>
        <v>0</v>
      </c>
      <c r="L211" s="1044">
        <f t="shared" si="41"/>
        <v>71.174999999999997</v>
      </c>
      <c r="M211" s="145" t="str">
        <f t="shared" si="42"/>
        <v/>
      </c>
      <c r="N211" s="684">
        <f t="shared" si="43"/>
        <v>46052</v>
      </c>
    </row>
    <row r="212" spans="1:14" ht="15" customHeight="1">
      <c r="A212" s="658">
        <v>46052</v>
      </c>
      <c r="B212" s="658" t="str">
        <f t="shared" si="37"/>
        <v>Vie</v>
      </c>
      <c r="C212" s="674" t="s">
        <v>146</v>
      </c>
      <c r="D212" s="885" t="s">
        <v>523</v>
      </c>
      <c r="E212" s="687">
        <v>0.51041666666666663</v>
      </c>
      <c r="F212" s="687">
        <v>0.66666666666666663</v>
      </c>
      <c r="G212" s="688">
        <f t="shared" si="38"/>
        <v>3.75</v>
      </c>
      <c r="H212" s="676">
        <f>IF(D212="","",IFERROR(VLOOKUP(D212,'Resumen Empleado'!$A$4:$B$17,2,FALSE),""))</f>
        <v>6.39</v>
      </c>
      <c r="I212" s="676">
        <f t="shared" si="39"/>
        <v>0</v>
      </c>
      <c r="J212" s="676">
        <f t="shared" si="40"/>
        <v>23.962499999999999</v>
      </c>
      <c r="K212" s="676">
        <f t="shared" si="45"/>
        <v>0</v>
      </c>
      <c r="L212" s="1044">
        <f t="shared" si="41"/>
        <v>23.962499999999999</v>
      </c>
      <c r="M212" s="145" t="str">
        <f t="shared" si="42"/>
        <v/>
      </c>
      <c r="N212" s="684">
        <f t="shared" si="43"/>
        <v>46052</v>
      </c>
    </row>
    <row r="213" spans="1:14" ht="15" customHeight="1">
      <c r="A213" s="658">
        <v>46052</v>
      </c>
      <c r="B213" s="658" t="str">
        <f t="shared" si="37"/>
        <v>Vie</v>
      </c>
      <c r="C213" s="674" t="s">
        <v>146</v>
      </c>
      <c r="D213" s="885" t="s">
        <v>526</v>
      </c>
      <c r="E213" s="687">
        <v>0.41666666666666669</v>
      </c>
      <c r="F213" s="687">
        <v>0.66666666666666663</v>
      </c>
      <c r="G213" s="688">
        <f t="shared" si="38"/>
        <v>5.9999999999999982</v>
      </c>
      <c r="H213" s="676">
        <f>IF(D213="","",IFERROR(VLOOKUP(D213,'Resumen Empleado'!$A$4:$B$17,2,FALSE),""))</f>
        <v>16</v>
      </c>
      <c r="I213" s="676">
        <f t="shared" si="39"/>
        <v>31.999999999999993</v>
      </c>
      <c r="J213" s="676">
        <f t="shared" si="40"/>
        <v>63.999999999999986</v>
      </c>
      <c r="K213" s="676">
        <f t="shared" si="45"/>
        <v>0</v>
      </c>
      <c r="L213" s="1044">
        <f t="shared" si="41"/>
        <v>95.999999999999972</v>
      </c>
      <c r="M213" s="145" t="str">
        <f t="shared" si="42"/>
        <v/>
      </c>
      <c r="N213" s="684">
        <f t="shared" si="43"/>
        <v>46052</v>
      </c>
    </row>
    <row r="214" spans="1:14" ht="15" customHeight="1">
      <c r="A214" s="658">
        <v>46052</v>
      </c>
      <c r="B214" s="658" t="str">
        <f t="shared" si="37"/>
        <v>Vie</v>
      </c>
      <c r="C214" s="674" t="s">
        <v>497</v>
      </c>
      <c r="D214" s="885" t="s">
        <v>522</v>
      </c>
      <c r="E214" s="687">
        <v>0.79166666666666663</v>
      </c>
      <c r="F214" s="687">
        <v>0.95833333333333337</v>
      </c>
      <c r="G214" s="688">
        <f t="shared" si="38"/>
        <v>4.0000000000000018</v>
      </c>
      <c r="H214" s="676">
        <f>IF(D214="","",IFERROR(VLOOKUP(D214,'Resumen Empleado'!$A$4:$B$17,2,FALSE),""))</f>
        <v>10</v>
      </c>
      <c r="I214" s="676">
        <f t="shared" si="39"/>
        <v>0</v>
      </c>
      <c r="J214" s="676">
        <f t="shared" si="40"/>
        <v>0</v>
      </c>
      <c r="K214" s="676">
        <f t="shared" si="45"/>
        <v>40.000000000000014</v>
      </c>
      <c r="L214" s="1044">
        <f t="shared" si="41"/>
        <v>40.000000000000014</v>
      </c>
      <c r="M214" s="145" t="str">
        <f t="shared" si="42"/>
        <v/>
      </c>
      <c r="N214" s="684">
        <f t="shared" si="43"/>
        <v>46052</v>
      </c>
    </row>
    <row r="215" spans="1:14" ht="15" customHeight="1">
      <c r="A215" s="658">
        <v>46052</v>
      </c>
      <c r="B215" s="658" t="str">
        <f t="shared" si="37"/>
        <v>Vie</v>
      </c>
      <c r="C215" s="674" t="s">
        <v>497</v>
      </c>
      <c r="D215" s="885" t="s">
        <v>524</v>
      </c>
      <c r="E215" s="687">
        <v>0.8125</v>
      </c>
      <c r="F215" s="687">
        <v>0</v>
      </c>
      <c r="G215" s="688">
        <f t="shared" si="38"/>
        <v>4.5</v>
      </c>
      <c r="H215" s="676">
        <f>IF(D215="","",IFERROR(VLOOKUP(D215,'Resumen Empleado'!$A$4:$B$17,2,FALSE),""))</f>
        <v>7.3</v>
      </c>
      <c r="I215" s="676">
        <f t="shared" si="39"/>
        <v>0</v>
      </c>
      <c r="J215" s="676">
        <f t="shared" si="40"/>
        <v>0</v>
      </c>
      <c r="K215" s="676">
        <f t="shared" si="45"/>
        <v>32.85</v>
      </c>
      <c r="L215" s="1044">
        <f t="shared" si="41"/>
        <v>32.85</v>
      </c>
      <c r="M215" s="145" t="str">
        <f t="shared" si="42"/>
        <v/>
      </c>
      <c r="N215" s="684">
        <f t="shared" si="43"/>
        <v>46052</v>
      </c>
    </row>
    <row r="216" spans="1:14" ht="15" customHeight="1">
      <c r="A216" s="658">
        <v>46052</v>
      </c>
      <c r="B216" s="658" t="str">
        <f t="shared" si="37"/>
        <v>Vie</v>
      </c>
      <c r="C216" s="674" t="s">
        <v>497</v>
      </c>
      <c r="D216" s="885" t="s">
        <v>525</v>
      </c>
      <c r="E216" s="687">
        <v>0.79166666666666663</v>
      </c>
      <c r="F216" s="687">
        <v>0</v>
      </c>
      <c r="G216" s="688">
        <f t="shared" si="38"/>
        <v>5.0000000000000009</v>
      </c>
      <c r="H216" s="676">
        <f>IF(D216="","",IFERROR(VLOOKUP(D216,'Resumen Empleado'!$A$4:$B$17,2,FALSE),""))</f>
        <v>7.25</v>
      </c>
      <c r="I216" s="676">
        <f t="shared" si="39"/>
        <v>0</v>
      </c>
      <c r="J216" s="676">
        <f t="shared" si="40"/>
        <v>0</v>
      </c>
      <c r="K216" s="676">
        <f t="shared" si="45"/>
        <v>36.250000000000007</v>
      </c>
      <c r="L216" s="1044">
        <f t="shared" si="41"/>
        <v>36.250000000000007</v>
      </c>
      <c r="M216" s="145" t="str">
        <f t="shared" si="42"/>
        <v/>
      </c>
      <c r="N216" s="684">
        <f t="shared" si="43"/>
        <v>46052</v>
      </c>
    </row>
    <row r="217" spans="1:14" ht="15" customHeight="1">
      <c r="A217" s="658">
        <v>46052</v>
      </c>
      <c r="B217" s="658" t="str">
        <f t="shared" si="37"/>
        <v>Vie</v>
      </c>
      <c r="C217" s="674" t="s">
        <v>497</v>
      </c>
      <c r="D217" s="885" t="s">
        <v>526</v>
      </c>
      <c r="E217" s="687">
        <v>0.83333333333333337</v>
      </c>
      <c r="F217" s="687">
        <v>0</v>
      </c>
      <c r="G217" s="688">
        <f t="shared" si="38"/>
        <v>3.9999999999999991</v>
      </c>
      <c r="H217" s="676">
        <f>IF(D217="","",IFERROR(VLOOKUP(D217,'Resumen Empleado'!$A$4:$B$17,2,FALSE),""))</f>
        <v>16</v>
      </c>
      <c r="I217" s="676">
        <f t="shared" si="39"/>
        <v>0</v>
      </c>
      <c r="J217" s="676">
        <f t="shared" si="40"/>
        <v>0</v>
      </c>
      <c r="K217" s="676">
        <f t="shared" si="45"/>
        <v>63.999999999999986</v>
      </c>
      <c r="L217" s="1044">
        <f t="shared" si="41"/>
        <v>63.999999999999986</v>
      </c>
      <c r="M217" s="145" t="str">
        <f t="shared" si="42"/>
        <v/>
      </c>
      <c r="N217" s="684">
        <f t="shared" si="43"/>
        <v>46052</v>
      </c>
    </row>
    <row r="218" spans="1:14" ht="15" customHeight="1">
      <c r="A218" s="658">
        <v>46052</v>
      </c>
      <c r="B218" s="658" t="str">
        <f t="shared" si="37"/>
        <v>Vie</v>
      </c>
      <c r="C218" s="674" t="s">
        <v>497</v>
      </c>
      <c r="D218" s="885" t="s">
        <v>523</v>
      </c>
      <c r="E218" s="687">
        <v>0.79166666666666663</v>
      </c>
      <c r="F218" s="687">
        <v>0</v>
      </c>
      <c r="G218" s="688">
        <f t="shared" si="38"/>
        <v>5.0000000000000009</v>
      </c>
      <c r="H218" s="676">
        <f>IF(D218="","",IFERROR(VLOOKUP(D218,'Resumen Empleado'!$A$4:$B$17,2,FALSE),""))</f>
        <v>6.39</v>
      </c>
      <c r="I218" s="676">
        <f t="shared" si="39"/>
        <v>0</v>
      </c>
      <c r="J218" s="676">
        <f t="shared" si="40"/>
        <v>0</v>
      </c>
      <c r="K218" s="676">
        <f t="shared" si="45"/>
        <v>31.950000000000003</v>
      </c>
      <c r="L218" s="1044">
        <f t="shared" si="41"/>
        <v>31.950000000000003</v>
      </c>
      <c r="M218" s="145" t="str">
        <f t="shared" si="42"/>
        <v/>
      </c>
      <c r="N218" s="684">
        <f t="shared" si="43"/>
        <v>46052</v>
      </c>
    </row>
    <row r="219" spans="1:14" ht="15" customHeight="1">
      <c r="A219" s="658">
        <v>46052</v>
      </c>
      <c r="B219" s="658" t="str">
        <f t="shared" si="37"/>
        <v>Vie</v>
      </c>
      <c r="C219" s="674" t="s">
        <v>497</v>
      </c>
      <c r="D219" s="885" t="s">
        <v>527</v>
      </c>
      <c r="E219" s="687">
        <v>0.8125</v>
      </c>
      <c r="F219" s="687">
        <v>0.89583333333333337</v>
      </c>
      <c r="G219" s="688">
        <f t="shared" si="38"/>
        <v>2.0000000000000009</v>
      </c>
      <c r="H219" s="676" t="str">
        <f>IF(D219="","",IFERROR(VLOOKUP(D219,'Resumen Empleado'!$A$4:$B$17,2,FALSE),""))</f>
        <v/>
      </c>
      <c r="I219" s="676">
        <f t="shared" si="39"/>
        <v>0</v>
      </c>
      <c r="J219" s="676">
        <f t="shared" si="40"/>
        <v>0</v>
      </c>
      <c r="K219" s="676">
        <f t="shared" si="45"/>
        <v>0</v>
      </c>
      <c r="L219" s="1044">
        <f t="shared" si="41"/>
        <v>0</v>
      </c>
      <c r="M219" s="145" t="str">
        <f t="shared" si="42"/>
        <v/>
      </c>
      <c r="N219" s="684">
        <f t="shared" si="43"/>
        <v>46052</v>
      </c>
    </row>
    <row r="220" spans="1:14" ht="15" customHeight="1">
      <c r="A220" s="658">
        <v>46052</v>
      </c>
      <c r="B220" s="658" t="str">
        <f t="shared" si="37"/>
        <v>Vie</v>
      </c>
      <c r="C220" s="674" t="s">
        <v>146</v>
      </c>
      <c r="D220" s="885" t="s">
        <v>528</v>
      </c>
      <c r="E220" s="687">
        <v>0.33333333333333331</v>
      </c>
      <c r="F220" s="687">
        <v>0.66666666666666663</v>
      </c>
      <c r="G220" s="688">
        <f t="shared" si="38"/>
        <v>8</v>
      </c>
      <c r="H220" s="676">
        <f>IF(D220="","",IFERROR(VLOOKUP(D220,'Resumen Empleado'!$A$4:$B$17,2,FALSE),""))</f>
        <v>11</v>
      </c>
      <c r="I220" s="676">
        <f t="shared" si="39"/>
        <v>44</v>
      </c>
      <c r="J220" s="676">
        <f t="shared" si="40"/>
        <v>43.999999999999993</v>
      </c>
      <c r="K220" s="676">
        <f>IF(OR(E220="",F220="",H220=""),0,MAX(0,(MIN(IF(F220&lt;E220,1+F220,F220),1+TIME(5,0,0))-MAX(E220,TIME(19,0,0))))*24*H220)</f>
        <v>0</v>
      </c>
      <c r="L220" s="1044">
        <f t="shared" si="41"/>
        <v>88</v>
      </c>
      <c r="M220" s="145" t="str">
        <f t="shared" si="42"/>
        <v/>
      </c>
      <c r="N220" s="684">
        <f t="shared" si="43"/>
        <v>46052</v>
      </c>
    </row>
    <row r="221" spans="1:14" ht="15" customHeight="1">
      <c r="A221" s="658">
        <v>46053</v>
      </c>
      <c r="B221" s="658" t="str">
        <f t="shared" si="37"/>
        <v>Sáb</v>
      </c>
      <c r="C221" s="674" t="s">
        <v>146</v>
      </c>
      <c r="D221" s="885" t="s">
        <v>522</v>
      </c>
      <c r="E221" s="687">
        <v>0.33333333333333331</v>
      </c>
      <c r="F221" s="687">
        <v>0.6875</v>
      </c>
      <c r="G221" s="688">
        <f t="shared" si="38"/>
        <v>8.5</v>
      </c>
      <c r="H221" s="676">
        <f>IF(D221="","",IFERROR(VLOOKUP(D221,'Resumen Empleado'!$A$4:$B$17,2,FALSE),""))</f>
        <v>10</v>
      </c>
      <c r="I221" s="676">
        <f t="shared" si="39"/>
        <v>40</v>
      </c>
      <c r="J221" s="676">
        <f t="shared" si="40"/>
        <v>45</v>
      </c>
      <c r="K221" s="676">
        <f t="shared" ref="K221:K232" si="46">IF(OR(E221="",F221="",H221=""),0,MAX(0,(MIN(IF(F221&lt;E221,F221+1,F221),1+TIME(5,0,0))-MAX(E221,TIME(19,0,0))))*24*H221)</f>
        <v>0</v>
      </c>
      <c r="L221" s="1044">
        <f t="shared" si="41"/>
        <v>85</v>
      </c>
      <c r="M221" s="145" t="str">
        <f t="shared" si="42"/>
        <v/>
      </c>
      <c r="N221" s="684">
        <f t="shared" si="43"/>
        <v>46053</v>
      </c>
    </row>
    <row r="222" spans="1:14" ht="15" customHeight="1">
      <c r="A222" s="658">
        <v>46053</v>
      </c>
      <c r="B222" s="658" t="str">
        <f t="shared" si="37"/>
        <v>Sáb</v>
      </c>
      <c r="C222" s="674" t="s">
        <v>146</v>
      </c>
      <c r="D222" s="885" t="s">
        <v>523</v>
      </c>
      <c r="E222" s="687">
        <v>0.30208333333333331</v>
      </c>
      <c r="F222" s="687">
        <v>0.67708333333333337</v>
      </c>
      <c r="G222" s="688">
        <f t="shared" si="38"/>
        <v>9.0000000000000018</v>
      </c>
      <c r="H222" s="676">
        <f>IF(D222="","",IFERROR(VLOOKUP(D222,'Resumen Empleado'!$A$4:$B$17,2,FALSE),""))</f>
        <v>6.39</v>
      </c>
      <c r="I222" s="676">
        <f t="shared" si="39"/>
        <v>30.352499999999999</v>
      </c>
      <c r="J222" s="676">
        <f t="shared" si="40"/>
        <v>27.157500000000006</v>
      </c>
      <c r="K222" s="676">
        <f t="shared" si="46"/>
        <v>0</v>
      </c>
      <c r="L222" s="1044">
        <f t="shared" si="41"/>
        <v>57.510000000000005</v>
      </c>
      <c r="M222" s="145" t="str">
        <f t="shared" si="42"/>
        <v/>
      </c>
      <c r="N222" s="684">
        <f t="shared" si="43"/>
        <v>46053</v>
      </c>
    </row>
    <row r="223" spans="1:14" ht="15" customHeight="1">
      <c r="A223" s="658">
        <v>46053</v>
      </c>
      <c r="B223" s="658" t="str">
        <f t="shared" si="37"/>
        <v>Sáb</v>
      </c>
      <c r="C223" s="674" t="s">
        <v>146</v>
      </c>
      <c r="D223" s="885" t="s">
        <v>526</v>
      </c>
      <c r="E223" s="687">
        <v>0.375</v>
      </c>
      <c r="F223" s="687">
        <v>0.67708333333333337</v>
      </c>
      <c r="G223" s="688">
        <f t="shared" si="38"/>
        <v>7.2500000000000009</v>
      </c>
      <c r="H223" s="676">
        <f>IF(D223="","",IFERROR(VLOOKUP(D223,'Resumen Empleado'!$A$4:$B$17,2,FALSE),""))</f>
        <v>16</v>
      </c>
      <c r="I223" s="676">
        <f t="shared" si="39"/>
        <v>48</v>
      </c>
      <c r="J223" s="676">
        <f t="shared" si="40"/>
        <v>68.000000000000014</v>
      </c>
      <c r="K223" s="676">
        <f t="shared" si="46"/>
        <v>0</v>
      </c>
      <c r="L223" s="1044">
        <f t="shared" si="41"/>
        <v>116.00000000000001</v>
      </c>
      <c r="M223" s="145" t="str">
        <f t="shared" si="42"/>
        <v/>
      </c>
      <c r="N223" s="684">
        <f t="shared" si="43"/>
        <v>46053</v>
      </c>
    </row>
    <row r="224" spans="1:14" ht="15" customHeight="1">
      <c r="A224" s="658">
        <v>46053</v>
      </c>
      <c r="B224" s="658" t="str">
        <f t="shared" si="37"/>
        <v>Sáb</v>
      </c>
      <c r="C224" s="674" t="s">
        <v>146</v>
      </c>
      <c r="D224" s="885" t="s">
        <v>525</v>
      </c>
      <c r="E224" s="687">
        <v>0.375</v>
      </c>
      <c r="F224" s="687">
        <v>0.6875</v>
      </c>
      <c r="G224" s="688">
        <f t="shared" si="38"/>
        <v>7.5</v>
      </c>
      <c r="H224" s="676">
        <f>IF(D224="","",IFERROR(VLOOKUP(D224,'Resumen Empleado'!$A$4:$B$17,2,FALSE),""))</f>
        <v>7.25</v>
      </c>
      <c r="I224" s="676">
        <f t="shared" si="39"/>
        <v>21.75</v>
      </c>
      <c r="J224" s="676">
        <f t="shared" si="40"/>
        <v>32.625</v>
      </c>
      <c r="K224" s="676">
        <f t="shared" si="46"/>
        <v>0</v>
      </c>
      <c r="L224" s="1044">
        <f t="shared" si="41"/>
        <v>54.375</v>
      </c>
      <c r="M224" s="145" t="str">
        <f t="shared" si="42"/>
        <v/>
      </c>
      <c r="N224" s="684">
        <f t="shared" si="43"/>
        <v>46053</v>
      </c>
    </row>
    <row r="225" spans="1:14" ht="15" customHeight="1">
      <c r="A225" s="658">
        <v>46053</v>
      </c>
      <c r="B225" s="658" t="str">
        <f t="shared" si="37"/>
        <v>Sáb</v>
      </c>
      <c r="C225" s="674" t="s">
        <v>146</v>
      </c>
      <c r="D225" s="885" t="s">
        <v>524</v>
      </c>
      <c r="E225" s="687">
        <v>0.53125</v>
      </c>
      <c r="F225" s="687">
        <v>0.63541666666666663</v>
      </c>
      <c r="G225" s="688">
        <f t="shared" si="38"/>
        <v>2.4999999999999991</v>
      </c>
      <c r="H225" s="676">
        <f>IF(D225="","",IFERROR(VLOOKUP(D225,'Resumen Empleado'!$A$4:$B$17,2,FALSE),""))</f>
        <v>7.3</v>
      </c>
      <c r="I225" s="676">
        <f t="shared" si="39"/>
        <v>0</v>
      </c>
      <c r="J225" s="676">
        <f t="shared" si="40"/>
        <v>18.249999999999993</v>
      </c>
      <c r="K225" s="676">
        <f t="shared" si="46"/>
        <v>0</v>
      </c>
      <c r="L225" s="1044">
        <f t="shared" si="41"/>
        <v>18.249999999999993</v>
      </c>
      <c r="M225" s="145" t="str">
        <f t="shared" si="42"/>
        <v/>
      </c>
      <c r="N225" s="684">
        <f t="shared" si="43"/>
        <v>46053</v>
      </c>
    </row>
    <row r="226" spans="1:14" ht="15" customHeight="1">
      <c r="A226" s="658">
        <v>46053</v>
      </c>
      <c r="B226" s="658" t="str">
        <f t="shared" si="37"/>
        <v>Sáb</v>
      </c>
      <c r="C226" s="674" t="s">
        <v>146</v>
      </c>
      <c r="D226" s="897" t="s">
        <v>529</v>
      </c>
      <c r="E226" s="687">
        <v>0.5</v>
      </c>
      <c r="F226" s="687">
        <v>0.66666666666666663</v>
      </c>
      <c r="G226" s="688">
        <f t="shared" si="38"/>
        <v>3.9999999999999991</v>
      </c>
      <c r="H226" s="676">
        <f>IF(D226="","",IFERROR(VLOOKUP(D226,'Resumen Empleado'!$A$4:$B$17,2,FALSE),""))</f>
        <v>8</v>
      </c>
      <c r="I226" s="676">
        <f t="shared" si="39"/>
        <v>0</v>
      </c>
      <c r="J226" s="676">
        <f t="shared" si="40"/>
        <v>31.999999999999993</v>
      </c>
      <c r="K226" s="676">
        <f t="shared" si="46"/>
        <v>0</v>
      </c>
      <c r="L226" s="1044">
        <f t="shared" si="41"/>
        <v>31.999999999999993</v>
      </c>
      <c r="M226" s="145" t="str">
        <f t="shared" si="42"/>
        <v/>
      </c>
      <c r="N226" s="684">
        <f t="shared" si="43"/>
        <v>46053</v>
      </c>
    </row>
    <row r="227" spans="1:14" ht="15" customHeight="1">
      <c r="A227" s="658">
        <v>46053</v>
      </c>
      <c r="B227" s="658" t="str">
        <f t="shared" si="37"/>
        <v>Sáb</v>
      </c>
      <c r="C227" s="674" t="s">
        <v>497</v>
      </c>
      <c r="D227" s="885" t="s">
        <v>529</v>
      </c>
      <c r="E227" s="687">
        <v>0.89583333333333337</v>
      </c>
      <c r="F227" s="687">
        <v>0</v>
      </c>
      <c r="G227" s="688">
        <f t="shared" si="38"/>
        <v>2.4999999999999991</v>
      </c>
      <c r="H227" s="676">
        <f>IF(D227="","",IFERROR(VLOOKUP(D227,'Resumen Empleado'!$A$4:$B$17,2,FALSE),""))</f>
        <v>8</v>
      </c>
      <c r="I227" s="676">
        <f t="shared" si="39"/>
        <v>0</v>
      </c>
      <c r="J227" s="676">
        <f t="shared" si="40"/>
        <v>0</v>
      </c>
      <c r="K227" s="676">
        <f t="shared" si="46"/>
        <v>19.999999999999993</v>
      </c>
      <c r="L227" s="1044">
        <f t="shared" si="41"/>
        <v>19.999999999999993</v>
      </c>
      <c r="M227" s="145" t="str">
        <f t="shared" si="42"/>
        <v/>
      </c>
      <c r="N227" s="684">
        <f t="shared" si="43"/>
        <v>46053</v>
      </c>
    </row>
    <row r="228" spans="1:14" ht="15" customHeight="1">
      <c r="A228" s="658">
        <v>46053</v>
      </c>
      <c r="B228" s="658" t="str">
        <f t="shared" si="37"/>
        <v>Sáb</v>
      </c>
      <c r="C228" s="674" t="s">
        <v>497</v>
      </c>
      <c r="D228" s="885" t="s">
        <v>522</v>
      </c>
      <c r="E228" s="687">
        <v>0.79166666666666663</v>
      </c>
      <c r="F228" s="687">
        <v>0</v>
      </c>
      <c r="G228" s="688">
        <f t="shared" si="38"/>
        <v>5.0000000000000009</v>
      </c>
      <c r="H228" s="676">
        <f>IF(D228="","",IFERROR(VLOOKUP(D228,'Resumen Empleado'!$A$4:$B$17,2,FALSE),""))</f>
        <v>10</v>
      </c>
      <c r="I228" s="676">
        <f t="shared" si="39"/>
        <v>0</v>
      </c>
      <c r="J228" s="676">
        <f t="shared" si="40"/>
        <v>0</v>
      </c>
      <c r="K228" s="676">
        <f t="shared" si="46"/>
        <v>50.000000000000007</v>
      </c>
      <c r="L228" s="1044">
        <f t="shared" si="41"/>
        <v>50.000000000000007</v>
      </c>
      <c r="M228" s="145" t="str">
        <f t="shared" si="42"/>
        <v/>
      </c>
      <c r="N228" s="684">
        <f t="shared" si="43"/>
        <v>46053</v>
      </c>
    </row>
    <row r="229" spans="1:14" ht="15" customHeight="1">
      <c r="A229" s="658">
        <v>46053</v>
      </c>
      <c r="B229" s="658" t="str">
        <f t="shared" si="37"/>
        <v>Sáb</v>
      </c>
      <c r="C229" s="674" t="s">
        <v>497</v>
      </c>
      <c r="D229" s="897" t="s">
        <v>524</v>
      </c>
      <c r="E229" s="687">
        <v>0.79166666666666663</v>
      </c>
      <c r="F229" s="687">
        <v>0</v>
      </c>
      <c r="G229" s="688">
        <f t="shared" si="38"/>
        <v>5.0000000000000009</v>
      </c>
      <c r="H229" s="676">
        <f>IF(D229="","",IFERROR(VLOOKUP(D229,'Resumen Empleado'!$A$4:$B$17,2,FALSE),""))</f>
        <v>7.3</v>
      </c>
      <c r="I229" s="676">
        <f t="shared" si="39"/>
        <v>0</v>
      </c>
      <c r="J229" s="676">
        <f t="shared" si="40"/>
        <v>0</v>
      </c>
      <c r="K229" s="676">
        <f t="shared" si="46"/>
        <v>36.500000000000007</v>
      </c>
      <c r="L229" s="1044">
        <f t="shared" si="41"/>
        <v>36.500000000000007</v>
      </c>
      <c r="M229" s="145" t="str">
        <f t="shared" si="42"/>
        <v/>
      </c>
      <c r="N229" s="684">
        <f t="shared" si="43"/>
        <v>46053</v>
      </c>
    </row>
    <row r="230" spans="1:14" ht="15" customHeight="1">
      <c r="A230" s="658">
        <v>46053</v>
      </c>
      <c r="B230" s="658" t="str">
        <f t="shared" si="37"/>
        <v>Sáb</v>
      </c>
      <c r="C230" s="674" t="s">
        <v>497</v>
      </c>
      <c r="D230" s="885" t="s">
        <v>525</v>
      </c>
      <c r="E230" s="687">
        <v>0.79166666666666663</v>
      </c>
      <c r="F230" s="687">
        <v>0</v>
      </c>
      <c r="G230" s="688">
        <f t="shared" si="38"/>
        <v>5.0000000000000009</v>
      </c>
      <c r="H230" s="676">
        <f>IF(D230="","",IFERROR(VLOOKUP(D230,'Resumen Empleado'!$A$4:$B$17,2,FALSE),""))</f>
        <v>7.25</v>
      </c>
      <c r="I230" s="676">
        <f t="shared" si="39"/>
        <v>0</v>
      </c>
      <c r="J230" s="676">
        <f t="shared" si="40"/>
        <v>0</v>
      </c>
      <c r="K230" s="676">
        <f t="shared" si="46"/>
        <v>36.250000000000007</v>
      </c>
      <c r="L230" s="1044">
        <f t="shared" si="41"/>
        <v>36.250000000000007</v>
      </c>
      <c r="M230" s="145" t="str">
        <f t="shared" si="42"/>
        <v/>
      </c>
      <c r="N230" s="684">
        <f t="shared" si="43"/>
        <v>46053</v>
      </c>
    </row>
    <row r="231" spans="1:14" ht="15" customHeight="1">
      <c r="A231" s="658">
        <v>46053</v>
      </c>
      <c r="B231" s="658" t="str">
        <f t="shared" si="37"/>
        <v>Sáb</v>
      </c>
      <c r="C231" s="674" t="s">
        <v>497</v>
      </c>
      <c r="D231" s="885" t="s">
        <v>526</v>
      </c>
      <c r="E231" s="687">
        <v>0.83333333333333337</v>
      </c>
      <c r="F231" s="687">
        <v>0</v>
      </c>
      <c r="G231" s="688">
        <f t="shared" si="38"/>
        <v>3.9999999999999991</v>
      </c>
      <c r="H231" s="676">
        <f>IF(D231="","",IFERROR(VLOOKUP(D231,'Resumen Empleado'!$A$4:$B$17,2,FALSE),""))</f>
        <v>16</v>
      </c>
      <c r="I231" s="676">
        <f t="shared" si="39"/>
        <v>0</v>
      </c>
      <c r="J231" s="676">
        <f t="shared" si="40"/>
        <v>0</v>
      </c>
      <c r="K231" s="676">
        <f t="shared" si="46"/>
        <v>63.999999999999986</v>
      </c>
      <c r="L231" s="1044">
        <f t="shared" si="41"/>
        <v>63.999999999999986</v>
      </c>
      <c r="M231" s="145" t="str">
        <f t="shared" si="42"/>
        <v/>
      </c>
      <c r="N231" s="684">
        <f t="shared" si="43"/>
        <v>46053</v>
      </c>
    </row>
    <row r="232" spans="1:14" ht="15" customHeight="1">
      <c r="A232" s="658">
        <v>46053</v>
      </c>
      <c r="B232" s="658" t="str">
        <f t="shared" si="37"/>
        <v>Sáb</v>
      </c>
      <c r="C232" s="674" t="s">
        <v>497</v>
      </c>
      <c r="D232" s="885" t="s">
        <v>523</v>
      </c>
      <c r="E232" s="687">
        <v>0.79166666666666663</v>
      </c>
      <c r="F232" s="687">
        <v>0</v>
      </c>
      <c r="G232" s="688">
        <f t="shared" si="38"/>
        <v>5.0000000000000009</v>
      </c>
      <c r="H232" s="676">
        <f>IF(D232="","",IFERROR(VLOOKUP(D232,'Resumen Empleado'!$A$4:$B$17,2,FALSE),""))</f>
        <v>6.39</v>
      </c>
      <c r="I232" s="676">
        <f t="shared" si="39"/>
        <v>0</v>
      </c>
      <c r="J232" s="676">
        <f t="shared" si="40"/>
        <v>0</v>
      </c>
      <c r="K232" s="676">
        <f t="shared" si="46"/>
        <v>31.950000000000003</v>
      </c>
      <c r="L232" s="1044">
        <f t="shared" si="41"/>
        <v>31.950000000000003</v>
      </c>
      <c r="M232" s="145" t="str">
        <f t="shared" si="42"/>
        <v/>
      </c>
      <c r="N232" s="684">
        <f t="shared" si="43"/>
        <v>46053</v>
      </c>
    </row>
    <row r="233" spans="1:14" ht="15" customHeight="1">
      <c r="A233" s="658">
        <v>46053</v>
      </c>
      <c r="B233" s="658" t="str">
        <f t="shared" si="37"/>
        <v>Sáb</v>
      </c>
      <c r="C233" s="674" t="s">
        <v>146</v>
      </c>
      <c r="D233" s="885" t="s">
        <v>528</v>
      </c>
      <c r="E233" s="687">
        <v>0.33333333333333331</v>
      </c>
      <c r="F233" s="687">
        <v>0.66666666666666663</v>
      </c>
      <c r="G233" s="688">
        <f t="shared" si="38"/>
        <v>8</v>
      </c>
      <c r="H233" s="676">
        <f>IF(D233="","",IFERROR(VLOOKUP(D233,'Resumen Empleado'!$A$4:$B$17,2,FALSE),""))</f>
        <v>11</v>
      </c>
      <c r="I233" s="676">
        <f t="shared" si="39"/>
        <v>44</v>
      </c>
      <c r="J233" s="676">
        <f t="shared" si="40"/>
        <v>43.999999999999993</v>
      </c>
      <c r="K233" s="676">
        <f>IF(OR(E233="",F233="",H233=""),0,MAX(0,(MIN(IF(F233&lt;E233,1+F233,F233),1+TIME(5,0,0))-MAX(E233,TIME(19,0,0))))*24*H233)</f>
        <v>0</v>
      </c>
      <c r="L233" s="1044">
        <f t="shared" si="41"/>
        <v>88</v>
      </c>
      <c r="M233" s="145" t="str">
        <f t="shared" si="42"/>
        <v/>
      </c>
      <c r="N233" s="684">
        <f t="shared" si="43"/>
        <v>46053</v>
      </c>
    </row>
    <row r="234" spans="1:14" ht="15" customHeight="1">
      <c r="A234" s="658">
        <v>46054</v>
      </c>
      <c r="B234" s="658" t="str">
        <f t="shared" si="37"/>
        <v>Dom</v>
      </c>
      <c r="C234" s="674" t="s">
        <v>146</v>
      </c>
      <c r="D234" s="885" t="s">
        <v>526</v>
      </c>
      <c r="E234" s="687">
        <v>0.375</v>
      </c>
      <c r="F234" s="687">
        <v>0.6875</v>
      </c>
      <c r="G234" s="688">
        <f t="shared" si="38"/>
        <v>7.5</v>
      </c>
      <c r="H234" s="676">
        <f>IF(D234="","",IFERROR(VLOOKUP(D234,'Resumen Empleado'!$A$4:$B$17,2,FALSE),""))</f>
        <v>16</v>
      </c>
      <c r="I234" s="676">
        <f t="shared" si="39"/>
        <v>48</v>
      </c>
      <c r="J234" s="676">
        <f t="shared" si="40"/>
        <v>72</v>
      </c>
      <c r="K234" s="676">
        <f t="shared" ref="K234:K239" si="47">IF(OR(E234="",F234="",H234=""),0,MAX(0,(MIN(IF(F234&lt;E234,F234+1,F234),1+TIME(5,0,0))-MAX(E234,TIME(19,0,0))))*24*H234)</f>
        <v>0</v>
      </c>
      <c r="L234" s="1044">
        <f t="shared" si="41"/>
        <v>120</v>
      </c>
      <c r="M234" s="145" t="str">
        <f t="shared" si="42"/>
        <v/>
      </c>
      <c r="N234" s="684">
        <f t="shared" si="43"/>
        <v>46054</v>
      </c>
    </row>
    <row r="235" spans="1:14" ht="15" customHeight="1">
      <c r="A235" s="658">
        <v>46054</v>
      </c>
      <c r="B235" s="658" t="str">
        <f t="shared" si="37"/>
        <v>Dom</v>
      </c>
      <c r="C235" s="674" t="s">
        <v>146</v>
      </c>
      <c r="D235" s="897" t="s">
        <v>523</v>
      </c>
      <c r="E235" s="687">
        <v>0.30208333333333331</v>
      </c>
      <c r="F235" s="687">
        <v>0.6875</v>
      </c>
      <c r="G235" s="688">
        <f t="shared" si="38"/>
        <v>9.25</v>
      </c>
      <c r="H235" s="676">
        <f>IF(D235="","",IFERROR(VLOOKUP(D235,'Resumen Empleado'!$A$4:$B$17,2,FALSE),""))</f>
        <v>6.39</v>
      </c>
      <c r="I235" s="676">
        <f t="shared" si="39"/>
        <v>30.352499999999999</v>
      </c>
      <c r="J235" s="676">
        <f t="shared" si="40"/>
        <v>28.754999999999999</v>
      </c>
      <c r="K235" s="676">
        <f t="shared" si="47"/>
        <v>0</v>
      </c>
      <c r="L235" s="1044">
        <f t="shared" si="41"/>
        <v>59.107500000000002</v>
      </c>
      <c r="M235" s="145" t="str">
        <f t="shared" si="42"/>
        <v/>
      </c>
      <c r="N235" s="684">
        <f t="shared" si="43"/>
        <v>46054</v>
      </c>
    </row>
    <row r="236" spans="1:14" ht="15" customHeight="1">
      <c r="A236" s="658">
        <v>46054</v>
      </c>
      <c r="B236" s="658" t="str">
        <f t="shared" si="37"/>
        <v>Dom</v>
      </c>
      <c r="C236" s="674" t="s">
        <v>146</v>
      </c>
      <c r="D236" s="885" t="s">
        <v>522</v>
      </c>
      <c r="E236" s="687">
        <v>0.33333333333333331</v>
      </c>
      <c r="F236" s="687">
        <v>0.64583333333333337</v>
      </c>
      <c r="G236" s="688">
        <f t="shared" si="38"/>
        <v>7.5000000000000018</v>
      </c>
      <c r="H236" s="676">
        <f>IF(D236="","",IFERROR(VLOOKUP(D236,'Resumen Empleado'!$A$4:$B$17,2,FALSE),""))</f>
        <v>10</v>
      </c>
      <c r="I236" s="676">
        <f t="shared" si="39"/>
        <v>40</v>
      </c>
      <c r="J236" s="676">
        <f t="shared" si="40"/>
        <v>35.000000000000007</v>
      </c>
      <c r="K236" s="676">
        <f t="shared" si="47"/>
        <v>0</v>
      </c>
      <c r="L236" s="1044">
        <f t="shared" si="41"/>
        <v>75</v>
      </c>
      <c r="M236" s="145" t="str">
        <f t="shared" si="42"/>
        <v/>
      </c>
      <c r="N236" s="684">
        <f t="shared" si="43"/>
        <v>46054</v>
      </c>
    </row>
    <row r="237" spans="1:14" ht="15" customHeight="1">
      <c r="A237" s="658">
        <v>46054</v>
      </c>
      <c r="B237" s="658" t="str">
        <f t="shared" si="37"/>
        <v>Dom</v>
      </c>
      <c r="C237" s="674" t="s">
        <v>146</v>
      </c>
      <c r="D237" s="885" t="s">
        <v>525</v>
      </c>
      <c r="E237" s="687">
        <v>0.375</v>
      </c>
      <c r="F237" s="687">
        <v>0.6875</v>
      </c>
      <c r="G237" s="688">
        <f t="shared" si="38"/>
        <v>7.5</v>
      </c>
      <c r="H237" s="676">
        <f>IF(D237="","",IFERROR(VLOOKUP(D237,'Resumen Empleado'!$A$4:$B$17,2,FALSE),""))</f>
        <v>7.25</v>
      </c>
      <c r="I237" s="676">
        <f t="shared" si="39"/>
        <v>21.75</v>
      </c>
      <c r="J237" s="676">
        <f t="shared" si="40"/>
        <v>32.625</v>
      </c>
      <c r="K237" s="676">
        <f t="shared" si="47"/>
        <v>0</v>
      </c>
      <c r="L237" s="1044">
        <f t="shared" si="41"/>
        <v>54.375</v>
      </c>
      <c r="M237" s="145" t="str">
        <f t="shared" si="42"/>
        <v/>
      </c>
      <c r="N237" s="684">
        <f t="shared" si="43"/>
        <v>46054</v>
      </c>
    </row>
    <row r="238" spans="1:14" ht="15" customHeight="1">
      <c r="A238" s="658">
        <v>46054</v>
      </c>
      <c r="B238" s="658" t="str">
        <f t="shared" si="37"/>
        <v>Dom</v>
      </c>
      <c r="C238" s="674" t="s">
        <v>146</v>
      </c>
      <c r="D238" s="885" t="s">
        <v>529</v>
      </c>
      <c r="E238" s="687">
        <v>0.5</v>
      </c>
      <c r="F238" s="687">
        <v>0.6875</v>
      </c>
      <c r="G238" s="688">
        <f t="shared" si="38"/>
        <v>4.5</v>
      </c>
      <c r="H238" s="676">
        <f>IF(D238="","",IFERROR(VLOOKUP(D238,'Resumen Empleado'!$A$4:$B$17,2,FALSE),""))</f>
        <v>8</v>
      </c>
      <c r="I238" s="676">
        <f t="shared" si="39"/>
        <v>0</v>
      </c>
      <c r="J238" s="676">
        <f t="shared" si="40"/>
        <v>36</v>
      </c>
      <c r="K238" s="676">
        <f t="shared" si="47"/>
        <v>0</v>
      </c>
      <c r="L238" s="1044">
        <f t="shared" si="41"/>
        <v>36</v>
      </c>
      <c r="M238" s="145" t="str">
        <f t="shared" si="42"/>
        <v/>
      </c>
      <c r="N238" s="684">
        <f t="shared" si="43"/>
        <v>46054</v>
      </c>
    </row>
    <row r="239" spans="1:14" ht="15" customHeight="1">
      <c r="A239" s="658">
        <v>46054</v>
      </c>
      <c r="B239" s="658" t="str">
        <f t="shared" si="37"/>
        <v>Dom</v>
      </c>
      <c r="C239" s="674" t="s">
        <v>146</v>
      </c>
      <c r="D239" s="885" t="s">
        <v>530</v>
      </c>
      <c r="E239" s="687">
        <v>0.52083333333333337</v>
      </c>
      <c r="F239" s="687">
        <v>0.6875</v>
      </c>
      <c r="G239" s="688">
        <f t="shared" si="38"/>
        <v>3.9999999999999991</v>
      </c>
      <c r="H239" s="676">
        <f>IF(D239="","",IFERROR(VLOOKUP(D239,'Resumen Empleado'!$A$4:$B$17,2,FALSE),""))</f>
        <v>8</v>
      </c>
      <c r="I239" s="676">
        <f t="shared" si="39"/>
        <v>0</v>
      </c>
      <c r="J239" s="676">
        <f t="shared" si="40"/>
        <v>31.999999999999993</v>
      </c>
      <c r="K239" s="676">
        <f t="shared" si="47"/>
        <v>0</v>
      </c>
      <c r="L239" s="1044">
        <f t="shared" si="41"/>
        <v>31.999999999999993</v>
      </c>
      <c r="M239" s="145" t="str">
        <f t="shared" si="42"/>
        <v/>
      </c>
      <c r="N239" s="684">
        <f t="shared" si="43"/>
        <v>46054</v>
      </c>
    </row>
    <row r="240" spans="1:14" ht="15" customHeight="1">
      <c r="A240" s="658">
        <v>46054</v>
      </c>
      <c r="B240" s="658" t="str">
        <f t="shared" si="37"/>
        <v>Dom</v>
      </c>
      <c r="C240" s="674" t="s">
        <v>146</v>
      </c>
      <c r="D240" s="885" t="s">
        <v>528</v>
      </c>
      <c r="E240" s="687">
        <v>0.33333333333333331</v>
      </c>
      <c r="F240" s="687">
        <v>0.66666666666666663</v>
      </c>
      <c r="G240" s="688">
        <f t="shared" si="38"/>
        <v>8</v>
      </c>
      <c r="H240" s="676">
        <f>IF(D240="","",IFERROR(VLOOKUP(D240,'Resumen Empleado'!$A$4:$B$17,2,FALSE),""))</f>
        <v>11</v>
      </c>
      <c r="I240" s="676">
        <f t="shared" si="39"/>
        <v>44</v>
      </c>
      <c r="J240" s="676">
        <f t="shared" si="40"/>
        <v>43.999999999999993</v>
      </c>
      <c r="K240" s="676">
        <f>IF(OR(E240="",F240="",H240=""),0,MAX(0,(MIN(IF(F240&lt;E240,1+F240,F240),1+TIME(5,0,0))-MAX(E240,TIME(19,0,0))))*24*H240)</f>
        <v>0</v>
      </c>
      <c r="L240" s="1044">
        <f t="shared" si="41"/>
        <v>88</v>
      </c>
      <c r="M240" s="145" t="str">
        <f t="shared" si="42"/>
        <v/>
      </c>
      <c r="N240" s="684">
        <f t="shared" si="43"/>
        <v>46054</v>
      </c>
    </row>
    <row r="241" spans="1:14" ht="15" customHeight="1">
      <c r="A241" s="658">
        <v>46055</v>
      </c>
      <c r="B241" s="658" t="str">
        <f t="shared" si="37"/>
        <v>Lun</v>
      </c>
      <c r="C241" s="674" t="s">
        <v>497</v>
      </c>
      <c r="D241" s="897" t="s">
        <v>527</v>
      </c>
      <c r="E241" s="687">
        <v>0.8125</v>
      </c>
      <c r="F241" s="687">
        <v>0.89583333333333337</v>
      </c>
      <c r="G241" s="688">
        <f t="shared" si="38"/>
        <v>2.0000000000000009</v>
      </c>
      <c r="H241" s="676" t="str">
        <f>IF(D241="","",IFERROR(VLOOKUP(D241,'Resumen Empleado'!$A$4:$B$17,2,FALSE),""))</f>
        <v/>
      </c>
      <c r="I241" s="676">
        <f t="shared" si="39"/>
        <v>0</v>
      </c>
      <c r="J241" s="676">
        <f t="shared" si="40"/>
        <v>0</v>
      </c>
      <c r="K241" s="676">
        <f>IF(OR(E241="",F241="",H241=""),0,MAX(0,(MIN(IF(F241&lt;E241,F241+1,F241),1+TIME(5,0,0))-MAX(E241,TIME(19,0,0))))*24*H241)</f>
        <v>0</v>
      </c>
      <c r="L241" s="1044">
        <f t="shared" si="41"/>
        <v>0</v>
      </c>
      <c r="M241" s="145" t="str">
        <f t="shared" si="42"/>
        <v/>
      </c>
      <c r="N241" s="684">
        <f t="shared" si="43"/>
        <v>46055</v>
      </c>
    </row>
    <row r="242" spans="1:14" ht="15" customHeight="1">
      <c r="A242" s="658">
        <v>46055</v>
      </c>
      <c r="B242" s="658" t="str">
        <f t="shared" si="37"/>
        <v>Lun</v>
      </c>
      <c r="C242" s="674" t="s">
        <v>146</v>
      </c>
      <c r="D242" s="885" t="s">
        <v>528</v>
      </c>
      <c r="E242" s="687">
        <v>0.33333333333333331</v>
      </c>
      <c r="F242" s="687">
        <v>0.66666666666666663</v>
      </c>
      <c r="G242" s="688">
        <f t="shared" si="38"/>
        <v>8</v>
      </c>
      <c r="H242" s="676">
        <f>IF(D242="","",IFERROR(VLOOKUP(D242,'Resumen Empleado'!$A$4:$B$17,2,FALSE),""))</f>
        <v>11</v>
      </c>
      <c r="I242" s="676">
        <f t="shared" si="39"/>
        <v>44</v>
      </c>
      <c r="J242" s="676">
        <f t="shared" si="40"/>
        <v>43.999999999999993</v>
      </c>
      <c r="K242" s="676">
        <f>IF(OR(E242="",F242="",H242=""),0,MAX(0,(MIN(IF(F242&lt;E242,1+F242,F242),1+TIME(5,0,0))-MAX(E242,TIME(19,0,0))))*24*H242)</f>
        <v>0</v>
      </c>
      <c r="L242" s="1044">
        <f t="shared" si="41"/>
        <v>88</v>
      </c>
      <c r="M242" s="145" t="str">
        <f t="shared" si="42"/>
        <v/>
      </c>
      <c r="N242" s="684">
        <f t="shared" si="43"/>
        <v>46055</v>
      </c>
    </row>
    <row r="243" spans="1:14" ht="15" customHeight="1">
      <c r="A243" s="658">
        <v>46056</v>
      </c>
      <c r="B243" s="658" t="str">
        <f t="shared" si="37"/>
        <v>Mar</v>
      </c>
      <c r="C243" s="674" t="s">
        <v>497</v>
      </c>
      <c r="D243" s="885" t="s">
        <v>527</v>
      </c>
      <c r="E243" s="687">
        <v>0.8125</v>
      </c>
      <c r="F243" s="687">
        <v>0.89583333333333337</v>
      </c>
      <c r="G243" s="688">
        <f t="shared" si="38"/>
        <v>2.0000000000000009</v>
      </c>
      <c r="H243" s="676" t="str">
        <f>IF(D243="","",IFERROR(VLOOKUP(D243,'Resumen Empleado'!$A$4:$B$17,2,FALSE),""))</f>
        <v/>
      </c>
      <c r="I243" s="676">
        <f t="shared" si="39"/>
        <v>0</v>
      </c>
      <c r="J243" s="676">
        <f t="shared" si="40"/>
        <v>0</v>
      </c>
      <c r="K243" s="676">
        <f>IF(OR(E243="",F243="",H243=""),0,MAX(0,(MIN(IF(F243&lt;E243,F243+1,F243),1+TIME(5,0,0))-MAX(E243,TIME(19,0,0))))*24*H243)</f>
        <v>0</v>
      </c>
      <c r="L243" s="1044">
        <f t="shared" si="41"/>
        <v>0</v>
      </c>
      <c r="M243" s="145" t="str">
        <f t="shared" si="42"/>
        <v/>
      </c>
      <c r="N243" s="684">
        <f t="shared" si="43"/>
        <v>46056</v>
      </c>
    </row>
    <row r="244" spans="1:14" ht="15" customHeight="1">
      <c r="A244" s="658">
        <v>46056</v>
      </c>
      <c r="B244" s="658" t="str">
        <f t="shared" si="37"/>
        <v>Mar</v>
      </c>
      <c r="C244" s="674" t="s">
        <v>146</v>
      </c>
      <c r="D244" s="885" t="s">
        <v>528</v>
      </c>
      <c r="E244" s="687">
        <v>0.33333333333333331</v>
      </c>
      <c r="F244" s="687">
        <v>0.66666666666666663</v>
      </c>
      <c r="G244" s="688">
        <f t="shared" si="38"/>
        <v>8</v>
      </c>
      <c r="H244" s="676">
        <f>IF(D244="","",IFERROR(VLOOKUP(D244,'Resumen Empleado'!$A$4:$B$17,2,FALSE),""))</f>
        <v>11</v>
      </c>
      <c r="I244" s="676">
        <f t="shared" si="39"/>
        <v>44</v>
      </c>
      <c r="J244" s="676">
        <f t="shared" si="40"/>
        <v>43.999999999999993</v>
      </c>
      <c r="K244" s="676">
        <f>IF(OR(E244="",F244="",H244=""),0,MAX(0,(MIN(IF(F244&lt;E244,1+F244,F244),1+TIME(5,0,0))-MAX(E244,TIME(19,0,0))))*24*H244)</f>
        <v>0</v>
      </c>
      <c r="L244" s="1044">
        <f t="shared" si="41"/>
        <v>88</v>
      </c>
      <c r="M244" s="145" t="str">
        <f t="shared" si="42"/>
        <v/>
      </c>
      <c r="N244" s="684">
        <f t="shared" si="43"/>
        <v>46056</v>
      </c>
    </row>
    <row r="245" spans="1:14" ht="15" customHeight="1">
      <c r="A245" s="658">
        <v>46057</v>
      </c>
      <c r="B245" s="658" t="str">
        <f t="shared" si="37"/>
        <v>Mié</v>
      </c>
      <c r="C245" s="674" t="s">
        <v>146</v>
      </c>
      <c r="D245" s="885" t="s">
        <v>522</v>
      </c>
      <c r="E245" s="687">
        <v>0.29166666666666669</v>
      </c>
      <c r="F245" s="687">
        <v>0.64583333333333337</v>
      </c>
      <c r="G245" s="688">
        <f t="shared" si="38"/>
        <v>8.5</v>
      </c>
      <c r="H245" s="676">
        <f>IF(D245="","",IFERROR(VLOOKUP(D245,'Resumen Empleado'!$A$4:$B$17,2,FALSE),""))</f>
        <v>10</v>
      </c>
      <c r="I245" s="676">
        <f t="shared" si="39"/>
        <v>50</v>
      </c>
      <c r="J245" s="676">
        <f t="shared" si="40"/>
        <v>35.000000000000007</v>
      </c>
      <c r="K245" s="676">
        <f t="shared" ref="K245:K252" si="48">IF(OR(E245="",F245="",H245=""),0,MAX(0,(MIN(IF(F245&lt;E245,F245+1,F245),1+TIME(5,0,0))-MAX(E245,TIME(19,0,0))))*24*H245)</f>
        <v>0</v>
      </c>
      <c r="L245" s="1044">
        <f t="shared" si="41"/>
        <v>85</v>
      </c>
      <c r="M245" s="145" t="str">
        <f t="shared" si="42"/>
        <v/>
      </c>
      <c r="N245" s="684">
        <f t="shared" si="43"/>
        <v>46057</v>
      </c>
    </row>
    <row r="246" spans="1:14" ht="15" customHeight="1">
      <c r="A246" s="658">
        <v>46057</v>
      </c>
      <c r="B246" s="658" t="str">
        <f t="shared" si="37"/>
        <v>Mié</v>
      </c>
      <c r="C246" s="674" t="s">
        <v>146</v>
      </c>
      <c r="D246" s="885" t="s">
        <v>525</v>
      </c>
      <c r="E246" s="687">
        <v>0.54166666666666663</v>
      </c>
      <c r="F246" s="687">
        <v>0.64583333333333337</v>
      </c>
      <c r="G246" s="688">
        <f t="shared" si="38"/>
        <v>2.5000000000000018</v>
      </c>
      <c r="H246" s="676">
        <f>IF(D246="","",IFERROR(VLOOKUP(D246,'Resumen Empleado'!$A$4:$B$17,2,FALSE),""))</f>
        <v>7.25</v>
      </c>
      <c r="I246" s="676">
        <f t="shared" si="39"/>
        <v>0</v>
      </c>
      <c r="J246" s="676">
        <f t="shared" si="40"/>
        <v>18.125000000000014</v>
      </c>
      <c r="K246" s="676">
        <f t="shared" si="48"/>
        <v>0</v>
      </c>
      <c r="L246" s="1044">
        <f t="shared" si="41"/>
        <v>18.125000000000014</v>
      </c>
      <c r="M246" s="145" t="str">
        <f t="shared" si="42"/>
        <v/>
      </c>
      <c r="N246" s="684">
        <f t="shared" si="43"/>
        <v>46057</v>
      </c>
    </row>
    <row r="247" spans="1:14" ht="15" customHeight="1">
      <c r="A247" s="658">
        <v>46057</v>
      </c>
      <c r="B247" s="658" t="str">
        <f t="shared" si="37"/>
        <v>Mié</v>
      </c>
      <c r="C247" s="674" t="s">
        <v>146</v>
      </c>
      <c r="D247" s="885" t="s">
        <v>523</v>
      </c>
      <c r="E247" s="687">
        <v>0.26041666666666669</v>
      </c>
      <c r="F247" s="687">
        <v>0.63541666666666663</v>
      </c>
      <c r="G247" s="688">
        <f t="shared" si="38"/>
        <v>8.9999999999999982</v>
      </c>
      <c r="H247" s="676">
        <f>IF(D247="","",IFERROR(VLOOKUP(D247,'Resumen Empleado'!$A$4:$B$17,2,FALSE),""))</f>
        <v>6.39</v>
      </c>
      <c r="I247" s="676">
        <f t="shared" si="39"/>
        <v>36.7425</v>
      </c>
      <c r="J247" s="676">
        <f t="shared" si="40"/>
        <v>20.767499999999995</v>
      </c>
      <c r="K247" s="676">
        <f t="shared" si="48"/>
        <v>0</v>
      </c>
      <c r="L247" s="1044">
        <f t="shared" si="41"/>
        <v>57.509999999999991</v>
      </c>
      <c r="M247" s="145" t="str">
        <f t="shared" si="42"/>
        <v/>
      </c>
      <c r="N247" s="684">
        <f t="shared" si="43"/>
        <v>46057</v>
      </c>
    </row>
    <row r="248" spans="1:14" ht="15" customHeight="1">
      <c r="A248" s="658">
        <v>46057</v>
      </c>
      <c r="B248" s="658" t="str">
        <f t="shared" si="37"/>
        <v>Mié</v>
      </c>
      <c r="C248" s="674" t="s">
        <v>146</v>
      </c>
      <c r="D248" s="897" t="s">
        <v>526</v>
      </c>
      <c r="E248" s="687">
        <v>0.41666666666666669</v>
      </c>
      <c r="F248" s="687">
        <v>0.66666666666666663</v>
      </c>
      <c r="G248" s="688">
        <f t="shared" si="38"/>
        <v>5.9999999999999982</v>
      </c>
      <c r="H248" s="676">
        <f>IF(D248="","",IFERROR(VLOOKUP(D248,'Resumen Empleado'!$A$4:$B$17,2,FALSE),""))</f>
        <v>16</v>
      </c>
      <c r="I248" s="676">
        <f t="shared" si="39"/>
        <v>31.999999999999993</v>
      </c>
      <c r="J248" s="676">
        <f t="shared" si="40"/>
        <v>63.999999999999986</v>
      </c>
      <c r="K248" s="676">
        <f t="shared" si="48"/>
        <v>0</v>
      </c>
      <c r="L248" s="1044">
        <f t="shared" si="41"/>
        <v>95.999999999999972</v>
      </c>
      <c r="M248" s="145" t="str">
        <f t="shared" si="42"/>
        <v/>
      </c>
      <c r="N248" s="684">
        <f t="shared" si="43"/>
        <v>46057</v>
      </c>
    </row>
    <row r="249" spans="1:14" ht="15" customHeight="1">
      <c r="A249" s="658">
        <v>46057</v>
      </c>
      <c r="B249" s="658" t="str">
        <f t="shared" si="37"/>
        <v>Mié</v>
      </c>
      <c r="C249" s="674" t="s">
        <v>497</v>
      </c>
      <c r="D249" s="885" t="s">
        <v>525</v>
      </c>
      <c r="E249" s="687">
        <v>0.79166666666666663</v>
      </c>
      <c r="F249" s="687">
        <v>0.95833333333333337</v>
      </c>
      <c r="G249" s="688">
        <f t="shared" si="38"/>
        <v>4.0000000000000018</v>
      </c>
      <c r="H249" s="676">
        <f>IF(D249="","",IFERROR(VLOOKUP(D249,'Resumen Empleado'!$A$4:$B$17,2,FALSE),""))</f>
        <v>7.25</v>
      </c>
      <c r="I249" s="676">
        <f t="shared" si="39"/>
        <v>0</v>
      </c>
      <c r="J249" s="676">
        <f t="shared" si="40"/>
        <v>0</v>
      </c>
      <c r="K249" s="676">
        <f t="shared" si="48"/>
        <v>29.000000000000014</v>
      </c>
      <c r="L249" s="1044">
        <f t="shared" si="41"/>
        <v>29.000000000000014</v>
      </c>
      <c r="M249" s="145" t="str">
        <f t="shared" si="42"/>
        <v/>
      </c>
      <c r="N249" s="684">
        <f t="shared" si="43"/>
        <v>46057</v>
      </c>
    </row>
    <row r="250" spans="1:14" ht="15" customHeight="1">
      <c r="A250" s="658">
        <v>46057</v>
      </c>
      <c r="B250" s="658" t="str">
        <f t="shared" si="37"/>
        <v>Mié</v>
      </c>
      <c r="C250" s="674" t="s">
        <v>497</v>
      </c>
      <c r="D250" s="885" t="s">
        <v>526</v>
      </c>
      <c r="E250" s="687">
        <v>0.79166666666666663</v>
      </c>
      <c r="F250" s="687">
        <v>0.95833333333333337</v>
      </c>
      <c r="G250" s="688">
        <f t="shared" si="38"/>
        <v>4.0000000000000018</v>
      </c>
      <c r="H250" s="676">
        <f>IF(D250="","",IFERROR(VLOOKUP(D250,'Resumen Empleado'!$A$4:$B$17,2,FALSE),""))</f>
        <v>16</v>
      </c>
      <c r="I250" s="676">
        <f t="shared" si="39"/>
        <v>0</v>
      </c>
      <c r="J250" s="676">
        <f t="shared" si="40"/>
        <v>0</v>
      </c>
      <c r="K250" s="676">
        <f t="shared" si="48"/>
        <v>64.000000000000028</v>
      </c>
      <c r="L250" s="1044">
        <f t="shared" si="41"/>
        <v>64.000000000000028</v>
      </c>
      <c r="M250" s="145" t="str">
        <f t="shared" si="42"/>
        <v/>
      </c>
      <c r="N250" s="684">
        <f t="shared" si="43"/>
        <v>46057</v>
      </c>
    </row>
    <row r="251" spans="1:14" ht="15" customHeight="1">
      <c r="A251" s="658">
        <v>46057</v>
      </c>
      <c r="B251" s="658" t="str">
        <f t="shared" si="37"/>
        <v>Mié</v>
      </c>
      <c r="C251" s="674" t="s">
        <v>497</v>
      </c>
      <c r="D251" s="885" t="s">
        <v>531</v>
      </c>
      <c r="E251" s="687">
        <v>0.83333333333333337</v>
      </c>
      <c r="F251" s="687">
        <v>0.95833333333333337</v>
      </c>
      <c r="G251" s="688">
        <f t="shared" si="38"/>
        <v>3</v>
      </c>
      <c r="H251" s="676">
        <f>IF(D251="","",IFERROR(VLOOKUP(D251,'Resumen Empleado'!$A$4:$B$17,2,FALSE),""))</f>
        <v>8</v>
      </c>
      <c r="I251" s="676">
        <f t="shared" si="39"/>
        <v>0</v>
      </c>
      <c r="J251" s="676">
        <f t="shared" si="40"/>
        <v>0</v>
      </c>
      <c r="K251" s="676">
        <f t="shared" si="48"/>
        <v>24</v>
      </c>
      <c r="L251" s="1044">
        <f t="shared" si="41"/>
        <v>24</v>
      </c>
      <c r="M251" s="145" t="str">
        <f t="shared" si="42"/>
        <v/>
      </c>
      <c r="N251" s="684">
        <f t="shared" si="43"/>
        <v>46057</v>
      </c>
    </row>
    <row r="252" spans="1:14" ht="15" customHeight="1">
      <c r="A252" s="658">
        <v>46057</v>
      </c>
      <c r="B252" s="658" t="str">
        <f t="shared" si="37"/>
        <v>Mié</v>
      </c>
      <c r="C252" s="674" t="s">
        <v>497</v>
      </c>
      <c r="D252" s="885" t="s">
        <v>527</v>
      </c>
      <c r="E252" s="687">
        <v>0.8125</v>
      </c>
      <c r="F252" s="687">
        <v>0.89583333333333337</v>
      </c>
      <c r="G252" s="688">
        <f t="shared" si="38"/>
        <v>2.0000000000000009</v>
      </c>
      <c r="H252" s="676" t="str">
        <f>IF(D252="","",IFERROR(VLOOKUP(D252,'Resumen Empleado'!$A$4:$B$17,2,FALSE),""))</f>
        <v/>
      </c>
      <c r="I252" s="676">
        <f t="shared" si="39"/>
        <v>0</v>
      </c>
      <c r="J252" s="676">
        <f t="shared" si="40"/>
        <v>0</v>
      </c>
      <c r="K252" s="676">
        <f t="shared" si="48"/>
        <v>0</v>
      </c>
      <c r="L252" s="1044">
        <f t="shared" si="41"/>
        <v>0</v>
      </c>
      <c r="M252" s="145" t="str">
        <f t="shared" si="42"/>
        <v/>
      </c>
      <c r="N252" s="684">
        <f t="shared" si="43"/>
        <v>46057</v>
      </c>
    </row>
    <row r="253" spans="1:14" ht="15" customHeight="1">
      <c r="A253" s="658">
        <v>46057</v>
      </c>
      <c r="B253" s="658" t="str">
        <f t="shared" si="37"/>
        <v>Mié</v>
      </c>
      <c r="C253" s="674" t="s">
        <v>146</v>
      </c>
      <c r="D253" s="885" t="s">
        <v>528</v>
      </c>
      <c r="E253" s="687">
        <v>0.33333333333333331</v>
      </c>
      <c r="F253" s="687">
        <v>0.66666666666666663</v>
      </c>
      <c r="G253" s="688">
        <f t="shared" si="38"/>
        <v>8</v>
      </c>
      <c r="H253" s="676">
        <f>IF(D253="","",IFERROR(VLOOKUP(D253,'Resumen Empleado'!$A$4:$B$17,2,FALSE),""))</f>
        <v>11</v>
      </c>
      <c r="I253" s="676">
        <f t="shared" si="39"/>
        <v>44</v>
      </c>
      <c r="J253" s="676">
        <f t="shared" si="40"/>
        <v>43.999999999999993</v>
      </c>
      <c r="K253" s="676">
        <f>IF(OR(E253="",F253="",H253=""),0,MAX(0,(MIN(IF(F253&lt;E253,1+F253,F253),1+TIME(5,0,0))-MAX(E253,TIME(19,0,0))))*24*H253)</f>
        <v>0</v>
      </c>
      <c r="L253" s="1044">
        <f t="shared" si="41"/>
        <v>88</v>
      </c>
      <c r="M253" s="145" t="str">
        <f t="shared" si="42"/>
        <v/>
      </c>
      <c r="N253" s="684">
        <f t="shared" si="43"/>
        <v>46057</v>
      </c>
    </row>
    <row r="254" spans="1:14" ht="15" customHeight="1">
      <c r="A254" s="658">
        <v>46058</v>
      </c>
      <c r="B254" s="658" t="str">
        <f t="shared" si="37"/>
        <v>Jue</v>
      </c>
      <c r="C254" s="674" t="s">
        <v>146</v>
      </c>
      <c r="D254" s="885" t="s">
        <v>525</v>
      </c>
      <c r="E254" s="687">
        <v>0.54166666666666663</v>
      </c>
      <c r="F254" s="687">
        <v>0.66666666666666663</v>
      </c>
      <c r="G254" s="688">
        <f t="shared" si="38"/>
        <v>3</v>
      </c>
      <c r="H254" s="676">
        <f>IF(D254="","",IFERROR(VLOOKUP(D254,'Resumen Empleado'!$A$4:$B$17,2,FALSE),""))</f>
        <v>7.25</v>
      </c>
      <c r="I254" s="676">
        <f t="shared" si="39"/>
        <v>0</v>
      </c>
      <c r="J254" s="676">
        <f t="shared" si="40"/>
        <v>21.75</v>
      </c>
      <c r="K254" s="676">
        <f t="shared" ref="K254:K262" si="49">IF(OR(E254="",F254="",H254=""),0,MAX(0,(MIN(IF(F254&lt;E254,F254+1,F254),1+TIME(5,0,0))-MAX(E254,TIME(19,0,0))))*24*H254)</f>
        <v>0</v>
      </c>
      <c r="L254" s="1044">
        <f t="shared" si="41"/>
        <v>21.75</v>
      </c>
      <c r="M254" s="145" t="str">
        <f t="shared" si="42"/>
        <v/>
      </c>
      <c r="N254" s="684">
        <f t="shared" si="43"/>
        <v>46058</v>
      </c>
    </row>
    <row r="255" spans="1:14" ht="15" customHeight="1">
      <c r="A255" s="658">
        <v>46058</v>
      </c>
      <c r="B255" s="658" t="str">
        <f t="shared" si="37"/>
        <v>Jue</v>
      </c>
      <c r="C255" s="674" t="s">
        <v>146</v>
      </c>
      <c r="D255" s="885" t="s">
        <v>523</v>
      </c>
      <c r="E255" s="687">
        <v>0.26041666666666669</v>
      </c>
      <c r="F255" s="687">
        <v>0.66666666666666663</v>
      </c>
      <c r="G255" s="688">
        <f t="shared" si="38"/>
        <v>9.7499999999999982</v>
      </c>
      <c r="H255" s="676">
        <f>IF(D255="","",IFERROR(VLOOKUP(D255,'Resumen Empleado'!$A$4:$B$17,2,FALSE),""))</f>
        <v>6.39</v>
      </c>
      <c r="I255" s="676">
        <f t="shared" si="39"/>
        <v>36.7425</v>
      </c>
      <c r="J255" s="676">
        <f t="shared" si="40"/>
        <v>25.559999999999992</v>
      </c>
      <c r="K255" s="676">
        <f t="shared" si="49"/>
        <v>0</v>
      </c>
      <c r="L255" s="1044">
        <f t="shared" si="41"/>
        <v>62.302499999999995</v>
      </c>
      <c r="M255" s="145" t="str">
        <f t="shared" si="42"/>
        <v/>
      </c>
      <c r="N255" s="684">
        <f t="shared" si="43"/>
        <v>46058</v>
      </c>
    </row>
    <row r="256" spans="1:14" ht="15" customHeight="1">
      <c r="A256" s="658">
        <v>46058</v>
      </c>
      <c r="B256" s="658" t="str">
        <f t="shared" si="37"/>
        <v>Jue</v>
      </c>
      <c r="C256" s="674" t="s">
        <v>146</v>
      </c>
      <c r="D256" s="885" t="s">
        <v>526</v>
      </c>
      <c r="E256" s="687">
        <v>0.4375</v>
      </c>
      <c r="F256" s="687">
        <v>0.64583333333333337</v>
      </c>
      <c r="G256" s="688">
        <f t="shared" si="38"/>
        <v>5.0000000000000009</v>
      </c>
      <c r="H256" s="676">
        <f>IF(D256="","",IFERROR(VLOOKUP(D256,'Resumen Empleado'!$A$4:$B$17,2,FALSE),""))</f>
        <v>16</v>
      </c>
      <c r="I256" s="676">
        <f t="shared" si="39"/>
        <v>24</v>
      </c>
      <c r="J256" s="676">
        <f t="shared" si="40"/>
        <v>56.000000000000014</v>
      </c>
      <c r="K256" s="676">
        <f t="shared" si="49"/>
        <v>0</v>
      </c>
      <c r="L256" s="1044">
        <f t="shared" si="41"/>
        <v>80.000000000000014</v>
      </c>
      <c r="M256" s="145" t="str">
        <f t="shared" si="42"/>
        <v/>
      </c>
      <c r="N256" s="684">
        <f t="shared" si="43"/>
        <v>46058</v>
      </c>
    </row>
    <row r="257" spans="1:14" ht="15" customHeight="1">
      <c r="A257" s="658">
        <v>46058</v>
      </c>
      <c r="B257" s="658" t="str">
        <f t="shared" si="37"/>
        <v>Jue</v>
      </c>
      <c r="C257" s="674" t="s">
        <v>146</v>
      </c>
      <c r="D257" s="885" t="s">
        <v>522</v>
      </c>
      <c r="E257" s="687">
        <v>0.29166666666666669</v>
      </c>
      <c r="F257" s="687">
        <v>0.64583333333333337</v>
      </c>
      <c r="G257" s="688">
        <f t="shared" si="38"/>
        <v>8.5</v>
      </c>
      <c r="H257" s="676">
        <f>IF(D257="","",IFERROR(VLOOKUP(D257,'Resumen Empleado'!$A$4:$B$17,2,FALSE),""))</f>
        <v>10</v>
      </c>
      <c r="I257" s="676">
        <f t="shared" si="39"/>
        <v>50</v>
      </c>
      <c r="J257" s="676">
        <f t="shared" si="40"/>
        <v>35.000000000000007</v>
      </c>
      <c r="K257" s="676">
        <f t="shared" si="49"/>
        <v>0</v>
      </c>
      <c r="L257" s="1044">
        <f t="shared" si="41"/>
        <v>85</v>
      </c>
      <c r="M257" s="145" t="str">
        <f t="shared" si="42"/>
        <v/>
      </c>
      <c r="N257" s="684">
        <f t="shared" si="43"/>
        <v>46058</v>
      </c>
    </row>
    <row r="258" spans="1:14" ht="15" customHeight="1">
      <c r="A258" s="658">
        <v>46058</v>
      </c>
      <c r="B258" s="658" t="str">
        <f t="shared" si="37"/>
        <v>Jue</v>
      </c>
      <c r="C258" s="674" t="s">
        <v>146</v>
      </c>
      <c r="D258" s="885" t="s">
        <v>532</v>
      </c>
      <c r="E258" s="687">
        <v>0.26041666666666669</v>
      </c>
      <c r="F258" s="687">
        <v>0.5</v>
      </c>
      <c r="G258" s="688">
        <f t="shared" si="38"/>
        <v>5.75</v>
      </c>
      <c r="H258" s="676">
        <f>IF(D258="","",IFERROR(VLOOKUP(D258,'Resumen Empleado'!$A$4:$B$17,2,FALSE),""))</f>
        <v>5.17</v>
      </c>
      <c r="I258" s="676">
        <f t="shared" si="39"/>
        <v>29.727499999999999</v>
      </c>
      <c r="J258" s="676">
        <f t="shared" si="40"/>
        <v>0</v>
      </c>
      <c r="K258" s="676">
        <f t="shared" si="49"/>
        <v>0</v>
      </c>
      <c r="L258" s="1044">
        <f t="shared" si="41"/>
        <v>29.727499999999999</v>
      </c>
      <c r="M258" s="145" t="str">
        <f t="shared" si="42"/>
        <v/>
      </c>
      <c r="N258" s="684">
        <f t="shared" si="43"/>
        <v>46058</v>
      </c>
    </row>
    <row r="259" spans="1:14" ht="15" customHeight="1">
      <c r="A259" s="658">
        <v>46058</v>
      </c>
      <c r="B259" s="658" t="str">
        <f t="shared" si="37"/>
        <v>Jue</v>
      </c>
      <c r="C259" s="674" t="s">
        <v>497</v>
      </c>
      <c r="D259" s="885" t="s">
        <v>526</v>
      </c>
      <c r="E259" s="687">
        <v>0.79166666666666663</v>
      </c>
      <c r="F259" s="687">
        <v>0.97916666666666663</v>
      </c>
      <c r="G259" s="688">
        <f t="shared" si="38"/>
        <v>4.5</v>
      </c>
      <c r="H259" s="676">
        <f>IF(D259="","",IFERROR(VLOOKUP(D259,'Resumen Empleado'!$A$4:$B$17,2,FALSE),""))</f>
        <v>16</v>
      </c>
      <c r="I259" s="676">
        <f t="shared" si="39"/>
        <v>0</v>
      </c>
      <c r="J259" s="676">
        <f t="shared" si="40"/>
        <v>0</v>
      </c>
      <c r="K259" s="676">
        <f t="shared" si="49"/>
        <v>72</v>
      </c>
      <c r="L259" s="1044">
        <f t="shared" si="41"/>
        <v>72</v>
      </c>
      <c r="M259" s="145" t="str">
        <f t="shared" si="42"/>
        <v/>
      </c>
      <c r="N259" s="684">
        <f t="shared" si="43"/>
        <v>46058</v>
      </c>
    </row>
    <row r="260" spans="1:14" ht="15" customHeight="1">
      <c r="A260" s="658">
        <v>46058</v>
      </c>
      <c r="B260" s="658" t="str">
        <f t="shared" si="37"/>
        <v>Jue</v>
      </c>
      <c r="C260" s="674" t="s">
        <v>497</v>
      </c>
      <c r="D260" s="885" t="s">
        <v>525</v>
      </c>
      <c r="E260" s="687">
        <v>0.79166666666666663</v>
      </c>
      <c r="F260" s="687">
        <v>0.97916666666666663</v>
      </c>
      <c r="G260" s="688">
        <f t="shared" si="38"/>
        <v>4.5</v>
      </c>
      <c r="H260" s="676">
        <f>IF(D260="","",IFERROR(VLOOKUP(D260,'Resumen Empleado'!$A$4:$B$17,2,FALSE),""))</f>
        <v>7.25</v>
      </c>
      <c r="I260" s="676">
        <f t="shared" si="39"/>
        <v>0</v>
      </c>
      <c r="J260" s="676">
        <f t="shared" si="40"/>
        <v>0</v>
      </c>
      <c r="K260" s="676">
        <f t="shared" si="49"/>
        <v>32.625</v>
      </c>
      <c r="L260" s="1044">
        <f t="shared" si="41"/>
        <v>32.625</v>
      </c>
      <c r="M260" s="145" t="str">
        <f t="shared" si="42"/>
        <v/>
      </c>
      <c r="N260" s="684">
        <f t="shared" si="43"/>
        <v>46058</v>
      </c>
    </row>
    <row r="261" spans="1:14" ht="15" customHeight="1">
      <c r="A261" s="658">
        <v>46058</v>
      </c>
      <c r="B261" s="658" t="str">
        <f t="shared" ref="B261:B324" si="50">IF(A261="","",PROPER(TEXT(A261,"ddd")))</f>
        <v>Jue</v>
      </c>
      <c r="C261" s="674" t="s">
        <v>497</v>
      </c>
      <c r="D261" s="885" t="s">
        <v>532</v>
      </c>
      <c r="E261" s="687">
        <v>0.79166666666666663</v>
      </c>
      <c r="F261" s="687">
        <v>0.95833333333333337</v>
      </c>
      <c r="G261" s="688">
        <f t="shared" ref="G261:G324" si="51">IF(F261&lt;E261,F261+1-E261,F261-E261)*24</f>
        <v>4.0000000000000018</v>
      </c>
      <c r="H261" s="676">
        <f>IF(D261="","",IFERROR(VLOOKUP(D261,'Resumen Empleado'!$A$4:$B$17,2,FALSE),""))</f>
        <v>5.17</v>
      </c>
      <c r="I261" s="676">
        <f t="shared" ref="I261:I324" si="52">IF(OR(E261="",F261="",H261=""),0,MAX(0,(MIN(IF(F261&lt;E261,F261+1,F261),TIME(12,0,0))-MAX(E261,TIME(5,0,0))))*24*H261)</f>
        <v>0</v>
      </c>
      <c r="J261" s="676">
        <f t="shared" ref="J261:J324" si="53">IF(OR(E261="",F261="",H261=""),0,MAX(0,(MIN(IF(F261&lt;E261,F261+1,F261),TIME(19,0,0))-MAX(E261,TIME(12,0,0))))*24*H261)</f>
        <v>0</v>
      </c>
      <c r="K261" s="676">
        <f t="shared" si="49"/>
        <v>20.68000000000001</v>
      </c>
      <c r="L261" s="1044">
        <f t="shared" ref="L261:L324" si="54">SUM(I261:K261)</f>
        <v>20.68000000000001</v>
      </c>
      <c r="M261" s="145" t="str">
        <f t="shared" ref="M261:M324" si="55">IF(A261="","",IF(G261&gt;12,"⚠ Verificar",""))</f>
        <v/>
      </c>
      <c r="N261" s="684">
        <f t="shared" ref="N261:N324" si="56">IF(A261="","",IF(ISNUMBER(A261),A261,DATE(VALUE(RIGHT(A261,4)),VALUE(MID(A261,4,2)),VALUE(LEFT(A261,2)))))</f>
        <v>46058</v>
      </c>
    </row>
    <row r="262" spans="1:14" ht="15" customHeight="1">
      <c r="A262" s="658">
        <v>46058</v>
      </c>
      <c r="B262" s="658" t="str">
        <f t="shared" si="50"/>
        <v>Jue</v>
      </c>
      <c r="C262" s="674" t="s">
        <v>497</v>
      </c>
      <c r="D262" s="885" t="s">
        <v>527</v>
      </c>
      <c r="E262" s="687">
        <v>0.8125</v>
      </c>
      <c r="F262" s="687">
        <v>0.89583333333333337</v>
      </c>
      <c r="G262" s="688">
        <f t="shared" si="51"/>
        <v>2.0000000000000009</v>
      </c>
      <c r="H262" s="676" t="str">
        <f>IF(D262="","",IFERROR(VLOOKUP(D262,'Resumen Empleado'!$A$4:$B$17,2,FALSE),""))</f>
        <v/>
      </c>
      <c r="I262" s="676">
        <f t="shared" si="52"/>
        <v>0</v>
      </c>
      <c r="J262" s="676">
        <f t="shared" si="53"/>
        <v>0</v>
      </c>
      <c r="K262" s="676">
        <f t="shared" si="49"/>
        <v>0</v>
      </c>
      <c r="L262" s="1044">
        <f t="shared" si="54"/>
        <v>0</v>
      </c>
      <c r="M262" s="145" t="str">
        <f t="shared" si="55"/>
        <v/>
      </c>
      <c r="N262" s="684">
        <f t="shared" si="56"/>
        <v>46058</v>
      </c>
    </row>
    <row r="263" spans="1:14" ht="15" customHeight="1">
      <c r="A263" s="658">
        <v>46058</v>
      </c>
      <c r="B263" s="658" t="str">
        <f t="shared" si="50"/>
        <v>Jue</v>
      </c>
      <c r="C263" s="674" t="s">
        <v>146</v>
      </c>
      <c r="D263" s="885" t="s">
        <v>528</v>
      </c>
      <c r="E263" s="687">
        <v>0.33333333333333331</v>
      </c>
      <c r="F263" s="687">
        <v>0.66666666666666663</v>
      </c>
      <c r="G263" s="688">
        <f t="shared" si="51"/>
        <v>8</v>
      </c>
      <c r="H263" s="676">
        <f>IF(D263="","",IFERROR(VLOOKUP(D263,'Resumen Empleado'!$A$4:$B$17,2,FALSE),""))</f>
        <v>11</v>
      </c>
      <c r="I263" s="676">
        <f t="shared" si="52"/>
        <v>44</v>
      </c>
      <c r="J263" s="676">
        <f t="shared" si="53"/>
        <v>43.999999999999993</v>
      </c>
      <c r="K263" s="676">
        <f>IF(OR(E263="",F263="",H263=""),0,MAX(0,(MIN(IF(F263&lt;E263,1+F263,F263),1+TIME(5,0,0))-MAX(E263,TIME(19,0,0))))*24*H263)</f>
        <v>0</v>
      </c>
      <c r="L263" s="1044">
        <f t="shared" si="54"/>
        <v>88</v>
      </c>
      <c r="M263" s="145" t="str">
        <f t="shared" si="55"/>
        <v/>
      </c>
      <c r="N263" s="684">
        <f t="shared" si="56"/>
        <v>46058</v>
      </c>
    </row>
    <row r="264" spans="1:14" ht="15" customHeight="1">
      <c r="A264" s="658">
        <v>46059</v>
      </c>
      <c r="B264" s="658" t="str">
        <f t="shared" si="50"/>
        <v>Vie</v>
      </c>
      <c r="C264" s="674" t="s">
        <v>146</v>
      </c>
      <c r="D264" s="897" t="s">
        <v>522</v>
      </c>
      <c r="E264" s="687">
        <v>0.29166666666666669</v>
      </c>
      <c r="F264" s="687">
        <v>0.67708333333333337</v>
      </c>
      <c r="G264" s="688">
        <f t="shared" si="51"/>
        <v>9.25</v>
      </c>
      <c r="H264" s="676">
        <f>IF(D264="","",IFERROR(VLOOKUP(D264,'Resumen Empleado'!$A$4:$B$17,2,FALSE),""))</f>
        <v>10</v>
      </c>
      <c r="I264" s="676">
        <f t="shared" si="52"/>
        <v>50</v>
      </c>
      <c r="J264" s="676">
        <f t="shared" si="53"/>
        <v>42.500000000000007</v>
      </c>
      <c r="K264" s="676">
        <f t="shared" ref="K264:K275" si="57">IF(OR(E264="",F264="",H264=""),0,MAX(0,(MIN(IF(F264&lt;E264,F264+1,F264),1+TIME(5,0,0))-MAX(E264,TIME(19,0,0))))*24*H264)</f>
        <v>0</v>
      </c>
      <c r="L264" s="1044">
        <f t="shared" si="54"/>
        <v>92.5</v>
      </c>
      <c r="M264" s="145" t="str">
        <f t="shared" si="55"/>
        <v/>
      </c>
      <c r="N264" s="684">
        <f t="shared" si="56"/>
        <v>46059</v>
      </c>
    </row>
    <row r="265" spans="1:14" ht="15" customHeight="1">
      <c r="A265" s="658">
        <v>46059</v>
      </c>
      <c r="B265" s="658" t="str">
        <f t="shared" si="50"/>
        <v>Vie</v>
      </c>
      <c r="C265" s="674" t="s">
        <v>146</v>
      </c>
      <c r="D265" s="885" t="s">
        <v>525</v>
      </c>
      <c r="E265" s="687">
        <v>0.54166666666666663</v>
      </c>
      <c r="F265" s="687">
        <v>0.67708333333333337</v>
      </c>
      <c r="G265" s="688">
        <f t="shared" si="51"/>
        <v>3.2500000000000018</v>
      </c>
      <c r="H265" s="676">
        <f>IF(D265="","",IFERROR(VLOOKUP(D265,'Resumen Empleado'!$A$4:$B$17,2,FALSE),""))</f>
        <v>7.25</v>
      </c>
      <c r="I265" s="676">
        <f t="shared" si="52"/>
        <v>0</v>
      </c>
      <c r="J265" s="676">
        <f t="shared" si="53"/>
        <v>23.562500000000014</v>
      </c>
      <c r="K265" s="676">
        <f t="shared" si="57"/>
        <v>0</v>
      </c>
      <c r="L265" s="1044">
        <f t="shared" si="54"/>
        <v>23.562500000000014</v>
      </c>
      <c r="M265" s="145" t="str">
        <f t="shared" si="55"/>
        <v/>
      </c>
      <c r="N265" s="684">
        <f t="shared" si="56"/>
        <v>46059</v>
      </c>
    </row>
    <row r="266" spans="1:14" ht="15" customHeight="1">
      <c r="A266" s="658">
        <v>46059</v>
      </c>
      <c r="B266" s="658" t="str">
        <f t="shared" si="50"/>
        <v>Vie</v>
      </c>
      <c r="C266" s="674" t="s">
        <v>146</v>
      </c>
      <c r="D266" s="885" t="s">
        <v>523</v>
      </c>
      <c r="E266" s="687">
        <v>0.26041666666666669</v>
      </c>
      <c r="F266" s="687">
        <v>0.4375</v>
      </c>
      <c r="G266" s="688">
        <f t="shared" si="51"/>
        <v>4.25</v>
      </c>
      <c r="H266" s="676">
        <f>IF(D266="","",IFERROR(VLOOKUP(D266,'Resumen Empleado'!$A$4:$B$17,2,FALSE),""))</f>
        <v>6.39</v>
      </c>
      <c r="I266" s="676">
        <f t="shared" si="52"/>
        <v>27.157499999999999</v>
      </c>
      <c r="J266" s="676">
        <f t="shared" si="53"/>
        <v>0</v>
      </c>
      <c r="K266" s="676">
        <f t="shared" si="57"/>
        <v>0</v>
      </c>
      <c r="L266" s="1044">
        <f t="shared" si="54"/>
        <v>27.157499999999999</v>
      </c>
      <c r="M266" s="145" t="str">
        <f t="shared" si="55"/>
        <v/>
      </c>
      <c r="N266" s="684">
        <f t="shared" si="56"/>
        <v>46059</v>
      </c>
    </row>
    <row r="267" spans="1:14" ht="15" customHeight="1">
      <c r="A267" s="658">
        <v>46059</v>
      </c>
      <c r="B267" s="658" t="str">
        <f t="shared" si="50"/>
        <v>Vie</v>
      </c>
      <c r="C267" s="674" t="s">
        <v>146</v>
      </c>
      <c r="D267" s="885" t="s">
        <v>526</v>
      </c>
      <c r="E267" s="687">
        <v>0.4375</v>
      </c>
      <c r="F267" s="687">
        <v>0.67708333333333337</v>
      </c>
      <c r="G267" s="688">
        <f t="shared" si="51"/>
        <v>5.7500000000000009</v>
      </c>
      <c r="H267" s="676">
        <f>IF(D267="","",IFERROR(VLOOKUP(D267,'Resumen Empleado'!$A$4:$B$17,2,FALSE),""))</f>
        <v>16</v>
      </c>
      <c r="I267" s="676">
        <f t="shared" si="52"/>
        <v>24</v>
      </c>
      <c r="J267" s="676">
        <f t="shared" si="53"/>
        <v>68.000000000000014</v>
      </c>
      <c r="K267" s="676">
        <f t="shared" si="57"/>
        <v>0</v>
      </c>
      <c r="L267" s="1044">
        <f t="shared" si="54"/>
        <v>92.000000000000014</v>
      </c>
      <c r="M267" s="145" t="str">
        <f t="shared" si="55"/>
        <v/>
      </c>
      <c r="N267" s="684">
        <f t="shared" si="56"/>
        <v>46059</v>
      </c>
    </row>
    <row r="268" spans="1:14" ht="15" customHeight="1">
      <c r="A268" s="658">
        <v>46059</v>
      </c>
      <c r="B268" s="658" t="str">
        <f t="shared" si="50"/>
        <v>Vie</v>
      </c>
      <c r="C268" s="674" t="s">
        <v>146</v>
      </c>
      <c r="D268" s="885" t="s">
        <v>532</v>
      </c>
      <c r="E268" s="687">
        <v>0.33333333333333331</v>
      </c>
      <c r="F268" s="687">
        <v>0.67708333333333337</v>
      </c>
      <c r="G268" s="688">
        <f t="shared" si="51"/>
        <v>8.2500000000000018</v>
      </c>
      <c r="H268" s="676">
        <f>IF(D268="","",IFERROR(VLOOKUP(D268,'Resumen Empleado'!$A$4:$B$17,2,FALSE),""))</f>
        <v>5.17</v>
      </c>
      <c r="I268" s="676">
        <f t="shared" si="52"/>
        <v>20.68</v>
      </c>
      <c r="J268" s="676">
        <f t="shared" si="53"/>
        <v>21.972500000000004</v>
      </c>
      <c r="K268" s="676">
        <f t="shared" si="57"/>
        <v>0</v>
      </c>
      <c r="L268" s="1044">
        <f t="shared" si="54"/>
        <v>42.652500000000003</v>
      </c>
      <c r="M268" s="145" t="str">
        <f t="shared" si="55"/>
        <v/>
      </c>
      <c r="N268" s="684">
        <f t="shared" si="56"/>
        <v>46059</v>
      </c>
    </row>
    <row r="269" spans="1:14" ht="15" customHeight="1">
      <c r="A269" s="658">
        <v>46059</v>
      </c>
      <c r="B269" s="658" t="str">
        <f t="shared" si="50"/>
        <v>Vie</v>
      </c>
      <c r="C269" s="674" t="s">
        <v>497</v>
      </c>
      <c r="D269" s="885" t="s">
        <v>522</v>
      </c>
      <c r="E269" s="687">
        <v>0.79166666666666663</v>
      </c>
      <c r="F269" s="687">
        <v>0.95833333333333337</v>
      </c>
      <c r="G269" s="688">
        <f t="shared" si="51"/>
        <v>4.0000000000000018</v>
      </c>
      <c r="H269" s="676">
        <f>IF(D269="","",IFERROR(VLOOKUP(D269,'Resumen Empleado'!$A$4:$B$17,2,FALSE),""))</f>
        <v>10</v>
      </c>
      <c r="I269" s="676">
        <f t="shared" si="52"/>
        <v>0</v>
      </c>
      <c r="J269" s="676">
        <f t="shared" si="53"/>
        <v>0</v>
      </c>
      <c r="K269" s="676">
        <f t="shared" si="57"/>
        <v>40.000000000000014</v>
      </c>
      <c r="L269" s="1044">
        <f t="shared" si="54"/>
        <v>40.000000000000014</v>
      </c>
      <c r="M269" s="145" t="str">
        <f t="shared" si="55"/>
        <v/>
      </c>
      <c r="N269" s="684">
        <f t="shared" si="56"/>
        <v>46059</v>
      </c>
    </row>
    <row r="270" spans="1:14" ht="15" customHeight="1">
      <c r="A270" s="658">
        <v>46059</v>
      </c>
      <c r="B270" s="658" t="str">
        <f t="shared" si="50"/>
        <v>Vie</v>
      </c>
      <c r="C270" s="674" t="s">
        <v>497</v>
      </c>
      <c r="D270" s="885" t="s">
        <v>529</v>
      </c>
      <c r="E270" s="687">
        <v>0.91666666666666663</v>
      </c>
      <c r="F270" s="687">
        <v>2.0833333333333329E-2</v>
      </c>
      <c r="G270" s="688">
        <f t="shared" si="51"/>
        <v>2.4999999999999991</v>
      </c>
      <c r="H270" s="676">
        <f>IF(D270="","",IFERROR(VLOOKUP(D270,'Resumen Empleado'!$A$4:$B$17,2,FALSE),""))</f>
        <v>8</v>
      </c>
      <c r="I270" s="676">
        <f t="shared" si="52"/>
        <v>0</v>
      </c>
      <c r="J270" s="676">
        <f t="shared" si="53"/>
        <v>0</v>
      </c>
      <c r="K270" s="676">
        <f t="shared" si="57"/>
        <v>19.999999999999993</v>
      </c>
      <c r="L270" s="1044">
        <f t="shared" si="54"/>
        <v>19.999999999999993</v>
      </c>
      <c r="M270" s="145" t="str">
        <f t="shared" si="55"/>
        <v/>
      </c>
      <c r="N270" s="684">
        <f t="shared" si="56"/>
        <v>46059</v>
      </c>
    </row>
    <row r="271" spans="1:14" ht="15" customHeight="1">
      <c r="A271" s="658">
        <v>46059</v>
      </c>
      <c r="B271" s="658" t="str">
        <f t="shared" si="50"/>
        <v>Vie</v>
      </c>
      <c r="C271" s="674" t="s">
        <v>497</v>
      </c>
      <c r="D271" s="897" t="s">
        <v>525</v>
      </c>
      <c r="E271" s="687">
        <v>0.79166666666666663</v>
      </c>
      <c r="F271" s="687">
        <v>2.0833333333333329E-2</v>
      </c>
      <c r="G271" s="688">
        <f t="shared" si="51"/>
        <v>5.4999999999999991</v>
      </c>
      <c r="H271" s="676">
        <f>IF(D271="","",IFERROR(VLOOKUP(D271,'Resumen Empleado'!$A$4:$B$17,2,FALSE),""))</f>
        <v>7.25</v>
      </c>
      <c r="I271" s="676">
        <f t="shared" si="52"/>
        <v>0</v>
      </c>
      <c r="J271" s="676">
        <f t="shared" si="53"/>
        <v>0</v>
      </c>
      <c r="K271" s="676">
        <f t="shared" si="57"/>
        <v>39.874999999999993</v>
      </c>
      <c r="L271" s="1044">
        <f t="shared" si="54"/>
        <v>39.874999999999993</v>
      </c>
      <c r="M271" s="145" t="str">
        <f t="shared" si="55"/>
        <v/>
      </c>
      <c r="N271" s="684">
        <f t="shared" si="56"/>
        <v>46059</v>
      </c>
    </row>
    <row r="272" spans="1:14" ht="15" customHeight="1">
      <c r="A272" s="658">
        <v>46059</v>
      </c>
      <c r="B272" s="658" t="str">
        <f t="shared" si="50"/>
        <v>Vie</v>
      </c>
      <c r="C272" s="674" t="s">
        <v>497</v>
      </c>
      <c r="D272" s="885" t="s">
        <v>523</v>
      </c>
      <c r="E272" s="687">
        <v>0.79166666666666663</v>
      </c>
      <c r="F272" s="687">
        <v>2.0833333333333329E-2</v>
      </c>
      <c r="G272" s="688">
        <f t="shared" si="51"/>
        <v>5.4999999999999991</v>
      </c>
      <c r="H272" s="676">
        <f>IF(D272="","",IFERROR(VLOOKUP(D272,'Resumen Empleado'!$A$4:$B$17,2,FALSE),""))</f>
        <v>6.39</v>
      </c>
      <c r="I272" s="676">
        <f t="shared" si="52"/>
        <v>0</v>
      </c>
      <c r="J272" s="676">
        <f t="shared" si="53"/>
        <v>0</v>
      </c>
      <c r="K272" s="676">
        <f t="shared" si="57"/>
        <v>35.144999999999996</v>
      </c>
      <c r="L272" s="1044">
        <f t="shared" si="54"/>
        <v>35.144999999999996</v>
      </c>
      <c r="M272" s="145" t="str">
        <f t="shared" si="55"/>
        <v/>
      </c>
      <c r="N272" s="684">
        <f t="shared" si="56"/>
        <v>46059</v>
      </c>
    </row>
    <row r="273" spans="1:14" ht="15" customHeight="1">
      <c r="A273" s="658">
        <v>46059</v>
      </c>
      <c r="B273" s="658" t="str">
        <f t="shared" si="50"/>
        <v>Vie</v>
      </c>
      <c r="C273" s="674" t="s">
        <v>497</v>
      </c>
      <c r="D273" s="885" t="s">
        <v>526</v>
      </c>
      <c r="E273" s="687">
        <v>0.83333333333333337</v>
      </c>
      <c r="F273" s="687">
        <v>2.0833333333333329E-2</v>
      </c>
      <c r="G273" s="688">
        <f t="shared" si="51"/>
        <v>4.4999999999999973</v>
      </c>
      <c r="H273" s="676">
        <f>IF(D273="","",IFERROR(VLOOKUP(D273,'Resumen Empleado'!$A$4:$B$17,2,FALSE),""))</f>
        <v>16</v>
      </c>
      <c r="I273" s="676">
        <f t="shared" si="52"/>
        <v>0</v>
      </c>
      <c r="J273" s="676">
        <f t="shared" si="53"/>
        <v>0</v>
      </c>
      <c r="K273" s="676">
        <f t="shared" si="57"/>
        <v>71.999999999999957</v>
      </c>
      <c r="L273" s="1044">
        <f t="shared" si="54"/>
        <v>71.999999999999957</v>
      </c>
      <c r="M273" s="145" t="str">
        <f t="shared" si="55"/>
        <v/>
      </c>
      <c r="N273" s="684">
        <f t="shared" si="56"/>
        <v>46059</v>
      </c>
    </row>
    <row r="274" spans="1:14" ht="15" customHeight="1">
      <c r="A274" s="658">
        <v>46059</v>
      </c>
      <c r="B274" s="658" t="str">
        <f t="shared" si="50"/>
        <v>Vie</v>
      </c>
      <c r="C274" s="674" t="s">
        <v>497</v>
      </c>
      <c r="D274" s="885" t="s">
        <v>532</v>
      </c>
      <c r="E274" s="687">
        <v>0.83333333333333337</v>
      </c>
      <c r="F274" s="687">
        <v>2.0833333333333329E-2</v>
      </c>
      <c r="G274" s="688">
        <f t="shared" si="51"/>
        <v>4.4999999999999973</v>
      </c>
      <c r="H274" s="676">
        <f>IF(D274="","",IFERROR(VLOOKUP(D274,'Resumen Empleado'!$A$4:$B$17,2,FALSE),""))</f>
        <v>5.17</v>
      </c>
      <c r="I274" s="676">
        <f t="shared" si="52"/>
        <v>0</v>
      </c>
      <c r="J274" s="676">
        <f t="shared" si="53"/>
        <v>0</v>
      </c>
      <c r="K274" s="676">
        <f t="shared" si="57"/>
        <v>23.264999999999986</v>
      </c>
      <c r="L274" s="1044">
        <f t="shared" si="54"/>
        <v>23.264999999999986</v>
      </c>
      <c r="M274" s="145" t="str">
        <f t="shared" si="55"/>
        <v/>
      </c>
      <c r="N274" s="684">
        <f t="shared" si="56"/>
        <v>46059</v>
      </c>
    </row>
    <row r="275" spans="1:14" ht="15" customHeight="1">
      <c r="A275" s="658">
        <v>46059</v>
      </c>
      <c r="B275" s="658" t="str">
        <f t="shared" si="50"/>
        <v>Vie</v>
      </c>
      <c r="C275" s="674" t="s">
        <v>497</v>
      </c>
      <c r="D275" s="885" t="s">
        <v>527</v>
      </c>
      <c r="E275" s="687">
        <v>0.8125</v>
      </c>
      <c r="F275" s="687">
        <v>0.89583333333333337</v>
      </c>
      <c r="G275" s="688">
        <f t="shared" si="51"/>
        <v>2.0000000000000009</v>
      </c>
      <c r="H275" s="676" t="str">
        <f>IF(D275="","",IFERROR(VLOOKUP(D275,'Resumen Empleado'!$A$4:$B$17,2,FALSE),""))</f>
        <v/>
      </c>
      <c r="I275" s="676">
        <f t="shared" si="52"/>
        <v>0</v>
      </c>
      <c r="J275" s="676">
        <f t="shared" si="53"/>
        <v>0</v>
      </c>
      <c r="K275" s="676">
        <f t="shared" si="57"/>
        <v>0</v>
      </c>
      <c r="L275" s="1044">
        <f t="shared" si="54"/>
        <v>0</v>
      </c>
      <c r="M275" s="145" t="str">
        <f t="shared" si="55"/>
        <v/>
      </c>
      <c r="N275" s="684">
        <f t="shared" si="56"/>
        <v>46059</v>
      </c>
    </row>
    <row r="276" spans="1:14" ht="15" customHeight="1">
      <c r="A276" s="658">
        <v>46059</v>
      </c>
      <c r="B276" s="658" t="str">
        <f t="shared" si="50"/>
        <v>Vie</v>
      </c>
      <c r="C276" s="674" t="s">
        <v>146</v>
      </c>
      <c r="D276" s="897" t="s">
        <v>528</v>
      </c>
      <c r="E276" s="687">
        <v>0.33333333333333331</v>
      </c>
      <c r="F276" s="687">
        <v>0.66666666666666663</v>
      </c>
      <c r="G276" s="688">
        <f t="shared" si="51"/>
        <v>8</v>
      </c>
      <c r="H276" s="676">
        <f>IF(D276="","",IFERROR(VLOOKUP(D276,'Resumen Empleado'!$A$4:$B$17,2,FALSE),""))</f>
        <v>11</v>
      </c>
      <c r="I276" s="676">
        <f t="shared" si="52"/>
        <v>44</v>
      </c>
      <c r="J276" s="676">
        <f t="shared" si="53"/>
        <v>43.999999999999993</v>
      </c>
      <c r="K276" s="676">
        <f>IF(OR(E276="",F276="",H276=""),0,MAX(0,(MIN(IF(F276&lt;E276,1+F276,F276),1+TIME(5,0,0))-MAX(E276,TIME(19,0,0))))*24*H276)</f>
        <v>0</v>
      </c>
      <c r="L276" s="1044">
        <f t="shared" si="54"/>
        <v>88</v>
      </c>
      <c r="M276" s="145" t="str">
        <f t="shared" si="55"/>
        <v/>
      </c>
      <c r="N276" s="684">
        <f t="shared" si="56"/>
        <v>46059</v>
      </c>
    </row>
    <row r="277" spans="1:14" ht="15" customHeight="1">
      <c r="A277" s="658">
        <v>46060</v>
      </c>
      <c r="B277" s="658" t="str">
        <f t="shared" si="50"/>
        <v>Sáb</v>
      </c>
      <c r="C277" s="674" t="s">
        <v>146</v>
      </c>
      <c r="D277" s="885" t="s">
        <v>523</v>
      </c>
      <c r="E277" s="687">
        <v>0.30208333333333331</v>
      </c>
      <c r="F277" s="687">
        <v>0.73958333333333337</v>
      </c>
      <c r="G277" s="688">
        <f t="shared" si="51"/>
        <v>10.500000000000002</v>
      </c>
      <c r="H277" s="676">
        <f>IF(D277="","",IFERROR(VLOOKUP(D277,'Resumen Empleado'!$A$4:$B$17,2,FALSE),""))</f>
        <v>6.39</v>
      </c>
      <c r="I277" s="676">
        <f t="shared" si="52"/>
        <v>30.352499999999999</v>
      </c>
      <c r="J277" s="676">
        <f t="shared" si="53"/>
        <v>36.742500000000007</v>
      </c>
      <c r="K277" s="676">
        <f t="shared" ref="K277:K287" si="58">IF(OR(E277="",F277="",H277=""),0,MAX(0,(MIN(IF(F277&lt;E277,F277+1,F277),1+TIME(5,0,0))-MAX(E277,TIME(19,0,0))))*24*H277)</f>
        <v>0</v>
      </c>
      <c r="L277" s="1044">
        <f t="shared" si="54"/>
        <v>67.094999999999999</v>
      </c>
      <c r="M277" s="145" t="str">
        <f t="shared" si="55"/>
        <v/>
      </c>
      <c r="N277" s="684">
        <f t="shared" si="56"/>
        <v>46060</v>
      </c>
    </row>
    <row r="278" spans="1:14" ht="15" customHeight="1">
      <c r="A278" s="658">
        <v>46060</v>
      </c>
      <c r="B278" s="658" t="str">
        <f t="shared" si="50"/>
        <v>Sáb</v>
      </c>
      <c r="C278" s="674" t="s">
        <v>146</v>
      </c>
      <c r="D278" s="885" t="s">
        <v>525</v>
      </c>
      <c r="E278" s="687">
        <v>0.375</v>
      </c>
      <c r="F278" s="687">
        <v>0.73958333333333337</v>
      </c>
      <c r="G278" s="688">
        <f t="shared" si="51"/>
        <v>8.75</v>
      </c>
      <c r="H278" s="676">
        <f>IF(D278="","",IFERROR(VLOOKUP(D278,'Resumen Empleado'!$A$4:$B$17,2,FALSE),""))</f>
        <v>7.25</v>
      </c>
      <c r="I278" s="676">
        <f t="shared" si="52"/>
        <v>21.75</v>
      </c>
      <c r="J278" s="676">
        <f t="shared" si="53"/>
        <v>41.687500000000007</v>
      </c>
      <c r="K278" s="676">
        <f t="shared" si="58"/>
        <v>0</v>
      </c>
      <c r="L278" s="1044">
        <f t="shared" si="54"/>
        <v>63.437500000000007</v>
      </c>
      <c r="M278" s="145" t="str">
        <f t="shared" si="55"/>
        <v/>
      </c>
      <c r="N278" s="684">
        <f t="shared" si="56"/>
        <v>46060</v>
      </c>
    </row>
    <row r="279" spans="1:14" ht="15" customHeight="1">
      <c r="A279" s="658">
        <v>46060</v>
      </c>
      <c r="B279" s="658" t="str">
        <f t="shared" si="50"/>
        <v>Sáb</v>
      </c>
      <c r="C279" s="674" t="s">
        <v>146</v>
      </c>
      <c r="D279" s="885" t="s">
        <v>526</v>
      </c>
      <c r="E279" s="687">
        <v>0.39583333333333331</v>
      </c>
      <c r="F279" s="687">
        <v>0.67708333333333337</v>
      </c>
      <c r="G279" s="688">
        <f t="shared" si="51"/>
        <v>6.7500000000000018</v>
      </c>
      <c r="H279" s="676">
        <f>IF(D279="","",IFERROR(VLOOKUP(D279,'Resumen Empleado'!$A$4:$B$17,2,FALSE),""))</f>
        <v>16</v>
      </c>
      <c r="I279" s="676">
        <f t="shared" si="52"/>
        <v>40.000000000000007</v>
      </c>
      <c r="J279" s="676">
        <f t="shared" si="53"/>
        <v>68.000000000000014</v>
      </c>
      <c r="K279" s="676">
        <f t="shared" si="58"/>
        <v>0</v>
      </c>
      <c r="L279" s="1044">
        <f t="shared" si="54"/>
        <v>108.00000000000003</v>
      </c>
      <c r="M279" s="145" t="str">
        <f t="shared" si="55"/>
        <v/>
      </c>
      <c r="N279" s="684">
        <f t="shared" si="56"/>
        <v>46060</v>
      </c>
    </row>
    <row r="280" spans="1:14" ht="15" customHeight="1">
      <c r="A280" s="658">
        <v>46060</v>
      </c>
      <c r="B280" s="658" t="str">
        <f t="shared" si="50"/>
        <v>Sáb</v>
      </c>
      <c r="C280" s="674" t="s">
        <v>146</v>
      </c>
      <c r="D280" s="897" t="s">
        <v>522</v>
      </c>
      <c r="E280" s="687">
        <v>0.33333333333333331</v>
      </c>
      <c r="F280" s="687">
        <v>0.75</v>
      </c>
      <c r="G280" s="688">
        <f t="shared" si="51"/>
        <v>10</v>
      </c>
      <c r="H280" s="676">
        <f>IF(D280="","",IFERROR(VLOOKUP(D280,'Resumen Empleado'!$A$4:$B$17,2,FALSE),""))</f>
        <v>10</v>
      </c>
      <c r="I280" s="676">
        <f t="shared" si="52"/>
        <v>40</v>
      </c>
      <c r="J280" s="676">
        <f t="shared" si="53"/>
        <v>60</v>
      </c>
      <c r="K280" s="676">
        <f t="shared" si="58"/>
        <v>0</v>
      </c>
      <c r="L280" s="1044">
        <f t="shared" si="54"/>
        <v>100</v>
      </c>
      <c r="M280" s="145" t="str">
        <f t="shared" si="55"/>
        <v/>
      </c>
      <c r="N280" s="684">
        <f t="shared" si="56"/>
        <v>46060</v>
      </c>
    </row>
    <row r="281" spans="1:14" ht="15" customHeight="1">
      <c r="A281" s="658">
        <v>46060</v>
      </c>
      <c r="B281" s="658" t="str">
        <f t="shared" si="50"/>
        <v>Sáb</v>
      </c>
      <c r="C281" s="674" t="s">
        <v>146</v>
      </c>
      <c r="D281" s="885" t="s">
        <v>529</v>
      </c>
      <c r="E281" s="687">
        <v>0.5</v>
      </c>
      <c r="F281" s="687">
        <v>0.73958333333333337</v>
      </c>
      <c r="G281" s="688">
        <f t="shared" si="51"/>
        <v>5.7500000000000009</v>
      </c>
      <c r="H281" s="676">
        <f>IF(D281="","",IFERROR(VLOOKUP(D281,'Resumen Empleado'!$A$4:$B$17,2,FALSE),""))</f>
        <v>8</v>
      </c>
      <c r="I281" s="676">
        <f t="shared" si="52"/>
        <v>0</v>
      </c>
      <c r="J281" s="676">
        <f t="shared" si="53"/>
        <v>46.000000000000007</v>
      </c>
      <c r="K281" s="676">
        <f t="shared" si="58"/>
        <v>0</v>
      </c>
      <c r="L281" s="1044">
        <f t="shared" si="54"/>
        <v>46.000000000000007</v>
      </c>
      <c r="M281" s="145" t="str">
        <f t="shared" si="55"/>
        <v/>
      </c>
      <c r="N281" s="684">
        <f t="shared" si="56"/>
        <v>46060</v>
      </c>
    </row>
    <row r="282" spans="1:14" ht="15" customHeight="1">
      <c r="A282" s="658">
        <v>46060</v>
      </c>
      <c r="B282" s="658" t="str">
        <f t="shared" si="50"/>
        <v>Sáb</v>
      </c>
      <c r="C282" s="674" t="s">
        <v>497</v>
      </c>
      <c r="D282" s="885" t="s">
        <v>532</v>
      </c>
      <c r="E282" s="687">
        <v>0.83333333333333337</v>
      </c>
      <c r="F282" s="687">
        <v>2.0833333333333329E-2</v>
      </c>
      <c r="G282" s="688">
        <f t="shared" si="51"/>
        <v>4.4999999999999973</v>
      </c>
      <c r="H282" s="676">
        <f>IF(D282="","",IFERROR(VLOOKUP(D282,'Resumen Empleado'!$A$4:$B$17,2,FALSE),""))</f>
        <v>5.17</v>
      </c>
      <c r="I282" s="676">
        <f t="shared" si="52"/>
        <v>0</v>
      </c>
      <c r="J282" s="676">
        <f t="shared" si="53"/>
        <v>0</v>
      </c>
      <c r="K282" s="676">
        <f t="shared" si="58"/>
        <v>23.264999999999986</v>
      </c>
      <c r="L282" s="1044">
        <f t="shared" si="54"/>
        <v>23.264999999999986</v>
      </c>
      <c r="M282" s="145" t="str">
        <f t="shared" si="55"/>
        <v/>
      </c>
      <c r="N282" s="684">
        <f t="shared" si="56"/>
        <v>46060</v>
      </c>
    </row>
    <row r="283" spans="1:14" ht="15" customHeight="1">
      <c r="A283" s="658">
        <v>46060</v>
      </c>
      <c r="B283" s="658" t="str">
        <f t="shared" si="50"/>
        <v>Sáb</v>
      </c>
      <c r="C283" s="674" t="s">
        <v>497</v>
      </c>
      <c r="D283" s="885" t="s">
        <v>523</v>
      </c>
      <c r="E283" s="687">
        <v>0.79166666666666663</v>
      </c>
      <c r="F283" s="687">
        <v>2.0833333333333329E-2</v>
      </c>
      <c r="G283" s="688">
        <f t="shared" si="51"/>
        <v>5.4999999999999991</v>
      </c>
      <c r="H283" s="676">
        <f>IF(D283="","",IFERROR(VLOOKUP(D283,'Resumen Empleado'!$A$4:$B$17,2,FALSE),""))</f>
        <v>6.39</v>
      </c>
      <c r="I283" s="676">
        <f t="shared" si="52"/>
        <v>0</v>
      </c>
      <c r="J283" s="676">
        <f t="shared" si="53"/>
        <v>0</v>
      </c>
      <c r="K283" s="676">
        <f t="shared" si="58"/>
        <v>35.144999999999996</v>
      </c>
      <c r="L283" s="1044">
        <f t="shared" si="54"/>
        <v>35.144999999999996</v>
      </c>
      <c r="M283" s="145" t="str">
        <f t="shared" si="55"/>
        <v/>
      </c>
      <c r="N283" s="684">
        <f t="shared" si="56"/>
        <v>46060</v>
      </c>
    </row>
    <row r="284" spans="1:14" ht="15" customHeight="1">
      <c r="A284" s="658">
        <v>46060</v>
      </c>
      <c r="B284" s="658" t="str">
        <f t="shared" si="50"/>
        <v>Sáb</v>
      </c>
      <c r="C284" s="674" t="s">
        <v>497</v>
      </c>
      <c r="D284" s="885" t="s">
        <v>526</v>
      </c>
      <c r="E284" s="687">
        <v>0.83333333333333337</v>
      </c>
      <c r="F284" s="687">
        <v>2.0833333333333329E-2</v>
      </c>
      <c r="G284" s="688">
        <f t="shared" si="51"/>
        <v>4.4999999999999973</v>
      </c>
      <c r="H284" s="676">
        <f>IF(D284="","",IFERROR(VLOOKUP(D284,'Resumen Empleado'!$A$4:$B$17,2,FALSE),""))</f>
        <v>16</v>
      </c>
      <c r="I284" s="676">
        <f t="shared" si="52"/>
        <v>0</v>
      </c>
      <c r="J284" s="676">
        <f t="shared" si="53"/>
        <v>0</v>
      </c>
      <c r="K284" s="676">
        <f t="shared" si="58"/>
        <v>71.999999999999957</v>
      </c>
      <c r="L284" s="1044">
        <f t="shared" si="54"/>
        <v>71.999999999999957</v>
      </c>
      <c r="M284" s="145" t="str">
        <f t="shared" si="55"/>
        <v/>
      </c>
      <c r="N284" s="684">
        <f t="shared" si="56"/>
        <v>46060</v>
      </c>
    </row>
    <row r="285" spans="1:14" ht="15" customHeight="1">
      <c r="A285" s="658">
        <v>46060</v>
      </c>
      <c r="B285" s="658" t="str">
        <f t="shared" si="50"/>
        <v>Sáb</v>
      </c>
      <c r="C285" s="674" t="s">
        <v>497</v>
      </c>
      <c r="D285" s="897" t="s">
        <v>525</v>
      </c>
      <c r="E285" s="687">
        <v>0.79166666666666663</v>
      </c>
      <c r="F285" s="687">
        <v>2.0833333333333329E-2</v>
      </c>
      <c r="G285" s="688">
        <f t="shared" si="51"/>
        <v>5.4999999999999991</v>
      </c>
      <c r="H285" s="676">
        <f>IF(D285="","",IFERROR(VLOOKUP(D285,'Resumen Empleado'!$A$4:$B$17,2,FALSE),""))</f>
        <v>7.25</v>
      </c>
      <c r="I285" s="676">
        <f t="shared" si="52"/>
        <v>0</v>
      </c>
      <c r="J285" s="676">
        <f t="shared" si="53"/>
        <v>0</v>
      </c>
      <c r="K285" s="676">
        <f t="shared" si="58"/>
        <v>39.874999999999993</v>
      </c>
      <c r="L285" s="1044">
        <f t="shared" si="54"/>
        <v>39.874999999999993</v>
      </c>
      <c r="M285" s="145" t="str">
        <f t="shared" si="55"/>
        <v/>
      </c>
      <c r="N285" s="684">
        <f t="shared" si="56"/>
        <v>46060</v>
      </c>
    </row>
    <row r="286" spans="1:14" ht="15" customHeight="1">
      <c r="A286" s="658">
        <v>46060</v>
      </c>
      <c r="B286" s="658" t="str">
        <f t="shared" si="50"/>
        <v>Sáb</v>
      </c>
      <c r="C286" s="674" t="s">
        <v>497</v>
      </c>
      <c r="D286" s="885" t="s">
        <v>522</v>
      </c>
      <c r="E286" s="687">
        <v>0.79166666666666663</v>
      </c>
      <c r="F286" s="687">
        <v>0.95833333333333337</v>
      </c>
      <c r="G286" s="688">
        <f t="shared" si="51"/>
        <v>4.0000000000000018</v>
      </c>
      <c r="H286" s="676">
        <f>IF(D286="","",IFERROR(VLOOKUP(D286,'Resumen Empleado'!$A$4:$B$17,2,FALSE),""))</f>
        <v>10</v>
      </c>
      <c r="I286" s="676">
        <f t="shared" si="52"/>
        <v>0</v>
      </c>
      <c r="J286" s="676">
        <f t="shared" si="53"/>
        <v>0</v>
      </c>
      <c r="K286" s="676">
        <f t="shared" si="58"/>
        <v>40.000000000000014</v>
      </c>
      <c r="L286" s="1044">
        <f t="shared" si="54"/>
        <v>40.000000000000014</v>
      </c>
      <c r="M286" s="145" t="str">
        <f t="shared" si="55"/>
        <v/>
      </c>
      <c r="N286" s="684">
        <f t="shared" si="56"/>
        <v>46060</v>
      </c>
    </row>
    <row r="287" spans="1:14" ht="15" customHeight="1">
      <c r="A287" s="658">
        <v>46060</v>
      </c>
      <c r="B287" s="658" t="str">
        <f t="shared" si="50"/>
        <v>Sáb</v>
      </c>
      <c r="C287" s="674" t="s">
        <v>497</v>
      </c>
      <c r="D287" s="885" t="s">
        <v>529</v>
      </c>
      <c r="E287" s="687">
        <v>0.83333333333333337</v>
      </c>
      <c r="F287" s="687">
        <v>2.0833333333333329E-2</v>
      </c>
      <c r="G287" s="688">
        <f t="shared" si="51"/>
        <v>4.4999999999999973</v>
      </c>
      <c r="H287" s="676">
        <f>IF(D287="","",IFERROR(VLOOKUP(D287,'Resumen Empleado'!$A$4:$B$17,2,FALSE),""))</f>
        <v>8</v>
      </c>
      <c r="I287" s="676">
        <f t="shared" si="52"/>
        <v>0</v>
      </c>
      <c r="J287" s="676">
        <f t="shared" si="53"/>
        <v>0</v>
      </c>
      <c r="K287" s="676">
        <f t="shared" si="58"/>
        <v>35.999999999999979</v>
      </c>
      <c r="L287" s="1044">
        <f t="shared" si="54"/>
        <v>35.999999999999979</v>
      </c>
      <c r="M287" s="145" t="str">
        <f t="shared" si="55"/>
        <v/>
      </c>
      <c r="N287" s="684">
        <f t="shared" si="56"/>
        <v>46060</v>
      </c>
    </row>
    <row r="288" spans="1:14" ht="15" customHeight="1">
      <c r="A288" s="658">
        <v>46060</v>
      </c>
      <c r="B288" s="658" t="str">
        <f t="shared" si="50"/>
        <v>Sáb</v>
      </c>
      <c r="C288" s="674" t="s">
        <v>146</v>
      </c>
      <c r="D288" s="885" t="s">
        <v>528</v>
      </c>
      <c r="E288" s="687">
        <v>0.33333333333333331</v>
      </c>
      <c r="F288" s="687">
        <v>0.66666666666666663</v>
      </c>
      <c r="G288" s="688">
        <f t="shared" si="51"/>
        <v>8</v>
      </c>
      <c r="H288" s="676">
        <f>IF(D288="","",IFERROR(VLOOKUP(D288,'Resumen Empleado'!$A$4:$B$17,2,FALSE),""))</f>
        <v>11</v>
      </c>
      <c r="I288" s="676">
        <f t="shared" si="52"/>
        <v>44</v>
      </c>
      <c r="J288" s="676">
        <f t="shared" si="53"/>
        <v>43.999999999999993</v>
      </c>
      <c r="K288" s="676">
        <f>IF(OR(E288="",F288="",H288=""),0,MAX(0,(MIN(IF(F288&lt;E288,1+F288,F288),1+TIME(5,0,0))-MAX(E288,TIME(19,0,0))))*24*H288)</f>
        <v>0</v>
      </c>
      <c r="L288" s="1044">
        <f t="shared" si="54"/>
        <v>88</v>
      </c>
      <c r="M288" s="145" t="str">
        <f t="shared" si="55"/>
        <v/>
      </c>
      <c r="N288" s="684">
        <f t="shared" si="56"/>
        <v>46060</v>
      </c>
    </row>
    <row r="289" spans="1:14" ht="15" customHeight="1">
      <c r="A289" s="658">
        <v>46061</v>
      </c>
      <c r="B289" s="658" t="str">
        <f t="shared" si="50"/>
        <v>Dom</v>
      </c>
      <c r="C289" s="674" t="s">
        <v>146</v>
      </c>
      <c r="D289" s="885" t="s">
        <v>523</v>
      </c>
      <c r="E289" s="687">
        <v>0.30208333333333331</v>
      </c>
      <c r="F289" s="687">
        <v>0.72916666666666663</v>
      </c>
      <c r="G289" s="688">
        <f t="shared" si="51"/>
        <v>10.25</v>
      </c>
      <c r="H289" s="676">
        <f>IF(D289="","",IFERROR(VLOOKUP(D289,'Resumen Empleado'!$A$4:$B$17,2,FALSE),""))</f>
        <v>6.39</v>
      </c>
      <c r="I289" s="676">
        <f t="shared" si="52"/>
        <v>30.352499999999999</v>
      </c>
      <c r="J289" s="676">
        <f t="shared" si="53"/>
        <v>35.144999999999996</v>
      </c>
      <c r="K289" s="676">
        <f t="shared" ref="K289:K295" si="59">IF(OR(E289="",F289="",H289=""),0,MAX(0,(MIN(IF(F289&lt;E289,F289+1,F289),1+TIME(5,0,0))-MAX(E289,TIME(19,0,0))))*24*H289)</f>
        <v>0</v>
      </c>
      <c r="L289" s="1044">
        <f t="shared" si="54"/>
        <v>65.497500000000002</v>
      </c>
      <c r="M289" s="145" t="str">
        <f t="shared" si="55"/>
        <v/>
      </c>
      <c r="N289" s="684">
        <f t="shared" si="56"/>
        <v>46061</v>
      </c>
    </row>
    <row r="290" spans="1:14" ht="15" customHeight="1">
      <c r="A290" s="658">
        <v>46061</v>
      </c>
      <c r="B290" s="658" t="str">
        <f t="shared" si="50"/>
        <v>Dom</v>
      </c>
      <c r="C290" s="674" t="s">
        <v>146</v>
      </c>
      <c r="D290" s="897" t="s">
        <v>526</v>
      </c>
      <c r="E290" s="687">
        <v>0.39583333333333331</v>
      </c>
      <c r="F290" s="687">
        <v>0.72916666666666663</v>
      </c>
      <c r="G290" s="688">
        <f t="shared" si="51"/>
        <v>8</v>
      </c>
      <c r="H290" s="676">
        <f>IF(D290="","",IFERROR(VLOOKUP(D290,'Resumen Empleado'!$A$4:$B$17,2,FALSE),""))</f>
        <v>16</v>
      </c>
      <c r="I290" s="676">
        <f t="shared" si="52"/>
        <v>40.000000000000007</v>
      </c>
      <c r="J290" s="676">
        <f t="shared" si="53"/>
        <v>87.999999999999986</v>
      </c>
      <c r="K290" s="676">
        <f t="shared" si="59"/>
        <v>0</v>
      </c>
      <c r="L290" s="1044">
        <f t="shared" si="54"/>
        <v>128</v>
      </c>
      <c r="M290" s="145" t="str">
        <f t="shared" si="55"/>
        <v/>
      </c>
      <c r="N290" s="684">
        <f t="shared" si="56"/>
        <v>46061</v>
      </c>
    </row>
    <row r="291" spans="1:14" ht="15" customHeight="1">
      <c r="A291" s="658">
        <v>46061</v>
      </c>
      <c r="B291" s="658" t="str">
        <f t="shared" si="50"/>
        <v>Dom</v>
      </c>
      <c r="C291" s="674" t="s">
        <v>146</v>
      </c>
      <c r="D291" s="885" t="s">
        <v>525</v>
      </c>
      <c r="E291" s="687">
        <v>0.375</v>
      </c>
      <c r="F291" s="687">
        <v>0.72916666666666663</v>
      </c>
      <c r="G291" s="688">
        <f t="shared" si="51"/>
        <v>8.5</v>
      </c>
      <c r="H291" s="676">
        <f>IF(D291="","",IFERROR(VLOOKUP(D291,'Resumen Empleado'!$A$4:$B$17,2,FALSE),""))</f>
        <v>7.25</v>
      </c>
      <c r="I291" s="676">
        <f t="shared" si="52"/>
        <v>21.75</v>
      </c>
      <c r="J291" s="676">
        <f t="shared" si="53"/>
        <v>39.874999999999993</v>
      </c>
      <c r="K291" s="676">
        <f t="shared" si="59"/>
        <v>0</v>
      </c>
      <c r="L291" s="1044">
        <f t="shared" si="54"/>
        <v>61.624999999999993</v>
      </c>
      <c r="M291" s="145" t="str">
        <f t="shared" si="55"/>
        <v/>
      </c>
      <c r="N291" s="684">
        <f t="shared" si="56"/>
        <v>46061</v>
      </c>
    </row>
    <row r="292" spans="1:14" ht="15" customHeight="1">
      <c r="A292" s="658">
        <v>46061</v>
      </c>
      <c r="B292" s="658" t="str">
        <f t="shared" si="50"/>
        <v>Dom</v>
      </c>
      <c r="C292" s="674" t="s">
        <v>146</v>
      </c>
      <c r="D292" s="885" t="s">
        <v>529</v>
      </c>
      <c r="E292" s="687">
        <v>0.5</v>
      </c>
      <c r="F292" s="687">
        <v>0.72916666666666663</v>
      </c>
      <c r="G292" s="688">
        <f t="shared" si="51"/>
        <v>5.4999999999999991</v>
      </c>
      <c r="H292" s="676">
        <f>IF(D292="","",IFERROR(VLOOKUP(D292,'Resumen Empleado'!$A$4:$B$17,2,FALSE),""))</f>
        <v>8</v>
      </c>
      <c r="I292" s="676">
        <f t="shared" si="52"/>
        <v>0</v>
      </c>
      <c r="J292" s="676">
        <f t="shared" si="53"/>
        <v>43.999999999999993</v>
      </c>
      <c r="K292" s="676">
        <f t="shared" si="59"/>
        <v>0</v>
      </c>
      <c r="L292" s="1044">
        <f t="shared" si="54"/>
        <v>43.999999999999993</v>
      </c>
      <c r="M292" s="145" t="str">
        <f t="shared" si="55"/>
        <v/>
      </c>
      <c r="N292" s="684">
        <f t="shared" si="56"/>
        <v>46061</v>
      </c>
    </row>
    <row r="293" spans="1:14" ht="15" customHeight="1">
      <c r="A293" s="658">
        <v>46061</v>
      </c>
      <c r="B293" s="658" t="str">
        <f t="shared" si="50"/>
        <v>Dom</v>
      </c>
      <c r="C293" s="674" t="s">
        <v>146</v>
      </c>
      <c r="D293" s="885" t="s">
        <v>530</v>
      </c>
      <c r="E293" s="687">
        <v>0.5</v>
      </c>
      <c r="F293" s="687">
        <v>0.72916666666666663</v>
      </c>
      <c r="G293" s="688">
        <f t="shared" si="51"/>
        <v>5.4999999999999991</v>
      </c>
      <c r="H293" s="676">
        <f>IF(D293="","",IFERROR(VLOOKUP(D293,'Resumen Empleado'!$A$4:$B$17,2,FALSE),""))</f>
        <v>8</v>
      </c>
      <c r="I293" s="676">
        <f t="shared" si="52"/>
        <v>0</v>
      </c>
      <c r="J293" s="676">
        <f t="shared" si="53"/>
        <v>43.999999999999993</v>
      </c>
      <c r="K293" s="676">
        <f t="shared" si="59"/>
        <v>0</v>
      </c>
      <c r="L293" s="1044">
        <f t="shared" si="54"/>
        <v>43.999999999999993</v>
      </c>
      <c r="M293" s="145" t="str">
        <f t="shared" si="55"/>
        <v/>
      </c>
      <c r="N293" s="684">
        <f t="shared" si="56"/>
        <v>46061</v>
      </c>
    </row>
    <row r="294" spans="1:14" ht="15" customHeight="1">
      <c r="A294" s="658">
        <v>46061</v>
      </c>
      <c r="B294" s="658" t="str">
        <f t="shared" si="50"/>
        <v>Dom</v>
      </c>
      <c r="C294" s="674" t="s">
        <v>146</v>
      </c>
      <c r="D294" s="885" t="s">
        <v>531</v>
      </c>
      <c r="E294" s="687">
        <v>0.58333333333333337</v>
      </c>
      <c r="F294" s="687">
        <v>0.72916666666666663</v>
      </c>
      <c r="G294" s="688">
        <f t="shared" si="51"/>
        <v>3.4999999999999982</v>
      </c>
      <c r="H294" s="676">
        <f>IF(D294="","",IFERROR(VLOOKUP(D294,'Resumen Empleado'!$A$4:$B$17,2,FALSE),""))</f>
        <v>8</v>
      </c>
      <c r="I294" s="676">
        <f t="shared" si="52"/>
        <v>0</v>
      </c>
      <c r="J294" s="676">
        <f t="shared" si="53"/>
        <v>27.999999999999986</v>
      </c>
      <c r="K294" s="676">
        <f t="shared" si="59"/>
        <v>0</v>
      </c>
      <c r="L294" s="1044">
        <f t="shared" si="54"/>
        <v>27.999999999999986</v>
      </c>
      <c r="M294" s="145" t="str">
        <f t="shared" si="55"/>
        <v/>
      </c>
      <c r="N294" s="684">
        <f t="shared" si="56"/>
        <v>46061</v>
      </c>
    </row>
    <row r="295" spans="1:14" ht="15" customHeight="1">
      <c r="A295" s="658">
        <v>46061</v>
      </c>
      <c r="B295" s="658" t="str">
        <f t="shared" si="50"/>
        <v>Dom</v>
      </c>
      <c r="C295" s="674" t="s">
        <v>146</v>
      </c>
      <c r="D295" s="885" t="s">
        <v>522</v>
      </c>
      <c r="E295" s="687">
        <v>0.33333333333333331</v>
      </c>
      <c r="F295" s="687">
        <v>0.6875</v>
      </c>
      <c r="G295" s="688">
        <f t="shared" si="51"/>
        <v>8.5</v>
      </c>
      <c r="H295" s="676">
        <f>IF(D295="","",IFERROR(VLOOKUP(D295,'Resumen Empleado'!$A$4:$B$17,2,FALSE),""))</f>
        <v>10</v>
      </c>
      <c r="I295" s="676">
        <f t="shared" si="52"/>
        <v>40</v>
      </c>
      <c r="J295" s="676">
        <f t="shared" si="53"/>
        <v>45</v>
      </c>
      <c r="K295" s="676">
        <f t="shared" si="59"/>
        <v>0</v>
      </c>
      <c r="L295" s="1044">
        <f t="shared" si="54"/>
        <v>85</v>
      </c>
      <c r="M295" s="145" t="str">
        <f t="shared" si="55"/>
        <v/>
      </c>
      <c r="N295" s="684">
        <f t="shared" si="56"/>
        <v>46061</v>
      </c>
    </row>
    <row r="296" spans="1:14" ht="15" customHeight="1">
      <c r="A296" s="658">
        <v>46061</v>
      </c>
      <c r="B296" s="658" t="str">
        <f t="shared" si="50"/>
        <v>Dom</v>
      </c>
      <c r="C296" s="674" t="s">
        <v>146</v>
      </c>
      <c r="D296" s="885" t="s">
        <v>528</v>
      </c>
      <c r="E296" s="687">
        <v>0.33333333333333331</v>
      </c>
      <c r="F296" s="687">
        <v>0.66666666666666663</v>
      </c>
      <c r="G296" s="688">
        <f t="shared" si="51"/>
        <v>8</v>
      </c>
      <c r="H296" s="676">
        <f>IF(D296="","",IFERROR(VLOOKUP(D296,'Resumen Empleado'!$A$4:$B$17,2,FALSE),""))</f>
        <v>11</v>
      </c>
      <c r="I296" s="676">
        <f t="shared" si="52"/>
        <v>44</v>
      </c>
      <c r="J296" s="676">
        <f t="shared" si="53"/>
        <v>43.999999999999993</v>
      </c>
      <c r="K296" s="676">
        <f>IF(OR(E296="",F296="",H296=""),0,MAX(0,(MIN(IF(F296&lt;E296,1+F296,F296),1+TIME(5,0,0))-MAX(E296,TIME(19,0,0))))*24*H296)</f>
        <v>0</v>
      </c>
      <c r="L296" s="1044">
        <f t="shared" si="54"/>
        <v>88</v>
      </c>
      <c r="M296" s="145" t="str">
        <f t="shared" si="55"/>
        <v/>
      </c>
      <c r="N296" s="684">
        <f t="shared" si="56"/>
        <v>46061</v>
      </c>
    </row>
    <row r="297" spans="1:14" ht="15" customHeight="1">
      <c r="A297" s="658">
        <v>46062</v>
      </c>
      <c r="B297" s="658" t="str">
        <f t="shared" si="50"/>
        <v>Lun</v>
      </c>
      <c r="C297" s="674" t="s">
        <v>497</v>
      </c>
      <c r="D297" s="885" t="s">
        <v>527</v>
      </c>
      <c r="E297" s="687">
        <v>0.8125</v>
      </c>
      <c r="F297" s="687">
        <v>0.89583333333333337</v>
      </c>
      <c r="G297" s="688">
        <f t="shared" si="51"/>
        <v>2.0000000000000009</v>
      </c>
      <c r="H297" s="676" t="str">
        <f>IF(D297="","",IFERROR(VLOOKUP(D297,'Resumen Empleado'!$A$4:$B$17,2,FALSE),""))</f>
        <v/>
      </c>
      <c r="I297" s="676">
        <f t="shared" si="52"/>
        <v>0</v>
      </c>
      <c r="J297" s="676">
        <f t="shared" si="53"/>
        <v>0</v>
      </c>
      <c r="K297" s="676">
        <f>IF(OR(E297="",F297="",H297=""),0,MAX(0,(MIN(IF(F297&lt;E297,F297+1,F297),1+TIME(5,0,0))-MAX(E297,TIME(19,0,0))))*24*H297)</f>
        <v>0</v>
      </c>
      <c r="L297" s="1044">
        <f t="shared" si="54"/>
        <v>0</v>
      </c>
      <c r="M297" s="145" t="str">
        <f t="shared" si="55"/>
        <v/>
      </c>
      <c r="N297" s="684">
        <f t="shared" si="56"/>
        <v>46062</v>
      </c>
    </row>
    <row r="298" spans="1:14" ht="15" customHeight="1">
      <c r="A298" s="658">
        <v>46062</v>
      </c>
      <c r="B298" s="658" t="str">
        <f t="shared" si="50"/>
        <v>Lun</v>
      </c>
      <c r="C298" s="674" t="s">
        <v>146</v>
      </c>
      <c r="D298" s="885" t="s">
        <v>528</v>
      </c>
      <c r="E298" s="687">
        <v>0.33333333333333331</v>
      </c>
      <c r="F298" s="687">
        <v>0.66666666666666663</v>
      </c>
      <c r="G298" s="688">
        <f t="shared" si="51"/>
        <v>8</v>
      </c>
      <c r="H298" s="676">
        <f>IF(D298="","",IFERROR(VLOOKUP(D298,'Resumen Empleado'!$A$4:$B$17,2,FALSE),""))</f>
        <v>11</v>
      </c>
      <c r="I298" s="676">
        <f t="shared" si="52"/>
        <v>44</v>
      </c>
      <c r="J298" s="676">
        <f t="shared" si="53"/>
        <v>43.999999999999993</v>
      </c>
      <c r="K298" s="676">
        <f>IF(OR(E298="",F298="",H298=""),0,MAX(0,(MIN(IF(F298&lt;E298,1+F298,F298),1+TIME(5,0,0))-MAX(E298,TIME(19,0,0))))*24*H298)</f>
        <v>0</v>
      </c>
      <c r="L298" s="1044">
        <f t="shared" si="54"/>
        <v>88</v>
      </c>
      <c r="M298" s="145" t="str">
        <f t="shared" si="55"/>
        <v/>
      </c>
      <c r="N298" s="684">
        <f t="shared" si="56"/>
        <v>46062</v>
      </c>
    </row>
    <row r="299" spans="1:14" ht="15" customHeight="1">
      <c r="A299" s="658">
        <v>46063</v>
      </c>
      <c r="B299" s="658" t="str">
        <f t="shared" si="50"/>
        <v>Mar</v>
      </c>
      <c r="C299" s="674" t="s">
        <v>497</v>
      </c>
      <c r="D299" s="897" t="s">
        <v>527</v>
      </c>
      <c r="E299" s="687">
        <v>0.8125</v>
      </c>
      <c r="F299" s="687">
        <v>0.89583333333333337</v>
      </c>
      <c r="G299" s="688">
        <f t="shared" si="51"/>
        <v>2.0000000000000009</v>
      </c>
      <c r="H299" s="676" t="str">
        <f>IF(D299="","",IFERROR(VLOOKUP(D299,'Resumen Empleado'!$A$4:$B$17,2,FALSE),""))</f>
        <v/>
      </c>
      <c r="I299" s="676">
        <f t="shared" si="52"/>
        <v>0</v>
      </c>
      <c r="J299" s="676">
        <f t="shared" si="53"/>
        <v>0</v>
      </c>
      <c r="K299" s="676">
        <f>IF(OR(E299="",F299="",H299=""),0,MAX(0,(MIN(IF(F299&lt;E299,F299+1,F299),1+TIME(5,0,0))-MAX(E299,TIME(19,0,0))))*24*H299)</f>
        <v>0</v>
      </c>
      <c r="L299" s="1044">
        <f t="shared" si="54"/>
        <v>0</v>
      </c>
      <c r="M299" s="145" t="str">
        <f t="shared" si="55"/>
        <v/>
      </c>
      <c r="N299" s="684">
        <f t="shared" si="56"/>
        <v>46063</v>
      </c>
    </row>
    <row r="300" spans="1:14" ht="15" customHeight="1">
      <c r="A300" s="658">
        <v>46063</v>
      </c>
      <c r="B300" s="658" t="str">
        <f t="shared" si="50"/>
        <v>Mar</v>
      </c>
      <c r="C300" s="674" t="s">
        <v>146</v>
      </c>
      <c r="D300" s="885" t="s">
        <v>528</v>
      </c>
      <c r="E300" s="687">
        <v>0.33333333333333331</v>
      </c>
      <c r="F300" s="687">
        <v>0.66666666666666663</v>
      </c>
      <c r="G300" s="688">
        <f t="shared" si="51"/>
        <v>8</v>
      </c>
      <c r="H300" s="676">
        <f>IF(D300="","",IFERROR(VLOOKUP(D300,'Resumen Empleado'!$A$4:$B$17,2,FALSE),""))</f>
        <v>11</v>
      </c>
      <c r="I300" s="676">
        <f t="shared" si="52"/>
        <v>44</v>
      </c>
      <c r="J300" s="676">
        <f t="shared" si="53"/>
        <v>43.999999999999993</v>
      </c>
      <c r="K300" s="676">
        <f>IF(OR(E300="",F300="",H300=""),0,MAX(0,(MIN(IF(F300&lt;E300,1+F300,F300),1+TIME(5,0,0))-MAX(E300,TIME(19,0,0))))*24*H300)</f>
        <v>0</v>
      </c>
      <c r="L300" s="1044">
        <f t="shared" si="54"/>
        <v>88</v>
      </c>
      <c r="M300" s="145" t="str">
        <f t="shared" si="55"/>
        <v/>
      </c>
      <c r="N300" s="684">
        <f t="shared" si="56"/>
        <v>46063</v>
      </c>
    </row>
    <row r="301" spans="1:14" ht="15" customHeight="1">
      <c r="A301" s="658">
        <v>46064</v>
      </c>
      <c r="B301" s="658" t="str">
        <f t="shared" si="50"/>
        <v>Mié</v>
      </c>
      <c r="C301" s="674" t="s">
        <v>146</v>
      </c>
      <c r="D301" s="885" t="s">
        <v>523</v>
      </c>
      <c r="E301" s="687">
        <v>0.26041666666666669</v>
      </c>
      <c r="F301" s="687">
        <v>0.63541666666666663</v>
      </c>
      <c r="G301" s="688">
        <f t="shared" si="51"/>
        <v>8.9999999999999982</v>
      </c>
      <c r="H301" s="676">
        <f>IF(D301="","",IFERROR(VLOOKUP(D301,'Resumen Empleado'!$A$4:$B$17,2,FALSE),""))</f>
        <v>6.39</v>
      </c>
      <c r="I301" s="676">
        <f t="shared" si="52"/>
        <v>36.7425</v>
      </c>
      <c r="J301" s="676">
        <f t="shared" si="53"/>
        <v>20.767499999999995</v>
      </c>
      <c r="K301" s="676">
        <f t="shared" ref="K301:K311" si="60">IF(OR(E301="",F301="",H301=""),0,MAX(0,(MIN(IF(F301&lt;E301,F301+1,F301),1+TIME(5,0,0))-MAX(E301,TIME(19,0,0))))*24*H301)</f>
        <v>0</v>
      </c>
      <c r="L301" s="1044">
        <f t="shared" si="54"/>
        <v>57.509999999999991</v>
      </c>
      <c r="M301" s="145" t="str">
        <f t="shared" si="55"/>
        <v/>
      </c>
      <c r="N301" s="684">
        <f t="shared" si="56"/>
        <v>46064</v>
      </c>
    </row>
    <row r="302" spans="1:14" ht="15" customHeight="1">
      <c r="A302" s="658">
        <v>46064</v>
      </c>
      <c r="B302" s="658" t="str">
        <f t="shared" si="50"/>
        <v>Mié</v>
      </c>
      <c r="C302" s="674" t="s">
        <v>146</v>
      </c>
      <c r="D302" s="885" t="s">
        <v>532</v>
      </c>
      <c r="E302" s="687">
        <v>0.33333333333333331</v>
      </c>
      <c r="F302" s="687">
        <v>0.54166666666666663</v>
      </c>
      <c r="G302" s="688">
        <f t="shared" si="51"/>
        <v>5</v>
      </c>
      <c r="H302" s="676">
        <f>IF(D302="","",IFERROR(VLOOKUP(D302,'Resumen Empleado'!$A$4:$B$17,2,FALSE),""))</f>
        <v>5.17</v>
      </c>
      <c r="I302" s="676">
        <f t="shared" si="52"/>
        <v>20.68</v>
      </c>
      <c r="J302" s="676">
        <f t="shared" si="53"/>
        <v>5.1699999999999955</v>
      </c>
      <c r="K302" s="676">
        <f t="shared" si="60"/>
        <v>0</v>
      </c>
      <c r="L302" s="1044">
        <f t="shared" si="54"/>
        <v>25.849999999999994</v>
      </c>
      <c r="M302" s="145" t="str">
        <f t="shared" si="55"/>
        <v/>
      </c>
      <c r="N302" s="684">
        <f t="shared" si="56"/>
        <v>46064</v>
      </c>
    </row>
    <row r="303" spans="1:14" ht="15" customHeight="1">
      <c r="A303" s="658">
        <v>46064</v>
      </c>
      <c r="B303" s="658" t="str">
        <f t="shared" si="50"/>
        <v>Mié</v>
      </c>
      <c r="C303" s="674" t="s">
        <v>146</v>
      </c>
      <c r="D303" s="885" t="s">
        <v>525</v>
      </c>
      <c r="E303" s="687">
        <v>0.54166666666666663</v>
      </c>
      <c r="F303" s="687">
        <v>0.66666666666666663</v>
      </c>
      <c r="G303" s="688">
        <f t="shared" si="51"/>
        <v>3</v>
      </c>
      <c r="H303" s="676">
        <f>IF(D303="","",IFERROR(VLOOKUP(D303,'Resumen Empleado'!$A$4:$B$17,2,FALSE),""))</f>
        <v>7.25</v>
      </c>
      <c r="I303" s="676">
        <f t="shared" si="52"/>
        <v>0</v>
      </c>
      <c r="J303" s="676">
        <f t="shared" si="53"/>
        <v>21.75</v>
      </c>
      <c r="K303" s="676">
        <f t="shared" si="60"/>
        <v>0</v>
      </c>
      <c r="L303" s="1044">
        <f t="shared" si="54"/>
        <v>21.75</v>
      </c>
      <c r="M303" s="145" t="str">
        <f t="shared" si="55"/>
        <v/>
      </c>
      <c r="N303" s="684">
        <f t="shared" si="56"/>
        <v>46064</v>
      </c>
    </row>
    <row r="304" spans="1:14" ht="15" customHeight="1">
      <c r="A304" s="658">
        <v>46064</v>
      </c>
      <c r="B304" s="658" t="str">
        <f t="shared" si="50"/>
        <v>Mié</v>
      </c>
      <c r="C304" s="674" t="s">
        <v>146</v>
      </c>
      <c r="D304" s="885" t="s">
        <v>526</v>
      </c>
      <c r="E304" s="687">
        <v>0.45833333333333331</v>
      </c>
      <c r="F304" s="687">
        <v>0.66666666666666663</v>
      </c>
      <c r="G304" s="688">
        <f t="shared" si="51"/>
        <v>5</v>
      </c>
      <c r="H304" s="676">
        <f>IF(D304="","",IFERROR(VLOOKUP(D304,'Resumen Empleado'!$A$4:$B$17,2,FALSE),""))</f>
        <v>16</v>
      </c>
      <c r="I304" s="676">
        <f t="shared" si="52"/>
        <v>16.000000000000007</v>
      </c>
      <c r="J304" s="676">
        <f t="shared" si="53"/>
        <v>63.999999999999986</v>
      </c>
      <c r="K304" s="676">
        <f t="shared" si="60"/>
        <v>0</v>
      </c>
      <c r="L304" s="1044">
        <f t="shared" si="54"/>
        <v>80</v>
      </c>
      <c r="M304" s="145" t="str">
        <f t="shared" si="55"/>
        <v/>
      </c>
      <c r="N304" s="684">
        <f t="shared" si="56"/>
        <v>46064</v>
      </c>
    </row>
    <row r="305" spans="1:14" ht="15" customHeight="1">
      <c r="A305" s="658">
        <v>46064</v>
      </c>
      <c r="B305" s="658" t="str">
        <f t="shared" si="50"/>
        <v>Mié</v>
      </c>
      <c r="C305" s="674" t="s">
        <v>146</v>
      </c>
      <c r="D305" s="897" t="s">
        <v>522</v>
      </c>
      <c r="E305" s="687">
        <v>0.29166666666666669</v>
      </c>
      <c r="F305" s="687">
        <v>0.64583333333333337</v>
      </c>
      <c r="G305" s="688">
        <f t="shared" si="51"/>
        <v>8.5</v>
      </c>
      <c r="H305" s="676">
        <f>IF(D305="","",IFERROR(VLOOKUP(D305,'Resumen Empleado'!$A$4:$B$17,2,FALSE),""))</f>
        <v>10</v>
      </c>
      <c r="I305" s="676">
        <f t="shared" si="52"/>
        <v>50</v>
      </c>
      <c r="J305" s="676">
        <f t="shared" si="53"/>
        <v>35.000000000000007</v>
      </c>
      <c r="K305" s="676">
        <f t="shared" si="60"/>
        <v>0</v>
      </c>
      <c r="L305" s="1044">
        <f t="shared" si="54"/>
        <v>85</v>
      </c>
      <c r="M305" s="145" t="str">
        <f t="shared" si="55"/>
        <v/>
      </c>
      <c r="N305" s="684">
        <f t="shared" si="56"/>
        <v>46064</v>
      </c>
    </row>
    <row r="306" spans="1:14" ht="15" customHeight="1">
      <c r="A306" s="658">
        <v>46064</v>
      </c>
      <c r="B306" s="658" t="str">
        <f t="shared" si="50"/>
        <v>Mié</v>
      </c>
      <c r="C306" s="674" t="s">
        <v>497</v>
      </c>
      <c r="D306" s="885" t="s">
        <v>522</v>
      </c>
      <c r="E306" s="687">
        <v>0.84375</v>
      </c>
      <c r="F306" s="687">
        <v>0.875</v>
      </c>
      <c r="G306" s="688">
        <f t="shared" si="51"/>
        <v>0.75</v>
      </c>
      <c r="H306" s="676">
        <f>IF(D306="","",IFERROR(VLOOKUP(D306,'Resumen Empleado'!$A$4:$B$17,2,FALSE),""))</f>
        <v>10</v>
      </c>
      <c r="I306" s="676">
        <f t="shared" si="52"/>
        <v>0</v>
      </c>
      <c r="J306" s="676">
        <f t="shared" si="53"/>
        <v>0</v>
      </c>
      <c r="K306" s="676">
        <f t="shared" si="60"/>
        <v>7.5</v>
      </c>
      <c r="L306" s="1044">
        <f t="shared" si="54"/>
        <v>7.5</v>
      </c>
      <c r="M306" s="145" t="str">
        <f t="shared" si="55"/>
        <v/>
      </c>
      <c r="N306" s="684">
        <f t="shared" si="56"/>
        <v>46064</v>
      </c>
    </row>
    <row r="307" spans="1:14" ht="15" customHeight="1">
      <c r="A307" s="658">
        <v>46064</v>
      </c>
      <c r="B307" s="658" t="str">
        <f t="shared" si="50"/>
        <v>Mié</v>
      </c>
      <c r="C307" s="674" t="s">
        <v>497</v>
      </c>
      <c r="D307" s="885" t="s">
        <v>525</v>
      </c>
      <c r="E307" s="687">
        <v>0.79166666666666663</v>
      </c>
      <c r="F307" s="687">
        <v>0.97916666666666663</v>
      </c>
      <c r="G307" s="688">
        <f t="shared" si="51"/>
        <v>4.5</v>
      </c>
      <c r="H307" s="676">
        <f>IF(D307="","",IFERROR(VLOOKUP(D307,'Resumen Empleado'!$A$4:$B$17,2,FALSE),""))</f>
        <v>7.25</v>
      </c>
      <c r="I307" s="676">
        <f t="shared" si="52"/>
        <v>0</v>
      </c>
      <c r="J307" s="676">
        <f t="shared" si="53"/>
        <v>0</v>
      </c>
      <c r="K307" s="676">
        <f t="shared" si="60"/>
        <v>32.625</v>
      </c>
      <c r="L307" s="1044">
        <f t="shared" si="54"/>
        <v>32.625</v>
      </c>
      <c r="M307" s="145" t="str">
        <f t="shared" si="55"/>
        <v/>
      </c>
      <c r="N307" s="684">
        <f t="shared" si="56"/>
        <v>46064</v>
      </c>
    </row>
    <row r="308" spans="1:14" ht="15" customHeight="1">
      <c r="A308" s="658">
        <v>46064</v>
      </c>
      <c r="B308" s="658" t="str">
        <f t="shared" si="50"/>
        <v>Mié</v>
      </c>
      <c r="C308" s="674" t="s">
        <v>497</v>
      </c>
      <c r="D308" s="885" t="s">
        <v>529</v>
      </c>
      <c r="E308" s="687">
        <v>0.84375</v>
      </c>
      <c r="F308" s="687">
        <v>0.97916666666666663</v>
      </c>
      <c r="G308" s="688">
        <f t="shared" si="51"/>
        <v>3.2499999999999991</v>
      </c>
      <c r="H308" s="676">
        <f>IF(D308="","",IFERROR(VLOOKUP(D308,'Resumen Empleado'!$A$4:$B$17,2,FALSE),""))</f>
        <v>8</v>
      </c>
      <c r="I308" s="676">
        <f t="shared" si="52"/>
        <v>0</v>
      </c>
      <c r="J308" s="676">
        <f t="shared" si="53"/>
        <v>0</v>
      </c>
      <c r="K308" s="676">
        <f t="shared" si="60"/>
        <v>25.999999999999993</v>
      </c>
      <c r="L308" s="1044">
        <f t="shared" si="54"/>
        <v>25.999999999999993</v>
      </c>
      <c r="M308" s="145" t="str">
        <f t="shared" si="55"/>
        <v/>
      </c>
      <c r="N308" s="684">
        <f t="shared" si="56"/>
        <v>46064</v>
      </c>
    </row>
    <row r="309" spans="1:14" ht="15" customHeight="1">
      <c r="A309" s="658">
        <v>46064</v>
      </c>
      <c r="B309" s="658" t="str">
        <f t="shared" si="50"/>
        <v>Mié</v>
      </c>
      <c r="C309" s="674" t="s">
        <v>497</v>
      </c>
      <c r="D309" s="897" t="s">
        <v>532</v>
      </c>
      <c r="E309" s="687">
        <v>0.83333333333333337</v>
      </c>
      <c r="F309" s="687">
        <v>0.97916666666666663</v>
      </c>
      <c r="G309" s="688">
        <f t="shared" si="51"/>
        <v>3.4999999999999982</v>
      </c>
      <c r="H309" s="676">
        <f>IF(D309="","",IFERROR(VLOOKUP(D309,'Resumen Empleado'!$A$4:$B$17,2,FALSE),""))</f>
        <v>5.17</v>
      </c>
      <c r="I309" s="676">
        <f t="shared" si="52"/>
        <v>0</v>
      </c>
      <c r="J309" s="676">
        <f t="shared" si="53"/>
        <v>0</v>
      </c>
      <c r="K309" s="676">
        <f t="shared" si="60"/>
        <v>18.094999999999992</v>
      </c>
      <c r="L309" s="1044">
        <f t="shared" si="54"/>
        <v>18.094999999999992</v>
      </c>
      <c r="M309" s="145" t="str">
        <f t="shared" si="55"/>
        <v/>
      </c>
      <c r="N309" s="684">
        <f t="shared" si="56"/>
        <v>46064</v>
      </c>
    </row>
    <row r="310" spans="1:14" ht="15" customHeight="1">
      <c r="A310" s="658">
        <v>46064</v>
      </c>
      <c r="B310" s="658" t="str">
        <f t="shared" si="50"/>
        <v>Mié</v>
      </c>
      <c r="C310" s="674" t="s">
        <v>497</v>
      </c>
      <c r="D310" s="885" t="s">
        <v>526</v>
      </c>
      <c r="E310" s="687">
        <v>0.79166666666666663</v>
      </c>
      <c r="F310" s="687">
        <v>0.97916666666666663</v>
      </c>
      <c r="G310" s="688">
        <f t="shared" si="51"/>
        <v>4.5</v>
      </c>
      <c r="H310" s="676">
        <f>IF(D310="","",IFERROR(VLOOKUP(D310,'Resumen Empleado'!$A$4:$B$17,2,FALSE),""))</f>
        <v>16</v>
      </c>
      <c r="I310" s="676">
        <f t="shared" si="52"/>
        <v>0</v>
      </c>
      <c r="J310" s="676">
        <f t="shared" si="53"/>
        <v>0</v>
      </c>
      <c r="K310" s="676">
        <f t="shared" si="60"/>
        <v>72</v>
      </c>
      <c r="L310" s="1044">
        <f t="shared" si="54"/>
        <v>72</v>
      </c>
      <c r="M310" s="145" t="str">
        <f t="shared" si="55"/>
        <v/>
      </c>
      <c r="N310" s="684">
        <f t="shared" si="56"/>
        <v>46064</v>
      </c>
    </row>
    <row r="311" spans="1:14" ht="15" customHeight="1">
      <c r="A311" s="658">
        <v>46064</v>
      </c>
      <c r="B311" s="658" t="str">
        <f t="shared" si="50"/>
        <v>Mié</v>
      </c>
      <c r="C311" s="674" t="s">
        <v>497</v>
      </c>
      <c r="D311" s="885" t="s">
        <v>527</v>
      </c>
      <c r="E311" s="687">
        <v>0.8125</v>
      </c>
      <c r="F311" s="687">
        <v>0.89583333333333337</v>
      </c>
      <c r="G311" s="688">
        <f t="shared" si="51"/>
        <v>2.0000000000000009</v>
      </c>
      <c r="H311" s="676" t="str">
        <f>IF(D311="","",IFERROR(VLOOKUP(D311,'Resumen Empleado'!$A$4:$B$17,2,FALSE),""))</f>
        <v/>
      </c>
      <c r="I311" s="676">
        <f t="shared" si="52"/>
        <v>0</v>
      </c>
      <c r="J311" s="676">
        <f t="shared" si="53"/>
        <v>0</v>
      </c>
      <c r="K311" s="676">
        <f t="shared" si="60"/>
        <v>0</v>
      </c>
      <c r="L311" s="1044">
        <f t="shared" si="54"/>
        <v>0</v>
      </c>
      <c r="M311" s="145" t="str">
        <f t="shared" si="55"/>
        <v/>
      </c>
      <c r="N311" s="684">
        <f t="shared" si="56"/>
        <v>46064</v>
      </c>
    </row>
    <row r="312" spans="1:14" ht="15" customHeight="1">
      <c r="A312" s="658">
        <v>46064</v>
      </c>
      <c r="B312" s="658" t="str">
        <f t="shared" si="50"/>
        <v>Mié</v>
      </c>
      <c r="C312" s="674" t="s">
        <v>146</v>
      </c>
      <c r="D312" s="885" t="s">
        <v>528</v>
      </c>
      <c r="E312" s="687">
        <v>0.33333333333333331</v>
      </c>
      <c r="F312" s="687">
        <v>0.66666666666666663</v>
      </c>
      <c r="G312" s="688">
        <f t="shared" si="51"/>
        <v>8</v>
      </c>
      <c r="H312" s="676">
        <f>IF(D312="","",IFERROR(VLOOKUP(D312,'Resumen Empleado'!$A$4:$B$17,2,FALSE),""))</f>
        <v>11</v>
      </c>
      <c r="I312" s="676">
        <f t="shared" si="52"/>
        <v>44</v>
      </c>
      <c r="J312" s="676">
        <f t="shared" si="53"/>
        <v>43.999999999999993</v>
      </c>
      <c r="K312" s="676">
        <f>IF(OR(E312="",F312="",H312=""),0,MAX(0,(MIN(IF(F312&lt;E312,1+F312,F312),1+TIME(5,0,0))-MAX(E312,TIME(19,0,0))))*24*H312)</f>
        <v>0</v>
      </c>
      <c r="L312" s="1044">
        <f t="shared" si="54"/>
        <v>88</v>
      </c>
      <c r="M312" s="145" t="str">
        <f t="shared" si="55"/>
        <v/>
      </c>
      <c r="N312" s="684">
        <f t="shared" si="56"/>
        <v>46064</v>
      </c>
    </row>
    <row r="313" spans="1:14" ht="15" customHeight="1">
      <c r="A313" s="658">
        <v>46065</v>
      </c>
      <c r="B313" s="658" t="str">
        <f t="shared" si="50"/>
        <v>Jue</v>
      </c>
      <c r="C313" s="674" t="s">
        <v>146</v>
      </c>
      <c r="D313" s="885" t="s">
        <v>523</v>
      </c>
      <c r="E313" s="687">
        <v>0.26041666666666669</v>
      </c>
      <c r="F313" s="687">
        <v>0.41666666666666669</v>
      </c>
      <c r="G313" s="688">
        <f t="shared" si="51"/>
        <v>3.75</v>
      </c>
      <c r="H313" s="676">
        <f>IF(D313="","",IFERROR(VLOOKUP(D313,'Resumen Empleado'!$A$4:$B$17,2,FALSE),""))</f>
        <v>6.39</v>
      </c>
      <c r="I313" s="676">
        <f t="shared" si="52"/>
        <v>23.962499999999999</v>
      </c>
      <c r="J313" s="676">
        <f t="shared" si="53"/>
        <v>0</v>
      </c>
      <c r="K313" s="676">
        <f t="shared" ref="K313:K321" si="61">IF(OR(E313="",F313="",H313=""),0,MAX(0,(MIN(IF(F313&lt;E313,F313+1,F313),1+TIME(5,0,0))-MAX(E313,TIME(19,0,0))))*24*H313)</f>
        <v>0</v>
      </c>
      <c r="L313" s="1044">
        <f t="shared" si="54"/>
        <v>23.962499999999999</v>
      </c>
      <c r="M313" s="145" t="str">
        <f t="shared" si="55"/>
        <v/>
      </c>
      <c r="N313" s="684">
        <f t="shared" si="56"/>
        <v>46065</v>
      </c>
    </row>
    <row r="314" spans="1:14" ht="15" customHeight="1">
      <c r="A314" s="658">
        <v>46065</v>
      </c>
      <c r="B314" s="658" t="str">
        <f t="shared" si="50"/>
        <v>Jue</v>
      </c>
      <c r="C314" s="674" t="s">
        <v>146</v>
      </c>
      <c r="D314" s="885" t="s">
        <v>525</v>
      </c>
      <c r="E314" s="687">
        <v>0.34375</v>
      </c>
      <c r="F314" s="687">
        <v>0.66666666666666663</v>
      </c>
      <c r="G314" s="688">
        <f t="shared" si="51"/>
        <v>7.7499999999999991</v>
      </c>
      <c r="H314" s="676">
        <f>IF(D314="","",IFERROR(VLOOKUP(D314,'Resumen Empleado'!$A$4:$B$17,2,FALSE),""))</f>
        <v>7.25</v>
      </c>
      <c r="I314" s="676">
        <f t="shared" si="52"/>
        <v>27.1875</v>
      </c>
      <c r="J314" s="676">
        <f t="shared" si="53"/>
        <v>28.999999999999993</v>
      </c>
      <c r="K314" s="676">
        <f t="shared" si="61"/>
        <v>0</v>
      </c>
      <c r="L314" s="1044">
        <f t="shared" si="54"/>
        <v>56.187499999999993</v>
      </c>
      <c r="M314" s="145" t="str">
        <f t="shared" si="55"/>
        <v/>
      </c>
      <c r="N314" s="684">
        <f t="shared" si="56"/>
        <v>46065</v>
      </c>
    </row>
    <row r="315" spans="1:14" ht="15" customHeight="1">
      <c r="A315" s="658">
        <v>46065</v>
      </c>
      <c r="B315" s="658" t="str">
        <f t="shared" si="50"/>
        <v>Jue</v>
      </c>
      <c r="C315" s="674" t="s">
        <v>146</v>
      </c>
      <c r="D315" s="885" t="s">
        <v>532</v>
      </c>
      <c r="E315" s="687">
        <v>0.54166666666666663</v>
      </c>
      <c r="F315" s="687">
        <v>0.66666666666666663</v>
      </c>
      <c r="G315" s="688">
        <f t="shared" si="51"/>
        <v>3</v>
      </c>
      <c r="H315" s="676">
        <f>IF(D315="","",IFERROR(VLOOKUP(D315,'Resumen Empleado'!$A$4:$B$17,2,FALSE),""))</f>
        <v>5.17</v>
      </c>
      <c r="I315" s="676">
        <f t="shared" si="52"/>
        <v>0</v>
      </c>
      <c r="J315" s="676">
        <f t="shared" si="53"/>
        <v>15.51</v>
      </c>
      <c r="K315" s="676">
        <f t="shared" si="61"/>
        <v>0</v>
      </c>
      <c r="L315" s="1044">
        <f t="shared" si="54"/>
        <v>15.51</v>
      </c>
      <c r="M315" s="145" t="str">
        <f t="shared" si="55"/>
        <v/>
      </c>
      <c r="N315" s="684">
        <f t="shared" si="56"/>
        <v>46065</v>
      </c>
    </row>
    <row r="316" spans="1:14" ht="15" customHeight="1">
      <c r="A316" s="658">
        <v>46065</v>
      </c>
      <c r="B316" s="658" t="str">
        <f t="shared" si="50"/>
        <v>Jue</v>
      </c>
      <c r="C316" s="674" t="s">
        <v>146</v>
      </c>
      <c r="D316" s="885" t="s">
        <v>522</v>
      </c>
      <c r="E316" s="687">
        <v>0.29166666666666669</v>
      </c>
      <c r="F316" s="687">
        <v>0.64583333333333337</v>
      </c>
      <c r="G316" s="688">
        <f t="shared" si="51"/>
        <v>8.5</v>
      </c>
      <c r="H316" s="676">
        <f>IF(D316="","",IFERROR(VLOOKUP(D316,'Resumen Empleado'!$A$4:$B$17,2,FALSE),""))</f>
        <v>10</v>
      </c>
      <c r="I316" s="676">
        <f t="shared" si="52"/>
        <v>50</v>
      </c>
      <c r="J316" s="676">
        <f t="shared" si="53"/>
        <v>35.000000000000007</v>
      </c>
      <c r="K316" s="676">
        <f t="shared" si="61"/>
        <v>0</v>
      </c>
      <c r="L316" s="1044">
        <f t="shared" si="54"/>
        <v>85</v>
      </c>
      <c r="M316" s="145" t="str">
        <f t="shared" si="55"/>
        <v/>
      </c>
      <c r="N316" s="684">
        <f t="shared" si="56"/>
        <v>46065</v>
      </c>
    </row>
    <row r="317" spans="1:14" ht="15" customHeight="1">
      <c r="A317" s="658">
        <v>46065</v>
      </c>
      <c r="B317" s="658" t="str">
        <f t="shared" si="50"/>
        <v>Jue</v>
      </c>
      <c r="C317" s="674" t="s">
        <v>146</v>
      </c>
      <c r="D317" s="885" t="s">
        <v>526</v>
      </c>
      <c r="E317" s="687">
        <v>0.41666666666666669</v>
      </c>
      <c r="F317" s="687">
        <v>0.66666666666666663</v>
      </c>
      <c r="G317" s="688">
        <f t="shared" si="51"/>
        <v>5.9999999999999982</v>
      </c>
      <c r="H317" s="676">
        <f>IF(D317="","",IFERROR(VLOOKUP(D317,'Resumen Empleado'!$A$4:$B$17,2,FALSE),""))</f>
        <v>16</v>
      </c>
      <c r="I317" s="676">
        <f t="shared" si="52"/>
        <v>31.999999999999993</v>
      </c>
      <c r="J317" s="676">
        <f t="shared" si="53"/>
        <v>63.999999999999986</v>
      </c>
      <c r="K317" s="676">
        <f t="shared" si="61"/>
        <v>0</v>
      </c>
      <c r="L317" s="1044">
        <f t="shared" si="54"/>
        <v>95.999999999999972</v>
      </c>
      <c r="M317" s="145" t="str">
        <f t="shared" si="55"/>
        <v/>
      </c>
      <c r="N317" s="684">
        <f t="shared" si="56"/>
        <v>46065</v>
      </c>
    </row>
    <row r="318" spans="1:14" ht="15" customHeight="1">
      <c r="A318" s="658">
        <v>46065</v>
      </c>
      <c r="B318" s="658" t="str">
        <f t="shared" si="50"/>
        <v>Jue</v>
      </c>
      <c r="C318" s="674" t="s">
        <v>497</v>
      </c>
      <c r="D318" s="885" t="s">
        <v>523</v>
      </c>
      <c r="E318" s="687">
        <v>0.79166666666666663</v>
      </c>
      <c r="F318" s="687">
        <v>0.95833333333333337</v>
      </c>
      <c r="G318" s="688">
        <f t="shared" si="51"/>
        <v>4.0000000000000018</v>
      </c>
      <c r="H318" s="676">
        <f>IF(D318="","",IFERROR(VLOOKUP(D318,'Resumen Empleado'!$A$4:$B$17,2,FALSE),""))</f>
        <v>6.39</v>
      </c>
      <c r="I318" s="676">
        <f t="shared" si="52"/>
        <v>0</v>
      </c>
      <c r="J318" s="676">
        <f t="shared" si="53"/>
        <v>0</v>
      </c>
      <c r="K318" s="676">
        <f t="shared" si="61"/>
        <v>25.560000000000009</v>
      </c>
      <c r="L318" s="1044">
        <f t="shared" si="54"/>
        <v>25.560000000000009</v>
      </c>
      <c r="M318" s="145" t="str">
        <f t="shared" si="55"/>
        <v/>
      </c>
      <c r="N318" s="684">
        <f t="shared" si="56"/>
        <v>46065</v>
      </c>
    </row>
    <row r="319" spans="1:14" ht="15" customHeight="1">
      <c r="A319" s="658">
        <v>46065</v>
      </c>
      <c r="B319" s="658" t="str">
        <f t="shared" si="50"/>
        <v>Jue</v>
      </c>
      <c r="C319" s="674" t="s">
        <v>497</v>
      </c>
      <c r="D319" s="897" t="s">
        <v>532</v>
      </c>
      <c r="E319" s="687">
        <v>0.83333333333333337</v>
      </c>
      <c r="F319" s="687">
        <v>0.95833333333333337</v>
      </c>
      <c r="G319" s="688">
        <f t="shared" si="51"/>
        <v>3</v>
      </c>
      <c r="H319" s="676">
        <f>IF(D319="","",IFERROR(VLOOKUP(D319,'Resumen Empleado'!$A$4:$B$17,2,FALSE),""))</f>
        <v>5.17</v>
      </c>
      <c r="I319" s="676">
        <f t="shared" si="52"/>
        <v>0</v>
      </c>
      <c r="J319" s="676">
        <f t="shared" si="53"/>
        <v>0</v>
      </c>
      <c r="K319" s="676">
        <f t="shared" si="61"/>
        <v>15.51</v>
      </c>
      <c r="L319" s="1044">
        <f t="shared" si="54"/>
        <v>15.51</v>
      </c>
      <c r="M319" s="145" t="str">
        <f t="shared" si="55"/>
        <v/>
      </c>
      <c r="N319" s="684">
        <f t="shared" si="56"/>
        <v>46065</v>
      </c>
    </row>
    <row r="320" spans="1:14" ht="15" customHeight="1">
      <c r="A320" s="658">
        <v>46065</v>
      </c>
      <c r="B320" s="658" t="str">
        <f t="shared" si="50"/>
        <v>Jue</v>
      </c>
      <c r="C320" s="674" t="s">
        <v>497</v>
      </c>
      <c r="D320" s="885" t="s">
        <v>526</v>
      </c>
      <c r="E320" s="687">
        <v>0.79166666666666663</v>
      </c>
      <c r="F320" s="687">
        <v>0.95833333333333337</v>
      </c>
      <c r="G320" s="688">
        <f t="shared" si="51"/>
        <v>4.0000000000000018</v>
      </c>
      <c r="H320" s="676">
        <f>IF(D320="","",IFERROR(VLOOKUP(D320,'Resumen Empleado'!$A$4:$B$17,2,FALSE),""))</f>
        <v>16</v>
      </c>
      <c r="I320" s="676">
        <f t="shared" si="52"/>
        <v>0</v>
      </c>
      <c r="J320" s="676">
        <f t="shared" si="53"/>
        <v>0</v>
      </c>
      <c r="K320" s="676">
        <f t="shared" si="61"/>
        <v>64.000000000000028</v>
      </c>
      <c r="L320" s="1044">
        <f t="shared" si="54"/>
        <v>64.000000000000028</v>
      </c>
      <c r="M320" s="145" t="str">
        <f t="shared" si="55"/>
        <v/>
      </c>
      <c r="N320" s="684">
        <f t="shared" si="56"/>
        <v>46065</v>
      </c>
    </row>
    <row r="321" spans="1:14" ht="15" customHeight="1">
      <c r="A321" s="658">
        <v>46065</v>
      </c>
      <c r="B321" s="658" t="str">
        <f t="shared" si="50"/>
        <v>Jue</v>
      </c>
      <c r="C321" s="674" t="s">
        <v>497</v>
      </c>
      <c r="D321" s="885" t="s">
        <v>527</v>
      </c>
      <c r="E321" s="687">
        <v>0.8125</v>
      </c>
      <c r="F321" s="687">
        <v>0.89583333333333337</v>
      </c>
      <c r="G321" s="688">
        <f t="shared" si="51"/>
        <v>2.0000000000000009</v>
      </c>
      <c r="H321" s="676" t="str">
        <f>IF(D321="","",IFERROR(VLOOKUP(D321,'Resumen Empleado'!$A$4:$B$17,2,FALSE),""))</f>
        <v/>
      </c>
      <c r="I321" s="676">
        <f t="shared" si="52"/>
        <v>0</v>
      </c>
      <c r="J321" s="676">
        <f t="shared" si="53"/>
        <v>0</v>
      </c>
      <c r="K321" s="676">
        <f t="shared" si="61"/>
        <v>0</v>
      </c>
      <c r="L321" s="1044">
        <f t="shared" si="54"/>
        <v>0</v>
      </c>
      <c r="M321" s="145" t="str">
        <f t="shared" si="55"/>
        <v/>
      </c>
      <c r="N321" s="684">
        <f t="shared" si="56"/>
        <v>46065</v>
      </c>
    </row>
    <row r="322" spans="1:14" ht="15" customHeight="1">
      <c r="A322" s="658">
        <v>46065</v>
      </c>
      <c r="B322" s="658" t="str">
        <f t="shared" si="50"/>
        <v>Jue</v>
      </c>
      <c r="C322" s="674" t="s">
        <v>146</v>
      </c>
      <c r="D322" s="885" t="s">
        <v>528</v>
      </c>
      <c r="E322" s="687">
        <v>0.33333333333333331</v>
      </c>
      <c r="F322" s="687">
        <v>0.66666666666666663</v>
      </c>
      <c r="G322" s="688">
        <f t="shared" si="51"/>
        <v>8</v>
      </c>
      <c r="H322" s="676">
        <f>IF(D322="","",IFERROR(VLOOKUP(D322,'Resumen Empleado'!$A$4:$B$17,2,FALSE),""))</f>
        <v>11</v>
      </c>
      <c r="I322" s="676">
        <f t="shared" si="52"/>
        <v>44</v>
      </c>
      <c r="J322" s="676">
        <f t="shared" si="53"/>
        <v>43.999999999999993</v>
      </c>
      <c r="K322" s="676">
        <f>IF(OR(E322="",F322="",H322=""),0,MAX(0,(MIN(IF(F322&lt;E322,1+F322,F322),1+TIME(5,0,0))-MAX(E322,TIME(19,0,0))))*24*H322)</f>
        <v>0</v>
      </c>
      <c r="L322" s="1044">
        <f t="shared" si="54"/>
        <v>88</v>
      </c>
      <c r="M322" s="145" t="str">
        <f t="shared" si="55"/>
        <v/>
      </c>
      <c r="N322" s="684">
        <f t="shared" si="56"/>
        <v>46065</v>
      </c>
    </row>
    <row r="323" spans="1:14" ht="15" customHeight="1">
      <c r="A323" s="658">
        <v>46066</v>
      </c>
      <c r="B323" s="658" t="str">
        <f t="shared" si="50"/>
        <v>Vie</v>
      </c>
      <c r="C323" s="674" t="s">
        <v>146</v>
      </c>
      <c r="D323" s="897" t="s">
        <v>522</v>
      </c>
      <c r="E323" s="687">
        <v>0.35416666666666669</v>
      </c>
      <c r="F323" s="687">
        <v>0.64583333333333337</v>
      </c>
      <c r="G323" s="688">
        <f t="shared" si="51"/>
        <v>7</v>
      </c>
      <c r="H323" s="676">
        <f>IF(D323="","",IFERROR(VLOOKUP(D323,'Resumen Empleado'!$A$4:$B$17,2,FALSE),""))</f>
        <v>10</v>
      </c>
      <c r="I323" s="676">
        <f t="shared" si="52"/>
        <v>34.999999999999993</v>
      </c>
      <c r="J323" s="676">
        <f t="shared" si="53"/>
        <v>35.000000000000007</v>
      </c>
      <c r="K323" s="676">
        <f t="shared" ref="K323:K334" si="62">IF(OR(E323="",F323="",H323=""),0,MAX(0,(MIN(IF(F323&lt;E323,F323+1,F323),1+TIME(5,0,0))-MAX(E323,TIME(19,0,0))))*24*H323)</f>
        <v>0</v>
      </c>
      <c r="L323" s="1044">
        <f t="shared" si="54"/>
        <v>70</v>
      </c>
      <c r="M323" s="145" t="str">
        <f t="shared" si="55"/>
        <v/>
      </c>
      <c r="N323" s="684">
        <f t="shared" si="56"/>
        <v>46066</v>
      </c>
    </row>
    <row r="324" spans="1:14" ht="15" customHeight="1">
      <c r="A324" s="658">
        <v>46066</v>
      </c>
      <c r="B324" s="658" t="str">
        <f t="shared" si="50"/>
        <v>Vie</v>
      </c>
      <c r="C324" s="674" t="s">
        <v>146</v>
      </c>
      <c r="D324" s="885" t="s">
        <v>526</v>
      </c>
      <c r="E324" s="687">
        <v>0.41666666666666669</v>
      </c>
      <c r="F324" s="687">
        <v>0.66666666666666663</v>
      </c>
      <c r="G324" s="688">
        <f t="shared" si="51"/>
        <v>5.9999999999999982</v>
      </c>
      <c r="H324" s="676">
        <f>IF(D324="","",IFERROR(VLOOKUP(D324,'Resumen Empleado'!$A$4:$B$17,2,FALSE),""))</f>
        <v>16</v>
      </c>
      <c r="I324" s="676">
        <f t="shared" si="52"/>
        <v>31.999999999999993</v>
      </c>
      <c r="J324" s="676">
        <f t="shared" si="53"/>
        <v>63.999999999999986</v>
      </c>
      <c r="K324" s="676">
        <f t="shared" si="62"/>
        <v>0</v>
      </c>
      <c r="L324" s="1044">
        <f t="shared" si="54"/>
        <v>95.999999999999972</v>
      </c>
      <c r="M324" s="145" t="str">
        <f t="shared" si="55"/>
        <v/>
      </c>
      <c r="N324" s="684">
        <f t="shared" si="56"/>
        <v>46066</v>
      </c>
    </row>
    <row r="325" spans="1:14" ht="15" customHeight="1">
      <c r="A325" s="658">
        <v>46066</v>
      </c>
      <c r="B325" s="658" t="str">
        <f t="shared" ref="B325:B388" si="63">IF(A325="","",PROPER(TEXT(A325,"ddd")))</f>
        <v>Vie</v>
      </c>
      <c r="C325" s="674" t="s">
        <v>146</v>
      </c>
      <c r="D325" s="885" t="s">
        <v>532</v>
      </c>
      <c r="E325" s="687">
        <v>0.33333333333333331</v>
      </c>
      <c r="F325" s="687">
        <v>0.66666666666666663</v>
      </c>
      <c r="G325" s="688">
        <f t="shared" ref="G325:G388" si="64">IF(F325&lt;E325,F325+1-E325,F325-E325)*24</f>
        <v>8</v>
      </c>
      <c r="H325" s="676">
        <f>IF(D325="","",IFERROR(VLOOKUP(D325,'Resumen Empleado'!$A$4:$B$17,2,FALSE),""))</f>
        <v>5.17</v>
      </c>
      <c r="I325" s="676">
        <f t="shared" ref="I325:I388" si="65">IF(OR(E325="",F325="",H325=""),0,MAX(0,(MIN(IF(F325&lt;E325,F325+1,F325),TIME(12,0,0))-MAX(E325,TIME(5,0,0))))*24*H325)</f>
        <v>20.68</v>
      </c>
      <c r="J325" s="676">
        <f t="shared" ref="J325:J388" si="66">IF(OR(E325="",F325="",H325=""),0,MAX(0,(MIN(IF(F325&lt;E325,F325+1,F325),TIME(19,0,0))-MAX(E325,TIME(12,0,0))))*24*H325)</f>
        <v>20.679999999999996</v>
      </c>
      <c r="K325" s="676">
        <f t="shared" si="62"/>
        <v>0</v>
      </c>
      <c r="L325" s="1044">
        <f t="shared" ref="L325:L388" si="67">SUM(I325:K325)</f>
        <v>41.36</v>
      </c>
      <c r="M325" s="145" t="str">
        <f t="shared" ref="M325:M388" si="68">IF(A325="","",IF(G325&gt;12,"⚠ Verificar",""))</f>
        <v/>
      </c>
      <c r="N325" s="684">
        <f t="shared" ref="N325:N388" si="69">IF(A325="","",IF(ISNUMBER(A325),A325,DATE(VALUE(RIGHT(A325,4)),VALUE(MID(A325,4,2)),VALUE(LEFT(A325,2)))))</f>
        <v>46066</v>
      </c>
    </row>
    <row r="326" spans="1:14" ht="15" customHeight="1">
      <c r="A326" s="658">
        <v>46066</v>
      </c>
      <c r="B326" s="658" t="str">
        <f t="shared" si="63"/>
        <v>Vie</v>
      </c>
      <c r="C326" s="674" t="s">
        <v>146</v>
      </c>
      <c r="D326" s="885" t="s">
        <v>523</v>
      </c>
      <c r="E326" s="687">
        <v>0.26041666666666669</v>
      </c>
      <c r="F326" s="687">
        <v>0.41666666666666669</v>
      </c>
      <c r="G326" s="688">
        <f t="shared" si="64"/>
        <v>3.75</v>
      </c>
      <c r="H326" s="676">
        <f>IF(D326="","",IFERROR(VLOOKUP(D326,'Resumen Empleado'!$A$4:$B$17,2,FALSE),""))</f>
        <v>6.39</v>
      </c>
      <c r="I326" s="676">
        <f t="shared" si="65"/>
        <v>23.962499999999999</v>
      </c>
      <c r="J326" s="676">
        <f t="shared" si="66"/>
        <v>0</v>
      </c>
      <c r="K326" s="676">
        <f t="shared" si="62"/>
        <v>0</v>
      </c>
      <c r="L326" s="1044">
        <f t="shared" si="67"/>
        <v>23.962499999999999</v>
      </c>
      <c r="M326" s="145" t="str">
        <f t="shared" si="68"/>
        <v/>
      </c>
      <c r="N326" s="684">
        <f t="shared" si="69"/>
        <v>46066</v>
      </c>
    </row>
    <row r="327" spans="1:14" ht="15" customHeight="1">
      <c r="A327" s="658">
        <v>46066</v>
      </c>
      <c r="B327" s="658" t="str">
        <f t="shared" si="63"/>
        <v>Vie</v>
      </c>
      <c r="C327" s="674" t="s">
        <v>146</v>
      </c>
      <c r="D327" s="885" t="s">
        <v>525</v>
      </c>
      <c r="E327" s="687">
        <v>0.54166666666666663</v>
      </c>
      <c r="F327" s="687">
        <v>0.66666666666666663</v>
      </c>
      <c r="G327" s="688">
        <f t="shared" si="64"/>
        <v>3</v>
      </c>
      <c r="H327" s="676">
        <f>IF(D327="","",IFERROR(VLOOKUP(D327,'Resumen Empleado'!$A$4:$B$17,2,FALSE),""))</f>
        <v>7.25</v>
      </c>
      <c r="I327" s="676">
        <f t="shared" si="65"/>
        <v>0</v>
      </c>
      <c r="J327" s="676">
        <f t="shared" si="66"/>
        <v>21.75</v>
      </c>
      <c r="K327" s="676">
        <f t="shared" si="62"/>
        <v>0</v>
      </c>
      <c r="L327" s="1044">
        <f t="shared" si="67"/>
        <v>21.75</v>
      </c>
      <c r="M327" s="145" t="str">
        <f t="shared" si="68"/>
        <v/>
      </c>
      <c r="N327" s="684">
        <f t="shared" si="69"/>
        <v>46066</v>
      </c>
    </row>
    <row r="328" spans="1:14" ht="15" customHeight="1">
      <c r="A328" s="658">
        <v>46066</v>
      </c>
      <c r="B328" s="658" t="str">
        <f t="shared" si="63"/>
        <v>Vie</v>
      </c>
      <c r="C328" s="674" t="s">
        <v>497</v>
      </c>
      <c r="D328" s="897" t="s">
        <v>525</v>
      </c>
      <c r="E328" s="687">
        <v>0.79166666666666663</v>
      </c>
      <c r="F328" s="687">
        <v>0</v>
      </c>
      <c r="G328" s="688">
        <f t="shared" si="64"/>
        <v>5.0000000000000009</v>
      </c>
      <c r="H328" s="676">
        <f>IF(D328="","",IFERROR(VLOOKUP(D328,'Resumen Empleado'!$A$4:$B$17,2,FALSE),""))</f>
        <v>7.25</v>
      </c>
      <c r="I328" s="676">
        <f t="shared" si="65"/>
        <v>0</v>
      </c>
      <c r="J328" s="676">
        <f t="shared" si="66"/>
        <v>0</v>
      </c>
      <c r="K328" s="676">
        <f t="shared" si="62"/>
        <v>36.250000000000007</v>
      </c>
      <c r="L328" s="1044">
        <f t="shared" si="67"/>
        <v>36.250000000000007</v>
      </c>
      <c r="M328" s="145" t="str">
        <f t="shared" si="68"/>
        <v/>
      </c>
      <c r="N328" s="684">
        <f t="shared" si="69"/>
        <v>46066</v>
      </c>
    </row>
    <row r="329" spans="1:14" ht="15" customHeight="1">
      <c r="A329" s="658">
        <v>46066</v>
      </c>
      <c r="B329" s="658" t="str">
        <f t="shared" si="63"/>
        <v>Vie</v>
      </c>
      <c r="C329" s="674" t="s">
        <v>497</v>
      </c>
      <c r="D329" s="885" t="s">
        <v>523</v>
      </c>
      <c r="E329" s="687">
        <v>0.79166666666666663</v>
      </c>
      <c r="F329" s="687">
        <v>0</v>
      </c>
      <c r="G329" s="688">
        <f t="shared" si="64"/>
        <v>5.0000000000000009</v>
      </c>
      <c r="H329" s="676">
        <f>IF(D329="","",IFERROR(VLOOKUP(D329,'Resumen Empleado'!$A$4:$B$17,2,FALSE),""))</f>
        <v>6.39</v>
      </c>
      <c r="I329" s="676">
        <f t="shared" si="65"/>
        <v>0</v>
      </c>
      <c r="J329" s="676">
        <f t="shared" si="66"/>
        <v>0</v>
      </c>
      <c r="K329" s="676">
        <f t="shared" si="62"/>
        <v>31.950000000000003</v>
      </c>
      <c r="L329" s="1044">
        <f t="shared" si="67"/>
        <v>31.950000000000003</v>
      </c>
      <c r="M329" s="145" t="str">
        <f t="shared" si="68"/>
        <v/>
      </c>
      <c r="N329" s="684">
        <f t="shared" si="69"/>
        <v>46066</v>
      </c>
    </row>
    <row r="330" spans="1:14" ht="15" customHeight="1">
      <c r="A330" s="658">
        <v>46066</v>
      </c>
      <c r="B330" s="658" t="str">
        <f t="shared" si="63"/>
        <v>Vie</v>
      </c>
      <c r="C330" s="674" t="s">
        <v>497</v>
      </c>
      <c r="D330" s="885" t="s">
        <v>532</v>
      </c>
      <c r="E330" s="687">
        <v>0.83333333333333337</v>
      </c>
      <c r="F330" s="687">
        <v>0</v>
      </c>
      <c r="G330" s="688">
        <f t="shared" si="64"/>
        <v>3.9999999999999991</v>
      </c>
      <c r="H330" s="676">
        <f>IF(D330="","",IFERROR(VLOOKUP(D330,'Resumen Empleado'!$A$4:$B$17,2,FALSE),""))</f>
        <v>5.17</v>
      </c>
      <c r="I330" s="676">
        <f t="shared" si="65"/>
        <v>0</v>
      </c>
      <c r="J330" s="676">
        <f t="shared" si="66"/>
        <v>0</v>
      </c>
      <c r="K330" s="676">
        <f t="shared" si="62"/>
        <v>20.679999999999996</v>
      </c>
      <c r="L330" s="1044">
        <f t="shared" si="67"/>
        <v>20.679999999999996</v>
      </c>
      <c r="M330" s="145" t="str">
        <f t="shared" si="68"/>
        <v/>
      </c>
      <c r="N330" s="684">
        <f t="shared" si="69"/>
        <v>46066</v>
      </c>
    </row>
    <row r="331" spans="1:14" ht="15" customHeight="1">
      <c r="A331" s="658">
        <v>46066</v>
      </c>
      <c r="B331" s="658" t="str">
        <f t="shared" si="63"/>
        <v>Vie</v>
      </c>
      <c r="C331" s="674" t="s">
        <v>497</v>
      </c>
      <c r="D331" s="885" t="s">
        <v>526</v>
      </c>
      <c r="E331" s="687">
        <v>0.83333333333333337</v>
      </c>
      <c r="F331" s="687">
        <v>0</v>
      </c>
      <c r="G331" s="688">
        <f t="shared" si="64"/>
        <v>3.9999999999999991</v>
      </c>
      <c r="H331" s="676">
        <f>IF(D331="","",IFERROR(VLOOKUP(D331,'Resumen Empleado'!$A$4:$B$17,2,FALSE),""))</f>
        <v>16</v>
      </c>
      <c r="I331" s="676">
        <f t="shared" si="65"/>
        <v>0</v>
      </c>
      <c r="J331" s="676">
        <f t="shared" si="66"/>
        <v>0</v>
      </c>
      <c r="K331" s="676">
        <f t="shared" si="62"/>
        <v>63.999999999999986</v>
      </c>
      <c r="L331" s="1044">
        <f t="shared" si="67"/>
        <v>63.999999999999986</v>
      </c>
      <c r="M331" s="145" t="str">
        <f t="shared" si="68"/>
        <v/>
      </c>
      <c r="N331" s="684">
        <f t="shared" si="69"/>
        <v>46066</v>
      </c>
    </row>
    <row r="332" spans="1:14" ht="15" customHeight="1">
      <c r="A332" s="658">
        <v>46066</v>
      </c>
      <c r="B332" s="658" t="str">
        <f t="shared" si="63"/>
        <v>Vie</v>
      </c>
      <c r="C332" s="674" t="s">
        <v>497</v>
      </c>
      <c r="D332" s="897" t="s">
        <v>533</v>
      </c>
      <c r="E332" s="687">
        <v>0.79166666666666663</v>
      </c>
      <c r="F332" s="687">
        <v>0.83333333333333337</v>
      </c>
      <c r="G332" s="688">
        <f t="shared" si="64"/>
        <v>1.0000000000000018</v>
      </c>
      <c r="H332" s="676">
        <f>IF(D332="","",IFERROR(VLOOKUP(D332,'Resumen Empleado'!$A$4:$B$17,2,FALSE),""))</f>
        <v>6</v>
      </c>
      <c r="I332" s="676">
        <f t="shared" si="65"/>
        <v>0</v>
      </c>
      <c r="J332" s="676">
        <f t="shared" si="66"/>
        <v>0</v>
      </c>
      <c r="K332" s="676">
        <f t="shared" si="62"/>
        <v>6.0000000000000107</v>
      </c>
      <c r="L332" s="1044">
        <f t="shared" si="67"/>
        <v>6.0000000000000107</v>
      </c>
      <c r="M332" s="145" t="str">
        <f t="shared" si="68"/>
        <v/>
      </c>
      <c r="N332" s="684">
        <f t="shared" si="69"/>
        <v>46066</v>
      </c>
    </row>
    <row r="333" spans="1:14" ht="15" customHeight="1">
      <c r="A333" s="658">
        <v>46066</v>
      </c>
      <c r="B333" s="658" t="str">
        <f t="shared" si="63"/>
        <v>Vie</v>
      </c>
      <c r="C333" s="674" t="s">
        <v>497</v>
      </c>
      <c r="D333" s="885" t="s">
        <v>522</v>
      </c>
      <c r="E333" s="687">
        <v>0.79166666666666663</v>
      </c>
      <c r="F333" s="687">
        <v>0.91666666666666663</v>
      </c>
      <c r="G333" s="688">
        <f t="shared" si="64"/>
        <v>3</v>
      </c>
      <c r="H333" s="676">
        <f>IF(D333="","",IFERROR(VLOOKUP(D333,'Resumen Empleado'!$A$4:$B$17,2,FALSE),""))</f>
        <v>10</v>
      </c>
      <c r="I333" s="676">
        <f t="shared" si="65"/>
        <v>0</v>
      </c>
      <c r="J333" s="676">
        <f t="shared" si="66"/>
        <v>0</v>
      </c>
      <c r="K333" s="676">
        <f t="shared" si="62"/>
        <v>30</v>
      </c>
      <c r="L333" s="1044">
        <f t="shared" si="67"/>
        <v>30</v>
      </c>
      <c r="M333" s="145" t="str">
        <f t="shared" si="68"/>
        <v/>
      </c>
      <c r="N333" s="684">
        <f t="shared" si="69"/>
        <v>46066</v>
      </c>
    </row>
    <row r="334" spans="1:14" ht="15" customHeight="1">
      <c r="A334" s="658">
        <v>46066</v>
      </c>
      <c r="B334" s="658" t="str">
        <f t="shared" si="63"/>
        <v>Vie</v>
      </c>
      <c r="C334" s="674" t="s">
        <v>497</v>
      </c>
      <c r="D334" s="885" t="s">
        <v>527</v>
      </c>
      <c r="E334" s="687">
        <v>0.8125</v>
      </c>
      <c r="F334" s="687">
        <v>0.89583333333333337</v>
      </c>
      <c r="G334" s="688">
        <f t="shared" si="64"/>
        <v>2.0000000000000009</v>
      </c>
      <c r="H334" s="676" t="str">
        <f>IF(D334="","",IFERROR(VLOOKUP(D334,'Resumen Empleado'!$A$4:$B$17,2,FALSE),""))</f>
        <v/>
      </c>
      <c r="I334" s="676">
        <f t="shared" si="65"/>
        <v>0</v>
      </c>
      <c r="J334" s="676">
        <f t="shared" si="66"/>
        <v>0</v>
      </c>
      <c r="K334" s="676">
        <f t="shared" si="62"/>
        <v>0</v>
      </c>
      <c r="L334" s="1044">
        <f t="shared" si="67"/>
        <v>0</v>
      </c>
      <c r="M334" s="145" t="str">
        <f t="shared" si="68"/>
        <v/>
      </c>
      <c r="N334" s="684">
        <f t="shared" si="69"/>
        <v>46066</v>
      </c>
    </row>
    <row r="335" spans="1:14" ht="15" customHeight="1">
      <c r="A335" s="658">
        <v>46066</v>
      </c>
      <c r="B335" s="658" t="str">
        <f t="shared" si="63"/>
        <v>Vie</v>
      </c>
      <c r="C335" s="674" t="s">
        <v>146</v>
      </c>
      <c r="D335" s="885" t="s">
        <v>528</v>
      </c>
      <c r="E335" s="687">
        <v>0.33333333333333331</v>
      </c>
      <c r="F335" s="687">
        <v>0.66666666666666663</v>
      </c>
      <c r="G335" s="688">
        <f t="shared" si="64"/>
        <v>8</v>
      </c>
      <c r="H335" s="676">
        <f>IF(D335="","",IFERROR(VLOOKUP(D335,'Resumen Empleado'!$A$4:$B$17,2,FALSE),""))</f>
        <v>11</v>
      </c>
      <c r="I335" s="676">
        <f t="shared" si="65"/>
        <v>44</v>
      </c>
      <c r="J335" s="676">
        <f t="shared" si="66"/>
        <v>43.999999999999993</v>
      </c>
      <c r="K335" s="676">
        <f>IF(OR(E335="",F335="",H335=""),0,MAX(0,(MIN(IF(F335&lt;E335,1+F335,F335),1+TIME(5,0,0))-MAX(E335,TIME(19,0,0))))*24*H335)</f>
        <v>0</v>
      </c>
      <c r="L335" s="1044">
        <f t="shared" si="67"/>
        <v>88</v>
      </c>
      <c r="M335" s="145" t="str">
        <f t="shared" si="68"/>
        <v/>
      </c>
      <c r="N335" s="684">
        <f t="shared" si="69"/>
        <v>46066</v>
      </c>
    </row>
    <row r="336" spans="1:14" ht="15" customHeight="1">
      <c r="A336" s="658">
        <v>46067</v>
      </c>
      <c r="B336" s="658" t="str">
        <f t="shared" si="63"/>
        <v>Sáb</v>
      </c>
      <c r="C336" s="674" t="s">
        <v>146</v>
      </c>
      <c r="D336" s="885" t="s">
        <v>523</v>
      </c>
      <c r="E336" s="687">
        <v>0.30208333333333331</v>
      </c>
      <c r="F336" s="687">
        <v>0.69791666666666663</v>
      </c>
      <c r="G336" s="688">
        <f t="shared" si="64"/>
        <v>9.5</v>
      </c>
      <c r="H336" s="676">
        <f>IF(D336="","",IFERROR(VLOOKUP(D336,'Resumen Empleado'!$A$4:$B$17,2,FALSE),""))</f>
        <v>6.39</v>
      </c>
      <c r="I336" s="676">
        <f t="shared" si="65"/>
        <v>30.352499999999999</v>
      </c>
      <c r="J336" s="676">
        <f t="shared" si="66"/>
        <v>30.352499999999992</v>
      </c>
      <c r="K336" s="676">
        <f t="shared" ref="K336:K353" si="70">IF(OR(E336="",F336="",H336=""),0,MAX(0,(MIN(IF(F336&lt;E336,F336+1,F336),1+TIME(5,0,0))-MAX(E336,TIME(19,0,0))))*24*H336)</f>
        <v>0</v>
      </c>
      <c r="L336" s="1044">
        <f t="shared" si="67"/>
        <v>60.704999999999991</v>
      </c>
      <c r="M336" s="145" t="str">
        <f t="shared" si="68"/>
        <v/>
      </c>
      <c r="N336" s="684">
        <f t="shared" si="69"/>
        <v>46067</v>
      </c>
    </row>
    <row r="337" spans="1:14" ht="15" customHeight="1">
      <c r="A337" s="658">
        <v>46067</v>
      </c>
      <c r="B337" s="658" t="str">
        <f t="shared" si="63"/>
        <v>Sáb</v>
      </c>
      <c r="C337" s="674" t="s">
        <v>146</v>
      </c>
      <c r="D337" s="885" t="s">
        <v>522</v>
      </c>
      <c r="E337" s="687">
        <v>0.33333333333333331</v>
      </c>
      <c r="F337" s="687">
        <v>0.70833333333333337</v>
      </c>
      <c r="G337" s="688">
        <f t="shared" si="64"/>
        <v>9.0000000000000018</v>
      </c>
      <c r="H337" s="676">
        <f>IF(D337="","",IFERROR(VLOOKUP(D337,'Resumen Empleado'!$A$4:$B$17,2,FALSE),""))</f>
        <v>10</v>
      </c>
      <c r="I337" s="676">
        <f t="shared" si="65"/>
        <v>40</v>
      </c>
      <c r="J337" s="676">
        <f t="shared" si="66"/>
        <v>50.000000000000007</v>
      </c>
      <c r="K337" s="676">
        <f t="shared" si="70"/>
        <v>0</v>
      </c>
      <c r="L337" s="1044">
        <f t="shared" si="67"/>
        <v>90</v>
      </c>
      <c r="M337" s="145" t="str">
        <f t="shared" si="68"/>
        <v/>
      </c>
      <c r="N337" s="684">
        <f t="shared" si="69"/>
        <v>46067</v>
      </c>
    </row>
    <row r="338" spans="1:14" ht="15" customHeight="1">
      <c r="A338" s="658">
        <v>46067</v>
      </c>
      <c r="B338" s="658" t="str">
        <f t="shared" si="63"/>
        <v>Sáb</v>
      </c>
      <c r="C338" s="674" t="s">
        <v>146</v>
      </c>
      <c r="D338" s="897" t="s">
        <v>526</v>
      </c>
      <c r="E338" s="687">
        <v>0.39583333333333331</v>
      </c>
      <c r="F338" s="687">
        <v>0.70833333333333337</v>
      </c>
      <c r="G338" s="688">
        <f t="shared" si="64"/>
        <v>7.5000000000000018</v>
      </c>
      <c r="H338" s="676">
        <f>IF(D338="","",IFERROR(VLOOKUP(D338,'Resumen Empleado'!$A$4:$B$17,2,FALSE),""))</f>
        <v>16</v>
      </c>
      <c r="I338" s="676">
        <f t="shared" si="65"/>
        <v>40.000000000000007</v>
      </c>
      <c r="J338" s="676">
        <f t="shared" si="66"/>
        <v>80.000000000000014</v>
      </c>
      <c r="K338" s="676">
        <f t="shared" si="70"/>
        <v>0</v>
      </c>
      <c r="L338" s="1044">
        <f t="shared" si="67"/>
        <v>120.00000000000003</v>
      </c>
      <c r="M338" s="145" t="str">
        <f t="shared" si="68"/>
        <v/>
      </c>
      <c r="N338" s="684">
        <f t="shared" si="69"/>
        <v>46067</v>
      </c>
    </row>
    <row r="339" spans="1:14" ht="15" customHeight="1">
      <c r="A339" s="658">
        <v>46067</v>
      </c>
      <c r="B339" s="658" t="str">
        <f t="shared" si="63"/>
        <v>Sáb</v>
      </c>
      <c r="C339" s="674" t="s">
        <v>146</v>
      </c>
      <c r="D339" s="885" t="s">
        <v>525</v>
      </c>
      <c r="E339" s="687">
        <v>0.375</v>
      </c>
      <c r="F339" s="687">
        <v>0.69791666666666663</v>
      </c>
      <c r="G339" s="688">
        <f t="shared" si="64"/>
        <v>7.7499999999999991</v>
      </c>
      <c r="H339" s="676">
        <f>IF(D339="","",IFERROR(VLOOKUP(D339,'Resumen Empleado'!$A$4:$B$17,2,FALSE),""))</f>
        <v>7.25</v>
      </c>
      <c r="I339" s="676">
        <f t="shared" si="65"/>
        <v>21.75</v>
      </c>
      <c r="J339" s="676">
        <f t="shared" si="66"/>
        <v>34.437499999999993</v>
      </c>
      <c r="K339" s="676">
        <f t="shared" si="70"/>
        <v>0</v>
      </c>
      <c r="L339" s="1044">
        <f t="shared" si="67"/>
        <v>56.187499999999993</v>
      </c>
      <c r="M339" s="145" t="str">
        <f t="shared" si="68"/>
        <v/>
      </c>
      <c r="N339" s="684">
        <f t="shared" si="69"/>
        <v>46067</v>
      </c>
    </row>
    <row r="340" spans="1:14" ht="15" customHeight="1">
      <c r="A340" s="658">
        <v>46067</v>
      </c>
      <c r="B340" s="658" t="str">
        <f t="shared" si="63"/>
        <v>Sáb</v>
      </c>
      <c r="C340" s="674" t="s">
        <v>146</v>
      </c>
      <c r="D340" s="885" t="s">
        <v>532</v>
      </c>
      <c r="E340" s="687">
        <v>0.5</v>
      </c>
      <c r="F340" s="687">
        <v>0.69791666666666663</v>
      </c>
      <c r="G340" s="688">
        <f t="shared" si="64"/>
        <v>4.7499999999999991</v>
      </c>
      <c r="H340" s="676">
        <f>IF(D340="","",IFERROR(VLOOKUP(D340,'Resumen Empleado'!$A$4:$B$17,2,FALSE),""))</f>
        <v>5.17</v>
      </c>
      <c r="I340" s="676">
        <f t="shared" si="65"/>
        <v>0</v>
      </c>
      <c r="J340" s="676">
        <f t="shared" si="66"/>
        <v>24.557499999999994</v>
      </c>
      <c r="K340" s="676">
        <f t="shared" si="70"/>
        <v>0</v>
      </c>
      <c r="L340" s="1044">
        <f t="shared" si="67"/>
        <v>24.557499999999994</v>
      </c>
      <c r="M340" s="145" t="str">
        <f t="shared" si="68"/>
        <v/>
      </c>
      <c r="N340" s="684">
        <f t="shared" si="69"/>
        <v>46067</v>
      </c>
    </row>
    <row r="341" spans="1:14" ht="15" customHeight="1">
      <c r="A341" s="658">
        <v>46067</v>
      </c>
      <c r="B341" s="658" t="str">
        <f t="shared" si="63"/>
        <v>Sáb</v>
      </c>
      <c r="C341" s="674" t="s">
        <v>146</v>
      </c>
      <c r="D341" s="885" t="s">
        <v>525</v>
      </c>
      <c r="E341" s="687">
        <v>0.58333333333333337</v>
      </c>
      <c r="F341" s="687">
        <v>0.66666666666666663</v>
      </c>
      <c r="G341" s="688">
        <f t="shared" si="64"/>
        <v>1.9999999999999982</v>
      </c>
      <c r="H341" s="676">
        <f>IF(D341="","",IFERROR(VLOOKUP(D341,'Resumen Empleado'!$A$4:$B$17,2,FALSE),""))</f>
        <v>7.25</v>
      </c>
      <c r="I341" s="676">
        <f t="shared" si="65"/>
        <v>0</v>
      </c>
      <c r="J341" s="676">
        <f t="shared" si="66"/>
        <v>14.499999999999988</v>
      </c>
      <c r="K341" s="676">
        <f t="shared" si="70"/>
        <v>0</v>
      </c>
      <c r="L341" s="1044">
        <f t="shared" si="67"/>
        <v>14.499999999999988</v>
      </c>
      <c r="M341" s="145" t="str">
        <f t="shared" si="68"/>
        <v/>
      </c>
      <c r="N341" s="684">
        <f t="shared" si="69"/>
        <v>46067</v>
      </c>
    </row>
    <row r="342" spans="1:14" ht="15" customHeight="1">
      <c r="A342" s="658">
        <v>46067</v>
      </c>
      <c r="B342" s="658" t="str">
        <f t="shared" si="63"/>
        <v>Sáb</v>
      </c>
      <c r="C342" s="674" t="s">
        <v>497</v>
      </c>
      <c r="D342" s="885" t="s">
        <v>531</v>
      </c>
      <c r="E342" s="687">
        <v>0.84375</v>
      </c>
      <c r="F342" s="687">
        <v>1.041666666666667E-2</v>
      </c>
      <c r="G342" s="688">
        <f t="shared" si="64"/>
        <v>4.0000000000000018</v>
      </c>
      <c r="H342" s="676">
        <f>IF(D342="","",IFERROR(VLOOKUP(D342,'Resumen Empleado'!$A$4:$B$17,2,FALSE),""))</f>
        <v>8</v>
      </c>
      <c r="I342" s="676">
        <f t="shared" si="65"/>
        <v>0</v>
      </c>
      <c r="J342" s="676">
        <f t="shared" si="66"/>
        <v>0</v>
      </c>
      <c r="K342" s="676">
        <f t="shared" si="70"/>
        <v>32.000000000000014</v>
      </c>
      <c r="L342" s="1044">
        <f t="shared" si="67"/>
        <v>32.000000000000014</v>
      </c>
      <c r="M342" s="145" t="str">
        <f t="shared" si="68"/>
        <v/>
      </c>
      <c r="N342" s="684">
        <f t="shared" si="69"/>
        <v>46067</v>
      </c>
    </row>
    <row r="343" spans="1:14" ht="15" customHeight="1">
      <c r="A343" s="658">
        <v>46067</v>
      </c>
      <c r="B343" s="658" t="str">
        <f t="shared" si="63"/>
        <v>Sáb</v>
      </c>
      <c r="C343" s="674" t="s">
        <v>497</v>
      </c>
      <c r="D343" s="897" t="s">
        <v>522</v>
      </c>
      <c r="E343" s="687">
        <v>0.79166666666666663</v>
      </c>
      <c r="F343" s="687">
        <v>0.96875</v>
      </c>
      <c r="G343" s="688">
        <f t="shared" si="64"/>
        <v>4.2500000000000009</v>
      </c>
      <c r="H343" s="676">
        <f>IF(D343="","",IFERROR(VLOOKUP(D343,'Resumen Empleado'!$A$4:$B$17,2,FALSE),""))</f>
        <v>10</v>
      </c>
      <c r="I343" s="676">
        <f t="shared" si="65"/>
        <v>0</v>
      </c>
      <c r="J343" s="676">
        <f t="shared" si="66"/>
        <v>0</v>
      </c>
      <c r="K343" s="676">
        <f t="shared" si="70"/>
        <v>42.500000000000007</v>
      </c>
      <c r="L343" s="1044">
        <f t="shared" si="67"/>
        <v>42.500000000000007</v>
      </c>
      <c r="M343" s="145" t="str">
        <f t="shared" si="68"/>
        <v/>
      </c>
      <c r="N343" s="684">
        <f t="shared" si="69"/>
        <v>46067</v>
      </c>
    </row>
    <row r="344" spans="1:14" ht="15" customHeight="1">
      <c r="A344" s="658">
        <v>46067</v>
      </c>
      <c r="B344" s="658" t="str">
        <f t="shared" si="63"/>
        <v>Sáb</v>
      </c>
      <c r="C344" s="674" t="s">
        <v>497</v>
      </c>
      <c r="D344" s="885" t="s">
        <v>526</v>
      </c>
      <c r="E344" s="687">
        <v>0.79166666666666663</v>
      </c>
      <c r="F344" s="687">
        <v>0</v>
      </c>
      <c r="G344" s="688">
        <f t="shared" si="64"/>
        <v>5.0000000000000009</v>
      </c>
      <c r="H344" s="676">
        <f>IF(D344="","",IFERROR(VLOOKUP(D344,'Resumen Empleado'!$A$4:$B$17,2,FALSE),""))</f>
        <v>16</v>
      </c>
      <c r="I344" s="676">
        <f t="shared" si="65"/>
        <v>0</v>
      </c>
      <c r="J344" s="676">
        <f t="shared" si="66"/>
        <v>0</v>
      </c>
      <c r="K344" s="676">
        <f t="shared" si="70"/>
        <v>80.000000000000014</v>
      </c>
      <c r="L344" s="1044">
        <f t="shared" si="67"/>
        <v>80.000000000000014</v>
      </c>
      <c r="M344" s="145" t="str">
        <f t="shared" si="68"/>
        <v/>
      </c>
      <c r="N344" s="684">
        <f t="shared" si="69"/>
        <v>46067</v>
      </c>
    </row>
    <row r="345" spans="1:14" ht="15" customHeight="1">
      <c r="A345" s="658">
        <v>46067</v>
      </c>
      <c r="B345" s="658" t="str">
        <f t="shared" si="63"/>
        <v>Sáb</v>
      </c>
      <c r="C345" s="674" t="s">
        <v>497</v>
      </c>
      <c r="D345" s="885" t="s">
        <v>523</v>
      </c>
      <c r="E345" s="687">
        <v>0.8125</v>
      </c>
      <c r="F345" s="687">
        <v>0</v>
      </c>
      <c r="G345" s="688">
        <f t="shared" si="64"/>
        <v>4.5</v>
      </c>
      <c r="H345" s="676">
        <f>IF(D345="","",IFERROR(VLOOKUP(D345,'Resumen Empleado'!$A$4:$B$17,2,FALSE),""))</f>
        <v>6.39</v>
      </c>
      <c r="I345" s="676">
        <f t="shared" si="65"/>
        <v>0</v>
      </c>
      <c r="J345" s="676">
        <f t="shared" si="66"/>
        <v>0</v>
      </c>
      <c r="K345" s="676">
        <f t="shared" si="70"/>
        <v>28.754999999999999</v>
      </c>
      <c r="L345" s="1044">
        <f t="shared" si="67"/>
        <v>28.754999999999999</v>
      </c>
      <c r="M345" s="145" t="str">
        <f t="shared" si="68"/>
        <v/>
      </c>
      <c r="N345" s="684">
        <f t="shared" si="69"/>
        <v>46067</v>
      </c>
    </row>
    <row r="346" spans="1:14" ht="15" customHeight="1">
      <c r="A346" s="658">
        <v>46067</v>
      </c>
      <c r="B346" s="658" t="str">
        <f t="shared" si="63"/>
        <v>Sáb</v>
      </c>
      <c r="C346" s="674" t="s">
        <v>497</v>
      </c>
      <c r="D346" s="885" t="s">
        <v>532</v>
      </c>
      <c r="E346" s="687">
        <v>0.8125</v>
      </c>
      <c r="F346" s="687">
        <v>0</v>
      </c>
      <c r="G346" s="688">
        <f t="shared" si="64"/>
        <v>4.5</v>
      </c>
      <c r="H346" s="676">
        <f>IF(D346="","",IFERROR(VLOOKUP(D346,'Resumen Empleado'!$A$4:$B$17,2,FALSE),""))</f>
        <v>5.17</v>
      </c>
      <c r="I346" s="676">
        <f t="shared" si="65"/>
        <v>0</v>
      </c>
      <c r="J346" s="676">
        <f t="shared" si="66"/>
        <v>0</v>
      </c>
      <c r="K346" s="676">
        <f t="shared" si="70"/>
        <v>23.265000000000001</v>
      </c>
      <c r="L346" s="1044">
        <f t="shared" si="67"/>
        <v>23.265000000000001</v>
      </c>
      <c r="M346" s="145" t="str">
        <f t="shared" si="68"/>
        <v/>
      </c>
      <c r="N346" s="684">
        <f t="shared" si="69"/>
        <v>46067</v>
      </c>
    </row>
    <row r="347" spans="1:14" ht="15" customHeight="1">
      <c r="A347" s="658">
        <v>46067</v>
      </c>
      <c r="B347" s="658" t="str">
        <f t="shared" si="63"/>
        <v>Sáb</v>
      </c>
      <c r="C347" s="674" t="s">
        <v>497</v>
      </c>
      <c r="D347" s="885" t="s">
        <v>528</v>
      </c>
      <c r="E347" s="687">
        <v>0.875</v>
      </c>
      <c r="F347" s="687">
        <v>0.95833333333333337</v>
      </c>
      <c r="G347" s="688">
        <f t="shared" si="64"/>
        <v>2.0000000000000009</v>
      </c>
      <c r="H347" s="676">
        <f>IF(D347="","",IFERROR(VLOOKUP(D347,'Resumen Empleado'!$A$4:$B$17,2,FALSE),""))</f>
        <v>11</v>
      </c>
      <c r="I347" s="676">
        <f t="shared" si="65"/>
        <v>0</v>
      </c>
      <c r="J347" s="676">
        <f t="shared" si="66"/>
        <v>0</v>
      </c>
      <c r="K347" s="676">
        <f t="shared" si="70"/>
        <v>22.000000000000011</v>
      </c>
      <c r="L347" s="1044">
        <f t="shared" si="67"/>
        <v>22.000000000000011</v>
      </c>
      <c r="M347" s="145" t="str">
        <f t="shared" si="68"/>
        <v/>
      </c>
      <c r="N347" s="684">
        <f t="shared" si="69"/>
        <v>46067</v>
      </c>
    </row>
    <row r="348" spans="1:14" ht="15" customHeight="1">
      <c r="A348" s="658">
        <v>46068</v>
      </c>
      <c r="B348" s="658" t="str">
        <f t="shared" si="63"/>
        <v>Dom</v>
      </c>
      <c r="C348" s="674" t="s">
        <v>146</v>
      </c>
      <c r="D348" s="885" t="s">
        <v>523</v>
      </c>
      <c r="E348" s="687">
        <v>0.35416666666666669</v>
      </c>
      <c r="F348" s="687">
        <v>0.72916666666666663</v>
      </c>
      <c r="G348" s="688">
        <f t="shared" si="64"/>
        <v>8.9999999999999982</v>
      </c>
      <c r="H348" s="676">
        <f>IF(D348="","",IFERROR(VLOOKUP(D348,'Resumen Empleado'!$A$4:$B$17,2,FALSE),""))</f>
        <v>6.39</v>
      </c>
      <c r="I348" s="676">
        <f t="shared" si="65"/>
        <v>22.364999999999995</v>
      </c>
      <c r="J348" s="676">
        <f t="shared" si="66"/>
        <v>35.144999999999996</v>
      </c>
      <c r="K348" s="676">
        <f t="shared" si="70"/>
        <v>0</v>
      </c>
      <c r="L348" s="1044">
        <f t="shared" si="67"/>
        <v>57.509999999999991</v>
      </c>
      <c r="M348" s="145" t="str">
        <f t="shared" si="68"/>
        <v/>
      </c>
      <c r="N348" s="684">
        <f t="shared" si="69"/>
        <v>46068</v>
      </c>
    </row>
    <row r="349" spans="1:14" ht="15" customHeight="1">
      <c r="A349" s="658">
        <v>46068</v>
      </c>
      <c r="B349" s="658" t="str">
        <f t="shared" si="63"/>
        <v>Dom</v>
      </c>
      <c r="C349" s="674" t="s">
        <v>146</v>
      </c>
      <c r="D349" s="885" t="s">
        <v>526</v>
      </c>
      <c r="E349" s="687">
        <v>0.4375</v>
      </c>
      <c r="F349" s="687">
        <v>0.72916666666666663</v>
      </c>
      <c r="G349" s="688">
        <f t="shared" si="64"/>
        <v>6.9999999999999991</v>
      </c>
      <c r="H349" s="676">
        <f>IF(D349="","",IFERROR(VLOOKUP(D349,'Resumen Empleado'!$A$4:$B$17,2,FALSE),""))</f>
        <v>16</v>
      </c>
      <c r="I349" s="676">
        <f t="shared" si="65"/>
        <v>24</v>
      </c>
      <c r="J349" s="676">
        <f t="shared" si="66"/>
        <v>87.999999999999986</v>
      </c>
      <c r="K349" s="676">
        <f t="shared" si="70"/>
        <v>0</v>
      </c>
      <c r="L349" s="1044">
        <f t="shared" si="67"/>
        <v>111.99999999999999</v>
      </c>
      <c r="M349" s="145" t="str">
        <f t="shared" si="68"/>
        <v/>
      </c>
      <c r="N349" s="684">
        <f t="shared" si="69"/>
        <v>46068</v>
      </c>
    </row>
    <row r="350" spans="1:14" ht="15" customHeight="1">
      <c r="A350" s="658">
        <v>46068</v>
      </c>
      <c r="B350" s="658" t="str">
        <f t="shared" si="63"/>
        <v>Dom</v>
      </c>
      <c r="C350" s="674" t="s">
        <v>146</v>
      </c>
      <c r="D350" s="897" t="s">
        <v>532</v>
      </c>
      <c r="E350" s="687">
        <v>0.30208333333333331</v>
      </c>
      <c r="F350" s="687">
        <v>0.72916666666666663</v>
      </c>
      <c r="G350" s="688">
        <f t="shared" si="64"/>
        <v>10.25</v>
      </c>
      <c r="H350" s="676">
        <f>IF(D350="","",IFERROR(VLOOKUP(D350,'Resumen Empleado'!$A$4:$B$17,2,FALSE),""))</f>
        <v>5.17</v>
      </c>
      <c r="I350" s="676">
        <f t="shared" si="65"/>
        <v>24.557500000000001</v>
      </c>
      <c r="J350" s="676">
        <f t="shared" si="66"/>
        <v>28.434999999999995</v>
      </c>
      <c r="K350" s="676">
        <f t="shared" si="70"/>
        <v>0</v>
      </c>
      <c r="L350" s="1044">
        <f t="shared" si="67"/>
        <v>52.992499999999993</v>
      </c>
      <c r="M350" s="145" t="str">
        <f t="shared" si="68"/>
        <v/>
      </c>
      <c r="N350" s="684">
        <f t="shared" si="69"/>
        <v>46068</v>
      </c>
    </row>
    <row r="351" spans="1:14" ht="15" customHeight="1">
      <c r="A351" s="658">
        <v>46068</v>
      </c>
      <c r="B351" s="658" t="str">
        <f t="shared" si="63"/>
        <v>Dom</v>
      </c>
      <c r="C351" s="674" t="s">
        <v>146</v>
      </c>
      <c r="D351" s="885" t="s">
        <v>522</v>
      </c>
      <c r="E351" s="687">
        <v>0.30208333333333331</v>
      </c>
      <c r="F351" s="687">
        <v>0.66666666666666663</v>
      </c>
      <c r="G351" s="688">
        <f t="shared" si="64"/>
        <v>8.75</v>
      </c>
      <c r="H351" s="676">
        <f>IF(D351="","",IFERROR(VLOOKUP(D351,'Resumen Empleado'!$A$4:$B$17,2,FALSE),""))</f>
        <v>10</v>
      </c>
      <c r="I351" s="676">
        <f t="shared" si="65"/>
        <v>47.5</v>
      </c>
      <c r="J351" s="676">
        <f t="shared" si="66"/>
        <v>39.999999999999993</v>
      </c>
      <c r="K351" s="676">
        <f t="shared" si="70"/>
        <v>0</v>
      </c>
      <c r="L351" s="1044">
        <f t="shared" si="67"/>
        <v>87.5</v>
      </c>
      <c r="M351" s="145" t="str">
        <f t="shared" si="68"/>
        <v/>
      </c>
      <c r="N351" s="684">
        <f t="shared" si="69"/>
        <v>46068</v>
      </c>
    </row>
    <row r="352" spans="1:14" ht="15" customHeight="1">
      <c r="A352" s="658">
        <v>46068</v>
      </c>
      <c r="B352" s="658" t="str">
        <f t="shared" si="63"/>
        <v>Dom</v>
      </c>
      <c r="C352" s="674" t="s">
        <v>146</v>
      </c>
      <c r="D352" s="885" t="s">
        <v>525</v>
      </c>
      <c r="E352" s="687">
        <v>0.375</v>
      </c>
      <c r="F352" s="687">
        <v>0.72916666666666663</v>
      </c>
      <c r="G352" s="688">
        <f t="shared" si="64"/>
        <v>8.5</v>
      </c>
      <c r="H352" s="676">
        <f>IF(D352="","",IFERROR(VLOOKUP(D352,'Resumen Empleado'!$A$4:$B$17,2,FALSE),""))</f>
        <v>7.25</v>
      </c>
      <c r="I352" s="676">
        <f t="shared" si="65"/>
        <v>21.75</v>
      </c>
      <c r="J352" s="676">
        <f t="shared" si="66"/>
        <v>39.874999999999993</v>
      </c>
      <c r="K352" s="676">
        <f t="shared" si="70"/>
        <v>0</v>
      </c>
      <c r="L352" s="1044">
        <f t="shared" si="67"/>
        <v>61.624999999999993</v>
      </c>
      <c r="M352" s="145" t="str">
        <f t="shared" si="68"/>
        <v/>
      </c>
      <c r="N352" s="684">
        <f t="shared" si="69"/>
        <v>46068</v>
      </c>
    </row>
    <row r="353" spans="1:14" ht="15" customHeight="1">
      <c r="A353" s="658">
        <v>46068</v>
      </c>
      <c r="B353" s="658" t="str">
        <f t="shared" si="63"/>
        <v>Dom</v>
      </c>
      <c r="C353" s="674" t="s">
        <v>146</v>
      </c>
      <c r="D353" s="885" t="s">
        <v>529</v>
      </c>
      <c r="E353" s="687">
        <v>0.52083333333333337</v>
      </c>
      <c r="F353" s="687">
        <v>0.72916666666666663</v>
      </c>
      <c r="G353" s="688">
        <f t="shared" si="64"/>
        <v>4.9999999999999982</v>
      </c>
      <c r="H353" s="676">
        <f>IF(D353="","",IFERROR(VLOOKUP(D353,'Resumen Empleado'!$A$4:$B$17,2,FALSE),""))</f>
        <v>8</v>
      </c>
      <c r="I353" s="676">
        <f t="shared" si="65"/>
        <v>0</v>
      </c>
      <c r="J353" s="676">
        <f t="shared" si="66"/>
        <v>39.999999999999986</v>
      </c>
      <c r="K353" s="676">
        <f t="shared" si="70"/>
        <v>0</v>
      </c>
      <c r="L353" s="1044">
        <f t="shared" si="67"/>
        <v>39.999999999999986</v>
      </c>
      <c r="M353" s="145" t="str">
        <f t="shared" si="68"/>
        <v/>
      </c>
      <c r="N353" s="684">
        <f t="shared" si="69"/>
        <v>46068</v>
      </c>
    </row>
    <row r="354" spans="1:14" ht="15" customHeight="1">
      <c r="A354" s="658">
        <v>46068</v>
      </c>
      <c r="B354" s="658" t="str">
        <f t="shared" si="63"/>
        <v>Dom</v>
      </c>
      <c r="C354" s="674" t="s">
        <v>146</v>
      </c>
      <c r="D354" s="885" t="s">
        <v>528</v>
      </c>
      <c r="E354" s="687">
        <v>0.33333333333333331</v>
      </c>
      <c r="F354" s="687">
        <v>0.66666666666666663</v>
      </c>
      <c r="G354" s="688">
        <f t="shared" si="64"/>
        <v>8</v>
      </c>
      <c r="H354" s="676">
        <f>IF(D354="","",IFERROR(VLOOKUP(D354,'Resumen Empleado'!$A$4:$B$17,2,FALSE),""))</f>
        <v>11</v>
      </c>
      <c r="I354" s="676">
        <f t="shared" si="65"/>
        <v>44</v>
      </c>
      <c r="J354" s="676">
        <f t="shared" si="66"/>
        <v>43.999999999999993</v>
      </c>
      <c r="K354" s="676">
        <f>IF(OR(E354="",F354="",H354=""),0,MAX(0,(MIN(IF(F354&lt;E354,1+F354,F354),1+TIME(5,0,0))-MAX(E354,TIME(19,0,0))))*24*H354)</f>
        <v>0</v>
      </c>
      <c r="L354" s="1044">
        <f t="shared" si="67"/>
        <v>88</v>
      </c>
      <c r="M354" s="145" t="str">
        <f t="shared" si="68"/>
        <v/>
      </c>
      <c r="N354" s="684">
        <f t="shared" si="69"/>
        <v>46068</v>
      </c>
    </row>
    <row r="355" spans="1:14" ht="15" customHeight="1">
      <c r="A355" s="658">
        <v>46069</v>
      </c>
      <c r="B355" s="658" t="str">
        <f t="shared" si="63"/>
        <v>Lun</v>
      </c>
      <c r="C355" s="674" t="s">
        <v>497</v>
      </c>
      <c r="D355" s="897" t="s">
        <v>527</v>
      </c>
      <c r="E355" s="687">
        <v>0.8125</v>
      </c>
      <c r="F355" s="687">
        <v>0.89583333333333337</v>
      </c>
      <c r="G355" s="688">
        <f t="shared" si="64"/>
        <v>2.0000000000000009</v>
      </c>
      <c r="H355" s="676" t="str">
        <f>IF(D355="","",IFERROR(VLOOKUP(D355,'Resumen Empleado'!$A$4:$B$17,2,FALSE),""))</f>
        <v/>
      </c>
      <c r="I355" s="676">
        <f t="shared" si="65"/>
        <v>0</v>
      </c>
      <c r="J355" s="676">
        <f t="shared" si="66"/>
        <v>0</v>
      </c>
      <c r="K355" s="676">
        <f>IF(OR(E355="",F355="",H355=""),0,MAX(0,(MIN(IF(F355&lt;E355,F355+1,F355),1+TIME(5,0,0))-MAX(E355,TIME(19,0,0))))*24*H355)</f>
        <v>0</v>
      </c>
      <c r="L355" s="1044">
        <f t="shared" si="67"/>
        <v>0</v>
      </c>
      <c r="M355" s="145" t="str">
        <f t="shared" si="68"/>
        <v/>
      </c>
      <c r="N355" s="684">
        <f t="shared" si="69"/>
        <v>46069</v>
      </c>
    </row>
    <row r="356" spans="1:14" ht="15" customHeight="1">
      <c r="A356" s="658">
        <v>46069</v>
      </c>
      <c r="B356" s="658" t="str">
        <f t="shared" si="63"/>
        <v>Lun</v>
      </c>
      <c r="C356" s="674" t="s">
        <v>146</v>
      </c>
      <c r="D356" s="885" t="s">
        <v>528</v>
      </c>
      <c r="E356" s="687">
        <v>0.33333333333333331</v>
      </c>
      <c r="F356" s="687">
        <v>0.66666666666666663</v>
      </c>
      <c r="G356" s="688">
        <f t="shared" si="64"/>
        <v>8</v>
      </c>
      <c r="H356" s="676">
        <f>IF(D356="","",IFERROR(VLOOKUP(D356,'Resumen Empleado'!$A$4:$B$17,2,FALSE),""))</f>
        <v>11</v>
      </c>
      <c r="I356" s="676">
        <f t="shared" si="65"/>
        <v>44</v>
      </c>
      <c r="J356" s="676">
        <f t="shared" si="66"/>
        <v>43.999999999999993</v>
      </c>
      <c r="K356" s="676">
        <f>IF(OR(E356="",F356="",H356=""),0,MAX(0,(MIN(IF(F356&lt;E356,1+F356,F356),1+TIME(5,0,0))-MAX(E356,TIME(19,0,0))))*24*H356)</f>
        <v>0</v>
      </c>
      <c r="L356" s="1044">
        <f t="shared" si="67"/>
        <v>88</v>
      </c>
      <c r="M356" s="145" t="str">
        <f t="shared" si="68"/>
        <v/>
      </c>
      <c r="N356" s="684">
        <f t="shared" si="69"/>
        <v>46069</v>
      </c>
    </row>
    <row r="357" spans="1:14" ht="15" customHeight="1">
      <c r="A357" s="658">
        <v>46070</v>
      </c>
      <c r="B357" s="658" t="str">
        <f t="shared" si="63"/>
        <v>Mar</v>
      </c>
      <c r="C357" s="674" t="s">
        <v>497</v>
      </c>
      <c r="D357" s="885" t="s">
        <v>527</v>
      </c>
      <c r="E357" s="687">
        <v>0.8125</v>
      </c>
      <c r="F357" s="687">
        <v>0.89583333333333337</v>
      </c>
      <c r="G357" s="688">
        <f t="shared" si="64"/>
        <v>2.0000000000000009</v>
      </c>
      <c r="H357" s="676" t="str">
        <f>IF(D357="","",IFERROR(VLOOKUP(D357,'Resumen Empleado'!$A$4:$B$17,2,FALSE),""))</f>
        <v/>
      </c>
      <c r="I357" s="676">
        <f t="shared" si="65"/>
        <v>0</v>
      </c>
      <c r="J357" s="676">
        <f t="shared" si="66"/>
        <v>0</v>
      </c>
      <c r="K357" s="676">
        <f>IF(OR(E357="",F357="",H357=""),0,MAX(0,(MIN(IF(F357&lt;E357,F357+1,F357),1+TIME(5,0,0))-MAX(E357,TIME(19,0,0))))*24*H357)</f>
        <v>0</v>
      </c>
      <c r="L357" s="1044">
        <f t="shared" si="67"/>
        <v>0</v>
      </c>
      <c r="M357" s="145" t="str">
        <f t="shared" si="68"/>
        <v/>
      </c>
      <c r="N357" s="684">
        <f t="shared" si="69"/>
        <v>46070</v>
      </c>
    </row>
    <row r="358" spans="1:14" ht="15" customHeight="1">
      <c r="A358" s="658">
        <v>46070</v>
      </c>
      <c r="B358" s="658" t="str">
        <f t="shared" si="63"/>
        <v>Mar</v>
      </c>
      <c r="C358" s="674" t="s">
        <v>146</v>
      </c>
      <c r="D358" s="885" t="s">
        <v>528</v>
      </c>
      <c r="E358" s="687">
        <v>0.33333333333333331</v>
      </c>
      <c r="F358" s="687">
        <v>0.66666666666666663</v>
      </c>
      <c r="G358" s="688">
        <f t="shared" si="64"/>
        <v>8</v>
      </c>
      <c r="H358" s="676">
        <f>IF(D358="","",IFERROR(VLOOKUP(D358,'Resumen Empleado'!$A$4:$B$17,2,FALSE),""))</f>
        <v>11</v>
      </c>
      <c r="I358" s="676">
        <f t="shared" si="65"/>
        <v>44</v>
      </c>
      <c r="J358" s="676">
        <f t="shared" si="66"/>
        <v>43.999999999999993</v>
      </c>
      <c r="K358" s="676">
        <f>IF(OR(E358="",F358="",H358=""),0,MAX(0,(MIN(IF(F358&lt;E358,1+F358,F358),1+TIME(5,0,0))-MAX(E358,TIME(19,0,0))))*24*H358)</f>
        <v>0</v>
      </c>
      <c r="L358" s="1044">
        <f t="shared" si="67"/>
        <v>88</v>
      </c>
      <c r="M358" s="145" t="str">
        <f t="shared" si="68"/>
        <v/>
      </c>
      <c r="N358" s="684">
        <f t="shared" si="69"/>
        <v>46070</v>
      </c>
    </row>
    <row r="359" spans="1:14" ht="15" customHeight="1">
      <c r="A359" s="658">
        <v>46071</v>
      </c>
      <c r="B359" s="658" t="str">
        <f t="shared" si="63"/>
        <v>Mié</v>
      </c>
      <c r="C359" s="674" t="s">
        <v>146</v>
      </c>
      <c r="D359" s="885" t="s">
        <v>522</v>
      </c>
      <c r="E359" s="687">
        <v>0.29166666666666669</v>
      </c>
      <c r="F359" s="687">
        <v>0.5</v>
      </c>
      <c r="G359" s="688">
        <f t="shared" si="64"/>
        <v>5</v>
      </c>
      <c r="H359" s="676">
        <f>IF(D359="","",IFERROR(VLOOKUP(D359,'Resumen Empleado'!$A$4:$B$17,2,FALSE),""))</f>
        <v>10</v>
      </c>
      <c r="I359" s="676">
        <f t="shared" si="65"/>
        <v>50</v>
      </c>
      <c r="J359" s="676">
        <f t="shared" si="66"/>
        <v>0</v>
      </c>
      <c r="K359" s="676">
        <f t="shared" ref="K359:K368" si="71">IF(OR(E359="",F359="",H359=""),0,MAX(0,(MIN(IF(F359&lt;E359,F359+1,F359),1+TIME(5,0,0))-MAX(E359,TIME(19,0,0))))*24*H359)</f>
        <v>0</v>
      </c>
      <c r="L359" s="1044">
        <f t="shared" si="67"/>
        <v>50</v>
      </c>
      <c r="M359" s="145" t="str">
        <f t="shared" si="68"/>
        <v/>
      </c>
      <c r="N359" s="684">
        <f t="shared" si="69"/>
        <v>46071</v>
      </c>
    </row>
    <row r="360" spans="1:14" ht="15" customHeight="1">
      <c r="A360" s="658">
        <v>46071</v>
      </c>
      <c r="B360" s="658" t="str">
        <f t="shared" si="63"/>
        <v>Mié</v>
      </c>
      <c r="C360" s="674" t="s">
        <v>146</v>
      </c>
      <c r="D360" s="885" t="s">
        <v>525</v>
      </c>
      <c r="E360" s="687">
        <v>0.54166666666666663</v>
      </c>
      <c r="F360" s="687">
        <v>0.66666666666666663</v>
      </c>
      <c r="G360" s="688">
        <f t="shared" si="64"/>
        <v>3</v>
      </c>
      <c r="H360" s="676">
        <f>IF(D360="","",IFERROR(VLOOKUP(D360,'Resumen Empleado'!$A$4:$B$17,2,FALSE),""))</f>
        <v>7.25</v>
      </c>
      <c r="I360" s="676">
        <f t="shared" si="65"/>
        <v>0</v>
      </c>
      <c r="J360" s="676">
        <f t="shared" si="66"/>
        <v>21.75</v>
      </c>
      <c r="K360" s="676">
        <f t="shared" si="71"/>
        <v>0</v>
      </c>
      <c r="L360" s="1044">
        <f t="shared" si="67"/>
        <v>21.75</v>
      </c>
      <c r="M360" s="145" t="str">
        <f t="shared" si="68"/>
        <v/>
      </c>
      <c r="N360" s="684">
        <f t="shared" si="69"/>
        <v>46071</v>
      </c>
    </row>
    <row r="361" spans="1:14" ht="15" customHeight="1">
      <c r="A361" s="658">
        <v>46071</v>
      </c>
      <c r="B361" s="658" t="str">
        <f t="shared" si="63"/>
        <v>Mié</v>
      </c>
      <c r="C361" s="674" t="s">
        <v>146</v>
      </c>
      <c r="D361" s="885" t="s">
        <v>526</v>
      </c>
      <c r="E361" s="687">
        <v>0.5</v>
      </c>
      <c r="F361" s="687">
        <v>0.66666666666666663</v>
      </c>
      <c r="G361" s="688">
        <f t="shared" si="64"/>
        <v>3.9999999999999991</v>
      </c>
      <c r="H361" s="676">
        <f>IF(D361="","",IFERROR(VLOOKUP(D361,'Resumen Empleado'!$A$4:$B$17,2,FALSE),""))</f>
        <v>16</v>
      </c>
      <c r="I361" s="676">
        <f t="shared" si="65"/>
        <v>0</v>
      </c>
      <c r="J361" s="676">
        <f t="shared" si="66"/>
        <v>63.999999999999986</v>
      </c>
      <c r="K361" s="676">
        <f t="shared" si="71"/>
        <v>0</v>
      </c>
      <c r="L361" s="1044">
        <f t="shared" si="67"/>
        <v>63.999999999999986</v>
      </c>
      <c r="M361" s="145" t="str">
        <f t="shared" si="68"/>
        <v/>
      </c>
      <c r="N361" s="684">
        <f t="shared" si="69"/>
        <v>46071</v>
      </c>
    </row>
    <row r="362" spans="1:14" ht="15" customHeight="1">
      <c r="A362" s="658">
        <v>46071</v>
      </c>
      <c r="B362" s="658" t="str">
        <f t="shared" si="63"/>
        <v>Mié</v>
      </c>
      <c r="C362" s="674" t="s">
        <v>146</v>
      </c>
      <c r="D362" s="897" t="s">
        <v>523</v>
      </c>
      <c r="E362" s="687">
        <v>0.26041666666666669</v>
      </c>
      <c r="F362" s="687">
        <v>0.63541666666666663</v>
      </c>
      <c r="G362" s="688">
        <f t="shared" si="64"/>
        <v>8.9999999999999982</v>
      </c>
      <c r="H362" s="676">
        <f>IF(D362="","",IFERROR(VLOOKUP(D362,'Resumen Empleado'!$A$4:$B$17,2,FALSE),""))</f>
        <v>6.39</v>
      </c>
      <c r="I362" s="676">
        <f t="shared" si="65"/>
        <v>36.7425</v>
      </c>
      <c r="J362" s="676">
        <f t="shared" si="66"/>
        <v>20.767499999999995</v>
      </c>
      <c r="K362" s="676">
        <f t="shared" si="71"/>
        <v>0</v>
      </c>
      <c r="L362" s="1044">
        <f t="shared" si="67"/>
        <v>57.509999999999991</v>
      </c>
      <c r="M362" s="145" t="str">
        <f t="shared" si="68"/>
        <v/>
      </c>
      <c r="N362" s="684">
        <f t="shared" si="69"/>
        <v>46071</v>
      </c>
    </row>
    <row r="363" spans="1:14" ht="15" customHeight="1">
      <c r="A363" s="658">
        <v>46071</v>
      </c>
      <c r="B363" s="658" t="str">
        <f t="shared" si="63"/>
        <v>Mié</v>
      </c>
      <c r="C363" s="674" t="s">
        <v>146</v>
      </c>
      <c r="D363" s="885" t="s">
        <v>532</v>
      </c>
      <c r="E363" s="687">
        <v>0.33333333333333331</v>
      </c>
      <c r="F363" s="687">
        <v>0.54166666666666663</v>
      </c>
      <c r="G363" s="688">
        <f t="shared" si="64"/>
        <v>5</v>
      </c>
      <c r="H363" s="676">
        <f>IF(D363="","",IFERROR(VLOOKUP(D363,'Resumen Empleado'!$A$4:$B$17,2,FALSE),""))</f>
        <v>5.17</v>
      </c>
      <c r="I363" s="676">
        <f t="shared" si="65"/>
        <v>20.68</v>
      </c>
      <c r="J363" s="676">
        <f t="shared" si="66"/>
        <v>5.1699999999999955</v>
      </c>
      <c r="K363" s="676">
        <f t="shared" si="71"/>
        <v>0</v>
      </c>
      <c r="L363" s="1044">
        <f t="shared" si="67"/>
        <v>25.849999999999994</v>
      </c>
      <c r="M363" s="145" t="str">
        <f t="shared" si="68"/>
        <v/>
      </c>
      <c r="N363" s="684">
        <f t="shared" si="69"/>
        <v>46071</v>
      </c>
    </row>
    <row r="364" spans="1:14" ht="15" customHeight="1">
      <c r="A364" s="658">
        <v>46071</v>
      </c>
      <c r="B364" s="658" t="str">
        <f t="shared" si="63"/>
        <v>Mié</v>
      </c>
      <c r="C364" s="674" t="s">
        <v>146</v>
      </c>
      <c r="D364" s="885" t="s">
        <v>522</v>
      </c>
      <c r="E364" s="687">
        <v>0.625</v>
      </c>
      <c r="F364" s="687">
        <v>0.66666666666666663</v>
      </c>
      <c r="G364" s="688">
        <f t="shared" si="64"/>
        <v>0.99999999999999911</v>
      </c>
      <c r="H364" s="676">
        <f>IF(D364="","",IFERROR(VLOOKUP(D364,'Resumen Empleado'!$A$4:$B$17,2,FALSE),""))</f>
        <v>10</v>
      </c>
      <c r="I364" s="676">
        <f t="shared" si="65"/>
        <v>0</v>
      </c>
      <c r="J364" s="676">
        <f t="shared" si="66"/>
        <v>9.9999999999999911</v>
      </c>
      <c r="K364" s="676">
        <f t="shared" si="71"/>
        <v>0</v>
      </c>
      <c r="L364" s="1044">
        <f t="shared" si="67"/>
        <v>9.9999999999999911</v>
      </c>
      <c r="M364" s="145" t="str">
        <f t="shared" si="68"/>
        <v/>
      </c>
      <c r="N364" s="684">
        <f t="shared" si="69"/>
        <v>46071</v>
      </c>
    </row>
    <row r="365" spans="1:14" ht="15" customHeight="1">
      <c r="A365" s="658">
        <v>46071</v>
      </c>
      <c r="B365" s="658" t="str">
        <f t="shared" si="63"/>
        <v>Mié</v>
      </c>
      <c r="C365" s="674" t="s">
        <v>497</v>
      </c>
      <c r="D365" s="885" t="s">
        <v>523</v>
      </c>
      <c r="E365" s="687">
        <v>0.79166666666666663</v>
      </c>
      <c r="F365" s="687">
        <v>0.95833333333333337</v>
      </c>
      <c r="G365" s="688">
        <f t="shared" si="64"/>
        <v>4.0000000000000018</v>
      </c>
      <c r="H365" s="676">
        <f>IF(D365="","",IFERROR(VLOOKUP(D365,'Resumen Empleado'!$A$4:$B$17,2,FALSE),""))</f>
        <v>6.39</v>
      </c>
      <c r="I365" s="676">
        <f t="shared" si="65"/>
        <v>0</v>
      </c>
      <c r="J365" s="676">
        <f t="shared" si="66"/>
        <v>0</v>
      </c>
      <c r="K365" s="676">
        <f t="shared" si="71"/>
        <v>25.560000000000009</v>
      </c>
      <c r="L365" s="1044">
        <f t="shared" si="67"/>
        <v>25.560000000000009</v>
      </c>
      <c r="M365" s="145" t="str">
        <f t="shared" si="68"/>
        <v/>
      </c>
      <c r="N365" s="684">
        <f t="shared" si="69"/>
        <v>46071</v>
      </c>
    </row>
    <row r="366" spans="1:14" ht="15" customHeight="1">
      <c r="A366" s="658">
        <v>46071</v>
      </c>
      <c r="B366" s="658" t="str">
        <f t="shared" si="63"/>
        <v>Mié</v>
      </c>
      <c r="C366" s="674" t="s">
        <v>497</v>
      </c>
      <c r="D366" s="885" t="s">
        <v>526</v>
      </c>
      <c r="E366" s="687">
        <v>0.83333333333333337</v>
      </c>
      <c r="F366" s="687">
        <v>0.95833333333333337</v>
      </c>
      <c r="G366" s="688">
        <f t="shared" si="64"/>
        <v>3</v>
      </c>
      <c r="H366" s="676">
        <f>IF(D366="","",IFERROR(VLOOKUP(D366,'Resumen Empleado'!$A$4:$B$17,2,FALSE),""))</f>
        <v>16</v>
      </c>
      <c r="I366" s="676">
        <f t="shared" si="65"/>
        <v>0</v>
      </c>
      <c r="J366" s="676">
        <f t="shared" si="66"/>
        <v>0</v>
      </c>
      <c r="K366" s="676">
        <f t="shared" si="71"/>
        <v>48</v>
      </c>
      <c r="L366" s="1044">
        <f t="shared" si="67"/>
        <v>48</v>
      </c>
      <c r="M366" s="145" t="str">
        <f t="shared" si="68"/>
        <v/>
      </c>
      <c r="N366" s="684">
        <f t="shared" si="69"/>
        <v>46071</v>
      </c>
    </row>
    <row r="367" spans="1:14" ht="15" customHeight="1">
      <c r="A367" s="658">
        <v>46071</v>
      </c>
      <c r="B367" s="658" t="str">
        <f t="shared" si="63"/>
        <v>Mié</v>
      </c>
      <c r="C367" s="674" t="s">
        <v>497</v>
      </c>
      <c r="D367" s="897" t="s">
        <v>532</v>
      </c>
      <c r="E367" s="687">
        <v>0.79166666666666663</v>
      </c>
      <c r="F367" s="687">
        <v>0.95833333333333337</v>
      </c>
      <c r="G367" s="688">
        <f t="shared" si="64"/>
        <v>4.0000000000000018</v>
      </c>
      <c r="H367" s="676">
        <f>IF(D367="","",IFERROR(VLOOKUP(D367,'Resumen Empleado'!$A$4:$B$17,2,FALSE),""))</f>
        <v>5.17</v>
      </c>
      <c r="I367" s="676">
        <f t="shared" si="65"/>
        <v>0</v>
      </c>
      <c r="J367" s="676">
        <f t="shared" si="66"/>
        <v>0</v>
      </c>
      <c r="K367" s="676">
        <f t="shared" si="71"/>
        <v>20.68000000000001</v>
      </c>
      <c r="L367" s="1044">
        <f t="shared" si="67"/>
        <v>20.68000000000001</v>
      </c>
      <c r="M367" s="145" t="str">
        <f t="shared" si="68"/>
        <v/>
      </c>
      <c r="N367" s="684">
        <f t="shared" si="69"/>
        <v>46071</v>
      </c>
    </row>
    <row r="368" spans="1:14" ht="15" customHeight="1">
      <c r="A368" s="658">
        <v>46071</v>
      </c>
      <c r="B368" s="658" t="str">
        <f t="shared" si="63"/>
        <v>Mié</v>
      </c>
      <c r="C368" s="674" t="s">
        <v>497</v>
      </c>
      <c r="D368" s="885" t="s">
        <v>527</v>
      </c>
      <c r="E368" s="687">
        <v>0.8125</v>
      </c>
      <c r="F368" s="687">
        <v>0.89583333333333337</v>
      </c>
      <c r="G368" s="688">
        <f t="shared" si="64"/>
        <v>2.0000000000000009</v>
      </c>
      <c r="H368" s="676" t="str">
        <f>IF(D368="","",IFERROR(VLOOKUP(D368,'Resumen Empleado'!$A$4:$B$17,2,FALSE),""))</f>
        <v/>
      </c>
      <c r="I368" s="676">
        <f t="shared" si="65"/>
        <v>0</v>
      </c>
      <c r="J368" s="676">
        <f t="shared" si="66"/>
        <v>0</v>
      </c>
      <c r="K368" s="676">
        <f t="shared" si="71"/>
        <v>0</v>
      </c>
      <c r="L368" s="1044">
        <f t="shared" si="67"/>
        <v>0</v>
      </c>
      <c r="M368" s="145" t="str">
        <f t="shared" si="68"/>
        <v/>
      </c>
      <c r="N368" s="684">
        <f t="shared" si="69"/>
        <v>46071</v>
      </c>
    </row>
    <row r="369" spans="1:14" ht="15" customHeight="1">
      <c r="A369" s="658">
        <v>46071</v>
      </c>
      <c r="B369" s="658" t="str">
        <f t="shared" si="63"/>
        <v>Mié</v>
      </c>
      <c r="C369" s="674" t="s">
        <v>146</v>
      </c>
      <c r="D369" s="885" t="s">
        <v>528</v>
      </c>
      <c r="E369" s="687">
        <v>0.33333333333333331</v>
      </c>
      <c r="F369" s="687">
        <v>0.66666666666666663</v>
      </c>
      <c r="G369" s="688">
        <f t="shared" si="64"/>
        <v>8</v>
      </c>
      <c r="H369" s="676">
        <f>IF(D369="","",IFERROR(VLOOKUP(D369,'Resumen Empleado'!$A$4:$B$17,2,FALSE),""))</f>
        <v>11</v>
      </c>
      <c r="I369" s="676">
        <f t="shared" si="65"/>
        <v>44</v>
      </c>
      <c r="J369" s="676">
        <f t="shared" si="66"/>
        <v>43.999999999999993</v>
      </c>
      <c r="K369" s="676">
        <f>IF(OR(E369="",F369="",H369=""),0,MAX(0,(MIN(IF(F369&lt;E369,1+F369,F369),1+TIME(5,0,0))-MAX(E369,TIME(19,0,0))))*24*H369)</f>
        <v>0</v>
      </c>
      <c r="L369" s="1044">
        <f t="shared" si="67"/>
        <v>88</v>
      </c>
      <c r="M369" s="145" t="str">
        <f t="shared" si="68"/>
        <v/>
      </c>
      <c r="N369" s="684">
        <f t="shared" si="69"/>
        <v>46071</v>
      </c>
    </row>
    <row r="370" spans="1:14" ht="15" customHeight="1">
      <c r="A370" s="658">
        <v>46072</v>
      </c>
      <c r="B370" s="658" t="str">
        <f t="shared" si="63"/>
        <v>Jue</v>
      </c>
      <c r="C370" s="674" t="s">
        <v>146</v>
      </c>
      <c r="D370" s="885" t="s">
        <v>525</v>
      </c>
      <c r="E370" s="687">
        <v>0.34375</v>
      </c>
      <c r="F370" s="687">
        <v>0.66666666666666663</v>
      </c>
      <c r="G370" s="688">
        <f t="shared" si="64"/>
        <v>7.7499999999999991</v>
      </c>
      <c r="H370" s="676">
        <f>IF(D370="","",IFERROR(VLOOKUP(D370,'Resumen Empleado'!$A$4:$B$17,2,FALSE),""))</f>
        <v>7.25</v>
      </c>
      <c r="I370" s="676">
        <f t="shared" si="65"/>
        <v>27.1875</v>
      </c>
      <c r="J370" s="676">
        <f t="shared" si="66"/>
        <v>28.999999999999993</v>
      </c>
      <c r="K370" s="676">
        <f t="shared" ref="K370:K378" si="72">IF(OR(E370="",F370="",H370=""),0,MAX(0,(MIN(IF(F370&lt;E370,F370+1,F370),1+TIME(5,0,0))-MAX(E370,TIME(19,0,0))))*24*H370)</f>
        <v>0</v>
      </c>
      <c r="L370" s="1044">
        <f t="shared" si="67"/>
        <v>56.187499999999993</v>
      </c>
      <c r="M370" s="145" t="str">
        <f t="shared" si="68"/>
        <v/>
      </c>
      <c r="N370" s="684">
        <f t="shared" si="69"/>
        <v>46072</v>
      </c>
    </row>
    <row r="371" spans="1:14" ht="15" customHeight="1">
      <c r="A371" s="658">
        <v>46072</v>
      </c>
      <c r="B371" s="658" t="str">
        <f t="shared" si="63"/>
        <v>Jue</v>
      </c>
      <c r="C371" s="674" t="s">
        <v>146</v>
      </c>
      <c r="D371" s="897" t="s">
        <v>523</v>
      </c>
      <c r="E371" s="687">
        <v>0.26041666666666669</v>
      </c>
      <c r="F371" s="687">
        <v>0.41666666666666669</v>
      </c>
      <c r="G371" s="688">
        <f t="shared" si="64"/>
        <v>3.75</v>
      </c>
      <c r="H371" s="676">
        <f>IF(D371="","",IFERROR(VLOOKUP(D371,'Resumen Empleado'!$A$4:$B$17,2,FALSE),""))</f>
        <v>6.39</v>
      </c>
      <c r="I371" s="676">
        <f t="shared" si="65"/>
        <v>23.962499999999999</v>
      </c>
      <c r="J371" s="676">
        <f t="shared" si="66"/>
        <v>0</v>
      </c>
      <c r="K371" s="676">
        <f t="shared" si="72"/>
        <v>0</v>
      </c>
      <c r="L371" s="1044">
        <f t="shared" si="67"/>
        <v>23.962499999999999</v>
      </c>
      <c r="M371" s="145" t="str">
        <f t="shared" si="68"/>
        <v/>
      </c>
      <c r="N371" s="684">
        <f t="shared" si="69"/>
        <v>46072</v>
      </c>
    </row>
    <row r="372" spans="1:14" ht="15" customHeight="1">
      <c r="A372" s="658">
        <v>46072</v>
      </c>
      <c r="B372" s="658" t="str">
        <f t="shared" si="63"/>
        <v>Jue</v>
      </c>
      <c r="C372" s="674" t="s">
        <v>146</v>
      </c>
      <c r="D372" s="885" t="s">
        <v>526</v>
      </c>
      <c r="E372" s="687">
        <v>0.41666666666666669</v>
      </c>
      <c r="F372" s="687">
        <v>0.66666666666666663</v>
      </c>
      <c r="G372" s="688">
        <f t="shared" si="64"/>
        <v>5.9999999999999982</v>
      </c>
      <c r="H372" s="676">
        <f>IF(D372="","",IFERROR(VLOOKUP(D372,'Resumen Empleado'!$A$4:$B$17,2,FALSE),""))</f>
        <v>16</v>
      </c>
      <c r="I372" s="676">
        <f t="shared" si="65"/>
        <v>31.999999999999993</v>
      </c>
      <c r="J372" s="676">
        <f t="shared" si="66"/>
        <v>63.999999999999986</v>
      </c>
      <c r="K372" s="676">
        <f t="shared" si="72"/>
        <v>0</v>
      </c>
      <c r="L372" s="1044">
        <f t="shared" si="67"/>
        <v>95.999999999999972</v>
      </c>
      <c r="M372" s="145" t="str">
        <f t="shared" si="68"/>
        <v/>
      </c>
      <c r="N372" s="684">
        <f t="shared" si="69"/>
        <v>46072</v>
      </c>
    </row>
    <row r="373" spans="1:14" ht="15" customHeight="1">
      <c r="A373" s="658">
        <v>46072</v>
      </c>
      <c r="B373" s="658" t="str">
        <f t="shared" si="63"/>
        <v>Jue</v>
      </c>
      <c r="C373" s="674" t="s">
        <v>146</v>
      </c>
      <c r="D373" s="885" t="s">
        <v>532</v>
      </c>
      <c r="E373" s="687">
        <v>0.54166666666666663</v>
      </c>
      <c r="F373" s="687">
        <v>0.66666666666666663</v>
      </c>
      <c r="G373" s="688">
        <f t="shared" si="64"/>
        <v>3</v>
      </c>
      <c r="H373" s="676">
        <f>IF(D373="","",IFERROR(VLOOKUP(D373,'Resumen Empleado'!$A$4:$B$17,2,FALSE),""))</f>
        <v>5.17</v>
      </c>
      <c r="I373" s="676">
        <f t="shared" si="65"/>
        <v>0</v>
      </c>
      <c r="J373" s="676">
        <f t="shared" si="66"/>
        <v>15.51</v>
      </c>
      <c r="K373" s="676">
        <f t="shared" si="72"/>
        <v>0</v>
      </c>
      <c r="L373" s="1044">
        <f t="shared" si="67"/>
        <v>15.51</v>
      </c>
      <c r="M373" s="145" t="str">
        <f t="shared" si="68"/>
        <v/>
      </c>
      <c r="N373" s="684">
        <f t="shared" si="69"/>
        <v>46072</v>
      </c>
    </row>
    <row r="374" spans="1:14" ht="15" customHeight="1">
      <c r="A374" s="658">
        <v>46072</v>
      </c>
      <c r="B374" s="658" t="str">
        <f t="shared" si="63"/>
        <v>Jue</v>
      </c>
      <c r="C374" s="674" t="s">
        <v>146</v>
      </c>
      <c r="D374" s="885" t="s">
        <v>522</v>
      </c>
      <c r="E374" s="687">
        <v>0.5</v>
      </c>
      <c r="F374" s="687">
        <v>0.66666666666666663</v>
      </c>
      <c r="G374" s="688">
        <f t="shared" si="64"/>
        <v>3.9999999999999991</v>
      </c>
      <c r="H374" s="676">
        <f>IF(D374="","",IFERROR(VLOOKUP(D374,'Resumen Empleado'!$A$4:$B$17,2,FALSE),""))</f>
        <v>10</v>
      </c>
      <c r="I374" s="676">
        <f t="shared" si="65"/>
        <v>0</v>
      </c>
      <c r="J374" s="676">
        <f t="shared" si="66"/>
        <v>39.999999999999993</v>
      </c>
      <c r="K374" s="676">
        <f t="shared" si="72"/>
        <v>0</v>
      </c>
      <c r="L374" s="1044">
        <f t="shared" si="67"/>
        <v>39.999999999999993</v>
      </c>
      <c r="M374" s="145" t="str">
        <f t="shared" si="68"/>
        <v/>
      </c>
      <c r="N374" s="684">
        <f t="shared" si="69"/>
        <v>46072</v>
      </c>
    </row>
    <row r="375" spans="1:14" ht="15" customHeight="1">
      <c r="A375" s="658">
        <v>46072</v>
      </c>
      <c r="B375" s="658" t="str">
        <f t="shared" si="63"/>
        <v>Jue</v>
      </c>
      <c r="C375" s="674" t="s">
        <v>497</v>
      </c>
      <c r="D375" s="885" t="s">
        <v>525</v>
      </c>
      <c r="E375" s="687">
        <v>0.79166666666666663</v>
      </c>
      <c r="F375" s="687">
        <v>0.95833333333333337</v>
      </c>
      <c r="G375" s="688">
        <f t="shared" si="64"/>
        <v>4.0000000000000018</v>
      </c>
      <c r="H375" s="676">
        <f>IF(D375="","",IFERROR(VLOOKUP(D375,'Resumen Empleado'!$A$4:$B$17,2,FALSE),""))</f>
        <v>7.25</v>
      </c>
      <c r="I375" s="676">
        <f t="shared" si="65"/>
        <v>0</v>
      </c>
      <c r="J375" s="676">
        <f t="shared" si="66"/>
        <v>0</v>
      </c>
      <c r="K375" s="676">
        <f t="shared" si="72"/>
        <v>29.000000000000014</v>
      </c>
      <c r="L375" s="1044">
        <f t="shared" si="67"/>
        <v>29.000000000000014</v>
      </c>
      <c r="M375" s="145" t="str">
        <f t="shared" si="68"/>
        <v/>
      </c>
      <c r="N375" s="684">
        <f t="shared" si="69"/>
        <v>46072</v>
      </c>
    </row>
    <row r="376" spans="1:14" ht="15" customHeight="1">
      <c r="A376" s="658">
        <v>46072</v>
      </c>
      <c r="B376" s="658" t="str">
        <f t="shared" si="63"/>
        <v>Jue</v>
      </c>
      <c r="C376" s="674" t="s">
        <v>497</v>
      </c>
      <c r="D376" s="885" t="s">
        <v>526</v>
      </c>
      <c r="E376" s="687">
        <v>0.79166666666666663</v>
      </c>
      <c r="F376" s="687">
        <v>0.95833333333333337</v>
      </c>
      <c r="G376" s="688">
        <f t="shared" si="64"/>
        <v>4.0000000000000018</v>
      </c>
      <c r="H376" s="676">
        <f>IF(D376="","",IFERROR(VLOOKUP(D376,'Resumen Empleado'!$A$4:$B$17,2,FALSE),""))</f>
        <v>16</v>
      </c>
      <c r="I376" s="676">
        <f t="shared" si="65"/>
        <v>0</v>
      </c>
      <c r="J376" s="676">
        <f t="shared" si="66"/>
        <v>0</v>
      </c>
      <c r="K376" s="676">
        <f t="shared" si="72"/>
        <v>64.000000000000028</v>
      </c>
      <c r="L376" s="1044">
        <f t="shared" si="67"/>
        <v>64.000000000000028</v>
      </c>
      <c r="M376" s="145" t="str">
        <f t="shared" si="68"/>
        <v/>
      </c>
      <c r="N376" s="684">
        <f t="shared" si="69"/>
        <v>46072</v>
      </c>
    </row>
    <row r="377" spans="1:14" ht="15" customHeight="1">
      <c r="A377" s="658">
        <v>46072</v>
      </c>
      <c r="B377" s="658" t="str">
        <f t="shared" si="63"/>
        <v>Jue</v>
      </c>
      <c r="C377" s="674" t="s">
        <v>497</v>
      </c>
      <c r="D377" s="897" t="s">
        <v>532</v>
      </c>
      <c r="E377" s="687">
        <v>0.83333333333333337</v>
      </c>
      <c r="F377" s="687">
        <v>0.95833333333333337</v>
      </c>
      <c r="G377" s="688">
        <f t="shared" si="64"/>
        <v>3</v>
      </c>
      <c r="H377" s="676">
        <f>IF(D377="","",IFERROR(VLOOKUP(D377,'Resumen Empleado'!$A$4:$B$17,2,FALSE),""))</f>
        <v>5.17</v>
      </c>
      <c r="I377" s="676">
        <f t="shared" si="65"/>
        <v>0</v>
      </c>
      <c r="J377" s="676">
        <f t="shared" si="66"/>
        <v>0</v>
      </c>
      <c r="K377" s="676">
        <f t="shared" si="72"/>
        <v>15.51</v>
      </c>
      <c r="L377" s="1044">
        <f t="shared" si="67"/>
        <v>15.51</v>
      </c>
      <c r="M377" s="145" t="str">
        <f t="shared" si="68"/>
        <v/>
      </c>
      <c r="N377" s="684">
        <f t="shared" si="69"/>
        <v>46072</v>
      </c>
    </row>
    <row r="378" spans="1:14" ht="15" customHeight="1">
      <c r="A378" s="658">
        <v>46072</v>
      </c>
      <c r="B378" s="658" t="str">
        <f t="shared" si="63"/>
        <v>Jue</v>
      </c>
      <c r="C378" s="674" t="s">
        <v>497</v>
      </c>
      <c r="D378" s="885" t="s">
        <v>527</v>
      </c>
      <c r="E378" s="687">
        <v>0.8125</v>
      </c>
      <c r="F378" s="687">
        <v>0.89583333333333337</v>
      </c>
      <c r="G378" s="688">
        <f t="shared" si="64"/>
        <v>2.0000000000000009</v>
      </c>
      <c r="H378" s="676" t="str">
        <f>IF(D378="","",IFERROR(VLOOKUP(D378,'Resumen Empleado'!$A$4:$B$17,2,FALSE),""))</f>
        <v/>
      </c>
      <c r="I378" s="676">
        <f t="shared" si="65"/>
        <v>0</v>
      </c>
      <c r="J378" s="676">
        <f t="shared" si="66"/>
        <v>0</v>
      </c>
      <c r="K378" s="676">
        <f t="shared" si="72"/>
        <v>0</v>
      </c>
      <c r="L378" s="1044">
        <f t="shared" si="67"/>
        <v>0</v>
      </c>
      <c r="M378" s="145" t="str">
        <f t="shared" si="68"/>
        <v/>
      </c>
      <c r="N378" s="684">
        <f t="shared" si="69"/>
        <v>46072</v>
      </c>
    </row>
    <row r="379" spans="1:14" ht="15" customHeight="1">
      <c r="A379" s="658">
        <v>46072</v>
      </c>
      <c r="B379" s="658" t="str">
        <f t="shared" si="63"/>
        <v>Jue</v>
      </c>
      <c r="C379" s="674" t="s">
        <v>146</v>
      </c>
      <c r="D379" s="897" t="s">
        <v>528</v>
      </c>
      <c r="E379" s="687">
        <v>0.33333333333333331</v>
      </c>
      <c r="F379" s="687">
        <v>0.66666666666666663</v>
      </c>
      <c r="G379" s="688">
        <f t="shared" si="64"/>
        <v>8</v>
      </c>
      <c r="H379" s="676">
        <f>IF(D379="","",IFERROR(VLOOKUP(D379,'Resumen Empleado'!$A$4:$B$17,2,FALSE),""))</f>
        <v>11</v>
      </c>
      <c r="I379" s="676">
        <f t="shared" si="65"/>
        <v>44</v>
      </c>
      <c r="J379" s="676">
        <f t="shared" si="66"/>
        <v>43.999999999999993</v>
      </c>
      <c r="K379" s="676">
        <f>IF(OR(E379="",F379="",H379=""),0,MAX(0,(MIN(IF(F379&lt;E379,1+F379,F379),1+TIME(5,0,0))-MAX(E379,TIME(19,0,0))))*24*H379)</f>
        <v>0</v>
      </c>
      <c r="L379" s="1044">
        <f t="shared" si="67"/>
        <v>88</v>
      </c>
      <c r="M379" s="145" t="str">
        <f t="shared" si="68"/>
        <v/>
      </c>
      <c r="N379" s="684">
        <f t="shared" si="69"/>
        <v>46072</v>
      </c>
    </row>
    <row r="380" spans="1:14" ht="15" customHeight="1">
      <c r="A380" s="658">
        <v>46073</v>
      </c>
      <c r="B380" s="658" t="str">
        <f t="shared" si="63"/>
        <v>Vie</v>
      </c>
      <c r="C380" s="674" t="s">
        <v>146</v>
      </c>
      <c r="D380" s="885" t="s">
        <v>522</v>
      </c>
      <c r="E380" s="687">
        <v>0.5</v>
      </c>
      <c r="F380" s="687">
        <v>0.58333333333333337</v>
      </c>
      <c r="G380" s="688">
        <f t="shared" si="64"/>
        <v>2.0000000000000009</v>
      </c>
      <c r="H380" s="676">
        <f>IF(D380="","",IFERROR(VLOOKUP(D380,'Resumen Empleado'!$A$4:$B$17,2,FALSE),""))</f>
        <v>10</v>
      </c>
      <c r="I380" s="676">
        <f t="shared" si="65"/>
        <v>0</v>
      </c>
      <c r="J380" s="676">
        <f t="shared" si="66"/>
        <v>20.000000000000007</v>
      </c>
      <c r="K380" s="676">
        <f t="shared" ref="K380:K390" si="73">IF(OR(E380="",F380="",H380=""),0,MAX(0,(MIN(IF(F380&lt;E380,F380+1,F380),1+TIME(5,0,0))-MAX(E380,TIME(19,0,0))))*24*H380)</f>
        <v>0</v>
      </c>
      <c r="L380" s="1044">
        <f t="shared" si="67"/>
        <v>20.000000000000007</v>
      </c>
      <c r="M380" s="145" t="str">
        <f t="shared" si="68"/>
        <v/>
      </c>
      <c r="N380" s="684">
        <f t="shared" si="69"/>
        <v>46073</v>
      </c>
    </row>
    <row r="381" spans="1:14" ht="15" customHeight="1">
      <c r="A381" s="658">
        <v>46073</v>
      </c>
      <c r="B381" s="658" t="str">
        <f t="shared" si="63"/>
        <v>Vie</v>
      </c>
      <c r="C381" s="674" t="s">
        <v>146</v>
      </c>
      <c r="D381" s="885" t="s">
        <v>525</v>
      </c>
      <c r="E381" s="687">
        <v>0.54166666666666663</v>
      </c>
      <c r="F381" s="687">
        <v>0.66666666666666663</v>
      </c>
      <c r="G381" s="688">
        <f t="shared" si="64"/>
        <v>3</v>
      </c>
      <c r="H381" s="676">
        <f>IF(D381="","",IFERROR(VLOOKUP(D381,'Resumen Empleado'!$A$4:$B$17,2,FALSE),""))</f>
        <v>7.25</v>
      </c>
      <c r="I381" s="676">
        <f t="shared" si="65"/>
        <v>0</v>
      </c>
      <c r="J381" s="676">
        <f t="shared" si="66"/>
        <v>21.75</v>
      </c>
      <c r="K381" s="676">
        <f t="shared" si="73"/>
        <v>0</v>
      </c>
      <c r="L381" s="1044">
        <f t="shared" si="67"/>
        <v>21.75</v>
      </c>
      <c r="M381" s="145" t="str">
        <f t="shared" si="68"/>
        <v/>
      </c>
      <c r="N381" s="684">
        <f t="shared" si="69"/>
        <v>46073</v>
      </c>
    </row>
    <row r="382" spans="1:14" ht="15" customHeight="1">
      <c r="A382" s="658">
        <v>46073</v>
      </c>
      <c r="B382" s="658" t="str">
        <f t="shared" si="63"/>
        <v>Vie</v>
      </c>
      <c r="C382" s="674" t="s">
        <v>146</v>
      </c>
      <c r="D382" s="885" t="s">
        <v>526</v>
      </c>
      <c r="E382" s="687">
        <v>0.41666666666666669</v>
      </c>
      <c r="F382" s="687">
        <v>0.66666666666666663</v>
      </c>
      <c r="G382" s="688">
        <f t="shared" si="64"/>
        <v>5.9999999999999982</v>
      </c>
      <c r="H382" s="676">
        <f>IF(D382="","",IFERROR(VLOOKUP(D382,'Resumen Empleado'!$A$4:$B$17,2,FALSE),""))</f>
        <v>16</v>
      </c>
      <c r="I382" s="676">
        <f t="shared" si="65"/>
        <v>31.999999999999993</v>
      </c>
      <c r="J382" s="676">
        <f t="shared" si="66"/>
        <v>63.999999999999986</v>
      </c>
      <c r="K382" s="676">
        <f t="shared" si="73"/>
        <v>0</v>
      </c>
      <c r="L382" s="1044">
        <f t="shared" si="67"/>
        <v>95.999999999999972</v>
      </c>
      <c r="M382" s="145" t="str">
        <f t="shared" si="68"/>
        <v/>
      </c>
      <c r="N382" s="684">
        <f t="shared" si="69"/>
        <v>46073</v>
      </c>
    </row>
    <row r="383" spans="1:14" ht="15" customHeight="1">
      <c r="A383" s="658">
        <v>46073</v>
      </c>
      <c r="B383" s="658" t="str">
        <f t="shared" si="63"/>
        <v>Vie</v>
      </c>
      <c r="C383" s="674" t="s">
        <v>146</v>
      </c>
      <c r="D383" s="885" t="s">
        <v>523</v>
      </c>
      <c r="E383" s="687">
        <v>0.26041666666666669</v>
      </c>
      <c r="F383" s="687">
        <v>0.66666666666666663</v>
      </c>
      <c r="G383" s="688">
        <f t="shared" si="64"/>
        <v>9.7499999999999982</v>
      </c>
      <c r="H383" s="676">
        <f>IF(D383="","",IFERROR(VLOOKUP(D383,'Resumen Empleado'!$A$4:$B$17,2,FALSE),""))</f>
        <v>6.39</v>
      </c>
      <c r="I383" s="676">
        <f t="shared" si="65"/>
        <v>36.7425</v>
      </c>
      <c r="J383" s="676">
        <f t="shared" si="66"/>
        <v>25.559999999999992</v>
      </c>
      <c r="K383" s="676">
        <f t="shared" si="73"/>
        <v>0</v>
      </c>
      <c r="L383" s="1044">
        <f t="shared" si="67"/>
        <v>62.302499999999995</v>
      </c>
      <c r="M383" s="145" t="str">
        <f t="shared" si="68"/>
        <v/>
      </c>
      <c r="N383" s="684">
        <f t="shared" si="69"/>
        <v>46073</v>
      </c>
    </row>
    <row r="384" spans="1:14" ht="15" customHeight="1">
      <c r="A384" s="658">
        <v>46073</v>
      </c>
      <c r="B384" s="658" t="str">
        <f t="shared" si="63"/>
        <v>Vie</v>
      </c>
      <c r="C384" s="674" t="s">
        <v>146</v>
      </c>
      <c r="D384" s="897" t="s">
        <v>532</v>
      </c>
      <c r="E384" s="687">
        <v>0.33333333333333331</v>
      </c>
      <c r="F384" s="687">
        <v>0.66666666666666663</v>
      </c>
      <c r="G384" s="688">
        <f t="shared" si="64"/>
        <v>8</v>
      </c>
      <c r="H384" s="676">
        <f>IF(D384="","",IFERROR(VLOOKUP(D384,'Resumen Empleado'!$A$4:$B$17,2,FALSE),""))</f>
        <v>5.17</v>
      </c>
      <c r="I384" s="676">
        <f t="shared" si="65"/>
        <v>20.68</v>
      </c>
      <c r="J384" s="676">
        <f t="shared" si="66"/>
        <v>20.679999999999996</v>
      </c>
      <c r="K384" s="676">
        <f t="shared" si="73"/>
        <v>0</v>
      </c>
      <c r="L384" s="1044">
        <f t="shared" si="67"/>
        <v>41.36</v>
      </c>
      <c r="M384" s="145" t="str">
        <f t="shared" si="68"/>
        <v/>
      </c>
      <c r="N384" s="684">
        <f t="shared" si="69"/>
        <v>46073</v>
      </c>
    </row>
    <row r="385" spans="1:14" ht="15" customHeight="1">
      <c r="A385" s="658">
        <v>46073</v>
      </c>
      <c r="B385" s="658" t="str">
        <f t="shared" si="63"/>
        <v>Vie</v>
      </c>
      <c r="C385" s="674" t="s">
        <v>497</v>
      </c>
      <c r="D385" s="885" t="s">
        <v>522</v>
      </c>
      <c r="E385" s="687">
        <v>0.79166666666666663</v>
      </c>
      <c r="F385" s="687">
        <v>0.91666666666666663</v>
      </c>
      <c r="G385" s="688">
        <f t="shared" si="64"/>
        <v>3</v>
      </c>
      <c r="H385" s="676">
        <f>IF(D385="","",IFERROR(VLOOKUP(D385,'Resumen Empleado'!$A$4:$B$17,2,FALSE),""))</f>
        <v>10</v>
      </c>
      <c r="I385" s="676">
        <f t="shared" si="65"/>
        <v>0</v>
      </c>
      <c r="J385" s="676">
        <f t="shared" si="66"/>
        <v>0</v>
      </c>
      <c r="K385" s="676">
        <f t="shared" si="73"/>
        <v>30</v>
      </c>
      <c r="L385" s="1044">
        <f t="shared" si="67"/>
        <v>30</v>
      </c>
      <c r="M385" s="145" t="str">
        <f t="shared" si="68"/>
        <v/>
      </c>
      <c r="N385" s="684">
        <f t="shared" si="69"/>
        <v>46073</v>
      </c>
    </row>
    <row r="386" spans="1:14" ht="15" customHeight="1">
      <c r="A386" s="658">
        <v>46073</v>
      </c>
      <c r="B386" s="658" t="str">
        <f t="shared" si="63"/>
        <v>Vie</v>
      </c>
      <c r="C386" s="674" t="s">
        <v>497</v>
      </c>
      <c r="D386" s="885" t="s">
        <v>529</v>
      </c>
      <c r="E386" s="687">
        <v>0.875</v>
      </c>
      <c r="F386" s="687">
        <v>0</v>
      </c>
      <c r="G386" s="688">
        <f t="shared" si="64"/>
        <v>3</v>
      </c>
      <c r="H386" s="676">
        <f>IF(D386="","",IFERROR(VLOOKUP(D386,'Resumen Empleado'!$A$4:$B$17,2,FALSE),""))</f>
        <v>8</v>
      </c>
      <c r="I386" s="676">
        <f t="shared" si="65"/>
        <v>0</v>
      </c>
      <c r="J386" s="676">
        <f t="shared" si="66"/>
        <v>0</v>
      </c>
      <c r="K386" s="676">
        <f t="shared" si="73"/>
        <v>24</v>
      </c>
      <c r="L386" s="1044">
        <f t="shared" si="67"/>
        <v>24</v>
      </c>
      <c r="M386" s="145" t="str">
        <f t="shared" si="68"/>
        <v/>
      </c>
      <c r="N386" s="684">
        <f t="shared" si="69"/>
        <v>46073</v>
      </c>
    </row>
    <row r="387" spans="1:14" ht="15" customHeight="1">
      <c r="A387" s="658">
        <v>46073</v>
      </c>
      <c r="B387" s="658" t="str">
        <f t="shared" si="63"/>
        <v>Vie</v>
      </c>
      <c r="C387" s="674" t="s">
        <v>497</v>
      </c>
      <c r="D387" s="885" t="s">
        <v>523</v>
      </c>
      <c r="E387" s="687">
        <v>0.79166666666666663</v>
      </c>
      <c r="F387" s="687">
        <v>0.95833333333333337</v>
      </c>
      <c r="G387" s="688">
        <f t="shared" si="64"/>
        <v>4.0000000000000018</v>
      </c>
      <c r="H387" s="676">
        <f>IF(D387="","",IFERROR(VLOOKUP(D387,'Resumen Empleado'!$A$4:$B$17,2,FALSE),""))</f>
        <v>6.39</v>
      </c>
      <c r="I387" s="676">
        <f t="shared" si="65"/>
        <v>0</v>
      </c>
      <c r="J387" s="676">
        <f t="shared" si="66"/>
        <v>0</v>
      </c>
      <c r="K387" s="676">
        <f t="shared" si="73"/>
        <v>25.560000000000009</v>
      </c>
      <c r="L387" s="1044">
        <f t="shared" si="67"/>
        <v>25.560000000000009</v>
      </c>
      <c r="M387" s="145" t="str">
        <f t="shared" si="68"/>
        <v/>
      </c>
      <c r="N387" s="684">
        <f t="shared" si="69"/>
        <v>46073</v>
      </c>
    </row>
    <row r="388" spans="1:14" ht="15" customHeight="1">
      <c r="A388" s="658">
        <v>46073</v>
      </c>
      <c r="B388" s="658" t="str">
        <f t="shared" si="63"/>
        <v>Vie</v>
      </c>
      <c r="C388" s="674" t="s">
        <v>497</v>
      </c>
      <c r="D388" s="885" t="s">
        <v>526</v>
      </c>
      <c r="E388" s="687">
        <v>0.83333333333333337</v>
      </c>
      <c r="F388" s="687">
        <v>0</v>
      </c>
      <c r="G388" s="688">
        <f t="shared" si="64"/>
        <v>3.9999999999999991</v>
      </c>
      <c r="H388" s="676">
        <f>IF(D388="","",IFERROR(VLOOKUP(D388,'Resumen Empleado'!$A$4:$B$17,2,FALSE),""))</f>
        <v>16</v>
      </c>
      <c r="I388" s="676">
        <f t="shared" si="65"/>
        <v>0</v>
      </c>
      <c r="J388" s="676">
        <f t="shared" si="66"/>
        <v>0</v>
      </c>
      <c r="K388" s="676">
        <f t="shared" si="73"/>
        <v>63.999999999999986</v>
      </c>
      <c r="L388" s="1044">
        <f t="shared" si="67"/>
        <v>63.999999999999986</v>
      </c>
      <c r="M388" s="145" t="str">
        <f t="shared" si="68"/>
        <v/>
      </c>
      <c r="N388" s="684">
        <f t="shared" si="69"/>
        <v>46073</v>
      </c>
    </row>
    <row r="389" spans="1:14" ht="15" customHeight="1">
      <c r="A389" s="658">
        <v>46073</v>
      </c>
      <c r="B389" s="658" t="str">
        <f t="shared" ref="B389:B452" si="74">IF(A389="","",PROPER(TEXT(A389,"ddd")))</f>
        <v>Vie</v>
      </c>
      <c r="C389" s="674" t="s">
        <v>497</v>
      </c>
      <c r="D389" s="885" t="s">
        <v>532</v>
      </c>
      <c r="E389" s="687">
        <v>0.83333333333333337</v>
      </c>
      <c r="F389" s="687">
        <v>0</v>
      </c>
      <c r="G389" s="688">
        <f t="shared" ref="G389:G452" si="75">IF(F389&lt;E389,F389+1-E389,F389-E389)*24</f>
        <v>3.9999999999999991</v>
      </c>
      <c r="H389" s="676">
        <f>IF(D389="","",IFERROR(VLOOKUP(D389,'Resumen Empleado'!$A$4:$B$17,2,FALSE),""))</f>
        <v>5.17</v>
      </c>
      <c r="I389" s="676">
        <f t="shared" ref="I389:I452" si="76">IF(OR(E389="",F389="",H389=""),0,MAX(0,(MIN(IF(F389&lt;E389,F389+1,F389),TIME(12,0,0))-MAX(E389,TIME(5,0,0))))*24*H389)</f>
        <v>0</v>
      </c>
      <c r="J389" s="676">
        <f t="shared" ref="J389:J452" si="77">IF(OR(E389="",F389="",H389=""),0,MAX(0,(MIN(IF(F389&lt;E389,F389+1,F389),TIME(19,0,0))-MAX(E389,TIME(12,0,0))))*24*H389)</f>
        <v>0</v>
      </c>
      <c r="K389" s="676">
        <f t="shared" si="73"/>
        <v>20.679999999999996</v>
      </c>
      <c r="L389" s="1044">
        <f t="shared" ref="L389:L452" si="78">SUM(I389:K389)</f>
        <v>20.679999999999996</v>
      </c>
      <c r="M389" s="145" t="str">
        <f t="shared" ref="M389:M452" si="79">IF(A389="","",IF(G389&gt;12,"⚠ Verificar",""))</f>
        <v/>
      </c>
      <c r="N389" s="684">
        <f t="shared" ref="N389:N452" si="80">IF(A389="","",IF(ISNUMBER(A389),A389,DATE(VALUE(RIGHT(A389,4)),VALUE(MID(A389,4,2)),VALUE(LEFT(A389,2)))))</f>
        <v>46073</v>
      </c>
    </row>
    <row r="390" spans="1:14" ht="15" customHeight="1">
      <c r="A390" s="658">
        <v>46073</v>
      </c>
      <c r="B390" s="658" t="str">
        <f t="shared" si="74"/>
        <v>Vie</v>
      </c>
      <c r="C390" s="674" t="s">
        <v>497</v>
      </c>
      <c r="D390" s="897" t="s">
        <v>527</v>
      </c>
      <c r="E390" s="687">
        <v>0.8125</v>
      </c>
      <c r="F390" s="687">
        <v>0.89583333333333337</v>
      </c>
      <c r="G390" s="688">
        <f t="shared" si="75"/>
        <v>2.0000000000000009</v>
      </c>
      <c r="H390" s="676" t="str">
        <f>IF(D390="","",IFERROR(VLOOKUP(D390,'Resumen Empleado'!$A$4:$B$17,2,FALSE),""))</f>
        <v/>
      </c>
      <c r="I390" s="676">
        <f t="shared" si="76"/>
        <v>0</v>
      </c>
      <c r="J390" s="676">
        <f t="shared" si="77"/>
        <v>0</v>
      </c>
      <c r="K390" s="676">
        <f t="shared" si="73"/>
        <v>0</v>
      </c>
      <c r="L390" s="1044">
        <f t="shared" si="78"/>
        <v>0</v>
      </c>
      <c r="M390" s="145" t="str">
        <f t="shared" si="79"/>
        <v/>
      </c>
      <c r="N390" s="684">
        <f t="shared" si="80"/>
        <v>46073</v>
      </c>
    </row>
    <row r="391" spans="1:14" ht="15" customHeight="1">
      <c r="A391" s="658">
        <v>46073</v>
      </c>
      <c r="B391" s="658" t="str">
        <f t="shared" si="74"/>
        <v>Vie</v>
      </c>
      <c r="C391" s="674" t="s">
        <v>146</v>
      </c>
      <c r="D391" s="885" t="s">
        <v>528</v>
      </c>
      <c r="E391" s="687">
        <v>0.33333333333333331</v>
      </c>
      <c r="F391" s="687">
        <v>0.66666666666666663</v>
      </c>
      <c r="G391" s="688">
        <f t="shared" si="75"/>
        <v>8</v>
      </c>
      <c r="H391" s="676">
        <f>IF(D391="","",IFERROR(VLOOKUP(D391,'Resumen Empleado'!$A$4:$B$17,2,FALSE),""))</f>
        <v>11</v>
      </c>
      <c r="I391" s="676">
        <f t="shared" si="76"/>
        <v>44</v>
      </c>
      <c r="J391" s="676">
        <f t="shared" si="77"/>
        <v>43.999999999999993</v>
      </c>
      <c r="K391" s="676">
        <f>IF(OR(E391="",F391="",H391=""),0,MAX(0,(MIN(IF(F391&lt;E391,1+F391,F391),1+TIME(5,0,0))-MAX(E391,TIME(19,0,0))))*24*H391)</f>
        <v>0</v>
      </c>
      <c r="L391" s="1044">
        <f t="shared" si="78"/>
        <v>88</v>
      </c>
      <c r="M391" s="145" t="str">
        <f t="shared" si="79"/>
        <v/>
      </c>
      <c r="N391" s="684">
        <f t="shared" si="80"/>
        <v>46073</v>
      </c>
    </row>
    <row r="392" spans="1:14" ht="15" customHeight="1">
      <c r="A392" s="658">
        <v>46074</v>
      </c>
      <c r="B392" s="658" t="str">
        <f t="shared" si="74"/>
        <v>Sáb</v>
      </c>
      <c r="C392" s="674" t="s">
        <v>146</v>
      </c>
      <c r="D392" s="885" t="s">
        <v>523</v>
      </c>
      <c r="E392" s="687">
        <v>0.30208333333333331</v>
      </c>
      <c r="F392" s="687">
        <v>0.6875</v>
      </c>
      <c r="G392" s="688">
        <f t="shared" si="75"/>
        <v>9.25</v>
      </c>
      <c r="H392" s="676">
        <f>IF(D392="","",IFERROR(VLOOKUP(D392,'Resumen Empleado'!$A$4:$B$17,2,FALSE),""))</f>
        <v>6.39</v>
      </c>
      <c r="I392" s="676">
        <f t="shared" si="76"/>
        <v>30.352499999999999</v>
      </c>
      <c r="J392" s="676">
        <f t="shared" si="77"/>
        <v>28.754999999999999</v>
      </c>
      <c r="K392" s="676">
        <f t="shared" ref="K392:K404" si="81">IF(OR(E392="",F392="",H392=""),0,MAX(0,(MIN(IF(F392&lt;E392,F392+1,F392),1+TIME(5,0,0))-MAX(E392,TIME(19,0,0))))*24*H392)</f>
        <v>0</v>
      </c>
      <c r="L392" s="1044">
        <f t="shared" si="78"/>
        <v>59.107500000000002</v>
      </c>
      <c r="M392" s="145" t="str">
        <f t="shared" si="79"/>
        <v/>
      </c>
      <c r="N392" s="684">
        <f t="shared" si="80"/>
        <v>46074</v>
      </c>
    </row>
    <row r="393" spans="1:14" ht="15" customHeight="1">
      <c r="A393" s="658">
        <v>46074</v>
      </c>
      <c r="B393" s="658" t="str">
        <f t="shared" si="74"/>
        <v>Sáb</v>
      </c>
      <c r="C393" s="674" t="s">
        <v>146</v>
      </c>
      <c r="D393" s="885" t="s">
        <v>526</v>
      </c>
      <c r="E393" s="687">
        <v>0.375</v>
      </c>
      <c r="F393" s="687">
        <v>0.6875</v>
      </c>
      <c r="G393" s="688">
        <f t="shared" si="75"/>
        <v>7.5</v>
      </c>
      <c r="H393" s="676">
        <f>IF(D393="","",IFERROR(VLOOKUP(D393,'Resumen Empleado'!$A$4:$B$17,2,FALSE),""))</f>
        <v>16</v>
      </c>
      <c r="I393" s="676">
        <f t="shared" si="76"/>
        <v>48</v>
      </c>
      <c r="J393" s="676">
        <f t="shared" si="77"/>
        <v>72</v>
      </c>
      <c r="K393" s="676">
        <f t="shared" si="81"/>
        <v>0</v>
      </c>
      <c r="L393" s="1044">
        <f t="shared" si="78"/>
        <v>120</v>
      </c>
      <c r="M393" s="145" t="str">
        <f t="shared" si="79"/>
        <v/>
      </c>
      <c r="N393" s="684">
        <f t="shared" si="80"/>
        <v>46074</v>
      </c>
    </row>
    <row r="394" spans="1:14" ht="15" customHeight="1">
      <c r="A394" s="658">
        <v>46074</v>
      </c>
      <c r="B394" s="658" t="str">
        <f t="shared" si="74"/>
        <v>Sáb</v>
      </c>
      <c r="C394" s="674" t="s">
        <v>146</v>
      </c>
      <c r="D394" s="885" t="s">
        <v>525</v>
      </c>
      <c r="E394" s="687">
        <v>0.375</v>
      </c>
      <c r="F394" s="687">
        <v>0.70833333333333337</v>
      </c>
      <c r="G394" s="688">
        <f t="shared" si="75"/>
        <v>8</v>
      </c>
      <c r="H394" s="676">
        <f>IF(D394="","",IFERROR(VLOOKUP(D394,'Resumen Empleado'!$A$4:$B$17,2,FALSE),""))</f>
        <v>7.25</v>
      </c>
      <c r="I394" s="676">
        <f t="shared" si="76"/>
        <v>21.75</v>
      </c>
      <c r="J394" s="676">
        <f t="shared" si="77"/>
        <v>36.250000000000007</v>
      </c>
      <c r="K394" s="676">
        <f t="shared" si="81"/>
        <v>0</v>
      </c>
      <c r="L394" s="1044">
        <f t="shared" si="78"/>
        <v>58.000000000000007</v>
      </c>
      <c r="M394" s="145" t="str">
        <f t="shared" si="79"/>
        <v/>
      </c>
      <c r="N394" s="684">
        <f t="shared" si="80"/>
        <v>46074</v>
      </c>
    </row>
    <row r="395" spans="1:14" ht="15" customHeight="1">
      <c r="A395" s="658">
        <v>46074</v>
      </c>
      <c r="B395" s="658" t="str">
        <f t="shared" si="74"/>
        <v>Sáb</v>
      </c>
      <c r="C395" s="674" t="s">
        <v>146</v>
      </c>
      <c r="D395" s="885" t="s">
        <v>529</v>
      </c>
      <c r="E395" s="687">
        <v>0.5625</v>
      </c>
      <c r="F395" s="687">
        <v>0.6875</v>
      </c>
      <c r="G395" s="688">
        <f t="shared" si="75"/>
        <v>3</v>
      </c>
      <c r="H395" s="676">
        <f>IF(D395="","",IFERROR(VLOOKUP(D395,'Resumen Empleado'!$A$4:$B$17,2,FALSE),""))</f>
        <v>8</v>
      </c>
      <c r="I395" s="676">
        <f t="shared" si="76"/>
        <v>0</v>
      </c>
      <c r="J395" s="676">
        <f t="shared" si="77"/>
        <v>24</v>
      </c>
      <c r="K395" s="676">
        <f t="shared" si="81"/>
        <v>0</v>
      </c>
      <c r="L395" s="1044">
        <f t="shared" si="78"/>
        <v>24</v>
      </c>
      <c r="M395" s="145" t="str">
        <f t="shared" si="79"/>
        <v/>
      </c>
      <c r="N395" s="684">
        <f t="shared" si="80"/>
        <v>46074</v>
      </c>
    </row>
    <row r="396" spans="1:14" ht="15" customHeight="1">
      <c r="A396" s="658">
        <v>46074</v>
      </c>
      <c r="B396" s="658" t="str">
        <f t="shared" si="74"/>
        <v>Sáb</v>
      </c>
      <c r="C396" s="674" t="s">
        <v>146</v>
      </c>
      <c r="D396" s="897" t="s">
        <v>522</v>
      </c>
      <c r="E396" s="687">
        <v>0.5</v>
      </c>
      <c r="F396" s="687">
        <v>0.70833333333333337</v>
      </c>
      <c r="G396" s="688">
        <f t="shared" si="75"/>
        <v>5.0000000000000009</v>
      </c>
      <c r="H396" s="676">
        <f>IF(D396="","",IFERROR(VLOOKUP(D396,'Resumen Empleado'!$A$4:$B$17,2,FALSE),""))</f>
        <v>10</v>
      </c>
      <c r="I396" s="676">
        <f t="shared" si="76"/>
        <v>0</v>
      </c>
      <c r="J396" s="676">
        <f t="shared" si="77"/>
        <v>50.000000000000007</v>
      </c>
      <c r="K396" s="676">
        <f t="shared" si="81"/>
        <v>0</v>
      </c>
      <c r="L396" s="1044">
        <f t="shared" si="78"/>
        <v>50.000000000000007</v>
      </c>
      <c r="M396" s="145" t="str">
        <f t="shared" si="79"/>
        <v/>
      </c>
      <c r="N396" s="684">
        <f t="shared" si="80"/>
        <v>46074</v>
      </c>
    </row>
    <row r="397" spans="1:14" ht="15" customHeight="1">
      <c r="A397" s="658">
        <v>46074</v>
      </c>
      <c r="B397" s="658" t="str">
        <f t="shared" si="74"/>
        <v>Sáb</v>
      </c>
      <c r="C397" s="674" t="s">
        <v>146</v>
      </c>
      <c r="D397" s="885" t="s">
        <v>532</v>
      </c>
      <c r="E397" s="687">
        <v>0.33333333333333331</v>
      </c>
      <c r="F397" s="687">
        <v>0.6875</v>
      </c>
      <c r="G397" s="688">
        <f t="shared" si="75"/>
        <v>8.5</v>
      </c>
      <c r="H397" s="676">
        <f>IF(D397="","",IFERROR(VLOOKUP(D397,'Resumen Empleado'!$A$4:$B$17,2,FALSE),""))</f>
        <v>5.17</v>
      </c>
      <c r="I397" s="676">
        <f t="shared" si="76"/>
        <v>20.68</v>
      </c>
      <c r="J397" s="676">
        <f t="shared" si="77"/>
        <v>23.265000000000001</v>
      </c>
      <c r="K397" s="676">
        <f t="shared" si="81"/>
        <v>0</v>
      </c>
      <c r="L397" s="1044">
        <f t="shared" si="78"/>
        <v>43.945</v>
      </c>
      <c r="M397" s="145" t="str">
        <f t="shared" si="79"/>
        <v/>
      </c>
      <c r="N397" s="684">
        <f t="shared" si="80"/>
        <v>46074</v>
      </c>
    </row>
    <row r="398" spans="1:14" ht="15" customHeight="1">
      <c r="A398" s="658">
        <v>46074</v>
      </c>
      <c r="B398" s="658" t="str">
        <f t="shared" si="74"/>
        <v>Sáb</v>
      </c>
      <c r="C398" s="674" t="s">
        <v>497</v>
      </c>
      <c r="D398" s="885" t="s">
        <v>522</v>
      </c>
      <c r="E398" s="687">
        <v>0.79166666666666663</v>
      </c>
      <c r="F398" s="687">
        <v>0.95833333333333337</v>
      </c>
      <c r="G398" s="688">
        <f t="shared" si="75"/>
        <v>4.0000000000000018</v>
      </c>
      <c r="H398" s="676">
        <f>IF(D398="","",IFERROR(VLOOKUP(D398,'Resumen Empleado'!$A$4:$B$17,2,FALSE),""))</f>
        <v>10</v>
      </c>
      <c r="I398" s="676">
        <f t="shared" si="76"/>
        <v>0</v>
      </c>
      <c r="J398" s="676">
        <f t="shared" si="77"/>
        <v>0</v>
      </c>
      <c r="K398" s="676">
        <f t="shared" si="81"/>
        <v>40.000000000000014</v>
      </c>
      <c r="L398" s="1044">
        <f t="shared" si="78"/>
        <v>40.000000000000014</v>
      </c>
      <c r="M398" s="145" t="str">
        <f t="shared" si="79"/>
        <v/>
      </c>
      <c r="N398" s="684">
        <f t="shared" si="80"/>
        <v>46074</v>
      </c>
    </row>
    <row r="399" spans="1:14" ht="15" customHeight="1">
      <c r="A399" s="658">
        <v>46074</v>
      </c>
      <c r="B399" s="658" t="str">
        <f t="shared" si="74"/>
        <v>Sáb</v>
      </c>
      <c r="C399" s="674" t="s">
        <v>497</v>
      </c>
      <c r="D399" s="885" t="s">
        <v>523</v>
      </c>
      <c r="E399" s="687">
        <v>0.83333333333333337</v>
      </c>
      <c r="F399" s="687">
        <v>0</v>
      </c>
      <c r="G399" s="688">
        <f t="shared" si="75"/>
        <v>3.9999999999999991</v>
      </c>
      <c r="H399" s="676">
        <f>IF(D399="","",IFERROR(VLOOKUP(D399,'Resumen Empleado'!$A$4:$B$17,2,FALSE),""))</f>
        <v>6.39</v>
      </c>
      <c r="I399" s="676">
        <f t="shared" si="76"/>
        <v>0</v>
      </c>
      <c r="J399" s="676">
        <f t="shared" si="77"/>
        <v>0</v>
      </c>
      <c r="K399" s="676">
        <f t="shared" si="81"/>
        <v>25.559999999999992</v>
      </c>
      <c r="L399" s="1044">
        <f t="shared" si="78"/>
        <v>25.559999999999992</v>
      </c>
      <c r="M399" s="145" t="str">
        <f t="shared" si="79"/>
        <v/>
      </c>
      <c r="N399" s="684">
        <f t="shared" si="80"/>
        <v>46074</v>
      </c>
    </row>
    <row r="400" spans="1:14" ht="15" customHeight="1">
      <c r="A400" s="658">
        <v>46074</v>
      </c>
      <c r="B400" s="658" t="str">
        <f t="shared" si="74"/>
        <v>Sáb</v>
      </c>
      <c r="C400" s="674" t="s">
        <v>497</v>
      </c>
      <c r="D400" s="885" t="s">
        <v>526</v>
      </c>
      <c r="E400" s="687">
        <v>0.79166666666666663</v>
      </c>
      <c r="F400" s="687">
        <v>0</v>
      </c>
      <c r="G400" s="688">
        <f t="shared" si="75"/>
        <v>5.0000000000000009</v>
      </c>
      <c r="H400" s="676">
        <f>IF(D400="","",IFERROR(VLOOKUP(D400,'Resumen Empleado'!$A$4:$B$17,2,FALSE),""))</f>
        <v>16</v>
      </c>
      <c r="I400" s="676">
        <f t="shared" si="76"/>
        <v>0</v>
      </c>
      <c r="J400" s="676">
        <f t="shared" si="77"/>
        <v>0</v>
      </c>
      <c r="K400" s="676">
        <f t="shared" si="81"/>
        <v>80.000000000000014</v>
      </c>
      <c r="L400" s="1044">
        <f t="shared" si="78"/>
        <v>80.000000000000014</v>
      </c>
      <c r="M400" s="145" t="str">
        <f t="shared" si="79"/>
        <v/>
      </c>
      <c r="N400" s="684">
        <f t="shared" si="80"/>
        <v>46074</v>
      </c>
    </row>
    <row r="401" spans="1:14" ht="15" customHeight="1">
      <c r="A401" s="658">
        <v>46074</v>
      </c>
      <c r="B401" s="658" t="str">
        <f t="shared" si="74"/>
        <v>Sáb</v>
      </c>
      <c r="C401" s="674" t="s">
        <v>497</v>
      </c>
      <c r="D401" s="885" t="s">
        <v>525</v>
      </c>
      <c r="E401" s="687">
        <v>0.79166666666666663</v>
      </c>
      <c r="F401" s="687">
        <v>0</v>
      </c>
      <c r="G401" s="688">
        <f t="shared" si="75"/>
        <v>5.0000000000000009</v>
      </c>
      <c r="H401" s="676">
        <f>IF(D401="","",IFERROR(VLOOKUP(D401,'Resumen Empleado'!$A$4:$B$17,2,FALSE),""))</f>
        <v>7.25</v>
      </c>
      <c r="I401" s="676">
        <f t="shared" si="76"/>
        <v>0</v>
      </c>
      <c r="J401" s="676">
        <f t="shared" si="77"/>
        <v>0</v>
      </c>
      <c r="K401" s="676">
        <f t="shared" si="81"/>
        <v>36.250000000000007</v>
      </c>
      <c r="L401" s="1044">
        <f t="shared" si="78"/>
        <v>36.250000000000007</v>
      </c>
      <c r="M401" s="145" t="str">
        <f t="shared" si="79"/>
        <v/>
      </c>
      <c r="N401" s="684">
        <f t="shared" si="80"/>
        <v>46074</v>
      </c>
    </row>
    <row r="402" spans="1:14" ht="15" customHeight="1">
      <c r="A402" s="658">
        <v>46074</v>
      </c>
      <c r="B402" s="658" t="str">
        <f t="shared" si="74"/>
        <v>Sáb</v>
      </c>
      <c r="C402" s="674" t="s">
        <v>497</v>
      </c>
      <c r="D402" s="885" t="s">
        <v>532</v>
      </c>
      <c r="E402" s="687">
        <v>0.83333333333333337</v>
      </c>
      <c r="F402" s="687">
        <v>0</v>
      </c>
      <c r="G402" s="688">
        <f t="shared" si="75"/>
        <v>3.9999999999999991</v>
      </c>
      <c r="H402" s="676">
        <f>IF(D402="","",IFERROR(VLOOKUP(D402,'Resumen Empleado'!$A$4:$B$17,2,FALSE),""))</f>
        <v>5.17</v>
      </c>
      <c r="I402" s="676">
        <f t="shared" si="76"/>
        <v>0</v>
      </c>
      <c r="J402" s="676">
        <f t="shared" si="77"/>
        <v>0</v>
      </c>
      <c r="K402" s="676">
        <f t="shared" si="81"/>
        <v>20.679999999999996</v>
      </c>
      <c r="L402" s="1044">
        <f t="shared" si="78"/>
        <v>20.679999999999996</v>
      </c>
      <c r="M402" s="145" t="str">
        <f t="shared" si="79"/>
        <v/>
      </c>
      <c r="N402" s="684">
        <f t="shared" si="80"/>
        <v>46074</v>
      </c>
    </row>
    <row r="403" spans="1:14" ht="15" customHeight="1">
      <c r="A403" s="658">
        <v>46074</v>
      </c>
      <c r="B403" s="658" t="str">
        <f t="shared" si="74"/>
        <v>Sáb</v>
      </c>
      <c r="C403" s="674" t="s">
        <v>497</v>
      </c>
      <c r="D403" s="885" t="s">
        <v>529</v>
      </c>
      <c r="E403" s="687">
        <v>0.875</v>
      </c>
      <c r="F403" s="687">
        <v>0</v>
      </c>
      <c r="G403" s="688">
        <f t="shared" si="75"/>
        <v>3</v>
      </c>
      <c r="H403" s="676">
        <f>IF(D403="","",IFERROR(VLOOKUP(D403,'Resumen Empleado'!$A$4:$B$17,2,FALSE),""))</f>
        <v>8</v>
      </c>
      <c r="I403" s="676">
        <f t="shared" si="76"/>
        <v>0</v>
      </c>
      <c r="J403" s="676">
        <f t="shared" si="77"/>
        <v>0</v>
      </c>
      <c r="K403" s="676">
        <f t="shared" si="81"/>
        <v>24</v>
      </c>
      <c r="L403" s="1044">
        <f t="shared" si="78"/>
        <v>24</v>
      </c>
      <c r="M403" s="145" t="str">
        <f t="shared" si="79"/>
        <v/>
      </c>
      <c r="N403" s="684">
        <f t="shared" si="80"/>
        <v>46074</v>
      </c>
    </row>
    <row r="404" spans="1:14" ht="15" customHeight="1">
      <c r="A404" s="658">
        <v>46074</v>
      </c>
      <c r="B404" s="658" t="str">
        <f t="shared" si="74"/>
        <v>Sáb</v>
      </c>
      <c r="C404" s="674" t="s">
        <v>497</v>
      </c>
      <c r="D404" s="897" t="s">
        <v>531</v>
      </c>
      <c r="E404" s="687">
        <v>0.875</v>
      </c>
      <c r="F404" s="687">
        <v>0</v>
      </c>
      <c r="G404" s="688">
        <f t="shared" si="75"/>
        <v>3</v>
      </c>
      <c r="H404" s="676">
        <f>IF(D404="","",IFERROR(VLOOKUP(D404,'Resumen Empleado'!$A$4:$B$17,2,FALSE),""))</f>
        <v>8</v>
      </c>
      <c r="I404" s="676">
        <f t="shared" si="76"/>
        <v>0</v>
      </c>
      <c r="J404" s="676">
        <f t="shared" si="77"/>
        <v>0</v>
      </c>
      <c r="K404" s="676">
        <f t="shared" si="81"/>
        <v>24</v>
      </c>
      <c r="L404" s="1044">
        <f t="shared" si="78"/>
        <v>24</v>
      </c>
      <c r="M404" s="145" t="str">
        <f t="shared" si="79"/>
        <v/>
      </c>
      <c r="N404" s="684">
        <f t="shared" si="80"/>
        <v>46074</v>
      </c>
    </row>
    <row r="405" spans="1:14" ht="15" customHeight="1">
      <c r="A405" s="658">
        <v>46074</v>
      </c>
      <c r="B405" s="658" t="str">
        <f t="shared" si="74"/>
        <v>Sáb</v>
      </c>
      <c r="C405" s="674" t="s">
        <v>146</v>
      </c>
      <c r="D405" s="885" t="s">
        <v>528</v>
      </c>
      <c r="E405" s="687">
        <v>0.33333333333333331</v>
      </c>
      <c r="F405" s="687">
        <v>0.66666666666666663</v>
      </c>
      <c r="G405" s="688">
        <f t="shared" si="75"/>
        <v>8</v>
      </c>
      <c r="H405" s="676">
        <f>IF(D405="","",IFERROR(VLOOKUP(D405,'Resumen Empleado'!$A$4:$B$17,2,FALSE),""))</f>
        <v>11</v>
      </c>
      <c r="I405" s="676">
        <f t="shared" si="76"/>
        <v>44</v>
      </c>
      <c r="J405" s="676">
        <f t="shared" si="77"/>
        <v>43.999999999999993</v>
      </c>
      <c r="K405" s="676">
        <f>IF(OR(E405="",F405="",H405=""),0,MAX(0,(MIN(IF(F405&lt;E405,1+F405,F405),1+TIME(5,0,0))-MAX(E405,TIME(19,0,0))))*24*H405)</f>
        <v>0</v>
      </c>
      <c r="L405" s="1044">
        <f t="shared" si="78"/>
        <v>88</v>
      </c>
      <c r="M405" s="145" t="str">
        <f t="shared" si="79"/>
        <v/>
      </c>
      <c r="N405" s="684">
        <f t="shared" si="80"/>
        <v>46074</v>
      </c>
    </row>
    <row r="406" spans="1:14" ht="15" customHeight="1">
      <c r="A406" s="658">
        <v>46075</v>
      </c>
      <c r="B406" s="658" t="str">
        <f t="shared" si="74"/>
        <v>Dom</v>
      </c>
      <c r="C406" s="674" t="s">
        <v>146</v>
      </c>
      <c r="D406" s="885" t="s">
        <v>522</v>
      </c>
      <c r="E406" s="687">
        <v>0.33333333333333331</v>
      </c>
      <c r="F406" s="687">
        <v>0.72916666666666663</v>
      </c>
      <c r="G406" s="688">
        <f t="shared" si="75"/>
        <v>9.5</v>
      </c>
      <c r="H406" s="676">
        <f>IF(D406="","",IFERROR(VLOOKUP(D406,'Resumen Empleado'!$A$4:$B$17,2,FALSE),""))</f>
        <v>10</v>
      </c>
      <c r="I406" s="676">
        <f t="shared" si="76"/>
        <v>40</v>
      </c>
      <c r="J406" s="676">
        <f t="shared" si="77"/>
        <v>54.999999999999993</v>
      </c>
      <c r="K406" s="676">
        <f t="shared" ref="K406:K421" si="82">IF(OR(E406="",F406="",H406=""),0,MAX(0,(MIN(IF(F406&lt;E406,F406+1,F406),1+TIME(5,0,0))-MAX(E406,TIME(19,0,0))))*24*H406)</f>
        <v>0</v>
      </c>
      <c r="L406" s="1044">
        <f t="shared" si="78"/>
        <v>95</v>
      </c>
      <c r="M406" s="145" t="str">
        <f t="shared" si="79"/>
        <v/>
      </c>
      <c r="N406" s="684">
        <f t="shared" si="80"/>
        <v>46075</v>
      </c>
    </row>
    <row r="407" spans="1:14" ht="15" customHeight="1">
      <c r="A407" s="658">
        <v>46075</v>
      </c>
      <c r="B407" s="658" t="str">
        <f t="shared" si="74"/>
        <v>Dom</v>
      </c>
      <c r="C407" s="674" t="s">
        <v>146</v>
      </c>
      <c r="D407" s="885" t="s">
        <v>525</v>
      </c>
      <c r="E407" s="687">
        <v>0.375</v>
      </c>
      <c r="F407" s="687">
        <v>0.75</v>
      </c>
      <c r="G407" s="688">
        <f t="shared" si="75"/>
        <v>9</v>
      </c>
      <c r="H407" s="676">
        <f>IF(D407="","",IFERROR(VLOOKUP(D407,'Resumen Empleado'!$A$4:$B$17,2,FALSE),""))</f>
        <v>7.25</v>
      </c>
      <c r="I407" s="676">
        <f t="shared" si="76"/>
        <v>21.75</v>
      </c>
      <c r="J407" s="676">
        <f t="shared" si="77"/>
        <v>43.5</v>
      </c>
      <c r="K407" s="676">
        <f t="shared" si="82"/>
        <v>0</v>
      </c>
      <c r="L407" s="1044">
        <f t="shared" si="78"/>
        <v>65.25</v>
      </c>
      <c r="M407" s="145" t="str">
        <f t="shared" si="79"/>
        <v/>
      </c>
      <c r="N407" s="684">
        <f t="shared" si="80"/>
        <v>46075</v>
      </c>
    </row>
    <row r="408" spans="1:14" ht="15" customHeight="1">
      <c r="A408" s="658">
        <v>46075</v>
      </c>
      <c r="B408" s="658" t="str">
        <f t="shared" si="74"/>
        <v>Dom</v>
      </c>
      <c r="C408" s="674" t="s">
        <v>146</v>
      </c>
      <c r="D408" s="885" t="s">
        <v>526</v>
      </c>
      <c r="E408" s="687">
        <v>0.4375</v>
      </c>
      <c r="F408" s="687">
        <v>0.75</v>
      </c>
      <c r="G408" s="688">
        <f t="shared" si="75"/>
        <v>7.5</v>
      </c>
      <c r="H408" s="676">
        <f>IF(D408="","",IFERROR(VLOOKUP(D408,'Resumen Empleado'!$A$4:$B$17,2,FALSE),""))</f>
        <v>16</v>
      </c>
      <c r="I408" s="676">
        <f t="shared" si="76"/>
        <v>24</v>
      </c>
      <c r="J408" s="676">
        <f t="shared" si="77"/>
        <v>96</v>
      </c>
      <c r="K408" s="676">
        <f t="shared" si="82"/>
        <v>0</v>
      </c>
      <c r="L408" s="1044">
        <f t="shared" si="78"/>
        <v>120</v>
      </c>
      <c r="M408" s="145" t="str">
        <f t="shared" si="79"/>
        <v/>
      </c>
      <c r="N408" s="684">
        <f t="shared" si="80"/>
        <v>46075</v>
      </c>
    </row>
    <row r="409" spans="1:14" ht="15" customHeight="1">
      <c r="A409" s="658">
        <v>46075</v>
      </c>
      <c r="B409" s="658" t="str">
        <f t="shared" si="74"/>
        <v>Dom</v>
      </c>
      <c r="C409" s="674" t="s">
        <v>146</v>
      </c>
      <c r="D409" s="885" t="s">
        <v>523</v>
      </c>
      <c r="E409" s="687">
        <v>0.30208333333333331</v>
      </c>
      <c r="F409" s="687">
        <v>0.75</v>
      </c>
      <c r="G409" s="688">
        <f t="shared" si="75"/>
        <v>10.75</v>
      </c>
      <c r="H409" s="676">
        <f>IF(D409="","",IFERROR(VLOOKUP(D409,'Resumen Empleado'!$A$4:$B$17,2,FALSE),""))</f>
        <v>6.39</v>
      </c>
      <c r="I409" s="676">
        <f t="shared" si="76"/>
        <v>30.352499999999999</v>
      </c>
      <c r="J409" s="676">
        <f t="shared" si="77"/>
        <v>38.339999999999996</v>
      </c>
      <c r="K409" s="676">
        <f t="shared" si="82"/>
        <v>0</v>
      </c>
      <c r="L409" s="1044">
        <f t="shared" si="78"/>
        <v>68.692499999999995</v>
      </c>
      <c r="M409" s="145" t="str">
        <f t="shared" si="79"/>
        <v/>
      </c>
      <c r="N409" s="684">
        <f t="shared" si="80"/>
        <v>46075</v>
      </c>
    </row>
    <row r="410" spans="1:14" ht="15" customHeight="1">
      <c r="A410" s="658">
        <v>46075</v>
      </c>
      <c r="B410" s="658" t="str">
        <f t="shared" si="74"/>
        <v>Dom</v>
      </c>
      <c r="C410" s="674" t="s">
        <v>146</v>
      </c>
      <c r="D410" s="885" t="s">
        <v>532</v>
      </c>
      <c r="E410" s="687">
        <v>0.30208333333333331</v>
      </c>
      <c r="F410" s="687">
        <v>0.75</v>
      </c>
      <c r="G410" s="688">
        <f t="shared" si="75"/>
        <v>10.75</v>
      </c>
      <c r="H410" s="676">
        <f>IF(D410="","",IFERROR(VLOOKUP(D410,'Resumen Empleado'!$A$4:$B$17,2,FALSE),""))</f>
        <v>5.17</v>
      </c>
      <c r="I410" s="676">
        <f t="shared" si="76"/>
        <v>24.557500000000001</v>
      </c>
      <c r="J410" s="676">
        <f t="shared" si="77"/>
        <v>31.02</v>
      </c>
      <c r="K410" s="676">
        <f t="shared" si="82"/>
        <v>0</v>
      </c>
      <c r="L410" s="1044">
        <f t="shared" si="78"/>
        <v>55.577500000000001</v>
      </c>
      <c r="M410" s="145" t="str">
        <f t="shared" si="79"/>
        <v/>
      </c>
      <c r="N410" s="684">
        <f t="shared" si="80"/>
        <v>46075</v>
      </c>
    </row>
    <row r="411" spans="1:14" ht="15" customHeight="1">
      <c r="A411" s="658">
        <v>46075</v>
      </c>
      <c r="B411" s="658" t="str">
        <f t="shared" si="74"/>
        <v>Dom</v>
      </c>
      <c r="C411" s="674" t="s">
        <v>146</v>
      </c>
      <c r="D411" s="885" t="s">
        <v>529</v>
      </c>
      <c r="E411" s="687">
        <v>0.5</v>
      </c>
      <c r="F411" s="687">
        <v>0.73958333333333337</v>
      </c>
      <c r="G411" s="688">
        <f t="shared" si="75"/>
        <v>5.7500000000000009</v>
      </c>
      <c r="H411" s="676">
        <f>IF(D411="","",IFERROR(VLOOKUP(D411,'Resumen Empleado'!$A$4:$B$17,2,FALSE),""))</f>
        <v>8</v>
      </c>
      <c r="I411" s="676">
        <f t="shared" si="76"/>
        <v>0</v>
      </c>
      <c r="J411" s="676">
        <f t="shared" si="77"/>
        <v>46.000000000000007</v>
      </c>
      <c r="K411" s="676">
        <f t="shared" si="82"/>
        <v>0</v>
      </c>
      <c r="L411" s="1044">
        <f t="shared" si="78"/>
        <v>46.000000000000007</v>
      </c>
      <c r="M411" s="145" t="str">
        <f t="shared" si="79"/>
        <v/>
      </c>
      <c r="N411" s="684">
        <f t="shared" si="80"/>
        <v>46075</v>
      </c>
    </row>
    <row r="412" spans="1:14" ht="15" customHeight="1">
      <c r="A412" s="658">
        <v>46075</v>
      </c>
      <c r="B412" s="658" t="str">
        <f t="shared" si="74"/>
        <v>Dom</v>
      </c>
      <c r="C412" s="674" t="s">
        <v>146</v>
      </c>
      <c r="D412" s="885" t="s">
        <v>531</v>
      </c>
      <c r="E412" s="687">
        <v>0.5625</v>
      </c>
      <c r="F412" s="687">
        <v>0.75</v>
      </c>
      <c r="G412" s="688">
        <f t="shared" si="75"/>
        <v>4.5</v>
      </c>
      <c r="H412" s="676">
        <f>IF(D412="","",IFERROR(VLOOKUP(D412,'Resumen Empleado'!$A$4:$B$17,2,FALSE),""))</f>
        <v>8</v>
      </c>
      <c r="I412" s="676">
        <f t="shared" si="76"/>
        <v>0</v>
      </c>
      <c r="J412" s="676">
        <f t="shared" si="77"/>
        <v>36</v>
      </c>
      <c r="K412" s="676">
        <f t="shared" si="82"/>
        <v>0</v>
      </c>
      <c r="L412" s="1044">
        <f t="shared" si="78"/>
        <v>36</v>
      </c>
      <c r="M412" s="145" t="str">
        <f t="shared" si="79"/>
        <v/>
      </c>
      <c r="N412" s="684">
        <f t="shared" si="80"/>
        <v>46075</v>
      </c>
    </row>
    <row r="413" spans="1:14" ht="15" customHeight="1">
      <c r="A413" s="658">
        <v>46075</v>
      </c>
      <c r="B413" s="658" t="str">
        <f t="shared" si="74"/>
        <v>Dom</v>
      </c>
      <c r="C413" s="674" t="s">
        <v>146</v>
      </c>
      <c r="D413" s="885" t="s">
        <v>528</v>
      </c>
      <c r="E413" s="687">
        <v>0.58333333333333337</v>
      </c>
      <c r="F413" s="687">
        <v>0.6875</v>
      </c>
      <c r="G413" s="688">
        <f t="shared" si="75"/>
        <v>2.4999999999999991</v>
      </c>
      <c r="H413" s="676">
        <f>IF(D413="","",IFERROR(VLOOKUP(D413,'Resumen Empleado'!$A$4:$B$17,2,FALSE),""))</f>
        <v>11</v>
      </c>
      <c r="I413" s="676">
        <f t="shared" si="76"/>
        <v>0</v>
      </c>
      <c r="J413" s="676">
        <f t="shared" si="77"/>
        <v>27.499999999999989</v>
      </c>
      <c r="K413" s="676">
        <f t="shared" si="82"/>
        <v>0</v>
      </c>
      <c r="L413" s="1044">
        <f t="shared" si="78"/>
        <v>27.499999999999989</v>
      </c>
      <c r="M413" s="145" t="str">
        <f t="shared" si="79"/>
        <v/>
      </c>
      <c r="N413" s="684">
        <f t="shared" si="80"/>
        <v>46075</v>
      </c>
    </row>
    <row r="414" spans="1:14" ht="15" customHeight="1">
      <c r="A414" s="658">
        <v>46092</v>
      </c>
      <c r="B414" s="658" t="str">
        <f t="shared" si="74"/>
        <v>Mié</v>
      </c>
      <c r="C414" s="674" t="s">
        <v>146</v>
      </c>
      <c r="D414" s="885" t="s">
        <v>526</v>
      </c>
      <c r="E414" s="687">
        <v>0.4375</v>
      </c>
      <c r="F414" s="687">
        <v>0.66666666666666663</v>
      </c>
      <c r="G414" s="688">
        <f t="shared" si="75"/>
        <v>5.4999999999999991</v>
      </c>
      <c r="H414" s="676">
        <f>IF(D414="","",IFERROR(VLOOKUP(D414,'Resumen Empleado'!$A$4:$B$17,2,FALSE),""))</f>
        <v>16</v>
      </c>
      <c r="I414" s="676">
        <f t="shared" si="76"/>
        <v>24</v>
      </c>
      <c r="J414" s="676">
        <f t="shared" si="77"/>
        <v>63.999999999999986</v>
      </c>
      <c r="K414" s="676">
        <f t="shared" si="82"/>
        <v>0</v>
      </c>
      <c r="L414" s="1044">
        <f t="shared" si="78"/>
        <v>87.999999999999986</v>
      </c>
      <c r="M414" s="145" t="str">
        <f t="shared" si="79"/>
        <v/>
      </c>
      <c r="N414" s="684">
        <f t="shared" si="80"/>
        <v>46092</v>
      </c>
    </row>
    <row r="415" spans="1:14" ht="15" customHeight="1">
      <c r="A415" s="658">
        <v>46092</v>
      </c>
      <c r="B415" s="658" t="str">
        <f t="shared" si="74"/>
        <v>Mié</v>
      </c>
      <c r="C415" s="674" t="s">
        <v>146</v>
      </c>
      <c r="D415" s="897" t="s">
        <v>532</v>
      </c>
      <c r="E415" s="687">
        <v>0.26041666666666669</v>
      </c>
      <c r="F415" s="687">
        <v>0.46875</v>
      </c>
      <c r="G415" s="688">
        <f t="shared" si="75"/>
        <v>5</v>
      </c>
      <c r="H415" s="676">
        <f>IF(D415="","",IFERROR(VLOOKUP(D415,'Resumen Empleado'!$A$4:$B$17,2,FALSE),""))</f>
        <v>5.17</v>
      </c>
      <c r="I415" s="676">
        <f t="shared" si="76"/>
        <v>25.85</v>
      </c>
      <c r="J415" s="676">
        <f t="shared" si="77"/>
        <v>0</v>
      </c>
      <c r="K415" s="676">
        <f t="shared" si="82"/>
        <v>0</v>
      </c>
      <c r="L415" s="1044">
        <f t="shared" si="78"/>
        <v>25.85</v>
      </c>
      <c r="M415" s="145" t="str">
        <f t="shared" si="79"/>
        <v/>
      </c>
      <c r="N415" s="684">
        <f t="shared" si="80"/>
        <v>46092</v>
      </c>
    </row>
    <row r="416" spans="1:14" ht="15" customHeight="1">
      <c r="A416" s="658">
        <v>46092</v>
      </c>
      <c r="B416" s="658" t="str">
        <f t="shared" si="74"/>
        <v>Mié</v>
      </c>
      <c r="C416" s="674" t="s">
        <v>146</v>
      </c>
      <c r="D416" s="885" t="s">
        <v>525</v>
      </c>
      <c r="E416" s="687">
        <v>0.54166666666666663</v>
      </c>
      <c r="F416" s="687">
        <v>0.66666666666666663</v>
      </c>
      <c r="G416" s="688">
        <f t="shared" si="75"/>
        <v>3</v>
      </c>
      <c r="H416" s="676">
        <f>IF(D416="","",IFERROR(VLOOKUP(D416,'Resumen Empleado'!$A$4:$B$17,2,FALSE),""))</f>
        <v>7.25</v>
      </c>
      <c r="I416" s="676">
        <f t="shared" si="76"/>
        <v>0</v>
      </c>
      <c r="J416" s="676">
        <f t="shared" si="77"/>
        <v>21.75</v>
      </c>
      <c r="K416" s="676">
        <f t="shared" si="82"/>
        <v>0</v>
      </c>
      <c r="L416" s="1044">
        <f t="shared" si="78"/>
        <v>21.75</v>
      </c>
      <c r="M416" s="145" t="str">
        <f t="shared" si="79"/>
        <v/>
      </c>
      <c r="N416" s="684">
        <f t="shared" si="80"/>
        <v>46092</v>
      </c>
    </row>
    <row r="417" spans="1:14" ht="15" customHeight="1">
      <c r="A417" s="658">
        <v>46092</v>
      </c>
      <c r="B417" s="658" t="str">
        <f t="shared" si="74"/>
        <v>Mié</v>
      </c>
      <c r="C417" s="674" t="s">
        <v>146</v>
      </c>
      <c r="D417" s="885" t="s">
        <v>522</v>
      </c>
      <c r="E417" s="687">
        <v>0.29166666666666669</v>
      </c>
      <c r="F417" s="687">
        <v>0.64583333333333337</v>
      </c>
      <c r="G417" s="688">
        <f t="shared" si="75"/>
        <v>8.5</v>
      </c>
      <c r="H417" s="676">
        <f>IF(D417="","",IFERROR(VLOOKUP(D417,'Resumen Empleado'!$A$4:$B$17,2,FALSE),""))</f>
        <v>10</v>
      </c>
      <c r="I417" s="676">
        <f t="shared" si="76"/>
        <v>50</v>
      </c>
      <c r="J417" s="676">
        <f t="shared" si="77"/>
        <v>35.000000000000007</v>
      </c>
      <c r="K417" s="676">
        <f t="shared" si="82"/>
        <v>0</v>
      </c>
      <c r="L417" s="1044">
        <f t="shared" si="78"/>
        <v>85</v>
      </c>
      <c r="M417" s="145" t="str">
        <f t="shared" si="79"/>
        <v/>
      </c>
      <c r="N417" s="684">
        <f t="shared" si="80"/>
        <v>46092</v>
      </c>
    </row>
    <row r="418" spans="1:14" ht="15" customHeight="1">
      <c r="A418" s="658">
        <v>46092</v>
      </c>
      <c r="B418" s="658" t="str">
        <f t="shared" si="74"/>
        <v>Mié</v>
      </c>
      <c r="C418" s="674" t="s">
        <v>497</v>
      </c>
      <c r="D418" s="885" t="s">
        <v>526</v>
      </c>
      <c r="E418" s="687">
        <v>0.79166666666666663</v>
      </c>
      <c r="F418" s="687">
        <v>0.95833333333333337</v>
      </c>
      <c r="G418" s="688">
        <f t="shared" si="75"/>
        <v>4.0000000000000018</v>
      </c>
      <c r="H418" s="676">
        <f>IF(D418="","",IFERROR(VLOOKUP(D418,'Resumen Empleado'!$A$4:$B$17,2,FALSE),""))</f>
        <v>16</v>
      </c>
      <c r="I418" s="676">
        <f t="shared" si="76"/>
        <v>0</v>
      </c>
      <c r="J418" s="676">
        <f t="shared" si="77"/>
        <v>0</v>
      </c>
      <c r="K418" s="676">
        <f t="shared" si="82"/>
        <v>64.000000000000028</v>
      </c>
      <c r="L418" s="1044">
        <f t="shared" si="78"/>
        <v>64.000000000000028</v>
      </c>
      <c r="M418" s="145" t="str">
        <f t="shared" si="79"/>
        <v/>
      </c>
      <c r="N418" s="684">
        <f t="shared" si="80"/>
        <v>46092</v>
      </c>
    </row>
    <row r="419" spans="1:14" ht="15" customHeight="1">
      <c r="A419" s="658">
        <v>46092</v>
      </c>
      <c r="B419" s="658" t="str">
        <f t="shared" si="74"/>
        <v>Mié</v>
      </c>
      <c r="C419" s="674" t="s">
        <v>497</v>
      </c>
      <c r="D419" s="885" t="s">
        <v>532</v>
      </c>
      <c r="E419" s="687">
        <v>0.83333333333333337</v>
      </c>
      <c r="F419" s="687">
        <v>0.95833333333333337</v>
      </c>
      <c r="G419" s="688">
        <f t="shared" si="75"/>
        <v>3</v>
      </c>
      <c r="H419" s="676">
        <f>IF(D419="","",IFERROR(VLOOKUP(D419,'Resumen Empleado'!$A$4:$B$17,2,FALSE),""))</f>
        <v>5.17</v>
      </c>
      <c r="I419" s="676">
        <f t="shared" si="76"/>
        <v>0</v>
      </c>
      <c r="J419" s="676">
        <f t="shared" si="77"/>
        <v>0</v>
      </c>
      <c r="K419" s="676">
        <f t="shared" si="82"/>
        <v>15.51</v>
      </c>
      <c r="L419" s="1044">
        <f t="shared" si="78"/>
        <v>15.51</v>
      </c>
      <c r="M419" s="145" t="str">
        <f t="shared" si="79"/>
        <v/>
      </c>
      <c r="N419" s="684">
        <f t="shared" si="80"/>
        <v>46092</v>
      </c>
    </row>
    <row r="420" spans="1:14" ht="15" customHeight="1">
      <c r="A420" s="658">
        <v>46092</v>
      </c>
      <c r="B420" s="658" t="str">
        <f t="shared" si="74"/>
        <v>Mié</v>
      </c>
      <c r="C420" s="674" t="s">
        <v>497</v>
      </c>
      <c r="D420" s="885" t="s">
        <v>525</v>
      </c>
      <c r="E420" s="687">
        <v>0.79166666666666663</v>
      </c>
      <c r="F420" s="687">
        <v>0</v>
      </c>
      <c r="G420" s="688">
        <f t="shared" si="75"/>
        <v>5.0000000000000009</v>
      </c>
      <c r="H420" s="676">
        <f>IF(D420="","",IFERROR(VLOOKUP(D420,'Resumen Empleado'!$A$4:$B$17,2,FALSE),""))</f>
        <v>7.25</v>
      </c>
      <c r="I420" s="676">
        <f t="shared" si="76"/>
        <v>0</v>
      </c>
      <c r="J420" s="676">
        <f t="shared" si="77"/>
        <v>0</v>
      </c>
      <c r="K420" s="676">
        <f t="shared" si="82"/>
        <v>36.250000000000007</v>
      </c>
      <c r="L420" s="1044">
        <f t="shared" si="78"/>
        <v>36.250000000000007</v>
      </c>
      <c r="M420" s="145" t="str">
        <f t="shared" si="79"/>
        <v/>
      </c>
      <c r="N420" s="684">
        <f t="shared" si="80"/>
        <v>46092</v>
      </c>
    </row>
    <row r="421" spans="1:14" ht="15" customHeight="1">
      <c r="A421" s="658">
        <v>46092</v>
      </c>
      <c r="B421" s="658" t="str">
        <f t="shared" si="74"/>
        <v>Mié</v>
      </c>
      <c r="C421" s="674" t="s">
        <v>497</v>
      </c>
      <c r="D421" s="897" t="s">
        <v>527</v>
      </c>
      <c r="E421" s="687">
        <v>0.8125</v>
      </c>
      <c r="F421" s="687">
        <v>0.89583333333333337</v>
      </c>
      <c r="G421" s="688">
        <f t="shared" si="75"/>
        <v>2.0000000000000009</v>
      </c>
      <c r="H421" s="676" t="str">
        <f>IF(D421="","",IFERROR(VLOOKUP(D421,'Resumen Empleado'!$A$4:$B$17,2,FALSE),""))</f>
        <v/>
      </c>
      <c r="I421" s="676">
        <f t="shared" si="76"/>
        <v>0</v>
      </c>
      <c r="J421" s="676">
        <f t="shared" si="77"/>
        <v>0</v>
      </c>
      <c r="K421" s="676">
        <f t="shared" si="82"/>
        <v>0</v>
      </c>
      <c r="L421" s="1044">
        <f t="shared" si="78"/>
        <v>0</v>
      </c>
      <c r="M421" s="145" t="str">
        <f t="shared" si="79"/>
        <v/>
      </c>
      <c r="N421" s="684">
        <f t="shared" si="80"/>
        <v>46092</v>
      </c>
    </row>
    <row r="422" spans="1:14" ht="15" customHeight="1">
      <c r="A422" s="658">
        <v>46092</v>
      </c>
      <c r="B422" s="658" t="str">
        <f t="shared" si="74"/>
        <v>Mié</v>
      </c>
      <c r="C422" s="674" t="s">
        <v>146</v>
      </c>
      <c r="D422" s="897" t="s">
        <v>528</v>
      </c>
      <c r="E422" s="687">
        <v>0.33333333333333331</v>
      </c>
      <c r="F422" s="687">
        <v>0.66666666666666663</v>
      </c>
      <c r="G422" s="688">
        <f t="shared" si="75"/>
        <v>8</v>
      </c>
      <c r="H422" s="676">
        <f>IF(D422="","",IFERROR(VLOOKUP(D422,'Resumen Empleado'!$A$4:$B$17,2,FALSE),""))</f>
        <v>11</v>
      </c>
      <c r="I422" s="676">
        <f t="shared" si="76"/>
        <v>44</v>
      </c>
      <c r="J422" s="676">
        <f t="shared" si="77"/>
        <v>43.999999999999993</v>
      </c>
      <c r="K422" s="676">
        <f>IF(OR(E422="",F422="",H422=""),0,MAX(0,(MIN(IF(F422&lt;E422,1+F422,F422),1+TIME(5,0,0))-MAX(E422,TIME(19,0,0))))*24*H422)</f>
        <v>0</v>
      </c>
      <c r="L422" s="1044">
        <f t="shared" si="78"/>
        <v>88</v>
      </c>
      <c r="M422" s="145" t="str">
        <f t="shared" si="79"/>
        <v/>
      </c>
      <c r="N422" s="684">
        <f t="shared" si="80"/>
        <v>46092</v>
      </c>
    </row>
    <row r="423" spans="1:14" ht="15" customHeight="1">
      <c r="A423" s="658">
        <v>46093</v>
      </c>
      <c r="B423" s="658" t="str">
        <f t="shared" si="74"/>
        <v>Jue</v>
      </c>
      <c r="C423" s="674" t="s">
        <v>146</v>
      </c>
      <c r="D423" s="885" t="s">
        <v>525</v>
      </c>
      <c r="E423" s="687">
        <v>0.34375</v>
      </c>
      <c r="F423" s="687">
        <v>0.58333333333333337</v>
      </c>
      <c r="G423" s="688">
        <f t="shared" si="75"/>
        <v>5.7500000000000009</v>
      </c>
      <c r="H423" s="676">
        <f>IF(D423="","",IFERROR(VLOOKUP(D423,'Resumen Empleado'!$A$4:$B$17,2,FALSE),""))</f>
        <v>7.25</v>
      </c>
      <c r="I423" s="676">
        <f t="shared" si="76"/>
        <v>27.1875</v>
      </c>
      <c r="J423" s="676">
        <f t="shared" si="77"/>
        <v>14.500000000000007</v>
      </c>
      <c r="K423" s="676">
        <f t="shared" ref="K423:K431" si="83">IF(OR(E423="",F423="",H423=""),0,MAX(0,(MIN(IF(F423&lt;E423,F423+1,F423),1+TIME(5,0,0))-MAX(E423,TIME(19,0,0))))*24*H423)</f>
        <v>0</v>
      </c>
      <c r="L423" s="1044">
        <f t="shared" si="78"/>
        <v>41.687500000000007</v>
      </c>
      <c r="M423" s="145" t="str">
        <f t="shared" si="79"/>
        <v/>
      </c>
      <c r="N423" s="684">
        <f t="shared" si="80"/>
        <v>46093</v>
      </c>
    </row>
    <row r="424" spans="1:14" ht="15" customHeight="1">
      <c r="A424" s="658">
        <v>46093</v>
      </c>
      <c r="B424" s="658" t="str">
        <f t="shared" si="74"/>
        <v>Jue</v>
      </c>
      <c r="C424" s="674" t="s">
        <v>146</v>
      </c>
      <c r="D424" s="885" t="s">
        <v>526</v>
      </c>
      <c r="E424" s="687">
        <v>0.41666666666666669</v>
      </c>
      <c r="F424" s="687">
        <v>0.66666666666666663</v>
      </c>
      <c r="G424" s="688">
        <f t="shared" si="75"/>
        <v>5.9999999999999982</v>
      </c>
      <c r="H424" s="676">
        <f>IF(D424="","",IFERROR(VLOOKUP(D424,'Resumen Empleado'!$A$4:$B$17,2,FALSE),""))</f>
        <v>16</v>
      </c>
      <c r="I424" s="676">
        <f t="shared" si="76"/>
        <v>31.999999999999993</v>
      </c>
      <c r="J424" s="676">
        <f t="shared" si="77"/>
        <v>63.999999999999986</v>
      </c>
      <c r="K424" s="676">
        <f t="shared" si="83"/>
        <v>0</v>
      </c>
      <c r="L424" s="1044">
        <f t="shared" si="78"/>
        <v>95.999999999999972</v>
      </c>
      <c r="M424" s="145" t="str">
        <f t="shared" si="79"/>
        <v/>
      </c>
      <c r="N424" s="684">
        <f t="shared" si="80"/>
        <v>46093</v>
      </c>
    </row>
    <row r="425" spans="1:14" ht="15" customHeight="1">
      <c r="A425" s="658">
        <v>46093</v>
      </c>
      <c r="B425" s="658" t="str">
        <f t="shared" si="74"/>
        <v>Jue</v>
      </c>
      <c r="C425" s="674" t="s">
        <v>146</v>
      </c>
      <c r="D425" s="885" t="s">
        <v>522</v>
      </c>
      <c r="E425" s="687">
        <v>0.29166666666666669</v>
      </c>
      <c r="F425" s="687">
        <v>0.66666666666666663</v>
      </c>
      <c r="G425" s="688">
        <f t="shared" si="75"/>
        <v>8.9999999999999982</v>
      </c>
      <c r="H425" s="676">
        <f>IF(D425="","",IFERROR(VLOOKUP(D425,'Resumen Empleado'!$A$4:$B$17,2,FALSE),""))</f>
        <v>10</v>
      </c>
      <c r="I425" s="676">
        <f t="shared" si="76"/>
        <v>50</v>
      </c>
      <c r="J425" s="676">
        <f t="shared" si="77"/>
        <v>39.999999999999993</v>
      </c>
      <c r="K425" s="676">
        <f t="shared" si="83"/>
        <v>0</v>
      </c>
      <c r="L425" s="1044">
        <f t="shared" si="78"/>
        <v>90</v>
      </c>
      <c r="M425" s="145" t="str">
        <f t="shared" si="79"/>
        <v/>
      </c>
      <c r="N425" s="684">
        <f t="shared" si="80"/>
        <v>46093</v>
      </c>
    </row>
    <row r="426" spans="1:14" ht="15" customHeight="1">
      <c r="A426" s="658">
        <v>46093</v>
      </c>
      <c r="B426" s="658" t="str">
        <f t="shared" si="74"/>
        <v>Jue</v>
      </c>
      <c r="C426" s="674" t="s">
        <v>146</v>
      </c>
      <c r="D426" s="885" t="s">
        <v>532</v>
      </c>
      <c r="E426" s="687">
        <v>0.26041666666666669</v>
      </c>
      <c r="F426" s="687">
        <v>0.42708333333333331</v>
      </c>
      <c r="G426" s="688">
        <f t="shared" si="75"/>
        <v>3.9999999999999991</v>
      </c>
      <c r="H426" s="676">
        <f>IF(D426="","",IFERROR(VLOOKUP(D426,'Resumen Empleado'!$A$4:$B$17,2,FALSE),""))</f>
        <v>5.17</v>
      </c>
      <c r="I426" s="676">
        <f t="shared" si="76"/>
        <v>20.679999999999996</v>
      </c>
      <c r="J426" s="676">
        <f t="shared" si="77"/>
        <v>0</v>
      </c>
      <c r="K426" s="676">
        <f t="shared" si="83"/>
        <v>0</v>
      </c>
      <c r="L426" s="1044">
        <f t="shared" si="78"/>
        <v>20.679999999999996</v>
      </c>
      <c r="M426" s="145" t="str">
        <f t="shared" si="79"/>
        <v/>
      </c>
      <c r="N426" s="684">
        <f t="shared" si="80"/>
        <v>46093</v>
      </c>
    </row>
    <row r="427" spans="1:14" ht="15" customHeight="1">
      <c r="A427" s="658">
        <v>46093</v>
      </c>
      <c r="B427" s="658" t="str">
        <f t="shared" si="74"/>
        <v>Jue</v>
      </c>
      <c r="C427" s="674" t="s">
        <v>146</v>
      </c>
      <c r="D427" s="885" t="s">
        <v>534</v>
      </c>
      <c r="E427" s="687">
        <v>0.41666666666666669</v>
      </c>
      <c r="F427" s="687">
        <v>0.66666666666666663</v>
      </c>
      <c r="G427" s="688">
        <f t="shared" si="75"/>
        <v>5.9999999999999982</v>
      </c>
      <c r="H427" s="676">
        <f>IF(D427="","",IFERROR(VLOOKUP(D427,'Resumen Empleado'!$A$4:$B$17,2,FALSE),""))</f>
        <v>8</v>
      </c>
      <c r="I427" s="676">
        <f t="shared" si="76"/>
        <v>15.999999999999996</v>
      </c>
      <c r="J427" s="676">
        <f t="shared" si="77"/>
        <v>31.999999999999993</v>
      </c>
      <c r="K427" s="676">
        <f t="shared" si="83"/>
        <v>0</v>
      </c>
      <c r="L427" s="1044">
        <f t="shared" si="78"/>
        <v>47.999999999999986</v>
      </c>
      <c r="M427" s="145" t="str">
        <f t="shared" si="79"/>
        <v/>
      </c>
      <c r="N427" s="684">
        <f t="shared" si="80"/>
        <v>46093</v>
      </c>
    </row>
    <row r="428" spans="1:14" ht="15" customHeight="1">
      <c r="A428" s="658">
        <v>46093</v>
      </c>
      <c r="B428" s="658" t="str">
        <f t="shared" si="74"/>
        <v>Jue</v>
      </c>
      <c r="C428" s="674" t="s">
        <v>497</v>
      </c>
      <c r="D428" s="897" t="s">
        <v>532</v>
      </c>
      <c r="E428" s="687">
        <v>0.79166666666666663</v>
      </c>
      <c r="F428" s="687">
        <v>0.95833333333333337</v>
      </c>
      <c r="G428" s="688">
        <f t="shared" si="75"/>
        <v>4.0000000000000018</v>
      </c>
      <c r="H428" s="676">
        <f>IF(D428="","",IFERROR(VLOOKUP(D428,'Resumen Empleado'!$A$4:$B$17,2,FALSE),""))</f>
        <v>5.17</v>
      </c>
      <c r="I428" s="676">
        <f t="shared" si="76"/>
        <v>0</v>
      </c>
      <c r="J428" s="676">
        <f t="shared" si="77"/>
        <v>0</v>
      </c>
      <c r="K428" s="676">
        <f t="shared" si="83"/>
        <v>20.68000000000001</v>
      </c>
      <c r="L428" s="1044">
        <f t="shared" si="78"/>
        <v>20.68000000000001</v>
      </c>
      <c r="M428" s="145" t="str">
        <f t="shared" si="79"/>
        <v/>
      </c>
      <c r="N428" s="684">
        <f t="shared" si="80"/>
        <v>46093</v>
      </c>
    </row>
    <row r="429" spans="1:14" ht="15" customHeight="1">
      <c r="A429" s="658">
        <v>46093</v>
      </c>
      <c r="B429" s="658" t="str">
        <f t="shared" si="74"/>
        <v>Jue</v>
      </c>
      <c r="C429" s="674" t="s">
        <v>497</v>
      </c>
      <c r="D429" s="885" t="s">
        <v>526</v>
      </c>
      <c r="E429" s="687">
        <v>0.83333333333333337</v>
      </c>
      <c r="F429" s="687">
        <v>0.95833333333333337</v>
      </c>
      <c r="G429" s="688">
        <f t="shared" si="75"/>
        <v>3</v>
      </c>
      <c r="H429" s="676">
        <f>IF(D429="","",IFERROR(VLOOKUP(D429,'Resumen Empleado'!$A$4:$B$17,2,FALSE),""))</f>
        <v>16</v>
      </c>
      <c r="I429" s="676">
        <f t="shared" si="76"/>
        <v>0</v>
      </c>
      <c r="J429" s="676">
        <f t="shared" si="77"/>
        <v>0</v>
      </c>
      <c r="K429" s="676">
        <f t="shared" si="83"/>
        <v>48</v>
      </c>
      <c r="L429" s="1044">
        <f t="shared" si="78"/>
        <v>48</v>
      </c>
      <c r="M429" s="145" t="str">
        <f t="shared" si="79"/>
        <v/>
      </c>
      <c r="N429" s="684">
        <f t="shared" si="80"/>
        <v>46093</v>
      </c>
    </row>
    <row r="430" spans="1:14" ht="15" customHeight="1">
      <c r="A430" s="658">
        <v>46093</v>
      </c>
      <c r="B430" s="658" t="str">
        <f t="shared" si="74"/>
        <v>Jue</v>
      </c>
      <c r="C430" s="674" t="s">
        <v>497</v>
      </c>
      <c r="D430" s="885" t="s">
        <v>525</v>
      </c>
      <c r="E430" s="687">
        <v>0.79166666666666663</v>
      </c>
      <c r="F430" s="687">
        <v>0.95833333333333337</v>
      </c>
      <c r="G430" s="688">
        <f t="shared" si="75"/>
        <v>4.0000000000000018</v>
      </c>
      <c r="H430" s="676">
        <f>IF(D430="","",IFERROR(VLOOKUP(D430,'Resumen Empleado'!$A$4:$B$17,2,FALSE),""))</f>
        <v>7.25</v>
      </c>
      <c r="I430" s="676">
        <f t="shared" si="76"/>
        <v>0</v>
      </c>
      <c r="J430" s="676">
        <f t="shared" si="77"/>
        <v>0</v>
      </c>
      <c r="K430" s="676">
        <f t="shared" si="83"/>
        <v>29.000000000000014</v>
      </c>
      <c r="L430" s="1044">
        <f t="shared" si="78"/>
        <v>29.000000000000014</v>
      </c>
      <c r="M430" s="145" t="str">
        <f t="shared" si="79"/>
        <v/>
      </c>
      <c r="N430" s="684">
        <f t="shared" si="80"/>
        <v>46093</v>
      </c>
    </row>
    <row r="431" spans="1:14" ht="15" customHeight="1">
      <c r="A431" s="658">
        <v>46093</v>
      </c>
      <c r="B431" s="658" t="str">
        <f t="shared" si="74"/>
        <v>Jue</v>
      </c>
      <c r="C431" s="674" t="s">
        <v>497</v>
      </c>
      <c r="D431" s="885" t="s">
        <v>527</v>
      </c>
      <c r="E431" s="687">
        <v>0.8125</v>
      </c>
      <c r="F431" s="687">
        <v>0.89583333333333337</v>
      </c>
      <c r="G431" s="688">
        <f t="shared" si="75"/>
        <v>2.0000000000000009</v>
      </c>
      <c r="H431" s="676" t="str">
        <f>IF(D431="","",IFERROR(VLOOKUP(D431,'Resumen Empleado'!$A$4:$B$17,2,FALSE),""))</f>
        <v/>
      </c>
      <c r="I431" s="676">
        <f t="shared" si="76"/>
        <v>0</v>
      </c>
      <c r="J431" s="676">
        <f t="shared" si="77"/>
        <v>0</v>
      </c>
      <c r="K431" s="676">
        <f t="shared" si="83"/>
        <v>0</v>
      </c>
      <c r="L431" s="1044">
        <f t="shared" si="78"/>
        <v>0</v>
      </c>
      <c r="M431" s="145" t="str">
        <f t="shared" si="79"/>
        <v/>
      </c>
      <c r="N431" s="684">
        <f t="shared" si="80"/>
        <v>46093</v>
      </c>
    </row>
    <row r="432" spans="1:14" ht="15" customHeight="1">
      <c r="A432" s="658">
        <v>46093</v>
      </c>
      <c r="B432" s="658" t="str">
        <f t="shared" si="74"/>
        <v>Jue</v>
      </c>
      <c r="C432" s="674" t="s">
        <v>146</v>
      </c>
      <c r="D432" s="897" t="s">
        <v>528</v>
      </c>
      <c r="E432" s="687">
        <v>0.33333333333333331</v>
      </c>
      <c r="F432" s="687">
        <v>0.66666666666666663</v>
      </c>
      <c r="G432" s="688">
        <f t="shared" si="75"/>
        <v>8</v>
      </c>
      <c r="H432" s="676">
        <f>IF(D432="","",IFERROR(VLOOKUP(D432,'Resumen Empleado'!$A$4:$B$17,2,FALSE),""))</f>
        <v>11</v>
      </c>
      <c r="I432" s="676">
        <f t="shared" si="76"/>
        <v>44</v>
      </c>
      <c r="J432" s="676">
        <f t="shared" si="77"/>
        <v>43.999999999999993</v>
      </c>
      <c r="K432" s="676">
        <f>IF(OR(E432="",F432="",H432=""),0,MAX(0,(MIN(IF(F432&lt;E432,1+F432,F432),1+TIME(5,0,0))-MAX(E432,TIME(19,0,0))))*24*H432)</f>
        <v>0</v>
      </c>
      <c r="L432" s="1044">
        <f t="shared" si="78"/>
        <v>88</v>
      </c>
      <c r="M432" s="145" t="str">
        <f t="shared" si="79"/>
        <v/>
      </c>
      <c r="N432" s="684">
        <f t="shared" si="80"/>
        <v>46093</v>
      </c>
    </row>
    <row r="433" spans="1:14" ht="15" customHeight="1">
      <c r="A433" s="658">
        <v>46094</v>
      </c>
      <c r="B433" s="658" t="str">
        <f t="shared" si="74"/>
        <v>Vie</v>
      </c>
      <c r="C433" s="674" t="s">
        <v>146</v>
      </c>
      <c r="D433" s="885" t="s">
        <v>535</v>
      </c>
      <c r="E433" s="687">
        <v>0.39583333333333331</v>
      </c>
      <c r="F433" s="687">
        <v>0.47916666666666669</v>
      </c>
      <c r="G433" s="688">
        <f t="shared" si="75"/>
        <v>2.0000000000000009</v>
      </c>
      <c r="H433" s="676">
        <f>IF(D433="","",IFERROR(VLOOKUP(D433,'Resumen Empleado'!$A$4:$B$17,2,FALSE),""))</f>
        <v>6</v>
      </c>
      <c r="I433" s="676">
        <f t="shared" si="76"/>
        <v>12.000000000000005</v>
      </c>
      <c r="J433" s="676">
        <f t="shared" si="77"/>
        <v>0</v>
      </c>
      <c r="K433" s="676">
        <f t="shared" ref="K433:K445" si="84">IF(OR(E433="",F433="",H433=""),0,MAX(0,(MIN(IF(F433&lt;E433,F433+1,F433),1+TIME(5,0,0))-MAX(E433,TIME(19,0,0))))*24*H433)</f>
        <v>0</v>
      </c>
      <c r="L433" s="1044">
        <f t="shared" si="78"/>
        <v>12.000000000000005</v>
      </c>
      <c r="M433" s="145" t="str">
        <f t="shared" si="79"/>
        <v/>
      </c>
      <c r="N433" s="684">
        <f t="shared" si="80"/>
        <v>46094</v>
      </c>
    </row>
    <row r="434" spans="1:14" ht="15" customHeight="1">
      <c r="A434" s="658">
        <v>46094</v>
      </c>
      <c r="B434" s="658" t="str">
        <f t="shared" si="74"/>
        <v>Vie</v>
      </c>
      <c r="C434" s="674" t="s">
        <v>146</v>
      </c>
      <c r="D434" s="885" t="s">
        <v>532</v>
      </c>
      <c r="E434" s="687">
        <v>0.26041666666666669</v>
      </c>
      <c r="F434" s="687">
        <v>0.5</v>
      </c>
      <c r="G434" s="688">
        <f t="shared" si="75"/>
        <v>5.75</v>
      </c>
      <c r="H434" s="676">
        <f>IF(D434="","",IFERROR(VLOOKUP(D434,'Resumen Empleado'!$A$4:$B$17,2,FALSE),""))</f>
        <v>5.17</v>
      </c>
      <c r="I434" s="676">
        <f t="shared" si="76"/>
        <v>29.727499999999999</v>
      </c>
      <c r="J434" s="676">
        <f t="shared" si="77"/>
        <v>0</v>
      </c>
      <c r="K434" s="676">
        <f t="shared" si="84"/>
        <v>0</v>
      </c>
      <c r="L434" s="1044">
        <f t="shared" si="78"/>
        <v>29.727499999999999</v>
      </c>
      <c r="M434" s="145" t="str">
        <f t="shared" si="79"/>
        <v/>
      </c>
      <c r="N434" s="684">
        <f t="shared" si="80"/>
        <v>46094</v>
      </c>
    </row>
    <row r="435" spans="1:14" ht="15" customHeight="1">
      <c r="A435" s="658">
        <v>46094</v>
      </c>
      <c r="B435" s="658" t="str">
        <f t="shared" si="74"/>
        <v>Vie</v>
      </c>
      <c r="C435" s="674" t="s">
        <v>146</v>
      </c>
      <c r="D435" s="885" t="s">
        <v>522</v>
      </c>
      <c r="E435" s="687">
        <v>0.29166666666666669</v>
      </c>
      <c r="F435" s="687">
        <v>0.66666666666666663</v>
      </c>
      <c r="G435" s="688">
        <f t="shared" si="75"/>
        <v>8.9999999999999982</v>
      </c>
      <c r="H435" s="676">
        <f>IF(D435="","",IFERROR(VLOOKUP(D435,'Resumen Empleado'!$A$4:$B$17,2,FALSE),""))</f>
        <v>10</v>
      </c>
      <c r="I435" s="676">
        <f t="shared" si="76"/>
        <v>50</v>
      </c>
      <c r="J435" s="676">
        <f t="shared" si="77"/>
        <v>39.999999999999993</v>
      </c>
      <c r="K435" s="676">
        <f t="shared" si="84"/>
        <v>0</v>
      </c>
      <c r="L435" s="1044">
        <f t="shared" si="78"/>
        <v>90</v>
      </c>
      <c r="M435" s="145" t="str">
        <f t="shared" si="79"/>
        <v/>
      </c>
      <c r="N435" s="684">
        <f t="shared" si="80"/>
        <v>46094</v>
      </c>
    </row>
    <row r="436" spans="1:14" ht="15" customHeight="1">
      <c r="A436" s="658">
        <v>46094</v>
      </c>
      <c r="B436" s="658" t="str">
        <f t="shared" si="74"/>
        <v>Vie</v>
      </c>
      <c r="C436" s="674" t="s">
        <v>146</v>
      </c>
      <c r="D436" s="885" t="s">
        <v>525</v>
      </c>
      <c r="E436" s="687">
        <v>0.54166666666666663</v>
      </c>
      <c r="F436" s="687">
        <v>0.66666666666666663</v>
      </c>
      <c r="G436" s="688">
        <f t="shared" si="75"/>
        <v>3</v>
      </c>
      <c r="H436" s="676">
        <f>IF(D436="","",IFERROR(VLOOKUP(D436,'Resumen Empleado'!$A$4:$B$17,2,FALSE),""))</f>
        <v>7.25</v>
      </c>
      <c r="I436" s="676">
        <f t="shared" si="76"/>
        <v>0</v>
      </c>
      <c r="J436" s="676">
        <f t="shared" si="77"/>
        <v>21.75</v>
      </c>
      <c r="K436" s="676">
        <f t="shared" si="84"/>
        <v>0</v>
      </c>
      <c r="L436" s="1044">
        <f t="shared" si="78"/>
        <v>21.75</v>
      </c>
      <c r="M436" s="145" t="str">
        <f t="shared" si="79"/>
        <v/>
      </c>
      <c r="N436" s="684">
        <f t="shared" si="80"/>
        <v>46094</v>
      </c>
    </row>
    <row r="437" spans="1:14" ht="15" customHeight="1">
      <c r="A437" s="658">
        <v>46094</v>
      </c>
      <c r="B437" s="658" t="str">
        <f t="shared" si="74"/>
        <v>Vie</v>
      </c>
      <c r="C437" s="674" t="s">
        <v>146</v>
      </c>
      <c r="D437" s="897" t="s">
        <v>526</v>
      </c>
      <c r="E437" s="687">
        <v>0.45833333333333331</v>
      </c>
      <c r="F437" s="687">
        <v>0.66666666666666663</v>
      </c>
      <c r="G437" s="688">
        <f t="shared" si="75"/>
        <v>5</v>
      </c>
      <c r="H437" s="676">
        <f>IF(D437="","",IFERROR(VLOOKUP(D437,'Resumen Empleado'!$A$4:$B$17,2,FALSE),""))</f>
        <v>16</v>
      </c>
      <c r="I437" s="676">
        <f t="shared" si="76"/>
        <v>16.000000000000007</v>
      </c>
      <c r="J437" s="676">
        <f t="shared" si="77"/>
        <v>63.999999999999986</v>
      </c>
      <c r="K437" s="676">
        <f t="shared" si="84"/>
        <v>0</v>
      </c>
      <c r="L437" s="1044">
        <f t="shared" si="78"/>
        <v>80</v>
      </c>
      <c r="M437" s="145" t="str">
        <f t="shared" si="79"/>
        <v/>
      </c>
      <c r="N437" s="684">
        <f t="shared" si="80"/>
        <v>46094</v>
      </c>
    </row>
    <row r="438" spans="1:14" ht="15" customHeight="1">
      <c r="A438" s="658">
        <v>46094</v>
      </c>
      <c r="B438" s="658" t="str">
        <f t="shared" si="74"/>
        <v>Vie</v>
      </c>
      <c r="C438" s="674" t="s">
        <v>497</v>
      </c>
      <c r="D438" s="885" t="s">
        <v>531</v>
      </c>
      <c r="E438" s="687">
        <v>0.875</v>
      </c>
      <c r="F438" s="687">
        <v>0.97916666666666663</v>
      </c>
      <c r="G438" s="688">
        <f t="shared" si="75"/>
        <v>2.4999999999999991</v>
      </c>
      <c r="H438" s="676">
        <f>IF(D438="","",IFERROR(VLOOKUP(D438,'Resumen Empleado'!$A$4:$B$17,2,FALSE),""))</f>
        <v>8</v>
      </c>
      <c r="I438" s="676">
        <f t="shared" si="76"/>
        <v>0</v>
      </c>
      <c r="J438" s="676">
        <f t="shared" si="77"/>
        <v>0</v>
      </c>
      <c r="K438" s="676">
        <f t="shared" si="84"/>
        <v>19.999999999999993</v>
      </c>
      <c r="L438" s="1044">
        <f t="shared" si="78"/>
        <v>19.999999999999993</v>
      </c>
      <c r="M438" s="145" t="str">
        <f t="shared" si="79"/>
        <v/>
      </c>
      <c r="N438" s="684">
        <f t="shared" si="80"/>
        <v>46094</v>
      </c>
    </row>
    <row r="439" spans="1:14" ht="15" customHeight="1">
      <c r="A439" s="658">
        <v>46094</v>
      </c>
      <c r="B439" s="658" t="str">
        <f t="shared" si="74"/>
        <v>Vie</v>
      </c>
      <c r="C439" s="674" t="s">
        <v>497</v>
      </c>
      <c r="D439" s="885" t="s">
        <v>525</v>
      </c>
      <c r="E439" s="687">
        <v>0.79166666666666663</v>
      </c>
      <c r="F439" s="687">
        <v>2.0833333333333329E-2</v>
      </c>
      <c r="G439" s="688">
        <f t="shared" si="75"/>
        <v>5.4999999999999991</v>
      </c>
      <c r="H439" s="676">
        <f>IF(D439="","",IFERROR(VLOOKUP(D439,'Resumen Empleado'!$A$4:$B$17,2,FALSE),""))</f>
        <v>7.25</v>
      </c>
      <c r="I439" s="676">
        <f t="shared" si="76"/>
        <v>0</v>
      </c>
      <c r="J439" s="676">
        <f t="shared" si="77"/>
        <v>0</v>
      </c>
      <c r="K439" s="676">
        <f t="shared" si="84"/>
        <v>39.874999999999993</v>
      </c>
      <c r="L439" s="1044">
        <f t="shared" si="78"/>
        <v>39.874999999999993</v>
      </c>
      <c r="M439" s="145" t="str">
        <f t="shared" si="79"/>
        <v/>
      </c>
      <c r="N439" s="684">
        <f t="shared" si="80"/>
        <v>46094</v>
      </c>
    </row>
    <row r="440" spans="1:14" ht="15" customHeight="1">
      <c r="A440" s="658">
        <v>46094</v>
      </c>
      <c r="B440" s="658" t="str">
        <f t="shared" si="74"/>
        <v>Vie</v>
      </c>
      <c r="C440" s="674" t="s">
        <v>497</v>
      </c>
      <c r="D440" s="897" t="s">
        <v>532</v>
      </c>
      <c r="E440" s="687">
        <v>0.79166666666666663</v>
      </c>
      <c r="F440" s="687">
        <v>0</v>
      </c>
      <c r="G440" s="688">
        <f t="shared" si="75"/>
        <v>5.0000000000000009</v>
      </c>
      <c r="H440" s="676">
        <f>IF(D440="","",IFERROR(VLOOKUP(D440,'Resumen Empleado'!$A$4:$B$17,2,FALSE),""))</f>
        <v>5.17</v>
      </c>
      <c r="I440" s="676">
        <f t="shared" si="76"/>
        <v>0</v>
      </c>
      <c r="J440" s="676">
        <f t="shared" si="77"/>
        <v>0</v>
      </c>
      <c r="K440" s="676">
        <f t="shared" si="84"/>
        <v>25.850000000000005</v>
      </c>
      <c r="L440" s="1044">
        <f t="shared" si="78"/>
        <v>25.850000000000005</v>
      </c>
      <c r="M440" s="145" t="str">
        <f t="shared" si="79"/>
        <v/>
      </c>
      <c r="N440" s="684">
        <f t="shared" si="80"/>
        <v>46094</v>
      </c>
    </row>
    <row r="441" spans="1:14" ht="15" customHeight="1">
      <c r="A441" s="658">
        <v>46094</v>
      </c>
      <c r="B441" s="658" t="str">
        <f t="shared" si="74"/>
        <v>Vie</v>
      </c>
      <c r="C441" s="674" t="s">
        <v>497</v>
      </c>
      <c r="D441" s="885" t="s">
        <v>526</v>
      </c>
      <c r="E441" s="687">
        <v>0.79166666666666663</v>
      </c>
      <c r="F441" s="687">
        <v>0</v>
      </c>
      <c r="G441" s="688">
        <f t="shared" si="75"/>
        <v>5.0000000000000009</v>
      </c>
      <c r="H441" s="676">
        <f>IF(D441="","",IFERROR(VLOOKUP(D441,'Resumen Empleado'!$A$4:$B$17,2,FALSE),""))</f>
        <v>16</v>
      </c>
      <c r="I441" s="676">
        <f t="shared" si="76"/>
        <v>0</v>
      </c>
      <c r="J441" s="676">
        <f t="shared" si="77"/>
        <v>0</v>
      </c>
      <c r="K441" s="676">
        <f t="shared" si="84"/>
        <v>80.000000000000014</v>
      </c>
      <c r="L441" s="1044">
        <f t="shared" si="78"/>
        <v>80.000000000000014</v>
      </c>
      <c r="M441" s="145" t="str">
        <f t="shared" si="79"/>
        <v/>
      </c>
      <c r="N441" s="684">
        <f t="shared" si="80"/>
        <v>46094</v>
      </c>
    </row>
    <row r="442" spans="1:14" ht="15" customHeight="1">
      <c r="A442" s="658">
        <v>46094</v>
      </c>
      <c r="B442" s="658" t="str">
        <f t="shared" si="74"/>
        <v>Vie</v>
      </c>
      <c r="C442" s="674" t="s">
        <v>497</v>
      </c>
      <c r="D442" s="885" t="s">
        <v>529</v>
      </c>
      <c r="E442" s="687">
        <v>0.83333333333333337</v>
      </c>
      <c r="F442" s="687">
        <v>0</v>
      </c>
      <c r="G442" s="688">
        <f t="shared" si="75"/>
        <v>3.9999999999999991</v>
      </c>
      <c r="H442" s="676">
        <f>IF(D442="","",IFERROR(VLOOKUP(D442,'Resumen Empleado'!$A$4:$B$17,2,FALSE),""))</f>
        <v>8</v>
      </c>
      <c r="I442" s="676">
        <f t="shared" si="76"/>
        <v>0</v>
      </c>
      <c r="J442" s="676">
        <f t="shared" si="77"/>
        <v>0</v>
      </c>
      <c r="K442" s="676">
        <f t="shared" si="84"/>
        <v>31.999999999999993</v>
      </c>
      <c r="L442" s="1044">
        <f t="shared" si="78"/>
        <v>31.999999999999993</v>
      </c>
      <c r="M442" s="145" t="str">
        <f t="shared" si="79"/>
        <v/>
      </c>
      <c r="N442" s="684">
        <f t="shared" si="80"/>
        <v>46094</v>
      </c>
    </row>
    <row r="443" spans="1:14" ht="15" customHeight="1">
      <c r="A443" s="658">
        <v>46094</v>
      </c>
      <c r="B443" s="658" t="str">
        <f t="shared" si="74"/>
        <v>Vie</v>
      </c>
      <c r="C443" s="674" t="s">
        <v>497</v>
      </c>
      <c r="D443" s="885" t="s">
        <v>535</v>
      </c>
      <c r="E443" s="687">
        <v>0.83333333333333337</v>
      </c>
      <c r="F443" s="687">
        <v>0</v>
      </c>
      <c r="G443" s="688">
        <f t="shared" si="75"/>
        <v>3.9999999999999991</v>
      </c>
      <c r="H443" s="676">
        <f>IF(D443="","",IFERROR(VLOOKUP(D443,'Resumen Empleado'!$A$4:$B$17,2,FALSE),""))</f>
        <v>6</v>
      </c>
      <c r="I443" s="676">
        <f t="shared" si="76"/>
        <v>0</v>
      </c>
      <c r="J443" s="676">
        <f t="shared" si="77"/>
        <v>0</v>
      </c>
      <c r="K443" s="676">
        <f t="shared" si="84"/>
        <v>23.999999999999993</v>
      </c>
      <c r="L443" s="1044">
        <f t="shared" si="78"/>
        <v>23.999999999999993</v>
      </c>
      <c r="M443" s="145" t="str">
        <f t="shared" si="79"/>
        <v/>
      </c>
      <c r="N443" s="684">
        <f t="shared" si="80"/>
        <v>46094</v>
      </c>
    </row>
    <row r="444" spans="1:14" ht="15" customHeight="1">
      <c r="A444" s="658">
        <v>46094</v>
      </c>
      <c r="B444" s="658" t="str">
        <f t="shared" si="74"/>
        <v>Vie</v>
      </c>
      <c r="C444" s="674" t="s">
        <v>497</v>
      </c>
      <c r="D444" s="885" t="s">
        <v>522</v>
      </c>
      <c r="E444" s="687">
        <v>0.79166666666666663</v>
      </c>
      <c r="F444" s="687">
        <v>0.9375</v>
      </c>
      <c r="G444" s="688">
        <f t="shared" si="75"/>
        <v>3.5000000000000009</v>
      </c>
      <c r="H444" s="676">
        <f>IF(D444="","",IFERROR(VLOOKUP(D444,'Resumen Empleado'!$A$4:$B$17,2,FALSE),""))</f>
        <v>10</v>
      </c>
      <c r="I444" s="676">
        <f t="shared" si="76"/>
        <v>0</v>
      </c>
      <c r="J444" s="676">
        <f t="shared" si="77"/>
        <v>0</v>
      </c>
      <c r="K444" s="676">
        <f t="shared" si="84"/>
        <v>35.000000000000007</v>
      </c>
      <c r="L444" s="1044">
        <f t="shared" si="78"/>
        <v>35.000000000000007</v>
      </c>
      <c r="M444" s="145" t="str">
        <f t="shared" si="79"/>
        <v/>
      </c>
      <c r="N444" s="684">
        <f t="shared" si="80"/>
        <v>46094</v>
      </c>
    </row>
    <row r="445" spans="1:14" ht="15" customHeight="1">
      <c r="A445" s="658">
        <v>46094</v>
      </c>
      <c r="B445" s="658" t="str">
        <f t="shared" si="74"/>
        <v>Vie</v>
      </c>
      <c r="C445" s="674" t="s">
        <v>497</v>
      </c>
      <c r="D445" s="885" t="s">
        <v>527</v>
      </c>
      <c r="E445" s="687">
        <v>0.8125</v>
      </c>
      <c r="F445" s="687">
        <v>0.89583333333333337</v>
      </c>
      <c r="G445" s="688">
        <f t="shared" si="75"/>
        <v>2.0000000000000009</v>
      </c>
      <c r="H445" s="676" t="str">
        <f>IF(D445="","",IFERROR(VLOOKUP(D445,'Resumen Empleado'!$A$4:$B$17,2,FALSE),""))</f>
        <v/>
      </c>
      <c r="I445" s="676">
        <f t="shared" si="76"/>
        <v>0</v>
      </c>
      <c r="J445" s="676">
        <f t="shared" si="77"/>
        <v>0</v>
      </c>
      <c r="K445" s="676">
        <f t="shared" si="84"/>
        <v>0</v>
      </c>
      <c r="L445" s="1044">
        <f t="shared" si="78"/>
        <v>0</v>
      </c>
      <c r="M445" s="145" t="str">
        <f t="shared" si="79"/>
        <v/>
      </c>
      <c r="N445" s="684">
        <f t="shared" si="80"/>
        <v>46094</v>
      </c>
    </row>
    <row r="446" spans="1:14" ht="15" customHeight="1">
      <c r="A446" s="658">
        <v>46094</v>
      </c>
      <c r="B446" s="658" t="str">
        <f t="shared" si="74"/>
        <v>Vie</v>
      </c>
      <c r="C446" s="674" t="s">
        <v>146</v>
      </c>
      <c r="D446" s="897" t="s">
        <v>528</v>
      </c>
      <c r="E446" s="687">
        <v>0.33333333333333331</v>
      </c>
      <c r="F446" s="687">
        <v>0.66666666666666663</v>
      </c>
      <c r="G446" s="688">
        <f t="shared" si="75"/>
        <v>8</v>
      </c>
      <c r="H446" s="676">
        <f>IF(D446="","",IFERROR(VLOOKUP(D446,'Resumen Empleado'!$A$4:$B$17,2,FALSE),""))</f>
        <v>11</v>
      </c>
      <c r="I446" s="676">
        <f t="shared" si="76"/>
        <v>44</v>
      </c>
      <c r="J446" s="676">
        <f t="shared" si="77"/>
        <v>43.999999999999993</v>
      </c>
      <c r="K446" s="676">
        <f>IF(OR(E446="",F446="",H446=""),0,MAX(0,(MIN(IF(F446&lt;E446,1+F446,F446),1+TIME(5,0,0))-MAX(E446,TIME(19,0,0))))*24*H446)</f>
        <v>0</v>
      </c>
      <c r="L446" s="1044">
        <f t="shared" si="78"/>
        <v>88</v>
      </c>
      <c r="M446" s="145" t="str">
        <f t="shared" si="79"/>
        <v/>
      </c>
      <c r="N446" s="684">
        <f t="shared" si="80"/>
        <v>46094</v>
      </c>
    </row>
    <row r="447" spans="1:14" ht="15" customHeight="1">
      <c r="A447" s="658">
        <v>46095</v>
      </c>
      <c r="B447" s="658" t="str">
        <f t="shared" si="74"/>
        <v>Sáb</v>
      </c>
      <c r="C447" s="674" t="s">
        <v>146</v>
      </c>
      <c r="D447" s="885" t="s">
        <v>532</v>
      </c>
      <c r="E447" s="687">
        <v>0.30208333333333331</v>
      </c>
      <c r="F447" s="687">
        <v>0.66666666666666663</v>
      </c>
      <c r="G447" s="688">
        <f t="shared" si="75"/>
        <v>8.75</v>
      </c>
      <c r="H447" s="676">
        <f>IF(D447="","",IFERROR(VLOOKUP(D447,'Resumen Empleado'!$A$4:$B$17,2,FALSE),""))</f>
        <v>5.17</v>
      </c>
      <c r="I447" s="676">
        <f t="shared" si="76"/>
        <v>24.557500000000001</v>
      </c>
      <c r="J447" s="676">
        <f t="shared" si="77"/>
        <v>20.679999999999996</v>
      </c>
      <c r="K447" s="676">
        <f t="shared" ref="K447:K458" si="85">IF(OR(E447="",F447="",H447=""),0,MAX(0,(MIN(IF(F447&lt;E447,F447+1,F447),1+TIME(5,0,0))-MAX(E447,TIME(19,0,0))))*24*H447)</f>
        <v>0</v>
      </c>
      <c r="L447" s="1044">
        <f t="shared" si="78"/>
        <v>45.237499999999997</v>
      </c>
      <c r="M447" s="145" t="str">
        <f t="shared" si="79"/>
        <v/>
      </c>
      <c r="N447" s="684">
        <f t="shared" si="80"/>
        <v>46095</v>
      </c>
    </row>
    <row r="448" spans="1:14" ht="15" customHeight="1">
      <c r="A448" s="658">
        <v>46095</v>
      </c>
      <c r="B448" s="658" t="str">
        <f t="shared" si="74"/>
        <v>Sáb</v>
      </c>
      <c r="C448" s="674" t="s">
        <v>146</v>
      </c>
      <c r="D448" s="885" t="s">
        <v>525</v>
      </c>
      <c r="E448" s="687">
        <v>0.375</v>
      </c>
      <c r="F448" s="687">
        <v>0.66666666666666663</v>
      </c>
      <c r="G448" s="688">
        <f t="shared" si="75"/>
        <v>6.9999999999999991</v>
      </c>
      <c r="H448" s="676">
        <f>IF(D448="","",IFERROR(VLOOKUP(D448,'Resumen Empleado'!$A$4:$B$17,2,FALSE),""))</f>
        <v>7.25</v>
      </c>
      <c r="I448" s="676">
        <f t="shared" si="76"/>
        <v>21.75</v>
      </c>
      <c r="J448" s="676">
        <f t="shared" si="77"/>
        <v>28.999999999999993</v>
      </c>
      <c r="K448" s="676">
        <f t="shared" si="85"/>
        <v>0</v>
      </c>
      <c r="L448" s="1044">
        <f t="shared" si="78"/>
        <v>50.749999999999993</v>
      </c>
      <c r="M448" s="145" t="str">
        <f t="shared" si="79"/>
        <v/>
      </c>
      <c r="N448" s="684">
        <f t="shared" si="80"/>
        <v>46095</v>
      </c>
    </row>
    <row r="449" spans="1:14" ht="15" customHeight="1">
      <c r="A449" s="658">
        <v>46095</v>
      </c>
      <c r="B449" s="658" t="str">
        <f t="shared" si="74"/>
        <v>Sáb</v>
      </c>
      <c r="C449" s="674" t="s">
        <v>146</v>
      </c>
      <c r="D449" s="885" t="s">
        <v>522</v>
      </c>
      <c r="E449" s="687">
        <v>0.33333333333333331</v>
      </c>
      <c r="F449" s="687">
        <v>0.375</v>
      </c>
      <c r="G449" s="688">
        <f t="shared" si="75"/>
        <v>1.0000000000000004</v>
      </c>
      <c r="H449" s="676">
        <f>IF(D449="","",IFERROR(VLOOKUP(D449,'Resumen Empleado'!$A$4:$B$17,2,FALSE),""))</f>
        <v>10</v>
      </c>
      <c r="I449" s="676">
        <f t="shared" si="76"/>
        <v>10.000000000000004</v>
      </c>
      <c r="J449" s="676">
        <f t="shared" si="77"/>
        <v>0</v>
      </c>
      <c r="K449" s="676">
        <f t="shared" si="85"/>
        <v>0</v>
      </c>
      <c r="L449" s="1044">
        <f t="shared" si="78"/>
        <v>10.000000000000004</v>
      </c>
      <c r="M449" s="145" t="str">
        <f t="shared" si="79"/>
        <v/>
      </c>
      <c r="N449" s="684">
        <f t="shared" si="80"/>
        <v>46095</v>
      </c>
    </row>
    <row r="450" spans="1:14" ht="15" customHeight="1">
      <c r="A450" s="658">
        <v>46095</v>
      </c>
      <c r="B450" s="658" t="str">
        <f t="shared" si="74"/>
        <v>Sáb</v>
      </c>
      <c r="C450" s="674" t="s">
        <v>146</v>
      </c>
      <c r="D450" s="885" t="s">
        <v>526</v>
      </c>
      <c r="E450" s="687">
        <v>0.375</v>
      </c>
      <c r="F450" s="687">
        <v>0.66666666666666663</v>
      </c>
      <c r="G450" s="688">
        <f t="shared" si="75"/>
        <v>6.9999999999999991</v>
      </c>
      <c r="H450" s="676">
        <f>IF(D450="","",IFERROR(VLOOKUP(D450,'Resumen Empleado'!$A$4:$B$17,2,FALSE),""))</f>
        <v>16</v>
      </c>
      <c r="I450" s="676">
        <f t="shared" si="76"/>
        <v>48</v>
      </c>
      <c r="J450" s="676">
        <f t="shared" si="77"/>
        <v>63.999999999999986</v>
      </c>
      <c r="K450" s="676">
        <f t="shared" si="85"/>
        <v>0</v>
      </c>
      <c r="L450" s="1044">
        <f t="shared" si="78"/>
        <v>111.99999999999999</v>
      </c>
      <c r="M450" s="145" t="str">
        <f t="shared" si="79"/>
        <v/>
      </c>
      <c r="N450" s="684">
        <f t="shared" si="80"/>
        <v>46095</v>
      </c>
    </row>
    <row r="451" spans="1:14" ht="15" customHeight="1">
      <c r="A451" s="658">
        <v>46095</v>
      </c>
      <c r="B451" s="658" t="str">
        <f t="shared" si="74"/>
        <v>Sáb</v>
      </c>
      <c r="C451" s="674" t="s">
        <v>146</v>
      </c>
      <c r="D451" s="885" t="s">
        <v>535</v>
      </c>
      <c r="E451" s="687">
        <v>0.54166666666666663</v>
      </c>
      <c r="F451" s="687">
        <v>0.66666666666666663</v>
      </c>
      <c r="G451" s="688">
        <f t="shared" si="75"/>
        <v>3</v>
      </c>
      <c r="H451" s="676">
        <f>IF(D451="","",IFERROR(VLOOKUP(D451,'Resumen Empleado'!$A$4:$B$17,2,FALSE),""))</f>
        <v>6</v>
      </c>
      <c r="I451" s="676">
        <f t="shared" si="76"/>
        <v>0</v>
      </c>
      <c r="J451" s="676">
        <f t="shared" si="77"/>
        <v>18</v>
      </c>
      <c r="K451" s="676">
        <f t="shared" si="85"/>
        <v>0</v>
      </c>
      <c r="L451" s="1044">
        <f t="shared" si="78"/>
        <v>18</v>
      </c>
      <c r="M451" s="145" t="str">
        <f t="shared" si="79"/>
        <v/>
      </c>
      <c r="N451" s="684">
        <f t="shared" si="80"/>
        <v>46095</v>
      </c>
    </row>
    <row r="452" spans="1:14" ht="15" customHeight="1">
      <c r="A452" s="658">
        <v>46095</v>
      </c>
      <c r="B452" s="658" t="str">
        <f t="shared" si="74"/>
        <v>Sáb</v>
      </c>
      <c r="C452" s="674" t="s">
        <v>146</v>
      </c>
      <c r="D452" s="885" t="s">
        <v>522</v>
      </c>
      <c r="E452" s="687">
        <v>0.5</v>
      </c>
      <c r="F452" s="687">
        <v>0.66666666666666663</v>
      </c>
      <c r="G452" s="688">
        <f t="shared" si="75"/>
        <v>3.9999999999999991</v>
      </c>
      <c r="H452" s="676">
        <f>IF(D452="","",IFERROR(VLOOKUP(D452,'Resumen Empleado'!$A$4:$B$17,2,FALSE),""))</f>
        <v>10</v>
      </c>
      <c r="I452" s="676">
        <f t="shared" si="76"/>
        <v>0</v>
      </c>
      <c r="J452" s="676">
        <f t="shared" si="77"/>
        <v>39.999999999999993</v>
      </c>
      <c r="K452" s="676">
        <f t="shared" si="85"/>
        <v>0</v>
      </c>
      <c r="L452" s="1044">
        <f t="shared" si="78"/>
        <v>39.999999999999993</v>
      </c>
      <c r="M452" s="145" t="str">
        <f t="shared" si="79"/>
        <v/>
      </c>
      <c r="N452" s="684">
        <f t="shared" si="80"/>
        <v>46095</v>
      </c>
    </row>
    <row r="453" spans="1:14" ht="15" customHeight="1">
      <c r="A453" s="658">
        <v>46095</v>
      </c>
      <c r="B453" s="658" t="str">
        <f t="shared" ref="B453:B516" si="86">IF(A453="","",PROPER(TEXT(A453,"ddd")))</f>
        <v>Sáb</v>
      </c>
      <c r="C453" s="674" t="s">
        <v>497</v>
      </c>
      <c r="D453" s="885" t="s">
        <v>529</v>
      </c>
      <c r="E453" s="687">
        <v>0.90625</v>
      </c>
      <c r="F453" s="687">
        <v>0</v>
      </c>
      <c r="G453" s="688">
        <f t="shared" ref="G453:G516" si="87">IF(F453&lt;E453,F453+1-E453,F453-E453)*24</f>
        <v>2.25</v>
      </c>
      <c r="H453" s="676">
        <f>IF(D453="","",IFERROR(VLOOKUP(D453,'Resumen Empleado'!$A$4:$B$17,2,FALSE),""))</f>
        <v>8</v>
      </c>
      <c r="I453" s="676">
        <f t="shared" ref="I453:I516" si="88">IF(OR(E453="",F453="",H453=""),0,MAX(0,(MIN(IF(F453&lt;E453,F453+1,F453),TIME(12,0,0))-MAX(E453,TIME(5,0,0))))*24*H453)</f>
        <v>0</v>
      </c>
      <c r="J453" s="676">
        <f t="shared" ref="J453:J516" si="89">IF(OR(E453="",F453="",H453=""),0,MAX(0,(MIN(IF(F453&lt;E453,F453+1,F453),TIME(19,0,0))-MAX(E453,TIME(12,0,0))))*24*H453)</f>
        <v>0</v>
      </c>
      <c r="K453" s="676">
        <f t="shared" si="85"/>
        <v>18</v>
      </c>
      <c r="L453" s="1044">
        <f t="shared" ref="L453:L516" si="90">SUM(I453:K453)</f>
        <v>18</v>
      </c>
      <c r="M453" s="145" t="str">
        <f t="shared" ref="M453:M516" si="91">IF(A453="","",IF(G453&gt;12,"⚠ Verificar",""))</f>
        <v/>
      </c>
      <c r="N453" s="684">
        <f t="shared" ref="N453:N516" si="92">IF(A453="","",IF(ISNUMBER(A453),A453,DATE(VALUE(RIGHT(A453,4)),VALUE(MID(A453,4,2)),VALUE(LEFT(A453,2)))))</f>
        <v>46095</v>
      </c>
    </row>
    <row r="454" spans="1:14" ht="15" customHeight="1">
      <c r="A454" s="658">
        <v>46095</v>
      </c>
      <c r="B454" s="658" t="str">
        <f t="shared" si="86"/>
        <v>Sáb</v>
      </c>
      <c r="C454" s="674" t="s">
        <v>497</v>
      </c>
      <c r="D454" s="885" t="s">
        <v>525</v>
      </c>
      <c r="E454" s="687">
        <v>0.79166666666666663</v>
      </c>
      <c r="F454" s="687">
        <v>0</v>
      </c>
      <c r="G454" s="688">
        <f t="shared" si="87"/>
        <v>5.0000000000000009</v>
      </c>
      <c r="H454" s="676">
        <f>IF(D454="","",IFERROR(VLOOKUP(D454,'Resumen Empleado'!$A$4:$B$17,2,FALSE),""))</f>
        <v>7.25</v>
      </c>
      <c r="I454" s="676">
        <f t="shared" si="88"/>
        <v>0</v>
      </c>
      <c r="J454" s="676">
        <f t="shared" si="89"/>
        <v>0</v>
      </c>
      <c r="K454" s="676">
        <f t="shared" si="85"/>
        <v>36.250000000000007</v>
      </c>
      <c r="L454" s="1044">
        <f t="shared" si="90"/>
        <v>36.250000000000007</v>
      </c>
      <c r="M454" s="145" t="str">
        <f t="shared" si="91"/>
        <v/>
      </c>
      <c r="N454" s="684">
        <f t="shared" si="92"/>
        <v>46095</v>
      </c>
    </row>
    <row r="455" spans="1:14" ht="15" customHeight="1">
      <c r="A455" s="658">
        <v>46095</v>
      </c>
      <c r="B455" s="658" t="str">
        <f t="shared" si="86"/>
        <v>Sáb</v>
      </c>
      <c r="C455" s="674" t="s">
        <v>497</v>
      </c>
      <c r="D455" s="885" t="s">
        <v>532</v>
      </c>
      <c r="E455" s="687">
        <v>0.83333333333333337</v>
      </c>
      <c r="F455" s="687">
        <v>0.98958333333333337</v>
      </c>
      <c r="G455" s="688">
        <f t="shared" si="87"/>
        <v>3.75</v>
      </c>
      <c r="H455" s="676">
        <f>IF(D455="","",IFERROR(VLOOKUP(D455,'Resumen Empleado'!$A$4:$B$17,2,FALSE),""))</f>
        <v>5.17</v>
      </c>
      <c r="I455" s="676">
        <f t="shared" si="88"/>
        <v>0</v>
      </c>
      <c r="J455" s="676">
        <f t="shared" si="89"/>
        <v>0</v>
      </c>
      <c r="K455" s="676">
        <f t="shared" si="85"/>
        <v>19.387499999999999</v>
      </c>
      <c r="L455" s="1044">
        <f t="shared" si="90"/>
        <v>19.387499999999999</v>
      </c>
      <c r="M455" s="145" t="str">
        <f t="shared" si="91"/>
        <v/>
      </c>
      <c r="N455" s="684">
        <f t="shared" si="92"/>
        <v>46095</v>
      </c>
    </row>
    <row r="456" spans="1:14" ht="15" customHeight="1">
      <c r="A456" s="658">
        <v>46095</v>
      </c>
      <c r="B456" s="658" t="str">
        <f t="shared" si="86"/>
        <v>Sáb</v>
      </c>
      <c r="C456" s="674" t="s">
        <v>497</v>
      </c>
      <c r="D456" s="897" t="s">
        <v>526</v>
      </c>
      <c r="E456" s="687">
        <v>0.79166666666666663</v>
      </c>
      <c r="F456" s="687">
        <v>0</v>
      </c>
      <c r="G456" s="688">
        <f t="shared" si="87"/>
        <v>5.0000000000000009</v>
      </c>
      <c r="H456" s="676">
        <f>IF(D456="","",IFERROR(VLOOKUP(D456,'Resumen Empleado'!$A$4:$B$17,2,FALSE),""))</f>
        <v>16</v>
      </c>
      <c r="I456" s="676">
        <f t="shared" si="88"/>
        <v>0</v>
      </c>
      <c r="J456" s="676">
        <f t="shared" si="89"/>
        <v>0</v>
      </c>
      <c r="K456" s="676">
        <f t="shared" si="85"/>
        <v>80.000000000000014</v>
      </c>
      <c r="L456" s="1044">
        <f t="shared" si="90"/>
        <v>80.000000000000014</v>
      </c>
      <c r="M456" s="145" t="str">
        <f t="shared" si="91"/>
        <v/>
      </c>
      <c r="N456" s="684">
        <f t="shared" si="92"/>
        <v>46095</v>
      </c>
    </row>
    <row r="457" spans="1:14" ht="15" customHeight="1">
      <c r="A457" s="658">
        <v>46095</v>
      </c>
      <c r="B457" s="658" t="str">
        <f t="shared" si="86"/>
        <v>Sáb</v>
      </c>
      <c r="C457" s="674" t="s">
        <v>497</v>
      </c>
      <c r="D457" s="885" t="s">
        <v>522</v>
      </c>
      <c r="E457" s="687">
        <v>0.79166666666666663</v>
      </c>
      <c r="F457" s="687">
        <v>0.95833333333333337</v>
      </c>
      <c r="G457" s="688">
        <f t="shared" si="87"/>
        <v>4.0000000000000018</v>
      </c>
      <c r="H457" s="676">
        <f>IF(D457="","",IFERROR(VLOOKUP(D457,'Resumen Empleado'!$A$4:$B$17,2,FALSE),""))</f>
        <v>10</v>
      </c>
      <c r="I457" s="676">
        <f t="shared" si="88"/>
        <v>0</v>
      </c>
      <c r="J457" s="676">
        <f t="shared" si="89"/>
        <v>0</v>
      </c>
      <c r="K457" s="676">
        <f t="shared" si="85"/>
        <v>40.000000000000014</v>
      </c>
      <c r="L457" s="1044">
        <f t="shared" si="90"/>
        <v>40.000000000000014</v>
      </c>
      <c r="M457" s="145" t="str">
        <f t="shared" si="91"/>
        <v/>
      </c>
      <c r="N457" s="684">
        <f t="shared" si="92"/>
        <v>46095</v>
      </c>
    </row>
    <row r="458" spans="1:14" ht="15" customHeight="1">
      <c r="A458" s="658">
        <v>46095</v>
      </c>
      <c r="B458" s="658" t="str">
        <f t="shared" si="86"/>
        <v>Sáb</v>
      </c>
      <c r="C458" s="674" t="s">
        <v>497</v>
      </c>
      <c r="D458" s="885" t="s">
        <v>535</v>
      </c>
      <c r="E458" s="687">
        <v>0.83333333333333337</v>
      </c>
      <c r="F458" s="687">
        <v>0</v>
      </c>
      <c r="G458" s="688">
        <f t="shared" si="87"/>
        <v>3.9999999999999991</v>
      </c>
      <c r="H458" s="676">
        <f>IF(D458="","",IFERROR(VLOOKUP(D458,'Resumen Empleado'!$A$4:$B$17,2,FALSE),""))</f>
        <v>6</v>
      </c>
      <c r="I458" s="676">
        <f t="shared" si="88"/>
        <v>0</v>
      </c>
      <c r="J458" s="676">
        <f t="shared" si="89"/>
        <v>0</v>
      </c>
      <c r="K458" s="676">
        <f t="shared" si="85"/>
        <v>23.999999999999993</v>
      </c>
      <c r="L458" s="1044">
        <f t="shared" si="90"/>
        <v>23.999999999999993</v>
      </c>
      <c r="M458" s="145" t="str">
        <f t="shared" si="91"/>
        <v/>
      </c>
      <c r="N458" s="684">
        <f t="shared" si="92"/>
        <v>46095</v>
      </c>
    </row>
    <row r="459" spans="1:14" ht="15" customHeight="1">
      <c r="A459" s="658">
        <v>46095</v>
      </c>
      <c r="B459" s="658" t="str">
        <f t="shared" si="86"/>
        <v>Sáb</v>
      </c>
      <c r="C459" s="674" t="s">
        <v>146</v>
      </c>
      <c r="D459" s="885" t="s">
        <v>528</v>
      </c>
      <c r="E459" s="687">
        <v>0.33333333333333331</v>
      </c>
      <c r="F459" s="687">
        <v>0.66666666666666663</v>
      </c>
      <c r="G459" s="688">
        <f t="shared" si="87"/>
        <v>8</v>
      </c>
      <c r="H459" s="676">
        <f>IF(D459="","",IFERROR(VLOOKUP(D459,'Resumen Empleado'!$A$4:$B$17,2,FALSE),""))</f>
        <v>11</v>
      </c>
      <c r="I459" s="676">
        <f t="shared" si="88"/>
        <v>44</v>
      </c>
      <c r="J459" s="676">
        <f t="shared" si="89"/>
        <v>43.999999999999993</v>
      </c>
      <c r="K459" s="676">
        <f>IF(OR(E459="",F459="",H459=""),0,MAX(0,(MIN(IF(F459&lt;E459,1+F459,F459),1+TIME(5,0,0))-MAX(E459,TIME(19,0,0))))*24*H459)</f>
        <v>0</v>
      </c>
      <c r="L459" s="1044">
        <f t="shared" si="90"/>
        <v>88</v>
      </c>
      <c r="M459" s="145" t="str">
        <f t="shared" si="91"/>
        <v/>
      </c>
      <c r="N459" s="684">
        <f t="shared" si="92"/>
        <v>46095</v>
      </c>
    </row>
    <row r="460" spans="1:14" ht="15" customHeight="1">
      <c r="A460" s="658">
        <v>46096</v>
      </c>
      <c r="B460" s="658" t="str">
        <f t="shared" si="86"/>
        <v>Dom</v>
      </c>
      <c r="C460" s="674" t="s">
        <v>146</v>
      </c>
      <c r="D460" s="885" t="s">
        <v>529</v>
      </c>
      <c r="E460" s="687">
        <v>0.47916666666666669</v>
      </c>
      <c r="F460" s="687">
        <v>0.70833333333333337</v>
      </c>
      <c r="G460" s="688">
        <f t="shared" si="87"/>
        <v>5.5</v>
      </c>
      <c r="H460" s="676">
        <f>IF(D460="","",IFERROR(VLOOKUP(D460,'Resumen Empleado'!$A$4:$B$17,2,FALSE),""))</f>
        <v>8</v>
      </c>
      <c r="I460" s="676">
        <f t="shared" si="88"/>
        <v>3.9999999999999964</v>
      </c>
      <c r="J460" s="676">
        <f t="shared" si="89"/>
        <v>40.000000000000007</v>
      </c>
      <c r="K460" s="676">
        <f t="shared" ref="K460:K469" si="93">IF(OR(E460="",F460="",H460=""),0,MAX(0,(MIN(IF(F460&lt;E460,F460+1,F460),1+TIME(5,0,0))-MAX(E460,TIME(19,0,0))))*24*H460)</f>
        <v>0</v>
      </c>
      <c r="L460" s="1044">
        <f t="shared" si="90"/>
        <v>44</v>
      </c>
      <c r="M460" s="145" t="str">
        <f t="shared" si="91"/>
        <v/>
      </c>
      <c r="N460" s="684">
        <f t="shared" si="92"/>
        <v>46096</v>
      </c>
    </row>
    <row r="461" spans="1:14" ht="15" customHeight="1">
      <c r="A461" s="658">
        <v>46096</v>
      </c>
      <c r="B461" s="658" t="str">
        <f t="shared" si="86"/>
        <v>Dom</v>
      </c>
      <c r="C461" s="674" t="s">
        <v>146</v>
      </c>
      <c r="D461" s="897" t="s">
        <v>530</v>
      </c>
      <c r="E461" s="687">
        <v>0.54166666666666663</v>
      </c>
      <c r="F461" s="687">
        <v>0.70833333333333337</v>
      </c>
      <c r="G461" s="688">
        <f t="shared" si="87"/>
        <v>4.0000000000000018</v>
      </c>
      <c r="H461" s="676">
        <f>IF(D461="","",IFERROR(VLOOKUP(D461,'Resumen Empleado'!$A$4:$B$17,2,FALSE),""))</f>
        <v>8</v>
      </c>
      <c r="I461" s="676">
        <f t="shared" si="88"/>
        <v>0</v>
      </c>
      <c r="J461" s="676">
        <f t="shared" si="89"/>
        <v>32.000000000000014</v>
      </c>
      <c r="K461" s="676">
        <f t="shared" si="93"/>
        <v>0</v>
      </c>
      <c r="L461" s="1044">
        <f t="shared" si="90"/>
        <v>32.000000000000014</v>
      </c>
      <c r="M461" s="145" t="str">
        <f t="shared" si="91"/>
        <v/>
      </c>
      <c r="N461" s="684">
        <f t="shared" si="92"/>
        <v>46096</v>
      </c>
    </row>
    <row r="462" spans="1:14" ht="15" customHeight="1">
      <c r="A462" s="658">
        <v>46096</v>
      </c>
      <c r="B462" s="658" t="str">
        <f t="shared" si="86"/>
        <v>Dom</v>
      </c>
      <c r="C462" s="674" t="s">
        <v>146</v>
      </c>
      <c r="D462" s="885" t="s">
        <v>535</v>
      </c>
      <c r="E462" s="687">
        <v>0.5</v>
      </c>
      <c r="F462" s="687">
        <v>0.70833333333333337</v>
      </c>
      <c r="G462" s="688">
        <f t="shared" si="87"/>
        <v>5.0000000000000009</v>
      </c>
      <c r="H462" s="676">
        <f>IF(D462="","",IFERROR(VLOOKUP(D462,'Resumen Empleado'!$A$4:$B$17,2,FALSE),""))</f>
        <v>6</v>
      </c>
      <c r="I462" s="676">
        <f t="shared" si="88"/>
        <v>0</v>
      </c>
      <c r="J462" s="676">
        <f t="shared" si="89"/>
        <v>30.000000000000007</v>
      </c>
      <c r="K462" s="676">
        <f t="shared" si="93"/>
        <v>0</v>
      </c>
      <c r="L462" s="1044">
        <f t="shared" si="90"/>
        <v>30.000000000000007</v>
      </c>
      <c r="M462" s="145" t="str">
        <f t="shared" si="91"/>
        <v/>
      </c>
      <c r="N462" s="684">
        <f t="shared" si="92"/>
        <v>46096</v>
      </c>
    </row>
    <row r="463" spans="1:14" ht="15" customHeight="1">
      <c r="A463" s="658">
        <v>46096</v>
      </c>
      <c r="B463" s="658" t="str">
        <f t="shared" si="86"/>
        <v>Dom</v>
      </c>
      <c r="C463" s="674" t="s">
        <v>146</v>
      </c>
      <c r="D463" s="885" t="s">
        <v>531</v>
      </c>
      <c r="E463" s="687">
        <v>0.54166666666666663</v>
      </c>
      <c r="F463" s="687">
        <v>0.72916666666666663</v>
      </c>
      <c r="G463" s="688">
        <f t="shared" si="87"/>
        <v>4.5</v>
      </c>
      <c r="H463" s="676">
        <f>IF(D463="","",IFERROR(VLOOKUP(D463,'Resumen Empleado'!$A$4:$B$17,2,FALSE),""))</f>
        <v>8</v>
      </c>
      <c r="I463" s="676">
        <f t="shared" si="88"/>
        <v>0</v>
      </c>
      <c r="J463" s="676">
        <f t="shared" si="89"/>
        <v>36</v>
      </c>
      <c r="K463" s="676">
        <f t="shared" si="93"/>
        <v>0</v>
      </c>
      <c r="L463" s="1044">
        <f t="shared" si="90"/>
        <v>36</v>
      </c>
      <c r="M463" s="145" t="str">
        <f t="shared" si="91"/>
        <v/>
      </c>
      <c r="N463" s="684">
        <f t="shared" si="92"/>
        <v>46096</v>
      </c>
    </row>
    <row r="464" spans="1:14" ht="15" customHeight="1">
      <c r="A464" s="658">
        <v>46096</v>
      </c>
      <c r="B464" s="658" t="str">
        <f t="shared" si="86"/>
        <v>Dom</v>
      </c>
      <c r="C464" s="674" t="s">
        <v>146</v>
      </c>
      <c r="D464" s="885" t="s">
        <v>525</v>
      </c>
      <c r="E464" s="687">
        <v>0.375</v>
      </c>
      <c r="F464" s="687">
        <v>0.70833333333333337</v>
      </c>
      <c r="G464" s="688">
        <f t="shared" si="87"/>
        <v>8</v>
      </c>
      <c r="H464" s="676">
        <f>IF(D464="","",IFERROR(VLOOKUP(D464,'Resumen Empleado'!$A$4:$B$17,2,FALSE),""))</f>
        <v>7.25</v>
      </c>
      <c r="I464" s="676">
        <f t="shared" si="88"/>
        <v>21.75</v>
      </c>
      <c r="J464" s="676">
        <f t="shared" si="89"/>
        <v>36.250000000000007</v>
      </c>
      <c r="K464" s="676">
        <f t="shared" si="93"/>
        <v>0</v>
      </c>
      <c r="L464" s="1044">
        <f t="shared" si="90"/>
        <v>58.000000000000007</v>
      </c>
      <c r="M464" s="145" t="str">
        <f t="shared" si="91"/>
        <v/>
      </c>
      <c r="N464" s="684">
        <f t="shared" si="92"/>
        <v>46096</v>
      </c>
    </row>
    <row r="465" spans="1:14" ht="15" customHeight="1">
      <c r="A465" s="658">
        <v>46096</v>
      </c>
      <c r="B465" s="658" t="str">
        <f t="shared" si="86"/>
        <v>Dom</v>
      </c>
      <c r="C465" s="674" t="s">
        <v>146</v>
      </c>
      <c r="D465" s="885" t="s">
        <v>522</v>
      </c>
      <c r="E465" s="687">
        <v>0.33333333333333331</v>
      </c>
      <c r="F465" s="687">
        <v>0.70833333333333337</v>
      </c>
      <c r="G465" s="688">
        <f t="shared" si="87"/>
        <v>9.0000000000000018</v>
      </c>
      <c r="H465" s="676">
        <f>IF(D465="","",IFERROR(VLOOKUP(D465,'Resumen Empleado'!$A$4:$B$17,2,FALSE),""))</f>
        <v>10</v>
      </c>
      <c r="I465" s="676">
        <f t="shared" si="88"/>
        <v>40</v>
      </c>
      <c r="J465" s="676">
        <f t="shared" si="89"/>
        <v>50.000000000000007</v>
      </c>
      <c r="K465" s="676">
        <f t="shared" si="93"/>
        <v>0</v>
      </c>
      <c r="L465" s="1044">
        <f t="shared" si="90"/>
        <v>90</v>
      </c>
      <c r="M465" s="145" t="str">
        <f t="shared" si="91"/>
        <v/>
      </c>
      <c r="N465" s="684">
        <f t="shared" si="92"/>
        <v>46096</v>
      </c>
    </row>
    <row r="466" spans="1:14" ht="15" customHeight="1">
      <c r="A466" s="658">
        <v>46096</v>
      </c>
      <c r="B466" s="658" t="str">
        <f t="shared" si="86"/>
        <v>Dom</v>
      </c>
      <c r="C466" s="674" t="s">
        <v>146</v>
      </c>
      <c r="D466" s="885" t="s">
        <v>528</v>
      </c>
      <c r="E466" s="687">
        <v>0.5625</v>
      </c>
      <c r="F466" s="687">
        <v>0.6875</v>
      </c>
      <c r="G466" s="688">
        <f t="shared" si="87"/>
        <v>3</v>
      </c>
      <c r="H466" s="676">
        <f>IF(D466="","",IFERROR(VLOOKUP(D466,'Resumen Empleado'!$A$4:$B$17,2,FALSE),""))</f>
        <v>11</v>
      </c>
      <c r="I466" s="676">
        <f t="shared" si="88"/>
        <v>0</v>
      </c>
      <c r="J466" s="676">
        <f t="shared" si="89"/>
        <v>33</v>
      </c>
      <c r="K466" s="676">
        <f t="shared" si="93"/>
        <v>0</v>
      </c>
      <c r="L466" s="1044">
        <f t="shared" si="90"/>
        <v>33</v>
      </c>
      <c r="M466" s="145" t="str">
        <f t="shared" si="91"/>
        <v/>
      </c>
      <c r="N466" s="684">
        <f t="shared" si="92"/>
        <v>46096</v>
      </c>
    </row>
    <row r="467" spans="1:14" ht="15" customHeight="1">
      <c r="A467" s="658">
        <v>46096</v>
      </c>
      <c r="B467" s="658" t="str">
        <f t="shared" si="86"/>
        <v>Dom</v>
      </c>
      <c r="C467" s="674" t="s">
        <v>146</v>
      </c>
      <c r="D467" s="885" t="s">
        <v>532</v>
      </c>
      <c r="E467" s="687">
        <v>0.30208333333333331</v>
      </c>
      <c r="F467" s="687">
        <v>0.72916666666666663</v>
      </c>
      <c r="G467" s="688">
        <f t="shared" si="87"/>
        <v>10.25</v>
      </c>
      <c r="H467" s="676">
        <f>IF(D467="","",IFERROR(VLOOKUP(D467,'Resumen Empleado'!$A$4:$B$17,2,FALSE),""))</f>
        <v>5.17</v>
      </c>
      <c r="I467" s="676">
        <f t="shared" si="88"/>
        <v>24.557500000000001</v>
      </c>
      <c r="J467" s="676">
        <f t="shared" si="89"/>
        <v>28.434999999999995</v>
      </c>
      <c r="K467" s="676">
        <f t="shared" si="93"/>
        <v>0</v>
      </c>
      <c r="L467" s="1044">
        <f t="shared" si="90"/>
        <v>52.992499999999993</v>
      </c>
      <c r="M467" s="145" t="str">
        <f t="shared" si="91"/>
        <v/>
      </c>
      <c r="N467" s="684">
        <f t="shared" si="92"/>
        <v>46096</v>
      </c>
    </row>
    <row r="468" spans="1:14" ht="15" customHeight="1">
      <c r="A468" s="658">
        <v>46096</v>
      </c>
      <c r="B468" s="658" t="str">
        <f t="shared" si="86"/>
        <v>Dom</v>
      </c>
      <c r="C468" s="674" t="s">
        <v>146</v>
      </c>
      <c r="D468" s="897" t="s">
        <v>526</v>
      </c>
      <c r="E468" s="687">
        <v>0.41666666666666669</v>
      </c>
      <c r="F468" s="687">
        <v>0.72916666666666663</v>
      </c>
      <c r="G468" s="688">
        <f t="shared" si="87"/>
        <v>7.4999999999999982</v>
      </c>
      <c r="H468" s="676">
        <f>IF(D468="","",IFERROR(VLOOKUP(D468,'Resumen Empleado'!$A$4:$B$17,2,FALSE),""))</f>
        <v>16</v>
      </c>
      <c r="I468" s="676">
        <f t="shared" si="88"/>
        <v>31.999999999999993</v>
      </c>
      <c r="J468" s="676">
        <f t="shared" si="89"/>
        <v>87.999999999999986</v>
      </c>
      <c r="K468" s="676">
        <f t="shared" si="93"/>
        <v>0</v>
      </c>
      <c r="L468" s="1044">
        <f t="shared" si="90"/>
        <v>119.99999999999997</v>
      </c>
      <c r="M468" s="145" t="str">
        <f t="shared" si="91"/>
        <v/>
      </c>
      <c r="N468" s="684">
        <f t="shared" si="92"/>
        <v>46096</v>
      </c>
    </row>
    <row r="469" spans="1:14" ht="15" customHeight="1">
      <c r="A469" s="658">
        <v>46098</v>
      </c>
      <c r="B469" s="658" t="str">
        <f t="shared" si="86"/>
        <v>Mar</v>
      </c>
      <c r="C469" s="674" t="s">
        <v>497</v>
      </c>
      <c r="D469" s="885" t="s">
        <v>527</v>
      </c>
      <c r="E469" s="687">
        <v>0.8125</v>
      </c>
      <c r="F469" s="687">
        <v>0.89583333333333337</v>
      </c>
      <c r="G469" s="688">
        <f t="shared" si="87"/>
        <v>2.0000000000000009</v>
      </c>
      <c r="H469" s="676" t="str">
        <f>IF(D469="","",IFERROR(VLOOKUP(D469,'Resumen Empleado'!$A$4:$B$17,2,FALSE),""))</f>
        <v/>
      </c>
      <c r="I469" s="676">
        <f t="shared" si="88"/>
        <v>0</v>
      </c>
      <c r="J469" s="676">
        <f t="shared" si="89"/>
        <v>0</v>
      </c>
      <c r="K469" s="676">
        <f t="shared" si="93"/>
        <v>0</v>
      </c>
      <c r="L469" s="1044">
        <f t="shared" si="90"/>
        <v>0</v>
      </c>
      <c r="M469" s="145" t="str">
        <f t="shared" si="91"/>
        <v/>
      </c>
      <c r="N469" s="684">
        <f t="shared" si="92"/>
        <v>46098</v>
      </c>
    </row>
    <row r="470" spans="1:14" ht="15" customHeight="1">
      <c r="A470" s="658">
        <v>46098</v>
      </c>
      <c r="B470" s="658" t="str">
        <f t="shared" si="86"/>
        <v>Mar</v>
      </c>
      <c r="C470" s="674" t="s">
        <v>146</v>
      </c>
      <c r="D470" s="885" t="s">
        <v>528</v>
      </c>
      <c r="E470" s="687">
        <v>0.33333333333333331</v>
      </c>
      <c r="F470" s="687">
        <v>0.66666666666666663</v>
      </c>
      <c r="G470" s="688">
        <f t="shared" si="87"/>
        <v>8</v>
      </c>
      <c r="H470" s="676">
        <f>IF(D470="","",IFERROR(VLOOKUP(D470,'Resumen Empleado'!$A$4:$B$17,2,FALSE),""))</f>
        <v>11</v>
      </c>
      <c r="I470" s="676">
        <f t="shared" si="88"/>
        <v>44</v>
      </c>
      <c r="J470" s="676">
        <f t="shared" si="89"/>
        <v>43.999999999999993</v>
      </c>
      <c r="K470" s="676">
        <f>IF(OR(E470="",F470="",H470=""),0,MAX(0,(MIN(IF(F470&lt;E470,1+F470,F470),1+TIME(5,0,0))-MAX(E470,TIME(19,0,0))))*24*H470)</f>
        <v>0</v>
      </c>
      <c r="L470" s="1044">
        <f t="shared" si="90"/>
        <v>88</v>
      </c>
      <c r="M470" s="145" t="str">
        <f t="shared" si="91"/>
        <v/>
      </c>
      <c r="N470" s="684">
        <f t="shared" si="92"/>
        <v>46098</v>
      </c>
    </row>
    <row r="471" spans="1:14" ht="15" customHeight="1">
      <c r="A471" s="658">
        <v>46099</v>
      </c>
      <c r="B471" s="658" t="str">
        <f t="shared" si="86"/>
        <v>Mié</v>
      </c>
      <c r="C471" s="674" t="s">
        <v>146</v>
      </c>
      <c r="D471" s="897" t="s">
        <v>522</v>
      </c>
      <c r="E471" s="687">
        <v>0.29166666666666669</v>
      </c>
      <c r="F471" s="687">
        <v>0.67708333333333337</v>
      </c>
      <c r="G471" s="688">
        <f t="shared" si="87"/>
        <v>9.25</v>
      </c>
      <c r="H471" s="676">
        <f>IF(D471="","",IFERROR(VLOOKUP(D471,'Resumen Empleado'!$A$4:$B$17,2,FALSE),""))</f>
        <v>10</v>
      </c>
      <c r="I471" s="676">
        <f t="shared" si="88"/>
        <v>50</v>
      </c>
      <c r="J471" s="676">
        <f t="shared" si="89"/>
        <v>42.500000000000007</v>
      </c>
      <c r="K471" s="676">
        <f t="shared" ref="K471:K478" si="94">IF(OR(E471="",F471="",H471=""),0,MAX(0,(MIN(IF(F471&lt;E471,F471+1,F471),1+TIME(5,0,0))-MAX(E471,TIME(19,0,0))))*24*H471)</f>
        <v>0</v>
      </c>
      <c r="L471" s="1044">
        <f t="shared" si="90"/>
        <v>92.5</v>
      </c>
      <c r="M471" s="145" t="str">
        <f t="shared" si="91"/>
        <v/>
      </c>
      <c r="N471" s="684">
        <f t="shared" si="92"/>
        <v>46099</v>
      </c>
    </row>
    <row r="472" spans="1:14" ht="15" customHeight="1">
      <c r="A472" s="658">
        <v>46099</v>
      </c>
      <c r="B472" s="658" t="str">
        <f t="shared" si="86"/>
        <v>Mié</v>
      </c>
      <c r="C472" s="674" t="s">
        <v>146</v>
      </c>
      <c r="D472" s="885" t="s">
        <v>526</v>
      </c>
      <c r="E472" s="687">
        <v>0.4375</v>
      </c>
      <c r="F472" s="687">
        <v>0.6875</v>
      </c>
      <c r="G472" s="688">
        <f t="shared" si="87"/>
        <v>6</v>
      </c>
      <c r="H472" s="676">
        <f>IF(D472="","",IFERROR(VLOOKUP(D472,'Resumen Empleado'!$A$4:$B$17,2,FALSE),""))</f>
        <v>16</v>
      </c>
      <c r="I472" s="676">
        <f t="shared" si="88"/>
        <v>24</v>
      </c>
      <c r="J472" s="676">
        <f t="shared" si="89"/>
        <v>72</v>
      </c>
      <c r="K472" s="676">
        <f t="shared" si="94"/>
        <v>0</v>
      </c>
      <c r="L472" s="1044">
        <f t="shared" si="90"/>
        <v>96</v>
      </c>
      <c r="M472" s="145" t="str">
        <f t="shared" si="91"/>
        <v/>
      </c>
      <c r="N472" s="684">
        <f t="shared" si="92"/>
        <v>46099</v>
      </c>
    </row>
    <row r="473" spans="1:14" ht="15" customHeight="1">
      <c r="A473" s="658">
        <v>46099</v>
      </c>
      <c r="B473" s="658" t="str">
        <f t="shared" si="86"/>
        <v>Mié</v>
      </c>
      <c r="C473" s="674" t="s">
        <v>146</v>
      </c>
      <c r="D473" s="885" t="s">
        <v>525</v>
      </c>
      <c r="E473" s="687">
        <v>0.54166666666666663</v>
      </c>
      <c r="F473" s="687">
        <v>0.6875</v>
      </c>
      <c r="G473" s="688">
        <f t="shared" si="87"/>
        <v>3.5000000000000009</v>
      </c>
      <c r="H473" s="676">
        <f>IF(D473="","",IFERROR(VLOOKUP(D473,'Resumen Empleado'!$A$4:$B$17,2,FALSE),""))</f>
        <v>7.25</v>
      </c>
      <c r="I473" s="676">
        <f t="shared" si="88"/>
        <v>0</v>
      </c>
      <c r="J473" s="676">
        <f t="shared" si="89"/>
        <v>25.375000000000007</v>
      </c>
      <c r="K473" s="676">
        <f t="shared" si="94"/>
        <v>0</v>
      </c>
      <c r="L473" s="1044">
        <f t="shared" si="90"/>
        <v>25.375000000000007</v>
      </c>
      <c r="M473" s="145" t="str">
        <f t="shared" si="91"/>
        <v/>
      </c>
      <c r="N473" s="684">
        <f t="shared" si="92"/>
        <v>46099</v>
      </c>
    </row>
    <row r="474" spans="1:14" ht="15" customHeight="1">
      <c r="A474" s="658">
        <v>46099</v>
      </c>
      <c r="B474" s="658" t="str">
        <f t="shared" si="86"/>
        <v>Mié</v>
      </c>
      <c r="C474" s="674" t="s">
        <v>146</v>
      </c>
      <c r="D474" s="885" t="s">
        <v>532</v>
      </c>
      <c r="E474" s="687">
        <v>0.26041666666666669</v>
      </c>
      <c r="F474" s="687">
        <v>0.46875</v>
      </c>
      <c r="G474" s="688">
        <f t="shared" si="87"/>
        <v>5</v>
      </c>
      <c r="H474" s="676">
        <f>IF(D474="","",IFERROR(VLOOKUP(D474,'Resumen Empleado'!$A$4:$B$17,2,FALSE),""))</f>
        <v>5.17</v>
      </c>
      <c r="I474" s="676">
        <f t="shared" si="88"/>
        <v>25.85</v>
      </c>
      <c r="J474" s="676">
        <f t="shared" si="89"/>
        <v>0</v>
      </c>
      <c r="K474" s="676">
        <f t="shared" si="94"/>
        <v>0</v>
      </c>
      <c r="L474" s="1044">
        <f t="shared" si="90"/>
        <v>25.85</v>
      </c>
      <c r="M474" s="145" t="str">
        <f t="shared" si="91"/>
        <v/>
      </c>
      <c r="N474" s="684">
        <f t="shared" si="92"/>
        <v>46099</v>
      </c>
    </row>
    <row r="475" spans="1:14" ht="15" customHeight="1">
      <c r="A475" s="658">
        <v>46099</v>
      </c>
      <c r="B475" s="658" t="str">
        <f t="shared" si="86"/>
        <v>Mié</v>
      </c>
      <c r="C475" s="674" t="s">
        <v>497</v>
      </c>
      <c r="D475" s="885" t="s">
        <v>532</v>
      </c>
      <c r="E475" s="687">
        <v>0.79166666666666663</v>
      </c>
      <c r="F475" s="687">
        <v>0.95833333333333337</v>
      </c>
      <c r="G475" s="688">
        <f t="shared" si="87"/>
        <v>4.0000000000000018</v>
      </c>
      <c r="H475" s="676">
        <f>IF(D475="","",IFERROR(VLOOKUP(D475,'Resumen Empleado'!$A$4:$B$17,2,FALSE),""))</f>
        <v>5.17</v>
      </c>
      <c r="I475" s="676">
        <f t="shared" si="88"/>
        <v>0</v>
      </c>
      <c r="J475" s="676">
        <f t="shared" si="89"/>
        <v>0</v>
      </c>
      <c r="K475" s="676">
        <f t="shared" si="94"/>
        <v>20.68000000000001</v>
      </c>
      <c r="L475" s="1044">
        <f t="shared" si="90"/>
        <v>20.68000000000001</v>
      </c>
      <c r="M475" s="145" t="str">
        <f t="shared" si="91"/>
        <v/>
      </c>
      <c r="N475" s="684">
        <f t="shared" si="92"/>
        <v>46099</v>
      </c>
    </row>
    <row r="476" spans="1:14" ht="15" customHeight="1">
      <c r="A476" s="658">
        <v>46099</v>
      </c>
      <c r="B476" s="658" t="str">
        <f t="shared" si="86"/>
        <v>Mié</v>
      </c>
      <c r="C476" s="674" t="s">
        <v>497</v>
      </c>
      <c r="D476" s="885" t="s">
        <v>526</v>
      </c>
      <c r="E476" s="687">
        <v>0.83333333333333337</v>
      </c>
      <c r="F476" s="687">
        <v>0.95833333333333337</v>
      </c>
      <c r="G476" s="688">
        <f t="shared" si="87"/>
        <v>3</v>
      </c>
      <c r="H476" s="676">
        <f>IF(D476="","",IFERROR(VLOOKUP(D476,'Resumen Empleado'!$A$4:$B$17,2,FALSE),""))</f>
        <v>16</v>
      </c>
      <c r="I476" s="676">
        <f t="shared" si="88"/>
        <v>0</v>
      </c>
      <c r="J476" s="676">
        <f t="shared" si="89"/>
        <v>0</v>
      </c>
      <c r="K476" s="676">
        <f t="shared" si="94"/>
        <v>48</v>
      </c>
      <c r="L476" s="1044">
        <f t="shared" si="90"/>
        <v>48</v>
      </c>
      <c r="M476" s="145" t="str">
        <f t="shared" si="91"/>
        <v/>
      </c>
      <c r="N476" s="684">
        <f t="shared" si="92"/>
        <v>46099</v>
      </c>
    </row>
    <row r="477" spans="1:14" ht="15" customHeight="1">
      <c r="A477" s="658">
        <v>46099</v>
      </c>
      <c r="B477" s="658" t="str">
        <f t="shared" si="86"/>
        <v>Mié</v>
      </c>
      <c r="C477" s="674" t="s">
        <v>497</v>
      </c>
      <c r="D477" s="897" t="s">
        <v>525</v>
      </c>
      <c r="E477" s="687">
        <v>0.79166666666666663</v>
      </c>
      <c r="F477" s="687">
        <v>0.95833333333333337</v>
      </c>
      <c r="G477" s="688">
        <f t="shared" si="87"/>
        <v>4.0000000000000018</v>
      </c>
      <c r="H477" s="676">
        <f>IF(D477="","",IFERROR(VLOOKUP(D477,'Resumen Empleado'!$A$4:$B$17,2,FALSE),""))</f>
        <v>7.25</v>
      </c>
      <c r="I477" s="676">
        <f t="shared" si="88"/>
        <v>0</v>
      </c>
      <c r="J477" s="676">
        <f t="shared" si="89"/>
        <v>0</v>
      </c>
      <c r="K477" s="676">
        <f t="shared" si="94"/>
        <v>29.000000000000014</v>
      </c>
      <c r="L477" s="1044">
        <f t="shared" si="90"/>
        <v>29.000000000000014</v>
      </c>
      <c r="M477" s="145" t="str">
        <f t="shared" si="91"/>
        <v/>
      </c>
      <c r="N477" s="684">
        <f t="shared" si="92"/>
        <v>46099</v>
      </c>
    </row>
    <row r="478" spans="1:14" ht="15" customHeight="1">
      <c r="A478" s="658">
        <v>46099</v>
      </c>
      <c r="B478" s="658" t="str">
        <f t="shared" si="86"/>
        <v>Mié</v>
      </c>
      <c r="C478" s="674" t="s">
        <v>497</v>
      </c>
      <c r="D478" s="885" t="s">
        <v>527</v>
      </c>
      <c r="E478" s="687">
        <v>0.8125</v>
      </c>
      <c r="F478" s="687">
        <v>0.89583333333333337</v>
      </c>
      <c r="G478" s="688">
        <f t="shared" si="87"/>
        <v>2.0000000000000009</v>
      </c>
      <c r="H478" s="676" t="str">
        <f>IF(D478="","",IFERROR(VLOOKUP(D478,'Resumen Empleado'!$A$4:$B$17,2,FALSE),""))</f>
        <v/>
      </c>
      <c r="I478" s="676">
        <f t="shared" si="88"/>
        <v>0</v>
      </c>
      <c r="J478" s="676">
        <f t="shared" si="89"/>
        <v>0</v>
      </c>
      <c r="K478" s="676">
        <f t="shared" si="94"/>
        <v>0</v>
      </c>
      <c r="L478" s="1044">
        <f t="shared" si="90"/>
        <v>0</v>
      </c>
      <c r="M478" s="145" t="str">
        <f t="shared" si="91"/>
        <v/>
      </c>
      <c r="N478" s="684">
        <f t="shared" si="92"/>
        <v>46099</v>
      </c>
    </row>
    <row r="479" spans="1:14" ht="15" customHeight="1">
      <c r="A479" s="658">
        <v>46099</v>
      </c>
      <c r="B479" s="658" t="str">
        <f t="shared" si="86"/>
        <v>Mié</v>
      </c>
      <c r="C479" s="674" t="s">
        <v>146</v>
      </c>
      <c r="D479" s="885" t="s">
        <v>528</v>
      </c>
      <c r="E479" s="687">
        <v>0.33333333333333331</v>
      </c>
      <c r="F479" s="687">
        <v>0.66666666666666663</v>
      </c>
      <c r="G479" s="688">
        <f t="shared" si="87"/>
        <v>8</v>
      </c>
      <c r="H479" s="676">
        <f>IF(D479="","",IFERROR(VLOOKUP(D479,'Resumen Empleado'!$A$4:$B$17,2,FALSE),""))</f>
        <v>11</v>
      </c>
      <c r="I479" s="676">
        <f t="shared" si="88"/>
        <v>44</v>
      </c>
      <c r="J479" s="676">
        <f t="shared" si="89"/>
        <v>43.999999999999993</v>
      </c>
      <c r="K479" s="676">
        <f>IF(OR(E479="",F479="",H479=""),0,MAX(0,(MIN(IF(F479&lt;E479,1+F479,F479),1+TIME(5,0,0))-MAX(E479,TIME(19,0,0))))*24*H479)</f>
        <v>0</v>
      </c>
      <c r="L479" s="1044">
        <f t="shared" si="90"/>
        <v>88</v>
      </c>
      <c r="M479" s="145" t="str">
        <f t="shared" si="91"/>
        <v/>
      </c>
      <c r="N479" s="684">
        <f t="shared" si="92"/>
        <v>46099</v>
      </c>
    </row>
    <row r="480" spans="1:14" ht="15" customHeight="1">
      <c r="A480" s="658">
        <v>46100</v>
      </c>
      <c r="B480" s="658" t="str">
        <f t="shared" si="86"/>
        <v>Jue</v>
      </c>
      <c r="C480" s="674" t="s">
        <v>146</v>
      </c>
      <c r="D480" s="897" t="s">
        <v>522</v>
      </c>
      <c r="E480" s="687">
        <v>0.29166666666666669</v>
      </c>
      <c r="F480" s="687">
        <v>0.625</v>
      </c>
      <c r="G480" s="688">
        <f t="shared" si="87"/>
        <v>8</v>
      </c>
      <c r="H480" s="676">
        <f>IF(D480="","",IFERROR(VLOOKUP(D480,'Resumen Empleado'!$A$4:$B$17,2,FALSE),""))</f>
        <v>10</v>
      </c>
      <c r="I480" s="676">
        <f t="shared" si="88"/>
        <v>50</v>
      </c>
      <c r="J480" s="676">
        <f t="shared" si="89"/>
        <v>30</v>
      </c>
      <c r="K480" s="676">
        <f t="shared" ref="K480:K487" si="95">IF(OR(E480="",F480="",H480=""),0,MAX(0,(MIN(IF(F480&lt;E480,F480+1,F480),1+TIME(5,0,0))-MAX(E480,TIME(19,0,0))))*24*H480)</f>
        <v>0</v>
      </c>
      <c r="L480" s="1044">
        <f t="shared" si="90"/>
        <v>80</v>
      </c>
      <c r="M480" s="145" t="str">
        <f t="shared" si="91"/>
        <v/>
      </c>
      <c r="N480" s="684">
        <f t="shared" si="92"/>
        <v>46100</v>
      </c>
    </row>
    <row r="481" spans="1:14" ht="15" customHeight="1">
      <c r="A481" s="658">
        <v>46100</v>
      </c>
      <c r="B481" s="658" t="str">
        <f t="shared" si="86"/>
        <v>Jue</v>
      </c>
      <c r="C481" s="674" t="s">
        <v>146</v>
      </c>
      <c r="D481" s="885" t="s">
        <v>525</v>
      </c>
      <c r="E481" s="687">
        <v>0.51041666666666663</v>
      </c>
      <c r="F481" s="687">
        <v>0.66666666666666663</v>
      </c>
      <c r="G481" s="688">
        <f t="shared" si="87"/>
        <v>3.75</v>
      </c>
      <c r="H481" s="676">
        <f>IF(D481="","",IFERROR(VLOOKUP(D481,'Resumen Empleado'!$A$4:$B$17,2,FALSE),""))</f>
        <v>7.25</v>
      </c>
      <c r="I481" s="676">
        <f t="shared" si="88"/>
        <v>0</v>
      </c>
      <c r="J481" s="676">
        <f t="shared" si="89"/>
        <v>27.1875</v>
      </c>
      <c r="K481" s="676">
        <f t="shared" si="95"/>
        <v>0</v>
      </c>
      <c r="L481" s="1044">
        <f t="shared" si="90"/>
        <v>27.1875</v>
      </c>
      <c r="M481" s="145" t="str">
        <f t="shared" si="91"/>
        <v/>
      </c>
      <c r="N481" s="684">
        <f t="shared" si="92"/>
        <v>46100</v>
      </c>
    </row>
    <row r="482" spans="1:14" ht="15" customHeight="1">
      <c r="A482" s="658">
        <v>46100</v>
      </c>
      <c r="B482" s="658" t="str">
        <f t="shared" si="86"/>
        <v>Jue</v>
      </c>
      <c r="C482" s="674" t="s">
        <v>146</v>
      </c>
      <c r="D482" s="885" t="s">
        <v>532</v>
      </c>
      <c r="E482" s="687">
        <v>0.26041666666666669</v>
      </c>
      <c r="F482" s="687">
        <v>0.4375</v>
      </c>
      <c r="G482" s="688">
        <f t="shared" si="87"/>
        <v>4.25</v>
      </c>
      <c r="H482" s="676">
        <f>IF(D482="","",IFERROR(VLOOKUP(D482,'Resumen Empleado'!$A$4:$B$17,2,FALSE),""))</f>
        <v>5.17</v>
      </c>
      <c r="I482" s="676">
        <f t="shared" si="88"/>
        <v>21.9725</v>
      </c>
      <c r="J482" s="676">
        <f t="shared" si="89"/>
        <v>0</v>
      </c>
      <c r="K482" s="676">
        <f t="shared" si="95"/>
        <v>0</v>
      </c>
      <c r="L482" s="1044">
        <f t="shared" si="90"/>
        <v>21.9725</v>
      </c>
      <c r="M482" s="145" t="str">
        <f t="shared" si="91"/>
        <v/>
      </c>
      <c r="N482" s="684">
        <f t="shared" si="92"/>
        <v>46100</v>
      </c>
    </row>
    <row r="483" spans="1:14" ht="15" customHeight="1">
      <c r="A483" s="658">
        <v>46100</v>
      </c>
      <c r="B483" s="658" t="str">
        <f t="shared" si="86"/>
        <v>Jue</v>
      </c>
      <c r="C483" s="674" t="s">
        <v>146</v>
      </c>
      <c r="D483" s="885" t="s">
        <v>526</v>
      </c>
      <c r="E483" s="687">
        <v>0.4375</v>
      </c>
      <c r="F483" s="687">
        <v>0.66666666666666663</v>
      </c>
      <c r="G483" s="688">
        <f t="shared" si="87"/>
        <v>5.4999999999999991</v>
      </c>
      <c r="H483" s="676">
        <f>IF(D483="","",IFERROR(VLOOKUP(D483,'Resumen Empleado'!$A$4:$B$17,2,FALSE),""))</f>
        <v>16</v>
      </c>
      <c r="I483" s="676">
        <f t="shared" si="88"/>
        <v>24</v>
      </c>
      <c r="J483" s="676">
        <f t="shared" si="89"/>
        <v>63.999999999999986</v>
      </c>
      <c r="K483" s="676">
        <f t="shared" si="95"/>
        <v>0</v>
      </c>
      <c r="L483" s="1044">
        <f t="shared" si="90"/>
        <v>87.999999999999986</v>
      </c>
      <c r="M483" s="145" t="str">
        <f t="shared" si="91"/>
        <v/>
      </c>
      <c r="N483" s="684">
        <f t="shared" si="92"/>
        <v>46100</v>
      </c>
    </row>
    <row r="484" spans="1:14" ht="15" customHeight="1">
      <c r="A484" s="658">
        <v>46100</v>
      </c>
      <c r="B484" s="658" t="str">
        <f t="shared" si="86"/>
        <v>Jue</v>
      </c>
      <c r="C484" s="674" t="s">
        <v>497</v>
      </c>
      <c r="D484" s="885" t="s">
        <v>525</v>
      </c>
      <c r="E484" s="687">
        <v>0.79166666666666663</v>
      </c>
      <c r="F484" s="687">
        <v>0.95833333333333337</v>
      </c>
      <c r="G484" s="688">
        <f t="shared" si="87"/>
        <v>4.0000000000000018</v>
      </c>
      <c r="H484" s="676">
        <f>IF(D484="","",IFERROR(VLOOKUP(D484,'Resumen Empleado'!$A$4:$B$17,2,FALSE),""))</f>
        <v>7.25</v>
      </c>
      <c r="I484" s="676">
        <f t="shared" si="88"/>
        <v>0</v>
      </c>
      <c r="J484" s="676">
        <f t="shared" si="89"/>
        <v>0</v>
      </c>
      <c r="K484" s="676">
        <f t="shared" si="95"/>
        <v>29.000000000000014</v>
      </c>
      <c r="L484" s="1044">
        <f t="shared" si="90"/>
        <v>29.000000000000014</v>
      </c>
      <c r="M484" s="145" t="str">
        <f t="shared" si="91"/>
        <v/>
      </c>
      <c r="N484" s="684">
        <f t="shared" si="92"/>
        <v>46100</v>
      </c>
    </row>
    <row r="485" spans="1:14" ht="15" customHeight="1">
      <c r="A485" s="658">
        <v>46100</v>
      </c>
      <c r="B485" s="658" t="str">
        <f t="shared" si="86"/>
        <v>Jue</v>
      </c>
      <c r="C485" s="674" t="s">
        <v>497</v>
      </c>
      <c r="D485" s="897" t="s">
        <v>526</v>
      </c>
      <c r="E485" s="687">
        <v>0.83333333333333337</v>
      </c>
      <c r="F485" s="687">
        <v>0.95833333333333337</v>
      </c>
      <c r="G485" s="688">
        <f t="shared" si="87"/>
        <v>3</v>
      </c>
      <c r="H485" s="676">
        <f>IF(D485="","",IFERROR(VLOOKUP(D485,'Resumen Empleado'!$A$4:$B$17,2,FALSE),""))</f>
        <v>16</v>
      </c>
      <c r="I485" s="676">
        <f t="shared" si="88"/>
        <v>0</v>
      </c>
      <c r="J485" s="676">
        <f t="shared" si="89"/>
        <v>0</v>
      </c>
      <c r="K485" s="676">
        <f t="shared" si="95"/>
        <v>48</v>
      </c>
      <c r="L485" s="1044">
        <f t="shared" si="90"/>
        <v>48</v>
      </c>
      <c r="M485" s="145" t="str">
        <f t="shared" si="91"/>
        <v/>
      </c>
      <c r="N485" s="684">
        <f t="shared" si="92"/>
        <v>46100</v>
      </c>
    </row>
    <row r="486" spans="1:14" ht="15" customHeight="1">
      <c r="A486" s="658">
        <v>46100</v>
      </c>
      <c r="B486" s="658" t="str">
        <f t="shared" si="86"/>
        <v>Jue</v>
      </c>
      <c r="C486" s="674" t="s">
        <v>497</v>
      </c>
      <c r="D486" s="885" t="s">
        <v>532</v>
      </c>
      <c r="E486" s="687">
        <v>0.79166666666666663</v>
      </c>
      <c r="F486" s="687">
        <v>0.95833333333333337</v>
      </c>
      <c r="G486" s="688">
        <f t="shared" si="87"/>
        <v>4.0000000000000018</v>
      </c>
      <c r="H486" s="676">
        <f>IF(D486="","",IFERROR(VLOOKUP(D486,'Resumen Empleado'!$A$4:$B$17,2,FALSE),""))</f>
        <v>5.17</v>
      </c>
      <c r="I486" s="676">
        <f t="shared" si="88"/>
        <v>0</v>
      </c>
      <c r="J486" s="676">
        <f t="shared" si="89"/>
        <v>0</v>
      </c>
      <c r="K486" s="676">
        <f t="shared" si="95"/>
        <v>20.68000000000001</v>
      </c>
      <c r="L486" s="1044">
        <f t="shared" si="90"/>
        <v>20.68000000000001</v>
      </c>
      <c r="M486" s="145" t="str">
        <f t="shared" si="91"/>
        <v/>
      </c>
      <c r="N486" s="684">
        <f t="shared" si="92"/>
        <v>46100</v>
      </c>
    </row>
    <row r="487" spans="1:14" ht="15" customHeight="1">
      <c r="A487" s="658">
        <v>46100</v>
      </c>
      <c r="B487" s="658" t="str">
        <f t="shared" si="86"/>
        <v>Jue</v>
      </c>
      <c r="C487" s="674" t="s">
        <v>497</v>
      </c>
      <c r="D487" s="885" t="s">
        <v>527</v>
      </c>
      <c r="E487" s="687">
        <v>0.8125</v>
      </c>
      <c r="F487" s="687">
        <v>0.89583333333333337</v>
      </c>
      <c r="G487" s="688">
        <f t="shared" si="87"/>
        <v>2.0000000000000009</v>
      </c>
      <c r="H487" s="676" t="str">
        <f>IF(D487="","",IFERROR(VLOOKUP(D487,'Resumen Empleado'!$A$4:$B$17,2,FALSE),""))</f>
        <v/>
      </c>
      <c r="I487" s="676">
        <f t="shared" si="88"/>
        <v>0</v>
      </c>
      <c r="J487" s="676">
        <f t="shared" si="89"/>
        <v>0</v>
      </c>
      <c r="K487" s="676">
        <f t="shared" si="95"/>
        <v>0</v>
      </c>
      <c r="L487" s="1044">
        <f t="shared" si="90"/>
        <v>0</v>
      </c>
      <c r="M487" s="145" t="str">
        <f t="shared" si="91"/>
        <v/>
      </c>
      <c r="N487" s="684">
        <f t="shared" si="92"/>
        <v>46100</v>
      </c>
    </row>
    <row r="488" spans="1:14" ht="15" customHeight="1">
      <c r="A488" s="658">
        <v>46100</v>
      </c>
      <c r="B488" s="658" t="str">
        <f t="shared" si="86"/>
        <v>Jue</v>
      </c>
      <c r="C488" s="674" t="s">
        <v>146</v>
      </c>
      <c r="D488" s="885" t="s">
        <v>528</v>
      </c>
      <c r="E488" s="687">
        <v>0.33333333333333331</v>
      </c>
      <c r="F488" s="687">
        <v>0.66666666666666663</v>
      </c>
      <c r="G488" s="688">
        <f t="shared" si="87"/>
        <v>8</v>
      </c>
      <c r="H488" s="676">
        <f>IF(D488="","",IFERROR(VLOOKUP(D488,'Resumen Empleado'!$A$4:$B$17,2,FALSE),""))</f>
        <v>11</v>
      </c>
      <c r="I488" s="676">
        <f t="shared" si="88"/>
        <v>44</v>
      </c>
      <c r="J488" s="676">
        <f t="shared" si="89"/>
        <v>43.999999999999993</v>
      </c>
      <c r="K488" s="676">
        <f>IF(OR(E488="",F488="",H488=""),0,MAX(0,(MIN(IF(F488&lt;E488,1+F488,F488),1+TIME(5,0,0))-MAX(E488,TIME(19,0,0))))*24*H488)</f>
        <v>0</v>
      </c>
      <c r="L488" s="1044">
        <f t="shared" si="90"/>
        <v>88</v>
      </c>
      <c r="M488" s="145" t="str">
        <f t="shared" si="91"/>
        <v/>
      </c>
      <c r="N488" s="684">
        <f t="shared" si="92"/>
        <v>46100</v>
      </c>
    </row>
    <row r="489" spans="1:14" ht="15" customHeight="1">
      <c r="A489" s="658">
        <v>46101</v>
      </c>
      <c r="B489" s="658" t="str">
        <f t="shared" si="86"/>
        <v>Vie</v>
      </c>
      <c r="C489" s="674" t="s">
        <v>146</v>
      </c>
      <c r="D489" s="885" t="s">
        <v>522</v>
      </c>
      <c r="E489" s="687">
        <v>0.29166666666666669</v>
      </c>
      <c r="F489" s="687">
        <v>0.66666666666666663</v>
      </c>
      <c r="G489" s="688">
        <f t="shared" si="87"/>
        <v>8.9999999999999982</v>
      </c>
      <c r="H489" s="676">
        <f>IF(D489="","",IFERROR(VLOOKUP(D489,'Resumen Empleado'!$A$4:$B$17,2,FALSE),""))</f>
        <v>10</v>
      </c>
      <c r="I489" s="676">
        <f t="shared" si="88"/>
        <v>50</v>
      </c>
      <c r="J489" s="676">
        <f t="shared" si="89"/>
        <v>39.999999999999993</v>
      </c>
      <c r="K489" s="676">
        <f t="shared" ref="K489:K498" si="96">IF(OR(E489="",F489="",H489=""),0,MAX(0,(MIN(IF(F489&lt;E489,F489+1,F489),1+TIME(5,0,0))-MAX(E489,TIME(19,0,0))))*24*H489)</f>
        <v>0</v>
      </c>
      <c r="L489" s="1044">
        <f t="shared" si="90"/>
        <v>90</v>
      </c>
      <c r="M489" s="145" t="str">
        <f t="shared" si="91"/>
        <v/>
      </c>
      <c r="N489" s="684">
        <f t="shared" si="92"/>
        <v>46101</v>
      </c>
    </row>
    <row r="490" spans="1:14" ht="15" customHeight="1">
      <c r="A490" s="658">
        <v>46101</v>
      </c>
      <c r="B490" s="658" t="str">
        <f t="shared" si="86"/>
        <v>Vie</v>
      </c>
      <c r="C490" s="674" t="s">
        <v>146</v>
      </c>
      <c r="D490" s="885" t="s">
        <v>525</v>
      </c>
      <c r="E490" s="687">
        <v>0.54166666666666663</v>
      </c>
      <c r="F490" s="687">
        <v>0.66666666666666663</v>
      </c>
      <c r="G490" s="688">
        <f t="shared" si="87"/>
        <v>3</v>
      </c>
      <c r="H490" s="676">
        <f>IF(D490="","",IFERROR(VLOOKUP(D490,'Resumen Empleado'!$A$4:$B$17,2,FALSE),""))</f>
        <v>7.25</v>
      </c>
      <c r="I490" s="676">
        <f t="shared" si="88"/>
        <v>0</v>
      </c>
      <c r="J490" s="676">
        <f t="shared" si="89"/>
        <v>21.75</v>
      </c>
      <c r="K490" s="676">
        <f t="shared" si="96"/>
        <v>0</v>
      </c>
      <c r="L490" s="1044">
        <f t="shared" si="90"/>
        <v>21.75</v>
      </c>
      <c r="M490" s="145" t="str">
        <f t="shared" si="91"/>
        <v/>
      </c>
      <c r="N490" s="684">
        <f t="shared" si="92"/>
        <v>46101</v>
      </c>
    </row>
    <row r="491" spans="1:14" ht="15" customHeight="1">
      <c r="A491" s="658">
        <v>46101</v>
      </c>
      <c r="B491" s="658" t="str">
        <f t="shared" si="86"/>
        <v>Vie</v>
      </c>
      <c r="C491" s="674" t="s">
        <v>146</v>
      </c>
      <c r="D491" s="897" t="s">
        <v>526</v>
      </c>
      <c r="E491" s="687">
        <v>0.45833333333333331</v>
      </c>
      <c r="F491" s="687">
        <v>0.66666666666666663</v>
      </c>
      <c r="G491" s="688">
        <f t="shared" si="87"/>
        <v>5</v>
      </c>
      <c r="H491" s="676">
        <f>IF(D491="","",IFERROR(VLOOKUP(D491,'Resumen Empleado'!$A$4:$B$17,2,FALSE),""))</f>
        <v>16</v>
      </c>
      <c r="I491" s="676">
        <f t="shared" si="88"/>
        <v>16.000000000000007</v>
      </c>
      <c r="J491" s="676">
        <f t="shared" si="89"/>
        <v>63.999999999999986</v>
      </c>
      <c r="K491" s="676">
        <f t="shared" si="96"/>
        <v>0</v>
      </c>
      <c r="L491" s="1044">
        <f t="shared" si="90"/>
        <v>80</v>
      </c>
      <c r="M491" s="145" t="str">
        <f t="shared" si="91"/>
        <v/>
      </c>
      <c r="N491" s="684">
        <f t="shared" si="92"/>
        <v>46101</v>
      </c>
    </row>
    <row r="492" spans="1:14" ht="15" customHeight="1">
      <c r="A492" s="658">
        <v>46101</v>
      </c>
      <c r="B492" s="658" t="str">
        <f t="shared" si="86"/>
        <v>Vie</v>
      </c>
      <c r="C492" s="674" t="s">
        <v>146</v>
      </c>
      <c r="D492" s="885" t="s">
        <v>532</v>
      </c>
      <c r="E492" s="687">
        <v>0.26041666666666669</v>
      </c>
      <c r="F492" s="687">
        <v>0.4375</v>
      </c>
      <c r="G492" s="688">
        <f t="shared" si="87"/>
        <v>4.25</v>
      </c>
      <c r="H492" s="676">
        <f>IF(D492="","",IFERROR(VLOOKUP(D492,'Resumen Empleado'!$A$4:$B$17,2,FALSE),""))</f>
        <v>5.17</v>
      </c>
      <c r="I492" s="676">
        <f t="shared" si="88"/>
        <v>21.9725</v>
      </c>
      <c r="J492" s="676">
        <f t="shared" si="89"/>
        <v>0</v>
      </c>
      <c r="K492" s="676">
        <f t="shared" si="96"/>
        <v>0</v>
      </c>
      <c r="L492" s="1044">
        <f t="shared" si="90"/>
        <v>21.9725</v>
      </c>
      <c r="M492" s="145" t="str">
        <f t="shared" si="91"/>
        <v/>
      </c>
      <c r="N492" s="684">
        <f t="shared" si="92"/>
        <v>46101</v>
      </c>
    </row>
    <row r="493" spans="1:14" ht="15" customHeight="1">
      <c r="A493" s="658">
        <v>46101</v>
      </c>
      <c r="B493" s="658" t="str">
        <f t="shared" si="86"/>
        <v>Vie</v>
      </c>
      <c r="C493" s="674" t="s">
        <v>497</v>
      </c>
      <c r="D493" s="885" t="s">
        <v>522</v>
      </c>
      <c r="E493" s="687">
        <v>0.79166666666666663</v>
      </c>
      <c r="F493" s="687">
        <v>0.97916666666666663</v>
      </c>
      <c r="G493" s="688">
        <f t="shared" si="87"/>
        <v>4.5</v>
      </c>
      <c r="H493" s="676">
        <f>IF(D493="","",IFERROR(VLOOKUP(D493,'Resumen Empleado'!$A$4:$B$17,2,FALSE),""))</f>
        <v>10</v>
      </c>
      <c r="I493" s="676">
        <f t="shared" si="88"/>
        <v>0</v>
      </c>
      <c r="J493" s="676">
        <f t="shared" si="89"/>
        <v>0</v>
      </c>
      <c r="K493" s="676">
        <f t="shared" si="96"/>
        <v>45</v>
      </c>
      <c r="L493" s="1044">
        <f t="shared" si="90"/>
        <v>45</v>
      </c>
      <c r="M493" s="145" t="str">
        <f t="shared" si="91"/>
        <v/>
      </c>
      <c r="N493" s="684">
        <f t="shared" si="92"/>
        <v>46101</v>
      </c>
    </row>
    <row r="494" spans="1:14" ht="15" customHeight="1">
      <c r="A494" s="658">
        <v>46101</v>
      </c>
      <c r="B494" s="658" t="str">
        <f t="shared" si="86"/>
        <v>Vie</v>
      </c>
      <c r="C494" s="674" t="s">
        <v>497</v>
      </c>
      <c r="D494" s="885" t="s">
        <v>525</v>
      </c>
      <c r="E494" s="687">
        <v>0.79166666666666663</v>
      </c>
      <c r="F494" s="687">
        <v>0</v>
      </c>
      <c r="G494" s="688">
        <f t="shared" si="87"/>
        <v>5.0000000000000009</v>
      </c>
      <c r="H494" s="676">
        <f>IF(D494="","",IFERROR(VLOOKUP(D494,'Resumen Empleado'!$A$4:$B$17,2,FALSE),""))</f>
        <v>7.25</v>
      </c>
      <c r="I494" s="676">
        <f t="shared" si="88"/>
        <v>0</v>
      </c>
      <c r="J494" s="676">
        <f t="shared" si="89"/>
        <v>0</v>
      </c>
      <c r="K494" s="676">
        <f t="shared" si="96"/>
        <v>36.250000000000007</v>
      </c>
      <c r="L494" s="1044">
        <f t="shared" si="90"/>
        <v>36.250000000000007</v>
      </c>
      <c r="M494" s="145" t="str">
        <f t="shared" si="91"/>
        <v/>
      </c>
      <c r="N494" s="684">
        <f t="shared" si="92"/>
        <v>46101</v>
      </c>
    </row>
    <row r="495" spans="1:14" ht="15" customHeight="1">
      <c r="A495" s="658">
        <v>46101</v>
      </c>
      <c r="B495" s="658" t="str">
        <f t="shared" si="86"/>
        <v>Vie</v>
      </c>
      <c r="C495" s="674" t="s">
        <v>497</v>
      </c>
      <c r="D495" s="885" t="s">
        <v>532</v>
      </c>
      <c r="E495" s="687">
        <v>0.83333333333333337</v>
      </c>
      <c r="F495" s="687">
        <v>0.97916666666666663</v>
      </c>
      <c r="G495" s="688">
        <f t="shared" si="87"/>
        <v>3.4999999999999982</v>
      </c>
      <c r="H495" s="676">
        <f>IF(D495="","",IFERROR(VLOOKUP(D495,'Resumen Empleado'!$A$4:$B$17,2,FALSE),""))</f>
        <v>5.17</v>
      </c>
      <c r="I495" s="676">
        <f t="shared" si="88"/>
        <v>0</v>
      </c>
      <c r="J495" s="676">
        <f t="shared" si="89"/>
        <v>0</v>
      </c>
      <c r="K495" s="676">
        <f t="shared" si="96"/>
        <v>18.094999999999992</v>
      </c>
      <c r="L495" s="1044">
        <f t="shared" si="90"/>
        <v>18.094999999999992</v>
      </c>
      <c r="M495" s="145" t="str">
        <f t="shared" si="91"/>
        <v/>
      </c>
      <c r="N495" s="684">
        <f t="shared" si="92"/>
        <v>46101</v>
      </c>
    </row>
    <row r="496" spans="1:14" ht="15" customHeight="1">
      <c r="A496" s="658">
        <v>46101</v>
      </c>
      <c r="B496" s="658" t="str">
        <f t="shared" si="86"/>
        <v>Vie</v>
      </c>
      <c r="C496" s="674" t="s">
        <v>497</v>
      </c>
      <c r="D496" s="897" t="s">
        <v>526</v>
      </c>
      <c r="E496" s="687">
        <v>0.79166666666666663</v>
      </c>
      <c r="F496" s="687">
        <v>0</v>
      </c>
      <c r="G496" s="688">
        <f t="shared" si="87"/>
        <v>5.0000000000000009</v>
      </c>
      <c r="H496" s="676">
        <f>IF(D496="","",IFERROR(VLOOKUP(D496,'Resumen Empleado'!$A$4:$B$17,2,FALSE),""))</f>
        <v>16</v>
      </c>
      <c r="I496" s="676">
        <f t="shared" si="88"/>
        <v>0</v>
      </c>
      <c r="J496" s="676">
        <f t="shared" si="89"/>
        <v>0</v>
      </c>
      <c r="K496" s="676">
        <f t="shared" si="96"/>
        <v>80.000000000000014</v>
      </c>
      <c r="L496" s="1044">
        <f t="shared" si="90"/>
        <v>80.000000000000014</v>
      </c>
      <c r="M496" s="145" t="str">
        <f t="shared" si="91"/>
        <v/>
      </c>
      <c r="N496" s="684">
        <f t="shared" si="92"/>
        <v>46101</v>
      </c>
    </row>
    <row r="497" spans="1:14" ht="15" customHeight="1">
      <c r="A497" s="658">
        <v>46101</v>
      </c>
      <c r="B497" s="658" t="str">
        <f t="shared" si="86"/>
        <v>Vie</v>
      </c>
      <c r="C497" s="674" t="s">
        <v>497</v>
      </c>
      <c r="D497" s="885" t="s">
        <v>529</v>
      </c>
      <c r="E497" s="687">
        <v>0.85416666666666663</v>
      </c>
      <c r="F497" s="687">
        <v>0</v>
      </c>
      <c r="G497" s="688">
        <f t="shared" si="87"/>
        <v>3.5000000000000009</v>
      </c>
      <c r="H497" s="676">
        <f>IF(D497="","",IFERROR(VLOOKUP(D497,'Resumen Empleado'!$A$4:$B$17,2,FALSE),""))</f>
        <v>8</v>
      </c>
      <c r="I497" s="676">
        <f t="shared" si="88"/>
        <v>0</v>
      </c>
      <c r="J497" s="676">
        <f t="shared" si="89"/>
        <v>0</v>
      </c>
      <c r="K497" s="676">
        <f t="shared" si="96"/>
        <v>28.000000000000007</v>
      </c>
      <c r="L497" s="1044">
        <f t="shared" si="90"/>
        <v>28.000000000000007</v>
      </c>
      <c r="M497" s="145" t="str">
        <f t="shared" si="91"/>
        <v/>
      </c>
      <c r="N497" s="684">
        <f t="shared" si="92"/>
        <v>46101</v>
      </c>
    </row>
    <row r="498" spans="1:14" ht="15" customHeight="1">
      <c r="A498" s="658">
        <v>46101</v>
      </c>
      <c r="B498" s="658" t="str">
        <f t="shared" si="86"/>
        <v>Vie</v>
      </c>
      <c r="C498" s="674" t="s">
        <v>497</v>
      </c>
      <c r="D498" s="885" t="s">
        <v>527</v>
      </c>
      <c r="E498" s="687">
        <v>0.8125</v>
      </c>
      <c r="F498" s="687">
        <v>0.89583333333333337</v>
      </c>
      <c r="G498" s="688">
        <f t="shared" si="87"/>
        <v>2.0000000000000009</v>
      </c>
      <c r="H498" s="676" t="str">
        <f>IF(D498="","",IFERROR(VLOOKUP(D498,'Resumen Empleado'!$A$4:$B$17,2,FALSE),""))</f>
        <v/>
      </c>
      <c r="I498" s="676">
        <f t="shared" si="88"/>
        <v>0</v>
      </c>
      <c r="J498" s="676">
        <f t="shared" si="89"/>
        <v>0</v>
      </c>
      <c r="K498" s="676">
        <f t="shared" si="96"/>
        <v>0</v>
      </c>
      <c r="L498" s="1044">
        <f t="shared" si="90"/>
        <v>0</v>
      </c>
      <c r="M498" s="145" t="str">
        <f t="shared" si="91"/>
        <v/>
      </c>
      <c r="N498" s="684">
        <f t="shared" si="92"/>
        <v>46101</v>
      </c>
    </row>
    <row r="499" spans="1:14" ht="15" customHeight="1">
      <c r="A499" s="658">
        <v>46101</v>
      </c>
      <c r="B499" s="658" t="str">
        <f t="shared" si="86"/>
        <v>Vie</v>
      </c>
      <c r="C499" s="674" t="s">
        <v>146</v>
      </c>
      <c r="D499" s="885" t="s">
        <v>528</v>
      </c>
      <c r="E499" s="687">
        <v>0.33333333333333331</v>
      </c>
      <c r="F499" s="687">
        <v>0.66666666666666663</v>
      </c>
      <c r="G499" s="688">
        <f t="shared" si="87"/>
        <v>8</v>
      </c>
      <c r="H499" s="676">
        <f>IF(D499="","",IFERROR(VLOOKUP(D499,'Resumen Empleado'!$A$4:$B$17,2,FALSE),""))</f>
        <v>11</v>
      </c>
      <c r="I499" s="676">
        <f t="shared" si="88"/>
        <v>44</v>
      </c>
      <c r="J499" s="676">
        <f t="shared" si="89"/>
        <v>43.999999999999993</v>
      </c>
      <c r="K499" s="676">
        <f>IF(OR(E499="",F499="",H499=""),0,MAX(0,(MIN(IF(F499&lt;E499,1+F499,F499),1+TIME(5,0,0))-MAX(E499,TIME(19,0,0))))*24*H499)</f>
        <v>0</v>
      </c>
      <c r="L499" s="1044">
        <f t="shared" si="90"/>
        <v>88</v>
      </c>
      <c r="M499" s="145" t="str">
        <f t="shared" si="91"/>
        <v/>
      </c>
      <c r="N499" s="684">
        <f t="shared" si="92"/>
        <v>46101</v>
      </c>
    </row>
    <row r="500" spans="1:14" ht="15" customHeight="1">
      <c r="A500" s="658">
        <v>46102</v>
      </c>
      <c r="B500" s="658" t="str">
        <f t="shared" si="86"/>
        <v>Sáb</v>
      </c>
      <c r="C500" s="674" t="s">
        <v>146</v>
      </c>
      <c r="D500" s="897" t="s">
        <v>529</v>
      </c>
      <c r="E500" s="687">
        <v>0.45833333333333331</v>
      </c>
      <c r="F500" s="687">
        <v>0.58333333333333337</v>
      </c>
      <c r="G500" s="688">
        <f t="shared" si="87"/>
        <v>3.0000000000000013</v>
      </c>
      <c r="H500" s="676">
        <f>IF(D500="","",IFERROR(VLOOKUP(D500,'Resumen Empleado'!$A$4:$B$17,2,FALSE),""))</f>
        <v>8</v>
      </c>
      <c r="I500" s="676">
        <f t="shared" si="88"/>
        <v>8.0000000000000036</v>
      </c>
      <c r="J500" s="676">
        <f t="shared" si="89"/>
        <v>16.000000000000007</v>
      </c>
      <c r="K500" s="676">
        <f t="shared" ref="K500:K519" si="97">IF(OR(E500="",F500="",H500=""),0,MAX(0,(MIN(IF(F500&lt;E500,F500+1,F500),1+TIME(5,0,0))-MAX(E500,TIME(19,0,0))))*24*H500)</f>
        <v>0</v>
      </c>
      <c r="L500" s="1044">
        <f t="shared" si="90"/>
        <v>24.000000000000011</v>
      </c>
      <c r="M500" s="145" t="str">
        <f t="shared" si="91"/>
        <v/>
      </c>
      <c r="N500" s="684">
        <f t="shared" si="92"/>
        <v>46102</v>
      </c>
    </row>
    <row r="501" spans="1:14" ht="15" customHeight="1">
      <c r="A501" s="658">
        <v>46102</v>
      </c>
      <c r="B501" s="658" t="str">
        <f t="shared" si="86"/>
        <v>Sáb</v>
      </c>
      <c r="C501" s="674" t="s">
        <v>146</v>
      </c>
      <c r="D501" s="885" t="s">
        <v>535</v>
      </c>
      <c r="E501" s="687">
        <v>0.58333333333333337</v>
      </c>
      <c r="F501" s="687">
        <v>0.64583333333333337</v>
      </c>
      <c r="G501" s="688">
        <f t="shared" si="87"/>
        <v>1.5</v>
      </c>
      <c r="H501" s="676">
        <f>IF(D501="","",IFERROR(VLOOKUP(D501,'Resumen Empleado'!$A$4:$B$17,2,FALSE),""))</f>
        <v>6</v>
      </c>
      <c r="I501" s="676">
        <f t="shared" si="88"/>
        <v>0</v>
      </c>
      <c r="J501" s="676">
        <f t="shared" si="89"/>
        <v>9</v>
      </c>
      <c r="K501" s="676">
        <f t="shared" si="97"/>
        <v>0</v>
      </c>
      <c r="L501" s="1044">
        <f t="shared" si="90"/>
        <v>9</v>
      </c>
      <c r="M501" s="145" t="str">
        <f t="shared" si="91"/>
        <v/>
      </c>
      <c r="N501" s="684">
        <f t="shared" si="92"/>
        <v>46102</v>
      </c>
    </row>
    <row r="502" spans="1:14" ht="15" customHeight="1">
      <c r="A502" s="658">
        <v>46102</v>
      </c>
      <c r="B502" s="658" t="str">
        <f t="shared" si="86"/>
        <v>Sáb</v>
      </c>
      <c r="C502" s="674" t="s">
        <v>146</v>
      </c>
      <c r="D502" s="885" t="s">
        <v>532</v>
      </c>
      <c r="E502" s="687">
        <v>0.30208333333333331</v>
      </c>
      <c r="F502" s="687">
        <v>0.625</v>
      </c>
      <c r="G502" s="688">
        <f t="shared" si="87"/>
        <v>7.75</v>
      </c>
      <c r="H502" s="676">
        <f>IF(D502="","",IFERROR(VLOOKUP(D502,'Resumen Empleado'!$A$4:$B$17,2,FALSE),""))</f>
        <v>5.17</v>
      </c>
      <c r="I502" s="676">
        <f t="shared" si="88"/>
        <v>24.557500000000001</v>
      </c>
      <c r="J502" s="676">
        <f t="shared" si="89"/>
        <v>15.51</v>
      </c>
      <c r="K502" s="676">
        <f t="shared" si="97"/>
        <v>0</v>
      </c>
      <c r="L502" s="1044">
        <f t="shared" si="90"/>
        <v>40.067500000000003</v>
      </c>
      <c r="M502" s="145" t="str">
        <f t="shared" si="91"/>
        <v/>
      </c>
      <c r="N502" s="684">
        <f t="shared" si="92"/>
        <v>46102</v>
      </c>
    </row>
    <row r="503" spans="1:14" ht="15" customHeight="1">
      <c r="A503" s="658">
        <v>46102</v>
      </c>
      <c r="B503" s="658" t="str">
        <f t="shared" si="86"/>
        <v>Sáb</v>
      </c>
      <c r="C503" s="674" t="s">
        <v>146</v>
      </c>
      <c r="D503" s="885" t="s">
        <v>526</v>
      </c>
      <c r="E503" s="687">
        <v>0.375</v>
      </c>
      <c r="F503" s="687">
        <v>0.66666666666666663</v>
      </c>
      <c r="G503" s="688">
        <f t="shared" si="87"/>
        <v>6.9999999999999991</v>
      </c>
      <c r="H503" s="676">
        <f>IF(D503="","",IFERROR(VLOOKUP(D503,'Resumen Empleado'!$A$4:$B$17,2,FALSE),""))</f>
        <v>16</v>
      </c>
      <c r="I503" s="676">
        <f t="shared" si="88"/>
        <v>48</v>
      </c>
      <c r="J503" s="676">
        <f t="shared" si="89"/>
        <v>63.999999999999986</v>
      </c>
      <c r="K503" s="676">
        <f t="shared" si="97"/>
        <v>0</v>
      </c>
      <c r="L503" s="1044">
        <f t="shared" si="90"/>
        <v>111.99999999999999</v>
      </c>
      <c r="M503" s="145" t="str">
        <f t="shared" si="91"/>
        <v/>
      </c>
      <c r="N503" s="684">
        <f t="shared" si="92"/>
        <v>46102</v>
      </c>
    </row>
    <row r="504" spans="1:14" ht="15" customHeight="1">
      <c r="A504" s="658">
        <v>46102</v>
      </c>
      <c r="B504" s="658" t="str">
        <f t="shared" si="86"/>
        <v>Sáb</v>
      </c>
      <c r="C504" s="674" t="s">
        <v>146</v>
      </c>
      <c r="D504" s="885" t="s">
        <v>525</v>
      </c>
      <c r="E504" s="687">
        <v>0.375</v>
      </c>
      <c r="F504" s="687">
        <v>0.66666666666666663</v>
      </c>
      <c r="G504" s="688">
        <f t="shared" si="87"/>
        <v>6.9999999999999991</v>
      </c>
      <c r="H504" s="676">
        <f>IF(D504="","",IFERROR(VLOOKUP(D504,'Resumen Empleado'!$A$4:$B$17,2,FALSE),""))</f>
        <v>7.25</v>
      </c>
      <c r="I504" s="676">
        <f t="shared" si="88"/>
        <v>21.75</v>
      </c>
      <c r="J504" s="676">
        <f t="shared" si="89"/>
        <v>28.999999999999993</v>
      </c>
      <c r="K504" s="676">
        <f t="shared" si="97"/>
        <v>0</v>
      </c>
      <c r="L504" s="1044">
        <f t="shared" si="90"/>
        <v>50.749999999999993</v>
      </c>
      <c r="M504" s="145" t="str">
        <f t="shared" si="91"/>
        <v/>
      </c>
      <c r="N504" s="684">
        <f t="shared" si="92"/>
        <v>46102</v>
      </c>
    </row>
    <row r="505" spans="1:14" ht="15" customHeight="1">
      <c r="A505" s="658">
        <v>46102</v>
      </c>
      <c r="B505" s="658" t="str">
        <f t="shared" si="86"/>
        <v>Sáb</v>
      </c>
      <c r="C505" s="674" t="s">
        <v>146</v>
      </c>
      <c r="D505" s="897" t="s">
        <v>522</v>
      </c>
      <c r="E505" s="687">
        <v>0.3125</v>
      </c>
      <c r="F505" s="687">
        <v>0.375</v>
      </c>
      <c r="G505" s="688">
        <f t="shared" si="87"/>
        <v>1.5</v>
      </c>
      <c r="H505" s="676">
        <f>IF(D505="","",IFERROR(VLOOKUP(D505,'Resumen Empleado'!$A$4:$B$17,2,FALSE),""))</f>
        <v>10</v>
      </c>
      <c r="I505" s="676">
        <f t="shared" si="88"/>
        <v>15</v>
      </c>
      <c r="J505" s="676">
        <f t="shared" si="89"/>
        <v>0</v>
      </c>
      <c r="K505" s="676">
        <f t="shared" si="97"/>
        <v>0</v>
      </c>
      <c r="L505" s="1044">
        <f t="shared" si="90"/>
        <v>15</v>
      </c>
      <c r="M505" s="145" t="str">
        <f t="shared" si="91"/>
        <v/>
      </c>
      <c r="N505" s="684">
        <f t="shared" si="92"/>
        <v>46102</v>
      </c>
    </row>
    <row r="506" spans="1:14" ht="15" customHeight="1">
      <c r="A506" s="658">
        <v>46102</v>
      </c>
      <c r="B506" s="658" t="str">
        <f t="shared" si="86"/>
        <v>Sáb</v>
      </c>
      <c r="C506" s="674" t="s">
        <v>146</v>
      </c>
      <c r="D506" s="885" t="s">
        <v>522</v>
      </c>
      <c r="E506" s="687">
        <v>0.54166666666666663</v>
      </c>
      <c r="F506" s="687">
        <v>0.66666666666666663</v>
      </c>
      <c r="G506" s="688">
        <f t="shared" si="87"/>
        <v>3</v>
      </c>
      <c r="H506" s="676">
        <f>IF(D506="","",IFERROR(VLOOKUP(D506,'Resumen Empleado'!$A$4:$B$17,2,FALSE),""))</f>
        <v>10</v>
      </c>
      <c r="I506" s="676">
        <f t="shared" si="88"/>
        <v>0</v>
      </c>
      <c r="J506" s="676">
        <f t="shared" si="89"/>
        <v>30</v>
      </c>
      <c r="K506" s="676">
        <f t="shared" si="97"/>
        <v>0</v>
      </c>
      <c r="L506" s="1044">
        <f t="shared" si="90"/>
        <v>30</v>
      </c>
      <c r="M506" s="145" t="str">
        <f t="shared" si="91"/>
        <v/>
      </c>
      <c r="N506" s="684">
        <f t="shared" si="92"/>
        <v>46102</v>
      </c>
    </row>
    <row r="507" spans="1:14" ht="15" customHeight="1">
      <c r="A507" s="658">
        <v>46102</v>
      </c>
      <c r="B507" s="658" t="str">
        <f t="shared" si="86"/>
        <v>Sáb</v>
      </c>
      <c r="C507" s="674" t="s">
        <v>497</v>
      </c>
      <c r="D507" s="885" t="s">
        <v>522</v>
      </c>
      <c r="E507" s="687">
        <v>0.79166666666666663</v>
      </c>
      <c r="F507" s="687">
        <v>0.95833333333333337</v>
      </c>
      <c r="G507" s="688">
        <f t="shared" si="87"/>
        <v>4.0000000000000018</v>
      </c>
      <c r="H507" s="676">
        <f>IF(D507="","",IFERROR(VLOOKUP(D507,'Resumen Empleado'!$A$4:$B$17,2,FALSE),""))</f>
        <v>10</v>
      </c>
      <c r="I507" s="676">
        <f t="shared" si="88"/>
        <v>0</v>
      </c>
      <c r="J507" s="676">
        <f t="shared" si="89"/>
        <v>0</v>
      </c>
      <c r="K507" s="676">
        <f t="shared" si="97"/>
        <v>40.000000000000014</v>
      </c>
      <c r="L507" s="1044">
        <f t="shared" si="90"/>
        <v>40.000000000000014</v>
      </c>
      <c r="M507" s="145" t="str">
        <f t="shared" si="91"/>
        <v/>
      </c>
      <c r="N507" s="684">
        <f t="shared" si="92"/>
        <v>46102</v>
      </c>
    </row>
    <row r="508" spans="1:14" ht="15" customHeight="1">
      <c r="A508" s="658">
        <v>46102</v>
      </c>
      <c r="B508" s="658" t="str">
        <f t="shared" si="86"/>
        <v>Sáb</v>
      </c>
      <c r="C508" s="674" t="s">
        <v>497</v>
      </c>
      <c r="D508" s="885" t="s">
        <v>525</v>
      </c>
      <c r="E508" s="687">
        <v>0.79166666666666663</v>
      </c>
      <c r="F508" s="687">
        <v>0</v>
      </c>
      <c r="G508" s="688">
        <f t="shared" si="87"/>
        <v>5.0000000000000009</v>
      </c>
      <c r="H508" s="676">
        <f>IF(D508="","",IFERROR(VLOOKUP(D508,'Resumen Empleado'!$A$4:$B$17,2,FALSE),""))</f>
        <v>7.25</v>
      </c>
      <c r="I508" s="676">
        <f t="shared" si="88"/>
        <v>0</v>
      </c>
      <c r="J508" s="676">
        <f t="shared" si="89"/>
        <v>0</v>
      </c>
      <c r="K508" s="676">
        <f t="shared" si="97"/>
        <v>36.250000000000007</v>
      </c>
      <c r="L508" s="1044">
        <f t="shared" si="90"/>
        <v>36.250000000000007</v>
      </c>
      <c r="M508" s="145" t="str">
        <f t="shared" si="91"/>
        <v/>
      </c>
      <c r="N508" s="684">
        <f t="shared" si="92"/>
        <v>46102</v>
      </c>
    </row>
    <row r="509" spans="1:14" ht="15" customHeight="1">
      <c r="A509" s="658">
        <v>46102</v>
      </c>
      <c r="B509" s="658" t="str">
        <f t="shared" si="86"/>
        <v>Sáb</v>
      </c>
      <c r="C509" s="674" t="s">
        <v>497</v>
      </c>
      <c r="D509" s="885" t="s">
        <v>526</v>
      </c>
      <c r="E509" s="687">
        <v>0.79166666666666663</v>
      </c>
      <c r="F509" s="687">
        <v>0</v>
      </c>
      <c r="G509" s="688">
        <f t="shared" si="87"/>
        <v>5.0000000000000009</v>
      </c>
      <c r="H509" s="676">
        <f>IF(D509="","",IFERROR(VLOOKUP(D509,'Resumen Empleado'!$A$4:$B$17,2,FALSE),""))</f>
        <v>16</v>
      </c>
      <c r="I509" s="676">
        <f t="shared" si="88"/>
        <v>0</v>
      </c>
      <c r="J509" s="676">
        <f t="shared" si="89"/>
        <v>0</v>
      </c>
      <c r="K509" s="676">
        <f t="shared" si="97"/>
        <v>80.000000000000014</v>
      </c>
      <c r="L509" s="1044">
        <f t="shared" si="90"/>
        <v>80.000000000000014</v>
      </c>
      <c r="M509" s="145" t="str">
        <f t="shared" si="91"/>
        <v/>
      </c>
      <c r="N509" s="684">
        <f t="shared" si="92"/>
        <v>46102</v>
      </c>
    </row>
    <row r="510" spans="1:14" ht="15" customHeight="1">
      <c r="A510" s="658">
        <v>46102</v>
      </c>
      <c r="B510" s="658" t="str">
        <f t="shared" si="86"/>
        <v>Sáb</v>
      </c>
      <c r="C510" s="674" t="s">
        <v>497</v>
      </c>
      <c r="D510" s="885" t="s">
        <v>535</v>
      </c>
      <c r="E510" s="687">
        <v>0.875</v>
      </c>
      <c r="F510" s="687">
        <v>0</v>
      </c>
      <c r="G510" s="688">
        <f t="shared" si="87"/>
        <v>3</v>
      </c>
      <c r="H510" s="676">
        <f>IF(D510="","",IFERROR(VLOOKUP(D510,'Resumen Empleado'!$A$4:$B$17,2,FALSE),""))</f>
        <v>6</v>
      </c>
      <c r="I510" s="676">
        <f t="shared" si="88"/>
        <v>0</v>
      </c>
      <c r="J510" s="676">
        <f t="shared" si="89"/>
        <v>0</v>
      </c>
      <c r="K510" s="676">
        <f t="shared" si="97"/>
        <v>18</v>
      </c>
      <c r="L510" s="1044">
        <f t="shared" si="90"/>
        <v>18</v>
      </c>
      <c r="M510" s="145" t="str">
        <f t="shared" si="91"/>
        <v/>
      </c>
      <c r="N510" s="684">
        <f t="shared" si="92"/>
        <v>46102</v>
      </c>
    </row>
    <row r="511" spans="1:14" ht="15" customHeight="1">
      <c r="A511" s="658">
        <v>46102</v>
      </c>
      <c r="B511" s="658" t="str">
        <f t="shared" si="86"/>
        <v>Sáb</v>
      </c>
      <c r="C511" s="674" t="s">
        <v>497</v>
      </c>
      <c r="D511" s="885" t="s">
        <v>529</v>
      </c>
      <c r="E511" s="687">
        <v>0.85416666666666663</v>
      </c>
      <c r="F511" s="687">
        <v>0</v>
      </c>
      <c r="G511" s="688">
        <f t="shared" si="87"/>
        <v>3.5000000000000009</v>
      </c>
      <c r="H511" s="676">
        <f>IF(D511="","",IFERROR(VLOOKUP(D511,'Resumen Empleado'!$A$4:$B$17,2,FALSE),""))</f>
        <v>8</v>
      </c>
      <c r="I511" s="676">
        <f t="shared" si="88"/>
        <v>0</v>
      </c>
      <c r="J511" s="676">
        <f t="shared" si="89"/>
        <v>0</v>
      </c>
      <c r="K511" s="676">
        <f t="shared" si="97"/>
        <v>28.000000000000007</v>
      </c>
      <c r="L511" s="1044">
        <f t="shared" si="90"/>
        <v>28.000000000000007</v>
      </c>
      <c r="M511" s="145" t="str">
        <f t="shared" si="91"/>
        <v/>
      </c>
      <c r="N511" s="684">
        <f t="shared" si="92"/>
        <v>46102</v>
      </c>
    </row>
    <row r="512" spans="1:14" ht="15" customHeight="1">
      <c r="A512" s="658">
        <v>46102</v>
      </c>
      <c r="B512" s="658" t="str">
        <f t="shared" si="86"/>
        <v>Sáb</v>
      </c>
      <c r="C512" s="674" t="s">
        <v>497</v>
      </c>
      <c r="D512" s="885" t="s">
        <v>532</v>
      </c>
      <c r="E512" s="687">
        <v>0.83333333333333337</v>
      </c>
      <c r="F512" s="687">
        <v>0</v>
      </c>
      <c r="G512" s="688">
        <f t="shared" si="87"/>
        <v>3.9999999999999991</v>
      </c>
      <c r="H512" s="676">
        <f>IF(D512="","",IFERROR(VLOOKUP(D512,'Resumen Empleado'!$A$4:$B$17,2,FALSE),""))</f>
        <v>5.17</v>
      </c>
      <c r="I512" s="676">
        <f t="shared" si="88"/>
        <v>0</v>
      </c>
      <c r="J512" s="676">
        <f t="shared" si="89"/>
        <v>0</v>
      </c>
      <c r="K512" s="676">
        <f t="shared" si="97"/>
        <v>20.679999999999996</v>
      </c>
      <c r="L512" s="1044">
        <f t="shared" si="90"/>
        <v>20.679999999999996</v>
      </c>
      <c r="M512" s="145" t="str">
        <f t="shared" si="91"/>
        <v/>
      </c>
      <c r="N512" s="684">
        <f t="shared" si="92"/>
        <v>46102</v>
      </c>
    </row>
    <row r="513" spans="1:14" ht="15" customHeight="1">
      <c r="A513" s="658">
        <v>46102</v>
      </c>
      <c r="B513" s="658" t="str">
        <f t="shared" si="86"/>
        <v>Sáb</v>
      </c>
      <c r="C513" s="674" t="s">
        <v>497</v>
      </c>
      <c r="D513" s="885" t="s">
        <v>528</v>
      </c>
      <c r="E513" s="687">
        <v>0.875</v>
      </c>
      <c r="F513" s="687">
        <v>0.91666666666666663</v>
      </c>
      <c r="G513" s="688">
        <f t="shared" si="87"/>
        <v>0.99999999999999911</v>
      </c>
      <c r="H513" s="676">
        <f>IF(D513="","",IFERROR(VLOOKUP(D513,'Resumen Empleado'!$A$4:$B$17,2,FALSE),""))</f>
        <v>11</v>
      </c>
      <c r="I513" s="676">
        <f t="shared" si="88"/>
        <v>0</v>
      </c>
      <c r="J513" s="676">
        <f t="shared" si="89"/>
        <v>0</v>
      </c>
      <c r="K513" s="676">
        <f t="shared" si="97"/>
        <v>10.999999999999989</v>
      </c>
      <c r="L513" s="1044">
        <f t="shared" si="90"/>
        <v>10.999999999999989</v>
      </c>
      <c r="M513" s="145" t="str">
        <f t="shared" si="91"/>
        <v/>
      </c>
      <c r="N513" s="684">
        <f t="shared" si="92"/>
        <v>46102</v>
      </c>
    </row>
    <row r="514" spans="1:14" ht="15" customHeight="1">
      <c r="A514" s="658">
        <v>46103</v>
      </c>
      <c r="B514" s="658" t="str">
        <f t="shared" si="86"/>
        <v>Dom</v>
      </c>
      <c r="C514" s="674" t="s">
        <v>146</v>
      </c>
      <c r="D514" s="885" t="s">
        <v>522</v>
      </c>
      <c r="E514" s="687">
        <v>0.33333333333333331</v>
      </c>
      <c r="F514" s="687">
        <v>0.64583333333333337</v>
      </c>
      <c r="G514" s="688">
        <f t="shared" si="87"/>
        <v>7.5000000000000018</v>
      </c>
      <c r="H514" s="676">
        <f>IF(D514="","",IFERROR(VLOOKUP(D514,'Resumen Empleado'!$A$4:$B$17,2,FALSE),""))</f>
        <v>10</v>
      </c>
      <c r="I514" s="676">
        <f t="shared" si="88"/>
        <v>40</v>
      </c>
      <c r="J514" s="676">
        <f t="shared" si="89"/>
        <v>35.000000000000007</v>
      </c>
      <c r="K514" s="676">
        <f t="shared" si="97"/>
        <v>0</v>
      </c>
      <c r="L514" s="1044">
        <f t="shared" si="90"/>
        <v>75</v>
      </c>
      <c r="M514" s="145" t="str">
        <f t="shared" si="91"/>
        <v/>
      </c>
      <c r="N514" s="684">
        <f t="shared" si="92"/>
        <v>46103</v>
      </c>
    </row>
    <row r="515" spans="1:14" ht="15" customHeight="1">
      <c r="A515" s="658">
        <v>46103</v>
      </c>
      <c r="B515" s="658" t="str">
        <f t="shared" si="86"/>
        <v>Dom</v>
      </c>
      <c r="C515" s="674" t="s">
        <v>146</v>
      </c>
      <c r="D515" s="897" t="s">
        <v>525</v>
      </c>
      <c r="E515" s="687">
        <v>0.375</v>
      </c>
      <c r="F515" s="687">
        <v>0.66666666666666663</v>
      </c>
      <c r="G515" s="688">
        <f t="shared" si="87"/>
        <v>6.9999999999999991</v>
      </c>
      <c r="H515" s="676">
        <f>IF(D515="","",IFERROR(VLOOKUP(D515,'Resumen Empleado'!$A$4:$B$17,2,FALSE),""))</f>
        <v>7.25</v>
      </c>
      <c r="I515" s="676">
        <f t="shared" si="88"/>
        <v>21.75</v>
      </c>
      <c r="J515" s="676">
        <f t="shared" si="89"/>
        <v>28.999999999999993</v>
      </c>
      <c r="K515" s="676">
        <f t="shared" si="97"/>
        <v>0</v>
      </c>
      <c r="L515" s="1044">
        <f t="shared" si="90"/>
        <v>50.749999999999993</v>
      </c>
      <c r="M515" s="145" t="str">
        <f t="shared" si="91"/>
        <v/>
      </c>
      <c r="N515" s="684">
        <f t="shared" si="92"/>
        <v>46103</v>
      </c>
    </row>
    <row r="516" spans="1:14" ht="15" customHeight="1">
      <c r="A516" s="658">
        <v>46103</v>
      </c>
      <c r="B516" s="658" t="str">
        <f t="shared" si="86"/>
        <v>Dom</v>
      </c>
      <c r="C516" s="674" t="s">
        <v>146</v>
      </c>
      <c r="D516" s="885" t="s">
        <v>526</v>
      </c>
      <c r="E516" s="687">
        <v>0.39583333333333331</v>
      </c>
      <c r="F516" s="687">
        <v>0.66666666666666663</v>
      </c>
      <c r="G516" s="688">
        <f t="shared" si="87"/>
        <v>6.5</v>
      </c>
      <c r="H516" s="676">
        <f>IF(D516="","",IFERROR(VLOOKUP(D516,'Resumen Empleado'!$A$4:$B$17,2,FALSE),""))</f>
        <v>16</v>
      </c>
      <c r="I516" s="676">
        <f t="shared" si="88"/>
        <v>40.000000000000007</v>
      </c>
      <c r="J516" s="676">
        <f t="shared" si="89"/>
        <v>63.999999999999986</v>
      </c>
      <c r="K516" s="676">
        <f t="shared" si="97"/>
        <v>0</v>
      </c>
      <c r="L516" s="1044">
        <f t="shared" si="90"/>
        <v>104</v>
      </c>
      <c r="M516" s="145" t="str">
        <f t="shared" si="91"/>
        <v/>
      </c>
      <c r="N516" s="684">
        <f t="shared" si="92"/>
        <v>46103</v>
      </c>
    </row>
    <row r="517" spans="1:14" ht="15.75" customHeight="1">
      <c r="A517" s="658">
        <v>46103</v>
      </c>
      <c r="B517" s="658" t="str">
        <f t="shared" ref="B517:B580" si="98">IF(A517="","",PROPER(TEXT(A517,"ddd")))</f>
        <v>Dom</v>
      </c>
      <c r="C517" s="674" t="s">
        <v>146</v>
      </c>
      <c r="D517" s="885" t="s">
        <v>532</v>
      </c>
      <c r="E517" s="687">
        <v>0.30208333333333331</v>
      </c>
      <c r="F517" s="687">
        <v>0.66666666666666663</v>
      </c>
      <c r="G517" s="688">
        <f t="shared" ref="G517:G580" si="99">IF(F517&lt;E517,F517+1-E517,F517-E517)*24</f>
        <v>8.75</v>
      </c>
      <c r="H517" s="676">
        <f>IF(D517="","",IFERROR(VLOOKUP(D517,'Resumen Empleado'!$A$4:$B$17,2,FALSE),""))</f>
        <v>5.17</v>
      </c>
      <c r="I517" s="676">
        <f t="shared" ref="I517:I580" si="100">IF(OR(E517="",F517="",H517=""),0,MAX(0,(MIN(IF(F517&lt;E517,F517+1,F517),TIME(12,0,0))-MAX(E517,TIME(5,0,0))))*24*H517)</f>
        <v>24.557500000000001</v>
      </c>
      <c r="J517" s="676">
        <f t="shared" ref="J517:J580" si="101">IF(OR(E517="",F517="",H517=""),0,MAX(0,(MIN(IF(F517&lt;E517,F517+1,F517),TIME(19,0,0))-MAX(E517,TIME(12,0,0))))*24*H517)</f>
        <v>20.679999999999996</v>
      </c>
      <c r="K517" s="676">
        <f t="shared" si="97"/>
        <v>0</v>
      </c>
      <c r="L517" s="1044">
        <f t="shared" ref="L517:L580" si="102">SUM(I517:K517)</f>
        <v>45.237499999999997</v>
      </c>
      <c r="M517" s="145" t="str">
        <f t="shared" ref="M517:M580" si="103">IF(A517="","",IF(G517&gt;12,"⚠ Verificar",""))</f>
        <v/>
      </c>
      <c r="N517" s="684">
        <f t="shared" ref="N517:N580" si="104">IF(A517="","",IF(ISNUMBER(A517),A517,DATE(VALUE(RIGHT(A517,4)),VALUE(MID(A517,4,2)),VALUE(LEFT(A517,2)))))</f>
        <v>46103</v>
      </c>
    </row>
    <row r="518" spans="1:14" ht="15.75" customHeight="1">
      <c r="A518" s="658">
        <v>46103</v>
      </c>
      <c r="B518" s="658" t="str">
        <f t="shared" si="98"/>
        <v>Dom</v>
      </c>
      <c r="C518" s="674" t="s">
        <v>146</v>
      </c>
      <c r="D518" s="885" t="s">
        <v>530</v>
      </c>
      <c r="E518" s="687">
        <v>0.54166666666666663</v>
      </c>
      <c r="F518" s="687">
        <v>0.66666666666666663</v>
      </c>
      <c r="G518" s="688">
        <f t="shared" si="99"/>
        <v>3</v>
      </c>
      <c r="H518" s="676">
        <f>IF(D518="","",IFERROR(VLOOKUP(D518,'Resumen Empleado'!$A$4:$B$17,2,FALSE),""))</f>
        <v>8</v>
      </c>
      <c r="I518" s="676">
        <f t="shared" si="100"/>
        <v>0</v>
      </c>
      <c r="J518" s="676">
        <f t="shared" si="101"/>
        <v>24</v>
      </c>
      <c r="K518" s="676">
        <f t="shared" si="97"/>
        <v>0</v>
      </c>
      <c r="L518" s="1044">
        <f t="shared" si="102"/>
        <v>24</v>
      </c>
      <c r="M518" s="145" t="str">
        <f t="shared" si="103"/>
        <v/>
      </c>
      <c r="N518" s="684">
        <f t="shared" si="104"/>
        <v>46103</v>
      </c>
    </row>
    <row r="519" spans="1:14" ht="15.75" customHeight="1">
      <c r="A519" s="658">
        <v>46103</v>
      </c>
      <c r="B519" s="658" t="str">
        <f t="shared" si="98"/>
        <v>Dom</v>
      </c>
      <c r="C519" s="674" t="s">
        <v>146</v>
      </c>
      <c r="D519" s="885" t="s">
        <v>529</v>
      </c>
      <c r="E519" s="687">
        <v>0.5</v>
      </c>
      <c r="F519" s="687">
        <v>0.60416666666666663</v>
      </c>
      <c r="G519" s="688">
        <f t="shared" si="99"/>
        <v>2.4999999999999991</v>
      </c>
      <c r="H519" s="676">
        <f>IF(D519="","",IFERROR(VLOOKUP(D519,'Resumen Empleado'!$A$4:$B$17,2,FALSE),""))</f>
        <v>8</v>
      </c>
      <c r="I519" s="676">
        <f t="shared" si="100"/>
        <v>0</v>
      </c>
      <c r="J519" s="676">
        <f t="shared" si="101"/>
        <v>19.999999999999993</v>
      </c>
      <c r="K519" s="676">
        <f t="shared" si="97"/>
        <v>0</v>
      </c>
      <c r="L519" s="1044">
        <f t="shared" si="102"/>
        <v>19.999999999999993</v>
      </c>
      <c r="M519" s="145" t="str">
        <f t="shared" si="103"/>
        <v/>
      </c>
      <c r="N519" s="684">
        <f t="shared" si="104"/>
        <v>46103</v>
      </c>
    </row>
    <row r="520" spans="1:14" ht="15.75" customHeight="1">
      <c r="A520" s="658">
        <v>46103</v>
      </c>
      <c r="B520" s="658" t="str">
        <f t="shared" si="98"/>
        <v>Dom</v>
      </c>
      <c r="C520" s="674" t="s">
        <v>146</v>
      </c>
      <c r="D520" s="885" t="s">
        <v>528</v>
      </c>
      <c r="E520" s="687">
        <v>0.33333333333333331</v>
      </c>
      <c r="F520" s="687">
        <v>0.66666666666666663</v>
      </c>
      <c r="G520" s="688">
        <f t="shared" si="99"/>
        <v>8</v>
      </c>
      <c r="H520" s="676">
        <f>IF(D520="","",IFERROR(VLOOKUP(D520,'Resumen Empleado'!$A$4:$B$17,2,FALSE),""))</f>
        <v>11</v>
      </c>
      <c r="I520" s="676">
        <f t="shared" si="100"/>
        <v>44</v>
      </c>
      <c r="J520" s="676">
        <f t="shared" si="101"/>
        <v>43.999999999999993</v>
      </c>
      <c r="K520" s="676">
        <f>IF(OR(E520="",F520="",H520=""),0,MAX(0,(MIN(IF(F520&lt;E520,1+F520,F520),1+TIME(5,0,0))-MAX(E520,TIME(19,0,0))))*24*H520)</f>
        <v>0</v>
      </c>
      <c r="L520" s="1044">
        <f t="shared" si="102"/>
        <v>88</v>
      </c>
      <c r="M520" s="145" t="str">
        <f t="shared" si="103"/>
        <v/>
      </c>
      <c r="N520" s="684">
        <f t="shared" si="104"/>
        <v>46103</v>
      </c>
    </row>
    <row r="521" spans="1:14" ht="15.75" customHeight="1">
      <c r="A521" s="658">
        <v>46104</v>
      </c>
      <c r="B521" s="658" t="str">
        <f t="shared" si="98"/>
        <v>Lun</v>
      </c>
      <c r="C521" s="674" t="s">
        <v>497</v>
      </c>
      <c r="D521" s="885" t="s">
        <v>527</v>
      </c>
      <c r="E521" s="687">
        <v>0.8125</v>
      </c>
      <c r="F521" s="687">
        <v>0.89583333333333337</v>
      </c>
      <c r="G521" s="688">
        <f t="shared" si="99"/>
        <v>2.0000000000000009</v>
      </c>
      <c r="H521" s="676" t="str">
        <f>IF(D521="","",IFERROR(VLOOKUP(D521,'Resumen Empleado'!$A$4:$B$17,2,FALSE),""))</f>
        <v/>
      </c>
      <c r="I521" s="676">
        <f t="shared" si="100"/>
        <v>0</v>
      </c>
      <c r="J521" s="676">
        <f t="shared" si="101"/>
        <v>0</v>
      </c>
      <c r="K521" s="676">
        <f>IF(OR(E521="",F521="",H521=""),0,MAX(0,(MIN(IF(F521&lt;E521,F521+1,F521),1+TIME(5,0,0))-MAX(E521,TIME(19,0,0))))*24*H521)</f>
        <v>0</v>
      </c>
      <c r="L521" s="1044">
        <f t="shared" si="102"/>
        <v>0</v>
      </c>
      <c r="M521" s="145" t="str">
        <f t="shared" si="103"/>
        <v/>
      </c>
      <c r="N521" s="684">
        <f t="shared" si="104"/>
        <v>46104</v>
      </c>
    </row>
    <row r="522" spans="1:14" ht="15.75" customHeight="1">
      <c r="A522" s="658">
        <v>46104</v>
      </c>
      <c r="B522" s="658" t="str">
        <f t="shared" si="98"/>
        <v>Lun</v>
      </c>
      <c r="C522" s="674" t="s">
        <v>146</v>
      </c>
      <c r="D522" s="885" t="s">
        <v>528</v>
      </c>
      <c r="E522" s="687">
        <v>0.33333333333333331</v>
      </c>
      <c r="F522" s="687">
        <v>0.66666666666666663</v>
      </c>
      <c r="G522" s="688">
        <f t="shared" si="99"/>
        <v>8</v>
      </c>
      <c r="H522" s="676">
        <f>IF(D522="","",IFERROR(VLOOKUP(D522,'Resumen Empleado'!$A$4:$B$17,2,FALSE),""))</f>
        <v>11</v>
      </c>
      <c r="I522" s="676">
        <f t="shared" si="100"/>
        <v>44</v>
      </c>
      <c r="J522" s="676">
        <f t="shared" si="101"/>
        <v>43.999999999999993</v>
      </c>
      <c r="K522" s="676">
        <f>IF(OR(E522="",F522="",H522=""),0,MAX(0,(MIN(IF(F522&lt;E522,1+F522,F522),1+TIME(5,0,0))-MAX(E522,TIME(19,0,0))))*24*H522)</f>
        <v>0</v>
      </c>
      <c r="L522" s="1044">
        <f t="shared" si="102"/>
        <v>88</v>
      </c>
      <c r="M522" s="145" t="str">
        <f t="shared" si="103"/>
        <v/>
      </c>
      <c r="N522" s="684">
        <f t="shared" si="104"/>
        <v>46104</v>
      </c>
    </row>
    <row r="523" spans="1:14" ht="15.75" customHeight="1">
      <c r="A523" s="658">
        <v>46105</v>
      </c>
      <c r="B523" s="658" t="str">
        <f t="shared" si="98"/>
        <v>Mar</v>
      </c>
      <c r="C523" s="674" t="s">
        <v>497</v>
      </c>
      <c r="D523" s="885" t="s">
        <v>527</v>
      </c>
      <c r="E523" s="687">
        <v>0.8125</v>
      </c>
      <c r="F523" s="687">
        <v>0.89583333333333337</v>
      </c>
      <c r="G523" s="688">
        <f t="shared" si="99"/>
        <v>2.0000000000000009</v>
      </c>
      <c r="H523" s="676" t="str">
        <f>IF(D523="","",IFERROR(VLOOKUP(D523,'Resumen Empleado'!$A$4:$B$17,2,FALSE),""))</f>
        <v/>
      </c>
      <c r="I523" s="676">
        <f t="shared" si="100"/>
        <v>0</v>
      </c>
      <c r="J523" s="676">
        <f t="shared" si="101"/>
        <v>0</v>
      </c>
      <c r="K523" s="676">
        <f>IF(OR(E523="",F523="",H523=""),0,MAX(0,(MIN(IF(F523&lt;E523,F523+1,F523),1+TIME(5,0,0))-MAX(E523,TIME(19,0,0))))*24*H523)</f>
        <v>0</v>
      </c>
      <c r="L523" s="1044">
        <f t="shared" si="102"/>
        <v>0</v>
      </c>
      <c r="M523" s="145" t="str">
        <f t="shared" si="103"/>
        <v/>
      </c>
      <c r="N523" s="684">
        <f t="shared" si="104"/>
        <v>46105</v>
      </c>
    </row>
    <row r="524" spans="1:14" ht="15.75" customHeight="1">
      <c r="A524" s="658">
        <v>46105</v>
      </c>
      <c r="B524" s="658" t="str">
        <f t="shared" si="98"/>
        <v>Mar</v>
      </c>
      <c r="C524" s="674" t="s">
        <v>146</v>
      </c>
      <c r="D524" s="897" t="s">
        <v>528</v>
      </c>
      <c r="E524" s="687">
        <v>0.33333333333333331</v>
      </c>
      <c r="F524" s="687">
        <v>0.66666666666666663</v>
      </c>
      <c r="G524" s="688">
        <f t="shared" si="99"/>
        <v>8</v>
      </c>
      <c r="H524" s="676">
        <f>IF(D524="","",IFERROR(VLOOKUP(D524,'Resumen Empleado'!$A$4:$B$17,2,FALSE),""))</f>
        <v>11</v>
      </c>
      <c r="I524" s="676">
        <f t="shared" si="100"/>
        <v>44</v>
      </c>
      <c r="J524" s="676">
        <f t="shared" si="101"/>
        <v>43.999999999999993</v>
      </c>
      <c r="K524" s="676">
        <f>IF(OR(E524="",F524="",H524=""),0,MAX(0,(MIN(IF(F524&lt;E524,1+F524,F524),1+TIME(5,0,0))-MAX(E524,TIME(19,0,0))))*24*H524)</f>
        <v>0</v>
      </c>
      <c r="L524" s="1044">
        <f t="shared" si="102"/>
        <v>88</v>
      </c>
      <c r="M524" s="145" t="str">
        <f t="shared" si="103"/>
        <v/>
      </c>
      <c r="N524" s="684">
        <f t="shared" si="104"/>
        <v>46105</v>
      </c>
    </row>
    <row r="525" spans="1:14" ht="15.75" customHeight="1">
      <c r="A525" s="658">
        <v>46106</v>
      </c>
      <c r="B525" s="658" t="str">
        <f t="shared" si="98"/>
        <v>Mié</v>
      </c>
      <c r="C525" s="674" t="s">
        <v>146</v>
      </c>
      <c r="D525" s="897" t="s">
        <v>522</v>
      </c>
      <c r="E525" s="687">
        <v>0.29166666666666669</v>
      </c>
      <c r="F525" s="687">
        <v>0.66666666666666663</v>
      </c>
      <c r="G525" s="688">
        <f t="shared" si="99"/>
        <v>8.9999999999999982</v>
      </c>
      <c r="H525" s="676">
        <f>IF(D525="","",IFERROR(VLOOKUP(D525,'Resumen Empleado'!$A$4:$B$17,2,FALSE),""))</f>
        <v>10</v>
      </c>
      <c r="I525" s="676">
        <f t="shared" si="100"/>
        <v>50</v>
      </c>
      <c r="J525" s="676">
        <f t="shared" si="101"/>
        <v>39.999999999999993</v>
      </c>
      <c r="K525" s="676">
        <f t="shared" ref="K525:K532" si="105">IF(OR(E525="",F525="",H525=""),0,MAX(0,(MIN(IF(F525&lt;E525,F525+1,F525),1+TIME(5,0,0))-MAX(E525,TIME(19,0,0))))*24*H525)</f>
        <v>0</v>
      </c>
      <c r="L525" s="1044">
        <f t="shared" si="102"/>
        <v>90</v>
      </c>
      <c r="M525" s="145" t="str">
        <f t="shared" si="103"/>
        <v/>
      </c>
      <c r="N525" s="684">
        <f t="shared" si="104"/>
        <v>46106</v>
      </c>
    </row>
    <row r="526" spans="1:14" ht="15.75" customHeight="1">
      <c r="A526" s="658">
        <v>46106</v>
      </c>
      <c r="B526" s="658" t="str">
        <f t="shared" si="98"/>
        <v>Mié</v>
      </c>
      <c r="C526" s="674" t="s">
        <v>146</v>
      </c>
      <c r="D526" s="885" t="s">
        <v>526</v>
      </c>
      <c r="E526" s="687">
        <v>0.4375</v>
      </c>
      <c r="F526" s="687">
        <v>0.66666666666666663</v>
      </c>
      <c r="G526" s="688">
        <f t="shared" si="99"/>
        <v>5.4999999999999991</v>
      </c>
      <c r="H526" s="676">
        <f>IF(D526="","",IFERROR(VLOOKUP(D526,'Resumen Empleado'!$A$4:$B$17,2,FALSE),""))</f>
        <v>16</v>
      </c>
      <c r="I526" s="676">
        <f t="shared" si="100"/>
        <v>24</v>
      </c>
      <c r="J526" s="676">
        <f t="shared" si="101"/>
        <v>63.999999999999986</v>
      </c>
      <c r="K526" s="676">
        <f t="shared" si="105"/>
        <v>0</v>
      </c>
      <c r="L526" s="1044">
        <f t="shared" si="102"/>
        <v>87.999999999999986</v>
      </c>
      <c r="M526" s="145" t="str">
        <f t="shared" si="103"/>
        <v/>
      </c>
      <c r="N526" s="684">
        <f t="shared" si="104"/>
        <v>46106</v>
      </c>
    </row>
    <row r="527" spans="1:14" ht="15.75" customHeight="1">
      <c r="A527" s="658">
        <v>46106</v>
      </c>
      <c r="B527" s="658" t="str">
        <f t="shared" si="98"/>
        <v>Mié</v>
      </c>
      <c r="C527" s="674" t="s">
        <v>146</v>
      </c>
      <c r="D527" s="897" t="s">
        <v>532</v>
      </c>
      <c r="E527" s="687">
        <v>0.26041666666666669</v>
      </c>
      <c r="F527" s="687">
        <v>0.46875</v>
      </c>
      <c r="G527" s="688">
        <f t="shared" si="99"/>
        <v>5</v>
      </c>
      <c r="H527" s="676">
        <f>IF(D527="","",IFERROR(VLOOKUP(D527,'Resumen Empleado'!$A$4:$B$17,2,FALSE),""))</f>
        <v>5.17</v>
      </c>
      <c r="I527" s="676">
        <f t="shared" si="100"/>
        <v>25.85</v>
      </c>
      <c r="J527" s="676">
        <f t="shared" si="101"/>
        <v>0</v>
      </c>
      <c r="K527" s="676">
        <f t="shared" si="105"/>
        <v>0</v>
      </c>
      <c r="L527" s="1044">
        <f t="shared" si="102"/>
        <v>25.85</v>
      </c>
      <c r="M527" s="145" t="str">
        <f t="shared" si="103"/>
        <v/>
      </c>
      <c r="N527" s="684">
        <f t="shared" si="104"/>
        <v>46106</v>
      </c>
    </row>
    <row r="528" spans="1:14" ht="15.75" customHeight="1">
      <c r="A528" s="658">
        <v>46106</v>
      </c>
      <c r="B528" s="658" t="str">
        <f t="shared" si="98"/>
        <v>Mié</v>
      </c>
      <c r="C528" s="674" t="s">
        <v>146</v>
      </c>
      <c r="D528" s="885" t="s">
        <v>525</v>
      </c>
      <c r="E528" s="687">
        <v>0.54166666666666663</v>
      </c>
      <c r="F528" s="687">
        <v>0.66666666666666663</v>
      </c>
      <c r="G528" s="688">
        <f t="shared" si="99"/>
        <v>3</v>
      </c>
      <c r="H528" s="676">
        <f>IF(D528="","",IFERROR(VLOOKUP(D528,'Resumen Empleado'!$A$4:$B$17,2,FALSE),""))</f>
        <v>7.25</v>
      </c>
      <c r="I528" s="676">
        <f t="shared" si="100"/>
        <v>0</v>
      </c>
      <c r="J528" s="676">
        <f t="shared" si="101"/>
        <v>21.75</v>
      </c>
      <c r="K528" s="676">
        <f t="shared" si="105"/>
        <v>0</v>
      </c>
      <c r="L528" s="1044">
        <f t="shared" si="102"/>
        <v>21.75</v>
      </c>
      <c r="M528" s="145" t="str">
        <f t="shared" si="103"/>
        <v/>
      </c>
      <c r="N528" s="684">
        <f t="shared" si="104"/>
        <v>46106</v>
      </c>
    </row>
    <row r="529" spans="1:14" ht="15.75" customHeight="1">
      <c r="A529" s="658">
        <v>46106</v>
      </c>
      <c r="B529" s="658" t="str">
        <f t="shared" si="98"/>
        <v>Mié</v>
      </c>
      <c r="C529" s="674" t="s">
        <v>497</v>
      </c>
      <c r="D529" s="885" t="s">
        <v>525</v>
      </c>
      <c r="E529" s="687">
        <v>0.79166666666666663</v>
      </c>
      <c r="F529" s="687">
        <v>0.95833333333333337</v>
      </c>
      <c r="G529" s="688">
        <f t="shared" si="99"/>
        <v>4.0000000000000018</v>
      </c>
      <c r="H529" s="676">
        <f>IF(D529="","",IFERROR(VLOOKUP(D529,'Resumen Empleado'!$A$4:$B$17,2,FALSE),""))</f>
        <v>7.25</v>
      </c>
      <c r="I529" s="676">
        <f t="shared" si="100"/>
        <v>0</v>
      </c>
      <c r="J529" s="676">
        <f t="shared" si="101"/>
        <v>0</v>
      </c>
      <c r="K529" s="676">
        <f t="shared" si="105"/>
        <v>29.000000000000014</v>
      </c>
      <c r="L529" s="1044">
        <f t="shared" si="102"/>
        <v>29.000000000000014</v>
      </c>
      <c r="M529" s="145" t="str">
        <f t="shared" si="103"/>
        <v/>
      </c>
      <c r="N529" s="684">
        <f t="shared" si="104"/>
        <v>46106</v>
      </c>
    </row>
    <row r="530" spans="1:14" ht="15.75" customHeight="1">
      <c r="A530" s="658">
        <v>46106</v>
      </c>
      <c r="B530" s="658" t="str">
        <f t="shared" si="98"/>
        <v>Mié</v>
      </c>
      <c r="C530" s="674" t="s">
        <v>497</v>
      </c>
      <c r="D530" s="885" t="s">
        <v>532</v>
      </c>
      <c r="E530" s="687">
        <v>0.79166666666666663</v>
      </c>
      <c r="F530" s="687">
        <v>0.95833333333333337</v>
      </c>
      <c r="G530" s="688">
        <f t="shared" si="99"/>
        <v>4.0000000000000018</v>
      </c>
      <c r="H530" s="676">
        <f>IF(D530="","",IFERROR(VLOOKUP(D530,'Resumen Empleado'!$A$4:$B$17,2,FALSE),""))</f>
        <v>5.17</v>
      </c>
      <c r="I530" s="676">
        <f t="shared" si="100"/>
        <v>0</v>
      </c>
      <c r="J530" s="676">
        <f t="shared" si="101"/>
        <v>0</v>
      </c>
      <c r="K530" s="676">
        <f t="shared" si="105"/>
        <v>20.68000000000001</v>
      </c>
      <c r="L530" s="1044">
        <f t="shared" si="102"/>
        <v>20.68000000000001</v>
      </c>
      <c r="M530" s="145" t="str">
        <f t="shared" si="103"/>
        <v/>
      </c>
      <c r="N530" s="684">
        <f t="shared" si="104"/>
        <v>46106</v>
      </c>
    </row>
    <row r="531" spans="1:14" ht="15.75" customHeight="1">
      <c r="A531" s="658">
        <v>46106</v>
      </c>
      <c r="B531" s="658" t="str">
        <f t="shared" si="98"/>
        <v>Mié</v>
      </c>
      <c r="C531" s="674" t="s">
        <v>497</v>
      </c>
      <c r="D531" s="885" t="s">
        <v>526</v>
      </c>
      <c r="E531" s="687">
        <v>0.83333333333333337</v>
      </c>
      <c r="F531" s="687">
        <v>0</v>
      </c>
      <c r="G531" s="688">
        <f t="shared" si="99"/>
        <v>3.9999999999999991</v>
      </c>
      <c r="H531" s="676">
        <f>IF(D531="","",IFERROR(VLOOKUP(D531,'Resumen Empleado'!$A$4:$B$17,2,FALSE),""))</f>
        <v>16</v>
      </c>
      <c r="I531" s="676">
        <f t="shared" si="100"/>
        <v>0</v>
      </c>
      <c r="J531" s="676">
        <f t="shared" si="101"/>
        <v>0</v>
      </c>
      <c r="K531" s="676">
        <f t="shared" si="105"/>
        <v>63.999999999999986</v>
      </c>
      <c r="L531" s="1044">
        <f t="shared" si="102"/>
        <v>63.999999999999986</v>
      </c>
      <c r="M531" s="145" t="str">
        <f t="shared" si="103"/>
        <v/>
      </c>
      <c r="N531" s="684">
        <f t="shared" si="104"/>
        <v>46106</v>
      </c>
    </row>
    <row r="532" spans="1:14" ht="15.75" customHeight="1">
      <c r="A532" s="658">
        <v>46106</v>
      </c>
      <c r="B532" s="658" t="str">
        <f t="shared" si="98"/>
        <v>Mié</v>
      </c>
      <c r="C532" s="674" t="s">
        <v>497</v>
      </c>
      <c r="D532" s="885" t="s">
        <v>527</v>
      </c>
      <c r="E532" s="687">
        <v>0.8125</v>
      </c>
      <c r="F532" s="687">
        <v>0.89583333333333337</v>
      </c>
      <c r="G532" s="688">
        <f t="shared" si="99"/>
        <v>2.0000000000000009</v>
      </c>
      <c r="H532" s="676" t="str">
        <f>IF(D532="","",IFERROR(VLOOKUP(D532,'Resumen Empleado'!$A$4:$B$17,2,FALSE),""))</f>
        <v/>
      </c>
      <c r="I532" s="676">
        <f t="shared" si="100"/>
        <v>0</v>
      </c>
      <c r="J532" s="676">
        <f t="shared" si="101"/>
        <v>0</v>
      </c>
      <c r="K532" s="676">
        <f t="shared" si="105"/>
        <v>0</v>
      </c>
      <c r="L532" s="1044">
        <f t="shared" si="102"/>
        <v>0</v>
      </c>
      <c r="M532" s="145" t="str">
        <f t="shared" si="103"/>
        <v/>
      </c>
      <c r="N532" s="684">
        <f t="shared" si="104"/>
        <v>46106</v>
      </c>
    </row>
    <row r="533" spans="1:14" ht="15.75" customHeight="1">
      <c r="A533" s="658">
        <v>46106</v>
      </c>
      <c r="B533" s="658" t="str">
        <f t="shared" si="98"/>
        <v>Mié</v>
      </c>
      <c r="C533" s="674" t="s">
        <v>146</v>
      </c>
      <c r="D533" s="885" t="s">
        <v>528</v>
      </c>
      <c r="E533" s="687">
        <v>0.33333333333333331</v>
      </c>
      <c r="F533" s="687">
        <v>0.66666666666666663</v>
      </c>
      <c r="G533" s="688">
        <f t="shared" si="99"/>
        <v>8</v>
      </c>
      <c r="H533" s="676">
        <f>IF(D533="","",IFERROR(VLOOKUP(D533,'Resumen Empleado'!$A$4:$B$17,2,FALSE),""))</f>
        <v>11</v>
      </c>
      <c r="I533" s="676">
        <f t="shared" si="100"/>
        <v>44</v>
      </c>
      <c r="J533" s="676">
        <f t="shared" si="101"/>
        <v>43.999999999999993</v>
      </c>
      <c r="K533" s="676">
        <f>IF(OR(E533="",F533="",H533=""),0,MAX(0,(MIN(IF(F533&lt;E533,1+F533,F533),1+TIME(5,0,0))-MAX(E533,TIME(19,0,0))))*24*H533)</f>
        <v>0</v>
      </c>
      <c r="L533" s="1044">
        <f t="shared" si="102"/>
        <v>88</v>
      </c>
      <c r="M533" s="145" t="str">
        <f t="shared" si="103"/>
        <v/>
      </c>
      <c r="N533" s="684">
        <f t="shared" si="104"/>
        <v>46106</v>
      </c>
    </row>
    <row r="534" spans="1:14" ht="15.75" customHeight="1">
      <c r="A534" s="658">
        <v>46107</v>
      </c>
      <c r="B534" s="658" t="str">
        <f t="shared" si="98"/>
        <v>Jue</v>
      </c>
      <c r="C534" s="674" t="s">
        <v>146</v>
      </c>
      <c r="D534" s="885" t="s">
        <v>526</v>
      </c>
      <c r="E534" s="687">
        <v>0.4375</v>
      </c>
      <c r="F534" s="687">
        <v>0.64583333333333337</v>
      </c>
      <c r="G534" s="688">
        <f t="shared" si="99"/>
        <v>5.0000000000000009</v>
      </c>
      <c r="H534" s="676">
        <f>IF(D534="","",IFERROR(VLOOKUP(D534,'Resumen Empleado'!$A$4:$B$17,2,FALSE),""))</f>
        <v>16</v>
      </c>
      <c r="I534" s="676">
        <f t="shared" si="100"/>
        <v>24</v>
      </c>
      <c r="J534" s="676">
        <f t="shared" si="101"/>
        <v>56.000000000000014</v>
      </c>
      <c r="K534" s="676">
        <f t="shared" ref="K534:K541" si="106">IF(OR(E534="",F534="",H534=""),0,MAX(0,(MIN(IF(F534&lt;E534,F534+1,F534),1+TIME(5,0,0))-MAX(E534,TIME(19,0,0))))*24*H534)</f>
        <v>0</v>
      </c>
      <c r="L534" s="1044">
        <f t="shared" si="102"/>
        <v>80.000000000000014</v>
      </c>
      <c r="M534" s="145" t="str">
        <f t="shared" si="103"/>
        <v/>
      </c>
      <c r="N534" s="684">
        <f t="shared" si="104"/>
        <v>46107</v>
      </c>
    </row>
    <row r="535" spans="1:14" ht="15.75" customHeight="1">
      <c r="A535" s="658">
        <v>46107</v>
      </c>
      <c r="B535" s="658" t="str">
        <f t="shared" si="98"/>
        <v>Jue</v>
      </c>
      <c r="C535" s="674" t="s">
        <v>146</v>
      </c>
      <c r="D535" s="885" t="s">
        <v>522</v>
      </c>
      <c r="E535" s="687">
        <v>0.29166666666666669</v>
      </c>
      <c r="F535" s="687">
        <v>0.66666666666666663</v>
      </c>
      <c r="G535" s="688">
        <f t="shared" si="99"/>
        <v>8.9999999999999982</v>
      </c>
      <c r="H535" s="676">
        <f>IF(D535="","",IFERROR(VLOOKUP(D535,'Resumen Empleado'!$A$4:$B$17,2,FALSE),""))</f>
        <v>10</v>
      </c>
      <c r="I535" s="676">
        <f t="shared" si="100"/>
        <v>50</v>
      </c>
      <c r="J535" s="676">
        <f t="shared" si="101"/>
        <v>39.999999999999993</v>
      </c>
      <c r="K535" s="676">
        <f t="shared" si="106"/>
        <v>0</v>
      </c>
      <c r="L535" s="1044">
        <f t="shared" si="102"/>
        <v>90</v>
      </c>
      <c r="M535" s="145" t="str">
        <f t="shared" si="103"/>
        <v/>
      </c>
      <c r="N535" s="684">
        <f t="shared" si="104"/>
        <v>46107</v>
      </c>
    </row>
    <row r="536" spans="1:14" ht="15" customHeight="1">
      <c r="A536" s="658">
        <v>46107</v>
      </c>
      <c r="B536" s="658" t="str">
        <f t="shared" si="98"/>
        <v>Jue</v>
      </c>
      <c r="C536" s="674" t="s">
        <v>146</v>
      </c>
      <c r="D536" s="897" t="s">
        <v>525</v>
      </c>
      <c r="E536" s="687">
        <v>0.54166666666666663</v>
      </c>
      <c r="F536" s="687">
        <v>0.66666666666666663</v>
      </c>
      <c r="G536" s="688">
        <f t="shared" si="99"/>
        <v>3</v>
      </c>
      <c r="H536" s="676">
        <f>IF(D536="","",IFERROR(VLOOKUP(D536,'Resumen Empleado'!$A$4:$B$17,2,FALSE),""))</f>
        <v>7.25</v>
      </c>
      <c r="I536" s="676">
        <f t="shared" si="100"/>
        <v>0</v>
      </c>
      <c r="J536" s="676">
        <f t="shared" si="101"/>
        <v>21.75</v>
      </c>
      <c r="K536" s="676">
        <f t="shared" si="106"/>
        <v>0</v>
      </c>
      <c r="L536" s="1044">
        <f t="shared" si="102"/>
        <v>21.75</v>
      </c>
      <c r="M536" s="145" t="str">
        <f t="shared" si="103"/>
        <v/>
      </c>
      <c r="N536" s="684">
        <f t="shared" si="104"/>
        <v>46107</v>
      </c>
    </row>
    <row r="537" spans="1:14" ht="18.75" customHeight="1">
      <c r="A537" s="658">
        <v>46107</v>
      </c>
      <c r="B537" s="658" t="str">
        <f t="shared" si="98"/>
        <v>Jue</v>
      </c>
      <c r="C537" s="674" t="s">
        <v>146</v>
      </c>
      <c r="D537" s="885" t="s">
        <v>532</v>
      </c>
      <c r="E537" s="687">
        <v>0.26041666666666669</v>
      </c>
      <c r="F537" s="687">
        <v>0.42708333333333331</v>
      </c>
      <c r="G537" s="688">
        <f t="shared" si="99"/>
        <v>3.9999999999999991</v>
      </c>
      <c r="H537" s="676">
        <f>IF(D537="","",IFERROR(VLOOKUP(D537,'Resumen Empleado'!$A$4:$B$17,2,FALSE),""))</f>
        <v>5.17</v>
      </c>
      <c r="I537" s="676">
        <f t="shared" si="100"/>
        <v>20.679999999999996</v>
      </c>
      <c r="J537" s="676">
        <f t="shared" si="101"/>
        <v>0</v>
      </c>
      <c r="K537" s="676">
        <f t="shared" si="106"/>
        <v>0</v>
      </c>
      <c r="L537" s="1044">
        <f t="shared" si="102"/>
        <v>20.679999999999996</v>
      </c>
      <c r="M537" s="145" t="str">
        <f t="shared" si="103"/>
        <v/>
      </c>
      <c r="N537" s="684">
        <f t="shared" si="104"/>
        <v>46107</v>
      </c>
    </row>
    <row r="538" spans="1:14" ht="18.75" customHeight="1">
      <c r="A538" s="658">
        <v>46107</v>
      </c>
      <c r="B538" s="658" t="str">
        <f t="shared" si="98"/>
        <v>Jue</v>
      </c>
      <c r="C538" s="674" t="s">
        <v>497</v>
      </c>
      <c r="D538" s="885" t="s">
        <v>529</v>
      </c>
      <c r="E538" s="687">
        <v>0.83333333333333337</v>
      </c>
      <c r="F538" s="687">
        <v>0.95833333333333337</v>
      </c>
      <c r="G538" s="688">
        <f t="shared" si="99"/>
        <v>3</v>
      </c>
      <c r="H538" s="676">
        <f>IF(D538="","",IFERROR(VLOOKUP(D538,'Resumen Empleado'!$A$4:$B$17,2,FALSE),""))</f>
        <v>8</v>
      </c>
      <c r="I538" s="676">
        <f t="shared" si="100"/>
        <v>0</v>
      </c>
      <c r="J538" s="676">
        <f t="shared" si="101"/>
        <v>0</v>
      </c>
      <c r="K538" s="676">
        <f t="shared" si="106"/>
        <v>24</v>
      </c>
      <c r="L538" s="1044">
        <f t="shared" si="102"/>
        <v>24</v>
      </c>
      <c r="M538" s="145" t="str">
        <f t="shared" si="103"/>
        <v/>
      </c>
      <c r="N538" s="684">
        <f t="shared" si="104"/>
        <v>46107</v>
      </c>
    </row>
    <row r="539" spans="1:14" ht="15" customHeight="1">
      <c r="A539" s="658">
        <v>46107</v>
      </c>
      <c r="B539" s="658" t="str">
        <f t="shared" si="98"/>
        <v>Jue</v>
      </c>
      <c r="C539" s="674" t="s">
        <v>497</v>
      </c>
      <c r="D539" s="885" t="s">
        <v>525</v>
      </c>
      <c r="E539" s="687">
        <v>0.79166666666666663</v>
      </c>
      <c r="F539" s="687">
        <v>0.95833333333333337</v>
      </c>
      <c r="G539" s="688">
        <f t="shared" si="99"/>
        <v>4.0000000000000018</v>
      </c>
      <c r="H539" s="676">
        <f>IF(D539="","",IFERROR(VLOOKUP(D539,'Resumen Empleado'!$A$4:$B$17,2,FALSE),""))</f>
        <v>7.25</v>
      </c>
      <c r="I539" s="676">
        <f t="shared" si="100"/>
        <v>0</v>
      </c>
      <c r="J539" s="676">
        <f t="shared" si="101"/>
        <v>0</v>
      </c>
      <c r="K539" s="676">
        <f t="shared" si="106"/>
        <v>29.000000000000014</v>
      </c>
      <c r="L539" s="1044">
        <f t="shared" si="102"/>
        <v>29.000000000000014</v>
      </c>
      <c r="M539" s="145" t="str">
        <f t="shared" si="103"/>
        <v/>
      </c>
      <c r="N539" s="684">
        <f t="shared" si="104"/>
        <v>46107</v>
      </c>
    </row>
    <row r="540" spans="1:14" ht="15" customHeight="1">
      <c r="A540" s="658">
        <v>46107</v>
      </c>
      <c r="B540" s="658" t="str">
        <f t="shared" si="98"/>
        <v>Jue</v>
      </c>
      <c r="C540" s="674" t="s">
        <v>497</v>
      </c>
      <c r="D540" s="897" t="s">
        <v>532</v>
      </c>
      <c r="E540" s="687">
        <v>0.79166666666666663</v>
      </c>
      <c r="F540" s="687">
        <v>0.95833333333333337</v>
      </c>
      <c r="G540" s="688">
        <f t="shared" si="99"/>
        <v>4.0000000000000018</v>
      </c>
      <c r="H540" s="676">
        <f>IF(D540="","",IFERROR(VLOOKUP(D540,'Resumen Empleado'!$A$4:$B$17,2,FALSE),""))</f>
        <v>5.17</v>
      </c>
      <c r="I540" s="676">
        <f t="shared" si="100"/>
        <v>0</v>
      </c>
      <c r="J540" s="676">
        <f t="shared" si="101"/>
        <v>0</v>
      </c>
      <c r="K540" s="676">
        <f t="shared" si="106"/>
        <v>20.68000000000001</v>
      </c>
      <c r="L540" s="1044">
        <f t="shared" si="102"/>
        <v>20.68000000000001</v>
      </c>
      <c r="M540" s="145" t="str">
        <f t="shared" si="103"/>
        <v/>
      </c>
      <c r="N540" s="684">
        <f t="shared" si="104"/>
        <v>46107</v>
      </c>
    </row>
    <row r="541" spans="1:14" ht="15" customHeight="1">
      <c r="A541" s="658">
        <v>46107</v>
      </c>
      <c r="B541" s="658" t="str">
        <f t="shared" si="98"/>
        <v>Jue</v>
      </c>
      <c r="C541" s="674" t="s">
        <v>497</v>
      </c>
      <c r="D541" s="885" t="s">
        <v>527</v>
      </c>
      <c r="E541" s="687">
        <v>0.8125</v>
      </c>
      <c r="F541" s="687">
        <v>0.89583333333333337</v>
      </c>
      <c r="G541" s="688">
        <f t="shared" si="99"/>
        <v>2.0000000000000009</v>
      </c>
      <c r="H541" s="676" t="str">
        <f>IF(D541="","",IFERROR(VLOOKUP(D541,'Resumen Empleado'!$A$4:$B$17,2,FALSE),""))</f>
        <v/>
      </c>
      <c r="I541" s="676">
        <f t="shared" si="100"/>
        <v>0</v>
      </c>
      <c r="J541" s="676">
        <f t="shared" si="101"/>
        <v>0</v>
      </c>
      <c r="K541" s="676">
        <f t="shared" si="106"/>
        <v>0</v>
      </c>
      <c r="L541" s="1044">
        <f t="shared" si="102"/>
        <v>0</v>
      </c>
      <c r="M541" s="145" t="str">
        <f t="shared" si="103"/>
        <v/>
      </c>
      <c r="N541" s="684">
        <f t="shared" si="104"/>
        <v>46107</v>
      </c>
    </row>
    <row r="542" spans="1:14" ht="15" customHeight="1">
      <c r="A542" s="658">
        <v>46107</v>
      </c>
      <c r="B542" s="658" t="str">
        <f t="shared" si="98"/>
        <v>Jue</v>
      </c>
      <c r="C542" s="674" t="s">
        <v>146</v>
      </c>
      <c r="D542" s="885" t="s">
        <v>528</v>
      </c>
      <c r="E542" s="687">
        <v>0.33333333333333331</v>
      </c>
      <c r="F542" s="687">
        <v>0.66666666666666663</v>
      </c>
      <c r="G542" s="688">
        <f t="shared" si="99"/>
        <v>8</v>
      </c>
      <c r="H542" s="676">
        <f>IF(D542="","",IFERROR(VLOOKUP(D542,'Resumen Empleado'!$A$4:$B$17,2,FALSE),""))</f>
        <v>11</v>
      </c>
      <c r="I542" s="676">
        <f t="shared" si="100"/>
        <v>44</v>
      </c>
      <c r="J542" s="676">
        <f t="shared" si="101"/>
        <v>43.999999999999993</v>
      </c>
      <c r="K542" s="676">
        <f>IF(OR(E542="",F542="",H542=""),0,MAX(0,(MIN(IF(F542&lt;E542,1+F542,F542),1+TIME(5,0,0))-MAX(E542,TIME(19,0,0))))*24*H542)</f>
        <v>0</v>
      </c>
      <c r="L542" s="1044">
        <f t="shared" si="102"/>
        <v>88</v>
      </c>
      <c r="M542" s="145" t="str">
        <f t="shared" si="103"/>
        <v/>
      </c>
      <c r="N542" s="684">
        <f t="shared" si="104"/>
        <v>46107</v>
      </c>
    </row>
    <row r="543" spans="1:14" ht="15" customHeight="1">
      <c r="A543" s="658">
        <v>46108</v>
      </c>
      <c r="B543" s="658" t="str">
        <f t="shared" si="98"/>
        <v>Vie</v>
      </c>
      <c r="C543" s="674" t="s">
        <v>146</v>
      </c>
      <c r="D543" s="885" t="s">
        <v>522</v>
      </c>
      <c r="E543" s="687">
        <v>0.29166666666666669</v>
      </c>
      <c r="F543" s="687">
        <v>0.6875</v>
      </c>
      <c r="G543" s="688">
        <f t="shared" si="99"/>
        <v>9.5</v>
      </c>
      <c r="H543" s="676">
        <f>IF(D543="","",IFERROR(VLOOKUP(D543,'Resumen Empleado'!$A$4:$B$17,2,FALSE),""))</f>
        <v>10</v>
      </c>
      <c r="I543" s="676">
        <f t="shared" si="100"/>
        <v>50</v>
      </c>
      <c r="J543" s="676">
        <f t="shared" si="101"/>
        <v>45</v>
      </c>
      <c r="K543" s="676">
        <f t="shared" ref="K543:K553" si="107">IF(OR(E543="",F543="",H543=""),0,MAX(0,(MIN(IF(F543&lt;E543,F543+1,F543),1+TIME(5,0,0))-MAX(E543,TIME(19,0,0))))*24*H543)</f>
        <v>0</v>
      </c>
      <c r="L543" s="1044">
        <f t="shared" si="102"/>
        <v>95</v>
      </c>
      <c r="M543" s="145" t="str">
        <f t="shared" si="103"/>
        <v/>
      </c>
      <c r="N543" s="684">
        <f t="shared" si="104"/>
        <v>46108</v>
      </c>
    </row>
    <row r="544" spans="1:14" ht="15" customHeight="1">
      <c r="A544" s="658">
        <v>46108</v>
      </c>
      <c r="B544" s="658" t="str">
        <f t="shared" si="98"/>
        <v>Vie</v>
      </c>
      <c r="C544" s="674" t="s">
        <v>146</v>
      </c>
      <c r="D544" s="885" t="s">
        <v>525</v>
      </c>
      <c r="E544" s="687">
        <v>0.54166666666666663</v>
      </c>
      <c r="F544" s="687">
        <v>0.6875</v>
      </c>
      <c r="G544" s="688">
        <f t="shared" si="99"/>
        <v>3.5000000000000009</v>
      </c>
      <c r="H544" s="676">
        <f>IF(D544="","",IFERROR(VLOOKUP(D544,'Resumen Empleado'!$A$4:$B$17,2,FALSE),""))</f>
        <v>7.25</v>
      </c>
      <c r="I544" s="676">
        <f t="shared" si="100"/>
        <v>0</v>
      </c>
      <c r="J544" s="676">
        <f t="shared" si="101"/>
        <v>25.375000000000007</v>
      </c>
      <c r="K544" s="676">
        <f t="shared" si="107"/>
        <v>0</v>
      </c>
      <c r="L544" s="1044">
        <f t="shared" si="102"/>
        <v>25.375000000000007</v>
      </c>
      <c r="M544" s="145" t="str">
        <f t="shared" si="103"/>
        <v/>
      </c>
      <c r="N544" s="684">
        <f t="shared" si="104"/>
        <v>46108</v>
      </c>
    </row>
    <row r="545" spans="1:14" ht="15" customHeight="1">
      <c r="A545" s="658">
        <v>46108</v>
      </c>
      <c r="B545" s="658" t="str">
        <f t="shared" si="98"/>
        <v>Vie</v>
      </c>
      <c r="C545" s="674" t="s">
        <v>146</v>
      </c>
      <c r="D545" s="885" t="s">
        <v>526</v>
      </c>
      <c r="E545" s="687">
        <v>0.4375</v>
      </c>
      <c r="F545" s="687">
        <v>0.66666666666666663</v>
      </c>
      <c r="G545" s="688">
        <f t="shared" si="99"/>
        <v>5.4999999999999991</v>
      </c>
      <c r="H545" s="676">
        <f>IF(D545="","",IFERROR(VLOOKUP(D545,'Resumen Empleado'!$A$4:$B$17,2,FALSE),""))</f>
        <v>16</v>
      </c>
      <c r="I545" s="676">
        <f t="shared" si="100"/>
        <v>24</v>
      </c>
      <c r="J545" s="676">
        <f t="shared" si="101"/>
        <v>63.999999999999986</v>
      </c>
      <c r="K545" s="676">
        <f t="shared" si="107"/>
        <v>0</v>
      </c>
      <c r="L545" s="1044">
        <f t="shared" si="102"/>
        <v>87.999999999999986</v>
      </c>
      <c r="M545" s="145" t="str">
        <f t="shared" si="103"/>
        <v/>
      </c>
      <c r="N545" s="684">
        <f t="shared" si="104"/>
        <v>46108</v>
      </c>
    </row>
    <row r="546" spans="1:14" ht="15" customHeight="1">
      <c r="A546" s="658">
        <v>46108</v>
      </c>
      <c r="B546" s="658" t="str">
        <f t="shared" si="98"/>
        <v>Vie</v>
      </c>
      <c r="C546" s="674" t="s">
        <v>146</v>
      </c>
      <c r="D546" s="897" t="s">
        <v>532</v>
      </c>
      <c r="E546" s="687">
        <v>0.26041666666666669</v>
      </c>
      <c r="F546" s="687">
        <v>0.4375</v>
      </c>
      <c r="G546" s="688">
        <f t="shared" si="99"/>
        <v>4.25</v>
      </c>
      <c r="H546" s="676">
        <f>IF(D546="","",IFERROR(VLOOKUP(D546,'Resumen Empleado'!$A$4:$B$17,2,FALSE),""))</f>
        <v>5.17</v>
      </c>
      <c r="I546" s="676">
        <f t="shared" si="100"/>
        <v>21.9725</v>
      </c>
      <c r="J546" s="676">
        <f t="shared" si="101"/>
        <v>0</v>
      </c>
      <c r="K546" s="676">
        <f t="shared" si="107"/>
        <v>0</v>
      </c>
      <c r="L546" s="1044">
        <f t="shared" si="102"/>
        <v>21.9725</v>
      </c>
      <c r="M546" s="145" t="str">
        <f t="shared" si="103"/>
        <v/>
      </c>
      <c r="N546" s="684">
        <f t="shared" si="104"/>
        <v>46108</v>
      </c>
    </row>
    <row r="547" spans="1:14" ht="15" customHeight="1">
      <c r="A547" s="658">
        <v>46108</v>
      </c>
      <c r="B547" s="658" t="str">
        <f t="shared" si="98"/>
        <v>Vie</v>
      </c>
      <c r="C547" s="674" t="s">
        <v>497</v>
      </c>
      <c r="D547" s="885" t="s">
        <v>522</v>
      </c>
      <c r="E547" s="687">
        <v>0.79166666666666663</v>
      </c>
      <c r="F547" s="687">
        <v>0.9375</v>
      </c>
      <c r="G547" s="688">
        <f t="shared" si="99"/>
        <v>3.5000000000000009</v>
      </c>
      <c r="H547" s="676">
        <f>IF(D547="","",IFERROR(VLOOKUP(D547,'Resumen Empleado'!$A$4:$B$17,2,FALSE),""))</f>
        <v>10</v>
      </c>
      <c r="I547" s="676">
        <f t="shared" si="100"/>
        <v>0</v>
      </c>
      <c r="J547" s="676">
        <f t="shared" si="101"/>
        <v>0</v>
      </c>
      <c r="K547" s="676">
        <f t="shared" si="107"/>
        <v>35.000000000000007</v>
      </c>
      <c r="L547" s="1044">
        <f t="shared" si="102"/>
        <v>35.000000000000007</v>
      </c>
      <c r="M547" s="145" t="str">
        <f t="shared" si="103"/>
        <v/>
      </c>
      <c r="N547" s="684">
        <f t="shared" si="104"/>
        <v>46108</v>
      </c>
    </row>
    <row r="548" spans="1:14" ht="15" customHeight="1">
      <c r="A548" s="658">
        <v>46108</v>
      </c>
      <c r="B548" s="658" t="str">
        <f t="shared" si="98"/>
        <v>Vie</v>
      </c>
      <c r="C548" s="674" t="s">
        <v>497</v>
      </c>
      <c r="D548" s="885" t="s">
        <v>535</v>
      </c>
      <c r="E548" s="687">
        <v>0.79166666666666663</v>
      </c>
      <c r="F548" s="687">
        <v>0</v>
      </c>
      <c r="G548" s="688">
        <f t="shared" si="99"/>
        <v>5.0000000000000009</v>
      </c>
      <c r="H548" s="676">
        <f>IF(D548="","",IFERROR(VLOOKUP(D548,'Resumen Empleado'!$A$4:$B$17,2,FALSE),""))</f>
        <v>6</v>
      </c>
      <c r="I548" s="676">
        <f t="shared" si="100"/>
        <v>0</v>
      </c>
      <c r="J548" s="676">
        <f t="shared" si="101"/>
        <v>0</v>
      </c>
      <c r="K548" s="676">
        <f t="shared" si="107"/>
        <v>30.000000000000007</v>
      </c>
      <c r="L548" s="1044">
        <f t="shared" si="102"/>
        <v>30.000000000000007</v>
      </c>
      <c r="M548" s="145" t="str">
        <f t="shared" si="103"/>
        <v/>
      </c>
      <c r="N548" s="684">
        <f t="shared" si="104"/>
        <v>46108</v>
      </c>
    </row>
    <row r="549" spans="1:14" ht="15" customHeight="1">
      <c r="A549" s="658">
        <v>46108</v>
      </c>
      <c r="B549" s="658" t="str">
        <f t="shared" si="98"/>
        <v>Vie</v>
      </c>
      <c r="C549" s="674" t="s">
        <v>497</v>
      </c>
      <c r="D549" s="885" t="s">
        <v>529</v>
      </c>
      <c r="E549" s="687">
        <v>0.83333333333333337</v>
      </c>
      <c r="F549" s="687">
        <v>0.97916666666666663</v>
      </c>
      <c r="G549" s="688">
        <f t="shared" si="99"/>
        <v>3.4999999999999982</v>
      </c>
      <c r="H549" s="676">
        <f>IF(D549="","",IFERROR(VLOOKUP(D549,'Resumen Empleado'!$A$4:$B$17,2,FALSE),""))</f>
        <v>8</v>
      </c>
      <c r="I549" s="676">
        <f t="shared" si="100"/>
        <v>0</v>
      </c>
      <c r="J549" s="676">
        <f t="shared" si="101"/>
        <v>0</v>
      </c>
      <c r="K549" s="676">
        <f t="shared" si="107"/>
        <v>27.999999999999986</v>
      </c>
      <c r="L549" s="1044">
        <f t="shared" si="102"/>
        <v>27.999999999999986</v>
      </c>
      <c r="M549" s="145" t="str">
        <f t="shared" si="103"/>
        <v/>
      </c>
      <c r="N549" s="684">
        <f t="shared" si="104"/>
        <v>46108</v>
      </c>
    </row>
    <row r="550" spans="1:14" ht="15" customHeight="1">
      <c r="A550" s="658">
        <v>46108</v>
      </c>
      <c r="B550" s="658" t="str">
        <f t="shared" si="98"/>
        <v>Vie</v>
      </c>
      <c r="C550" s="674" t="s">
        <v>497</v>
      </c>
      <c r="D550" s="897" t="s">
        <v>525</v>
      </c>
      <c r="E550" s="687">
        <v>0.79166666666666663</v>
      </c>
      <c r="F550" s="687">
        <v>0</v>
      </c>
      <c r="G550" s="688">
        <f t="shared" si="99"/>
        <v>5.0000000000000009</v>
      </c>
      <c r="H550" s="676">
        <f>IF(D550="","",IFERROR(VLOOKUP(D550,'Resumen Empleado'!$A$4:$B$17,2,FALSE),""))</f>
        <v>7.25</v>
      </c>
      <c r="I550" s="676">
        <f t="shared" si="100"/>
        <v>0</v>
      </c>
      <c r="J550" s="676">
        <f t="shared" si="101"/>
        <v>0</v>
      </c>
      <c r="K550" s="676">
        <f t="shared" si="107"/>
        <v>36.250000000000007</v>
      </c>
      <c r="L550" s="1044">
        <f t="shared" si="102"/>
        <v>36.250000000000007</v>
      </c>
      <c r="M550" s="145" t="str">
        <f t="shared" si="103"/>
        <v/>
      </c>
      <c r="N550" s="684">
        <f t="shared" si="104"/>
        <v>46108</v>
      </c>
    </row>
    <row r="551" spans="1:14" ht="15" customHeight="1">
      <c r="A551" s="658">
        <v>46108</v>
      </c>
      <c r="B551" s="658" t="str">
        <f t="shared" si="98"/>
        <v>Vie</v>
      </c>
      <c r="C551" s="674" t="s">
        <v>497</v>
      </c>
      <c r="D551" s="885" t="s">
        <v>526</v>
      </c>
      <c r="E551" s="687">
        <v>0.79166666666666663</v>
      </c>
      <c r="F551" s="687">
        <v>0</v>
      </c>
      <c r="G551" s="688">
        <f t="shared" si="99"/>
        <v>5.0000000000000009</v>
      </c>
      <c r="H551" s="676">
        <f>IF(D551="","",IFERROR(VLOOKUP(D551,'Resumen Empleado'!$A$4:$B$17,2,FALSE),""))</f>
        <v>16</v>
      </c>
      <c r="I551" s="676">
        <f t="shared" si="100"/>
        <v>0</v>
      </c>
      <c r="J551" s="676">
        <f t="shared" si="101"/>
        <v>0</v>
      </c>
      <c r="K551" s="676">
        <f t="shared" si="107"/>
        <v>80.000000000000014</v>
      </c>
      <c r="L551" s="1044">
        <f t="shared" si="102"/>
        <v>80.000000000000014</v>
      </c>
      <c r="M551" s="145" t="str">
        <f t="shared" si="103"/>
        <v/>
      </c>
      <c r="N551" s="684">
        <f t="shared" si="104"/>
        <v>46108</v>
      </c>
    </row>
    <row r="552" spans="1:14" ht="15" customHeight="1">
      <c r="A552" s="886">
        <v>46108</v>
      </c>
      <c r="B552" s="886" t="str">
        <f t="shared" si="98"/>
        <v>Vie</v>
      </c>
      <c r="C552" s="887" t="s">
        <v>497</v>
      </c>
      <c r="D552" s="897" t="s">
        <v>532</v>
      </c>
      <c r="E552" s="888">
        <v>0.83333333333333337</v>
      </c>
      <c r="F552" s="888">
        <v>0</v>
      </c>
      <c r="G552" s="889">
        <f t="shared" si="99"/>
        <v>3.9999999999999991</v>
      </c>
      <c r="H552" s="1040">
        <f>IF(D552="","",IFERROR(VLOOKUP(D552,'Resumen Empleado'!$A$4:$B$17,2,FALSE),""))</f>
        <v>5.17</v>
      </c>
      <c r="I552" s="1040">
        <f t="shared" si="100"/>
        <v>0</v>
      </c>
      <c r="J552" s="1040">
        <f t="shared" si="101"/>
        <v>0</v>
      </c>
      <c r="K552" s="1040">
        <f t="shared" si="107"/>
        <v>20.679999999999996</v>
      </c>
      <c r="L552" s="1045">
        <f t="shared" si="102"/>
        <v>20.679999999999996</v>
      </c>
      <c r="M552" s="890" t="str">
        <f t="shared" si="103"/>
        <v/>
      </c>
      <c r="N552" s="1033">
        <f t="shared" si="104"/>
        <v>46108</v>
      </c>
    </row>
    <row r="553" spans="1:14" ht="15" customHeight="1">
      <c r="A553" s="886">
        <v>46108</v>
      </c>
      <c r="B553" s="886" t="str">
        <f t="shared" si="98"/>
        <v>Vie</v>
      </c>
      <c r="C553" s="887" t="s">
        <v>497</v>
      </c>
      <c r="D553" s="897" t="s">
        <v>527</v>
      </c>
      <c r="E553" s="888">
        <v>0.8125</v>
      </c>
      <c r="F553" s="888">
        <v>0.89583333333333337</v>
      </c>
      <c r="G553" s="889">
        <f t="shared" si="99"/>
        <v>2.0000000000000009</v>
      </c>
      <c r="H553" s="1040" t="str">
        <f>IF(D553="","",IFERROR(VLOOKUP(D553,'Resumen Empleado'!$A$4:$B$17,2,FALSE),""))</f>
        <v/>
      </c>
      <c r="I553" s="1040">
        <f t="shared" si="100"/>
        <v>0</v>
      </c>
      <c r="J553" s="1040">
        <f t="shared" si="101"/>
        <v>0</v>
      </c>
      <c r="K553" s="1040">
        <f t="shared" si="107"/>
        <v>0</v>
      </c>
      <c r="L553" s="1045">
        <f t="shared" si="102"/>
        <v>0</v>
      </c>
      <c r="M553" s="890" t="str">
        <f t="shared" si="103"/>
        <v/>
      </c>
      <c r="N553" s="1033">
        <f t="shared" si="104"/>
        <v>46108</v>
      </c>
    </row>
    <row r="554" spans="1:14" ht="15" customHeight="1">
      <c r="A554" s="886">
        <v>46108</v>
      </c>
      <c r="B554" s="886" t="str">
        <f t="shared" si="98"/>
        <v>Vie</v>
      </c>
      <c r="C554" s="887" t="s">
        <v>146</v>
      </c>
      <c r="D554" s="897" t="s">
        <v>528</v>
      </c>
      <c r="E554" s="888">
        <v>0.33333333333333331</v>
      </c>
      <c r="F554" s="888">
        <v>0.66666666666666663</v>
      </c>
      <c r="G554" s="889">
        <f t="shared" si="99"/>
        <v>8</v>
      </c>
      <c r="H554" s="1040">
        <f>IF(D554="","",IFERROR(VLOOKUP(D554,'Resumen Empleado'!$A$4:$B$17,2,FALSE),""))</f>
        <v>11</v>
      </c>
      <c r="I554" s="1040">
        <f t="shared" si="100"/>
        <v>44</v>
      </c>
      <c r="J554" s="1040">
        <f t="shared" si="101"/>
        <v>43.999999999999993</v>
      </c>
      <c r="K554" s="1040">
        <f>IF(OR(E554="",F554="",H554=""),0,MAX(0,(MIN(IF(F554&lt;E554,1+F554,F554),1+TIME(5,0,0))-MAX(E554,TIME(19,0,0))))*24*H554)</f>
        <v>0</v>
      </c>
      <c r="L554" s="1045">
        <f t="shared" si="102"/>
        <v>88</v>
      </c>
      <c r="M554" s="890" t="str">
        <f t="shared" si="103"/>
        <v/>
      </c>
      <c r="N554" s="1033">
        <f t="shared" si="104"/>
        <v>46108</v>
      </c>
    </row>
    <row r="555" spans="1:14" ht="15" customHeight="1">
      <c r="A555" s="886">
        <v>46109</v>
      </c>
      <c r="B555" s="886" t="str">
        <f t="shared" si="98"/>
        <v>Sáb</v>
      </c>
      <c r="C555" s="887" t="s">
        <v>146</v>
      </c>
      <c r="D555" s="897" t="s">
        <v>525</v>
      </c>
      <c r="E555" s="888">
        <v>0.375</v>
      </c>
      <c r="F555" s="888">
        <v>0.66666666666666663</v>
      </c>
      <c r="G555" s="889">
        <f t="shared" si="99"/>
        <v>6.9999999999999991</v>
      </c>
      <c r="H555" s="1040">
        <f>IF(D555="","",IFERROR(VLOOKUP(D555,'Resumen Empleado'!$A$4:$B$17,2,FALSE),""))</f>
        <v>7.25</v>
      </c>
      <c r="I555" s="1040">
        <f t="shared" si="100"/>
        <v>21.75</v>
      </c>
      <c r="J555" s="1040">
        <f t="shared" si="101"/>
        <v>28.999999999999993</v>
      </c>
      <c r="K555" s="1040">
        <f t="shared" ref="K555:K563" si="108">IF(OR(E555="",F555="",H555=""),0,MAX(0,(MIN(IF(F555&lt;E555,F555+1,F555),1+TIME(5,0,0))-MAX(E555,TIME(19,0,0))))*24*H555)</f>
        <v>0</v>
      </c>
      <c r="L555" s="1045">
        <f t="shared" si="102"/>
        <v>50.749999999999993</v>
      </c>
      <c r="M555" s="890" t="str">
        <f t="shared" si="103"/>
        <v/>
      </c>
      <c r="N555" s="1033">
        <f t="shared" si="104"/>
        <v>46109</v>
      </c>
    </row>
    <row r="556" spans="1:14" ht="15" customHeight="1">
      <c r="A556" s="886">
        <v>46109</v>
      </c>
      <c r="B556" s="886" t="str">
        <f t="shared" si="98"/>
        <v>Sáb</v>
      </c>
      <c r="C556" s="887" t="s">
        <v>146</v>
      </c>
      <c r="D556" s="897" t="s">
        <v>526</v>
      </c>
      <c r="E556" s="888">
        <v>0.375</v>
      </c>
      <c r="F556" s="888">
        <v>0.66666666666666663</v>
      </c>
      <c r="G556" s="889">
        <f t="shared" si="99"/>
        <v>6.9999999999999991</v>
      </c>
      <c r="H556" s="1040">
        <f>IF(D556="","",IFERROR(VLOOKUP(D556,'Resumen Empleado'!$A$4:$B$17,2,FALSE),""))</f>
        <v>16</v>
      </c>
      <c r="I556" s="1040">
        <f t="shared" si="100"/>
        <v>48</v>
      </c>
      <c r="J556" s="1040">
        <f t="shared" si="101"/>
        <v>63.999999999999986</v>
      </c>
      <c r="K556" s="1040">
        <f t="shared" si="108"/>
        <v>0</v>
      </c>
      <c r="L556" s="1045">
        <f t="shared" si="102"/>
        <v>111.99999999999999</v>
      </c>
      <c r="M556" s="890" t="str">
        <f t="shared" si="103"/>
        <v/>
      </c>
      <c r="N556" s="1033">
        <f t="shared" si="104"/>
        <v>46109</v>
      </c>
    </row>
    <row r="557" spans="1:14" s="74" customFormat="1" ht="15" customHeight="1">
      <c r="A557" s="886">
        <v>46109</v>
      </c>
      <c r="B557" s="886" t="str">
        <f t="shared" si="98"/>
        <v>Sáb</v>
      </c>
      <c r="C557" s="887" t="s">
        <v>146</v>
      </c>
      <c r="D557" s="897" t="s">
        <v>522</v>
      </c>
      <c r="E557" s="888">
        <v>0.33333333333333331</v>
      </c>
      <c r="F557" s="888">
        <v>0.66666666666666663</v>
      </c>
      <c r="G557" s="889">
        <f t="shared" si="99"/>
        <v>8</v>
      </c>
      <c r="H557" s="1040">
        <f>IF(D557="","",IFERROR(VLOOKUP(D557,'Resumen Empleado'!$A$4:$B$17,2,FALSE),""))</f>
        <v>10</v>
      </c>
      <c r="I557" s="1040">
        <f t="shared" si="100"/>
        <v>40</v>
      </c>
      <c r="J557" s="1040">
        <f t="shared" si="101"/>
        <v>39.999999999999993</v>
      </c>
      <c r="K557" s="1040">
        <f t="shared" si="108"/>
        <v>0</v>
      </c>
      <c r="L557" s="1045">
        <f t="shared" si="102"/>
        <v>80</v>
      </c>
      <c r="M557" s="890" t="str">
        <f t="shared" si="103"/>
        <v/>
      </c>
      <c r="N557" s="1033">
        <f t="shared" si="104"/>
        <v>46109</v>
      </c>
    </row>
    <row r="558" spans="1:14" ht="15" customHeight="1">
      <c r="A558" s="886">
        <v>46109</v>
      </c>
      <c r="B558" s="886" t="str">
        <f t="shared" si="98"/>
        <v>Sáb</v>
      </c>
      <c r="C558" s="887" t="s">
        <v>146</v>
      </c>
      <c r="D558" s="897" t="s">
        <v>532</v>
      </c>
      <c r="E558" s="888">
        <v>0.30208333333333331</v>
      </c>
      <c r="F558" s="888">
        <v>0.64583333333333337</v>
      </c>
      <c r="G558" s="889">
        <f t="shared" si="99"/>
        <v>8.2500000000000018</v>
      </c>
      <c r="H558" s="1040">
        <f>IF(D558="","",IFERROR(VLOOKUP(D558,'Resumen Empleado'!$A$4:$B$17,2,FALSE),""))</f>
        <v>5.17</v>
      </c>
      <c r="I558" s="1040">
        <f t="shared" si="100"/>
        <v>24.557500000000001</v>
      </c>
      <c r="J558" s="1040">
        <f t="shared" si="101"/>
        <v>18.095000000000006</v>
      </c>
      <c r="K558" s="1040">
        <f t="shared" si="108"/>
        <v>0</v>
      </c>
      <c r="L558" s="1045">
        <f t="shared" si="102"/>
        <v>42.652500000000003</v>
      </c>
      <c r="M558" s="890" t="str">
        <f t="shared" si="103"/>
        <v/>
      </c>
      <c r="N558" s="1033">
        <f t="shared" si="104"/>
        <v>46109</v>
      </c>
    </row>
    <row r="559" spans="1:14" ht="15" customHeight="1">
      <c r="A559" s="886">
        <v>46109</v>
      </c>
      <c r="B559" s="886" t="str">
        <f t="shared" si="98"/>
        <v>Sáb</v>
      </c>
      <c r="C559" s="887" t="s">
        <v>497</v>
      </c>
      <c r="D559" s="897" t="s">
        <v>522</v>
      </c>
      <c r="E559" s="888">
        <v>0.79166666666666663</v>
      </c>
      <c r="F559" s="888">
        <v>0.95833333333333337</v>
      </c>
      <c r="G559" s="889">
        <f t="shared" si="99"/>
        <v>4.0000000000000018</v>
      </c>
      <c r="H559" s="1040">
        <f>IF(D559="","",IFERROR(VLOOKUP(D559,'Resumen Empleado'!$A$4:$B$17,2,FALSE),""))</f>
        <v>10</v>
      </c>
      <c r="I559" s="1040">
        <f t="shared" si="100"/>
        <v>0</v>
      </c>
      <c r="J559" s="1040">
        <f t="shared" si="101"/>
        <v>0</v>
      </c>
      <c r="K559" s="1040">
        <f t="shared" si="108"/>
        <v>40.000000000000014</v>
      </c>
      <c r="L559" s="1045">
        <f t="shared" si="102"/>
        <v>40.000000000000014</v>
      </c>
      <c r="M559" s="890" t="str">
        <f t="shared" si="103"/>
        <v/>
      </c>
      <c r="N559" s="1033">
        <f t="shared" si="104"/>
        <v>46109</v>
      </c>
    </row>
    <row r="560" spans="1:14" ht="15" customHeight="1">
      <c r="A560" s="886">
        <v>46109</v>
      </c>
      <c r="B560" s="886" t="str">
        <f t="shared" si="98"/>
        <v>Sáb</v>
      </c>
      <c r="C560" s="887" t="s">
        <v>497</v>
      </c>
      <c r="D560" s="897" t="s">
        <v>529</v>
      </c>
      <c r="E560" s="888">
        <v>0.91666666666666663</v>
      </c>
      <c r="F560" s="888">
        <v>0</v>
      </c>
      <c r="G560" s="889">
        <f t="shared" si="99"/>
        <v>2.0000000000000009</v>
      </c>
      <c r="H560" s="1040">
        <f>IF(D560="","",IFERROR(VLOOKUP(D560,'Resumen Empleado'!$A$4:$B$17,2,FALSE),""))</f>
        <v>8</v>
      </c>
      <c r="I560" s="1040">
        <f t="shared" si="100"/>
        <v>0</v>
      </c>
      <c r="J560" s="1040">
        <f t="shared" si="101"/>
        <v>0</v>
      </c>
      <c r="K560" s="1040">
        <f t="shared" si="108"/>
        <v>16.000000000000007</v>
      </c>
      <c r="L560" s="1045">
        <f t="shared" si="102"/>
        <v>16.000000000000007</v>
      </c>
      <c r="M560" s="890" t="str">
        <f t="shared" si="103"/>
        <v/>
      </c>
      <c r="N560" s="1033">
        <f t="shared" si="104"/>
        <v>46109</v>
      </c>
    </row>
    <row r="561" spans="1:14" ht="15" customHeight="1">
      <c r="A561" s="886">
        <v>46109</v>
      </c>
      <c r="B561" s="886" t="str">
        <f t="shared" si="98"/>
        <v>Sáb</v>
      </c>
      <c r="C561" s="887" t="s">
        <v>497</v>
      </c>
      <c r="D561" s="897" t="s">
        <v>525</v>
      </c>
      <c r="E561" s="888">
        <v>0.79166666666666663</v>
      </c>
      <c r="F561" s="888">
        <v>0</v>
      </c>
      <c r="G561" s="889">
        <f t="shared" si="99"/>
        <v>5.0000000000000009</v>
      </c>
      <c r="H561" s="1040">
        <f>IF(D561="","",IFERROR(VLOOKUP(D561,'Resumen Empleado'!$A$4:$B$17,2,FALSE),""))</f>
        <v>7.25</v>
      </c>
      <c r="I561" s="1040">
        <f t="shared" si="100"/>
        <v>0</v>
      </c>
      <c r="J561" s="1040">
        <f t="shared" si="101"/>
        <v>0</v>
      </c>
      <c r="K561" s="1040">
        <f t="shared" si="108"/>
        <v>36.250000000000007</v>
      </c>
      <c r="L561" s="1045">
        <f t="shared" si="102"/>
        <v>36.250000000000007</v>
      </c>
      <c r="M561" s="890" t="str">
        <f t="shared" si="103"/>
        <v/>
      </c>
      <c r="N561" s="1033">
        <f t="shared" si="104"/>
        <v>46109</v>
      </c>
    </row>
    <row r="562" spans="1:14" ht="15" customHeight="1">
      <c r="A562" s="886">
        <v>46109</v>
      </c>
      <c r="B562" s="886" t="str">
        <f t="shared" si="98"/>
        <v>Sáb</v>
      </c>
      <c r="C562" s="887" t="s">
        <v>497</v>
      </c>
      <c r="D562" s="897" t="s">
        <v>532</v>
      </c>
      <c r="E562" s="888">
        <v>0.83333333333333337</v>
      </c>
      <c r="F562" s="888">
        <v>0</v>
      </c>
      <c r="G562" s="889">
        <f t="shared" si="99"/>
        <v>3.9999999999999991</v>
      </c>
      <c r="H562" s="1040">
        <f>IF(D562="","",IFERROR(VLOOKUP(D562,'Resumen Empleado'!$A$4:$B$17,2,FALSE),""))</f>
        <v>5.17</v>
      </c>
      <c r="I562" s="1040">
        <f t="shared" si="100"/>
        <v>0</v>
      </c>
      <c r="J562" s="1040">
        <f t="shared" si="101"/>
        <v>0</v>
      </c>
      <c r="K562" s="1040">
        <f t="shared" si="108"/>
        <v>20.679999999999996</v>
      </c>
      <c r="L562" s="1045">
        <f t="shared" si="102"/>
        <v>20.679999999999996</v>
      </c>
      <c r="M562" s="890" t="str">
        <f t="shared" si="103"/>
        <v/>
      </c>
      <c r="N562" s="1033">
        <f t="shared" si="104"/>
        <v>46109</v>
      </c>
    </row>
    <row r="563" spans="1:14" ht="15" customHeight="1">
      <c r="A563" s="886">
        <v>46109</v>
      </c>
      <c r="B563" s="886" t="str">
        <f t="shared" si="98"/>
        <v>Sáb</v>
      </c>
      <c r="C563" s="887" t="s">
        <v>497</v>
      </c>
      <c r="D563" s="897" t="s">
        <v>526</v>
      </c>
      <c r="E563" s="888">
        <v>0.79166666666666663</v>
      </c>
      <c r="F563" s="888">
        <v>0</v>
      </c>
      <c r="G563" s="889">
        <f t="shared" si="99"/>
        <v>5.0000000000000009</v>
      </c>
      <c r="H563" s="1040">
        <f>IF(D563="","",IFERROR(VLOOKUP(D563,'Resumen Empleado'!$A$4:$B$17,2,FALSE),""))</f>
        <v>16</v>
      </c>
      <c r="I563" s="1040">
        <f t="shared" si="100"/>
        <v>0</v>
      </c>
      <c r="J563" s="1040">
        <f t="shared" si="101"/>
        <v>0</v>
      </c>
      <c r="K563" s="1040">
        <f t="shared" si="108"/>
        <v>80.000000000000014</v>
      </c>
      <c r="L563" s="1045">
        <f t="shared" si="102"/>
        <v>80.000000000000014</v>
      </c>
      <c r="M563" s="890" t="str">
        <f t="shared" si="103"/>
        <v/>
      </c>
      <c r="N563" s="1033">
        <f t="shared" si="104"/>
        <v>46109</v>
      </c>
    </row>
    <row r="564" spans="1:14" ht="15" customHeight="1">
      <c r="A564" s="886">
        <v>46109</v>
      </c>
      <c r="B564" s="886" t="str">
        <f t="shared" si="98"/>
        <v>Sáb</v>
      </c>
      <c r="C564" s="887" t="s">
        <v>146</v>
      </c>
      <c r="D564" s="897" t="s">
        <v>528</v>
      </c>
      <c r="E564" s="888">
        <v>0.33333333333333331</v>
      </c>
      <c r="F564" s="888">
        <v>0.66666666666666663</v>
      </c>
      <c r="G564" s="889">
        <f t="shared" si="99"/>
        <v>8</v>
      </c>
      <c r="H564" s="1040">
        <f>IF(D564="","",IFERROR(VLOOKUP(D564,'Resumen Empleado'!$A$4:$B$17,2,FALSE),""))</f>
        <v>11</v>
      </c>
      <c r="I564" s="1040">
        <f t="shared" si="100"/>
        <v>44</v>
      </c>
      <c r="J564" s="1040">
        <f t="shared" si="101"/>
        <v>43.999999999999993</v>
      </c>
      <c r="K564" s="1040">
        <f>IF(OR(E564="",F564="",H564=""),0,MAX(0,(MIN(IF(F564&lt;E564,1+F564,F564),1+TIME(5,0,0))-MAX(E564,TIME(19,0,0))))*24*H564)</f>
        <v>0</v>
      </c>
      <c r="L564" s="1045">
        <f t="shared" si="102"/>
        <v>88</v>
      </c>
      <c r="M564" s="890" t="str">
        <f t="shared" si="103"/>
        <v/>
      </c>
      <c r="N564" s="1033">
        <f t="shared" si="104"/>
        <v>46109</v>
      </c>
    </row>
    <row r="565" spans="1:14" ht="15" customHeight="1">
      <c r="A565" s="886">
        <v>46110</v>
      </c>
      <c r="B565" s="886" t="str">
        <f t="shared" si="98"/>
        <v>Dom</v>
      </c>
      <c r="C565" s="887" t="s">
        <v>146</v>
      </c>
      <c r="D565" s="897" t="s">
        <v>522</v>
      </c>
      <c r="E565" s="888">
        <v>0.33333333333333331</v>
      </c>
      <c r="F565" s="888">
        <v>0.75</v>
      </c>
      <c r="G565" s="889">
        <f t="shared" si="99"/>
        <v>10</v>
      </c>
      <c r="H565" s="1040">
        <f>IF(D565="","",IFERROR(VLOOKUP(D565,'Resumen Empleado'!$A$4:$B$17,2,FALSE),""))</f>
        <v>10</v>
      </c>
      <c r="I565" s="1040">
        <f t="shared" si="100"/>
        <v>40</v>
      </c>
      <c r="J565" s="1040">
        <f t="shared" si="101"/>
        <v>60</v>
      </c>
      <c r="K565" s="1040">
        <f t="shared" ref="K565:K573" si="109">IF(OR(E565="",F565="",H565=""),0,MAX(0,(MIN(IF(F565&lt;E565,F565+1,F565),1+TIME(5,0,0))-MAX(E565,TIME(19,0,0))))*24*H565)</f>
        <v>0</v>
      </c>
      <c r="L565" s="1045">
        <f t="shared" si="102"/>
        <v>100</v>
      </c>
      <c r="M565" s="890" t="str">
        <f t="shared" si="103"/>
        <v/>
      </c>
      <c r="N565" s="1033">
        <f t="shared" si="104"/>
        <v>46110</v>
      </c>
    </row>
    <row r="566" spans="1:14" ht="15" customHeight="1">
      <c r="A566" s="886">
        <v>46110</v>
      </c>
      <c r="B566" s="886" t="str">
        <f t="shared" si="98"/>
        <v>Dom</v>
      </c>
      <c r="C566" s="887" t="s">
        <v>146</v>
      </c>
      <c r="D566" s="897" t="s">
        <v>525</v>
      </c>
      <c r="E566" s="888">
        <v>0.39583333333333331</v>
      </c>
      <c r="F566" s="888">
        <v>0.75</v>
      </c>
      <c r="G566" s="889">
        <f t="shared" si="99"/>
        <v>8.5</v>
      </c>
      <c r="H566" s="1040">
        <f>IF(D566="","",IFERROR(VLOOKUP(D566,'Resumen Empleado'!$A$4:$B$17,2,FALSE),""))</f>
        <v>7.25</v>
      </c>
      <c r="I566" s="1040">
        <f t="shared" si="100"/>
        <v>18.125000000000004</v>
      </c>
      <c r="J566" s="1040">
        <f t="shared" si="101"/>
        <v>43.5</v>
      </c>
      <c r="K566" s="1040">
        <f t="shared" si="109"/>
        <v>0</v>
      </c>
      <c r="L566" s="1045">
        <f t="shared" si="102"/>
        <v>61.625</v>
      </c>
      <c r="M566" s="890" t="str">
        <f t="shared" si="103"/>
        <v/>
      </c>
      <c r="N566" s="1033">
        <f t="shared" si="104"/>
        <v>46110</v>
      </c>
    </row>
    <row r="567" spans="1:14" ht="15" customHeight="1">
      <c r="A567" s="886">
        <v>46110</v>
      </c>
      <c r="B567" s="886" t="str">
        <f t="shared" si="98"/>
        <v>Dom</v>
      </c>
      <c r="C567" s="887" t="s">
        <v>146</v>
      </c>
      <c r="D567" s="897" t="s">
        <v>526</v>
      </c>
      <c r="E567" s="888">
        <v>0.4375</v>
      </c>
      <c r="F567" s="888">
        <v>0.75</v>
      </c>
      <c r="G567" s="889">
        <f t="shared" si="99"/>
        <v>7.5</v>
      </c>
      <c r="H567" s="1040">
        <f>IF(D567="","",IFERROR(VLOOKUP(D567,'Resumen Empleado'!$A$4:$B$17,2,FALSE),""))</f>
        <v>16</v>
      </c>
      <c r="I567" s="1040">
        <f t="shared" si="100"/>
        <v>24</v>
      </c>
      <c r="J567" s="1040">
        <f t="shared" si="101"/>
        <v>96</v>
      </c>
      <c r="K567" s="1040">
        <f t="shared" si="109"/>
        <v>0</v>
      </c>
      <c r="L567" s="1045">
        <f t="shared" si="102"/>
        <v>120</v>
      </c>
      <c r="M567" s="890" t="str">
        <f t="shared" si="103"/>
        <v/>
      </c>
      <c r="N567" s="1033">
        <f t="shared" si="104"/>
        <v>46110</v>
      </c>
    </row>
    <row r="568" spans="1:14" ht="15" customHeight="1">
      <c r="A568" s="886">
        <v>46110</v>
      </c>
      <c r="B568" s="886" t="str">
        <f t="shared" si="98"/>
        <v>Dom</v>
      </c>
      <c r="C568" s="887" t="s">
        <v>146</v>
      </c>
      <c r="D568" s="897" t="s">
        <v>532</v>
      </c>
      <c r="E568" s="888">
        <v>0.4375</v>
      </c>
      <c r="F568" s="888">
        <v>0.75</v>
      </c>
      <c r="G568" s="889">
        <f t="shared" si="99"/>
        <v>7.5</v>
      </c>
      <c r="H568" s="1040">
        <f>IF(D568="","",IFERROR(VLOOKUP(D568,'Resumen Empleado'!$A$4:$B$17,2,FALSE),""))</f>
        <v>5.17</v>
      </c>
      <c r="I568" s="1040">
        <f t="shared" si="100"/>
        <v>7.7549999999999999</v>
      </c>
      <c r="J568" s="1040">
        <f t="shared" si="101"/>
        <v>31.02</v>
      </c>
      <c r="K568" s="1040">
        <f t="shared" si="109"/>
        <v>0</v>
      </c>
      <c r="L568" s="1045">
        <f t="shared" si="102"/>
        <v>38.774999999999999</v>
      </c>
      <c r="M568" s="890" t="str">
        <f t="shared" si="103"/>
        <v/>
      </c>
      <c r="N568" s="1033">
        <f t="shared" si="104"/>
        <v>46110</v>
      </c>
    </row>
    <row r="569" spans="1:14" ht="15" customHeight="1">
      <c r="A569" s="886">
        <v>46110</v>
      </c>
      <c r="B569" s="886" t="str">
        <f t="shared" si="98"/>
        <v>Dom</v>
      </c>
      <c r="C569" s="887" t="s">
        <v>146</v>
      </c>
      <c r="D569" s="897" t="s">
        <v>529</v>
      </c>
      <c r="E569" s="888">
        <v>0.5</v>
      </c>
      <c r="F569" s="888">
        <v>0.75</v>
      </c>
      <c r="G569" s="889">
        <f t="shared" si="99"/>
        <v>6</v>
      </c>
      <c r="H569" s="1040">
        <f>IF(D569="","",IFERROR(VLOOKUP(D569,'Resumen Empleado'!$A$4:$B$17,2,FALSE),""))</f>
        <v>8</v>
      </c>
      <c r="I569" s="1040">
        <f t="shared" si="100"/>
        <v>0</v>
      </c>
      <c r="J569" s="1040">
        <f t="shared" si="101"/>
        <v>48</v>
      </c>
      <c r="K569" s="1040">
        <f t="shared" si="109"/>
        <v>0</v>
      </c>
      <c r="L569" s="1045">
        <f t="shared" si="102"/>
        <v>48</v>
      </c>
      <c r="M569" s="890" t="str">
        <f t="shared" si="103"/>
        <v/>
      </c>
      <c r="N569" s="1033">
        <f t="shared" si="104"/>
        <v>46110</v>
      </c>
    </row>
    <row r="570" spans="1:14" ht="15" customHeight="1">
      <c r="A570" s="886">
        <v>46110</v>
      </c>
      <c r="B570" s="886" t="str">
        <f t="shared" si="98"/>
        <v>Dom</v>
      </c>
      <c r="C570" s="887" t="s">
        <v>146</v>
      </c>
      <c r="D570" s="897" t="s">
        <v>535</v>
      </c>
      <c r="E570" s="888">
        <v>0.5625</v>
      </c>
      <c r="F570" s="888">
        <v>0.72916666666666663</v>
      </c>
      <c r="G570" s="889">
        <f t="shared" si="99"/>
        <v>3.9999999999999991</v>
      </c>
      <c r="H570" s="1040">
        <f>IF(D570="","",IFERROR(VLOOKUP(D570,'Resumen Empleado'!$A$4:$B$17,2,FALSE),""))</f>
        <v>6</v>
      </c>
      <c r="I570" s="1040">
        <f t="shared" si="100"/>
        <v>0</v>
      </c>
      <c r="J570" s="1040">
        <f t="shared" si="101"/>
        <v>23.999999999999993</v>
      </c>
      <c r="K570" s="1040">
        <f t="shared" si="109"/>
        <v>0</v>
      </c>
      <c r="L570" s="1045">
        <f t="shared" si="102"/>
        <v>23.999999999999993</v>
      </c>
      <c r="M570" s="890" t="str">
        <f t="shared" si="103"/>
        <v/>
      </c>
      <c r="N570" s="1033">
        <f t="shared" si="104"/>
        <v>46110</v>
      </c>
    </row>
    <row r="571" spans="1:14" ht="15" customHeight="1">
      <c r="A571" s="886">
        <v>46110</v>
      </c>
      <c r="B571" s="886" t="str">
        <f t="shared" si="98"/>
        <v>Dom</v>
      </c>
      <c r="C571" s="887" t="s">
        <v>146</v>
      </c>
      <c r="D571" s="897" t="s">
        <v>531</v>
      </c>
      <c r="E571" s="888">
        <v>0.58333333333333337</v>
      </c>
      <c r="F571" s="888">
        <v>0.72916666666666663</v>
      </c>
      <c r="G571" s="889">
        <f t="shared" si="99"/>
        <v>3.4999999999999982</v>
      </c>
      <c r="H571" s="1040">
        <f>IF(D571="","",IFERROR(VLOOKUP(D571,'Resumen Empleado'!$A$4:$B$17,2,FALSE),""))</f>
        <v>8</v>
      </c>
      <c r="I571" s="1040">
        <f t="shared" si="100"/>
        <v>0</v>
      </c>
      <c r="J571" s="1040">
        <f t="shared" si="101"/>
        <v>27.999999999999986</v>
      </c>
      <c r="K571" s="1040">
        <f t="shared" si="109"/>
        <v>0</v>
      </c>
      <c r="L571" s="1045">
        <f t="shared" si="102"/>
        <v>27.999999999999986</v>
      </c>
      <c r="M571" s="890" t="str">
        <f t="shared" si="103"/>
        <v/>
      </c>
      <c r="N571" s="1033">
        <f t="shared" si="104"/>
        <v>46110</v>
      </c>
    </row>
    <row r="572" spans="1:14" ht="15" customHeight="1">
      <c r="A572" s="886">
        <v>46110</v>
      </c>
      <c r="B572" s="886" t="str">
        <f t="shared" si="98"/>
        <v>Dom</v>
      </c>
      <c r="C572" s="887" t="s">
        <v>146</v>
      </c>
      <c r="D572" s="897" t="s">
        <v>528</v>
      </c>
      <c r="E572" s="888">
        <v>0.58333333333333337</v>
      </c>
      <c r="F572" s="888">
        <v>0.64583333333333337</v>
      </c>
      <c r="G572" s="889">
        <f t="shared" si="99"/>
        <v>1.5</v>
      </c>
      <c r="H572" s="1040">
        <f>IF(D572="","",IFERROR(VLOOKUP(D572,'Resumen Empleado'!$A$4:$B$17,2,FALSE),""))</f>
        <v>11</v>
      </c>
      <c r="I572" s="1040">
        <f t="shared" si="100"/>
        <v>0</v>
      </c>
      <c r="J572" s="1040">
        <f t="shared" si="101"/>
        <v>16.5</v>
      </c>
      <c r="K572" s="1040">
        <f t="shared" si="109"/>
        <v>0</v>
      </c>
      <c r="L572" s="1045">
        <f t="shared" si="102"/>
        <v>16.5</v>
      </c>
      <c r="M572" s="890" t="str">
        <f t="shared" si="103"/>
        <v/>
      </c>
      <c r="N572" s="1033">
        <f t="shared" si="104"/>
        <v>46110</v>
      </c>
    </row>
    <row r="573" spans="1:14" ht="15" customHeight="1">
      <c r="A573" s="886">
        <v>46111</v>
      </c>
      <c r="B573" s="886" t="str">
        <f t="shared" si="98"/>
        <v>Lun</v>
      </c>
      <c r="C573" s="887" t="s">
        <v>497</v>
      </c>
      <c r="D573" s="897" t="s">
        <v>527</v>
      </c>
      <c r="E573" s="888">
        <v>0.8125</v>
      </c>
      <c r="F573" s="888">
        <v>0.89583333333333337</v>
      </c>
      <c r="G573" s="889">
        <f t="shared" si="99"/>
        <v>2.0000000000000009</v>
      </c>
      <c r="H573" s="1040" t="str">
        <f>IF(D573="","",IFERROR(VLOOKUP(D573,'Resumen Empleado'!$A$4:$B$17,2,FALSE),""))</f>
        <v/>
      </c>
      <c r="I573" s="1040">
        <f t="shared" si="100"/>
        <v>0</v>
      </c>
      <c r="J573" s="1040">
        <f t="shared" si="101"/>
        <v>0</v>
      </c>
      <c r="K573" s="1040">
        <f t="shared" si="109"/>
        <v>0</v>
      </c>
      <c r="L573" s="1045">
        <f t="shared" si="102"/>
        <v>0</v>
      </c>
      <c r="M573" s="890" t="str">
        <f t="shared" si="103"/>
        <v/>
      </c>
      <c r="N573" s="1033">
        <f t="shared" si="104"/>
        <v>46111</v>
      </c>
    </row>
    <row r="574" spans="1:14" ht="15" customHeight="1">
      <c r="A574" s="886">
        <v>46111</v>
      </c>
      <c r="B574" s="886" t="str">
        <f t="shared" si="98"/>
        <v>Lun</v>
      </c>
      <c r="C574" s="887" t="s">
        <v>146</v>
      </c>
      <c r="D574" s="897" t="s">
        <v>528</v>
      </c>
      <c r="E574" s="888">
        <v>0.33333333333333331</v>
      </c>
      <c r="F574" s="888">
        <v>0.66666666666666663</v>
      </c>
      <c r="G574" s="889">
        <f t="shared" si="99"/>
        <v>8</v>
      </c>
      <c r="H574" s="1040">
        <f>IF(D574="","",IFERROR(VLOOKUP(D574,'Resumen Empleado'!$A$4:$B$17,2,FALSE),""))</f>
        <v>11</v>
      </c>
      <c r="I574" s="1040">
        <f t="shared" si="100"/>
        <v>44</v>
      </c>
      <c r="J574" s="1040">
        <f t="shared" si="101"/>
        <v>43.999999999999993</v>
      </c>
      <c r="K574" s="1040">
        <f>IF(OR(E574="",F574="",H574=""),0,MAX(0,(MIN(IF(F574&lt;E574,1+F574,F574),1+TIME(5,0,0))-MAX(E574,TIME(19,0,0))))*24*H574)</f>
        <v>0</v>
      </c>
      <c r="L574" s="1045">
        <f t="shared" si="102"/>
        <v>88</v>
      </c>
      <c r="M574" s="890" t="str">
        <f t="shared" si="103"/>
        <v/>
      </c>
      <c r="N574" s="1033">
        <f t="shared" si="104"/>
        <v>46111</v>
      </c>
    </row>
    <row r="575" spans="1:14" ht="15" customHeight="1">
      <c r="A575" s="886">
        <v>46112</v>
      </c>
      <c r="B575" s="886" t="str">
        <f t="shared" si="98"/>
        <v>Mar</v>
      </c>
      <c r="C575" s="887" t="s">
        <v>497</v>
      </c>
      <c r="D575" s="897" t="s">
        <v>527</v>
      </c>
      <c r="E575" s="888">
        <v>0.8125</v>
      </c>
      <c r="F575" s="888">
        <v>0.89583333333333337</v>
      </c>
      <c r="G575" s="889">
        <f t="shared" si="99"/>
        <v>2.0000000000000009</v>
      </c>
      <c r="H575" s="1040" t="str">
        <f>IF(D575="","",IFERROR(VLOOKUP(D575,'Resumen Empleado'!$A$4:$B$17,2,FALSE),""))</f>
        <v/>
      </c>
      <c r="I575" s="1040">
        <f t="shared" si="100"/>
        <v>0</v>
      </c>
      <c r="J575" s="1040">
        <f t="shared" si="101"/>
        <v>0</v>
      </c>
      <c r="K575" s="1040">
        <f>IF(OR(E575="",F575="",H575=""),0,MAX(0,(MIN(IF(F575&lt;E575,F575+1,F575),1+TIME(5,0,0))-MAX(E575,TIME(19,0,0))))*24*H575)</f>
        <v>0</v>
      </c>
      <c r="L575" s="1045">
        <f t="shared" si="102"/>
        <v>0</v>
      </c>
      <c r="M575" s="890" t="str">
        <f t="shared" si="103"/>
        <v/>
      </c>
      <c r="N575" s="1033">
        <f t="shared" si="104"/>
        <v>46112</v>
      </c>
    </row>
    <row r="576" spans="1:14" ht="15" customHeight="1">
      <c r="A576" s="886">
        <v>46112</v>
      </c>
      <c r="B576" s="886" t="str">
        <f t="shared" si="98"/>
        <v>Mar</v>
      </c>
      <c r="C576" s="887" t="s">
        <v>146</v>
      </c>
      <c r="D576" s="897" t="s">
        <v>528</v>
      </c>
      <c r="E576" s="888">
        <v>0.33333333333333331</v>
      </c>
      <c r="F576" s="888">
        <v>0.66666666666666663</v>
      </c>
      <c r="G576" s="889">
        <f t="shared" si="99"/>
        <v>8</v>
      </c>
      <c r="H576" s="1040">
        <f>IF(D576="","",IFERROR(VLOOKUP(D576,'Resumen Empleado'!$A$4:$B$17,2,FALSE),""))</f>
        <v>11</v>
      </c>
      <c r="I576" s="1040">
        <f t="shared" si="100"/>
        <v>44</v>
      </c>
      <c r="J576" s="1040">
        <f t="shared" si="101"/>
        <v>43.999999999999993</v>
      </c>
      <c r="K576" s="1040">
        <f>IF(OR(E576="",F576="",H576=""),0,MAX(0,(MIN(IF(F576&lt;E576,1+F576,F576),1+TIME(5,0,0))-MAX(E576,TIME(19,0,0))))*24*H576)</f>
        <v>0</v>
      </c>
      <c r="L576" s="1045">
        <f t="shared" si="102"/>
        <v>88</v>
      </c>
      <c r="M576" s="890" t="str">
        <f t="shared" si="103"/>
        <v/>
      </c>
      <c r="N576" s="1033">
        <f t="shared" si="104"/>
        <v>46112</v>
      </c>
    </row>
    <row r="577" spans="1:14" ht="15" customHeight="1">
      <c r="A577" s="886">
        <v>46113</v>
      </c>
      <c r="B577" s="886" t="str">
        <f t="shared" si="98"/>
        <v>Mié</v>
      </c>
      <c r="C577" s="887" t="s">
        <v>146</v>
      </c>
      <c r="D577" s="897" t="s">
        <v>525</v>
      </c>
      <c r="E577" s="888">
        <v>0.54166666666666663</v>
      </c>
      <c r="F577" s="888">
        <v>0.66666666666666663</v>
      </c>
      <c r="G577" s="889">
        <f t="shared" si="99"/>
        <v>3</v>
      </c>
      <c r="H577" s="1040">
        <f>IF(D577="","",IFERROR(VLOOKUP(D577,'Resumen Empleado'!$A$4:$B$17,2,FALSE),""))</f>
        <v>7.25</v>
      </c>
      <c r="I577" s="1040">
        <f t="shared" si="100"/>
        <v>0</v>
      </c>
      <c r="J577" s="1040">
        <f t="shared" si="101"/>
        <v>21.75</v>
      </c>
      <c r="K577" s="1040">
        <f t="shared" ref="K577:K585" si="110">IF(OR(E577="",F577="",H577=""),0,MAX(0,(MIN(IF(F577&lt;E577,F577+1,F577),1+TIME(5,0,0))-MAX(E577,TIME(19,0,0))))*24*H577)</f>
        <v>0</v>
      </c>
      <c r="L577" s="1045">
        <f t="shared" si="102"/>
        <v>21.75</v>
      </c>
      <c r="M577" s="890" t="str">
        <f t="shared" si="103"/>
        <v/>
      </c>
      <c r="N577" s="1033">
        <f t="shared" si="104"/>
        <v>46113</v>
      </c>
    </row>
    <row r="578" spans="1:14" ht="15" customHeight="1">
      <c r="A578" s="886">
        <v>46113</v>
      </c>
      <c r="B578" s="886" t="str">
        <f t="shared" si="98"/>
        <v>Mié</v>
      </c>
      <c r="C578" s="887" t="s">
        <v>146</v>
      </c>
      <c r="D578" s="897" t="s">
        <v>522</v>
      </c>
      <c r="E578" s="888">
        <v>0.29166666666666669</v>
      </c>
      <c r="F578" s="888">
        <v>0.66666666666666663</v>
      </c>
      <c r="G578" s="889">
        <f t="shared" si="99"/>
        <v>8.9999999999999982</v>
      </c>
      <c r="H578" s="1040">
        <f>IF(D578="","",IFERROR(VLOOKUP(D578,'Resumen Empleado'!$A$4:$B$17,2,FALSE),""))</f>
        <v>10</v>
      </c>
      <c r="I578" s="1040">
        <f t="shared" si="100"/>
        <v>50</v>
      </c>
      <c r="J578" s="1040">
        <f t="shared" si="101"/>
        <v>39.999999999999993</v>
      </c>
      <c r="K578" s="1040">
        <f t="shared" si="110"/>
        <v>0</v>
      </c>
      <c r="L578" s="1045">
        <f t="shared" si="102"/>
        <v>90</v>
      </c>
      <c r="M578" s="890" t="str">
        <f t="shared" si="103"/>
        <v/>
      </c>
      <c r="N578" s="1033">
        <f t="shared" si="104"/>
        <v>46113</v>
      </c>
    </row>
    <row r="579" spans="1:14" ht="15" customHeight="1">
      <c r="A579" s="886">
        <v>46113</v>
      </c>
      <c r="B579" s="886" t="str">
        <f t="shared" si="98"/>
        <v>Mié</v>
      </c>
      <c r="C579" s="887" t="s">
        <v>146</v>
      </c>
      <c r="D579" s="897" t="s">
        <v>526</v>
      </c>
      <c r="E579" s="888">
        <v>0.5</v>
      </c>
      <c r="F579" s="888">
        <v>0.66666666666666663</v>
      </c>
      <c r="G579" s="889">
        <f t="shared" si="99"/>
        <v>3.9999999999999991</v>
      </c>
      <c r="H579" s="1040">
        <f>IF(D579="","",IFERROR(VLOOKUP(D579,'Resumen Empleado'!$A$4:$B$17,2,FALSE),""))</f>
        <v>16</v>
      </c>
      <c r="I579" s="1040">
        <f t="shared" si="100"/>
        <v>0</v>
      </c>
      <c r="J579" s="1040">
        <f t="shared" si="101"/>
        <v>63.999999999999986</v>
      </c>
      <c r="K579" s="1040">
        <f t="shared" si="110"/>
        <v>0</v>
      </c>
      <c r="L579" s="1045">
        <f t="shared" si="102"/>
        <v>63.999999999999986</v>
      </c>
      <c r="M579" s="890" t="str">
        <f t="shared" si="103"/>
        <v/>
      </c>
      <c r="N579" s="1033">
        <f t="shared" si="104"/>
        <v>46113</v>
      </c>
    </row>
    <row r="580" spans="1:14" s="74" customFormat="1" ht="15" customHeight="1">
      <c r="A580" s="886">
        <v>46113</v>
      </c>
      <c r="B580" s="886" t="str">
        <f t="shared" si="98"/>
        <v>Mié</v>
      </c>
      <c r="C580" s="887" t="s">
        <v>146</v>
      </c>
      <c r="D580" s="897" t="s">
        <v>532</v>
      </c>
      <c r="E580" s="888">
        <v>0.26041666666666669</v>
      </c>
      <c r="F580" s="888">
        <v>0.66666666666666663</v>
      </c>
      <c r="G580" s="889">
        <f t="shared" si="99"/>
        <v>9.7499999999999982</v>
      </c>
      <c r="H580" s="1040">
        <f>IF(D580="","",IFERROR(VLOOKUP(D580,'Resumen Empleado'!$A$4:$B$17,2,FALSE),""))</f>
        <v>5.17</v>
      </c>
      <c r="I580" s="1040">
        <f t="shared" si="100"/>
        <v>29.727499999999999</v>
      </c>
      <c r="J580" s="1040">
        <f t="shared" si="101"/>
        <v>20.679999999999996</v>
      </c>
      <c r="K580" s="1040">
        <f t="shared" si="110"/>
        <v>0</v>
      </c>
      <c r="L580" s="1045">
        <f t="shared" si="102"/>
        <v>50.407499999999999</v>
      </c>
      <c r="M580" s="890" t="str">
        <f t="shared" si="103"/>
        <v/>
      </c>
      <c r="N580" s="1033">
        <f t="shared" si="104"/>
        <v>46113</v>
      </c>
    </row>
    <row r="581" spans="1:14" ht="15" customHeight="1">
      <c r="A581" s="886">
        <v>46113</v>
      </c>
      <c r="B581" s="886" t="str">
        <f t="shared" ref="B581:B620" si="111">IF(A581="","",PROPER(TEXT(A581,"ddd")))</f>
        <v>Mié</v>
      </c>
      <c r="C581" s="887" t="s">
        <v>497</v>
      </c>
      <c r="D581" s="897" t="s">
        <v>527</v>
      </c>
      <c r="E581" s="888">
        <v>0.8125</v>
      </c>
      <c r="F581" s="888">
        <v>0.89583333333333337</v>
      </c>
      <c r="G581" s="889">
        <f t="shared" ref="G581:G644" si="112">IF(F581&lt;E581,F581+1-E581,F581-E581)*24</f>
        <v>2.0000000000000009</v>
      </c>
      <c r="H581" s="1040" t="str">
        <f>IF(D581="","",IFERROR(VLOOKUP(D581,'Resumen Empleado'!$A$4:$B$17,2,FALSE),""))</f>
        <v/>
      </c>
      <c r="I581" s="1040">
        <f t="shared" ref="I581:I644" si="113">IF(OR(E581="",F581="",H581=""),0,MAX(0,(MIN(IF(F581&lt;E581,F581+1,F581),TIME(12,0,0))-MAX(E581,TIME(5,0,0))))*24*H581)</f>
        <v>0</v>
      </c>
      <c r="J581" s="1040">
        <f t="shared" ref="J581:J644" si="114">IF(OR(E581="",F581="",H581=""),0,MAX(0,(MIN(IF(F581&lt;E581,F581+1,F581),TIME(19,0,0))-MAX(E581,TIME(12,0,0))))*24*H581)</f>
        <v>0</v>
      </c>
      <c r="K581" s="1040">
        <f t="shared" si="110"/>
        <v>0</v>
      </c>
      <c r="L581" s="1045">
        <f t="shared" ref="L581:L644" si="115">SUM(I581:K581)</f>
        <v>0</v>
      </c>
      <c r="M581" s="890" t="str">
        <f t="shared" ref="M581:M607" si="116">IF(A581="","",IF(G581&gt;12,"⚠ Verificar",""))</f>
        <v/>
      </c>
      <c r="N581" s="1033">
        <f t="shared" ref="N581:N644" si="117">IF(A581="","",IF(ISNUMBER(A581),A581,DATE(VALUE(RIGHT(A581,4)),VALUE(MID(A581,4,2)),VALUE(LEFT(A581,2)))))</f>
        <v>46113</v>
      </c>
    </row>
    <row r="582" spans="1:14" ht="15" customHeight="1">
      <c r="A582" s="886">
        <v>46113</v>
      </c>
      <c r="B582" s="886" t="str">
        <f t="shared" si="111"/>
        <v>Mié</v>
      </c>
      <c r="C582" s="887" t="s">
        <v>497</v>
      </c>
      <c r="D582" s="897" t="s">
        <v>525</v>
      </c>
      <c r="E582" s="888">
        <v>0.79166666666666663</v>
      </c>
      <c r="F582" s="888">
        <v>0.96875</v>
      </c>
      <c r="G582" s="889">
        <f t="shared" si="112"/>
        <v>4.2500000000000009</v>
      </c>
      <c r="H582" s="1040">
        <f>IF(D582="","",IFERROR(VLOOKUP(D582,'Resumen Empleado'!$A$4:$B$17,2,FALSE),""))</f>
        <v>7.25</v>
      </c>
      <c r="I582" s="1040">
        <f t="shared" si="113"/>
        <v>0</v>
      </c>
      <c r="J582" s="1040">
        <f t="shared" si="114"/>
        <v>0</v>
      </c>
      <c r="K582" s="1040">
        <f t="shared" si="110"/>
        <v>30.812500000000007</v>
      </c>
      <c r="L582" s="1045">
        <f t="shared" si="115"/>
        <v>30.812500000000007</v>
      </c>
      <c r="M582" s="890" t="str">
        <f t="shared" si="116"/>
        <v/>
      </c>
      <c r="N582" s="1033">
        <f t="shared" si="117"/>
        <v>46113</v>
      </c>
    </row>
    <row r="583" spans="1:14" ht="15" customHeight="1">
      <c r="A583" s="886">
        <v>46113</v>
      </c>
      <c r="B583" s="886" t="str">
        <f t="shared" si="111"/>
        <v>Mié</v>
      </c>
      <c r="C583" s="887" t="s">
        <v>497</v>
      </c>
      <c r="D583" s="897" t="s">
        <v>531</v>
      </c>
      <c r="E583" s="888">
        <v>0.83333333333333337</v>
      </c>
      <c r="F583" s="888">
        <v>0.96875</v>
      </c>
      <c r="G583" s="889">
        <f t="shared" si="112"/>
        <v>3.2499999999999991</v>
      </c>
      <c r="H583" s="1040">
        <f>IF(D583="","",IFERROR(VLOOKUP(D583,'Resumen Empleado'!$A$4:$B$17,2,FALSE),""))</f>
        <v>8</v>
      </c>
      <c r="I583" s="1040">
        <f t="shared" si="113"/>
        <v>0</v>
      </c>
      <c r="J583" s="1040">
        <f t="shared" si="114"/>
        <v>0</v>
      </c>
      <c r="K583" s="1040">
        <f t="shared" si="110"/>
        <v>25.999999999999993</v>
      </c>
      <c r="L583" s="1045">
        <f t="shared" si="115"/>
        <v>25.999999999999993</v>
      </c>
      <c r="M583" s="890" t="str">
        <f t="shared" si="116"/>
        <v/>
      </c>
      <c r="N583" s="1033">
        <f t="shared" si="117"/>
        <v>46113</v>
      </c>
    </row>
    <row r="584" spans="1:14" ht="15" customHeight="1">
      <c r="A584" s="886">
        <v>46113</v>
      </c>
      <c r="B584" s="886" t="str">
        <f t="shared" si="111"/>
        <v>Mié</v>
      </c>
      <c r="C584" s="887" t="s">
        <v>497</v>
      </c>
      <c r="D584" s="897" t="s">
        <v>529</v>
      </c>
      <c r="E584" s="888">
        <v>0.83333333333333337</v>
      </c>
      <c r="F584" s="888">
        <v>0.96875</v>
      </c>
      <c r="G584" s="889">
        <f t="shared" si="112"/>
        <v>3.2499999999999991</v>
      </c>
      <c r="H584" s="1040">
        <f>IF(D584="","",IFERROR(VLOOKUP(D584,'Resumen Empleado'!$A$4:$B$17,2,FALSE),""))</f>
        <v>8</v>
      </c>
      <c r="I584" s="1040">
        <f t="shared" si="113"/>
        <v>0</v>
      </c>
      <c r="J584" s="1040">
        <f t="shared" si="114"/>
        <v>0</v>
      </c>
      <c r="K584" s="1040">
        <f t="shared" si="110"/>
        <v>25.999999999999993</v>
      </c>
      <c r="L584" s="1045">
        <f t="shared" si="115"/>
        <v>25.999999999999993</v>
      </c>
      <c r="M584" s="890" t="str">
        <f t="shared" si="116"/>
        <v/>
      </c>
      <c r="N584" s="1033">
        <f t="shared" si="117"/>
        <v>46113</v>
      </c>
    </row>
    <row r="585" spans="1:14" ht="15" customHeight="1">
      <c r="A585" s="886">
        <v>46113</v>
      </c>
      <c r="B585" s="886" t="str">
        <f t="shared" si="111"/>
        <v>Mié</v>
      </c>
      <c r="C585" s="887" t="s">
        <v>497</v>
      </c>
      <c r="D585" s="897" t="s">
        <v>526</v>
      </c>
      <c r="E585" s="888">
        <v>0.79166666666666663</v>
      </c>
      <c r="F585" s="888">
        <v>0.96875</v>
      </c>
      <c r="G585" s="889">
        <f t="shared" si="112"/>
        <v>4.2500000000000009</v>
      </c>
      <c r="H585" s="1040">
        <f>IF(D585="","",IFERROR(VLOOKUP(D585,'Resumen Empleado'!$A$4:$B$17,2,FALSE),""))</f>
        <v>16</v>
      </c>
      <c r="I585" s="1040">
        <f t="shared" si="113"/>
        <v>0</v>
      </c>
      <c r="J585" s="1040">
        <f t="shared" si="114"/>
        <v>0</v>
      </c>
      <c r="K585" s="1040">
        <f t="shared" si="110"/>
        <v>68.000000000000014</v>
      </c>
      <c r="L585" s="1045">
        <f t="shared" si="115"/>
        <v>68.000000000000014</v>
      </c>
      <c r="M585" s="890" t="str">
        <f t="shared" si="116"/>
        <v/>
      </c>
      <c r="N585" s="1033">
        <f t="shared" si="117"/>
        <v>46113</v>
      </c>
    </row>
    <row r="586" spans="1:14" ht="15" customHeight="1">
      <c r="A586" s="891">
        <v>46113</v>
      </c>
      <c r="B586" s="891" t="str">
        <f t="shared" si="111"/>
        <v>Mié</v>
      </c>
      <c r="C586" s="892" t="s">
        <v>146</v>
      </c>
      <c r="D586" s="896" t="s">
        <v>528</v>
      </c>
      <c r="E586" s="893">
        <v>0.33333333333333331</v>
      </c>
      <c r="F586" s="893">
        <v>0.66666666666666663</v>
      </c>
      <c r="G586" s="894">
        <f t="shared" si="112"/>
        <v>8</v>
      </c>
      <c r="H586" s="1041">
        <f>IF(D586="","",IFERROR(VLOOKUP(D586,'Resumen Empleado'!$A$4:$B$17,2,FALSE),""))</f>
        <v>11</v>
      </c>
      <c r="I586" s="1041">
        <f t="shared" si="113"/>
        <v>44</v>
      </c>
      <c r="J586" s="1041">
        <f t="shared" si="114"/>
        <v>43.999999999999993</v>
      </c>
      <c r="K586" s="1041">
        <f>IF(OR(E586="",F586="",H586=""),0,MAX(0,(MIN(IF(F586&lt;E586,1+F586,F586),1+TIME(5,0,0))-MAX(E586,TIME(19,0,0))))*24*H586)</f>
        <v>0</v>
      </c>
      <c r="L586" s="1046">
        <f t="shared" si="115"/>
        <v>88</v>
      </c>
      <c r="M586" s="895" t="str">
        <f t="shared" si="116"/>
        <v/>
      </c>
      <c r="N586" s="1032">
        <f t="shared" si="117"/>
        <v>46113</v>
      </c>
    </row>
    <row r="587" spans="1:14" ht="15" customHeight="1">
      <c r="A587" s="1025">
        <v>46114</v>
      </c>
      <c r="B587" s="658" t="str">
        <f t="shared" si="111"/>
        <v>Jue</v>
      </c>
      <c r="C587" s="674" t="s">
        <v>146</v>
      </c>
      <c r="D587" s="885" t="s">
        <v>526</v>
      </c>
      <c r="E587" s="687">
        <v>0.4375</v>
      </c>
      <c r="F587" s="687">
        <v>0.66666666666666663</v>
      </c>
      <c r="G587" s="688">
        <f t="shared" si="112"/>
        <v>5.4999999999999991</v>
      </c>
      <c r="H587" s="676">
        <f>IF(D587="","",IFERROR(VLOOKUP(D587,'Resumen Empleado'!$A$4:$B$17,2,FALSE),""))</f>
        <v>16</v>
      </c>
      <c r="I587" s="676">
        <f t="shared" si="113"/>
        <v>24</v>
      </c>
      <c r="J587" s="676">
        <f t="shared" si="114"/>
        <v>63.999999999999986</v>
      </c>
      <c r="K587" s="676">
        <f t="shared" ref="K587:K596" si="118">IF(OR(E587="",F587="",H587=""),0,MAX(0,(MIN(IF(F587&lt;E587,F587+1,F587),1+TIME(5,0,0))-MAX(E587,TIME(19,0,0))))*24*H587)</f>
        <v>0</v>
      </c>
      <c r="L587" s="1044">
        <f t="shared" si="115"/>
        <v>87.999999999999986</v>
      </c>
      <c r="M587" s="145" t="str">
        <f t="shared" si="116"/>
        <v/>
      </c>
      <c r="N587" s="1036">
        <f t="shared" si="117"/>
        <v>46114</v>
      </c>
    </row>
    <row r="588" spans="1:14" ht="15" customHeight="1">
      <c r="A588" s="1023">
        <v>46114</v>
      </c>
      <c r="B588" s="882" t="str">
        <f t="shared" si="111"/>
        <v>Jue</v>
      </c>
      <c r="C588" s="866" t="s">
        <v>146</v>
      </c>
      <c r="D588" s="897" t="s">
        <v>525</v>
      </c>
      <c r="E588" s="867">
        <v>0.54166666666666663</v>
      </c>
      <c r="F588" s="867">
        <v>0.66666666666666663</v>
      </c>
      <c r="G588" s="884">
        <f t="shared" si="112"/>
        <v>3</v>
      </c>
      <c r="H588" s="1042">
        <f>IF(D588="","",IFERROR(VLOOKUP(D588,'Resumen Empleado'!$A$4:$B$17,2,FALSE),""))</f>
        <v>7.25</v>
      </c>
      <c r="I588" s="1042">
        <f t="shared" si="113"/>
        <v>0</v>
      </c>
      <c r="J588" s="1042">
        <f t="shared" si="114"/>
        <v>21.75</v>
      </c>
      <c r="K588" s="1042">
        <f t="shared" si="118"/>
        <v>0</v>
      </c>
      <c r="L588" s="1047">
        <f t="shared" si="115"/>
        <v>21.75</v>
      </c>
      <c r="M588" s="865" t="str">
        <f t="shared" si="116"/>
        <v/>
      </c>
      <c r="N588" s="1034">
        <f t="shared" si="117"/>
        <v>46114</v>
      </c>
    </row>
    <row r="589" spans="1:14" ht="15.75" customHeight="1">
      <c r="A589" s="1023">
        <v>46114</v>
      </c>
      <c r="B589" s="882" t="str">
        <f t="shared" si="111"/>
        <v>Jue</v>
      </c>
      <c r="C589" s="866" t="s">
        <v>146</v>
      </c>
      <c r="D589" s="883" t="s">
        <v>522</v>
      </c>
      <c r="E589" s="867">
        <v>0.29166666666666669</v>
      </c>
      <c r="F589" s="867">
        <v>0.66666666666666663</v>
      </c>
      <c r="G589" s="884">
        <f t="shared" si="112"/>
        <v>8.9999999999999982</v>
      </c>
      <c r="H589" s="1042">
        <f>IF(D589="","",IFERROR(VLOOKUP(D589,'Resumen Empleado'!$A$4:$B$17,2,FALSE),""))</f>
        <v>10</v>
      </c>
      <c r="I589" s="1042">
        <f t="shared" si="113"/>
        <v>50</v>
      </c>
      <c r="J589" s="1042">
        <f t="shared" si="114"/>
        <v>39.999999999999993</v>
      </c>
      <c r="K589" s="1042">
        <f t="shared" si="118"/>
        <v>0</v>
      </c>
      <c r="L589" s="1047">
        <f t="shared" si="115"/>
        <v>90</v>
      </c>
      <c r="M589" s="865" t="str">
        <f t="shared" si="116"/>
        <v/>
      </c>
      <c r="N589" s="1034">
        <f t="shared" si="117"/>
        <v>46114</v>
      </c>
    </row>
    <row r="590" spans="1:14" ht="15.75" customHeight="1">
      <c r="A590" s="1023">
        <v>46114</v>
      </c>
      <c r="B590" s="882" t="str">
        <f t="shared" si="111"/>
        <v>Jue</v>
      </c>
      <c r="C590" s="866" t="s">
        <v>146</v>
      </c>
      <c r="D590" s="883" t="s">
        <v>532</v>
      </c>
      <c r="E590" s="867">
        <v>0.5625</v>
      </c>
      <c r="F590" s="867">
        <v>0.66666666666666663</v>
      </c>
      <c r="G590" s="884">
        <f t="shared" si="112"/>
        <v>2.4999999999999991</v>
      </c>
      <c r="H590" s="1042">
        <f>IF(D590="","",IFERROR(VLOOKUP(D590,'Resumen Empleado'!$A$4:$B$17,2,FALSE),""))</f>
        <v>5.17</v>
      </c>
      <c r="I590" s="1042">
        <f t="shared" si="113"/>
        <v>0</v>
      </c>
      <c r="J590" s="1042">
        <f t="shared" si="114"/>
        <v>12.924999999999995</v>
      </c>
      <c r="K590" s="1042">
        <f t="shared" si="118"/>
        <v>0</v>
      </c>
      <c r="L590" s="1047">
        <f t="shared" si="115"/>
        <v>12.924999999999995</v>
      </c>
      <c r="M590" s="865" t="str">
        <f t="shared" si="116"/>
        <v/>
      </c>
      <c r="N590" s="1034">
        <f t="shared" si="117"/>
        <v>46114</v>
      </c>
    </row>
    <row r="591" spans="1:14" ht="15.75" customHeight="1">
      <c r="A591" s="1023">
        <v>46114</v>
      </c>
      <c r="B591" s="882" t="str">
        <f t="shared" si="111"/>
        <v>Jue</v>
      </c>
      <c r="C591" s="866" t="s">
        <v>146</v>
      </c>
      <c r="D591" s="883" t="s">
        <v>532</v>
      </c>
      <c r="E591" s="867">
        <v>0.26041666666666669</v>
      </c>
      <c r="F591" s="867">
        <v>0.4375</v>
      </c>
      <c r="G591" s="884">
        <f t="shared" si="112"/>
        <v>4.25</v>
      </c>
      <c r="H591" s="1042">
        <f>IF(D591="","",IFERROR(VLOOKUP(D591,'Resumen Empleado'!$A$4:$B$17,2,FALSE),""))</f>
        <v>5.17</v>
      </c>
      <c r="I591" s="1042">
        <f t="shared" si="113"/>
        <v>21.9725</v>
      </c>
      <c r="J591" s="1042">
        <f t="shared" si="114"/>
        <v>0</v>
      </c>
      <c r="K591" s="1042">
        <f t="shared" si="118"/>
        <v>0</v>
      </c>
      <c r="L591" s="1047">
        <f t="shared" si="115"/>
        <v>21.9725</v>
      </c>
      <c r="M591" s="865" t="str">
        <f t="shared" si="116"/>
        <v/>
      </c>
      <c r="N591" s="1034">
        <f t="shared" si="117"/>
        <v>46114</v>
      </c>
    </row>
    <row r="592" spans="1:14" ht="15.75" customHeight="1">
      <c r="A592" s="1023">
        <v>46114</v>
      </c>
      <c r="B592" s="882" t="str">
        <f t="shared" si="111"/>
        <v>Jue</v>
      </c>
      <c r="C592" s="866" t="s">
        <v>497</v>
      </c>
      <c r="D592" s="883" t="s">
        <v>526</v>
      </c>
      <c r="E592" s="867">
        <v>0.79166666666666663</v>
      </c>
      <c r="F592" s="867">
        <v>0.99305555555555558</v>
      </c>
      <c r="G592" s="884">
        <f t="shared" si="112"/>
        <v>4.8333333333333348</v>
      </c>
      <c r="H592" s="1042">
        <f>IF(D592="","",IFERROR(VLOOKUP(D592,'Resumen Empleado'!$A$4:$B$17,2,FALSE),""))</f>
        <v>16</v>
      </c>
      <c r="I592" s="1042">
        <f t="shared" si="113"/>
        <v>0</v>
      </c>
      <c r="J592" s="1042">
        <f t="shared" si="114"/>
        <v>0</v>
      </c>
      <c r="K592" s="1042">
        <f t="shared" si="118"/>
        <v>77.333333333333357</v>
      </c>
      <c r="L592" s="1047">
        <f t="shared" si="115"/>
        <v>77.333333333333357</v>
      </c>
      <c r="M592" s="865" t="str">
        <f t="shared" si="116"/>
        <v/>
      </c>
      <c r="N592" s="1034">
        <f t="shared" si="117"/>
        <v>46114</v>
      </c>
    </row>
    <row r="593" spans="1:14" ht="15.75" customHeight="1">
      <c r="A593" s="1023">
        <v>46114</v>
      </c>
      <c r="B593" s="882" t="str">
        <f t="shared" si="111"/>
        <v>Jue</v>
      </c>
      <c r="C593" s="866" t="s">
        <v>497</v>
      </c>
      <c r="D593" s="897" t="s">
        <v>532</v>
      </c>
      <c r="E593" s="867">
        <v>0.83333333333333337</v>
      </c>
      <c r="F593" s="867">
        <v>0.99305555555555558</v>
      </c>
      <c r="G593" s="884">
        <f t="shared" si="112"/>
        <v>3.833333333333333</v>
      </c>
      <c r="H593" s="1042">
        <f>IF(D593="","",IFERROR(VLOOKUP(D593,'Resumen Empleado'!$A$4:$B$17,2,FALSE),""))</f>
        <v>5.17</v>
      </c>
      <c r="I593" s="1042">
        <f t="shared" si="113"/>
        <v>0</v>
      </c>
      <c r="J593" s="1042">
        <f t="shared" si="114"/>
        <v>0</v>
      </c>
      <c r="K593" s="1042">
        <f t="shared" si="118"/>
        <v>19.818333333333332</v>
      </c>
      <c r="L593" s="1047">
        <f t="shared" si="115"/>
        <v>19.818333333333332</v>
      </c>
      <c r="M593" s="865" t="str">
        <f t="shared" si="116"/>
        <v/>
      </c>
      <c r="N593" s="1034">
        <f t="shared" si="117"/>
        <v>46114</v>
      </c>
    </row>
    <row r="594" spans="1:14" ht="15.75" customHeight="1">
      <c r="A594" s="1023">
        <v>46114</v>
      </c>
      <c r="B594" s="882" t="str">
        <f t="shared" si="111"/>
        <v>Jue</v>
      </c>
      <c r="C594" s="866" t="s">
        <v>497</v>
      </c>
      <c r="D594" s="883" t="s">
        <v>525</v>
      </c>
      <c r="E594" s="867">
        <v>0.79166666666666663</v>
      </c>
      <c r="F594" s="867">
        <v>1</v>
      </c>
      <c r="G594" s="884">
        <f t="shared" si="112"/>
        <v>5.0000000000000009</v>
      </c>
      <c r="H594" s="1042">
        <f>IF(D594="","",IFERROR(VLOOKUP(D594,'Resumen Empleado'!$A$4:$B$17,2,FALSE),""))</f>
        <v>7.25</v>
      </c>
      <c r="I594" s="1042">
        <f t="shared" si="113"/>
        <v>0</v>
      </c>
      <c r="J594" s="1042">
        <f t="shared" si="114"/>
        <v>0</v>
      </c>
      <c r="K594" s="1042">
        <f t="shared" si="118"/>
        <v>36.250000000000007</v>
      </c>
      <c r="L594" s="1047">
        <f t="shared" si="115"/>
        <v>36.250000000000007</v>
      </c>
      <c r="M594" s="865" t="str">
        <f t="shared" si="116"/>
        <v/>
      </c>
      <c r="N594" s="1034">
        <f t="shared" si="117"/>
        <v>46114</v>
      </c>
    </row>
    <row r="595" spans="1:14" ht="15.75" customHeight="1">
      <c r="A595" s="1023">
        <v>46114</v>
      </c>
      <c r="B595" s="882" t="str">
        <f t="shared" si="111"/>
        <v>Jue</v>
      </c>
      <c r="C595" s="866" t="s">
        <v>497</v>
      </c>
      <c r="D595" s="883" t="s">
        <v>529</v>
      </c>
      <c r="E595" s="867">
        <v>0.91666666666666663</v>
      </c>
      <c r="F595" s="867">
        <v>1</v>
      </c>
      <c r="G595" s="884">
        <f t="shared" si="112"/>
        <v>2.0000000000000009</v>
      </c>
      <c r="H595" s="1042">
        <f>IF(D595="","",IFERROR(VLOOKUP(D595,'Resumen Empleado'!$A$4:$B$17,2,FALSE),""))</f>
        <v>8</v>
      </c>
      <c r="I595" s="1042">
        <f t="shared" si="113"/>
        <v>0</v>
      </c>
      <c r="J595" s="1042">
        <f t="shared" si="114"/>
        <v>0</v>
      </c>
      <c r="K595" s="1042">
        <f t="shared" si="118"/>
        <v>16.000000000000007</v>
      </c>
      <c r="L595" s="1047">
        <f t="shared" si="115"/>
        <v>16.000000000000007</v>
      </c>
      <c r="M595" s="865" t="str">
        <f t="shared" si="116"/>
        <v/>
      </c>
      <c r="N595" s="1034">
        <f t="shared" si="117"/>
        <v>46114</v>
      </c>
    </row>
    <row r="596" spans="1:14" ht="15.75" customHeight="1">
      <c r="A596" s="1023">
        <v>46114</v>
      </c>
      <c r="B596" s="882" t="str">
        <f t="shared" si="111"/>
        <v>Jue</v>
      </c>
      <c r="C596" s="866" t="s">
        <v>497</v>
      </c>
      <c r="D596" s="883" t="s">
        <v>522</v>
      </c>
      <c r="E596" s="867">
        <v>0.79166666666666663</v>
      </c>
      <c r="F596" s="867">
        <v>0.91666666666666663</v>
      </c>
      <c r="G596" s="884">
        <f t="shared" si="112"/>
        <v>3</v>
      </c>
      <c r="H596" s="1042">
        <f>IF(D596="","",IFERROR(VLOOKUP(D596,'Resumen Empleado'!$A$4:$B$17,2,FALSE),""))</f>
        <v>10</v>
      </c>
      <c r="I596" s="1042">
        <f t="shared" si="113"/>
        <v>0</v>
      </c>
      <c r="J596" s="1042">
        <f t="shared" si="114"/>
        <v>0</v>
      </c>
      <c r="K596" s="1042">
        <f t="shared" si="118"/>
        <v>30</v>
      </c>
      <c r="L596" s="1047">
        <f t="shared" si="115"/>
        <v>30</v>
      </c>
      <c r="M596" s="865" t="str">
        <f t="shared" si="116"/>
        <v/>
      </c>
      <c r="N596" s="1034">
        <f t="shared" si="117"/>
        <v>46114</v>
      </c>
    </row>
    <row r="597" spans="1:14" ht="15.75" customHeight="1">
      <c r="A597" s="1023">
        <v>46114</v>
      </c>
      <c r="B597" s="882" t="str">
        <f t="shared" si="111"/>
        <v>Jue</v>
      </c>
      <c r="C597" s="866" t="s">
        <v>146</v>
      </c>
      <c r="D597" s="883" t="s">
        <v>528</v>
      </c>
      <c r="E597" s="867">
        <v>0.33333333333333331</v>
      </c>
      <c r="F597" s="867">
        <v>0.66666666666666663</v>
      </c>
      <c r="G597" s="884">
        <f t="shared" si="112"/>
        <v>8</v>
      </c>
      <c r="H597" s="1042">
        <f>IF(D597="","",IFERROR(VLOOKUP(D597,'Resumen Empleado'!$A$4:$B$17,2,FALSE),""))</f>
        <v>11</v>
      </c>
      <c r="I597" s="1042">
        <f t="shared" si="113"/>
        <v>44</v>
      </c>
      <c r="J597" s="1042">
        <f t="shared" si="114"/>
        <v>43.999999999999993</v>
      </c>
      <c r="K597" s="1042">
        <f>IF(OR(E597="",F597="",H597=""),0,MAX(0,(MIN(IF(F597&lt;E597,1+F597,F597),1+TIME(5,0,0))-MAX(E597,TIME(19,0,0))))*24*H597)</f>
        <v>0</v>
      </c>
      <c r="L597" s="1047">
        <f t="shared" si="115"/>
        <v>88</v>
      </c>
      <c r="M597" s="865" t="str">
        <f t="shared" si="116"/>
        <v/>
      </c>
      <c r="N597" s="1034">
        <f t="shared" si="117"/>
        <v>46114</v>
      </c>
    </row>
    <row r="598" spans="1:14" ht="15.75" customHeight="1">
      <c r="A598" s="1023">
        <v>46115</v>
      </c>
      <c r="B598" s="882" t="str">
        <f t="shared" si="111"/>
        <v>Vie</v>
      </c>
      <c r="C598" s="866" t="s">
        <v>146</v>
      </c>
      <c r="D598" s="883" t="s">
        <v>530</v>
      </c>
      <c r="E598" s="867">
        <v>0.54166666666666663</v>
      </c>
      <c r="F598" s="867">
        <v>0.66666666666666663</v>
      </c>
      <c r="G598" s="884">
        <f t="shared" si="112"/>
        <v>3</v>
      </c>
      <c r="H598" s="1042">
        <f>IF(D598="","",IFERROR(VLOOKUP(D598,'Resumen Empleado'!$A$4:$B$17,2,FALSE),""))</f>
        <v>8</v>
      </c>
      <c r="I598" s="1042">
        <f t="shared" si="113"/>
        <v>0</v>
      </c>
      <c r="J598" s="1042">
        <f t="shared" si="114"/>
        <v>24</v>
      </c>
      <c r="K598" s="1042">
        <f t="shared" ref="K598:K608" si="119">IF(OR(E598="",F598="",H598=""),0,MAX(0,(MIN(IF(F598&lt;E598,F598+1,F598),1+TIME(5,0,0))-MAX(E598,TIME(19,0,0))))*24*H598)</f>
        <v>0</v>
      </c>
      <c r="L598" s="1047">
        <f t="shared" si="115"/>
        <v>24</v>
      </c>
      <c r="M598" s="865" t="str">
        <f t="shared" si="116"/>
        <v/>
      </c>
      <c r="N598" s="1034">
        <f t="shared" si="117"/>
        <v>46115</v>
      </c>
    </row>
    <row r="599" spans="1:14" ht="15.75" customHeight="1">
      <c r="A599" s="1023">
        <v>46115</v>
      </c>
      <c r="B599" s="882" t="str">
        <f t="shared" si="111"/>
        <v>Vie</v>
      </c>
      <c r="C599" s="866" t="s">
        <v>146</v>
      </c>
      <c r="D599" s="897" t="s">
        <v>529</v>
      </c>
      <c r="E599" s="867">
        <v>0.52083333333333337</v>
      </c>
      <c r="F599" s="867">
        <v>0.625</v>
      </c>
      <c r="G599" s="884">
        <f t="shared" si="112"/>
        <v>2.4999999999999991</v>
      </c>
      <c r="H599" s="1042">
        <f>IF(D599="","",IFERROR(VLOOKUP(D599,'Resumen Empleado'!$A$4:$B$17,2,FALSE),""))</f>
        <v>8</v>
      </c>
      <c r="I599" s="1042">
        <f t="shared" si="113"/>
        <v>0</v>
      </c>
      <c r="J599" s="1042">
        <f t="shared" si="114"/>
        <v>19.999999999999993</v>
      </c>
      <c r="K599" s="1042">
        <f t="shared" si="119"/>
        <v>0</v>
      </c>
      <c r="L599" s="1047">
        <f t="shared" si="115"/>
        <v>19.999999999999993</v>
      </c>
      <c r="M599" s="865" t="str">
        <f t="shared" si="116"/>
        <v/>
      </c>
      <c r="N599" s="1034">
        <f t="shared" si="117"/>
        <v>46115</v>
      </c>
    </row>
    <row r="600" spans="1:14" ht="15.75" customHeight="1">
      <c r="A600" s="1023">
        <v>46115</v>
      </c>
      <c r="B600" s="882" t="str">
        <f t="shared" si="111"/>
        <v>Vie</v>
      </c>
      <c r="C600" s="866" t="s">
        <v>146</v>
      </c>
      <c r="D600" s="883" t="s">
        <v>522</v>
      </c>
      <c r="E600" s="867">
        <v>0.30208333333333331</v>
      </c>
      <c r="F600" s="867">
        <v>0.65625</v>
      </c>
      <c r="G600" s="884">
        <f t="shared" si="112"/>
        <v>8.5</v>
      </c>
      <c r="H600" s="1042">
        <f>IF(D600="","",IFERROR(VLOOKUP(D600,'Resumen Empleado'!$A$4:$B$17,2,FALSE),""))</f>
        <v>10</v>
      </c>
      <c r="I600" s="1042">
        <f t="shared" si="113"/>
        <v>47.5</v>
      </c>
      <c r="J600" s="1042">
        <f t="shared" si="114"/>
        <v>37.5</v>
      </c>
      <c r="K600" s="1042">
        <f t="shared" si="119"/>
        <v>0</v>
      </c>
      <c r="L600" s="1047">
        <f t="shared" si="115"/>
        <v>85</v>
      </c>
      <c r="M600" s="865" t="str">
        <f t="shared" si="116"/>
        <v/>
      </c>
      <c r="N600" s="1034">
        <f t="shared" si="117"/>
        <v>46115</v>
      </c>
    </row>
    <row r="601" spans="1:14" ht="15.75" customHeight="1">
      <c r="A601" s="1023">
        <v>46115</v>
      </c>
      <c r="B601" s="882" t="str">
        <f t="shared" si="111"/>
        <v>Vie</v>
      </c>
      <c r="C601" s="866" t="s">
        <v>146</v>
      </c>
      <c r="D601" s="883" t="s">
        <v>525</v>
      </c>
      <c r="E601" s="867">
        <v>0.5</v>
      </c>
      <c r="F601" s="867">
        <v>0.66666666666666663</v>
      </c>
      <c r="G601" s="884">
        <f t="shared" si="112"/>
        <v>3.9999999999999991</v>
      </c>
      <c r="H601" s="1042">
        <f>IF(D601="","",IFERROR(VLOOKUP(D601,'Resumen Empleado'!$A$4:$B$17,2,FALSE),""))</f>
        <v>7.25</v>
      </c>
      <c r="I601" s="1042">
        <f t="shared" si="113"/>
        <v>0</v>
      </c>
      <c r="J601" s="1042">
        <f t="shared" si="114"/>
        <v>28.999999999999993</v>
      </c>
      <c r="K601" s="1042">
        <f t="shared" si="119"/>
        <v>0</v>
      </c>
      <c r="L601" s="1047">
        <f t="shared" si="115"/>
        <v>28.999999999999993</v>
      </c>
      <c r="M601" s="865" t="str">
        <f t="shared" si="116"/>
        <v/>
      </c>
      <c r="N601" s="1034">
        <f t="shared" si="117"/>
        <v>46115</v>
      </c>
    </row>
    <row r="602" spans="1:14" ht="15.75" customHeight="1">
      <c r="A602" s="1023">
        <v>46115</v>
      </c>
      <c r="B602" s="882" t="str">
        <f t="shared" si="111"/>
        <v>Vie</v>
      </c>
      <c r="C602" s="866" t="s">
        <v>146</v>
      </c>
      <c r="D602" s="883" t="s">
        <v>526</v>
      </c>
      <c r="E602" s="867">
        <v>0.4375</v>
      </c>
      <c r="F602" s="867">
        <v>0.66666666666666663</v>
      </c>
      <c r="G602" s="884">
        <f t="shared" si="112"/>
        <v>5.4999999999999991</v>
      </c>
      <c r="H602" s="1042">
        <f>IF(D602="","",IFERROR(VLOOKUP(D602,'Resumen Empleado'!$A$4:$B$17,2,FALSE),""))</f>
        <v>16</v>
      </c>
      <c r="I602" s="1042">
        <f t="shared" si="113"/>
        <v>24</v>
      </c>
      <c r="J602" s="1042">
        <f t="shared" si="114"/>
        <v>63.999999999999986</v>
      </c>
      <c r="K602" s="1042">
        <f t="shared" si="119"/>
        <v>0</v>
      </c>
      <c r="L602" s="1047">
        <f t="shared" si="115"/>
        <v>87.999999999999986</v>
      </c>
      <c r="M602" s="865" t="str">
        <f t="shared" si="116"/>
        <v/>
      </c>
      <c r="N602" s="1034">
        <f t="shared" si="117"/>
        <v>46115</v>
      </c>
    </row>
    <row r="603" spans="1:14" ht="15.75" customHeight="1">
      <c r="A603" s="1023">
        <v>46115</v>
      </c>
      <c r="B603" s="882" t="str">
        <f t="shared" si="111"/>
        <v>Vie</v>
      </c>
      <c r="C603" s="866" t="s">
        <v>146</v>
      </c>
      <c r="D603" s="883" t="s">
        <v>532</v>
      </c>
      <c r="E603" s="867">
        <v>0.375</v>
      </c>
      <c r="F603" s="867">
        <v>0.66666666666666663</v>
      </c>
      <c r="G603" s="884">
        <f t="shared" si="112"/>
        <v>6.9999999999999991</v>
      </c>
      <c r="H603" s="1042">
        <f>IF(D603="","",IFERROR(VLOOKUP(D603,'Resumen Empleado'!$A$4:$B$17,2,FALSE),""))</f>
        <v>5.17</v>
      </c>
      <c r="I603" s="1042">
        <f t="shared" si="113"/>
        <v>15.51</v>
      </c>
      <c r="J603" s="1042">
        <f t="shared" si="114"/>
        <v>20.679999999999996</v>
      </c>
      <c r="K603" s="1042">
        <f t="shared" si="119"/>
        <v>0</v>
      </c>
      <c r="L603" s="1047">
        <f t="shared" si="115"/>
        <v>36.19</v>
      </c>
      <c r="M603" s="865" t="str">
        <f t="shared" si="116"/>
        <v/>
      </c>
      <c r="N603" s="1034">
        <f t="shared" si="117"/>
        <v>46115</v>
      </c>
    </row>
    <row r="604" spans="1:14" ht="15.75" customHeight="1">
      <c r="A604" s="1023">
        <v>46115</v>
      </c>
      <c r="B604" s="882" t="str">
        <f t="shared" si="111"/>
        <v>Vie</v>
      </c>
      <c r="C604" s="866" t="s">
        <v>497</v>
      </c>
      <c r="D604" s="883" t="s">
        <v>529</v>
      </c>
      <c r="E604" s="867">
        <v>0.875</v>
      </c>
      <c r="F604" s="867">
        <v>1</v>
      </c>
      <c r="G604" s="884">
        <f t="shared" si="112"/>
        <v>3</v>
      </c>
      <c r="H604" s="1042">
        <f>IF(D604="","",IFERROR(VLOOKUP(D604,'Resumen Empleado'!$A$4:$B$17,2,FALSE),""))</f>
        <v>8</v>
      </c>
      <c r="I604" s="1042">
        <f t="shared" si="113"/>
        <v>0</v>
      </c>
      <c r="J604" s="1042">
        <f t="shared" si="114"/>
        <v>0</v>
      </c>
      <c r="K604" s="1042">
        <f t="shared" si="119"/>
        <v>24</v>
      </c>
      <c r="L604" s="1047">
        <f t="shared" si="115"/>
        <v>24</v>
      </c>
      <c r="M604" s="865" t="str">
        <f t="shared" si="116"/>
        <v/>
      </c>
      <c r="N604" s="1034">
        <f t="shared" si="117"/>
        <v>46115</v>
      </c>
    </row>
    <row r="605" spans="1:14" ht="15.75" customHeight="1">
      <c r="A605" s="1023">
        <v>46115</v>
      </c>
      <c r="B605" s="882" t="str">
        <f t="shared" si="111"/>
        <v>Vie</v>
      </c>
      <c r="C605" s="866" t="s">
        <v>497</v>
      </c>
      <c r="D605" s="883" t="s">
        <v>522</v>
      </c>
      <c r="E605" s="867">
        <v>0.79166666666666663</v>
      </c>
      <c r="F605" s="867">
        <v>0.96875</v>
      </c>
      <c r="G605" s="884">
        <f t="shared" si="112"/>
        <v>4.2500000000000009</v>
      </c>
      <c r="H605" s="1042">
        <f>IF(D605="","",IFERROR(VLOOKUP(D605,'Resumen Empleado'!$A$4:$B$17,2,FALSE),""))</f>
        <v>10</v>
      </c>
      <c r="I605" s="1042">
        <f t="shared" si="113"/>
        <v>0</v>
      </c>
      <c r="J605" s="1042">
        <f t="shared" si="114"/>
        <v>0</v>
      </c>
      <c r="K605" s="1042">
        <f t="shared" si="119"/>
        <v>42.500000000000007</v>
      </c>
      <c r="L605" s="1047">
        <f t="shared" si="115"/>
        <v>42.500000000000007</v>
      </c>
      <c r="M605" s="865" t="str">
        <f t="shared" si="116"/>
        <v/>
      </c>
      <c r="N605" s="1034">
        <f t="shared" si="117"/>
        <v>46115</v>
      </c>
    </row>
    <row r="606" spans="1:14" ht="15.75" customHeight="1">
      <c r="A606" s="658">
        <v>46115</v>
      </c>
      <c r="B606" s="658" t="str">
        <f t="shared" si="111"/>
        <v>Vie</v>
      </c>
      <c r="C606" s="674" t="s">
        <v>497</v>
      </c>
      <c r="D606" s="897" t="s">
        <v>525</v>
      </c>
      <c r="E606" s="687">
        <v>0.79166666666666663</v>
      </c>
      <c r="F606" s="687">
        <v>1</v>
      </c>
      <c r="G606" s="688">
        <f t="shared" si="112"/>
        <v>5.0000000000000009</v>
      </c>
      <c r="H606" s="676">
        <f>IF(D606="","",IFERROR(VLOOKUP(D606,'Resumen Empleado'!$A$4:$B$17,2,FALSE),""))</f>
        <v>7.25</v>
      </c>
      <c r="I606" s="676">
        <f t="shared" si="113"/>
        <v>0</v>
      </c>
      <c r="J606" s="676">
        <f t="shared" si="114"/>
        <v>0</v>
      </c>
      <c r="K606" s="676">
        <f t="shared" si="119"/>
        <v>36.250000000000007</v>
      </c>
      <c r="L606" s="1044">
        <f t="shared" si="115"/>
        <v>36.250000000000007</v>
      </c>
      <c r="M606" s="145" t="str">
        <f t="shared" si="116"/>
        <v/>
      </c>
      <c r="N606" s="684">
        <f t="shared" si="117"/>
        <v>46115</v>
      </c>
    </row>
    <row r="607" spans="1:14" ht="15.75" customHeight="1">
      <c r="A607" s="658">
        <v>46115</v>
      </c>
      <c r="B607" s="658" t="str">
        <f t="shared" si="111"/>
        <v>Vie</v>
      </c>
      <c r="C607" s="674" t="s">
        <v>497</v>
      </c>
      <c r="D607" s="897" t="s">
        <v>532</v>
      </c>
      <c r="E607" s="687">
        <v>0.83333333333333337</v>
      </c>
      <c r="F607" s="687">
        <v>1</v>
      </c>
      <c r="G607" s="688">
        <f t="shared" si="112"/>
        <v>3.9999999999999991</v>
      </c>
      <c r="H607" s="676">
        <f>IF(D607="","",IFERROR(VLOOKUP(D607,'Resumen Empleado'!$A$4:$B$17,2,FALSE),""))</f>
        <v>5.17</v>
      </c>
      <c r="I607" s="676">
        <f t="shared" si="113"/>
        <v>0</v>
      </c>
      <c r="J607" s="676">
        <f t="shared" si="114"/>
        <v>0</v>
      </c>
      <c r="K607" s="676">
        <f t="shared" si="119"/>
        <v>20.679999999999996</v>
      </c>
      <c r="L607" s="1044">
        <f t="shared" si="115"/>
        <v>20.679999999999996</v>
      </c>
      <c r="M607" s="145" t="str">
        <f t="shared" si="116"/>
        <v/>
      </c>
      <c r="N607" s="684">
        <f t="shared" si="117"/>
        <v>46115</v>
      </c>
    </row>
    <row r="608" spans="1:14" ht="15.75" customHeight="1">
      <c r="A608" s="658">
        <v>46115</v>
      </c>
      <c r="B608" s="658" t="str">
        <f t="shared" si="111"/>
        <v>Vie</v>
      </c>
      <c r="C608" s="674" t="s">
        <v>497</v>
      </c>
      <c r="D608" s="897" t="s">
        <v>526</v>
      </c>
      <c r="E608" s="687">
        <v>0.79166666666666663</v>
      </c>
      <c r="F608" s="687">
        <v>1</v>
      </c>
      <c r="G608" s="688">
        <f t="shared" si="112"/>
        <v>5.0000000000000009</v>
      </c>
      <c r="H608" s="676">
        <f>IF(D608="","",IFERROR(VLOOKUP(D608,'Resumen Empleado'!$A$4:$B$17,2,FALSE),""))</f>
        <v>16</v>
      </c>
      <c r="I608" s="676">
        <f t="shared" si="113"/>
        <v>0</v>
      </c>
      <c r="J608" s="676">
        <f t="shared" si="114"/>
        <v>0</v>
      </c>
      <c r="K608" s="676">
        <f t="shared" si="119"/>
        <v>80.000000000000014</v>
      </c>
      <c r="L608" s="1044">
        <f t="shared" si="115"/>
        <v>80.000000000000014</v>
      </c>
      <c r="M608" s="145"/>
      <c r="N608" s="684">
        <f t="shared" si="117"/>
        <v>46115</v>
      </c>
    </row>
    <row r="609" spans="1:14" ht="15.75" customHeight="1">
      <c r="A609" s="658">
        <v>46115</v>
      </c>
      <c r="B609" s="658" t="str">
        <f t="shared" si="111"/>
        <v>Vie</v>
      </c>
      <c r="C609" s="674" t="s">
        <v>146</v>
      </c>
      <c r="D609" s="897" t="s">
        <v>528</v>
      </c>
      <c r="E609" s="687">
        <v>0.33333333333333331</v>
      </c>
      <c r="F609" s="687">
        <v>0.66666666666666663</v>
      </c>
      <c r="G609" s="688">
        <f t="shared" si="112"/>
        <v>8</v>
      </c>
      <c r="H609" s="676">
        <f>IF(D609="","",IFERROR(VLOOKUP(D609,'Resumen Empleado'!$A$4:$B$17,2,FALSE),""))</f>
        <v>11</v>
      </c>
      <c r="I609" s="676">
        <f t="shared" si="113"/>
        <v>44</v>
      </c>
      <c r="J609" s="676">
        <f t="shared" si="114"/>
        <v>43.999999999999993</v>
      </c>
      <c r="K609" s="676">
        <f>IF(OR(E609="",F609="",H609=""),0,MAX(0,(MIN(IF(F609&lt;E609,1+F609,F609),1+TIME(5,0,0))-MAX(E609,TIME(19,0,0))))*24*H609)</f>
        <v>0</v>
      </c>
      <c r="L609" s="1044">
        <f t="shared" si="115"/>
        <v>88</v>
      </c>
      <c r="M609" s="145" t="str">
        <f>IF(A609="","",IF(G609&gt;12,"⚠ Verificar",""))</f>
        <v/>
      </c>
      <c r="N609" s="684">
        <f t="shared" si="117"/>
        <v>46115</v>
      </c>
    </row>
    <row r="610" spans="1:14" ht="15.75" customHeight="1">
      <c r="A610" s="658">
        <v>46116</v>
      </c>
      <c r="B610" s="658" t="str">
        <f t="shared" si="111"/>
        <v>Sáb</v>
      </c>
      <c r="C610" s="674" t="s">
        <v>146</v>
      </c>
      <c r="D610" s="897" t="s">
        <v>522</v>
      </c>
      <c r="E610" s="687">
        <v>0.30208333333333331</v>
      </c>
      <c r="F610" s="687">
        <v>0.67708333333333337</v>
      </c>
      <c r="G610" s="688">
        <f t="shared" si="112"/>
        <v>9.0000000000000018</v>
      </c>
      <c r="H610" s="676">
        <f>IF(D610="","",IFERROR(VLOOKUP(D610,'Resumen Empleado'!$A$4:$B$17,2,FALSE),""))</f>
        <v>10</v>
      </c>
      <c r="I610" s="676">
        <f t="shared" si="113"/>
        <v>47.5</v>
      </c>
      <c r="J610" s="676">
        <f t="shared" si="114"/>
        <v>42.500000000000007</v>
      </c>
      <c r="K610" s="676">
        <f t="shared" ref="K610:K619" si="120">IF(OR(E610="",F610="",H610=""),0,MAX(0,(MIN(IF(F610&lt;E610,F610+1,F610),1+TIME(5,0,0))-MAX(E610,TIME(19,0,0))))*24*H610)</f>
        <v>0</v>
      </c>
      <c r="L610" s="1044">
        <f t="shared" si="115"/>
        <v>90</v>
      </c>
      <c r="M610" s="145"/>
      <c r="N610" s="684">
        <f t="shared" si="117"/>
        <v>46116</v>
      </c>
    </row>
    <row r="611" spans="1:14" ht="15.75" customHeight="1">
      <c r="A611" s="658">
        <v>46116</v>
      </c>
      <c r="B611" s="658" t="str">
        <f t="shared" si="111"/>
        <v>Sáb</v>
      </c>
      <c r="C611" s="674" t="s">
        <v>146</v>
      </c>
      <c r="D611" s="897" t="s">
        <v>525</v>
      </c>
      <c r="E611" s="687">
        <v>0.39583333333333331</v>
      </c>
      <c r="F611" s="687">
        <v>0.67708333333333337</v>
      </c>
      <c r="G611" s="688">
        <f t="shared" si="112"/>
        <v>6.7500000000000018</v>
      </c>
      <c r="H611" s="676">
        <f>IF(D611="","",IFERROR(VLOOKUP(D611,'Resumen Empleado'!$A$4:$B$17,2,FALSE),""))</f>
        <v>7.25</v>
      </c>
      <c r="I611" s="676">
        <f t="shared" si="113"/>
        <v>18.125000000000004</v>
      </c>
      <c r="J611" s="676">
        <f t="shared" si="114"/>
        <v>30.812500000000007</v>
      </c>
      <c r="K611" s="676">
        <f t="shared" si="120"/>
        <v>0</v>
      </c>
      <c r="L611" s="1044">
        <f t="shared" si="115"/>
        <v>48.937500000000014</v>
      </c>
      <c r="M611" s="145"/>
      <c r="N611" s="684">
        <f t="shared" si="117"/>
        <v>46116</v>
      </c>
    </row>
    <row r="612" spans="1:14" ht="15.75" customHeight="1">
      <c r="A612" s="658">
        <v>46116</v>
      </c>
      <c r="B612" s="658" t="str">
        <f t="shared" si="111"/>
        <v>Sáb</v>
      </c>
      <c r="C612" s="674" t="s">
        <v>146</v>
      </c>
      <c r="D612" s="897" t="s">
        <v>526</v>
      </c>
      <c r="E612" s="687">
        <v>0.4375</v>
      </c>
      <c r="F612" s="687">
        <v>0.67708333333333337</v>
      </c>
      <c r="G612" s="688">
        <f t="shared" si="112"/>
        <v>5.7500000000000009</v>
      </c>
      <c r="H612" s="676">
        <f>IF(D612="","",IFERROR(VLOOKUP(D612,'Resumen Empleado'!$A$4:$B$17,2,FALSE),""))</f>
        <v>16</v>
      </c>
      <c r="I612" s="676">
        <f t="shared" si="113"/>
        <v>24</v>
      </c>
      <c r="J612" s="676">
        <f t="shared" si="114"/>
        <v>68.000000000000014</v>
      </c>
      <c r="K612" s="676">
        <f t="shared" si="120"/>
        <v>0</v>
      </c>
      <c r="L612" s="1044">
        <f t="shared" si="115"/>
        <v>92.000000000000014</v>
      </c>
      <c r="M612" s="145"/>
      <c r="N612" s="684">
        <f t="shared" si="117"/>
        <v>46116</v>
      </c>
    </row>
    <row r="613" spans="1:14" ht="15.75" customHeight="1">
      <c r="A613" s="658">
        <v>46116</v>
      </c>
      <c r="B613" s="658" t="str">
        <f t="shared" si="111"/>
        <v>Sáb</v>
      </c>
      <c r="C613" s="674" t="s">
        <v>146</v>
      </c>
      <c r="D613" s="897" t="s">
        <v>529</v>
      </c>
      <c r="E613" s="687">
        <v>0.5</v>
      </c>
      <c r="F613" s="687">
        <v>0.67708333333333337</v>
      </c>
      <c r="G613" s="688">
        <f t="shared" si="112"/>
        <v>4.2500000000000009</v>
      </c>
      <c r="H613" s="676">
        <f>IF(D613="","",IFERROR(VLOOKUP(D613,'Resumen Empleado'!$A$4:$B$17,2,FALSE),""))</f>
        <v>8</v>
      </c>
      <c r="I613" s="676">
        <f t="shared" si="113"/>
        <v>0</v>
      </c>
      <c r="J613" s="676">
        <f t="shared" si="114"/>
        <v>34.000000000000007</v>
      </c>
      <c r="K613" s="676">
        <f t="shared" si="120"/>
        <v>0</v>
      </c>
      <c r="L613" s="1044">
        <f t="shared" si="115"/>
        <v>34.000000000000007</v>
      </c>
      <c r="M613" s="145"/>
      <c r="N613" s="684">
        <f t="shared" si="117"/>
        <v>46116</v>
      </c>
    </row>
    <row r="614" spans="1:14" ht="15.75" customHeight="1">
      <c r="A614" s="658">
        <v>46116</v>
      </c>
      <c r="B614" s="658" t="str">
        <f t="shared" si="111"/>
        <v>Sáb</v>
      </c>
      <c r="C614" s="674" t="s">
        <v>146</v>
      </c>
      <c r="D614" s="897" t="s">
        <v>532</v>
      </c>
      <c r="E614" s="687">
        <v>0.375</v>
      </c>
      <c r="F614" s="687">
        <v>0.67708333333333337</v>
      </c>
      <c r="G614" s="688">
        <f t="shared" si="112"/>
        <v>7.2500000000000009</v>
      </c>
      <c r="H614" s="676">
        <f>IF(D614="","",IFERROR(VLOOKUP(D614,'Resumen Empleado'!$A$4:$B$17,2,FALSE),""))</f>
        <v>5.17</v>
      </c>
      <c r="I614" s="676">
        <f t="shared" si="113"/>
        <v>15.51</v>
      </c>
      <c r="J614" s="676">
        <f t="shared" si="114"/>
        <v>21.972500000000004</v>
      </c>
      <c r="K614" s="676">
        <f t="shared" si="120"/>
        <v>0</v>
      </c>
      <c r="L614" s="1044">
        <f t="shared" si="115"/>
        <v>37.482500000000002</v>
      </c>
      <c r="M614" s="145"/>
      <c r="N614" s="684">
        <f t="shared" si="117"/>
        <v>46116</v>
      </c>
    </row>
    <row r="615" spans="1:14" ht="15.75" customHeight="1">
      <c r="A615" s="658">
        <v>46116</v>
      </c>
      <c r="B615" s="658" t="str">
        <f t="shared" si="111"/>
        <v>Sáb</v>
      </c>
      <c r="C615" s="674" t="s">
        <v>497</v>
      </c>
      <c r="D615" s="897" t="s">
        <v>525</v>
      </c>
      <c r="E615" s="687">
        <v>0.79166666666666663</v>
      </c>
      <c r="F615" s="687">
        <v>0.97916666666666663</v>
      </c>
      <c r="G615" s="688">
        <f t="shared" si="112"/>
        <v>4.5</v>
      </c>
      <c r="H615" s="676">
        <f>IF(D615="","",IFERROR(VLOOKUP(D615,'Resumen Empleado'!$A$4:$B$17,2,FALSE),""))</f>
        <v>7.25</v>
      </c>
      <c r="I615" s="676">
        <f t="shared" si="113"/>
        <v>0</v>
      </c>
      <c r="J615" s="676">
        <f t="shared" si="114"/>
        <v>0</v>
      </c>
      <c r="K615" s="676">
        <f t="shared" si="120"/>
        <v>32.625</v>
      </c>
      <c r="L615" s="1044">
        <f t="shared" si="115"/>
        <v>32.625</v>
      </c>
      <c r="M615" s="145"/>
      <c r="N615" s="684">
        <f t="shared" si="117"/>
        <v>46116</v>
      </c>
    </row>
    <row r="616" spans="1:14" ht="15.75" customHeight="1">
      <c r="A616" s="658">
        <v>46116</v>
      </c>
      <c r="B616" s="658" t="str">
        <f t="shared" si="111"/>
        <v>Sáb</v>
      </c>
      <c r="C616" s="674" t="s">
        <v>497</v>
      </c>
      <c r="D616" s="897" t="s">
        <v>526</v>
      </c>
      <c r="E616" s="687">
        <v>0.79166666666666663</v>
      </c>
      <c r="F616" s="687">
        <v>0.97916666666666663</v>
      </c>
      <c r="G616" s="688">
        <f t="shared" si="112"/>
        <v>4.5</v>
      </c>
      <c r="H616" s="676">
        <f>IF(D616="","",IFERROR(VLOOKUP(D616,'Resumen Empleado'!$A$4:$B$17,2,FALSE),""))</f>
        <v>16</v>
      </c>
      <c r="I616" s="676">
        <f t="shared" si="113"/>
        <v>0</v>
      </c>
      <c r="J616" s="676">
        <f t="shared" si="114"/>
        <v>0</v>
      </c>
      <c r="K616" s="676">
        <f t="shared" si="120"/>
        <v>72</v>
      </c>
      <c r="L616" s="1044">
        <f t="shared" si="115"/>
        <v>72</v>
      </c>
      <c r="M616" s="145"/>
      <c r="N616" s="684">
        <f t="shared" si="117"/>
        <v>46116</v>
      </c>
    </row>
    <row r="617" spans="1:14" ht="15.75" customHeight="1">
      <c r="A617" s="658">
        <v>46116</v>
      </c>
      <c r="B617" s="658" t="str">
        <f t="shared" si="111"/>
        <v>Sáb</v>
      </c>
      <c r="C617" s="674" t="s">
        <v>497</v>
      </c>
      <c r="D617" s="897" t="s">
        <v>522</v>
      </c>
      <c r="E617" s="687">
        <v>0.79166666666666663</v>
      </c>
      <c r="F617" s="687">
        <v>0.91666666666666663</v>
      </c>
      <c r="G617" s="688">
        <f t="shared" si="112"/>
        <v>3</v>
      </c>
      <c r="H617" s="676">
        <f>IF(D617="","",IFERROR(VLOOKUP(D617,'Resumen Empleado'!$A$4:$B$17,2,FALSE),""))</f>
        <v>10</v>
      </c>
      <c r="I617" s="676">
        <f t="shared" si="113"/>
        <v>0</v>
      </c>
      <c r="J617" s="676">
        <f t="shared" si="114"/>
        <v>0</v>
      </c>
      <c r="K617" s="676">
        <f t="shared" si="120"/>
        <v>30</v>
      </c>
      <c r="L617" s="1044">
        <f t="shared" si="115"/>
        <v>30</v>
      </c>
      <c r="M617" s="145"/>
      <c r="N617" s="684">
        <f t="shared" si="117"/>
        <v>46116</v>
      </c>
    </row>
    <row r="618" spans="1:14" ht="15.75" customHeight="1">
      <c r="A618" s="658">
        <v>46116</v>
      </c>
      <c r="B618" s="658" t="str">
        <f t="shared" si="111"/>
        <v>Sáb</v>
      </c>
      <c r="C618" s="674" t="s">
        <v>497</v>
      </c>
      <c r="D618" s="897" t="s">
        <v>532</v>
      </c>
      <c r="E618" s="687">
        <v>0.83333333333333337</v>
      </c>
      <c r="F618" s="687">
        <v>0.97916666666666663</v>
      </c>
      <c r="G618" s="688">
        <f t="shared" si="112"/>
        <v>3.4999999999999982</v>
      </c>
      <c r="H618" s="676">
        <f>IF(D618="","",IFERROR(VLOOKUP(D618,'Resumen Empleado'!$A$4:$B$17,2,FALSE),""))</f>
        <v>5.17</v>
      </c>
      <c r="I618" s="676">
        <f t="shared" si="113"/>
        <v>0</v>
      </c>
      <c r="J618" s="676">
        <f t="shared" si="114"/>
        <v>0</v>
      </c>
      <c r="K618" s="676">
        <f t="shared" si="120"/>
        <v>18.094999999999992</v>
      </c>
      <c r="L618" s="1044">
        <f t="shared" si="115"/>
        <v>18.094999999999992</v>
      </c>
      <c r="M618" s="145"/>
      <c r="N618" s="684">
        <f t="shared" si="117"/>
        <v>46116</v>
      </c>
    </row>
    <row r="619" spans="1:14" ht="15.75" customHeight="1">
      <c r="A619" s="658">
        <v>46116</v>
      </c>
      <c r="B619" s="658" t="str">
        <f t="shared" si="111"/>
        <v>Sáb</v>
      </c>
      <c r="C619" s="674" t="s">
        <v>497</v>
      </c>
      <c r="D619" s="897" t="s">
        <v>529</v>
      </c>
      <c r="E619" s="687">
        <v>0.83333333333333337</v>
      </c>
      <c r="F619" s="687">
        <v>0.96875</v>
      </c>
      <c r="G619" s="688">
        <f t="shared" si="112"/>
        <v>3.2499999999999991</v>
      </c>
      <c r="H619" s="676">
        <f>IF(D619="","",IFERROR(VLOOKUP(D619,'Resumen Empleado'!$A$4:$B$17,2,FALSE),""))</f>
        <v>8</v>
      </c>
      <c r="I619" s="676">
        <f t="shared" si="113"/>
        <v>0</v>
      </c>
      <c r="J619" s="676">
        <f t="shared" si="114"/>
        <v>0</v>
      </c>
      <c r="K619" s="676">
        <f t="shared" si="120"/>
        <v>25.999999999999993</v>
      </c>
      <c r="L619" s="1044">
        <f t="shared" si="115"/>
        <v>25.999999999999993</v>
      </c>
      <c r="M619" s="145"/>
      <c r="N619" s="684">
        <f t="shared" si="117"/>
        <v>46116</v>
      </c>
    </row>
    <row r="620" spans="1:14" ht="15.75" customHeight="1">
      <c r="A620" s="1023">
        <v>46116</v>
      </c>
      <c r="B620" s="882" t="str">
        <f t="shared" si="111"/>
        <v>Sáb</v>
      </c>
      <c r="C620" s="866" t="s">
        <v>146</v>
      </c>
      <c r="D620" s="883" t="s">
        <v>528</v>
      </c>
      <c r="E620" s="867">
        <v>0.33333333333333331</v>
      </c>
      <c r="F620" s="867">
        <v>0.66666666666666663</v>
      </c>
      <c r="G620" s="884">
        <f t="shared" si="112"/>
        <v>8</v>
      </c>
      <c r="H620" s="1042">
        <f>IF(D620="","",IFERROR(VLOOKUP(D620,'Resumen Empleado'!$A$4:$B$17,2,FALSE),""))</f>
        <v>11</v>
      </c>
      <c r="I620" s="1042">
        <f t="shared" si="113"/>
        <v>44</v>
      </c>
      <c r="J620" s="1042">
        <f t="shared" si="114"/>
        <v>43.999999999999993</v>
      </c>
      <c r="K620" s="1042">
        <f>IF(OR(E620="",F620="",H620=""),0,MAX(0,(MIN(IF(F620&lt;E620,1+F620,F620),1+TIME(5,0,0))-MAX(E620,TIME(19,0,0))))*24*H620)</f>
        <v>0</v>
      </c>
      <c r="L620" s="1047">
        <f t="shared" si="115"/>
        <v>88</v>
      </c>
      <c r="M620" s="865" t="str">
        <f t="shared" ref="M620:M651" si="121">IF(A620="","",IF(G620&gt;12,"⚠ Verificar",""))</f>
        <v/>
      </c>
      <c r="N620" s="1034">
        <f t="shared" si="117"/>
        <v>46116</v>
      </c>
    </row>
    <row r="621" spans="1:14" ht="15.75" customHeight="1">
      <c r="A621" s="902">
        <v>46117</v>
      </c>
      <c r="B621" s="882" t="s">
        <v>504</v>
      </c>
      <c r="C621" s="866" t="s">
        <v>146</v>
      </c>
      <c r="D621" s="883" t="s">
        <v>530</v>
      </c>
      <c r="E621" s="867">
        <v>0.54166666666666663</v>
      </c>
      <c r="F621" s="867">
        <v>0.66666666666666663</v>
      </c>
      <c r="G621" s="884">
        <f t="shared" si="112"/>
        <v>3</v>
      </c>
      <c r="H621" s="1042">
        <f>IF(D621="","",IFERROR(VLOOKUP(D621,'Resumen Empleado'!$A$4:$B$17,2,FALSE),""))</f>
        <v>8</v>
      </c>
      <c r="I621" s="1042">
        <f t="shared" si="113"/>
        <v>0</v>
      </c>
      <c r="J621" s="1042">
        <f t="shared" si="114"/>
        <v>24</v>
      </c>
      <c r="K621" s="1042">
        <f t="shared" ref="K621:K632" si="122">IF(OR(E621="",F621="",H621=""),0,MAX(0,(MIN(IF(F621&lt;E621,F621+1,F621),1+TIME(5,0,0))-MAX(E621,TIME(19,0,0))))*24*H621)</f>
        <v>0</v>
      </c>
      <c r="L621" s="1047">
        <f t="shared" si="115"/>
        <v>24</v>
      </c>
      <c r="M621" s="865" t="str">
        <f t="shared" si="121"/>
        <v/>
      </c>
      <c r="N621" s="906">
        <f t="shared" si="117"/>
        <v>46117</v>
      </c>
    </row>
    <row r="622" spans="1:14" ht="15.75" customHeight="1">
      <c r="A622" s="902">
        <v>46117</v>
      </c>
      <c r="B622" s="882" t="s">
        <v>504</v>
      </c>
      <c r="C622" s="866" t="s">
        <v>146</v>
      </c>
      <c r="D622" s="897" t="s">
        <v>529</v>
      </c>
      <c r="E622" s="867">
        <v>0.5</v>
      </c>
      <c r="F622" s="867">
        <v>0.66666666666666663</v>
      </c>
      <c r="G622" s="884">
        <f t="shared" si="112"/>
        <v>3.9999999999999991</v>
      </c>
      <c r="H622" s="1042">
        <f>IF(D622="","",IFERROR(VLOOKUP(D622,'Resumen Empleado'!$A$4:$B$17,2,FALSE),""))</f>
        <v>8</v>
      </c>
      <c r="I622" s="1042">
        <f t="shared" si="113"/>
        <v>0</v>
      </c>
      <c r="J622" s="1042">
        <f t="shared" si="114"/>
        <v>31.999999999999993</v>
      </c>
      <c r="K622" s="1042">
        <f t="shared" si="122"/>
        <v>0</v>
      </c>
      <c r="L622" s="1047">
        <f t="shared" si="115"/>
        <v>31.999999999999993</v>
      </c>
      <c r="M622" s="865" t="str">
        <f t="shared" si="121"/>
        <v/>
      </c>
      <c r="N622" s="906">
        <f t="shared" si="117"/>
        <v>46117</v>
      </c>
    </row>
    <row r="623" spans="1:14" ht="15.75" customHeight="1">
      <c r="A623" s="902">
        <v>46117</v>
      </c>
      <c r="B623" s="882" t="s">
        <v>504</v>
      </c>
      <c r="C623" s="866" t="s">
        <v>146</v>
      </c>
      <c r="D623" s="883" t="s">
        <v>525</v>
      </c>
      <c r="E623" s="867">
        <v>0.39583333333333331</v>
      </c>
      <c r="F623" s="867">
        <v>0.6875</v>
      </c>
      <c r="G623" s="884">
        <f t="shared" si="112"/>
        <v>7</v>
      </c>
      <c r="H623" s="1042">
        <f>IF(D623="","",IFERROR(VLOOKUP(D623,'Resumen Empleado'!$A$4:$B$17,2,FALSE),""))</f>
        <v>7.25</v>
      </c>
      <c r="I623" s="1042">
        <f t="shared" si="113"/>
        <v>18.125000000000004</v>
      </c>
      <c r="J623" s="1042">
        <f t="shared" si="114"/>
        <v>32.625</v>
      </c>
      <c r="K623" s="1042">
        <f t="shared" si="122"/>
        <v>0</v>
      </c>
      <c r="L623" s="1047">
        <f t="shared" si="115"/>
        <v>50.75</v>
      </c>
      <c r="M623" s="865" t="str">
        <f t="shared" si="121"/>
        <v/>
      </c>
      <c r="N623" s="906">
        <f t="shared" si="117"/>
        <v>46117</v>
      </c>
    </row>
    <row r="624" spans="1:14" ht="15.75" customHeight="1">
      <c r="A624" s="902">
        <v>46117</v>
      </c>
      <c r="B624" s="882" t="s">
        <v>504</v>
      </c>
      <c r="C624" s="866" t="s">
        <v>146</v>
      </c>
      <c r="D624" s="883" t="s">
        <v>522</v>
      </c>
      <c r="E624" s="867">
        <v>0.33333333333333331</v>
      </c>
      <c r="F624" s="867">
        <v>0.66666666666666663</v>
      </c>
      <c r="G624" s="884">
        <f t="shared" si="112"/>
        <v>8</v>
      </c>
      <c r="H624" s="1042">
        <f>IF(D624="","",IFERROR(VLOOKUP(D624,'Resumen Empleado'!$A$4:$B$17,2,FALSE),""))</f>
        <v>10</v>
      </c>
      <c r="I624" s="1042">
        <f t="shared" si="113"/>
        <v>40</v>
      </c>
      <c r="J624" s="1042">
        <f t="shared" si="114"/>
        <v>39.999999999999993</v>
      </c>
      <c r="K624" s="1042">
        <f t="shared" si="122"/>
        <v>0</v>
      </c>
      <c r="L624" s="1047">
        <f t="shared" si="115"/>
        <v>80</v>
      </c>
      <c r="M624" s="865" t="str">
        <f t="shared" si="121"/>
        <v/>
      </c>
      <c r="N624" s="906">
        <f t="shared" si="117"/>
        <v>46117</v>
      </c>
    </row>
    <row r="625" spans="1:14" ht="15.75" customHeight="1">
      <c r="A625" s="902">
        <v>46117</v>
      </c>
      <c r="B625" s="882" t="s">
        <v>504</v>
      </c>
      <c r="C625" s="866" t="s">
        <v>146</v>
      </c>
      <c r="D625" s="883" t="s">
        <v>532</v>
      </c>
      <c r="E625" s="867">
        <v>0.30208333333333331</v>
      </c>
      <c r="F625" s="867">
        <v>0.66666666666666663</v>
      </c>
      <c r="G625" s="884">
        <f t="shared" si="112"/>
        <v>8.75</v>
      </c>
      <c r="H625" s="1042">
        <f>IF(D625="","",IFERROR(VLOOKUP(D625,'Resumen Empleado'!$A$4:$B$17,2,FALSE),""))</f>
        <v>5.17</v>
      </c>
      <c r="I625" s="1042">
        <f t="shared" si="113"/>
        <v>24.557500000000001</v>
      </c>
      <c r="J625" s="1042">
        <f t="shared" si="114"/>
        <v>20.679999999999996</v>
      </c>
      <c r="K625" s="1042">
        <f t="shared" si="122"/>
        <v>0</v>
      </c>
      <c r="L625" s="1047">
        <f t="shared" si="115"/>
        <v>45.237499999999997</v>
      </c>
      <c r="M625" s="865" t="str">
        <f t="shared" si="121"/>
        <v/>
      </c>
      <c r="N625" s="906">
        <f t="shared" si="117"/>
        <v>46117</v>
      </c>
    </row>
    <row r="626" spans="1:14" ht="15.75" customHeight="1">
      <c r="A626" s="902">
        <v>46117</v>
      </c>
      <c r="B626" s="882" t="s">
        <v>504</v>
      </c>
      <c r="C626" s="866" t="s">
        <v>146</v>
      </c>
      <c r="D626" s="883" t="s">
        <v>526</v>
      </c>
      <c r="E626" s="867">
        <v>0.5</v>
      </c>
      <c r="F626" s="867">
        <v>0.66666666666666663</v>
      </c>
      <c r="G626" s="884">
        <f t="shared" si="112"/>
        <v>3.9999999999999991</v>
      </c>
      <c r="H626" s="1042">
        <f>IF(D626="","",IFERROR(VLOOKUP(D626,'Resumen Empleado'!$A$4:$B$17,2,FALSE),""))</f>
        <v>16</v>
      </c>
      <c r="I626" s="1042">
        <f t="shared" si="113"/>
        <v>0</v>
      </c>
      <c r="J626" s="1042">
        <f t="shared" si="114"/>
        <v>63.999999999999986</v>
      </c>
      <c r="K626" s="1042">
        <f t="shared" si="122"/>
        <v>0</v>
      </c>
      <c r="L626" s="1047">
        <f t="shared" si="115"/>
        <v>63.999999999999986</v>
      </c>
      <c r="M626" s="865" t="str">
        <f t="shared" si="121"/>
        <v/>
      </c>
      <c r="N626" s="906">
        <f t="shared" si="117"/>
        <v>46117</v>
      </c>
    </row>
    <row r="627" spans="1:14" ht="15.75" customHeight="1">
      <c r="A627" s="902">
        <v>46117</v>
      </c>
      <c r="B627" s="882" t="s">
        <v>504</v>
      </c>
      <c r="C627" s="866" t="s">
        <v>497</v>
      </c>
      <c r="D627" s="883" t="s">
        <v>529</v>
      </c>
      <c r="E627" s="867">
        <v>0.79166666666666663</v>
      </c>
      <c r="F627" s="867">
        <v>0.98958333333333337</v>
      </c>
      <c r="G627" s="884">
        <f t="shared" si="112"/>
        <v>4.7500000000000018</v>
      </c>
      <c r="H627" s="1042">
        <f>IF(D627="","",IFERROR(VLOOKUP(D627,'Resumen Empleado'!$A$4:$B$17,2,FALSE),""))</f>
        <v>8</v>
      </c>
      <c r="I627" s="1042">
        <f t="shared" si="113"/>
        <v>0</v>
      </c>
      <c r="J627" s="1042">
        <f t="shared" si="114"/>
        <v>0</v>
      </c>
      <c r="K627" s="1042">
        <f t="shared" si="122"/>
        <v>38.000000000000014</v>
      </c>
      <c r="L627" s="1047">
        <f t="shared" si="115"/>
        <v>38.000000000000014</v>
      </c>
      <c r="M627" s="865" t="str">
        <f t="shared" si="121"/>
        <v/>
      </c>
      <c r="N627" s="906">
        <f t="shared" si="117"/>
        <v>46117</v>
      </c>
    </row>
    <row r="628" spans="1:14" ht="15.75" customHeight="1">
      <c r="A628" s="899">
        <v>46117</v>
      </c>
      <c r="B628" s="886" t="s">
        <v>504</v>
      </c>
      <c r="C628" s="887" t="s">
        <v>497</v>
      </c>
      <c r="D628" s="897" t="s">
        <v>531</v>
      </c>
      <c r="E628" s="888">
        <v>0.85416666666666663</v>
      </c>
      <c r="F628" s="888">
        <v>0.98958333333333337</v>
      </c>
      <c r="G628" s="889">
        <f t="shared" si="112"/>
        <v>3.2500000000000018</v>
      </c>
      <c r="H628" s="1040">
        <f>IF(D628="","",IFERROR(VLOOKUP(D628,'Resumen Empleado'!$A$4:$B$17,2,FALSE),""))</f>
        <v>8</v>
      </c>
      <c r="I628" s="1040">
        <f t="shared" si="113"/>
        <v>0</v>
      </c>
      <c r="J628" s="1040">
        <f t="shared" si="114"/>
        <v>0</v>
      </c>
      <c r="K628" s="1040">
        <f t="shared" si="122"/>
        <v>26.000000000000014</v>
      </c>
      <c r="L628" s="1045">
        <f t="shared" si="115"/>
        <v>26.000000000000014</v>
      </c>
      <c r="M628" s="890" t="str">
        <f t="shared" si="121"/>
        <v/>
      </c>
      <c r="N628" s="903">
        <f t="shared" si="117"/>
        <v>46117</v>
      </c>
    </row>
    <row r="629" spans="1:14" ht="15.75" customHeight="1">
      <c r="A629" s="899">
        <v>46117</v>
      </c>
      <c r="B629" s="886" t="s">
        <v>504</v>
      </c>
      <c r="C629" s="887" t="s">
        <v>497</v>
      </c>
      <c r="D629" s="897" t="s">
        <v>525</v>
      </c>
      <c r="E629" s="888">
        <v>0.79166666666666663</v>
      </c>
      <c r="F629" s="888">
        <v>0.98958333333333337</v>
      </c>
      <c r="G629" s="889">
        <f t="shared" si="112"/>
        <v>4.7500000000000018</v>
      </c>
      <c r="H629" s="1040">
        <f>IF(D629="","",IFERROR(VLOOKUP(D629,'Resumen Empleado'!$A$4:$B$17,2,FALSE),""))</f>
        <v>7.25</v>
      </c>
      <c r="I629" s="1040">
        <f t="shared" si="113"/>
        <v>0</v>
      </c>
      <c r="J629" s="1040">
        <f t="shared" si="114"/>
        <v>0</v>
      </c>
      <c r="K629" s="1040">
        <f t="shared" si="122"/>
        <v>34.437500000000014</v>
      </c>
      <c r="L629" s="1045">
        <f t="shared" si="115"/>
        <v>34.437500000000014</v>
      </c>
      <c r="M629" s="890" t="str">
        <f t="shared" si="121"/>
        <v/>
      </c>
      <c r="N629" s="903">
        <f t="shared" si="117"/>
        <v>46117</v>
      </c>
    </row>
    <row r="630" spans="1:14" ht="15" customHeight="1">
      <c r="A630" s="899">
        <v>46117</v>
      </c>
      <c r="B630" s="886" t="s">
        <v>504</v>
      </c>
      <c r="C630" s="887" t="s">
        <v>497</v>
      </c>
      <c r="D630" s="897" t="s">
        <v>522</v>
      </c>
      <c r="E630" s="888">
        <v>0.83333333333333337</v>
      </c>
      <c r="F630" s="888">
        <v>0.97916666666666663</v>
      </c>
      <c r="G630" s="889">
        <f t="shared" si="112"/>
        <v>3.4999999999999982</v>
      </c>
      <c r="H630" s="1040">
        <f>IF(D630="","",IFERROR(VLOOKUP(D630,'Resumen Empleado'!$A$4:$B$17,2,FALSE),""))</f>
        <v>10</v>
      </c>
      <c r="I630" s="1040">
        <f t="shared" si="113"/>
        <v>0</v>
      </c>
      <c r="J630" s="1040">
        <f t="shared" si="114"/>
        <v>0</v>
      </c>
      <c r="K630" s="1040">
        <f t="shared" si="122"/>
        <v>34.999999999999986</v>
      </c>
      <c r="L630" s="1045">
        <f t="shared" si="115"/>
        <v>34.999999999999986</v>
      </c>
      <c r="M630" s="890" t="str">
        <f t="shared" si="121"/>
        <v/>
      </c>
      <c r="N630" s="903">
        <f t="shared" si="117"/>
        <v>46117</v>
      </c>
    </row>
    <row r="631" spans="1:14" ht="15" customHeight="1">
      <c r="A631" s="899">
        <v>46117</v>
      </c>
      <c r="B631" s="886" t="s">
        <v>504</v>
      </c>
      <c r="C631" s="887" t="s">
        <v>497</v>
      </c>
      <c r="D631" s="897" t="s">
        <v>532</v>
      </c>
      <c r="E631" s="888">
        <v>0.83333333333333337</v>
      </c>
      <c r="F631" s="888">
        <v>0.98958333333333337</v>
      </c>
      <c r="G631" s="889">
        <f t="shared" si="112"/>
        <v>3.75</v>
      </c>
      <c r="H631" s="1040">
        <f>IF(D631="","",IFERROR(VLOOKUP(D631,'Resumen Empleado'!$A$4:$B$17,2,FALSE),""))</f>
        <v>5.17</v>
      </c>
      <c r="I631" s="1040">
        <f t="shared" si="113"/>
        <v>0</v>
      </c>
      <c r="J631" s="1040">
        <f t="shared" si="114"/>
        <v>0</v>
      </c>
      <c r="K631" s="1040">
        <f t="shared" si="122"/>
        <v>19.387499999999999</v>
      </c>
      <c r="L631" s="1045">
        <f t="shared" si="115"/>
        <v>19.387499999999999</v>
      </c>
      <c r="M631" s="890" t="str">
        <f t="shared" si="121"/>
        <v/>
      </c>
      <c r="N631" s="903">
        <f t="shared" si="117"/>
        <v>46117</v>
      </c>
    </row>
    <row r="632" spans="1:14" ht="15" customHeight="1">
      <c r="A632" s="899">
        <v>46117</v>
      </c>
      <c r="B632" s="886" t="s">
        <v>504</v>
      </c>
      <c r="C632" s="887" t="s">
        <v>497</v>
      </c>
      <c r="D632" s="897" t="s">
        <v>526</v>
      </c>
      <c r="E632" s="888">
        <v>0.79166666666666663</v>
      </c>
      <c r="F632" s="888">
        <v>0.98958333333333337</v>
      </c>
      <c r="G632" s="889">
        <f t="shared" si="112"/>
        <v>4.7500000000000018</v>
      </c>
      <c r="H632" s="1040">
        <f>IF(D632="","",IFERROR(VLOOKUP(D632,'Resumen Empleado'!$A$4:$B$17,2,FALSE),""))</f>
        <v>16</v>
      </c>
      <c r="I632" s="1040">
        <f t="shared" si="113"/>
        <v>0</v>
      </c>
      <c r="J632" s="1040">
        <f t="shared" si="114"/>
        <v>0</v>
      </c>
      <c r="K632" s="1040">
        <f t="shared" si="122"/>
        <v>76.000000000000028</v>
      </c>
      <c r="L632" s="1045">
        <f t="shared" si="115"/>
        <v>76.000000000000028</v>
      </c>
      <c r="M632" s="890" t="str">
        <f t="shared" si="121"/>
        <v/>
      </c>
      <c r="N632" s="903">
        <f t="shared" si="117"/>
        <v>46117</v>
      </c>
    </row>
    <row r="633" spans="1:14" ht="15" customHeight="1">
      <c r="A633" s="886">
        <v>46117</v>
      </c>
      <c r="B633" s="886" t="str">
        <f t="shared" ref="B633:B638" si="123">IF(A633="","",PROPER(TEXT(A633,"ddd")))</f>
        <v>Dom</v>
      </c>
      <c r="C633" s="887" t="s">
        <v>146</v>
      </c>
      <c r="D633" s="897" t="s">
        <v>528</v>
      </c>
      <c r="E633" s="888">
        <v>0.33333333333333331</v>
      </c>
      <c r="F633" s="888">
        <v>0.66666666666666663</v>
      </c>
      <c r="G633" s="889">
        <f t="shared" si="112"/>
        <v>8</v>
      </c>
      <c r="H633" s="1040">
        <f>IF(D633="","",IFERROR(VLOOKUP(D633,'Resumen Empleado'!$A$4:$B$17,2,FALSE),""))</f>
        <v>11</v>
      </c>
      <c r="I633" s="1040">
        <f t="shared" si="113"/>
        <v>44</v>
      </c>
      <c r="J633" s="1040">
        <f t="shared" si="114"/>
        <v>43.999999999999993</v>
      </c>
      <c r="K633" s="1040">
        <f>IF(OR(E633="",F633="",H633=""),0,MAX(0,(MIN(IF(F633&lt;E633,1+F633,F633),1+TIME(5,0,0))-MAX(E633,TIME(19,0,0))))*24*H633)</f>
        <v>0</v>
      </c>
      <c r="L633" s="1045">
        <f t="shared" si="115"/>
        <v>88</v>
      </c>
      <c r="M633" s="890" t="str">
        <f t="shared" si="121"/>
        <v/>
      </c>
      <c r="N633" s="1033">
        <f t="shared" si="117"/>
        <v>46117</v>
      </c>
    </row>
    <row r="634" spans="1:14" ht="15" customHeight="1">
      <c r="A634" s="899">
        <v>46118</v>
      </c>
      <c r="B634" s="886" t="str">
        <f t="shared" si="123"/>
        <v>Lun</v>
      </c>
      <c r="C634" s="887" t="s">
        <v>497</v>
      </c>
      <c r="D634" s="897" t="s">
        <v>527</v>
      </c>
      <c r="E634" s="888">
        <v>0.8125</v>
      </c>
      <c r="F634" s="888">
        <v>0.89583333333333337</v>
      </c>
      <c r="G634" s="889">
        <f t="shared" si="112"/>
        <v>2.0000000000000009</v>
      </c>
      <c r="H634" s="1040" t="str">
        <f>IF(D634="","",IFERROR(VLOOKUP(D634,'Resumen Empleado'!$A$4:$B$17,2,FALSE),""))</f>
        <v/>
      </c>
      <c r="I634" s="1040">
        <f t="shared" si="113"/>
        <v>0</v>
      </c>
      <c r="J634" s="1040">
        <f t="shared" si="114"/>
        <v>0</v>
      </c>
      <c r="K634" s="1040">
        <f>IF(OR(E634="",F634="",H634=""),0,MAX(0,(MIN(IF(F634&lt;E634,F634+1,F634),1+TIME(5,0,0))-MAX(E634,TIME(19,0,0))))*24*H634)</f>
        <v>0</v>
      </c>
      <c r="L634" s="1045">
        <f t="shared" si="115"/>
        <v>0</v>
      </c>
      <c r="M634" s="890" t="str">
        <f t="shared" si="121"/>
        <v/>
      </c>
      <c r="N634" s="903">
        <f t="shared" si="117"/>
        <v>46118</v>
      </c>
    </row>
    <row r="635" spans="1:14" s="74" customFormat="1" ht="15" customHeight="1">
      <c r="A635" s="886">
        <v>46118</v>
      </c>
      <c r="B635" s="886" t="str">
        <f t="shared" si="123"/>
        <v>Lun</v>
      </c>
      <c r="C635" s="887" t="s">
        <v>146</v>
      </c>
      <c r="D635" s="897" t="s">
        <v>528</v>
      </c>
      <c r="E635" s="888">
        <v>0.33333333333333331</v>
      </c>
      <c r="F635" s="888">
        <v>0.66666666666666663</v>
      </c>
      <c r="G635" s="889">
        <f t="shared" si="112"/>
        <v>8</v>
      </c>
      <c r="H635" s="1040">
        <f>IF(D635="","",IFERROR(VLOOKUP(D635,'Resumen Empleado'!$A$4:$B$17,2,FALSE),""))</f>
        <v>11</v>
      </c>
      <c r="I635" s="1040">
        <f t="shared" si="113"/>
        <v>44</v>
      </c>
      <c r="J635" s="1040">
        <f t="shared" si="114"/>
        <v>43.999999999999993</v>
      </c>
      <c r="K635" s="1040">
        <f>IF(OR(E635="",F635="",H635=""),0,MAX(0,(MIN(IF(F635&lt;E635,1+F635,F635),1+TIME(5,0,0))-MAX(E635,TIME(19,0,0))))*24*H635)</f>
        <v>0</v>
      </c>
      <c r="L635" s="1045">
        <f t="shared" si="115"/>
        <v>88</v>
      </c>
      <c r="M635" s="890" t="str">
        <f t="shared" si="121"/>
        <v/>
      </c>
      <c r="N635" s="1033">
        <f t="shared" si="117"/>
        <v>46118</v>
      </c>
    </row>
    <row r="636" spans="1:14" ht="15" customHeight="1">
      <c r="A636" s="899">
        <v>46119</v>
      </c>
      <c r="B636" s="886" t="str">
        <f t="shared" si="123"/>
        <v>Mar</v>
      </c>
      <c r="C636" s="887" t="s">
        <v>497</v>
      </c>
      <c r="D636" s="897" t="s">
        <v>527</v>
      </c>
      <c r="E636" s="888">
        <v>0.8125</v>
      </c>
      <c r="F636" s="888">
        <v>0.89583333333333337</v>
      </c>
      <c r="G636" s="889">
        <f t="shared" si="112"/>
        <v>2.0000000000000009</v>
      </c>
      <c r="H636" s="1040" t="str">
        <f>IF(D636="","",IFERROR(VLOOKUP(D636,'Resumen Empleado'!$A$4:$B$17,2,FALSE),""))</f>
        <v/>
      </c>
      <c r="I636" s="1040">
        <f t="shared" si="113"/>
        <v>0</v>
      </c>
      <c r="J636" s="1040">
        <f t="shared" si="114"/>
        <v>0</v>
      </c>
      <c r="K636" s="1040">
        <f>IF(OR(E636="",F636="",H636=""),0,MAX(0,(MIN(IF(F636&lt;E636,F636+1,F636),1+TIME(5,0,0))-MAX(E636,TIME(19,0,0))))*24*H636)</f>
        <v>0</v>
      </c>
      <c r="L636" s="1045">
        <f t="shared" si="115"/>
        <v>0</v>
      </c>
      <c r="M636" s="890" t="str">
        <f t="shared" si="121"/>
        <v/>
      </c>
      <c r="N636" s="903">
        <f t="shared" si="117"/>
        <v>46119</v>
      </c>
    </row>
    <row r="637" spans="1:14" ht="15" customHeight="1">
      <c r="A637" s="891">
        <v>46119</v>
      </c>
      <c r="B637" s="891" t="str">
        <f t="shared" si="123"/>
        <v>Mar</v>
      </c>
      <c r="C637" s="892" t="s">
        <v>146</v>
      </c>
      <c r="D637" s="896" t="s">
        <v>528</v>
      </c>
      <c r="E637" s="893">
        <v>0.33333333333333331</v>
      </c>
      <c r="F637" s="893">
        <v>0.66666666666666663</v>
      </c>
      <c r="G637" s="894">
        <f t="shared" si="112"/>
        <v>8</v>
      </c>
      <c r="H637" s="1041">
        <f>IF(D637="","",IFERROR(VLOOKUP(D637,'Resumen Empleado'!$A$4:$B$17,2,FALSE),""))</f>
        <v>11</v>
      </c>
      <c r="I637" s="1041">
        <f t="shared" si="113"/>
        <v>44</v>
      </c>
      <c r="J637" s="1041">
        <f t="shared" si="114"/>
        <v>43.999999999999993</v>
      </c>
      <c r="K637" s="1041">
        <f>IF(OR(E637="",F637="",H637=""),0,MAX(0,(MIN(IF(F637&lt;E637,1+F637,F637),1+TIME(5,0,0))-MAX(E637,TIME(19,0,0))))*24*H637)</f>
        <v>0</v>
      </c>
      <c r="L637" s="1046">
        <f t="shared" si="115"/>
        <v>88</v>
      </c>
      <c r="M637" s="895" t="str">
        <f t="shared" si="121"/>
        <v/>
      </c>
      <c r="N637" s="1032">
        <f t="shared" si="117"/>
        <v>46119</v>
      </c>
    </row>
    <row r="638" spans="1:14" ht="15" customHeight="1">
      <c r="A638" s="901">
        <v>46120</v>
      </c>
      <c r="B638" s="658" t="str">
        <f t="shared" si="123"/>
        <v>Mié</v>
      </c>
      <c r="C638" s="674" t="s">
        <v>497</v>
      </c>
      <c r="D638" s="885" t="s">
        <v>527</v>
      </c>
      <c r="E638" s="687">
        <v>0.8125</v>
      </c>
      <c r="F638" s="687">
        <v>0.89583333333333337</v>
      </c>
      <c r="G638" s="688">
        <f t="shared" si="112"/>
        <v>2.0000000000000009</v>
      </c>
      <c r="H638" s="676" t="str">
        <f>IF(D638="","",IFERROR(VLOOKUP(D638,'Resumen Empleado'!$A$4:$B$17,2,FALSE),""))</f>
        <v/>
      </c>
      <c r="I638" s="676">
        <f t="shared" si="113"/>
        <v>0</v>
      </c>
      <c r="J638" s="676">
        <f t="shared" si="114"/>
        <v>0</v>
      </c>
      <c r="K638" s="676">
        <f>IF(OR(E638="",F638="",H638=""),0,MAX(0,(MIN(IF(F638&lt;E638,F638+1,F638),1+TIME(5,0,0))-MAX(E638,TIME(19,0,0))))*24*H638)</f>
        <v>0</v>
      </c>
      <c r="L638" s="1044">
        <f t="shared" si="115"/>
        <v>0</v>
      </c>
      <c r="M638" s="145" t="str">
        <f t="shared" si="121"/>
        <v/>
      </c>
      <c r="N638" s="905">
        <f t="shared" si="117"/>
        <v>46120</v>
      </c>
    </row>
    <row r="639" spans="1:14" ht="15" customHeight="1">
      <c r="A639" s="902">
        <v>46120</v>
      </c>
      <c r="B639" s="882" t="s">
        <v>505</v>
      </c>
      <c r="C639" s="866" t="s">
        <v>146</v>
      </c>
      <c r="D639" s="883" t="s">
        <v>525</v>
      </c>
      <c r="E639" s="867">
        <v>0.54166666666666663</v>
      </c>
      <c r="F639" s="867">
        <v>0.79166666666666663</v>
      </c>
      <c r="G639" s="884">
        <f t="shared" si="112"/>
        <v>6</v>
      </c>
      <c r="H639" s="1042">
        <f>IF(D639="","",IFERROR(VLOOKUP(D639,'Resumen Empleado'!$A$4:$B$17,2,FALSE),""))</f>
        <v>7.25</v>
      </c>
      <c r="I639" s="1042">
        <f t="shared" si="113"/>
        <v>0</v>
      </c>
      <c r="J639" s="1042">
        <f t="shared" si="114"/>
        <v>43.5</v>
      </c>
      <c r="K639" s="1042">
        <f>IF(OR(E639="",F639="",H639=""),0,MAX(0,(MIN(IF(F639&lt;E639,F639+1,F639),1+TIME(5,0,0))-MAX(E639,TIME(19,0,0))))*24*H639)</f>
        <v>0</v>
      </c>
      <c r="L639" s="1047">
        <f t="shared" si="115"/>
        <v>43.5</v>
      </c>
      <c r="M639" s="865" t="str">
        <f t="shared" si="121"/>
        <v/>
      </c>
      <c r="N639" s="906">
        <f t="shared" si="117"/>
        <v>46120</v>
      </c>
    </row>
    <row r="640" spans="1:14" ht="15" customHeight="1">
      <c r="A640" s="902">
        <v>46120</v>
      </c>
      <c r="B640" s="882" t="s">
        <v>505</v>
      </c>
      <c r="C640" s="866" t="s">
        <v>146</v>
      </c>
      <c r="D640" s="897" t="s">
        <v>522</v>
      </c>
      <c r="E640" s="867">
        <v>0.29166666666666669</v>
      </c>
      <c r="F640" s="867">
        <v>0.625</v>
      </c>
      <c r="G640" s="884">
        <f t="shared" si="112"/>
        <v>8</v>
      </c>
      <c r="H640" s="1042">
        <f>IF(D640="","",IFERROR(VLOOKUP(D640,'Resumen Empleado'!$A$4:$B$17,2,FALSE),""))</f>
        <v>10</v>
      </c>
      <c r="I640" s="1042">
        <f t="shared" si="113"/>
        <v>50</v>
      </c>
      <c r="J640" s="1042">
        <f t="shared" si="114"/>
        <v>30</v>
      </c>
      <c r="K640" s="1042">
        <f>IF(OR(E640="",F640="",H640=""),0,MAX(0,(MIN(IF(F640&lt;E640,F640+1,F640),1+TIME(5,0,0))-MAX(E640,TIME(19,0,0))))*24*H640)</f>
        <v>0</v>
      </c>
      <c r="L640" s="1047">
        <f t="shared" si="115"/>
        <v>80</v>
      </c>
      <c r="M640" s="865" t="str">
        <f t="shared" si="121"/>
        <v/>
      </c>
      <c r="N640" s="906">
        <f t="shared" si="117"/>
        <v>46120</v>
      </c>
    </row>
    <row r="641" spans="1:14" s="74" customFormat="1" ht="15" customHeight="1">
      <c r="A641" s="886">
        <v>46120</v>
      </c>
      <c r="B641" s="886" t="str">
        <f>IF(A641="","",PROPER(TEXT(A641,"ddd")))</f>
        <v>Mié</v>
      </c>
      <c r="C641" s="887" t="s">
        <v>146</v>
      </c>
      <c r="D641" s="897" t="s">
        <v>528</v>
      </c>
      <c r="E641" s="888">
        <v>0.33333333333333331</v>
      </c>
      <c r="F641" s="888">
        <v>0.66666666666666663</v>
      </c>
      <c r="G641" s="889">
        <f t="shared" si="112"/>
        <v>8</v>
      </c>
      <c r="H641" s="1040">
        <f>IF(D641="","",IFERROR(VLOOKUP(D641,'Resumen Empleado'!$A$4:$B$17,2,FALSE),""))</f>
        <v>11</v>
      </c>
      <c r="I641" s="1040">
        <f t="shared" si="113"/>
        <v>44</v>
      </c>
      <c r="J641" s="1040">
        <f t="shared" si="114"/>
        <v>43.999999999999993</v>
      </c>
      <c r="K641" s="1040">
        <f>IF(OR(E641="",F641="",H641=""),0,MAX(0,(MIN(IF(F641&lt;E641,1+F641,F641),1+TIME(5,0,0))-MAX(E641,TIME(19,0,0))))*24*H641)</f>
        <v>0</v>
      </c>
      <c r="L641" s="1045">
        <f t="shared" si="115"/>
        <v>88</v>
      </c>
      <c r="M641" s="890" t="str">
        <f t="shared" si="121"/>
        <v/>
      </c>
      <c r="N641" s="1033">
        <f t="shared" si="117"/>
        <v>46120</v>
      </c>
    </row>
    <row r="642" spans="1:14" s="74" customFormat="1" ht="15" customHeight="1">
      <c r="A642" s="899">
        <v>46122</v>
      </c>
      <c r="B642" s="886" t="s">
        <v>502</v>
      </c>
      <c r="C642" s="887" t="s">
        <v>146</v>
      </c>
      <c r="D642" s="897" t="s">
        <v>525</v>
      </c>
      <c r="E642" s="888">
        <v>0.54166666666666663</v>
      </c>
      <c r="F642" s="888">
        <v>0.66666666666666663</v>
      </c>
      <c r="G642" s="889">
        <f t="shared" si="112"/>
        <v>3</v>
      </c>
      <c r="H642" s="1040">
        <f>IF(D642="","",IFERROR(VLOOKUP(D642,'Resumen Empleado'!$A$4:$B$17,2,FALSE),""))</f>
        <v>7.25</v>
      </c>
      <c r="I642" s="1040">
        <f t="shared" si="113"/>
        <v>0</v>
      </c>
      <c r="J642" s="1040">
        <f t="shared" si="114"/>
        <v>21.75</v>
      </c>
      <c r="K642" s="1040">
        <f t="shared" ref="K642:K651" si="124">IF(OR(E642="",F642="",H642=""),0,MAX(0,(MIN(IF(F642&lt;E642,F642+1,F642),1+TIME(5,0,0))-MAX(E642,TIME(19,0,0))))*24*H642)</f>
        <v>0</v>
      </c>
      <c r="L642" s="1045">
        <f t="shared" si="115"/>
        <v>21.75</v>
      </c>
      <c r="M642" s="890" t="str">
        <f t="shared" si="121"/>
        <v/>
      </c>
      <c r="N642" s="903">
        <f t="shared" si="117"/>
        <v>46122</v>
      </c>
    </row>
    <row r="643" spans="1:14" s="74" customFormat="1" ht="15" customHeight="1">
      <c r="A643" s="899">
        <v>46122</v>
      </c>
      <c r="B643" s="886" t="s">
        <v>502</v>
      </c>
      <c r="C643" s="887" t="s">
        <v>146</v>
      </c>
      <c r="D643" s="897" t="s">
        <v>522</v>
      </c>
      <c r="E643" s="888">
        <v>0.54166666666666663</v>
      </c>
      <c r="F643" s="888">
        <v>0.66666666666666663</v>
      </c>
      <c r="G643" s="889">
        <f t="shared" si="112"/>
        <v>3</v>
      </c>
      <c r="H643" s="1040">
        <f>IF(D643="","",IFERROR(VLOOKUP(D643,'Resumen Empleado'!$A$4:$B$17,2,FALSE),""))</f>
        <v>10</v>
      </c>
      <c r="I643" s="1040">
        <f t="shared" si="113"/>
        <v>0</v>
      </c>
      <c r="J643" s="1040">
        <f t="shared" si="114"/>
        <v>30</v>
      </c>
      <c r="K643" s="1040">
        <f t="shared" si="124"/>
        <v>0</v>
      </c>
      <c r="L643" s="1045">
        <f t="shared" si="115"/>
        <v>30</v>
      </c>
      <c r="M643" s="890" t="str">
        <f t="shared" si="121"/>
        <v/>
      </c>
      <c r="N643" s="903">
        <f t="shared" si="117"/>
        <v>46122</v>
      </c>
    </row>
    <row r="644" spans="1:14" s="74" customFormat="1" ht="15" customHeight="1">
      <c r="A644" s="899">
        <v>46122</v>
      </c>
      <c r="B644" s="886" t="s">
        <v>502</v>
      </c>
      <c r="C644" s="887" t="s">
        <v>146</v>
      </c>
      <c r="D644" s="897" t="s">
        <v>532</v>
      </c>
      <c r="E644" s="888">
        <v>0.5</v>
      </c>
      <c r="F644" s="888">
        <v>0.66666666666666663</v>
      </c>
      <c r="G644" s="889">
        <f t="shared" si="112"/>
        <v>3.9999999999999991</v>
      </c>
      <c r="H644" s="1040">
        <f>IF(D644="","",IFERROR(VLOOKUP(D644,'Resumen Empleado'!$A$4:$B$17,2,FALSE),""))</f>
        <v>5.17</v>
      </c>
      <c r="I644" s="1040">
        <f t="shared" si="113"/>
        <v>0</v>
      </c>
      <c r="J644" s="1040">
        <f t="shared" si="114"/>
        <v>20.679999999999996</v>
      </c>
      <c r="K644" s="1040">
        <f t="shared" si="124"/>
        <v>0</v>
      </c>
      <c r="L644" s="1045">
        <f t="shared" si="115"/>
        <v>20.679999999999996</v>
      </c>
      <c r="M644" s="890" t="str">
        <f t="shared" si="121"/>
        <v/>
      </c>
      <c r="N644" s="903">
        <f t="shared" si="117"/>
        <v>46122</v>
      </c>
    </row>
    <row r="645" spans="1:14" s="74" customFormat="1" ht="15" customHeight="1">
      <c r="A645" s="899">
        <v>46122</v>
      </c>
      <c r="B645" s="886" t="s">
        <v>502</v>
      </c>
      <c r="C645" s="887" t="s">
        <v>146</v>
      </c>
      <c r="D645" s="897" t="s">
        <v>526</v>
      </c>
      <c r="E645" s="888">
        <v>0.41666666666666669</v>
      </c>
      <c r="F645" s="888">
        <v>0.63541666666666663</v>
      </c>
      <c r="G645" s="889">
        <f t="shared" ref="G645:G708" si="125">IF(F645&lt;E645,F645+1-E645,F645-E645)*24</f>
        <v>5.2499999999999982</v>
      </c>
      <c r="H645" s="1040">
        <f>IF(D645="","",IFERROR(VLOOKUP(D645,'Resumen Empleado'!$A$4:$B$17,2,FALSE),""))</f>
        <v>16</v>
      </c>
      <c r="I645" s="1040">
        <f t="shared" ref="I645:I708" si="126">IF(OR(E645="",F645="",H645=""),0,MAX(0,(MIN(IF(F645&lt;E645,F645+1,F645),TIME(12,0,0))-MAX(E645,TIME(5,0,0))))*24*H645)</f>
        <v>31.999999999999993</v>
      </c>
      <c r="J645" s="1040">
        <f t="shared" ref="J645:J708" si="127">IF(OR(E645="",F645="",H645=""),0,MAX(0,(MIN(IF(F645&lt;E645,F645+1,F645),TIME(19,0,0))-MAX(E645,TIME(12,0,0))))*24*H645)</f>
        <v>51.999999999999986</v>
      </c>
      <c r="K645" s="1040">
        <f t="shared" si="124"/>
        <v>0</v>
      </c>
      <c r="L645" s="1045">
        <f t="shared" ref="L645:L708" si="128">SUM(I645:K645)</f>
        <v>83.999999999999972</v>
      </c>
      <c r="M645" s="890" t="str">
        <f t="shared" si="121"/>
        <v/>
      </c>
      <c r="N645" s="903">
        <f t="shared" ref="N645:N708" si="129">IF(A645="","",IF(ISNUMBER(A645),A645,DATE(VALUE(RIGHT(A645,4)),VALUE(MID(A645,4,2)),VALUE(LEFT(A645,2)))))</f>
        <v>46122</v>
      </c>
    </row>
    <row r="646" spans="1:14" s="74" customFormat="1" ht="15" customHeight="1">
      <c r="A646" s="900">
        <v>46122</v>
      </c>
      <c r="B646" s="891" t="s">
        <v>502</v>
      </c>
      <c r="C646" s="892" t="s">
        <v>497</v>
      </c>
      <c r="D646" s="896" t="s">
        <v>535</v>
      </c>
      <c r="E646" s="893">
        <v>0.91666666666666663</v>
      </c>
      <c r="F646" s="893">
        <v>0.97916666666666663</v>
      </c>
      <c r="G646" s="894">
        <f t="shared" si="125"/>
        <v>1.5</v>
      </c>
      <c r="H646" s="1041">
        <f>IF(D646="","",IFERROR(VLOOKUP(D646,'Resumen Empleado'!$A$4:$B$17,2,FALSE),""))</f>
        <v>6</v>
      </c>
      <c r="I646" s="1041">
        <f t="shared" si="126"/>
        <v>0</v>
      </c>
      <c r="J646" s="1041">
        <f t="shared" si="127"/>
        <v>0</v>
      </c>
      <c r="K646" s="1041">
        <f t="shared" si="124"/>
        <v>9</v>
      </c>
      <c r="L646" s="1046">
        <f t="shared" si="128"/>
        <v>9</v>
      </c>
      <c r="M646" s="895" t="str">
        <f t="shared" si="121"/>
        <v/>
      </c>
      <c r="N646" s="904">
        <f t="shared" si="129"/>
        <v>46122</v>
      </c>
    </row>
    <row r="647" spans="1:14" ht="15.75" customHeight="1">
      <c r="A647" s="1022">
        <v>46122</v>
      </c>
      <c r="B647" s="658" t="s">
        <v>502</v>
      </c>
      <c r="C647" s="674" t="s">
        <v>497</v>
      </c>
      <c r="D647" s="885" t="s">
        <v>531</v>
      </c>
      <c r="E647" s="687">
        <v>0.83333333333333337</v>
      </c>
      <c r="F647" s="687">
        <v>0.94791666666666663</v>
      </c>
      <c r="G647" s="688">
        <f t="shared" si="125"/>
        <v>2.7499999999999982</v>
      </c>
      <c r="H647" s="676">
        <f>IF(D647="","",IFERROR(VLOOKUP(D647,'Resumen Empleado'!$A$4:$B$17,2,FALSE),""))</f>
        <v>8</v>
      </c>
      <c r="I647" s="676">
        <f t="shared" si="126"/>
        <v>0</v>
      </c>
      <c r="J647" s="676">
        <f t="shared" si="127"/>
        <v>0</v>
      </c>
      <c r="K647" s="676">
        <f t="shared" si="124"/>
        <v>21.999999999999986</v>
      </c>
      <c r="L647" s="1044">
        <f t="shared" si="128"/>
        <v>21.999999999999986</v>
      </c>
      <c r="M647" s="145" t="str">
        <f t="shared" si="121"/>
        <v/>
      </c>
      <c r="N647" s="1031">
        <f t="shared" si="129"/>
        <v>46122</v>
      </c>
    </row>
    <row r="648" spans="1:14" ht="15.75" customHeight="1">
      <c r="A648" s="1022">
        <v>46122</v>
      </c>
      <c r="B648" s="658" t="s">
        <v>502</v>
      </c>
      <c r="C648" s="674" t="s">
        <v>497</v>
      </c>
      <c r="D648" s="885" t="s">
        <v>525</v>
      </c>
      <c r="E648" s="687">
        <v>0.79166666666666663</v>
      </c>
      <c r="F648" s="687">
        <v>0.97916666666666663</v>
      </c>
      <c r="G648" s="688">
        <f t="shared" si="125"/>
        <v>4.5</v>
      </c>
      <c r="H648" s="676">
        <f>IF(D648="","",IFERROR(VLOOKUP(D648,'Resumen Empleado'!$A$4:$B$17,2,FALSE),""))</f>
        <v>7.25</v>
      </c>
      <c r="I648" s="676">
        <f t="shared" si="126"/>
        <v>0</v>
      </c>
      <c r="J648" s="676">
        <f t="shared" si="127"/>
        <v>0</v>
      </c>
      <c r="K648" s="676">
        <f t="shared" si="124"/>
        <v>32.625</v>
      </c>
      <c r="L648" s="1044">
        <f t="shared" si="128"/>
        <v>32.625</v>
      </c>
      <c r="M648" s="145" t="str">
        <f t="shared" si="121"/>
        <v/>
      </c>
      <c r="N648" s="1031">
        <f t="shared" si="129"/>
        <v>46122</v>
      </c>
    </row>
    <row r="649" spans="1:14" ht="15.75" customHeight="1">
      <c r="A649" s="1022">
        <v>46122</v>
      </c>
      <c r="B649" s="658" t="s">
        <v>502</v>
      </c>
      <c r="C649" s="674" t="s">
        <v>497</v>
      </c>
      <c r="D649" s="897" t="s">
        <v>522</v>
      </c>
      <c r="E649" s="687">
        <v>0.79166666666666663</v>
      </c>
      <c r="F649" s="687">
        <v>0.91666666666666663</v>
      </c>
      <c r="G649" s="688">
        <f t="shared" si="125"/>
        <v>3</v>
      </c>
      <c r="H649" s="676">
        <f>IF(D649="","",IFERROR(VLOOKUP(D649,'Resumen Empleado'!$A$4:$B$17,2,FALSE),""))</f>
        <v>10</v>
      </c>
      <c r="I649" s="676">
        <f t="shared" si="126"/>
        <v>0</v>
      </c>
      <c r="J649" s="676">
        <f t="shared" si="127"/>
        <v>0</v>
      </c>
      <c r="K649" s="676">
        <f t="shared" si="124"/>
        <v>30</v>
      </c>
      <c r="L649" s="1044">
        <f t="shared" si="128"/>
        <v>30</v>
      </c>
      <c r="M649" s="145" t="str">
        <f t="shared" si="121"/>
        <v/>
      </c>
      <c r="N649" s="1031">
        <f t="shared" si="129"/>
        <v>46122</v>
      </c>
    </row>
    <row r="650" spans="1:14" ht="15.75" customHeight="1">
      <c r="A650" s="1022">
        <v>46122</v>
      </c>
      <c r="B650" s="658" t="s">
        <v>502</v>
      </c>
      <c r="C650" s="674" t="s">
        <v>497</v>
      </c>
      <c r="D650" s="885" t="s">
        <v>532</v>
      </c>
      <c r="E650" s="687">
        <v>0.79166666666666663</v>
      </c>
      <c r="F650" s="687">
        <v>0.97916666666666663</v>
      </c>
      <c r="G650" s="688">
        <f t="shared" si="125"/>
        <v>4.5</v>
      </c>
      <c r="H650" s="676">
        <f>IF(D650="","",IFERROR(VLOOKUP(D650,'Resumen Empleado'!$A$4:$B$17,2,FALSE),""))</f>
        <v>5.17</v>
      </c>
      <c r="I650" s="676">
        <f t="shared" si="126"/>
        <v>0</v>
      </c>
      <c r="J650" s="676">
        <f t="shared" si="127"/>
        <v>0</v>
      </c>
      <c r="K650" s="676">
        <f t="shared" si="124"/>
        <v>23.265000000000001</v>
      </c>
      <c r="L650" s="1044">
        <f t="shared" si="128"/>
        <v>23.265000000000001</v>
      </c>
      <c r="M650" s="145" t="str">
        <f t="shared" si="121"/>
        <v/>
      </c>
      <c r="N650" s="1031">
        <f t="shared" si="129"/>
        <v>46122</v>
      </c>
    </row>
    <row r="651" spans="1:14" ht="15.75" customHeight="1">
      <c r="A651" s="1022">
        <v>46122</v>
      </c>
      <c r="B651" s="658" t="s">
        <v>502</v>
      </c>
      <c r="C651" s="674" t="s">
        <v>497</v>
      </c>
      <c r="D651" s="885" t="s">
        <v>526</v>
      </c>
      <c r="E651" s="687">
        <v>0.83333333333333337</v>
      </c>
      <c r="F651" s="687">
        <v>0.97916666666666663</v>
      </c>
      <c r="G651" s="688">
        <f t="shared" si="125"/>
        <v>3.4999999999999982</v>
      </c>
      <c r="H651" s="676">
        <f>IF(D651="","",IFERROR(VLOOKUP(D651,'Resumen Empleado'!$A$4:$B$17,2,FALSE),""))</f>
        <v>16</v>
      </c>
      <c r="I651" s="676">
        <f t="shared" si="126"/>
        <v>0</v>
      </c>
      <c r="J651" s="676">
        <f t="shared" si="127"/>
        <v>0</v>
      </c>
      <c r="K651" s="676">
        <f t="shared" si="124"/>
        <v>55.999999999999972</v>
      </c>
      <c r="L651" s="1044">
        <f t="shared" si="128"/>
        <v>55.999999999999972</v>
      </c>
      <c r="M651" s="145" t="str">
        <f t="shared" si="121"/>
        <v/>
      </c>
      <c r="N651" s="1031">
        <f t="shared" si="129"/>
        <v>46122</v>
      </c>
    </row>
    <row r="652" spans="1:14" ht="15.75" customHeight="1">
      <c r="A652" s="658">
        <v>46122</v>
      </c>
      <c r="B652" s="658" t="str">
        <f t="shared" ref="B652:B683" si="130">IF(A652="","",PROPER(TEXT(A652,"ddd")))</f>
        <v>Vie</v>
      </c>
      <c r="C652" s="674" t="s">
        <v>146</v>
      </c>
      <c r="D652" s="885" t="s">
        <v>528</v>
      </c>
      <c r="E652" s="687">
        <v>0.33333333333333331</v>
      </c>
      <c r="F652" s="687">
        <v>0.66666666666666663</v>
      </c>
      <c r="G652" s="688">
        <f t="shared" si="125"/>
        <v>8</v>
      </c>
      <c r="H652" s="676">
        <f>IF(D652="","",IFERROR(VLOOKUP(D652,'Resumen Empleado'!$A$4:$B$17,2,FALSE),""))</f>
        <v>11</v>
      </c>
      <c r="I652" s="676">
        <f t="shared" si="126"/>
        <v>44</v>
      </c>
      <c r="J652" s="676">
        <f t="shared" si="127"/>
        <v>43.999999999999993</v>
      </c>
      <c r="K652" s="676">
        <f>IF(OR(E652="",F652="",H652=""),0,MAX(0,(MIN(IF(F652&lt;E652,1+F652,F652),1+TIME(5,0,0))-MAX(E652,TIME(19,0,0))))*24*H652)</f>
        <v>0</v>
      </c>
      <c r="L652" s="1044">
        <f t="shared" si="128"/>
        <v>88</v>
      </c>
      <c r="M652" s="145" t="str">
        <f t="shared" ref="M652:M683" si="131">IF(A652="","",IF(G652&gt;12,"⚠ Verificar",""))</f>
        <v/>
      </c>
      <c r="N652" s="684">
        <f t="shared" si="129"/>
        <v>46122</v>
      </c>
    </row>
    <row r="653" spans="1:14" ht="15.75" customHeight="1">
      <c r="A653" s="1024">
        <v>46123</v>
      </c>
      <c r="B653" s="1026" t="str">
        <f t="shared" si="130"/>
        <v>Sáb</v>
      </c>
      <c r="C653" s="1027" t="s">
        <v>146</v>
      </c>
      <c r="D653" s="1027" t="s">
        <v>522</v>
      </c>
      <c r="E653" s="1028">
        <v>0.30208333333333331</v>
      </c>
      <c r="F653" s="1028">
        <v>0.375</v>
      </c>
      <c r="G653" s="1029">
        <f t="shared" si="125"/>
        <v>1.7500000000000004</v>
      </c>
      <c r="H653" s="1043">
        <f>IF(D653="","",IFERROR(VLOOKUP(D653,'Resumen Empleado'!$A$4:$B$17,2,FALSE),""))</f>
        <v>10</v>
      </c>
      <c r="I653" s="1043">
        <f t="shared" si="126"/>
        <v>17.500000000000004</v>
      </c>
      <c r="J653" s="1043">
        <f t="shared" si="127"/>
        <v>0</v>
      </c>
      <c r="K653" s="1043">
        <f t="shared" ref="K653:K664" si="132">IF(OR(E653="",F653="",H653=""),0,MAX(0,(MIN(IF(F653&lt;E653,F653+1,F653),1+TIME(5,0,0))-MAX(E653,TIME(19,0,0))))*24*H653)</f>
        <v>0</v>
      </c>
      <c r="L653" s="1048">
        <f t="shared" si="128"/>
        <v>17.500000000000004</v>
      </c>
      <c r="M653" s="1030" t="str">
        <f t="shared" si="131"/>
        <v/>
      </c>
      <c r="N653" s="1035">
        <f t="shared" si="129"/>
        <v>46123</v>
      </c>
    </row>
    <row r="654" spans="1:14" ht="15.75" customHeight="1">
      <c r="A654" s="1024">
        <v>46123</v>
      </c>
      <c r="B654" s="1026" t="str">
        <f t="shared" si="130"/>
        <v>Sáb</v>
      </c>
      <c r="C654" s="1027" t="s">
        <v>146</v>
      </c>
      <c r="D654" s="898" t="s">
        <v>529</v>
      </c>
      <c r="E654" s="1028">
        <v>0.58333333333333337</v>
      </c>
      <c r="F654" s="1028">
        <v>0.6875</v>
      </c>
      <c r="G654" s="1029">
        <f t="shared" si="125"/>
        <v>2.4999999999999991</v>
      </c>
      <c r="H654" s="1043">
        <f>IF(D654="","",IFERROR(VLOOKUP(D654,'Resumen Empleado'!$A$4:$B$17,2,FALSE),""))</f>
        <v>8</v>
      </c>
      <c r="I654" s="1043">
        <f t="shared" si="126"/>
        <v>0</v>
      </c>
      <c r="J654" s="1043">
        <f t="shared" si="127"/>
        <v>19.999999999999993</v>
      </c>
      <c r="K654" s="1043">
        <f t="shared" si="132"/>
        <v>0</v>
      </c>
      <c r="L654" s="1048">
        <f t="shared" si="128"/>
        <v>19.999999999999993</v>
      </c>
      <c r="M654" s="1030" t="str">
        <f t="shared" si="131"/>
        <v/>
      </c>
      <c r="N654" s="1035">
        <f t="shared" si="129"/>
        <v>46123</v>
      </c>
    </row>
    <row r="655" spans="1:14" ht="15.75" customHeight="1">
      <c r="A655" s="1022">
        <v>46123</v>
      </c>
      <c r="B655" s="658" t="str">
        <f t="shared" si="130"/>
        <v>Sáb</v>
      </c>
      <c r="C655" s="674" t="s">
        <v>146</v>
      </c>
      <c r="D655" s="885" t="s">
        <v>525</v>
      </c>
      <c r="E655" s="687">
        <v>0.375</v>
      </c>
      <c r="F655" s="687">
        <v>0.6875</v>
      </c>
      <c r="G655" s="688">
        <f t="shared" si="125"/>
        <v>7.5</v>
      </c>
      <c r="H655" s="676">
        <f>IF(D655="","",IFERROR(VLOOKUP(D655,'Resumen Empleado'!$A$4:$B$17,2,FALSE),""))</f>
        <v>7.25</v>
      </c>
      <c r="I655" s="676">
        <f t="shared" si="126"/>
        <v>21.75</v>
      </c>
      <c r="J655" s="676">
        <f t="shared" si="127"/>
        <v>32.625</v>
      </c>
      <c r="K655" s="676">
        <f t="shared" si="132"/>
        <v>0</v>
      </c>
      <c r="L655" s="1044">
        <f t="shared" si="128"/>
        <v>54.375</v>
      </c>
      <c r="M655" s="145" t="str">
        <f t="shared" si="131"/>
        <v/>
      </c>
      <c r="N655" s="1031">
        <f t="shared" si="129"/>
        <v>46123</v>
      </c>
    </row>
    <row r="656" spans="1:14" ht="15.75" customHeight="1">
      <c r="A656" s="1022">
        <v>46123</v>
      </c>
      <c r="B656" s="658" t="str">
        <f t="shared" si="130"/>
        <v>Sáb</v>
      </c>
      <c r="C656" s="674" t="s">
        <v>146</v>
      </c>
      <c r="D656" s="885" t="s">
        <v>526</v>
      </c>
      <c r="E656" s="687">
        <v>0.375</v>
      </c>
      <c r="F656" s="687">
        <v>0.67708333333333337</v>
      </c>
      <c r="G656" s="688">
        <f t="shared" si="125"/>
        <v>7.2500000000000009</v>
      </c>
      <c r="H656" s="676">
        <f>IF(D656="","",IFERROR(VLOOKUP(D656,'Resumen Empleado'!$A$4:$B$17,2,FALSE),""))</f>
        <v>16</v>
      </c>
      <c r="I656" s="676">
        <f t="shared" si="126"/>
        <v>48</v>
      </c>
      <c r="J656" s="676">
        <f t="shared" si="127"/>
        <v>68.000000000000014</v>
      </c>
      <c r="K656" s="676">
        <f t="shared" si="132"/>
        <v>0</v>
      </c>
      <c r="L656" s="1044">
        <f t="shared" si="128"/>
        <v>116.00000000000001</v>
      </c>
      <c r="M656" s="145" t="str">
        <f t="shared" si="131"/>
        <v/>
      </c>
      <c r="N656" s="1031">
        <f t="shared" si="129"/>
        <v>46123</v>
      </c>
    </row>
    <row r="657" spans="1:14" ht="15.75" customHeight="1">
      <c r="A657" s="1022">
        <v>46123</v>
      </c>
      <c r="B657" s="658" t="str">
        <f t="shared" si="130"/>
        <v>Sáb</v>
      </c>
      <c r="C657" s="674" t="s">
        <v>146</v>
      </c>
      <c r="D657" s="897" t="s">
        <v>532</v>
      </c>
      <c r="E657" s="687">
        <v>0.34375</v>
      </c>
      <c r="F657" s="687">
        <v>0.67708333333333337</v>
      </c>
      <c r="G657" s="688">
        <f t="shared" si="125"/>
        <v>8</v>
      </c>
      <c r="H657" s="676">
        <f>IF(D657="","",IFERROR(VLOOKUP(D657,'Resumen Empleado'!$A$4:$B$17,2,FALSE),""))</f>
        <v>5.17</v>
      </c>
      <c r="I657" s="676">
        <f t="shared" si="126"/>
        <v>19.387499999999999</v>
      </c>
      <c r="J657" s="676">
        <f t="shared" si="127"/>
        <v>21.972500000000004</v>
      </c>
      <c r="K657" s="676">
        <f t="shared" si="132"/>
        <v>0</v>
      </c>
      <c r="L657" s="1044">
        <f t="shared" si="128"/>
        <v>41.36</v>
      </c>
      <c r="M657" s="145" t="str">
        <f t="shared" si="131"/>
        <v/>
      </c>
      <c r="N657" s="1031">
        <f t="shared" si="129"/>
        <v>46123</v>
      </c>
    </row>
    <row r="658" spans="1:14" ht="15.75" customHeight="1">
      <c r="A658" s="902">
        <v>46123</v>
      </c>
      <c r="B658" s="882" t="str">
        <f t="shared" si="130"/>
        <v>Sáb</v>
      </c>
      <c r="C658" s="866" t="s">
        <v>146</v>
      </c>
      <c r="D658" s="897" t="s">
        <v>522</v>
      </c>
      <c r="E658" s="867">
        <v>0.5</v>
      </c>
      <c r="F658" s="867">
        <v>0.6875</v>
      </c>
      <c r="G658" s="884">
        <f t="shared" si="125"/>
        <v>4.5</v>
      </c>
      <c r="H658" s="1042">
        <f>IF(D658="","",IFERROR(VLOOKUP(D658,'Resumen Empleado'!$A$4:$B$17,2,FALSE),""))</f>
        <v>10</v>
      </c>
      <c r="I658" s="1042">
        <f t="shared" si="126"/>
        <v>0</v>
      </c>
      <c r="J658" s="1042">
        <f t="shared" si="127"/>
        <v>45</v>
      </c>
      <c r="K658" s="1042">
        <f t="shared" si="132"/>
        <v>0</v>
      </c>
      <c r="L658" s="1047">
        <f t="shared" si="128"/>
        <v>45</v>
      </c>
      <c r="M658" s="865" t="str">
        <f t="shared" si="131"/>
        <v/>
      </c>
      <c r="N658" s="906">
        <f t="shared" si="129"/>
        <v>46123</v>
      </c>
    </row>
    <row r="659" spans="1:14" ht="15.75" customHeight="1">
      <c r="A659" s="902">
        <v>46123</v>
      </c>
      <c r="B659" s="882" t="str">
        <f t="shared" si="130"/>
        <v>Sáb</v>
      </c>
      <c r="C659" s="866" t="s">
        <v>497</v>
      </c>
      <c r="D659" s="897" t="s">
        <v>522</v>
      </c>
      <c r="E659" s="867">
        <v>0.79166666666666663</v>
      </c>
      <c r="F659" s="867">
        <v>0.94791666666666663</v>
      </c>
      <c r="G659" s="884">
        <f t="shared" si="125"/>
        <v>3.75</v>
      </c>
      <c r="H659" s="1042">
        <f>IF(D659="","",IFERROR(VLOOKUP(D659,'Resumen Empleado'!$A$4:$B$17,2,FALSE),""))</f>
        <v>10</v>
      </c>
      <c r="I659" s="1042">
        <f t="shared" si="126"/>
        <v>0</v>
      </c>
      <c r="J659" s="1042">
        <f t="shared" si="127"/>
        <v>0</v>
      </c>
      <c r="K659" s="1042">
        <f t="shared" si="132"/>
        <v>37.5</v>
      </c>
      <c r="L659" s="1047">
        <f t="shared" si="128"/>
        <v>37.5</v>
      </c>
      <c r="M659" s="865" t="str">
        <f t="shared" si="131"/>
        <v/>
      </c>
      <c r="N659" s="906">
        <f t="shared" si="129"/>
        <v>46123</v>
      </c>
    </row>
    <row r="660" spans="1:14" ht="15.75" customHeight="1">
      <c r="A660" s="902">
        <v>46123</v>
      </c>
      <c r="B660" s="882" t="str">
        <f t="shared" si="130"/>
        <v>Sáb</v>
      </c>
      <c r="C660" s="866" t="s">
        <v>497</v>
      </c>
      <c r="D660" s="897" t="s">
        <v>525</v>
      </c>
      <c r="E660" s="867">
        <v>0.79166666666666663</v>
      </c>
      <c r="F660" s="867">
        <v>1.041666666666667E-2</v>
      </c>
      <c r="G660" s="884">
        <f t="shared" si="125"/>
        <v>5.2500000000000027</v>
      </c>
      <c r="H660" s="1042">
        <f>IF(D660="","",IFERROR(VLOOKUP(D660,'Resumen Empleado'!$A$4:$B$17,2,FALSE),""))</f>
        <v>7.25</v>
      </c>
      <c r="I660" s="1042">
        <f t="shared" si="126"/>
        <v>0</v>
      </c>
      <c r="J660" s="1042">
        <f t="shared" si="127"/>
        <v>0</v>
      </c>
      <c r="K660" s="1042">
        <f t="shared" si="132"/>
        <v>38.062500000000021</v>
      </c>
      <c r="L660" s="1047">
        <f t="shared" si="128"/>
        <v>38.062500000000021</v>
      </c>
      <c r="M660" s="865" t="str">
        <f t="shared" si="131"/>
        <v/>
      </c>
      <c r="N660" s="906">
        <f t="shared" si="129"/>
        <v>46123</v>
      </c>
    </row>
    <row r="661" spans="1:14" ht="15.75" customHeight="1">
      <c r="A661" s="902">
        <v>46123</v>
      </c>
      <c r="B661" s="882" t="str">
        <f t="shared" si="130"/>
        <v>Sáb</v>
      </c>
      <c r="C661" s="866" t="s">
        <v>497</v>
      </c>
      <c r="D661" s="897" t="s">
        <v>529</v>
      </c>
      <c r="E661" s="867">
        <v>0.85416666666666663</v>
      </c>
      <c r="F661" s="867">
        <v>1.041666666666667E-2</v>
      </c>
      <c r="G661" s="884">
        <f t="shared" si="125"/>
        <v>3.7500000000000027</v>
      </c>
      <c r="H661" s="1042">
        <f>IF(D661="","",IFERROR(VLOOKUP(D661,'Resumen Empleado'!$A$4:$B$17,2,FALSE),""))</f>
        <v>8</v>
      </c>
      <c r="I661" s="1042">
        <f t="shared" si="126"/>
        <v>0</v>
      </c>
      <c r="J661" s="1042">
        <f t="shared" si="127"/>
        <v>0</v>
      </c>
      <c r="K661" s="1042">
        <f t="shared" si="132"/>
        <v>30.000000000000021</v>
      </c>
      <c r="L661" s="1047">
        <f t="shared" si="128"/>
        <v>30.000000000000021</v>
      </c>
      <c r="M661" s="865" t="str">
        <f t="shared" si="131"/>
        <v/>
      </c>
      <c r="N661" s="906">
        <f t="shared" si="129"/>
        <v>46123</v>
      </c>
    </row>
    <row r="662" spans="1:14" ht="15.75" customHeight="1">
      <c r="A662" s="1022">
        <v>46123</v>
      </c>
      <c r="B662" s="658" t="str">
        <f t="shared" si="130"/>
        <v>Sáb</v>
      </c>
      <c r="C662" s="674" t="s">
        <v>497</v>
      </c>
      <c r="D662" s="897" t="s">
        <v>526</v>
      </c>
      <c r="E662" s="687">
        <v>0.79166666666666663</v>
      </c>
      <c r="F662" s="687">
        <v>0</v>
      </c>
      <c r="G662" s="688">
        <f t="shared" si="125"/>
        <v>5.0000000000000009</v>
      </c>
      <c r="H662" s="676">
        <f>IF(D662="","",IFERROR(VLOOKUP(D662,'Resumen Empleado'!$A$4:$B$17,2,FALSE),""))</f>
        <v>16</v>
      </c>
      <c r="I662" s="676">
        <f t="shared" si="126"/>
        <v>0</v>
      </c>
      <c r="J662" s="676">
        <f t="shared" si="127"/>
        <v>0</v>
      </c>
      <c r="K662" s="676">
        <f t="shared" si="132"/>
        <v>80.000000000000014</v>
      </c>
      <c r="L662" s="1044">
        <f t="shared" si="128"/>
        <v>80.000000000000014</v>
      </c>
      <c r="M662" s="145" t="str">
        <f t="shared" si="131"/>
        <v/>
      </c>
      <c r="N662" s="1031">
        <f t="shared" si="129"/>
        <v>46123</v>
      </c>
    </row>
    <row r="663" spans="1:14" ht="15.75" customHeight="1">
      <c r="A663" s="1022">
        <v>46123</v>
      </c>
      <c r="B663" s="658" t="str">
        <f t="shared" si="130"/>
        <v>Sáb</v>
      </c>
      <c r="C663" s="674" t="s">
        <v>497</v>
      </c>
      <c r="D663" s="897" t="s">
        <v>532</v>
      </c>
      <c r="E663" s="687">
        <v>0.83333333333333337</v>
      </c>
      <c r="F663" s="687">
        <v>0.95833333333333337</v>
      </c>
      <c r="G663" s="688">
        <f t="shared" si="125"/>
        <v>3</v>
      </c>
      <c r="H663" s="676">
        <f>IF(D663="","",IFERROR(VLOOKUP(D663,'Resumen Empleado'!$A$4:$B$17,2,FALSE),""))</f>
        <v>5.17</v>
      </c>
      <c r="I663" s="676">
        <f t="shared" si="126"/>
        <v>0</v>
      </c>
      <c r="J663" s="676">
        <f t="shared" si="127"/>
        <v>0</v>
      </c>
      <c r="K663" s="676">
        <f t="shared" si="132"/>
        <v>15.51</v>
      </c>
      <c r="L663" s="1044">
        <f t="shared" si="128"/>
        <v>15.51</v>
      </c>
      <c r="M663" s="145" t="str">
        <f t="shared" si="131"/>
        <v/>
      </c>
      <c r="N663" s="1031">
        <f t="shared" si="129"/>
        <v>46123</v>
      </c>
    </row>
    <row r="664" spans="1:14" ht="15.75" customHeight="1">
      <c r="A664" s="1022">
        <v>46123</v>
      </c>
      <c r="B664" s="658" t="str">
        <f t="shared" si="130"/>
        <v>Sáb</v>
      </c>
      <c r="C664" s="674" t="s">
        <v>497</v>
      </c>
      <c r="D664" s="897" t="s">
        <v>531</v>
      </c>
      <c r="E664" s="687">
        <v>0.91666666666666663</v>
      </c>
      <c r="F664" s="687">
        <v>1.041666666666667E-2</v>
      </c>
      <c r="G664" s="688">
        <f t="shared" si="125"/>
        <v>2.2500000000000027</v>
      </c>
      <c r="H664" s="676">
        <f>IF(D664="","",IFERROR(VLOOKUP(D664,'Resumen Empleado'!$A$4:$B$17,2,FALSE),""))</f>
        <v>8</v>
      </c>
      <c r="I664" s="676">
        <f t="shared" si="126"/>
        <v>0</v>
      </c>
      <c r="J664" s="676">
        <f t="shared" si="127"/>
        <v>0</v>
      </c>
      <c r="K664" s="676">
        <f t="shared" si="132"/>
        <v>18.000000000000021</v>
      </c>
      <c r="L664" s="1044">
        <f t="shared" si="128"/>
        <v>18.000000000000021</v>
      </c>
      <c r="M664" s="145" t="str">
        <f t="shared" si="131"/>
        <v/>
      </c>
      <c r="N664" s="1031">
        <f t="shared" si="129"/>
        <v>46123</v>
      </c>
    </row>
    <row r="665" spans="1:14" ht="15.75" customHeight="1">
      <c r="A665" s="658">
        <v>46123</v>
      </c>
      <c r="B665" s="658" t="str">
        <f t="shared" si="130"/>
        <v>Sáb</v>
      </c>
      <c r="C665" s="674" t="s">
        <v>146</v>
      </c>
      <c r="D665" s="897" t="s">
        <v>528</v>
      </c>
      <c r="E665" s="687">
        <v>0.33333333333333331</v>
      </c>
      <c r="F665" s="687">
        <v>0.66666666666666663</v>
      </c>
      <c r="G665" s="688">
        <f t="shared" si="125"/>
        <v>8</v>
      </c>
      <c r="H665" s="676">
        <f>IF(D665="","",IFERROR(VLOOKUP(D665,'Resumen Empleado'!$A$4:$B$17,2,FALSE),""))</f>
        <v>11</v>
      </c>
      <c r="I665" s="676">
        <f t="shared" si="126"/>
        <v>44</v>
      </c>
      <c r="J665" s="676">
        <f t="shared" si="127"/>
        <v>43.999999999999993</v>
      </c>
      <c r="K665" s="676">
        <f>IF(OR(E665="",F665="",H665=""),0,MAX(0,(MIN(IF(F665&lt;E665,1+F665,F665),1+TIME(5,0,0))-MAX(E665,TIME(19,0,0))))*24*H665)</f>
        <v>0</v>
      </c>
      <c r="L665" s="1044">
        <f t="shared" si="128"/>
        <v>88</v>
      </c>
      <c r="M665" s="145" t="str">
        <f t="shared" si="131"/>
        <v/>
      </c>
      <c r="N665" s="684">
        <f t="shared" si="129"/>
        <v>46123</v>
      </c>
    </row>
    <row r="666" spans="1:14" ht="15.75" customHeight="1">
      <c r="A666" s="1022">
        <v>46124</v>
      </c>
      <c r="B666" s="658" t="str">
        <f t="shared" si="130"/>
        <v>Dom</v>
      </c>
      <c r="C666" s="674" t="s">
        <v>146</v>
      </c>
      <c r="D666" s="897" t="s">
        <v>522</v>
      </c>
      <c r="E666" s="687">
        <v>0.33333333333333331</v>
      </c>
      <c r="F666" s="687">
        <v>0.66666666666666663</v>
      </c>
      <c r="G666" s="688">
        <f t="shared" si="125"/>
        <v>8</v>
      </c>
      <c r="H666" s="676">
        <f>IF(D666="","",IFERROR(VLOOKUP(D666,'Resumen Empleado'!$A$4:$B$17,2,FALSE),""))</f>
        <v>10</v>
      </c>
      <c r="I666" s="676">
        <f t="shared" si="126"/>
        <v>40</v>
      </c>
      <c r="J666" s="676">
        <f t="shared" si="127"/>
        <v>39.999999999999993</v>
      </c>
      <c r="K666" s="676">
        <f t="shared" ref="K666:K674" si="133">IF(OR(E666="",F666="",H666=""),0,MAX(0,(MIN(IF(F666&lt;E666,F666+1,F666),1+TIME(5,0,0))-MAX(E666,TIME(19,0,0))))*24*H666)</f>
        <v>0</v>
      </c>
      <c r="L666" s="1044">
        <f t="shared" si="128"/>
        <v>80</v>
      </c>
      <c r="M666" s="145" t="str">
        <f t="shared" si="131"/>
        <v/>
      </c>
      <c r="N666" s="1031">
        <f t="shared" si="129"/>
        <v>46124</v>
      </c>
    </row>
    <row r="667" spans="1:14" ht="15.75" customHeight="1">
      <c r="A667" s="1022">
        <v>46124</v>
      </c>
      <c r="B667" s="658" t="str">
        <f t="shared" si="130"/>
        <v>Dom</v>
      </c>
      <c r="C667" s="674" t="s">
        <v>146</v>
      </c>
      <c r="D667" s="897" t="s">
        <v>529</v>
      </c>
      <c r="E667" s="687">
        <v>0.5</v>
      </c>
      <c r="F667" s="687">
        <v>0.625</v>
      </c>
      <c r="G667" s="688">
        <f t="shared" si="125"/>
        <v>3</v>
      </c>
      <c r="H667" s="676">
        <f>IF(D667="","",IFERROR(VLOOKUP(D667,'Resumen Empleado'!$A$4:$B$17,2,FALSE),""))</f>
        <v>8</v>
      </c>
      <c r="I667" s="676">
        <f t="shared" si="126"/>
        <v>0</v>
      </c>
      <c r="J667" s="676">
        <f t="shared" si="127"/>
        <v>24</v>
      </c>
      <c r="K667" s="676">
        <f t="shared" si="133"/>
        <v>0</v>
      </c>
      <c r="L667" s="1044">
        <f t="shared" si="128"/>
        <v>24</v>
      </c>
      <c r="M667" s="145" t="str">
        <f t="shared" si="131"/>
        <v/>
      </c>
      <c r="N667" s="1031">
        <f t="shared" si="129"/>
        <v>46124</v>
      </c>
    </row>
    <row r="668" spans="1:14" ht="15.75" customHeight="1">
      <c r="A668" s="1022">
        <v>46124</v>
      </c>
      <c r="B668" s="658" t="str">
        <f t="shared" si="130"/>
        <v>Dom</v>
      </c>
      <c r="C668" s="674" t="s">
        <v>146</v>
      </c>
      <c r="D668" s="897" t="s">
        <v>535</v>
      </c>
      <c r="E668" s="687">
        <v>0.58333333333333337</v>
      </c>
      <c r="F668" s="687">
        <v>0.64583333333333337</v>
      </c>
      <c r="G668" s="688">
        <f t="shared" si="125"/>
        <v>1.5</v>
      </c>
      <c r="H668" s="676">
        <f>IF(D668="","",IFERROR(VLOOKUP(D668,'Resumen Empleado'!$A$4:$B$17,2,FALSE),""))</f>
        <v>6</v>
      </c>
      <c r="I668" s="676">
        <f t="shared" si="126"/>
        <v>0</v>
      </c>
      <c r="J668" s="676">
        <f t="shared" si="127"/>
        <v>9</v>
      </c>
      <c r="K668" s="676">
        <f t="shared" si="133"/>
        <v>0</v>
      </c>
      <c r="L668" s="1044">
        <f t="shared" si="128"/>
        <v>9</v>
      </c>
      <c r="M668" s="145" t="str">
        <f t="shared" si="131"/>
        <v/>
      </c>
      <c r="N668" s="1031">
        <f t="shared" si="129"/>
        <v>46124</v>
      </c>
    </row>
    <row r="669" spans="1:14" ht="15.75" customHeight="1">
      <c r="A669" s="1022">
        <v>46124</v>
      </c>
      <c r="B669" s="658" t="str">
        <f t="shared" si="130"/>
        <v>Dom</v>
      </c>
      <c r="C669" s="674" t="s">
        <v>146</v>
      </c>
      <c r="D669" s="897" t="s">
        <v>532</v>
      </c>
      <c r="E669" s="687">
        <v>0.30208333333333331</v>
      </c>
      <c r="F669" s="687">
        <v>0.66666666666666663</v>
      </c>
      <c r="G669" s="688">
        <f t="shared" si="125"/>
        <v>8.75</v>
      </c>
      <c r="H669" s="676">
        <f>IF(D669="","",IFERROR(VLOOKUP(D669,'Resumen Empleado'!$A$4:$B$17,2,FALSE),""))</f>
        <v>5.17</v>
      </c>
      <c r="I669" s="676">
        <f t="shared" si="126"/>
        <v>24.557500000000001</v>
      </c>
      <c r="J669" s="676">
        <f t="shared" si="127"/>
        <v>20.679999999999996</v>
      </c>
      <c r="K669" s="676">
        <f t="shared" si="133"/>
        <v>0</v>
      </c>
      <c r="L669" s="1044">
        <f t="shared" si="128"/>
        <v>45.237499999999997</v>
      </c>
      <c r="M669" s="145" t="str">
        <f t="shared" si="131"/>
        <v/>
      </c>
      <c r="N669" s="1031">
        <f t="shared" si="129"/>
        <v>46124</v>
      </c>
    </row>
    <row r="670" spans="1:14" ht="15.75" customHeight="1">
      <c r="A670" s="1022">
        <v>46124</v>
      </c>
      <c r="B670" s="658" t="str">
        <f t="shared" si="130"/>
        <v>Dom</v>
      </c>
      <c r="C670" s="674" t="s">
        <v>146</v>
      </c>
      <c r="D670" s="897" t="s">
        <v>525</v>
      </c>
      <c r="E670" s="687">
        <v>0.39583333333333331</v>
      </c>
      <c r="F670" s="687">
        <v>0.66666666666666663</v>
      </c>
      <c r="G670" s="688">
        <f t="shared" si="125"/>
        <v>6.5</v>
      </c>
      <c r="H670" s="676">
        <f>IF(D670="","",IFERROR(VLOOKUP(D670,'Resumen Empleado'!$A$4:$B$17,2,FALSE),""))</f>
        <v>7.25</v>
      </c>
      <c r="I670" s="676">
        <f t="shared" si="126"/>
        <v>18.125000000000004</v>
      </c>
      <c r="J670" s="676">
        <f t="shared" si="127"/>
        <v>28.999999999999993</v>
      </c>
      <c r="K670" s="676">
        <f t="shared" si="133"/>
        <v>0</v>
      </c>
      <c r="L670" s="1044">
        <f t="shared" si="128"/>
        <v>47.125</v>
      </c>
      <c r="M670" s="145" t="str">
        <f t="shared" si="131"/>
        <v/>
      </c>
      <c r="N670" s="1031">
        <f t="shared" si="129"/>
        <v>46124</v>
      </c>
    </row>
    <row r="671" spans="1:14" ht="15.75" customHeight="1">
      <c r="A671" s="1022">
        <v>46124</v>
      </c>
      <c r="B671" s="658" t="str">
        <f t="shared" si="130"/>
        <v>Dom</v>
      </c>
      <c r="C671" s="674" t="s">
        <v>146</v>
      </c>
      <c r="D671" s="897" t="s">
        <v>526</v>
      </c>
      <c r="E671" s="687">
        <v>0.5</v>
      </c>
      <c r="F671" s="687">
        <v>0.66666666666666663</v>
      </c>
      <c r="G671" s="688">
        <f t="shared" si="125"/>
        <v>3.9999999999999991</v>
      </c>
      <c r="H671" s="676">
        <f>IF(D671="","",IFERROR(VLOOKUP(D671,'Resumen Empleado'!$A$4:$B$17,2,FALSE),""))</f>
        <v>16</v>
      </c>
      <c r="I671" s="676">
        <f t="shared" si="126"/>
        <v>0</v>
      </c>
      <c r="J671" s="676">
        <f t="shared" si="127"/>
        <v>63.999999999999986</v>
      </c>
      <c r="K671" s="676">
        <f t="shared" si="133"/>
        <v>0</v>
      </c>
      <c r="L671" s="1044">
        <f t="shared" si="128"/>
        <v>63.999999999999986</v>
      </c>
      <c r="M671" s="145" t="str">
        <f t="shared" si="131"/>
        <v/>
      </c>
      <c r="N671" s="1031">
        <f t="shared" si="129"/>
        <v>46124</v>
      </c>
    </row>
    <row r="672" spans="1:14" ht="15.75" customHeight="1">
      <c r="A672" s="1022">
        <v>46124</v>
      </c>
      <c r="B672" s="658" t="str">
        <f t="shared" si="130"/>
        <v>Dom</v>
      </c>
      <c r="C672" s="674" t="s">
        <v>497</v>
      </c>
      <c r="D672" s="897" t="s">
        <v>526</v>
      </c>
      <c r="E672" s="687">
        <v>0.83333333333333337</v>
      </c>
      <c r="F672" s="687">
        <v>0.95833333333333337</v>
      </c>
      <c r="G672" s="688">
        <f t="shared" si="125"/>
        <v>3</v>
      </c>
      <c r="H672" s="676">
        <f>IF(D672="","",IFERROR(VLOOKUP(D672,'Resumen Empleado'!$A$4:$B$17,2,FALSE),""))</f>
        <v>16</v>
      </c>
      <c r="I672" s="676">
        <f t="shared" si="126"/>
        <v>0</v>
      </c>
      <c r="J672" s="676">
        <f t="shared" si="127"/>
        <v>0</v>
      </c>
      <c r="K672" s="676">
        <f t="shared" si="133"/>
        <v>48</v>
      </c>
      <c r="L672" s="1044">
        <f t="shared" si="128"/>
        <v>48</v>
      </c>
      <c r="M672" s="145" t="str">
        <f t="shared" si="131"/>
        <v/>
      </c>
      <c r="N672" s="1031">
        <f t="shared" si="129"/>
        <v>46124</v>
      </c>
    </row>
    <row r="673" spans="1:14" ht="15.75" customHeight="1">
      <c r="A673" s="1022">
        <v>46124</v>
      </c>
      <c r="B673" s="658" t="str">
        <f t="shared" si="130"/>
        <v>Dom</v>
      </c>
      <c r="C673" s="674" t="s">
        <v>497</v>
      </c>
      <c r="D673" s="897" t="s">
        <v>525</v>
      </c>
      <c r="E673" s="687">
        <v>0.79166666666666663</v>
      </c>
      <c r="F673" s="687">
        <v>0.95833333333333337</v>
      </c>
      <c r="G673" s="688">
        <f t="shared" si="125"/>
        <v>4.0000000000000018</v>
      </c>
      <c r="H673" s="676">
        <f>IF(D673="","",IFERROR(VLOOKUP(D673,'Resumen Empleado'!$A$4:$B$17,2,FALSE),""))</f>
        <v>7.25</v>
      </c>
      <c r="I673" s="676">
        <f t="shared" si="126"/>
        <v>0</v>
      </c>
      <c r="J673" s="676">
        <f t="shared" si="127"/>
        <v>0</v>
      </c>
      <c r="K673" s="676">
        <f t="shared" si="133"/>
        <v>29.000000000000014</v>
      </c>
      <c r="L673" s="1044">
        <f t="shared" si="128"/>
        <v>29.000000000000014</v>
      </c>
      <c r="M673" s="145" t="str">
        <f t="shared" si="131"/>
        <v/>
      </c>
      <c r="N673" s="1031">
        <f t="shared" si="129"/>
        <v>46124</v>
      </c>
    </row>
    <row r="674" spans="1:14" ht="15.75" customHeight="1">
      <c r="A674" s="1022">
        <v>46124</v>
      </c>
      <c r="B674" s="658" t="str">
        <f t="shared" si="130"/>
        <v>Dom</v>
      </c>
      <c r="C674" s="674" t="s">
        <v>497</v>
      </c>
      <c r="D674" s="897" t="s">
        <v>532</v>
      </c>
      <c r="E674" s="687">
        <v>0.79166666666666663</v>
      </c>
      <c r="F674" s="687">
        <v>0.95833333333333337</v>
      </c>
      <c r="G674" s="688">
        <f t="shared" si="125"/>
        <v>4.0000000000000018</v>
      </c>
      <c r="H674" s="676">
        <f>IF(D674="","",IFERROR(VLOOKUP(D674,'Resumen Empleado'!$A$4:$B$17,2,FALSE),""))</f>
        <v>5.17</v>
      </c>
      <c r="I674" s="676">
        <f t="shared" si="126"/>
        <v>0</v>
      </c>
      <c r="J674" s="676">
        <f t="shared" si="127"/>
        <v>0</v>
      </c>
      <c r="K674" s="676">
        <f t="shared" si="133"/>
        <v>20.68000000000001</v>
      </c>
      <c r="L674" s="1044">
        <f t="shared" si="128"/>
        <v>20.68000000000001</v>
      </c>
      <c r="M674" s="145" t="str">
        <f t="shared" si="131"/>
        <v/>
      </c>
      <c r="N674" s="1031">
        <f t="shared" si="129"/>
        <v>46124</v>
      </c>
    </row>
    <row r="675" spans="1:14" ht="15.75" customHeight="1">
      <c r="A675" s="658">
        <v>46124</v>
      </c>
      <c r="B675" s="658" t="str">
        <f t="shared" si="130"/>
        <v>Dom</v>
      </c>
      <c r="C675" s="674" t="s">
        <v>146</v>
      </c>
      <c r="D675" s="897" t="s">
        <v>528</v>
      </c>
      <c r="E675" s="687">
        <v>0.33333333333333331</v>
      </c>
      <c r="F675" s="687">
        <v>0.66666666666666663</v>
      </c>
      <c r="G675" s="688">
        <f t="shared" si="125"/>
        <v>8</v>
      </c>
      <c r="H675" s="676">
        <f>IF(D675="","",IFERROR(VLOOKUP(D675,'Resumen Empleado'!$A$4:$B$17,2,FALSE),""))</f>
        <v>11</v>
      </c>
      <c r="I675" s="676">
        <f t="shared" si="126"/>
        <v>44</v>
      </c>
      <c r="J675" s="676">
        <f t="shared" si="127"/>
        <v>43.999999999999993</v>
      </c>
      <c r="K675" s="676">
        <f>IF(OR(E675="",F675="",H675=""),0,MAX(0,(MIN(IF(F675&lt;E675,1+F675,F675),1+TIME(5,0,0))-MAX(E675,TIME(19,0,0))))*24*H675)</f>
        <v>0</v>
      </c>
      <c r="L675" s="1044">
        <f t="shared" si="128"/>
        <v>88</v>
      </c>
      <c r="M675" s="145" t="str">
        <f t="shared" si="131"/>
        <v/>
      </c>
      <c r="N675" s="684">
        <f t="shared" si="129"/>
        <v>46124</v>
      </c>
    </row>
    <row r="676" spans="1:14" ht="15.75" customHeight="1">
      <c r="A676" s="1022">
        <v>46127</v>
      </c>
      <c r="B676" s="658" t="str">
        <f t="shared" si="130"/>
        <v>Mié</v>
      </c>
      <c r="C676" s="674" t="s">
        <v>146</v>
      </c>
      <c r="D676" s="897" t="s">
        <v>522</v>
      </c>
      <c r="E676" s="687">
        <v>0.29166666666666669</v>
      </c>
      <c r="F676" s="687">
        <v>0.41666666666666669</v>
      </c>
      <c r="G676" s="688">
        <f t="shared" si="125"/>
        <v>3</v>
      </c>
      <c r="H676" s="676">
        <f>IF(D676="","",IFERROR(VLOOKUP(D676,'Resumen Empleado'!$A$4:$B$17,2,FALSE),""))</f>
        <v>10</v>
      </c>
      <c r="I676" s="676">
        <f t="shared" si="126"/>
        <v>30</v>
      </c>
      <c r="J676" s="676">
        <f t="shared" si="127"/>
        <v>0</v>
      </c>
      <c r="K676" s="676">
        <f t="shared" ref="K676:K683" si="134">IF(OR(E676="",F676="",H676=""),0,MAX(0,(MIN(IF(F676&lt;E676,F676+1,F676),1+TIME(5,0,0))-MAX(E676,TIME(19,0,0))))*24*H676)</f>
        <v>0</v>
      </c>
      <c r="L676" s="1044">
        <f t="shared" si="128"/>
        <v>30</v>
      </c>
      <c r="M676" s="145" t="str">
        <f t="shared" si="131"/>
        <v/>
      </c>
      <c r="N676" s="1031">
        <f t="shared" si="129"/>
        <v>46127</v>
      </c>
    </row>
    <row r="677" spans="1:14" ht="15.75" customHeight="1">
      <c r="A677" s="1022">
        <v>46127</v>
      </c>
      <c r="B677" s="658" t="str">
        <f t="shared" si="130"/>
        <v>Mié</v>
      </c>
      <c r="C677" s="674" t="s">
        <v>146</v>
      </c>
      <c r="D677" s="897" t="s">
        <v>522</v>
      </c>
      <c r="E677" s="687">
        <v>0.52083333333333337</v>
      </c>
      <c r="F677" s="687">
        <v>0.625</v>
      </c>
      <c r="G677" s="688">
        <f t="shared" si="125"/>
        <v>2.4999999999999991</v>
      </c>
      <c r="H677" s="676">
        <f>IF(D677="","",IFERROR(VLOOKUP(D677,'Resumen Empleado'!$A$4:$B$17,2,FALSE),""))</f>
        <v>10</v>
      </c>
      <c r="I677" s="676">
        <f t="shared" si="126"/>
        <v>0</v>
      </c>
      <c r="J677" s="676">
        <f t="shared" si="127"/>
        <v>24.999999999999993</v>
      </c>
      <c r="K677" s="676">
        <f t="shared" si="134"/>
        <v>0</v>
      </c>
      <c r="L677" s="1044">
        <f t="shared" si="128"/>
        <v>24.999999999999993</v>
      </c>
      <c r="M677" s="145" t="str">
        <f t="shared" si="131"/>
        <v/>
      </c>
      <c r="N677" s="1031">
        <f t="shared" si="129"/>
        <v>46127</v>
      </c>
    </row>
    <row r="678" spans="1:14" ht="15.75" customHeight="1">
      <c r="A678" s="1022">
        <v>46127</v>
      </c>
      <c r="B678" s="658" t="str">
        <f t="shared" si="130"/>
        <v>Mié</v>
      </c>
      <c r="C678" s="674" t="s">
        <v>146</v>
      </c>
      <c r="D678" s="897" t="s">
        <v>525</v>
      </c>
      <c r="E678" s="687">
        <v>0.54166666666666663</v>
      </c>
      <c r="F678" s="687">
        <v>0.66666666666666663</v>
      </c>
      <c r="G678" s="688">
        <f t="shared" si="125"/>
        <v>3</v>
      </c>
      <c r="H678" s="676">
        <f>IF(D678="","",IFERROR(VLOOKUP(D678,'Resumen Empleado'!$A$4:$B$17,2,FALSE),""))</f>
        <v>7.25</v>
      </c>
      <c r="I678" s="676">
        <f t="shared" si="126"/>
        <v>0</v>
      </c>
      <c r="J678" s="676">
        <f t="shared" si="127"/>
        <v>21.75</v>
      </c>
      <c r="K678" s="676">
        <f t="shared" si="134"/>
        <v>0</v>
      </c>
      <c r="L678" s="1044">
        <f t="shared" si="128"/>
        <v>21.75</v>
      </c>
      <c r="M678" s="145" t="str">
        <f t="shared" si="131"/>
        <v/>
      </c>
      <c r="N678" s="1031">
        <f t="shared" si="129"/>
        <v>46127</v>
      </c>
    </row>
    <row r="679" spans="1:14" ht="15.75" customHeight="1">
      <c r="A679" s="1022">
        <v>46127</v>
      </c>
      <c r="B679" s="658" t="str">
        <f t="shared" si="130"/>
        <v>Mié</v>
      </c>
      <c r="C679" s="674" t="s">
        <v>146</v>
      </c>
      <c r="D679" s="897" t="s">
        <v>526</v>
      </c>
      <c r="E679" s="687">
        <v>0.41666666666666669</v>
      </c>
      <c r="F679" s="687">
        <v>0.66666666666666663</v>
      </c>
      <c r="G679" s="688">
        <f t="shared" si="125"/>
        <v>5.9999999999999982</v>
      </c>
      <c r="H679" s="676">
        <f>IF(D679="","",IFERROR(VLOOKUP(D679,'Resumen Empleado'!$A$4:$B$17,2,FALSE),""))</f>
        <v>16</v>
      </c>
      <c r="I679" s="676">
        <f t="shared" si="126"/>
        <v>31.999999999999993</v>
      </c>
      <c r="J679" s="676">
        <f t="shared" si="127"/>
        <v>63.999999999999986</v>
      </c>
      <c r="K679" s="676">
        <f t="shared" si="134"/>
        <v>0</v>
      </c>
      <c r="L679" s="1044">
        <f t="shared" si="128"/>
        <v>95.999999999999972</v>
      </c>
      <c r="M679" s="145" t="str">
        <f t="shared" si="131"/>
        <v/>
      </c>
      <c r="N679" s="1031">
        <f t="shared" si="129"/>
        <v>46127</v>
      </c>
    </row>
    <row r="680" spans="1:14" ht="15.75" customHeight="1">
      <c r="A680" s="1022">
        <v>46127</v>
      </c>
      <c r="B680" s="658" t="str">
        <f t="shared" si="130"/>
        <v>Mié</v>
      </c>
      <c r="C680" s="674" t="s">
        <v>146</v>
      </c>
      <c r="D680" s="897" t="s">
        <v>532</v>
      </c>
      <c r="E680" s="687">
        <v>0.5</v>
      </c>
      <c r="F680" s="687">
        <v>0.66666666666666663</v>
      </c>
      <c r="G680" s="688">
        <f t="shared" si="125"/>
        <v>3.9999999999999991</v>
      </c>
      <c r="H680" s="676">
        <f>IF(D680="","",IFERROR(VLOOKUP(D680,'Resumen Empleado'!$A$4:$B$17,2,FALSE),""))</f>
        <v>5.17</v>
      </c>
      <c r="I680" s="676">
        <f t="shared" si="126"/>
        <v>0</v>
      </c>
      <c r="J680" s="676">
        <f t="shared" si="127"/>
        <v>20.679999999999996</v>
      </c>
      <c r="K680" s="676">
        <f t="shared" si="134"/>
        <v>0</v>
      </c>
      <c r="L680" s="1044">
        <f t="shared" si="128"/>
        <v>20.679999999999996</v>
      </c>
      <c r="M680" s="145" t="str">
        <f t="shared" si="131"/>
        <v/>
      </c>
      <c r="N680" s="1031">
        <f t="shared" si="129"/>
        <v>46127</v>
      </c>
    </row>
    <row r="681" spans="1:14" ht="15.75" customHeight="1">
      <c r="A681" s="1022">
        <v>46127</v>
      </c>
      <c r="B681" s="658" t="str">
        <f t="shared" si="130"/>
        <v>Mié</v>
      </c>
      <c r="C681" s="674" t="s">
        <v>497</v>
      </c>
      <c r="D681" s="897" t="s">
        <v>525</v>
      </c>
      <c r="E681" s="687">
        <v>0.79166666666666663</v>
      </c>
      <c r="F681" s="687">
        <v>0.95833333333333337</v>
      </c>
      <c r="G681" s="688">
        <f t="shared" si="125"/>
        <v>4.0000000000000018</v>
      </c>
      <c r="H681" s="676">
        <f>IF(D681="","",IFERROR(VLOOKUP(D681,'Resumen Empleado'!$A$4:$B$17,2,FALSE),""))</f>
        <v>7.25</v>
      </c>
      <c r="I681" s="676">
        <f t="shared" si="126"/>
        <v>0</v>
      </c>
      <c r="J681" s="676">
        <f t="shared" si="127"/>
        <v>0</v>
      </c>
      <c r="K681" s="676">
        <f t="shared" si="134"/>
        <v>29.000000000000014</v>
      </c>
      <c r="L681" s="1044">
        <f t="shared" si="128"/>
        <v>29.000000000000014</v>
      </c>
      <c r="M681" s="145" t="str">
        <f t="shared" si="131"/>
        <v/>
      </c>
      <c r="N681" s="1031">
        <f t="shared" si="129"/>
        <v>46127</v>
      </c>
    </row>
    <row r="682" spans="1:14" ht="15.75" customHeight="1">
      <c r="A682" s="1022">
        <v>46127</v>
      </c>
      <c r="B682" s="658" t="str">
        <f t="shared" si="130"/>
        <v>Mié</v>
      </c>
      <c r="C682" s="674" t="s">
        <v>497</v>
      </c>
      <c r="D682" s="897" t="s">
        <v>532</v>
      </c>
      <c r="E682" s="687">
        <v>0.79166666666666663</v>
      </c>
      <c r="F682" s="687">
        <v>0.95833333333333337</v>
      </c>
      <c r="G682" s="688">
        <f t="shared" si="125"/>
        <v>4.0000000000000018</v>
      </c>
      <c r="H682" s="676">
        <f>IF(D682="","",IFERROR(VLOOKUP(D682,'Resumen Empleado'!$A$4:$B$17,2,FALSE),""))</f>
        <v>5.17</v>
      </c>
      <c r="I682" s="676">
        <f t="shared" si="126"/>
        <v>0</v>
      </c>
      <c r="J682" s="676">
        <f t="shared" si="127"/>
        <v>0</v>
      </c>
      <c r="K682" s="676">
        <f t="shared" si="134"/>
        <v>20.68000000000001</v>
      </c>
      <c r="L682" s="1044">
        <f t="shared" si="128"/>
        <v>20.68000000000001</v>
      </c>
      <c r="M682" s="145" t="str">
        <f t="shared" si="131"/>
        <v/>
      </c>
      <c r="N682" s="1031">
        <f t="shared" si="129"/>
        <v>46127</v>
      </c>
    </row>
    <row r="683" spans="1:14" ht="15.75" customHeight="1">
      <c r="A683" s="1022">
        <v>46127</v>
      </c>
      <c r="B683" s="658" t="str">
        <f t="shared" si="130"/>
        <v>Mié</v>
      </c>
      <c r="C683" s="674" t="s">
        <v>497</v>
      </c>
      <c r="D683" s="897" t="s">
        <v>526</v>
      </c>
      <c r="E683" s="687">
        <v>0.83333333333333337</v>
      </c>
      <c r="F683" s="687">
        <v>0.95833333333333337</v>
      </c>
      <c r="G683" s="688">
        <f t="shared" si="125"/>
        <v>3</v>
      </c>
      <c r="H683" s="676">
        <f>IF(D683="","",IFERROR(VLOOKUP(D683,'Resumen Empleado'!$A$4:$B$17,2,FALSE),""))</f>
        <v>16</v>
      </c>
      <c r="I683" s="676">
        <f t="shared" si="126"/>
        <v>0</v>
      </c>
      <c r="J683" s="676">
        <f t="shared" si="127"/>
        <v>0</v>
      </c>
      <c r="K683" s="676">
        <f t="shared" si="134"/>
        <v>48</v>
      </c>
      <c r="L683" s="1044">
        <f t="shared" si="128"/>
        <v>48</v>
      </c>
      <c r="M683" s="145" t="str">
        <f t="shared" si="131"/>
        <v/>
      </c>
      <c r="N683" s="1031">
        <f t="shared" si="129"/>
        <v>46127</v>
      </c>
    </row>
    <row r="684" spans="1:14" ht="15.75" customHeight="1">
      <c r="A684" s="658">
        <v>46127</v>
      </c>
      <c r="B684" s="658" t="str">
        <f t="shared" ref="B684:B715" si="135">IF(A684="","",PROPER(TEXT(A684,"ddd")))</f>
        <v>Mié</v>
      </c>
      <c r="C684" s="674" t="s">
        <v>146</v>
      </c>
      <c r="D684" s="897" t="s">
        <v>528</v>
      </c>
      <c r="E684" s="687">
        <v>0.33333333333333331</v>
      </c>
      <c r="F684" s="687">
        <v>0.66666666666666663</v>
      </c>
      <c r="G684" s="688">
        <f t="shared" si="125"/>
        <v>8</v>
      </c>
      <c r="H684" s="676">
        <f>IF(D684="","",IFERROR(VLOOKUP(D684,'Resumen Empleado'!$A$4:$B$17,2,FALSE),""))</f>
        <v>11</v>
      </c>
      <c r="I684" s="676">
        <f t="shared" si="126"/>
        <v>44</v>
      </c>
      <c r="J684" s="676">
        <f t="shared" si="127"/>
        <v>43.999999999999993</v>
      </c>
      <c r="K684" s="676">
        <f>IF(OR(E684="",F684="",H684=""),0,MAX(0,(MIN(IF(F684&lt;E684,1+F684,F684),1+TIME(5,0,0))-MAX(E684,TIME(19,0,0))))*24*H684)</f>
        <v>0</v>
      </c>
      <c r="L684" s="1044">
        <f t="shared" si="128"/>
        <v>88</v>
      </c>
      <c r="M684" s="145" t="str">
        <f t="shared" ref="M684:M712" si="136">IF(A684="","",IF(G684&gt;12,"⚠ Verificar",""))</f>
        <v/>
      </c>
      <c r="N684" s="684">
        <f t="shared" si="129"/>
        <v>46127</v>
      </c>
    </row>
    <row r="685" spans="1:14" ht="15.75" customHeight="1">
      <c r="A685" s="1022">
        <v>46128</v>
      </c>
      <c r="B685" s="658" t="str">
        <f t="shared" si="135"/>
        <v>Jue</v>
      </c>
      <c r="C685" s="674" t="s">
        <v>146</v>
      </c>
      <c r="D685" s="897" t="s">
        <v>522</v>
      </c>
      <c r="E685" s="687">
        <v>0.52083333333333337</v>
      </c>
      <c r="F685" s="687">
        <v>0.66666666666666663</v>
      </c>
      <c r="G685" s="688">
        <f t="shared" si="125"/>
        <v>3.4999999999999982</v>
      </c>
      <c r="H685" s="676">
        <f>IF(D685="","",IFERROR(VLOOKUP(D685,'Resumen Empleado'!$A$4:$B$17,2,FALSE),""))</f>
        <v>10</v>
      </c>
      <c r="I685" s="676">
        <f t="shared" si="126"/>
        <v>0</v>
      </c>
      <c r="J685" s="676">
        <f t="shared" si="127"/>
        <v>34.999999999999986</v>
      </c>
      <c r="K685" s="676">
        <f>IF(OR(E685="",F685="",H685=""),0,MAX(0,(MIN(IF(F685&lt;E685,F685+1,F685),1+TIME(5,0,0))-MAX(E685,TIME(19,0,0))))*24*H685)</f>
        <v>0</v>
      </c>
      <c r="L685" s="1044">
        <f t="shared" si="128"/>
        <v>34.999999999999986</v>
      </c>
      <c r="M685" s="145" t="str">
        <f t="shared" si="136"/>
        <v/>
      </c>
      <c r="N685" s="1031">
        <f t="shared" si="129"/>
        <v>46128</v>
      </c>
    </row>
    <row r="686" spans="1:14" ht="15.75" customHeight="1">
      <c r="A686" s="1022">
        <v>46128</v>
      </c>
      <c r="B686" s="658" t="str">
        <f t="shared" si="135"/>
        <v>Jue</v>
      </c>
      <c r="C686" s="674" t="s">
        <v>146</v>
      </c>
      <c r="D686" s="897" t="s">
        <v>526</v>
      </c>
      <c r="E686" s="687">
        <v>0.41666666666666669</v>
      </c>
      <c r="F686" s="687">
        <v>0.66666666666666663</v>
      </c>
      <c r="G686" s="688">
        <f t="shared" si="125"/>
        <v>5.9999999999999982</v>
      </c>
      <c r="H686" s="676">
        <f>IF(D686="","",IFERROR(VLOOKUP(D686,'Resumen Empleado'!$A$4:$B$17,2,FALSE),""))</f>
        <v>16</v>
      </c>
      <c r="I686" s="676">
        <f t="shared" si="126"/>
        <v>31.999999999999993</v>
      </c>
      <c r="J686" s="676">
        <f t="shared" si="127"/>
        <v>63.999999999999986</v>
      </c>
      <c r="K686" s="676">
        <f>IF(OR(E686="",F686="",H686=""),0,MAX(0,(MIN(IF(F686&lt;E686,F686+1,F686),1+TIME(5,0,0))-MAX(E686,TIME(19,0,0))))*24*H686)</f>
        <v>0</v>
      </c>
      <c r="L686" s="1044">
        <f t="shared" si="128"/>
        <v>95.999999999999972</v>
      </c>
      <c r="M686" s="145" t="str">
        <f t="shared" si="136"/>
        <v/>
      </c>
      <c r="N686" s="1031">
        <f t="shared" si="129"/>
        <v>46128</v>
      </c>
    </row>
    <row r="687" spans="1:14" ht="15.75" customHeight="1">
      <c r="A687" s="1022">
        <v>46128</v>
      </c>
      <c r="B687" s="658" t="str">
        <f t="shared" si="135"/>
        <v>Jue</v>
      </c>
      <c r="C687" s="674" t="s">
        <v>146</v>
      </c>
      <c r="D687" s="897" t="s">
        <v>532</v>
      </c>
      <c r="E687" s="687">
        <v>0.5</v>
      </c>
      <c r="F687" s="687">
        <v>0.66666666666666663</v>
      </c>
      <c r="G687" s="688">
        <f t="shared" si="125"/>
        <v>3.9999999999999991</v>
      </c>
      <c r="H687" s="676">
        <f>IF(D687="","",IFERROR(VLOOKUP(D687,'Resumen Empleado'!$A$4:$B$17,2,FALSE),""))</f>
        <v>5.17</v>
      </c>
      <c r="I687" s="676">
        <f t="shared" si="126"/>
        <v>0</v>
      </c>
      <c r="J687" s="676">
        <f t="shared" si="127"/>
        <v>20.679999999999996</v>
      </c>
      <c r="K687" s="676">
        <f>IF(OR(E687="",F687="",H687=""),0,MAX(0,(MIN(IF(F687&lt;E687,F687+1,F687),1+TIME(5,0,0))-MAX(E687,TIME(19,0,0))))*24*H687)</f>
        <v>0</v>
      </c>
      <c r="L687" s="1044">
        <f t="shared" si="128"/>
        <v>20.679999999999996</v>
      </c>
      <c r="M687" s="145" t="str">
        <f t="shared" si="136"/>
        <v/>
      </c>
      <c r="N687" s="1031">
        <f t="shared" si="129"/>
        <v>46128</v>
      </c>
    </row>
    <row r="688" spans="1:14" ht="15.75" customHeight="1">
      <c r="A688" s="1022">
        <v>46128</v>
      </c>
      <c r="B688" s="658" t="str">
        <f t="shared" si="135"/>
        <v>Jue</v>
      </c>
      <c r="C688" s="674" t="s">
        <v>146</v>
      </c>
      <c r="D688" s="897" t="s">
        <v>525</v>
      </c>
      <c r="E688" s="687">
        <v>0.54166666666666663</v>
      </c>
      <c r="F688" s="687">
        <v>0.66666666666666663</v>
      </c>
      <c r="G688" s="688">
        <f t="shared" si="125"/>
        <v>3</v>
      </c>
      <c r="H688" s="676">
        <f>IF(D688="","",IFERROR(VLOOKUP(D688,'Resumen Empleado'!$A$4:$B$17,2,FALSE),""))</f>
        <v>7.25</v>
      </c>
      <c r="I688" s="676">
        <f t="shared" si="126"/>
        <v>0</v>
      </c>
      <c r="J688" s="676">
        <f t="shared" si="127"/>
        <v>21.75</v>
      </c>
      <c r="K688" s="676">
        <f>IF(OR(E688="",F688="",H688=""),0,MAX(0,(MIN(IF(F688&lt;E688,F688+1,F688),1+TIME(5,0,0))-MAX(E688,TIME(19,0,0))))*24*H688)</f>
        <v>0</v>
      </c>
      <c r="L688" s="1044">
        <f t="shared" si="128"/>
        <v>21.75</v>
      </c>
      <c r="M688" s="145" t="str">
        <f t="shared" si="136"/>
        <v/>
      </c>
      <c r="N688" s="1031">
        <f t="shared" si="129"/>
        <v>46128</v>
      </c>
    </row>
    <row r="689" spans="1:14" ht="15.75" customHeight="1">
      <c r="A689" s="658">
        <v>46128</v>
      </c>
      <c r="B689" s="658" t="str">
        <f t="shared" si="135"/>
        <v>Jue</v>
      </c>
      <c r="C689" s="674" t="s">
        <v>146</v>
      </c>
      <c r="D689" s="897" t="s">
        <v>528</v>
      </c>
      <c r="E689" s="687">
        <v>0.33333333333333331</v>
      </c>
      <c r="F689" s="687">
        <v>0.66666666666666663</v>
      </c>
      <c r="G689" s="688">
        <f t="shared" si="125"/>
        <v>8</v>
      </c>
      <c r="H689" s="676">
        <f>IF(D689="","",IFERROR(VLOOKUP(D689,'Resumen Empleado'!$A$4:$B$17,2,FALSE),""))</f>
        <v>11</v>
      </c>
      <c r="I689" s="676">
        <f t="shared" si="126"/>
        <v>44</v>
      </c>
      <c r="J689" s="676">
        <f t="shared" si="127"/>
        <v>43.999999999999993</v>
      </c>
      <c r="K689" s="676">
        <f>IF(OR(E689="",F689="",H689=""),0,MAX(0,(MIN(IF(F689&lt;E689,1+F689,F689),1+TIME(5,0,0))-MAX(E689,TIME(19,0,0))))*24*H689)</f>
        <v>0</v>
      </c>
      <c r="L689" s="1044">
        <f t="shared" si="128"/>
        <v>88</v>
      </c>
      <c r="M689" s="145" t="str">
        <f t="shared" si="136"/>
        <v/>
      </c>
      <c r="N689" s="684">
        <f t="shared" si="129"/>
        <v>46128</v>
      </c>
    </row>
    <row r="690" spans="1:14" ht="15.75" customHeight="1">
      <c r="A690" s="1022">
        <v>46129</v>
      </c>
      <c r="B690" s="658" t="str">
        <f t="shared" si="135"/>
        <v>Vie</v>
      </c>
      <c r="C690" s="674" t="s">
        <v>146</v>
      </c>
      <c r="D690" s="897" t="s">
        <v>522</v>
      </c>
      <c r="E690" s="687">
        <v>0.5</v>
      </c>
      <c r="F690" s="687">
        <v>0.66666666666666663</v>
      </c>
      <c r="G690" s="688">
        <f t="shared" si="125"/>
        <v>3.9999999999999991</v>
      </c>
      <c r="H690" s="676">
        <f>IF(D690="","",IFERROR(VLOOKUP(D690,'Resumen Empleado'!$A$4:$B$17,2,FALSE),""))</f>
        <v>10</v>
      </c>
      <c r="I690" s="676">
        <f t="shared" si="126"/>
        <v>0</v>
      </c>
      <c r="J690" s="676">
        <f t="shared" si="127"/>
        <v>39.999999999999993</v>
      </c>
      <c r="K690" s="676">
        <f t="shared" ref="K690:K699" si="137">IF(OR(E690="",F690="",H690=""),0,MAX(0,(MIN(IF(F690&lt;E690,F690+1,F690),1+TIME(5,0,0))-MAX(E690,TIME(19,0,0))))*24*H690)</f>
        <v>0</v>
      </c>
      <c r="L690" s="1044">
        <f t="shared" si="128"/>
        <v>39.999999999999993</v>
      </c>
      <c r="M690" s="145" t="str">
        <f t="shared" si="136"/>
        <v/>
      </c>
      <c r="N690" s="1031">
        <f t="shared" si="129"/>
        <v>46129</v>
      </c>
    </row>
    <row r="691" spans="1:14" ht="15.75" customHeight="1">
      <c r="A691" s="1022">
        <v>46129</v>
      </c>
      <c r="B691" s="658" t="str">
        <f t="shared" si="135"/>
        <v>Vie</v>
      </c>
      <c r="C691" s="674" t="s">
        <v>146</v>
      </c>
      <c r="D691" s="897" t="s">
        <v>525</v>
      </c>
      <c r="E691" s="687">
        <v>0.54166666666666663</v>
      </c>
      <c r="F691" s="687">
        <v>0.66666666666666663</v>
      </c>
      <c r="G691" s="688">
        <f t="shared" si="125"/>
        <v>3</v>
      </c>
      <c r="H691" s="676">
        <f>IF(D691="","",IFERROR(VLOOKUP(D691,'Resumen Empleado'!$A$4:$B$17,2,FALSE),""))</f>
        <v>7.25</v>
      </c>
      <c r="I691" s="676">
        <f t="shared" si="126"/>
        <v>0</v>
      </c>
      <c r="J691" s="676">
        <f t="shared" si="127"/>
        <v>21.75</v>
      </c>
      <c r="K691" s="676">
        <f t="shared" si="137"/>
        <v>0</v>
      </c>
      <c r="L691" s="1044">
        <f t="shared" si="128"/>
        <v>21.75</v>
      </c>
      <c r="M691" s="145" t="str">
        <f t="shared" si="136"/>
        <v/>
      </c>
      <c r="N691" s="1031">
        <f t="shared" si="129"/>
        <v>46129</v>
      </c>
    </row>
    <row r="692" spans="1:14" ht="15.75" customHeight="1">
      <c r="A692" s="1022">
        <v>46129</v>
      </c>
      <c r="B692" s="658" t="str">
        <f t="shared" si="135"/>
        <v>Vie</v>
      </c>
      <c r="C692" s="674" t="s">
        <v>146</v>
      </c>
      <c r="D692" s="897" t="s">
        <v>526</v>
      </c>
      <c r="E692" s="687">
        <v>0.41666666666666669</v>
      </c>
      <c r="F692" s="687">
        <v>0.66666666666666663</v>
      </c>
      <c r="G692" s="688">
        <f t="shared" si="125"/>
        <v>5.9999999999999982</v>
      </c>
      <c r="H692" s="676">
        <f>IF(D692="","",IFERROR(VLOOKUP(D692,'Resumen Empleado'!$A$4:$B$17,2,FALSE),""))</f>
        <v>16</v>
      </c>
      <c r="I692" s="676">
        <f t="shared" si="126"/>
        <v>31.999999999999993</v>
      </c>
      <c r="J692" s="676">
        <f t="shared" si="127"/>
        <v>63.999999999999986</v>
      </c>
      <c r="K692" s="676">
        <f t="shared" si="137"/>
        <v>0</v>
      </c>
      <c r="L692" s="1044">
        <f t="shared" si="128"/>
        <v>95.999999999999972</v>
      </c>
      <c r="M692" s="145" t="str">
        <f t="shared" si="136"/>
        <v/>
      </c>
      <c r="N692" s="1031">
        <f t="shared" si="129"/>
        <v>46129</v>
      </c>
    </row>
    <row r="693" spans="1:14" ht="15.75" customHeight="1">
      <c r="A693" s="1022">
        <v>46129</v>
      </c>
      <c r="B693" s="658" t="str">
        <f t="shared" si="135"/>
        <v>Vie</v>
      </c>
      <c r="C693" s="674" t="s">
        <v>146</v>
      </c>
      <c r="D693" s="897" t="s">
        <v>532</v>
      </c>
      <c r="E693" s="687">
        <v>0.5</v>
      </c>
      <c r="F693" s="687">
        <v>0.66666666666666663</v>
      </c>
      <c r="G693" s="688">
        <f t="shared" si="125"/>
        <v>3.9999999999999991</v>
      </c>
      <c r="H693" s="676">
        <f>IF(D693="","",IFERROR(VLOOKUP(D693,'Resumen Empleado'!$A$4:$B$17,2,FALSE),""))</f>
        <v>5.17</v>
      </c>
      <c r="I693" s="676">
        <f t="shared" si="126"/>
        <v>0</v>
      </c>
      <c r="J693" s="676">
        <f t="shared" si="127"/>
        <v>20.679999999999996</v>
      </c>
      <c r="K693" s="676">
        <f t="shared" si="137"/>
        <v>0</v>
      </c>
      <c r="L693" s="1044">
        <f t="shared" si="128"/>
        <v>20.679999999999996</v>
      </c>
      <c r="M693" s="145" t="str">
        <f t="shared" si="136"/>
        <v/>
      </c>
      <c r="N693" s="1031">
        <f t="shared" si="129"/>
        <v>46129</v>
      </c>
    </row>
    <row r="694" spans="1:14" ht="15.75" customHeight="1">
      <c r="A694" s="1022">
        <v>46129</v>
      </c>
      <c r="B694" s="658" t="str">
        <f t="shared" si="135"/>
        <v>Vie</v>
      </c>
      <c r="C694" s="674" t="s">
        <v>497</v>
      </c>
      <c r="D694" s="897" t="s">
        <v>522</v>
      </c>
      <c r="E694" s="687">
        <v>0.79166666666666663</v>
      </c>
      <c r="F694" s="687">
        <v>0.95833333333333337</v>
      </c>
      <c r="G694" s="688">
        <f t="shared" si="125"/>
        <v>4.0000000000000018</v>
      </c>
      <c r="H694" s="676">
        <f>IF(D694="","",IFERROR(VLOOKUP(D694,'Resumen Empleado'!$A$4:$B$17,2,FALSE),""))</f>
        <v>10</v>
      </c>
      <c r="I694" s="676">
        <f t="shared" si="126"/>
        <v>0</v>
      </c>
      <c r="J694" s="676">
        <f t="shared" si="127"/>
        <v>0</v>
      </c>
      <c r="K694" s="676">
        <f t="shared" si="137"/>
        <v>40.000000000000014</v>
      </c>
      <c r="L694" s="1044">
        <f t="shared" si="128"/>
        <v>40.000000000000014</v>
      </c>
      <c r="M694" s="145" t="str">
        <f t="shared" si="136"/>
        <v/>
      </c>
      <c r="N694" s="1031">
        <f t="shared" si="129"/>
        <v>46129</v>
      </c>
    </row>
    <row r="695" spans="1:14" ht="15.75" customHeight="1">
      <c r="A695" s="1022">
        <v>46129</v>
      </c>
      <c r="B695" s="658" t="str">
        <f t="shared" si="135"/>
        <v>Vie</v>
      </c>
      <c r="C695" s="674" t="s">
        <v>497</v>
      </c>
      <c r="D695" s="897" t="s">
        <v>532</v>
      </c>
      <c r="E695" s="687">
        <v>0.79166666666666663</v>
      </c>
      <c r="F695" s="687">
        <v>0</v>
      </c>
      <c r="G695" s="688">
        <f t="shared" si="125"/>
        <v>5.0000000000000009</v>
      </c>
      <c r="H695" s="676">
        <f>IF(D695="","",IFERROR(VLOOKUP(D695,'Resumen Empleado'!$A$4:$B$17,2,FALSE),""))</f>
        <v>5.17</v>
      </c>
      <c r="I695" s="676">
        <f t="shared" si="126"/>
        <v>0</v>
      </c>
      <c r="J695" s="676">
        <f t="shared" si="127"/>
        <v>0</v>
      </c>
      <c r="K695" s="676">
        <f t="shared" si="137"/>
        <v>25.850000000000005</v>
      </c>
      <c r="L695" s="1044">
        <f t="shared" si="128"/>
        <v>25.850000000000005</v>
      </c>
      <c r="M695" s="145" t="str">
        <f t="shared" si="136"/>
        <v/>
      </c>
      <c r="N695" s="1031">
        <f t="shared" si="129"/>
        <v>46129</v>
      </c>
    </row>
    <row r="696" spans="1:14" ht="15.75" customHeight="1">
      <c r="A696" s="1022">
        <v>46129</v>
      </c>
      <c r="B696" s="658" t="str">
        <f t="shared" si="135"/>
        <v>Vie</v>
      </c>
      <c r="C696" s="674" t="s">
        <v>497</v>
      </c>
      <c r="D696" s="897" t="s">
        <v>526</v>
      </c>
      <c r="E696" s="687">
        <v>0.83333333333333337</v>
      </c>
      <c r="F696" s="687">
        <v>0</v>
      </c>
      <c r="G696" s="688">
        <f t="shared" si="125"/>
        <v>3.9999999999999991</v>
      </c>
      <c r="H696" s="676">
        <f>IF(D696="","",IFERROR(VLOOKUP(D696,'Resumen Empleado'!$A$4:$B$17,2,FALSE),""))</f>
        <v>16</v>
      </c>
      <c r="I696" s="676">
        <f t="shared" si="126"/>
        <v>0</v>
      </c>
      <c r="J696" s="676">
        <f t="shared" si="127"/>
        <v>0</v>
      </c>
      <c r="K696" s="676">
        <f t="shared" si="137"/>
        <v>63.999999999999986</v>
      </c>
      <c r="L696" s="1044">
        <f t="shared" si="128"/>
        <v>63.999999999999986</v>
      </c>
      <c r="M696" s="145" t="str">
        <f t="shared" si="136"/>
        <v/>
      </c>
      <c r="N696" s="1031">
        <f t="shared" si="129"/>
        <v>46129</v>
      </c>
    </row>
    <row r="697" spans="1:14" ht="15.75" customHeight="1">
      <c r="A697" s="1022">
        <v>46129</v>
      </c>
      <c r="B697" s="658" t="str">
        <f t="shared" si="135"/>
        <v>Vie</v>
      </c>
      <c r="C697" s="674" t="s">
        <v>497</v>
      </c>
      <c r="D697" s="897" t="s">
        <v>525</v>
      </c>
      <c r="E697" s="687">
        <v>0.79166666666666663</v>
      </c>
      <c r="F697" s="687">
        <v>1.041666666666667E-2</v>
      </c>
      <c r="G697" s="688">
        <f t="shared" si="125"/>
        <v>5.2500000000000027</v>
      </c>
      <c r="H697" s="676">
        <f>IF(D697="","",IFERROR(VLOOKUP(D697,'Resumen Empleado'!$A$4:$B$17,2,FALSE),""))</f>
        <v>7.25</v>
      </c>
      <c r="I697" s="676">
        <f t="shared" si="126"/>
        <v>0</v>
      </c>
      <c r="J697" s="676">
        <f t="shared" si="127"/>
        <v>0</v>
      </c>
      <c r="K697" s="676">
        <f t="shared" si="137"/>
        <v>38.062500000000021</v>
      </c>
      <c r="L697" s="1044">
        <f t="shared" si="128"/>
        <v>38.062500000000021</v>
      </c>
      <c r="M697" s="145" t="str">
        <f t="shared" si="136"/>
        <v/>
      </c>
      <c r="N697" s="1031">
        <f t="shared" si="129"/>
        <v>46129</v>
      </c>
    </row>
    <row r="698" spans="1:14" ht="15.75" customHeight="1">
      <c r="A698" s="1022">
        <v>46129</v>
      </c>
      <c r="B698" s="658" t="str">
        <f t="shared" si="135"/>
        <v>Vie</v>
      </c>
      <c r="C698" s="674" t="s">
        <v>497</v>
      </c>
      <c r="D698" s="897" t="s">
        <v>529</v>
      </c>
      <c r="E698" s="687">
        <v>0.875</v>
      </c>
      <c r="F698" s="687">
        <v>1.041666666666667E-2</v>
      </c>
      <c r="G698" s="688">
        <f t="shared" si="125"/>
        <v>3.2500000000000018</v>
      </c>
      <c r="H698" s="676">
        <f>IF(D698="","",IFERROR(VLOOKUP(D698,'Resumen Empleado'!$A$4:$B$17,2,FALSE),""))</f>
        <v>8</v>
      </c>
      <c r="I698" s="676">
        <f t="shared" si="126"/>
        <v>0</v>
      </c>
      <c r="J698" s="676">
        <f t="shared" si="127"/>
        <v>0</v>
      </c>
      <c r="K698" s="676">
        <f t="shared" si="137"/>
        <v>26.000000000000014</v>
      </c>
      <c r="L698" s="1044">
        <f t="shared" si="128"/>
        <v>26.000000000000014</v>
      </c>
      <c r="M698" s="145" t="str">
        <f t="shared" si="136"/>
        <v/>
      </c>
      <c r="N698" s="1031">
        <f t="shared" si="129"/>
        <v>46129</v>
      </c>
    </row>
    <row r="699" spans="1:14" ht="15.75" customHeight="1">
      <c r="A699" s="1022">
        <v>46129</v>
      </c>
      <c r="B699" s="658" t="str">
        <f t="shared" si="135"/>
        <v>Vie</v>
      </c>
      <c r="C699" s="674" t="s">
        <v>497</v>
      </c>
      <c r="D699" s="897" t="s">
        <v>527</v>
      </c>
      <c r="E699" s="687">
        <v>0.8125</v>
      </c>
      <c r="F699" s="687">
        <v>0.89583333333333337</v>
      </c>
      <c r="G699" s="688">
        <f t="shared" si="125"/>
        <v>2.0000000000000009</v>
      </c>
      <c r="H699" s="676" t="str">
        <f>IF(D699="","",IFERROR(VLOOKUP(D699,'Resumen Empleado'!$A$4:$B$17,2,FALSE),""))</f>
        <v/>
      </c>
      <c r="I699" s="676">
        <f t="shared" si="126"/>
        <v>0</v>
      </c>
      <c r="J699" s="676">
        <f t="shared" si="127"/>
        <v>0</v>
      </c>
      <c r="K699" s="676">
        <f t="shared" si="137"/>
        <v>0</v>
      </c>
      <c r="L699" s="1044">
        <f t="shared" si="128"/>
        <v>0</v>
      </c>
      <c r="M699" s="145" t="str">
        <f t="shared" si="136"/>
        <v/>
      </c>
      <c r="N699" s="1031">
        <f t="shared" si="129"/>
        <v>46129</v>
      </c>
    </row>
    <row r="700" spans="1:14" ht="15.75" customHeight="1">
      <c r="A700" s="658">
        <v>46129</v>
      </c>
      <c r="B700" s="658" t="str">
        <f t="shared" si="135"/>
        <v>Vie</v>
      </c>
      <c r="C700" s="674" t="s">
        <v>146</v>
      </c>
      <c r="D700" s="897" t="s">
        <v>528</v>
      </c>
      <c r="E700" s="687">
        <v>0.33333333333333331</v>
      </c>
      <c r="F700" s="687">
        <v>0.66666666666666663</v>
      </c>
      <c r="G700" s="688">
        <f t="shared" si="125"/>
        <v>8</v>
      </c>
      <c r="H700" s="676">
        <f>IF(D700="","",IFERROR(VLOOKUP(D700,'Resumen Empleado'!$A$4:$B$17,2,FALSE),""))</f>
        <v>11</v>
      </c>
      <c r="I700" s="676">
        <f t="shared" si="126"/>
        <v>44</v>
      </c>
      <c r="J700" s="676">
        <f t="shared" si="127"/>
        <v>43.999999999999993</v>
      </c>
      <c r="K700" s="676">
        <f>IF(OR(E700="",F700="",H700=""),0,MAX(0,(MIN(IF(F700&lt;E700,1+F700,F700),1+TIME(5,0,0))-MAX(E700,TIME(19,0,0))))*24*H700)</f>
        <v>0</v>
      </c>
      <c r="L700" s="1044">
        <f t="shared" si="128"/>
        <v>88</v>
      </c>
      <c r="M700" s="145" t="str">
        <f t="shared" si="136"/>
        <v/>
      </c>
      <c r="N700" s="684">
        <f t="shared" si="129"/>
        <v>46129</v>
      </c>
    </row>
    <row r="701" spans="1:14" ht="15.75" customHeight="1">
      <c r="A701" s="1022">
        <v>46130</v>
      </c>
      <c r="B701" s="658" t="str">
        <f t="shared" si="135"/>
        <v>Sáb</v>
      </c>
      <c r="C701" s="674" t="s">
        <v>146</v>
      </c>
      <c r="D701" s="897" t="s">
        <v>522</v>
      </c>
      <c r="E701" s="687">
        <v>0.29166666666666669</v>
      </c>
      <c r="F701" s="687">
        <v>0.375</v>
      </c>
      <c r="G701" s="688">
        <f t="shared" si="125"/>
        <v>1.9999999999999996</v>
      </c>
      <c r="H701" s="676">
        <f>IF(D701="","",IFERROR(VLOOKUP(D701,'Resumen Empleado'!$A$4:$B$17,2,FALSE),""))</f>
        <v>10</v>
      </c>
      <c r="I701" s="676">
        <f t="shared" si="126"/>
        <v>19.999999999999996</v>
      </c>
      <c r="J701" s="676">
        <f t="shared" si="127"/>
        <v>0</v>
      </c>
      <c r="K701" s="676">
        <f t="shared" ref="K701:K711" si="138">IF(OR(E701="",F701="",H701=""),0,MAX(0,(MIN(IF(F701&lt;E701,F701+1,F701),1+TIME(5,0,0))-MAX(E701,TIME(19,0,0))))*24*H701)</f>
        <v>0</v>
      </c>
      <c r="L701" s="1044">
        <f t="shared" si="128"/>
        <v>19.999999999999996</v>
      </c>
      <c r="M701" s="145" t="str">
        <f t="shared" si="136"/>
        <v/>
      </c>
      <c r="N701" s="1031">
        <f t="shared" si="129"/>
        <v>46130</v>
      </c>
    </row>
    <row r="702" spans="1:14" ht="15.75" customHeight="1">
      <c r="A702" s="1022">
        <v>46130</v>
      </c>
      <c r="B702" s="658" t="str">
        <f t="shared" si="135"/>
        <v>Sáb</v>
      </c>
      <c r="C702" s="674" t="s">
        <v>146</v>
      </c>
      <c r="D702" s="897" t="s">
        <v>522</v>
      </c>
      <c r="E702" s="687">
        <v>0.5</v>
      </c>
      <c r="F702" s="687">
        <v>0.6875</v>
      </c>
      <c r="G702" s="688">
        <f t="shared" si="125"/>
        <v>4.5</v>
      </c>
      <c r="H702" s="676">
        <f>IF(D702="","",IFERROR(VLOOKUP(D702,'Resumen Empleado'!$A$4:$B$17,2,FALSE),""))</f>
        <v>10</v>
      </c>
      <c r="I702" s="676">
        <f t="shared" si="126"/>
        <v>0</v>
      </c>
      <c r="J702" s="676">
        <f t="shared" si="127"/>
        <v>45</v>
      </c>
      <c r="K702" s="676">
        <f t="shared" si="138"/>
        <v>0</v>
      </c>
      <c r="L702" s="1044">
        <f t="shared" si="128"/>
        <v>45</v>
      </c>
      <c r="M702" s="145" t="str">
        <f t="shared" si="136"/>
        <v/>
      </c>
      <c r="N702" s="1031">
        <f t="shared" si="129"/>
        <v>46130</v>
      </c>
    </row>
    <row r="703" spans="1:14" ht="15.75" customHeight="1">
      <c r="A703" s="1022">
        <v>46130</v>
      </c>
      <c r="B703" s="658" t="str">
        <f t="shared" si="135"/>
        <v>Sáb</v>
      </c>
      <c r="C703" s="674" t="s">
        <v>146</v>
      </c>
      <c r="D703" s="897" t="s">
        <v>525</v>
      </c>
      <c r="E703" s="687">
        <v>0.375</v>
      </c>
      <c r="F703" s="687">
        <v>0.6875</v>
      </c>
      <c r="G703" s="688">
        <f t="shared" si="125"/>
        <v>7.5</v>
      </c>
      <c r="H703" s="676">
        <f>IF(D703="","",IFERROR(VLOOKUP(D703,'Resumen Empleado'!$A$4:$B$17,2,FALSE),""))</f>
        <v>7.25</v>
      </c>
      <c r="I703" s="676">
        <f t="shared" si="126"/>
        <v>21.75</v>
      </c>
      <c r="J703" s="676">
        <f t="shared" si="127"/>
        <v>32.625</v>
      </c>
      <c r="K703" s="676">
        <f t="shared" si="138"/>
        <v>0</v>
      </c>
      <c r="L703" s="1044">
        <f t="shared" si="128"/>
        <v>54.375</v>
      </c>
      <c r="M703" s="145" t="str">
        <f t="shared" si="136"/>
        <v/>
      </c>
      <c r="N703" s="1031">
        <f t="shared" si="129"/>
        <v>46130</v>
      </c>
    </row>
    <row r="704" spans="1:14" ht="15.75" customHeight="1">
      <c r="A704" s="1022">
        <v>46130</v>
      </c>
      <c r="B704" s="658" t="str">
        <f t="shared" si="135"/>
        <v>Sáb</v>
      </c>
      <c r="C704" s="674" t="s">
        <v>146</v>
      </c>
      <c r="D704" s="897" t="s">
        <v>526</v>
      </c>
      <c r="E704" s="687">
        <v>0.375</v>
      </c>
      <c r="F704" s="687">
        <v>0.6875</v>
      </c>
      <c r="G704" s="688">
        <f t="shared" si="125"/>
        <v>7.5</v>
      </c>
      <c r="H704" s="676">
        <f>IF(D704="","",IFERROR(VLOOKUP(D704,'Resumen Empleado'!$A$4:$B$17,2,FALSE),""))</f>
        <v>16</v>
      </c>
      <c r="I704" s="676">
        <f t="shared" si="126"/>
        <v>48</v>
      </c>
      <c r="J704" s="676">
        <f t="shared" si="127"/>
        <v>72</v>
      </c>
      <c r="K704" s="676">
        <f t="shared" si="138"/>
        <v>0</v>
      </c>
      <c r="L704" s="1044">
        <f t="shared" si="128"/>
        <v>120</v>
      </c>
      <c r="M704" s="145" t="str">
        <f t="shared" si="136"/>
        <v/>
      </c>
      <c r="N704" s="1031">
        <f t="shared" si="129"/>
        <v>46130</v>
      </c>
    </row>
    <row r="705" spans="1:14" ht="15.75" customHeight="1">
      <c r="A705" s="1022">
        <v>46130</v>
      </c>
      <c r="B705" s="658" t="str">
        <f t="shared" si="135"/>
        <v>Sáb</v>
      </c>
      <c r="C705" s="674" t="s">
        <v>146</v>
      </c>
      <c r="D705" s="897" t="s">
        <v>532</v>
      </c>
      <c r="E705" s="687">
        <v>0.34375</v>
      </c>
      <c r="F705" s="687">
        <v>0.625</v>
      </c>
      <c r="G705" s="688">
        <f t="shared" si="125"/>
        <v>6.75</v>
      </c>
      <c r="H705" s="676">
        <f>IF(D705="","",IFERROR(VLOOKUP(D705,'Resumen Empleado'!$A$4:$B$17,2,FALSE),""))</f>
        <v>5.17</v>
      </c>
      <c r="I705" s="676">
        <f t="shared" si="126"/>
        <v>19.387499999999999</v>
      </c>
      <c r="J705" s="676">
        <f t="shared" si="127"/>
        <v>15.51</v>
      </c>
      <c r="K705" s="676">
        <f t="shared" si="138"/>
        <v>0</v>
      </c>
      <c r="L705" s="1044">
        <f t="shared" si="128"/>
        <v>34.897500000000001</v>
      </c>
      <c r="M705" s="145" t="str">
        <f t="shared" si="136"/>
        <v/>
      </c>
      <c r="N705" s="1031">
        <f t="shared" si="129"/>
        <v>46130</v>
      </c>
    </row>
    <row r="706" spans="1:14" ht="15.75" customHeight="1">
      <c r="A706" s="1022">
        <v>46130</v>
      </c>
      <c r="B706" s="658" t="str">
        <f t="shared" si="135"/>
        <v>Sáb</v>
      </c>
      <c r="C706" s="674" t="s">
        <v>497</v>
      </c>
      <c r="D706" s="897" t="s">
        <v>522</v>
      </c>
      <c r="E706" s="687">
        <v>0.79166666666666663</v>
      </c>
      <c r="F706" s="687">
        <v>0.9375</v>
      </c>
      <c r="G706" s="688">
        <f t="shared" si="125"/>
        <v>3.5000000000000009</v>
      </c>
      <c r="H706" s="676">
        <f>IF(D706="","",IFERROR(VLOOKUP(D706,'Resumen Empleado'!$A$4:$B$17,2,FALSE),""))</f>
        <v>10</v>
      </c>
      <c r="I706" s="676">
        <f t="shared" si="126"/>
        <v>0</v>
      </c>
      <c r="J706" s="676">
        <f t="shared" si="127"/>
        <v>0</v>
      </c>
      <c r="K706" s="676">
        <f t="shared" si="138"/>
        <v>35.000000000000007</v>
      </c>
      <c r="L706" s="1044">
        <f t="shared" si="128"/>
        <v>35.000000000000007</v>
      </c>
      <c r="M706" s="145" t="str">
        <f t="shared" si="136"/>
        <v/>
      </c>
      <c r="N706" s="1031">
        <f t="shared" si="129"/>
        <v>46130</v>
      </c>
    </row>
    <row r="707" spans="1:14" ht="15.75" customHeight="1">
      <c r="A707" s="1022">
        <v>46130</v>
      </c>
      <c r="B707" s="658" t="str">
        <f t="shared" si="135"/>
        <v>Sáb</v>
      </c>
      <c r="C707" s="674" t="s">
        <v>497</v>
      </c>
      <c r="D707" s="897" t="s">
        <v>525</v>
      </c>
      <c r="E707" s="687">
        <v>0.79166666666666663</v>
      </c>
      <c r="F707" s="687">
        <v>0</v>
      </c>
      <c r="G707" s="688">
        <f t="shared" si="125"/>
        <v>5.0000000000000009</v>
      </c>
      <c r="H707" s="676">
        <f>IF(D707="","",IFERROR(VLOOKUP(D707,'Resumen Empleado'!$A$4:$B$17,2,FALSE),""))</f>
        <v>7.25</v>
      </c>
      <c r="I707" s="676">
        <f t="shared" si="126"/>
        <v>0</v>
      </c>
      <c r="J707" s="676">
        <f t="shared" si="127"/>
        <v>0</v>
      </c>
      <c r="K707" s="676">
        <f t="shared" si="138"/>
        <v>36.250000000000007</v>
      </c>
      <c r="L707" s="1044">
        <f t="shared" si="128"/>
        <v>36.250000000000007</v>
      </c>
      <c r="M707" s="145" t="str">
        <f t="shared" si="136"/>
        <v/>
      </c>
      <c r="N707" s="1031">
        <f t="shared" si="129"/>
        <v>46130</v>
      </c>
    </row>
    <row r="708" spans="1:14" ht="15.75" customHeight="1">
      <c r="A708" s="1022">
        <v>46130</v>
      </c>
      <c r="B708" s="658" t="str">
        <f t="shared" si="135"/>
        <v>Sáb</v>
      </c>
      <c r="C708" s="674" t="s">
        <v>497</v>
      </c>
      <c r="D708" s="897" t="s">
        <v>529</v>
      </c>
      <c r="E708" s="687">
        <v>0.875</v>
      </c>
      <c r="F708" s="687">
        <v>0</v>
      </c>
      <c r="G708" s="688">
        <f t="shared" si="125"/>
        <v>3</v>
      </c>
      <c r="H708" s="676">
        <f>IF(D708="","",IFERROR(VLOOKUP(D708,'Resumen Empleado'!$A$4:$B$17,2,FALSE),""))</f>
        <v>8</v>
      </c>
      <c r="I708" s="676">
        <f t="shared" si="126"/>
        <v>0</v>
      </c>
      <c r="J708" s="676">
        <f t="shared" si="127"/>
        <v>0</v>
      </c>
      <c r="K708" s="676">
        <f t="shared" si="138"/>
        <v>24</v>
      </c>
      <c r="L708" s="1044">
        <f t="shared" si="128"/>
        <v>24</v>
      </c>
      <c r="M708" s="145" t="str">
        <f t="shared" si="136"/>
        <v/>
      </c>
      <c r="N708" s="1031">
        <f t="shared" si="129"/>
        <v>46130</v>
      </c>
    </row>
    <row r="709" spans="1:14" ht="15.75" customHeight="1">
      <c r="A709" s="1022">
        <v>46130</v>
      </c>
      <c r="B709" s="658" t="str">
        <f t="shared" si="135"/>
        <v>Sáb</v>
      </c>
      <c r="C709" s="674" t="s">
        <v>497</v>
      </c>
      <c r="D709" s="897" t="s">
        <v>526</v>
      </c>
      <c r="E709" s="687">
        <v>0.79166666666666663</v>
      </c>
      <c r="F709" s="687">
        <v>0</v>
      </c>
      <c r="G709" s="688">
        <f t="shared" ref="G709:G772" si="139">IF(F709&lt;E709,F709+1-E709,F709-E709)*24</f>
        <v>5.0000000000000009</v>
      </c>
      <c r="H709" s="676">
        <f>IF(D709="","",IFERROR(VLOOKUP(D709,'Resumen Empleado'!$A$4:$B$17,2,FALSE),""))</f>
        <v>16</v>
      </c>
      <c r="I709" s="676">
        <f t="shared" ref="I709:I772" si="140">IF(OR(E709="",F709="",H709=""),0,MAX(0,(MIN(IF(F709&lt;E709,F709+1,F709),TIME(12,0,0))-MAX(E709,TIME(5,0,0))))*24*H709)</f>
        <v>0</v>
      </c>
      <c r="J709" s="676">
        <f t="shared" ref="J709:J774" si="141">IF(OR(E709="",F709="",H709=""),0,MAX(0,(MIN(IF(F709&lt;E709,F709+1,F709),TIME(19,0,0))-MAX(E709,TIME(12,0,0))))*24*H709)</f>
        <v>0</v>
      </c>
      <c r="K709" s="676">
        <f t="shared" si="138"/>
        <v>80.000000000000014</v>
      </c>
      <c r="L709" s="1044">
        <f t="shared" ref="L709:L772" si="142">SUM(I709:K709)</f>
        <v>80.000000000000014</v>
      </c>
      <c r="M709" s="145" t="str">
        <f t="shared" si="136"/>
        <v/>
      </c>
      <c r="N709" s="1031">
        <f t="shared" ref="N709:N774" si="143">IF(A709="","",IF(ISNUMBER(A709),A709,DATE(VALUE(RIGHT(A709,4)),VALUE(MID(A709,4,2)),VALUE(LEFT(A709,2)))))</f>
        <v>46130</v>
      </c>
    </row>
    <row r="710" spans="1:14" ht="15.75" customHeight="1">
      <c r="A710" s="1022">
        <v>46130</v>
      </c>
      <c r="B710" s="658" t="str">
        <f t="shared" si="135"/>
        <v>Sáb</v>
      </c>
      <c r="C710" s="674" t="s">
        <v>497</v>
      </c>
      <c r="D710" s="897" t="s">
        <v>532</v>
      </c>
      <c r="E710" s="687">
        <v>0.83333333333333337</v>
      </c>
      <c r="F710" s="687">
        <v>0.9375</v>
      </c>
      <c r="G710" s="688">
        <f t="shared" si="139"/>
        <v>2.4999999999999991</v>
      </c>
      <c r="H710" s="676">
        <f>IF(D710="","",IFERROR(VLOOKUP(D710,'Resumen Empleado'!$A$4:$B$17,2,FALSE),""))</f>
        <v>5.17</v>
      </c>
      <c r="I710" s="676">
        <f t="shared" si="140"/>
        <v>0</v>
      </c>
      <c r="J710" s="676">
        <f t="shared" si="141"/>
        <v>0</v>
      </c>
      <c r="K710" s="676">
        <f t="shared" si="138"/>
        <v>12.924999999999995</v>
      </c>
      <c r="L710" s="1044">
        <f t="shared" si="142"/>
        <v>12.924999999999995</v>
      </c>
      <c r="M710" s="145" t="str">
        <f t="shared" si="136"/>
        <v/>
      </c>
      <c r="N710" s="1031">
        <f t="shared" si="143"/>
        <v>46130</v>
      </c>
    </row>
    <row r="711" spans="1:14" ht="15.75" customHeight="1">
      <c r="A711" s="1022">
        <v>46130</v>
      </c>
      <c r="B711" s="658" t="str">
        <f t="shared" si="135"/>
        <v>Sáb</v>
      </c>
      <c r="C711" s="674" t="s">
        <v>497</v>
      </c>
      <c r="D711" s="897" t="s">
        <v>531</v>
      </c>
      <c r="E711" s="687">
        <v>0.91666666666666663</v>
      </c>
      <c r="F711" s="687">
        <v>0</v>
      </c>
      <c r="G711" s="688">
        <f t="shared" si="139"/>
        <v>2.0000000000000009</v>
      </c>
      <c r="H711" s="676">
        <f>IF(D711="","",IFERROR(VLOOKUP(D711,'Resumen Empleado'!$A$4:$B$17,2,FALSE),""))</f>
        <v>8</v>
      </c>
      <c r="I711" s="676">
        <f t="shared" si="140"/>
        <v>0</v>
      </c>
      <c r="J711" s="676">
        <f t="shared" si="141"/>
        <v>0</v>
      </c>
      <c r="K711" s="676">
        <f t="shared" si="138"/>
        <v>16.000000000000007</v>
      </c>
      <c r="L711" s="1044">
        <f t="shared" si="142"/>
        <v>16.000000000000007</v>
      </c>
      <c r="M711" s="145" t="str">
        <f t="shared" si="136"/>
        <v/>
      </c>
      <c r="N711" s="1031">
        <f t="shared" si="143"/>
        <v>46130</v>
      </c>
    </row>
    <row r="712" spans="1:14" ht="15.75" customHeight="1">
      <c r="A712" s="658">
        <v>46130</v>
      </c>
      <c r="B712" s="658" t="str">
        <f t="shared" si="135"/>
        <v>Sáb</v>
      </c>
      <c r="C712" s="674" t="s">
        <v>146</v>
      </c>
      <c r="D712" s="897" t="s">
        <v>528</v>
      </c>
      <c r="E712" s="687">
        <v>0.33333333333333331</v>
      </c>
      <c r="F712" s="687">
        <v>0.66666666666666663</v>
      </c>
      <c r="G712" s="688">
        <f t="shared" si="139"/>
        <v>8</v>
      </c>
      <c r="H712" s="676">
        <f>IF(D712="","",IFERROR(VLOOKUP(D712,'Resumen Empleado'!$A$4:$B$17,2,FALSE),""))</f>
        <v>11</v>
      </c>
      <c r="I712" s="676">
        <f t="shared" si="140"/>
        <v>44</v>
      </c>
      <c r="J712" s="676">
        <f t="shared" si="141"/>
        <v>43.999999999999993</v>
      </c>
      <c r="K712" s="676">
        <f>IF(OR(E712="",F712="",H712=""),0,MAX(0,(MIN(IF(F712&lt;E712,1+F712,F712),1+TIME(5,0,0))-MAX(E712,TIME(19,0,0))))*24*H712)</f>
        <v>0</v>
      </c>
      <c r="L712" s="1044">
        <f t="shared" si="142"/>
        <v>88</v>
      </c>
      <c r="M712" s="145" t="str">
        <f t="shared" si="136"/>
        <v/>
      </c>
      <c r="N712" s="684">
        <f t="shared" si="143"/>
        <v>46130</v>
      </c>
    </row>
    <row r="713" spans="1:14" ht="15.75" customHeight="1">
      <c r="A713" s="658">
        <v>46131</v>
      </c>
      <c r="B713" s="658" t="str">
        <f t="shared" si="135"/>
        <v>Dom</v>
      </c>
      <c r="C713" s="674" t="s">
        <v>146</v>
      </c>
      <c r="D713" s="897" t="s">
        <v>522</v>
      </c>
      <c r="E713" s="687">
        <v>0.30208333333333331</v>
      </c>
      <c r="F713" s="687">
        <v>0.66666666666666663</v>
      </c>
      <c r="G713" s="688">
        <f t="shared" si="139"/>
        <v>8.75</v>
      </c>
      <c r="H713" s="676">
        <f>IF(D713="","",IFERROR(VLOOKUP(D713,'Resumen Empleado'!$A$4:$B$17,2,FALSE),""))</f>
        <v>10</v>
      </c>
      <c r="I713" s="676">
        <f t="shared" si="140"/>
        <v>47.5</v>
      </c>
      <c r="J713" s="676">
        <f t="shared" si="141"/>
        <v>39.999999999999993</v>
      </c>
      <c r="K713" s="676">
        <f t="shared" ref="K713:K732" si="144">IF(OR(E713="",F713="",H713=""),0,MAX(0,(MIN(IF(F713&lt;E713,F713+1,F713),1+TIME(5,0,0))-MAX(E713,TIME(19,0,0))))*24*H713)</f>
        <v>0</v>
      </c>
      <c r="L713" s="1044">
        <f t="shared" si="142"/>
        <v>87.5</v>
      </c>
      <c r="M713" s="145"/>
      <c r="N713" s="684">
        <f t="shared" si="143"/>
        <v>46131</v>
      </c>
    </row>
    <row r="714" spans="1:14" ht="15.75" customHeight="1">
      <c r="A714" s="658">
        <v>46131</v>
      </c>
      <c r="B714" s="658" t="str">
        <f t="shared" si="135"/>
        <v>Dom</v>
      </c>
      <c r="C714" s="674" t="s">
        <v>146</v>
      </c>
      <c r="D714" s="897" t="s">
        <v>526</v>
      </c>
      <c r="E714" s="687">
        <v>0.5</v>
      </c>
      <c r="F714" s="687">
        <v>0.66666666666666663</v>
      </c>
      <c r="G714" s="688">
        <f t="shared" si="139"/>
        <v>3.9999999999999991</v>
      </c>
      <c r="H714" s="676">
        <f>IF(D714="","",IFERROR(VLOOKUP(D714,'Resumen Empleado'!$A$4:$B$17,2,FALSE),""))</f>
        <v>16</v>
      </c>
      <c r="I714" s="676">
        <f t="shared" si="140"/>
        <v>0</v>
      </c>
      <c r="J714" s="676">
        <f t="shared" si="141"/>
        <v>63.999999999999986</v>
      </c>
      <c r="K714" s="676">
        <f t="shared" si="144"/>
        <v>0</v>
      </c>
      <c r="L714" s="1044">
        <f t="shared" si="142"/>
        <v>63.999999999999986</v>
      </c>
      <c r="M714" s="145"/>
      <c r="N714" s="684">
        <f t="shared" si="143"/>
        <v>46131</v>
      </c>
    </row>
    <row r="715" spans="1:14" ht="15.75" customHeight="1">
      <c r="A715" s="658">
        <v>46131</v>
      </c>
      <c r="B715" s="658" t="str">
        <f t="shared" si="135"/>
        <v>Dom</v>
      </c>
      <c r="C715" s="674" t="s">
        <v>146</v>
      </c>
      <c r="D715" s="897" t="s">
        <v>532</v>
      </c>
      <c r="E715" s="687">
        <v>0.34375</v>
      </c>
      <c r="F715" s="687">
        <v>0.66666666666666663</v>
      </c>
      <c r="G715" s="688">
        <f t="shared" si="139"/>
        <v>7.7499999999999991</v>
      </c>
      <c r="H715" s="676">
        <f>IF(D715="","",IFERROR(VLOOKUP(D715,'Resumen Empleado'!$A$4:$B$17,2,FALSE),""))</f>
        <v>5.17</v>
      </c>
      <c r="I715" s="676">
        <f t="shared" si="140"/>
        <v>19.387499999999999</v>
      </c>
      <c r="J715" s="676">
        <f t="shared" si="141"/>
        <v>20.679999999999996</v>
      </c>
      <c r="K715" s="676">
        <f t="shared" si="144"/>
        <v>0</v>
      </c>
      <c r="L715" s="1044">
        <f t="shared" si="142"/>
        <v>40.067499999999995</v>
      </c>
      <c r="M715" s="145"/>
      <c r="N715" s="684">
        <f t="shared" si="143"/>
        <v>46131</v>
      </c>
    </row>
    <row r="716" spans="1:14" ht="15.75" customHeight="1">
      <c r="A716" s="658">
        <v>46131</v>
      </c>
      <c r="B716" s="658" t="str">
        <f t="shared" ref="B716:B747" si="145">IF(A716="","",PROPER(TEXT(A716,"ddd")))</f>
        <v>Dom</v>
      </c>
      <c r="C716" s="674" t="s">
        <v>146</v>
      </c>
      <c r="D716" s="897" t="s">
        <v>525</v>
      </c>
      <c r="E716" s="687">
        <v>0.39583333333333331</v>
      </c>
      <c r="F716" s="687">
        <v>0.66666666666666663</v>
      </c>
      <c r="G716" s="688">
        <f t="shared" si="139"/>
        <v>6.5</v>
      </c>
      <c r="H716" s="676">
        <f>IF(D716="","",IFERROR(VLOOKUP(D716,'Resumen Empleado'!$A$4:$B$17,2,FALSE),""))</f>
        <v>7.25</v>
      </c>
      <c r="I716" s="676">
        <f t="shared" si="140"/>
        <v>18.125000000000004</v>
      </c>
      <c r="J716" s="676">
        <f t="shared" si="141"/>
        <v>28.999999999999993</v>
      </c>
      <c r="K716" s="676">
        <f t="shared" si="144"/>
        <v>0</v>
      </c>
      <c r="L716" s="1044">
        <f t="shared" si="142"/>
        <v>47.125</v>
      </c>
      <c r="M716" s="145"/>
      <c r="N716" s="684">
        <f t="shared" si="143"/>
        <v>46131</v>
      </c>
    </row>
    <row r="717" spans="1:14" ht="15.75" customHeight="1">
      <c r="A717" s="658">
        <v>46131</v>
      </c>
      <c r="B717" s="658" t="str">
        <f t="shared" si="145"/>
        <v>Dom</v>
      </c>
      <c r="C717" s="674" t="s">
        <v>146</v>
      </c>
      <c r="D717" s="897" t="s">
        <v>529</v>
      </c>
      <c r="E717" s="687">
        <v>0.54166666666666663</v>
      </c>
      <c r="F717" s="687">
        <v>0.66666666666666663</v>
      </c>
      <c r="G717" s="688">
        <f t="shared" si="139"/>
        <v>3</v>
      </c>
      <c r="H717" s="676">
        <f>IF(D717="","",IFERROR(VLOOKUP(D717,'Resumen Empleado'!$A$4:$B$17,2,FALSE),""))</f>
        <v>8</v>
      </c>
      <c r="I717" s="676">
        <f t="shared" si="140"/>
        <v>0</v>
      </c>
      <c r="J717" s="676">
        <f t="shared" si="141"/>
        <v>24</v>
      </c>
      <c r="K717" s="676">
        <f t="shared" si="144"/>
        <v>0</v>
      </c>
      <c r="L717" s="1044">
        <f t="shared" si="142"/>
        <v>24</v>
      </c>
      <c r="M717" s="145"/>
      <c r="N717" s="684">
        <f t="shared" si="143"/>
        <v>46131</v>
      </c>
    </row>
    <row r="718" spans="1:14" ht="15.75" customHeight="1">
      <c r="A718" s="658">
        <v>46131</v>
      </c>
      <c r="B718" s="658" t="str">
        <f t="shared" si="145"/>
        <v>Dom</v>
      </c>
      <c r="C718" s="674" t="s">
        <v>146</v>
      </c>
      <c r="D718" s="897" t="s">
        <v>535</v>
      </c>
      <c r="E718" s="687">
        <v>0.5625</v>
      </c>
      <c r="F718" s="687">
        <v>0.66666666666666663</v>
      </c>
      <c r="G718" s="688">
        <f t="shared" si="139"/>
        <v>2.4999999999999991</v>
      </c>
      <c r="H718" s="676">
        <f>IF(D718="","",IFERROR(VLOOKUP(D718,'Resumen Empleado'!$A$4:$B$17,2,FALSE),""))</f>
        <v>6</v>
      </c>
      <c r="I718" s="676">
        <f t="shared" si="140"/>
        <v>0</v>
      </c>
      <c r="J718" s="676">
        <f t="shared" si="141"/>
        <v>14.999999999999995</v>
      </c>
      <c r="K718" s="676">
        <f t="shared" si="144"/>
        <v>0</v>
      </c>
      <c r="L718" s="1044">
        <f t="shared" si="142"/>
        <v>14.999999999999995</v>
      </c>
      <c r="M718" s="145"/>
      <c r="N718" s="684">
        <f t="shared" si="143"/>
        <v>46131</v>
      </c>
    </row>
    <row r="719" spans="1:14" ht="15.75" customHeight="1">
      <c r="A719" s="658">
        <v>46131</v>
      </c>
      <c r="B719" s="658" t="str">
        <f t="shared" si="145"/>
        <v>Dom</v>
      </c>
      <c r="C719" s="674" t="s">
        <v>497</v>
      </c>
      <c r="D719" s="897" t="s">
        <v>526</v>
      </c>
      <c r="E719" s="687">
        <v>0.79166666666666663</v>
      </c>
      <c r="F719" s="687">
        <v>0.95833333333333337</v>
      </c>
      <c r="G719" s="688">
        <f t="shared" si="139"/>
        <v>4.0000000000000018</v>
      </c>
      <c r="H719" s="676">
        <f>IF(D719="","",IFERROR(VLOOKUP(D719,'Resumen Empleado'!$A$4:$B$17,2,FALSE),""))</f>
        <v>16</v>
      </c>
      <c r="I719" s="676">
        <f t="shared" si="140"/>
        <v>0</v>
      </c>
      <c r="J719" s="676">
        <f t="shared" si="141"/>
        <v>0</v>
      </c>
      <c r="K719" s="676">
        <f t="shared" si="144"/>
        <v>64.000000000000028</v>
      </c>
      <c r="L719" s="1044">
        <f t="shared" si="142"/>
        <v>64.000000000000028</v>
      </c>
      <c r="M719" s="145"/>
      <c r="N719" s="684">
        <f t="shared" si="143"/>
        <v>46131</v>
      </c>
    </row>
    <row r="720" spans="1:14" ht="15.75" customHeight="1">
      <c r="A720" s="658">
        <v>46131</v>
      </c>
      <c r="B720" s="658" t="str">
        <f t="shared" si="145"/>
        <v>Dom</v>
      </c>
      <c r="C720" s="674" t="s">
        <v>497</v>
      </c>
      <c r="D720" s="897" t="s">
        <v>532</v>
      </c>
      <c r="E720" s="687">
        <v>0.83333333333333337</v>
      </c>
      <c r="F720" s="687">
        <v>0.95833333333333337</v>
      </c>
      <c r="G720" s="688">
        <f t="shared" si="139"/>
        <v>3</v>
      </c>
      <c r="H720" s="676">
        <f>IF(D720="","",IFERROR(VLOOKUP(D720,'Resumen Empleado'!$A$4:$B$17,2,FALSE),""))</f>
        <v>5.17</v>
      </c>
      <c r="I720" s="676">
        <f t="shared" si="140"/>
        <v>0</v>
      </c>
      <c r="J720" s="676">
        <f t="shared" si="141"/>
        <v>0</v>
      </c>
      <c r="K720" s="676">
        <f t="shared" si="144"/>
        <v>15.51</v>
      </c>
      <c r="L720" s="1044">
        <f t="shared" si="142"/>
        <v>15.51</v>
      </c>
      <c r="M720" s="145"/>
      <c r="N720" s="684">
        <f t="shared" si="143"/>
        <v>46131</v>
      </c>
    </row>
    <row r="721" spans="1:14" ht="15.75" customHeight="1">
      <c r="A721" s="658">
        <v>46131</v>
      </c>
      <c r="B721" s="658" t="str">
        <f t="shared" si="145"/>
        <v>Dom</v>
      </c>
      <c r="C721" s="674" t="s">
        <v>497</v>
      </c>
      <c r="D721" s="897" t="s">
        <v>525</v>
      </c>
      <c r="E721" s="687">
        <v>0.79166666666666663</v>
      </c>
      <c r="F721" s="687">
        <v>0.95833333333333337</v>
      </c>
      <c r="G721" s="688">
        <f t="shared" si="139"/>
        <v>4.0000000000000018</v>
      </c>
      <c r="H721" s="676">
        <f>IF(D721="","",IFERROR(VLOOKUP(D721,'Resumen Empleado'!$A$4:$B$17,2,FALSE),""))</f>
        <v>7.25</v>
      </c>
      <c r="I721" s="676">
        <f t="shared" si="140"/>
        <v>0</v>
      </c>
      <c r="J721" s="676">
        <f t="shared" si="141"/>
        <v>0</v>
      </c>
      <c r="K721" s="676">
        <f t="shared" si="144"/>
        <v>29.000000000000014</v>
      </c>
      <c r="L721" s="1044">
        <f t="shared" si="142"/>
        <v>29.000000000000014</v>
      </c>
      <c r="M721" s="145"/>
      <c r="N721" s="684">
        <f t="shared" si="143"/>
        <v>46131</v>
      </c>
    </row>
    <row r="722" spans="1:14" ht="15.75" customHeight="1">
      <c r="A722" s="658">
        <v>46131</v>
      </c>
      <c r="B722" s="658" t="str">
        <f t="shared" si="145"/>
        <v>Dom</v>
      </c>
      <c r="C722" s="674" t="s">
        <v>497</v>
      </c>
      <c r="D722" s="897" t="s">
        <v>529</v>
      </c>
      <c r="E722" s="687">
        <v>0.875</v>
      </c>
      <c r="F722" s="687">
        <v>0.95833333333333337</v>
      </c>
      <c r="G722" s="688">
        <f t="shared" si="139"/>
        <v>2.0000000000000009</v>
      </c>
      <c r="H722" s="676">
        <f>IF(D722="","",IFERROR(VLOOKUP(D722,'Resumen Empleado'!$A$4:$B$17,2,FALSE),""))</f>
        <v>8</v>
      </c>
      <c r="I722" s="676">
        <f t="shared" si="140"/>
        <v>0</v>
      </c>
      <c r="J722" s="676">
        <f t="shared" si="141"/>
        <v>0</v>
      </c>
      <c r="K722" s="676">
        <f t="shared" si="144"/>
        <v>16.000000000000007</v>
      </c>
      <c r="L722" s="1044">
        <f t="shared" si="142"/>
        <v>16.000000000000007</v>
      </c>
      <c r="M722" s="145"/>
      <c r="N722" s="684">
        <f t="shared" si="143"/>
        <v>46131</v>
      </c>
    </row>
    <row r="723" spans="1:14" ht="15.75" customHeight="1">
      <c r="A723" s="658">
        <v>46131</v>
      </c>
      <c r="B723" s="658" t="str">
        <f t="shared" si="145"/>
        <v>Dom</v>
      </c>
      <c r="C723" s="674" t="s">
        <v>146</v>
      </c>
      <c r="D723" s="897" t="s">
        <v>522</v>
      </c>
      <c r="E723" s="687">
        <v>0.30208333333333331</v>
      </c>
      <c r="F723" s="687">
        <v>0.66666666666666663</v>
      </c>
      <c r="G723" s="688">
        <f t="shared" si="139"/>
        <v>8.75</v>
      </c>
      <c r="H723" s="676">
        <f>IF(D723="","",IFERROR(VLOOKUP(D723,'Resumen Empleado'!$A$4:$B$17,2,FALSE),""))</f>
        <v>10</v>
      </c>
      <c r="I723" s="676">
        <f t="shared" si="140"/>
        <v>47.5</v>
      </c>
      <c r="J723" s="676">
        <f t="shared" si="141"/>
        <v>39.999999999999993</v>
      </c>
      <c r="K723" s="676">
        <f t="shared" si="144"/>
        <v>0</v>
      </c>
      <c r="L723" s="1044">
        <f t="shared" si="142"/>
        <v>87.5</v>
      </c>
      <c r="M723" s="145" t="str">
        <f t="shared" ref="M723:M735" si="146">IF(A723="","",IF(G723&gt;12,"⚠ Verificar",""))</f>
        <v/>
      </c>
      <c r="N723" s="684">
        <f t="shared" si="143"/>
        <v>46131</v>
      </c>
    </row>
    <row r="724" spans="1:14" ht="15.75" customHeight="1">
      <c r="A724" s="658">
        <v>46131</v>
      </c>
      <c r="B724" s="658" t="str">
        <f t="shared" si="145"/>
        <v>Dom</v>
      </c>
      <c r="C724" s="674" t="s">
        <v>146</v>
      </c>
      <c r="D724" s="897" t="s">
        <v>526</v>
      </c>
      <c r="E724" s="687">
        <v>0.5</v>
      </c>
      <c r="F724" s="687">
        <v>0.66666666666666663</v>
      </c>
      <c r="G724" s="688">
        <f t="shared" si="139"/>
        <v>3.9999999999999991</v>
      </c>
      <c r="H724" s="676">
        <f>IF(D724="","",IFERROR(VLOOKUP(D724,'Resumen Empleado'!$A$4:$B$17,2,FALSE),""))</f>
        <v>16</v>
      </c>
      <c r="I724" s="676">
        <f t="shared" si="140"/>
        <v>0</v>
      </c>
      <c r="J724" s="676">
        <f t="shared" si="141"/>
        <v>63.999999999999986</v>
      </c>
      <c r="K724" s="676">
        <f t="shared" si="144"/>
        <v>0</v>
      </c>
      <c r="L724" s="1044">
        <f t="shared" si="142"/>
        <v>63.999999999999986</v>
      </c>
      <c r="M724" s="145" t="str">
        <f t="shared" si="146"/>
        <v/>
      </c>
      <c r="N724" s="684">
        <f t="shared" si="143"/>
        <v>46131</v>
      </c>
    </row>
    <row r="725" spans="1:14" ht="15.75" customHeight="1">
      <c r="A725" s="658">
        <v>46131</v>
      </c>
      <c r="B725" s="658" t="str">
        <f t="shared" si="145"/>
        <v>Dom</v>
      </c>
      <c r="C725" s="674" t="s">
        <v>146</v>
      </c>
      <c r="D725" s="897" t="s">
        <v>532</v>
      </c>
      <c r="E725" s="687">
        <v>0.34375</v>
      </c>
      <c r="F725" s="687">
        <v>0.66666666666666663</v>
      </c>
      <c r="G725" s="688">
        <f t="shared" si="139"/>
        <v>7.7499999999999991</v>
      </c>
      <c r="H725" s="676">
        <f>IF(D725="","",IFERROR(VLOOKUP(D725,'Resumen Empleado'!$A$4:$B$17,2,FALSE),""))</f>
        <v>5.17</v>
      </c>
      <c r="I725" s="676">
        <f t="shared" si="140"/>
        <v>19.387499999999999</v>
      </c>
      <c r="J725" s="676">
        <f t="shared" si="141"/>
        <v>20.679999999999996</v>
      </c>
      <c r="K725" s="676">
        <f t="shared" si="144"/>
        <v>0</v>
      </c>
      <c r="L725" s="1044">
        <f t="shared" si="142"/>
        <v>40.067499999999995</v>
      </c>
      <c r="M725" s="145" t="str">
        <f t="shared" si="146"/>
        <v/>
      </c>
      <c r="N725" s="684">
        <f t="shared" si="143"/>
        <v>46131</v>
      </c>
    </row>
    <row r="726" spans="1:14" ht="15.75" customHeight="1">
      <c r="A726" s="658">
        <v>46131</v>
      </c>
      <c r="B726" s="658" t="str">
        <f t="shared" si="145"/>
        <v>Dom</v>
      </c>
      <c r="C726" s="674" t="s">
        <v>146</v>
      </c>
      <c r="D726" s="897" t="s">
        <v>525</v>
      </c>
      <c r="E726" s="687">
        <v>0.39583333333333331</v>
      </c>
      <c r="F726" s="687">
        <v>0.66666666666666663</v>
      </c>
      <c r="G726" s="688">
        <f t="shared" si="139"/>
        <v>6.5</v>
      </c>
      <c r="H726" s="676">
        <f>IF(D726="","",IFERROR(VLOOKUP(D726,'Resumen Empleado'!$A$4:$B$17,2,FALSE),""))</f>
        <v>7.25</v>
      </c>
      <c r="I726" s="676">
        <f t="shared" si="140"/>
        <v>18.125000000000004</v>
      </c>
      <c r="J726" s="676">
        <f t="shared" si="141"/>
        <v>28.999999999999993</v>
      </c>
      <c r="K726" s="676">
        <f t="shared" si="144"/>
        <v>0</v>
      </c>
      <c r="L726" s="1044">
        <f t="shared" si="142"/>
        <v>47.125</v>
      </c>
      <c r="M726" s="145" t="str">
        <f t="shared" si="146"/>
        <v/>
      </c>
      <c r="N726" s="684">
        <f t="shared" si="143"/>
        <v>46131</v>
      </c>
    </row>
    <row r="727" spans="1:14" ht="15.75" customHeight="1">
      <c r="A727" s="658">
        <v>46131</v>
      </c>
      <c r="B727" s="658" t="str">
        <f t="shared" si="145"/>
        <v>Dom</v>
      </c>
      <c r="C727" s="674" t="s">
        <v>146</v>
      </c>
      <c r="D727" s="897" t="s">
        <v>529</v>
      </c>
      <c r="E727" s="687">
        <v>0.54166666666666663</v>
      </c>
      <c r="F727" s="687">
        <v>0.66666666666666663</v>
      </c>
      <c r="G727" s="688">
        <f t="shared" si="139"/>
        <v>3</v>
      </c>
      <c r="H727" s="676">
        <f>IF(D727="","",IFERROR(VLOOKUP(D727,'Resumen Empleado'!$A$4:$B$17,2,FALSE),""))</f>
        <v>8</v>
      </c>
      <c r="I727" s="676">
        <f t="shared" si="140"/>
        <v>0</v>
      </c>
      <c r="J727" s="676">
        <f t="shared" si="141"/>
        <v>24</v>
      </c>
      <c r="K727" s="676">
        <f t="shared" si="144"/>
        <v>0</v>
      </c>
      <c r="L727" s="1044">
        <f t="shared" si="142"/>
        <v>24</v>
      </c>
      <c r="M727" s="145" t="str">
        <f t="shared" si="146"/>
        <v/>
      </c>
      <c r="N727" s="684">
        <f t="shared" si="143"/>
        <v>46131</v>
      </c>
    </row>
    <row r="728" spans="1:14" ht="15.75" customHeight="1">
      <c r="A728" s="658">
        <v>46131</v>
      </c>
      <c r="B728" s="658" t="str">
        <f t="shared" si="145"/>
        <v>Dom</v>
      </c>
      <c r="C728" s="674" t="s">
        <v>146</v>
      </c>
      <c r="D728" s="897" t="s">
        <v>535</v>
      </c>
      <c r="E728" s="687">
        <v>0.5625</v>
      </c>
      <c r="F728" s="687">
        <v>0.66666666666666663</v>
      </c>
      <c r="G728" s="688">
        <f t="shared" si="139"/>
        <v>2.4999999999999991</v>
      </c>
      <c r="H728" s="676">
        <f>IF(D728="","",IFERROR(VLOOKUP(D728,'Resumen Empleado'!$A$4:$B$17,2,FALSE),""))</f>
        <v>6</v>
      </c>
      <c r="I728" s="676">
        <f t="shared" si="140"/>
        <v>0</v>
      </c>
      <c r="J728" s="676">
        <f t="shared" si="141"/>
        <v>14.999999999999995</v>
      </c>
      <c r="K728" s="676">
        <f t="shared" si="144"/>
        <v>0</v>
      </c>
      <c r="L728" s="1044">
        <f t="shared" si="142"/>
        <v>14.999999999999995</v>
      </c>
      <c r="M728" s="145" t="str">
        <f t="shared" si="146"/>
        <v/>
      </c>
      <c r="N728" s="684">
        <f t="shared" si="143"/>
        <v>46131</v>
      </c>
    </row>
    <row r="729" spans="1:14" ht="15.75" customHeight="1">
      <c r="A729" s="658">
        <v>46131</v>
      </c>
      <c r="B729" s="658" t="str">
        <f t="shared" si="145"/>
        <v>Dom</v>
      </c>
      <c r="C729" s="674" t="s">
        <v>497</v>
      </c>
      <c r="D729" s="897" t="s">
        <v>526</v>
      </c>
      <c r="E729" s="687">
        <v>0.79166666666666663</v>
      </c>
      <c r="F729" s="687">
        <v>0.95833333333333337</v>
      </c>
      <c r="G729" s="688">
        <f t="shared" si="139"/>
        <v>4.0000000000000018</v>
      </c>
      <c r="H729" s="676">
        <f>IF(D729="","",IFERROR(VLOOKUP(D729,'Resumen Empleado'!$A$4:$B$17,2,FALSE),""))</f>
        <v>16</v>
      </c>
      <c r="I729" s="676">
        <f t="shared" si="140"/>
        <v>0</v>
      </c>
      <c r="J729" s="676">
        <f t="shared" si="141"/>
        <v>0</v>
      </c>
      <c r="K729" s="676">
        <f t="shared" si="144"/>
        <v>64.000000000000028</v>
      </c>
      <c r="L729" s="1044">
        <f t="shared" si="142"/>
        <v>64.000000000000028</v>
      </c>
      <c r="M729" s="145" t="str">
        <f t="shared" si="146"/>
        <v/>
      </c>
      <c r="N729" s="684">
        <f t="shared" si="143"/>
        <v>46131</v>
      </c>
    </row>
    <row r="730" spans="1:14" ht="15.75" customHeight="1">
      <c r="A730" s="658">
        <v>46131</v>
      </c>
      <c r="B730" s="658" t="str">
        <f t="shared" si="145"/>
        <v>Dom</v>
      </c>
      <c r="C730" s="674" t="s">
        <v>497</v>
      </c>
      <c r="D730" s="897" t="s">
        <v>532</v>
      </c>
      <c r="E730" s="687">
        <v>0.83333333333333337</v>
      </c>
      <c r="F730" s="687">
        <v>0.95833333333333337</v>
      </c>
      <c r="G730" s="688">
        <f t="shared" si="139"/>
        <v>3</v>
      </c>
      <c r="H730" s="676">
        <f>IF(D730="","",IFERROR(VLOOKUP(D730,'Resumen Empleado'!$A$4:$B$17,2,FALSE),""))</f>
        <v>5.17</v>
      </c>
      <c r="I730" s="676">
        <f t="shared" si="140"/>
        <v>0</v>
      </c>
      <c r="J730" s="676">
        <f t="shared" si="141"/>
        <v>0</v>
      </c>
      <c r="K730" s="676">
        <f t="shared" si="144"/>
        <v>15.51</v>
      </c>
      <c r="L730" s="1044">
        <f t="shared" si="142"/>
        <v>15.51</v>
      </c>
      <c r="M730" s="145" t="str">
        <f t="shared" si="146"/>
        <v/>
      </c>
      <c r="N730" s="684">
        <f t="shared" si="143"/>
        <v>46131</v>
      </c>
    </row>
    <row r="731" spans="1:14" ht="15.75" customHeight="1">
      <c r="A731" s="658">
        <v>46131</v>
      </c>
      <c r="B731" s="658" t="str">
        <f t="shared" si="145"/>
        <v>Dom</v>
      </c>
      <c r="C731" s="674" t="s">
        <v>497</v>
      </c>
      <c r="D731" s="897" t="s">
        <v>525</v>
      </c>
      <c r="E731" s="687">
        <v>0.79166666666666663</v>
      </c>
      <c r="F731" s="687">
        <v>0.97916666666666663</v>
      </c>
      <c r="G731" s="688">
        <f t="shared" si="139"/>
        <v>4.5</v>
      </c>
      <c r="H731" s="676">
        <f>IF(D731="","",IFERROR(VLOOKUP(D731,'Resumen Empleado'!$A$4:$B$17,2,FALSE),""))</f>
        <v>7.25</v>
      </c>
      <c r="I731" s="676">
        <f t="shared" si="140"/>
        <v>0</v>
      </c>
      <c r="J731" s="676">
        <f t="shared" si="141"/>
        <v>0</v>
      </c>
      <c r="K731" s="676">
        <f t="shared" si="144"/>
        <v>32.625</v>
      </c>
      <c r="L731" s="1044">
        <f t="shared" si="142"/>
        <v>32.625</v>
      </c>
      <c r="M731" s="145" t="str">
        <f t="shared" si="146"/>
        <v/>
      </c>
      <c r="N731" s="684">
        <f t="shared" si="143"/>
        <v>46131</v>
      </c>
    </row>
    <row r="732" spans="1:14" ht="15.75" customHeight="1">
      <c r="A732" s="658">
        <v>46131</v>
      </c>
      <c r="B732" s="658" t="str">
        <f t="shared" si="145"/>
        <v>Dom</v>
      </c>
      <c r="C732" s="674" t="s">
        <v>497</v>
      </c>
      <c r="D732" s="897" t="s">
        <v>529</v>
      </c>
      <c r="E732" s="687">
        <v>0.875</v>
      </c>
      <c r="F732" s="687">
        <v>0.97916666666666663</v>
      </c>
      <c r="G732" s="688">
        <f t="shared" si="139"/>
        <v>2.4999999999999991</v>
      </c>
      <c r="H732" s="676">
        <f>IF(D732="","",IFERROR(VLOOKUP(D732,'Resumen Empleado'!$A$4:$B$17,2,FALSE),""))</f>
        <v>8</v>
      </c>
      <c r="I732" s="676">
        <f t="shared" si="140"/>
        <v>0</v>
      </c>
      <c r="J732" s="676">
        <f t="shared" si="141"/>
        <v>0</v>
      </c>
      <c r="K732" s="676">
        <f t="shared" si="144"/>
        <v>19.999999999999993</v>
      </c>
      <c r="L732" s="1044">
        <f t="shared" si="142"/>
        <v>19.999999999999993</v>
      </c>
      <c r="M732" s="145" t="str">
        <f t="shared" si="146"/>
        <v/>
      </c>
      <c r="N732" s="684">
        <f t="shared" si="143"/>
        <v>46131</v>
      </c>
    </row>
    <row r="733" spans="1:14" ht="15.75" customHeight="1">
      <c r="A733" s="658">
        <v>46131</v>
      </c>
      <c r="B733" s="658" t="str">
        <f t="shared" si="145"/>
        <v>Dom</v>
      </c>
      <c r="C733" s="674" t="s">
        <v>146</v>
      </c>
      <c r="D733" s="897" t="s">
        <v>528</v>
      </c>
      <c r="E733" s="687">
        <v>0.33333333333333331</v>
      </c>
      <c r="F733" s="687">
        <v>0.66666666666666663</v>
      </c>
      <c r="G733" s="688">
        <f t="shared" si="139"/>
        <v>8</v>
      </c>
      <c r="H733" s="676">
        <f>IF(D733="","",IFERROR(VLOOKUP(D733,'Resumen Empleado'!$A$4:$B$17,2,FALSE),""))</f>
        <v>11</v>
      </c>
      <c r="I733" s="676">
        <f t="shared" si="140"/>
        <v>44</v>
      </c>
      <c r="J733" s="676">
        <f t="shared" si="141"/>
        <v>43.999999999999993</v>
      </c>
      <c r="K733" s="676">
        <f>IF(OR(E733="",F733="",H733=""),0,MAX(0,(MIN(IF(F733&lt;E733,1+F733,F733),1+TIME(5,0,0))-MAX(E733,TIME(19,0,0))))*24*H733)</f>
        <v>0</v>
      </c>
      <c r="L733" s="1044">
        <f t="shared" si="142"/>
        <v>88</v>
      </c>
      <c r="M733" s="145" t="str">
        <f t="shared" si="146"/>
        <v/>
      </c>
      <c r="N733" s="684">
        <f t="shared" si="143"/>
        <v>46131</v>
      </c>
    </row>
    <row r="734" spans="1:14" ht="15.75" customHeight="1">
      <c r="A734" s="658">
        <v>46132</v>
      </c>
      <c r="B734" s="658" t="str">
        <f t="shared" si="145"/>
        <v>Lun</v>
      </c>
      <c r="C734" s="1022" t="s">
        <v>497</v>
      </c>
      <c r="D734" s="897" t="s">
        <v>536</v>
      </c>
      <c r="E734" s="687">
        <v>0.8125</v>
      </c>
      <c r="F734" s="687">
        <v>0.89583333333333337</v>
      </c>
      <c r="G734" s="688">
        <f t="shared" si="139"/>
        <v>2.0000000000000009</v>
      </c>
      <c r="H734" s="676">
        <f>IF(D734="","",IFERROR(VLOOKUP(D734,'Resumen Empleado'!$A$4:$B$17,2,FALSE),""))</f>
        <v>17.13</v>
      </c>
      <c r="I734" s="676">
        <f t="shared" si="140"/>
        <v>0</v>
      </c>
      <c r="J734" s="676">
        <f t="shared" si="141"/>
        <v>0</v>
      </c>
      <c r="K734" s="676">
        <f>IF(OR(E734="",F734="",H734=""),0,MAX(0,(MIN(IF(F734&lt;E734,1+F734,F734),1+TIME(5,0,0))-MAX(E734,TIME(19,0,0))))*24*H734)</f>
        <v>34.260000000000012</v>
      </c>
      <c r="L734" s="1044">
        <f t="shared" si="142"/>
        <v>34.260000000000012</v>
      </c>
      <c r="M734" s="658" t="str">
        <f t="shared" si="146"/>
        <v/>
      </c>
      <c r="N734" s="684">
        <f t="shared" si="143"/>
        <v>46132</v>
      </c>
    </row>
    <row r="735" spans="1:14" ht="15.75" customHeight="1">
      <c r="A735" s="658">
        <v>46133</v>
      </c>
      <c r="B735" s="658" t="str">
        <f t="shared" si="145"/>
        <v>Mar</v>
      </c>
      <c r="C735" s="1022" t="s">
        <v>497</v>
      </c>
      <c r="D735" s="897" t="s">
        <v>536</v>
      </c>
      <c r="E735" s="687">
        <v>0.8125</v>
      </c>
      <c r="F735" s="687">
        <v>0.89583333333333337</v>
      </c>
      <c r="G735" s="688">
        <f t="shared" si="139"/>
        <v>2.0000000000000009</v>
      </c>
      <c r="H735" s="676">
        <f>IF(D735="","",IFERROR(VLOOKUP(D735,'Resumen Empleado'!$A$4:$B$17,2,FALSE),""))</f>
        <v>17.13</v>
      </c>
      <c r="I735" s="676">
        <f t="shared" si="140"/>
        <v>0</v>
      </c>
      <c r="J735" s="676">
        <f t="shared" si="141"/>
        <v>0</v>
      </c>
      <c r="K735" s="676">
        <f>IF(OR(E735="",F735="",H735=""),0,MAX(0,(MIN(IF(F735&lt;E735,1+F735,F735),1+TIME(5,0,0))-MAX(E735,TIME(19,0,0))))*24*H735)</f>
        <v>34.260000000000012</v>
      </c>
      <c r="L735" s="1044">
        <f t="shared" si="142"/>
        <v>34.260000000000012</v>
      </c>
      <c r="M735" s="658" t="str">
        <f t="shared" si="146"/>
        <v/>
      </c>
      <c r="N735" s="684">
        <f t="shared" si="143"/>
        <v>46133</v>
      </c>
    </row>
    <row r="736" spans="1:14" ht="15.75" customHeight="1">
      <c r="A736" s="658">
        <v>46134</v>
      </c>
      <c r="B736" s="658" t="str">
        <f t="shared" si="145"/>
        <v>Mié</v>
      </c>
      <c r="C736" s="674" t="s">
        <v>146</v>
      </c>
      <c r="D736" s="897" t="s">
        <v>532</v>
      </c>
      <c r="E736" s="687">
        <v>0.5</v>
      </c>
      <c r="F736" s="687">
        <v>0.64583333333333337</v>
      </c>
      <c r="G736" s="688">
        <f t="shared" si="139"/>
        <v>3.5000000000000009</v>
      </c>
      <c r="H736" s="676">
        <f>IF(D736="","",IFERROR(VLOOKUP(D736,'Resumen Empleado'!$A$4:$B$17,2,FALSE),""))</f>
        <v>5.17</v>
      </c>
      <c r="I736" s="676">
        <f t="shared" si="140"/>
        <v>0</v>
      </c>
      <c r="J736" s="676">
        <f t="shared" si="141"/>
        <v>18.095000000000006</v>
      </c>
      <c r="K736" s="676">
        <f>IF(OR(E736="",F736="",H736=""),0,MAX(0,(MIN(IF(F736&lt;E736,F736+1,F736),1+TIME(5,0,0))-MAX(E736,TIME(19,0,0))))*24*H736)</f>
        <v>0</v>
      </c>
      <c r="L736" s="1044">
        <f t="shared" si="142"/>
        <v>18.095000000000006</v>
      </c>
      <c r="M736" s="145"/>
      <c r="N736" s="684">
        <f t="shared" si="143"/>
        <v>46134</v>
      </c>
    </row>
    <row r="737" spans="1:14" ht="15.75" customHeight="1">
      <c r="A737" s="1022">
        <v>46134</v>
      </c>
      <c r="B737" s="658" t="str">
        <f t="shared" si="145"/>
        <v>Mié</v>
      </c>
      <c r="C737" s="674" t="s">
        <v>146</v>
      </c>
      <c r="D737" s="897" t="s">
        <v>526</v>
      </c>
      <c r="E737" s="687">
        <v>0.41666666666666669</v>
      </c>
      <c r="F737" s="687">
        <v>0.66666666666666663</v>
      </c>
      <c r="G737" s="688">
        <f t="shared" si="139"/>
        <v>5.9999999999999982</v>
      </c>
      <c r="H737" s="676">
        <f>IF(D737="","",IFERROR(VLOOKUP(D737,'Resumen Empleado'!$A$4:$B$17,2,FALSE),""))</f>
        <v>16</v>
      </c>
      <c r="I737" s="676">
        <f t="shared" si="140"/>
        <v>31.999999999999993</v>
      </c>
      <c r="J737" s="676">
        <f t="shared" si="141"/>
        <v>63.999999999999986</v>
      </c>
      <c r="K737" s="676">
        <f>IF(OR(E737="",F737="",H737=""),0,MAX(0,(MIN(IF(F737&lt;E737,F737+1,F737),1+TIME(5,0,0))-MAX(E737,TIME(19,0,0))))*24*H737)</f>
        <v>0</v>
      </c>
      <c r="L737" s="1044">
        <f t="shared" si="142"/>
        <v>95.999999999999972</v>
      </c>
      <c r="M737" s="145"/>
      <c r="N737" s="1031">
        <f t="shared" si="143"/>
        <v>46134</v>
      </c>
    </row>
    <row r="738" spans="1:14" ht="15.75" customHeight="1">
      <c r="A738" s="1022">
        <v>46134</v>
      </c>
      <c r="B738" s="658" t="str">
        <f t="shared" si="145"/>
        <v>Mié</v>
      </c>
      <c r="C738" s="674" t="s">
        <v>146</v>
      </c>
      <c r="D738" s="897" t="s">
        <v>525</v>
      </c>
      <c r="E738" s="687">
        <v>0.54166666666666663</v>
      </c>
      <c r="F738" s="687">
        <v>0.66666666666666663</v>
      </c>
      <c r="G738" s="688">
        <f t="shared" si="139"/>
        <v>3</v>
      </c>
      <c r="H738" s="676">
        <f>IF(D738="","",IFERROR(VLOOKUP(D738,'Resumen Empleado'!$A$4:$B$17,2,FALSE),""))</f>
        <v>7.25</v>
      </c>
      <c r="I738" s="676">
        <f t="shared" si="140"/>
        <v>0</v>
      </c>
      <c r="J738" s="676">
        <f t="shared" si="141"/>
        <v>21.75</v>
      </c>
      <c r="K738" s="676">
        <f>IF(OR(E738="",F738="",H738=""),0,MAX(0,(MIN(IF(F738&lt;E738,F738+1,F738),1+TIME(5,0,0))-MAX(E738,TIME(19,0,0))))*24*H738)</f>
        <v>0</v>
      </c>
      <c r="L738" s="1044">
        <f t="shared" si="142"/>
        <v>21.75</v>
      </c>
      <c r="M738" s="145"/>
      <c r="N738" s="1031">
        <f t="shared" si="143"/>
        <v>46134</v>
      </c>
    </row>
    <row r="739" spans="1:14" ht="15.75" customHeight="1">
      <c r="A739" s="1022">
        <v>46134</v>
      </c>
      <c r="B739" s="658" t="str">
        <f t="shared" si="145"/>
        <v>Mié</v>
      </c>
      <c r="C739" s="674" t="s">
        <v>146</v>
      </c>
      <c r="D739" s="897" t="s">
        <v>522</v>
      </c>
      <c r="E739" s="687">
        <v>0.29166666666666669</v>
      </c>
      <c r="F739" s="687">
        <v>0.41666666666666669</v>
      </c>
      <c r="G739" s="688">
        <f t="shared" si="139"/>
        <v>3</v>
      </c>
      <c r="H739" s="676">
        <f>IF(D739="","",IFERROR(VLOOKUP(D739,'Resumen Empleado'!$A$4:$B$17,2,FALSE),""))</f>
        <v>10</v>
      </c>
      <c r="I739" s="676">
        <f t="shared" si="140"/>
        <v>30</v>
      </c>
      <c r="J739" s="676">
        <f t="shared" si="141"/>
        <v>0</v>
      </c>
      <c r="K739" s="676">
        <f>IF(OR(E739="",F739="",H739=""),0,MAX(0,(MIN(IF(F739&lt;E739,F739+1,F739),1+TIME(5,0,0))-MAX(E739,TIME(19,0,0))))*24*H739)</f>
        <v>0</v>
      </c>
      <c r="L739" s="1044">
        <f t="shared" si="142"/>
        <v>30</v>
      </c>
      <c r="M739" s="145"/>
      <c r="N739" s="1031">
        <f t="shared" si="143"/>
        <v>46134</v>
      </c>
    </row>
    <row r="740" spans="1:14" ht="15.75" customHeight="1">
      <c r="A740" s="1022">
        <v>46134</v>
      </c>
      <c r="B740" s="658" t="str">
        <f t="shared" si="145"/>
        <v>Mié</v>
      </c>
      <c r="C740" s="674" t="s">
        <v>146</v>
      </c>
      <c r="D740" s="897" t="s">
        <v>522</v>
      </c>
      <c r="E740" s="687">
        <v>0.52083333333333337</v>
      </c>
      <c r="F740" s="687">
        <v>0.66666666666666663</v>
      </c>
      <c r="G740" s="688">
        <f t="shared" si="139"/>
        <v>3.4999999999999982</v>
      </c>
      <c r="H740" s="676">
        <f>IF(D740="","",IFERROR(VLOOKUP(D740,'Resumen Empleado'!$A$4:$B$17,2,FALSE),""))</f>
        <v>10</v>
      </c>
      <c r="I740" s="676">
        <f t="shared" si="140"/>
        <v>0</v>
      </c>
      <c r="J740" s="676">
        <f t="shared" si="141"/>
        <v>34.999999999999986</v>
      </c>
      <c r="K740" s="676">
        <f>IF(OR(E740="",F740="",H740=""),0,MAX(0,(MIN(IF(F740&lt;E740,F740+1,F740),1+TIME(5,0,0))-MAX(E740,TIME(19,0,0))))*24*H740)</f>
        <v>0</v>
      </c>
      <c r="L740" s="1044">
        <f t="shared" si="142"/>
        <v>34.999999999999986</v>
      </c>
      <c r="M740" s="145"/>
      <c r="N740" s="1031">
        <f t="shared" si="143"/>
        <v>46134</v>
      </c>
    </row>
    <row r="741" spans="1:14" ht="15.75" customHeight="1">
      <c r="A741" s="658">
        <v>46134</v>
      </c>
      <c r="B741" s="658" t="str">
        <f t="shared" si="145"/>
        <v>Mié</v>
      </c>
      <c r="C741" s="1022" t="s">
        <v>146</v>
      </c>
      <c r="D741" s="897" t="s">
        <v>532</v>
      </c>
      <c r="E741" s="687">
        <v>0.5</v>
      </c>
      <c r="F741" s="687">
        <v>0.64583333333333337</v>
      </c>
      <c r="G741" s="688">
        <f t="shared" si="139"/>
        <v>3.5000000000000009</v>
      </c>
      <c r="H741" s="676">
        <f>IF(D741="","",IFERROR(VLOOKUP(D741,'Resumen Empleado'!$A$4:$B$17,2,FALSE),""))</f>
        <v>5.17</v>
      </c>
      <c r="I741" s="676">
        <f t="shared" si="140"/>
        <v>0</v>
      </c>
      <c r="J741" s="676">
        <f t="shared" si="141"/>
        <v>18.095000000000006</v>
      </c>
      <c r="K741" s="676">
        <f t="shared" ref="K741:K747" si="147">IF(OR(E741="",F741="",H741=""),0,MAX(0,(MIN(IF(F741&lt;E741,1+F741,F741),1+TIME(5,0,0))-MAX(E741,TIME(19,0,0))))*24*H741)</f>
        <v>0</v>
      </c>
      <c r="L741" s="1044">
        <f t="shared" si="142"/>
        <v>18.095000000000006</v>
      </c>
      <c r="M741" s="658" t="str">
        <f t="shared" ref="M741:M747" si="148">IF(A741="","",IF(G741&gt;12,"⚠ Verificar",""))</f>
        <v/>
      </c>
      <c r="N741" s="684">
        <f t="shared" si="143"/>
        <v>46134</v>
      </c>
    </row>
    <row r="742" spans="1:14" ht="15.75" customHeight="1">
      <c r="A742" s="658">
        <v>46134</v>
      </c>
      <c r="B742" s="658" t="str">
        <f t="shared" si="145"/>
        <v>Mié</v>
      </c>
      <c r="C742" s="1022" t="s">
        <v>146</v>
      </c>
      <c r="D742" s="897" t="s">
        <v>526</v>
      </c>
      <c r="E742" s="687">
        <v>0.41666666666666669</v>
      </c>
      <c r="F742" s="687">
        <v>0.66666666666666663</v>
      </c>
      <c r="G742" s="688">
        <f t="shared" si="139"/>
        <v>5.9999999999999982</v>
      </c>
      <c r="H742" s="676">
        <f>IF(D742="","",IFERROR(VLOOKUP(D742,'Resumen Empleado'!$A$4:$B$17,2,FALSE),""))</f>
        <v>16</v>
      </c>
      <c r="I742" s="676">
        <f t="shared" si="140"/>
        <v>31.999999999999993</v>
      </c>
      <c r="J742" s="676">
        <f t="shared" si="141"/>
        <v>63.999999999999986</v>
      </c>
      <c r="K742" s="676">
        <f t="shared" si="147"/>
        <v>0</v>
      </c>
      <c r="L742" s="1044">
        <f t="shared" si="142"/>
        <v>95.999999999999972</v>
      </c>
      <c r="M742" s="658" t="str">
        <f t="shared" si="148"/>
        <v/>
      </c>
      <c r="N742" s="684">
        <f t="shared" si="143"/>
        <v>46134</v>
      </c>
    </row>
    <row r="743" spans="1:14" ht="15.75" customHeight="1">
      <c r="A743" s="658">
        <v>46134</v>
      </c>
      <c r="B743" s="658" t="str">
        <f t="shared" si="145"/>
        <v>Mié</v>
      </c>
      <c r="C743" s="1022" t="s">
        <v>146</v>
      </c>
      <c r="D743" s="897" t="s">
        <v>525</v>
      </c>
      <c r="E743" s="687">
        <v>0.54166666666666663</v>
      </c>
      <c r="F743" s="687">
        <v>0.66666666666666663</v>
      </c>
      <c r="G743" s="688">
        <f t="shared" si="139"/>
        <v>3</v>
      </c>
      <c r="H743" s="676">
        <f>IF(D743="","",IFERROR(VLOOKUP(D743,'Resumen Empleado'!$A$4:$B$17,2,FALSE),""))</f>
        <v>7.25</v>
      </c>
      <c r="I743" s="676">
        <f t="shared" si="140"/>
        <v>0</v>
      </c>
      <c r="J743" s="676">
        <f t="shared" si="141"/>
        <v>21.75</v>
      </c>
      <c r="K743" s="676">
        <f t="shared" si="147"/>
        <v>0</v>
      </c>
      <c r="L743" s="1044">
        <f t="shared" si="142"/>
        <v>21.75</v>
      </c>
      <c r="M743" s="658" t="str">
        <f t="shared" si="148"/>
        <v/>
      </c>
      <c r="N743" s="684">
        <f t="shared" si="143"/>
        <v>46134</v>
      </c>
    </row>
    <row r="744" spans="1:14" ht="15.75" customHeight="1">
      <c r="A744" s="658">
        <v>46134</v>
      </c>
      <c r="B744" s="658" t="str">
        <f t="shared" si="145"/>
        <v>Mié</v>
      </c>
      <c r="C744" s="1022" t="s">
        <v>146</v>
      </c>
      <c r="D744" s="897" t="s">
        <v>522</v>
      </c>
      <c r="E744" s="687">
        <v>0.29166666666666669</v>
      </c>
      <c r="F744" s="687">
        <v>0.41666666666666669</v>
      </c>
      <c r="G744" s="688">
        <f t="shared" si="139"/>
        <v>3</v>
      </c>
      <c r="H744" s="676">
        <f>IF(D744="","",IFERROR(VLOOKUP(D744,'Resumen Empleado'!$A$4:$B$17,2,FALSE),""))</f>
        <v>10</v>
      </c>
      <c r="I744" s="676">
        <f t="shared" si="140"/>
        <v>30</v>
      </c>
      <c r="J744" s="676">
        <f t="shared" si="141"/>
        <v>0</v>
      </c>
      <c r="K744" s="676">
        <f t="shared" si="147"/>
        <v>0</v>
      </c>
      <c r="L744" s="1044">
        <f t="shared" si="142"/>
        <v>30</v>
      </c>
      <c r="M744" s="658" t="str">
        <f t="shared" si="148"/>
        <v/>
      </c>
      <c r="N744" s="684">
        <f t="shared" si="143"/>
        <v>46134</v>
      </c>
    </row>
    <row r="745" spans="1:14" ht="15.75" customHeight="1">
      <c r="A745" s="658">
        <v>46134</v>
      </c>
      <c r="B745" s="658" t="str">
        <f t="shared" si="145"/>
        <v>Mié</v>
      </c>
      <c r="C745" s="1022" t="s">
        <v>146</v>
      </c>
      <c r="D745" s="897" t="s">
        <v>522</v>
      </c>
      <c r="E745" s="687">
        <v>0.52083333333333337</v>
      </c>
      <c r="F745" s="687">
        <v>0.66666666666666663</v>
      </c>
      <c r="G745" s="688">
        <f t="shared" si="139"/>
        <v>3.4999999999999982</v>
      </c>
      <c r="H745" s="676">
        <f>IF(D745="","",IFERROR(VLOOKUP(D745,'Resumen Empleado'!$A$4:$B$17,2,FALSE),""))</f>
        <v>10</v>
      </c>
      <c r="I745" s="676">
        <f t="shared" si="140"/>
        <v>0</v>
      </c>
      <c r="J745" s="676">
        <f t="shared" si="141"/>
        <v>34.999999999999986</v>
      </c>
      <c r="K745" s="676">
        <f t="shared" si="147"/>
        <v>0</v>
      </c>
      <c r="L745" s="1044">
        <f t="shared" si="142"/>
        <v>34.999999999999986</v>
      </c>
      <c r="M745" s="658" t="str">
        <f t="shared" si="148"/>
        <v/>
      </c>
      <c r="N745" s="684">
        <f t="shared" si="143"/>
        <v>46134</v>
      </c>
    </row>
    <row r="746" spans="1:14" ht="15.75" customHeight="1">
      <c r="A746" s="658">
        <v>46134</v>
      </c>
      <c r="B746" s="658" t="str">
        <f t="shared" si="145"/>
        <v>Mié</v>
      </c>
      <c r="C746" s="1022" t="s">
        <v>497</v>
      </c>
      <c r="D746" s="897" t="s">
        <v>536</v>
      </c>
      <c r="E746" s="687">
        <v>0.8125</v>
      </c>
      <c r="F746" s="687">
        <v>0.89583333333333337</v>
      </c>
      <c r="G746" s="688">
        <f t="shared" si="139"/>
        <v>2.0000000000000009</v>
      </c>
      <c r="H746" s="676">
        <f>IF(D746="","",IFERROR(VLOOKUP(D746,'Resumen Empleado'!$A$4:$B$17,2,FALSE),""))</f>
        <v>17.13</v>
      </c>
      <c r="I746" s="676">
        <f t="shared" si="140"/>
        <v>0</v>
      </c>
      <c r="J746" s="676">
        <f t="shared" si="141"/>
        <v>0</v>
      </c>
      <c r="K746" s="676">
        <f t="shared" si="147"/>
        <v>34.260000000000012</v>
      </c>
      <c r="L746" s="1044">
        <f t="shared" si="142"/>
        <v>34.260000000000012</v>
      </c>
      <c r="M746" s="658" t="str">
        <f t="shared" si="148"/>
        <v/>
      </c>
      <c r="N746" s="684">
        <f t="shared" si="143"/>
        <v>46134</v>
      </c>
    </row>
    <row r="747" spans="1:14" ht="15.75" customHeight="1">
      <c r="A747" s="658">
        <v>46134</v>
      </c>
      <c r="B747" s="658" t="str">
        <f t="shared" si="145"/>
        <v>Mié</v>
      </c>
      <c r="C747" s="674" t="s">
        <v>146</v>
      </c>
      <c r="D747" s="897" t="s">
        <v>528</v>
      </c>
      <c r="E747" s="687">
        <v>0.33333333333333331</v>
      </c>
      <c r="F747" s="687">
        <v>0.66666666666666663</v>
      </c>
      <c r="G747" s="688">
        <f t="shared" si="139"/>
        <v>8</v>
      </c>
      <c r="H747" s="676">
        <f>IF(D747="","",IFERROR(VLOOKUP(D747,'Resumen Empleado'!$A$4:$B$17,2,FALSE),""))</f>
        <v>11</v>
      </c>
      <c r="I747" s="676">
        <f t="shared" si="140"/>
        <v>44</v>
      </c>
      <c r="J747" s="676">
        <f t="shared" si="141"/>
        <v>43.999999999999993</v>
      </c>
      <c r="K747" s="676">
        <f t="shared" si="147"/>
        <v>0</v>
      </c>
      <c r="L747" s="1044">
        <f t="shared" si="142"/>
        <v>88</v>
      </c>
      <c r="M747" s="145" t="str">
        <f t="shared" si="148"/>
        <v/>
      </c>
      <c r="N747" s="684">
        <f t="shared" si="143"/>
        <v>46134</v>
      </c>
    </row>
    <row r="748" spans="1:14" ht="15.75" customHeight="1">
      <c r="A748" s="658">
        <v>46135</v>
      </c>
      <c r="B748" s="658" t="str">
        <f t="shared" ref="B748:B774" si="149">IF(A748="","",PROPER(TEXT(A748,"ddd")))</f>
        <v>Jue</v>
      </c>
      <c r="C748" s="674" t="s">
        <v>497</v>
      </c>
      <c r="D748" s="897" t="s">
        <v>522</v>
      </c>
      <c r="E748" s="687">
        <v>0.79166666666666663</v>
      </c>
      <c r="F748" s="687">
        <v>0.9375</v>
      </c>
      <c r="G748" s="688">
        <f t="shared" si="139"/>
        <v>3.5000000000000009</v>
      </c>
      <c r="H748" s="676">
        <f>IF(D748="","",IFERROR(VLOOKUP(D748,'Resumen Empleado'!$A$4:$B$17,2,FALSE),""))</f>
        <v>10</v>
      </c>
      <c r="I748" s="676">
        <f t="shared" si="140"/>
        <v>0</v>
      </c>
      <c r="J748" s="676">
        <f t="shared" si="141"/>
        <v>0</v>
      </c>
      <c r="K748" s="676">
        <f>IF(OR(E748="",F748="",H748=""),0,MAX(0,(MIN(IF(F748&lt;E748,F748+1,F748),1+TIME(5,0,0))-MAX(E748,TIME(19,0,0))))*24*H748)</f>
        <v>35.000000000000007</v>
      </c>
      <c r="L748" s="1044">
        <f t="shared" si="142"/>
        <v>35.000000000000007</v>
      </c>
      <c r="M748" s="145"/>
      <c r="N748" s="684">
        <f t="shared" si="143"/>
        <v>46135</v>
      </c>
    </row>
    <row r="749" spans="1:14" ht="15.75" customHeight="1">
      <c r="A749" s="658">
        <v>46135</v>
      </c>
      <c r="B749" s="658" t="str">
        <f t="shared" si="149"/>
        <v>Jue</v>
      </c>
      <c r="C749" s="674" t="s">
        <v>497</v>
      </c>
      <c r="D749" s="897" t="s">
        <v>526</v>
      </c>
      <c r="E749" s="687">
        <v>0.83333333333333337</v>
      </c>
      <c r="F749" s="687">
        <v>0.95833333333333337</v>
      </c>
      <c r="G749" s="688">
        <f t="shared" si="139"/>
        <v>3</v>
      </c>
      <c r="H749" s="676">
        <f>IF(D749="","",IFERROR(VLOOKUP(D749,'Resumen Empleado'!$A$4:$B$17,2,FALSE),""))</f>
        <v>16</v>
      </c>
      <c r="I749" s="676">
        <f t="shared" si="140"/>
        <v>0</v>
      </c>
      <c r="J749" s="676">
        <f t="shared" si="141"/>
        <v>0</v>
      </c>
      <c r="K749" s="676">
        <f>IF(OR(E749="",F749="",H749=""),0,MAX(0,(MIN(IF(F749&lt;E749,F749+1,F749),1+TIME(5,0,0))-MAX(E749,TIME(19,0,0))))*24*H749)</f>
        <v>48</v>
      </c>
      <c r="L749" s="1044">
        <f t="shared" si="142"/>
        <v>48</v>
      </c>
      <c r="M749" s="145"/>
      <c r="N749" s="684">
        <f t="shared" si="143"/>
        <v>46135</v>
      </c>
    </row>
    <row r="750" spans="1:14" ht="15.75" customHeight="1">
      <c r="A750" s="658">
        <v>46135</v>
      </c>
      <c r="B750" s="658" t="str">
        <f t="shared" si="149"/>
        <v>Jue</v>
      </c>
      <c r="C750" s="674" t="s">
        <v>497</v>
      </c>
      <c r="D750" s="897" t="s">
        <v>532</v>
      </c>
      <c r="E750" s="687">
        <v>0.79166666666666663</v>
      </c>
      <c r="F750" s="687">
        <v>0.95833333333333337</v>
      </c>
      <c r="G750" s="688">
        <f t="shared" si="139"/>
        <v>4.0000000000000018</v>
      </c>
      <c r="H750" s="676">
        <f>IF(D750="","",IFERROR(VLOOKUP(D750,'Resumen Empleado'!$A$4:$B$17,2,FALSE),""))</f>
        <v>5.17</v>
      </c>
      <c r="I750" s="676">
        <f t="shared" si="140"/>
        <v>0</v>
      </c>
      <c r="J750" s="676">
        <f t="shared" si="141"/>
        <v>0</v>
      </c>
      <c r="K750" s="676">
        <f>IF(OR(E750="",F750="",H750=""),0,MAX(0,(MIN(IF(F750&lt;E750,F750+1,F750),1+TIME(5,0,0))-MAX(E750,TIME(19,0,0))))*24*H750)</f>
        <v>20.68000000000001</v>
      </c>
      <c r="L750" s="1044">
        <f t="shared" si="142"/>
        <v>20.68000000000001</v>
      </c>
      <c r="M750" s="145"/>
      <c r="N750" s="684">
        <f t="shared" si="143"/>
        <v>46135</v>
      </c>
    </row>
    <row r="751" spans="1:14" ht="15.75" customHeight="1">
      <c r="A751" s="658">
        <v>46135</v>
      </c>
      <c r="B751" s="658" t="str">
        <f t="shared" si="149"/>
        <v>Jue</v>
      </c>
      <c r="C751" s="674" t="s">
        <v>497</v>
      </c>
      <c r="D751" s="897" t="s">
        <v>525</v>
      </c>
      <c r="E751" s="687">
        <v>0.79166666666666663</v>
      </c>
      <c r="F751" s="687">
        <v>0.97916666666666663</v>
      </c>
      <c r="G751" s="688">
        <f t="shared" si="139"/>
        <v>4.5</v>
      </c>
      <c r="H751" s="676">
        <f>IF(D751="","",IFERROR(VLOOKUP(D751,'Resumen Empleado'!$A$4:$B$17,2,FALSE),""))</f>
        <v>7.25</v>
      </c>
      <c r="I751" s="676">
        <f t="shared" si="140"/>
        <v>0</v>
      </c>
      <c r="J751" s="676">
        <f t="shared" si="141"/>
        <v>0</v>
      </c>
      <c r="K751" s="676">
        <f>IF(OR(E751="",F751="",H751=""),0,MAX(0,(MIN(IF(F751&lt;E751,F751+1,F751),1+TIME(5,0,0))-MAX(E751,TIME(19,0,0))))*24*H751)</f>
        <v>32.625</v>
      </c>
      <c r="L751" s="1044">
        <f t="shared" si="142"/>
        <v>32.625</v>
      </c>
      <c r="M751" s="145"/>
      <c r="N751" s="684">
        <f t="shared" si="143"/>
        <v>46135</v>
      </c>
    </row>
    <row r="752" spans="1:14" ht="15.75" customHeight="1">
      <c r="A752" s="658">
        <v>46135</v>
      </c>
      <c r="B752" s="658" t="str">
        <f t="shared" si="149"/>
        <v>Jue</v>
      </c>
      <c r="C752" s="1022" t="s">
        <v>146</v>
      </c>
      <c r="D752" s="897" t="s">
        <v>522</v>
      </c>
      <c r="E752" s="687">
        <v>0.33333333333333331</v>
      </c>
      <c r="F752" s="687">
        <v>0.6875</v>
      </c>
      <c r="G752" s="688">
        <f t="shared" si="139"/>
        <v>8.5</v>
      </c>
      <c r="H752" s="676">
        <f>IF(D752="","",IFERROR(VLOOKUP(D752,'Resumen Empleado'!$A$4:$B$17,2,FALSE),""))</f>
        <v>10</v>
      </c>
      <c r="I752" s="676">
        <f t="shared" si="140"/>
        <v>40</v>
      </c>
      <c r="J752" s="676">
        <f t="shared" si="141"/>
        <v>45</v>
      </c>
      <c r="K752" s="676">
        <f t="shared" ref="K752:K774" si="150">IF(OR(E752="",F752="",H752=""),0,MAX(0,(MIN(IF(F752&lt;E752,1+F752,F752),1+TIME(5,0,0))-MAX(E752,TIME(19,0,0))))*24*H752)</f>
        <v>0</v>
      </c>
      <c r="L752" s="1044">
        <f t="shared" si="142"/>
        <v>85</v>
      </c>
      <c r="M752" s="658" t="str">
        <f t="shared" ref="M752:M774" si="151">IF(A752="","",IF(G752&gt;12,"⚠ Verificar",""))</f>
        <v/>
      </c>
      <c r="N752" s="684">
        <f t="shared" si="143"/>
        <v>46135</v>
      </c>
    </row>
    <row r="753" spans="1:14" ht="15.75" customHeight="1">
      <c r="A753" s="658">
        <v>46135</v>
      </c>
      <c r="B753" s="658" t="str">
        <f t="shared" si="149"/>
        <v>Jue</v>
      </c>
      <c r="C753" s="1022" t="s">
        <v>146</v>
      </c>
      <c r="D753" s="897" t="s">
        <v>525</v>
      </c>
      <c r="E753" s="687">
        <v>0.54166666666666663</v>
      </c>
      <c r="F753" s="687">
        <v>0.69791666666666663</v>
      </c>
      <c r="G753" s="688">
        <f t="shared" si="139"/>
        <v>3.75</v>
      </c>
      <c r="H753" s="676">
        <f>IF(D753="","",IFERROR(VLOOKUP(D753,'Resumen Empleado'!$A$4:$B$17,2,FALSE),""))</f>
        <v>7.25</v>
      </c>
      <c r="I753" s="676">
        <f t="shared" si="140"/>
        <v>0</v>
      </c>
      <c r="J753" s="676">
        <f t="shared" si="141"/>
        <v>27.1875</v>
      </c>
      <c r="K753" s="676">
        <f t="shared" si="150"/>
        <v>0</v>
      </c>
      <c r="L753" s="1044">
        <f t="shared" si="142"/>
        <v>27.1875</v>
      </c>
      <c r="M753" s="658" t="str">
        <f t="shared" si="151"/>
        <v/>
      </c>
      <c r="N753" s="684">
        <f t="shared" si="143"/>
        <v>46135</v>
      </c>
    </row>
    <row r="754" spans="1:14" ht="15.75" customHeight="1">
      <c r="A754" s="658">
        <v>46135</v>
      </c>
      <c r="B754" s="658" t="str">
        <f t="shared" si="149"/>
        <v>Jue</v>
      </c>
      <c r="C754" s="1022" t="s">
        <v>146</v>
      </c>
      <c r="D754" s="897" t="s">
        <v>532</v>
      </c>
      <c r="E754" s="687">
        <v>0.30208333333333331</v>
      </c>
      <c r="F754" s="687">
        <v>0.6875</v>
      </c>
      <c r="G754" s="688">
        <f t="shared" si="139"/>
        <v>9.25</v>
      </c>
      <c r="H754" s="676">
        <f>IF(D754="","",IFERROR(VLOOKUP(D754,'Resumen Empleado'!$A$4:$B$17,2,FALSE),""))</f>
        <v>5.17</v>
      </c>
      <c r="I754" s="676">
        <f t="shared" si="140"/>
        <v>24.557500000000001</v>
      </c>
      <c r="J754" s="676">
        <f t="shared" si="141"/>
        <v>23.265000000000001</v>
      </c>
      <c r="K754" s="676">
        <f t="shared" si="150"/>
        <v>0</v>
      </c>
      <c r="L754" s="1044">
        <f t="shared" si="142"/>
        <v>47.822500000000005</v>
      </c>
      <c r="M754" s="658" t="str">
        <f t="shared" si="151"/>
        <v/>
      </c>
      <c r="N754" s="684">
        <f t="shared" si="143"/>
        <v>46135</v>
      </c>
    </row>
    <row r="755" spans="1:14" ht="15.75" customHeight="1">
      <c r="A755" s="658">
        <v>46135</v>
      </c>
      <c r="B755" s="658" t="str">
        <f t="shared" si="149"/>
        <v>Jue</v>
      </c>
      <c r="C755" s="1022" t="s">
        <v>146</v>
      </c>
      <c r="D755" s="897" t="s">
        <v>526</v>
      </c>
      <c r="E755" s="687">
        <v>0.41666666666666669</v>
      </c>
      <c r="F755" s="687">
        <v>0.6875</v>
      </c>
      <c r="G755" s="688">
        <f t="shared" si="139"/>
        <v>6.5</v>
      </c>
      <c r="H755" s="676">
        <f>IF(D755="","",IFERROR(VLOOKUP(D755,'Resumen Empleado'!$A$4:$B$17,2,FALSE),""))</f>
        <v>16</v>
      </c>
      <c r="I755" s="676">
        <f t="shared" si="140"/>
        <v>31.999999999999993</v>
      </c>
      <c r="J755" s="676">
        <f t="shared" si="141"/>
        <v>72</v>
      </c>
      <c r="K755" s="676">
        <f t="shared" si="150"/>
        <v>0</v>
      </c>
      <c r="L755" s="1044">
        <f t="shared" si="142"/>
        <v>104</v>
      </c>
      <c r="M755" s="658" t="str">
        <f t="shared" si="151"/>
        <v/>
      </c>
      <c r="N755" s="684">
        <f t="shared" si="143"/>
        <v>46135</v>
      </c>
    </row>
    <row r="756" spans="1:14" ht="15.75" customHeight="1">
      <c r="A756" s="658">
        <v>46135</v>
      </c>
      <c r="B756" s="658" t="str">
        <f t="shared" si="149"/>
        <v>Jue</v>
      </c>
      <c r="C756" s="1022" t="s">
        <v>146</v>
      </c>
      <c r="D756" s="897" t="s">
        <v>528</v>
      </c>
      <c r="E756" s="687">
        <v>0.58333333333333337</v>
      </c>
      <c r="F756" s="687">
        <v>0.66666666666666663</v>
      </c>
      <c r="G756" s="688">
        <f t="shared" si="139"/>
        <v>1.9999999999999982</v>
      </c>
      <c r="H756" s="676">
        <f>IF(D756="","",IFERROR(VLOOKUP(D756,'Resumen Empleado'!$A$4:$B$17,2,FALSE),""))</f>
        <v>11</v>
      </c>
      <c r="I756" s="676">
        <f t="shared" si="140"/>
        <v>0</v>
      </c>
      <c r="J756" s="676">
        <f t="shared" si="141"/>
        <v>21.999999999999979</v>
      </c>
      <c r="K756" s="676">
        <f t="shared" si="150"/>
        <v>0</v>
      </c>
      <c r="L756" s="1044">
        <f t="shared" si="142"/>
        <v>21.999999999999979</v>
      </c>
      <c r="M756" s="658" t="str">
        <f t="shared" si="151"/>
        <v/>
      </c>
      <c r="N756" s="684">
        <f t="shared" si="143"/>
        <v>46135</v>
      </c>
    </row>
    <row r="757" spans="1:14" ht="15.75" customHeight="1">
      <c r="A757" s="658">
        <v>46135</v>
      </c>
      <c r="B757" s="658" t="str">
        <f t="shared" si="149"/>
        <v>Jue</v>
      </c>
      <c r="C757" s="1022" t="s">
        <v>497</v>
      </c>
      <c r="D757" s="897" t="s">
        <v>522</v>
      </c>
      <c r="E757" s="687">
        <v>0.79166666666666663</v>
      </c>
      <c r="F757" s="687">
        <v>0.9375</v>
      </c>
      <c r="G757" s="688">
        <f t="shared" si="139"/>
        <v>3.5000000000000009</v>
      </c>
      <c r="H757" s="676">
        <f>IF(D757="","",IFERROR(VLOOKUP(D757,'Resumen Empleado'!$A$4:$B$17,2,FALSE),""))</f>
        <v>10</v>
      </c>
      <c r="I757" s="676">
        <f t="shared" si="140"/>
        <v>0</v>
      </c>
      <c r="J757" s="676">
        <f t="shared" si="141"/>
        <v>0</v>
      </c>
      <c r="K757" s="676">
        <f t="shared" si="150"/>
        <v>35.000000000000007</v>
      </c>
      <c r="L757" s="1044">
        <f t="shared" si="142"/>
        <v>35.000000000000007</v>
      </c>
      <c r="M757" s="658" t="str">
        <f t="shared" si="151"/>
        <v/>
      </c>
      <c r="N757" s="684">
        <f t="shared" si="143"/>
        <v>46135</v>
      </c>
    </row>
    <row r="758" spans="1:14" ht="15.75" customHeight="1">
      <c r="A758" s="658">
        <v>46135</v>
      </c>
      <c r="B758" s="658" t="str">
        <f t="shared" si="149"/>
        <v>Jue</v>
      </c>
      <c r="C758" s="1022" t="s">
        <v>497</v>
      </c>
      <c r="D758" s="897" t="s">
        <v>526</v>
      </c>
      <c r="E758" s="687">
        <v>0.83333333333333337</v>
      </c>
      <c r="F758" s="687">
        <v>0.95833333333333337</v>
      </c>
      <c r="G758" s="688">
        <f t="shared" si="139"/>
        <v>3</v>
      </c>
      <c r="H758" s="676">
        <f>IF(D758="","",IFERROR(VLOOKUP(D758,'Resumen Empleado'!$A$4:$B$17,2,FALSE),""))</f>
        <v>16</v>
      </c>
      <c r="I758" s="676">
        <f t="shared" si="140"/>
        <v>0</v>
      </c>
      <c r="J758" s="676">
        <f t="shared" si="141"/>
        <v>0</v>
      </c>
      <c r="K758" s="676">
        <f t="shared" si="150"/>
        <v>48</v>
      </c>
      <c r="L758" s="1044">
        <f t="shared" si="142"/>
        <v>48</v>
      </c>
      <c r="M758" s="658" t="str">
        <f t="shared" si="151"/>
        <v/>
      </c>
      <c r="N758" s="684">
        <f t="shared" si="143"/>
        <v>46135</v>
      </c>
    </row>
    <row r="759" spans="1:14" ht="15.75" customHeight="1">
      <c r="A759" s="658">
        <v>46135</v>
      </c>
      <c r="B759" s="658" t="str">
        <f t="shared" si="149"/>
        <v>Jue</v>
      </c>
      <c r="C759" s="1022" t="s">
        <v>497</v>
      </c>
      <c r="D759" s="897" t="s">
        <v>532</v>
      </c>
      <c r="E759" s="687">
        <v>0.79166666666666663</v>
      </c>
      <c r="F759" s="687">
        <v>0.95833333333333337</v>
      </c>
      <c r="G759" s="688">
        <f t="shared" si="139"/>
        <v>4.0000000000000018</v>
      </c>
      <c r="H759" s="676">
        <f>IF(D759="","",IFERROR(VLOOKUP(D759,'Resumen Empleado'!$A$4:$B$17,2,FALSE),""))</f>
        <v>5.17</v>
      </c>
      <c r="I759" s="676">
        <f t="shared" si="140"/>
        <v>0</v>
      </c>
      <c r="J759" s="676">
        <f t="shared" si="141"/>
        <v>0</v>
      </c>
      <c r="K759" s="676">
        <f t="shared" si="150"/>
        <v>20.68000000000001</v>
      </c>
      <c r="L759" s="1044">
        <f t="shared" si="142"/>
        <v>20.68000000000001</v>
      </c>
      <c r="M759" s="658" t="str">
        <f t="shared" si="151"/>
        <v/>
      </c>
      <c r="N759" s="684">
        <f t="shared" si="143"/>
        <v>46135</v>
      </c>
    </row>
    <row r="760" spans="1:14" ht="15.75" customHeight="1">
      <c r="A760" s="658">
        <v>46135</v>
      </c>
      <c r="B760" s="658" t="str">
        <f t="shared" si="149"/>
        <v>Jue</v>
      </c>
      <c r="C760" s="1022" t="s">
        <v>497</v>
      </c>
      <c r="D760" s="897" t="s">
        <v>525</v>
      </c>
      <c r="E760" s="687">
        <v>0.79166666666666663</v>
      </c>
      <c r="F760" s="687">
        <v>0.97916666666666663</v>
      </c>
      <c r="G760" s="688">
        <f t="shared" si="139"/>
        <v>4.5</v>
      </c>
      <c r="H760" s="676">
        <f>IF(D760="","",IFERROR(VLOOKUP(D760,'Resumen Empleado'!$A$4:$B$17,2,FALSE),""))</f>
        <v>7.25</v>
      </c>
      <c r="I760" s="676">
        <f t="shared" si="140"/>
        <v>0</v>
      </c>
      <c r="J760" s="676">
        <f t="shared" si="141"/>
        <v>0</v>
      </c>
      <c r="K760" s="676">
        <f t="shared" si="150"/>
        <v>32.625</v>
      </c>
      <c r="L760" s="1044">
        <f t="shared" si="142"/>
        <v>32.625</v>
      </c>
      <c r="M760" s="658" t="str">
        <f t="shared" si="151"/>
        <v/>
      </c>
      <c r="N760" s="684">
        <f t="shared" si="143"/>
        <v>46135</v>
      </c>
    </row>
    <row r="761" spans="1:14" ht="15.75" customHeight="1">
      <c r="A761" s="658">
        <v>46135</v>
      </c>
      <c r="B761" s="658" t="str">
        <f t="shared" si="149"/>
        <v>Jue</v>
      </c>
      <c r="C761" s="1022" t="s">
        <v>497</v>
      </c>
      <c r="D761" s="897" t="s">
        <v>532</v>
      </c>
      <c r="E761" s="687">
        <v>0.85416666666666663</v>
      </c>
      <c r="F761" s="687">
        <v>0.96875</v>
      </c>
      <c r="G761" s="688">
        <f t="shared" si="139"/>
        <v>2.7500000000000009</v>
      </c>
      <c r="H761" s="676">
        <f>IF(D761="","",IFERROR(VLOOKUP(D761,'Resumen Empleado'!$A$4:$B$17,2,FALSE),""))</f>
        <v>5.17</v>
      </c>
      <c r="I761" s="676">
        <f t="shared" si="140"/>
        <v>0</v>
      </c>
      <c r="J761" s="676">
        <f t="shared" si="141"/>
        <v>0</v>
      </c>
      <c r="K761" s="676">
        <f t="shared" si="150"/>
        <v>14.217500000000005</v>
      </c>
      <c r="L761" s="1044">
        <f t="shared" si="142"/>
        <v>14.217500000000005</v>
      </c>
      <c r="M761" s="658" t="str">
        <f t="shared" si="151"/>
        <v/>
      </c>
      <c r="N761" s="684">
        <f t="shared" si="143"/>
        <v>46135</v>
      </c>
    </row>
    <row r="762" spans="1:14" ht="15.75" customHeight="1">
      <c r="A762" s="658">
        <v>46135</v>
      </c>
      <c r="B762" s="658" t="str">
        <f t="shared" si="149"/>
        <v>Jue</v>
      </c>
      <c r="C762" s="1022" t="s">
        <v>497</v>
      </c>
      <c r="D762" s="897" t="s">
        <v>528</v>
      </c>
      <c r="E762" s="687">
        <v>0.83333333333333337</v>
      </c>
      <c r="F762" s="687">
        <v>0.91666666666666663</v>
      </c>
      <c r="G762" s="688">
        <f t="shared" si="139"/>
        <v>1.9999999999999982</v>
      </c>
      <c r="H762" s="676">
        <f>IF(D762="","",IFERROR(VLOOKUP(D762,'Resumen Empleado'!$A$4:$B$17,2,FALSE),""))</f>
        <v>11</v>
      </c>
      <c r="I762" s="676">
        <f t="shared" si="140"/>
        <v>0</v>
      </c>
      <c r="J762" s="676">
        <f t="shared" si="141"/>
        <v>0</v>
      </c>
      <c r="K762" s="676">
        <f t="shared" si="150"/>
        <v>21.999999999999979</v>
      </c>
      <c r="L762" s="1044">
        <f t="shared" si="142"/>
        <v>21.999999999999979</v>
      </c>
      <c r="M762" s="658" t="str">
        <f t="shared" si="151"/>
        <v/>
      </c>
      <c r="N762" s="684">
        <f t="shared" si="143"/>
        <v>46135</v>
      </c>
    </row>
    <row r="763" spans="1:14" ht="15.75" customHeight="1">
      <c r="A763" s="658">
        <v>46135</v>
      </c>
      <c r="B763" s="658" t="str">
        <f t="shared" si="149"/>
        <v>Jue</v>
      </c>
      <c r="C763" s="1022" t="s">
        <v>497</v>
      </c>
      <c r="D763" s="897" t="s">
        <v>536</v>
      </c>
      <c r="E763" s="687">
        <v>0.8125</v>
      </c>
      <c r="F763" s="687">
        <v>0.89583333333333337</v>
      </c>
      <c r="G763" s="688">
        <f t="shared" si="139"/>
        <v>2.0000000000000009</v>
      </c>
      <c r="H763" s="676">
        <f>IF(D763="","",IFERROR(VLOOKUP(D763,'Resumen Empleado'!$A$4:$B$17,2,FALSE),""))</f>
        <v>17.13</v>
      </c>
      <c r="I763" s="676">
        <f t="shared" si="140"/>
        <v>0</v>
      </c>
      <c r="J763" s="676">
        <f t="shared" si="141"/>
        <v>0</v>
      </c>
      <c r="K763" s="676">
        <f t="shared" si="150"/>
        <v>34.260000000000012</v>
      </c>
      <c r="L763" s="1044">
        <f t="shared" si="142"/>
        <v>34.260000000000012</v>
      </c>
      <c r="M763" s="658" t="str">
        <f t="shared" si="151"/>
        <v/>
      </c>
      <c r="N763" s="684">
        <f t="shared" si="143"/>
        <v>46135</v>
      </c>
    </row>
    <row r="764" spans="1:14" ht="15.75" customHeight="1">
      <c r="A764" s="658">
        <v>46135</v>
      </c>
      <c r="B764" s="658" t="str">
        <f t="shared" si="149"/>
        <v>Jue</v>
      </c>
      <c r="C764" s="674" t="s">
        <v>146</v>
      </c>
      <c r="D764" s="897" t="s">
        <v>528</v>
      </c>
      <c r="E764" s="687">
        <v>0.33333333333333331</v>
      </c>
      <c r="F764" s="687">
        <v>0.66666666666666663</v>
      </c>
      <c r="G764" s="688">
        <f t="shared" si="139"/>
        <v>8</v>
      </c>
      <c r="H764" s="676">
        <f>IF(D764="","",IFERROR(VLOOKUP(D764,'Resumen Empleado'!$A$4:$B$17,2,FALSE),""))</f>
        <v>11</v>
      </c>
      <c r="I764" s="676">
        <f t="shared" si="140"/>
        <v>44</v>
      </c>
      <c r="J764" s="676">
        <f t="shared" si="141"/>
        <v>43.999999999999993</v>
      </c>
      <c r="K764" s="676">
        <f t="shared" si="150"/>
        <v>0</v>
      </c>
      <c r="L764" s="1044">
        <f t="shared" si="142"/>
        <v>88</v>
      </c>
      <c r="M764" s="145" t="str">
        <f t="shared" si="151"/>
        <v/>
      </c>
      <c r="N764" s="684">
        <f t="shared" si="143"/>
        <v>46135</v>
      </c>
    </row>
    <row r="765" spans="1:14" ht="15.75" customHeight="1">
      <c r="A765" s="658">
        <v>46136</v>
      </c>
      <c r="B765" s="658" t="str">
        <f t="shared" si="149"/>
        <v>Vie</v>
      </c>
      <c r="C765" s="1022" t="s">
        <v>146</v>
      </c>
      <c r="D765" s="897" t="s">
        <v>522</v>
      </c>
      <c r="E765" s="687">
        <v>0.52083333333333337</v>
      </c>
      <c r="F765" s="687">
        <v>0.66666666666666663</v>
      </c>
      <c r="G765" s="688">
        <f t="shared" si="139"/>
        <v>3.4999999999999982</v>
      </c>
      <c r="H765" s="676">
        <f>IF(D765="","",IFERROR(VLOOKUP(D765,'Resumen Empleado'!$A$4:$B$17,2,FALSE),""))</f>
        <v>10</v>
      </c>
      <c r="I765" s="676">
        <f t="shared" si="140"/>
        <v>0</v>
      </c>
      <c r="J765" s="676">
        <f t="shared" si="141"/>
        <v>34.999999999999986</v>
      </c>
      <c r="K765" s="676">
        <f t="shared" si="150"/>
        <v>0</v>
      </c>
      <c r="L765" s="1044">
        <f t="shared" si="142"/>
        <v>34.999999999999986</v>
      </c>
      <c r="M765" s="658" t="str">
        <f t="shared" si="151"/>
        <v/>
      </c>
      <c r="N765" s="684">
        <f t="shared" si="143"/>
        <v>46136</v>
      </c>
    </row>
    <row r="766" spans="1:14" ht="15.75" customHeight="1">
      <c r="A766" s="658">
        <v>46136</v>
      </c>
      <c r="B766" s="658" t="str">
        <f t="shared" si="149"/>
        <v>Vie</v>
      </c>
      <c r="C766" s="1022" t="s">
        <v>146</v>
      </c>
      <c r="D766" s="897" t="s">
        <v>532</v>
      </c>
      <c r="E766" s="687">
        <v>0.5</v>
      </c>
      <c r="F766" s="687">
        <v>0.64583333333333337</v>
      </c>
      <c r="G766" s="688">
        <f t="shared" si="139"/>
        <v>3.5000000000000009</v>
      </c>
      <c r="H766" s="676">
        <f>IF(D766="","",IFERROR(VLOOKUP(D766,'Resumen Empleado'!$A$4:$B$17,2,FALSE),""))</f>
        <v>5.17</v>
      </c>
      <c r="I766" s="676">
        <f t="shared" si="140"/>
        <v>0</v>
      </c>
      <c r="J766" s="676">
        <f t="shared" si="141"/>
        <v>18.095000000000006</v>
      </c>
      <c r="K766" s="676">
        <f t="shared" si="150"/>
        <v>0</v>
      </c>
      <c r="L766" s="1044">
        <f t="shared" si="142"/>
        <v>18.095000000000006</v>
      </c>
      <c r="M766" s="658" t="str">
        <f t="shared" si="151"/>
        <v/>
      </c>
      <c r="N766" s="684">
        <f t="shared" si="143"/>
        <v>46136</v>
      </c>
    </row>
    <row r="767" spans="1:14" ht="15.75" customHeight="1">
      <c r="A767" s="658">
        <v>46136</v>
      </c>
      <c r="B767" s="658" t="str">
        <f t="shared" si="149"/>
        <v>Vie</v>
      </c>
      <c r="C767" s="1022" t="s">
        <v>146</v>
      </c>
      <c r="D767" s="897" t="s">
        <v>525</v>
      </c>
      <c r="E767" s="687">
        <v>0.54166666666666663</v>
      </c>
      <c r="F767" s="687">
        <v>0.66666666666666663</v>
      </c>
      <c r="G767" s="688">
        <f t="shared" si="139"/>
        <v>3</v>
      </c>
      <c r="H767" s="676">
        <f>IF(D767="","",IFERROR(VLOOKUP(D767,'Resumen Empleado'!$A$4:$B$17,2,FALSE),""))</f>
        <v>7.25</v>
      </c>
      <c r="I767" s="676">
        <f t="shared" si="140"/>
        <v>0</v>
      </c>
      <c r="J767" s="676">
        <f t="shared" si="141"/>
        <v>21.75</v>
      </c>
      <c r="K767" s="676">
        <f t="shared" si="150"/>
        <v>0</v>
      </c>
      <c r="L767" s="1044">
        <f t="shared" si="142"/>
        <v>21.75</v>
      </c>
      <c r="M767" s="658" t="str">
        <f t="shared" si="151"/>
        <v/>
      </c>
      <c r="N767" s="684">
        <f t="shared" si="143"/>
        <v>46136</v>
      </c>
    </row>
    <row r="768" spans="1:14" ht="15.75" customHeight="1">
      <c r="A768" s="658">
        <v>46136</v>
      </c>
      <c r="B768" s="658" t="str">
        <f t="shared" si="149"/>
        <v>Vie</v>
      </c>
      <c r="C768" s="1022" t="s">
        <v>146</v>
      </c>
      <c r="D768" s="897" t="s">
        <v>526</v>
      </c>
      <c r="E768" s="687">
        <v>0.41666666666666669</v>
      </c>
      <c r="F768" s="687">
        <v>0.66666666666666663</v>
      </c>
      <c r="G768" s="688">
        <f t="shared" si="139"/>
        <v>5.9999999999999982</v>
      </c>
      <c r="H768" s="676">
        <f>IF(D768="","",IFERROR(VLOOKUP(D768,'Resumen Empleado'!$A$4:$B$17,2,FALSE),""))</f>
        <v>16</v>
      </c>
      <c r="I768" s="676">
        <f t="shared" si="140"/>
        <v>31.999999999999993</v>
      </c>
      <c r="J768" s="676">
        <f t="shared" si="141"/>
        <v>63.999999999999986</v>
      </c>
      <c r="K768" s="676">
        <f t="shared" si="150"/>
        <v>0</v>
      </c>
      <c r="L768" s="1044">
        <f t="shared" si="142"/>
        <v>95.999999999999972</v>
      </c>
      <c r="M768" s="658" t="str">
        <f t="shared" si="151"/>
        <v/>
      </c>
      <c r="N768" s="684">
        <f t="shared" si="143"/>
        <v>46136</v>
      </c>
    </row>
    <row r="769" spans="1:14" ht="15.75" customHeight="1">
      <c r="A769" s="658">
        <v>46136</v>
      </c>
      <c r="B769" s="658" t="str">
        <f t="shared" si="149"/>
        <v>Vie</v>
      </c>
      <c r="C769" s="1022" t="s">
        <v>497</v>
      </c>
      <c r="D769" s="897" t="s">
        <v>525</v>
      </c>
      <c r="E769" s="687">
        <v>0.79166666666666663</v>
      </c>
      <c r="F769" s="687">
        <v>2.0833333333333329E-2</v>
      </c>
      <c r="G769" s="688">
        <f t="shared" si="139"/>
        <v>5.4999999999999991</v>
      </c>
      <c r="H769" s="676">
        <f>IF(D769="","",IFERROR(VLOOKUP(D769,'Resumen Empleado'!$A$4:$B$17,2,FALSE),""))</f>
        <v>7.25</v>
      </c>
      <c r="I769" s="676">
        <f t="shared" si="140"/>
        <v>0</v>
      </c>
      <c r="J769" s="676">
        <f t="shared" si="141"/>
        <v>0</v>
      </c>
      <c r="K769" s="676">
        <f t="shared" si="150"/>
        <v>39.874999999999993</v>
      </c>
      <c r="L769" s="1044">
        <f t="shared" si="142"/>
        <v>39.874999999999993</v>
      </c>
      <c r="M769" s="658" t="str">
        <f t="shared" si="151"/>
        <v/>
      </c>
      <c r="N769" s="684">
        <f t="shared" si="143"/>
        <v>46136</v>
      </c>
    </row>
    <row r="770" spans="1:14" ht="15.75" customHeight="1">
      <c r="A770" s="658">
        <v>46136</v>
      </c>
      <c r="B770" s="658" t="str">
        <f t="shared" si="149"/>
        <v>Vie</v>
      </c>
      <c r="C770" s="1022" t="s">
        <v>497</v>
      </c>
      <c r="D770" s="897" t="s">
        <v>529</v>
      </c>
      <c r="E770" s="687">
        <v>0.86458333333333337</v>
      </c>
      <c r="F770" s="687">
        <v>1.041666666666667E-2</v>
      </c>
      <c r="G770" s="688">
        <f t="shared" si="139"/>
        <v>3.5000000000000009</v>
      </c>
      <c r="H770" s="676">
        <f>IF(D770="","",IFERROR(VLOOKUP(D770,'Resumen Empleado'!$A$4:$B$17,2,FALSE),""))</f>
        <v>8</v>
      </c>
      <c r="I770" s="676">
        <f t="shared" si="140"/>
        <v>0</v>
      </c>
      <c r="J770" s="676">
        <f t="shared" si="141"/>
        <v>0</v>
      </c>
      <c r="K770" s="676">
        <f t="shared" si="150"/>
        <v>28.000000000000007</v>
      </c>
      <c r="L770" s="1044">
        <f t="shared" si="142"/>
        <v>28.000000000000007</v>
      </c>
      <c r="M770" s="658" t="str">
        <f t="shared" si="151"/>
        <v/>
      </c>
      <c r="N770" s="684">
        <f t="shared" si="143"/>
        <v>46136</v>
      </c>
    </row>
    <row r="771" spans="1:14" ht="15.75" customHeight="1">
      <c r="A771" s="658">
        <v>46136</v>
      </c>
      <c r="B771" s="658" t="str">
        <f t="shared" si="149"/>
        <v>Vie</v>
      </c>
      <c r="C771" s="1022" t="s">
        <v>497</v>
      </c>
      <c r="D771" s="897" t="s">
        <v>522</v>
      </c>
      <c r="E771" s="687">
        <v>0.79166666666666663</v>
      </c>
      <c r="F771" s="687">
        <v>0.95833333333333337</v>
      </c>
      <c r="G771" s="688">
        <f t="shared" si="139"/>
        <v>4.0000000000000018</v>
      </c>
      <c r="H771" s="676">
        <f>IF(D771="","",IFERROR(VLOOKUP(D771,'Resumen Empleado'!$A$4:$B$17,2,FALSE),""))</f>
        <v>10</v>
      </c>
      <c r="I771" s="676">
        <f t="shared" si="140"/>
        <v>0</v>
      </c>
      <c r="J771" s="676">
        <f t="shared" si="141"/>
        <v>0</v>
      </c>
      <c r="K771" s="676">
        <f t="shared" si="150"/>
        <v>40.000000000000014</v>
      </c>
      <c r="L771" s="1044">
        <f t="shared" si="142"/>
        <v>40.000000000000014</v>
      </c>
      <c r="M771" s="658" t="str">
        <f t="shared" si="151"/>
        <v/>
      </c>
      <c r="N771" s="684">
        <f t="shared" si="143"/>
        <v>46136</v>
      </c>
    </row>
    <row r="772" spans="1:14" ht="15.75" customHeight="1">
      <c r="A772" s="658">
        <v>46136</v>
      </c>
      <c r="B772" s="658" t="str">
        <f t="shared" si="149"/>
        <v>Vie</v>
      </c>
      <c r="C772" s="1022" t="s">
        <v>497</v>
      </c>
      <c r="D772" s="897" t="s">
        <v>532</v>
      </c>
      <c r="E772" s="687">
        <v>0.79166666666666663</v>
      </c>
      <c r="F772" s="687">
        <v>0</v>
      </c>
      <c r="G772" s="688">
        <f t="shared" si="139"/>
        <v>5.0000000000000009</v>
      </c>
      <c r="H772" s="676">
        <f>IF(D772="","",IFERROR(VLOOKUP(D772,'Resumen Empleado'!$A$4:$B$17,2,FALSE),""))</f>
        <v>5.17</v>
      </c>
      <c r="I772" s="676">
        <f t="shared" si="140"/>
        <v>0</v>
      </c>
      <c r="J772" s="676">
        <f t="shared" si="141"/>
        <v>0</v>
      </c>
      <c r="K772" s="676">
        <f t="shared" si="150"/>
        <v>25.850000000000005</v>
      </c>
      <c r="L772" s="1044">
        <f t="shared" si="142"/>
        <v>25.850000000000005</v>
      </c>
      <c r="M772" s="658" t="str">
        <f t="shared" si="151"/>
        <v/>
      </c>
      <c r="N772" s="684">
        <f t="shared" si="143"/>
        <v>46136</v>
      </c>
    </row>
    <row r="773" spans="1:14" ht="15.75" customHeight="1">
      <c r="A773" s="658">
        <v>46136</v>
      </c>
      <c r="B773" s="658" t="str">
        <f t="shared" si="149"/>
        <v>Vie</v>
      </c>
      <c r="C773" s="1022" t="s">
        <v>497</v>
      </c>
      <c r="D773" s="897" t="s">
        <v>526</v>
      </c>
      <c r="E773" s="687">
        <v>0.83333333333333337</v>
      </c>
      <c r="F773" s="687">
        <v>0</v>
      </c>
      <c r="G773" s="688">
        <f t="shared" ref="G773:G774" si="152">IF(F773&lt;E773,F773+1-E773,F773-E773)*24</f>
        <v>3.9999999999999991</v>
      </c>
      <c r="H773" s="676">
        <f>IF(D773="","",IFERROR(VLOOKUP(D773,'Resumen Empleado'!$A$4:$B$17,2,FALSE),""))</f>
        <v>16</v>
      </c>
      <c r="I773" s="676">
        <f t="shared" ref="I773:I774" si="153">IF(OR(E773="",F773="",H773=""),0,MAX(0,(MIN(IF(F773&lt;E773,F773+1,F773),TIME(12,0,0))-MAX(E773,TIME(5,0,0))))*24*H773)</f>
        <v>0</v>
      </c>
      <c r="J773" s="676">
        <f t="shared" si="141"/>
        <v>0</v>
      </c>
      <c r="K773" s="676">
        <f t="shared" si="150"/>
        <v>63.999999999999986</v>
      </c>
      <c r="L773" s="1044">
        <f t="shared" ref="L773:L774" si="154">SUM(I773:K773)</f>
        <v>63.999999999999986</v>
      </c>
      <c r="M773" s="658" t="str">
        <f t="shared" si="151"/>
        <v/>
      </c>
      <c r="N773" s="684">
        <f t="shared" si="143"/>
        <v>46136</v>
      </c>
    </row>
    <row r="774" spans="1:14" ht="15.75" customHeight="1">
      <c r="A774" s="658">
        <v>46136</v>
      </c>
      <c r="B774" s="658" t="str">
        <f t="shared" si="149"/>
        <v>Vie</v>
      </c>
      <c r="C774" s="674" t="s">
        <v>497</v>
      </c>
      <c r="D774" s="897" t="s">
        <v>536</v>
      </c>
      <c r="E774" s="687">
        <v>0.8125</v>
      </c>
      <c r="F774" s="687">
        <v>0.89583333333333337</v>
      </c>
      <c r="G774" s="688">
        <f t="shared" si="152"/>
        <v>2.0000000000000009</v>
      </c>
      <c r="H774" s="676">
        <f>IF(D774="","",IFERROR(VLOOKUP(D774,'Resumen Empleado'!$A$4:$B$17,2,FALSE),""))</f>
        <v>17.13</v>
      </c>
      <c r="I774" s="676">
        <f t="shared" si="153"/>
        <v>0</v>
      </c>
      <c r="J774" s="676">
        <f t="shared" si="141"/>
        <v>0</v>
      </c>
      <c r="K774" s="676">
        <f t="shared" si="150"/>
        <v>34.260000000000012</v>
      </c>
      <c r="L774" s="1044">
        <f t="shared" si="154"/>
        <v>34.260000000000012</v>
      </c>
      <c r="M774" s="145" t="str">
        <f t="shared" si="151"/>
        <v/>
      </c>
      <c r="N774" s="684">
        <f t="shared" si="143"/>
        <v>46136</v>
      </c>
    </row>
    <row r="775" spans="1:14" ht="15.75" customHeight="1">
      <c r="A775" s="658">
        <v>46137</v>
      </c>
      <c r="B775" s="658" t="s">
        <v>503</v>
      </c>
      <c r="C775" s="674" t="s">
        <v>146</v>
      </c>
      <c r="D775" s="897" t="s">
        <v>535</v>
      </c>
      <c r="E775" s="687">
        <v>0.58333333333333337</v>
      </c>
      <c r="F775" s="687">
        <v>0.66666666666666663</v>
      </c>
      <c r="G775" s="688">
        <v>2</v>
      </c>
      <c r="H775" s="676">
        <v>0</v>
      </c>
      <c r="I775" s="676">
        <v>0</v>
      </c>
      <c r="J775" s="676">
        <v>0</v>
      </c>
      <c r="K775" s="676">
        <v>0</v>
      </c>
      <c r="L775" s="1044">
        <v>0</v>
      </c>
      <c r="M775" s="145"/>
      <c r="N775" s="684">
        <v>46137</v>
      </c>
    </row>
    <row r="776" spans="1:14" ht="15.75" customHeight="1">
      <c r="A776" s="658">
        <v>46137</v>
      </c>
      <c r="B776" s="658" t="s">
        <v>503</v>
      </c>
      <c r="C776" s="674" t="s">
        <v>146</v>
      </c>
      <c r="D776" s="897" t="s">
        <v>526</v>
      </c>
      <c r="E776" s="687">
        <v>0.375</v>
      </c>
      <c r="F776" s="687">
        <v>0.66666666666666663</v>
      </c>
      <c r="G776" s="688">
        <v>7</v>
      </c>
      <c r="H776" s="676">
        <v>16</v>
      </c>
      <c r="I776" s="676">
        <v>48</v>
      </c>
      <c r="J776" s="676">
        <v>64</v>
      </c>
      <c r="K776" s="676">
        <v>0</v>
      </c>
      <c r="L776" s="1044">
        <v>112</v>
      </c>
      <c r="M776" s="145"/>
      <c r="N776" s="684">
        <v>46137</v>
      </c>
    </row>
    <row r="777" spans="1:14" ht="15.75" customHeight="1">
      <c r="A777" s="658">
        <v>46137</v>
      </c>
      <c r="B777" s="658" t="s">
        <v>503</v>
      </c>
      <c r="C777" s="674" t="s">
        <v>146</v>
      </c>
      <c r="D777" s="897" t="s">
        <v>525</v>
      </c>
      <c r="E777" s="687">
        <v>0.39583333333333331</v>
      </c>
      <c r="F777" s="687">
        <v>0.66666666666666663</v>
      </c>
      <c r="G777" s="688">
        <v>6.5</v>
      </c>
      <c r="H777" s="676">
        <v>7.25</v>
      </c>
      <c r="I777" s="676">
        <v>18.13</v>
      </c>
      <c r="J777" s="676">
        <v>29</v>
      </c>
      <c r="K777" s="676">
        <v>0</v>
      </c>
      <c r="L777" s="1044">
        <v>47.13</v>
      </c>
      <c r="M777" s="145"/>
      <c r="N777" s="684">
        <v>46137</v>
      </c>
    </row>
    <row r="778" spans="1:14" ht="15.75" customHeight="1">
      <c r="A778" s="658">
        <v>46137</v>
      </c>
      <c r="B778" s="658" t="s">
        <v>503</v>
      </c>
      <c r="C778" s="674" t="s">
        <v>146</v>
      </c>
      <c r="D778" s="897" t="s">
        <v>532</v>
      </c>
      <c r="E778" s="687">
        <v>0.34375</v>
      </c>
      <c r="F778" s="687">
        <v>0.625</v>
      </c>
      <c r="G778" s="688">
        <v>6.75</v>
      </c>
      <c r="H778" s="676">
        <v>5.17</v>
      </c>
      <c r="I778" s="676">
        <v>19.39</v>
      </c>
      <c r="J778" s="676">
        <v>15.51</v>
      </c>
      <c r="K778" s="676">
        <v>0</v>
      </c>
      <c r="L778" s="1044">
        <v>34.9</v>
      </c>
      <c r="M778" s="145"/>
      <c r="N778" s="684">
        <v>46137</v>
      </c>
    </row>
    <row r="779" spans="1:14" ht="15.75" customHeight="1">
      <c r="A779" s="658">
        <v>46137</v>
      </c>
      <c r="B779" s="658" t="s">
        <v>503</v>
      </c>
      <c r="C779" s="674" t="s">
        <v>146</v>
      </c>
      <c r="D779" s="897" t="s">
        <v>529</v>
      </c>
      <c r="E779" s="687">
        <v>0.54166666666666663</v>
      </c>
      <c r="F779" s="687">
        <v>0.625</v>
      </c>
      <c r="G779" s="688">
        <v>2</v>
      </c>
      <c r="H779" s="676">
        <v>8</v>
      </c>
      <c r="I779" s="676">
        <v>0</v>
      </c>
      <c r="J779" s="676">
        <v>16</v>
      </c>
      <c r="K779" s="676">
        <v>0</v>
      </c>
      <c r="L779" s="1044">
        <v>16</v>
      </c>
      <c r="M779" s="145"/>
      <c r="N779" s="684">
        <v>46137</v>
      </c>
    </row>
    <row r="780" spans="1:14" ht="15.75" customHeight="1">
      <c r="A780" s="658">
        <v>46137</v>
      </c>
      <c r="B780" s="658" t="s">
        <v>503</v>
      </c>
      <c r="C780" s="674" t="s">
        <v>146</v>
      </c>
      <c r="D780" s="897" t="s">
        <v>522</v>
      </c>
      <c r="E780" s="687">
        <v>0.29166666666666669</v>
      </c>
      <c r="F780" s="687">
        <v>0.375</v>
      </c>
      <c r="G780" s="688">
        <v>2</v>
      </c>
      <c r="H780" s="676">
        <v>10</v>
      </c>
      <c r="I780" s="676">
        <v>20</v>
      </c>
      <c r="J780" s="676">
        <v>0</v>
      </c>
      <c r="K780" s="676">
        <v>0</v>
      </c>
      <c r="L780" s="1044">
        <v>20</v>
      </c>
      <c r="M780" s="145"/>
      <c r="N780" s="684">
        <v>46137</v>
      </c>
    </row>
    <row r="781" spans="1:14" ht="15.75" customHeight="1">
      <c r="A781" s="658">
        <v>46137</v>
      </c>
      <c r="B781" s="658" t="s">
        <v>503</v>
      </c>
      <c r="C781" s="674" t="s">
        <v>146</v>
      </c>
      <c r="D781" s="897" t="s">
        <v>522</v>
      </c>
      <c r="E781" s="687">
        <v>0.5</v>
      </c>
      <c r="F781" s="687">
        <v>0.66666666666666663</v>
      </c>
      <c r="G781" s="688">
        <v>4</v>
      </c>
      <c r="H781" s="676">
        <v>10</v>
      </c>
      <c r="I781" s="676">
        <v>0</v>
      </c>
      <c r="J781" s="676">
        <v>40</v>
      </c>
      <c r="K781" s="676">
        <v>0</v>
      </c>
      <c r="L781" s="1044">
        <v>40</v>
      </c>
      <c r="M781" s="145"/>
      <c r="N781" s="684">
        <v>46137</v>
      </c>
    </row>
    <row r="782" spans="1:14" ht="15.75" customHeight="1">
      <c r="A782" s="658">
        <v>46137</v>
      </c>
      <c r="B782" s="658" t="s">
        <v>503</v>
      </c>
      <c r="C782" s="674" t="s">
        <v>497</v>
      </c>
      <c r="D782" s="897" t="s">
        <v>522</v>
      </c>
      <c r="E782" s="687">
        <v>0.79166666666666663</v>
      </c>
      <c r="F782" s="687">
        <v>0.94791666666666663</v>
      </c>
      <c r="G782" s="688">
        <v>3.75</v>
      </c>
      <c r="H782" s="676">
        <v>10</v>
      </c>
      <c r="I782" s="676">
        <v>0</v>
      </c>
      <c r="J782" s="676">
        <v>0</v>
      </c>
      <c r="K782" s="676">
        <v>37.5</v>
      </c>
      <c r="L782" s="1044">
        <v>37.5</v>
      </c>
      <c r="M782" s="145"/>
      <c r="N782" s="684">
        <v>46137</v>
      </c>
    </row>
    <row r="783" spans="1:14" ht="15.75" customHeight="1">
      <c r="A783" s="658">
        <v>46137</v>
      </c>
      <c r="B783" s="658" t="s">
        <v>503</v>
      </c>
      <c r="C783" s="674" t="s">
        <v>497</v>
      </c>
      <c r="D783" s="897" t="s">
        <v>537</v>
      </c>
      <c r="E783" s="687">
        <v>0.89583333333333337</v>
      </c>
      <c r="F783" s="687">
        <v>0.98958333333333337</v>
      </c>
      <c r="G783" s="688">
        <v>2.25</v>
      </c>
      <c r="H783" s="676">
        <v>0</v>
      </c>
      <c r="I783" s="676">
        <v>0</v>
      </c>
      <c r="J783" s="676">
        <v>0</v>
      </c>
      <c r="K783" s="676">
        <v>0</v>
      </c>
      <c r="L783" s="1044">
        <v>0</v>
      </c>
      <c r="M783" s="145"/>
      <c r="N783" s="684">
        <v>46137</v>
      </c>
    </row>
    <row r="784" spans="1:14" ht="15.75" customHeight="1">
      <c r="A784" s="658">
        <v>46137</v>
      </c>
      <c r="B784" s="658" t="s">
        <v>503</v>
      </c>
      <c r="C784" s="674" t="s">
        <v>497</v>
      </c>
      <c r="D784" s="897" t="s">
        <v>532</v>
      </c>
      <c r="E784" s="687">
        <v>0.83333333333333337</v>
      </c>
      <c r="F784" s="687">
        <v>0.95833333333333337</v>
      </c>
      <c r="G784" s="688">
        <v>3</v>
      </c>
      <c r="H784" s="676">
        <v>5.17</v>
      </c>
      <c r="I784" s="676">
        <v>0</v>
      </c>
      <c r="J784" s="676">
        <v>0</v>
      </c>
      <c r="K784" s="676">
        <v>15.51</v>
      </c>
      <c r="L784" s="1044">
        <v>15.51</v>
      </c>
      <c r="M784" s="145"/>
      <c r="N784" s="684">
        <v>46137</v>
      </c>
    </row>
    <row r="785" spans="1:14" ht="15.75" customHeight="1">
      <c r="A785" s="658">
        <v>46137</v>
      </c>
      <c r="B785" s="658" t="s">
        <v>503</v>
      </c>
      <c r="C785" s="674" t="s">
        <v>497</v>
      </c>
      <c r="D785" s="897" t="s">
        <v>525</v>
      </c>
      <c r="E785" s="687">
        <v>0.79166666666666663</v>
      </c>
      <c r="F785" s="687">
        <v>0</v>
      </c>
      <c r="G785" s="688">
        <v>5</v>
      </c>
      <c r="H785" s="676">
        <v>7.25</v>
      </c>
      <c r="I785" s="676">
        <v>0</v>
      </c>
      <c r="J785" s="676">
        <v>0</v>
      </c>
      <c r="K785" s="676">
        <v>36.25</v>
      </c>
      <c r="L785" s="1044">
        <v>36.25</v>
      </c>
      <c r="M785" s="145"/>
      <c r="N785" s="684">
        <v>46137</v>
      </c>
    </row>
    <row r="786" spans="1:14" ht="15.75" customHeight="1">
      <c r="A786" s="658">
        <v>46137</v>
      </c>
      <c r="B786" s="658" t="s">
        <v>503</v>
      </c>
      <c r="C786" s="674" t="s">
        <v>497</v>
      </c>
      <c r="D786" s="897" t="s">
        <v>526</v>
      </c>
      <c r="E786" s="687">
        <v>0.79166666666666663</v>
      </c>
      <c r="F786" s="687">
        <v>0</v>
      </c>
      <c r="G786" s="688">
        <v>5</v>
      </c>
      <c r="H786" s="676">
        <v>16</v>
      </c>
      <c r="I786" s="676">
        <v>0</v>
      </c>
      <c r="J786" s="676">
        <v>0</v>
      </c>
      <c r="K786" s="676">
        <v>80</v>
      </c>
      <c r="L786" s="1044">
        <v>80</v>
      </c>
      <c r="M786" s="145"/>
      <c r="N786" s="684">
        <v>46137</v>
      </c>
    </row>
    <row r="787" spans="1:14" ht="15.75" customHeight="1">
      <c r="A787" s="658">
        <v>46137</v>
      </c>
      <c r="B787" s="658" t="s">
        <v>503</v>
      </c>
      <c r="C787" s="674" t="s">
        <v>497</v>
      </c>
      <c r="D787" s="897" t="s">
        <v>529</v>
      </c>
      <c r="E787" s="687">
        <v>0.85416666666666663</v>
      </c>
      <c r="F787" s="687">
        <v>0</v>
      </c>
      <c r="G787" s="688">
        <v>3.5</v>
      </c>
      <c r="H787" s="676">
        <v>8</v>
      </c>
      <c r="I787" s="676">
        <v>0</v>
      </c>
      <c r="J787" s="676">
        <v>0</v>
      </c>
      <c r="K787" s="676">
        <v>28</v>
      </c>
      <c r="L787" s="1044">
        <v>28</v>
      </c>
      <c r="M787" s="145"/>
      <c r="N787" s="684">
        <v>46137</v>
      </c>
    </row>
    <row r="788" spans="1:14" ht="15.75" customHeight="1">
      <c r="A788" s="658">
        <v>46138</v>
      </c>
      <c r="B788" s="145" t="str">
        <f t="shared" ref="B788:B816" si="155">IF(A788="","",PROPER(TEXT(A788,"ddd")))</f>
        <v>Dom</v>
      </c>
      <c r="C788" s="674" t="s">
        <v>146</v>
      </c>
      <c r="D788" s="145" t="s">
        <v>522</v>
      </c>
      <c r="E788" s="145">
        <v>0.29166666666666702</v>
      </c>
      <c r="F788" s="145">
        <v>0.625</v>
      </c>
      <c r="G788" s="688">
        <f t="shared" ref="G788:G816" si="156">IF(F788&lt;E788,F788+1-E788,F788-E788)*24</f>
        <v>7.9999999999999911</v>
      </c>
      <c r="H788" s="676">
        <f>IF(D788="","",IFERROR(VLOOKUP(D788,'Resumen Empleado'!$A$4:$B$17,2,FALSE),""))</f>
        <v>10</v>
      </c>
      <c r="I788" s="676">
        <f t="shared" ref="I788:I816" si="157">IF(OR(E788="",F788="",H788=""),0,MAX(0,(MIN(IF(F788&lt;E788,F788+1,F788),TIME(12,0,0))-MAX(E788,TIME(5,0,0))))*24*H788)</f>
        <v>49.999999999999915</v>
      </c>
      <c r="J788" s="676">
        <f t="shared" ref="J788:J816" si="158">IF(OR(E788="",F788="",H788=""),0,MAX(0,(MIN(IF(F788&lt;E788,F788+1,F788),TIME(19,0,0))-MAX(E788,TIME(12,0,0))))*24*H788)</f>
        <v>30</v>
      </c>
      <c r="K788" s="676">
        <f t="shared" ref="K788:K816" si="159">IF(OR(E788="",F788="",H788=""),0,MAX(0,(MIN(IF(F788&lt;E788,F788+1,F788),1+TIME(5,0,0))-MAX(E788,TIME(19,0,0))))*24*H788)</f>
        <v>0</v>
      </c>
      <c r="L788" s="1044">
        <f t="shared" ref="L788:L816" si="160">SUM(I788:K788)</f>
        <v>79.999999999999915</v>
      </c>
      <c r="M788" s="145" t="str">
        <f t="shared" ref="M788:M816" si="161">IF(A788="","",IF(G788&gt;12,"⚠ Verificar",""))</f>
        <v/>
      </c>
      <c r="N788" s="684">
        <f t="shared" ref="N788:N816" si="162">IF(A788="","",IF(ISNUMBER(A788),A788,DATE(VALUE(RIGHT(A788,4)),VALUE(MID(A788,4,2)),VALUE(LEFT(A788,2)))))</f>
        <v>46138</v>
      </c>
    </row>
    <row r="789" spans="1:14" ht="15.75" customHeight="1">
      <c r="A789" s="658">
        <v>46138</v>
      </c>
      <c r="B789" s="74" t="str">
        <f t="shared" si="155"/>
        <v>Dom</v>
      </c>
      <c r="C789" s="74" t="s">
        <v>146</v>
      </c>
      <c r="D789" s="74" t="s">
        <v>532</v>
      </c>
      <c r="E789" s="74">
        <v>0.34375</v>
      </c>
      <c r="F789" s="74">
        <v>0.625</v>
      </c>
      <c r="G789" s="74">
        <f t="shared" si="156"/>
        <v>6.75</v>
      </c>
      <c r="H789" s="74">
        <f>IF(D789="","",IFERROR(VLOOKUP(D789,'Resumen Empleado'!$A$4:$B$17,2,FALSE),""))</f>
        <v>5.17</v>
      </c>
      <c r="I789" s="133">
        <f t="shared" si="157"/>
        <v>19.387499999999999</v>
      </c>
      <c r="J789" s="134">
        <f t="shared" si="158"/>
        <v>15.51</v>
      </c>
      <c r="K789" s="135">
        <f t="shared" si="159"/>
        <v>0</v>
      </c>
      <c r="L789" s="133">
        <f t="shared" si="160"/>
        <v>34.897500000000001</v>
      </c>
      <c r="M789" s="75" t="str">
        <f t="shared" si="161"/>
        <v/>
      </c>
      <c r="N789" s="75">
        <f t="shared" si="162"/>
        <v>46138</v>
      </c>
    </row>
    <row r="790" spans="1:14" ht="15.75" customHeight="1">
      <c r="A790" s="658">
        <v>46138</v>
      </c>
      <c r="B790" s="74" t="str">
        <f t="shared" si="155"/>
        <v>Dom</v>
      </c>
      <c r="C790" s="74" t="s">
        <v>146</v>
      </c>
      <c r="D790" s="74" t="s">
        <v>525</v>
      </c>
      <c r="E790" s="74">
        <v>0.39583333333333298</v>
      </c>
      <c r="F790" s="74">
        <v>0.6875</v>
      </c>
      <c r="G790" s="74">
        <f t="shared" si="156"/>
        <v>7.0000000000000089</v>
      </c>
      <c r="H790" s="74">
        <f>IF(D790="","",IFERROR(VLOOKUP(D790,'Resumen Empleado'!$A$4:$B$17,2,FALSE),""))</f>
        <v>7.25</v>
      </c>
      <c r="I790" s="133">
        <f t="shared" si="157"/>
        <v>18.12500000000006</v>
      </c>
      <c r="J790" s="134">
        <f t="shared" si="158"/>
        <v>32.625</v>
      </c>
      <c r="K790" s="135">
        <f t="shared" si="159"/>
        <v>0</v>
      </c>
      <c r="L790" s="133">
        <f t="shared" si="160"/>
        <v>50.750000000000057</v>
      </c>
      <c r="M790" s="75" t="str">
        <f t="shared" si="161"/>
        <v/>
      </c>
      <c r="N790" s="75">
        <f t="shared" si="162"/>
        <v>46138</v>
      </c>
    </row>
    <row r="791" spans="1:14" ht="15.75" customHeight="1">
      <c r="A791" s="658">
        <v>46138</v>
      </c>
      <c r="B791" s="74" t="str">
        <f t="shared" si="155"/>
        <v>Dom</v>
      </c>
      <c r="C791" s="74" t="s">
        <v>146</v>
      </c>
      <c r="D791" s="74" t="s">
        <v>526</v>
      </c>
      <c r="E791" s="74">
        <v>0.5</v>
      </c>
      <c r="F791" s="74">
        <v>0.66666666666666696</v>
      </c>
      <c r="G791" s="74">
        <f t="shared" si="156"/>
        <v>4.0000000000000071</v>
      </c>
      <c r="H791" s="74">
        <f>IF(D791="","",IFERROR(VLOOKUP(D791,'Resumen Empleado'!$A$4:$B$17,2,FALSE),""))</f>
        <v>16</v>
      </c>
      <c r="I791" s="133">
        <f t="shared" si="157"/>
        <v>0</v>
      </c>
      <c r="J791" s="134">
        <f t="shared" si="158"/>
        <v>64.000000000000114</v>
      </c>
      <c r="K791" s="135">
        <f t="shared" si="159"/>
        <v>0</v>
      </c>
      <c r="L791" s="133">
        <f t="shared" si="160"/>
        <v>64.000000000000114</v>
      </c>
      <c r="M791" s="75" t="str">
        <f t="shared" si="161"/>
        <v/>
      </c>
      <c r="N791" s="75">
        <f t="shared" si="162"/>
        <v>46138</v>
      </c>
    </row>
    <row r="792" spans="1:14" ht="15.75" customHeight="1">
      <c r="A792" s="658">
        <v>46138</v>
      </c>
      <c r="B792" s="74" t="str">
        <f t="shared" si="155"/>
        <v>Dom</v>
      </c>
      <c r="C792" s="74" t="s">
        <v>146</v>
      </c>
      <c r="D792" s="74" t="s">
        <v>531</v>
      </c>
      <c r="E792" s="74">
        <v>0.52083333333333304</v>
      </c>
      <c r="F792" s="74">
        <v>0.66666666666666696</v>
      </c>
      <c r="G792" s="74">
        <f t="shared" si="156"/>
        <v>3.5000000000000142</v>
      </c>
      <c r="H792" s="74">
        <f>IF(D792="","",IFERROR(VLOOKUP(D792,'Resumen Empleado'!$A$4:$B$17,2,FALSE),""))</f>
        <v>8</v>
      </c>
      <c r="I792" s="133">
        <f t="shared" si="157"/>
        <v>0</v>
      </c>
      <c r="J792" s="134">
        <f t="shared" si="158"/>
        <v>28.000000000000114</v>
      </c>
      <c r="K792" s="135">
        <f t="shared" si="159"/>
        <v>0</v>
      </c>
      <c r="L792" s="133">
        <f t="shared" si="160"/>
        <v>28.000000000000114</v>
      </c>
      <c r="M792" s="75" t="str">
        <f t="shared" si="161"/>
        <v/>
      </c>
      <c r="N792" s="75">
        <f t="shared" si="162"/>
        <v>46138</v>
      </c>
    </row>
    <row r="793" spans="1:14" ht="15.75" customHeight="1">
      <c r="A793" s="658">
        <v>46138</v>
      </c>
      <c r="B793" s="74" t="str">
        <f t="shared" si="155"/>
        <v>Dom</v>
      </c>
      <c r="C793" s="74" t="s">
        <v>146</v>
      </c>
      <c r="D793" s="74" t="s">
        <v>529</v>
      </c>
      <c r="E793" s="74">
        <v>0.5</v>
      </c>
      <c r="F793" s="74">
        <v>0.625</v>
      </c>
      <c r="G793" s="74">
        <f t="shared" si="156"/>
        <v>3</v>
      </c>
      <c r="H793" s="74">
        <f>IF(D793="","",IFERROR(VLOOKUP(D793,'Resumen Empleado'!$A$4:$B$17,2,FALSE),""))</f>
        <v>8</v>
      </c>
      <c r="I793" s="133">
        <f t="shared" si="157"/>
        <v>0</v>
      </c>
      <c r="J793" s="134">
        <f t="shared" si="158"/>
        <v>24</v>
      </c>
      <c r="K793" s="135">
        <f t="shared" si="159"/>
        <v>0</v>
      </c>
      <c r="L793" s="133">
        <f t="shared" si="160"/>
        <v>24</v>
      </c>
      <c r="M793" s="75" t="str">
        <f t="shared" si="161"/>
        <v/>
      </c>
      <c r="N793" s="75">
        <f t="shared" si="162"/>
        <v>46138</v>
      </c>
    </row>
    <row r="794" spans="1:14" ht="15.75" customHeight="1">
      <c r="A794" s="658">
        <v>46138</v>
      </c>
      <c r="B794" s="74" t="str">
        <f t="shared" si="155"/>
        <v>Dom</v>
      </c>
      <c r="C794" s="74" t="s">
        <v>146</v>
      </c>
      <c r="D794" s="74" t="s">
        <v>535</v>
      </c>
      <c r="E794" s="74">
        <v>0.58333333333333304</v>
      </c>
      <c r="F794" s="74">
        <v>0.67708333333333304</v>
      </c>
      <c r="G794" s="74">
        <f t="shared" si="156"/>
        <v>2.25</v>
      </c>
      <c r="H794" s="74">
        <f>IF(D794="","",IFERROR(VLOOKUP(D794,'Resumen Empleado'!$A$4:$B$17,2,FALSE),""))</f>
        <v>6</v>
      </c>
      <c r="I794" s="133">
        <f t="shared" si="157"/>
        <v>0</v>
      </c>
      <c r="J794" s="134">
        <f t="shared" si="158"/>
        <v>13.5</v>
      </c>
      <c r="K794" s="135">
        <f t="shared" si="159"/>
        <v>0</v>
      </c>
      <c r="L794" s="133">
        <f t="shared" si="160"/>
        <v>13.5</v>
      </c>
      <c r="M794" s="75" t="str">
        <f t="shared" si="161"/>
        <v/>
      </c>
      <c r="N794" s="75">
        <f t="shared" si="162"/>
        <v>46138</v>
      </c>
    </row>
    <row r="795" spans="1:14" ht="15.75" customHeight="1">
      <c r="A795" s="658">
        <v>46139</v>
      </c>
      <c r="B795" s="145" t="str">
        <f t="shared" si="155"/>
        <v>Lun</v>
      </c>
      <c r="C795" s="674" t="s">
        <v>497</v>
      </c>
      <c r="D795" s="145" t="s">
        <v>536</v>
      </c>
      <c r="E795" s="145">
        <v>0.8125</v>
      </c>
      <c r="F795" s="145">
        <v>0.89583333333333304</v>
      </c>
      <c r="G795" s="688">
        <f t="shared" si="156"/>
        <v>1.9999999999999929</v>
      </c>
      <c r="H795" s="676">
        <f>IF(D795="","",IFERROR(VLOOKUP(D795,'Resumen Empleado'!$A$4:$B$17,2,FALSE),""))</f>
        <v>17.13</v>
      </c>
      <c r="I795" s="676">
        <f t="shared" si="157"/>
        <v>0</v>
      </c>
      <c r="J795" s="676">
        <f t="shared" si="158"/>
        <v>0</v>
      </c>
      <c r="K795" s="676">
        <f t="shared" si="159"/>
        <v>34.259999999999877</v>
      </c>
      <c r="L795" s="1044">
        <f t="shared" si="160"/>
        <v>34.259999999999877</v>
      </c>
      <c r="M795" s="145" t="str">
        <f t="shared" si="161"/>
        <v/>
      </c>
      <c r="N795" s="684">
        <f t="shared" si="162"/>
        <v>46139</v>
      </c>
    </row>
    <row r="796" spans="1:14" ht="15.75" customHeight="1">
      <c r="A796" s="658">
        <v>46140</v>
      </c>
      <c r="B796" s="145" t="str">
        <f t="shared" si="155"/>
        <v>Mar</v>
      </c>
      <c r="C796" s="674" t="s">
        <v>497</v>
      </c>
      <c r="D796" s="145" t="s">
        <v>536</v>
      </c>
      <c r="E796" s="145">
        <v>0.8125</v>
      </c>
      <c r="F796" s="145">
        <v>0.89583333333333304</v>
      </c>
      <c r="G796" s="688">
        <f t="shared" si="156"/>
        <v>1.9999999999999929</v>
      </c>
      <c r="H796" s="676">
        <f>IF(D796="","",IFERROR(VLOOKUP(D796,'Resumen Empleado'!$A$4:$B$17,2,FALSE),""))</f>
        <v>17.13</v>
      </c>
      <c r="I796" s="676">
        <f t="shared" si="157"/>
        <v>0</v>
      </c>
      <c r="J796" s="676">
        <f t="shared" si="158"/>
        <v>0</v>
      </c>
      <c r="K796" s="676">
        <f t="shared" si="159"/>
        <v>34.259999999999877</v>
      </c>
      <c r="L796" s="1044">
        <f t="shared" si="160"/>
        <v>34.259999999999877</v>
      </c>
      <c r="M796" s="145" t="str">
        <f t="shared" si="161"/>
        <v/>
      </c>
      <c r="N796" s="684">
        <f t="shared" si="162"/>
        <v>46140</v>
      </c>
    </row>
    <row r="797" spans="1:14" ht="15.75" customHeight="1">
      <c r="A797" s="658">
        <v>46141</v>
      </c>
      <c r="B797" s="145" t="str">
        <f t="shared" si="155"/>
        <v>Mié</v>
      </c>
      <c r="C797" s="674" t="s">
        <v>146</v>
      </c>
      <c r="D797" s="145" t="s">
        <v>522</v>
      </c>
      <c r="E797" s="145">
        <v>0.29166666666666702</v>
      </c>
      <c r="F797" s="145">
        <v>0.41666666666666702</v>
      </c>
      <c r="G797" s="688">
        <f t="shared" si="156"/>
        <v>3</v>
      </c>
      <c r="H797" s="676">
        <f>IF(D797="","",IFERROR(VLOOKUP(D797,'Resumen Empleado'!$A$4:$B$17,2,FALSE),""))</f>
        <v>10</v>
      </c>
      <c r="I797" s="676">
        <f t="shared" si="157"/>
        <v>30</v>
      </c>
      <c r="J797" s="676">
        <f t="shared" si="158"/>
        <v>0</v>
      </c>
      <c r="K797" s="676">
        <f t="shared" si="159"/>
        <v>0</v>
      </c>
      <c r="L797" s="1044">
        <f t="shared" si="160"/>
        <v>30</v>
      </c>
      <c r="M797" s="145" t="str">
        <f t="shared" si="161"/>
        <v/>
      </c>
      <c r="N797" s="684">
        <f t="shared" si="162"/>
        <v>46141</v>
      </c>
    </row>
    <row r="798" spans="1:14" ht="15.75" customHeight="1">
      <c r="A798" s="658">
        <v>46141</v>
      </c>
      <c r="B798" s="145" t="str">
        <f t="shared" si="155"/>
        <v>Mié</v>
      </c>
      <c r="C798" s="674" t="s">
        <v>146</v>
      </c>
      <c r="D798" s="145" t="s">
        <v>522</v>
      </c>
      <c r="E798" s="145">
        <v>0.5</v>
      </c>
      <c r="F798" s="145">
        <v>0.64583333333333304</v>
      </c>
      <c r="G798" s="688">
        <f t="shared" si="156"/>
        <v>3.4999999999999929</v>
      </c>
      <c r="H798" s="676">
        <f>IF(D798="","",IFERROR(VLOOKUP(D798,'Resumen Empleado'!$A$4:$B$17,2,FALSE),""))</f>
        <v>10</v>
      </c>
      <c r="I798" s="676">
        <f t="shared" si="157"/>
        <v>0</v>
      </c>
      <c r="J798" s="676">
        <f t="shared" si="158"/>
        <v>34.999999999999929</v>
      </c>
      <c r="K798" s="676">
        <f t="shared" si="159"/>
        <v>0</v>
      </c>
      <c r="L798" s="1044">
        <f t="shared" si="160"/>
        <v>34.999999999999929</v>
      </c>
      <c r="M798" s="145" t="str">
        <f t="shared" si="161"/>
        <v/>
      </c>
      <c r="N798" s="684">
        <f t="shared" si="162"/>
        <v>46141</v>
      </c>
    </row>
    <row r="799" spans="1:14" ht="15.75" customHeight="1">
      <c r="A799" s="658">
        <v>46141</v>
      </c>
      <c r="B799" s="145" t="str">
        <f t="shared" si="155"/>
        <v>Mié</v>
      </c>
      <c r="C799" s="674" t="s">
        <v>146</v>
      </c>
      <c r="D799" s="145" t="s">
        <v>525</v>
      </c>
      <c r="E799" s="145">
        <v>0.54166666666666696</v>
      </c>
      <c r="F799" s="145">
        <v>0.66666666666666696</v>
      </c>
      <c r="G799" s="688">
        <f t="shared" si="156"/>
        <v>3</v>
      </c>
      <c r="H799" s="676">
        <f>IF(D799="","",IFERROR(VLOOKUP(D799,'Resumen Empleado'!$A$4:$B$17,2,FALSE),""))</f>
        <v>7.25</v>
      </c>
      <c r="I799" s="676">
        <f t="shared" si="157"/>
        <v>0</v>
      </c>
      <c r="J799" s="676">
        <f t="shared" si="158"/>
        <v>21.75</v>
      </c>
      <c r="K799" s="676">
        <f t="shared" si="159"/>
        <v>0</v>
      </c>
      <c r="L799" s="1044">
        <f t="shared" si="160"/>
        <v>21.75</v>
      </c>
      <c r="M799" s="145" t="str">
        <f t="shared" si="161"/>
        <v/>
      </c>
      <c r="N799" s="684">
        <f t="shared" si="162"/>
        <v>46141</v>
      </c>
    </row>
    <row r="800" spans="1:14" ht="15.75" customHeight="1">
      <c r="A800" s="658">
        <v>46141</v>
      </c>
      <c r="B800" s="145" t="str">
        <f t="shared" si="155"/>
        <v>Mié</v>
      </c>
      <c r="C800" s="674" t="s">
        <v>146</v>
      </c>
      <c r="D800" s="145" t="s">
        <v>532</v>
      </c>
      <c r="E800" s="145">
        <v>0.5</v>
      </c>
      <c r="F800" s="145">
        <v>0.64583333333333304</v>
      </c>
      <c r="G800" s="688">
        <f t="shared" si="156"/>
        <v>3.4999999999999929</v>
      </c>
      <c r="H800" s="676">
        <f>IF(D800="","",IFERROR(VLOOKUP(D800,'Resumen Empleado'!$A$4:$B$17,2,FALSE),""))</f>
        <v>5.17</v>
      </c>
      <c r="I800" s="676">
        <f t="shared" si="157"/>
        <v>0</v>
      </c>
      <c r="J800" s="676">
        <f t="shared" si="158"/>
        <v>18.094999999999963</v>
      </c>
      <c r="K800" s="676">
        <f t="shared" si="159"/>
        <v>0</v>
      </c>
      <c r="L800" s="1044">
        <f t="shared" si="160"/>
        <v>18.094999999999963</v>
      </c>
      <c r="M800" s="145" t="str">
        <f t="shared" si="161"/>
        <v/>
      </c>
      <c r="N800" s="684">
        <f t="shared" si="162"/>
        <v>46141</v>
      </c>
    </row>
    <row r="801" spans="1:14" ht="15.75" customHeight="1">
      <c r="A801" s="658">
        <v>46141</v>
      </c>
      <c r="B801" s="145" t="str">
        <f t="shared" si="155"/>
        <v>Mié</v>
      </c>
      <c r="C801" s="674" t="s">
        <v>146</v>
      </c>
      <c r="D801" s="145" t="s">
        <v>526</v>
      </c>
      <c r="E801" s="145">
        <v>0.41666666666666702</v>
      </c>
      <c r="F801" s="145">
        <v>0.66666666666666696</v>
      </c>
      <c r="G801" s="688">
        <f t="shared" si="156"/>
        <v>5.9999999999999982</v>
      </c>
      <c r="H801" s="676">
        <f>IF(D801="","",IFERROR(VLOOKUP(D801,'Resumen Empleado'!$A$4:$B$17,2,FALSE),""))</f>
        <v>16</v>
      </c>
      <c r="I801" s="676">
        <f t="shared" si="157"/>
        <v>31.999999999999865</v>
      </c>
      <c r="J801" s="676">
        <f t="shared" si="158"/>
        <v>64.000000000000114</v>
      </c>
      <c r="K801" s="676">
        <f t="shared" si="159"/>
        <v>0</v>
      </c>
      <c r="L801" s="1044">
        <f t="shared" si="160"/>
        <v>95.999999999999972</v>
      </c>
      <c r="M801" s="145" t="str">
        <f t="shared" si="161"/>
        <v/>
      </c>
      <c r="N801" s="684">
        <f t="shared" si="162"/>
        <v>46141</v>
      </c>
    </row>
    <row r="802" spans="1:14" ht="15.75" customHeight="1">
      <c r="A802" s="658">
        <v>46141</v>
      </c>
      <c r="B802" s="145" t="str">
        <f t="shared" si="155"/>
        <v>Mié</v>
      </c>
      <c r="C802" s="674" t="s">
        <v>497</v>
      </c>
      <c r="D802" s="145" t="s">
        <v>525</v>
      </c>
      <c r="E802" s="145">
        <v>0.79166666666666696</v>
      </c>
      <c r="F802" s="145">
        <v>0.95833333333333304</v>
      </c>
      <c r="G802" s="688">
        <f t="shared" si="156"/>
        <v>3.9999999999999858</v>
      </c>
      <c r="H802" s="676">
        <f>IF(D802="","",IFERROR(VLOOKUP(D802,'Resumen Empleado'!$A$4:$B$17,2,FALSE),""))</f>
        <v>7.25</v>
      </c>
      <c r="I802" s="676">
        <f t="shared" si="157"/>
        <v>0</v>
      </c>
      <c r="J802" s="676">
        <f t="shared" si="158"/>
        <v>0</v>
      </c>
      <c r="K802" s="676">
        <f t="shared" si="159"/>
        <v>28.999999999999897</v>
      </c>
      <c r="L802" s="1044">
        <f t="shared" si="160"/>
        <v>28.999999999999897</v>
      </c>
      <c r="M802" s="145" t="str">
        <f t="shared" si="161"/>
        <v/>
      </c>
      <c r="N802" s="684">
        <f t="shared" si="162"/>
        <v>46141</v>
      </c>
    </row>
    <row r="803" spans="1:14" ht="15.75" customHeight="1">
      <c r="A803" s="658">
        <v>46141</v>
      </c>
      <c r="B803" s="145" t="str">
        <f t="shared" si="155"/>
        <v>Mié</v>
      </c>
      <c r="C803" s="674" t="s">
        <v>497</v>
      </c>
      <c r="D803" s="145" t="s">
        <v>526</v>
      </c>
      <c r="E803" s="145">
        <v>0.83333333333333304</v>
      </c>
      <c r="F803" s="145">
        <v>0.95833333333333304</v>
      </c>
      <c r="G803" s="688">
        <f t="shared" si="156"/>
        <v>3</v>
      </c>
      <c r="H803" s="676">
        <f>IF(D803="","",IFERROR(VLOOKUP(D803,'Resumen Empleado'!$A$4:$B$17,2,FALSE),""))</f>
        <v>16</v>
      </c>
      <c r="I803" s="676">
        <f t="shared" si="157"/>
        <v>0</v>
      </c>
      <c r="J803" s="676">
        <f t="shared" si="158"/>
        <v>0</v>
      </c>
      <c r="K803" s="676">
        <f t="shared" si="159"/>
        <v>48</v>
      </c>
      <c r="L803" s="1044">
        <f t="shared" si="160"/>
        <v>48</v>
      </c>
      <c r="M803" s="145" t="str">
        <f t="shared" si="161"/>
        <v/>
      </c>
      <c r="N803" s="684">
        <f t="shared" si="162"/>
        <v>46141</v>
      </c>
    </row>
    <row r="804" spans="1:14" ht="15.75" customHeight="1">
      <c r="A804" s="658">
        <v>46141</v>
      </c>
      <c r="B804" s="145" t="str">
        <f t="shared" si="155"/>
        <v>Mié</v>
      </c>
      <c r="C804" s="674" t="s">
        <v>497</v>
      </c>
      <c r="D804" s="145" t="s">
        <v>532</v>
      </c>
      <c r="E804" s="145">
        <v>0.79166666666666696</v>
      </c>
      <c r="F804" s="145">
        <v>0.95833333333333304</v>
      </c>
      <c r="G804" s="688">
        <f t="shared" si="156"/>
        <v>3.9999999999999858</v>
      </c>
      <c r="H804" s="676">
        <f>IF(D804="","",IFERROR(VLOOKUP(D804,'Resumen Empleado'!$A$4:$B$17,2,FALSE),""))</f>
        <v>5.17</v>
      </c>
      <c r="I804" s="676">
        <f t="shared" si="157"/>
        <v>0</v>
      </c>
      <c r="J804" s="676">
        <f t="shared" si="158"/>
        <v>0</v>
      </c>
      <c r="K804" s="676">
        <f t="shared" si="159"/>
        <v>20.679999999999925</v>
      </c>
      <c r="L804" s="1044">
        <f t="shared" si="160"/>
        <v>20.679999999999925</v>
      </c>
      <c r="M804" s="145" t="str">
        <f t="shared" si="161"/>
        <v/>
      </c>
      <c r="N804" s="684">
        <f t="shared" si="162"/>
        <v>46141</v>
      </c>
    </row>
    <row r="805" spans="1:14" ht="15.75" customHeight="1">
      <c r="A805" s="658">
        <v>46141</v>
      </c>
      <c r="B805" s="145" t="str">
        <f t="shared" si="155"/>
        <v>Mié</v>
      </c>
      <c r="C805" s="674" t="s">
        <v>497</v>
      </c>
      <c r="D805" s="145" t="s">
        <v>536</v>
      </c>
      <c r="E805" s="145">
        <v>0.8125</v>
      </c>
      <c r="F805" s="145">
        <v>0.89583333333333304</v>
      </c>
      <c r="G805" s="688">
        <f t="shared" si="156"/>
        <v>1.9999999999999929</v>
      </c>
      <c r="H805" s="676">
        <f>IF(D805="","",IFERROR(VLOOKUP(D805,'Resumen Empleado'!$A$4:$B$17,2,FALSE),""))</f>
        <v>17.13</v>
      </c>
      <c r="I805" s="676">
        <f t="shared" si="157"/>
        <v>0</v>
      </c>
      <c r="J805" s="676">
        <f t="shared" si="158"/>
        <v>0</v>
      </c>
      <c r="K805" s="676">
        <f t="shared" si="159"/>
        <v>34.259999999999877</v>
      </c>
      <c r="L805" s="1044">
        <f t="shared" si="160"/>
        <v>34.259999999999877</v>
      </c>
      <c r="M805" s="145" t="str">
        <f t="shared" si="161"/>
        <v/>
      </c>
      <c r="N805" s="684">
        <f t="shared" si="162"/>
        <v>46141</v>
      </c>
    </row>
    <row r="806" spans="1:14" ht="15.75" customHeight="1">
      <c r="A806" s="658">
        <v>46142</v>
      </c>
      <c r="B806" s="145" t="str">
        <f t="shared" si="155"/>
        <v>Jue</v>
      </c>
      <c r="C806" s="674" t="s">
        <v>146</v>
      </c>
      <c r="D806" s="145" t="s">
        <v>522</v>
      </c>
      <c r="E806" s="145">
        <v>0.45833333333333298</v>
      </c>
      <c r="F806" s="145">
        <v>0.66666666666666696</v>
      </c>
      <c r="G806" s="688">
        <f t="shared" si="156"/>
        <v>5.000000000000016</v>
      </c>
      <c r="H806" s="676">
        <f>IF(D806="","",IFERROR(VLOOKUP(D806,'Resumen Empleado'!$A$4:$B$17,2,FALSE),""))</f>
        <v>10</v>
      </c>
      <c r="I806" s="676">
        <f t="shared" si="157"/>
        <v>10.000000000000085</v>
      </c>
      <c r="J806" s="676">
        <f t="shared" si="158"/>
        <v>40.000000000000071</v>
      </c>
      <c r="K806" s="676">
        <f t="shared" si="159"/>
        <v>0</v>
      </c>
      <c r="L806" s="1044">
        <f t="shared" si="160"/>
        <v>50.000000000000156</v>
      </c>
      <c r="M806" s="145" t="str">
        <f t="shared" si="161"/>
        <v/>
      </c>
      <c r="N806" s="684">
        <f t="shared" si="162"/>
        <v>46142</v>
      </c>
    </row>
    <row r="807" spans="1:14" ht="15.75" customHeight="1">
      <c r="A807" s="658">
        <v>46142</v>
      </c>
      <c r="B807" s="145" t="str">
        <f t="shared" si="155"/>
        <v>Jue</v>
      </c>
      <c r="C807" s="674" t="s">
        <v>146</v>
      </c>
      <c r="D807" s="145" t="s">
        <v>532</v>
      </c>
      <c r="E807" s="145">
        <v>0.5</v>
      </c>
      <c r="F807" s="145">
        <v>0.64583333333333304</v>
      </c>
      <c r="G807" s="688">
        <f t="shared" si="156"/>
        <v>3.4999999999999929</v>
      </c>
      <c r="H807" s="676">
        <f>IF(D807="","",IFERROR(VLOOKUP(D807,'Resumen Empleado'!$A$4:$B$17,2,FALSE),""))</f>
        <v>5.17</v>
      </c>
      <c r="I807" s="676">
        <f t="shared" si="157"/>
        <v>0</v>
      </c>
      <c r="J807" s="676">
        <f t="shared" si="158"/>
        <v>18.094999999999963</v>
      </c>
      <c r="K807" s="676">
        <f t="shared" si="159"/>
        <v>0</v>
      </c>
      <c r="L807" s="1044">
        <f t="shared" si="160"/>
        <v>18.094999999999963</v>
      </c>
      <c r="M807" s="145" t="str">
        <f t="shared" si="161"/>
        <v/>
      </c>
      <c r="N807" s="684">
        <f t="shared" si="162"/>
        <v>46142</v>
      </c>
    </row>
    <row r="808" spans="1:14" ht="15.75" customHeight="1">
      <c r="A808" s="658">
        <v>46142</v>
      </c>
      <c r="B808" s="145" t="str">
        <f t="shared" si="155"/>
        <v>Jue</v>
      </c>
      <c r="C808" s="674" t="s">
        <v>146</v>
      </c>
      <c r="D808" s="145" t="s">
        <v>525</v>
      </c>
      <c r="E808" s="145">
        <v>0.54166666666666696</v>
      </c>
      <c r="F808" s="145">
        <v>0.66666666666666696</v>
      </c>
      <c r="G808" s="688">
        <f t="shared" si="156"/>
        <v>3</v>
      </c>
      <c r="H808" s="676">
        <f>IF(D808="","",IFERROR(VLOOKUP(D808,'Resumen Empleado'!$A$4:$B$17,2,FALSE),""))</f>
        <v>7.25</v>
      </c>
      <c r="I808" s="676">
        <f t="shared" si="157"/>
        <v>0</v>
      </c>
      <c r="J808" s="676">
        <f t="shared" si="158"/>
        <v>21.75</v>
      </c>
      <c r="K808" s="676">
        <f t="shared" si="159"/>
        <v>0</v>
      </c>
      <c r="L808" s="1044">
        <f t="shared" si="160"/>
        <v>21.75</v>
      </c>
      <c r="M808" s="145" t="str">
        <f t="shared" si="161"/>
        <v/>
      </c>
      <c r="N808" s="684">
        <f t="shared" si="162"/>
        <v>46142</v>
      </c>
    </row>
    <row r="809" spans="1:14" ht="15.75" customHeight="1">
      <c r="A809" s="658">
        <v>46142</v>
      </c>
      <c r="B809" s="145" t="str">
        <f t="shared" si="155"/>
        <v>Jue</v>
      </c>
      <c r="C809" s="674" t="s">
        <v>146</v>
      </c>
      <c r="D809" s="145" t="s">
        <v>526</v>
      </c>
      <c r="E809" s="145">
        <v>0.41666666666666702</v>
      </c>
      <c r="F809" s="145">
        <v>0.66666666666666696</v>
      </c>
      <c r="G809" s="688">
        <f t="shared" si="156"/>
        <v>5.9999999999999982</v>
      </c>
      <c r="H809" s="676">
        <f>IF(D809="","",IFERROR(VLOOKUP(D809,'Resumen Empleado'!$A$4:$B$17,2,FALSE),""))</f>
        <v>16</v>
      </c>
      <c r="I809" s="676">
        <f t="shared" si="157"/>
        <v>31.999999999999865</v>
      </c>
      <c r="J809" s="676">
        <f t="shared" si="158"/>
        <v>64.000000000000114</v>
      </c>
      <c r="K809" s="676">
        <f t="shared" si="159"/>
        <v>0</v>
      </c>
      <c r="L809" s="1044">
        <f t="shared" si="160"/>
        <v>95.999999999999972</v>
      </c>
      <c r="M809" s="145" t="str">
        <f t="shared" si="161"/>
        <v/>
      </c>
      <c r="N809" s="684">
        <f t="shared" si="162"/>
        <v>46142</v>
      </c>
    </row>
    <row r="810" spans="1:14" ht="15.75" customHeight="1">
      <c r="A810" s="658">
        <v>46142</v>
      </c>
      <c r="B810" s="145" t="str">
        <f t="shared" si="155"/>
        <v>Jue</v>
      </c>
      <c r="C810" s="674" t="s">
        <v>497</v>
      </c>
      <c r="D810" s="145" t="s">
        <v>522</v>
      </c>
      <c r="E810" s="145">
        <v>0.79166666666666696</v>
      </c>
      <c r="F810" s="145">
        <v>0</v>
      </c>
      <c r="G810" s="688">
        <f t="shared" si="156"/>
        <v>4.9999999999999929</v>
      </c>
      <c r="H810" s="676">
        <f>IF(D810="","",IFERROR(VLOOKUP(D810,'Resumen Empleado'!$A$4:$B$17,2,FALSE),""))</f>
        <v>10</v>
      </c>
      <c r="I810" s="676">
        <f t="shared" si="157"/>
        <v>0</v>
      </c>
      <c r="J810" s="676">
        <f t="shared" si="158"/>
        <v>0</v>
      </c>
      <c r="K810" s="676">
        <f t="shared" si="159"/>
        <v>49.999999999999929</v>
      </c>
      <c r="L810" s="1044">
        <f t="shared" si="160"/>
        <v>49.999999999999929</v>
      </c>
      <c r="M810" s="145" t="str">
        <f t="shared" si="161"/>
        <v/>
      </c>
      <c r="N810" s="684">
        <f t="shared" si="162"/>
        <v>46142</v>
      </c>
    </row>
    <row r="811" spans="1:14" ht="15.75" customHeight="1">
      <c r="A811" s="658">
        <v>46142</v>
      </c>
      <c r="B811" s="145" t="str">
        <f t="shared" si="155"/>
        <v>Jue</v>
      </c>
      <c r="C811" s="674" t="s">
        <v>497</v>
      </c>
      <c r="D811" s="145" t="s">
        <v>526</v>
      </c>
      <c r="E811" s="145">
        <v>0.83333333333333304</v>
      </c>
      <c r="F811" s="145">
        <v>0</v>
      </c>
      <c r="G811" s="688">
        <f t="shared" si="156"/>
        <v>4.0000000000000071</v>
      </c>
      <c r="H811" s="676">
        <f>IF(D811="","",IFERROR(VLOOKUP(D811,'Resumen Empleado'!$A$4:$B$17,2,FALSE),""))</f>
        <v>16</v>
      </c>
      <c r="I811" s="676">
        <f t="shared" si="157"/>
        <v>0</v>
      </c>
      <c r="J811" s="676">
        <f t="shared" si="158"/>
        <v>0</v>
      </c>
      <c r="K811" s="676">
        <f t="shared" si="159"/>
        <v>64.000000000000114</v>
      </c>
      <c r="L811" s="1044">
        <f t="shared" si="160"/>
        <v>64.000000000000114</v>
      </c>
      <c r="M811" s="145" t="str">
        <f t="shared" si="161"/>
        <v/>
      </c>
      <c r="N811" s="684">
        <f t="shared" si="162"/>
        <v>46142</v>
      </c>
    </row>
    <row r="812" spans="1:14" ht="15.75" customHeight="1">
      <c r="A812" s="658">
        <v>46142</v>
      </c>
      <c r="B812" s="145" t="str">
        <f t="shared" si="155"/>
        <v>Jue</v>
      </c>
      <c r="C812" s="674" t="s">
        <v>497</v>
      </c>
      <c r="D812" s="145" t="s">
        <v>525</v>
      </c>
      <c r="E812" s="145">
        <v>0.79166666666666696</v>
      </c>
      <c r="F812" s="145">
        <v>0</v>
      </c>
      <c r="G812" s="688">
        <f t="shared" si="156"/>
        <v>4.9999999999999929</v>
      </c>
      <c r="H812" s="676">
        <f>IF(D812="","",IFERROR(VLOOKUP(D812,'Resumen Empleado'!$A$4:$B$17,2,FALSE),""))</f>
        <v>7.25</v>
      </c>
      <c r="I812" s="676">
        <f t="shared" si="157"/>
        <v>0</v>
      </c>
      <c r="J812" s="676">
        <f t="shared" si="158"/>
        <v>0</v>
      </c>
      <c r="K812" s="676">
        <f t="shared" si="159"/>
        <v>36.24999999999995</v>
      </c>
      <c r="L812" s="1044">
        <f t="shared" si="160"/>
        <v>36.24999999999995</v>
      </c>
      <c r="M812" s="145" t="str">
        <f t="shared" si="161"/>
        <v/>
      </c>
      <c r="N812" s="684">
        <f t="shared" si="162"/>
        <v>46142</v>
      </c>
    </row>
    <row r="813" spans="1:14" ht="15.75" customHeight="1">
      <c r="A813" s="658">
        <v>46142</v>
      </c>
      <c r="B813" s="145" t="str">
        <f t="shared" si="155"/>
        <v>Jue</v>
      </c>
      <c r="C813" s="674" t="s">
        <v>497</v>
      </c>
      <c r="D813" s="145" t="s">
        <v>529</v>
      </c>
      <c r="E813" s="145">
        <v>0.8125</v>
      </c>
      <c r="F813" s="145">
        <v>0</v>
      </c>
      <c r="G813" s="688">
        <f t="shared" si="156"/>
        <v>4.5</v>
      </c>
      <c r="H813" s="676">
        <f>IF(D813="","",IFERROR(VLOOKUP(D813,'Resumen Empleado'!$A$4:$B$17,2,FALSE),""))</f>
        <v>8</v>
      </c>
      <c r="I813" s="676">
        <f t="shared" si="157"/>
        <v>0</v>
      </c>
      <c r="J813" s="676">
        <f t="shared" si="158"/>
        <v>0</v>
      </c>
      <c r="K813" s="676">
        <f t="shared" si="159"/>
        <v>36</v>
      </c>
      <c r="L813" s="1044">
        <f t="shared" si="160"/>
        <v>36</v>
      </c>
      <c r="M813" s="145" t="str">
        <f t="shared" si="161"/>
        <v/>
      </c>
      <c r="N813" s="684">
        <f t="shared" si="162"/>
        <v>46142</v>
      </c>
    </row>
    <row r="814" spans="1:14" ht="15.75" customHeight="1">
      <c r="A814" s="658">
        <v>46142</v>
      </c>
      <c r="B814" s="145" t="str">
        <f t="shared" si="155"/>
        <v>Jue</v>
      </c>
      <c r="C814" s="674" t="s">
        <v>497</v>
      </c>
      <c r="D814" s="145" t="s">
        <v>531</v>
      </c>
      <c r="E814" s="145">
        <v>0.91666666666666696</v>
      </c>
      <c r="F814" s="145">
        <v>0</v>
      </c>
      <c r="G814" s="688">
        <f t="shared" si="156"/>
        <v>1.9999999999999929</v>
      </c>
      <c r="H814" s="676">
        <f>IF(D814="","",IFERROR(VLOOKUP(D814,'Resumen Empleado'!$A$4:$B$17,2,FALSE),""))</f>
        <v>8</v>
      </c>
      <c r="I814" s="676">
        <f t="shared" si="157"/>
        <v>0</v>
      </c>
      <c r="J814" s="676">
        <f t="shared" si="158"/>
        <v>0</v>
      </c>
      <c r="K814" s="676">
        <f t="shared" si="159"/>
        <v>15.999999999999943</v>
      </c>
      <c r="L814" s="1044">
        <f t="shared" si="160"/>
        <v>15.999999999999943</v>
      </c>
      <c r="M814" s="145" t="str">
        <f t="shared" si="161"/>
        <v/>
      </c>
      <c r="N814" s="684">
        <f t="shared" si="162"/>
        <v>46142</v>
      </c>
    </row>
    <row r="815" spans="1:14" ht="15.75" customHeight="1">
      <c r="A815" s="658">
        <v>46142</v>
      </c>
      <c r="B815" s="145" t="str">
        <f t="shared" si="155"/>
        <v>Jue</v>
      </c>
      <c r="C815" s="674" t="s">
        <v>497</v>
      </c>
      <c r="D815" s="145" t="s">
        <v>532</v>
      </c>
      <c r="E815" s="145">
        <v>0.79166666666666696</v>
      </c>
      <c r="F815" s="145">
        <v>0</v>
      </c>
      <c r="G815" s="688">
        <f t="shared" si="156"/>
        <v>4.9999999999999929</v>
      </c>
      <c r="H815" s="676">
        <f>IF(D815="","",IFERROR(VLOOKUP(D815,'Resumen Empleado'!$A$4:$B$17,2,FALSE),""))</f>
        <v>5.17</v>
      </c>
      <c r="I815" s="676">
        <f t="shared" si="157"/>
        <v>0</v>
      </c>
      <c r="J815" s="676">
        <f t="shared" si="158"/>
        <v>0</v>
      </c>
      <c r="K815" s="676">
        <f t="shared" si="159"/>
        <v>25.849999999999962</v>
      </c>
      <c r="L815" s="1044">
        <f t="shared" si="160"/>
        <v>25.849999999999962</v>
      </c>
      <c r="M815" s="145" t="str">
        <f t="shared" si="161"/>
        <v/>
      </c>
      <c r="N815" s="684">
        <f t="shared" si="162"/>
        <v>46142</v>
      </c>
    </row>
    <row r="816" spans="1:14" ht="15.75" customHeight="1">
      <c r="A816" s="658">
        <v>46142</v>
      </c>
      <c r="B816" s="145" t="str">
        <f t="shared" si="155"/>
        <v>Jue</v>
      </c>
      <c r="C816" s="674" t="s">
        <v>497</v>
      </c>
      <c r="D816" s="145" t="s">
        <v>536</v>
      </c>
      <c r="E816" s="145">
        <v>0.8125</v>
      </c>
      <c r="F816" s="145">
        <v>0.89583333333333304</v>
      </c>
      <c r="G816" s="688">
        <f t="shared" si="156"/>
        <v>1.9999999999999929</v>
      </c>
      <c r="H816" s="676">
        <f>IF(D816="","",IFERROR(VLOOKUP(D816,'Resumen Empleado'!$A$4:$B$17,2,FALSE),""))</f>
        <v>17.13</v>
      </c>
      <c r="I816" s="676">
        <f t="shared" si="157"/>
        <v>0</v>
      </c>
      <c r="J816" s="676">
        <f t="shared" si="158"/>
        <v>0</v>
      </c>
      <c r="K816" s="676">
        <f t="shared" si="159"/>
        <v>34.259999999999877</v>
      </c>
      <c r="L816" s="1044">
        <f t="shared" si="160"/>
        <v>34.259999999999877</v>
      </c>
      <c r="M816" s="145" t="str">
        <f t="shared" si="161"/>
        <v/>
      </c>
      <c r="N816" s="684">
        <f t="shared" si="162"/>
        <v>46142</v>
      </c>
    </row>
    <row r="817" spans="1:13" ht="15.75" customHeight="1">
      <c r="A817" s="658"/>
      <c r="B817" s="145"/>
      <c r="C817" s="674"/>
      <c r="D817" s="145"/>
      <c r="E817" s="145"/>
      <c r="F817" s="145"/>
      <c r="G817" s="688"/>
      <c r="H817" s="676"/>
      <c r="I817" s="676"/>
      <c r="J817" s="676"/>
      <c r="K817" s="676"/>
      <c r="L817" s="1044"/>
      <c r="M817" s="145"/>
    </row>
    <row r="818" spans="1:13" ht="15.75" customHeight="1">
      <c r="A818" s="658"/>
      <c r="B818" s="145"/>
      <c r="C818" s="674"/>
      <c r="D818" s="145"/>
      <c r="E818" s="145"/>
      <c r="F818" s="145"/>
      <c r="G818" s="688"/>
      <c r="H818" s="676"/>
      <c r="I818" s="676"/>
      <c r="J818" s="676"/>
      <c r="K818" s="676"/>
      <c r="L818" s="1044"/>
      <c r="M818" s="145"/>
    </row>
    <row r="819" spans="1:13" ht="15.75" customHeight="1">
      <c r="A819" s="658"/>
      <c r="B819" s="145"/>
      <c r="C819" s="674"/>
      <c r="D819" s="145"/>
      <c r="E819" s="145"/>
      <c r="F819" s="145"/>
      <c r="G819" s="688"/>
      <c r="H819" s="676"/>
      <c r="I819" s="676"/>
      <c r="J819" s="676"/>
      <c r="K819" s="676"/>
      <c r="L819" s="1044"/>
      <c r="M819" s="145"/>
    </row>
    <row r="820" spans="1:13" ht="15.75" customHeight="1">
      <c r="A820" s="658"/>
      <c r="B820" s="145"/>
      <c r="C820" s="674"/>
      <c r="D820" s="145"/>
      <c r="E820" s="145"/>
      <c r="F820" s="145"/>
      <c r="G820" s="688"/>
      <c r="H820" s="676"/>
      <c r="I820" s="676"/>
      <c r="J820" s="676"/>
      <c r="K820" s="676"/>
      <c r="L820" s="1044"/>
      <c r="M820" s="145"/>
    </row>
    <row r="821" spans="1:13" ht="15.75" customHeight="1">
      <c r="A821" s="658"/>
      <c r="B821" s="145"/>
      <c r="C821" s="674"/>
      <c r="D821" s="145"/>
      <c r="E821" s="145"/>
      <c r="F821" s="145"/>
      <c r="G821" s="688"/>
      <c r="H821" s="676"/>
      <c r="I821" s="676"/>
      <c r="J821" s="676"/>
      <c r="K821" s="676"/>
      <c r="L821" s="1044"/>
      <c r="M821" s="145"/>
    </row>
    <row r="822" spans="1:13" ht="15.75" customHeight="1">
      <c r="A822" s="658"/>
      <c r="B822" s="145"/>
      <c r="C822" s="674"/>
      <c r="D822" s="145"/>
      <c r="E822" s="145"/>
      <c r="F822" s="145"/>
      <c r="G822" s="688"/>
      <c r="H822" s="676"/>
      <c r="I822" s="676"/>
      <c r="J822" s="676"/>
      <c r="K822" s="676"/>
      <c r="L822" s="1044"/>
      <c r="M822" s="145"/>
    </row>
    <row r="823" spans="1:13" ht="15.75" customHeight="1">
      <c r="A823" s="658"/>
      <c r="B823" s="145"/>
      <c r="C823" s="674"/>
      <c r="D823" s="145"/>
      <c r="E823" s="145"/>
      <c r="F823" s="145"/>
      <c r="G823" s="688"/>
      <c r="H823" s="676"/>
      <c r="I823" s="676"/>
      <c r="J823" s="676"/>
      <c r="K823" s="676"/>
      <c r="L823" s="1044"/>
      <c r="M823" s="145"/>
    </row>
    <row r="824" spans="1:13" ht="15.75" customHeight="1">
      <c r="A824" s="658"/>
      <c r="B824" s="145"/>
      <c r="C824" s="674"/>
      <c r="D824" s="145"/>
      <c r="E824" s="145"/>
      <c r="F824" s="145"/>
      <c r="G824" s="688"/>
      <c r="H824" s="676"/>
      <c r="I824" s="676"/>
      <c r="J824" s="676"/>
      <c r="K824" s="676"/>
      <c r="L824" s="1044"/>
      <c r="M824" s="145"/>
    </row>
    <row r="825" spans="1:13" ht="15.75" customHeight="1">
      <c r="A825" s="658"/>
      <c r="B825" s="145"/>
      <c r="C825" s="674"/>
      <c r="D825" s="145"/>
      <c r="E825" s="145"/>
      <c r="F825" s="145"/>
      <c r="G825" s="688"/>
      <c r="H825" s="676"/>
      <c r="I825" s="676"/>
      <c r="J825" s="676"/>
      <c r="K825" s="676"/>
      <c r="L825" s="1044"/>
      <c r="M825" s="145"/>
    </row>
    <row r="826" spans="1:13" ht="15.75" customHeight="1">
      <c r="A826" s="658"/>
      <c r="B826" s="145"/>
      <c r="C826" s="674"/>
      <c r="D826" s="145"/>
      <c r="E826" s="145"/>
      <c r="F826" s="145"/>
      <c r="G826" s="688"/>
      <c r="H826" s="676"/>
      <c r="I826" s="676"/>
      <c r="J826" s="676"/>
      <c r="K826" s="676"/>
      <c r="L826" s="1044"/>
      <c r="M826" s="145"/>
    </row>
    <row r="827" spans="1:13" ht="15.75" customHeight="1">
      <c r="A827" s="658"/>
      <c r="B827" s="145"/>
      <c r="C827" s="674"/>
      <c r="D827" s="145"/>
      <c r="E827" s="145"/>
      <c r="F827" s="145"/>
      <c r="G827" s="688"/>
      <c r="H827" s="676"/>
      <c r="I827" s="676"/>
      <c r="J827" s="676"/>
      <c r="K827" s="676"/>
      <c r="L827" s="1044"/>
      <c r="M827" s="145"/>
    </row>
    <row r="828" spans="1:13" ht="15.75" customHeight="1">
      <c r="A828" s="658"/>
      <c r="B828" s="145"/>
      <c r="C828" s="674"/>
      <c r="D828" s="145"/>
      <c r="E828" s="145"/>
      <c r="F828" s="145"/>
      <c r="G828" s="688"/>
      <c r="H828" s="676"/>
      <c r="I828" s="676"/>
      <c r="J828" s="676"/>
      <c r="K828" s="676"/>
      <c r="L828" s="1044"/>
      <c r="M828" s="145"/>
    </row>
    <row r="829" spans="1:13" ht="15.75" customHeight="1">
      <c r="A829" s="658"/>
      <c r="B829" s="145"/>
      <c r="C829" s="674"/>
      <c r="D829" s="145"/>
      <c r="E829" s="145"/>
      <c r="F829" s="145"/>
      <c r="G829" s="688"/>
      <c r="H829" s="676"/>
      <c r="I829" s="676"/>
      <c r="J829" s="676"/>
      <c r="K829" s="676"/>
      <c r="L829" s="1044"/>
      <c r="M829" s="145"/>
    </row>
    <row r="830" spans="1:13" ht="15.75" customHeight="1">
      <c r="A830" s="658"/>
      <c r="B830" s="145"/>
      <c r="C830" s="674"/>
      <c r="D830" s="145"/>
      <c r="E830" s="145"/>
      <c r="F830" s="145"/>
      <c r="G830" s="688"/>
      <c r="H830" s="676"/>
      <c r="I830" s="676"/>
      <c r="J830" s="676"/>
      <c r="K830" s="676"/>
      <c r="L830" s="1044"/>
      <c r="M830" s="145"/>
    </row>
    <row r="831" spans="1:13" ht="15.75" customHeight="1">
      <c r="A831" s="658"/>
      <c r="B831" s="145"/>
      <c r="C831" s="674"/>
      <c r="D831" s="145"/>
      <c r="E831" s="145"/>
      <c r="F831" s="145"/>
      <c r="G831" s="688"/>
      <c r="H831" s="676"/>
      <c r="I831" s="676"/>
      <c r="J831" s="676"/>
      <c r="K831" s="676"/>
      <c r="L831" s="1044"/>
      <c r="M831" s="145"/>
    </row>
    <row r="832" spans="1:13" ht="15.75" customHeight="1">
      <c r="A832" s="658"/>
      <c r="B832" s="145"/>
      <c r="C832" s="674"/>
      <c r="D832" s="145"/>
      <c r="E832" s="145"/>
      <c r="F832" s="145"/>
      <c r="G832" s="688"/>
      <c r="H832" s="676"/>
      <c r="I832" s="676"/>
      <c r="J832" s="676"/>
      <c r="K832" s="676"/>
      <c r="L832" s="1044"/>
      <c r="M832" s="145"/>
    </row>
    <row r="833" spans="1:13" ht="15.75" customHeight="1">
      <c r="A833" s="658"/>
      <c r="B833" s="145"/>
      <c r="C833" s="674"/>
      <c r="D833" s="145"/>
      <c r="E833" s="145"/>
      <c r="F833" s="145"/>
      <c r="G833" s="688"/>
      <c r="H833" s="676"/>
      <c r="I833" s="676"/>
      <c r="J833" s="676"/>
      <c r="K833" s="676"/>
      <c r="L833" s="1044"/>
      <c r="M833" s="145"/>
    </row>
    <row r="834" spans="1:13" ht="15.75" customHeight="1">
      <c r="A834" s="658"/>
      <c r="B834" s="145"/>
      <c r="C834" s="674"/>
      <c r="D834" s="145"/>
      <c r="E834" s="145"/>
      <c r="F834" s="145"/>
      <c r="G834" s="688"/>
      <c r="H834" s="676"/>
      <c r="I834" s="676"/>
      <c r="J834" s="676"/>
      <c r="K834" s="676"/>
      <c r="L834" s="1044"/>
      <c r="M834" s="145"/>
    </row>
    <row r="835" spans="1:13" ht="15.75" customHeight="1">
      <c r="A835" s="658"/>
      <c r="B835" s="145"/>
      <c r="C835" s="674"/>
      <c r="D835" s="145"/>
      <c r="E835" s="145"/>
      <c r="F835" s="145"/>
      <c r="G835" s="688"/>
      <c r="H835" s="676"/>
      <c r="I835" s="676"/>
      <c r="J835" s="676"/>
      <c r="K835" s="676"/>
      <c r="L835" s="1044"/>
      <c r="M835" s="145"/>
    </row>
    <row r="836" spans="1:13" ht="15.75" customHeight="1">
      <c r="A836" s="658"/>
      <c r="B836" s="145"/>
      <c r="C836" s="674"/>
      <c r="D836" s="145"/>
      <c r="E836" s="145"/>
      <c r="F836" s="145"/>
      <c r="G836" s="688"/>
      <c r="H836" s="676"/>
      <c r="I836" s="676"/>
      <c r="J836" s="676"/>
      <c r="K836" s="676"/>
      <c r="L836" s="1044"/>
      <c r="M836" s="145"/>
    </row>
    <row r="837" spans="1:13" ht="15.75" customHeight="1">
      <c r="A837" s="658"/>
      <c r="B837" s="145"/>
      <c r="C837" s="674"/>
      <c r="D837" s="145"/>
      <c r="E837" s="145"/>
      <c r="F837" s="145"/>
      <c r="G837" s="688"/>
      <c r="H837" s="676"/>
      <c r="I837" s="676"/>
      <c r="J837" s="676"/>
      <c r="K837" s="676"/>
      <c r="L837" s="1044"/>
      <c r="M837" s="145"/>
    </row>
    <row r="838" spans="1:13" ht="15.75" customHeight="1">
      <c r="A838" s="658"/>
      <c r="B838" s="145"/>
      <c r="C838" s="674"/>
      <c r="D838" s="145"/>
      <c r="E838" s="145"/>
      <c r="F838" s="145"/>
      <c r="G838" s="688"/>
      <c r="H838" s="676"/>
      <c r="I838" s="676"/>
      <c r="J838" s="676"/>
      <c r="K838" s="676"/>
      <c r="L838" s="1044"/>
      <c r="M838" s="145"/>
    </row>
    <row r="839" spans="1:13" ht="15.75" customHeight="1">
      <c r="A839" s="658"/>
      <c r="B839" s="145"/>
      <c r="C839" s="674"/>
      <c r="D839" s="145"/>
      <c r="E839" s="145"/>
      <c r="F839" s="145"/>
      <c r="G839" s="688"/>
      <c r="H839" s="676"/>
      <c r="I839" s="676"/>
      <c r="J839" s="676"/>
      <c r="K839" s="676"/>
      <c r="L839" s="1044"/>
      <c r="M839" s="145"/>
    </row>
    <row r="840" spans="1:13" ht="15.75" customHeight="1">
      <c r="A840" s="658"/>
      <c r="B840" s="145"/>
      <c r="C840" s="674"/>
      <c r="D840" s="145"/>
      <c r="E840" s="145"/>
      <c r="F840" s="145"/>
      <c r="G840" s="688"/>
      <c r="H840" s="676"/>
      <c r="I840" s="676"/>
      <c r="J840" s="676"/>
      <c r="K840" s="676"/>
      <c r="L840" s="1044"/>
      <c r="M840" s="145"/>
    </row>
    <row r="841" spans="1:13" ht="15.75" customHeight="1">
      <c r="A841" s="658"/>
      <c r="B841" s="145"/>
      <c r="C841" s="674"/>
      <c r="D841" s="145"/>
      <c r="E841" s="145"/>
      <c r="F841" s="145"/>
      <c r="G841" s="688"/>
      <c r="H841" s="676"/>
      <c r="I841" s="676"/>
      <c r="J841" s="676"/>
      <c r="K841" s="676"/>
      <c r="L841" s="1044"/>
      <c r="M841" s="145"/>
    </row>
    <row r="842" spans="1:13" ht="15.75" customHeight="1">
      <c r="A842" s="658"/>
      <c r="B842" s="145"/>
      <c r="C842" s="674"/>
      <c r="D842" s="145"/>
      <c r="E842" s="145"/>
      <c r="F842" s="145"/>
      <c r="G842" s="688"/>
      <c r="H842" s="676"/>
      <c r="I842" s="676"/>
      <c r="J842" s="676"/>
      <c r="K842" s="676"/>
      <c r="L842" s="1044"/>
      <c r="M842" s="145"/>
    </row>
    <row r="843" spans="1:13" ht="15.75" customHeight="1">
      <c r="A843" s="658"/>
      <c r="B843" s="145"/>
      <c r="C843" s="674"/>
      <c r="D843" s="145"/>
      <c r="E843" s="145"/>
      <c r="F843" s="145"/>
      <c r="G843" s="688"/>
      <c r="H843" s="676"/>
      <c r="I843" s="676"/>
      <c r="J843" s="676"/>
      <c r="K843" s="676"/>
      <c r="L843" s="1044"/>
      <c r="M843" s="145"/>
    </row>
    <row r="844" spans="1:13" ht="15.75" customHeight="1">
      <c r="A844" s="658"/>
      <c r="B844" s="145"/>
      <c r="C844" s="674"/>
      <c r="D844" s="145"/>
      <c r="E844" s="145"/>
      <c r="F844" s="145"/>
      <c r="G844" s="688"/>
      <c r="H844" s="676"/>
      <c r="I844" s="676"/>
      <c r="J844" s="676"/>
      <c r="K844" s="676"/>
      <c r="L844" s="1044"/>
      <c r="M844" s="145"/>
    </row>
    <row r="845" spans="1:13" ht="15.75" customHeight="1">
      <c r="A845" s="658"/>
      <c r="B845" s="145"/>
      <c r="C845" s="674"/>
      <c r="D845" s="145"/>
      <c r="E845" s="145"/>
      <c r="F845" s="145"/>
      <c r="G845" s="688"/>
      <c r="H845" s="676"/>
      <c r="I845" s="676"/>
      <c r="J845" s="676"/>
      <c r="K845" s="676"/>
      <c r="L845" s="1044"/>
      <c r="M845" s="145"/>
    </row>
    <row r="846" spans="1:13" ht="15.75" customHeight="1">
      <c r="A846" s="658"/>
      <c r="B846" s="145"/>
      <c r="C846" s="674"/>
      <c r="D846" s="145"/>
      <c r="E846" s="145"/>
      <c r="F846" s="145"/>
      <c r="G846" s="688"/>
      <c r="H846" s="676"/>
      <c r="I846" s="676"/>
      <c r="J846" s="676"/>
      <c r="K846" s="676"/>
      <c r="L846" s="1044"/>
      <c r="M846" s="145"/>
    </row>
    <row r="847" spans="1:13" ht="15.75" customHeight="1">
      <c r="A847" s="658"/>
      <c r="B847" s="145"/>
      <c r="C847" s="674"/>
      <c r="D847" s="145"/>
      <c r="E847" s="145"/>
      <c r="F847" s="145"/>
      <c r="G847" s="688"/>
      <c r="H847" s="676"/>
      <c r="I847" s="676"/>
      <c r="J847" s="676"/>
      <c r="K847" s="676"/>
      <c r="L847" s="1044"/>
      <c r="M847" s="145"/>
    </row>
    <row r="848" spans="1:13" ht="15.75" customHeight="1">
      <c r="A848" s="658"/>
      <c r="B848" s="145"/>
      <c r="C848" s="674"/>
      <c r="D848" s="145"/>
      <c r="E848" s="145"/>
      <c r="F848" s="145"/>
      <c r="G848" s="688"/>
      <c r="H848" s="676"/>
      <c r="I848" s="676"/>
      <c r="J848" s="676"/>
      <c r="K848" s="676"/>
      <c r="L848" s="1044"/>
      <c r="M848" s="145"/>
    </row>
    <row r="849" spans="1:13" ht="15.75" customHeight="1">
      <c r="A849" s="658"/>
      <c r="B849" s="145"/>
      <c r="C849" s="674"/>
      <c r="D849" s="145"/>
      <c r="E849" s="145"/>
      <c r="F849" s="145"/>
      <c r="G849" s="688"/>
      <c r="H849" s="676"/>
      <c r="I849" s="676"/>
      <c r="J849" s="676"/>
      <c r="K849" s="676"/>
      <c r="L849" s="1044"/>
      <c r="M849" s="145"/>
    </row>
    <row r="850" spans="1:13" ht="15.75" customHeight="1">
      <c r="A850" s="658"/>
      <c r="B850" s="145"/>
      <c r="C850" s="674"/>
      <c r="D850" s="145"/>
      <c r="E850" s="145"/>
      <c r="F850" s="145"/>
      <c r="G850" s="688"/>
      <c r="H850" s="676"/>
      <c r="I850" s="676"/>
      <c r="J850" s="676"/>
      <c r="K850" s="676"/>
      <c r="L850" s="1044"/>
      <c r="M850" s="145"/>
    </row>
    <row r="851" spans="1:13" ht="15.75" customHeight="1">
      <c r="A851" s="658"/>
      <c r="B851" s="145"/>
      <c r="C851" s="674"/>
      <c r="D851" s="145"/>
      <c r="E851" s="145"/>
      <c r="F851" s="145"/>
      <c r="G851" s="688"/>
      <c r="H851" s="676"/>
      <c r="I851" s="676"/>
      <c r="J851" s="676"/>
      <c r="K851" s="676"/>
      <c r="L851" s="1044"/>
      <c r="M851" s="145"/>
    </row>
    <row r="852" spans="1:13" ht="15.75" customHeight="1">
      <c r="A852" s="658"/>
      <c r="B852" s="145"/>
      <c r="C852" s="674"/>
      <c r="D852" s="145"/>
      <c r="E852" s="145"/>
      <c r="F852" s="145"/>
      <c r="G852" s="688"/>
      <c r="H852" s="676"/>
      <c r="I852" s="676"/>
      <c r="J852" s="676"/>
      <c r="K852" s="676"/>
      <c r="L852" s="1044"/>
      <c r="M852" s="145"/>
    </row>
    <row r="853" spans="1:13" ht="15.75" customHeight="1">
      <c r="A853" s="658"/>
      <c r="B853" s="145"/>
      <c r="C853" s="674"/>
      <c r="D853" s="145"/>
      <c r="E853" s="145"/>
      <c r="F853" s="145"/>
      <c r="G853" s="688"/>
      <c r="H853" s="676"/>
      <c r="I853" s="676"/>
      <c r="J853" s="676"/>
      <c r="K853" s="676"/>
      <c r="L853" s="1044"/>
      <c r="M853" s="145"/>
    </row>
    <row r="854" spans="1:13" ht="15.75" customHeight="1">
      <c r="A854" s="658"/>
      <c r="B854" s="145"/>
      <c r="C854" s="674"/>
      <c r="D854" s="145"/>
      <c r="E854" s="145"/>
      <c r="F854" s="145"/>
      <c r="G854" s="688"/>
      <c r="H854" s="676"/>
      <c r="I854" s="676"/>
      <c r="J854" s="676"/>
      <c r="K854" s="676"/>
      <c r="L854" s="1044"/>
      <c r="M854" s="145"/>
    </row>
    <row r="855" spans="1:13" ht="15.75" customHeight="1">
      <c r="A855" s="658"/>
      <c r="B855" s="145"/>
      <c r="C855" s="674"/>
      <c r="D855" s="145"/>
      <c r="E855" s="145"/>
      <c r="F855" s="145"/>
      <c r="G855" s="688"/>
      <c r="H855" s="676"/>
      <c r="I855" s="676"/>
      <c r="J855" s="676"/>
      <c r="K855" s="676"/>
      <c r="L855" s="1044"/>
      <c r="M855" s="145"/>
    </row>
    <row r="856" spans="1:13" ht="15.75" customHeight="1">
      <c r="A856" s="658"/>
      <c r="B856" s="145"/>
      <c r="C856" s="674"/>
      <c r="D856" s="145"/>
      <c r="E856" s="145"/>
      <c r="F856" s="145"/>
      <c r="G856" s="688"/>
      <c r="H856" s="676"/>
      <c r="I856" s="676"/>
      <c r="J856" s="676"/>
      <c r="K856" s="676"/>
      <c r="L856" s="1044"/>
      <c r="M856" s="145"/>
    </row>
    <row r="857" spans="1:13" ht="15.75" customHeight="1">
      <c r="A857" s="658"/>
      <c r="B857" s="145"/>
      <c r="C857" s="674"/>
      <c r="D857" s="145"/>
      <c r="E857" s="145"/>
      <c r="F857" s="145"/>
      <c r="G857" s="688"/>
      <c r="H857" s="676"/>
      <c r="I857" s="676"/>
      <c r="J857" s="676"/>
      <c r="K857" s="676"/>
      <c r="L857" s="1044"/>
      <c r="M857" s="145"/>
    </row>
    <row r="858" spans="1:13" ht="15.75" customHeight="1">
      <c r="A858" s="658"/>
      <c r="B858" s="145"/>
      <c r="C858" s="674"/>
      <c r="D858" s="145"/>
      <c r="E858" s="145"/>
      <c r="F858" s="145"/>
      <c r="G858" s="688"/>
      <c r="H858" s="676"/>
      <c r="I858" s="676"/>
      <c r="J858" s="676"/>
      <c r="K858" s="676"/>
      <c r="L858" s="1044"/>
      <c r="M858" s="145"/>
    </row>
    <row r="859" spans="1:13" ht="15.75" customHeight="1">
      <c r="A859" s="658"/>
      <c r="B859" s="145"/>
      <c r="C859" s="674"/>
      <c r="D859" s="145"/>
      <c r="E859" s="145"/>
      <c r="F859" s="145"/>
      <c r="G859" s="688"/>
      <c r="H859" s="676"/>
      <c r="I859" s="676"/>
      <c r="J859" s="676"/>
      <c r="K859" s="676"/>
      <c r="L859" s="1044"/>
      <c r="M859" s="145"/>
    </row>
    <row r="860" spans="1:13" ht="15.75" customHeight="1">
      <c r="A860" s="658"/>
      <c r="B860" s="145"/>
      <c r="C860" s="674"/>
      <c r="D860" s="145"/>
      <c r="E860" s="145"/>
      <c r="F860" s="145"/>
      <c r="G860" s="688"/>
      <c r="H860" s="676"/>
      <c r="I860" s="676"/>
      <c r="J860" s="676"/>
      <c r="K860" s="676"/>
      <c r="L860" s="1044"/>
      <c r="M860" s="145"/>
    </row>
    <row r="861" spans="1:13" ht="15.75" customHeight="1">
      <c r="A861" s="658"/>
      <c r="B861" s="145"/>
      <c r="C861" s="674"/>
      <c r="D861" s="145"/>
      <c r="E861" s="145"/>
      <c r="F861" s="145"/>
      <c r="G861" s="688"/>
      <c r="H861" s="676"/>
      <c r="I861" s="676"/>
      <c r="J861" s="676"/>
      <c r="K861" s="676"/>
      <c r="L861" s="1044"/>
      <c r="M861" s="145"/>
    </row>
    <row r="862" spans="1:13" ht="15.75" customHeight="1">
      <c r="A862" s="658"/>
      <c r="B862" s="145"/>
      <c r="C862" s="674"/>
      <c r="D862" s="145"/>
      <c r="E862" s="145"/>
      <c r="F862" s="145"/>
      <c r="G862" s="688"/>
      <c r="H862" s="676"/>
      <c r="I862" s="676"/>
      <c r="J862" s="676"/>
      <c r="K862" s="676"/>
      <c r="L862" s="1044"/>
      <c r="M862" s="145"/>
    </row>
    <row r="863" spans="1:13" ht="15.75" customHeight="1">
      <c r="A863" s="658"/>
      <c r="B863" s="145"/>
      <c r="C863" s="674"/>
      <c r="D863" s="145"/>
      <c r="E863" s="145"/>
      <c r="F863" s="145"/>
      <c r="G863" s="688"/>
      <c r="H863" s="676"/>
      <c r="I863" s="676"/>
      <c r="J863" s="676"/>
      <c r="K863" s="676"/>
      <c r="L863" s="1044"/>
      <c r="M863" s="145"/>
    </row>
    <row r="864" spans="1:13" ht="15.75" customHeight="1">
      <c r="A864" s="658"/>
      <c r="B864" s="145"/>
      <c r="C864" s="674"/>
      <c r="D864" s="145"/>
      <c r="E864" s="145"/>
      <c r="F864" s="145"/>
      <c r="G864" s="688"/>
      <c r="H864" s="676"/>
      <c r="I864" s="676"/>
      <c r="J864" s="676"/>
      <c r="K864" s="676"/>
      <c r="L864" s="1044"/>
      <c r="M864" s="145"/>
    </row>
    <row r="865" spans="1:13" ht="15.75" customHeight="1">
      <c r="A865" s="658"/>
      <c r="B865" s="145"/>
      <c r="C865" s="674"/>
      <c r="D865" s="145"/>
      <c r="E865" s="145"/>
      <c r="F865" s="145"/>
      <c r="G865" s="688"/>
      <c r="H865" s="676"/>
      <c r="I865" s="676"/>
      <c r="J865" s="676"/>
      <c r="K865" s="676"/>
      <c r="L865" s="1044"/>
      <c r="M865" s="145"/>
    </row>
    <row r="866" spans="1:13" ht="15.75" customHeight="1">
      <c r="A866" s="658"/>
      <c r="B866" s="145"/>
      <c r="C866" s="674"/>
      <c r="D866" s="145"/>
      <c r="E866" s="145"/>
      <c r="F866" s="145"/>
      <c r="G866" s="688"/>
      <c r="H866" s="676"/>
      <c r="I866" s="676"/>
      <c r="J866" s="676"/>
      <c r="K866" s="676"/>
      <c r="L866" s="1044"/>
      <c r="M866" s="145"/>
    </row>
    <row r="867" spans="1:13" ht="15.75" customHeight="1">
      <c r="A867" s="658"/>
      <c r="B867" s="145"/>
      <c r="C867" s="674"/>
      <c r="D867" s="145"/>
      <c r="E867" s="145"/>
      <c r="F867" s="145"/>
      <c r="G867" s="688"/>
      <c r="H867" s="676"/>
      <c r="I867" s="676"/>
      <c r="J867" s="676"/>
      <c r="K867" s="676"/>
      <c r="L867" s="1044"/>
      <c r="M867" s="145"/>
    </row>
    <row r="868" spans="1:13" ht="15.75" customHeight="1">
      <c r="A868" s="658"/>
      <c r="B868" s="145"/>
      <c r="C868" s="674"/>
      <c r="D868" s="145"/>
      <c r="E868" s="145"/>
      <c r="F868" s="145"/>
      <c r="G868" s="688"/>
      <c r="H868" s="676"/>
      <c r="I868" s="676"/>
      <c r="J868" s="676"/>
      <c r="K868" s="676"/>
      <c r="L868" s="1044"/>
      <c r="M868" s="145"/>
    </row>
    <row r="869" spans="1:13" ht="15.75" customHeight="1">
      <c r="A869" s="658"/>
      <c r="B869" s="145"/>
      <c r="C869" s="674"/>
      <c r="D869" s="145"/>
      <c r="E869" s="145"/>
      <c r="F869" s="145"/>
      <c r="G869" s="688"/>
      <c r="H869" s="676"/>
      <c r="I869" s="676"/>
      <c r="J869" s="676"/>
      <c r="K869" s="676"/>
      <c r="L869" s="1044"/>
      <c r="M869" s="145"/>
    </row>
    <row r="870" spans="1:13" ht="15.75" customHeight="1">
      <c r="A870" s="658"/>
      <c r="B870" s="145"/>
      <c r="C870" s="674"/>
      <c r="D870" s="145"/>
      <c r="E870" s="145"/>
      <c r="F870" s="145"/>
      <c r="G870" s="688"/>
      <c r="H870" s="676"/>
      <c r="I870" s="676"/>
      <c r="J870" s="676"/>
      <c r="K870" s="676"/>
      <c r="L870" s="1044"/>
      <c r="M870" s="145"/>
    </row>
    <row r="871" spans="1:13" ht="15.75" customHeight="1">
      <c r="A871" s="658"/>
      <c r="B871" s="145"/>
      <c r="C871" s="674"/>
      <c r="D871" s="145"/>
      <c r="E871" s="145"/>
      <c r="F871" s="145"/>
      <c r="G871" s="688"/>
      <c r="H871" s="676"/>
      <c r="I871" s="676"/>
      <c r="J871" s="676"/>
      <c r="K871" s="676"/>
      <c r="L871" s="1044"/>
      <c r="M871" s="145"/>
    </row>
    <row r="872" spans="1:13" ht="15.75" customHeight="1">
      <c r="A872" s="658"/>
      <c r="B872" s="145"/>
      <c r="C872" s="674"/>
      <c r="D872" s="145"/>
      <c r="E872" s="145"/>
      <c r="F872" s="145"/>
      <c r="G872" s="688"/>
      <c r="H872" s="676"/>
      <c r="I872" s="676"/>
      <c r="J872" s="676"/>
      <c r="K872" s="676"/>
      <c r="L872" s="1044"/>
      <c r="M872" s="145"/>
    </row>
    <row r="873" spans="1:13" ht="15.75" customHeight="1">
      <c r="A873" s="658"/>
      <c r="B873" s="145"/>
      <c r="C873" s="674"/>
      <c r="D873" s="145"/>
      <c r="E873" s="145"/>
      <c r="F873" s="145"/>
      <c r="G873" s="688"/>
      <c r="H873" s="676"/>
      <c r="I873" s="676"/>
      <c r="J873" s="676"/>
      <c r="K873" s="676"/>
      <c r="L873" s="1044"/>
      <c r="M873" s="145"/>
    </row>
    <row r="874" spans="1:13" ht="15.75" customHeight="1">
      <c r="A874" s="658"/>
      <c r="B874" s="145"/>
      <c r="C874" s="674"/>
      <c r="D874" s="145"/>
      <c r="E874" s="145"/>
      <c r="F874" s="145"/>
      <c r="G874" s="688"/>
      <c r="H874" s="676"/>
      <c r="I874" s="676"/>
      <c r="J874" s="676"/>
      <c r="K874" s="676"/>
      <c r="L874" s="1044"/>
      <c r="M874" s="145"/>
    </row>
    <row r="875" spans="1:13" ht="15.75" customHeight="1">
      <c r="A875" s="658"/>
      <c r="B875" s="145"/>
      <c r="C875" s="674"/>
      <c r="D875" s="145"/>
      <c r="E875" s="145"/>
      <c r="F875" s="145"/>
      <c r="G875" s="688"/>
      <c r="H875" s="676"/>
      <c r="I875" s="676"/>
      <c r="J875" s="676"/>
      <c r="K875" s="676"/>
      <c r="L875" s="1044"/>
      <c r="M875" s="145"/>
    </row>
    <row r="876" spans="1:13" ht="15.75" customHeight="1">
      <c r="A876" s="658"/>
      <c r="B876" s="145"/>
      <c r="C876" s="674"/>
      <c r="D876" s="145"/>
      <c r="E876" s="145"/>
      <c r="F876" s="145"/>
      <c r="G876" s="688"/>
      <c r="H876" s="676"/>
      <c r="I876" s="676"/>
      <c r="J876" s="676"/>
      <c r="K876" s="676"/>
      <c r="L876" s="1044"/>
      <c r="M876" s="145"/>
    </row>
    <row r="877" spans="1:13" ht="15.75" customHeight="1">
      <c r="A877" s="658"/>
      <c r="B877" s="145"/>
      <c r="C877" s="674"/>
      <c r="D877" s="145"/>
      <c r="E877" s="145"/>
      <c r="F877" s="145"/>
      <c r="G877" s="688"/>
      <c r="H877" s="676"/>
      <c r="I877" s="676"/>
      <c r="J877" s="676"/>
      <c r="K877" s="676"/>
      <c r="L877" s="1044"/>
      <c r="M877" s="145"/>
    </row>
    <row r="878" spans="1:13" ht="15.75" customHeight="1">
      <c r="A878" s="658"/>
      <c r="B878" s="145"/>
      <c r="C878" s="674"/>
      <c r="D878" s="145"/>
      <c r="E878" s="145"/>
      <c r="F878" s="145"/>
      <c r="G878" s="688"/>
      <c r="H878" s="676"/>
      <c r="I878" s="676"/>
      <c r="J878" s="676"/>
      <c r="K878" s="676"/>
      <c r="L878" s="1044"/>
      <c r="M878" s="145"/>
    </row>
    <row r="879" spans="1:13" ht="15.75" customHeight="1">
      <c r="A879" s="658"/>
      <c r="B879" s="145"/>
      <c r="C879" s="674"/>
      <c r="D879" s="145"/>
      <c r="E879" s="145"/>
      <c r="F879" s="145"/>
      <c r="G879" s="688"/>
      <c r="H879" s="676"/>
      <c r="I879" s="676"/>
      <c r="J879" s="676"/>
      <c r="K879" s="676"/>
      <c r="L879" s="1044"/>
      <c r="M879" s="145"/>
    </row>
    <row r="880" spans="1:13" ht="15.75" customHeight="1">
      <c r="A880" s="658"/>
      <c r="B880" s="145"/>
      <c r="C880" s="674"/>
      <c r="D880" s="145"/>
      <c r="E880" s="145"/>
      <c r="F880" s="145"/>
      <c r="G880" s="688"/>
      <c r="H880" s="676"/>
      <c r="I880" s="676"/>
      <c r="J880" s="676"/>
      <c r="K880" s="676"/>
      <c r="L880" s="1044"/>
      <c r="M880" s="145"/>
    </row>
    <row r="881" spans="1:13" ht="15.75" customHeight="1">
      <c r="A881" s="658"/>
      <c r="B881" s="145"/>
      <c r="C881" s="674"/>
      <c r="D881" s="145"/>
      <c r="E881" s="145"/>
      <c r="F881" s="145"/>
      <c r="G881" s="688"/>
      <c r="H881" s="676"/>
      <c r="I881" s="676"/>
      <c r="J881" s="676"/>
      <c r="K881" s="676"/>
      <c r="L881" s="1044"/>
      <c r="M881" s="145"/>
    </row>
    <row r="882" spans="1:13" ht="15.75" customHeight="1">
      <c r="A882" s="658"/>
      <c r="B882" s="145"/>
      <c r="C882" s="674"/>
      <c r="D882" s="145"/>
      <c r="E882" s="145"/>
      <c r="F882" s="145"/>
      <c r="G882" s="688"/>
      <c r="H882" s="676"/>
      <c r="I882" s="676"/>
      <c r="J882" s="676"/>
      <c r="K882" s="676"/>
      <c r="L882" s="1044"/>
      <c r="M882" s="145"/>
    </row>
    <row r="883" spans="1:13" ht="15.75" customHeight="1">
      <c r="A883" s="658"/>
      <c r="B883" s="145"/>
      <c r="C883" s="674"/>
      <c r="D883" s="145"/>
      <c r="E883" s="145"/>
      <c r="F883" s="145"/>
      <c r="G883" s="688"/>
      <c r="H883" s="676"/>
      <c r="I883" s="676"/>
      <c r="J883" s="676"/>
      <c r="K883" s="676"/>
      <c r="L883" s="1044"/>
      <c r="M883" s="145"/>
    </row>
    <row r="884" spans="1:13" ht="15.75" customHeight="1">
      <c r="A884" s="658"/>
      <c r="B884" s="145"/>
      <c r="C884" s="674"/>
      <c r="D884" s="145"/>
      <c r="E884" s="145"/>
      <c r="F884" s="145"/>
      <c r="G884" s="688"/>
      <c r="H884" s="676"/>
      <c r="I884" s="676"/>
      <c r="J884" s="676"/>
      <c r="K884" s="676"/>
      <c r="L884" s="1044"/>
      <c r="M884" s="145"/>
    </row>
    <row r="885" spans="1:13" ht="15.75" customHeight="1">
      <c r="A885" s="658"/>
      <c r="B885" s="145"/>
      <c r="C885" s="674"/>
      <c r="D885" s="145"/>
      <c r="E885" s="145"/>
      <c r="F885" s="145"/>
      <c r="G885" s="688"/>
      <c r="H885" s="676"/>
      <c r="I885" s="676"/>
      <c r="J885" s="676"/>
      <c r="K885" s="676"/>
      <c r="L885" s="1044"/>
      <c r="M885" s="145"/>
    </row>
    <row r="886" spans="1:13" ht="15.75" customHeight="1">
      <c r="A886" s="658"/>
      <c r="B886" s="145"/>
      <c r="C886" s="674"/>
      <c r="D886" s="145"/>
      <c r="E886" s="145"/>
      <c r="F886" s="145"/>
      <c r="G886" s="688"/>
      <c r="H886" s="676"/>
      <c r="I886" s="676"/>
      <c r="J886" s="676"/>
      <c r="K886" s="676"/>
      <c r="L886" s="1044"/>
      <c r="M886" s="145"/>
    </row>
    <row r="887" spans="1:13" ht="15.75" customHeight="1">
      <c r="A887" s="658"/>
      <c r="B887" s="145"/>
      <c r="C887" s="674"/>
      <c r="D887" s="145"/>
      <c r="E887" s="145"/>
      <c r="F887" s="145"/>
      <c r="G887" s="688"/>
      <c r="H887" s="676"/>
      <c r="I887" s="676"/>
      <c r="J887" s="676"/>
      <c r="K887" s="676"/>
      <c r="L887" s="1044"/>
      <c r="M887" s="145"/>
    </row>
    <row r="888" spans="1:13" ht="15.75" customHeight="1">
      <c r="A888" s="658"/>
      <c r="B888" s="145"/>
      <c r="C888" s="674"/>
      <c r="D888" s="145"/>
      <c r="E888" s="145"/>
      <c r="F888" s="145"/>
      <c r="G888" s="688"/>
      <c r="H888" s="676"/>
      <c r="I888" s="676"/>
      <c r="J888" s="676"/>
      <c r="K888" s="676"/>
      <c r="L888" s="1044"/>
      <c r="M888" s="145"/>
    </row>
    <row r="889" spans="1:13" ht="15.75" customHeight="1">
      <c r="A889" s="658"/>
      <c r="B889" s="145"/>
      <c r="C889" s="674"/>
      <c r="D889" s="145"/>
      <c r="E889" s="145"/>
      <c r="F889" s="145"/>
      <c r="G889" s="688"/>
      <c r="H889" s="676"/>
      <c r="I889" s="676"/>
      <c r="J889" s="676"/>
      <c r="K889" s="676"/>
      <c r="L889" s="1044"/>
      <c r="M889" s="145"/>
    </row>
    <row r="890" spans="1:13" ht="15.75" customHeight="1">
      <c r="A890" s="658"/>
      <c r="B890" s="145"/>
      <c r="C890" s="674"/>
      <c r="D890" s="145"/>
      <c r="E890" s="145"/>
      <c r="F890" s="145"/>
      <c r="G890" s="688"/>
      <c r="H890" s="676"/>
      <c r="I890" s="676"/>
      <c r="J890" s="676"/>
      <c r="K890" s="676"/>
      <c r="L890" s="1044"/>
      <c r="M890" s="145"/>
    </row>
    <row r="891" spans="1:13" ht="15.75" customHeight="1">
      <c r="A891" s="658"/>
      <c r="B891" s="145"/>
      <c r="C891" s="674"/>
      <c r="D891" s="145"/>
      <c r="E891" s="145"/>
      <c r="F891" s="145"/>
      <c r="G891" s="688"/>
      <c r="H891" s="676"/>
      <c r="I891" s="676"/>
      <c r="J891" s="676"/>
      <c r="K891" s="676"/>
      <c r="L891" s="1044"/>
      <c r="M891" s="145"/>
    </row>
    <row r="892" spans="1:13" ht="15.75" customHeight="1">
      <c r="A892" s="658"/>
      <c r="B892" s="145"/>
      <c r="C892" s="674"/>
      <c r="D892" s="145"/>
      <c r="E892" s="145"/>
      <c r="F892" s="145"/>
      <c r="G892" s="688"/>
      <c r="H892" s="676"/>
      <c r="I892" s="676"/>
      <c r="J892" s="676"/>
      <c r="K892" s="676"/>
      <c r="L892" s="1044"/>
      <c r="M892" s="145"/>
    </row>
    <row r="893" spans="1:13" ht="15.75" customHeight="1">
      <c r="A893" s="658"/>
      <c r="B893" s="145"/>
      <c r="C893" s="674"/>
      <c r="D893" s="145"/>
      <c r="E893" s="145"/>
      <c r="F893" s="145"/>
      <c r="G893" s="688"/>
      <c r="H893" s="676"/>
      <c r="I893" s="676"/>
      <c r="J893" s="676"/>
      <c r="K893" s="676"/>
      <c r="L893" s="1044"/>
      <c r="M893" s="145"/>
    </row>
    <row r="894" spans="1:13" ht="15.75" customHeight="1">
      <c r="A894" s="658"/>
      <c r="B894" s="145"/>
      <c r="C894" s="674"/>
      <c r="D894" s="145"/>
      <c r="E894" s="145"/>
      <c r="F894" s="145"/>
      <c r="G894" s="688"/>
      <c r="H894" s="676"/>
      <c r="I894" s="676"/>
      <c r="J894" s="676"/>
      <c r="K894" s="676"/>
      <c r="L894" s="1044"/>
      <c r="M894" s="145"/>
    </row>
    <row r="895" spans="1:13" ht="15.75" customHeight="1">
      <c r="A895" s="658"/>
      <c r="B895" s="145"/>
      <c r="C895" s="674"/>
      <c r="D895" s="145"/>
      <c r="E895" s="145"/>
      <c r="F895" s="145"/>
      <c r="G895" s="688"/>
      <c r="H895" s="676"/>
      <c r="I895" s="676"/>
      <c r="J895" s="676"/>
      <c r="K895" s="676"/>
      <c r="L895" s="1044"/>
      <c r="M895" s="145"/>
    </row>
    <row r="896" spans="1:13" ht="15.75" customHeight="1">
      <c r="A896" s="658"/>
      <c r="B896" s="145"/>
      <c r="C896" s="674"/>
      <c r="D896" s="145"/>
      <c r="E896" s="145"/>
      <c r="F896" s="145"/>
      <c r="G896" s="688"/>
      <c r="H896" s="676"/>
      <c r="I896" s="676"/>
      <c r="J896" s="676"/>
      <c r="K896" s="676"/>
      <c r="L896" s="1044"/>
      <c r="M896" s="145"/>
    </row>
    <row r="897" spans="1:13" ht="15.75" customHeight="1">
      <c r="A897" s="658"/>
      <c r="B897" s="145"/>
      <c r="C897" s="674"/>
      <c r="D897" s="145"/>
      <c r="E897" s="145"/>
      <c r="F897" s="145"/>
      <c r="G897" s="688"/>
      <c r="H897" s="676"/>
      <c r="I897" s="676"/>
      <c r="J897" s="676"/>
      <c r="K897" s="676"/>
      <c r="L897" s="1044"/>
      <c r="M897" s="145"/>
    </row>
    <row r="898" spans="1:13" ht="15.75" customHeight="1">
      <c r="A898" s="658"/>
      <c r="B898" s="145"/>
      <c r="C898" s="674"/>
      <c r="D898" s="145"/>
      <c r="E898" s="145"/>
      <c r="F898" s="145"/>
      <c r="G898" s="688"/>
      <c r="H898" s="676"/>
      <c r="I898" s="676"/>
      <c r="J898" s="676"/>
      <c r="K898" s="676"/>
      <c r="L898" s="1044"/>
      <c r="M898" s="145"/>
    </row>
    <row r="899" spans="1:13" ht="15.75" customHeight="1">
      <c r="A899" s="658"/>
      <c r="B899" s="145"/>
      <c r="C899" s="674"/>
      <c r="D899" s="145"/>
      <c r="E899" s="145"/>
      <c r="F899" s="145"/>
      <c r="G899" s="688"/>
      <c r="H899" s="676"/>
      <c r="I899" s="676"/>
      <c r="J899" s="676"/>
      <c r="K899" s="676"/>
      <c r="L899" s="1044"/>
      <c r="M899" s="145"/>
    </row>
    <row r="900" spans="1:13" ht="15.75" customHeight="1">
      <c r="A900" s="658"/>
      <c r="B900" s="145"/>
      <c r="C900" s="674"/>
      <c r="D900" s="145"/>
      <c r="E900" s="145"/>
      <c r="F900" s="145"/>
      <c r="G900" s="688"/>
      <c r="H900" s="676"/>
      <c r="I900" s="676"/>
      <c r="J900" s="676"/>
      <c r="K900" s="676"/>
      <c r="L900" s="1044"/>
      <c r="M900" s="145"/>
    </row>
    <row r="901" spans="1:13" ht="15.75" customHeight="1">
      <c r="A901" s="658"/>
      <c r="B901" s="145"/>
      <c r="C901" s="674"/>
      <c r="D901" s="145"/>
      <c r="E901" s="145"/>
      <c r="F901" s="145"/>
      <c r="G901" s="688"/>
      <c r="H901" s="676"/>
      <c r="I901" s="676"/>
      <c r="J901" s="676"/>
      <c r="K901" s="676"/>
      <c r="L901" s="1044"/>
      <c r="M901" s="145"/>
    </row>
    <row r="902" spans="1:13" ht="15.75" customHeight="1">
      <c r="A902" s="658"/>
      <c r="B902" s="145"/>
      <c r="C902" s="674"/>
      <c r="D902" s="145"/>
      <c r="E902" s="145"/>
      <c r="F902" s="145"/>
      <c r="G902" s="688"/>
      <c r="H902" s="676"/>
      <c r="I902" s="676"/>
      <c r="J902" s="676"/>
      <c r="K902" s="676"/>
      <c r="L902" s="1044"/>
      <c r="M902" s="145"/>
    </row>
    <row r="903" spans="1:13" ht="15.75" customHeight="1">
      <c r="A903" s="658"/>
      <c r="B903" s="145"/>
      <c r="C903" s="674"/>
      <c r="D903" s="145"/>
      <c r="E903" s="145"/>
      <c r="F903" s="145"/>
      <c r="G903" s="688"/>
      <c r="H903" s="676"/>
      <c r="I903" s="676"/>
      <c r="J903" s="676"/>
      <c r="K903" s="676"/>
      <c r="L903" s="1044"/>
      <c r="M903" s="145"/>
    </row>
    <row r="904" spans="1:13" ht="15.75" customHeight="1">
      <c r="A904" s="658"/>
      <c r="B904" s="145"/>
      <c r="C904" s="674"/>
      <c r="D904" s="145"/>
      <c r="E904" s="145"/>
      <c r="F904" s="145"/>
      <c r="G904" s="688"/>
      <c r="H904" s="676"/>
      <c r="I904" s="676"/>
      <c r="J904" s="676"/>
      <c r="K904" s="676"/>
      <c r="L904" s="1044"/>
      <c r="M904" s="145"/>
    </row>
    <row r="905" spans="1:13" ht="15.75" customHeight="1">
      <c r="A905" s="658"/>
      <c r="B905" s="145"/>
      <c r="C905" s="674"/>
      <c r="D905" s="145"/>
      <c r="E905" s="145"/>
      <c r="F905" s="145"/>
      <c r="G905" s="688"/>
      <c r="H905" s="676"/>
      <c r="I905" s="676"/>
      <c r="J905" s="676"/>
      <c r="K905" s="676"/>
      <c r="L905" s="1044"/>
      <c r="M905" s="145"/>
    </row>
    <row r="906" spans="1:13" ht="15.75" customHeight="1">
      <c r="A906" s="658"/>
      <c r="B906" s="145"/>
      <c r="C906" s="674"/>
      <c r="D906" s="145"/>
      <c r="E906" s="145"/>
      <c r="F906" s="145"/>
      <c r="G906" s="688"/>
      <c r="H906" s="676"/>
      <c r="I906" s="676"/>
      <c r="J906" s="676"/>
      <c r="K906" s="676"/>
      <c r="L906" s="1044"/>
      <c r="M906" s="145"/>
    </row>
    <row r="907" spans="1:13" ht="15.75" customHeight="1">
      <c r="A907" s="658"/>
      <c r="B907" s="145"/>
      <c r="C907" s="674"/>
      <c r="D907" s="145"/>
      <c r="E907" s="145"/>
      <c r="F907" s="145"/>
      <c r="G907" s="688"/>
      <c r="H907" s="676"/>
      <c r="I907" s="676"/>
      <c r="J907" s="676"/>
      <c r="K907" s="676"/>
      <c r="L907" s="1044"/>
      <c r="M907" s="145"/>
    </row>
    <row r="908" spans="1:13" ht="15.75" customHeight="1">
      <c r="A908" s="658"/>
      <c r="B908" s="145"/>
      <c r="C908" s="674"/>
      <c r="D908" s="145"/>
      <c r="E908" s="145"/>
      <c r="F908" s="145"/>
      <c r="G908" s="688"/>
      <c r="H908" s="676"/>
      <c r="I908" s="676"/>
      <c r="J908" s="676"/>
      <c r="K908" s="676"/>
      <c r="L908" s="1044"/>
      <c r="M908" s="145"/>
    </row>
    <row r="909" spans="1:13" ht="15.75" customHeight="1">
      <c r="A909" s="658"/>
      <c r="B909" s="145"/>
      <c r="C909" s="674"/>
      <c r="D909" s="145"/>
      <c r="E909" s="145"/>
      <c r="F909" s="145"/>
      <c r="G909" s="688"/>
      <c r="H909" s="676"/>
      <c r="I909" s="676"/>
      <c r="J909" s="676"/>
      <c r="K909" s="676"/>
      <c r="L909" s="1044"/>
      <c r="M909" s="145"/>
    </row>
    <row r="910" spans="1:13" ht="15.75" customHeight="1">
      <c r="A910" s="658"/>
      <c r="B910" s="145"/>
      <c r="C910" s="674"/>
      <c r="D910" s="145"/>
      <c r="E910" s="145"/>
      <c r="F910" s="145"/>
      <c r="G910" s="688"/>
      <c r="H910" s="676"/>
      <c r="I910" s="676"/>
      <c r="J910" s="676"/>
      <c r="K910" s="676"/>
      <c r="L910" s="1044"/>
      <c r="M910" s="145"/>
    </row>
    <row r="911" spans="1:13" ht="15.75" customHeight="1">
      <c r="A911" s="658"/>
      <c r="B911" s="145"/>
      <c r="C911" s="674"/>
      <c r="D911" s="145"/>
      <c r="E911" s="145"/>
      <c r="F911" s="145"/>
      <c r="G911" s="688"/>
      <c r="H911" s="676"/>
      <c r="I911" s="676"/>
      <c r="J911" s="676"/>
      <c r="K911" s="676"/>
      <c r="L911" s="1044"/>
      <c r="M911" s="145"/>
    </row>
    <row r="912" spans="1:13" ht="15.75" customHeight="1">
      <c r="A912" s="658"/>
      <c r="B912" s="145"/>
      <c r="C912" s="674"/>
      <c r="D912" s="145"/>
      <c r="E912" s="145"/>
      <c r="F912" s="145"/>
      <c r="G912" s="688"/>
      <c r="H912" s="676"/>
      <c r="I912" s="676"/>
      <c r="J912" s="676"/>
      <c r="K912" s="676"/>
      <c r="L912" s="1044"/>
      <c r="M912" s="145"/>
    </row>
    <row r="913" spans="1:13" ht="15.75" customHeight="1">
      <c r="A913" s="658"/>
      <c r="B913" s="145"/>
      <c r="C913" s="674"/>
      <c r="D913" s="145"/>
      <c r="E913" s="145"/>
      <c r="F913" s="145"/>
      <c r="G913" s="688"/>
      <c r="H913" s="676"/>
      <c r="I913" s="676"/>
      <c r="J913" s="676"/>
      <c r="K913" s="676"/>
      <c r="L913" s="1044"/>
      <c r="M913" s="145"/>
    </row>
    <row r="914" spans="1:13" ht="15.75" customHeight="1">
      <c r="A914" s="658"/>
      <c r="B914" s="145"/>
      <c r="C914" s="674"/>
      <c r="D914" s="145"/>
      <c r="E914" s="145"/>
      <c r="F914" s="145"/>
      <c r="G914" s="688"/>
      <c r="H914" s="676"/>
      <c r="I914" s="676"/>
      <c r="J914" s="676"/>
      <c r="K914" s="676"/>
      <c r="L914" s="1044"/>
      <c r="M914" s="145"/>
    </row>
    <row r="915" spans="1:13" ht="15.75" customHeight="1">
      <c r="A915" s="658"/>
      <c r="B915" s="145"/>
      <c r="C915" s="674"/>
      <c r="D915" s="145"/>
      <c r="E915" s="145"/>
      <c r="F915" s="145"/>
      <c r="G915" s="688"/>
      <c r="H915" s="676"/>
      <c r="I915" s="676"/>
      <c r="J915" s="676"/>
      <c r="K915" s="676"/>
      <c r="L915" s="1044"/>
      <c r="M915" s="145"/>
    </row>
    <row r="916" spans="1:13" ht="15.75" customHeight="1">
      <c r="A916" s="658"/>
      <c r="B916" s="145"/>
      <c r="C916" s="674"/>
      <c r="D916" s="145"/>
      <c r="E916" s="145"/>
      <c r="F916" s="145"/>
      <c r="G916" s="688"/>
      <c r="H916" s="676"/>
      <c r="I916" s="676"/>
      <c r="J916" s="676"/>
      <c r="K916" s="676"/>
      <c r="L916" s="1044"/>
      <c r="M916" s="145"/>
    </row>
    <row r="917" spans="1:13" ht="15.75" customHeight="1">
      <c r="A917" s="658"/>
      <c r="B917" s="145"/>
      <c r="C917" s="674"/>
      <c r="D917" s="145"/>
      <c r="E917" s="145"/>
      <c r="F917" s="145"/>
      <c r="G917" s="688"/>
      <c r="H917" s="676"/>
      <c r="I917" s="676"/>
      <c r="J917" s="676"/>
      <c r="K917" s="676"/>
      <c r="L917" s="1044"/>
      <c r="M917" s="145"/>
    </row>
    <row r="918" spans="1:13" ht="15.75" customHeight="1">
      <c r="A918" s="658"/>
      <c r="B918" s="145"/>
      <c r="C918" s="674"/>
      <c r="D918" s="145"/>
      <c r="E918" s="145"/>
      <c r="F918" s="145"/>
      <c r="G918" s="688"/>
      <c r="H918" s="676"/>
      <c r="I918" s="676"/>
      <c r="J918" s="676"/>
      <c r="K918" s="676"/>
      <c r="L918" s="1044"/>
      <c r="M918" s="145"/>
    </row>
    <row r="919" spans="1:13" ht="15.75" customHeight="1">
      <c r="A919" s="658"/>
      <c r="B919" s="145"/>
      <c r="C919" s="674"/>
      <c r="D919" s="145"/>
      <c r="E919" s="145"/>
      <c r="F919" s="145"/>
      <c r="G919" s="688"/>
      <c r="H919" s="676"/>
      <c r="I919" s="676"/>
      <c r="J919" s="676"/>
      <c r="K919" s="676"/>
      <c r="L919" s="1044"/>
      <c r="M919" s="145"/>
    </row>
    <row r="920" spans="1:13" ht="15.75" customHeight="1">
      <c r="A920" s="658"/>
      <c r="B920" s="145"/>
      <c r="C920" s="674"/>
      <c r="D920" s="145"/>
      <c r="E920" s="145"/>
      <c r="F920" s="145"/>
      <c r="G920" s="688"/>
      <c r="H920" s="676"/>
      <c r="I920" s="676"/>
      <c r="J920" s="676"/>
      <c r="K920" s="676"/>
      <c r="L920" s="1044"/>
      <c r="M920" s="145"/>
    </row>
    <row r="921" spans="1:13" ht="15.75" customHeight="1">
      <c r="A921" s="658"/>
      <c r="B921" s="145"/>
      <c r="C921" s="674"/>
      <c r="D921" s="145"/>
      <c r="E921" s="145"/>
      <c r="F921" s="145"/>
      <c r="G921" s="688"/>
      <c r="H921" s="676"/>
      <c r="I921" s="676"/>
      <c r="J921" s="676"/>
      <c r="K921" s="676"/>
      <c r="L921" s="1044"/>
      <c r="M921" s="145"/>
    </row>
    <row r="922" spans="1:13" ht="15.75" customHeight="1">
      <c r="A922" s="658"/>
      <c r="B922" s="145"/>
      <c r="C922" s="674"/>
      <c r="D922" s="145"/>
      <c r="E922" s="145"/>
      <c r="F922" s="145"/>
      <c r="G922" s="688"/>
      <c r="H922" s="676"/>
      <c r="I922" s="676"/>
      <c r="J922" s="676"/>
      <c r="K922" s="676"/>
      <c r="L922" s="1044"/>
      <c r="M922" s="145"/>
    </row>
    <row r="923" spans="1:13" ht="15.75" customHeight="1">
      <c r="A923" s="658"/>
      <c r="B923" s="145"/>
      <c r="C923" s="674"/>
      <c r="D923" s="145"/>
      <c r="E923" s="145"/>
      <c r="F923" s="145"/>
      <c r="G923" s="688"/>
      <c r="H923" s="676"/>
      <c r="I923" s="676"/>
      <c r="J923" s="676"/>
      <c r="K923" s="676"/>
      <c r="L923" s="1044"/>
      <c r="M923" s="145"/>
    </row>
    <row r="924" spans="1:13" ht="15.75" customHeight="1">
      <c r="A924" s="658"/>
      <c r="B924" s="145"/>
      <c r="C924" s="674"/>
      <c r="D924" s="145"/>
      <c r="E924" s="145"/>
      <c r="F924" s="145"/>
      <c r="G924" s="688"/>
      <c r="H924" s="676"/>
      <c r="I924" s="676"/>
      <c r="J924" s="676"/>
      <c r="K924" s="676"/>
      <c r="L924" s="1044"/>
      <c r="M924" s="145"/>
    </row>
    <row r="925" spans="1:13" ht="15.75" customHeight="1">
      <c r="A925" s="658"/>
      <c r="B925" s="145"/>
      <c r="C925" s="674"/>
      <c r="D925" s="145"/>
      <c r="E925" s="145"/>
      <c r="F925" s="145"/>
      <c r="G925" s="688"/>
      <c r="H925" s="676"/>
      <c r="I925" s="676"/>
      <c r="J925" s="676"/>
      <c r="K925" s="676"/>
      <c r="L925" s="1044"/>
      <c r="M925" s="145"/>
    </row>
    <row r="926" spans="1:13" ht="15.75" customHeight="1">
      <c r="A926" s="658"/>
      <c r="B926" s="145"/>
      <c r="C926" s="674"/>
      <c r="D926" s="145"/>
      <c r="E926" s="145"/>
      <c r="F926" s="145"/>
      <c r="G926" s="688"/>
      <c r="H926" s="676"/>
      <c r="I926" s="676"/>
      <c r="J926" s="676"/>
      <c r="K926" s="676"/>
      <c r="L926" s="1044"/>
      <c r="M926" s="145"/>
    </row>
    <row r="927" spans="1:13" ht="15.75" customHeight="1">
      <c r="A927" s="658"/>
      <c r="B927" s="145"/>
      <c r="C927" s="674"/>
      <c r="D927" s="145"/>
      <c r="E927" s="145"/>
      <c r="F927" s="145"/>
      <c r="G927" s="688"/>
      <c r="H927" s="676"/>
      <c r="I927" s="676"/>
      <c r="J927" s="676"/>
      <c r="K927" s="676"/>
      <c r="L927" s="1044"/>
      <c r="M927" s="145"/>
    </row>
    <row r="928" spans="1:13" ht="15.75" customHeight="1">
      <c r="A928" s="658"/>
      <c r="B928" s="145"/>
      <c r="C928" s="674"/>
      <c r="D928" s="145"/>
      <c r="E928" s="145"/>
      <c r="F928" s="145"/>
      <c r="G928" s="688"/>
      <c r="H928" s="676"/>
      <c r="I928" s="676"/>
      <c r="J928" s="676"/>
      <c r="K928" s="676"/>
      <c r="L928" s="1044"/>
      <c r="M928" s="145"/>
    </row>
    <row r="929" spans="1:13" ht="15.75" customHeight="1">
      <c r="A929" s="658"/>
      <c r="B929" s="145"/>
      <c r="C929" s="674"/>
      <c r="D929" s="145"/>
      <c r="E929" s="145"/>
      <c r="F929" s="145"/>
      <c r="G929" s="688"/>
      <c r="H929" s="676"/>
      <c r="I929" s="676"/>
      <c r="J929" s="676"/>
      <c r="K929" s="676"/>
      <c r="L929" s="1044"/>
      <c r="M929" s="145"/>
    </row>
    <row r="930" spans="1:13" ht="15.75" customHeight="1">
      <c r="A930" s="658"/>
      <c r="B930" s="145"/>
      <c r="C930" s="674"/>
      <c r="D930" s="145"/>
      <c r="E930" s="145"/>
      <c r="F930" s="145"/>
      <c r="G930" s="688"/>
      <c r="H930" s="676"/>
      <c r="I930" s="676"/>
      <c r="J930" s="676"/>
      <c r="K930" s="676"/>
      <c r="L930" s="1044"/>
      <c r="M930" s="145"/>
    </row>
    <row r="931" spans="1:13" ht="15.75" customHeight="1">
      <c r="A931" s="658"/>
      <c r="B931" s="145"/>
      <c r="C931" s="674"/>
      <c r="D931" s="145"/>
      <c r="E931" s="145"/>
      <c r="F931" s="145"/>
      <c r="G931" s="688"/>
      <c r="H931" s="676"/>
      <c r="I931" s="676"/>
      <c r="J931" s="676"/>
      <c r="K931" s="676"/>
      <c r="L931" s="1044"/>
      <c r="M931" s="145"/>
    </row>
    <row r="932" spans="1:13" ht="15.75" customHeight="1">
      <c r="A932" s="658"/>
      <c r="B932" s="145"/>
      <c r="C932" s="674"/>
      <c r="D932" s="145"/>
      <c r="E932" s="145"/>
      <c r="F932" s="145"/>
      <c r="G932" s="688"/>
      <c r="H932" s="676"/>
      <c r="I932" s="676"/>
      <c r="J932" s="676"/>
      <c r="K932" s="676"/>
      <c r="L932" s="1044"/>
      <c r="M932" s="145"/>
    </row>
    <row r="933" spans="1:13" ht="15.75" customHeight="1">
      <c r="A933" s="658"/>
      <c r="B933" s="145"/>
      <c r="C933" s="674"/>
      <c r="D933" s="145"/>
      <c r="E933" s="145"/>
      <c r="F933" s="145"/>
      <c r="G933" s="688"/>
      <c r="H933" s="676"/>
      <c r="I933" s="676"/>
      <c r="J933" s="676"/>
      <c r="K933" s="676"/>
      <c r="L933" s="1044"/>
      <c r="M933" s="145"/>
    </row>
    <row r="934" spans="1:13" ht="15.75" customHeight="1">
      <c r="A934" s="658"/>
      <c r="B934" s="145"/>
      <c r="C934" s="674"/>
      <c r="D934" s="145"/>
      <c r="E934" s="145"/>
      <c r="F934" s="145"/>
      <c r="G934" s="688"/>
      <c r="H934" s="676"/>
      <c r="I934" s="676"/>
      <c r="J934" s="676"/>
      <c r="K934" s="676"/>
      <c r="L934" s="1044"/>
      <c r="M934" s="145"/>
    </row>
    <row r="935" spans="1:13" ht="15.75" customHeight="1">
      <c r="A935" s="658"/>
      <c r="B935" s="145"/>
      <c r="C935" s="674"/>
      <c r="D935" s="145"/>
      <c r="E935" s="145"/>
      <c r="F935" s="145"/>
      <c r="G935" s="688"/>
      <c r="H935" s="676"/>
      <c r="I935" s="676"/>
      <c r="J935" s="676"/>
      <c r="K935" s="676"/>
      <c r="L935" s="1044"/>
      <c r="M935" s="145"/>
    </row>
    <row r="936" spans="1:13" ht="15.75" customHeight="1">
      <c r="A936" s="658"/>
      <c r="B936" s="145"/>
      <c r="C936" s="674"/>
      <c r="D936" s="145"/>
      <c r="E936" s="145"/>
      <c r="F936" s="145"/>
      <c r="G936" s="688"/>
      <c r="H936" s="676"/>
      <c r="I936" s="676"/>
      <c r="J936" s="676"/>
      <c r="K936" s="676"/>
      <c r="L936" s="1044"/>
      <c r="M936" s="145"/>
    </row>
    <row r="937" spans="1:13" ht="15.75" customHeight="1">
      <c r="A937" s="658"/>
      <c r="B937" s="145"/>
      <c r="C937" s="674"/>
      <c r="D937" s="145"/>
      <c r="E937" s="145"/>
      <c r="F937" s="145"/>
      <c r="G937" s="688"/>
      <c r="H937" s="676"/>
      <c r="I937" s="676"/>
      <c r="J937" s="676"/>
      <c r="K937" s="676"/>
      <c r="L937" s="1044"/>
      <c r="M937" s="145"/>
    </row>
    <row r="938" spans="1:13" ht="15.75" customHeight="1">
      <c r="A938" s="658"/>
      <c r="B938" s="145"/>
      <c r="C938" s="674"/>
      <c r="D938" s="145"/>
      <c r="E938" s="145"/>
      <c r="F938" s="145"/>
      <c r="G938" s="688"/>
      <c r="H938" s="676"/>
      <c r="I938" s="676"/>
      <c r="J938" s="676"/>
      <c r="K938" s="676"/>
      <c r="L938" s="1044"/>
      <c r="M938" s="145"/>
    </row>
    <row r="939" spans="1:13" ht="15.75" customHeight="1">
      <c r="A939" s="658"/>
      <c r="B939" s="145"/>
      <c r="C939" s="674"/>
      <c r="D939" s="145"/>
      <c r="E939" s="145"/>
      <c r="F939" s="145"/>
      <c r="G939" s="688"/>
      <c r="H939" s="676"/>
      <c r="I939" s="676"/>
      <c r="J939" s="676"/>
      <c r="K939" s="676"/>
      <c r="L939" s="1044"/>
      <c r="M939" s="145"/>
    </row>
    <row r="940" spans="1:13" ht="15.75" customHeight="1">
      <c r="A940" s="658"/>
      <c r="B940" s="145"/>
      <c r="C940" s="674"/>
      <c r="D940" s="145"/>
      <c r="E940" s="145"/>
      <c r="F940" s="145"/>
      <c r="G940" s="688"/>
      <c r="H940" s="676"/>
      <c r="I940" s="676"/>
      <c r="J940" s="676"/>
      <c r="K940" s="676"/>
      <c r="L940" s="1044"/>
      <c r="M940" s="145"/>
    </row>
    <row r="941" spans="1:13" ht="15.75" customHeight="1">
      <c r="A941" s="658"/>
      <c r="B941" s="145"/>
      <c r="C941" s="674"/>
      <c r="D941" s="145"/>
      <c r="E941" s="145"/>
      <c r="F941" s="145"/>
      <c r="G941" s="688"/>
      <c r="H941" s="676"/>
      <c r="I941" s="676"/>
      <c r="J941" s="676"/>
      <c r="K941" s="676"/>
      <c r="L941" s="1044"/>
      <c r="M941" s="145"/>
    </row>
    <row r="942" spans="1:13" ht="15.75" customHeight="1">
      <c r="A942" s="658"/>
      <c r="B942" s="145"/>
      <c r="C942" s="674"/>
      <c r="D942" s="145"/>
      <c r="E942" s="145"/>
      <c r="F942" s="145"/>
      <c r="G942" s="688"/>
      <c r="H942" s="676"/>
      <c r="I942" s="676"/>
      <c r="J942" s="676"/>
      <c r="K942" s="676"/>
      <c r="L942" s="1044"/>
      <c r="M942" s="145"/>
    </row>
    <row r="943" spans="1:13" ht="15.75" customHeight="1">
      <c r="A943" s="658"/>
      <c r="B943" s="145"/>
      <c r="C943" s="674"/>
      <c r="D943" s="145"/>
      <c r="E943" s="145"/>
      <c r="F943" s="145"/>
      <c r="G943" s="688"/>
      <c r="H943" s="676"/>
      <c r="I943" s="676"/>
      <c r="J943" s="676"/>
      <c r="K943" s="676"/>
      <c r="L943" s="1044"/>
      <c r="M943" s="145"/>
    </row>
    <row r="944" spans="1:13" ht="15.75" customHeight="1">
      <c r="A944" s="658"/>
      <c r="B944" s="145"/>
      <c r="C944" s="674"/>
      <c r="D944" s="145"/>
      <c r="E944" s="145"/>
      <c r="F944" s="145"/>
      <c r="G944" s="688"/>
      <c r="H944" s="676"/>
      <c r="I944" s="676"/>
      <c r="J944" s="676"/>
      <c r="K944" s="676"/>
      <c r="L944" s="1044"/>
      <c r="M944" s="145"/>
    </row>
    <row r="945" spans="1:13" ht="15.75" customHeight="1">
      <c r="A945" s="658"/>
      <c r="B945" s="145"/>
      <c r="C945" s="674"/>
      <c r="D945" s="145"/>
      <c r="E945" s="145"/>
      <c r="F945" s="145"/>
      <c r="G945" s="688"/>
      <c r="H945" s="676"/>
      <c r="I945" s="676"/>
      <c r="J945" s="676"/>
      <c r="K945" s="676"/>
      <c r="L945" s="1044"/>
      <c r="M945" s="145"/>
    </row>
    <row r="946" spans="1:13" ht="15.75" customHeight="1">
      <c r="A946" s="658"/>
      <c r="B946" s="145"/>
      <c r="C946" s="674"/>
      <c r="D946" s="145"/>
      <c r="E946" s="145"/>
      <c r="F946" s="145"/>
      <c r="G946" s="688"/>
      <c r="H946" s="676"/>
      <c r="I946" s="676"/>
      <c r="J946" s="676"/>
      <c r="K946" s="676"/>
      <c r="L946" s="1044"/>
      <c r="M946" s="145"/>
    </row>
    <row r="947" spans="1:13" ht="15.75" customHeight="1">
      <c r="A947" s="658"/>
      <c r="B947" s="145"/>
      <c r="C947" s="674"/>
      <c r="D947" s="145"/>
      <c r="E947" s="145"/>
      <c r="F947" s="145"/>
      <c r="G947" s="688"/>
      <c r="H947" s="676"/>
      <c r="I947" s="676"/>
      <c r="J947" s="676"/>
      <c r="K947" s="676"/>
      <c r="L947" s="1044"/>
      <c r="M947" s="145"/>
    </row>
    <row r="948" spans="1:13" ht="15.75" customHeight="1">
      <c r="A948" s="658"/>
      <c r="B948" s="145"/>
      <c r="C948" s="674"/>
      <c r="D948" s="145"/>
      <c r="E948" s="145"/>
      <c r="F948" s="145"/>
      <c r="G948" s="688"/>
      <c r="H948" s="676"/>
      <c r="I948" s="676"/>
      <c r="J948" s="676"/>
      <c r="K948" s="676"/>
      <c r="L948" s="1044"/>
      <c r="M948" s="145"/>
    </row>
    <row r="949" spans="1:13" ht="15.75" customHeight="1">
      <c r="A949" s="658"/>
      <c r="B949" s="145"/>
      <c r="C949" s="674"/>
      <c r="D949" s="145"/>
      <c r="E949" s="145"/>
      <c r="F949" s="145"/>
      <c r="G949" s="688"/>
      <c r="H949" s="676"/>
      <c r="I949" s="676"/>
      <c r="J949" s="676"/>
      <c r="K949" s="676"/>
      <c r="L949" s="1044"/>
      <c r="M949" s="145"/>
    </row>
    <row r="950" spans="1:13" ht="15.75" customHeight="1">
      <c r="A950" s="658"/>
      <c r="B950" s="145"/>
      <c r="C950" s="674"/>
      <c r="D950" s="145"/>
      <c r="E950" s="145"/>
      <c r="F950" s="145"/>
      <c r="G950" s="688"/>
      <c r="H950" s="676"/>
      <c r="I950" s="676"/>
      <c r="J950" s="676"/>
      <c r="K950" s="676"/>
      <c r="L950" s="1044"/>
      <c r="M950" s="145"/>
    </row>
    <row r="951" spans="1:13" ht="15.75" customHeight="1">
      <c r="A951" s="658"/>
      <c r="B951" s="145"/>
      <c r="C951" s="674"/>
      <c r="D951" s="145"/>
      <c r="E951" s="145"/>
      <c r="F951" s="145"/>
      <c r="G951" s="688"/>
      <c r="H951" s="676"/>
      <c r="I951" s="676"/>
      <c r="J951" s="676"/>
      <c r="K951" s="676"/>
      <c r="L951" s="1044"/>
      <c r="M951" s="145"/>
    </row>
    <row r="952" spans="1:13" ht="15.75" customHeight="1">
      <c r="A952" s="658"/>
      <c r="B952" s="145"/>
      <c r="C952" s="674"/>
      <c r="D952" s="145"/>
      <c r="E952" s="145"/>
      <c r="F952" s="145"/>
      <c r="G952" s="688"/>
      <c r="H952" s="676"/>
      <c r="I952" s="676"/>
      <c r="J952" s="676"/>
      <c r="K952" s="676"/>
      <c r="L952" s="1044"/>
      <c r="M952" s="145"/>
    </row>
    <row r="953" spans="1:13" ht="15.75" customHeight="1">
      <c r="A953" s="658"/>
      <c r="B953" s="145"/>
      <c r="C953" s="674"/>
      <c r="D953" s="145"/>
      <c r="E953" s="145"/>
      <c r="F953" s="145"/>
      <c r="G953" s="688"/>
      <c r="H953" s="676"/>
      <c r="I953" s="676"/>
      <c r="J953" s="676"/>
      <c r="K953" s="676"/>
      <c r="L953" s="1044"/>
      <c r="M953" s="145"/>
    </row>
    <row r="954" spans="1:13" ht="15.75" customHeight="1">
      <c r="A954" s="658"/>
      <c r="B954" s="145"/>
      <c r="C954" s="674"/>
      <c r="D954" s="145"/>
      <c r="E954" s="145"/>
      <c r="F954" s="145"/>
      <c r="G954" s="688"/>
      <c r="H954" s="676"/>
      <c r="I954" s="676"/>
      <c r="J954" s="676"/>
      <c r="K954" s="676"/>
      <c r="L954" s="1044"/>
      <c r="M954" s="145"/>
    </row>
    <row r="955" spans="1:13" ht="15.75" customHeight="1">
      <c r="A955" s="658"/>
      <c r="B955" s="145"/>
      <c r="C955" s="674"/>
      <c r="D955" s="145"/>
      <c r="E955" s="145"/>
      <c r="F955" s="145"/>
      <c r="G955" s="688"/>
      <c r="H955" s="676"/>
      <c r="I955" s="676"/>
      <c r="J955" s="676"/>
      <c r="K955" s="676"/>
      <c r="L955" s="1044"/>
      <c r="M955" s="145"/>
    </row>
    <row r="956" spans="1:13" ht="15.75" customHeight="1">
      <c r="A956" s="658"/>
      <c r="B956" s="145"/>
      <c r="C956" s="674"/>
      <c r="D956" s="145"/>
      <c r="E956" s="145"/>
      <c r="F956" s="145"/>
      <c r="G956" s="688"/>
      <c r="H956" s="676"/>
      <c r="I956" s="676"/>
      <c r="J956" s="676"/>
      <c r="K956" s="676"/>
      <c r="L956" s="1044"/>
      <c r="M956" s="145"/>
    </row>
    <row r="957" spans="1:13" ht="15.75" customHeight="1">
      <c r="A957" s="658"/>
      <c r="B957" s="145"/>
      <c r="C957" s="674"/>
      <c r="D957" s="145"/>
      <c r="E957" s="145"/>
      <c r="F957" s="145"/>
      <c r="G957" s="688"/>
      <c r="H957" s="676"/>
      <c r="I957" s="676"/>
      <c r="J957" s="676"/>
      <c r="K957" s="676"/>
      <c r="L957" s="1044"/>
      <c r="M957" s="145"/>
    </row>
    <row r="958" spans="1:13" ht="15.75" customHeight="1">
      <c r="A958" s="658"/>
      <c r="B958" s="145"/>
      <c r="C958" s="674"/>
      <c r="D958" s="145"/>
      <c r="E958" s="145"/>
      <c r="F958" s="145"/>
      <c r="G958" s="688"/>
      <c r="H958" s="676"/>
      <c r="I958" s="676"/>
      <c r="J958" s="676"/>
      <c r="K958" s="676"/>
      <c r="L958" s="1044"/>
      <c r="M958" s="145"/>
    </row>
    <row r="959" spans="1:13" ht="15.75" customHeight="1">
      <c r="A959" s="658"/>
      <c r="B959" s="145"/>
      <c r="C959" s="674"/>
      <c r="D959" s="145"/>
      <c r="E959" s="145"/>
      <c r="F959" s="145"/>
      <c r="G959" s="688"/>
      <c r="H959" s="676"/>
      <c r="I959" s="676"/>
      <c r="J959" s="676"/>
      <c r="K959" s="676"/>
      <c r="L959" s="1044"/>
      <c r="M959" s="145"/>
    </row>
    <row r="960" spans="1:13" ht="15.75" customHeight="1">
      <c r="A960" s="658"/>
      <c r="B960" s="145"/>
      <c r="C960" s="674"/>
      <c r="D960" s="145"/>
      <c r="E960" s="145"/>
      <c r="F960" s="145"/>
      <c r="G960" s="688"/>
      <c r="H960" s="676"/>
      <c r="I960" s="676"/>
      <c r="J960" s="676"/>
      <c r="K960" s="676"/>
      <c r="L960" s="1044"/>
      <c r="M960" s="145"/>
    </row>
    <row r="961" spans="1:13" ht="15.75" customHeight="1">
      <c r="A961" s="658"/>
      <c r="B961" s="145"/>
      <c r="C961" s="674"/>
      <c r="D961" s="145"/>
      <c r="E961" s="145"/>
      <c r="F961" s="145"/>
      <c r="G961" s="688"/>
      <c r="H961" s="676"/>
      <c r="I961" s="676"/>
      <c r="J961" s="676"/>
      <c r="K961" s="676"/>
      <c r="L961" s="1044"/>
      <c r="M961" s="145"/>
    </row>
    <row r="962" spans="1:13" ht="15.75" customHeight="1">
      <c r="A962" s="658"/>
      <c r="B962" s="145"/>
      <c r="C962" s="674"/>
      <c r="D962" s="145"/>
      <c r="E962" s="145"/>
      <c r="F962" s="145"/>
      <c r="G962" s="688"/>
      <c r="H962" s="676"/>
      <c r="I962" s="676"/>
      <c r="J962" s="676"/>
      <c r="K962" s="676"/>
      <c r="L962" s="1044"/>
      <c r="M962" s="145"/>
    </row>
    <row r="963" spans="1:13" ht="15.75" customHeight="1">
      <c r="A963" s="658"/>
      <c r="B963" s="145"/>
      <c r="C963" s="674"/>
      <c r="D963" s="145"/>
      <c r="E963" s="145"/>
      <c r="F963" s="145"/>
      <c r="G963" s="688"/>
      <c r="H963" s="676"/>
      <c r="I963" s="676"/>
      <c r="J963" s="676"/>
      <c r="K963" s="676"/>
      <c r="L963" s="1044"/>
      <c r="M963" s="145"/>
    </row>
    <row r="964" spans="1:13" ht="15.75" customHeight="1">
      <c r="A964" s="658"/>
      <c r="B964" s="145"/>
      <c r="C964" s="674"/>
      <c r="D964" s="145"/>
      <c r="E964" s="145"/>
      <c r="F964" s="145"/>
      <c r="G964" s="688"/>
      <c r="H964" s="676"/>
      <c r="I964" s="676"/>
      <c r="J964" s="676"/>
      <c r="K964" s="676"/>
      <c r="L964" s="1044"/>
      <c r="M964" s="145"/>
    </row>
    <row r="965" spans="1:13" ht="15.75" customHeight="1">
      <c r="A965" s="658"/>
      <c r="B965" s="145"/>
      <c r="C965" s="674"/>
      <c r="D965" s="145"/>
      <c r="E965" s="145"/>
      <c r="F965" s="145"/>
      <c r="G965" s="688"/>
      <c r="H965" s="676"/>
      <c r="I965" s="676"/>
      <c r="J965" s="676"/>
      <c r="K965" s="676"/>
      <c r="L965" s="1044"/>
      <c r="M965" s="145"/>
    </row>
    <row r="966" spans="1:13" ht="15.75" customHeight="1">
      <c r="A966" s="658"/>
      <c r="B966" s="145"/>
      <c r="C966" s="674"/>
      <c r="D966" s="145"/>
      <c r="E966" s="145"/>
      <c r="F966" s="145"/>
      <c r="G966" s="688"/>
      <c r="H966" s="676"/>
      <c r="I966" s="676"/>
      <c r="J966" s="676"/>
      <c r="K966" s="676"/>
      <c r="L966" s="1044"/>
      <c r="M966" s="145"/>
    </row>
    <row r="967" spans="1:13" ht="15.75" customHeight="1">
      <c r="A967" s="658"/>
      <c r="B967" s="145"/>
      <c r="C967" s="674"/>
      <c r="D967" s="145"/>
      <c r="E967" s="145"/>
      <c r="F967" s="145"/>
      <c r="G967" s="688"/>
      <c r="H967" s="676"/>
      <c r="I967" s="676"/>
      <c r="J967" s="676"/>
      <c r="K967" s="676"/>
      <c r="L967" s="1044"/>
      <c r="M967" s="145"/>
    </row>
    <row r="968" spans="1:13" ht="15.75" customHeight="1">
      <c r="A968" s="658"/>
      <c r="B968" s="145"/>
      <c r="C968" s="674"/>
      <c r="D968" s="145"/>
      <c r="E968" s="145"/>
      <c r="F968" s="145"/>
      <c r="G968" s="688"/>
      <c r="H968" s="676"/>
      <c r="I968" s="676"/>
      <c r="J968" s="676"/>
      <c r="K968" s="676"/>
      <c r="L968" s="1044"/>
      <c r="M968" s="145"/>
    </row>
    <row r="969" spans="1:13" ht="15.75" customHeight="1">
      <c r="A969" s="658"/>
      <c r="B969" s="145"/>
      <c r="C969" s="674"/>
      <c r="D969" s="145"/>
      <c r="E969" s="145"/>
      <c r="F969" s="145"/>
      <c r="G969" s="688"/>
      <c r="H969" s="676"/>
      <c r="I969" s="676"/>
      <c r="J969" s="676"/>
      <c r="K969" s="676"/>
      <c r="L969" s="1044"/>
      <c r="M969" s="145"/>
    </row>
    <row r="970" spans="1:13" ht="15.75" customHeight="1">
      <c r="A970" s="658"/>
      <c r="B970" s="145"/>
      <c r="C970" s="674"/>
      <c r="D970" s="145"/>
      <c r="E970" s="145"/>
      <c r="F970" s="145"/>
      <c r="G970" s="688"/>
      <c r="H970" s="676"/>
      <c r="I970" s="676"/>
      <c r="J970" s="676"/>
      <c r="K970" s="676"/>
      <c r="L970" s="1044"/>
      <c r="M970" s="145"/>
    </row>
    <row r="971" spans="1:13" ht="15.75" customHeight="1">
      <c r="A971" s="658"/>
      <c r="B971" s="145"/>
      <c r="C971" s="674"/>
      <c r="D971" s="145"/>
      <c r="E971" s="145"/>
      <c r="F971" s="145"/>
      <c r="G971" s="688"/>
      <c r="H971" s="676"/>
      <c r="I971" s="676"/>
      <c r="J971" s="676"/>
      <c r="K971" s="676"/>
      <c r="L971" s="1044"/>
      <c r="M971" s="145"/>
    </row>
    <row r="972" spans="1:13" ht="15.75" customHeight="1">
      <c r="A972" s="658"/>
      <c r="B972" s="145"/>
      <c r="C972" s="674"/>
      <c r="D972" s="145"/>
      <c r="E972" s="145"/>
      <c r="F972" s="145"/>
      <c r="G972" s="688"/>
      <c r="H972" s="676"/>
      <c r="I972" s="676"/>
      <c r="J972" s="676"/>
      <c r="K972" s="676"/>
      <c r="L972" s="1044"/>
      <c r="M972" s="145"/>
    </row>
    <row r="973" spans="1:13" ht="15.75" customHeight="1">
      <c r="A973" s="658"/>
      <c r="B973" s="145"/>
      <c r="C973" s="674"/>
      <c r="D973" s="145"/>
      <c r="E973" s="145"/>
      <c r="F973" s="145"/>
      <c r="G973" s="688"/>
      <c r="H973" s="676"/>
      <c r="I973" s="676"/>
      <c r="J973" s="676"/>
      <c r="K973" s="676"/>
      <c r="L973" s="1044"/>
      <c r="M973" s="145"/>
    </row>
    <row r="974" spans="1:13" ht="15.75" customHeight="1">
      <c r="A974" s="658"/>
      <c r="B974" s="145"/>
      <c r="C974" s="674"/>
      <c r="D974" s="145"/>
      <c r="E974" s="145"/>
      <c r="F974" s="145"/>
      <c r="G974" s="688"/>
      <c r="H974" s="676"/>
      <c r="I974" s="676"/>
      <c r="J974" s="676"/>
      <c r="K974" s="676"/>
      <c r="L974" s="1044"/>
      <c r="M974" s="145"/>
    </row>
    <row r="975" spans="1:13" ht="15.75" customHeight="1">
      <c r="A975" s="658"/>
      <c r="B975" s="145"/>
      <c r="C975" s="674"/>
      <c r="D975" s="145"/>
      <c r="E975" s="145"/>
      <c r="F975" s="145"/>
      <c r="G975" s="688"/>
      <c r="H975" s="676"/>
      <c r="I975" s="676"/>
      <c r="J975" s="676"/>
      <c r="K975" s="676"/>
      <c r="L975" s="1044"/>
      <c r="M975" s="145"/>
    </row>
    <row r="976" spans="1:13" ht="15.75" customHeight="1">
      <c r="A976" s="658"/>
      <c r="B976" s="145"/>
      <c r="C976" s="674"/>
      <c r="D976" s="145"/>
      <c r="E976" s="145"/>
      <c r="F976" s="145"/>
      <c r="G976" s="688"/>
      <c r="H976" s="676"/>
      <c r="I976" s="676"/>
      <c r="J976" s="676"/>
      <c r="K976" s="676"/>
      <c r="L976" s="1044"/>
      <c r="M976" s="145"/>
    </row>
    <row r="977" spans="1:13" ht="15.75" customHeight="1">
      <c r="A977" s="658"/>
      <c r="B977" s="145"/>
      <c r="C977" s="674"/>
      <c r="D977" s="145"/>
      <c r="E977" s="145"/>
      <c r="F977" s="145"/>
      <c r="G977" s="688"/>
      <c r="H977" s="676"/>
      <c r="I977" s="676"/>
      <c r="J977" s="676"/>
      <c r="K977" s="676"/>
      <c r="L977" s="1044"/>
      <c r="M977" s="145"/>
    </row>
    <row r="978" spans="1:13" ht="15.75" customHeight="1">
      <c r="A978" s="658"/>
      <c r="B978" s="145"/>
      <c r="C978" s="674"/>
      <c r="D978" s="145"/>
      <c r="E978" s="145"/>
      <c r="F978" s="145"/>
      <c r="G978" s="688"/>
      <c r="H978" s="676"/>
      <c r="I978" s="676"/>
      <c r="J978" s="676"/>
      <c r="K978" s="676"/>
      <c r="L978" s="1044"/>
      <c r="M978" s="145"/>
    </row>
    <row r="979" spans="1:13" ht="15.75" customHeight="1">
      <c r="A979" s="658"/>
      <c r="B979" s="145"/>
      <c r="C979" s="674"/>
      <c r="D979" s="145"/>
      <c r="E979" s="145"/>
      <c r="F979" s="145"/>
      <c r="G979" s="688"/>
      <c r="H979" s="676"/>
      <c r="I979" s="676"/>
      <c r="J979" s="676"/>
      <c r="K979" s="676"/>
      <c r="L979" s="1044"/>
      <c r="M979" s="145"/>
    </row>
    <row r="980" spans="1:13" ht="15.75" customHeight="1">
      <c r="A980" s="658"/>
      <c r="B980" s="145"/>
      <c r="C980" s="674"/>
      <c r="D980" s="145"/>
      <c r="E980" s="145"/>
      <c r="F980" s="145"/>
      <c r="G980" s="688"/>
      <c r="H980" s="676"/>
      <c r="I980" s="676"/>
      <c r="J980" s="676"/>
      <c r="K980" s="676"/>
      <c r="L980" s="1044"/>
      <c r="M980" s="145"/>
    </row>
    <row r="981" spans="1:13" ht="15.75" customHeight="1">
      <c r="A981" s="658"/>
      <c r="B981" s="145"/>
      <c r="C981" s="674"/>
      <c r="D981" s="145"/>
      <c r="E981" s="145"/>
      <c r="F981" s="145"/>
      <c r="G981" s="688"/>
      <c r="H981" s="676"/>
      <c r="I981" s="676"/>
      <c r="J981" s="676"/>
      <c r="K981" s="676"/>
      <c r="L981" s="1044"/>
      <c r="M981" s="145"/>
    </row>
    <row r="982" spans="1:13" ht="15.75" customHeight="1">
      <c r="A982" s="658"/>
      <c r="B982" s="145"/>
      <c r="C982" s="674"/>
      <c r="D982" s="145"/>
      <c r="E982" s="145"/>
      <c r="F982" s="145"/>
      <c r="G982" s="688"/>
      <c r="H982" s="676"/>
      <c r="I982" s="676"/>
      <c r="J982" s="676"/>
      <c r="K982" s="676"/>
      <c r="L982" s="1044"/>
      <c r="M982" s="145"/>
    </row>
    <row r="983" spans="1:13" ht="15.75" customHeight="1">
      <c r="A983" s="658"/>
      <c r="B983" s="145"/>
      <c r="C983" s="674"/>
      <c r="D983" s="145"/>
      <c r="E983" s="145"/>
      <c r="F983" s="145"/>
      <c r="G983" s="688"/>
      <c r="H983" s="676"/>
      <c r="I983" s="676"/>
      <c r="J983" s="676"/>
      <c r="K983" s="676"/>
      <c r="L983" s="1044"/>
      <c r="M983" s="145"/>
    </row>
    <row r="984" spans="1:13" ht="15.75" customHeight="1">
      <c r="A984" s="658"/>
      <c r="B984" s="145"/>
      <c r="C984" s="674"/>
      <c r="D984" s="145"/>
      <c r="E984" s="145"/>
      <c r="F984" s="145"/>
      <c r="G984" s="688"/>
      <c r="H984" s="676"/>
      <c r="I984" s="676"/>
      <c r="J984" s="676"/>
      <c r="K984" s="676"/>
      <c r="L984" s="1044"/>
      <c r="M984" s="145"/>
    </row>
    <row r="985" spans="1:13" ht="15.75" customHeight="1">
      <c r="A985" s="658"/>
      <c r="B985" s="145"/>
      <c r="C985" s="674"/>
      <c r="D985" s="145"/>
      <c r="E985" s="145"/>
      <c r="F985" s="145"/>
      <c r="G985" s="688"/>
      <c r="H985" s="676"/>
      <c r="I985" s="676"/>
      <c r="J985" s="676"/>
      <c r="K985" s="676"/>
      <c r="L985" s="1044"/>
      <c r="M985" s="145"/>
    </row>
    <row r="986" spans="1:13" ht="15.75" customHeight="1">
      <c r="A986" s="658"/>
      <c r="B986" s="145"/>
      <c r="C986" s="674"/>
      <c r="D986" s="145"/>
      <c r="E986" s="145"/>
      <c r="F986" s="145"/>
      <c r="G986" s="688"/>
      <c r="H986" s="676"/>
      <c r="I986" s="676"/>
      <c r="J986" s="676"/>
      <c r="K986" s="676"/>
      <c r="L986" s="1044"/>
      <c r="M986" s="145"/>
    </row>
    <row r="987" spans="1:13" ht="15.75" customHeight="1">
      <c r="A987" s="658"/>
      <c r="B987" s="145"/>
      <c r="C987" s="674"/>
      <c r="D987" s="145"/>
      <c r="E987" s="145"/>
      <c r="F987" s="145"/>
      <c r="G987" s="688"/>
      <c r="H987" s="676"/>
      <c r="I987" s="676"/>
      <c r="J987" s="676"/>
      <c r="K987" s="676"/>
      <c r="L987" s="1044"/>
      <c r="M987" s="145"/>
    </row>
    <row r="988" spans="1:13" ht="15.75" customHeight="1">
      <c r="A988" s="658"/>
      <c r="B988" s="145"/>
      <c r="C988" s="674"/>
      <c r="D988" s="145"/>
      <c r="E988" s="145"/>
      <c r="F988" s="145"/>
      <c r="G988" s="688"/>
      <c r="H988" s="676"/>
      <c r="I988" s="676"/>
      <c r="J988" s="676"/>
      <c r="K988" s="676"/>
      <c r="L988" s="1044"/>
      <c r="M988" s="145"/>
    </row>
    <row r="989" spans="1:13" ht="15.75" customHeight="1">
      <c r="A989" s="658"/>
      <c r="B989" s="145"/>
      <c r="C989" s="674"/>
      <c r="D989" s="145"/>
      <c r="E989" s="145"/>
      <c r="F989" s="145"/>
      <c r="G989" s="688"/>
      <c r="H989" s="676"/>
      <c r="I989" s="676"/>
      <c r="J989" s="676"/>
      <c r="K989" s="676"/>
      <c r="L989" s="1044"/>
      <c r="M989" s="145"/>
    </row>
    <row r="990" spans="1:13" ht="15.75" customHeight="1">
      <c r="A990" s="658"/>
      <c r="B990" s="145"/>
      <c r="C990" s="674"/>
      <c r="D990" s="145"/>
      <c r="E990" s="145"/>
      <c r="F990" s="145"/>
      <c r="G990" s="688"/>
      <c r="H990" s="676"/>
      <c r="I990" s="676"/>
      <c r="J990" s="676"/>
      <c r="K990" s="676"/>
      <c r="L990" s="1044"/>
      <c r="M990" s="145"/>
    </row>
    <row r="991" spans="1:13" ht="15.75" customHeight="1">
      <c r="A991" s="658"/>
      <c r="B991" s="145"/>
      <c r="C991" s="674"/>
      <c r="D991" s="145"/>
      <c r="E991" s="145"/>
      <c r="F991" s="145"/>
      <c r="G991" s="688"/>
      <c r="H991" s="676"/>
      <c r="I991" s="676"/>
      <c r="J991" s="676"/>
      <c r="K991" s="676"/>
      <c r="L991" s="1044"/>
      <c r="M991" s="145"/>
    </row>
    <row r="992" spans="1:13" ht="15.75" customHeight="1">
      <c r="A992" s="658"/>
      <c r="B992" s="145"/>
      <c r="C992" s="674"/>
      <c r="D992" s="145"/>
      <c r="E992" s="145"/>
      <c r="F992" s="145"/>
      <c r="G992" s="688"/>
      <c r="H992" s="676"/>
      <c r="I992" s="676"/>
      <c r="J992" s="676"/>
      <c r="K992" s="676"/>
      <c r="L992" s="1044"/>
      <c r="M992" s="145"/>
    </row>
    <row r="993" spans="1:13" ht="15.75" customHeight="1">
      <c r="A993" s="658"/>
      <c r="B993" s="145"/>
      <c r="C993" s="674"/>
      <c r="D993" s="145"/>
      <c r="E993" s="145"/>
      <c r="F993" s="145"/>
      <c r="G993" s="688"/>
      <c r="H993" s="676"/>
      <c r="I993" s="676"/>
      <c r="J993" s="676"/>
      <c r="K993" s="676"/>
      <c r="L993" s="1044"/>
      <c r="M993" s="145"/>
    </row>
    <row r="994" spans="1:13" ht="15.75" customHeight="1">
      <c r="A994" s="658"/>
      <c r="B994" s="145"/>
      <c r="C994" s="674"/>
      <c r="D994" s="145"/>
      <c r="E994" s="145"/>
      <c r="F994" s="145"/>
      <c r="G994" s="688"/>
      <c r="H994" s="676"/>
      <c r="I994" s="676"/>
      <c r="J994" s="676"/>
      <c r="K994" s="676"/>
      <c r="L994" s="1044"/>
      <c r="M994" s="145"/>
    </row>
    <row r="995" spans="1:13" ht="15.75" customHeight="1">
      <c r="A995" s="658"/>
      <c r="B995" s="145"/>
      <c r="C995" s="674"/>
      <c r="D995" s="145"/>
      <c r="E995" s="145"/>
      <c r="F995" s="145"/>
      <c r="G995" s="688"/>
      <c r="H995" s="676"/>
      <c r="I995" s="676"/>
      <c r="J995" s="676"/>
      <c r="K995" s="676"/>
      <c r="L995" s="1044"/>
      <c r="M995" s="145"/>
    </row>
    <row r="996" spans="1:13" ht="15.75" customHeight="1">
      <c r="A996" s="658"/>
      <c r="B996" s="145"/>
      <c r="C996" s="674"/>
      <c r="D996" s="145"/>
      <c r="E996" s="145"/>
      <c r="F996" s="145"/>
      <c r="G996" s="688"/>
      <c r="H996" s="676"/>
      <c r="I996" s="676"/>
      <c r="J996" s="676"/>
      <c r="K996" s="676"/>
      <c r="L996" s="1044"/>
      <c r="M996" s="145"/>
    </row>
    <row r="997" spans="1:13" ht="15.75" customHeight="1">
      <c r="A997" s="658"/>
      <c r="B997" s="145"/>
      <c r="C997" s="674"/>
      <c r="D997" s="145"/>
      <c r="E997" s="145"/>
      <c r="F997" s="145"/>
      <c r="G997" s="688"/>
      <c r="H997" s="676"/>
      <c r="I997" s="676"/>
      <c r="J997" s="676"/>
      <c r="K997" s="676"/>
      <c r="L997" s="1044"/>
      <c r="M997" s="145"/>
    </row>
    <row r="998" spans="1:13" ht="15.75" customHeight="1">
      <c r="A998" s="658"/>
      <c r="B998" s="145"/>
      <c r="C998" s="674"/>
      <c r="D998" s="145"/>
      <c r="E998" s="145"/>
      <c r="F998" s="145"/>
      <c r="G998" s="688"/>
      <c r="H998" s="676"/>
      <c r="I998" s="676"/>
      <c r="J998" s="676"/>
      <c r="K998" s="676"/>
      <c r="L998" s="1044"/>
      <c r="M998" s="145"/>
    </row>
    <row r="999" spans="1:13" ht="15.75" customHeight="1">
      <c r="A999" s="658"/>
      <c r="B999" s="145"/>
      <c r="C999" s="674"/>
      <c r="D999" s="145"/>
      <c r="E999" s="145"/>
      <c r="F999" s="145"/>
      <c r="G999" s="688"/>
      <c r="H999" s="676"/>
      <c r="I999" s="676"/>
      <c r="J999" s="676"/>
      <c r="K999" s="676"/>
      <c r="L999" s="1044"/>
      <c r="M999" s="145"/>
    </row>
    <row r="1000" spans="1:13" ht="15.75" customHeight="1">
      <c r="A1000" s="658"/>
      <c r="B1000" s="145"/>
      <c r="C1000" s="674"/>
      <c r="D1000" s="145"/>
      <c r="E1000" s="145"/>
      <c r="F1000" s="145"/>
      <c r="G1000" s="688"/>
      <c r="H1000" s="676"/>
      <c r="I1000" s="676"/>
      <c r="J1000" s="676"/>
      <c r="K1000" s="676"/>
      <c r="L1000" s="1044"/>
      <c r="M1000" s="145"/>
    </row>
    <row r="1001" spans="1:13" ht="15.75" customHeight="1">
      <c r="A1001" s="658"/>
      <c r="B1001" s="145"/>
      <c r="C1001" s="674"/>
      <c r="D1001" s="145"/>
      <c r="E1001" s="145"/>
      <c r="F1001" s="145"/>
      <c r="G1001" s="688"/>
      <c r="H1001" s="676"/>
      <c r="I1001" s="676"/>
      <c r="J1001" s="676"/>
      <c r="K1001" s="676"/>
      <c r="L1001" s="1044"/>
      <c r="M1001" s="145"/>
    </row>
    <row r="1002" spans="1:13" ht="15.75" customHeight="1">
      <c r="A1002" s="658"/>
      <c r="B1002" s="145"/>
      <c r="C1002" s="674"/>
      <c r="D1002" s="145"/>
      <c r="E1002" s="145"/>
      <c r="F1002" s="145"/>
      <c r="G1002" s="688"/>
      <c r="H1002" s="676"/>
      <c r="I1002" s="676"/>
      <c r="J1002" s="676"/>
      <c r="K1002" s="676"/>
      <c r="L1002" s="1044"/>
      <c r="M1002" s="145"/>
    </row>
    <row r="1003" spans="1:13" ht="15.75" customHeight="1">
      <c r="A1003" s="658"/>
      <c r="B1003" s="145"/>
      <c r="C1003" s="674"/>
      <c r="D1003" s="145"/>
      <c r="E1003" s="145"/>
      <c r="F1003" s="145"/>
      <c r="G1003" s="688"/>
      <c r="H1003" s="676"/>
      <c r="I1003" s="676"/>
      <c r="J1003" s="676"/>
      <c r="K1003" s="676"/>
      <c r="L1003" s="1044"/>
      <c r="M1003" s="145"/>
    </row>
    <row r="1004" spans="1:13" ht="15.75" customHeight="1">
      <c r="A1004" s="658"/>
      <c r="B1004" s="145"/>
      <c r="C1004" s="674"/>
      <c r="D1004" s="145"/>
      <c r="E1004" s="145"/>
      <c r="F1004" s="145"/>
      <c r="G1004" s="688"/>
      <c r="H1004" s="676"/>
      <c r="I1004" s="676"/>
      <c r="J1004" s="676"/>
      <c r="K1004" s="676"/>
      <c r="L1004" s="1044"/>
      <c r="M1004" s="145"/>
    </row>
    <row r="1005" spans="1:13" ht="15.75" customHeight="1">
      <c r="A1005" s="658"/>
      <c r="B1005" s="145"/>
      <c r="C1005" s="674"/>
      <c r="D1005" s="145"/>
      <c r="E1005" s="145"/>
      <c r="F1005" s="145"/>
      <c r="G1005" s="688"/>
      <c r="H1005" s="676"/>
      <c r="I1005" s="676"/>
      <c r="J1005" s="676"/>
      <c r="K1005" s="676"/>
      <c r="L1005" s="1044"/>
      <c r="M1005" s="145"/>
    </row>
    <row r="1006" spans="1:13" ht="15.75" customHeight="1">
      <c r="A1006" s="658"/>
      <c r="B1006" s="145"/>
      <c r="C1006" s="674"/>
      <c r="D1006" s="145"/>
      <c r="E1006" s="145"/>
      <c r="F1006" s="145"/>
      <c r="G1006" s="688"/>
      <c r="H1006" s="676"/>
      <c r="I1006" s="676"/>
      <c r="J1006" s="676"/>
      <c r="K1006" s="676"/>
      <c r="L1006" s="1044"/>
      <c r="M1006" s="145"/>
    </row>
    <row r="1007" spans="1:13" ht="15.75" customHeight="1">
      <c r="A1007" s="658"/>
      <c r="B1007" s="145"/>
      <c r="C1007" s="674"/>
      <c r="D1007" s="145"/>
      <c r="E1007" s="145"/>
      <c r="F1007" s="145"/>
      <c r="G1007" s="688"/>
      <c r="H1007" s="676"/>
      <c r="I1007" s="676"/>
      <c r="J1007" s="676"/>
      <c r="K1007" s="676"/>
      <c r="L1007" s="1044"/>
      <c r="M1007" s="145"/>
    </row>
    <row r="1008" spans="1:13" ht="15.75" customHeight="1">
      <c r="A1008" s="658"/>
      <c r="B1008" s="145"/>
      <c r="C1008" s="674"/>
      <c r="D1008" s="145"/>
      <c r="E1008" s="145"/>
      <c r="F1008" s="145"/>
      <c r="G1008" s="688"/>
      <c r="H1008" s="676"/>
      <c r="I1008" s="676"/>
      <c r="J1008" s="676"/>
      <c r="K1008" s="676"/>
      <c r="L1008" s="1044"/>
      <c r="M1008" s="145"/>
    </row>
    <row r="1009" spans="1:13" ht="15" customHeight="1">
      <c r="A1009" s="658"/>
      <c r="B1009" s="145"/>
      <c r="C1009" s="674"/>
      <c r="D1009" s="145"/>
      <c r="E1009" s="145"/>
      <c r="F1009" s="145"/>
      <c r="G1009" s="688"/>
      <c r="H1009" s="676"/>
      <c r="I1009" s="676"/>
      <c r="J1009" s="676"/>
      <c r="K1009" s="676"/>
      <c r="L1009" s="1044"/>
      <c r="M1009" s="145"/>
    </row>
    <row r="1010" spans="1:13" ht="15" customHeight="1">
      <c r="A1010" s="658"/>
      <c r="B1010" s="145"/>
      <c r="C1010" s="674"/>
      <c r="D1010" s="145"/>
      <c r="E1010" s="145"/>
      <c r="F1010" s="145"/>
      <c r="G1010" s="688"/>
      <c r="H1010" s="676"/>
      <c r="I1010" s="676"/>
      <c r="J1010" s="676"/>
      <c r="K1010" s="676"/>
      <c r="L1010" s="1044"/>
      <c r="M1010" s="145"/>
    </row>
    <row r="1011" spans="1:13" ht="15" customHeight="1">
      <c r="A1011" s="658"/>
      <c r="B1011" s="145"/>
      <c r="C1011" s="674"/>
      <c r="D1011" s="145"/>
      <c r="E1011" s="145"/>
      <c r="F1011" s="145"/>
      <c r="G1011" s="688"/>
      <c r="H1011" s="676"/>
      <c r="I1011" s="676"/>
      <c r="J1011" s="676"/>
      <c r="K1011" s="676"/>
      <c r="L1011" s="1044"/>
      <c r="M1011" s="145"/>
    </row>
    <row r="1012" spans="1:13" ht="15" customHeight="1">
      <c r="A1012" s="658"/>
      <c r="B1012" s="145"/>
      <c r="C1012" s="674"/>
      <c r="D1012" s="145"/>
      <c r="E1012" s="145"/>
      <c r="F1012" s="145"/>
      <c r="G1012" s="688"/>
      <c r="H1012" s="676"/>
      <c r="I1012" s="676"/>
      <c r="J1012" s="676"/>
      <c r="K1012" s="676"/>
      <c r="L1012" s="1044"/>
      <c r="M1012" s="145"/>
    </row>
    <row r="1013" spans="1:13" ht="15" customHeight="1">
      <c r="A1013" s="658"/>
      <c r="B1013" s="145"/>
      <c r="C1013" s="674"/>
      <c r="D1013" s="145"/>
      <c r="E1013" s="145"/>
      <c r="F1013" s="145"/>
      <c r="G1013" s="688"/>
      <c r="H1013" s="676"/>
      <c r="I1013" s="676"/>
      <c r="J1013" s="676"/>
      <c r="K1013" s="676"/>
      <c r="L1013" s="1044"/>
      <c r="M1013" s="145"/>
    </row>
    <row r="1014" spans="1:13" ht="15" customHeight="1">
      <c r="A1014" s="658"/>
      <c r="B1014" s="145"/>
      <c r="C1014" s="674"/>
      <c r="D1014" s="145"/>
      <c r="E1014" s="145"/>
      <c r="F1014" s="145"/>
      <c r="G1014" s="688"/>
      <c r="H1014" s="676"/>
      <c r="I1014" s="676"/>
      <c r="J1014" s="676"/>
      <c r="K1014" s="676"/>
      <c r="L1014" s="1044"/>
      <c r="M1014" s="145"/>
    </row>
    <row r="1015" spans="1:13" ht="15" customHeight="1">
      <c r="A1015" s="658"/>
      <c r="B1015" s="145"/>
      <c r="C1015" s="674"/>
      <c r="D1015" s="145"/>
      <c r="E1015" s="145"/>
      <c r="F1015" s="145"/>
      <c r="G1015" s="688"/>
      <c r="H1015" s="676"/>
      <c r="I1015" s="676"/>
      <c r="J1015" s="676"/>
      <c r="K1015" s="676"/>
      <c r="L1015" s="1044"/>
      <c r="M1015" s="145"/>
    </row>
    <row r="1016" spans="1:13" ht="15" customHeight="1">
      <c r="A1016" s="658"/>
      <c r="B1016" s="145"/>
      <c r="C1016" s="674"/>
      <c r="D1016" s="145"/>
      <c r="E1016" s="145"/>
      <c r="F1016" s="145"/>
      <c r="G1016" s="688"/>
      <c r="H1016" s="676"/>
      <c r="I1016" s="676"/>
      <c r="J1016" s="676"/>
      <c r="K1016" s="676"/>
      <c r="L1016" s="1044"/>
      <c r="M1016" s="145"/>
    </row>
    <row r="1017" spans="1:13" ht="15" customHeight="1">
      <c r="A1017" s="658"/>
      <c r="B1017" s="145"/>
      <c r="C1017" s="674"/>
      <c r="D1017" s="145"/>
      <c r="E1017" s="145"/>
      <c r="F1017" s="145"/>
      <c r="G1017" s="688"/>
      <c r="H1017" s="676"/>
      <c r="I1017" s="676"/>
      <c r="J1017" s="676"/>
      <c r="K1017" s="676"/>
      <c r="L1017" s="1044"/>
      <c r="M1017" s="145"/>
    </row>
    <row r="1018" spans="1:13" ht="15" customHeight="1">
      <c r="A1018" s="658"/>
      <c r="B1018" s="145"/>
      <c r="C1018" s="674"/>
      <c r="D1018" s="145"/>
      <c r="E1018" s="145"/>
      <c r="F1018" s="145"/>
      <c r="G1018" s="688"/>
      <c r="H1018" s="676"/>
      <c r="I1018" s="676"/>
      <c r="J1018" s="676"/>
      <c r="K1018" s="676"/>
      <c r="L1018" s="1044"/>
      <c r="M1018" s="145"/>
    </row>
    <row r="1019" spans="1:13" ht="15" customHeight="1">
      <c r="A1019" s="658"/>
      <c r="B1019" s="145"/>
      <c r="C1019" s="674"/>
      <c r="D1019" s="145"/>
      <c r="E1019" s="145"/>
      <c r="F1019" s="145"/>
      <c r="G1019" s="688"/>
      <c r="H1019" s="676"/>
      <c r="I1019" s="676"/>
      <c r="J1019" s="676"/>
      <c r="K1019" s="676"/>
      <c r="L1019" s="1044"/>
      <c r="M1019" s="145"/>
    </row>
    <row r="1020" spans="1:13" ht="15" customHeight="1">
      <c r="A1020" s="658"/>
      <c r="B1020" s="145"/>
      <c r="C1020" s="674"/>
      <c r="D1020" s="145"/>
      <c r="E1020" s="145"/>
      <c r="F1020" s="145"/>
      <c r="G1020" s="688"/>
      <c r="H1020" s="676"/>
      <c r="I1020" s="676"/>
      <c r="J1020" s="676"/>
      <c r="K1020" s="676"/>
      <c r="L1020" s="1044"/>
      <c r="M1020" s="145"/>
    </row>
    <row r="1021" spans="1:13" ht="15" customHeight="1">
      <c r="A1021" s="658"/>
      <c r="B1021" s="145"/>
      <c r="C1021" s="674"/>
      <c r="D1021" s="145"/>
      <c r="E1021" s="145"/>
      <c r="F1021" s="145"/>
      <c r="G1021" s="688"/>
      <c r="H1021" s="676"/>
      <c r="I1021" s="676"/>
      <c r="J1021" s="676"/>
      <c r="K1021" s="676"/>
      <c r="L1021" s="1044"/>
      <c r="M1021" s="145"/>
    </row>
    <row r="1022" spans="1:13" ht="15" customHeight="1">
      <c r="A1022" s="658"/>
      <c r="B1022" s="145"/>
      <c r="C1022" s="674"/>
      <c r="D1022" s="145"/>
      <c r="E1022" s="145"/>
      <c r="F1022" s="145"/>
      <c r="G1022" s="688"/>
      <c r="H1022" s="676"/>
      <c r="I1022" s="676"/>
      <c r="J1022" s="676"/>
      <c r="K1022" s="676"/>
      <c r="L1022" s="1044"/>
      <c r="M1022" s="145"/>
    </row>
    <row r="1023" spans="1:13" ht="15" customHeight="1">
      <c r="A1023" s="658"/>
      <c r="B1023" s="145"/>
      <c r="C1023" s="674"/>
      <c r="D1023" s="145"/>
      <c r="E1023" s="145"/>
      <c r="F1023" s="145"/>
      <c r="G1023" s="688"/>
      <c r="H1023" s="676"/>
      <c r="I1023" s="676"/>
      <c r="J1023" s="676"/>
      <c r="K1023" s="676"/>
      <c r="L1023" s="1044"/>
      <c r="M1023" s="145"/>
    </row>
    <row r="1024" spans="1:13" ht="15" customHeight="1">
      <c r="A1024" s="658"/>
      <c r="B1024" s="145"/>
      <c r="C1024" s="674"/>
      <c r="D1024" s="145"/>
      <c r="E1024" s="145"/>
      <c r="F1024" s="145"/>
      <c r="G1024" s="688"/>
      <c r="H1024" s="676"/>
      <c r="I1024" s="676"/>
      <c r="J1024" s="676"/>
      <c r="K1024" s="676"/>
      <c r="L1024" s="1044"/>
      <c r="M1024" s="145"/>
    </row>
    <row r="1025" spans="1:13" ht="15" customHeight="1">
      <c r="A1025" s="658"/>
      <c r="B1025" s="145"/>
      <c r="C1025" s="674"/>
      <c r="D1025" s="145"/>
      <c r="E1025" s="145"/>
      <c r="F1025" s="145"/>
      <c r="G1025" s="688"/>
      <c r="H1025" s="676"/>
      <c r="I1025" s="676"/>
      <c r="J1025" s="676"/>
      <c r="K1025" s="676"/>
      <c r="L1025" s="1044"/>
      <c r="M1025" s="145"/>
    </row>
    <row r="1026" spans="1:13" ht="15" customHeight="1">
      <c r="A1026" s="658"/>
      <c r="B1026" s="145"/>
      <c r="C1026" s="674"/>
      <c r="D1026" s="145"/>
      <c r="E1026" s="145"/>
      <c r="F1026" s="145"/>
      <c r="G1026" s="688"/>
      <c r="H1026" s="676"/>
      <c r="I1026" s="676"/>
      <c r="J1026" s="676"/>
      <c r="K1026" s="676"/>
      <c r="L1026" s="1044"/>
      <c r="M1026" s="145"/>
    </row>
    <row r="1027" spans="1:13" ht="15" customHeight="1">
      <c r="A1027" s="658"/>
      <c r="B1027" s="145"/>
      <c r="C1027" s="674"/>
      <c r="D1027" s="145"/>
      <c r="E1027" s="145"/>
      <c r="F1027" s="145"/>
      <c r="G1027" s="688"/>
      <c r="H1027" s="676"/>
      <c r="I1027" s="676"/>
      <c r="J1027" s="676"/>
      <c r="K1027" s="676"/>
      <c r="L1027" s="1044"/>
      <c r="M1027" s="145"/>
    </row>
    <row r="1028" spans="1:13" ht="15" customHeight="1">
      <c r="A1028" s="658"/>
      <c r="B1028" s="145"/>
      <c r="C1028" s="674"/>
      <c r="D1028" s="145"/>
      <c r="E1028" s="145"/>
      <c r="F1028" s="145"/>
      <c r="G1028" s="688"/>
      <c r="H1028" s="676"/>
      <c r="I1028" s="676"/>
      <c r="J1028" s="676"/>
      <c r="K1028" s="676"/>
      <c r="L1028" s="1044"/>
      <c r="M1028" s="145"/>
    </row>
    <row r="1029" spans="1:13" ht="15" customHeight="1">
      <c r="A1029" s="658"/>
      <c r="B1029" s="145"/>
      <c r="C1029" s="674"/>
      <c r="D1029" s="145"/>
      <c r="E1029" s="145"/>
      <c r="F1029" s="145"/>
      <c r="G1029" s="688"/>
      <c r="H1029" s="676"/>
      <c r="I1029" s="676"/>
      <c r="J1029" s="676"/>
      <c r="K1029" s="676"/>
      <c r="L1029" s="1044"/>
      <c r="M1029" s="145"/>
    </row>
    <row r="1030" spans="1:13" ht="15" customHeight="1">
      <c r="A1030" s="658"/>
      <c r="B1030" s="145"/>
      <c r="C1030" s="674"/>
      <c r="D1030" s="145"/>
      <c r="E1030" s="145"/>
      <c r="F1030" s="145"/>
      <c r="G1030" s="688"/>
      <c r="H1030" s="676"/>
      <c r="I1030" s="676"/>
      <c r="J1030" s="676"/>
      <c r="K1030" s="676"/>
      <c r="L1030" s="1044"/>
      <c r="M1030" s="145"/>
    </row>
    <row r="1031" spans="1:13" ht="15" customHeight="1">
      <c r="A1031" s="658"/>
      <c r="B1031" s="145"/>
      <c r="C1031" s="674"/>
      <c r="D1031" s="145"/>
      <c r="E1031" s="145"/>
      <c r="F1031" s="145"/>
      <c r="G1031" s="688"/>
      <c r="H1031" s="676"/>
      <c r="I1031" s="676"/>
      <c r="J1031" s="676"/>
      <c r="K1031" s="676"/>
      <c r="L1031" s="1044"/>
      <c r="M1031" s="145"/>
    </row>
    <row r="1032" spans="1:13" ht="15" customHeight="1">
      <c r="A1032" s="658"/>
      <c r="B1032" s="145"/>
      <c r="C1032" s="674"/>
      <c r="D1032" s="145"/>
      <c r="E1032" s="145"/>
      <c r="F1032" s="145"/>
      <c r="G1032" s="688"/>
      <c r="H1032" s="676"/>
      <c r="I1032" s="676"/>
      <c r="J1032" s="676"/>
      <c r="K1032" s="676"/>
      <c r="L1032" s="1044"/>
      <c r="M1032" s="145"/>
    </row>
    <row r="1033" spans="1:13" ht="15" customHeight="1">
      <c r="A1033" s="658"/>
      <c r="B1033" s="145"/>
      <c r="C1033" s="674"/>
      <c r="D1033" s="145"/>
      <c r="E1033" s="145"/>
      <c r="F1033" s="145"/>
      <c r="G1033" s="688"/>
      <c r="H1033" s="676"/>
      <c r="I1033" s="676"/>
      <c r="J1033" s="676"/>
      <c r="K1033" s="676"/>
      <c r="L1033" s="1044"/>
      <c r="M1033" s="145"/>
    </row>
  </sheetData>
  <mergeCells count="2">
    <mergeCell ref="A2:M2"/>
    <mergeCell ref="A1:M1"/>
  </mergeCells>
  <dataValidations count="2">
    <dataValidation type="custom" allowBlank="1" showDropDown="1" sqref="G5:L560" xr:uid="{00000000-0002-0000-0500-000000000000}">
      <formula1>AND(ISNUMBER(G5),(NOT(OR(NOT(ISERROR(DATEVALUE(G5))), AND(ISNUMBER(G5), LEFT(CELL("format", G5))="D")))))</formula1>
    </dataValidation>
    <dataValidation type="custom" allowBlank="1" showDropDown="1" sqref="E5:F560 E589:F593" xr:uid="{00000000-0002-0000-0500-000001000000}">
      <formula1>OR(TIMEVALUE(TEXT(E5, "hh:mm:ss"))=E5, AND(ISNUMBER(E5), LEFT(CELL("format", E5))="D"))</formula1>
    </dataValidation>
  </dataValidations>
  <pageMargins left="0.75" right="0.75" top="1" bottom="1" header="0" footer="0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9"/>
  <sheetViews>
    <sheetView zoomScale="182" workbookViewId="0">
      <selection activeCell="J18" sqref="J18"/>
    </sheetView>
  </sheetViews>
  <sheetFormatPr baseColWidth="10" defaultColWidth="11.5" defaultRowHeight="15" outlineLevelRow="1"/>
  <cols>
    <col min="1" max="8" width="10.83203125" customWidth="1"/>
    <col min="9" max="9" width="10.83203125" style="74" customWidth="1"/>
    <col min="10" max="11" width="10.83203125" customWidth="1"/>
    <col min="12" max="12" width="8.6640625" bestFit="1" customWidth="1"/>
    <col min="13" max="13" width="9.5" customWidth="1"/>
    <col min="14" max="14" width="17.83203125" bestFit="1" customWidth="1"/>
    <col min="15" max="15" width="18.83203125" bestFit="1" customWidth="1"/>
    <col min="16" max="16" width="16.6640625" bestFit="1" customWidth="1"/>
    <col min="17" max="17" width="12.1640625" bestFit="1" customWidth="1"/>
    <col min="18" max="18" width="13.83203125" style="151" bestFit="1" customWidth="1"/>
    <col min="19" max="19" width="20.33203125" bestFit="1" customWidth="1"/>
    <col min="23" max="23" width="14.1640625" customWidth="1"/>
  </cols>
  <sheetData>
    <row r="1" spans="1:28">
      <c r="A1" s="1175" t="s">
        <v>538</v>
      </c>
      <c r="B1" s="1140"/>
      <c r="C1" s="1140"/>
      <c r="D1" s="145"/>
      <c r="E1" s="689" t="s">
        <v>539</v>
      </c>
      <c r="F1" s="690" t="s">
        <v>82</v>
      </c>
      <c r="G1" s="145">
        <f>IF(F1="Enero",1,IF(F1="Febrero",2,IF(F1="Marzo",3,IF(F1="Abril",4,IF(F1="Mayo",5,IF(F1="Junio",6,IF(F1="Julio",7,IF(F1="Agosto",8,IF(F1="Septiembre",9,IF(F1="Octubre",10,IF(F1="Noviembre",11,IF(F1="Diciembre",12,0))))))))))))</f>
        <v>4</v>
      </c>
      <c r="H1" s="1050">
        <f t="array" ref="H1">SUMPRODUCT((ISNUMBER('Detalle Turnos'!$A$3:$A$306))*(MONTH('Detalle Turnos'!$A$3:$A$306)=$G$1)*('Detalle Turnos'!$E$3:$E$306))</f>
        <v>31662.33700000001</v>
      </c>
      <c r="I1" s="145"/>
      <c r="J1" s="125"/>
      <c r="K1" s="125"/>
      <c r="L1" s="74"/>
      <c r="M1" s="74"/>
      <c r="N1" s="74"/>
      <c r="O1" s="1175" t="s">
        <v>540</v>
      </c>
      <c r="P1" s="1140"/>
      <c r="Q1" s="1140"/>
      <c r="R1" s="154"/>
      <c r="S1" s="74"/>
      <c r="T1" s="74"/>
      <c r="U1" s="74"/>
      <c r="V1" s="74"/>
      <c r="W1" s="1203" t="s">
        <v>541</v>
      </c>
      <c r="X1" s="1140"/>
      <c r="Y1" s="74"/>
      <c r="Z1" s="74"/>
      <c r="AA1" s="74"/>
      <c r="AB1" s="74"/>
    </row>
    <row r="2" spans="1:28" ht="16" customHeight="1" thickBot="1">
      <c r="A2" s="686"/>
      <c r="B2" s="686"/>
      <c r="C2" s="686"/>
      <c r="D2" s="686"/>
      <c r="E2" s="686"/>
      <c r="F2" s="686"/>
      <c r="G2" s="686"/>
      <c r="H2" s="1051" t="s">
        <v>542</v>
      </c>
      <c r="I2" s="686"/>
      <c r="J2" s="74"/>
      <c r="K2" s="74"/>
      <c r="L2" s="74"/>
      <c r="M2" s="74"/>
      <c r="N2" s="74"/>
      <c r="O2" s="74"/>
      <c r="P2" s="74"/>
      <c r="Q2" s="74"/>
      <c r="R2" s="154"/>
      <c r="S2" s="74"/>
      <c r="T2" s="74"/>
      <c r="U2" s="74"/>
      <c r="V2" s="74"/>
      <c r="W2" s="74"/>
      <c r="X2" s="74"/>
      <c r="Y2" s="74"/>
      <c r="Z2" s="74"/>
      <c r="AA2" s="74"/>
      <c r="AB2" s="74"/>
    </row>
    <row r="3" spans="1:28" ht="27" customHeight="1" thickBot="1">
      <c r="A3" s="173" t="s">
        <v>126</v>
      </c>
      <c r="B3" s="174" t="s">
        <v>127</v>
      </c>
      <c r="C3" s="174" t="s">
        <v>543</v>
      </c>
      <c r="D3" s="174" t="s">
        <v>544</v>
      </c>
      <c r="E3" s="174" t="s">
        <v>545</v>
      </c>
      <c r="F3" s="174" t="s">
        <v>128</v>
      </c>
      <c r="G3" s="174" t="s">
        <v>546</v>
      </c>
      <c r="H3" s="174" t="s">
        <v>547</v>
      </c>
      <c r="I3" s="175" t="s">
        <v>548</v>
      </c>
      <c r="J3" s="833" t="s">
        <v>549</v>
      </c>
      <c r="K3" s="833" t="s">
        <v>550</v>
      </c>
      <c r="L3" s="833" t="s">
        <v>457</v>
      </c>
      <c r="M3" s="404" t="s">
        <v>452</v>
      </c>
      <c r="N3" s="398"/>
      <c r="O3" s="170" t="s">
        <v>126</v>
      </c>
      <c r="P3" s="171" t="s">
        <v>127</v>
      </c>
      <c r="Q3" s="171" t="s">
        <v>543</v>
      </c>
      <c r="R3" s="171" t="s">
        <v>544</v>
      </c>
      <c r="S3" s="171" t="s">
        <v>545</v>
      </c>
      <c r="T3" s="171" t="s">
        <v>128</v>
      </c>
      <c r="U3" s="171" t="s">
        <v>546</v>
      </c>
      <c r="V3" s="172" t="s">
        <v>548</v>
      </c>
      <c r="W3" s="74"/>
      <c r="X3" s="1018" t="s">
        <v>549</v>
      </c>
      <c r="Y3" s="1018" t="s">
        <v>551</v>
      </c>
      <c r="Z3" s="1075" t="s">
        <v>548</v>
      </c>
      <c r="AA3" s="1075" t="s">
        <v>552</v>
      </c>
      <c r="AB3" s="1075" t="s">
        <v>546</v>
      </c>
    </row>
    <row r="4" spans="1:28">
      <c r="A4" s="835" t="s">
        <v>526</v>
      </c>
      <c r="B4" s="162">
        <v>16</v>
      </c>
      <c r="C4" s="163">
        <f t="array" ref="C4">SUMPRODUCT(('Horarios Personal'!$D$5:$D$816=$A4)*(MONTH('Horarios Personal'!$N$5:$N$816)=$G$1)*'Horarios Personal'!$I$5:$I$816)</f>
        <v>535.99999999999977</v>
      </c>
      <c r="D4" s="163">
        <f t="array" ref="D4">SUMPRODUCT(('Horarios Personal'!$D$5:$D$816=$A4)*(MONTH('Horarios Personal'!$N$5:$N$816)=$G$1)*'Horarios Personal'!$J$5:$J$816)</f>
        <v>1420</v>
      </c>
      <c r="E4" s="163">
        <f t="array" ref="E4">SUMPRODUCT(('Horarios Personal'!$D$5:$D$816=$A4)*(MONTH('Horarios Personal'!$N$5:$N$816)=$G$1)*'Horarios Personal'!$K$5:$K$816)</f>
        <v>1229.3333333333335</v>
      </c>
      <c r="F4" s="164">
        <f t="shared" ref="F4:F17" si="0">SUM(C4:E4)</f>
        <v>3185.333333333333</v>
      </c>
      <c r="G4" s="165">
        <f t="shared" ref="G4:G17" si="1">IFERROR(F4/F$18,0)</f>
        <v>0.30407555431102512</v>
      </c>
      <c r="H4" s="165">
        <f t="shared" ref="H4:H18" si="2">IFERROR(F4/$H$1,0)</f>
        <v>0.10060322879303989</v>
      </c>
      <c r="I4" s="166">
        <f t="array" ref="I4">SUMPRODUCT(('Horarios Personal'!$D$5:$D$816=$A4)*(MONTH('Horarios Personal'!$N$5:$N$816)=$G$1)*'Horarios Personal'!$G$5:$G$816)</f>
        <v>199.08333333333334</v>
      </c>
      <c r="J4" s="1016" t="s">
        <v>553</v>
      </c>
      <c r="K4" s="1016" t="s">
        <v>554</v>
      </c>
      <c r="L4" s="166">
        <v>16</v>
      </c>
      <c r="M4" s="401">
        <f>Tabla1[[#This Row],[Horas Trabajadas]]*Tabla1[[#This Row],[Columna2]]</f>
        <v>3185.3333333333335</v>
      </c>
      <c r="N4" s="399"/>
      <c r="O4" s="152" t="s">
        <v>526</v>
      </c>
      <c r="P4" s="74">
        <v>16</v>
      </c>
      <c r="Q4" s="153">
        <f>SUMIF('Horarios Personal'!$D$5:$D$816,O4,'Horarios Personal'!$I$5:$I$816)</f>
        <v>2292</v>
      </c>
      <c r="R4" s="153">
        <f>SUMIF('Horarios Personal'!$D$5:$D$816,O4,'Horarios Personal'!$J$5:$J$816)</f>
        <v>5004</v>
      </c>
      <c r="S4" s="153">
        <f>SUMIF('Horarios Personal'!$D$5:$D$816,O4,'Horarios Personal'!$K$5:$K$816)</f>
        <v>3685.3333333333335</v>
      </c>
      <c r="T4" s="176">
        <f t="shared" ref="T4:T17" si="3">SUM(Q4:S4)</f>
        <v>10981.333333333334</v>
      </c>
      <c r="U4" s="154">
        <f t="shared" ref="U4:U17" si="4">IFERROR(T4/$T$18,0)</f>
        <v>0.30631472396690956</v>
      </c>
      <c r="V4" s="155">
        <f>SUMIF('Horarios Personal'!$D$5:$D$816,O4,'Horarios Personal'!$G$5:$G$816)</f>
        <v>686.33333333333337</v>
      </c>
      <c r="W4" s="74"/>
      <c r="X4" s="74" t="s">
        <v>553</v>
      </c>
      <c r="Y4" s="74">
        <f>COUNTIF($J$4:$J$17,X4)</f>
        <v>2</v>
      </c>
      <c r="Z4" s="1020">
        <f>SUMIF($J$4:$J$17,X4,$V$4:$V$17)</f>
        <v>733.83333333333337</v>
      </c>
      <c r="AA4" s="1021">
        <f>SUMIF($J$4:$J$17,X4,$T$4:$T$17)</f>
        <v>11361.333333333334</v>
      </c>
      <c r="AB4" s="760">
        <f>IFERROR(AA4/$AA$9,0)</f>
        <v>0.39029187325728304</v>
      </c>
    </row>
    <row r="5" spans="1:28">
      <c r="A5" s="836" t="s">
        <v>522</v>
      </c>
      <c r="B5" s="162">
        <v>10</v>
      </c>
      <c r="C5" s="163">
        <f t="array" ref="C5">SUMPRODUCT(('Horarios Personal'!$D$5:$D$816=$A5)*(MONTH('Horarios Personal'!$N$5:$N$816)=$G$1)*'Horarios Personal'!$I$5:$I$816)</f>
        <v>697.5</v>
      </c>
      <c r="D5" s="163">
        <f t="array" ref="D5">SUMPRODUCT(('Horarios Personal'!$D$5:$D$816=$A5)*(MONTH('Horarios Personal'!$N$5:$N$816)=$G$1)*'Horarios Personal'!$J$5:$J$816)</f>
        <v>865</v>
      </c>
      <c r="E5" s="163">
        <f t="array" ref="E5">SUMPRODUCT(('Horarios Personal'!$D$5:$D$816=$A5)*(MONTH('Horarios Personal'!$N$5:$N$816)=$G$1)*'Horarios Personal'!$K$5:$K$816)</f>
        <v>477.49999999999994</v>
      </c>
      <c r="F5" s="164">
        <f t="shared" si="0"/>
        <v>2040</v>
      </c>
      <c r="G5" s="165">
        <f t="shared" si="1"/>
        <v>0.19474072754117561</v>
      </c>
      <c r="H5" s="165">
        <f t="shared" si="2"/>
        <v>6.4429861889221868E-2</v>
      </c>
      <c r="I5" s="166">
        <f t="array" ref="I5">SUMPRODUCT(('Horarios Personal'!$D$5:$D$816=$A5)*(MONTH('Horarios Personal'!$N$5:$N$816)=$G$1)*'Horarios Personal'!$G$5:$G$816)</f>
        <v>204.00000000000003</v>
      </c>
      <c r="J5" s="1016" t="s">
        <v>555</v>
      </c>
      <c r="K5" s="1016" t="s">
        <v>554</v>
      </c>
      <c r="L5" s="166">
        <v>10</v>
      </c>
      <c r="M5" s="402">
        <f>Tabla1[[#This Row],[Horas Trabajadas]]*Tabla1[[#This Row],[Columna2]]</f>
        <v>2040.0000000000002</v>
      </c>
      <c r="N5" s="400"/>
      <c r="O5" s="152" t="s">
        <v>522</v>
      </c>
      <c r="P5" s="156">
        <v>10</v>
      </c>
      <c r="Q5" s="153">
        <f>SUMIF('Horarios Personal'!$D$5:$D$816,O5,'Horarios Personal'!$I$5:$I$816)</f>
        <v>2820</v>
      </c>
      <c r="R5" s="153">
        <f>SUMIF('Horarios Personal'!$D$5:$D$816,O5,'Horarios Personal'!$J$5:$J$816)</f>
        <v>2637.5</v>
      </c>
      <c r="S5" s="153">
        <f>SUMIF('Horarios Personal'!$D$5:$D$816,O5,'Horarios Personal'!$K$5:$K$816)</f>
        <v>1282.5</v>
      </c>
      <c r="T5" s="176">
        <f t="shared" si="3"/>
        <v>6740</v>
      </c>
      <c r="U5" s="154">
        <f t="shared" si="4"/>
        <v>0.18800642662126371</v>
      </c>
      <c r="V5" s="155">
        <f>SUMIF('Horarios Personal'!$D$5:$D$816,O5,'Horarios Personal'!$G$5:$G$816)</f>
        <v>674</v>
      </c>
      <c r="W5" s="74"/>
      <c r="X5" s="74" t="s">
        <v>556</v>
      </c>
      <c r="Y5" s="74">
        <f>COUNTIF($J$4:$J$17,X5)</f>
        <v>1</v>
      </c>
      <c r="Z5" s="1020">
        <f>SUMIF($J$4:$J$17,X5,$V$4:$V$17)</f>
        <v>678</v>
      </c>
      <c r="AA5" s="1021">
        <f>SUMIF($J$4:$J$17,X5,$T$4:$T$17)</f>
        <v>7458</v>
      </c>
      <c r="AB5" s="760">
        <f>IFERROR(AA5/$AA$9,0)</f>
        <v>0.25620204119993106</v>
      </c>
    </row>
    <row r="6" spans="1:28">
      <c r="A6" s="835" t="s">
        <v>536</v>
      </c>
      <c r="B6" s="162">
        <v>17.13</v>
      </c>
      <c r="C6" s="163">
        <f t="array" ref="C6">SUMPRODUCT(('Horarios Personal'!$D$5:$D$816=$A6)*(MONTH('Horarios Personal'!$N$5:$N$816)=$G$1)*'Horarios Personal'!$I$5:$I$816)</f>
        <v>0</v>
      </c>
      <c r="D6" s="163">
        <f t="array" ref="D6">SUMPRODUCT(('Horarios Personal'!$D$5:$D$816=$A6)*(MONTH('Horarios Personal'!$N$5:$N$816)=$G$1)*'Horarios Personal'!$J$5:$J$816)</f>
        <v>0</v>
      </c>
      <c r="E6" s="163">
        <f t="array" ref="E6">SUMPRODUCT(('Horarios Personal'!$D$5:$D$816=$A6)*(MONTH('Horarios Personal'!$N$5:$N$816)=$G$1)*'Horarios Personal'!$K$5:$K$816)</f>
        <v>308.33999999999958</v>
      </c>
      <c r="F6" s="164">
        <f t="shared" si="0"/>
        <v>308.33999999999958</v>
      </c>
      <c r="G6" s="165">
        <f t="shared" si="1"/>
        <v>2.9434488201002942E-2</v>
      </c>
      <c r="H6" s="165">
        <f t="shared" si="2"/>
        <v>9.7383841249620798E-3</v>
      </c>
      <c r="I6" s="166">
        <f t="array" ref="I6">SUMPRODUCT(('Horarios Personal'!$D$5:$D$816=$A6)*(MONTH('Horarios Personal'!$N$5:$N$816)=$G$1)*'Horarios Personal'!$G$5:$G$816)</f>
        <v>17.999999999999975</v>
      </c>
      <c r="J6" s="1016" t="s">
        <v>557</v>
      </c>
      <c r="K6" s="1016" t="s">
        <v>557</v>
      </c>
      <c r="L6" s="166">
        <v>14</v>
      </c>
      <c r="M6" s="401">
        <f>Tabla1[[#This Row],[Horas Trabajadas]]*Tabla1[[#This Row],[Columna2]]</f>
        <v>251.99999999999966</v>
      </c>
      <c r="N6" s="399"/>
      <c r="O6" s="152" t="s">
        <v>536</v>
      </c>
      <c r="P6" s="156">
        <v>17.13</v>
      </c>
      <c r="Q6" s="153">
        <f>SUMIF('Horarios Personal'!$D$5:$D$816,O6,'Horarios Personal'!$I$5:$I$816)</f>
        <v>0</v>
      </c>
      <c r="R6" s="153">
        <f>SUMIF('Horarios Personal'!$D$5:$D$816,O6,'Horarios Personal'!$J$5:$J$816)</f>
        <v>0</v>
      </c>
      <c r="S6" s="153">
        <f>SUMIF('Horarios Personal'!$D$5:$D$816,O6,'Horarios Personal'!$K$5:$K$816)</f>
        <v>308.33999999999958</v>
      </c>
      <c r="T6" s="176">
        <f t="shared" si="3"/>
        <v>308.33999999999958</v>
      </c>
      <c r="U6" s="154">
        <f t="shared" si="4"/>
        <v>8.6008756059941203E-3</v>
      </c>
      <c r="V6" s="155">
        <f>SUMIF('Horarios Personal'!$D$5:$D$816,O6,'Horarios Personal'!$G$5:$G$816)</f>
        <v>17.999999999999975</v>
      </c>
      <c r="W6" s="74"/>
      <c r="X6" s="74" t="s">
        <v>557</v>
      </c>
      <c r="Y6" s="74">
        <f>COUNTIF($J$4:$J$17,X6)</f>
        <v>1</v>
      </c>
      <c r="Z6" s="1020">
        <f>SUMIF($J$4:$J$17,X6,$V$4:$V$17)</f>
        <v>17.999999999999975</v>
      </c>
      <c r="AA6" s="1021">
        <f>SUMIF($J$4:$J$17,X6,$T$4:$T$17)</f>
        <v>308.33999999999958</v>
      </c>
      <c r="AB6" s="760">
        <f>IFERROR(AA6/$AA$9,0)</f>
        <v>1.0592295170767851E-2</v>
      </c>
    </row>
    <row r="7" spans="1:28" outlineLevel="1">
      <c r="A7" s="836" t="s">
        <v>523</v>
      </c>
      <c r="B7" s="162">
        <v>6.39</v>
      </c>
      <c r="C7" s="163">
        <f t="array" ref="C7">SUMPRODUCT(('Horarios Personal'!$D$5:$D$816=$A7)*(MONTH('Horarios Personal'!$N$5:$N$816)=$G$1)*'Horarios Personal'!$I$5:$I$816)</f>
        <v>0</v>
      </c>
      <c r="D7" s="163">
        <f t="array" ref="D7">SUMPRODUCT(('Horarios Personal'!$D$5:$D$816=$A7)*(MONTH('Horarios Personal'!$N$5:$N$816)=$G$1)*'Horarios Personal'!$J$5:$J$816)</f>
        <v>0</v>
      </c>
      <c r="E7" s="163">
        <f t="array" ref="E7">SUMPRODUCT(('Horarios Personal'!$D$5:$D$816=$A7)*(MONTH('Horarios Personal'!$N$5:$N$816)=$G$1)*'Horarios Personal'!$K$5:$K$816)</f>
        <v>0</v>
      </c>
      <c r="F7" s="164">
        <f t="shared" si="0"/>
        <v>0</v>
      </c>
      <c r="G7" s="165">
        <f t="shared" si="1"/>
        <v>0</v>
      </c>
      <c r="H7" s="165">
        <f t="shared" si="2"/>
        <v>0</v>
      </c>
      <c r="I7" s="166">
        <f t="array" ref="I7">SUMPRODUCT(('Horarios Personal'!$D$5:$D$816=$A7)*(MONTH('Horarios Personal'!$N$5:$N$816)=$G$1)*'Horarios Personal'!$G$5:$G$816)</f>
        <v>0</v>
      </c>
      <c r="J7" s="1016" t="s">
        <v>558</v>
      </c>
      <c r="K7" s="1016" t="s">
        <v>559</v>
      </c>
      <c r="L7" s="166">
        <v>10</v>
      </c>
      <c r="M7" s="402">
        <f>Tabla1[[#This Row],[Horas Trabajadas]]*Tabla1[[#This Row],[Columna2]]</f>
        <v>0</v>
      </c>
      <c r="N7" s="400"/>
      <c r="O7" s="152" t="s">
        <v>523</v>
      </c>
      <c r="P7" s="156">
        <v>6.39</v>
      </c>
      <c r="Q7" s="153">
        <f>SUMIF('Horarios Personal'!$D$5:$D$816,O7,'Horarios Personal'!$I$5:$I$816)</f>
        <v>766.79999999999984</v>
      </c>
      <c r="R7" s="153">
        <f>SUMIF('Horarios Personal'!$D$5:$D$816,O7,'Horarios Personal'!$J$5:$J$816)</f>
        <v>862.64999999999986</v>
      </c>
      <c r="S7" s="153">
        <f>SUMIF('Horarios Personal'!$D$5:$D$816,O7,'Horarios Personal'!$K$5:$K$816)</f>
        <v>688.52250000000015</v>
      </c>
      <c r="T7" s="176">
        <f t="shared" si="3"/>
        <v>2317.9724999999999</v>
      </c>
      <c r="U7" s="154">
        <f t="shared" si="4"/>
        <v>6.4657822957174649E-2</v>
      </c>
      <c r="V7" s="155">
        <f>SUMIF('Horarios Personal'!$D$5:$D$816,O7,'Horarios Personal'!$G$5:$G$816)</f>
        <v>362.75</v>
      </c>
      <c r="W7" s="74"/>
      <c r="X7" s="74" t="s">
        <v>558</v>
      </c>
      <c r="Y7" s="74">
        <f>COUNTIF($J$4:$J$17,X7)</f>
        <v>2</v>
      </c>
      <c r="Z7" s="1020">
        <f>SUMIF($J$4:$J$17,X7,$V$4:$V$17)</f>
        <v>362.75</v>
      </c>
      <c r="AA7" s="1021">
        <f>SUMIF($J$4:$J$17,X7,$T$4:$T$17)</f>
        <v>2317.9724999999999</v>
      </c>
      <c r="AB7" s="760">
        <f>IFERROR(AA7/$AA$9,0)</f>
        <v>7.9628491009024832E-2</v>
      </c>
    </row>
    <row r="8" spans="1:28">
      <c r="A8" s="835" t="s">
        <v>525</v>
      </c>
      <c r="B8" s="162">
        <v>7.25</v>
      </c>
      <c r="C8" s="163">
        <f t="array" ref="C8">SUMPRODUCT(('Horarios Personal'!$D$5:$D$816=$A8)*(MONTH('Horarios Personal'!$N$5:$N$816)=$G$1)*'Horarios Personal'!$I$5:$I$816)</f>
        <v>170.38000000000008</v>
      </c>
      <c r="D8" s="163">
        <f t="array" ref="D8">SUMPRODUCT(('Horarios Personal'!$D$5:$D$816=$A8)*(MONTH('Horarios Personal'!$N$5:$N$816)=$G$1)*'Horarios Personal'!$J$5:$J$816)</f>
        <v>616.25</v>
      </c>
      <c r="E8" s="163">
        <f t="array" ref="E8">SUMPRODUCT(('Horarios Personal'!$D$5:$D$816=$A8)*(MONTH('Horarios Personal'!$N$5:$N$816)=$G$1)*'Horarios Personal'!$K$5:$K$816)</f>
        <v>641.625</v>
      </c>
      <c r="F8" s="164">
        <f t="shared" si="0"/>
        <v>1428.2550000000001</v>
      </c>
      <c r="G8" s="165">
        <f t="shared" si="1"/>
        <v>0.13634285186976558</v>
      </c>
      <c r="H8" s="165">
        <f t="shared" si="2"/>
        <v>4.5108957055191461E-2</v>
      </c>
      <c r="I8" s="166">
        <f t="array" ref="I8">SUMPRODUCT(('Horarios Personal'!$D$5:$D$816=$A8)*(MONTH('Horarios Personal'!$N$5:$N$816)=$G$1)*'Horarios Personal'!$G$5:$G$816)</f>
        <v>197</v>
      </c>
      <c r="J8" s="1016" t="s">
        <v>560</v>
      </c>
      <c r="K8" s="1016" t="s">
        <v>559</v>
      </c>
      <c r="L8" s="166">
        <v>10</v>
      </c>
      <c r="M8" s="401">
        <f>Tabla1[[#This Row],[Horas Trabajadas]]*Tabla1[[#This Row],[Columna2]]</f>
        <v>1970</v>
      </c>
      <c r="N8" s="399"/>
      <c r="O8" s="152" t="s">
        <v>525</v>
      </c>
      <c r="P8" s="156">
        <v>7.25</v>
      </c>
      <c r="Q8" s="153">
        <f>SUMIF('Horarios Personal'!$D$5:$D$816,O8,'Horarios Personal'!$I$5:$I$816)</f>
        <v>759.44250000000011</v>
      </c>
      <c r="R8" s="153">
        <f>SUMIF('Horarios Personal'!$D$5:$D$816,O8,'Horarios Personal'!$J$5:$J$816)</f>
        <v>2060.8125</v>
      </c>
      <c r="S8" s="153">
        <f>SUMIF('Horarios Personal'!$D$5:$D$816,O8,'Horarios Personal'!$K$5:$K$816)</f>
        <v>1785.3125</v>
      </c>
      <c r="T8" s="176">
        <f t="shared" si="3"/>
        <v>4605.5675000000001</v>
      </c>
      <c r="U8" s="154">
        <f t="shared" si="4"/>
        <v>0.12846829202344615</v>
      </c>
      <c r="V8" s="155">
        <f>SUMIF('Horarios Personal'!$D$5:$D$816,O8,'Horarios Personal'!$G$5:$G$816)</f>
        <v>635.25</v>
      </c>
      <c r="W8" s="74"/>
      <c r="X8" s="74" t="s">
        <v>560</v>
      </c>
      <c r="Y8" s="74">
        <f>COUNTIF($J$4:$J$17,X8)</f>
        <v>7</v>
      </c>
      <c r="Z8" s="1020">
        <f>SUMIF($J$4:$J$17,X8,$V$4:$V$17)</f>
        <v>1045.25</v>
      </c>
      <c r="AA8" s="1021">
        <f>SUMIF($J$4:$J$17,X8,$T$4:$T$17)</f>
        <v>7664.1925000000001</v>
      </c>
      <c r="AB8" s="760">
        <f>IFERROR(AA8/$AA$9,0)</f>
        <v>0.26328529936299311</v>
      </c>
    </row>
    <row r="9" spans="1:28">
      <c r="A9" s="834" t="s">
        <v>532</v>
      </c>
      <c r="B9" s="162">
        <v>5.17</v>
      </c>
      <c r="C9" s="163">
        <f t="array" ref="C9">SUMPRODUCT(('Horarios Personal'!$D$5:$D$816=$A9)*(MONTH('Horarios Personal'!$N$5:$N$816)=$G$1)*'Horarios Personal'!$I$5:$I$816)</f>
        <v>272.71999999999997</v>
      </c>
      <c r="D9" s="163">
        <f t="array" ref="D9">SUMPRODUCT(('Horarios Personal'!$D$5:$D$816=$A9)*(MONTH('Horarios Personal'!$N$5:$N$816)=$G$1)*'Horarios Personal'!$J$5:$J$816)</f>
        <v>423.94</v>
      </c>
      <c r="E9" s="163">
        <f t="array" ref="E9">SUMPRODUCT(('Horarios Personal'!$D$5:$D$816=$A9)*(MONTH('Horarios Personal'!$N$5:$N$816)=$G$1)*'Horarios Personal'!$K$5:$K$816)</f>
        <v>371.37833333333327</v>
      </c>
      <c r="F9" s="164">
        <f t="shared" si="0"/>
        <v>1068.0383333333332</v>
      </c>
      <c r="G9" s="165">
        <f t="shared" si="1"/>
        <v>0.10195615787999898</v>
      </c>
      <c r="H9" s="165">
        <f t="shared" si="2"/>
        <v>3.3732138386794785E-2</v>
      </c>
      <c r="I9" s="166">
        <f t="array" ref="I9">SUMPRODUCT(('Horarios Personal'!$D$5:$D$816=$A9)*(MONTH('Horarios Personal'!$N$5:$N$816)=$G$1)*'Horarios Personal'!$G$5:$G$816)</f>
        <v>206.58333333333331</v>
      </c>
      <c r="J9" s="1016" t="s">
        <v>558</v>
      </c>
      <c r="K9" s="1016" t="s">
        <v>559</v>
      </c>
      <c r="L9" s="166">
        <v>10</v>
      </c>
      <c r="M9" s="402">
        <f>Tabla1[[#This Row],[Horas Trabajadas]]*Tabla1[[#This Row],[Columna2]]</f>
        <v>2065.833333333333</v>
      </c>
      <c r="N9" s="400"/>
      <c r="O9" s="152" t="s">
        <v>561</v>
      </c>
      <c r="P9" s="156">
        <v>5.17</v>
      </c>
      <c r="Q9" s="153">
        <f>SUMIF('Horarios Personal'!$D$5:$D$816,O9,'Horarios Personal'!$I$5:$I$816)</f>
        <v>0</v>
      </c>
      <c r="R9" s="153">
        <f>SUMIF('Horarios Personal'!$D$5:$D$816,O9,'Horarios Personal'!$J$5:$J$816)</f>
        <v>0</v>
      </c>
      <c r="S9" s="153">
        <f>SUMIF('Horarios Personal'!$D$5:$D$816,O9,'Horarios Personal'!$K$5:$K$816)</f>
        <v>0</v>
      </c>
      <c r="T9" s="176">
        <f t="shared" si="3"/>
        <v>0</v>
      </c>
      <c r="U9" s="154">
        <f t="shared" si="4"/>
        <v>0</v>
      </c>
      <c r="V9" s="155">
        <f>SUMIF('Horarios Personal'!$D$5:$D$816,O9,'Horarios Personal'!$G$5:$G$816)</f>
        <v>0</v>
      </c>
      <c r="W9" s="74"/>
      <c r="X9" s="1076" t="s">
        <v>562</v>
      </c>
      <c r="Y9" s="1077">
        <f>SUM(Y4:Y8)</f>
        <v>13</v>
      </c>
      <c r="Z9" s="1078">
        <f>SUM(Z4:Z8)</f>
        <v>2837.8333333333335</v>
      </c>
      <c r="AA9" s="1079">
        <f>SUM(AA4:AA8)</f>
        <v>29109.838333333337</v>
      </c>
      <c r="AB9" s="1080">
        <f>SUM(AB4:AB8)</f>
        <v>1</v>
      </c>
    </row>
    <row r="10" spans="1:28" outlineLevel="1">
      <c r="A10" s="835" t="s">
        <v>524</v>
      </c>
      <c r="B10" s="162">
        <v>7.3</v>
      </c>
      <c r="C10" s="163">
        <f t="array" ref="C10">SUMPRODUCT(('Horarios Personal'!$D$5:$D$816=$A10)*(MONTH('Horarios Personal'!$N$5:$N$816)=$G$1)*'Horarios Personal'!$I$5:$I$816)</f>
        <v>0</v>
      </c>
      <c r="D10" s="163">
        <f t="array" ref="D10">SUMPRODUCT(('Horarios Personal'!$D$5:$D$816=$A10)*(MONTH('Horarios Personal'!$N$5:$N$816)=$G$1)*'Horarios Personal'!$J$5:$J$816)</f>
        <v>0</v>
      </c>
      <c r="E10" s="163">
        <f t="array" ref="E10">SUMPRODUCT(('Horarios Personal'!$D$5:$D$816=$A10)*(MONTH('Horarios Personal'!$N$5:$N$816)=$G$1)*'Horarios Personal'!$K$5:$K$816)</f>
        <v>0</v>
      </c>
      <c r="F10" s="164">
        <f t="shared" si="0"/>
        <v>0</v>
      </c>
      <c r="G10" s="165">
        <f t="shared" si="1"/>
        <v>0</v>
      </c>
      <c r="H10" s="165">
        <f t="shared" si="2"/>
        <v>0</v>
      </c>
      <c r="I10" s="166">
        <f t="array" ref="I10">SUMPRODUCT(('Horarios Personal'!$D$5:$D$816=$A10)*(MONTH('Horarios Personal'!$N$5:$N$816)=$G$1)*'Horarios Personal'!$G$5:$G$816)</f>
        <v>0</v>
      </c>
      <c r="J10" s="1016" t="s">
        <v>560</v>
      </c>
      <c r="K10" s="1016" t="s">
        <v>559</v>
      </c>
      <c r="L10" s="166">
        <v>10</v>
      </c>
      <c r="M10" s="401">
        <f>Tabla1[[#This Row],[Horas Trabajadas]]*Tabla1[[#This Row],[Columna2]]</f>
        <v>0</v>
      </c>
      <c r="N10" s="399"/>
      <c r="O10" s="152" t="s">
        <v>524</v>
      </c>
      <c r="P10" s="156">
        <v>7.3</v>
      </c>
      <c r="Q10" s="153">
        <f>SUMIF('Horarios Personal'!$D$5:$D$816,O10,'Horarios Personal'!$I$5:$I$816)</f>
        <v>405.15000000000009</v>
      </c>
      <c r="R10" s="153">
        <f>SUMIF('Horarios Personal'!$D$5:$D$816,O10,'Horarios Personal'!$J$5:$J$816)</f>
        <v>503.69999999999987</v>
      </c>
      <c r="S10" s="153">
        <f>SUMIF('Horarios Personal'!$D$5:$D$816,O10,'Horarios Personal'!$K$5:$K$816)</f>
        <v>341.27500000000009</v>
      </c>
      <c r="T10" s="176">
        <f t="shared" si="3"/>
        <v>1250.125</v>
      </c>
      <c r="U10" s="154">
        <f t="shared" si="4"/>
        <v>3.487114748960049E-2</v>
      </c>
      <c r="V10" s="155">
        <f>SUMIF('Horarios Personal'!$D$5:$D$816,O10,'Horarios Personal'!$G$5:$G$816)</f>
        <v>171.25</v>
      </c>
      <c r="W10" s="74"/>
      <c r="X10" s="74"/>
      <c r="Y10" s="74"/>
      <c r="Z10" s="74"/>
      <c r="AA10" s="74"/>
      <c r="AB10" s="74"/>
    </row>
    <row r="11" spans="1:28">
      <c r="A11" s="836" t="s">
        <v>529</v>
      </c>
      <c r="B11" s="162">
        <v>8</v>
      </c>
      <c r="C11" s="163">
        <f t="array" ref="C11">SUMPRODUCT(('Horarios Personal'!$D$5:$D$816=$A11)*(MONTH('Horarios Personal'!$N$5:$N$816)=$G$1)*'Horarios Personal'!$I$5:$I$816)</f>
        <v>0</v>
      </c>
      <c r="D11" s="163">
        <f t="array" ref="D11">SUMPRODUCT(('Horarios Personal'!$D$5:$D$816=$A11)*(MONTH('Horarios Personal'!$N$5:$N$816)=$G$1)*'Horarios Personal'!$J$5:$J$816)</f>
        <v>218</v>
      </c>
      <c r="E11" s="163">
        <f t="array" ref="E11">SUMPRODUCT(('Horarios Personal'!$D$5:$D$816=$A11)*(MONTH('Horarios Personal'!$N$5:$N$816)=$G$1)*'Horarios Personal'!$K$5:$K$816)</f>
        <v>338.00000000000006</v>
      </c>
      <c r="F11" s="164">
        <f t="shared" si="0"/>
        <v>556</v>
      </c>
      <c r="G11" s="165">
        <f t="shared" si="1"/>
        <v>5.3076394369065506E-2</v>
      </c>
      <c r="H11" s="165">
        <f t="shared" si="2"/>
        <v>1.7560295691376154E-2</v>
      </c>
      <c r="I11" s="166">
        <f t="array" ref="I11">SUMPRODUCT(('Horarios Personal'!$D$5:$D$816=$A11)*(MONTH('Horarios Personal'!$N$5:$N$816)=$G$1)*'Horarios Personal'!$G$5:$G$816)</f>
        <v>69.5</v>
      </c>
      <c r="J11" s="1016" t="s">
        <v>560</v>
      </c>
      <c r="K11" s="1016" t="s">
        <v>559</v>
      </c>
      <c r="L11" s="166">
        <v>10</v>
      </c>
      <c r="M11" s="402">
        <f>Tabla1[[#This Row],[Horas Trabajadas]]*Tabla1[[#This Row],[Columna2]]</f>
        <v>695</v>
      </c>
      <c r="N11" s="400"/>
      <c r="O11" s="152" t="s">
        <v>529</v>
      </c>
      <c r="P11" s="156">
        <v>8</v>
      </c>
      <c r="Q11" s="153">
        <f>SUMIF('Horarios Personal'!$D$5:$D$816,O11,'Horarios Personal'!$I$5:$I$816)</f>
        <v>12</v>
      </c>
      <c r="R11" s="153">
        <f>SUMIF('Horarios Personal'!$D$5:$D$816,O11,'Horarios Personal'!$J$5:$J$816)</f>
        <v>650</v>
      </c>
      <c r="S11" s="153">
        <f>SUMIF('Horarios Personal'!$D$5:$D$816,O11,'Horarios Personal'!$K$5:$K$816)</f>
        <v>662</v>
      </c>
      <c r="T11" s="176">
        <f t="shared" si="3"/>
        <v>1324</v>
      </c>
      <c r="U11" s="154">
        <f t="shared" si="4"/>
        <v>3.6931826238360999E-2</v>
      </c>
      <c r="V11" s="155">
        <f>SUMIF('Horarios Personal'!$D$5:$D$816,O11,'Horarios Personal'!$G$5:$G$816)</f>
        <v>165.5</v>
      </c>
      <c r="W11" s="74"/>
      <c r="X11" s="74"/>
      <c r="Y11" s="74"/>
      <c r="Z11" s="74"/>
      <c r="AA11" s="74"/>
      <c r="AB11" s="74"/>
    </row>
    <row r="12" spans="1:28">
      <c r="A12" s="835" t="s">
        <v>531</v>
      </c>
      <c r="B12" s="162">
        <v>8</v>
      </c>
      <c r="C12" s="163">
        <f t="array" ref="C12">SUMPRODUCT(('Horarios Personal'!$D$5:$D$816=$A12)*(MONTH('Horarios Personal'!$N$5:$N$816)=$G$1)*'Horarios Personal'!$I$5:$I$816)</f>
        <v>0</v>
      </c>
      <c r="D12" s="163">
        <f t="array" ref="D12">SUMPRODUCT(('Horarios Personal'!$D$5:$D$816=$A12)*(MONTH('Horarios Personal'!$N$5:$N$816)=$G$1)*'Horarios Personal'!$J$5:$J$816)</f>
        <v>28.000000000000114</v>
      </c>
      <c r="E12" s="163">
        <f t="array" ref="E12">SUMPRODUCT(('Horarios Personal'!$D$5:$D$816=$A12)*(MONTH('Horarios Personal'!$N$5:$N$816)=$G$1)*'Horarios Personal'!$K$5:$K$816)</f>
        <v>123.99999999999997</v>
      </c>
      <c r="F12" s="164">
        <f t="shared" si="0"/>
        <v>152.00000000000009</v>
      </c>
      <c r="G12" s="165">
        <f t="shared" si="1"/>
        <v>1.4510093424636621E-2</v>
      </c>
      <c r="H12" s="165">
        <f t="shared" si="2"/>
        <v>4.8006563760596708E-3</v>
      </c>
      <c r="I12" s="166">
        <f t="array" ref="I12">SUMPRODUCT(('Horarios Personal'!$D$5:$D$816=$A12)*(MONTH('Horarios Personal'!$N$5:$N$816)=$G$1)*'Horarios Personal'!$G$5:$G$816)</f>
        <v>19.000000000000011</v>
      </c>
      <c r="J12" s="1016" t="s">
        <v>553</v>
      </c>
      <c r="K12" s="1016" t="s">
        <v>554</v>
      </c>
      <c r="L12" s="166">
        <v>10</v>
      </c>
      <c r="M12" s="401">
        <f>Tabla1[[#This Row],[Horas Trabajadas]]*Tabla1[[#This Row],[Columna2]]</f>
        <v>190.00000000000011</v>
      </c>
      <c r="N12" s="399"/>
      <c r="O12" s="152" t="s">
        <v>531</v>
      </c>
      <c r="P12" s="156">
        <v>8</v>
      </c>
      <c r="Q12" s="153">
        <f>SUMIF('Horarios Personal'!$D$5:$D$816,O12,'Horarios Personal'!$I$5:$I$816)</f>
        <v>0</v>
      </c>
      <c r="R12" s="153">
        <f>SUMIF('Horarios Personal'!$D$5:$D$816,O12,'Horarios Personal'!$J$5:$J$816)</f>
        <v>156.00000000000009</v>
      </c>
      <c r="S12" s="153">
        <f>SUMIF('Horarios Personal'!$D$5:$D$816,O12,'Horarios Personal'!$K$5:$K$816)</f>
        <v>223.99999999999997</v>
      </c>
      <c r="T12" s="176">
        <f t="shared" si="3"/>
        <v>380.00000000000006</v>
      </c>
      <c r="U12" s="154">
        <f t="shared" si="4"/>
        <v>1.0599768859952554E-2</v>
      </c>
      <c r="V12" s="155">
        <f>SUMIF('Horarios Personal'!$D$5:$D$816,O12,'Horarios Personal'!$G$5:$G$816)</f>
        <v>47.500000000000007</v>
      </c>
      <c r="W12" s="74"/>
      <c r="X12" s="74"/>
      <c r="Y12" s="74"/>
      <c r="Z12" s="74"/>
      <c r="AA12" s="74"/>
      <c r="AB12" s="74"/>
    </row>
    <row r="13" spans="1:28">
      <c r="A13" s="836" t="s">
        <v>530</v>
      </c>
      <c r="B13" s="162">
        <v>8</v>
      </c>
      <c r="C13" s="163">
        <f t="array" ref="C13">SUMPRODUCT(('Horarios Personal'!$D$5:$D$816=$A13)*(MONTH('Horarios Personal'!$N$5:$N$816)=$G$1)*'Horarios Personal'!$I$5:$I$816)</f>
        <v>0</v>
      </c>
      <c r="D13" s="163">
        <f t="array" ref="D13">SUMPRODUCT(('Horarios Personal'!$D$5:$D$816=$A13)*(MONTH('Horarios Personal'!$N$5:$N$816)=$G$1)*'Horarios Personal'!$J$5:$J$816)</f>
        <v>48</v>
      </c>
      <c r="E13" s="163">
        <f t="array" ref="E13">SUMPRODUCT(('Horarios Personal'!$D$5:$D$816=$A13)*(MONTH('Horarios Personal'!$N$5:$N$816)=$G$1)*'Horarios Personal'!$K$5:$K$816)</f>
        <v>0</v>
      </c>
      <c r="F13" s="164">
        <f t="shared" si="0"/>
        <v>48</v>
      </c>
      <c r="G13" s="165">
        <f t="shared" si="1"/>
        <v>4.5821347656747197E-3</v>
      </c>
      <c r="H13" s="165">
        <f t="shared" si="2"/>
        <v>1.515996750334632E-3</v>
      </c>
      <c r="I13" s="166">
        <f t="array" ref="I13">SUMPRODUCT(('Horarios Personal'!$D$5:$D$816=$A13)*(MONTH('Horarios Personal'!$N$5:$N$816)=$G$1)*'Horarios Personal'!$G$5:$G$816)</f>
        <v>6</v>
      </c>
      <c r="J13" s="1016" t="s">
        <v>560</v>
      </c>
      <c r="K13" s="1016" t="s">
        <v>559</v>
      </c>
      <c r="L13" s="166">
        <v>10</v>
      </c>
      <c r="M13" s="402">
        <f>Tabla1[[#This Row],[Horas Trabajadas]]*Tabla1[[#This Row],[Columna2]]</f>
        <v>60</v>
      </c>
      <c r="N13" s="400"/>
      <c r="O13" s="152" t="s">
        <v>530</v>
      </c>
      <c r="P13" s="156">
        <v>8</v>
      </c>
      <c r="Q13" s="153">
        <f>SUMIF('Horarios Personal'!$D$5:$D$816,O13,'Horarios Personal'!$I$5:$I$816)</f>
        <v>0</v>
      </c>
      <c r="R13" s="153">
        <f>SUMIF('Horarios Personal'!$D$5:$D$816,O13,'Horarios Personal'!$J$5:$J$816)</f>
        <v>180</v>
      </c>
      <c r="S13" s="153">
        <f>SUMIF('Horarios Personal'!$D$5:$D$816,O13,'Horarios Personal'!$K$5:$K$816)</f>
        <v>0</v>
      </c>
      <c r="T13" s="176">
        <f t="shared" si="3"/>
        <v>180</v>
      </c>
      <c r="U13" s="154">
        <f t="shared" si="4"/>
        <v>5.0209431441880512E-3</v>
      </c>
      <c r="V13" s="155">
        <f>SUMIF('Horarios Personal'!$D$5:$D$816,O13,'Horarios Personal'!$G$5:$G$816)</f>
        <v>22.5</v>
      </c>
      <c r="W13" s="74"/>
      <c r="X13" s="74"/>
      <c r="Y13" s="74"/>
      <c r="Z13" s="74"/>
      <c r="AA13" s="74"/>
      <c r="AB13" s="74"/>
    </row>
    <row r="14" spans="1:28">
      <c r="A14" s="835" t="s">
        <v>528</v>
      </c>
      <c r="B14" s="162">
        <v>11</v>
      </c>
      <c r="C14" s="163">
        <f t="array" ref="C14">SUMPRODUCT(('Horarios Personal'!$D$5:$D$816=$A14)*(MONTH('Horarios Personal'!$N$5:$N$816)=$G$1)*'Horarios Personal'!$I$5:$I$816)</f>
        <v>792</v>
      </c>
      <c r="D14" s="163">
        <f t="array" ref="D14">SUMPRODUCT(('Horarios Personal'!$D$5:$D$816=$A14)*(MONTH('Horarios Personal'!$N$5:$N$816)=$G$1)*'Horarios Personal'!$J$5:$J$816)</f>
        <v>813.99999999999989</v>
      </c>
      <c r="E14" s="163">
        <f t="array" ref="E14">SUMPRODUCT(('Horarios Personal'!$D$5:$D$816=$A14)*(MONTH('Horarios Personal'!$N$5:$N$816)=$G$1)*'Horarios Personal'!$K$5:$K$816)</f>
        <v>21.999999999999979</v>
      </c>
      <c r="F14" s="164">
        <f t="shared" si="0"/>
        <v>1628</v>
      </c>
      <c r="G14" s="165">
        <f t="shared" si="1"/>
        <v>0.15541073746913425</v>
      </c>
      <c r="H14" s="165">
        <f t="shared" si="2"/>
        <v>5.1417556448849606E-2</v>
      </c>
      <c r="I14" s="166">
        <f t="array" ref="I14">SUMPRODUCT(('Horarios Personal'!$D$5:$D$816=$A14)*(MONTH('Horarios Personal'!$N$5:$N$816)=$G$1)*'Horarios Personal'!$G$5:$G$816)</f>
        <v>148</v>
      </c>
      <c r="J14" s="1016" t="s">
        <v>556</v>
      </c>
      <c r="K14" s="1016" t="s">
        <v>557</v>
      </c>
      <c r="L14" s="166">
        <v>10</v>
      </c>
      <c r="M14" s="401">
        <f>Tabla1[[#This Row],[Horas Trabajadas]]*Tabla1[[#This Row],[Columna2]]</f>
        <v>1480</v>
      </c>
      <c r="N14" s="399"/>
      <c r="O14" s="152" t="s">
        <v>528</v>
      </c>
      <c r="P14" s="156">
        <v>11</v>
      </c>
      <c r="Q14" s="153">
        <f>SUMIF('Horarios Personal'!$D$5:$D$816,O14,'Horarios Personal'!$I$5:$I$816)</f>
        <v>3652</v>
      </c>
      <c r="R14" s="153">
        <f>SUMIF('Horarios Personal'!$D$5:$D$816,O14,'Horarios Personal'!$J$5:$J$816)</f>
        <v>3750.9999999999995</v>
      </c>
      <c r="S14" s="153">
        <f>SUMIF('Horarios Personal'!$D$5:$D$816,O14,'Horarios Personal'!$K$5:$K$816)</f>
        <v>54.999999999999979</v>
      </c>
      <c r="T14" s="176">
        <f t="shared" si="3"/>
        <v>7458</v>
      </c>
      <c r="U14" s="154">
        <f t="shared" si="4"/>
        <v>0.20803441094085826</v>
      </c>
      <c r="V14" s="155">
        <f>SUMIF('Horarios Personal'!$D$5:$D$816,O14,'Horarios Personal'!$G$5:$G$816)</f>
        <v>678</v>
      </c>
      <c r="W14" s="74"/>
      <c r="X14" s="74"/>
      <c r="Y14" s="74"/>
      <c r="Z14" s="74"/>
      <c r="AA14" s="74"/>
      <c r="AB14" s="74"/>
    </row>
    <row r="15" spans="1:28">
      <c r="A15" s="836" t="s">
        <v>535</v>
      </c>
      <c r="B15" s="162">
        <v>6</v>
      </c>
      <c r="C15" s="163">
        <f t="array" ref="C15">SUMPRODUCT(('Horarios Personal'!$D$5:$D$816=$A15)*(MONTH('Horarios Personal'!$N$5:$N$816)=$G$1)*'Horarios Personal'!$I$5:$I$816)</f>
        <v>0</v>
      </c>
      <c r="D15" s="163">
        <f t="array" ref="D15">SUMPRODUCT(('Horarios Personal'!$D$5:$D$816=$A15)*(MONTH('Horarios Personal'!$N$5:$N$816)=$G$1)*'Horarios Personal'!$J$5:$J$816)</f>
        <v>52.499999999999986</v>
      </c>
      <c r="E15" s="163">
        <f t="array" ref="E15">SUMPRODUCT(('Horarios Personal'!$D$5:$D$816=$A15)*(MONTH('Horarios Personal'!$N$5:$N$816)=$G$1)*'Horarios Personal'!$K$5:$K$816)</f>
        <v>9</v>
      </c>
      <c r="F15" s="164">
        <f t="shared" si="0"/>
        <v>61.499999999999986</v>
      </c>
      <c r="G15" s="165">
        <f t="shared" si="1"/>
        <v>5.8708601685207333E-3</v>
      </c>
      <c r="H15" s="165">
        <f t="shared" si="2"/>
        <v>1.942370836366247E-3</v>
      </c>
      <c r="I15" s="166">
        <f t="array" ref="I15">SUMPRODUCT(('Horarios Personal'!$D$5:$D$816=$A15)*(MONTH('Horarios Personal'!$N$5:$N$816)=$G$1)*'Horarios Personal'!$G$5:$G$816)</f>
        <v>12.249999999999998</v>
      </c>
      <c r="J15" s="1016" t="s">
        <v>560</v>
      </c>
      <c r="K15" s="1016" t="s">
        <v>559</v>
      </c>
      <c r="L15" s="166">
        <v>10</v>
      </c>
      <c r="M15" s="402">
        <f>Tabla1[[#This Row],[Horas Trabajadas]]*Tabla1[[#This Row],[Columna2]]</f>
        <v>122.49999999999999</v>
      </c>
      <c r="N15" s="400"/>
      <c r="O15" s="152" t="s">
        <v>535</v>
      </c>
      <c r="P15" s="156">
        <v>6</v>
      </c>
      <c r="Q15" s="153">
        <f>SUMIF('Horarios Personal'!$D$5:$D$816,O15,'Horarios Personal'!$I$5:$I$816)</f>
        <v>12.000000000000005</v>
      </c>
      <c r="R15" s="153">
        <f>SUMIF('Horarios Personal'!$D$5:$D$816,O15,'Horarios Personal'!$J$5:$J$816)</f>
        <v>133.5</v>
      </c>
      <c r="S15" s="153">
        <f>SUMIF('Horarios Personal'!$D$5:$D$816,O15,'Horarios Personal'!$K$5:$K$816)</f>
        <v>105</v>
      </c>
      <c r="T15" s="176">
        <f t="shared" si="3"/>
        <v>250.5</v>
      </c>
      <c r="U15" s="154">
        <f t="shared" si="4"/>
        <v>6.9874792089950379E-3</v>
      </c>
      <c r="V15" s="155">
        <f>SUMIF('Horarios Personal'!$D$5:$D$816,O15,'Horarios Personal'!$G$5:$G$816)</f>
        <v>43.75</v>
      </c>
      <c r="W15" s="74"/>
      <c r="X15" s="74"/>
      <c r="Y15" s="74"/>
      <c r="Z15" s="74"/>
      <c r="AA15" s="74"/>
      <c r="AB15" s="74"/>
    </row>
    <row r="16" spans="1:28" outlineLevel="1">
      <c r="A16" s="835" t="s">
        <v>534</v>
      </c>
      <c r="B16" s="162">
        <v>8</v>
      </c>
      <c r="C16" s="163">
        <f t="array" ref="C16">SUMPRODUCT(('Horarios Personal'!$D$5:$D$816=$A16)*(MONTH('Horarios Personal'!$N$5:$N$816)=$G$1)*'Horarios Personal'!$I$5:$I$816)</f>
        <v>0</v>
      </c>
      <c r="D16" s="163">
        <f t="array" ref="D16">SUMPRODUCT(('Horarios Personal'!$D$5:$D$816=$A16)*(MONTH('Horarios Personal'!$N$5:$N$816)=$G$1)*'Horarios Personal'!$J$5:$J$816)</f>
        <v>0</v>
      </c>
      <c r="E16" s="163">
        <f t="array" ref="E16">SUMPRODUCT(('Horarios Personal'!$D$5:$D$816=$A16)*(MONTH('Horarios Personal'!$N$5:$N$816)=$G$1)*'Horarios Personal'!$K$5:$K$816)</f>
        <v>0</v>
      </c>
      <c r="F16" s="164">
        <f t="shared" si="0"/>
        <v>0</v>
      </c>
      <c r="G16" s="165">
        <f t="shared" si="1"/>
        <v>0</v>
      </c>
      <c r="H16" s="165">
        <f t="shared" si="2"/>
        <v>0</v>
      </c>
      <c r="I16" s="166">
        <f t="array" ref="I16">SUMPRODUCT(('Horarios Personal'!$D$5:$D$816=$A16)*(MONTH('Horarios Personal'!$N$5:$N$816)=$G$1)*'Horarios Personal'!$G$5:$G$816)</f>
        <v>0</v>
      </c>
      <c r="J16" s="1016" t="s">
        <v>560</v>
      </c>
      <c r="K16" s="1016" t="s">
        <v>559</v>
      </c>
      <c r="L16" s="166">
        <v>10</v>
      </c>
      <c r="M16" s="401">
        <f>Tabla1[[#This Row],[Horas Trabajadas]]*Tabla1[[#This Row],[Columna2]]</f>
        <v>0</v>
      </c>
      <c r="N16" s="399"/>
      <c r="O16" s="152" t="s">
        <v>534</v>
      </c>
      <c r="P16" s="156">
        <v>8</v>
      </c>
      <c r="Q16" s="153">
        <f>SUMIF('Horarios Personal'!$D$5:$D$816,O16,'Horarios Personal'!$I$5:$I$816)</f>
        <v>15.999999999999996</v>
      </c>
      <c r="R16" s="153">
        <f>SUMIF('Horarios Personal'!$D$5:$D$816,O16,'Horarios Personal'!$J$5:$J$816)</f>
        <v>31.999999999999993</v>
      </c>
      <c r="S16" s="153">
        <f>SUMIF('Horarios Personal'!$D$5:$D$816,O16,'Horarios Personal'!$K$5:$K$816)</f>
        <v>0</v>
      </c>
      <c r="T16" s="176">
        <f t="shared" si="3"/>
        <v>47.999999999999986</v>
      </c>
      <c r="U16" s="154">
        <f t="shared" si="4"/>
        <v>1.3389181717834799E-3</v>
      </c>
      <c r="V16" s="155">
        <f>SUMIF('Horarios Personal'!$D$5:$D$816,O16,'Horarios Personal'!$G$5:$G$816)</f>
        <v>5.9999999999999982</v>
      </c>
      <c r="W16" s="74"/>
      <c r="X16" s="74"/>
      <c r="Y16" s="74"/>
      <c r="Z16" s="74"/>
      <c r="AA16" s="74"/>
      <c r="AB16" s="74"/>
    </row>
    <row r="17" spans="1:22" outlineLevel="1">
      <c r="A17" s="836" t="s">
        <v>533</v>
      </c>
      <c r="B17" s="162">
        <v>6</v>
      </c>
      <c r="C17" s="163">
        <f t="array" ref="C17">SUMPRODUCT(('Horarios Personal'!$D$5:$D$816=$A17)*(MONTH('Horarios Personal'!$N$5:$N$816)=$G$1)*'Horarios Personal'!$I$5:$I$816)</f>
        <v>0</v>
      </c>
      <c r="D17" s="163">
        <f t="array" ref="D17">SUMPRODUCT(('Horarios Personal'!$D$5:$D$816=$A17)*(MONTH('Horarios Personal'!$N$5:$N$816)=$G$1)*'Horarios Personal'!$J$5:$J$816)</f>
        <v>0</v>
      </c>
      <c r="E17" s="163">
        <f t="array" ref="E17">SUMPRODUCT(('Horarios Personal'!$D$5:$D$816=$A17)*(MONTH('Horarios Personal'!$N$5:$N$816)=$G$1)*'Horarios Personal'!$K$5:$K$816)</f>
        <v>0</v>
      </c>
      <c r="F17" s="164">
        <f t="shared" si="0"/>
        <v>0</v>
      </c>
      <c r="G17" s="165">
        <f t="shared" si="1"/>
        <v>0</v>
      </c>
      <c r="H17" s="165">
        <f t="shared" si="2"/>
        <v>0</v>
      </c>
      <c r="I17" s="166">
        <f t="array" ref="I17">SUMPRODUCT(('Horarios Personal'!$D$5:$D$816=$A17)*(MONTH('Horarios Personal'!$N$5:$N$816)=$G$1)*'Horarios Personal'!$G$5:$G$816)</f>
        <v>0</v>
      </c>
      <c r="J17" s="1016" t="s">
        <v>560</v>
      </c>
      <c r="K17" s="1016" t="s">
        <v>559</v>
      </c>
      <c r="L17" s="166">
        <v>10</v>
      </c>
      <c r="M17" s="402">
        <f>Tabla1[[#This Row],[Horas Trabajadas]]*Tabla1[[#This Row],[Columna2]]</f>
        <v>0</v>
      </c>
      <c r="N17" s="400"/>
      <c r="O17" s="152" t="s">
        <v>533</v>
      </c>
      <c r="P17" s="156">
        <v>6</v>
      </c>
      <c r="Q17" s="153">
        <f>SUMIF('Horarios Personal'!$D$5:$D$816,O17,'Horarios Personal'!$I$5:$I$816)</f>
        <v>0</v>
      </c>
      <c r="R17" s="153">
        <f>SUMIF('Horarios Personal'!$D$5:$D$816,O17,'Horarios Personal'!$J$5:$J$816)</f>
        <v>0</v>
      </c>
      <c r="S17" s="153">
        <f>SUMIF('Horarios Personal'!$D$5:$D$816,O17,'Horarios Personal'!$K$5:$K$816)</f>
        <v>6.0000000000000107</v>
      </c>
      <c r="T17" s="176">
        <f t="shared" si="3"/>
        <v>6.0000000000000107</v>
      </c>
      <c r="U17" s="154">
        <f t="shared" si="4"/>
        <v>1.6736477147293535E-4</v>
      </c>
      <c r="V17" s="155">
        <f>SUMIF('Horarios Personal'!$D$5:$D$816,O17,'Horarios Personal'!$G$5:$G$816)</f>
        <v>1.0000000000000018</v>
      </c>
    </row>
    <row r="18" spans="1:22" ht="16" customHeight="1" thickBot="1">
      <c r="A18" s="43" t="s">
        <v>562</v>
      </c>
      <c r="B18" s="125"/>
      <c r="C18" s="168">
        <f t="array" ref="C18">SUMPRODUCT(('Horarios Personal'!$D$5:$D$816=$A18)*(MONTH('Horarios Personal'!$N$5:$N$816)=$G$1)*'Horarios Personal'!$I$5:$I$816)</f>
        <v>0</v>
      </c>
      <c r="D18" s="168">
        <f t="array" ref="D18">SUMPRODUCT(('Horarios Personal'!$D$5:$D$816=$A18)*(MONTH('Horarios Personal'!$N$5:$N$816)=$G$1)*'Horarios Personal'!$J$5:$J$816)</f>
        <v>0</v>
      </c>
      <c r="E18" s="168">
        <f t="array" ref="E18">SUMPRODUCT(('Horarios Personal'!$D$5:$D$816=$A18)*(MONTH('Horarios Personal'!$N$5:$N$816)=$G$1)*'Horarios Personal'!$K$5:$K$816)</f>
        <v>0</v>
      </c>
      <c r="F18" s="169">
        <f>SUM(F4:F17)</f>
        <v>10475.466666666665</v>
      </c>
      <c r="G18" s="126">
        <f>SUM(G4:G17)</f>
        <v>1</v>
      </c>
      <c r="H18" s="1052">
        <f t="shared" si="2"/>
        <v>0.33084944635219637</v>
      </c>
      <c r="I18" s="168">
        <f>SUM(I4:I17)</f>
        <v>1079.4166666666667</v>
      </c>
      <c r="J18" s="168"/>
      <c r="K18" s="168"/>
      <c r="L18" s="168"/>
      <c r="M18" s="403">
        <f>Tabla1[[#This Row],[Horas Trabajadas]]*Tabla1[[#This Row],[Columna2]]</f>
        <v>0</v>
      </c>
      <c r="N18" s="125"/>
      <c r="O18" s="157" t="s">
        <v>562</v>
      </c>
      <c r="P18" s="158"/>
      <c r="Q18" s="943">
        <f>SUMIF('Horarios Personal'!$D$5:$D$816,O18,'Horarios Personal'!$I$5:$I$816)</f>
        <v>0</v>
      </c>
      <c r="R18" s="943">
        <f>SUMIF('Horarios Personal'!$D$5:$D$816,O18,'Horarios Personal'!$J$5:$J$816)</f>
        <v>0</v>
      </c>
      <c r="S18" s="943">
        <f>SUMIF('Horarios Personal'!$D$5:$D$816,O18,'Horarios Personal'!$K$5:$K$816)</f>
        <v>0</v>
      </c>
      <c r="T18" s="159">
        <f>SUM(T4:T17)</f>
        <v>35849.838333333333</v>
      </c>
      <c r="U18" s="160">
        <f>SUM(U4:U17)</f>
        <v>0.99999999999999989</v>
      </c>
      <c r="V18" s="942">
        <f>SUMIF('Horarios Personal'!$D$5:$D$816,O18,'Horarios Personal'!$G$5:$G$816)</f>
        <v>0</v>
      </c>
    </row>
    <row r="19" spans="1:22">
      <c r="A19" s="74"/>
      <c r="B19" s="74"/>
      <c r="C19" s="74"/>
      <c r="D19" s="74"/>
      <c r="E19" s="74"/>
      <c r="F19" s="691"/>
      <c r="G19" s="691"/>
      <c r="H19" s="691"/>
      <c r="I19" s="691"/>
      <c r="J19" s="691"/>
      <c r="K19" s="691"/>
      <c r="L19" s="692"/>
      <c r="M19" s="693"/>
      <c r="N19" s="74"/>
      <c r="O19" s="74"/>
      <c r="P19" s="74"/>
      <c r="Q19" s="74"/>
      <c r="R19" s="154"/>
      <c r="S19" s="74"/>
      <c r="T19" s="74"/>
      <c r="U19" s="74"/>
      <c r="V19" s="74"/>
    </row>
  </sheetData>
  <mergeCells count="3">
    <mergeCell ref="A1:C1"/>
    <mergeCell ref="O1:Q1"/>
    <mergeCell ref="W1:X1"/>
  </mergeCells>
  <dataValidations count="2">
    <dataValidation type="custom" allowBlank="1" showDropDown="1" sqref="B4:I18 J18:K18 L4:L18 Q18:S18 U18:V18" xr:uid="{00000000-0002-0000-0600-000000000000}">
      <formula1>AND(ISNUMBER(B4),(NOT(OR(NOT(ISERROR(DATEVALUE(B4))), AND(ISNUMBER(B4), LEFT(CELL("format", B4))="D")))))</formula1>
    </dataValidation>
    <dataValidation type="list" allowBlank="1" showInputMessage="1" showErrorMessage="1" promptTitle="Seleccionar mes" prompt="Elige un mes para filtrar o 'Todos' para ver el total" sqref="F1" xr:uid="{00000000-0002-0000-0600-000001000000}">
      <formula1>"Todos,Enero,Febrero,Marzo,Abril,Mayo,Junio,Julio,Agosto,Septiembre,Octubre,Noviembre,Diciembre"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8"/>
  <sheetViews>
    <sheetView workbookViewId="0">
      <selection activeCell="D11" sqref="D11"/>
    </sheetView>
  </sheetViews>
  <sheetFormatPr baseColWidth="10" defaultColWidth="11.5" defaultRowHeight="15"/>
  <cols>
    <col min="2" max="2" width="14" customWidth="1"/>
    <col min="3" max="3" width="12.6640625" bestFit="1" customWidth="1"/>
    <col min="4" max="4" width="12" bestFit="1" customWidth="1"/>
    <col min="5" max="6" width="13.83203125" bestFit="1" customWidth="1"/>
    <col min="7" max="7" width="13.6640625" customWidth="1"/>
    <col min="8" max="8" width="13.5" bestFit="1" customWidth="1"/>
    <col min="9" max="16" width="11.6640625" bestFit="1" customWidth="1"/>
  </cols>
  <sheetData>
    <row r="1" spans="1:16">
      <c r="A1" s="74"/>
      <c r="B1" s="74">
        <f ca="1">TODAY()</f>
        <v>46144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3" spans="1:16" ht="16" customHeight="1">
      <c r="A3" s="74"/>
      <c r="B3" s="949"/>
      <c r="C3" s="950" t="s">
        <v>480</v>
      </c>
      <c r="D3" s="950" t="s">
        <v>563</v>
      </c>
      <c r="E3" s="950" t="s">
        <v>78</v>
      </c>
      <c r="F3" s="950" t="s">
        <v>80</v>
      </c>
      <c r="G3" s="950" t="s">
        <v>81</v>
      </c>
      <c r="H3" s="950" t="s">
        <v>82</v>
      </c>
      <c r="I3" s="694" t="s">
        <v>84</v>
      </c>
      <c r="J3" s="694" t="s">
        <v>86</v>
      </c>
      <c r="K3" s="694" t="s">
        <v>87</v>
      </c>
      <c r="L3" s="694" t="s">
        <v>89</v>
      </c>
      <c r="M3" s="694" t="s">
        <v>91</v>
      </c>
      <c r="N3" s="694" t="s">
        <v>92</v>
      </c>
      <c r="O3" s="694" t="s">
        <v>94</v>
      </c>
      <c r="P3" s="694" t="s">
        <v>95</v>
      </c>
    </row>
    <row r="4" spans="1:16" ht="16" customHeight="1">
      <c r="A4" s="74"/>
      <c r="B4" s="949" t="s">
        <v>564</v>
      </c>
      <c r="C4" s="1003">
        <f ca="1">C5+C6</f>
        <v>98512.15</v>
      </c>
      <c r="D4" s="951">
        <f ca="1">SUM(D5:D6)</f>
        <v>98436.849999999991</v>
      </c>
      <c r="E4" s="951">
        <f>SUM(E5:E6)</f>
        <v>26444.02</v>
      </c>
      <c r="F4" s="951">
        <f>SUM(F5:F6)</f>
        <v>26991.47</v>
      </c>
      <c r="G4" s="951">
        <f>SUM(G5:G6)</f>
        <v>20236.07</v>
      </c>
      <c r="H4" s="951">
        <f>SUM(H5:H6)</f>
        <v>24765.289999999997</v>
      </c>
      <c r="I4" s="695">
        <v>0</v>
      </c>
      <c r="J4" s="695">
        <v>0</v>
      </c>
      <c r="K4" s="695">
        <v>0</v>
      </c>
      <c r="L4" s="695">
        <v>0</v>
      </c>
      <c r="M4" s="695">
        <v>0</v>
      </c>
      <c r="N4" s="695">
        <v>0</v>
      </c>
      <c r="O4" s="695">
        <v>0</v>
      </c>
      <c r="P4" s="695">
        <v>0</v>
      </c>
    </row>
    <row r="5" spans="1:16" s="1011" customFormat="1" ht="16" customHeight="1">
      <c r="A5" s="1008"/>
      <c r="B5" s="1009" t="s">
        <v>565</v>
      </c>
      <c r="C5" s="1009">
        <f t="array" aca="1" ref="C5" ca="1">SUMPRODUCT((COLUMN(E5:P5)&lt;=MONTH($B$1)+4)*E5:P5)</f>
        <v>81403.839999999997</v>
      </c>
      <c r="D5" s="1009">
        <f t="array" aca="1" ref="D5" ca="1">SUMPRODUCT((EOMONTH(DATE(YEAR($B$1),COLUMN(E5:P5)-COLUMN(E5)+1,1),0)&lt;$B$1)*E5:P5)</f>
        <v>81403.839999999997</v>
      </c>
      <c r="E5" s="1123">
        <v>22953.54</v>
      </c>
      <c r="F5" s="1123">
        <v>22438.880000000001</v>
      </c>
      <c r="G5" s="1123">
        <v>16372.78</v>
      </c>
      <c r="H5" s="1123">
        <v>19638.64</v>
      </c>
      <c r="I5" s="1010">
        <v>0</v>
      </c>
      <c r="J5" s="1010">
        <v>0</v>
      </c>
      <c r="K5" s="1010">
        <v>0</v>
      </c>
      <c r="L5" s="1010">
        <v>0</v>
      </c>
      <c r="M5" s="1010">
        <v>0</v>
      </c>
      <c r="N5" s="1010">
        <v>0</v>
      </c>
      <c r="O5" s="1010">
        <v>0</v>
      </c>
      <c r="P5" s="1010">
        <v>0</v>
      </c>
    </row>
    <row r="6" spans="1:16" s="1007" customFormat="1" ht="16" customHeight="1">
      <c r="A6" s="1005"/>
      <c r="B6" s="1006" t="s">
        <v>566</v>
      </c>
      <c r="C6" s="1006">
        <f>SUM(E6:P6)</f>
        <v>17108.309999999994</v>
      </c>
      <c r="D6" s="1006">
        <f t="array" aca="1" ref="D6" ca="1">SUMPRODUCT((EOMONTH(DATE(YEAR($B$1),COLUMN(E6:P6)-COLUMN(E6)+1,1),0)&lt;$B$1)*E6:P6)</f>
        <v>17033.009999999995</v>
      </c>
      <c r="E6" s="1006">
        <f t="array" ref="E6">SUMPRODUCT((MONTH('Caja 1'!$A$4:$A$199)=1)*(YEAR('Caja 1'!$A$4:$A$199)=2026)*IFERROR('Caja 1'!$E$4:$E$199*1,0))</f>
        <v>3490.4799999999991</v>
      </c>
      <c r="F6" s="1006">
        <f t="array" ref="F6">SUMPRODUCT((MONTH('Caja 1'!$A$4:$A$199)=2)*(YEAR('Caja 1'!$A$4:$A$199)=2026)*IFERROR('Caja 1'!$E$4:$E$199*1,0))</f>
        <v>4552.5899999999992</v>
      </c>
      <c r="G6" s="1006">
        <f t="array" ref="G6">SUMPRODUCT((MONTH('Caja 1'!$A$4:$A$199)=3)*(YEAR('Caja 1'!$A$4:$A$199)=2026)*IFERROR('Caja 1'!$E$4:$E$199*1,0))</f>
        <v>3863.2899999999991</v>
      </c>
      <c r="H6" s="1006">
        <f t="array" ref="H6">SUMPRODUCT((MONTH('Caja 1'!$A$4:$A$199)=4)*(YEAR('Caja 1'!$A$4:$A$199)=2026)*IFERROR('Caja 1'!$E$4:$E$199*1,0))</f>
        <v>5126.6499999999987</v>
      </c>
      <c r="I6" s="1006">
        <f t="array" ref="I6">SUMPRODUCT((MONTH('Caja 1'!$A$4:$A$199)=5)*(YEAR('Caja 1'!$A$4:$A$199)=2026)*IFERROR('Caja 1'!$E$4:$E$199*1,0))</f>
        <v>75.3</v>
      </c>
      <c r="J6" s="1006">
        <f t="array" ref="J6">SUMPRODUCT((MONTH('Caja 1'!$A$4:$A$199)=6)*(YEAR('Caja 1'!$A$4:$A$199)=2026)*IFERROR('Caja 1'!$E$4:$E$199*1,0))</f>
        <v>0</v>
      </c>
      <c r="K6" s="1006">
        <f t="array" ref="K6">SUMPRODUCT((MONTH('Caja 1'!$A$4:$A$199)=7)*(YEAR('Caja 1'!$A$4:$A$199)=2026)*IFERROR('Caja 1'!$E$4:$E$199*1,0))</f>
        <v>0</v>
      </c>
      <c r="L6" s="1006">
        <f t="array" ref="L6">SUMPRODUCT((MONTH('Caja 1'!$A$4:$A$199)=8)*(YEAR('Caja 1'!$A$4:$A$199)=2026)*IFERROR('Caja 1'!$E$4:$E$199*1,0))</f>
        <v>0</v>
      </c>
      <c r="M6" s="1006">
        <f t="array" ref="M6">SUMPRODUCT((MONTH('Caja 1'!$A$4:$A$199)=9)*(YEAR('Caja 1'!$A$4:$A$199)=2026)*IFERROR('Caja 1'!$E$4:$E$199*1,0))</f>
        <v>0</v>
      </c>
      <c r="N6" s="1006">
        <f t="array" ref="N6">SUMPRODUCT((MONTH('Caja 1'!$A$4:$A$199)=10)*(YEAR('Caja 1'!$A$4:$A$199)=2026)*IFERROR('Caja 1'!$E$4:$E$199*1,0))</f>
        <v>0</v>
      </c>
      <c r="O6" s="1006">
        <f t="array" ref="O6">SUMPRODUCT((MONTH('Caja 1'!$A$4:$A$199)=11)*(YEAR('Caja 1'!$A$4:$A$199)=2026)*IFERROR('Caja 1'!$E$4:$E$199*1,0))</f>
        <v>0</v>
      </c>
      <c r="P6" s="1006">
        <f t="array" ref="P6">SUMPRODUCT((MONTH('Caja 1'!$A$4:$A$199)=12)*(YEAR('Caja 1'!$A$4:$A$199)=2026)*IFERROR('Caja 1'!$E$4:$E$199*1,0))</f>
        <v>0</v>
      </c>
    </row>
    <row r="7" spans="1:16" s="1015" customFormat="1" ht="16" customHeight="1">
      <c r="A7" s="1012"/>
      <c r="B7" s="1013" t="s">
        <v>567</v>
      </c>
      <c r="C7" s="1013">
        <f>SUM(E7:P7)</f>
        <v>26893.72</v>
      </c>
      <c r="D7" s="1013">
        <f ca="1">IF(MONTH($B$1)&lt;=1,0,SUM(OFFSET(E7,0,0,1,MONTH($B$1)-1)))</f>
        <v>26893.72</v>
      </c>
      <c r="E7" s="1124">
        <v>8173.41</v>
      </c>
      <c r="F7" s="1124">
        <v>5891.02</v>
      </c>
      <c r="G7" s="1124">
        <v>7169.89</v>
      </c>
      <c r="H7" s="1124">
        <v>5659.4</v>
      </c>
      <c r="I7" s="1014" t="str">
        <f t="shared" ref="I7:P7" si="0">IFERROR(IF(I6=0,"",I6/I$3),"")</f>
        <v/>
      </c>
      <c r="J7" s="1014" t="str">
        <f t="shared" si="0"/>
        <v/>
      </c>
      <c r="K7" s="1014" t="str">
        <f t="shared" si="0"/>
        <v/>
      </c>
      <c r="L7" s="1014" t="str">
        <f t="shared" si="0"/>
        <v/>
      </c>
      <c r="M7" s="1014" t="str">
        <f t="shared" si="0"/>
        <v/>
      </c>
      <c r="N7" s="1014" t="str">
        <f t="shared" si="0"/>
        <v/>
      </c>
      <c r="O7" s="1014" t="str">
        <f t="shared" si="0"/>
        <v/>
      </c>
      <c r="P7" s="1014" t="str">
        <f t="shared" si="0"/>
        <v/>
      </c>
    </row>
    <row r="8" spans="1:16" ht="16" customHeight="1">
      <c r="A8" s="74"/>
      <c r="B8" s="949" t="s">
        <v>568</v>
      </c>
      <c r="C8" s="955">
        <f t="shared" ref="C8:H8" ca="1" si="1">IFERROR(IF(C7=0,"",C7/C$5),"")</f>
        <v>0.33037409537437057</v>
      </c>
      <c r="D8" s="1125">
        <f t="shared" ca="1" si="1"/>
        <v>0.33037409537437057</v>
      </c>
      <c r="E8" s="955">
        <f t="shared" si="1"/>
        <v>0.35608494376030886</v>
      </c>
      <c r="F8" s="955">
        <f t="shared" si="1"/>
        <v>0.26253627632038679</v>
      </c>
      <c r="G8" s="955">
        <f t="shared" si="1"/>
        <v>0.43791524713579488</v>
      </c>
      <c r="H8" s="955">
        <f t="shared" si="1"/>
        <v>0.28817677802536223</v>
      </c>
      <c r="I8" s="696">
        <v>0</v>
      </c>
      <c r="J8" s="696">
        <v>0</v>
      </c>
      <c r="K8" s="696">
        <v>0</v>
      </c>
      <c r="L8" s="696">
        <v>0</v>
      </c>
      <c r="M8" s="696">
        <v>0</v>
      </c>
      <c r="N8" s="696">
        <v>0</v>
      </c>
      <c r="O8" s="696">
        <v>0</v>
      </c>
      <c r="P8" s="696">
        <v>0</v>
      </c>
    </row>
    <row r="9" spans="1:16" ht="16" customHeight="1">
      <c r="A9" s="74"/>
      <c r="B9" s="949"/>
      <c r="C9" s="949"/>
      <c r="D9" s="949"/>
      <c r="E9" s="953">
        <v>0</v>
      </c>
      <c r="F9" s="953">
        <v>0</v>
      </c>
      <c r="G9" s="953">
        <v>0</v>
      </c>
      <c r="H9" s="953">
        <v>0</v>
      </c>
      <c r="I9" s="695">
        <v>0</v>
      </c>
      <c r="J9" s="695">
        <v>0</v>
      </c>
      <c r="K9" s="695">
        <v>0</v>
      </c>
      <c r="L9" s="695">
        <v>0</v>
      </c>
      <c r="M9" s="695">
        <v>0</v>
      </c>
      <c r="N9" s="695">
        <v>0</v>
      </c>
      <c r="O9" s="695">
        <v>0</v>
      </c>
      <c r="P9" s="695">
        <v>0</v>
      </c>
    </row>
    <row r="10" spans="1:16" ht="16" customHeight="1">
      <c r="A10" s="74"/>
      <c r="B10" s="949" t="s">
        <v>569</v>
      </c>
      <c r="C10" s="954">
        <f>SUM(E10:P10)</f>
        <v>541.13</v>
      </c>
      <c r="D10" s="952">
        <f ca="1">IF(MONTH($B$1)&lt;=1,0,SUM(OFFSET(E10,0,0,1,MONTH($B$1)-1)))</f>
        <v>541.13</v>
      </c>
      <c r="E10" s="1126">
        <v>243.7</v>
      </c>
      <c r="F10" s="1126">
        <v>152.07</v>
      </c>
      <c r="G10" s="1126">
        <v>145.36000000000001</v>
      </c>
      <c r="H10" s="1126">
        <v>0</v>
      </c>
      <c r="I10" s="697" t="str">
        <f t="shared" ref="I10:P10" si="2">IFERROR(IF(I9=0,"",I9/I$3),"")</f>
        <v/>
      </c>
      <c r="J10" s="697" t="str">
        <f t="shared" si="2"/>
        <v/>
      </c>
      <c r="K10" s="697" t="str">
        <f t="shared" si="2"/>
        <v/>
      </c>
      <c r="L10" s="697" t="str">
        <f t="shared" si="2"/>
        <v/>
      </c>
      <c r="M10" s="697" t="str">
        <f t="shared" si="2"/>
        <v/>
      </c>
      <c r="N10" s="697" t="str">
        <f t="shared" si="2"/>
        <v/>
      </c>
      <c r="O10" s="697" t="str">
        <f t="shared" si="2"/>
        <v/>
      </c>
      <c r="P10" s="697" t="str">
        <f t="shared" si="2"/>
        <v/>
      </c>
    </row>
    <row r="11" spans="1:16" ht="16" customHeight="1">
      <c r="A11" s="74"/>
      <c r="B11" s="949" t="s">
        <v>570</v>
      </c>
      <c r="C11" s="955">
        <f t="shared" ref="C11:H11" ca="1" si="3">IFERROR(IF(C10=0,"",C10/C$5),"")</f>
        <v>6.6474751068254278E-3</v>
      </c>
      <c r="D11" s="1125">
        <f t="shared" ca="1" si="3"/>
        <v>6.6474751068254278E-3</v>
      </c>
      <c r="E11" s="955">
        <f t="shared" si="3"/>
        <v>1.0617098713313938E-2</v>
      </c>
      <c r="F11" s="955">
        <f t="shared" si="3"/>
        <v>6.7770762177078352E-3</v>
      </c>
      <c r="G11" s="955">
        <f t="shared" si="3"/>
        <v>8.8781501980726551E-3</v>
      </c>
      <c r="H11" s="955" t="str">
        <f t="shared" si="3"/>
        <v/>
      </c>
      <c r="I11" s="696">
        <v>0</v>
      </c>
      <c r="J11" s="696">
        <v>0</v>
      </c>
      <c r="K11" s="696">
        <v>0</v>
      </c>
      <c r="L11" s="696">
        <v>0</v>
      </c>
      <c r="M11" s="696">
        <v>0</v>
      </c>
      <c r="N11" s="696">
        <v>0</v>
      </c>
      <c r="O11" s="696">
        <v>0</v>
      </c>
      <c r="P11" s="696">
        <v>0</v>
      </c>
    </row>
    <row r="12" spans="1:16" ht="16" customHeight="1">
      <c r="A12" s="74"/>
      <c r="B12" s="949"/>
      <c r="C12" s="949"/>
      <c r="D12" s="949"/>
      <c r="E12" s="953"/>
      <c r="F12" s="953"/>
      <c r="G12" s="953"/>
      <c r="H12" s="953"/>
      <c r="I12" s="695">
        <v>0</v>
      </c>
      <c r="J12" s="695">
        <v>0</v>
      </c>
      <c r="K12" s="695">
        <v>0</v>
      </c>
      <c r="L12" s="695">
        <v>0</v>
      </c>
      <c r="M12" s="695">
        <v>0</v>
      </c>
      <c r="N12" s="695">
        <v>0</v>
      </c>
      <c r="O12" s="695">
        <v>0</v>
      </c>
      <c r="P12" s="695">
        <v>0</v>
      </c>
    </row>
    <row r="13" spans="1:16" ht="16" customHeight="1">
      <c r="A13" s="74"/>
      <c r="B13" s="949" t="s">
        <v>571</v>
      </c>
      <c r="C13" s="954">
        <f>SUM(E13:P13)</f>
        <v>301.45</v>
      </c>
      <c r="D13" s="952">
        <f ca="1">IF(MONTH($B$1)&lt;=1,0,SUM(OFFSET(E13,0,0,1,MONTH($B$1)-1)))</f>
        <v>301.45</v>
      </c>
      <c r="E13" s="1126">
        <v>115.5</v>
      </c>
      <c r="F13" s="1126">
        <v>76.739999999999995</v>
      </c>
      <c r="G13" s="1126">
        <v>109.21</v>
      </c>
      <c r="H13" s="1126">
        <v>0</v>
      </c>
      <c r="I13" s="697" t="str">
        <f t="shared" ref="I13:P13" si="4">IFERROR(IF(I12=0,"",I12/I$3),"")</f>
        <v/>
      </c>
      <c r="J13" s="697" t="str">
        <f t="shared" si="4"/>
        <v/>
      </c>
      <c r="K13" s="697" t="str">
        <f t="shared" si="4"/>
        <v/>
      </c>
      <c r="L13" s="697" t="str">
        <f t="shared" si="4"/>
        <v/>
      </c>
      <c r="M13" s="697" t="str">
        <f t="shared" si="4"/>
        <v/>
      </c>
      <c r="N13" s="697" t="str">
        <f t="shared" si="4"/>
        <v/>
      </c>
      <c r="O13" s="697" t="str">
        <f t="shared" si="4"/>
        <v/>
      </c>
      <c r="P13" s="697" t="str">
        <f t="shared" si="4"/>
        <v/>
      </c>
    </row>
    <row r="14" spans="1:16" ht="16" customHeight="1">
      <c r="A14" s="74"/>
      <c r="B14" s="949" t="s">
        <v>572</v>
      </c>
      <c r="C14" s="955">
        <f t="shared" ref="C14:H14" ca="1" si="5">IFERROR(IF(C13=0,"",C13/C$5),"")</f>
        <v>3.7031422596280469E-3</v>
      </c>
      <c r="D14" s="955">
        <f t="shared" ca="1" si="5"/>
        <v>3.7031422596280469E-3</v>
      </c>
      <c r="E14" s="955">
        <f t="shared" si="5"/>
        <v>5.0319035756576109E-3</v>
      </c>
      <c r="F14" s="955">
        <f t="shared" si="5"/>
        <v>3.4199567892871656E-3</v>
      </c>
      <c r="G14" s="955">
        <f t="shared" si="5"/>
        <v>6.6702172752580802E-3</v>
      </c>
      <c r="H14" s="955" t="str">
        <f t="shared" si="5"/>
        <v/>
      </c>
      <c r="I14" s="696">
        <v>0</v>
      </c>
      <c r="J14" s="696">
        <v>0</v>
      </c>
      <c r="K14" s="696">
        <v>0</v>
      </c>
      <c r="L14" s="696">
        <v>0</v>
      </c>
      <c r="M14" s="696">
        <v>0</v>
      </c>
      <c r="N14" s="696">
        <v>0</v>
      </c>
      <c r="O14" s="696">
        <v>0</v>
      </c>
      <c r="P14" s="696">
        <v>0</v>
      </c>
    </row>
    <row r="15" spans="1:16" ht="16" customHeight="1">
      <c r="A15" s="74"/>
      <c r="B15" s="949"/>
      <c r="C15" s="949"/>
      <c r="D15" s="949"/>
      <c r="E15" s="953"/>
      <c r="F15" s="953"/>
      <c r="G15" s="953"/>
      <c r="H15" s="953"/>
      <c r="I15" s="695">
        <v>0</v>
      </c>
      <c r="J15" s="695">
        <v>0</v>
      </c>
      <c r="K15" s="695">
        <v>0</v>
      </c>
      <c r="L15" s="695">
        <v>0</v>
      </c>
      <c r="M15" s="695">
        <v>0</v>
      </c>
      <c r="N15" s="695">
        <v>0</v>
      </c>
      <c r="O15" s="695">
        <v>0</v>
      </c>
      <c r="P15" s="695">
        <v>0</v>
      </c>
    </row>
    <row r="16" spans="1:16" ht="16" customHeight="1">
      <c r="A16" s="74"/>
      <c r="B16" s="949" t="s">
        <v>573</v>
      </c>
      <c r="C16" s="954">
        <f>SUM(E16:P16)</f>
        <v>7.53</v>
      </c>
      <c r="D16" s="952">
        <f ca="1">IF(MONTH($B$1)&lt;=1,0,SUM(OFFSET(E16,0,0,1,MONTH($B$1)-1)))</f>
        <v>7.53</v>
      </c>
      <c r="E16" s="954">
        <v>0</v>
      </c>
      <c r="F16" s="954">
        <v>0</v>
      </c>
      <c r="G16" s="954">
        <v>7.53</v>
      </c>
      <c r="H16" s="954">
        <v>0</v>
      </c>
      <c r="I16" s="697" t="str">
        <f t="shared" ref="I16:P16" si="6">IFERROR(IF(I15=0,"",I15/I$3),"")</f>
        <v/>
      </c>
      <c r="J16" s="697" t="str">
        <f t="shared" si="6"/>
        <v/>
      </c>
      <c r="K16" s="697" t="str">
        <f t="shared" si="6"/>
        <v/>
      </c>
      <c r="L16" s="697" t="str">
        <f t="shared" si="6"/>
        <v/>
      </c>
      <c r="M16" s="697" t="str">
        <f t="shared" si="6"/>
        <v/>
      </c>
      <c r="N16" s="697" t="str">
        <f t="shared" si="6"/>
        <v/>
      </c>
      <c r="O16" s="697" t="str">
        <f t="shared" si="6"/>
        <v/>
      </c>
      <c r="P16" s="697" t="str">
        <f t="shared" si="6"/>
        <v/>
      </c>
    </row>
    <row r="17" spans="1:16" ht="16" customHeight="1">
      <c r="A17" s="74"/>
      <c r="B17" s="949" t="s">
        <v>574</v>
      </c>
      <c r="C17" s="955">
        <f t="shared" ref="C17:H17" ca="1" si="7">IFERROR(IF(C16=0,"",C16/C$5),"")</f>
        <v>9.2501778785865631E-5</v>
      </c>
      <c r="D17" s="953">
        <f t="shared" ca="1" si="7"/>
        <v>9.2501778785865631E-5</v>
      </c>
      <c r="E17" s="955" t="str">
        <f t="shared" si="7"/>
        <v/>
      </c>
      <c r="F17" s="955" t="str">
        <f t="shared" si="7"/>
        <v/>
      </c>
      <c r="G17" s="955">
        <f t="shared" si="7"/>
        <v>4.5990967935805645E-4</v>
      </c>
      <c r="H17" s="955" t="str">
        <f t="shared" si="7"/>
        <v/>
      </c>
      <c r="I17" s="696">
        <v>0</v>
      </c>
      <c r="J17" s="696">
        <v>0</v>
      </c>
      <c r="K17" s="696">
        <v>0</v>
      </c>
      <c r="L17" s="696">
        <v>0</v>
      </c>
      <c r="M17" s="696">
        <v>0</v>
      </c>
      <c r="N17" s="696">
        <v>0</v>
      </c>
      <c r="O17" s="696">
        <v>0</v>
      </c>
      <c r="P17" s="696">
        <v>0</v>
      </c>
    </row>
    <row r="18" spans="1:16" ht="16" customHeight="1">
      <c r="A18" s="74"/>
      <c r="B18" s="949"/>
      <c r="C18" s="949"/>
      <c r="D18" s="949"/>
      <c r="E18" s="953"/>
      <c r="F18" s="953"/>
      <c r="G18" s="953"/>
      <c r="H18" s="953"/>
      <c r="I18" s="695">
        <v>0</v>
      </c>
      <c r="J18" s="695">
        <v>0</v>
      </c>
      <c r="K18" s="695">
        <v>0</v>
      </c>
      <c r="L18" s="695">
        <v>0</v>
      </c>
      <c r="M18" s="695">
        <v>0</v>
      </c>
      <c r="N18" s="695">
        <v>0</v>
      </c>
      <c r="O18" s="695">
        <v>0</v>
      </c>
      <c r="P18" s="695">
        <v>0</v>
      </c>
    </row>
    <row r="19" spans="1:16" ht="16" customHeight="1">
      <c r="A19" s="74"/>
      <c r="B19" s="949" t="s">
        <v>575</v>
      </c>
      <c r="C19" s="954">
        <f>SUM(E19:P19)</f>
        <v>2602.5</v>
      </c>
      <c r="D19" s="952">
        <f ca="1">IF(MONTH($B$1)&lt;=1,0,SUM(OFFSET(E19,0,0,1,MONTH($B$1)-1)))</f>
        <v>2602.5</v>
      </c>
      <c r="E19" s="954">
        <v>679.37</v>
      </c>
      <c r="F19" s="954">
        <v>651.94000000000005</v>
      </c>
      <c r="G19" s="954">
        <v>808.99</v>
      </c>
      <c r="H19" s="954">
        <v>462.2</v>
      </c>
      <c r="I19" s="697" t="str">
        <f t="shared" ref="I19:P19" si="8">IFERROR(IF(I18=0,"",I18/I$3),"")</f>
        <v/>
      </c>
      <c r="J19" s="697" t="str">
        <f t="shared" si="8"/>
        <v/>
      </c>
      <c r="K19" s="697" t="str">
        <f t="shared" si="8"/>
        <v/>
      </c>
      <c r="L19" s="697" t="str">
        <f t="shared" si="8"/>
        <v/>
      </c>
      <c r="M19" s="697" t="str">
        <f t="shared" si="8"/>
        <v/>
      </c>
      <c r="N19" s="697" t="str">
        <f t="shared" si="8"/>
        <v/>
      </c>
      <c r="O19" s="697" t="str">
        <f t="shared" si="8"/>
        <v/>
      </c>
      <c r="P19" s="697" t="str">
        <f t="shared" si="8"/>
        <v/>
      </c>
    </row>
    <row r="20" spans="1:16" ht="16" customHeight="1">
      <c r="A20" s="74"/>
      <c r="B20" s="949" t="s">
        <v>576</v>
      </c>
      <c r="C20" s="955">
        <f t="shared" ref="C20:H20" ca="1" si="9">IFERROR(IF(C19=0,"",C19/C$5),"")</f>
        <v>3.197023629352129E-2</v>
      </c>
      <c r="D20" s="954">
        <f t="shared" ca="1" si="9"/>
        <v>3.197023629352129E-2</v>
      </c>
      <c r="E20" s="954">
        <f t="shared" si="9"/>
        <v>2.9597613265753341E-2</v>
      </c>
      <c r="F20" s="954">
        <f t="shared" si="9"/>
        <v>2.9054034782484688E-2</v>
      </c>
      <c r="G20" s="954">
        <f t="shared" si="9"/>
        <v>4.9410668194405594E-2</v>
      </c>
      <c r="H20" s="954">
        <f t="shared" si="9"/>
        <v>2.3535234619097862E-2</v>
      </c>
      <c r="I20" s="696">
        <v>0</v>
      </c>
      <c r="J20" s="696">
        <v>0</v>
      </c>
      <c r="K20" s="696">
        <v>0</v>
      </c>
      <c r="L20" s="696">
        <v>0</v>
      </c>
      <c r="M20" s="696">
        <v>0</v>
      </c>
      <c r="N20" s="696">
        <v>0</v>
      </c>
      <c r="O20" s="696">
        <v>0</v>
      </c>
      <c r="P20" s="696">
        <v>0</v>
      </c>
    </row>
    <row r="21" spans="1:16" ht="16" customHeight="1">
      <c r="A21" s="74"/>
      <c r="B21" s="949"/>
      <c r="C21" s="949"/>
      <c r="D21" s="949"/>
      <c r="E21" s="953"/>
      <c r="F21" s="953"/>
      <c r="G21" s="953"/>
      <c r="H21" s="953"/>
      <c r="I21" s="695">
        <v>0</v>
      </c>
      <c r="J21" s="695">
        <v>0</v>
      </c>
      <c r="K21" s="695">
        <v>0</v>
      </c>
      <c r="L21" s="695">
        <v>0</v>
      </c>
      <c r="M21" s="695">
        <v>0</v>
      </c>
      <c r="N21" s="695">
        <v>0</v>
      </c>
      <c r="O21" s="695">
        <v>0</v>
      </c>
      <c r="P21" s="695">
        <v>0</v>
      </c>
    </row>
    <row r="22" spans="1:16" ht="16" customHeight="1">
      <c r="A22" s="74"/>
      <c r="B22" s="949" t="s">
        <v>577</v>
      </c>
      <c r="C22" s="954">
        <f>SUM(E22:P22)</f>
        <v>1208.5</v>
      </c>
      <c r="D22" s="952">
        <f ca="1">IF(MONTH($B$1)&lt;=1,0,SUM(OFFSET(E22,0,0,1,MONTH($B$1)-1)))</f>
        <v>1208.5</v>
      </c>
      <c r="E22" s="954">
        <v>133.55000000000001</v>
      </c>
      <c r="F22" s="954">
        <v>507.01</v>
      </c>
      <c r="G22" s="954">
        <v>552.11</v>
      </c>
      <c r="H22" s="954">
        <v>15.83</v>
      </c>
      <c r="I22" s="697" t="str">
        <f t="shared" ref="I22:P22" si="10">IFERROR(IF(I21=0,"",I21/I$3),"")</f>
        <v/>
      </c>
      <c r="J22" s="697" t="str">
        <f t="shared" si="10"/>
        <v/>
      </c>
      <c r="K22" s="697" t="str">
        <f t="shared" si="10"/>
        <v/>
      </c>
      <c r="L22" s="697" t="str">
        <f t="shared" si="10"/>
        <v/>
      </c>
      <c r="M22" s="697" t="str">
        <f t="shared" si="10"/>
        <v/>
      </c>
      <c r="N22" s="697" t="str">
        <f t="shared" si="10"/>
        <v/>
      </c>
      <c r="O22" s="697" t="str">
        <f t="shared" si="10"/>
        <v/>
      </c>
      <c r="P22" s="697" t="str">
        <f t="shared" si="10"/>
        <v/>
      </c>
    </row>
    <row r="23" spans="1:16" ht="16" customHeight="1">
      <c r="A23" s="74"/>
      <c r="B23" s="949" t="s">
        <v>578</v>
      </c>
      <c r="C23" s="955">
        <f t="shared" ref="C23:H23" ca="1" si="11">IFERROR(IF(C22=0,"",C22/C$5),"")</f>
        <v>1.4845737007001144E-2</v>
      </c>
      <c r="D23" s="954">
        <f t="shared" ca="1" si="11"/>
        <v>1.4845737007001144E-2</v>
      </c>
      <c r="E23" s="954">
        <f t="shared" si="11"/>
        <v>5.8182746539313761E-3</v>
      </c>
      <c r="F23" s="954">
        <f t="shared" si="11"/>
        <v>2.2595156264483787E-2</v>
      </c>
      <c r="G23" s="954">
        <f t="shared" si="11"/>
        <v>3.3721212891152264E-2</v>
      </c>
      <c r="H23" s="954">
        <f t="shared" si="11"/>
        <v>8.0606396369606044E-4</v>
      </c>
      <c r="I23" s="696">
        <v>0</v>
      </c>
      <c r="J23" s="696">
        <v>0</v>
      </c>
      <c r="K23" s="696">
        <v>0</v>
      </c>
      <c r="L23" s="696">
        <v>0</v>
      </c>
      <c r="M23" s="696">
        <v>0</v>
      </c>
      <c r="N23" s="696">
        <v>0</v>
      </c>
      <c r="O23" s="696">
        <v>0</v>
      </c>
      <c r="P23" s="696">
        <v>0</v>
      </c>
    </row>
    <row r="24" spans="1:16" ht="16" customHeight="1">
      <c r="A24" s="74"/>
      <c r="B24" s="949"/>
      <c r="C24" s="949"/>
      <c r="D24" s="949"/>
      <c r="E24" s="953"/>
      <c r="F24" s="953"/>
      <c r="G24" s="953"/>
      <c r="H24" s="953"/>
      <c r="I24" s="695">
        <v>0</v>
      </c>
      <c r="J24" s="695">
        <v>0</v>
      </c>
      <c r="K24" s="695">
        <v>0</v>
      </c>
      <c r="L24" s="695">
        <v>0</v>
      </c>
      <c r="M24" s="695">
        <v>0</v>
      </c>
      <c r="N24" s="695">
        <v>0</v>
      </c>
      <c r="O24" s="695">
        <v>0</v>
      </c>
      <c r="P24" s="695">
        <v>0</v>
      </c>
    </row>
    <row r="25" spans="1:16" ht="16" customHeight="1">
      <c r="A25" s="74"/>
      <c r="B25" s="949" t="s">
        <v>579</v>
      </c>
      <c r="C25" s="954">
        <f>SUM(E25:P25)</f>
        <v>536.15000000000009</v>
      </c>
      <c r="D25" s="952">
        <f ca="1">IF(MONTH($B$1)&lt;=1,0,SUM(OFFSET(E25,0,0,1,MONTH($B$1)-1)))</f>
        <v>536.15000000000009</v>
      </c>
      <c r="E25" s="954">
        <v>36.43</v>
      </c>
      <c r="F25" s="954">
        <v>183.5</v>
      </c>
      <c r="G25" s="954">
        <v>296.72000000000003</v>
      </c>
      <c r="H25" s="954">
        <v>19.5</v>
      </c>
      <c r="I25" s="697" t="str">
        <f t="shared" ref="I25:P25" si="12">IFERROR(IF(I24=0,"",I24/I$3),"")</f>
        <v/>
      </c>
      <c r="J25" s="697" t="str">
        <f t="shared" si="12"/>
        <v/>
      </c>
      <c r="K25" s="697" t="str">
        <f t="shared" si="12"/>
        <v/>
      </c>
      <c r="L25" s="697" t="str">
        <f t="shared" si="12"/>
        <v/>
      </c>
      <c r="M25" s="697" t="str">
        <f t="shared" si="12"/>
        <v/>
      </c>
      <c r="N25" s="697" t="str">
        <f t="shared" si="12"/>
        <v/>
      </c>
      <c r="O25" s="697" t="str">
        <f t="shared" si="12"/>
        <v/>
      </c>
      <c r="P25" s="697" t="str">
        <f t="shared" si="12"/>
        <v/>
      </c>
    </row>
    <row r="26" spans="1:16" ht="16" customHeight="1">
      <c r="A26" s="74"/>
      <c r="B26" s="949" t="s">
        <v>580</v>
      </c>
      <c r="C26" s="955">
        <f t="shared" ref="C26:H26" ca="1" si="13">IFERROR(IF(C25=0,"",C25/C$5),"")</f>
        <v>6.5862986316124663E-3</v>
      </c>
      <c r="D26" s="954">
        <f t="shared" ca="1" si="13"/>
        <v>6.5862986316124663E-3</v>
      </c>
      <c r="E26" s="954">
        <f t="shared" si="13"/>
        <v>1.587119023906552E-3</v>
      </c>
      <c r="F26" s="954">
        <f t="shared" si="13"/>
        <v>8.1777700134766079E-3</v>
      </c>
      <c r="G26" s="954">
        <f t="shared" si="13"/>
        <v>1.8122762292048143E-2</v>
      </c>
      <c r="H26" s="954">
        <f t="shared" si="13"/>
        <v>9.9294044801473023E-4</v>
      </c>
      <c r="I26" s="696">
        <v>0</v>
      </c>
      <c r="J26" s="696">
        <v>0</v>
      </c>
      <c r="K26" s="696">
        <v>0</v>
      </c>
      <c r="L26" s="696">
        <v>0</v>
      </c>
      <c r="M26" s="696">
        <v>0</v>
      </c>
      <c r="N26" s="696">
        <v>0</v>
      </c>
      <c r="O26" s="696">
        <v>0</v>
      </c>
      <c r="P26" s="696">
        <v>0</v>
      </c>
    </row>
    <row r="27" spans="1:16" ht="16" customHeight="1">
      <c r="A27" s="74"/>
      <c r="B27" s="949"/>
      <c r="C27" s="949"/>
      <c r="D27" s="949"/>
      <c r="E27" s="953">
        <v>0</v>
      </c>
      <c r="F27" s="953">
        <v>0</v>
      </c>
      <c r="G27" s="953">
        <v>0</v>
      </c>
      <c r="H27" s="953">
        <v>0</v>
      </c>
      <c r="I27" s="695">
        <v>0</v>
      </c>
      <c r="J27" s="695">
        <v>0</v>
      </c>
      <c r="K27" s="695">
        <v>0</v>
      </c>
      <c r="L27" s="695">
        <v>0</v>
      </c>
      <c r="M27" s="695">
        <v>0</v>
      </c>
      <c r="N27" s="695">
        <v>0</v>
      </c>
      <c r="O27" s="695">
        <v>0</v>
      </c>
      <c r="P27" s="695">
        <v>0</v>
      </c>
    </row>
    <row r="28" spans="1:16" ht="16" customHeight="1">
      <c r="A28" s="74"/>
      <c r="B28" s="949" t="s">
        <v>581</v>
      </c>
      <c r="C28" s="954">
        <f>SUM(E28:P28)</f>
        <v>1567.93</v>
      </c>
      <c r="D28" s="952">
        <f ca="1">IF(MONTH($B$1)&lt;=1,0,SUM(OFFSET(E28,0,0,1,MONTH($B$1)-1)))</f>
        <v>1567.93</v>
      </c>
      <c r="E28" s="954">
        <v>562.98</v>
      </c>
      <c r="F28" s="954">
        <v>250</v>
      </c>
      <c r="G28" s="954">
        <v>304.95</v>
      </c>
      <c r="H28" s="954">
        <v>450</v>
      </c>
      <c r="I28" s="697" t="str">
        <f t="shared" ref="I28:P28" si="14">IFERROR(IF(I27=0,"",I27/I$3),"")</f>
        <v/>
      </c>
      <c r="J28" s="697" t="str">
        <f t="shared" si="14"/>
        <v/>
      </c>
      <c r="K28" s="697" t="str">
        <f t="shared" si="14"/>
        <v/>
      </c>
      <c r="L28" s="697" t="str">
        <f t="shared" si="14"/>
        <v/>
      </c>
      <c r="M28" s="697" t="str">
        <f t="shared" si="14"/>
        <v/>
      </c>
      <c r="N28" s="697" t="str">
        <f t="shared" si="14"/>
        <v/>
      </c>
      <c r="O28" s="697" t="str">
        <f t="shared" si="14"/>
        <v/>
      </c>
      <c r="P28" s="697" t="str">
        <f t="shared" si="14"/>
        <v/>
      </c>
    </row>
    <row r="29" spans="1:16" s="1004" customFormat="1" ht="16" customHeight="1">
      <c r="B29" s="1004" t="s">
        <v>582</v>
      </c>
      <c r="C29" s="1004">
        <f t="shared" ref="C29:H29" ca="1" si="15">IFERROR(IF(C28=0,"",C28/C$5),"")</f>
        <v>1.9261130678847584E-2</v>
      </c>
      <c r="D29" s="1004">
        <f t="shared" ca="1" si="15"/>
        <v>1.9261130678847584E-2</v>
      </c>
      <c r="E29" s="1004">
        <f t="shared" si="15"/>
        <v>2.4526935714491098E-2</v>
      </c>
      <c r="F29" s="1004">
        <f t="shared" si="15"/>
        <v>1.1141376040158867E-2</v>
      </c>
      <c r="G29" s="1004">
        <f t="shared" si="15"/>
        <v>1.8625425859261528E-2</v>
      </c>
      <c r="H29" s="1004">
        <f t="shared" si="15"/>
        <v>2.2914010338801465E-2</v>
      </c>
      <c r="I29" s="1004">
        <v>0</v>
      </c>
      <c r="J29" s="1004">
        <v>0</v>
      </c>
      <c r="K29" s="1004">
        <v>0</v>
      </c>
      <c r="L29" s="1004">
        <v>0</v>
      </c>
      <c r="M29" s="1004">
        <v>0</v>
      </c>
      <c r="N29" s="1004">
        <v>0</v>
      </c>
      <c r="O29" s="1004">
        <v>0</v>
      </c>
      <c r="P29" s="1004">
        <v>0</v>
      </c>
    </row>
    <row r="30" spans="1:16" ht="16" customHeight="1">
      <c r="A30" s="74"/>
      <c r="B30" s="949"/>
      <c r="C30" s="949"/>
      <c r="D30" s="949"/>
      <c r="E30" s="953"/>
      <c r="F30" s="953"/>
      <c r="G30" s="953"/>
      <c r="H30" s="953"/>
      <c r="I30" s="695">
        <v>0</v>
      </c>
      <c r="J30" s="695">
        <v>0</v>
      </c>
      <c r="K30" s="695">
        <v>0</v>
      </c>
      <c r="L30" s="695">
        <v>0</v>
      </c>
      <c r="M30" s="695">
        <v>0</v>
      </c>
      <c r="N30" s="695">
        <v>0</v>
      </c>
      <c r="O30" s="695">
        <v>0</v>
      </c>
      <c r="P30" s="695">
        <v>0</v>
      </c>
    </row>
    <row r="31" spans="1:16" ht="16" customHeight="1">
      <c r="A31" s="74"/>
      <c r="B31" s="949" t="s">
        <v>446</v>
      </c>
      <c r="C31" s="954">
        <f>SUM(E31:P31)</f>
        <v>36463.710000000006</v>
      </c>
      <c r="D31" s="952">
        <f ca="1">IF(MONTH($B$1)&lt;=1,0,SUM(OFFSET(E31,0,0,1,MONTH($B$1)-1)))</f>
        <v>36463.710000000006</v>
      </c>
      <c r="E31" s="954">
        <v>10138.69</v>
      </c>
      <c r="F31" s="954">
        <v>10413.14</v>
      </c>
      <c r="G31" s="954">
        <v>8045.97</v>
      </c>
      <c r="H31" s="954">
        <v>7865.91</v>
      </c>
      <c r="I31" s="697" t="str">
        <f t="shared" ref="I31:P31" si="16">IFERROR(IF(I30=0,"",I30/I$3),"")</f>
        <v/>
      </c>
      <c r="J31" s="697" t="str">
        <f t="shared" si="16"/>
        <v/>
      </c>
      <c r="K31" s="697" t="str">
        <f t="shared" si="16"/>
        <v/>
      </c>
      <c r="L31" s="697" t="str">
        <f t="shared" si="16"/>
        <v/>
      </c>
      <c r="M31" s="697" t="str">
        <f t="shared" si="16"/>
        <v/>
      </c>
      <c r="N31" s="697" t="str">
        <f t="shared" si="16"/>
        <v/>
      </c>
      <c r="O31" s="697" t="str">
        <f t="shared" si="16"/>
        <v/>
      </c>
      <c r="P31" s="697" t="str">
        <f t="shared" si="16"/>
        <v/>
      </c>
    </row>
    <row r="32" spans="1:16" ht="16" customHeight="1">
      <c r="A32" s="74"/>
      <c r="B32" s="949" t="s">
        <v>583</v>
      </c>
      <c r="C32" s="955">
        <f t="shared" ref="C32:H32" ca="1" si="17">IFERROR(IF(C31=0,"",C31/C$5),"")</f>
        <v>0.44793599417423069</v>
      </c>
      <c r="D32" s="956">
        <f t="shared" ca="1" si="17"/>
        <v>0.44793599417423069</v>
      </c>
      <c r="E32" s="954">
        <f t="shared" si="17"/>
        <v>0.44170485249769753</v>
      </c>
      <c r="F32" s="954">
        <f t="shared" si="17"/>
        <v>0.46406683399527959</v>
      </c>
      <c r="G32" s="954">
        <f t="shared" si="17"/>
        <v>0.49142357009622067</v>
      </c>
      <c r="H32" s="954">
        <f t="shared" si="17"/>
        <v>0.40053231792018185</v>
      </c>
      <c r="I32" s="696">
        <v>0</v>
      </c>
      <c r="J32" s="696">
        <v>0</v>
      </c>
      <c r="K32" s="696">
        <v>0</v>
      </c>
      <c r="L32" s="696">
        <v>0</v>
      </c>
      <c r="M32" s="696">
        <v>0</v>
      </c>
      <c r="N32" s="696">
        <v>0</v>
      </c>
      <c r="O32" s="696">
        <v>0</v>
      </c>
      <c r="P32" s="696">
        <v>0</v>
      </c>
    </row>
    <row r="33" spans="1:16" ht="16" customHeight="1">
      <c r="A33" s="74"/>
      <c r="B33" s="949"/>
      <c r="C33" s="949"/>
      <c r="D33" s="949"/>
      <c r="E33" s="953"/>
      <c r="F33" s="953"/>
      <c r="G33" s="953"/>
      <c r="H33" s="953"/>
      <c r="I33" s="695">
        <v>0</v>
      </c>
      <c r="J33" s="695">
        <v>0</v>
      </c>
      <c r="K33" s="695">
        <v>0</v>
      </c>
      <c r="L33" s="695">
        <v>0</v>
      </c>
      <c r="M33" s="695">
        <v>0</v>
      </c>
      <c r="N33" s="695">
        <v>0</v>
      </c>
      <c r="O33" s="695">
        <v>0</v>
      </c>
      <c r="P33" s="695">
        <v>0</v>
      </c>
    </row>
    <row r="34" spans="1:16" ht="16" customHeight="1">
      <c r="A34" s="74"/>
      <c r="B34" s="949" t="s">
        <v>584</v>
      </c>
      <c r="C34" s="954">
        <f>SUM(E34:P34)</f>
        <v>2634.7</v>
      </c>
      <c r="D34" s="952">
        <f ca="1">IF(MONTH($B$1)&lt;=1,0,SUM(OFFSET(E34,0,0,1,MONTH($B$1)-1)))</f>
        <v>2634.7</v>
      </c>
      <c r="E34" s="954">
        <v>744.72</v>
      </c>
      <c r="F34" s="954">
        <v>961.84</v>
      </c>
      <c r="G34" s="954">
        <v>928.14</v>
      </c>
      <c r="H34" s="954">
        <v>0</v>
      </c>
      <c r="I34" s="697" t="str">
        <f t="shared" ref="I34:P34" si="18">IFERROR(IF(I33=0,"",I33/I$3),"")</f>
        <v/>
      </c>
      <c r="J34" s="697" t="str">
        <f t="shared" si="18"/>
        <v/>
      </c>
      <c r="K34" s="697" t="str">
        <f t="shared" si="18"/>
        <v/>
      </c>
      <c r="L34" s="697" t="str">
        <f t="shared" si="18"/>
        <v/>
      </c>
      <c r="M34" s="697" t="str">
        <f t="shared" si="18"/>
        <v/>
      </c>
      <c r="N34" s="697" t="str">
        <f t="shared" si="18"/>
        <v/>
      </c>
      <c r="O34" s="697" t="str">
        <f t="shared" si="18"/>
        <v/>
      </c>
      <c r="P34" s="697" t="str">
        <f t="shared" si="18"/>
        <v/>
      </c>
    </row>
    <row r="35" spans="1:16" ht="16" customHeight="1">
      <c r="A35" s="74"/>
      <c r="B35" s="949" t="s">
        <v>585</v>
      </c>
      <c r="C35" s="955">
        <f t="shared" ref="C35:H35" ca="1" si="19">IFERROR(IF(C34=0,"",C34/C$5),"")</f>
        <v>3.2365795028834021E-2</v>
      </c>
      <c r="D35" s="956">
        <f t="shared" ca="1" si="19"/>
        <v>3.2365795028834021E-2</v>
      </c>
      <c r="E35" s="954">
        <f t="shared" si="19"/>
        <v>3.2444668665486891E-2</v>
      </c>
      <c r="F35" s="954">
        <f t="shared" si="19"/>
        <v>4.2864884521865619E-2</v>
      </c>
      <c r="G35" s="954">
        <f t="shared" si="19"/>
        <v>5.6687990677209366E-2</v>
      </c>
      <c r="H35" s="954" t="str">
        <f t="shared" si="19"/>
        <v/>
      </c>
      <c r="I35" s="696">
        <v>0</v>
      </c>
      <c r="J35" s="696">
        <v>0</v>
      </c>
      <c r="K35" s="696">
        <v>0</v>
      </c>
      <c r="L35" s="696">
        <v>0</v>
      </c>
      <c r="M35" s="696">
        <v>0</v>
      </c>
      <c r="N35" s="696">
        <v>0</v>
      </c>
      <c r="O35" s="696">
        <v>0</v>
      </c>
      <c r="P35" s="696">
        <v>0</v>
      </c>
    </row>
    <row r="36" spans="1:16" ht="16" customHeight="1">
      <c r="A36" s="74"/>
      <c r="B36" s="949"/>
      <c r="C36" s="949"/>
      <c r="D36" s="949"/>
      <c r="E36" s="953"/>
      <c r="F36" s="953"/>
      <c r="G36" s="953"/>
      <c r="H36" s="953"/>
      <c r="I36" s="695">
        <v>0</v>
      </c>
      <c r="J36" s="695">
        <v>0</v>
      </c>
      <c r="K36" s="695">
        <v>0</v>
      </c>
      <c r="L36" s="695">
        <v>0</v>
      </c>
      <c r="M36" s="695">
        <v>0</v>
      </c>
      <c r="N36" s="695">
        <v>0</v>
      </c>
      <c r="O36" s="695">
        <v>0</v>
      </c>
      <c r="P36" s="695">
        <v>0</v>
      </c>
    </row>
    <row r="37" spans="1:16" ht="16" customHeight="1">
      <c r="A37" s="74"/>
      <c r="B37" s="949" t="s">
        <v>586</v>
      </c>
      <c r="C37" s="954">
        <f t="shared" ref="C37:H37" ca="1" si="20">C5-C7-C10-C13-C16-C19-C22-C25-C28-C31-C34</f>
        <v>8646.5199999999932</v>
      </c>
      <c r="D37" s="952">
        <f t="shared" ca="1" si="20"/>
        <v>8646.5199999999932</v>
      </c>
      <c r="E37" s="954">
        <f t="shared" si="20"/>
        <v>2125.1899999999996</v>
      </c>
      <c r="F37" s="954">
        <f t="shared" si="20"/>
        <v>3351.6200000000008</v>
      </c>
      <c r="G37" s="954">
        <f t="shared" si="20"/>
        <v>-1996.0900000000006</v>
      </c>
      <c r="H37" s="954">
        <f t="shared" si="20"/>
        <v>5165.7999999999993</v>
      </c>
      <c r="I37" s="697" t="str">
        <f t="shared" ref="I37:P37" si="21">IFERROR(IF(I36=0,"",I36/I$3),"")</f>
        <v/>
      </c>
      <c r="J37" s="697" t="str">
        <f t="shared" si="21"/>
        <v/>
      </c>
      <c r="K37" s="697" t="str">
        <f t="shared" si="21"/>
        <v/>
      </c>
      <c r="L37" s="697" t="str">
        <f t="shared" si="21"/>
        <v/>
      </c>
      <c r="M37" s="697" t="str">
        <f t="shared" si="21"/>
        <v/>
      </c>
      <c r="N37" s="697" t="str">
        <f t="shared" si="21"/>
        <v/>
      </c>
      <c r="O37" s="697" t="str">
        <f t="shared" si="21"/>
        <v/>
      </c>
      <c r="P37" s="697" t="str">
        <f t="shared" si="21"/>
        <v/>
      </c>
    </row>
    <row r="38" spans="1:16" ht="16" customHeight="1">
      <c r="A38" s="74"/>
      <c r="B38" s="949" t="s">
        <v>587</v>
      </c>
      <c r="C38" s="955">
        <f t="shared" ref="C38:H38" ca="1" si="22">IFERROR(IF(C37=0,"",C37/C$5),"")</f>
        <v>0.10621759366634294</v>
      </c>
      <c r="D38" s="956">
        <f t="shared" ca="1" si="22"/>
        <v>0.10621759366634294</v>
      </c>
      <c r="E38" s="956">
        <f t="shared" si="22"/>
        <v>9.2586590129452778E-2</v>
      </c>
      <c r="F38" s="956">
        <f t="shared" si="22"/>
        <v>0.14936663505486908</v>
      </c>
      <c r="G38" s="956">
        <f t="shared" si="22"/>
        <v>-0.1219151542987813</v>
      </c>
      <c r="H38" s="956">
        <f t="shared" si="22"/>
        <v>0.26304265468484578</v>
      </c>
      <c r="I38" s="696">
        <v>0</v>
      </c>
      <c r="J38" s="696">
        <v>0</v>
      </c>
      <c r="K38" s="696">
        <v>0</v>
      </c>
      <c r="L38" s="696">
        <v>0</v>
      </c>
      <c r="M38" s="696">
        <v>0</v>
      </c>
      <c r="N38" s="696">
        <v>0</v>
      </c>
      <c r="O38" s="696">
        <v>0</v>
      </c>
      <c r="P38" s="696">
        <v>0</v>
      </c>
    </row>
    <row r="39" spans="1:16" ht="16" customHeight="1">
      <c r="A39" s="74"/>
      <c r="B39" s="949"/>
      <c r="C39" s="949"/>
      <c r="D39" s="949"/>
      <c r="E39" s="953"/>
      <c r="F39" s="953"/>
      <c r="G39" s="953"/>
      <c r="H39" s="953"/>
      <c r="I39" s="695">
        <v>0</v>
      </c>
      <c r="J39" s="695">
        <v>0</v>
      </c>
      <c r="K39" s="695">
        <v>0</v>
      </c>
      <c r="L39" s="695">
        <v>0</v>
      </c>
      <c r="M39" s="695">
        <v>0</v>
      </c>
      <c r="N39" s="695">
        <v>0</v>
      </c>
      <c r="O39" s="695">
        <v>0</v>
      </c>
      <c r="P39" s="695">
        <v>0</v>
      </c>
    </row>
    <row r="40" spans="1:16" ht="16" customHeight="1">
      <c r="A40" s="74"/>
      <c r="B40" s="949" t="s">
        <v>588</v>
      </c>
      <c r="C40" s="954">
        <f>SUM(E40:P40)</f>
        <v>8839.7199999999993</v>
      </c>
      <c r="D40" s="952">
        <f ca="1">IF(MONTH($B$1)&lt;=1,0,SUM(OFFSET(E40,0,0,1,MONTH($B$1)-1)))</f>
        <v>8839.7199999999993</v>
      </c>
      <c r="E40" s="954">
        <v>2209.9299999999998</v>
      </c>
      <c r="F40" s="954">
        <v>2209.9299999999998</v>
      </c>
      <c r="G40" s="954">
        <v>2209.9299999999998</v>
      </c>
      <c r="H40" s="954">
        <v>2209.9299999999998</v>
      </c>
      <c r="I40" s="697" t="str">
        <f t="shared" ref="I40:P40" si="23">IFERROR(IF(I39=0,"",I39/I$3),"")</f>
        <v/>
      </c>
      <c r="J40" s="697" t="str">
        <f t="shared" si="23"/>
        <v/>
      </c>
      <c r="K40" s="697" t="str">
        <f t="shared" si="23"/>
        <v/>
      </c>
      <c r="L40" s="697" t="str">
        <f t="shared" si="23"/>
        <v/>
      </c>
      <c r="M40" s="697" t="str">
        <f t="shared" si="23"/>
        <v/>
      </c>
      <c r="N40" s="697" t="str">
        <f t="shared" si="23"/>
        <v/>
      </c>
      <c r="O40" s="697" t="str">
        <f t="shared" si="23"/>
        <v/>
      </c>
      <c r="P40" s="697" t="str">
        <f t="shared" si="23"/>
        <v/>
      </c>
    </row>
    <row r="41" spans="1:16" ht="16" customHeight="1">
      <c r="A41" s="74"/>
      <c r="B41" s="949" t="s">
        <v>589</v>
      </c>
      <c r="C41" s="955">
        <f t="shared" ref="C41:H41" ca="1" si="24">IFERROR(IF(C40=0,"",C40/C$5),"")</f>
        <v>0.1085909460782194</v>
      </c>
      <c r="D41" s="956">
        <f t="shared" ca="1" si="24"/>
        <v>0.1085909460782194</v>
      </c>
      <c r="E41" s="956">
        <f t="shared" si="24"/>
        <v>9.6278395402190672E-2</v>
      </c>
      <c r="F41" s="956">
        <f t="shared" si="24"/>
        <v>9.8486644609713125E-2</v>
      </c>
      <c r="G41" s="956">
        <f t="shared" si="24"/>
        <v>0.13497585626875824</v>
      </c>
      <c r="H41" s="956">
        <f t="shared" si="24"/>
        <v>0.11252968637339449</v>
      </c>
      <c r="I41" s="696">
        <v>0</v>
      </c>
      <c r="J41" s="696">
        <v>0</v>
      </c>
      <c r="K41" s="696">
        <v>0</v>
      </c>
      <c r="L41" s="696">
        <v>0</v>
      </c>
      <c r="M41" s="696">
        <v>0</v>
      </c>
      <c r="N41" s="696">
        <v>0</v>
      </c>
      <c r="O41" s="696">
        <v>0</v>
      </c>
      <c r="P41" s="696">
        <v>0</v>
      </c>
    </row>
    <row r="42" spans="1:16" ht="16" customHeight="1">
      <c r="A42" s="74"/>
      <c r="B42" s="949"/>
      <c r="C42" s="949"/>
      <c r="D42" s="949"/>
      <c r="E42" s="953"/>
      <c r="F42" s="953"/>
      <c r="G42" s="953"/>
      <c r="H42" s="953"/>
      <c r="I42" s="695">
        <v>0</v>
      </c>
      <c r="J42" s="695">
        <v>0</v>
      </c>
      <c r="K42" s="695">
        <v>0</v>
      </c>
      <c r="L42" s="695">
        <v>0</v>
      </c>
      <c r="M42" s="695">
        <v>0</v>
      </c>
      <c r="N42" s="695">
        <v>0</v>
      </c>
      <c r="O42" s="695">
        <v>0</v>
      </c>
      <c r="P42" s="695">
        <v>0</v>
      </c>
    </row>
    <row r="43" spans="1:16" ht="16" customHeight="1">
      <c r="A43" s="74"/>
      <c r="B43" s="949" t="s">
        <v>590</v>
      </c>
      <c r="C43" s="954">
        <f>SUM(E43:P43)</f>
        <v>0</v>
      </c>
      <c r="D43" s="953">
        <f ca="1">IF(MONTH($B$1)&lt;=1,0,SUM(OFFSET(E43,0,0,1,MONTH($B$1)-1)))</f>
        <v>0</v>
      </c>
      <c r="E43" s="954">
        <v>0</v>
      </c>
      <c r="F43" s="954">
        <v>0</v>
      </c>
      <c r="G43" s="954">
        <v>0</v>
      </c>
      <c r="H43" s="954">
        <v>0</v>
      </c>
      <c r="I43" s="697" t="str">
        <f t="shared" ref="I43:P43" si="25">IFERROR(IF(I42=0,"",I42/I$3),"")</f>
        <v/>
      </c>
      <c r="J43" s="697" t="str">
        <f t="shared" si="25"/>
        <v/>
      </c>
      <c r="K43" s="697" t="str">
        <f t="shared" si="25"/>
        <v/>
      </c>
      <c r="L43" s="697" t="str">
        <f t="shared" si="25"/>
        <v/>
      </c>
      <c r="M43" s="697" t="str">
        <f t="shared" si="25"/>
        <v/>
      </c>
      <c r="N43" s="697" t="str">
        <f t="shared" si="25"/>
        <v/>
      </c>
      <c r="O43" s="697" t="str">
        <f t="shared" si="25"/>
        <v/>
      </c>
      <c r="P43" s="697" t="str">
        <f t="shared" si="25"/>
        <v/>
      </c>
    </row>
    <row r="44" spans="1:16" ht="16" customHeight="1">
      <c r="A44" s="74"/>
      <c r="B44" s="949" t="s">
        <v>591</v>
      </c>
      <c r="C44" s="955" t="str">
        <f t="shared" ref="C44:H44" si="26">IFERROR(IF(C43=0,"",C43/C$5),"")</f>
        <v/>
      </c>
      <c r="D44" s="953" t="str">
        <f t="shared" ca="1" si="26"/>
        <v/>
      </c>
      <c r="E44" s="955" t="str">
        <f t="shared" si="26"/>
        <v/>
      </c>
      <c r="F44" s="955" t="str">
        <f t="shared" si="26"/>
        <v/>
      </c>
      <c r="G44" s="955" t="str">
        <f t="shared" si="26"/>
        <v/>
      </c>
      <c r="H44" s="955" t="str">
        <f t="shared" si="26"/>
        <v/>
      </c>
      <c r="I44" s="696">
        <v>0</v>
      </c>
      <c r="J44" s="696">
        <v>0</v>
      </c>
      <c r="K44" s="696">
        <v>0</v>
      </c>
      <c r="L44" s="696">
        <v>0</v>
      </c>
      <c r="M44" s="696">
        <v>0</v>
      </c>
      <c r="N44" s="696">
        <v>0</v>
      </c>
      <c r="O44" s="696">
        <v>0</v>
      </c>
      <c r="P44" s="696">
        <v>0</v>
      </c>
    </row>
    <row r="45" spans="1:16" ht="16" customHeight="1">
      <c r="A45" s="74"/>
      <c r="B45" s="949"/>
      <c r="C45" s="949"/>
      <c r="D45" s="949"/>
      <c r="E45" s="953"/>
      <c r="F45" s="953"/>
      <c r="G45" s="953"/>
      <c r="H45" s="953"/>
      <c r="I45" s="696">
        <v>0</v>
      </c>
      <c r="J45" s="696">
        <v>0</v>
      </c>
      <c r="K45" s="696">
        <v>0</v>
      </c>
      <c r="L45" s="696">
        <v>0</v>
      </c>
      <c r="M45" s="696">
        <v>0</v>
      </c>
      <c r="N45" s="696">
        <v>0</v>
      </c>
      <c r="O45" s="696">
        <v>0</v>
      </c>
      <c r="P45" s="696">
        <v>0</v>
      </c>
    </row>
    <row r="46" spans="1:16" ht="16" customHeight="1">
      <c r="A46" s="74"/>
      <c r="B46" s="949"/>
      <c r="C46" s="156"/>
      <c r="D46" s="156"/>
      <c r="E46" s="156"/>
      <c r="F46" s="156"/>
      <c r="G46" s="156"/>
      <c r="H46" s="156"/>
      <c r="I46" s="695">
        <v>0</v>
      </c>
      <c r="J46" s="695">
        <v>0</v>
      </c>
      <c r="K46" s="695">
        <v>0</v>
      </c>
      <c r="L46" s="695">
        <v>0</v>
      </c>
      <c r="M46" s="695">
        <v>0</v>
      </c>
      <c r="N46" s="695">
        <v>0</v>
      </c>
      <c r="O46" s="695">
        <v>0</v>
      </c>
      <c r="P46" s="695">
        <v>0</v>
      </c>
    </row>
    <row r="47" spans="1:16" ht="16" customHeight="1">
      <c r="A47" s="74"/>
      <c r="B47" s="949" t="s">
        <v>592</v>
      </c>
      <c r="C47" s="954">
        <f t="shared" ref="C47:H47" ca="1" si="27">C37-C40-C43</f>
        <v>-193.20000000000618</v>
      </c>
      <c r="D47" s="954">
        <f t="shared" ca="1" si="27"/>
        <v>-193.20000000000618</v>
      </c>
      <c r="E47" s="954">
        <f t="shared" si="27"/>
        <v>-84.740000000000236</v>
      </c>
      <c r="F47" s="954">
        <f t="shared" si="27"/>
        <v>1141.690000000001</v>
      </c>
      <c r="G47" s="954">
        <f t="shared" si="27"/>
        <v>-4206.0200000000004</v>
      </c>
      <c r="H47" s="954">
        <f t="shared" si="27"/>
        <v>2955.8699999999994</v>
      </c>
      <c r="I47" s="74"/>
      <c r="J47" s="74"/>
      <c r="K47" s="74"/>
      <c r="L47" s="74"/>
      <c r="M47" s="74"/>
      <c r="N47" s="74"/>
      <c r="O47" s="74"/>
      <c r="P47" s="74"/>
    </row>
    <row r="48" spans="1:16" s="1004" customFormat="1">
      <c r="B48" s="1004" t="s">
        <v>587</v>
      </c>
      <c r="C48" s="1004">
        <f t="shared" ref="C48:H48" ca="1" si="28">IFERROR(IF(C47=0,"",C47/C$5),"")</f>
        <v>-2.3733524118764691E-3</v>
      </c>
      <c r="D48" s="1004">
        <f t="shared" ca="1" si="28"/>
        <v>-2.3733524118764691E-3</v>
      </c>
      <c r="E48" s="1004">
        <f t="shared" si="28"/>
        <v>-3.6918052727378972E-3</v>
      </c>
      <c r="F48" s="1004">
        <f t="shared" si="28"/>
        <v>5.0879990445155947E-2</v>
      </c>
      <c r="G48" s="1004">
        <f t="shared" si="28"/>
        <v>-0.25689101056753955</v>
      </c>
      <c r="H48" s="1004">
        <f t="shared" si="28"/>
        <v>0.15051296831145128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196"/>
  <sheetViews>
    <sheetView showGridLines="0" zoomScale="118" workbookViewId="0">
      <pane ySplit="3" topLeftCell="A47" activePane="bottomLeft" state="frozen"/>
      <selection pane="bottomLeft" activeCell="A25" sqref="A25:I29"/>
    </sheetView>
  </sheetViews>
  <sheetFormatPr baseColWidth="10" defaultColWidth="14.5" defaultRowHeight="15" customHeight="1"/>
  <cols>
    <col min="1" max="1" width="13" style="59" customWidth="1"/>
    <col min="2" max="2" width="10" customWidth="1"/>
    <col min="3" max="5" width="13" customWidth="1"/>
    <col min="6" max="8" width="14" customWidth="1"/>
    <col min="9" max="9" width="28" customWidth="1"/>
    <col min="10" max="12" width="8.6640625" customWidth="1"/>
    <col min="13" max="13" width="13.5" customWidth="1"/>
    <col min="14" max="15" width="8.6640625" customWidth="1"/>
    <col min="16" max="16" width="12.83203125" customWidth="1"/>
    <col min="17" max="17" width="14.5" customWidth="1"/>
    <col min="18" max="18" width="11.5" customWidth="1"/>
    <col min="19" max="26" width="8.6640625" customWidth="1"/>
  </cols>
  <sheetData>
    <row r="1" spans="1:19" ht="31.5" customHeight="1">
      <c r="A1" s="1168" t="s">
        <v>593</v>
      </c>
      <c r="B1" s="1140"/>
      <c r="C1" s="1140"/>
      <c r="D1" s="1140"/>
      <c r="E1" s="1140"/>
      <c r="F1" s="1140"/>
      <c r="G1" s="1140"/>
      <c r="H1" s="1140"/>
      <c r="I1" s="1140"/>
      <c r="J1" s="74"/>
      <c r="K1" s="74"/>
      <c r="L1" s="74"/>
      <c r="M1" s="74"/>
      <c r="N1" s="74"/>
      <c r="O1" s="74"/>
      <c r="P1" s="74"/>
      <c r="Q1" s="74"/>
      <c r="R1" s="74"/>
      <c r="S1" s="74"/>
    </row>
    <row r="2" spans="1:19" ht="18" customHeight="1">
      <c r="A2" s="1204" t="s">
        <v>594</v>
      </c>
      <c r="B2" s="1140"/>
      <c r="C2" s="1140"/>
      <c r="D2" s="1140"/>
      <c r="E2" s="1140"/>
      <c r="F2" s="1140"/>
      <c r="G2" s="1140"/>
      <c r="H2" s="1140"/>
      <c r="I2" s="1140"/>
      <c r="J2" s="74"/>
      <c r="K2" s="1175" t="s">
        <v>595</v>
      </c>
      <c r="L2" s="1140"/>
      <c r="M2" s="1140"/>
      <c r="N2" s="1140"/>
      <c r="O2" s="1140"/>
      <c r="P2" s="1140"/>
      <c r="Q2" s="1140"/>
      <c r="R2" s="1140"/>
      <c r="S2" s="1140"/>
    </row>
    <row r="3" spans="1:19" ht="21.75" customHeight="1">
      <c r="A3" s="61" t="s">
        <v>438</v>
      </c>
      <c r="B3" s="5" t="s">
        <v>489</v>
      </c>
      <c r="C3" s="5" t="s">
        <v>596</v>
      </c>
      <c r="D3" s="5" t="s">
        <v>597</v>
      </c>
      <c r="E3" s="5" t="s">
        <v>598</v>
      </c>
      <c r="F3" s="5" t="s">
        <v>599</v>
      </c>
      <c r="G3" s="5" t="s">
        <v>230</v>
      </c>
      <c r="H3" s="5" t="s">
        <v>71</v>
      </c>
      <c r="I3" s="5" t="s">
        <v>600</v>
      </c>
      <c r="J3" s="74"/>
      <c r="K3" s="74"/>
      <c r="L3" s="74"/>
      <c r="M3" s="74"/>
      <c r="N3" s="74"/>
      <c r="O3" s="74"/>
      <c r="P3" s="74"/>
      <c r="Q3" s="74"/>
      <c r="R3" s="74"/>
      <c r="S3" s="74"/>
    </row>
    <row r="4" spans="1:19" ht="15" customHeight="1">
      <c r="A4" s="148">
        <v>45746</v>
      </c>
      <c r="B4" s="146" t="str">
        <f t="shared" ref="B4:B67" si="0">TEXT($A4,"ddd")</f>
        <v>dom</v>
      </c>
      <c r="C4" s="27">
        <v>298.8</v>
      </c>
      <c r="D4" s="27">
        <v>921.5</v>
      </c>
      <c r="E4" s="27">
        <v>183.65</v>
      </c>
      <c r="F4" s="30">
        <f t="shared" ref="F4:F67" si="1">SUM(C4:E4)</f>
        <v>1403.95</v>
      </c>
      <c r="G4" s="27"/>
      <c r="H4" s="28"/>
      <c r="I4" s="147"/>
      <c r="J4" s="74"/>
      <c r="K4" s="2" t="s">
        <v>66</v>
      </c>
      <c r="L4" s="3" t="s">
        <v>601</v>
      </c>
      <c r="M4" s="3" t="s">
        <v>602</v>
      </c>
      <c r="N4" s="3" t="s">
        <v>603</v>
      </c>
      <c r="O4" s="3" t="s">
        <v>604</v>
      </c>
      <c r="P4" s="3" t="s">
        <v>605</v>
      </c>
      <c r="Q4" s="3" t="s">
        <v>606</v>
      </c>
      <c r="R4" s="3" t="s">
        <v>607</v>
      </c>
      <c r="S4" s="4" t="s">
        <v>608</v>
      </c>
    </row>
    <row r="5" spans="1:19" ht="15" customHeight="1">
      <c r="A5" s="149">
        <v>45749</v>
      </c>
      <c r="B5" s="55" t="str">
        <f t="shared" si="0"/>
        <v>mié</v>
      </c>
      <c r="C5" s="44">
        <v>138.1</v>
      </c>
      <c r="D5" s="44">
        <v>383.85</v>
      </c>
      <c r="E5" s="44">
        <v>421.45</v>
      </c>
      <c r="F5" s="45">
        <f t="shared" si="1"/>
        <v>943.40000000000009</v>
      </c>
      <c r="G5" s="44"/>
      <c r="H5" s="56"/>
      <c r="I5" s="57"/>
      <c r="J5" s="74"/>
      <c r="K5" s="573" t="s">
        <v>78</v>
      </c>
      <c r="L5" s="582">
        <v>20</v>
      </c>
      <c r="M5" s="698">
        <v>24019.87</v>
      </c>
      <c r="N5" s="699">
        <v>1201</v>
      </c>
      <c r="O5" s="700">
        <v>1596.55</v>
      </c>
      <c r="P5" s="581">
        <v>0.72</v>
      </c>
      <c r="Q5" s="701">
        <v>9608</v>
      </c>
      <c r="R5" s="56">
        <f t="shared" ref="R5:R16" si="2">M5-Q5</f>
        <v>14411.869999999999</v>
      </c>
      <c r="S5" s="702">
        <f t="shared" ref="S5:S16" si="3">IFERROR(Q5/M5,0)</f>
        <v>0.40000216487433116</v>
      </c>
    </row>
    <row r="6" spans="1:19" ht="15" customHeight="1">
      <c r="A6" s="149">
        <v>45750</v>
      </c>
      <c r="B6" s="55" t="str">
        <f t="shared" si="0"/>
        <v>jue</v>
      </c>
      <c r="C6" s="44">
        <v>50.55</v>
      </c>
      <c r="D6" s="44">
        <v>310.25</v>
      </c>
      <c r="E6" s="44">
        <v>660.05</v>
      </c>
      <c r="F6" s="45">
        <f t="shared" si="1"/>
        <v>1020.8499999999999</v>
      </c>
      <c r="G6" s="44"/>
      <c r="H6" s="56"/>
      <c r="I6" s="57"/>
      <c r="J6" s="74"/>
      <c r="K6" s="584" t="s">
        <v>80</v>
      </c>
      <c r="L6" s="50">
        <v>17</v>
      </c>
      <c r="M6" s="703">
        <v>26308.68</v>
      </c>
      <c r="N6" s="704">
        <v>1548</v>
      </c>
      <c r="O6" s="705">
        <v>2799.55</v>
      </c>
      <c r="P6" s="581">
        <v>0.88</v>
      </c>
      <c r="Q6" s="701">
        <v>10523</v>
      </c>
      <c r="R6" s="56">
        <f t="shared" si="2"/>
        <v>15785.68</v>
      </c>
      <c r="S6" s="702">
        <f t="shared" si="3"/>
        <v>0.39998205915310081</v>
      </c>
    </row>
    <row r="7" spans="1:19" ht="15" customHeight="1">
      <c r="A7" s="149">
        <v>45751</v>
      </c>
      <c r="B7" s="55" t="str">
        <f t="shared" si="0"/>
        <v>vie</v>
      </c>
      <c r="C7" s="44">
        <v>124.65</v>
      </c>
      <c r="D7" s="44">
        <v>453.55</v>
      </c>
      <c r="E7" s="44">
        <v>1050.2</v>
      </c>
      <c r="F7" s="45">
        <f t="shared" si="1"/>
        <v>1628.4</v>
      </c>
      <c r="G7" s="44"/>
      <c r="H7" s="56"/>
      <c r="I7" s="57"/>
      <c r="J7" s="74"/>
      <c r="K7" s="573" t="s">
        <v>81</v>
      </c>
      <c r="L7" s="582">
        <v>16</v>
      </c>
      <c r="M7" s="698">
        <v>20665.45</v>
      </c>
      <c r="N7" s="699">
        <v>1292</v>
      </c>
      <c r="O7" s="700">
        <v>3058.5</v>
      </c>
      <c r="P7" s="581">
        <v>0.95</v>
      </c>
      <c r="Q7" s="701">
        <v>8266</v>
      </c>
      <c r="R7" s="56">
        <f t="shared" si="2"/>
        <v>12399.45</v>
      </c>
      <c r="S7" s="702">
        <f t="shared" si="3"/>
        <v>0.39999128980980331</v>
      </c>
    </row>
    <row r="8" spans="1:19" ht="15" customHeight="1">
      <c r="A8" s="149">
        <v>45752</v>
      </c>
      <c r="B8" s="55" t="str">
        <f t="shared" si="0"/>
        <v>sáb</v>
      </c>
      <c r="C8" s="44">
        <v>251.2</v>
      </c>
      <c r="D8" s="44">
        <v>788.8</v>
      </c>
      <c r="E8" s="44">
        <v>1242.9000000000001</v>
      </c>
      <c r="F8" s="45">
        <f t="shared" si="1"/>
        <v>2282.9</v>
      </c>
      <c r="G8" s="44"/>
      <c r="H8" s="56"/>
      <c r="I8" s="57"/>
      <c r="J8" s="74"/>
      <c r="K8" s="584" t="s">
        <v>82</v>
      </c>
      <c r="L8" s="50">
        <v>19</v>
      </c>
      <c r="M8" s="703">
        <v>28882.83</v>
      </c>
      <c r="N8" s="704">
        <v>1520</v>
      </c>
      <c r="O8" s="705">
        <v>2713.35</v>
      </c>
      <c r="P8" s="581">
        <v>0.98</v>
      </c>
      <c r="Q8" s="701">
        <v>11553</v>
      </c>
      <c r="R8" s="56">
        <f t="shared" si="2"/>
        <v>17329.830000000002</v>
      </c>
      <c r="S8" s="702">
        <f t="shared" si="3"/>
        <v>0.39999542981072145</v>
      </c>
    </row>
    <row r="9" spans="1:19" ht="15" customHeight="1">
      <c r="A9" s="149">
        <v>45753</v>
      </c>
      <c r="B9" s="55" t="str">
        <f t="shared" si="0"/>
        <v>dom</v>
      </c>
      <c r="C9" s="44">
        <v>65.05</v>
      </c>
      <c r="D9" s="44">
        <v>1025</v>
      </c>
      <c r="E9" s="44">
        <v>311.55</v>
      </c>
      <c r="F9" s="45">
        <f t="shared" si="1"/>
        <v>1401.6</v>
      </c>
      <c r="G9" s="44"/>
      <c r="H9" s="56"/>
      <c r="I9" s="57"/>
      <c r="J9" s="74"/>
      <c r="K9" s="573" t="s">
        <v>84</v>
      </c>
      <c r="L9" s="582">
        <v>20</v>
      </c>
      <c r="M9" s="698">
        <v>24854.73</v>
      </c>
      <c r="N9" s="699">
        <v>1243</v>
      </c>
      <c r="O9" s="700">
        <v>3283.75</v>
      </c>
      <c r="P9" s="581">
        <v>0.92</v>
      </c>
      <c r="Q9" s="701">
        <v>9942</v>
      </c>
      <c r="R9" s="56">
        <f t="shared" si="2"/>
        <v>14912.73</v>
      </c>
      <c r="S9" s="702">
        <f t="shared" si="3"/>
        <v>0.40000434524937506</v>
      </c>
    </row>
    <row r="10" spans="1:19" ht="15" customHeight="1">
      <c r="A10" s="149">
        <v>45756</v>
      </c>
      <c r="B10" s="55" t="str">
        <f t="shared" si="0"/>
        <v>mié</v>
      </c>
      <c r="C10" s="44">
        <v>98.3</v>
      </c>
      <c r="D10" s="44">
        <v>394.2</v>
      </c>
      <c r="E10" s="44">
        <v>406.05</v>
      </c>
      <c r="F10" s="45">
        <f t="shared" si="1"/>
        <v>898.55</v>
      </c>
      <c r="G10" s="44"/>
      <c r="H10" s="56"/>
      <c r="I10" s="57"/>
      <c r="J10" s="74"/>
      <c r="K10" s="584" t="s">
        <v>86</v>
      </c>
      <c r="L10" s="50">
        <v>22</v>
      </c>
      <c r="M10" s="703">
        <v>34530.879999999997</v>
      </c>
      <c r="N10" s="704">
        <v>1570</v>
      </c>
      <c r="O10" s="705">
        <v>2662.7</v>
      </c>
      <c r="P10" s="595">
        <v>1.1000000000000001</v>
      </c>
      <c r="Q10" s="701">
        <v>13812</v>
      </c>
      <c r="R10" s="56">
        <f t="shared" si="2"/>
        <v>20718.879999999997</v>
      </c>
      <c r="S10" s="702">
        <f t="shared" si="3"/>
        <v>0.39998980622561608</v>
      </c>
    </row>
    <row r="11" spans="1:19" ht="15" customHeight="1">
      <c r="A11" s="149">
        <v>45757</v>
      </c>
      <c r="B11" s="55" t="str">
        <f t="shared" si="0"/>
        <v>jue</v>
      </c>
      <c r="C11" s="44">
        <v>119.9</v>
      </c>
      <c r="D11" s="44">
        <v>250.95</v>
      </c>
      <c r="E11" s="44">
        <v>229.75</v>
      </c>
      <c r="F11" s="45">
        <f t="shared" si="1"/>
        <v>600.6</v>
      </c>
      <c r="G11" s="44"/>
      <c r="H11" s="56"/>
      <c r="I11" s="57"/>
      <c r="J11" s="74"/>
      <c r="K11" s="573" t="s">
        <v>87</v>
      </c>
      <c r="L11" s="582">
        <v>23</v>
      </c>
      <c r="M11" s="698">
        <v>44024.97</v>
      </c>
      <c r="N11" s="699">
        <v>1914</v>
      </c>
      <c r="O11" s="700">
        <v>3069.94</v>
      </c>
      <c r="P11" s="596">
        <v>1.38</v>
      </c>
      <c r="Q11" s="701">
        <v>17610</v>
      </c>
      <c r="R11" s="56">
        <f t="shared" si="2"/>
        <v>26414.97</v>
      </c>
      <c r="S11" s="702">
        <f t="shared" si="3"/>
        <v>0.4000002725725878</v>
      </c>
    </row>
    <row r="12" spans="1:19" ht="15" customHeight="1">
      <c r="A12" s="149">
        <v>45758</v>
      </c>
      <c r="B12" s="55" t="str">
        <f t="shared" si="0"/>
        <v>vie</v>
      </c>
      <c r="C12" s="44">
        <v>104.65</v>
      </c>
      <c r="D12" s="44">
        <v>347.1</v>
      </c>
      <c r="E12" s="44">
        <v>1699.55</v>
      </c>
      <c r="F12" s="45">
        <f t="shared" si="1"/>
        <v>2151.3000000000002</v>
      </c>
      <c r="G12" s="44"/>
      <c r="H12" s="56"/>
      <c r="I12" s="57"/>
      <c r="J12" s="74"/>
      <c r="K12" s="584" t="s">
        <v>89</v>
      </c>
      <c r="L12" s="50">
        <v>27</v>
      </c>
      <c r="M12" s="703">
        <v>60080.85</v>
      </c>
      <c r="N12" s="704">
        <v>2225</v>
      </c>
      <c r="O12" s="705">
        <v>2996.6</v>
      </c>
      <c r="P12" s="596">
        <v>1.48</v>
      </c>
      <c r="Q12" s="701">
        <v>24032</v>
      </c>
      <c r="R12" s="56">
        <f t="shared" si="2"/>
        <v>36048.85</v>
      </c>
      <c r="S12" s="702">
        <f t="shared" si="3"/>
        <v>0.39999434095889125</v>
      </c>
    </row>
    <row r="13" spans="1:19" ht="15" customHeight="1">
      <c r="A13" s="149">
        <v>45759</v>
      </c>
      <c r="B13" s="55" t="str">
        <f t="shared" si="0"/>
        <v>sáb</v>
      </c>
      <c r="C13" s="44">
        <v>84.5</v>
      </c>
      <c r="D13" s="44">
        <v>431.85</v>
      </c>
      <c r="E13" s="44">
        <v>1866.2</v>
      </c>
      <c r="F13" s="45">
        <f t="shared" si="1"/>
        <v>2382.5500000000002</v>
      </c>
      <c r="G13" s="44"/>
      <c r="H13" s="56"/>
      <c r="I13" s="57"/>
      <c r="J13" s="74"/>
      <c r="K13" s="573" t="s">
        <v>91</v>
      </c>
      <c r="L13" s="582">
        <v>21</v>
      </c>
      <c r="M13" s="698">
        <v>30861.73</v>
      </c>
      <c r="N13" s="699">
        <v>1470</v>
      </c>
      <c r="O13" s="700">
        <v>2305.15</v>
      </c>
      <c r="P13" s="595">
        <v>1.18</v>
      </c>
      <c r="Q13" s="701">
        <v>12345</v>
      </c>
      <c r="R13" s="56">
        <f t="shared" si="2"/>
        <v>18516.73</v>
      </c>
      <c r="S13" s="702">
        <f t="shared" si="3"/>
        <v>0.40000997999788085</v>
      </c>
    </row>
    <row r="14" spans="1:19" ht="15" customHeight="1">
      <c r="A14" s="149">
        <v>45760</v>
      </c>
      <c r="B14" s="55" t="str">
        <f t="shared" si="0"/>
        <v>dom</v>
      </c>
      <c r="C14" s="44">
        <v>119.9</v>
      </c>
      <c r="D14" s="44">
        <v>1240.1500000000001</v>
      </c>
      <c r="E14" s="44">
        <v>662.95</v>
      </c>
      <c r="F14" s="45">
        <f t="shared" si="1"/>
        <v>2023.0000000000002</v>
      </c>
      <c r="G14" s="44"/>
      <c r="H14" s="56"/>
      <c r="I14" s="57"/>
      <c r="J14" s="74"/>
      <c r="K14" s="584" t="s">
        <v>92</v>
      </c>
      <c r="L14" s="50">
        <v>22</v>
      </c>
      <c r="M14" s="703">
        <v>38013.47</v>
      </c>
      <c r="N14" s="704">
        <v>1728</v>
      </c>
      <c r="O14" s="705">
        <v>5015.8500000000004</v>
      </c>
      <c r="P14" s="595">
        <v>1.22</v>
      </c>
      <c r="Q14" s="701">
        <v>15205</v>
      </c>
      <c r="R14" s="56">
        <f t="shared" si="2"/>
        <v>22808.47</v>
      </c>
      <c r="S14" s="702">
        <f t="shared" si="3"/>
        <v>0.39998979309176458</v>
      </c>
    </row>
    <row r="15" spans="1:19" ht="15" customHeight="1">
      <c r="A15" s="149">
        <v>45763</v>
      </c>
      <c r="B15" s="55" t="str">
        <f t="shared" si="0"/>
        <v>mié</v>
      </c>
      <c r="C15" s="44">
        <v>226.7</v>
      </c>
      <c r="D15" s="44">
        <v>625.70000000000005</v>
      </c>
      <c r="E15" s="44">
        <v>401</v>
      </c>
      <c r="F15" s="45">
        <f t="shared" si="1"/>
        <v>1253.4000000000001</v>
      </c>
      <c r="G15" s="44"/>
      <c r="H15" s="56"/>
      <c r="I15" s="57"/>
      <c r="J15" s="74"/>
      <c r="K15" s="573" t="s">
        <v>94</v>
      </c>
      <c r="L15" s="582">
        <v>12</v>
      </c>
      <c r="M15" s="698">
        <v>19490.39</v>
      </c>
      <c r="N15" s="699">
        <v>1624</v>
      </c>
      <c r="O15" s="700">
        <v>4679</v>
      </c>
      <c r="P15" s="595">
        <v>1.02</v>
      </c>
      <c r="Q15" s="701">
        <v>7796</v>
      </c>
      <c r="R15" s="56">
        <f t="shared" si="2"/>
        <v>11694.39</v>
      </c>
      <c r="S15" s="702">
        <f t="shared" si="3"/>
        <v>0.39999199605549196</v>
      </c>
    </row>
    <row r="16" spans="1:19" ht="15" customHeight="1">
      <c r="A16" s="149">
        <v>45764</v>
      </c>
      <c r="B16" s="55" t="str">
        <f t="shared" si="0"/>
        <v>jue</v>
      </c>
      <c r="C16" s="44">
        <v>105.3</v>
      </c>
      <c r="D16" s="44">
        <v>408.1</v>
      </c>
      <c r="E16" s="44">
        <v>874.75</v>
      </c>
      <c r="F16" s="45">
        <f t="shared" si="1"/>
        <v>1388.15</v>
      </c>
      <c r="G16" s="44"/>
      <c r="H16" s="56"/>
      <c r="I16" s="57"/>
      <c r="J16" s="74"/>
      <c r="K16" s="584" t="s">
        <v>95</v>
      </c>
      <c r="L16" s="50">
        <v>14</v>
      </c>
      <c r="M16" s="703">
        <v>19796.599999999999</v>
      </c>
      <c r="N16" s="704">
        <v>1414</v>
      </c>
      <c r="O16" s="705">
        <v>5343.35</v>
      </c>
      <c r="P16" s="595">
        <v>1.18</v>
      </c>
      <c r="Q16" s="701">
        <v>7919</v>
      </c>
      <c r="R16" s="56">
        <f t="shared" si="2"/>
        <v>11877.599999999999</v>
      </c>
      <c r="S16" s="702">
        <f t="shared" si="3"/>
        <v>0.40001818494084845</v>
      </c>
    </row>
    <row r="17" spans="1:19" ht="15" customHeight="1">
      <c r="A17" s="149">
        <v>45765</v>
      </c>
      <c r="B17" s="55" t="str">
        <f t="shared" si="0"/>
        <v>vie</v>
      </c>
      <c r="C17" s="44">
        <v>194.65</v>
      </c>
      <c r="D17" s="44">
        <v>1286.8499999999999</v>
      </c>
      <c r="E17" s="44">
        <v>566.29999999999995</v>
      </c>
      <c r="F17" s="45">
        <f t="shared" si="1"/>
        <v>2047.8</v>
      </c>
      <c r="G17" s="44"/>
      <c r="H17" s="56"/>
      <c r="I17" s="57"/>
      <c r="J17" s="74"/>
      <c r="K17" s="706" t="s">
        <v>609</v>
      </c>
      <c r="L17" s="600"/>
      <c r="M17" s="707">
        <f>SUM(M5:M16)</f>
        <v>371530.44999999995</v>
      </c>
      <c r="N17" s="600"/>
      <c r="O17" s="600"/>
      <c r="P17" s="600"/>
      <c r="Q17" s="600"/>
      <c r="R17" s="600"/>
      <c r="S17" s="601"/>
    </row>
    <row r="18" spans="1:19" ht="15" customHeight="1">
      <c r="A18" s="63">
        <v>45766</v>
      </c>
      <c r="B18" s="52" t="str">
        <f t="shared" si="0"/>
        <v>sáb</v>
      </c>
      <c r="C18" s="47">
        <v>223.7</v>
      </c>
      <c r="D18" s="47">
        <v>669.9</v>
      </c>
      <c r="E18" s="47">
        <v>1158.6500000000001</v>
      </c>
      <c r="F18" s="48">
        <f t="shared" si="1"/>
        <v>2052.25</v>
      </c>
      <c r="G18" s="47"/>
      <c r="H18" s="53"/>
      <c r="I18" s="54"/>
      <c r="J18" s="74"/>
      <c r="K18" s="74"/>
      <c r="L18" s="74"/>
      <c r="M18" s="74"/>
      <c r="N18" s="74"/>
      <c r="O18" s="74"/>
      <c r="P18" s="74"/>
      <c r="Q18" s="74"/>
      <c r="R18" s="74"/>
      <c r="S18" s="74"/>
    </row>
    <row r="19" spans="1:19" ht="15" customHeight="1">
      <c r="A19" s="149">
        <v>45767</v>
      </c>
      <c r="B19" s="55" t="str">
        <f t="shared" si="0"/>
        <v>dom</v>
      </c>
      <c r="C19" s="44">
        <v>144.05000000000001</v>
      </c>
      <c r="D19" s="44">
        <v>1324.45</v>
      </c>
      <c r="E19" s="44">
        <v>1244.8499999999999</v>
      </c>
      <c r="F19" s="45">
        <f t="shared" si="1"/>
        <v>2713.35</v>
      </c>
      <c r="G19" s="44"/>
      <c r="H19" s="56"/>
      <c r="I19" s="57"/>
      <c r="J19" s="74"/>
      <c r="K19" s="74"/>
      <c r="L19" s="74"/>
      <c r="M19" s="74"/>
      <c r="N19" s="74"/>
      <c r="O19" s="74"/>
      <c r="P19" s="74"/>
      <c r="Q19" s="74"/>
      <c r="R19" s="74"/>
      <c r="S19" s="74"/>
    </row>
    <row r="20" spans="1:19" ht="15" customHeight="1">
      <c r="A20" s="63">
        <v>45770</v>
      </c>
      <c r="B20" s="52" t="str">
        <f t="shared" si="0"/>
        <v>mié</v>
      </c>
      <c r="C20" s="47">
        <v>120.05</v>
      </c>
      <c r="D20" s="47">
        <v>442.45</v>
      </c>
      <c r="E20" s="47">
        <v>960.55</v>
      </c>
      <c r="F20" s="48">
        <f t="shared" si="1"/>
        <v>1523.05</v>
      </c>
      <c r="G20" s="47"/>
      <c r="H20" s="53"/>
      <c r="I20" s="54"/>
      <c r="J20" s="74"/>
      <c r="K20" s="74"/>
      <c r="L20" s="74"/>
      <c r="M20" s="74"/>
      <c r="N20" s="74"/>
      <c r="O20" s="74"/>
      <c r="P20" s="74"/>
      <c r="Q20" s="74"/>
      <c r="R20" s="74"/>
      <c r="S20" s="74"/>
    </row>
    <row r="21" spans="1:19" ht="15" customHeight="1">
      <c r="A21" s="63">
        <v>45771</v>
      </c>
      <c r="B21" s="52" t="str">
        <f t="shared" si="0"/>
        <v>jue</v>
      </c>
      <c r="C21" s="47">
        <v>181.75</v>
      </c>
      <c r="D21" s="47">
        <v>302.5</v>
      </c>
      <c r="E21" s="47">
        <v>68.2</v>
      </c>
      <c r="F21" s="48">
        <f t="shared" si="1"/>
        <v>552.45000000000005</v>
      </c>
      <c r="G21" s="47"/>
      <c r="H21" s="53"/>
      <c r="I21" s="54"/>
      <c r="J21" s="74"/>
      <c r="K21" s="74"/>
      <c r="L21" s="74"/>
      <c r="M21" s="74"/>
      <c r="N21" s="74"/>
      <c r="O21" s="74"/>
      <c r="P21" s="74"/>
      <c r="Q21" s="74"/>
      <c r="R21" s="74"/>
      <c r="S21" s="74"/>
    </row>
    <row r="22" spans="1:19" ht="15" customHeight="1">
      <c r="A22" s="63">
        <v>45772</v>
      </c>
      <c r="B22" s="52" t="str">
        <f t="shared" si="0"/>
        <v>vie</v>
      </c>
      <c r="C22" s="47">
        <v>152.4</v>
      </c>
      <c r="D22" s="47">
        <v>734.05</v>
      </c>
      <c r="E22" s="47">
        <v>1581.15</v>
      </c>
      <c r="F22" s="48">
        <f t="shared" si="1"/>
        <v>2467.6</v>
      </c>
      <c r="G22" s="47"/>
      <c r="H22" s="53"/>
      <c r="I22" s="54"/>
      <c r="J22" s="74"/>
      <c r="K22" s="74"/>
      <c r="L22" s="74"/>
      <c r="M22" s="74"/>
      <c r="N22" s="74"/>
      <c r="O22" s="74"/>
      <c r="P22" s="74"/>
      <c r="Q22" s="74"/>
      <c r="R22" s="74"/>
      <c r="S22" s="74"/>
    </row>
    <row r="23" spans="1:19" ht="15" customHeight="1">
      <c r="A23" s="63">
        <v>45773</v>
      </c>
      <c r="B23" s="52" t="str">
        <f t="shared" si="0"/>
        <v>sáb</v>
      </c>
      <c r="C23" s="47">
        <v>193.15</v>
      </c>
      <c r="D23" s="47">
        <v>697.2</v>
      </c>
      <c r="E23" s="47">
        <v>252.65</v>
      </c>
      <c r="F23" s="48">
        <f t="shared" si="1"/>
        <v>1143</v>
      </c>
      <c r="G23" s="47"/>
      <c r="H23" s="53"/>
      <c r="I23" s="54"/>
      <c r="J23" s="74"/>
      <c r="K23" s="74"/>
      <c r="L23" s="74"/>
      <c r="M23" s="74"/>
      <c r="N23" s="74"/>
      <c r="O23" s="74"/>
      <c r="P23" s="74"/>
      <c r="Q23" s="74"/>
      <c r="R23" s="74"/>
      <c r="S23" s="74"/>
    </row>
    <row r="24" spans="1:19" ht="15" customHeight="1">
      <c r="A24" s="63">
        <v>45774</v>
      </c>
      <c r="B24" s="52" t="str">
        <f t="shared" si="0"/>
        <v>dom</v>
      </c>
      <c r="C24" s="47">
        <v>122.85</v>
      </c>
      <c r="D24" s="47">
        <v>1210.4000000000001</v>
      </c>
      <c r="E24" s="47">
        <v>169.9</v>
      </c>
      <c r="F24" s="48">
        <f t="shared" si="1"/>
        <v>1503.15</v>
      </c>
      <c r="G24" s="47"/>
      <c r="H24" s="53"/>
      <c r="I24" s="5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1:19" ht="15.75" customHeight="1">
      <c r="A25" s="63">
        <v>45777</v>
      </c>
      <c r="B25" s="52" t="str">
        <f t="shared" si="0"/>
        <v>mié</v>
      </c>
      <c r="C25" s="47">
        <v>123.95</v>
      </c>
      <c r="D25" s="47">
        <v>519.6</v>
      </c>
      <c r="E25" s="47">
        <v>848.77</v>
      </c>
      <c r="F25" s="48">
        <f t="shared" si="1"/>
        <v>1492.3200000000002</v>
      </c>
      <c r="G25" s="47"/>
      <c r="H25" s="53"/>
      <c r="I25" s="54"/>
      <c r="J25" s="74"/>
      <c r="K25" s="74"/>
      <c r="L25" s="74"/>
      <c r="M25" s="74"/>
      <c r="N25" s="74"/>
      <c r="O25" s="74"/>
      <c r="P25" s="74"/>
      <c r="Q25" s="74"/>
      <c r="R25" s="74"/>
      <c r="S25" s="74"/>
    </row>
    <row r="26" spans="1:19" ht="15.75" customHeight="1">
      <c r="A26" s="63">
        <v>45778</v>
      </c>
      <c r="B26" s="52" t="str">
        <f t="shared" si="0"/>
        <v>jue</v>
      </c>
      <c r="C26" s="47">
        <v>141.5</v>
      </c>
      <c r="D26" s="47">
        <v>1365.25</v>
      </c>
      <c r="E26" s="47">
        <v>895.4</v>
      </c>
      <c r="F26" s="48">
        <f t="shared" si="1"/>
        <v>2402.15</v>
      </c>
      <c r="G26" s="47"/>
      <c r="H26" s="53"/>
      <c r="I26" s="54"/>
      <c r="J26" s="74"/>
      <c r="K26" s="74"/>
      <c r="L26" s="74"/>
      <c r="M26" s="74"/>
      <c r="N26" s="74"/>
      <c r="O26" s="74"/>
      <c r="P26" s="74"/>
      <c r="Q26" s="74"/>
      <c r="R26" s="74"/>
      <c r="S26" s="74"/>
    </row>
    <row r="27" spans="1:19" ht="19.5" customHeight="1">
      <c r="A27" s="63">
        <v>45779</v>
      </c>
      <c r="B27" s="52" t="str">
        <f t="shared" si="0"/>
        <v>vie</v>
      </c>
      <c r="C27" s="47">
        <v>180.95</v>
      </c>
      <c r="D27" s="47">
        <v>361.25</v>
      </c>
      <c r="E27" s="47">
        <v>864</v>
      </c>
      <c r="F27" s="48">
        <f t="shared" si="1"/>
        <v>1406.2</v>
      </c>
      <c r="G27" s="47"/>
      <c r="H27" s="53"/>
      <c r="I27" s="54"/>
      <c r="J27" s="74"/>
      <c r="K27" s="74"/>
      <c r="L27" s="74"/>
      <c r="M27" s="74"/>
      <c r="N27" s="74"/>
      <c r="O27" s="74"/>
      <c r="P27" s="74"/>
      <c r="Q27" s="74"/>
      <c r="R27" s="74"/>
      <c r="S27" s="74"/>
    </row>
    <row r="28" spans="1:19" ht="21.75" customHeight="1">
      <c r="A28" s="63">
        <v>45780</v>
      </c>
      <c r="B28" s="52" t="str">
        <f t="shared" si="0"/>
        <v>sáb</v>
      </c>
      <c r="C28" s="47">
        <v>124.15</v>
      </c>
      <c r="D28" s="47">
        <v>1064.8</v>
      </c>
      <c r="E28" s="47">
        <v>880.73</v>
      </c>
      <c r="F28" s="48">
        <f t="shared" si="1"/>
        <v>2069.6800000000003</v>
      </c>
      <c r="G28" s="47"/>
      <c r="H28" s="53"/>
      <c r="I28" s="54"/>
      <c r="J28" s="74"/>
      <c r="K28" s="74"/>
      <c r="L28" s="74"/>
      <c r="M28" s="74"/>
      <c r="N28" s="74"/>
      <c r="O28" s="74"/>
      <c r="P28" s="74"/>
      <c r="Q28" s="74"/>
      <c r="R28" s="74"/>
      <c r="S28" s="74"/>
    </row>
    <row r="29" spans="1:19" ht="15" customHeight="1">
      <c r="A29" s="63">
        <v>45781</v>
      </c>
      <c r="B29" s="52" t="str">
        <f t="shared" si="0"/>
        <v>dom</v>
      </c>
      <c r="C29" s="47">
        <v>159.69999999999999</v>
      </c>
      <c r="D29" s="47">
        <v>960.6</v>
      </c>
      <c r="E29" s="47">
        <v>148.6</v>
      </c>
      <c r="F29" s="48">
        <f t="shared" si="1"/>
        <v>1268.8999999999999</v>
      </c>
      <c r="G29" s="47"/>
      <c r="H29" s="53"/>
      <c r="I29" s="54"/>
      <c r="J29" s="74"/>
      <c r="K29" s="74"/>
      <c r="L29" s="74"/>
      <c r="M29" s="74"/>
      <c r="N29" s="74"/>
      <c r="O29" s="74"/>
      <c r="P29" s="74"/>
      <c r="Q29" s="74"/>
      <c r="R29" s="74"/>
      <c r="S29" s="74"/>
    </row>
    <row r="30" spans="1:19" ht="15" customHeight="1">
      <c r="A30" s="63">
        <v>45784</v>
      </c>
      <c r="B30" s="52" t="str">
        <f t="shared" si="0"/>
        <v>mié</v>
      </c>
      <c r="C30" s="47">
        <v>75.900000000000006</v>
      </c>
      <c r="D30" s="47">
        <v>122.1</v>
      </c>
      <c r="E30" s="47">
        <v>71.55</v>
      </c>
      <c r="F30" s="48">
        <f t="shared" si="1"/>
        <v>269.55</v>
      </c>
      <c r="G30" s="47"/>
      <c r="H30" s="53"/>
      <c r="I30" s="54"/>
      <c r="J30" s="74"/>
      <c r="K30" s="74"/>
      <c r="L30" s="74"/>
      <c r="M30" s="74"/>
      <c r="N30" s="74"/>
      <c r="O30" s="74"/>
      <c r="P30" s="74"/>
      <c r="Q30" s="74"/>
      <c r="R30" s="74"/>
      <c r="S30" s="74"/>
    </row>
    <row r="31" spans="1:19" ht="15" customHeight="1">
      <c r="A31" s="63">
        <v>45785</v>
      </c>
      <c r="B31" s="52" t="str">
        <f t="shared" si="0"/>
        <v>jue</v>
      </c>
      <c r="C31" s="47">
        <v>93.1</v>
      </c>
      <c r="D31" s="47">
        <v>278</v>
      </c>
      <c r="E31" s="47">
        <v>96</v>
      </c>
      <c r="F31" s="48">
        <f t="shared" si="1"/>
        <v>467.1</v>
      </c>
      <c r="G31" s="47"/>
      <c r="H31" s="53"/>
      <c r="I31" s="54"/>
      <c r="J31" s="74"/>
      <c r="K31" s="74"/>
      <c r="L31" s="74"/>
      <c r="M31" s="74"/>
      <c r="N31" s="74"/>
      <c r="O31" s="74"/>
      <c r="P31" s="74"/>
      <c r="Q31" s="74"/>
      <c r="R31" s="74"/>
      <c r="S31" s="74"/>
    </row>
    <row r="32" spans="1:19" ht="15" customHeight="1">
      <c r="A32" s="63">
        <v>45786</v>
      </c>
      <c r="B32" s="52" t="str">
        <f t="shared" si="0"/>
        <v>vie</v>
      </c>
      <c r="C32" s="47">
        <v>111.15</v>
      </c>
      <c r="D32" s="47">
        <v>394.35</v>
      </c>
      <c r="E32" s="47">
        <v>1211.3499999999999</v>
      </c>
      <c r="F32" s="48">
        <f t="shared" si="1"/>
        <v>1716.85</v>
      </c>
      <c r="G32" s="47"/>
      <c r="H32" s="53"/>
      <c r="I32" s="54"/>
      <c r="J32" s="74"/>
      <c r="K32" s="74"/>
      <c r="L32" s="74"/>
      <c r="M32" s="74"/>
      <c r="N32" s="74"/>
      <c r="O32" s="74"/>
      <c r="P32" s="74"/>
      <c r="Q32" s="74"/>
      <c r="R32" s="74"/>
      <c r="S32" s="74"/>
    </row>
    <row r="33" spans="1:9" ht="15" customHeight="1">
      <c r="A33" s="63">
        <v>45787</v>
      </c>
      <c r="B33" s="52" t="str">
        <f t="shared" si="0"/>
        <v>sáb</v>
      </c>
      <c r="C33" s="47">
        <v>277.25</v>
      </c>
      <c r="D33" s="47">
        <v>417.7</v>
      </c>
      <c r="E33" s="47">
        <v>775.1</v>
      </c>
      <c r="F33" s="48">
        <f t="shared" si="1"/>
        <v>1470.0500000000002</v>
      </c>
      <c r="G33" s="47"/>
      <c r="H33" s="53"/>
      <c r="I33" s="54"/>
    </row>
    <row r="34" spans="1:9" ht="15" customHeight="1">
      <c r="A34" s="63">
        <v>45788</v>
      </c>
      <c r="B34" s="52" t="str">
        <f t="shared" si="0"/>
        <v>dom</v>
      </c>
      <c r="C34" s="47">
        <v>172.55</v>
      </c>
      <c r="D34" s="47">
        <v>742.6</v>
      </c>
      <c r="E34" s="47">
        <v>252.7</v>
      </c>
      <c r="F34" s="48">
        <f t="shared" si="1"/>
        <v>1167.8500000000001</v>
      </c>
      <c r="G34" s="47"/>
      <c r="H34" s="53"/>
      <c r="I34" s="54"/>
    </row>
    <row r="35" spans="1:9" ht="15" customHeight="1">
      <c r="A35" s="63">
        <v>45791</v>
      </c>
      <c r="B35" s="52" t="str">
        <f t="shared" si="0"/>
        <v>mié</v>
      </c>
      <c r="C35" s="47">
        <v>162.80000000000001</v>
      </c>
      <c r="D35" s="47">
        <v>461.15</v>
      </c>
      <c r="E35" s="47">
        <v>554.70000000000005</v>
      </c>
      <c r="F35" s="48">
        <f t="shared" si="1"/>
        <v>1178.6500000000001</v>
      </c>
      <c r="G35" s="47"/>
      <c r="H35" s="53"/>
      <c r="I35" s="54"/>
    </row>
    <row r="36" spans="1:9" ht="15" customHeight="1">
      <c r="A36" s="63">
        <v>45792</v>
      </c>
      <c r="B36" s="52" t="str">
        <f t="shared" si="0"/>
        <v>jue</v>
      </c>
      <c r="C36" s="47">
        <v>97.65</v>
      </c>
      <c r="D36" s="47">
        <v>522.95000000000005</v>
      </c>
      <c r="E36" s="47">
        <v>364.7</v>
      </c>
      <c r="F36" s="48">
        <f t="shared" si="1"/>
        <v>985.3</v>
      </c>
      <c r="G36" s="47"/>
      <c r="H36" s="53"/>
      <c r="I36" s="54"/>
    </row>
    <row r="37" spans="1:9" ht="15" customHeight="1">
      <c r="A37" s="63">
        <v>45793</v>
      </c>
      <c r="B37" s="52" t="str">
        <f t="shared" si="0"/>
        <v>vie</v>
      </c>
      <c r="C37" s="47">
        <v>78.900000000000006</v>
      </c>
      <c r="D37" s="47">
        <v>243</v>
      </c>
      <c r="E37" s="47">
        <v>585.1</v>
      </c>
      <c r="F37" s="48">
        <f t="shared" si="1"/>
        <v>907</v>
      </c>
      <c r="G37" s="47"/>
      <c r="H37" s="53"/>
      <c r="I37" s="54"/>
    </row>
    <row r="38" spans="1:9" ht="15" customHeight="1">
      <c r="A38" s="63">
        <v>45794</v>
      </c>
      <c r="B38" s="52" t="str">
        <f t="shared" si="0"/>
        <v>sáb</v>
      </c>
      <c r="C38" s="47">
        <v>75.75</v>
      </c>
      <c r="D38" s="47">
        <v>232</v>
      </c>
      <c r="E38" s="47">
        <v>585.1</v>
      </c>
      <c r="F38" s="48">
        <f t="shared" si="1"/>
        <v>892.85</v>
      </c>
      <c r="G38" s="47"/>
      <c r="H38" s="53"/>
      <c r="I38" s="54"/>
    </row>
    <row r="39" spans="1:9" ht="15" customHeight="1">
      <c r="A39" s="63">
        <v>45795</v>
      </c>
      <c r="B39" s="52" t="str">
        <f t="shared" si="0"/>
        <v>dom</v>
      </c>
      <c r="C39" s="47">
        <v>140.44999999999999</v>
      </c>
      <c r="D39" s="47">
        <v>923.5</v>
      </c>
      <c r="E39" s="47">
        <v>202.65</v>
      </c>
      <c r="F39" s="48">
        <f t="shared" si="1"/>
        <v>1266.6000000000001</v>
      </c>
      <c r="G39" s="47"/>
      <c r="H39" s="53"/>
      <c r="I39" s="54"/>
    </row>
    <row r="40" spans="1:9" ht="15" customHeight="1">
      <c r="A40" s="63">
        <v>45798</v>
      </c>
      <c r="B40" s="52" t="str">
        <f t="shared" si="0"/>
        <v>mié</v>
      </c>
      <c r="C40" s="47">
        <v>126</v>
      </c>
      <c r="D40" s="47">
        <v>309.85000000000002</v>
      </c>
      <c r="E40" s="47">
        <v>261.01</v>
      </c>
      <c r="F40" s="48">
        <f t="shared" si="1"/>
        <v>696.86</v>
      </c>
      <c r="G40" s="47"/>
      <c r="H40" s="53"/>
      <c r="I40" s="54"/>
    </row>
    <row r="41" spans="1:9" ht="15" customHeight="1">
      <c r="A41" s="63">
        <v>45799</v>
      </c>
      <c r="B41" s="52" t="str">
        <f t="shared" si="0"/>
        <v>jue</v>
      </c>
      <c r="C41" s="47">
        <v>79.900000000000006</v>
      </c>
      <c r="D41" s="47">
        <v>424.6</v>
      </c>
      <c r="E41" s="47">
        <v>201.45</v>
      </c>
      <c r="F41" s="48">
        <f t="shared" si="1"/>
        <v>705.95</v>
      </c>
      <c r="G41" s="47"/>
      <c r="H41" s="53"/>
      <c r="I41" s="54"/>
    </row>
    <row r="42" spans="1:9" ht="15.75" customHeight="1">
      <c r="A42" s="63">
        <v>45800</v>
      </c>
      <c r="B42" s="52" t="str">
        <f t="shared" si="0"/>
        <v>vie</v>
      </c>
      <c r="C42" s="47">
        <v>84.55</v>
      </c>
      <c r="D42" s="47">
        <v>143.30000000000001</v>
      </c>
      <c r="E42" s="47">
        <v>1024.98</v>
      </c>
      <c r="F42" s="48">
        <f t="shared" si="1"/>
        <v>1252.83</v>
      </c>
      <c r="G42" s="47"/>
      <c r="H42" s="53"/>
      <c r="I42" s="54"/>
    </row>
    <row r="43" spans="1:9" ht="15.75" customHeight="1">
      <c r="A43" s="63">
        <v>45801</v>
      </c>
      <c r="B43" s="52" t="str">
        <f t="shared" si="0"/>
        <v>sáb</v>
      </c>
      <c r="C43" s="47">
        <v>236.85</v>
      </c>
      <c r="D43" s="47">
        <v>1499.6</v>
      </c>
      <c r="E43" s="47">
        <v>1547.3</v>
      </c>
      <c r="F43" s="48">
        <f t="shared" si="1"/>
        <v>3283.75</v>
      </c>
      <c r="G43" s="47"/>
      <c r="H43" s="53"/>
      <c r="I43" s="54"/>
    </row>
    <row r="44" spans="1:9" ht="15.75" customHeight="1">
      <c r="A44" s="63">
        <v>45802</v>
      </c>
      <c r="B44" s="52" t="str">
        <f t="shared" si="0"/>
        <v>dom</v>
      </c>
      <c r="C44" s="47">
        <v>204.3</v>
      </c>
      <c r="D44" s="47">
        <v>842.9</v>
      </c>
      <c r="E44" s="47">
        <v>296.64999999999998</v>
      </c>
      <c r="F44" s="48">
        <f t="shared" si="1"/>
        <v>1343.85</v>
      </c>
      <c r="G44" s="47"/>
      <c r="H44" s="53"/>
      <c r="I44" s="54"/>
    </row>
    <row r="45" spans="1:9" ht="15.75" customHeight="1">
      <c r="A45" s="63">
        <v>45805</v>
      </c>
      <c r="B45" s="52" t="str">
        <f t="shared" si="0"/>
        <v>mié</v>
      </c>
      <c r="C45" s="47">
        <v>184.5</v>
      </c>
      <c r="D45" s="47">
        <v>435.75</v>
      </c>
      <c r="E45" s="47">
        <v>201.4</v>
      </c>
      <c r="F45" s="48">
        <f t="shared" si="1"/>
        <v>821.65</v>
      </c>
      <c r="G45" s="47"/>
      <c r="H45" s="53"/>
      <c r="I45" s="54"/>
    </row>
    <row r="46" spans="1:9" ht="15.75" customHeight="1">
      <c r="A46" s="63">
        <v>45806</v>
      </c>
      <c r="B46" s="52" t="str">
        <f t="shared" si="0"/>
        <v>jue</v>
      </c>
      <c r="C46" s="47">
        <v>202.7</v>
      </c>
      <c r="D46" s="47">
        <v>375.85</v>
      </c>
      <c r="E46" s="47">
        <v>278.89999999999998</v>
      </c>
      <c r="F46" s="48">
        <f t="shared" si="1"/>
        <v>857.44999999999993</v>
      </c>
      <c r="G46" s="47"/>
      <c r="H46" s="53"/>
      <c r="I46" s="54"/>
    </row>
    <row r="47" spans="1:9" ht="15.75" customHeight="1">
      <c r="A47" s="63">
        <v>45807</v>
      </c>
      <c r="B47" s="52" t="str">
        <f t="shared" si="0"/>
        <v>vie</v>
      </c>
      <c r="C47" s="47">
        <v>133.65</v>
      </c>
      <c r="D47" s="47">
        <v>391.1</v>
      </c>
      <c r="E47" s="47">
        <v>1271.95</v>
      </c>
      <c r="F47" s="48">
        <f t="shared" si="1"/>
        <v>1796.7</v>
      </c>
      <c r="G47" s="47"/>
      <c r="H47" s="53"/>
      <c r="I47" s="54"/>
    </row>
    <row r="48" spans="1:9" ht="15.75" customHeight="1">
      <c r="A48" s="63">
        <v>45808</v>
      </c>
      <c r="B48" s="52" t="str">
        <f t="shared" si="0"/>
        <v>sáb</v>
      </c>
      <c r="C48" s="47">
        <v>202.35</v>
      </c>
      <c r="D48" s="47">
        <v>553.70000000000005</v>
      </c>
      <c r="E48" s="47">
        <v>1131.55</v>
      </c>
      <c r="F48" s="48">
        <f t="shared" si="1"/>
        <v>1887.6</v>
      </c>
      <c r="G48" s="47"/>
      <c r="H48" s="53"/>
      <c r="I48" s="54"/>
    </row>
    <row r="49" spans="1:9" ht="15.75" customHeight="1">
      <c r="A49" s="63">
        <v>45809</v>
      </c>
      <c r="B49" s="52" t="str">
        <f t="shared" si="0"/>
        <v>dom</v>
      </c>
      <c r="C49" s="47">
        <v>223.95</v>
      </c>
      <c r="D49" s="47">
        <v>619.6</v>
      </c>
      <c r="E49" s="47">
        <v>540.85</v>
      </c>
      <c r="F49" s="48">
        <f t="shared" si="1"/>
        <v>1384.4</v>
      </c>
      <c r="G49" s="47"/>
      <c r="H49" s="53"/>
      <c r="I49" s="54"/>
    </row>
    <row r="50" spans="1:9" ht="15.75" customHeight="1">
      <c r="A50" s="63">
        <v>45812</v>
      </c>
      <c r="B50" s="52" t="str">
        <f t="shared" si="0"/>
        <v>mié</v>
      </c>
      <c r="C50" s="47">
        <v>157.94999999999999</v>
      </c>
      <c r="D50" s="47">
        <v>451</v>
      </c>
      <c r="E50" s="47">
        <v>846.2</v>
      </c>
      <c r="F50" s="48">
        <f t="shared" si="1"/>
        <v>1455.15</v>
      </c>
      <c r="G50" s="47"/>
      <c r="H50" s="53"/>
      <c r="I50" s="54"/>
    </row>
    <row r="51" spans="1:9" ht="15.75" customHeight="1">
      <c r="A51" s="63">
        <v>45813</v>
      </c>
      <c r="B51" s="52" t="str">
        <f t="shared" si="0"/>
        <v>jue</v>
      </c>
      <c r="C51" s="47">
        <v>153.44999999999999</v>
      </c>
      <c r="D51" s="47">
        <v>237</v>
      </c>
      <c r="E51" s="47">
        <v>439.95</v>
      </c>
      <c r="F51" s="48">
        <f t="shared" si="1"/>
        <v>830.4</v>
      </c>
      <c r="G51" s="47"/>
      <c r="H51" s="53"/>
      <c r="I51" s="54"/>
    </row>
    <row r="52" spans="1:9" ht="15.75" customHeight="1">
      <c r="A52" s="63">
        <v>45814</v>
      </c>
      <c r="B52" s="52" t="str">
        <f t="shared" si="0"/>
        <v>vie</v>
      </c>
      <c r="C52" s="47">
        <v>127.43</v>
      </c>
      <c r="D52" s="47">
        <v>314.55</v>
      </c>
      <c r="E52" s="47">
        <v>1576.25</v>
      </c>
      <c r="F52" s="48">
        <f t="shared" si="1"/>
        <v>2018.23</v>
      </c>
      <c r="G52" s="47"/>
      <c r="H52" s="53"/>
      <c r="I52" s="54"/>
    </row>
    <row r="53" spans="1:9" ht="15.75" customHeight="1">
      <c r="A53" s="63">
        <v>45815</v>
      </c>
      <c r="B53" s="52" t="str">
        <f t="shared" si="0"/>
        <v>sáb</v>
      </c>
      <c r="C53" s="47">
        <v>186.7</v>
      </c>
      <c r="D53" s="47">
        <v>1055.75</v>
      </c>
      <c r="E53" s="47">
        <v>1406.3</v>
      </c>
      <c r="F53" s="48">
        <f t="shared" si="1"/>
        <v>2648.75</v>
      </c>
      <c r="G53" s="47"/>
      <c r="H53" s="53"/>
      <c r="I53" s="54"/>
    </row>
    <row r="54" spans="1:9" ht="15.75" customHeight="1">
      <c r="A54" s="63">
        <v>45816</v>
      </c>
      <c r="B54" s="52" t="str">
        <f t="shared" si="0"/>
        <v>dom</v>
      </c>
      <c r="C54" s="47">
        <v>196.85</v>
      </c>
      <c r="D54" s="47">
        <v>1179.7</v>
      </c>
      <c r="E54" s="47">
        <v>685.8</v>
      </c>
      <c r="F54" s="48">
        <f t="shared" si="1"/>
        <v>2062.35</v>
      </c>
      <c r="G54" s="47"/>
      <c r="H54" s="53"/>
      <c r="I54" s="54"/>
    </row>
    <row r="55" spans="1:9" ht="15.75" customHeight="1">
      <c r="A55" s="63">
        <v>45819</v>
      </c>
      <c r="B55" s="52" t="str">
        <f t="shared" si="0"/>
        <v>mié</v>
      </c>
      <c r="C55" s="47">
        <v>109.35</v>
      </c>
      <c r="D55" s="47">
        <v>583.25</v>
      </c>
      <c r="E55" s="47">
        <v>510.2</v>
      </c>
      <c r="F55" s="48">
        <f t="shared" si="1"/>
        <v>1202.8</v>
      </c>
      <c r="G55" s="47"/>
      <c r="H55" s="53"/>
      <c r="I55" s="54"/>
    </row>
    <row r="56" spans="1:9" ht="15.75" customHeight="1">
      <c r="A56" s="63">
        <v>45820</v>
      </c>
      <c r="B56" s="52" t="str">
        <f t="shared" si="0"/>
        <v>jue</v>
      </c>
      <c r="C56" s="47">
        <v>128.6</v>
      </c>
      <c r="D56" s="47">
        <v>462.75</v>
      </c>
      <c r="E56" s="47">
        <v>334.95</v>
      </c>
      <c r="F56" s="48">
        <f t="shared" si="1"/>
        <v>926.3</v>
      </c>
      <c r="G56" s="47"/>
      <c r="H56" s="53"/>
      <c r="I56" s="54"/>
    </row>
    <row r="57" spans="1:9" ht="15.75" customHeight="1">
      <c r="A57" s="63">
        <v>45821</v>
      </c>
      <c r="B57" s="52" t="str">
        <f t="shared" si="0"/>
        <v>vie</v>
      </c>
      <c r="C57" s="47">
        <v>241.4</v>
      </c>
      <c r="D57" s="47">
        <v>237.7</v>
      </c>
      <c r="E57" s="47">
        <v>1332.9</v>
      </c>
      <c r="F57" s="48">
        <f t="shared" si="1"/>
        <v>1812</v>
      </c>
      <c r="G57" s="47"/>
      <c r="H57" s="53"/>
      <c r="I57" s="54"/>
    </row>
    <row r="58" spans="1:9" ht="15.75" customHeight="1">
      <c r="A58" s="63">
        <v>45822</v>
      </c>
      <c r="B58" s="52" t="str">
        <f t="shared" si="0"/>
        <v>sáb</v>
      </c>
      <c r="C58" s="47">
        <v>344.25</v>
      </c>
      <c r="D58" s="47">
        <v>590.70000000000005</v>
      </c>
      <c r="E58" s="47">
        <v>922.3</v>
      </c>
      <c r="F58" s="48">
        <f t="shared" si="1"/>
        <v>1857.25</v>
      </c>
      <c r="G58" s="47"/>
      <c r="H58" s="53"/>
      <c r="I58" s="54"/>
    </row>
    <row r="59" spans="1:9" ht="15.75" customHeight="1">
      <c r="A59" s="63">
        <v>45823</v>
      </c>
      <c r="B59" s="52" t="str">
        <f t="shared" si="0"/>
        <v>dom</v>
      </c>
      <c r="C59" s="47">
        <v>268.39999999999998</v>
      </c>
      <c r="D59" s="47">
        <v>1219.0999999999999</v>
      </c>
      <c r="E59" s="47">
        <v>522.5</v>
      </c>
      <c r="F59" s="48">
        <f t="shared" si="1"/>
        <v>2010</v>
      </c>
      <c r="G59" s="47"/>
      <c r="H59" s="53"/>
      <c r="I59" s="54"/>
    </row>
    <row r="60" spans="1:9" ht="15.75" customHeight="1">
      <c r="A60" s="63">
        <v>45826</v>
      </c>
      <c r="B60" s="52" t="str">
        <f t="shared" si="0"/>
        <v>mié</v>
      </c>
      <c r="C60" s="47">
        <v>176.55</v>
      </c>
      <c r="D60" s="47">
        <v>244.6</v>
      </c>
      <c r="E60" s="47">
        <v>480.3</v>
      </c>
      <c r="F60" s="48">
        <f t="shared" si="1"/>
        <v>901.45</v>
      </c>
      <c r="G60" s="47"/>
      <c r="H60" s="53"/>
      <c r="I60" s="54"/>
    </row>
    <row r="61" spans="1:9" ht="15.75" customHeight="1">
      <c r="A61" s="63">
        <v>45827</v>
      </c>
      <c r="B61" s="52" t="str">
        <f t="shared" si="0"/>
        <v>jue</v>
      </c>
      <c r="C61" s="47">
        <v>212.15</v>
      </c>
      <c r="D61" s="47">
        <v>125.25</v>
      </c>
      <c r="E61" s="47">
        <v>586.29999999999995</v>
      </c>
      <c r="F61" s="48">
        <f t="shared" si="1"/>
        <v>923.69999999999993</v>
      </c>
      <c r="G61" s="47"/>
      <c r="H61" s="53"/>
      <c r="I61" s="54"/>
    </row>
    <row r="62" spans="1:9" ht="15.75" customHeight="1">
      <c r="A62" s="63">
        <v>45828</v>
      </c>
      <c r="B62" s="52" t="str">
        <f t="shared" si="0"/>
        <v>vie</v>
      </c>
      <c r="C62" s="47">
        <v>192.4</v>
      </c>
      <c r="D62" s="47">
        <v>898.4</v>
      </c>
      <c r="E62" s="47">
        <v>1089.5999999999999</v>
      </c>
      <c r="F62" s="48">
        <f t="shared" si="1"/>
        <v>2180.3999999999996</v>
      </c>
      <c r="G62" s="47"/>
      <c r="H62" s="53"/>
      <c r="I62" s="54"/>
    </row>
    <row r="63" spans="1:9" ht="15.75" customHeight="1">
      <c r="A63" s="63">
        <v>45829</v>
      </c>
      <c r="B63" s="52" t="str">
        <f t="shared" si="0"/>
        <v>sáb</v>
      </c>
      <c r="C63" s="47">
        <v>213.05</v>
      </c>
      <c r="D63" s="47">
        <v>1228</v>
      </c>
      <c r="E63" s="47">
        <v>1221.6500000000001</v>
      </c>
      <c r="F63" s="48">
        <f t="shared" si="1"/>
        <v>2662.7</v>
      </c>
      <c r="G63" s="47"/>
      <c r="H63" s="53"/>
      <c r="I63" s="54"/>
    </row>
    <row r="64" spans="1:9" ht="15.75" customHeight="1">
      <c r="A64" s="63">
        <v>45830</v>
      </c>
      <c r="B64" s="52" t="str">
        <f t="shared" si="0"/>
        <v>dom</v>
      </c>
      <c r="C64" s="47">
        <v>225.55</v>
      </c>
      <c r="D64" s="47">
        <v>796.2</v>
      </c>
      <c r="E64" s="47">
        <v>955.4</v>
      </c>
      <c r="F64" s="48">
        <f t="shared" si="1"/>
        <v>1977.15</v>
      </c>
      <c r="G64" s="47"/>
      <c r="H64" s="53"/>
      <c r="I64" s="54"/>
    </row>
    <row r="65" spans="1:9" ht="15.75" customHeight="1">
      <c r="A65" s="63">
        <v>45833</v>
      </c>
      <c r="B65" s="52" t="str">
        <f t="shared" si="0"/>
        <v>mié</v>
      </c>
      <c r="C65" s="47">
        <v>185.6</v>
      </c>
      <c r="D65" s="47">
        <v>181.4</v>
      </c>
      <c r="E65" s="47">
        <v>681.6</v>
      </c>
      <c r="F65" s="48">
        <f t="shared" si="1"/>
        <v>1048.5999999999999</v>
      </c>
      <c r="G65" s="47"/>
      <c r="H65" s="53"/>
      <c r="I65" s="54"/>
    </row>
    <row r="66" spans="1:9" ht="15.75" customHeight="1">
      <c r="A66" s="63">
        <v>45834</v>
      </c>
      <c r="B66" s="52" t="str">
        <f t="shared" si="0"/>
        <v>jue</v>
      </c>
      <c r="C66" s="47">
        <v>208.45</v>
      </c>
      <c r="D66" s="47">
        <v>567.35</v>
      </c>
      <c r="E66" s="47">
        <v>872.3</v>
      </c>
      <c r="F66" s="48">
        <f t="shared" si="1"/>
        <v>1648.1</v>
      </c>
      <c r="G66" s="47"/>
      <c r="H66" s="53"/>
      <c r="I66" s="54"/>
    </row>
    <row r="67" spans="1:9" ht="15.75" customHeight="1">
      <c r="A67" s="63">
        <v>45835</v>
      </c>
      <c r="B67" s="52" t="str">
        <f t="shared" si="0"/>
        <v>vie</v>
      </c>
      <c r="C67" s="47">
        <v>202.45</v>
      </c>
      <c r="D67" s="47">
        <v>580.35</v>
      </c>
      <c r="E67" s="47">
        <v>1252.75</v>
      </c>
      <c r="F67" s="48">
        <f t="shared" si="1"/>
        <v>2035.55</v>
      </c>
      <c r="G67" s="47"/>
      <c r="H67" s="53"/>
      <c r="I67" s="54"/>
    </row>
    <row r="68" spans="1:9" ht="15.75" customHeight="1">
      <c r="A68" s="63">
        <v>45836</v>
      </c>
      <c r="B68" s="52" t="str">
        <f t="shared" ref="B68:B131" si="4">TEXT($A68,"ddd")</f>
        <v>sáb</v>
      </c>
      <c r="C68" s="47">
        <v>268.10000000000002</v>
      </c>
      <c r="D68" s="47">
        <v>540.15</v>
      </c>
      <c r="E68" s="47">
        <v>1678.05</v>
      </c>
      <c r="F68" s="48">
        <f t="shared" ref="F68:F131" si="5">SUM(C68:E68)</f>
        <v>2486.3000000000002</v>
      </c>
      <c r="G68" s="47"/>
      <c r="H68" s="53"/>
      <c r="I68" s="54"/>
    </row>
    <row r="69" spans="1:9" ht="15.75" customHeight="1">
      <c r="A69" s="63">
        <v>45837</v>
      </c>
      <c r="B69" s="52" t="str">
        <f t="shared" si="4"/>
        <v>dom</v>
      </c>
      <c r="C69" s="47">
        <v>253.9</v>
      </c>
      <c r="D69" s="47">
        <v>524.65</v>
      </c>
      <c r="E69" s="47">
        <v>679.65</v>
      </c>
      <c r="F69" s="48">
        <f t="shared" si="5"/>
        <v>1458.1999999999998</v>
      </c>
      <c r="G69" s="47"/>
      <c r="H69" s="53"/>
      <c r="I69" s="54"/>
    </row>
    <row r="70" spans="1:9" ht="15.75" customHeight="1">
      <c r="A70" s="63">
        <v>45840</v>
      </c>
      <c r="B70" s="52" t="str">
        <f t="shared" si="4"/>
        <v>mié</v>
      </c>
      <c r="C70" s="47">
        <v>246.85</v>
      </c>
      <c r="D70" s="47">
        <v>604.15</v>
      </c>
      <c r="E70" s="47">
        <v>229.55</v>
      </c>
      <c r="F70" s="48">
        <f t="shared" si="5"/>
        <v>1080.55</v>
      </c>
      <c r="G70" s="47"/>
      <c r="H70" s="53"/>
      <c r="I70" s="54"/>
    </row>
    <row r="71" spans="1:9" ht="15.75" customHeight="1">
      <c r="A71" s="63">
        <v>45841</v>
      </c>
      <c r="B71" s="52" t="str">
        <f t="shared" si="4"/>
        <v>jue</v>
      </c>
      <c r="C71" s="47">
        <v>127.35</v>
      </c>
      <c r="D71" s="47">
        <v>471</v>
      </c>
      <c r="E71" s="47">
        <v>475.15</v>
      </c>
      <c r="F71" s="48">
        <f t="shared" si="5"/>
        <v>1073.5</v>
      </c>
      <c r="G71" s="47"/>
      <c r="H71" s="53"/>
      <c r="I71" s="54"/>
    </row>
    <row r="72" spans="1:9" ht="15.75" customHeight="1">
      <c r="A72" s="63">
        <v>45842</v>
      </c>
      <c r="B72" s="52" t="str">
        <f t="shared" si="4"/>
        <v>vie</v>
      </c>
      <c r="C72" s="47">
        <v>157.59</v>
      </c>
      <c r="D72" s="47">
        <v>736.51</v>
      </c>
      <c r="E72" s="47">
        <v>1292.3</v>
      </c>
      <c r="F72" s="48">
        <f t="shared" si="5"/>
        <v>2186.4</v>
      </c>
      <c r="G72" s="47"/>
      <c r="H72" s="53"/>
      <c r="I72" s="54"/>
    </row>
    <row r="73" spans="1:9" ht="15.75" customHeight="1">
      <c r="A73" s="63">
        <v>45843</v>
      </c>
      <c r="B73" s="52" t="str">
        <f t="shared" si="4"/>
        <v>sáb</v>
      </c>
      <c r="C73" s="47">
        <v>299.25</v>
      </c>
      <c r="D73" s="47">
        <v>1184</v>
      </c>
      <c r="E73" s="47">
        <v>1586.69</v>
      </c>
      <c r="F73" s="48">
        <f t="shared" si="5"/>
        <v>3069.94</v>
      </c>
      <c r="G73" s="47"/>
      <c r="H73" s="53"/>
      <c r="I73" s="54"/>
    </row>
    <row r="74" spans="1:9" ht="15.75" customHeight="1">
      <c r="A74" s="63">
        <v>45844</v>
      </c>
      <c r="B74" s="52" t="str">
        <f t="shared" si="4"/>
        <v>dom</v>
      </c>
      <c r="C74" s="47">
        <v>378.6</v>
      </c>
      <c r="D74" s="47">
        <v>786.6</v>
      </c>
      <c r="E74" s="47">
        <v>586.9</v>
      </c>
      <c r="F74" s="48">
        <f t="shared" si="5"/>
        <v>1752.1</v>
      </c>
      <c r="G74" s="47"/>
      <c r="H74" s="53"/>
      <c r="I74" s="54"/>
    </row>
    <row r="75" spans="1:9" ht="15.75" customHeight="1">
      <c r="A75" s="63">
        <v>45847</v>
      </c>
      <c r="B75" s="52" t="str">
        <f t="shared" si="4"/>
        <v>mié</v>
      </c>
      <c r="C75" s="47">
        <v>213.4</v>
      </c>
      <c r="D75" s="47">
        <v>835.3</v>
      </c>
      <c r="E75" s="47">
        <v>529.1</v>
      </c>
      <c r="F75" s="48">
        <f t="shared" si="5"/>
        <v>1577.8000000000002</v>
      </c>
      <c r="G75" s="47"/>
      <c r="H75" s="53"/>
      <c r="I75" s="54"/>
    </row>
    <row r="76" spans="1:9" ht="15.75" customHeight="1">
      <c r="A76" s="63">
        <v>45848</v>
      </c>
      <c r="B76" s="52" t="str">
        <f t="shared" si="4"/>
        <v>jue</v>
      </c>
      <c r="C76" s="47">
        <v>143.38999999999999</v>
      </c>
      <c r="D76" s="47">
        <v>432.3</v>
      </c>
      <c r="E76" s="47">
        <v>739.55</v>
      </c>
      <c r="F76" s="48">
        <f t="shared" si="5"/>
        <v>1315.24</v>
      </c>
      <c r="G76" s="47"/>
      <c r="H76" s="53"/>
      <c r="I76" s="54"/>
    </row>
    <row r="77" spans="1:9" ht="15.75" customHeight="1">
      <c r="A77" s="63">
        <v>45849</v>
      </c>
      <c r="B77" s="52" t="str">
        <f t="shared" si="4"/>
        <v>vie</v>
      </c>
      <c r="C77" s="47">
        <v>187.45</v>
      </c>
      <c r="D77" s="47">
        <v>205.05</v>
      </c>
      <c r="E77" s="47">
        <v>1564.05</v>
      </c>
      <c r="F77" s="48">
        <f t="shared" si="5"/>
        <v>1956.55</v>
      </c>
      <c r="G77" s="47"/>
      <c r="H77" s="53"/>
      <c r="I77" s="54"/>
    </row>
    <row r="78" spans="1:9" ht="15.75" customHeight="1">
      <c r="A78" s="63">
        <v>45850</v>
      </c>
      <c r="B78" s="52" t="str">
        <f t="shared" si="4"/>
        <v>sáb</v>
      </c>
      <c r="C78" s="47">
        <v>402.1</v>
      </c>
      <c r="D78" s="47">
        <v>514.85</v>
      </c>
      <c r="E78" s="47">
        <v>2028.45</v>
      </c>
      <c r="F78" s="48">
        <f t="shared" si="5"/>
        <v>2945.4</v>
      </c>
      <c r="G78" s="47"/>
      <c r="H78" s="53"/>
      <c r="I78" s="54"/>
    </row>
    <row r="79" spans="1:9" ht="15.75" customHeight="1">
      <c r="A79" s="63">
        <v>45851</v>
      </c>
      <c r="B79" s="52" t="str">
        <f t="shared" si="4"/>
        <v>dom</v>
      </c>
      <c r="C79" s="47">
        <v>338.5</v>
      </c>
      <c r="D79" s="47">
        <v>1367.4</v>
      </c>
      <c r="E79" s="47">
        <v>626.75</v>
      </c>
      <c r="F79" s="48">
        <f t="shared" si="5"/>
        <v>2332.65</v>
      </c>
      <c r="G79" s="47"/>
      <c r="H79" s="53"/>
      <c r="I79" s="54"/>
    </row>
    <row r="80" spans="1:9" ht="15.75" customHeight="1">
      <c r="A80" s="63">
        <v>45854</v>
      </c>
      <c r="B80" s="52" t="str">
        <f t="shared" si="4"/>
        <v>mié</v>
      </c>
      <c r="C80" s="47">
        <v>161.69999999999999</v>
      </c>
      <c r="D80" s="47">
        <v>321.55</v>
      </c>
      <c r="E80" s="47">
        <v>537.15</v>
      </c>
      <c r="F80" s="48">
        <f t="shared" si="5"/>
        <v>1020.4</v>
      </c>
      <c r="G80" s="47"/>
      <c r="H80" s="53"/>
      <c r="I80" s="54"/>
    </row>
    <row r="81" spans="1:9" ht="15.75" customHeight="1">
      <c r="A81" s="63">
        <v>45855</v>
      </c>
      <c r="B81" s="52" t="str">
        <f t="shared" si="4"/>
        <v>jue</v>
      </c>
      <c r="C81" s="47">
        <v>150.69999999999999</v>
      </c>
      <c r="D81" s="47">
        <v>122.15</v>
      </c>
      <c r="E81" s="47">
        <v>950.2</v>
      </c>
      <c r="F81" s="48">
        <f t="shared" si="5"/>
        <v>1223.0500000000002</v>
      </c>
      <c r="G81" s="47"/>
      <c r="H81" s="53"/>
      <c r="I81" s="54"/>
    </row>
    <row r="82" spans="1:9" ht="15.75" customHeight="1">
      <c r="A82" s="63">
        <v>45856</v>
      </c>
      <c r="B82" s="52" t="str">
        <f t="shared" si="4"/>
        <v>vie</v>
      </c>
      <c r="C82" s="47">
        <v>198</v>
      </c>
      <c r="D82" s="47">
        <v>119.9</v>
      </c>
      <c r="E82" s="47">
        <v>911.1</v>
      </c>
      <c r="F82" s="48">
        <f t="shared" si="5"/>
        <v>1229</v>
      </c>
      <c r="G82" s="47"/>
      <c r="H82" s="53"/>
      <c r="I82" s="54"/>
    </row>
    <row r="83" spans="1:9" ht="15.75" customHeight="1">
      <c r="A83" s="63">
        <v>45857</v>
      </c>
      <c r="B83" s="52" t="str">
        <f t="shared" si="4"/>
        <v>sáb</v>
      </c>
      <c r="C83" s="47">
        <v>250.65</v>
      </c>
      <c r="D83" s="47">
        <v>624.1</v>
      </c>
      <c r="E83" s="47">
        <v>1517.7</v>
      </c>
      <c r="F83" s="48">
        <f t="shared" si="5"/>
        <v>2392.4499999999998</v>
      </c>
      <c r="G83" s="47"/>
      <c r="H83" s="53"/>
      <c r="I83" s="54"/>
    </row>
    <row r="84" spans="1:9" ht="15.75" customHeight="1">
      <c r="A84" s="63">
        <v>45858</v>
      </c>
      <c r="B84" s="52" t="str">
        <f t="shared" si="4"/>
        <v>dom</v>
      </c>
      <c r="C84" s="47">
        <v>262.55</v>
      </c>
      <c r="D84" s="47">
        <v>939.45</v>
      </c>
      <c r="E84" s="47">
        <v>704.91</v>
      </c>
      <c r="F84" s="48">
        <f t="shared" si="5"/>
        <v>1906.9099999999999</v>
      </c>
      <c r="G84" s="47"/>
      <c r="H84" s="53"/>
      <c r="I84" s="54"/>
    </row>
    <row r="85" spans="1:9" ht="15.75" customHeight="1">
      <c r="A85" s="63">
        <v>45861</v>
      </c>
      <c r="B85" s="52" t="str">
        <f t="shared" si="4"/>
        <v>mié</v>
      </c>
      <c r="C85" s="47">
        <v>128.55000000000001</v>
      </c>
      <c r="D85" s="47">
        <v>200.2</v>
      </c>
      <c r="E85" s="47">
        <v>365.35</v>
      </c>
      <c r="F85" s="48">
        <f t="shared" si="5"/>
        <v>694.1</v>
      </c>
      <c r="G85" s="47"/>
      <c r="H85" s="53"/>
      <c r="I85" s="54"/>
    </row>
    <row r="86" spans="1:9" ht="15.75" customHeight="1">
      <c r="A86" s="63">
        <v>45862</v>
      </c>
      <c r="B86" s="52" t="str">
        <f t="shared" si="4"/>
        <v>jue</v>
      </c>
      <c r="C86" s="47">
        <v>107.2</v>
      </c>
      <c r="D86" s="47">
        <v>549.29999999999995</v>
      </c>
      <c r="E86" s="47">
        <v>174.8</v>
      </c>
      <c r="F86" s="48">
        <f t="shared" si="5"/>
        <v>831.3</v>
      </c>
      <c r="G86" s="47"/>
      <c r="H86" s="53"/>
      <c r="I86" s="54"/>
    </row>
    <row r="87" spans="1:9" ht="15.75" customHeight="1">
      <c r="A87" s="63">
        <v>45863</v>
      </c>
      <c r="B87" s="52" t="str">
        <f t="shared" si="4"/>
        <v>vie</v>
      </c>
      <c r="C87" s="47">
        <v>156.1</v>
      </c>
      <c r="D87" s="47">
        <v>207.9</v>
      </c>
      <c r="E87" s="47">
        <v>885.05</v>
      </c>
      <c r="F87" s="48">
        <f t="shared" si="5"/>
        <v>1249.05</v>
      </c>
      <c r="G87" s="47"/>
      <c r="H87" s="53"/>
      <c r="I87" s="54"/>
    </row>
    <row r="88" spans="1:9" ht="15.75" customHeight="1">
      <c r="A88" s="63">
        <v>45864</v>
      </c>
      <c r="B88" s="52" t="str">
        <f t="shared" si="4"/>
        <v>sáb</v>
      </c>
      <c r="C88" s="47">
        <v>255.65</v>
      </c>
      <c r="D88" s="47">
        <v>884</v>
      </c>
      <c r="E88" s="47">
        <v>919.3</v>
      </c>
      <c r="F88" s="48">
        <f t="shared" si="5"/>
        <v>2058.9499999999998</v>
      </c>
      <c r="G88" s="47"/>
      <c r="H88" s="53"/>
      <c r="I88" s="54"/>
    </row>
    <row r="89" spans="1:9" ht="15.75" customHeight="1">
      <c r="A89" s="63">
        <v>45865</v>
      </c>
      <c r="B89" s="52" t="str">
        <f t="shared" si="4"/>
        <v>dom</v>
      </c>
      <c r="C89" s="47">
        <v>243</v>
      </c>
      <c r="D89" s="47">
        <v>679.2</v>
      </c>
      <c r="E89" s="47">
        <v>642.1</v>
      </c>
      <c r="F89" s="48">
        <f t="shared" si="5"/>
        <v>1564.3000000000002</v>
      </c>
      <c r="G89" s="47"/>
      <c r="H89" s="53"/>
      <c r="I89" s="54"/>
    </row>
    <row r="90" spans="1:9" ht="15.75" customHeight="1">
      <c r="A90" s="63">
        <v>45868</v>
      </c>
      <c r="B90" s="52" t="str">
        <f t="shared" si="4"/>
        <v>mié</v>
      </c>
      <c r="C90" s="47">
        <v>167.65</v>
      </c>
      <c r="D90" s="47">
        <v>486.95</v>
      </c>
      <c r="E90" s="47">
        <v>933.8</v>
      </c>
      <c r="F90" s="48">
        <f t="shared" si="5"/>
        <v>1588.4</v>
      </c>
      <c r="G90" s="47"/>
      <c r="H90" s="53"/>
      <c r="I90" s="54"/>
    </row>
    <row r="91" spans="1:9" ht="15.75" customHeight="1">
      <c r="A91" s="63">
        <v>45869</v>
      </c>
      <c r="B91" s="52" t="str">
        <f t="shared" si="4"/>
        <v>jue</v>
      </c>
      <c r="C91" s="47">
        <v>135.69999999999999</v>
      </c>
      <c r="D91" s="47">
        <v>193.05</v>
      </c>
      <c r="E91" s="47">
        <v>494.98</v>
      </c>
      <c r="F91" s="48">
        <f t="shared" si="5"/>
        <v>823.73</v>
      </c>
      <c r="G91" s="47"/>
      <c r="H91" s="53"/>
      <c r="I91" s="54"/>
    </row>
    <row r="92" spans="1:9" ht="15.75" customHeight="1">
      <c r="A92" s="63">
        <v>45870</v>
      </c>
      <c r="B92" s="52" t="str">
        <f t="shared" si="4"/>
        <v>vie</v>
      </c>
      <c r="C92" s="47">
        <v>117.4</v>
      </c>
      <c r="D92" s="47">
        <v>780.36</v>
      </c>
      <c r="E92" s="47">
        <v>1501.55</v>
      </c>
      <c r="F92" s="48">
        <f t="shared" si="5"/>
        <v>2399.31</v>
      </c>
      <c r="G92" s="47"/>
      <c r="H92" s="53"/>
      <c r="I92" s="54"/>
    </row>
    <row r="93" spans="1:9" ht="15.75" customHeight="1">
      <c r="A93" s="63">
        <v>45871</v>
      </c>
      <c r="B93" s="52" t="str">
        <f t="shared" si="4"/>
        <v>sáb</v>
      </c>
      <c r="C93" s="47">
        <v>168.45</v>
      </c>
      <c r="D93" s="47">
        <v>1120.3</v>
      </c>
      <c r="E93" s="47">
        <v>981.8</v>
      </c>
      <c r="F93" s="48">
        <f t="shared" si="5"/>
        <v>2270.5500000000002</v>
      </c>
      <c r="G93" s="47"/>
      <c r="H93" s="53"/>
      <c r="I93" s="54"/>
    </row>
    <row r="94" spans="1:9" ht="15.75" customHeight="1">
      <c r="A94" s="63">
        <v>45872</v>
      </c>
      <c r="B94" s="52" t="str">
        <f t="shared" si="4"/>
        <v>dom</v>
      </c>
      <c r="C94" s="47">
        <v>232.45</v>
      </c>
      <c r="D94" s="47">
        <v>680.4</v>
      </c>
      <c r="E94" s="47">
        <v>536.6</v>
      </c>
      <c r="F94" s="48">
        <f t="shared" si="5"/>
        <v>1449.4499999999998</v>
      </c>
      <c r="G94" s="47"/>
      <c r="H94" s="53"/>
      <c r="I94" s="54"/>
    </row>
    <row r="95" spans="1:9" ht="15.75" customHeight="1">
      <c r="A95" s="63">
        <v>45875</v>
      </c>
      <c r="B95" s="52" t="str">
        <f t="shared" si="4"/>
        <v>mié</v>
      </c>
      <c r="C95" s="47">
        <v>217.35</v>
      </c>
      <c r="D95" s="47">
        <v>695.85</v>
      </c>
      <c r="E95" s="47">
        <v>633.4</v>
      </c>
      <c r="F95" s="48">
        <f t="shared" si="5"/>
        <v>1546.6</v>
      </c>
      <c r="G95" s="47"/>
      <c r="H95" s="53"/>
      <c r="I95" s="54"/>
    </row>
    <row r="96" spans="1:9" ht="15.75" customHeight="1">
      <c r="A96" s="63">
        <v>45876</v>
      </c>
      <c r="B96" s="52" t="str">
        <f t="shared" si="4"/>
        <v>jue</v>
      </c>
      <c r="C96" s="47">
        <v>141.30000000000001</v>
      </c>
      <c r="D96" s="47">
        <v>626.6</v>
      </c>
      <c r="E96" s="47">
        <v>943.65</v>
      </c>
      <c r="F96" s="48">
        <f t="shared" si="5"/>
        <v>1711.5500000000002</v>
      </c>
      <c r="G96" s="47"/>
      <c r="H96" s="53"/>
      <c r="I96" s="54"/>
    </row>
    <row r="97" spans="1:9" ht="15.75" customHeight="1">
      <c r="A97" s="63">
        <v>45877</v>
      </c>
      <c r="B97" s="52" t="str">
        <f t="shared" si="4"/>
        <v>vie</v>
      </c>
      <c r="C97" s="47">
        <v>292.45</v>
      </c>
      <c r="D97" s="47">
        <v>619.9</v>
      </c>
      <c r="E97" s="47">
        <v>954.25</v>
      </c>
      <c r="F97" s="48">
        <f t="shared" si="5"/>
        <v>1866.6</v>
      </c>
      <c r="G97" s="47"/>
      <c r="H97" s="53"/>
      <c r="I97" s="54"/>
    </row>
    <row r="98" spans="1:9" ht="15.75" customHeight="1">
      <c r="A98" s="63">
        <v>45878</v>
      </c>
      <c r="B98" s="52" t="str">
        <f t="shared" si="4"/>
        <v>sáb</v>
      </c>
      <c r="C98" s="47">
        <v>330.6</v>
      </c>
      <c r="D98" s="47">
        <v>612.65</v>
      </c>
      <c r="E98" s="47">
        <v>1445.6</v>
      </c>
      <c r="F98" s="48">
        <f t="shared" si="5"/>
        <v>2388.85</v>
      </c>
      <c r="G98" s="47"/>
      <c r="H98" s="53"/>
      <c r="I98" s="54"/>
    </row>
    <row r="99" spans="1:9" ht="15.75" customHeight="1">
      <c r="A99" s="63">
        <v>45879</v>
      </c>
      <c r="B99" s="52" t="str">
        <f t="shared" si="4"/>
        <v>dom</v>
      </c>
      <c r="C99" s="47">
        <v>270.45</v>
      </c>
      <c r="D99" s="47">
        <v>1135.8</v>
      </c>
      <c r="E99" s="47">
        <v>1121.25</v>
      </c>
      <c r="F99" s="48">
        <f t="shared" si="5"/>
        <v>2527.5</v>
      </c>
      <c r="G99" s="47"/>
      <c r="H99" s="53"/>
      <c r="I99" s="54"/>
    </row>
    <row r="100" spans="1:9" ht="15.75" customHeight="1">
      <c r="A100" s="63">
        <v>45882</v>
      </c>
      <c r="B100" s="52" t="str">
        <f t="shared" si="4"/>
        <v>mié</v>
      </c>
      <c r="C100" s="47">
        <v>258.89999999999998</v>
      </c>
      <c r="D100" s="47">
        <v>793.05</v>
      </c>
      <c r="E100" s="47">
        <v>694.2</v>
      </c>
      <c r="F100" s="48">
        <f t="shared" si="5"/>
        <v>1746.1499999999999</v>
      </c>
      <c r="G100" s="47"/>
      <c r="H100" s="53"/>
      <c r="I100" s="54"/>
    </row>
    <row r="101" spans="1:9" ht="15.75" customHeight="1">
      <c r="A101" s="63">
        <v>45883</v>
      </c>
      <c r="B101" s="52" t="str">
        <f t="shared" si="4"/>
        <v>jue</v>
      </c>
      <c r="C101" s="47">
        <v>284.55</v>
      </c>
      <c r="D101" s="47">
        <v>769.35</v>
      </c>
      <c r="E101" s="47">
        <v>1417.05</v>
      </c>
      <c r="F101" s="48">
        <f t="shared" si="5"/>
        <v>2470.9499999999998</v>
      </c>
      <c r="G101" s="47"/>
      <c r="H101" s="53"/>
      <c r="I101" s="54"/>
    </row>
    <row r="102" spans="1:9" ht="15.75" customHeight="1">
      <c r="A102" s="63">
        <v>45884</v>
      </c>
      <c r="B102" s="52" t="str">
        <f t="shared" si="4"/>
        <v>vie</v>
      </c>
      <c r="C102" s="47">
        <v>225.95</v>
      </c>
      <c r="D102" s="47">
        <v>873.4</v>
      </c>
      <c r="E102" s="47">
        <v>1492.5</v>
      </c>
      <c r="F102" s="48">
        <f t="shared" si="5"/>
        <v>2591.85</v>
      </c>
      <c r="G102" s="47"/>
      <c r="H102" s="53"/>
      <c r="I102" s="54"/>
    </row>
    <row r="103" spans="1:9" ht="15.75" customHeight="1">
      <c r="A103" s="63">
        <v>45885</v>
      </c>
      <c r="B103" s="52" t="str">
        <f t="shared" si="4"/>
        <v>sáb</v>
      </c>
      <c r="C103" s="47">
        <v>307.10000000000002</v>
      </c>
      <c r="D103" s="47">
        <v>604.4</v>
      </c>
      <c r="E103" s="47">
        <v>1934.3</v>
      </c>
      <c r="F103" s="48">
        <f t="shared" si="5"/>
        <v>2845.8</v>
      </c>
      <c r="G103" s="47"/>
      <c r="H103" s="53"/>
      <c r="I103" s="54"/>
    </row>
    <row r="104" spans="1:9" ht="15.75" customHeight="1">
      <c r="A104" s="63">
        <v>45886</v>
      </c>
      <c r="B104" s="52" t="str">
        <f t="shared" si="4"/>
        <v>dom</v>
      </c>
      <c r="C104" s="47">
        <v>277.14999999999998</v>
      </c>
      <c r="D104" s="47">
        <v>1066.9000000000001</v>
      </c>
      <c r="E104" s="47">
        <v>1652.55</v>
      </c>
      <c r="F104" s="48">
        <f t="shared" si="5"/>
        <v>2996.6000000000004</v>
      </c>
      <c r="G104" s="47"/>
      <c r="H104" s="53"/>
      <c r="I104" s="54"/>
    </row>
    <row r="105" spans="1:9" ht="15.75" customHeight="1">
      <c r="A105" s="63">
        <v>45889</v>
      </c>
      <c r="B105" s="52" t="str">
        <f t="shared" si="4"/>
        <v>mié</v>
      </c>
      <c r="C105" s="47">
        <v>203.85</v>
      </c>
      <c r="D105" s="47">
        <v>773.95</v>
      </c>
      <c r="E105" s="47">
        <v>801.5</v>
      </c>
      <c r="F105" s="48">
        <f t="shared" si="5"/>
        <v>1779.3000000000002</v>
      </c>
      <c r="G105" s="47"/>
      <c r="H105" s="53"/>
      <c r="I105" s="54"/>
    </row>
    <row r="106" spans="1:9" ht="15.75" customHeight="1">
      <c r="A106" s="63">
        <v>45890</v>
      </c>
      <c r="B106" s="52" t="str">
        <f t="shared" si="4"/>
        <v>jue</v>
      </c>
      <c r="C106" s="47">
        <v>243.9</v>
      </c>
      <c r="D106" s="47">
        <v>711.5</v>
      </c>
      <c r="E106" s="47">
        <v>922.5</v>
      </c>
      <c r="F106" s="48">
        <f t="shared" si="5"/>
        <v>1877.9</v>
      </c>
      <c r="G106" s="47"/>
      <c r="H106" s="53"/>
      <c r="I106" s="54"/>
    </row>
    <row r="107" spans="1:9" ht="15.75" customHeight="1">
      <c r="A107" s="63">
        <v>45891</v>
      </c>
      <c r="B107" s="52" t="str">
        <f t="shared" si="4"/>
        <v>vie</v>
      </c>
      <c r="C107" s="47">
        <v>291.5</v>
      </c>
      <c r="D107" s="47">
        <v>554.6</v>
      </c>
      <c r="E107" s="47">
        <v>1775.75</v>
      </c>
      <c r="F107" s="48">
        <f t="shared" si="5"/>
        <v>2621.85</v>
      </c>
      <c r="G107" s="47"/>
      <c r="H107" s="53"/>
      <c r="I107" s="54"/>
    </row>
    <row r="108" spans="1:9" ht="15.75" customHeight="1">
      <c r="A108" s="63">
        <v>45892</v>
      </c>
      <c r="B108" s="52" t="str">
        <f t="shared" si="4"/>
        <v>sáb</v>
      </c>
      <c r="C108" s="47">
        <v>232.4</v>
      </c>
      <c r="D108" s="47">
        <v>674</v>
      </c>
      <c r="E108" s="47">
        <v>1670.35</v>
      </c>
      <c r="F108" s="48">
        <f t="shared" si="5"/>
        <v>2576.75</v>
      </c>
      <c r="G108" s="47"/>
      <c r="H108" s="53"/>
      <c r="I108" s="54"/>
    </row>
    <row r="109" spans="1:9" ht="15.75" customHeight="1">
      <c r="A109" s="63">
        <v>45893</v>
      </c>
      <c r="B109" s="52" t="str">
        <f t="shared" si="4"/>
        <v>dom</v>
      </c>
      <c r="C109" s="47">
        <v>368.4</v>
      </c>
      <c r="D109" s="47">
        <v>761.64</v>
      </c>
      <c r="E109" s="47">
        <v>729.55</v>
      </c>
      <c r="F109" s="48">
        <f t="shared" si="5"/>
        <v>1859.59</v>
      </c>
      <c r="G109" s="47"/>
      <c r="H109" s="53"/>
      <c r="I109" s="54"/>
    </row>
    <row r="110" spans="1:9" ht="15.75" customHeight="1">
      <c r="A110" s="63">
        <v>45896</v>
      </c>
      <c r="B110" s="52" t="str">
        <f t="shared" si="4"/>
        <v>mié</v>
      </c>
      <c r="C110" s="47">
        <v>171.05</v>
      </c>
      <c r="D110" s="47">
        <v>821.55</v>
      </c>
      <c r="E110" s="47">
        <v>653.25</v>
      </c>
      <c r="F110" s="48">
        <f t="shared" si="5"/>
        <v>1645.85</v>
      </c>
      <c r="G110" s="47"/>
      <c r="H110" s="53"/>
      <c r="I110" s="54"/>
    </row>
    <row r="111" spans="1:9" ht="15.75" customHeight="1">
      <c r="A111" s="63">
        <v>45897</v>
      </c>
      <c r="B111" s="52" t="str">
        <f t="shared" si="4"/>
        <v>jue</v>
      </c>
      <c r="C111" s="47">
        <v>169.9</v>
      </c>
      <c r="D111" s="47">
        <v>358.65</v>
      </c>
      <c r="E111" s="47">
        <v>440.15</v>
      </c>
      <c r="F111" s="48">
        <f t="shared" si="5"/>
        <v>968.69999999999993</v>
      </c>
      <c r="G111" s="47"/>
      <c r="H111" s="53"/>
      <c r="I111" s="54"/>
    </row>
    <row r="112" spans="1:9" ht="15.75" customHeight="1">
      <c r="A112" s="63">
        <v>45898</v>
      </c>
      <c r="B112" s="52" t="str">
        <f t="shared" si="4"/>
        <v>vie</v>
      </c>
      <c r="C112" s="47">
        <v>220.55</v>
      </c>
      <c r="D112" s="47">
        <v>317.35000000000002</v>
      </c>
      <c r="E112" s="47">
        <v>1400.8</v>
      </c>
      <c r="F112" s="48">
        <f t="shared" si="5"/>
        <v>1938.7</v>
      </c>
      <c r="G112" s="47"/>
      <c r="H112" s="53"/>
      <c r="I112" s="54"/>
    </row>
    <row r="113" spans="1:9" ht="15.75" customHeight="1">
      <c r="A113" s="63">
        <v>45899</v>
      </c>
      <c r="B113" s="52" t="str">
        <f t="shared" si="4"/>
        <v>sáb</v>
      </c>
      <c r="C113" s="47">
        <v>174</v>
      </c>
      <c r="D113" s="47">
        <v>1176.9000000000001</v>
      </c>
      <c r="E113" s="47">
        <v>802.1</v>
      </c>
      <c r="F113" s="48">
        <f t="shared" si="5"/>
        <v>2153</v>
      </c>
      <c r="G113" s="47"/>
      <c r="H113" s="53"/>
      <c r="I113" s="54"/>
    </row>
    <row r="114" spans="1:9" ht="15.75" customHeight="1">
      <c r="A114" s="63">
        <v>45900</v>
      </c>
      <c r="B114" s="52" t="str">
        <f t="shared" si="4"/>
        <v>dom</v>
      </c>
      <c r="C114" s="47">
        <v>433.25</v>
      </c>
      <c r="D114" s="47">
        <v>1110.3</v>
      </c>
      <c r="E114" s="47">
        <v>258</v>
      </c>
      <c r="F114" s="48">
        <f t="shared" si="5"/>
        <v>1801.55</v>
      </c>
      <c r="G114" s="47"/>
      <c r="H114" s="53"/>
      <c r="I114" s="54"/>
    </row>
    <row r="115" spans="1:9" ht="15.75" customHeight="1">
      <c r="A115" s="63">
        <v>45903</v>
      </c>
      <c r="B115" s="52" t="str">
        <f t="shared" si="4"/>
        <v>mié</v>
      </c>
      <c r="C115" s="47">
        <v>241.4</v>
      </c>
      <c r="D115" s="47">
        <v>1142.75</v>
      </c>
      <c r="E115" s="47">
        <v>606.73</v>
      </c>
      <c r="F115" s="48">
        <f t="shared" si="5"/>
        <v>1990.88</v>
      </c>
      <c r="G115" s="47"/>
      <c r="H115" s="53"/>
      <c r="I115" s="54"/>
    </row>
    <row r="116" spans="1:9" ht="15.75" customHeight="1">
      <c r="A116" s="63">
        <v>45904</v>
      </c>
      <c r="B116" s="52" t="str">
        <f t="shared" si="4"/>
        <v>jue</v>
      </c>
      <c r="C116" s="47">
        <v>208.75</v>
      </c>
      <c r="D116" s="47">
        <v>667.85</v>
      </c>
      <c r="E116" s="47">
        <v>334.1</v>
      </c>
      <c r="F116" s="48">
        <f t="shared" si="5"/>
        <v>1210.7</v>
      </c>
      <c r="G116" s="47"/>
      <c r="H116" s="53"/>
      <c r="I116" s="54"/>
    </row>
    <row r="117" spans="1:9" ht="15.75" customHeight="1">
      <c r="A117" s="63">
        <v>45905</v>
      </c>
      <c r="B117" s="52" t="str">
        <f t="shared" si="4"/>
        <v>vie</v>
      </c>
      <c r="C117" s="47">
        <v>125.3</v>
      </c>
      <c r="D117" s="47">
        <v>502.55</v>
      </c>
      <c r="E117" s="47">
        <v>1046.1500000000001</v>
      </c>
      <c r="F117" s="48">
        <f t="shared" si="5"/>
        <v>1674</v>
      </c>
      <c r="G117" s="47"/>
      <c r="H117" s="53"/>
      <c r="I117" s="54"/>
    </row>
    <row r="118" spans="1:9" ht="15.75" customHeight="1">
      <c r="A118" s="63">
        <v>45906</v>
      </c>
      <c r="B118" s="52" t="str">
        <f t="shared" si="4"/>
        <v>sáb</v>
      </c>
      <c r="C118" s="47">
        <v>224.2</v>
      </c>
      <c r="D118" s="47">
        <v>506.65</v>
      </c>
      <c r="E118" s="47">
        <v>1155.6099999999999</v>
      </c>
      <c r="F118" s="48">
        <f t="shared" si="5"/>
        <v>1886.4599999999998</v>
      </c>
      <c r="G118" s="47"/>
      <c r="H118" s="53"/>
      <c r="I118" s="54"/>
    </row>
    <row r="119" spans="1:9" ht="15.75" customHeight="1">
      <c r="A119" s="63">
        <v>45907</v>
      </c>
      <c r="B119" s="52" t="str">
        <f t="shared" si="4"/>
        <v>dom</v>
      </c>
      <c r="C119" s="47">
        <v>274.39999999999998</v>
      </c>
      <c r="D119" s="47">
        <v>826.69</v>
      </c>
      <c r="E119" s="47">
        <v>620.29999999999995</v>
      </c>
      <c r="F119" s="48">
        <f t="shared" si="5"/>
        <v>1721.39</v>
      </c>
      <c r="G119" s="47"/>
      <c r="H119" s="53"/>
      <c r="I119" s="54"/>
    </row>
    <row r="120" spans="1:9" ht="15.75" customHeight="1">
      <c r="A120" s="63">
        <v>45910</v>
      </c>
      <c r="B120" s="52" t="str">
        <f t="shared" si="4"/>
        <v>mié</v>
      </c>
      <c r="C120" s="47">
        <v>224.55</v>
      </c>
      <c r="D120" s="47">
        <v>456.8</v>
      </c>
      <c r="E120" s="47">
        <v>890.1</v>
      </c>
      <c r="F120" s="48">
        <f t="shared" si="5"/>
        <v>1571.45</v>
      </c>
      <c r="G120" s="47"/>
      <c r="H120" s="53"/>
      <c r="I120" s="54"/>
    </row>
    <row r="121" spans="1:9" ht="15.75" customHeight="1">
      <c r="A121" s="63">
        <v>45911</v>
      </c>
      <c r="B121" s="52" t="str">
        <f t="shared" si="4"/>
        <v>jue</v>
      </c>
      <c r="C121" s="47">
        <v>144.19999999999999</v>
      </c>
      <c r="D121" s="47">
        <v>1452.3</v>
      </c>
      <c r="E121" s="47">
        <v>393.95</v>
      </c>
      <c r="F121" s="48">
        <f t="shared" si="5"/>
        <v>1990.45</v>
      </c>
      <c r="G121" s="47"/>
      <c r="H121" s="53"/>
      <c r="I121" s="54"/>
    </row>
    <row r="122" spans="1:9" ht="15.75" customHeight="1">
      <c r="A122" s="63">
        <v>45912</v>
      </c>
      <c r="B122" s="52" t="str">
        <f t="shared" si="4"/>
        <v>vie</v>
      </c>
      <c r="C122" s="47">
        <v>173.2</v>
      </c>
      <c r="D122" s="47">
        <v>553</v>
      </c>
      <c r="E122" s="47">
        <v>672.7</v>
      </c>
      <c r="F122" s="48">
        <f t="shared" si="5"/>
        <v>1398.9</v>
      </c>
      <c r="G122" s="47"/>
      <c r="H122" s="53"/>
      <c r="I122" s="54"/>
    </row>
    <row r="123" spans="1:9" ht="15.75" customHeight="1">
      <c r="A123" s="63">
        <v>45913</v>
      </c>
      <c r="B123" s="52" t="str">
        <f t="shared" si="4"/>
        <v>sáb</v>
      </c>
      <c r="C123" s="47">
        <v>273.2</v>
      </c>
      <c r="D123" s="47">
        <v>1319.65</v>
      </c>
      <c r="E123" s="47">
        <v>712.3</v>
      </c>
      <c r="F123" s="48">
        <f t="shared" si="5"/>
        <v>2305.15</v>
      </c>
      <c r="G123" s="47"/>
      <c r="H123" s="53"/>
      <c r="I123" s="54"/>
    </row>
    <row r="124" spans="1:9" ht="15.75" customHeight="1">
      <c r="A124" s="63">
        <v>45914</v>
      </c>
      <c r="B124" s="52" t="str">
        <f t="shared" si="4"/>
        <v>dom</v>
      </c>
      <c r="C124" s="47">
        <v>419.5</v>
      </c>
      <c r="D124" s="47">
        <v>726.05</v>
      </c>
      <c r="E124" s="47">
        <v>428</v>
      </c>
      <c r="F124" s="48">
        <f t="shared" si="5"/>
        <v>1573.55</v>
      </c>
      <c r="G124" s="47"/>
      <c r="H124" s="53"/>
      <c r="I124" s="54"/>
    </row>
    <row r="125" spans="1:9" ht="15.75" customHeight="1">
      <c r="A125" s="63">
        <v>45917</v>
      </c>
      <c r="B125" s="52" t="str">
        <f t="shared" si="4"/>
        <v>mié</v>
      </c>
      <c r="C125" s="47">
        <v>233.85</v>
      </c>
      <c r="D125" s="47">
        <v>325.5</v>
      </c>
      <c r="E125" s="47">
        <v>339.4</v>
      </c>
      <c r="F125" s="48">
        <f t="shared" si="5"/>
        <v>898.75</v>
      </c>
      <c r="G125" s="47"/>
      <c r="H125" s="53"/>
      <c r="I125" s="54"/>
    </row>
    <row r="126" spans="1:9" ht="15.75" customHeight="1">
      <c r="A126" s="63">
        <v>45918</v>
      </c>
      <c r="B126" s="52" t="str">
        <f t="shared" si="4"/>
        <v>jue</v>
      </c>
      <c r="C126" s="47">
        <v>135.44999999999999</v>
      </c>
      <c r="D126" s="47">
        <v>353.65</v>
      </c>
      <c r="E126" s="47">
        <v>541.20000000000005</v>
      </c>
      <c r="F126" s="48">
        <f t="shared" si="5"/>
        <v>1030.3</v>
      </c>
      <c r="G126" s="47"/>
      <c r="H126" s="53"/>
      <c r="I126" s="54"/>
    </row>
    <row r="127" spans="1:9" ht="15.75" customHeight="1">
      <c r="A127" s="63">
        <v>45919</v>
      </c>
      <c r="B127" s="52" t="str">
        <f t="shared" si="4"/>
        <v>vie</v>
      </c>
      <c r="C127" s="47">
        <v>152</v>
      </c>
      <c r="D127" s="47">
        <v>371.95</v>
      </c>
      <c r="E127" s="47">
        <v>1579.2</v>
      </c>
      <c r="F127" s="48">
        <f t="shared" si="5"/>
        <v>2103.15</v>
      </c>
      <c r="G127" s="47"/>
      <c r="H127" s="53"/>
      <c r="I127" s="54"/>
    </row>
    <row r="128" spans="1:9" ht="15.75" customHeight="1">
      <c r="A128" s="63">
        <v>45920</v>
      </c>
      <c r="B128" s="52" t="str">
        <f t="shared" si="4"/>
        <v>sáb</v>
      </c>
      <c r="C128" s="47">
        <v>310.64999999999998</v>
      </c>
      <c r="D128" s="47">
        <v>645.04999999999995</v>
      </c>
      <c r="E128" s="47">
        <v>703</v>
      </c>
      <c r="F128" s="48">
        <f t="shared" si="5"/>
        <v>1658.6999999999998</v>
      </c>
      <c r="G128" s="47"/>
      <c r="H128" s="53"/>
      <c r="I128" s="54"/>
    </row>
    <row r="129" spans="1:9" ht="15.75" customHeight="1">
      <c r="A129" s="63">
        <v>45921</v>
      </c>
      <c r="B129" s="52" t="str">
        <f t="shared" si="4"/>
        <v>dom</v>
      </c>
      <c r="C129" s="47">
        <v>236.6</v>
      </c>
      <c r="D129" s="47">
        <v>395.4</v>
      </c>
      <c r="E129" s="47">
        <v>197.8</v>
      </c>
      <c r="F129" s="48">
        <f t="shared" si="5"/>
        <v>829.8</v>
      </c>
      <c r="G129" s="47"/>
      <c r="H129" s="53"/>
      <c r="I129" s="54"/>
    </row>
    <row r="130" spans="1:9" ht="15.75" customHeight="1">
      <c r="A130" s="63">
        <v>45924</v>
      </c>
      <c r="B130" s="52" t="str">
        <f t="shared" si="4"/>
        <v>mié</v>
      </c>
      <c r="C130" s="47">
        <v>230.4</v>
      </c>
      <c r="D130" s="47">
        <v>877.65</v>
      </c>
      <c r="E130" s="47">
        <v>233.25</v>
      </c>
      <c r="F130" s="48">
        <f t="shared" si="5"/>
        <v>1341.3</v>
      </c>
      <c r="G130" s="47"/>
      <c r="H130" s="53"/>
      <c r="I130" s="54"/>
    </row>
    <row r="131" spans="1:9" ht="15.75" customHeight="1">
      <c r="A131" s="63">
        <v>45925</v>
      </c>
      <c r="B131" s="52" t="str">
        <f t="shared" si="4"/>
        <v>jue</v>
      </c>
      <c r="C131" s="47">
        <v>89.6</v>
      </c>
      <c r="D131" s="47">
        <v>336</v>
      </c>
      <c r="E131" s="47">
        <v>480.8</v>
      </c>
      <c r="F131" s="48">
        <f t="shared" si="5"/>
        <v>906.40000000000009</v>
      </c>
      <c r="G131" s="47"/>
      <c r="H131" s="53"/>
      <c r="I131" s="54"/>
    </row>
    <row r="132" spans="1:9" ht="15.75" customHeight="1">
      <c r="A132" s="63">
        <v>45926</v>
      </c>
      <c r="B132" s="52" t="str">
        <f t="shared" ref="B132:B195" si="6">TEXT($A132,"ddd")</f>
        <v>vie</v>
      </c>
      <c r="C132" s="47">
        <v>82.95</v>
      </c>
      <c r="D132" s="47">
        <v>220.25</v>
      </c>
      <c r="E132" s="47">
        <v>301.85000000000002</v>
      </c>
      <c r="F132" s="48">
        <f t="shared" ref="F132:F195" si="7">SUM(C132:E132)</f>
        <v>605.04999999999995</v>
      </c>
      <c r="G132" s="47"/>
      <c r="H132" s="53"/>
      <c r="I132" s="54"/>
    </row>
    <row r="133" spans="1:9" ht="15.75" customHeight="1">
      <c r="A133" s="63">
        <v>45927</v>
      </c>
      <c r="B133" s="52" t="str">
        <f t="shared" si="6"/>
        <v>sáb</v>
      </c>
      <c r="C133" s="47">
        <v>105.8</v>
      </c>
      <c r="D133" s="47">
        <v>875.95</v>
      </c>
      <c r="E133" s="47">
        <v>831.85</v>
      </c>
      <c r="F133" s="48">
        <f t="shared" si="7"/>
        <v>1813.6</v>
      </c>
      <c r="G133" s="47"/>
      <c r="H133" s="53"/>
      <c r="I133" s="54"/>
    </row>
    <row r="134" spans="1:9" ht="15.75" customHeight="1">
      <c r="A134" s="63">
        <v>45928</v>
      </c>
      <c r="B134" s="52" t="str">
        <f t="shared" si="6"/>
        <v>dom</v>
      </c>
      <c r="C134" s="47">
        <v>269.8</v>
      </c>
      <c r="D134" s="47">
        <v>1266.45</v>
      </c>
      <c r="E134" s="47">
        <v>282.64999999999998</v>
      </c>
      <c r="F134" s="48">
        <f t="shared" si="7"/>
        <v>1818.9</v>
      </c>
      <c r="G134" s="47"/>
      <c r="H134" s="53"/>
      <c r="I134" s="54"/>
    </row>
    <row r="135" spans="1:9" ht="15.75" customHeight="1">
      <c r="A135" s="63">
        <v>45931</v>
      </c>
      <c r="B135" s="52" t="str">
        <f t="shared" si="6"/>
        <v>mié</v>
      </c>
      <c r="C135" s="47">
        <v>152.80000000000001</v>
      </c>
      <c r="D135" s="47">
        <v>440.65</v>
      </c>
      <c r="E135" s="47">
        <v>284.39999999999998</v>
      </c>
      <c r="F135" s="48">
        <f t="shared" si="7"/>
        <v>877.85</v>
      </c>
      <c r="G135" s="47"/>
      <c r="H135" s="53"/>
      <c r="I135" s="54"/>
    </row>
    <row r="136" spans="1:9" ht="15.75" customHeight="1">
      <c r="A136" s="63">
        <v>45932</v>
      </c>
      <c r="B136" s="52" t="str">
        <f t="shared" si="6"/>
        <v>jue</v>
      </c>
      <c r="C136" s="47">
        <v>113.8</v>
      </c>
      <c r="D136" s="47">
        <v>334.65</v>
      </c>
      <c r="E136" s="47">
        <v>126</v>
      </c>
      <c r="F136" s="48">
        <f t="shared" si="7"/>
        <v>574.45000000000005</v>
      </c>
      <c r="G136" s="47"/>
      <c r="H136" s="53"/>
      <c r="I136" s="54"/>
    </row>
    <row r="137" spans="1:9" ht="15.75" customHeight="1">
      <c r="A137" s="63">
        <v>45933</v>
      </c>
      <c r="B137" s="52" t="str">
        <f t="shared" si="6"/>
        <v>vie</v>
      </c>
      <c r="C137" s="47">
        <v>119.55</v>
      </c>
      <c r="D137" s="47">
        <v>599.11</v>
      </c>
      <c r="E137" s="47">
        <v>1117.4000000000001</v>
      </c>
      <c r="F137" s="48">
        <f t="shared" si="7"/>
        <v>1836.06</v>
      </c>
      <c r="G137" s="47"/>
      <c r="H137" s="53"/>
      <c r="I137" s="54"/>
    </row>
    <row r="138" spans="1:9" ht="15.75" customHeight="1">
      <c r="A138" s="63">
        <v>45934</v>
      </c>
      <c r="B138" s="52" t="str">
        <f t="shared" si="6"/>
        <v>sáb</v>
      </c>
      <c r="C138" s="47">
        <v>179.35</v>
      </c>
      <c r="D138" s="47">
        <v>838.05</v>
      </c>
      <c r="E138" s="47">
        <v>969.5</v>
      </c>
      <c r="F138" s="48">
        <f t="shared" si="7"/>
        <v>1986.9</v>
      </c>
      <c r="G138" s="47"/>
      <c r="H138" s="53"/>
      <c r="I138" s="54"/>
    </row>
    <row r="139" spans="1:9" ht="15.75" customHeight="1">
      <c r="A139" s="63">
        <v>45935</v>
      </c>
      <c r="B139" s="52" t="str">
        <f t="shared" si="6"/>
        <v>dom</v>
      </c>
      <c r="C139" s="47">
        <v>311.05</v>
      </c>
      <c r="D139" s="47">
        <v>1515.45</v>
      </c>
      <c r="E139" s="47">
        <v>279.75</v>
      </c>
      <c r="F139" s="48">
        <f t="shared" si="7"/>
        <v>2106.25</v>
      </c>
      <c r="G139" s="47"/>
      <c r="H139" s="53"/>
      <c r="I139" s="54"/>
    </row>
    <row r="140" spans="1:9" ht="15.75" customHeight="1">
      <c r="A140" s="63">
        <v>45938</v>
      </c>
      <c r="B140" s="52" t="str">
        <f t="shared" si="6"/>
        <v>mié</v>
      </c>
      <c r="C140" s="47">
        <v>258</v>
      </c>
      <c r="D140" s="47">
        <v>197.95</v>
      </c>
      <c r="E140" s="47">
        <v>447.45</v>
      </c>
      <c r="F140" s="48">
        <f t="shared" si="7"/>
        <v>903.4</v>
      </c>
      <c r="G140" s="47"/>
      <c r="H140" s="53"/>
      <c r="I140" s="54"/>
    </row>
    <row r="141" spans="1:9" ht="15.75" customHeight="1">
      <c r="A141" s="63">
        <v>45939</v>
      </c>
      <c r="B141" s="52" t="str">
        <f t="shared" si="6"/>
        <v>jue</v>
      </c>
      <c r="C141" s="47">
        <v>122.45</v>
      </c>
      <c r="D141" s="47">
        <v>531.20000000000005</v>
      </c>
      <c r="E141" s="47">
        <v>224</v>
      </c>
      <c r="F141" s="48">
        <f t="shared" si="7"/>
        <v>877.65000000000009</v>
      </c>
      <c r="G141" s="47"/>
      <c r="H141" s="53"/>
      <c r="I141" s="54"/>
    </row>
    <row r="142" spans="1:9" ht="15.75" customHeight="1">
      <c r="A142" s="63">
        <v>45940</v>
      </c>
      <c r="B142" s="52" t="str">
        <f t="shared" si="6"/>
        <v>vie</v>
      </c>
      <c r="C142" s="47">
        <v>156.85</v>
      </c>
      <c r="D142" s="47">
        <v>442.8</v>
      </c>
      <c r="E142" s="47">
        <v>1619.55</v>
      </c>
      <c r="F142" s="48">
        <f t="shared" si="7"/>
        <v>2219.1999999999998</v>
      </c>
      <c r="G142" s="47"/>
      <c r="H142" s="53"/>
      <c r="I142" s="54"/>
    </row>
    <row r="143" spans="1:9" ht="15.75" customHeight="1">
      <c r="A143" s="63">
        <v>45941</v>
      </c>
      <c r="B143" s="52" t="str">
        <f t="shared" si="6"/>
        <v>sáb</v>
      </c>
      <c r="C143" s="47">
        <v>369.4</v>
      </c>
      <c r="D143" s="47">
        <v>1297.05</v>
      </c>
      <c r="E143" s="47">
        <v>3349.4</v>
      </c>
      <c r="F143" s="48">
        <f t="shared" si="7"/>
        <v>5015.8500000000004</v>
      </c>
      <c r="G143" s="47"/>
      <c r="H143" s="53"/>
      <c r="I143" s="54"/>
    </row>
    <row r="144" spans="1:9" ht="15.75" customHeight="1">
      <c r="A144" s="63">
        <v>45942</v>
      </c>
      <c r="B144" s="52" t="str">
        <f t="shared" si="6"/>
        <v>dom</v>
      </c>
      <c r="C144" s="47">
        <v>361.4</v>
      </c>
      <c r="D144" s="47">
        <v>1628.3</v>
      </c>
      <c r="E144" s="47">
        <v>290</v>
      </c>
      <c r="F144" s="48">
        <f t="shared" si="7"/>
        <v>2279.6999999999998</v>
      </c>
      <c r="G144" s="47"/>
      <c r="H144" s="53"/>
      <c r="I144" s="54"/>
    </row>
    <row r="145" spans="1:9" ht="15.75" customHeight="1">
      <c r="A145" s="63">
        <v>45945</v>
      </c>
      <c r="B145" s="52" t="str">
        <f t="shared" si="6"/>
        <v>mié</v>
      </c>
      <c r="C145" s="47">
        <v>179.2</v>
      </c>
      <c r="D145" s="47">
        <v>481.02</v>
      </c>
      <c r="E145" s="47">
        <v>439.75</v>
      </c>
      <c r="F145" s="48">
        <f t="shared" si="7"/>
        <v>1099.97</v>
      </c>
      <c r="G145" s="47"/>
      <c r="H145" s="53"/>
      <c r="I145" s="54"/>
    </row>
    <row r="146" spans="1:9" ht="15.75" customHeight="1">
      <c r="A146" s="63">
        <v>45946</v>
      </c>
      <c r="B146" s="52" t="str">
        <f t="shared" si="6"/>
        <v>jue</v>
      </c>
      <c r="C146" s="47">
        <v>228.75</v>
      </c>
      <c r="D146" s="47">
        <v>353.3</v>
      </c>
      <c r="E146" s="47">
        <v>127.3</v>
      </c>
      <c r="F146" s="48">
        <f t="shared" si="7"/>
        <v>709.34999999999991</v>
      </c>
      <c r="G146" s="47"/>
      <c r="H146" s="53"/>
      <c r="I146" s="54"/>
    </row>
    <row r="147" spans="1:9" ht="15.75" customHeight="1">
      <c r="A147" s="63">
        <v>45947</v>
      </c>
      <c r="B147" s="52" t="str">
        <f t="shared" si="6"/>
        <v>vie</v>
      </c>
      <c r="C147" s="47">
        <v>124.05</v>
      </c>
      <c r="D147" s="47">
        <v>388.3</v>
      </c>
      <c r="E147" s="47">
        <v>889.75</v>
      </c>
      <c r="F147" s="48">
        <f t="shared" si="7"/>
        <v>1402.1</v>
      </c>
      <c r="G147" s="47"/>
      <c r="H147" s="53"/>
      <c r="I147" s="54"/>
    </row>
    <row r="148" spans="1:9" ht="15.75" customHeight="1">
      <c r="A148" s="63">
        <v>45948</v>
      </c>
      <c r="B148" s="52" t="str">
        <f t="shared" si="6"/>
        <v>sáb</v>
      </c>
      <c r="C148" s="47">
        <v>397.35</v>
      </c>
      <c r="D148" s="47">
        <v>761.25</v>
      </c>
      <c r="E148" s="47">
        <v>1442.6</v>
      </c>
      <c r="F148" s="48">
        <f t="shared" si="7"/>
        <v>2601.1999999999998</v>
      </c>
      <c r="G148" s="47"/>
      <c r="H148" s="53"/>
      <c r="I148" s="54"/>
    </row>
    <row r="149" spans="1:9" ht="15.75" customHeight="1">
      <c r="A149" s="63">
        <v>45949</v>
      </c>
      <c r="B149" s="52" t="str">
        <f t="shared" si="6"/>
        <v>dom</v>
      </c>
      <c r="C149" s="47">
        <v>292.89999999999998</v>
      </c>
      <c r="D149" s="47">
        <v>1459.35</v>
      </c>
      <c r="E149" s="47">
        <v>358.35</v>
      </c>
      <c r="F149" s="48">
        <f t="shared" si="7"/>
        <v>2110.6</v>
      </c>
      <c r="G149" s="47"/>
      <c r="H149" s="53"/>
      <c r="I149" s="54"/>
    </row>
    <row r="150" spans="1:9" ht="15.75" customHeight="1">
      <c r="A150" s="63">
        <v>45952</v>
      </c>
      <c r="B150" s="52" t="str">
        <f t="shared" si="6"/>
        <v>mié</v>
      </c>
      <c r="C150" s="47">
        <v>230.05</v>
      </c>
      <c r="D150" s="47">
        <v>126.65</v>
      </c>
      <c r="E150" s="47">
        <v>344.5</v>
      </c>
      <c r="F150" s="48">
        <f t="shared" si="7"/>
        <v>701.2</v>
      </c>
      <c r="G150" s="47"/>
      <c r="H150" s="53"/>
      <c r="I150" s="54"/>
    </row>
    <row r="151" spans="1:9" ht="15.75" customHeight="1">
      <c r="A151" s="63">
        <v>45953</v>
      </c>
      <c r="B151" s="52" t="str">
        <f t="shared" si="6"/>
        <v>jue</v>
      </c>
      <c r="C151" s="47">
        <v>144</v>
      </c>
      <c r="D151" s="47">
        <v>122.25</v>
      </c>
      <c r="E151" s="47">
        <v>460.9</v>
      </c>
      <c r="F151" s="48">
        <f t="shared" si="7"/>
        <v>727.15</v>
      </c>
      <c r="G151" s="47"/>
      <c r="H151" s="53"/>
      <c r="I151" s="54"/>
    </row>
    <row r="152" spans="1:9" ht="15.75" customHeight="1">
      <c r="A152" s="63">
        <v>45954</v>
      </c>
      <c r="B152" s="52" t="str">
        <f t="shared" si="6"/>
        <v>vie</v>
      </c>
      <c r="C152" s="47">
        <v>72.150000000000006</v>
      </c>
      <c r="D152" s="47">
        <v>216.45</v>
      </c>
      <c r="E152" s="47">
        <v>994.75</v>
      </c>
      <c r="F152" s="48">
        <f t="shared" si="7"/>
        <v>1283.3499999999999</v>
      </c>
      <c r="G152" s="47"/>
      <c r="H152" s="53"/>
      <c r="I152" s="54"/>
    </row>
    <row r="153" spans="1:9" ht="15.75" customHeight="1">
      <c r="A153" s="63">
        <v>45955</v>
      </c>
      <c r="B153" s="52" t="str">
        <f t="shared" si="6"/>
        <v>sáb</v>
      </c>
      <c r="C153" s="47">
        <v>127.65</v>
      </c>
      <c r="D153" s="47">
        <v>789.75</v>
      </c>
      <c r="E153" s="47">
        <v>1018.55</v>
      </c>
      <c r="F153" s="48">
        <f t="shared" si="7"/>
        <v>1935.9499999999998</v>
      </c>
      <c r="G153" s="47"/>
      <c r="H153" s="53"/>
      <c r="I153" s="54"/>
    </row>
    <row r="154" spans="1:9" ht="15.75" customHeight="1">
      <c r="A154" s="63">
        <v>45956</v>
      </c>
      <c r="B154" s="52" t="str">
        <f t="shared" si="6"/>
        <v>dom</v>
      </c>
      <c r="C154" s="47">
        <v>241.9</v>
      </c>
      <c r="D154" s="47">
        <v>1393.65</v>
      </c>
      <c r="E154" s="47">
        <v>0</v>
      </c>
      <c r="F154" s="48">
        <f t="shared" si="7"/>
        <v>1635.5500000000002</v>
      </c>
      <c r="G154" s="47"/>
      <c r="H154" s="53"/>
      <c r="I154" s="54"/>
    </row>
    <row r="155" spans="1:9" ht="15.75" customHeight="1">
      <c r="A155" s="63">
        <v>45959</v>
      </c>
      <c r="B155" s="52" t="str">
        <f t="shared" si="6"/>
        <v>mié</v>
      </c>
      <c r="C155" s="47">
        <v>242.95</v>
      </c>
      <c r="D155" s="47">
        <v>273.85000000000002</v>
      </c>
      <c r="E155" s="47">
        <v>486.4</v>
      </c>
      <c r="F155" s="48">
        <f t="shared" si="7"/>
        <v>1003.1999999999999</v>
      </c>
      <c r="G155" s="47"/>
      <c r="H155" s="53"/>
      <c r="I155" s="54"/>
    </row>
    <row r="156" spans="1:9" ht="15.75" customHeight="1">
      <c r="A156" s="63">
        <v>45960</v>
      </c>
      <c r="B156" s="52" t="str">
        <f t="shared" si="6"/>
        <v>jue</v>
      </c>
      <c r="C156" s="47">
        <v>141.15</v>
      </c>
      <c r="D156" s="47">
        <v>511.6</v>
      </c>
      <c r="E156" s="47">
        <v>491.73</v>
      </c>
      <c r="F156" s="48">
        <f t="shared" si="7"/>
        <v>1144.48</v>
      </c>
      <c r="G156" s="47"/>
      <c r="H156" s="53"/>
      <c r="I156" s="54"/>
    </row>
    <row r="157" spans="1:9" ht="15.75" customHeight="1">
      <c r="A157" s="63">
        <v>45961</v>
      </c>
      <c r="B157" s="52" t="str">
        <f t="shared" si="6"/>
        <v>vie</v>
      </c>
      <c r="C157" s="47">
        <v>210.35</v>
      </c>
      <c r="D157" s="47">
        <v>473.15</v>
      </c>
      <c r="E157" s="47">
        <v>1478.9</v>
      </c>
      <c r="F157" s="48">
        <f t="shared" si="7"/>
        <v>2162.4</v>
      </c>
      <c r="G157" s="47"/>
      <c r="H157" s="53"/>
      <c r="I157" s="54"/>
    </row>
    <row r="158" spans="1:9" ht="15.75" customHeight="1">
      <c r="A158" s="63">
        <v>45962</v>
      </c>
      <c r="B158" s="52" t="str">
        <f t="shared" si="6"/>
        <v>sáb</v>
      </c>
      <c r="C158" s="47">
        <v>271.5</v>
      </c>
      <c r="D158" s="47">
        <v>1043.05</v>
      </c>
      <c r="E158" s="47">
        <v>1211.95</v>
      </c>
      <c r="F158" s="48">
        <f t="shared" si="7"/>
        <v>2526.5</v>
      </c>
      <c r="G158" s="47"/>
      <c r="H158" s="53"/>
      <c r="I158" s="54"/>
    </row>
    <row r="159" spans="1:9" ht="15.75" customHeight="1">
      <c r="A159" s="63">
        <v>45963</v>
      </c>
      <c r="B159" s="52" t="str">
        <f t="shared" si="6"/>
        <v>dom</v>
      </c>
      <c r="C159" s="47">
        <v>213.95</v>
      </c>
      <c r="D159" s="47">
        <v>1720.35</v>
      </c>
      <c r="E159" s="47">
        <v>0</v>
      </c>
      <c r="F159" s="48">
        <f t="shared" si="7"/>
        <v>1934.3</v>
      </c>
      <c r="G159" s="47"/>
      <c r="H159" s="53"/>
      <c r="I159" s="54"/>
    </row>
    <row r="160" spans="1:9" ht="15.75" customHeight="1">
      <c r="A160" s="63">
        <v>45966</v>
      </c>
      <c r="B160" s="52" t="str">
        <f t="shared" si="6"/>
        <v>mié</v>
      </c>
      <c r="C160" s="47">
        <v>225.7</v>
      </c>
      <c r="D160" s="47">
        <v>251.85</v>
      </c>
      <c r="E160" s="47">
        <v>323.45</v>
      </c>
      <c r="F160" s="48">
        <f t="shared" si="7"/>
        <v>801</v>
      </c>
      <c r="G160" s="47"/>
      <c r="H160" s="53"/>
      <c r="I160" s="54"/>
    </row>
    <row r="161" spans="1:9" ht="15.75" customHeight="1">
      <c r="A161" s="63">
        <v>45967</v>
      </c>
      <c r="B161" s="52" t="str">
        <f t="shared" si="6"/>
        <v>jue</v>
      </c>
      <c r="C161" s="47">
        <v>114.9</v>
      </c>
      <c r="D161" s="47">
        <v>185.3</v>
      </c>
      <c r="E161" s="47">
        <v>160.9</v>
      </c>
      <c r="F161" s="48">
        <f t="shared" si="7"/>
        <v>461.1</v>
      </c>
      <c r="G161" s="47"/>
      <c r="H161" s="53"/>
      <c r="I161" s="54"/>
    </row>
    <row r="162" spans="1:9" ht="15.75" customHeight="1">
      <c r="A162" s="63">
        <v>45968</v>
      </c>
      <c r="B162" s="52" t="str">
        <f t="shared" si="6"/>
        <v>vie</v>
      </c>
      <c r="C162" s="47">
        <v>93.05</v>
      </c>
      <c r="D162" s="47">
        <v>541.79999999999995</v>
      </c>
      <c r="E162" s="47">
        <v>984.76</v>
      </c>
      <c r="F162" s="48">
        <f t="shared" si="7"/>
        <v>1619.61</v>
      </c>
      <c r="G162" s="47"/>
      <c r="H162" s="53"/>
      <c r="I162" s="54"/>
    </row>
    <row r="163" spans="1:9" ht="15.75" customHeight="1">
      <c r="A163" s="63">
        <v>45969</v>
      </c>
      <c r="B163" s="52" t="str">
        <f t="shared" si="6"/>
        <v>sáb</v>
      </c>
      <c r="C163" s="47">
        <v>213.15</v>
      </c>
      <c r="D163" s="47">
        <v>1103.75</v>
      </c>
      <c r="E163" s="47">
        <v>953.25</v>
      </c>
      <c r="F163" s="48">
        <f t="shared" si="7"/>
        <v>2270.15</v>
      </c>
      <c r="G163" s="47"/>
      <c r="H163" s="53"/>
      <c r="I163" s="54"/>
    </row>
    <row r="164" spans="1:9" ht="15.75" customHeight="1">
      <c r="A164" s="63">
        <v>45970</v>
      </c>
      <c r="B164" s="52" t="str">
        <f t="shared" si="6"/>
        <v>dom</v>
      </c>
      <c r="C164" s="47">
        <v>127.2</v>
      </c>
      <c r="D164" s="47">
        <v>870.25</v>
      </c>
      <c r="E164" s="47">
        <v>0</v>
      </c>
      <c r="F164" s="48">
        <f t="shared" si="7"/>
        <v>997.45</v>
      </c>
      <c r="G164" s="47"/>
      <c r="H164" s="53"/>
      <c r="I164" s="54"/>
    </row>
    <row r="165" spans="1:9" ht="15.75" customHeight="1">
      <c r="A165" s="63">
        <v>45973</v>
      </c>
      <c r="B165" s="52" t="str">
        <f t="shared" si="6"/>
        <v>mié</v>
      </c>
      <c r="C165" s="47"/>
      <c r="D165" s="47"/>
      <c r="E165" s="47"/>
      <c r="F165" s="48">
        <f t="shared" si="7"/>
        <v>0</v>
      </c>
      <c r="G165" s="47"/>
      <c r="H165" s="53"/>
      <c r="I165" s="54"/>
    </row>
    <row r="166" spans="1:9" ht="15.75" customHeight="1">
      <c r="A166" s="63">
        <v>45974</v>
      </c>
      <c r="B166" s="52" t="str">
        <f t="shared" si="6"/>
        <v>jue</v>
      </c>
      <c r="C166" s="47"/>
      <c r="D166" s="47"/>
      <c r="E166" s="47"/>
      <c r="F166" s="48">
        <f t="shared" si="7"/>
        <v>0</v>
      </c>
      <c r="G166" s="47"/>
      <c r="H166" s="53"/>
      <c r="I166" s="54"/>
    </row>
    <row r="167" spans="1:9" ht="15.75" customHeight="1">
      <c r="A167" s="63">
        <v>45975</v>
      </c>
      <c r="B167" s="52" t="str">
        <f t="shared" si="6"/>
        <v>vie</v>
      </c>
      <c r="C167" s="47"/>
      <c r="D167" s="47"/>
      <c r="E167" s="47"/>
      <c r="F167" s="48">
        <f t="shared" si="7"/>
        <v>0</v>
      </c>
      <c r="G167" s="47"/>
      <c r="H167" s="53"/>
      <c r="I167" s="54"/>
    </row>
    <row r="168" spans="1:9" ht="15.75" customHeight="1">
      <c r="A168" s="63">
        <v>45976</v>
      </c>
      <c r="B168" s="52" t="str">
        <f t="shared" si="6"/>
        <v>sáb</v>
      </c>
      <c r="C168" s="47"/>
      <c r="D168" s="47"/>
      <c r="E168" s="47"/>
      <c r="F168" s="48">
        <f t="shared" si="7"/>
        <v>0</v>
      </c>
      <c r="G168" s="47"/>
      <c r="H168" s="53"/>
      <c r="I168" s="54"/>
    </row>
    <row r="169" spans="1:9" ht="15.75" customHeight="1">
      <c r="A169" s="63">
        <v>45977</v>
      </c>
      <c r="B169" s="52" t="str">
        <f t="shared" si="6"/>
        <v>dom</v>
      </c>
      <c r="C169" s="47"/>
      <c r="D169" s="47"/>
      <c r="E169" s="47"/>
      <c r="F169" s="48">
        <f t="shared" si="7"/>
        <v>0</v>
      </c>
      <c r="G169" s="47"/>
      <c r="H169" s="53"/>
      <c r="I169" s="54"/>
    </row>
    <row r="170" spans="1:9" ht="15.75" customHeight="1">
      <c r="A170" s="63">
        <v>45980</v>
      </c>
      <c r="B170" s="52" t="str">
        <f t="shared" si="6"/>
        <v>mié</v>
      </c>
      <c r="C170" s="47"/>
      <c r="D170" s="47"/>
      <c r="E170" s="47"/>
      <c r="F170" s="48">
        <f t="shared" si="7"/>
        <v>0</v>
      </c>
      <c r="G170" s="47"/>
      <c r="H170" s="53"/>
      <c r="I170" s="54"/>
    </row>
    <row r="171" spans="1:9" ht="15.75" customHeight="1">
      <c r="A171" s="63">
        <v>45981</v>
      </c>
      <c r="B171" s="52" t="str">
        <f t="shared" si="6"/>
        <v>jue</v>
      </c>
      <c r="C171" s="47"/>
      <c r="D171" s="47"/>
      <c r="E171" s="47"/>
      <c r="F171" s="48">
        <f t="shared" si="7"/>
        <v>0</v>
      </c>
      <c r="G171" s="47"/>
      <c r="H171" s="53"/>
      <c r="I171" s="54"/>
    </row>
    <row r="172" spans="1:9" ht="15.75" customHeight="1">
      <c r="A172" s="63">
        <v>45982</v>
      </c>
      <c r="B172" s="52" t="str">
        <f t="shared" si="6"/>
        <v>vie</v>
      </c>
      <c r="C172" s="47"/>
      <c r="D172" s="47"/>
      <c r="E172" s="47"/>
      <c r="F172" s="48">
        <f t="shared" si="7"/>
        <v>0</v>
      </c>
      <c r="G172" s="47"/>
      <c r="H172" s="53"/>
      <c r="I172" s="54"/>
    </row>
    <row r="173" spans="1:9" ht="15.75" customHeight="1">
      <c r="A173" s="63">
        <v>45983</v>
      </c>
      <c r="B173" s="52" t="str">
        <f t="shared" si="6"/>
        <v>sáb</v>
      </c>
      <c r="C173" s="47"/>
      <c r="D173" s="47"/>
      <c r="E173" s="47"/>
      <c r="F173" s="48">
        <f t="shared" si="7"/>
        <v>0</v>
      </c>
      <c r="G173" s="47"/>
      <c r="H173" s="53"/>
      <c r="I173" s="54"/>
    </row>
    <row r="174" spans="1:9" ht="15.75" customHeight="1">
      <c r="A174" s="63">
        <v>45984</v>
      </c>
      <c r="B174" s="52" t="str">
        <f t="shared" si="6"/>
        <v>dom</v>
      </c>
      <c r="C174" s="47"/>
      <c r="D174" s="47"/>
      <c r="E174" s="47"/>
      <c r="F174" s="48">
        <f t="shared" si="7"/>
        <v>0</v>
      </c>
      <c r="G174" s="47"/>
      <c r="H174" s="53"/>
      <c r="I174" s="54"/>
    </row>
    <row r="175" spans="1:9" ht="15.75" customHeight="1">
      <c r="A175" s="63">
        <v>45987</v>
      </c>
      <c r="B175" s="52" t="str">
        <f t="shared" si="6"/>
        <v>mié</v>
      </c>
      <c r="C175" s="47">
        <v>182.2</v>
      </c>
      <c r="D175" s="47">
        <v>301.95</v>
      </c>
      <c r="E175" s="47">
        <v>272.14999999999998</v>
      </c>
      <c r="F175" s="48">
        <f t="shared" si="7"/>
        <v>756.3</v>
      </c>
      <c r="G175" s="47"/>
      <c r="H175" s="53"/>
      <c r="I175" s="54"/>
    </row>
    <row r="176" spans="1:9" ht="15.75" customHeight="1">
      <c r="A176" s="63">
        <v>45988</v>
      </c>
      <c r="B176" s="52" t="str">
        <f t="shared" si="6"/>
        <v>jue</v>
      </c>
      <c r="C176" s="47">
        <v>111.95</v>
      </c>
      <c r="D176" s="47">
        <v>326.75</v>
      </c>
      <c r="E176" s="47">
        <v>383.6</v>
      </c>
      <c r="F176" s="48">
        <f t="shared" si="7"/>
        <v>822.3</v>
      </c>
      <c r="G176" s="47"/>
      <c r="H176" s="53"/>
      <c r="I176" s="54"/>
    </row>
    <row r="177" spans="1:9" ht="15.75" customHeight="1">
      <c r="A177" s="63">
        <v>45989</v>
      </c>
      <c r="B177" s="52" t="str">
        <f t="shared" si="6"/>
        <v>vie</v>
      </c>
      <c r="C177" s="47">
        <v>388.95</v>
      </c>
      <c r="D177" s="47">
        <v>1998.5</v>
      </c>
      <c r="E177" s="47">
        <v>2291.5500000000002</v>
      </c>
      <c r="F177" s="48">
        <f t="shared" si="7"/>
        <v>4679</v>
      </c>
      <c r="G177" s="47"/>
      <c r="H177" s="53"/>
      <c r="I177" s="54"/>
    </row>
    <row r="178" spans="1:9" ht="15.75" customHeight="1">
      <c r="A178" s="63">
        <v>45990</v>
      </c>
      <c r="B178" s="52" t="str">
        <f t="shared" si="6"/>
        <v>sáb</v>
      </c>
      <c r="C178" s="47">
        <v>93</v>
      </c>
      <c r="D178" s="47"/>
      <c r="E178" s="47"/>
      <c r="F178" s="48">
        <f t="shared" si="7"/>
        <v>93</v>
      </c>
      <c r="G178" s="47"/>
      <c r="H178" s="53"/>
      <c r="I178" s="54"/>
    </row>
    <row r="179" spans="1:9" ht="15.75" customHeight="1">
      <c r="A179" s="63">
        <v>45991</v>
      </c>
      <c r="B179" s="52" t="str">
        <f t="shared" si="6"/>
        <v>dom</v>
      </c>
      <c r="C179" s="47">
        <v>81.75</v>
      </c>
      <c r="D179" s="47">
        <v>1528</v>
      </c>
      <c r="E179" s="47">
        <v>0</v>
      </c>
      <c r="F179" s="48">
        <f t="shared" si="7"/>
        <v>1609.75</v>
      </c>
      <c r="G179" s="47"/>
      <c r="H179" s="53"/>
      <c r="I179" s="54"/>
    </row>
    <row r="180" spans="1:9" ht="15.75" customHeight="1">
      <c r="A180" s="63">
        <v>45994</v>
      </c>
      <c r="B180" s="52" t="str">
        <f t="shared" si="6"/>
        <v>mié</v>
      </c>
      <c r="C180" s="47">
        <v>115.65</v>
      </c>
      <c r="D180" s="47">
        <v>476.05</v>
      </c>
      <c r="E180" s="47">
        <v>109.75</v>
      </c>
      <c r="F180" s="48">
        <f t="shared" si="7"/>
        <v>701.45</v>
      </c>
      <c r="G180" s="47"/>
      <c r="H180" s="53"/>
      <c r="I180" s="54"/>
    </row>
    <row r="181" spans="1:9" ht="15.75" customHeight="1">
      <c r="A181" s="63">
        <v>45995</v>
      </c>
      <c r="B181" s="52" t="str">
        <f t="shared" si="6"/>
        <v>jue</v>
      </c>
      <c r="C181" s="47">
        <v>125.05</v>
      </c>
      <c r="D181" s="47">
        <v>400.1</v>
      </c>
      <c r="E181" s="47">
        <v>205.2</v>
      </c>
      <c r="F181" s="48">
        <f t="shared" si="7"/>
        <v>730.34999999999991</v>
      </c>
      <c r="G181" s="47"/>
      <c r="H181" s="53"/>
      <c r="I181" s="54"/>
    </row>
    <row r="182" spans="1:9" ht="15.75" customHeight="1">
      <c r="A182" s="63">
        <v>45996</v>
      </c>
      <c r="B182" s="52" t="str">
        <f t="shared" si="6"/>
        <v>vie</v>
      </c>
      <c r="C182" s="47">
        <v>128.65</v>
      </c>
      <c r="D182" s="47">
        <v>711.85</v>
      </c>
      <c r="E182" s="47">
        <v>1405.9</v>
      </c>
      <c r="F182" s="48">
        <f t="shared" si="7"/>
        <v>2246.4</v>
      </c>
      <c r="G182" s="47"/>
      <c r="H182" s="53"/>
      <c r="I182" s="54"/>
    </row>
    <row r="183" spans="1:9" ht="15.75" customHeight="1">
      <c r="A183" s="63">
        <v>45997</v>
      </c>
      <c r="B183" s="52" t="str">
        <f t="shared" si="6"/>
        <v>sáb</v>
      </c>
      <c r="C183" s="47">
        <v>278.95</v>
      </c>
      <c r="D183" s="47">
        <v>2638.15</v>
      </c>
      <c r="E183" s="47">
        <v>2426.25</v>
      </c>
      <c r="F183" s="48">
        <f t="shared" si="7"/>
        <v>5343.35</v>
      </c>
      <c r="G183" s="47"/>
      <c r="H183" s="53"/>
      <c r="I183" s="54"/>
    </row>
    <row r="184" spans="1:9" ht="15.75" customHeight="1">
      <c r="A184" s="63">
        <v>45998</v>
      </c>
      <c r="B184" s="52" t="str">
        <f t="shared" si="6"/>
        <v>dom</v>
      </c>
      <c r="C184" s="47">
        <v>377.8</v>
      </c>
      <c r="D184" s="47">
        <v>2942.4</v>
      </c>
      <c r="E184" s="47">
        <v>0</v>
      </c>
      <c r="F184" s="48">
        <f t="shared" si="7"/>
        <v>3320.2000000000003</v>
      </c>
      <c r="G184" s="47"/>
      <c r="H184" s="53"/>
      <c r="I184" s="54"/>
    </row>
    <row r="185" spans="1:9" ht="15.75" customHeight="1">
      <c r="A185" s="63">
        <v>46001</v>
      </c>
      <c r="B185" s="52" t="str">
        <f t="shared" si="6"/>
        <v>mié</v>
      </c>
      <c r="C185" s="47">
        <v>218</v>
      </c>
      <c r="D185" s="47">
        <v>281.7</v>
      </c>
      <c r="E185" s="47">
        <v>189.65</v>
      </c>
      <c r="F185" s="48">
        <f t="shared" si="7"/>
        <v>689.35</v>
      </c>
      <c r="G185" s="47"/>
      <c r="H185" s="53"/>
      <c r="I185" s="54"/>
    </row>
    <row r="186" spans="1:9" ht="15.75" customHeight="1">
      <c r="A186" s="63">
        <v>46002</v>
      </c>
      <c r="B186" s="52" t="str">
        <f t="shared" si="6"/>
        <v>jue</v>
      </c>
      <c r="C186" s="47">
        <v>121.15</v>
      </c>
      <c r="D186" s="47">
        <v>295.5</v>
      </c>
      <c r="E186" s="47">
        <v>430.05</v>
      </c>
      <c r="F186" s="48">
        <f t="shared" si="7"/>
        <v>846.7</v>
      </c>
      <c r="G186" s="47"/>
      <c r="H186" s="53"/>
      <c r="I186" s="54"/>
    </row>
    <row r="187" spans="1:9" ht="15.75" customHeight="1">
      <c r="A187" s="63">
        <v>46003</v>
      </c>
      <c r="B187" s="52" t="str">
        <f t="shared" si="6"/>
        <v>vie</v>
      </c>
      <c r="C187" s="47">
        <v>47.8</v>
      </c>
      <c r="D187" s="47">
        <v>426</v>
      </c>
      <c r="E187" s="47">
        <v>1047.2</v>
      </c>
      <c r="F187" s="48">
        <f t="shared" si="7"/>
        <v>1521</v>
      </c>
      <c r="G187" s="47"/>
      <c r="H187" s="53"/>
      <c r="I187" s="54"/>
    </row>
    <row r="188" spans="1:9" ht="15.75" customHeight="1">
      <c r="A188" s="63">
        <v>46004</v>
      </c>
      <c r="B188" s="52" t="str">
        <f t="shared" si="6"/>
        <v>sáb</v>
      </c>
      <c r="C188" s="47">
        <v>154.65</v>
      </c>
      <c r="D188" s="47">
        <v>611.29999999999995</v>
      </c>
      <c r="E188" s="47">
        <v>1819.95</v>
      </c>
      <c r="F188" s="48">
        <f t="shared" si="7"/>
        <v>2585.9</v>
      </c>
      <c r="G188" s="47"/>
      <c r="H188" s="53"/>
      <c r="I188" s="54"/>
    </row>
    <row r="189" spans="1:9" ht="15.75" customHeight="1">
      <c r="A189" s="63">
        <v>46005</v>
      </c>
      <c r="B189" s="52" t="str">
        <f t="shared" si="6"/>
        <v>dom</v>
      </c>
      <c r="C189" s="47">
        <v>200.65</v>
      </c>
      <c r="D189" s="47">
        <v>1084.95</v>
      </c>
      <c r="E189" s="47">
        <v>0</v>
      </c>
      <c r="F189" s="48">
        <f t="shared" si="7"/>
        <v>1285.6000000000001</v>
      </c>
      <c r="G189" s="47"/>
      <c r="H189" s="53"/>
      <c r="I189" s="54"/>
    </row>
    <row r="190" spans="1:9" ht="15.75" customHeight="1">
      <c r="A190" s="63">
        <v>46008</v>
      </c>
      <c r="B190" s="52" t="str">
        <f t="shared" si="6"/>
        <v>mié</v>
      </c>
      <c r="C190" s="47">
        <v>167.9</v>
      </c>
      <c r="D190" s="47">
        <v>386</v>
      </c>
      <c r="E190" s="47">
        <v>103.75</v>
      </c>
      <c r="F190" s="48">
        <f t="shared" si="7"/>
        <v>657.65</v>
      </c>
      <c r="G190" s="47"/>
      <c r="H190" s="53"/>
      <c r="I190" s="54"/>
    </row>
    <row r="191" spans="1:9" ht="15.75" customHeight="1">
      <c r="A191" s="63">
        <v>46009</v>
      </c>
      <c r="B191" s="52" t="str">
        <f t="shared" si="6"/>
        <v>jue</v>
      </c>
      <c r="C191" s="47">
        <v>112.7</v>
      </c>
      <c r="D191" s="47">
        <v>470.4</v>
      </c>
      <c r="E191" s="47">
        <v>446.65</v>
      </c>
      <c r="F191" s="48">
        <f t="shared" si="7"/>
        <v>1029.75</v>
      </c>
      <c r="G191" s="47"/>
      <c r="H191" s="53"/>
      <c r="I191" s="54"/>
    </row>
    <row r="192" spans="1:9" ht="15.75" customHeight="1">
      <c r="A192" s="63">
        <v>46010</v>
      </c>
      <c r="B192" s="52" t="str">
        <f t="shared" si="6"/>
        <v>vie</v>
      </c>
      <c r="C192" s="47">
        <v>88</v>
      </c>
      <c r="D192" s="47">
        <v>871.55</v>
      </c>
      <c r="E192" s="47">
        <v>0</v>
      </c>
      <c r="F192" s="48">
        <f t="shared" si="7"/>
        <v>959.55</v>
      </c>
      <c r="G192" s="47"/>
      <c r="H192" s="53"/>
      <c r="I192" s="54"/>
    </row>
    <row r="193" spans="1:9" ht="15.75" customHeight="1">
      <c r="A193" s="63">
        <v>46011</v>
      </c>
      <c r="B193" s="52" t="str">
        <f t="shared" si="6"/>
        <v>sáb</v>
      </c>
      <c r="C193" s="47">
        <v>0</v>
      </c>
      <c r="D193" s="47">
        <v>0</v>
      </c>
      <c r="E193" s="47">
        <v>0</v>
      </c>
      <c r="F193" s="48">
        <f t="shared" si="7"/>
        <v>0</v>
      </c>
      <c r="G193" s="47"/>
      <c r="H193" s="53"/>
      <c r="I193" s="54"/>
    </row>
    <row r="194" spans="1:9" ht="15.75" customHeight="1">
      <c r="A194" s="63">
        <v>46012</v>
      </c>
      <c r="B194" s="52" t="str">
        <f t="shared" si="6"/>
        <v>dom</v>
      </c>
      <c r="C194" s="47">
        <v>0</v>
      </c>
      <c r="D194" s="47">
        <v>0</v>
      </c>
      <c r="E194" s="47">
        <v>0</v>
      </c>
      <c r="F194" s="48">
        <f t="shared" si="7"/>
        <v>0</v>
      </c>
      <c r="G194" s="47"/>
      <c r="H194" s="53"/>
      <c r="I194" s="54"/>
    </row>
    <row r="195" spans="1:9" ht="15.75" customHeight="1">
      <c r="A195" s="63">
        <v>46015</v>
      </c>
      <c r="B195" s="52" t="str">
        <f t="shared" si="6"/>
        <v>mié</v>
      </c>
      <c r="C195" s="47"/>
      <c r="D195" s="47"/>
      <c r="E195" s="47"/>
      <c r="F195" s="48">
        <f t="shared" si="7"/>
        <v>0</v>
      </c>
      <c r="G195" s="47"/>
      <c r="H195" s="53"/>
      <c r="I195" s="54"/>
    </row>
    <row r="196" spans="1:9" ht="15.75" customHeight="1">
      <c r="A196" s="63">
        <v>46016</v>
      </c>
      <c r="B196" s="52" t="str">
        <f t="shared" ref="B196:B220" si="8">TEXT($A196,"ddd")</f>
        <v>jue</v>
      </c>
      <c r="C196" s="47"/>
      <c r="D196" s="47"/>
      <c r="E196" s="47"/>
      <c r="F196" s="48">
        <f t="shared" ref="F196:F220" si="9">SUM(C196:E196)</f>
        <v>0</v>
      </c>
      <c r="G196" s="47"/>
      <c r="H196" s="53"/>
      <c r="I196" s="54"/>
    </row>
    <row r="197" spans="1:9" ht="15.75" customHeight="1">
      <c r="A197" s="63">
        <v>46017</v>
      </c>
      <c r="B197" s="52" t="str">
        <f t="shared" si="8"/>
        <v>vie</v>
      </c>
      <c r="C197" s="47"/>
      <c r="D197" s="47"/>
      <c r="E197" s="47"/>
      <c r="F197" s="48">
        <f t="shared" si="9"/>
        <v>0</v>
      </c>
      <c r="G197" s="47"/>
      <c r="H197" s="53"/>
      <c r="I197" s="54"/>
    </row>
    <row r="198" spans="1:9" ht="15.75" customHeight="1">
      <c r="A198" s="63">
        <v>46018</v>
      </c>
      <c r="B198" s="52" t="str">
        <f t="shared" si="8"/>
        <v>sáb</v>
      </c>
      <c r="C198" s="47"/>
      <c r="D198" s="47"/>
      <c r="E198" s="47"/>
      <c r="F198" s="48">
        <f t="shared" si="9"/>
        <v>0</v>
      </c>
      <c r="G198" s="47"/>
      <c r="H198" s="53"/>
      <c r="I198" s="54"/>
    </row>
    <row r="199" spans="1:9" ht="15.75" customHeight="1">
      <c r="A199" s="63">
        <v>46019</v>
      </c>
      <c r="B199" s="52" t="str">
        <f t="shared" si="8"/>
        <v>dom</v>
      </c>
      <c r="C199" s="47"/>
      <c r="D199" s="47"/>
      <c r="E199" s="47"/>
      <c r="F199" s="48">
        <f t="shared" si="9"/>
        <v>0</v>
      </c>
      <c r="G199" s="47"/>
      <c r="H199" s="53"/>
      <c r="I199" s="54"/>
    </row>
    <row r="200" spans="1:9" ht="15.75" customHeight="1">
      <c r="A200" s="63">
        <v>46022</v>
      </c>
      <c r="B200" s="52" t="str">
        <f t="shared" si="8"/>
        <v>mié</v>
      </c>
      <c r="C200" s="47"/>
      <c r="D200" s="47"/>
      <c r="E200" s="47"/>
      <c r="F200" s="48">
        <f t="shared" si="9"/>
        <v>0</v>
      </c>
      <c r="G200" s="47"/>
      <c r="H200" s="53"/>
      <c r="I200" s="54"/>
    </row>
    <row r="201" spans="1:9" ht="15.75" customHeight="1">
      <c r="A201" s="62">
        <v>45660</v>
      </c>
      <c r="B201" s="46" t="str">
        <f t="shared" si="8"/>
        <v>vie</v>
      </c>
      <c r="C201" s="47">
        <v>282.14999999999998</v>
      </c>
      <c r="D201" s="47">
        <v>1480.2</v>
      </c>
      <c r="E201" s="47">
        <v>1296.1500000000001</v>
      </c>
      <c r="F201" s="48">
        <f t="shared" si="9"/>
        <v>3058.5</v>
      </c>
      <c r="G201" s="47"/>
      <c r="H201" s="53"/>
      <c r="I201" s="58"/>
    </row>
    <row r="202" spans="1:9" ht="15.75" customHeight="1">
      <c r="A202" s="62">
        <v>45717</v>
      </c>
      <c r="B202" s="46" t="str">
        <f t="shared" si="8"/>
        <v>sáb</v>
      </c>
      <c r="C202" s="47"/>
      <c r="D202" s="47"/>
      <c r="E202" s="47"/>
      <c r="F202" s="48">
        <f t="shared" si="9"/>
        <v>0</v>
      </c>
      <c r="G202" s="47"/>
      <c r="H202" s="53"/>
      <c r="I202" s="58"/>
    </row>
    <row r="203" spans="1:9" ht="15.75" customHeight="1">
      <c r="A203" s="63">
        <v>45820</v>
      </c>
      <c r="B203" s="52" t="str">
        <f t="shared" si="8"/>
        <v>jue</v>
      </c>
      <c r="C203" s="47">
        <v>278.95</v>
      </c>
      <c r="D203" s="47">
        <v>2638.15</v>
      </c>
      <c r="E203" s="47">
        <v>2426.25</v>
      </c>
      <c r="F203" s="48">
        <f t="shared" si="9"/>
        <v>5343.35</v>
      </c>
      <c r="G203" s="47"/>
      <c r="H203" s="53"/>
      <c r="I203" s="54"/>
    </row>
    <row r="204" spans="1:9" ht="15.75" customHeight="1">
      <c r="A204" s="63">
        <v>45850</v>
      </c>
      <c r="B204" s="52" t="str">
        <f t="shared" si="8"/>
        <v>sáb</v>
      </c>
      <c r="C204" s="47">
        <v>377.8</v>
      </c>
      <c r="D204" s="47">
        <v>2942.4</v>
      </c>
      <c r="E204" s="47">
        <v>0</v>
      </c>
      <c r="F204" s="48">
        <f t="shared" si="9"/>
        <v>3320.2000000000003</v>
      </c>
      <c r="G204" s="47"/>
      <c r="H204" s="53"/>
      <c r="I204" s="54"/>
    </row>
    <row r="205" spans="1:9" ht="15.75" customHeight="1">
      <c r="A205" s="62">
        <v>45962</v>
      </c>
      <c r="B205" s="46" t="str">
        <f t="shared" si="8"/>
        <v>sáb</v>
      </c>
      <c r="C205" s="47">
        <v>436.9</v>
      </c>
      <c r="D205" s="47">
        <v>735.3</v>
      </c>
      <c r="E205" s="47">
        <v>424.35</v>
      </c>
      <c r="F205" s="48">
        <f t="shared" si="9"/>
        <v>1596.5499999999997</v>
      </c>
      <c r="G205" s="47"/>
      <c r="H205" s="53"/>
      <c r="I205" s="58"/>
    </row>
    <row r="206" spans="1:9" ht="15.75" customHeight="1">
      <c r="A206" s="63">
        <v>45998</v>
      </c>
      <c r="B206" s="52" t="str">
        <f t="shared" si="8"/>
        <v>dom</v>
      </c>
      <c r="C206" s="47">
        <v>402.1</v>
      </c>
      <c r="D206" s="47">
        <v>514.85</v>
      </c>
      <c r="E206" s="47">
        <v>2028.45</v>
      </c>
      <c r="F206" s="48">
        <f t="shared" si="9"/>
        <v>2945.4</v>
      </c>
      <c r="G206" s="47"/>
      <c r="H206" s="53"/>
      <c r="I206" s="54"/>
    </row>
    <row r="207" spans="1:9" ht="15.75" customHeight="1">
      <c r="A207" s="63">
        <v>46001</v>
      </c>
      <c r="B207" s="52" t="str">
        <f t="shared" si="8"/>
        <v>mié</v>
      </c>
      <c r="C207" s="47">
        <v>361.4</v>
      </c>
      <c r="D207" s="47">
        <v>1628.3</v>
      </c>
      <c r="E207" s="47">
        <v>290</v>
      </c>
      <c r="F207" s="48">
        <f t="shared" si="9"/>
        <v>2279.6999999999998</v>
      </c>
      <c r="G207" s="47"/>
      <c r="H207" s="53"/>
      <c r="I207" s="54"/>
    </row>
    <row r="208" spans="1:9" ht="15.75" customHeight="1">
      <c r="A208" s="63" t="s">
        <v>610</v>
      </c>
      <c r="B208" s="52" t="str">
        <f t="shared" si="8"/>
        <v>dom</v>
      </c>
      <c r="C208" s="47">
        <v>338.5</v>
      </c>
      <c r="D208" s="47">
        <v>1367.4</v>
      </c>
      <c r="E208" s="47">
        <v>626.75</v>
      </c>
      <c r="F208" s="48">
        <f t="shared" si="9"/>
        <v>2332.65</v>
      </c>
      <c r="G208" s="47"/>
      <c r="H208" s="53"/>
      <c r="I208" s="54"/>
    </row>
    <row r="209" spans="1:9" ht="15.75" customHeight="1">
      <c r="A209" s="63" t="s">
        <v>611</v>
      </c>
      <c r="B209" s="52" t="str">
        <f t="shared" si="8"/>
        <v>vie</v>
      </c>
      <c r="C209" s="47">
        <v>130.25</v>
      </c>
      <c r="D209" s="47">
        <v>526.65</v>
      </c>
      <c r="E209" s="47">
        <v>2056.3000000000002</v>
      </c>
      <c r="F209" s="48">
        <f t="shared" si="9"/>
        <v>2713.2000000000003</v>
      </c>
      <c r="G209" s="47"/>
      <c r="H209" s="53"/>
      <c r="I209" s="54"/>
    </row>
    <row r="210" spans="1:9" ht="15.75" customHeight="1">
      <c r="A210" s="62" t="s">
        <v>612</v>
      </c>
      <c r="B210" s="46" t="str">
        <f t="shared" si="8"/>
        <v>sáb</v>
      </c>
      <c r="C210" s="47">
        <v>225.3</v>
      </c>
      <c r="D210" s="47">
        <v>1546.05</v>
      </c>
      <c r="E210" s="47">
        <v>1028.2</v>
      </c>
      <c r="F210" s="48">
        <f t="shared" si="9"/>
        <v>2799.55</v>
      </c>
      <c r="G210" s="47"/>
      <c r="H210" s="53"/>
      <c r="I210" s="58"/>
    </row>
    <row r="211" spans="1:9" ht="15.75" customHeight="1">
      <c r="A211" s="63" t="s">
        <v>613</v>
      </c>
      <c r="B211" s="52" t="str">
        <f t="shared" si="8"/>
        <v>sáb</v>
      </c>
      <c r="C211" s="47">
        <v>190.3</v>
      </c>
      <c r="D211" s="47">
        <v>1284.8</v>
      </c>
      <c r="E211" s="47">
        <v>1180.8</v>
      </c>
      <c r="F211" s="48">
        <f t="shared" si="9"/>
        <v>2655.8999999999996</v>
      </c>
      <c r="G211" s="47"/>
      <c r="H211" s="53"/>
      <c r="I211" s="54"/>
    </row>
    <row r="212" spans="1:9" ht="15.75" customHeight="1">
      <c r="A212" s="63" t="s">
        <v>614</v>
      </c>
      <c r="B212" s="52" t="str">
        <f t="shared" si="8"/>
        <v>vie</v>
      </c>
      <c r="C212" s="47">
        <v>225.95</v>
      </c>
      <c r="D212" s="47">
        <v>873.4</v>
      </c>
      <c r="E212" s="47">
        <v>1492.5</v>
      </c>
      <c r="F212" s="48">
        <f t="shared" si="9"/>
        <v>2591.85</v>
      </c>
      <c r="G212" s="47"/>
      <c r="H212" s="53"/>
      <c r="I212" s="54"/>
    </row>
    <row r="213" spans="1:9" ht="15.75" customHeight="1">
      <c r="A213" s="63" t="s">
        <v>615</v>
      </c>
      <c r="B213" s="52" t="str">
        <f t="shared" si="8"/>
        <v>sáb</v>
      </c>
      <c r="C213" s="47">
        <v>307.10000000000002</v>
      </c>
      <c r="D213" s="47">
        <v>604.4</v>
      </c>
      <c r="E213" s="47">
        <v>1934.3</v>
      </c>
      <c r="F213" s="48">
        <f t="shared" si="9"/>
        <v>2845.8</v>
      </c>
      <c r="G213" s="47"/>
      <c r="H213" s="53"/>
      <c r="I213" s="54"/>
    </row>
    <row r="214" spans="1:9" ht="15.75" customHeight="1">
      <c r="A214" s="63" t="s">
        <v>616</v>
      </c>
      <c r="B214" s="52" t="str">
        <f t="shared" si="8"/>
        <v>dom</v>
      </c>
      <c r="C214" s="47">
        <v>277.14999999999998</v>
      </c>
      <c r="D214" s="47">
        <v>1066.9000000000001</v>
      </c>
      <c r="E214" s="47">
        <v>1652.55</v>
      </c>
      <c r="F214" s="48">
        <f t="shared" si="9"/>
        <v>2996.6000000000004</v>
      </c>
      <c r="G214" s="47"/>
      <c r="H214" s="53"/>
      <c r="I214" s="54"/>
    </row>
    <row r="215" spans="1:9" ht="15.75" customHeight="1">
      <c r="A215" s="63" t="s">
        <v>617</v>
      </c>
      <c r="B215" s="52" t="str">
        <f t="shared" si="8"/>
        <v>sáb</v>
      </c>
      <c r="C215" s="47">
        <v>152.75</v>
      </c>
      <c r="D215" s="47">
        <v>1680.75</v>
      </c>
      <c r="E215" s="47">
        <v>882.2</v>
      </c>
      <c r="F215" s="48">
        <f t="shared" si="9"/>
        <v>2715.7</v>
      </c>
      <c r="G215" s="47"/>
      <c r="H215" s="53"/>
      <c r="I215" s="54"/>
    </row>
    <row r="216" spans="1:9" ht="15.75" customHeight="1">
      <c r="A216" s="63" t="s">
        <v>618</v>
      </c>
      <c r="B216" s="52" t="str">
        <f t="shared" si="8"/>
        <v>sáb</v>
      </c>
      <c r="C216" s="47">
        <v>321.55</v>
      </c>
      <c r="D216" s="47">
        <v>914.7</v>
      </c>
      <c r="E216" s="47">
        <v>1091.95</v>
      </c>
      <c r="F216" s="48">
        <f t="shared" si="9"/>
        <v>2328.1999999999998</v>
      </c>
      <c r="G216" s="47"/>
      <c r="H216" s="53"/>
      <c r="I216" s="54"/>
    </row>
    <row r="217" spans="1:9" ht="15.75" customHeight="1">
      <c r="A217" s="63" t="s">
        <v>619</v>
      </c>
      <c r="B217" s="52" t="str">
        <f t="shared" si="8"/>
        <v>vie</v>
      </c>
      <c r="C217" s="47">
        <v>388.95</v>
      </c>
      <c r="D217" s="47">
        <v>1998.5</v>
      </c>
      <c r="E217" s="47">
        <v>2291.5500000000002</v>
      </c>
      <c r="F217" s="48">
        <f t="shared" si="9"/>
        <v>4679</v>
      </c>
      <c r="G217" s="47"/>
      <c r="H217" s="53"/>
      <c r="I217" s="54"/>
    </row>
    <row r="218" spans="1:9" ht="15.75" customHeight="1">
      <c r="A218" s="63" t="s">
        <v>620</v>
      </c>
      <c r="B218" s="52" t="str">
        <f t="shared" si="8"/>
        <v>sáb</v>
      </c>
      <c r="C218" s="47">
        <v>137.65</v>
      </c>
      <c r="D218" s="47">
        <v>718.75</v>
      </c>
      <c r="E218" s="47">
        <v>1528.9</v>
      </c>
      <c r="F218" s="48">
        <f t="shared" si="9"/>
        <v>2385.3000000000002</v>
      </c>
      <c r="G218" s="47"/>
      <c r="H218" s="53"/>
      <c r="I218" s="54"/>
    </row>
    <row r="219" spans="1:9" ht="15.75" customHeight="1">
      <c r="A219" s="63"/>
      <c r="B219" s="52" t="str">
        <f t="shared" si="8"/>
        <v>sáb</v>
      </c>
      <c r="C219" s="47"/>
      <c r="D219" s="47"/>
      <c r="E219" s="47"/>
      <c r="F219" s="48">
        <f t="shared" si="9"/>
        <v>0</v>
      </c>
      <c r="G219" s="47"/>
      <c r="H219" s="53"/>
      <c r="I219" s="54"/>
    </row>
    <row r="220" spans="1:9" ht="15.75" customHeight="1">
      <c r="A220" s="63"/>
      <c r="B220" s="52" t="str">
        <f t="shared" si="8"/>
        <v>sáb</v>
      </c>
      <c r="C220" s="47"/>
      <c r="D220" s="47"/>
      <c r="E220" s="47"/>
      <c r="F220" s="48">
        <f t="shared" si="9"/>
        <v>0</v>
      </c>
      <c r="G220" s="47"/>
      <c r="H220" s="53"/>
      <c r="I220" s="54"/>
    </row>
    <row r="221" spans="1:9" ht="15.75" customHeight="1">
      <c r="A221" s="658"/>
      <c r="B221" s="145"/>
      <c r="C221" s="145"/>
      <c r="D221" s="145"/>
      <c r="E221" s="145"/>
      <c r="F221" s="145"/>
      <c r="G221" s="145"/>
      <c r="H221" s="145"/>
      <c r="I221" s="145"/>
    </row>
    <row r="222" spans="1:9" ht="15.75" customHeight="1">
      <c r="A222" s="658"/>
      <c r="B222" s="145"/>
      <c r="C222" s="145"/>
      <c r="D222" s="145"/>
      <c r="E222" s="145"/>
      <c r="F222" s="145"/>
      <c r="G222" s="145"/>
      <c r="H222" s="145"/>
      <c r="I222" s="145"/>
    </row>
    <row r="223" spans="1:9" ht="15.75" customHeight="1">
      <c r="A223" s="684"/>
      <c r="B223" s="74"/>
      <c r="C223" s="74"/>
      <c r="D223" s="74"/>
      <c r="E223" s="74"/>
      <c r="F223" s="74"/>
      <c r="G223" s="74"/>
      <c r="H223" s="74"/>
      <c r="I223" s="74"/>
    </row>
    <row r="224" spans="1:9" ht="15.75" customHeight="1">
      <c r="A224" s="684"/>
      <c r="B224" s="74"/>
      <c r="C224" s="74"/>
      <c r="D224" s="74"/>
      <c r="E224" s="74"/>
      <c r="F224" s="74"/>
      <c r="G224" s="74"/>
      <c r="H224" s="74"/>
      <c r="I224" s="74"/>
    </row>
    <row r="225" spans="1:9" ht="15.75" customHeight="1">
      <c r="A225" s="684"/>
      <c r="B225" s="74"/>
      <c r="C225" s="74"/>
      <c r="D225" s="74"/>
      <c r="E225" s="74"/>
      <c r="F225" s="74"/>
      <c r="G225" s="74"/>
      <c r="H225" s="74"/>
      <c r="I225" s="74"/>
    </row>
    <row r="226" spans="1:9" ht="15.75" customHeight="1">
      <c r="A226" s="684"/>
      <c r="B226" s="74"/>
      <c r="C226" s="74"/>
      <c r="D226" s="74"/>
      <c r="E226" s="74"/>
      <c r="F226" s="74"/>
      <c r="G226" s="74"/>
      <c r="H226" s="74"/>
      <c r="I226" s="74"/>
    </row>
    <row r="227" spans="1:9" ht="15.75" customHeight="1">
      <c r="A227" s="684"/>
      <c r="B227" s="74"/>
      <c r="C227" s="74"/>
      <c r="D227" s="74"/>
      <c r="E227" s="74"/>
      <c r="F227" s="74"/>
      <c r="G227" s="74"/>
      <c r="H227" s="74"/>
      <c r="I227" s="74"/>
    </row>
    <row r="228" spans="1:9" ht="15.75" customHeight="1">
      <c r="A228" s="684"/>
      <c r="B228" s="74"/>
      <c r="C228" s="74"/>
      <c r="D228" s="74"/>
      <c r="E228" s="74"/>
      <c r="F228" s="74"/>
      <c r="G228" s="74"/>
      <c r="H228" s="74"/>
      <c r="I228" s="74"/>
    </row>
    <row r="229" spans="1:9" ht="15.75" customHeight="1">
      <c r="A229" s="684"/>
      <c r="B229" s="74"/>
      <c r="C229" s="74"/>
      <c r="D229" s="74"/>
      <c r="E229" s="74"/>
      <c r="F229" s="74"/>
      <c r="G229" s="74"/>
      <c r="H229" s="74"/>
      <c r="I229" s="74"/>
    </row>
    <row r="230" spans="1:9" ht="15.75" customHeight="1">
      <c r="A230" s="684"/>
      <c r="B230" s="74"/>
      <c r="C230" s="74"/>
      <c r="D230" s="74"/>
      <c r="E230" s="74"/>
      <c r="F230" s="74"/>
      <c r="G230" s="74"/>
      <c r="H230" s="74"/>
      <c r="I230" s="74"/>
    </row>
    <row r="231" spans="1:9" ht="15.75" customHeight="1">
      <c r="A231" s="684"/>
      <c r="B231" s="74"/>
      <c r="C231" s="74"/>
      <c r="D231" s="74"/>
      <c r="E231" s="74"/>
      <c r="F231" s="74"/>
      <c r="G231" s="74"/>
      <c r="H231" s="74"/>
      <c r="I231" s="74"/>
    </row>
    <row r="232" spans="1:9" ht="15.75" customHeight="1">
      <c r="A232" s="684"/>
      <c r="B232" s="74"/>
      <c r="C232" s="74"/>
      <c r="D232" s="74"/>
      <c r="E232" s="74"/>
      <c r="F232" s="74"/>
      <c r="G232" s="74"/>
      <c r="H232" s="74"/>
      <c r="I232" s="74"/>
    </row>
    <row r="233" spans="1:9" ht="15.75" customHeight="1">
      <c r="A233" s="684"/>
      <c r="B233" s="74"/>
      <c r="C233" s="74"/>
      <c r="D233" s="74"/>
      <c r="E233" s="74"/>
      <c r="F233" s="74"/>
      <c r="G233" s="74"/>
      <c r="H233" s="74"/>
      <c r="I233" s="74"/>
    </row>
    <row r="234" spans="1:9" ht="15.75" customHeight="1">
      <c r="A234" s="684"/>
      <c r="B234" s="74"/>
      <c r="C234" s="74"/>
      <c r="D234" s="74"/>
      <c r="E234" s="74"/>
      <c r="F234" s="74"/>
      <c r="G234" s="74"/>
      <c r="H234" s="74"/>
      <c r="I234" s="74"/>
    </row>
    <row r="235" spans="1:9" ht="15.75" customHeight="1">
      <c r="A235" s="684"/>
      <c r="B235" s="74"/>
      <c r="C235" s="74"/>
      <c r="D235" s="74"/>
      <c r="E235" s="74"/>
      <c r="F235" s="74"/>
      <c r="G235" s="74"/>
      <c r="H235" s="74"/>
      <c r="I235" s="74"/>
    </row>
    <row r="236" spans="1:9" ht="15.75" customHeight="1">
      <c r="A236" s="684"/>
      <c r="B236" s="74"/>
      <c r="C236" s="74"/>
      <c r="D236" s="74"/>
      <c r="E236" s="74"/>
      <c r="F236" s="74"/>
      <c r="G236" s="74"/>
      <c r="H236" s="74"/>
      <c r="I236" s="74"/>
    </row>
    <row r="237" spans="1:9" ht="15.75" customHeight="1">
      <c r="A237" s="684"/>
      <c r="B237" s="74"/>
      <c r="C237" s="74"/>
      <c r="D237" s="74"/>
      <c r="E237" s="74"/>
      <c r="F237" s="74"/>
      <c r="G237" s="74"/>
      <c r="H237" s="74"/>
      <c r="I237" s="74"/>
    </row>
    <row r="238" spans="1:9" ht="15.75" customHeight="1">
      <c r="A238" s="658"/>
      <c r="B238" s="145"/>
      <c r="C238" s="145"/>
      <c r="D238" s="145"/>
      <c r="E238" s="145"/>
      <c r="F238" s="145"/>
      <c r="G238" s="145"/>
      <c r="H238" s="145"/>
      <c r="I238" s="145"/>
    </row>
    <row r="239" spans="1:9" ht="15.75" customHeight="1">
      <c r="A239" s="658"/>
      <c r="B239" s="145"/>
      <c r="C239" s="145"/>
      <c r="D239" s="145"/>
      <c r="E239" s="145"/>
      <c r="F239" s="145"/>
      <c r="G239" s="145"/>
      <c r="H239" s="145"/>
      <c r="I239" s="145"/>
    </row>
    <row r="240" spans="1:9" ht="15.75" customHeight="1">
      <c r="A240" s="658"/>
      <c r="B240" s="145"/>
      <c r="C240" s="145"/>
      <c r="D240" s="145"/>
      <c r="E240" s="145"/>
      <c r="F240" s="145"/>
      <c r="G240" s="145"/>
      <c r="H240" s="145"/>
      <c r="I240" s="145"/>
    </row>
    <row r="241" spans="1:9" ht="15.75" customHeight="1">
      <c r="A241" s="658"/>
      <c r="B241" s="145"/>
      <c r="C241" s="145"/>
      <c r="D241" s="145"/>
      <c r="E241" s="145"/>
      <c r="F241" s="145"/>
      <c r="G241" s="145"/>
      <c r="H241" s="145"/>
      <c r="I241" s="145"/>
    </row>
    <row r="242" spans="1:9" ht="15.75" customHeight="1">
      <c r="A242" s="658"/>
      <c r="B242" s="145"/>
      <c r="C242" s="145"/>
      <c r="D242" s="145"/>
      <c r="E242" s="145"/>
      <c r="F242" s="145"/>
      <c r="G242" s="145"/>
      <c r="H242" s="145"/>
      <c r="I242" s="145"/>
    </row>
    <row r="243" spans="1:9" ht="15.75" customHeight="1">
      <c r="A243" s="658"/>
      <c r="B243" s="145"/>
      <c r="C243" s="145"/>
      <c r="D243" s="145"/>
      <c r="E243" s="145"/>
      <c r="F243" s="145"/>
      <c r="G243" s="145"/>
      <c r="H243" s="145"/>
      <c r="I243" s="145"/>
    </row>
    <row r="244" spans="1:9" ht="15.75" customHeight="1">
      <c r="A244" s="658"/>
      <c r="B244" s="145"/>
      <c r="C244" s="145"/>
      <c r="D244" s="145"/>
      <c r="E244" s="145"/>
      <c r="F244" s="145"/>
      <c r="G244" s="145"/>
      <c r="H244" s="145"/>
      <c r="I244" s="145"/>
    </row>
    <row r="245" spans="1:9" ht="15.75" customHeight="1">
      <c r="A245" s="658"/>
      <c r="B245" s="145"/>
      <c r="C245" s="145"/>
      <c r="D245" s="145"/>
      <c r="E245" s="145"/>
      <c r="F245" s="145"/>
      <c r="G245" s="145"/>
      <c r="H245" s="145"/>
      <c r="I245" s="145"/>
    </row>
    <row r="246" spans="1:9" ht="15.75" customHeight="1">
      <c r="A246" s="658"/>
      <c r="B246" s="145"/>
      <c r="C246" s="145"/>
      <c r="D246" s="145"/>
      <c r="E246" s="145"/>
      <c r="F246" s="145"/>
      <c r="G246" s="145"/>
      <c r="H246" s="145"/>
      <c r="I246" s="145"/>
    </row>
    <row r="247" spans="1:9" ht="15.75" customHeight="1">
      <c r="A247" s="658"/>
      <c r="B247" s="145"/>
      <c r="C247" s="145"/>
      <c r="D247" s="145"/>
      <c r="E247" s="145"/>
      <c r="F247" s="145"/>
      <c r="G247" s="145"/>
      <c r="H247" s="145"/>
      <c r="I247" s="145"/>
    </row>
    <row r="248" spans="1:9" ht="15.75" customHeight="1">
      <c r="A248" s="658"/>
      <c r="B248" s="145"/>
      <c r="C248" s="145"/>
      <c r="D248" s="145"/>
      <c r="E248" s="145"/>
      <c r="F248" s="145"/>
      <c r="G248" s="145"/>
      <c r="H248" s="145"/>
      <c r="I248" s="145"/>
    </row>
    <row r="249" spans="1:9" ht="15.75" customHeight="1">
      <c r="A249" s="658"/>
      <c r="B249" s="145"/>
      <c r="C249" s="145"/>
      <c r="D249" s="145"/>
      <c r="E249" s="145"/>
      <c r="F249" s="145"/>
      <c r="G249" s="145"/>
      <c r="H249" s="145"/>
      <c r="I249" s="145"/>
    </row>
    <row r="250" spans="1:9" ht="15.75" customHeight="1">
      <c r="A250" s="658"/>
      <c r="B250" s="145"/>
      <c r="C250" s="145"/>
      <c r="D250" s="145"/>
      <c r="E250" s="145"/>
      <c r="F250" s="145"/>
      <c r="G250" s="145"/>
      <c r="H250" s="145"/>
      <c r="I250" s="145"/>
    </row>
    <row r="251" spans="1:9" ht="15.75" customHeight="1">
      <c r="A251" s="658"/>
      <c r="B251" s="145"/>
      <c r="C251" s="145"/>
      <c r="D251" s="145"/>
      <c r="E251" s="145"/>
      <c r="F251" s="145"/>
      <c r="G251" s="145"/>
      <c r="H251" s="145"/>
      <c r="I251" s="145"/>
    </row>
    <row r="252" spans="1:9" ht="15.75" customHeight="1">
      <c r="A252" s="658"/>
      <c r="B252" s="145"/>
      <c r="C252" s="145"/>
      <c r="D252" s="145"/>
      <c r="E252" s="145"/>
      <c r="F252" s="145"/>
      <c r="G252" s="145"/>
      <c r="H252" s="145"/>
      <c r="I252" s="145"/>
    </row>
    <row r="253" spans="1:9" ht="15.75" customHeight="1">
      <c r="A253" s="658"/>
      <c r="B253" s="145"/>
      <c r="C253" s="145"/>
      <c r="D253" s="145"/>
      <c r="E253" s="145"/>
      <c r="F253" s="145"/>
      <c r="G253" s="145"/>
      <c r="H253" s="145"/>
      <c r="I253" s="145"/>
    </row>
    <row r="254" spans="1:9" ht="15.75" customHeight="1">
      <c r="A254" s="658"/>
      <c r="B254" s="145"/>
      <c r="C254" s="145"/>
      <c r="D254" s="145"/>
      <c r="E254" s="145"/>
      <c r="F254" s="145"/>
      <c r="G254" s="145"/>
      <c r="H254" s="145"/>
      <c r="I254" s="145"/>
    </row>
    <row r="255" spans="1:9" ht="15.75" customHeight="1">
      <c r="A255" s="658"/>
      <c r="B255" s="145"/>
      <c r="C255" s="145"/>
      <c r="D255" s="145"/>
      <c r="E255" s="145"/>
      <c r="F255" s="145"/>
      <c r="G255" s="145"/>
      <c r="H255" s="145"/>
      <c r="I255" s="145"/>
    </row>
    <row r="256" spans="1:9" ht="15.75" customHeight="1">
      <c r="A256" s="658"/>
      <c r="B256" s="145"/>
      <c r="C256" s="145"/>
      <c r="D256" s="145"/>
      <c r="E256" s="145"/>
      <c r="F256" s="145"/>
      <c r="G256" s="145"/>
      <c r="H256" s="145"/>
      <c r="I256" s="145"/>
    </row>
    <row r="257" spans="1:9" ht="15.75" customHeight="1">
      <c r="A257" s="658"/>
      <c r="B257" s="145"/>
      <c r="C257" s="145"/>
      <c r="D257" s="145"/>
      <c r="E257" s="145"/>
      <c r="F257" s="145"/>
      <c r="G257" s="145"/>
      <c r="H257" s="145"/>
      <c r="I257" s="145"/>
    </row>
    <row r="258" spans="1:9" ht="15.75" customHeight="1">
      <c r="A258" s="658"/>
      <c r="B258" s="145"/>
      <c r="C258" s="145"/>
      <c r="D258" s="145"/>
      <c r="E258" s="145"/>
      <c r="F258" s="145"/>
      <c r="G258" s="145"/>
      <c r="H258" s="145"/>
      <c r="I258" s="145"/>
    </row>
    <row r="259" spans="1:9" ht="15.75" customHeight="1">
      <c r="A259" s="658"/>
      <c r="B259" s="145"/>
      <c r="C259" s="145"/>
      <c r="D259" s="145"/>
      <c r="E259" s="145"/>
      <c r="F259" s="145"/>
      <c r="G259" s="145"/>
      <c r="H259" s="145"/>
      <c r="I259" s="145"/>
    </row>
    <row r="260" spans="1:9" ht="15.75" customHeight="1">
      <c r="A260" s="658"/>
      <c r="B260" s="145"/>
      <c r="C260" s="145"/>
      <c r="D260" s="145"/>
      <c r="E260" s="145"/>
      <c r="F260" s="145"/>
      <c r="G260" s="145"/>
      <c r="H260" s="145"/>
      <c r="I260" s="145"/>
    </row>
    <row r="261" spans="1:9" ht="15.75" customHeight="1">
      <c r="A261" s="658"/>
      <c r="B261" s="145"/>
      <c r="C261" s="145"/>
      <c r="D261" s="145"/>
      <c r="E261" s="145"/>
      <c r="F261" s="145"/>
      <c r="G261" s="145"/>
      <c r="H261" s="145"/>
      <c r="I261" s="145"/>
    </row>
    <row r="262" spans="1:9" ht="15.75" customHeight="1">
      <c r="A262" s="658"/>
      <c r="B262" s="145"/>
      <c r="C262" s="145"/>
      <c r="D262" s="145"/>
      <c r="E262" s="145"/>
      <c r="F262" s="145"/>
      <c r="G262" s="145"/>
      <c r="H262" s="145"/>
      <c r="I262" s="145"/>
    </row>
    <row r="263" spans="1:9" ht="15.75" customHeight="1">
      <c r="A263" s="658"/>
      <c r="B263" s="145"/>
      <c r="C263" s="145"/>
      <c r="D263" s="145"/>
      <c r="E263" s="145"/>
      <c r="F263" s="145"/>
      <c r="G263" s="145"/>
      <c r="H263" s="145"/>
      <c r="I263" s="145"/>
    </row>
    <row r="264" spans="1:9" ht="15.75" customHeight="1">
      <c r="A264" s="658"/>
      <c r="B264" s="145"/>
      <c r="C264" s="145"/>
      <c r="D264" s="145"/>
      <c r="E264" s="145"/>
      <c r="F264" s="145"/>
      <c r="G264" s="145"/>
      <c r="H264" s="145"/>
      <c r="I264" s="145"/>
    </row>
    <row r="265" spans="1:9" ht="15.75" customHeight="1">
      <c r="A265" s="658"/>
      <c r="B265" s="145"/>
      <c r="C265" s="145"/>
      <c r="D265" s="145"/>
      <c r="E265" s="145"/>
      <c r="F265" s="145"/>
      <c r="G265" s="145"/>
      <c r="H265" s="145"/>
      <c r="I265" s="145"/>
    </row>
    <row r="266" spans="1:9" ht="15.75" customHeight="1">
      <c r="A266" s="658"/>
      <c r="B266" s="145"/>
      <c r="C266" s="145"/>
      <c r="D266" s="145"/>
      <c r="E266" s="145"/>
      <c r="F266" s="145"/>
      <c r="G266" s="145"/>
      <c r="H266" s="145"/>
      <c r="I266" s="145"/>
    </row>
    <row r="267" spans="1:9" ht="15.75" customHeight="1">
      <c r="A267" s="658"/>
      <c r="B267" s="145"/>
      <c r="C267" s="145"/>
      <c r="D267" s="145"/>
      <c r="E267" s="145"/>
      <c r="F267" s="145"/>
      <c r="G267" s="145"/>
      <c r="H267" s="145"/>
      <c r="I267" s="145"/>
    </row>
    <row r="268" spans="1:9" ht="15.75" customHeight="1">
      <c r="A268" s="658"/>
      <c r="B268" s="145"/>
      <c r="C268" s="145"/>
      <c r="D268" s="145"/>
      <c r="E268" s="145"/>
      <c r="F268" s="145"/>
      <c r="G268" s="145"/>
      <c r="H268" s="145"/>
      <c r="I268" s="145"/>
    </row>
    <row r="269" spans="1:9" ht="15.75" customHeight="1">
      <c r="A269" s="658"/>
      <c r="B269" s="145"/>
      <c r="C269" s="145"/>
      <c r="D269" s="145"/>
      <c r="E269" s="145"/>
      <c r="F269" s="145"/>
      <c r="G269" s="145"/>
      <c r="H269" s="145"/>
      <c r="I269" s="145"/>
    </row>
    <row r="270" spans="1:9" ht="15.75" customHeight="1">
      <c r="A270" s="658"/>
      <c r="B270" s="145"/>
      <c r="C270" s="145"/>
      <c r="D270" s="145"/>
      <c r="E270" s="145"/>
      <c r="F270" s="145"/>
      <c r="G270" s="145"/>
      <c r="H270" s="145"/>
      <c r="I270" s="145"/>
    </row>
    <row r="271" spans="1:9" ht="15.75" customHeight="1">
      <c r="A271" s="658"/>
      <c r="B271" s="145"/>
      <c r="C271" s="145"/>
      <c r="D271" s="145"/>
      <c r="E271" s="145"/>
      <c r="F271" s="145"/>
      <c r="G271" s="145"/>
      <c r="H271" s="145"/>
      <c r="I271" s="145"/>
    </row>
    <row r="272" spans="1:9" ht="15.75" customHeight="1">
      <c r="A272" s="658"/>
      <c r="B272" s="145"/>
      <c r="C272" s="145"/>
      <c r="D272" s="145"/>
      <c r="E272" s="145"/>
      <c r="F272" s="145"/>
      <c r="G272" s="145"/>
      <c r="H272" s="145"/>
      <c r="I272" s="145"/>
    </row>
    <row r="273" spans="1:9" ht="15.75" customHeight="1">
      <c r="A273" s="658"/>
      <c r="B273" s="145"/>
      <c r="C273" s="145"/>
      <c r="D273" s="145"/>
      <c r="E273" s="145"/>
      <c r="F273" s="145"/>
      <c r="G273" s="145"/>
      <c r="H273" s="145"/>
      <c r="I273" s="145"/>
    </row>
    <row r="274" spans="1:9" ht="15.75" customHeight="1">
      <c r="A274" s="658"/>
      <c r="B274" s="145"/>
      <c r="C274" s="145"/>
      <c r="D274" s="145"/>
      <c r="E274" s="145"/>
      <c r="F274" s="145"/>
      <c r="G274" s="145"/>
      <c r="H274" s="145"/>
      <c r="I274" s="145"/>
    </row>
    <row r="275" spans="1:9" ht="15.75" customHeight="1">
      <c r="A275" s="658"/>
      <c r="B275" s="145"/>
      <c r="C275" s="145"/>
      <c r="D275" s="145"/>
      <c r="E275" s="145"/>
      <c r="F275" s="145"/>
      <c r="G275" s="145"/>
      <c r="H275" s="145"/>
      <c r="I275" s="145"/>
    </row>
    <row r="276" spans="1:9" ht="15.75" customHeight="1">
      <c r="A276" s="658"/>
      <c r="B276" s="145"/>
      <c r="C276" s="145"/>
      <c r="D276" s="145"/>
      <c r="E276" s="145"/>
      <c r="F276" s="145"/>
      <c r="G276" s="145"/>
      <c r="H276" s="145"/>
      <c r="I276" s="145"/>
    </row>
    <row r="277" spans="1:9" ht="15.75" customHeight="1">
      <c r="A277" s="658"/>
      <c r="B277" s="145"/>
      <c r="C277" s="145"/>
      <c r="D277" s="145"/>
      <c r="E277" s="145"/>
      <c r="F277" s="145"/>
      <c r="G277" s="145"/>
      <c r="H277" s="145"/>
      <c r="I277" s="145"/>
    </row>
    <row r="278" spans="1:9" ht="15.75" customHeight="1">
      <c r="A278" s="658"/>
      <c r="B278" s="145"/>
      <c r="C278" s="145"/>
      <c r="D278" s="145"/>
      <c r="E278" s="145"/>
      <c r="F278" s="145"/>
      <c r="G278" s="145"/>
      <c r="H278" s="145"/>
      <c r="I278" s="145"/>
    </row>
    <row r="279" spans="1:9" ht="15.75" customHeight="1">
      <c r="A279" s="658"/>
      <c r="B279" s="145"/>
      <c r="C279" s="145"/>
      <c r="D279" s="145"/>
      <c r="E279" s="145"/>
      <c r="F279" s="145"/>
      <c r="G279" s="145"/>
      <c r="H279" s="145"/>
      <c r="I279" s="145"/>
    </row>
    <row r="280" spans="1:9" ht="15.75" customHeight="1">
      <c r="A280" s="658"/>
      <c r="B280" s="145"/>
      <c r="C280" s="145"/>
      <c r="D280" s="145"/>
      <c r="E280" s="145"/>
      <c r="F280" s="145"/>
      <c r="G280" s="145"/>
      <c r="H280" s="145"/>
      <c r="I280" s="145"/>
    </row>
    <row r="281" spans="1:9" ht="15.75" customHeight="1">
      <c r="A281" s="658"/>
      <c r="B281" s="145"/>
      <c r="C281" s="145"/>
      <c r="D281" s="145"/>
      <c r="E281" s="145"/>
      <c r="F281" s="145"/>
      <c r="G281" s="145"/>
      <c r="H281" s="145"/>
      <c r="I281" s="145"/>
    </row>
    <row r="282" spans="1:9" ht="15.75" customHeight="1">
      <c r="A282" s="658"/>
      <c r="B282" s="145"/>
      <c r="C282" s="145"/>
      <c r="D282" s="145"/>
      <c r="E282" s="145"/>
      <c r="F282" s="145"/>
      <c r="G282" s="145"/>
      <c r="H282" s="145"/>
      <c r="I282" s="145"/>
    </row>
    <row r="283" spans="1:9" ht="15.75" customHeight="1">
      <c r="A283" s="658"/>
      <c r="B283" s="145"/>
      <c r="C283" s="145"/>
      <c r="D283" s="145"/>
      <c r="E283" s="145"/>
      <c r="F283" s="145"/>
      <c r="G283" s="145"/>
      <c r="H283" s="145"/>
      <c r="I283" s="145"/>
    </row>
    <row r="284" spans="1:9" ht="15.75" customHeight="1">
      <c r="A284" s="658"/>
      <c r="B284" s="145"/>
      <c r="C284" s="145"/>
      <c r="D284" s="145"/>
      <c r="E284" s="145"/>
      <c r="F284" s="145"/>
      <c r="G284" s="145"/>
      <c r="H284" s="145"/>
      <c r="I284" s="145"/>
    </row>
    <row r="285" spans="1:9" ht="15.75" customHeight="1">
      <c r="A285" s="658"/>
      <c r="B285" s="145"/>
      <c r="C285" s="145"/>
      <c r="D285" s="145"/>
      <c r="E285" s="145"/>
      <c r="F285" s="145"/>
      <c r="G285" s="145"/>
      <c r="H285" s="145"/>
      <c r="I285" s="145"/>
    </row>
    <row r="286" spans="1:9" ht="15.75" customHeight="1">
      <c r="A286" s="658"/>
      <c r="B286" s="145"/>
      <c r="C286" s="145"/>
      <c r="D286" s="145"/>
      <c r="E286" s="145"/>
      <c r="F286" s="145"/>
      <c r="G286" s="145"/>
      <c r="H286" s="145"/>
      <c r="I286" s="145"/>
    </row>
    <row r="287" spans="1:9" ht="15.75" customHeight="1">
      <c r="A287" s="658"/>
      <c r="B287" s="145"/>
      <c r="C287" s="145"/>
      <c r="D287" s="145"/>
      <c r="E287" s="145"/>
      <c r="F287" s="145"/>
      <c r="G287" s="145"/>
      <c r="H287" s="145"/>
      <c r="I287" s="145"/>
    </row>
    <row r="288" spans="1:9" ht="15.75" customHeight="1">
      <c r="A288" s="658"/>
      <c r="B288" s="145"/>
      <c r="C288" s="145"/>
      <c r="D288" s="145"/>
      <c r="E288" s="145"/>
      <c r="F288" s="145"/>
      <c r="G288" s="145"/>
      <c r="H288" s="145"/>
      <c r="I288" s="145"/>
    </row>
    <row r="289" spans="1:9" ht="15.75" customHeight="1">
      <c r="A289" s="658"/>
      <c r="B289" s="145"/>
      <c r="C289" s="145"/>
      <c r="D289" s="145"/>
      <c r="E289" s="145"/>
      <c r="F289" s="145"/>
      <c r="G289" s="145"/>
      <c r="H289" s="145"/>
      <c r="I289" s="145"/>
    </row>
    <row r="290" spans="1:9" ht="15.75" customHeight="1">
      <c r="A290" s="658"/>
      <c r="B290" s="145"/>
      <c r="C290" s="145"/>
      <c r="D290" s="145"/>
      <c r="E290" s="145"/>
      <c r="F290" s="145"/>
      <c r="G290" s="145"/>
      <c r="H290" s="145"/>
      <c r="I290" s="145"/>
    </row>
    <row r="291" spans="1:9" ht="15.75" customHeight="1">
      <c r="A291" s="658"/>
      <c r="B291" s="145"/>
      <c r="C291" s="145"/>
      <c r="D291" s="145"/>
      <c r="E291" s="145"/>
      <c r="F291" s="145"/>
      <c r="G291" s="145"/>
      <c r="H291" s="145"/>
      <c r="I291" s="145"/>
    </row>
    <row r="292" spans="1:9" ht="15.75" customHeight="1">
      <c r="A292" s="658"/>
      <c r="B292" s="145"/>
      <c r="C292" s="145"/>
      <c r="D292" s="145"/>
      <c r="E292" s="145"/>
      <c r="F292" s="145"/>
      <c r="G292" s="145"/>
      <c r="H292" s="145"/>
      <c r="I292" s="145"/>
    </row>
    <row r="293" spans="1:9" ht="15.75" customHeight="1">
      <c r="A293" s="658"/>
      <c r="B293" s="145"/>
      <c r="C293" s="145"/>
      <c r="D293" s="145"/>
      <c r="E293" s="145"/>
      <c r="F293" s="145"/>
      <c r="G293" s="145"/>
      <c r="H293" s="145"/>
      <c r="I293" s="145"/>
    </row>
    <row r="294" spans="1:9" ht="15.75" customHeight="1">
      <c r="A294" s="658"/>
      <c r="B294" s="145"/>
      <c r="C294" s="145"/>
      <c r="D294" s="145"/>
      <c r="E294" s="145"/>
      <c r="F294" s="145"/>
      <c r="G294" s="145"/>
      <c r="H294" s="145"/>
      <c r="I294" s="145"/>
    </row>
    <row r="295" spans="1:9" ht="15.75" customHeight="1">
      <c r="A295" s="658"/>
      <c r="B295" s="145"/>
      <c r="C295" s="145"/>
      <c r="D295" s="145"/>
      <c r="E295" s="145"/>
      <c r="F295" s="145"/>
      <c r="G295" s="145"/>
      <c r="H295" s="145"/>
      <c r="I295" s="145"/>
    </row>
    <row r="296" spans="1:9" ht="15.75" customHeight="1">
      <c r="A296" s="658"/>
      <c r="B296" s="145"/>
      <c r="C296" s="145"/>
      <c r="D296" s="145"/>
      <c r="E296" s="145"/>
      <c r="F296" s="145"/>
      <c r="G296" s="145"/>
      <c r="H296" s="145"/>
      <c r="I296" s="145"/>
    </row>
    <row r="297" spans="1:9" ht="15.75" customHeight="1">
      <c r="A297" s="658"/>
      <c r="B297" s="145"/>
      <c r="C297" s="145"/>
      <c r="D297" s="145"/>
      <c r="E297" s="145"/>
      <c r="F297" s="145"/>
      <c r="G297" s="145"/>
      <c r="H297" s="145"/>
      <c r="I297" s="145"/>
    </row>
    <row r="298" spans="1:9" ht="15.75" customHeight="1">
      <c r="A298" s="658"/>
      <c r="B298" s="145"/>
      <c r="C298" s="145"/>
      <c r="D298" s="145"/>
      <c r="E298" s="145"/>
      <c r="F298" s="145"/>
      <c r="G298" s="145"/>
      <c r="H298" s="145"/>
      <c r="I298" s="145"/>
    </row>
    <row r="299" spans="1:9" ht="15.75" customHeight="1">
      <c r="A299" s="658"/>
      <c r="B299" s="145"/>
      <c r="C299" s="145"/>
      <c r="D299" s="145"/>
      <c r="E299" s="145"/>
      <c r="F299" s="145"/>
      <c r="G299" s="145"/>
      <c r="H299" s="145"/>
      <c r="I299" s="145"/>
    </row>
    <row r="300" spans="1:9" ht="15.75" customHeight="1">
      <c r="A300" s="658"/>
      <c r="B300" s="145"/>
      <c r="C300" s="145"/>
      <c r="D300" s="145"/>
      <c r="E300" s="145"/>
      <c r="F300" s="145"/>
      <c r="G300" s="145"/>
      <c r="H300" s="145"/>
      <c r="I300" s="145"/>
    </row>
    <row r="301" spans="1:9" ht="15.75" customHeight="1">
      <c r="A301" s="658"/>
      <c r="B301" s="145"/>
      <c r="C301" s="145"/>
      <c r="D301" s="145"/>
      <c r="E301" s="145"/>
      <c r="F301" s="145"/>
      <c r="G301" s="145"/>
      <c r="H301" s="145"/>
      <c r="I301" s="145"/>
    </row>
    <row r="302" spans="1:9" ht="15.75" customHeight="1">
      <c r="A302" s="658"/>
      <c r="B302" s="145"/>
      <c r="C302" s="145"/>
      <c r="D302" s="145"/>
      <c r="E302" s="145"/>
      <c r="F302" s="145"/>
      <c r="G302" s="145"/>
      <c r="H302" s="145"/>
      <c r="I302" s="145"/>
    </row>
    <row r="303" spans="1:9" ht="15.75" customHeight="1">
      <c r="A303" s="658"/>
      <c r="B303" s="145"/>
      <c r="C303" s="145"/>
      <c r="D303" s="145"/>
      <c r="E303" s="145"/>
      <c r="F303" s="145"/>
      <c r="G303" s="145"/>
      <c r="H303" s="145"/>
      <c r="I303" s="145"/>
    </row>
    <row r="304" spans="1:9" ht="15.75" customHeight="1">
      <c r="A304" s="658"/>
      <c r="B304" s="145"/>
      <c r="C304" s="145"/>
      <c r="D304" s="145"/>
      <c r="E304" s="145"/>
      <c r="F304" s="145"/>
      <c r="G304" s="145"/>
      <c r="H304" s="145"/>
      <c r="I304" s="145"/>
    </row>
    <row r="305" spans="1:9" ht="15.75" customHeight="1">
      <c r="A305" s="658"/>
      <c r="B305" s="145"/>
      <c r="C305" s="145"/>
      <c r="D305" s="145"/>
      <c r="E305" s="145"/>
      <c r="F305" s="145"/>
      <c r="G305" s="145"/>
      <c r="H305" s="145"/>
      <c r="I305" s="145"/>
    </row>
    <row r="306" spans="1:9" ht="15.75" customHeight="1">
      <c r="A306" s="658"/>
      <c r="B306" s="145"/>
      <c r="C306" s="145"/>
      <c r="D306" s="145"/>
      <c r="E306" s="145"/>
      <c r="F306" s="145"/>
      <c r="G306" s="145"/>
      <c r="H306" s="145"/>
      <c r="I306" s="145"/>
    </row>
    <row r="307" spans="1:9" ht="15.75" customHeight="1">
      <c r="A307" s="658"/>
      <c r="B307" s="145"/>
      <c r="C307" s="145"/>
      <c r="D307" s="145"/>
      <c r="E307" s="145"/>
      <c r="F307" s="145"/>
      <c r="G307" s="145"/>
      <c r="H307" s="145"/>
      <c r="I307" s="145"/>
    </row>
    <row r="308" spans="1:9" ht="15.75" customHeight="1">
      <c r="A308" s="658"/>
      <c r="B308" s="145"/>
      <c r="C308" s="145"/>
      <c r="D308" s="145"/>
      <c r="E308" s="145"/>
      <c r="F308" s="145"/>
      <c r="G308" s="145"/>
      <c r="H308" s="145"/>
      <c r="I308" s="145"/>
    </row>
    <row r="309" spans="1:9" ht="15.75" customHeight="1">
      <c r="A309" s="658"/>
      <c r="B309" s="145"/>
      <c r="C309" s="145"/>
      <c r="D309" s="145"/>
      <c r="E309" s="145"/>
      <c r="F309" s="145"/>
      <c r="G309" s="145"/>
      <c r="H309" s="145"/>
      <c r="I309" s="145"/>
    </row>
    <row r="310" spans="1:9" ht="15.75" customHeight="1">
      <c r="A310" s="658"/>
      <c r="B310" s="145"/>
      <c r="C310" s="145"/>
      <c r="D310" s="145"/>
      <c r="E310" s="145"/>
      <c r="F310" s="145"/>
      <c r="G310" s="145"/>
      <c r="H310" s="145"/>
      <c r="I310" s="145"/>
    </row>
    <row r="311" spans="1:9" ht="15.75" customHeight="1">
      <c r="A311" s="658"/>
      <c r="B311" s="145"/>
      <c r="C311" s="145"/>
      <c r="D311" s="145"/>
      <c r="E311" s="145"/>
      <c r="F311" s="145"/>
      <c r="G311" s="145"/>
      <c r="H311" s="145"/>
      <c r="I311" s="145"/>
    </row>
    <row r="312" spans="1:9" ht="15.75" customHeight="1">
      <c r="A312" s="658"/>
      <c r="B312" s="145"/>
      <c r="C312" s="145"/>
      <c r="D312" s="145"/>
      <c r="E312" s="145"/>
      <c r="F312" s="145"/>
      <c r="G312" s="145"/>
      <c r="H312" s="145"/>
      <c r="I312" s="145"/>
    </row>
    <row r="313" spans="1:9" ht="15.75" customHeight="1">
      <c r="A313" s="658"/>
      <c r="B313" s="145"/>
      <c r="C313" s="145"/>
      <c r="D313" s="145"/>
      <c r="E313" s="145"/>
      <c r="F313" s="145"/>
      <c r="G313" s="145"/>
      <c r="H313" s="145"/>
      <c r="I313" s="145"/>
    </row>
    <row r="314" spans="1:9" ht="15.75" customHeight="1">
      <c r="A314" s="658"/>
      <c r="B314" s="145"/>
      <c r="C314" s="145"/>
      <c r="D314" s="145"/>
      <c r="E314" s="145"/>
      <c r="F314" s="145"/>
      <c r="G314" s="145"/>
      <c r="H314" s="145"/>
      <c r="I314" s="145"/>
    </row>
    <row r="315" spans="1:9" ht="15.75" customHeight="1">
      <c r="A315" s="658"/>
      <c r="B315" s="145"/>
      <c r="C315" s="145"/>
      <c r="D315" s="145"/>
      <c r="E315" s="145"/>
      <c r="F315" s="145"/>
      <c r="G315" s="145"/>
      <c r="H315" s="145"/>
      <c r="I315" s="145"/>
    </row>
    <row r="316" spans="1:9" ht="15.75" customHeight="1">
      <c r="A316" s="658"/>
      <c r="B316" s="145"/>
      <c r="C316" s="145"/>
      <c r="D316" s="145"/>
      <c r="E316" s="145"/>
      <c r="F316" s="145"/>
      <c r="G316" s="145"/>
      <c r="H316" s="145"/>
      <c r="I316" s="145"/>
    </row>
    <row r="317" spans="1:9" ht="15.75" customHeight="1">
      <c r="A317" s="658"/>
      <c r="B317" s="145"/>
      <c r="C317" s="145"/>
      <c r="D317" s="145"/>
      <c r="E317" s="145"/>
      <c r="F317" s="145"/>
      <c r="G317" s="145"/>
      <c r="H317" s="145"/>
      <c r="I317" s="145"/>
    </row>
    <row r="318" spans="1:9" ht="15.75" customHeight="1">
      <c r="A318" s="658"/>
      <c r="B318" s="145"/>
      <c r="C318" s="145"/>
      <c r="D318" s="145"/>
      <c r="E318" s="145"/>
      <c r="F318" s="145"/>
      <c r="G318" s="145"/>
      <c r="H318" s="145"/>
      <c r="I318" s="145"/>
    </row>
    <row r="319" spans="1:9" ht="15.75" customHeight="1">
      <c r="A319" s="658"/>
      <c r="B319" s="145"/>
      <c r="C319" s="145"/>
      <c r="D319" s="145"/>
      <c r="E319" s="145"/>
      <c r="F319" s="145"/>
      <c r="G319" s="145"/>
      <c r="H319" s="145"/>
      <c r="I319" s="145"/>
    </row>
    <row r="320" spans="1:9" ht="15.75" customHeight="1">
      <c r="A320" s="658"/>
      <c r="B320" s="145"/>
      <c r="C320" s="145"/>
      <c r="D320" s="145"/>
      <c r="E320" s="145"/>
      <c r="F320" s="145"/>
      <c r="G320" s="145"/>
      <c r="H320" s="145"/>
      <c r="I320" s="145"/>
    </row>
    <row r="321" spans="1:9" ht="15.75" customHeight="1">
      <c r="A321" s="658"/>
      <c r="B321" s="145"/>
      <c r="C321" s="145"/>
      <c r="D321" s="145"/>
      <c r="E321" s="145"/>
      <c r="F321" s="145"/>
      <c r="G321" s="145"/>
      <c r="H321" s="145"/>
      <c r="I321" s="145"/>
    </row>
    <row r="322" spans="1:9" ht="15.75" customHeight="1">
      <c r="A322" s="658"/>
      <c r="B322" s="145"/>
      <c r="C322" s="145"/>
      <c r="D322" s="145"/>
      <c r="E322" s="145"/>
      <c r="F322" s="145"/>
      <c r="G322" s="145"/>
      <c r="H322" s="145"/>
      <c r="I322" s="145"/>
    </row>
    <row r="323" spans="1:9" ht="15.75" customHeight="1">
      <c r="A323" s="658"/>
      <c r="B323" s="145"/>
      <c r="C323" s="145"/>
      <c r="D323" s="145"/>
      <c r="E323" s="145"/>
      <c r="F323" s="145"/>
      <c r="G323" s="145"/>
      <c r="H323" s="145"/>
      <c r="I323" s="145"/>
    </row>
    <row r="324" spans="1:9" ht="15.75" customHeight="1">
      <c r="A324" s="658"/>
      <c r="B324" s="145"/>
      <c r="C324" s="145"/>
      <c r="D324" s="145"/>
      <c r="E324" s="145"/>
      <c r="F324" s="145"/>
      <c r="G324" s="145"/>
      <c r="H324" s="145"/>
      <c r="I324" s="145"/>
    </row>
    <row r="325" spans="1:9" ht="15.75" customHeight="1">
      <c r="A325" s="658"/>
      <c r="B325" s="145"/>
      <c r="C325" s="145"/>
      <c r="D325" s="145"/>
      <c r="E325" s="145"/>
      <c r="F325" s="145"/>
      <c r="G325" s="145"/>
      <c r="H325" s="145"/>
      <c r="I325" s="145"/>
    </row>
    <row r="326" spans="1:9" ht="15.75" customHeight="1">
      <c r="A326" s="658"/>
      <c r="B326" s="145"/>
      <c r="C326" s="145"/>
      <c r="D326" s="145"/>
      <c r="E326" s="145"/>
      <c r="F326" s="145"/>
      <c r="G326" s="145"/>
      <c r="H326" s="145"/>
      <c r="I326" s="145"/>
    </row>
    <row r="327" spans="1:9" ht="15.75" customHeight="1">
      <c r="A327" s="658"/>
      <c r="B327" s="145"/>
      <c r="C327" s="145"/>
      <c r="D327" s="145"/>
      <c r="E327" s="145"/>
      <c r="F327" s="145"/>
      <c r="G327" s="145"/>
      <c r="H327" s="145"/>
      <c r="I327" s="145"/>
    </row>
    <row r="328" spans="1:9" ht="15.75" customHeight="1">
      <c r="A328" s="658"/>
      <c r="B328" s="145"/>
      <c r="C328" s="145"/>
      <c r="D328" s="145"/>
      <c r="E328" s="145"/>
      <c r="F328" s="145"/>
      <c r="G328" s="145"/>
      <c r="H328" s="145"/>
      <c r="I328" s="145"/>
    </row>
    <row r="329" spans="1:9" ht="15.75" customHeight="1">
      <c r="A329" s="658"/>
      <c r="B329" s="145"/>
      <c r="C329" s="145"/>
      <c r="D329" s="145"/>
      <c r="E329" s="145"/>
      <c r="F329" s="145"/>
      <c r="G329" s="145"/>
      <c r="H329" s="145"/>
      <c r="I329" s="145"/>
    </row>
    <row r="330" spans="1:9" ht="15.75" customHeight="1">
      <c r="A330" s="658"/>
      <c r="B330" s="145"/>
      <c r="C330" s="145"/>
      <c r="D330" s="145"/>
      <c r="E330" s="145"/>
      <c r="F330" s="145"/>
      <c r="G330" s="145"/>
      <c r="H330" s="145"/>
      <c r="I330" s="145"/>
    </row>
    <row r="331" spans="1:9" ht="15.75" customHeight="1">
      <c r="A331" s="658"/>
      <c r="B331" s="145"/>
      <c r="C331" s="145"/>
      <c r="D331" s="145"/>
      <c r="E331" s="145"/>
      <c r="F331" s="145"/>
      <c r="G331" s="145"/>
      <c r="H331" s="145"/>
      <c r="I331" s="145"/>
    </row>
    <row r="332" spans="1:9" ht="15.75" customHeight="1">
      <c r="A332" s="658"/>
      <c r="B332" s="145"/>
      <c r="C332" s="145"/>
      <c r="D332" s="145"/>
      <c r="E332" s="145"/>
      <c r="F332" s="145"/>
      <c r="G332" s="145"/>
      <c r="H332" s="145"/>
      <c r="I332" s="145"/>
    </row>
    <row r="333" spans="1:9" ht="15.75" customHeight="1">
      <c r="A333" s="658"/>
      <c r="B333" s="145"/>
      <c r="C333" s="145"/>
      <c r="D333" s="145"/>
      <c r="E333" s="145"/>
      <c r="F333" s="145"/>
      <c r="G333" s="145"/>
      <c r="H333" s="145"/>
      <c r="I333" s="145"/>
    </row>
    <row r="334" spans="1:9" ht="15.75" customHeight="1">
      <c r="A334" s="658"/>
      <c r="B334" s="145"/>
      <c r="C334" s="145"/>
      <c r="D334" s="145"/>
      <c r="E334" s="145"/>
      <c r="F334" s="145"/>
      <c r="G334" s="145"/>
      <c r="H334" s="145"/>
      <c r="I334" s="145"/>
    </row>
    <row r="335" spans="1:9" ht="15.75" customHeight="1">
      <c r="A335" s="658"/>
      <c r="B335" s="145"/>
      <c r="C335" s="145"/>
      <c r="D335" s="145"/>
      <c r="E335" s="145"/>
      <c r="F335" s="145"/>
      <c r="G335" s="145"/>
      <c r="H335" s="145"/>
      <c r="I335" s="145"/>
    </row>
    <row r="336" spans="1:9" ht="15.75" customHeight="1">
      <c r="A336" s="658"/>
      <c r="B336" s="145"/>
      <c r="C336" s="145"/>
      <c r="D336" s="145"/>
      <c r="E336" s="145"/>
      <c r="F336" s="145"/>
      <c r="G336" s="145"/>
      <c r="H336" s="145"/>
      <c r="I336" s="145"/>
    </row>
    <row r="337" spans="1:9" ht="15.75" customHeight="1">
      <c r="A337" s="658"/>
      <c r="B337" s="145"/>
      <c r="C337" s="145"/>
      <c r="D337" s="145"/>
      <c r="E337" s="145"/>
      <c r="F337" s="145"/>
      <c r="G337" s="145"/>
      <c r="H337" s="145"/>
      <c r="I337" s="145"/>
    </row>
    <row r="338" spans="1:9" ht="15.75" customHeight="1">
      <c r="A338" s="658"/>
      <c r="B338" s="145"/>
      <c r="C338" s="145"/>
      <c r="D338" s="145"/>
      <c r="E338" s="145"/>
      <c r="F338" s="145"/>
      <c r="G338" s="145"/>
      <c r="H338" s="145"/>
      <c r="I338" s="145"/>
    </row>
    <row r="339" spans="1:9" ht="15.75" customHeight="1">
      <c r="A339" s="658"/>
      <c r="B339" s="145"/>
      <c r="C339" s="145"/>
      <c r="D339" s="145"/>
      <c r="E339" s="145"/>
      <c r="F339" s="145"/>
      <c r="G339" s="145"/>
      <c r="H339" s="145"/>
      <c r="I339" s="145"/>
    </row>
    <row r="340" spans="1:9" ht="15.75" customHeight="1">
      <c r="A340" s="658"/>
      <c r="B340" s="145"/>
      <c r="C340" s="145"/>
      <c r="D340" s="145"/>
      <c r="E340" s="145"/>
      <c r="F340" s="145"/>
      <c r="G340" s="145"/>
      <c r="H340" s="145"/>
      <c r="I340" s="145"/>
    </row>
    <row r="341" spans="1:9" ht="15.75" customHeight="1">
      <c r="A341" s="658"/>
      <c r="B341" s="145"/>
      <c r="C341" s="145"/>
      <c r="D341" s="145"/>
      <c r="E341" s="145"/>
      <c r="F341" s="145"/>
      <c r="G341" s="145"/>
      <c r="H341" s="145"/>
      <c r="I341" s="145"/>
    </row>
    <row r="342" spans="1:9" ht="15.75" customHeight="1">
      <c r="A342" s="658"/>
      <c r="B342" s="145"/>
      <c r="C342" s="145"/>
      <c r="D342" s="145"/>
      <c r="E342" s="145"/>
      <c r="F342" s="145"/>
      <c r="G342" s="145"/>
      <c r="H342" s="145"/>
      <c r="I342" s="145"/>
    </row>
    <row r="343" spans="1:9" ht="15.75" customHeight="1">
      <c r="A343" s="658"/>
      <c r="B343" s="145"/>
      <c r="C343" s="145"/>
      <c r="D343" s="145"/>
      <c r="E343" s="145"/>
      <c r="F343" s="145"/>
      <c r="G343" s="145"/>
      <c r="H343" s="145"/>
      <c r="I343" s="145"/>
    </row>
    <row r="344" spans="1:9" ht="15.75" customHeight="1">
      <c r="A344" s="658"/>
      <c r="B344" s="145"/>
      <c r="C344" s="145"/>
      <c r="D344" s="145"/>
      <c r="E344" s="145"/>
      <c r="F344" s="145"/>
      <c r="G344" s="145"/>
      <c r="H344" s="145"/>
      <c r="I344" s="145"/>
    </row>
    <row r="345" spans="1:9" ht="15.75" customHeight="1">
      <c r="A345" s="658"/>
      <c r="B345" s="145"/>
      <c r="C345" s="145"/>
      <c r="D345" s="145"/>
      <c r="E345" s="145"/>
      <c r="F345" s="145"/>
      <c r="G345" s="145"/>
      <c r="H345" s="145"/>
      <c r="I345" s="145"/>
    </row>
    <row r="346" spans="1:9" ht="15.75" customHeight="1">
      <c r="A346" s="658"/>
      <c r="B346" s="145"/>
      <c r="C346" s="145"/>
      <c r="D346" s="145"/>
      <c r="E346" s="145"/>
      <c r="F346" s="145"/>
      <c r="G346" s="145"/>
      <c r="H346" s="145"/>
      <c r="I346" s="145"/>
    </row>
    <row r="347" spans="1:9" ht="15.75" customHeight="1">
      <c r="A347" s="658"/>
      <c r="B347" s="145"/>
      <c r="C347" s="145"/>
      <c r="D347" s="145"/>
      <c r="E347" s="145"/>
      <c r="F347" s="145"/>
      <c r="G347" s="145"/>
      <c r="H347" s="145"/>
      <c r="I347" s="145"/>
    </row>
    <row r="348" spans="1:9" ht="15.75" customHeight="1">
      <c r="A348" s="658"/>
      <c r="B348" s="145"/>
      <c r="C348" s="145"/>
      <c r="D348" s="145"/>
      <c r="E348" s="145"/>
      <c r="F348" s="145"/>
      <c r="G348" s="145"/>
      <c r="H348" s="145"/>
      <c r="I348" s="145"/>
    </row>
    <row r="349" spans="1:9" ht="15.75" customHeight="1">
      <c r="A349" s="658"/>
      <c r="B349" s="145"/>
      <c r="C349" s="145"/>
      <c r="D349" s="145"/>
      <c r="E349" s="145"/>
      <c r="F349" s="145"/>
      <c r="G349" s="145"/>
      <c r="H349" s="145"/>
      <c r="I349" s="145"/>
    </row>
    <row r="350" spans="1:9" ht="15.75" customHeight="1">
      <c r="A350" s="658"/>
      <c r="B350" s="145"/>
      <c r="C350" s="145"/>
      <c r="D350" s="145"/>
      <c r="E350" s="145"/>
      <c r="F350" s="145"/>
      <c r="G350" s="145"/>
      <c r="H350" s="145"/>
      <c r="I350" s="145"/>
    </row>
    <row r="351" spans="1:9" ht="15.75" customHeight="1">
      <c r="A351" s="658"/>
      <c r="B351" s="145"/>
      <c r="C351" s="145"/>
      <c r="D351" s="145"/>
      <c r="E351" s="145"/>
      <c r="F351" s="145"/>
      <c r="G351" s="145"/>
      <c r="H351" s="145"/>
      <c r="I351" s="145"/>
    </row>
    <row r="352" spans="1:9" ht="15.75" customHeight="1">
      <c r="A352" s="658"/>
      <c r="B352" s="145"/>
      <c r="C352" s="145"/>
      <c r="D352" s="145"/>
      <c r="E352" s="145"/>
      <c r="F352" s="145"/>
      <c r="G352" s="145"/>
      <c r="H352" s="145"/>
      <c r="I352" s="145"/>
    </row>
    <row r="353" spans="1:9" ht="15.75" customHeight="1">
      <c r="A353" s="658"/>
      <c r="B353" s="145"/>
      <c r="C353" s="145"/>
      <c r="D353" s="145"/>
      <c r="E353" s="145"/>
      <c r="F353" s="145"/>
      <c r="G353" s="145"/>
      <c r="H353" s="145"/>
      <c r="I353" s="145"/>
    </row>
    <row r="354" spans="1:9" ht="15.75" customHeight="1">
      <c r="A354" s="658"/>
      <c r="B354" s="145"/>
      <c r="C354" s="145"/>
      <c r="D354" s="145"/>
      <c r="E354" s="145"/>
      <c r="F354" s="145"/>
      <c r="G354" s="145"/>
      <c r="H354" s="145"/>
      <c r="I354" s="145"/>
    </row>
    <row r="355" spans="1:9" ht="15.75" customHeight="1">
      <c r="A355" s="658"/>
      <c r="B355" s="145"/>
      <c r="C355" s="145"/>
      <c r="D355" s="145"/>
      <c r="E355" s="145"/>
      <c r="F355" s="145"/>
      <c r="G355" s="145"/>
      <c r="H355" s="145"/>
      <c r="I355" s="145"/>
    </row>
    <row r="356" spans="1:9" ht="15.75" customHeight="1">
      <c r="A356" s="658"/>
      <c r="B356" s="145"/>
      <c r="C356" s="145"/>
      <c r="D356" s="145"/>
      <c r="E356" s="145"/>
      <c r="F356" s="145"/>
      <c r="G356" s="145"/>
      <c r="H356" s="145"/>
      <c r="I356" s="145"/>
    </row>
    <row r="357" spans="1:9" ht="15.75" customHeight="1">
      <c r="A357" s="658"/>
      <c r="B357" s="145"/>
      <c r="C357" s="145"/>
      <c r="D357" s="145"/>
      <c r="E357" s="145"/>
      <c r="F357" s="145"/>
      <c r="G357" s="145"/>
      <c r="H357" s="145"/>
      <c r="I357" s="145"/>
    </row>
    <row r="358" spans="1:9" ht="15.75" customHeight="1">
      <c r="A358" s="658"/>
      <c r="B358" s="145"/>
      <c r="C358" s="145"/>
      <c r="D358" s="145"/>
      <c r="E358" s="145"/>
      <c r="F358" s="145"/>
      <c r="G358" s="145"/>
      <c r="H358" s="145"/>
      <c r="I358" s="145"/>
    </row>
    <row r="359" spans="1:9" ht="15.75" customHeight="1">
      <c r="A359" s="658"/>
      <c r="B359" s="145"/>
      <c r="C359" s="145"/>
      <c r="D359" s="145"/>
      <c r="E359" s="145"/>
      <c r="F359" s="145"/>
      <c r="G359" s="145"/>
      <c r="H359" s="145"/>
      <c r="I359" s="145"/>
    </row>
    <row r="360" spans="1:9" ht="15.75" customHeight="1">
      <c r="A360" s="658"/>
      <c r="B360" s="145"/>
      <c r="C360" s="145"/>
      <c r="D360" s="145"/>
      <c r="E360" s="145"/>
      <c r="F360" s="145"/>
      <c r="G360" s="145"/>
      <c r="H360" s="145"/>
      <c r="I360" s="145"/>
    </row>
    <row r="361" spans="1:9" ht="15.75" customHeight="1">
      <c r="A361" s="658"/>
      <c r="B361" s="145"/>
      <c r="C361" s="145"/>
      <c r="D361" s="145"/>
      <c r="E361" s="145"/>
      <c r="F361" s="145"/>
      <c r="G361" s="145"/>
      <c r="H361" s="145"/>
      <c r="I361" s="145"/>
    </row>
    <row r="362" spans="1:9" ht="15.75" customHeight="1">
      <c r="A362" s="658"/>
      <c r="B362" s="145"/>
      <c r="C362" s="145"/>
      <c r="D362" s="145"/>
      <c r="E362" s="145"/>
      <c r="F362" s="145"/>
      <c r="G362" s="145"/>
      <c r="H362" s="145"/>
      <c r="I362" s="145"/>
    </row>
    <row r="363" spans="1:9" ht="15.75" customHeight="1">
      <c r="A363" s="658"/>
      <c r="B363" s="145"/>
      <c r="C363" s="145"/>
      <c r="D363" s="145"/>
      <c r="E363" s="145"/>
      <c r="F363" s="145"/>
      <c r="G363" s="145"/>
      <c r="H363" s="145"/>
      <c r="I363" s="145"/>
    </row>
    <row r="364" spans="1:9" ht="15.75" customHeight="1">
      <c r="A364" s="658"/>
      <c r="B364" s="145"/>
      <c r="C364" s="145"/>
      <c r="D364" s="145"/>
      <c r="E364" s="145"/>
      <c r="F364" s="145"/>
      <c r="G364" s="145"/>
      <c r="H364" s="145"/>
      <c r="I364" s="145"/>
    </row>
    <row r="365" spans="1:9" ht="15.75" customHeight="1">
      <c r="A365" s="658"/>
      <c r="B365" s="145"/>
      <c r="C365" s="145"/>
      <c r="D365" s="145"/>
      <c r="E365" s="145"/>
      <c r="F365" s="145"/>
      <c r="G365" s="145"/>
      <c r="H365" s="145"/>
      <c r="I365" s="145"/>
    </row>
    <row r="366" spans="1:9" ht="15.75" customHeight="1">
      <c r="A366" s="658"/>
      <c r="B366" s="145"/>
      <c r="C366" s="145"/>
      <c r="D366" s="145"/>
      <c r="E366" s="145"/>
      <c r="F366" s="145"/>
      <c r="G366" s="145"/>
      <c r="H366" s="145"/>
      <c r="I366" s="145"/>
    </row>
    <row r="367" spans="1:9" ht="15.75" customHeight="1">
      <c r="A367" s="658"/>
      <c r="B367" s="145"/>
      <c r="C367" s="145"/>
      <c r="D367" s="145"/>
      <c r="E367" s="145"/>
      <c r="F367" s="145"/>
      <c r="G367" s="145"/>
      <c r="H367" s="145"/>
      <c r="I367" s="145"/>
    </row>
    <row r="368" spans="1:9" ht="15.75" customHeight="1">
      <c r="A368" s="658"/>
      <c r="B368" s="145"/>
      <c r="C368" s="145"/>
      <c r="D368" s="145"/>
      <c r="E368" s="145"/>
      <c r="F368" s="145"/>
      <c r="G368" s="145"/>
      <c r="H368" s="145"/>
      <c r="I368" s="145"/>
    </row>
    <row r="369" spans="1:9" ht="15.75" customHeight="1">
      <c r="A369" s="658"/>
      <c r="B369" s="145"/>
      <c r="C369" s="145"/>
      <c r="D369" s="145"/>
      <c r="E369" s="145"/>
      <c r="F369" s="145"/>
      <c r="G369" s="145"/>
      <c r="H369" s="145"/>
      <c r="I369" s="145"/>
    </row>
    <row r="370" spans="1:9" ht="15.75" customHeight="1">
      <c r="A370" s="658"/>
      <c r="B370" s="145"/>
      <c r="C370" s="145"/>
      <c r="D370" s="145"/>
      <c r="E370" s="145"/>
      <c r="F370" s="145"/>
      <c r="G370" s="145"/>
      <c r="H370" s="145"/>
      <c r="I370" s="145"/>
    </row>
    <row r="371" spans="1:9" ht="15.75" customHeight="1">
      <c r="A371" s="658"/>
      <c r="B371" s="145"/>
      <c r="C371" s="145"/>
      <c r="D371" s="145"/>
      <c r="E371" s="145"/>
      <c r="F371" s="145"/>
      <c r="G371" s="145"/>
      <c r="H371" s="145"/>
      <c r="I371" s="145"/>
    </row>
    <row r="372" spans="1:9" ht="15.75" customHeight="1">
      <c r="A372" s="658"/>
      <c r="B372" s="145"/>
      <c r="C372" s="145"/>
      <c r="D372" s="145"/>
      <c r="E372" s="145"/>
      <c r="F372" s="145"/>
      <c r="G372" s="145"/>
      <c r="H372" s="145"/>
      <c r="I372" s="145"/>
    </row>
    <row r="373" spans="1:9" ht="15.75" customHeight="1">
      <c r="A373" s="658"/>
      <c r="B373" s="145"/>
      <c r="C373" s="145"/>
      <c r="D373" s="145"/>
      <c r="E373" s="145"/>
      <c r="F373" s="145"/>
      <c r="G373" s="145"/>
      <c r="H373" s="145"/>
      <c r="I373" s="145"/>
    </row>
    <row r="374" spans="1:9" ht="15.75" customHeight="1">
      <c r="A374" s="658"/>
      <c r="B374" s="145"/>
      <c r="C374" s="145"/>
      <c r="D374" s="145"/>
      <c r="E374" s="145"/>
      <c r="F374" s="145"/>
      <c r="G374" s="145"/>
      <c r="H374" s="145"/>
      <c r="I374" s="145"/>
    </row>
    <row r="375" spans="1:9" ht="15.75" customHeight="1">
      <c r="A375" s="658"/>
      <c r="B375" s="145"/>
      <c r="C375" s="145"/>
      <c r="D375" s="145"/>
      <c r="E375" s="145"/>
      <c r="F375" s="145"/>
      <c r="G375" s="145"/>
      <c r="H375" s="145"/>
      <c r="I375" s="145"/>
    </row>
    <row r="376" spans="1:9" ht="15.75" customHeight="1">
      <c r="A376" s="658"/>
      <c r="B376" s="145"/>
      <c r="C376" s="145"/>
      <c r="D376" s="145"/>
      <c r="E376" s="145"/>
      <c r="F376" s="145"/>
      <c r="G376" s="145"/>
      <c r="H376" s="145"/>
      <c r="I376" s="145"/>
    </row>
    <row r="377" spans="1:9" ht="15.75" customHeight="1">
      <c r="A377" s="658"/>
      <c r="B377" s="145"/>
      <c r="C377" s="145"/>
      <c r="D377" s="145"/>
      <c r="E377" s="145"/>
      <c r="F377" s="145"/>
      <c r="G377" s="145"/>
      <c r="H377" s="145"/>
      <c r="I377" s="145"/>
    </row>
    <row r="378" spans="1:9" ht="15.75" customHeight="1">
      <c r="A378" s="658"/>
      <c r="B378" s="145"/>
      <c r="C378" s="145"/>
      <c r="D378" s="145"/>
      <c r="E378" s="145"/>
      <c r="F378" s="145"/>
      <c r="G378" s="145"/>
      <c r="H378" s="145"/>
      <c r="I378" s="145"/>
    </row>
    <row r="379" spans="1:9" ht="15.75" customHeight="1">
      <c r="A379" s="658"/>
      <c r="B379" s="145"/>
      <c r="C379" s="145"/>
      <c r="D379" s="145"/>
      <c r="E379" s="145"/>
      <c r="F379" s="145"/>
      <c r="G379" s="145"/>
      <c r="H379" s="145"/>
      <c r="I379" s="145"/>
    </row>
    <row r="380" spans="1:9" ht="15.75" customHeight="1">
      <c r="A380" s="658"/>
      <c r="B380" s="145"/>
      <c r="C380" s="145"/>
      <c r="D380" s="145"/>
      <c r="E380" s="145"/>
      <c r="F380" s="145"/>
      <c r="G380" s="145"/>
      <c r="H380" s="145"/>
      <c r="I380" s="145"/>
    </row>
    <row r="381" spans="1:9" ht="15.75" customHeight="1">
      <c r="A381" s="658"/>
      <c r="B381" s="145"/>
      <c r="C381" s="145"/>
      <c r="D381" s="145"/>
      <c r="E381" s="145"/>
      <c r="F381" s="145"/>
      <c r="G381" s="145"/>
      <c r="H381" s="145"/>
      <c r="I381" s="145"/>
    </row>
    <row r="382" spans="1:9" ht="15.75" customHeight="1">
      <c r="A382" s="658"/>
      <c r="B382" s="145"/>
      <c r="C382" s="145"/>
      <c r="D382" s="145"/>
      <c r="E382" s="145"/>
      <c r="F382" s="145"/>
      <c r="G382" s="145"/>
      <c r="H382" s="145"/>
      <c r="I382" s="145"/>
    </row>
    <row r="383" spans="1:9" ht="15.75" customHeight="1">
      <c r="A383" s="658"/>
      <c r="B383" s="145"/>
      <c r="C383" s="145"/>
      <c r="D383" s="145"/>
      <c r="E383" s="145"/>
      <c r="F383" s="145"/>
      <c r="G383" s="145"/>
      <c r="H383" s="145"/>
      <c r="I383" s="145"/>
    </row>
    <row r="384" spans="1:9" ht="15.75" customHeight="1">
      <c r="A384" s="658"/>
      <c r="B384" s="145"/>
      <c r="C384" s="145"/>
      <c r="D384" s="145"/>
      <c r="E384" s="145"/>
      <c r="F384" s="145"/>
      <c r="G384" s="145"/>
      <c r="H384" s="145"/>
      <c r="I384" s="145"/>
    </row>
    <row r="385" spans="1:9" ht="15.75" customHeight="1">
      <c r="A385" s="658"/>
      <c r="B385" s="145"/>
      <c r="C385" s="145"/>
      <c r="D385" s="145"/>
      <c r="E385" s="145"/>
      <c r="F385" s="145"/>
      <c r="G385" s="145"/>
      <c r="H385" s="145"/>
      <c r="I385" s="145"/>
    </row>
    <row r="386" spans="1:9" ht="15.75" customHeight="1">
      <c r="A386" s="658"/>
      <c r="B386" s="145"/>
      <c r="C386" s="145"/>
      <c r="D386" s="145"/>
      <c r="E386" s="145"/>
      <c r="F386" s="145"/>
      <c r="G386" s="145"/>
      <c r="H386" s="145"/>
      <c r="I386" s="145"/>
    </row>
    <row r="387" spans="1:9" ht="15.75" customHeight="1">
      <c r="A387" s="658"/>
      <c r="B387" s="145"/>
      <c r="C387" s="145"/>
      <c r="D387" s="145"/>
      <c r="E387" s="145"/>
      <c r="F387" s="145"/>
      <c r="G387" s="145"/>
      <c r="H387" s="145"/>
      <c r="I387" s="145"/>
    </row>
    <row r="388" spans="1:9" ht="15.75" customHeight="1">
      <c r="A388" s="658"/>
      <c r="B388" s="145"/>
      <c r="C388" s="145"/>
      <c r="D388" s="145"/>
      <c r="E388" s="145"/>
      <c r="F388" s="145"/>
      <c r="G388" s="145"/>
      <c r="H388" s="145"/>
      <c r="I388" s="145"/>
    </row>
    <row r="389" spans="1:9" ht="15.75" customHeight="1">
      <c r="A389" s="658"/>
      <c r="B389" s="145"/>
      <c r="C389" s="145"/>
      <c r="D389" s="145"/>
      <c r="E389" s="145"/>
      <c r="F389" s="145"/>
      <c r="G389" s="145"/>
      <c r="H389" s="145"/>
      <c r="I389" s="145"/>
    </row>
    <row r="390" spans="1:9" ht="15.75" customHeight="1">
      <c r="A390" s="658"/>
      <c r="B390" s="145"/>
      <c r="C390" s="145"/>
      <c r="D390" s="145"/>
      <c r="E390" s="145"/>
      <c r="F390" s="145"/>
      <c r="G390" s="145"/>
      <c r="H390" s="145"/>
      <c r="I390" s="145"/>
    </row>
    <row r="391" spans="1:9" ht="15.75" customHeight="1">
      <c r="A391" s="658"/>
      <c r="B391" s="145"/>
      <c r="C391" s="145"/>
      <c r="D391" s="145"/>
      <c r="E391" s="145"/>
      <c r="F391" s="145"/>
      <c r="G391" s="145"/>
      <c r="H391" s="145"/>
      <c r="I391" s="145"/>
    </row>
    <row r="392" spans="1:9" ht="15.75" customHeight="1">
      <c r="A392" s="658"/>
      <c r="B392" s="145"/>
      <c r="C392" s="145"/>
      <c r="D392" s="145"/>
      <c r="E392" s="145"/>
      <c r="F392" s="145"/>
      <c r="G392" s="145"/>
      <c r="H392" s="145"/>
      <c r="I392" s="145"/>
    </row>
    <row r="393" spans="1:9" ht="15.75" customHeight="1">
      <c r="A393" s="658"/>
      <c r="B393" s="145"/>
      <c r="C393" s="145"/>
      <c r="D393" s="145"/>
      <c r="E393" s="145"/>
      <c r="F393" s="145"/>
      <c r="G393" s="145"/>
      <c r="H393" s="145"/>
      <c r="I393" s="145"/>
    </row>
    <row r="394" spans="1:9" ht="15.75" customHeight="1">
      <c r="A394" s="658"/>
      <c r="B394" s="145"/>
      <c r="C394" s="145"/>
      <c r="D394" s="145"/>
      <c r="E394" s="145"/>
      <c r="F394" s="145"/>
      <c r="G394" s="145"/>
      <c r="H394" s="145"/>
      <c r="I394" s="145"/>
    </row>
    <row r="395" spans="1:9" ht="15.75" customHeight="1">
      <c r="A395" s="658"/>
      <c r="B395" s="145"/>
      <c r="C395" s="145"/>
      <c r="D395" s="145"/>
      <c r="E395" s="145"/>
      <c r="F395" s="145"/>
      <c r="G395" s="145"/>
      <c r="H395" s="145"/>
      <c r="I395" s="145"/>
    </row>
    <row r="396" spans="1:9" ht="15.75" customHeight="1">
      <c r="A396" s="658"/>
      <c r="B396" s="145"/>
      <c r="C396" s="145"/>
      <c r="D396" s="145"/>
      <c r="E396" s="145"/>
      <c r="F396" s="145"/>
      <c r="G396" s="145"/>
      <c r="H396" s="145"/>
      <c r="I396" s="145"/>
    </row>
    <row r="397" spans="1:9" ht="15.75" customHeight="1">
      <c r="A397" s="658"/>
      <c r="B397" s="145"/>
      <c r="C397" s="145"/>
      <c r="D397" s="145"/>
      <c r="E397" s="145"/>
      <c r="F397" s="145"/>
      <c r="G397" s="145"/>
      <c r="H397" s="145"/>
      <c r="I397" s="145"/>
    </row>
    <row r="398" spans="1:9" ht="15.75" customHeight="1">
      <c r="A398" s="658"/>
      <c r="B398" s="145"/>
      <c r="C398" s="145"/>
      <c r="D398" s="145"/>
      <c r="E398" s="145"/>
      <c r="F398" s="145"/>
      <c r="G398" s="145"/>
      <c r="H398" s="145"/>
      <c r="I398" s="145"/>
    </row>
    <row r="399" spans="1:9" ht="15.75" customHeight="1">
      <c r="A399" s="658"/>
      <c r="B399" s="145"/>
      <c r="C399" s="145"/>
      <c r="D399" s="145"/>
      <c r="E399" s="145"/>
      <c r="F399" s="145"/>
      <c r="G399" s="145"/>
      <c r="H399" s="145"/>
      <c r="I399" s="145"/>
    </row>
    <row r="400" spans="1:9" ht="15.75" customHeight="1">
      <c r="A400" s="658"/>
      <c r="B400" s="145"/>
      <c r="C400" s="145"/>
      <c r="D400" s="145"/>
      <c r="E400" s="145"/>
      <c r="F400" s="145"/>
      <c r="G400" s="145"/>
      <c r="H400" s="145"/>
      <c r="I400" s="145"/>
    </row>
    <row r="401" spans="1:9" ht="15.75" customHeight="1">
      <c r="A401" s="658"/>
      <c r="B401" s="145"/>
      <c r="C401" s="145"/>
      <c r="D401" s="145"/>
      <c r="E401" s="145"/>
      <c r="F401" s="145"/>
      <c r="G401" s="145"/>
      <c r="H401" s="145"/>
      <c r="I401" s="145"/>
    </row>
    <row r="402" spans="1:9" ht="15.75" customHeight="1">
      <c r="A402" s="658"/>
      <c r="B402" s="145"/>
      <c r="C402" s="145"/>
      <c r="D402" s="145"/>
      <c r="E402" s="145"/>
      <c r="F402" s="145"/>
      <c r="G402" s="145"/>
      <c r="H402" s="145"/>
      <c r="I402" s="145"/>
    </row>
    <row r="403" spans="1:9" ht="15.75" customHeight="1">
      <c r="A403" s="658"/>
      <c r="B403" s="145"/>
      <c r="C403" s="145"/>
      <c r="D403" s="145"/>
      <c r="E403" s="145"/>
      <c r="F403" s="145"/>
      <c r="G403" s="145"/>
      <c r="H403" s="145"/>
      <c r="I403" s="145"/>
    </row>
    <row r="404" spans="1:9" ht="15.75" customHeight="1">
      <c r="A404" s="658"/>
      <c r="B404" s="145"/>
      <c r="C404" s="145"/>
      <c r="D404" s="145"/>
      <c r="E404" s="145"/>
      <c r="F404" s="145"/>
      <c r="G404" s="145"/>
      <c r="H404" s="145"/>
      <c r="I404" s="145"/>
    </row>
    <row r="405" spans="1:9" ht="15.75" customHeight="1">
      <c r="A405" s="658"/>
      <c r="B405" s="145"/>
      <c r="C405" s="145"/>
      <c r="D405" s="145"/>
      <c r="E405" s="145"/>
      <c r="F405" s="145"/>
      <c r="G405" s="145"/>
      <c r="H405" s="145"/>
      <c r="I405" s="145"/>
    </row>
    <row r="406" spans="1:9" ht="15.75" customHeight="1">
      <c r="A406" s="658"/>
      <c r="B406" s="145"/>
      <c r="C406" s="145"/>
      <c r="D406" s="145"/>
      <c r="E406" s="145"/>
      <c r="F406" s="145"/>
      <c r="G406" s="145"/>
      <c r="H406" s="145"/>
      <c r="I406" s="145"/>
    </row>
    <row r="407" spans="1:9" ht="15.75" customHeight="1">
      <c r="A407" s="658"/>
      <c r="B407" s="145"/>
      <c r="C407" s="145"/>
      <c r="D407" s="145"/>
      <c r="E407" s="145"/>
      <c r="F407" s="145"/>
      <c r="G407" s="145"/>
      <c r="H407" s="145"/>
      <c r="I407" s="145"/>
    </row>
    <row r="408" spans="1:9" ht="15.75" customHeight="1">
      <c r="A408" s="658"/>
      <c r="B408" s="145"/>
      <c r="C408" s="145"/>
      <c r="D408" s="145"/>
      <c r="E408" s="145"/>
      <c r="F408" s="145"/>
      <c r="G408" s="145"/>
      <c r="H408" s="145"/>
      <c r="I408" s="145"/>
    </row>
    <row r="409" spans="1:9" ht="15.75" customHeight="1">
      <c r="A409" s="658"/>
      <c r="B409" s="145"/>
      <c r="C409" s="145"/>
      <c r="D409" s="145"/>
      <c r="E409" s="145"/>
      <c r="F409" s="145"/>
      <c r="G409" s="145"/>
      <c r="H409" s="145"/>
      <c r="I409" s="145"/>
    </row>
    <row r="410" spans="1:9" ht="15.75" customHeight="1">
      <c r="A410" s="658"/>
      <c r="B410" s="145"/>
      <c r="C410" s="145"/>
      <c r="D410" s="145"/>
      <c r="E410" s="145"/>
      <c r="F410" s="145"/>
      <c r="G410" s="145"/>
      <c r="H410" s="145"/>
      <c r="I410" s="145"/>
    </row>
    <row r="411" spans="1:9" ht="15.75" customHeight="1">
      <c r="A411" s="658"/>
      <c r="B411" s="145"/>
      <c r="C411" s="145"/>
      <c r="D411" s="145"/>
      <c r="E411" s="145"/>
      <c r="F411" s="145"/>
      <c r="G411" s="145"/>
      <c r="H411" s="145"/>
      <c r="I411" s="145"/>
    </row>
    <row r="412" spans="1:9" ht="15.75" customHeight="1">
      <c r="A412" s="658"/>
      <c r="B412" s="145"/>
      <c r="C412" s="145"/>
      <c r="D412" s="145"/>
      <c r="E412" s="145"/>
      <c r="F412" s="145"/>
      <c r="G412" s="145"/>
      <c r="H412" s="145"/>
      <c r="I412" s="145"/>
    </row>
    <row r="413" spans="1:9" ht="15.75" customHeight="1">
      <c r="A413" s="658"/>
      <c r="B413" s="145"/>
      <c r="C413" s="145"/>
      <c r="D413" s="145"/>
      <c r="E413" s="145"/>
      <c r="F413" s="145"/>
      <c r="G413" s="145"/>
      <c r="H413" s="145"/>
      <c r="I413" s="145"/>
    </row>
    <row r="414" spans="1:9" ht="15.75" customHeight="1">
      <c r="A414" s="658"/>
      <c r="B414" s="145"/>
      <c r="C414" s="145"/>
      <c r="D414" s="145"/>
      <c r="E414" s="145"/>
      <c r="F414" s="145"/>
      <c r="G414" s="145"/>
      <c r="H414" s="145"/>
      <c r="I414" s="145"/>
    </row>
    <row r="415" spans="1:9" ht="15.75" customHeight="1">
      <c r="A415" s="658"/>
      <c r="B415" s="145"/>
      <c r="C415" s="145"/>
      <c r="D415" s="145"/>
      <c r="E415" s="145"/>
      <c r="F415" s="145"/>
      <c r="G415" s="145"/>
      <c r="H415" s="145"/>
      <c r="I415" s="145"/>
    </row>
    <row r="416" spans="1:9" ht="15.75" customHeight="1">
      <c r="A416" s="658"/>
      <c r="B416" s="145"/>
      <c r="C416" s="145"/>
      <c r="D416" s="145"/>
      <c r="E416" s="145"/>
      <c r="F416" s="145"/>
      <c r="G416" s="145"/>
      <c r="H416" s="145"/>
      <c r="I416" s="145"/>
    </row>
    <row r="417" spans="1:9" ht="15.75" customHeight="1">
      <c r="A417" s="658"/>
      <c r="B417" s="145"/>
      <c r="C417" s="145"/>
      <c r="D417" s="145"/>
      <c r="E417" s="145"/>
      <c r="F417" s="145"/>
      <c r="G417" s="145"/>
      <c r="H417" s="145"/>
      <c r="I417" s="145"/>
    </row>
    <row r="418" spans="1:9" ht="15.75" customHeight="1">
      <c r="A418" s="658"/>
      <c r="B418" s="145"/>
      <c r="C418" s="145"/>
      <c r="D418" s="145"/>
      <c r="E418" s="145"/>
      <c r="F418" s="145"/>
      <c r="G418" s="145"/>
      <c r="H418" s="145"/>
      <c r="I418" s="145"/>
    </row>
    <row r="419" spans="1:9" ht="15.75" customHeight="1">
      <c r="A419" s="658"/>
      <c r="B419" s="145"/>
      <c r="C419" s="145"/>
      <c r="D419" s="145"/>
      <c r="E419" s="145"/>
      <c r="F419" s="145"/>
      <c r="G419" s="145"/>
      <c r="H419" s="145"/>
      <c r="I419" s="145"/>
    </row>
    <row r="420" spans="1:9" ht="15.75" customHeight="1">
      <c r="A420" s="658"/>
      <c r="B420" s="145"/>
      <c r="C420" s="145"/>
      <c r="D420" s="145"/>
      <c r="E420" s="145"/>
      <c r="F420" s="145"/>
      <c r="G420" s="145"/>
      <c r="H420" s="145"/>
      <c r="I420" s="145"/>
    </row>
    <row r="421" spans="1:9" ht="15.75" customHeight="1">
      <c r="A421" s="658"/>
      <c r="B421" s="145"/>
      <c r="C421" s="145"/>
      <c r="D421" s="145"/>
      <c r="E421" s="145"/>
      <c r="F421" s="145"/>
      <c r="G421" s="145"/>
      <c r="H421" s="145"/>
      <c r="I421" s="145"/>
    </row>
    <row r="422" spans="1:9" ht="15.75" customHeight="1">
      <c r="A422" s="658"/>
      <c r="B422" s="145"/>
      <c r="C422" s="145"/>
      <c r="D422" s="145"/>
      <c r="E422" s="145"/>
      <c r="F422" s="145"/>
      <c r="G422" s="145"/>
      <c r="H422" s="145"/>
      <c r="I422" s="145"/>
    </row>
    <row r="423" spans="1:9" ht="15.75" customHeight="1">
      <c r="A423" s="658"/>
      <c r="B423" s="145"/>
      <c r="C423" s="145"/>
      <c r="D423" s="145"/>
      <c r="E423" s="145"/>
      <c r="F423" s="145"/>
      <c r="G423" s="145"/>
      <c r="H423" s="145"/>
      <c r="I423" s="145"/>
    </row>
    <row r="424" spans="1:9" ht="15.75" customHeight="1">
      <c r="A424" s="658"/>
      <c r="B424" s="145"/>
      <c r="C424" s="145"/>
      <c r="D424" s="145"/>
      <c r="E424" s="145"/>
      <c r="F424" s="145"/>
      <c r="G424" s="145"/>
      <c r="H424" s="145"/>
      <c r="I424" s="145"/>
    </row>
    <row r="425" spans="1:9" ht="15.75" customHeight="1">
      <c r="A425" s="658"/>
      <c r="B425" s="145"/>
      <c r="C425" s="145"/>
      <c r="D425" s="145"/>
      <c r="E425" s="145"/>
      <c r="F425" s="145"/>
      <c r="G425" s="145"/>
      <c r="H425" s="145"/>
      <c r="I425" s="145"/>
    </row>
    <row r="426" spans="1:9" ht="15.75" customHeight="1">
      <c r="A426" s="658"/>
      <c r="B426" s="145"/>
      <c r="C426" s="145"/>
      <c r="D426" s="145"/>
      <c r="E426" s="145"/>
      <c r="F426" s="145"/>
      <c r="G426" s="145"/>
      <c r="H426" s="145"/>
      <c r="I426" s="145"/>
    </row>
    <row r="427" spans="1:9" ht="15.75" customHeight="1">
      <c r="A427" s="658"/>
      <c r="B427" s="145"/>
      <c r="C427" s="145"/>
      <c r="D427" s="145"/>
      <c r="E427" s="145"/>
      <c r="F427" s="145"/>
      <c r="G427" s="145"/>
      <c r="H427" s="145"/>
      <c r="I427" s="145"/>
    </row>
    <row r="428" spans="1:9" ht="15.75" customHeight="1">
      <c r="A428" s="658"/>
      <c r="B428" s="145"/>
      <c r="C428" s="145"/>
      <c r="D428" s="145"/>
      <c r="E428" s="145"/>
      <c r="F428" s="145"/>
      <c r="G428" s="145"/>
      <c r="H428" s="145"/>
      <c r="I428" s="145"/>
    </row>
    <row r="429" spans="1:9" ht="15.75" customHeight="1">
      <c r="A429" s="658"/>
      <c r="B429" s="145"/>
      <c r="C429" s="145"/>
      <c r="D429" s="145"/>
      <c r="E429" s="145"/>
      <c r="F429" s="145"/>
      <c r="G429" s="145"/>
      <c r="H429" s="145"/>
      <c r="I429" s="145"/>
    </row>
    <row r="430" spans="1:9" ht="15.75" customHeight="1">
      <c r="A430" s="658"/>
      <c r="B430" s="145"/>
      <c r="C430" s="145"/>
      <c r="D430" s="145"/>
      <c r="E430" s="145"/>
      <c r="F430" s="145"/>
      <c r="G430" s="145"/>
      <c r="H430" s="145"/>
      <c r="I430" s="145"/>
    </row>
    <row r="431" spans="1:9" ht="15.75" customHeight="1">
      <c r="A431" s="658"/>
      <c r="B431" s="145"/>
      <c r="C431" s="145"/>
      <c r="D431" s="145"/>
      <c r="E431" s="145"/>
      <c r="F431" s="145"/>
      <c r="G431" s="145"/>
      <c r="H431" s="145"/>
      <c r="I431" s="145"/>
    </row>
    <row r="432" spans="1:9" ht="15.75" customHeight="1">
      <c r="A432" s="658"/>
      <c r="B432" s="145"/>
      <c r="C432" s="145"/>
      <c r="D432" s="145"/>
      <c r="E432" s="145"/>
      <c r="F432" s="145"/>
      <c r="G432" s="145"/>
      <c r="H432" s="145"/>
      <c r="I432" s="145"/>
    </row>
    <row r="433" spans="1:9" ht="15.75" customHeight="1">
      <c r="A433" s="658"/>
      <c r="B433" s="145"/>
      <c r="C433" s="145"/>
      <c r="D433" s="145"/>
      <c r="E433" s="145"/>
      <c r="F433" s="145"/>
      <c r="G433" s="145"/>
      <c r="H433" s="145"/>
      <c r="I433" s="145"/>
    </row>
    <row r="434" spans="1:9" ht="15.75" customHeight="1">
      <c r="A434" s="658"/>
      <c r="B434" s="145"/>
      <c r="C434" s="145"/>
      <c r="D434" s="145"/>
      <c r="E434" s="145"/>
      <c r="F434" s="145"/>
      <c r="G434" s="145"/>
      <c r="H434" s="145"/>
      <c r="I434" s="145"/>
    </row>
    <row r="435" spans="1:9" ht="15.75" customHeight="1">
      <c r="A435" s="658"/>
      <c r="B435" s="145"/>
      <c r="C435" s="145"/>
      <c r="D435" s="145"/>
      <c r="E435" s="145"/>
      <c r="F435" s="145"/>
      <c r="G435" s="145"/>
      <c r="H435" s="145"/>
      <c r="I435" s="145"/>
    </row>
    <row r="436" spans="1:9" ht="15.75" customHeight="1">
      <c r="A436" s="658"/>
      <c r="B436" s="145"/>
      <c r="C436" s="145"/>
      <c r="D436" s="145"/>
      <c r="E436" s="145"/>
      <c r="F436" s="145"/>
      <c r="G436" s="145"/>
      <c r="H436" s="145"/>
      <c r="I436" s="145"/>
    </row>
    <row r="437" spans="1:9" ht="15.75" customHeight="1">
      <c r="A437" s="658"/>
      <c r="B437" s="145"/>
      <c r="C437" s="145"/>
      <c r="D437" s="145"/>
      <c r="E437" s="145"/>
      <c r="F437" s="145"/>
      <c r="G437" s="145"/>
      <c r="H437" s="145"/>
      <c r="I437" s="145"/>
    </row>
    <row r="438" spans="1:9" ht="15.75" customHeight="1">
      <c r="A438" s="658"/>
      <c r="B438" s="145"/>
      <c r="C438" s="145"/>
      <c r="D438" s="145"/>
      <c r="E438" s="145"/>
      <c r="F438" s="145"/>
      <c r="G438" s="145"/>
      <c r="H438" s="145"/>
      <c r="I438" s="145"/>
    </row>
    <row r="439" spans="1:9" ht="15.75" customHeight="1">
      <c r="A439" s="658"/>
      <c r="B439" s="145"/>
      <c r="C439" s="145"/>
      <c r="D439" s="145"/>
      <c r="E439" s="145"/>
      <c r="F439" s="145"/>
      <c r="G439" s="145"/>
      <c r="H439" s="145"/>
      <c r="I439" s="145"/>
    </row>
    <row r="440" spans="1:9" ht="15.75" customHeight="1">
      <c r="A440" s="658"/>
      <c r="B440" s="145"/>
      <c r="C440" s="145"/>
      <c r="D440" s="145"/>
      <c r="E440" s="145"/>
      <c r="F440" s="145"/>
      <c r="G440" s="145"/>
      <c r="H440" s="145"/>
      <c r="I440" s="145"/>
    </row>
    <row r="441" spans="1:9" ht="15.75" customHeight="1">
      <c r="A441" s="658"/>
      <c r="B441" s="145"/>
      <c r="C441" s="145"/>
      <c r="D441" s="145"/>
      <c r="E441" s="145"/>
      <c r="F441" s="145"/>
      <c r="G441" s="145"/>
      <c r="H441" s="145"/>
      <c r="I441" s="145"/>
    </row>
    <row r="442" spans="1:9" ht="15.75" customHeight="1">
      <c r="A442" s="658"/>
      <c r="B442" s="145"/>
      <c r="C442" s="145"/>
      <c r="D442" s="145"/>
      <c r="E442" s="145"/>
      <c r="F442" s="145"/>
      <c r="G442" s="145"/>
      <c r="H442" s="145"/>
      <c r="I442" s="145"/>
    </row>
    <row r="443" spans="1:9" ht="15.75" customHeight="1">
      <c r="A443" s="658"/>
      <c r="B443" s="145"/>
      <c r="C443" s="145"/>
      <c r="D443" s="145"/>
      <c r="E443" s="145"/>
      <c r="F443" s="145"/>
      <c r="G443" s="145"/>
      <c r="H443" s="145"/>
      <c r="I443" s="145"/>
    </row>
    <row r="444" spans="1:9" ht="15.75" customHeight="1">
      <c r="A444" s="658"/>
      <c r="B444" s="145"/>
      <c r="C444" s="145"/>
      <c r="D444" s="145"/>
      <c r="E444" s="145"/>
      <c r="F444" s="145"/>
      <c r="G444" s="145"/>
      <c r="H444" s="145"/>
      <c r="I444" s="145"/>
    </row>
    <row r="445" spans="1:9" ht="15.75" customHeight="1">
      <c r="A445" s="658"/>
      <c r="B445" s="145"/>
      <c r="C445" s="145"/>
      <c r="D445" s="145"/>
      <c r="E445" s="145"/>
      <c r="F445" s="145"/>
      <c r="G445" s="145"/>
      <c r="H445" s="145"/>
      <c r="I445" s="145"/>
    </row>
    <row r="446" spans="1:9" ht="15.75" customHeight="1">
      <c r="A446" s="658"/>
      <c r="B446" s="145"/>
      <c r="C446" s="145"/>
      <c r="D446" s="145"/>
      <c r="E446" s="145"/>
      <c r="F446" s="145"/>
      <c r="G446" s="145"/>
      <c r="H446" s="145"/>
      <c r="I446" s="145"/>
    </row>
    <row r="447" spans="1:9" ht="15.75" customHeight="1">
      <c r="A447" s="658"/>
      <c r="B447" s="145"/>
      <c r="C447" s="145"/>
      <c r="D447" s="145"/>
      <c r="E447" s="145"/>
      <c r="F447" s="145"/>
      <c r="G447" s="145"/>
      <c r="H447" s="145"/>
      <c r="I447" s="145"/>
    </row>
    <row r="448" spans="1:9" ht="15.75" customHeight="1">
      <c r="A448" s="658"/>
      <c r="B448" s="145"/>
      <c r="C448" s="145"/>
      <c r="D448" s="145"/>
      <c r="E448" s="145"/>
      <c r="F448" s="145"/>
      <c r="G448" s="145"/>
      <c r="H448" s="145"/>
      <c r="I448" s="145"/>
    </row>
    <row r="449" spans="1:9" ht="15.75" customHeight="1">
      <c r="A449" s="658"/>
      <c r="B449" s="145"/>
      <c r="C449" s="145"/>
      <c r="D449" s="145"/>
      <c r="E449" s="145"/>
      <c r="F449" s="145"/>
      <c r="G449" s="145"/>
      <c r="H449" s="145"/>
      <c r="I449" s="145"/>
    </row>
    <row r="450" spans="1:9" ht="15.75" customHeight="1">
      <c r="A450" s="658"/>
      <c r="B450" s="145"/>
      <c r="C450" s="145"/>
      <c r="D450" s="145"/>
      <c r="E450" s="145"/>
      <c r="F450" s="145"/>
      <c r="G450" s="145"/>
      <c r="H450" s="145"/>
      <c r="I450" s="145"/>
    </row>
    <row r="451" spans="1:9" ht="15.75" customHeight="1">
      <c r="A451" s="658"/>
      <c r="B451" s="145"/>
      <c r="C451" s="145"/>
      <c r="D451" s="145"/>
      <c r="E451" s="145"/>
      <c r="F451" s="145"/>
      <c r="G451" s="145"/>
      <c r="H451" s="145"/>
      <c r="I451" s="145"/>
    </row>
    <row r="452" spans="1:9" ht="15.75" customHeight="1">
      <c r="A452" s="658"/>
      <c r="B452" s="145"/>
      <c r="C452" s="145"/>
      <c r="D452" s="145"/>
      <c r="E452" s="145"/>
      <c r="F452" s="145"/>
      <c r="G452" s="145"/>
      <c r="H452" s="145"/>
      <c r="I452" s="145"/>
    </row>
    <row r="453" spans="1:9" ht="15.75" customHeight="1">
      <c r="A453" s="658"/>
      <c r="B453" s="145"/>
      <c r="C453" s="145"/>
      <c r="D453" s="145"/>
      <c r="E453" s="145"/>
      <c r="F453" s="145"/>
      <c r="G453" s="145"/>
      <c r="H453" s="145"/>
      <c r="I453" s="145"/>
    </row>
    <row r="454" spans="1:9" ht="15.75" customHeight="1">
      <c r="A454" s="658"/>
      <c r="B454" s="145"/>
      <c r="C454" s="145"/>
      <c r="D454" s="145"/>
      <c r="E454" s="145"/>
      <c r="F454" s="145"/>
      <c r="G454" s="145"/>
      <c r="H454" s="145"/>
      <c r="I454" s="145"/>
    </row>
    <row r="455" spans="1:9" ht="15.75" customHeight="1">
      <c r="A455" s="658"/>
      <c r="B455" s="145"/>
      <c r="C455" s="145"/>
      <c r="D455" s="145"/>
      <c r="E455" s="145"/>
      <c r="F455" s="145"/>
      <c r="G455" s="145"/>
      <c r="H455" s="145"/>
      <c r="I455" s="145"/>
    </row>
    <row r="456" spans="1:9" ht="15.75" customHeight="1">
      <c r="A456" s="658"/>
      <c r="B456" s="145"/>
      <c r="C456" s="145"/>
      <c r="D456" s="145"/>
      <c r="E456" s="145"/>
      <c r="F456" s="145"/>
      <c r="G456" s="145"/>
      <c r="H456" s="145"/>
      <c r="I456" s="145"/>
    </row>
    <row r="457" spans="1:9" ht="15.75" customHeight="1">
      <c r="A457" s="658"/>
      <c r="B457" s="145"/>
      <c r="C457" s="145"/>
      <c r="D457" s="145"/>
      <c r="E457" s="145"/>
      <c r="F457" s="145"/>
      <c r="G457" s="145"/>
      <c r="H457" s="145"/>
      <c r="I457" s="145"/>
    </row>
    <row r="458" spans="1:9" ht="15.75" customHeight="1">
      <c r="A458" s="658"/>
      <c r="B458" s="145"/>
      <c r="C458" s="145"/>
      <c r="D458" s="145"/>
      <c r="E458" s="145"/>
      <c r="F458" s="145"/>
      <c r="G458" s="145"/>
      <c r="H458" s="145"/>
      <c r="I458" s="145"/>
    </row>
    <row r="459" spans="1:9" ht="15.75" customHeight="1">
      <c r="A459" s="658"/>
      <c r="B459" s="145"/>
      <c r="C459" s="145"/>
      <c r="D459" s="145"/>
      <c r="E459" s="145"/>
      <c r="F459" s="145"/>
      <c r="G459" s="145"/>
      <c r="H459" s="145"/>
      <c r="I459" s="145"/>
    </row>
    <row r="460" spans="1:9" ht="15.75" customHeight="1">
      <c r="A460" s="658"/>
      <c r="B460" s="145"/>
      <c r="C460" s="145"/>
      <c r="D460" s="145"/>
      <c r="E460" s="145"/>
      <c r="F460" s="145"/>
      <c r="G460" s="145"/>
      <c r="H460" s="145"/>
      <c r="I460" s="145"/>
    </row>
    <row r="461" spans="1:9" ht="15.75" customHeight="1">
      <c r="A461" s="658"/>
      <c r="B461" s="145"/>
      <c r="C461" s="145"/>
      <c r="D461" s="145"/>
      <c r="E461" s="145"/>
      <c r="F461" s="145"/>
      <c r="G461" s="145"/>
      <c r="H461" s="145"/>
      <c r="I461" s="145"/>
    </row>
    <row r="462" spans="1:9" ht="15.75" customHeight="1">
      <c r="A462" s="658"/>
      <c r="B462" s="145"/>
      <c r="C462" s="145"/>
      <c r="D462" s="145"/>
      <c r="E462" s="145"/>
      <c r="F462" s="145"/>
      <c r="G462" s="145"/>
      <c r="H462" s="145"/>
      <c r="I462" s="145"/>
    </row>
    <row r="463" spans="1:9" ht="15.75" customHeight="1">
      <c r="A463" s="658"/>
      <c r="B463" s="145"/>
      <c r="C463" s="145"/>
      <c r="D463" s="145"/>
      <c r="E463" s="145"/>
      <c r="F463" s="145"/>
      <c r="G463" s="145"/>
      <c r="H463" s="145"/>
      <c r="I463" s="145"/>
    </row>
    <row r="464" spans="1:9" ht="15.75" customHeight="1">
      <c r="A464" s="658"/>
      <c r="B464" s="145"/>
      <c r="C464" s="145"/>
      <c r="D464" s="145"/>
      <c r="E464" s="145"/>
      <c r="F464" s="145"/>
      <c r="G464" s="145"/>
      <c r="H464" s="145"/>
      <c r="I464" s="145"/>
    </row>
    <row r="465" spans="1:9" ht="15.75" customHeight="1">
      <c r="A465" s="658"/>
      <c r="B465" s="145"/>
      <c r="C465" s="145"/>
      <c r="D465" s="145"/>
      <c r="E465" s="145"/>
      <c r="F465" s="145"/>
      <c r="G465" s="145"/>
      <c r="H465" s="145"/>
      <c r="I465" s="145"/>
    </row>
    <row r="466" spans="1:9" ht="15.75" customHeight="1">
      <c r="A466" s="658"/>
      <c r="B466" s="145"/>
      <c r="C466" s="145"/>
      <c r="D466" s="145"/>
      <c r="E466" s="145"/>
      <c r="F466" s="145"/>
      <c r="G466" s="145"/>
      <c r="H466" s="145"/>
      <c r="I466" s="145"/>
    </row>
    <row r="467" spans="1:9" ht="15.75" customHeight="1">
      <c r="A467" s="658"/>
      <c r="B467" s="145"/>
      <c r="C467" s="145"/>
      <c r="D467" s="145"/>
      <c r="E467" s="145"/>
      <c r="F467" s="145"/>
      <c r="G467" s="145"/>
      <c r="H467" s="145"/>
      <c r="I467" s="145"/>
    </row>
    <row r="468" spans="1:9" ht="15.75" customHeight="1">
      <c r="A468" s="658"/>
      <c r="B468" s="145"/>
      <c r="C468" s="145"/>
      <c r="D468" s="145"/>
      <c r="E468" s="145"/>
      <c r="F468" s="145"/>
      <c r="G468" s="145"/>
      <c r="H468" s="145"/>
      <c r="I468" s="145"/>
    </row>
    <row r="469" spans="1:9" ht="15.75" customHeight="1">
      <c r="A469" s="658"/>
      <c r="B469" s="145"/>
      <c r="C469" s="145"/>
      <c r="D469" s="145"/>
      <c r="E469" s="145"/>
      <c r="F469" s="145"/>
      <c r="G469" s="145"/>
      <c r="H469" s="145"/>
      <c r="I469" s="145"/>
    </row>
    <row r="470" spans="1:9" ht="15.75" customHeight="1">
      <c r="A470" s="658"/>
      <c r="B470" s="145"/>
      <c r="C470" s="145"/>
      <c r="D470" s="145"/>
      <c r="E470" s="145"/>
      <c r="F470" s="145"/>
      <c r="G470" s="145"/>
      <c r="H470" s="145"/>
      <c r="I470" s="145"/>
    </row>
    <row r="471" spans="1:9" ht="15.75" customHeight="1">
      <c r="A471" s="658"/>
      <c r="B471" s="145"/>
      <c r="C471" s="145"/>
      <c r="D471" s="145"/>
      <c r="E471" s="145"/>
      <c r="F471" s="145"/>
      <c r="G471" s="145"/>
      <c r="H471" s="145"/>
      <c r="I471" s="145"/>
    </row>
    <row r="472" spans="1:9" ht="15.75" customHeight="1">
      <c r="A472" s="658"/>
      <c r="B472" s="145"/>
      <c r="C472" s="145"/>
      <c r="D472" s="145"/>
      <c r="E472" s="145"/>
      <c r="F472" s="145"/>
      <c r="G472" s="145"/>
      <c r="H472" s="145"/>
      <c r="I472" s="145"/>
    </row>
    <row r="473" spans="1:9" ht="15.75" customHeight="1">
      <c r="A473" s="658"/>
      <c r="B473" s="145"/>
      <c r="C473" s="145"/>
      <c r="D473" s="145"/>
      <c r="E473" s="145"/>
      <c r="F473" s="145"/>
      <c r="G473" s="145"/>
      <c r="H473" s="145"/>
      <c r="I473" s="145"/>
    </row>
    <row r="474" spans="1:9" ht="15.75" customHeight="1">
      <c r="A474" s="658"/>
      <c r="B474" s="145"/>
      <c r="C474" s="145"/>
      <c r="D474" s="145"/>
      <c r="E474" s="145"/>
      <c r="F474" s="145"/>
      <c r="G474" s="145"/>
      <c r="H474" s="145"/>
      <c r="I474" s="145"/>
    </row>
    <row r="475" spans="1:9" ht="15.75" customHeight="1">
      <c r="A475" s="658"/>
      <c r="B475" s="145"/>
      <c r="C475" s="145"/>
      <c r="D475" s="145"/>
      <c r="E475" s="145"/>
      <c r="F475" s="145"/>
      <c r="G475" s="145"/>
      <c r="H475" s="145"/>
      <c r="I475" s="145"/>
    </row>
    <row r="476" spans="1:9" ht="15.75" customHeight="1">
      <c r="A476" s="658"/>
      <c r="B476" s="145"/>
      <c r="C476" s="145"/>
      <c r="D476" s="145"/>
      <c r="E476" s="145"/>
      <c r="F476" s="145"/>
      <c r="G476" s="145"/>
      <c r="H476" s="145"/>
      <c r="I476" s="145"/>
    </row>
    <row r="477" spans="1:9" ht="15.75" customHeight="1">
      <c r="A477" s="658"/>
      <c r="B477" s="145"/>
      <c r="C477" s="145"/>
      <c r="D477" s="145"/>
      <c r="E477" s="145"/>
      <c r="F477" s="145"/>
      <c r="G477" s="145"/>
      <c r="H477" s="145"/>
      <c r="I477" s="145"/>
    </row>
    <row r="478" spans="1:9" ht="15.75" customHeight="1">
      <c r="A478" s="658"/>
      <c r="B478" s="145"/>
      <c r="C478" s="145"/>
      <c r="D478" s="145"/>
      <c r="E478" s="145"/>
      <c r="F478" s="145"/>
      <c r="G478" s="145"/>
      <c r="H478" s="145"/>
      <c r="I478" s="145"/>
    </row>
    <row r="479" spans="1:9" ht="15.75" customHeight="1">
      <c r="A479" s="658"/>
      <c r="B479" s="145"/>
      <c r="C479" s="145"/>
      <c r="D479" s="145"/>
      <c r="E479" s="145"/>
      <c r="F479" s="145"/>
      <c r="G479" s="145"/>
      <c r="H479" s="145"/>
      <c r="I479" s="145"/>
    </row>
    <row r="480" spans="1:9" ht="15.75" customHeight="1">
      <c r="A480" s="658"/>
      <c r="B480" s="145"/>
      <c r="C480" s="145"/>
      <c r="D480" s="145"/>
      <c r="E480" s="145"/>
      <c r="F480" s="145"/>
      <c r="G480" s="145"/>
      <c r="H480" s="145"/>
      <c r="I480" s="145"/>
    </row>
    <row r="481" spans="1:9" ht="15.75" customHeight="1">
      <c r="A481" s="658"/>
      <c r="B481" s="145"/>
      <c r="C481" s="145"/>
      <c r="D481" s="145"/>
      <c r="E481" s="145"/>
      <c r="F481" s="145"/>
      <c r="G481" s="145"/>
      <c r="H481" s="145"/>
      <c r="I481" s="145"/>
    </row>
    <row r="482" spans="1:9" ht="15.75" customHeight="1">
      <c r="A482" s="658"/>
      <c r="B482" s="145"/>
      <c r="C482" s="145"/>
      <c r="D482" s="145"/>
      <c r="E482" s="145"/>
      <c r="F482" s="145"/>
      <c r="G482" s="145"/>
      <c r="H482" s="145"/>
      <c r="I482" s="145"/>
    </row>
    <row r="483" spans="1:9" ht="15.75" customHeight="1">
      <c r="A483" s="658"/>
      <c r="B483" s="145"/>
      <c r="C483" s="145"/>
      <c r="D483" s="145"/>
      <c r="E483" s="145"/>
      <c r="F483" s="145"/>
      <c r="G483" s="145"/>
      <c r="H483" s="145"/>
      <c r="I483" s="145"/>
    </row>
    <row r="484" spans="1:9" ht="15.75" customHeight="1">
      <c r="A484" s="658"/>
      <c r="B484" s="145"/>
      <c r="C484" s="145"/>
      <c r="D484" s="145"/>
      <c r="E484" s="145"/>
      <c r="F484" s="145"/>
      <c r="G484" s="145"/>
      <c r="H484" s="145"/>
      <c r="I484" s="145"/>
    </row>
    <row r="485" spans="1:9" ht="15.75" customHeight="1">
      <c r="A485" s="658"/>
      <c r="B485" s="145"/>
      <c r="C485" s="145"/>
      <c r="D485" s="145"/>
      <c r="E485" s="145"/>
      <c r="F485" s="145"/>
      <c r="G485" s="145"/>
      <c r="H485" s="145"/>
      <c r="I485" s="145"/>
    </row>
    <row r="486" spans="1:9" ht="15.75" customHeight="1">
      <c r="A486" s="658"/>
      <c r="B486" s="145"/>
      <c r="C486" s="145"/>
      <c r="D486" s="145"/>
      <c r="E486" s="145"/>
      <c r="F486" s="145"/>
      <c r="G486" s="145"/>
      <c r="H486" s="145"/>
      <c r="I486" s="145"/>
    </row>
    <row r="487" spans="1:9" ht="15.75" customHeight="1">
      <c r="A487" s="658"/>
      <c r="B487" s="145"/>
      <c r="C487" s="145"/>
      <c r="D487" s="145"/>
      <c r="E487" s="145"/>
      <c r="F487" s="145"/>
      <c r="G487" s="145"/>
      <c r="H487" s="145"/>
      <c r="I487" s="145"/>
    </row>
    <row r="488" spans="1:9" ht="15.75" customHeight="1">
      <c r="A488" s="658"/>
      <c r="B488" s="145"/>
      <c r="C488" s="145"/>
      <c r="D488" s="145"/>
      <c r="E488" s="145"/>
      <c r="F488" s="145"/>
      <c r="G488" s="145"/>
      <c r="H488" s="145"/>
      <c r="I488" s="145"/>
    </row>
    <row r="489" spans="1:9" ht="15.75" customHeight="1">
      <c r="A489" s="658"/>
      <c r="B489" s="145"/>
      <c r="C489" s="145"/>
      <c r="D489" s="145"/>
      <c r="E489" s="145"/>
      <c r="F489" s="145"/>
      <c r="G489" s="145"/>
      <c r="H489" s="145"/>
      <c r="I489" s="145"/>
    </row>
    <row r="490" spans="1:9" ht="15.75" customHeight="1">
      <c r="A490" s="658"/>
      <c r="B490" s="145"/>
      <c r="C490" s="145"/>
      <c r="D490" s="145"/>
      <c r="E490" s="145"/>
      <c r="F490" s="145"/>
      <c r="G490" s="145"/>
      <c r="H490" s="145"/>
      <c r="I490" s="145"/>
    </row>
    <row r="491" spans="1:9" ht="15.75" customHeight="1">
      <c r="A491" s="658"/>
      <c r="B491" s="145"/>
      <c r="C491" s="145"/>
      <c r="D491" s="145"/>
      <c r="E491" s="145"/>
      <c r="F491" s="145"/>
      <c r="G491" s="145"/>
      <c r="H491" s="145"/>
      <c r="I491" s="145"/>
    </row>
    <row r="492" spans="1:9" ht="15.75" customHeight="1">
      <c r="A492" s="658"/>
      <c r="B492" s="145"/>
      <c r="C492" s="145"/>
      <c r="D492" s="145"/>
      <c r="E492" s="145"/>
      <c r="F492" s="145"/>
      <c r="G492" s="145"/>
      <c r="H492" s="145"/>
      <c r="I492" s="145"/>
    </row>
    <row r="493" spans="1:9" ht="15.75" customHeight="1">
      <c r="A493" s="658"/>
      <c r="B493" s="145"/>
      <c r="C493" s="145"/>
      <c r="D493" s="145"/>
      <c r="E493" s="145"/>
      <c r="F493" s="145"/>
      <c r="G493" s="145"/>
      <c r="H493" s="145"/>
      <c r="I493" s="145"/>
    </row>
    <row r="494" spans="1:9" ht="15.75" customHeight="1">
      <c r="A494" s="658"/>
      <c r="B494" s="145"/>
      <c r="C494" s="145"/>
      <c r="D494" s="145"/>
      <c r="E494" s="145"/>
      <c r="F494" s="145"/>
      <c r="G494" s="145"/>
      <c r="H494" s="145"/>
      <c r="I494" s="145"/>
    </row>
    <row r="495" spans="1:9" ht="15.75" customHeight="1">
      <c r="A495" s="658"/>
      <c r="B495" s="145"/>
      <c r="C495" s="145"/>
      <c r="D495" s="145"/>
      <c r="E495" s="145"/>
      <c r="F495" s="145"/>
      <c r="G495" s="145"/>
      <c r="H495" s="145"/>
      <c r="I495" s="145"/>
    </row>
    <row r="496" spans="1:9" ht="15.75" customHeight="1">
      <c r="A496" s="658"/>
      <c r="B496" s="145"/>
      <c r="C496" s="145"/>
      <c r="D496" s="145"/>
      <c r="E496" s="145"/>
      <c r="F496" s="145"/>
      <c r="G496" s="145"/>
      <c r="H496" s="145"/>
      <c r="I496" s="145"/>
    </row>
    <row r="497" spans="1:9" ht="15.75" customHeight="1">
      <c r="A497" s="658"/>
      <c r="B497" s="145"/>
      <c r="C497" s="145"/>
      <c r="D497" s="145"/>
      <c r="E497" s="145"/>
      <c r="F497" s="145"/>
      <c r="G497" s="145"/>
      <c r="H497" s="145"/>
      <c r="I497" s="145"/>
    </row>
    <row r="498" spans="1:9" ht="15.75" customHeight="1">
      <c r="A498" s="658"/>
      <c r="B498" s="145"/>
      <c r="C498" s="145"/>
      <c r="D498" s="145"/>
      <c r="E498" s="145"/>
      <c r="F498" s="145"/>
      <c r="G498" s="145"/>
      <c r="H498" s="145"/>
      <c r="I498" s="145"/>
    </row>
    <row r="499" spans="1:9" ht="15.75" customHeight="1">
      <c r="A499" s="658"/>
      <c r="B499" s="145"/>
      <c r="C499" s="145"/>
      <c r="D499" s="145"/>
      <c r="E499" s="145"/>
      <c r="F499" s="145"/>
      <c r="G499" s="145"/>
      <c r="H499" s="145"/>
      <c r="I499" s="145"/>
    </row>
    <row r="500" spans="1:9" ht="15.75" customHeight="1">
      <c r="A500" s="658"/>
      <c r="B500" s="145"/>
      <c r="C500" s="145"/>
      <c r="D500" s="145"/>
      <c r="E500" s="145"/>
      <c r="F500" s="145"/>
      <c r="G500" s="145"/>
      <c r="H500" s="145"/>
      <c r="I500" s="145"/>
    </row>
    <row r="501" spans="1:9" ht="15.75" customHeight="1">
      <c r="A501" s="658"/>
      <c r="B501" s="145"/>
      <c r="C501" s="145"/>
      <c r="D501" s="145"/>
      <c r="E501" s="145"/>
      <c r="F501" s="145"/>
      <c r="G501" s="145"/>
      <c r="H501" s="145"/>
      <c r="I501" s="145"/>
    </row>
    <row r="502" spans="1:9" ht="15.75" customHeight="1">
      <c r="A502" s="658"/>
      <c r="B502" s="145"/>
      <c r="C502" s="145"/>
      <c r="D502" s="145"/>
      <c r="E502" s="145"/>
      <c r="F502" s="145"/>
      <c r="G502" s="145"/>
      <c r="H502" s="145"/>
      <c r="I502" s="145"/>
    </row>
    <row r="503" spans="1:9" ht="15.75" customHeight="1">
      <c r="A503" s="658"/>
      <c r="B503" s="145"/>
      <c r="C503" s="145"/>
      <c r="D503" s="145"/>
      <c r="E503" s="145"/>
      <c r="F503" s="145"/>
      <c r="G503" s="145"/>
      <c r="H503" s="145"/>
      <c r="I503" s="145"/>
    </row>
    <row r="504" spans="1:9" ht="15.75" customHeight="1">
      <c r="A504" s="658"/>
      <c r="B504" s="145"/>
      <c r="C504" s="145"/>
      <c r="D504" s="145"/>
      <c r="E504" s="145"/>
      <c r="F504" s="145"/>
      <c r="G504" s="145"/>
      <c r="H504" s="145"/>
      <c r="I504" s="145"/>
    </row>
    <row r="505" spans="1:9" ht="15.75" customHeight="1">
      <c r="A505" s="658"/>
      <c r="B505" s="145"/>
      <c r="C505" s="145"/>
      <c r="D505" s="145"/>
      <c r="E505" s="145"/>
      <c r="F505" s="145"/>
      <c r="G505" s="145"/>
      <c r="H505" s="145"/>
      <c r="I505" s="145"/>
    </row>
    <row r="506" spans="1:9" ht="15.75" customHeight="1">
      <c r="A506" s="658"/>
      <c r="B506" s="145"/>
      <c r="C506" s="145"/>
      <c r="D506" s="145"/>
      <c r="E506" s="145"/>
      <c r="F506" s="145"/>
      <c r="G506" s="145"/>
      <c r="H506" s="145"/>
      <c r="I506" s="145"/>
    </row>
    <row r="507" spans="1:9" ht="15.75" customHeight="1">
      <c r="A507" s="658"/>
      <c r="B507" s="145"/>
      <c r="C507" s="145"/>
      <c r="D507" s="145"/>
      <c r="E507" s="145"/>
      <c r="F507" s="145"/>
      <c r="G507" s="145"/>
      <c r="H507" s="145"/>
      <c r="I507" s="145"/>
    </row>
    <row r="508" spans="1:9" ht="15.75" customHeight="1">
      <c r="A508" s="658"/>
      <c r="B508" s="145"/>
      <c r="C508" s="145"/>
      <c r="D508" s="145"/>
      <c r="E508" s="145"/>
      <c r="F508" s="145"/>
      <c r="G508" s="145"/>
      <c r="H508" s="145"/>
      <c r="I508" s="145"/>
    </row>
    <row r="509" spans="1:9" ht="15.75" customHeight="1">
      <c r="A509" s="658"/>
      <c r="B509" s="145"/>
      <c r="C509" s="145"/>
      <c r="D509" s="145"/>
      <c r="E509" s="145"/>
      <c r="F509" s="145"/>
      <c r="G509" s="145"/>
      <c r="H509" s="145"/>
      <c r="I509" s="145"/>
    </row>
    <row r="510" spans="1:9" ht="15.75" customHeight="1">
      <c r="A510" s="658"/>
      <c r="B510" s="145"/>
      <c r="C510" s="145"/>
      <c r="D510" s="145"/>
      <c r="E510" s="145"/>
      <c r="F510" s="145"/>
      <c r="G510" s="145"/>
      <c r="H510" s="145"/>
      <c r="I510" s="145"/>
    </row>
    <row r="511" spans="1:9" ht="15.75" customHeight="1">
      <c r="A511" s="658"/>
      <c r="B511" s="145"/>
      <c r="C511" s="145"/>
      <c r="D511" s="145"/>
      <c r="E511" s="145"/>
      <c r="F511" s="145"/>
      <c r="G511" s="145"/>
      <c r="H511" s="145"/>
      <c r="I511" s="145"/>
    </row>
    <row r="512" spans="1:9" ht="15.75" customHeight="1">
      <c r="A512" s="658"/>
      <c r="B512" s="145"/>
      <c r="C512" s="145"/>
      <c r="D512" s="145"/>
      <c r="E512" s="145"/>
      <c r="F512" s="145"/>
      <c r="G512" s="145"/>
      <c r="H512" s="145"/>
      <c r="I512" s="145"/>
    </row>
    <row r="513" spans="1:9" ht="15.75" customHeight="1">
      <c r="A513" s="658"/>
      <c r="B513" s="145"/>
      <c r="C513" s="145"/>
      <c r="D513" s="145"/>
      <c r="E513" s="145"/>
      <c r="F513" s="145"/>
      <c r="G513" s="145"/>
      <c r="H513" s="145"/>
      <c r="I513" s="145"/>
    </row>
    <row r="514" spans="1:9" ht="15.75" customHeight="1">
      <c r="A514" s="658"/>
      <c r="B514" s="145"/>
      <c r="C514" s="145"/>
      <c r="D514" s="145"/>
      <c r="E514" s="145"/>
      <c r="F514" s="145"/>
      <c r="G514" s="145"/>
      <c r="H514" s="145"/>
      <c r="I514" s="145"/>
    </row>
    <row r="515" spans="1:9" ht="15.75" customHeight="1">
      <c r="A515" s="658"/>
      <c r="B515" s="145"/>
      <c r="C515" s="145"/>
      <c r="D515" s="145"/>
      <c r="E515" s="145"/>
      <c r="F515" s="145"/>
      <c r="G515" s="145"/>
      <c r="H515" s="145"/>
      <c r="I515" s="145"/>
    </row>
    <row r="516" spans="1:9" ht="15.75" customHeight="1">
      <c r="A516" s="658"/>
      <c r="B516" s="145"/>
      <c r="C516" s="145"/>
      <c r="D516" s="145"/>
      <c r="E516" s="145"/>
      <c r="F516" s="145"/>
      <c r="G516" s="145"/>
      <c r="H516" s="145"/>
      <c r="I516" s="145"/>
    </row>
    <row r="517" spans="1:9" ht="15.75" customHeight="1">
      <c r="A517" s="658"/>
      <c r="B517" s="145"/>
      <c r="C517" s="145"/>
      <c r="D517" s="145"/>
      <c r="E517" s="145"/>
      <c r="F517" s="145"/>
      <c r="G517" s="145"/>
      <c r="H517" s="145"/>
      <c r="I517" s="145"/>
    </row>
    <row r="518" spans="1:9" ht="15.75" customHeight="1">
      <c r="A518" s="658"/>
      <c r="B518" s="145"/>
      <c r="C518" s="145"/>
      <c r="D518" s="145"/>
      <c r="E518" s="145"/>
      <c r="F518" s="145"/>
      <c r="G518" s="145"/>
      <c r="H518" s="145"/>
      <c r="I518" s="145"/>
    </row>
    <row r="519" spans="1:9" ht="15.75" customHeight="1">
      <c r="A519" s="658"/>
      <c r="B519" s="145"/>
      <c r="C519" s="145"/>
      <c r="D519" s="145"/>
      <c r="E519" s="145"/>
      <c r="F519" s="145"/>
      <c r="G519" s="145"/>
      <c r="H519" s="145"/>
      <c r="I519" s="145"/>
    </row>
    <row r="520" spans="1:9" ht="15.75" customHeight="1">
      <c r="A520" s="658"/>
      <c r="B520" s="145"/>
      <c r="C520" s="145"/>
      <c r="D520" s="145"/>
      <c r="E520" s="145"/>
      <c r="F520" s="145"/>
      <c r="G520" s="145"/>
      <c r="H520" s="145"/>
      <c r="I520" s="145"/>
    </row>
    <row r="521" spans="1:9" ht="15.75" customHeight="1">
      <c r="A521" s="658"/>
      <c r="B521" s="145"/>
      <c r="C521" s="145"/>
      <c r="D521" s="145"/>
      <c r="E521" s="145"/>
      <c r="F521" s="145"/>
      <c r="G521" s="145"/>
      <c r="H521" s="145"/>
      <c r="I521" s="145"/>
    </row>
    <row r="522" spans="1:9" ht="15.75" customHeight="1">
      <c r="A522" s="658"/>
      <c r="B522" s="145"/>
      <c r="C522" s="145"/>
      <c r="D522" s="145"/>
      <c r="E522" s="145"/>
      <c r="F522" s="145"/>
      <c r="G522" s="145"/>
      <c r="H522" s="145"/>
      <c r="I522" s="145"/>
    </row>
    <row r="523" spans="1:9" ht="15.75" customHeight="1">
      <c r="A523" s="658"/>
      <c r="B523" s="145"/>
      <c r="C523" s="145"/>
      <c r="D523" s="145"/>
      <c r="E523" s="145"/>
      <c r="F523" s="145"/>
      <c r="G523" s="145"/>
      <c r="H523" s="145"/>
      <c r="I523" s="145"/>
    </row>
    <row r="524" spans="1:9" ht="15.75" customHeight="1">
      <c r="A524" s="658"/>
      <c r="B524" s="145"/>
      <c r="C524" s="145"/>
      <c r="D524" s="145"/>
      <c r="E524" s="145"/>
      <c r="F524" s="145"/>
      <c r="G524" s="145"/>
      <c r="H524" s="145"/>
      <c r="I524" s="145"/>
    </row>
    <row r="525" spans="1:9" ht="15.75" customHeight="1">
      <c r="A525" s="658"/>
      <c r="B525" s="145"/>
      <c r="C525" s="145"/>
      <c r="D525" s="145"/>
      <c r="E525" s="145"/>
      <c r="F525" s="145"/>
      <c r="G525" s="145"/>
      <c r="H525" s="145"/>
      <c r="I525" s="145"/>
    </row>
    <row r="526" spans="1:9" ht="15.75" customHeight="1">
      <c r="A526" s="658"/>
      <c r="B526" s="145"/>
      <c r="C526" s="145"/>
      <c r="D526" s="145"/>
      <c r="E526" s="145"/>
      <c r="F526" s="145"/>
      <c r="G526" s="145"/>
      <c r="H526" s="145"/>
      <c r="I526" s="145"/>
    </row>
    <row r="527" spans="1:9" ht="15.75" customHeight="1">
      <c r="A527" s="658"/>
      <c r="B527" s="145"/>
      <c r="C527" s="145"/>
      <c r="D527" s="145"/>
      <c r="E527" s="145"/>
      <c r="F527" s="145"/>
      <c r="G527" s="145"/>
      <c r="H527" s="145"/>
      <c r="I527" s="145"/>
    </row>
    <row r="528" spans="1:9" ht="15.75" customHeight="1">
      <c r="A528" s="658"/>
      <c r="B528" s="145"/>
      <c r="C528" s="145"/>
      <c r="D528" s="145"/>
      <c r="E528" s="145"/>
      <c r="F528" s="145"/>
      <c r="G528" s="145"/>
      <c r="H528" s="145"/>
      <c r="I528" s="145"/>
    </row>
    <row r="529" spans="1:9" ht="15.75" customHeight="1">
      <c r="A529" s="658"/>
      <c r="B529" s="145"/>
      <c r="C529" s="145"/>
      <c r="D529" s="145"/>
      <c r="E529" s="145"/>
      <c r="F529" s="145"/>
      <c r="G529" s="145"/>
      <c r="H529" s="145"/>
      <c r="I529" s="145"/>
    </row>
    <row r="530" spans="1:9" ht="15.75" customHeight="1">
      <c r="A530" s="658"/>
      <c r="B530" s="145"/>
      <c r="C530" s="145"/>
      <c r="D530" s="145"/>
      <c r="E530" s="145"/>
      <c r="F530" s="145"/>
      <c r="G530" s="145"/>
      <c r="H530" s="145"/>
      <c r="I530" s="145"/>
    </row>
    <row r="531" spans="1:9" ht="15.75" customHeight="1">
      <c r="A531" s="658"/>
      <c r="B531" s="145"/>
      <c r="C531" s="145"/>
      <c r="D531" s="145"/>
      <c r="E531" s="145"/>
      <c r="F531" s="145"/>
      <c r="G531" s="145"/>
      <c r="H531" s="145"/>
      <c r="I531" s="145"/>
    </row>
    <row r="532" spans="1:9" ht="15.75" customHeight="1">
      <c r="A532" s="658"/>
      <c r="B532" s="145"/>
      <c r="C532" s="145"/>
      <c r="D532" s="145"/>
      <c r="E532" s="145"/>
      <c r="F532" s="145"/>
      <c r="G532" s="145"/>
      <c r="H532" s="145"/>
      <c r="I532" s="145"/>
    </row>
    <row r="533" spans="1:9" ht="15.75" customHeight="1">
      <c r="A533" s="658"/>
      <c r="B533" s="145"/>
      <c r="C533" s="145"/>
      <c r="D533" s="145"/>
      <c r="E533" s="145"/>
      <c r="F533" s="145"/>
      <c r="G533" s="145"/>
      <c r="H533" s="145"/>
      <c r="I533" s="145"/>
    </row>
    <row r="534" spans="1:9" ht="15.75" customHeight="1">
      <c r="A534" s="658"/>
      <c r="B534" s="145"/>
      <c r="C534" s="145"/>
      <c r="D534" s="145"/>
      <c r="E534" s="145"/>
      <c r="F534" s="145"/>
      <c r="G534" s="145"/>
      <c r="H534" s="145"/>
      <c r="I534" s="145"/>
    </row>
    <row r="535" spans="1:9" ht="15.75" customHeight="1">
      <c r="A535" s="658"/>
      <c r="B535" s="145"/>
      <c r="C535" s="145"/>
      <c r="D535" s="145"/>
      <c r="E535" s="145"/>
      <c r="F535" s="145"/>
      <c r="G535" s="145"/>
      <c r="H535" s="145"/>
      <c r="I535" s="145"/>
    </row>
    <row r="536" spans="1:9" ht="15.75" customHeight="1">
      <c r="A536" s="658"/>
      <c r="B536" s="145"/>
      <c r="C536" s="145"/>
      <c r="D536" s="145"/>
      <c r="E536" s="145"/>
      <c r="F536" s="145"/>
      <c r="G536" s="145"/>
      <c r="H536" s="145"/>
      <c r="I536" s="145"/>
    </row>
    <row r="537" spans="1:9" ht="15.75" customHeight="1">
      <c r="A537" s="658"/>
      <c r="B537" s="145"/>
      <c r="C537" s="145"/>
      <c r="D537" s="145"/>
      <c r="E537" s="145"/>
      <c r="F537" s="145"/>
      <c r="G537" s="145"/>
      <c r="H537" s="145"/>
      <c r="I537" s="145"/>
    </row>
    <row r="538" spans="1:9" ht="15.75" customHeight="1">
      <c r="A538" s="658"/>
      <c r="B538" s="145"/>
      <c r="C538" s="145"/>
      <c r="D538" s="145"/>
      <c r="E538" s="145"/>
      <c r="F538" s="145"/>
      <c r="G538" s="145"/>
      <c r="H538" s="145"/>
      <c r="I538" s="145"/>
    </row>
    <row r="539" spans="1:9" ht="15.75" customHeight="1">
      <c r="A539" s="658"/>
      <c r="B539" s="145"/>
      <c r="C539" s="145"/>
      <c r="D539" s="145"/>
      <c r="E539" s="145"/>
      <c r="F539" s="145"/>
      <c r="G539" s="145"/>
      <c r="H539" s="145"/>
      <c r="I539" s="145"/>
    </row>
    <row r="540" spans="1:9" ht="15.75" customHeight="1">
      <c r="A540" s="658"/>
      <c r="B540" s="145"/>
      <c r="C540" s="145"/>
      <c r="D540" s="145"/>
      <c r="E540" s="145"/>
      <c r="F540" s="145"/>
      <c r="G540" s="145"/>
      <c r="H540" s="145"/>
      <c r="I540" s="145"/>
    </row>
    <row r="541" spans="1:9" ht="15.75" customHeight="1">
      <c r="A541" s="658"/>
      <c r="B541" s="145"/>
      <c r="C541" s="145"/>
      <c r="D541" s="145"/>
      <c r="E541" s="145"/>
      <c r="F541" s="145"/>
      <c r="G541" s="145"/>
      <c r="H541" s="145"/>
      <c r="I541" s="145"/>
    </row>
    <row r="542" spans="1:9" ht="15.75" customHeight="1">
      <c r="A542" s="658"/>
      <c r="B542" s="145"/>
      <c r="C542" s="145"/>
      <c r="D542" s="145"/>
      <c r="E542" s="145"/>
      <c r="F542" s="145"/>
      <c r="G542" s="145"/>
      <c r="H542" s="145"/>
      <c r="I542" s="145"/>
    </row>
    <row r="543" spans="1:9" ht="15.75" customHeight="1">
      <c r="A543" s="658"/>
      <c r="B543" s="145"/>
      <c r="C543" s="145"/>
      <c r="D543" s="145"/>
      <c r="E543" s="145"/>
      <c r="F543" s="145"/>
      <c r="G543" s="145"/>
      <c r="H543" s="145"/>
      <c r="I543" s="145"/>
    </row>
    <row r="544" spans="1:9" ht="15.75" customHeight="1">
      <c r="A544" s="658"/>
      <c r="B544" s="145"/>
      <c r="C544" s="145"/>
      <c r="D544" s="145"/>
      <c r="E544" s="145"/>
      <c r="F544" s="145"/>
      <c r="G544" s="145"/>
      <c r="H544" s="145"/>
      <c r="I544" s="145"/>
    </row>
    <row r="545" spans="1:9" ht="15.75" customHeight="1">
      <c r="A545" s="658"/>
      <c r="B545" s="145"/>
      <c r="C545" s="145"/>
      <c r="D545" s="145"/>
      <c r="E545" s="145"/>
      <c r="F545" s="145"/>
      <c r="G545" s="145"/>
      <c r="H545" s="145"/>
      <c r="I545" s="145"/>
    </row>
    <row r="546" spans="1:9" ht="15.75" customHeight="1">
      <c r="A546" s="658"/>
      <c r="B546" s="145"/>
      <c r="C546" s="145"/>
      <c r="D546" s="145"/>
      <c r="E546" s="145"/>
      <c r="F546" s="145"/>
      <c r="G546" s="145"/>
      <c r="H546" s="145"/>
      <c r="I546" s="145"/>
    </row>
    <row r="547" spans="1:9" ht="15.75" customHeight="1">
      <c r="A547" s="658"/>
      <c r="B547" s="145"/>
      <c r="C547" s="145"/>
      <c r="D547" s="145"/>
      <c r="E547" s="145"/>
      <c r="F547" s="145"/>
      <c r="G547" s="145"/>
      <c r="H547" s="145"/>
      <c r="I547" s="145"/>
    </row>
    <row r="548" spans="1:9" ht="15.75" customHeight="1">
      <c r="A548" s="658"/>
      <c r="B548" s="145"/>
      <c r="C548" s="145"/>
      <c r="D548" s="145"/>
      <c r="E548" s="145"/>
      <c r="F548" s="145"/>
      <c r="G548" s="145"/>
      <c r="H548" s="145"/>
      <c r="I548" s="145"/>
    </row>
    <row r="549" spans="1:9" ht="15.75" customHeight="1">
      <c r="A549" s="658"/>
      <c r="B549" s="145"/>
      <c r="C549" s="145"/>
      <c r="D549" s="145"/>
      <c r="E549" s="145"/>
      <c r="F549" s="145"/>
      <c r="G549" s="145"/>
      <c r="H549" s="145"/>
      <c r="I549" s="145"/>
    </row>
    <row r="550" spans="1:9" ht="15.75" customHeight="1">
      <c r="A550" s="658"/>
      <c r="B550" s="145"/>
      <c r="C550" s="145"/>
      <c r="D550" s="145"/>
      <c r="E550" s="145"/>
      <c r="F550" s="145"/>
      <c r="G550" s="145"/>
      <c r="H550" s="145"/>
      <c r="I550" s="145"/>
    </row>
    <row r="551" spans="1:9" ht="15.75" customHeight="1">
      <c r="A551" s="658"/>
      <c r="B551" s="145"/>
      <c r="C551" s="145"/>
      <c r="D551" s="145"/>
      <c r="E551" s="145"/>
      <c r="F551" s="145"/>
      <c r="G551" s="145"/>
      <c r="H551" s="145"/>
      <c r="I551" s="145"/>
    </row>
    <row r="552" spans="1:9" ht="15.75" customHeight="1">
      <c r="A552" s="658"/>
      <c r="B552" s="145"/>
      <c r="C552" s="145"/>
      <c r="D552" s="145"/>
      <c r="E552" s="145"/>
      <c r="F552" s="145"/>
      <c r="G552" s="145"/>
      <c r="H552" s="145"/>
      <c r="I552" s="145"/>
    </row>
    <row r="553" spans="1:9" ht="15.75" customHeight="1">
      <c r="A553" s="658"/>
      <c r="B553" s="145"/>
      <c r="C553" s="145"/>
      <c r="D553" s="145"/>
      <c r="E553" s="145"/>
      <c r="F553" s="145"/>
      <c r="G553" s="145"/>
      <c r="H553" s="145"/>
      <c r="I553" s="145"/>
    </row>
    <row r="554" spans="1:9" ht="15.75" customHeight="1">
      <c r="A554" s="658"/>
      <c r="B554" s="145"/>
      <c r="C554" s="145"/>
      <c r="D554" s="145"/>
      <c r="E554" s="145"/>
      <c r="F554" s="145"/>
      <c r="G554" s="145"/>
      <c r="H554" s="145"/>
      <c r="I554" s="145"/>
    </row>
    <row r="555" spans="1:9" ht="15.75" customHeight="1">
      <c r="A555" s="658"/>
      <c r="B555" s="145"/>
      <c r="C555" s="145"/>
      <c r="D555" s="145"/>
      <c r="E555" s="145"/>
      <c r="F555" s="145"/>
      <c r="G555" s="145"/>
      <c r="H555" s="145"/>
      <c r="I555" s="145"/>
    </row>
    <row r="556" spans="1:9" ht="15.75" customHeight="1">
      <c r="A556" s="658"/>
      <c r="B556" s="145"/>
      <c r="C556" s="145"/>
      <c r="D556" s="145"/>
      <c r="E556" s="145"/>
      <c r="F556" s="145"/>
      <c r="G556" s="145"/>
      <c r="H556" s="145"/>
      <c r="I556" s="145"/>
    </row>
    <row r="557" spans="1:9" ht="15.75" customHeight="1">
      <c r="A557" s="658"/>
      <c r="B557" s="145"/>
      <c r="C557" s="145"/>
      <c r="D557" s="145"/>
      <c r="E557" s="145"/>
      <c r="F557" s="145"/>
      <c r="G557" s="145"/>
      <c r="H557" s="145"/>
      <c r="I557" s="145"/>
    </row>
    <row r="558" spans="1:9" ht="15.75" customHeight="1">
      <c r="A558" s="658"/>
      <c r="B558" s="145"/>
      <c r="C558" s="145"/>
      <c r="D558" s="145"/>
      <c r="E558" s="145"/>
      <c r="F558" s="145"/>
      <c r="G558" s="145"/>
      <c r="H558" s="145"/>
      <c r="I558" s="145"/>
    </row>
    <row r="559" spans="1:9" ht="15.75" customHeight="1">
      <c r="A559" s="658"/>
      <c r="B559" s="145"/>
      <c r="C559" s="145"/>
      <c r="D559" s="145"/>
      <c r="E559" s="145"/>
      <c r="F559" s="145"/>
      <c r="G559" s="145"/>
      <c r="H559" s="145"/>
      <c r="I559" s="145"/>
    </row>
    <row r="560" spans="1:9" ht="15.75" customHeight="1">
      <c r="A560" s="658"/>
      <c r="B560" s="145"/>
      <c r="C560" s="145"/>
      <c r="D560" s="145"/>
      <c r="E560" s="145"/>
      <c r="F560" s="145"/>
      <c r="G560" s="145"/>
      <c r="H560" s="145"/>
      <c r="I560" s="145"/>
    </row>
    <row r="561" spans="1:9" ht="15.75" customHeight="1">
      <c r="A561" s="658"/>
      <c r="B561" s="145"/>
      <c r="C561" s="145"/>
      <c r="D561" s="145"/>
      <c r="E561" s="145"/>
      <c r="F561" s="145"/>
      <c r="G561" s="145"/>
      <c r="H561" s="145"/>
      <c r="I561" s="145"/>
    </row>
    <row r="562" spans="1:9" ht="15.75" customHeight="1">
      <c r="A562" s="658"/>
      <c r="B562" s="145"/>
      <c r="C562" s="145"/>
      <c r="D562" s="145"/>
      <c r="E562" s="145"/>
      <c r="F562" s="145"/>
      <c r="G562" s="145"/>
      <c r="H562" s="145"/>
      <c r="I562" s="145"/>
    </row>
    <row r="563" spans="1:9" ht="15.75" customHeight="1">
      <c r="A563" s="658"/>
      <c r="B563" s="145"/>
      <c r="C563" s="145"/>
      <c r="D563" s="145"/>
      <c r="E563" s="145"/>
      <c r="F563" s="145"/>
      <c r="G563" s="145"/>
      <c r="H563" s="145"/>
      <c r="I563" s="145"/>
    </row>
    <row r="564" spans="1:9" ht="15.75" customHeight="1">
      <c r="A564" s="658"/>
      <c r="B564" s="145"/>
      <c r="C564" s="145"/>
      <c r="D564" s="145"/>
      <c r="E564" s="145"/>
      <c r="F564" s="145"/>
      <c r="G564" s="145"/>
      <c r="H564" s="145"/>
      <c r="I564" s="145"/>
    </row>
    <row r="565" spans="1:9" ht="15.75" customHeight="1">
      <c r="A565" s="658"/>
      <c r="B565" s="145"/>
      <c r="C565" s="145"/>
      <c r="D565" s="145"/>
      <c r="E565" s="145"/>
      <c r="F565" s="145"/>
      <c r="G565" s="145"/>
      <c r="H565" s="145"/>
      <c r="I565" s="145"/>
    </row>
    <row r="566" spans="1:9" ht="15.75" customHeight="1">
      <c r="A566" s="658"/>
      <c r="B566" s="145"/>
      <c r="C566" s="145"/>
      <c r="D566" s="145"/>
      <c r="E566" s="145"/>
      <c r="F566" s="145"/>
      <c r="G566" s="145"/>
      <c r="H566" s="145"/>
      <c r="I566" s="145"/>
    </row>
    <row r="567" spans="1:9" ht="15.75" customHeight="1">
      <c r="A567" s="658"/>
      <c r="B567" s="145"/>
      <c r="C567" s="145"/>
      <c r="D567" s="145"/>
      <c r="E567" s="145"/>
      <c r="F567" s="145"/>
      <c r="G567" s="145"/>
      <c r="H567" s="145"/>
      <c r="I567" s="145"/>
    </row>
    <row r="568" spans="1:9" ht="15.75" customHeight="1">
      <c r="A568" s="658"/>
      <c r="B568" s="145"/>
      <c r="C568" s="145"/>
      <c r="D568" s="145"/>
      <c r="E568" s="145"/>
      <c r="F568" s="145"/>
      <c r="G568" s="145"/>
      <c r="H568" s="145"/>
      <c r="I568" s="145"/>
    </row>
    <row r="569" spans="1:9" ht="15.75" customHeight="1">
      <c r="A569" s="658"/>
      <c r="B569" s="145"/>
      <c r="C569" s="145"/>
      <c r="D569" s="145"/>
      <c r="E569" s="145"/>
      <c r="F569" s="145"/>
      <c r="G569" s="145"/>
      <c r="H569" s="145"/>
      <c r="I569" s="145"/>
    </row>
    <row r="570" spans="1:9" ht="15.75" customHeight="1">
      <c r="A570" s="658"/>
      <c r="B570" s="145"/>
      <c r="C570" s="145"/>
      <c r="D570" s="145"/>
      <c r="E570" s="145"/>
      <c r="F570" s="145"/>
      <c r="G570" s="145"/>
      <c r="H570" s="145"/>
      <c r="I570" s="145"/>
    </row>
    <row r="571" spans="1:9" ht="15.75" customHeight="1">
      <c r="A571" s="658"/>
      <c r="B571" s="145"/>
      <c r="C571" s="145"/>
      <c r="D571" s="145"/>
      <c r="E571" s="145"/>
      <c r="F571" s="145"/>
      <c r="G571" s="145"/>
      <c r="H571" s="145"/>
      <c r="I571" s="145"/>
    </row>
    <row r="572" spans="1:9" ht="15.75" customHeight="1">
      <c r="A572" s="658"/>
      <c r="B572" s="145"/>
      <c r="C572" s="145"/>
      <c r="D572" s="145"/>
      <c r="E572" s="145"/>
      <c r="F572" s="145"/>
      <c r="G572" s="145"/>
      <c r="H572" s="145"/>
      <c r="I572" s="145"/>
    </row>
    <row r="573" spans="1:9" ht="15.75" customHeight="1">
      <c r="A573" s="658"/>
      <c r="B573" s="145"/>
      <c r="C573" s="145"/>
      <c r="D573" s="145"/>
      <c r="E573" s="145"/>
      <c r="F573" s="145"/>
      <c r="G573" s="145"/>
      <c r="H573" s="145"/>
      <c r="I573" s="145"/>
    </row>
    <row r="574" spans="1:9" ht="15.75" customHeight="1">
      <c r="A574" s="658"/>
      <c r="B574" s="145"/>
      <c r="C574" s="145"/>
      <c r="D574" s="145"/>
      <c r="E574" s="145"/>
      <c r="F574" s="145"/>
      <c r="G574" s="145"/>
      <c r="H574" s="145"/>
      <c r="I574" s="145"/>
    </row>
    <row r="575" spans="1:9" ht="15.75" customHeight="1">
      <c r="A575" s="658"/>
      <c r="B575" s="145"/>
      <c r="C575" s="145"/>
      <c r="D575" s="145"/>
      <c r="E575" s="145"/>
      <c r="F575" s="145"/>
      <c r="G575" s="145"/>
      <c r="H575" s="145"/>
      <c r="I575" s="145"/>
    </row>
    <row r="576" spans="1:9" ht="15.75" customHeight="1">
      <c r="A576" s="658"/>
      <c r="B576" s="145"/>
      <c r="C576" s="145"/>
      <c r="D576" s="145"/>
      <c r="E576" s="145"/>
      <c r="F576" s="145"/>
      <c r="G576" s="145"/>
      <c r="H576" s="145"/>
      <c r="I576" s="145"/>
    </row>
    <row r="577" spans="1:9" ht="15.75" customHeight="1">
      <c r="A577" s="658"/>
      <c r="B577" s="145"/>
      <c r="C577" s="145"/>
      <c r="D577" s="145"/>
      <c r="E577" s="145"/>
      <c r="F577" s="145"/>
      <c r="G577" s="145"/>
      <c r="H577" s="145"/>
      <c r="I577" s="145"/>
    </row>
    <row r="578" spans="1:9" ht="15.75" customHeight="1">
      <c r="A578" s="658"/>
      <c r="B578" s="145"/>
      <c r="C578" s="145"/>
      <c r="D578" s="145"/>
      <c r="E578" s="145"/>
      <c r="F578" s="145"/>
      <c r="G578" s="145"/>
      <c r="H578" s="145"/>
      <c r="I578" s="145"/>
    </row>
    <row r="579" spans="1:9" ht="15.75" customHeight="1">
      <c r="A579" s="658"/>
      <c r="B579" s="145"/>
      <c r="C579" s="145"/>
      <c r="D579" s="145"/>
      <c r="E579" s="145"/>
      <c r="F579" s="145"/>
      <c r="G579" s="145"/>
      <c r="H579" s="145"/>
      <c r="I579" s="145"/>
    </row>
    <row r="580" spans="1:9" ht="15.75" customHeight="1">
      <c r="A580" s="658"/>
      <c r="B580" s="145"/>
      <c r="C580" s="145"/>
      <c r="D580" s="145"/>
      <c r="E580" s="145"/>
      <c r="F580" s="145"/>
      <c r="G580" s="145"/>
      <c r="H580" s="145"/>
      <c r="I580" s="145"/>
    </row>
    <row r="581" spans="1:9" ht="15.75" customHeight="1">
      <c r="A581" s="658"/>
      <c r="B581" s="145"/>
      <c r="C581" s="145"/>
      <c r="D581" s="145"/>
      <c r="E581" s="145"/>
      <c r="F581" s="145"/>
      <c r="G581" s="145"/>
      <c r="H581" s="145"/>
      <c r="I581" s="145"/>
    </row>
    <row r="582" spans="1:9" ht="15.75" customHeight="1">
      <c r="A582" s="658"/>
      <c r="B582" s="145"/>
      <c r="C582" s="145"/>
      <c r="D582" s="145"/>
      <c r="E582" s="145"/>
      <c r="F582" s="145"/>
      <c r="G582" s="145"/>
      <c r="H582" s="145"/>
      <c r="I582" s="145"/>
    </row>
    <row r="583" spans="1:9" ht="15.75" customHeight="1">
      <c r="A583" s="658"/>
      <c r="B583" s="145"/>
      <c r="C583" s="145"/>
      <c r="D583" s="145"/>
      <c r="E583" s="145"/>
      <c r="F583" s="145"/>
      <c r="G583" s="145"/>
      <c r="H583" s="145"/>
      <c r="I583" s="145"/>
    </row>
    <row r="584" spans="1:9" ht="15.75" customHeight="1">
      <c r="A584" s="658"/>
      <c r="B584" s="145"/>
      <c r="C584" s="145"/>
      <c r="D584" s="145"/>
      <c r="E584" s="145"/>
      <c r="F584" s="145"/>
      <c r="G584" s="145"/>
      <c r="H584" s="145"/>
      <c r="I584" s="145"/>
    </row>
    <row r="585" spans="1:9" ht="15.75" customHeight="1">
      <c r="A585" s="658"/>
      <c r="B585" s="145"/>
      <c r="C585" s="145"/>
      <c r="D585" s="145"/>
      <c r="E585" s="145"/>
      <c r="F585" s="145"/>
      <c r="G585" s="145"/>
      <c r="H585" s="145"/>
      <c r="I585" s="145"/>
    </row>
    <row r="586" spans="1:9" ht="15.75" customHeight="1">
      <c r="A586" s="658"/>
      <c r="B586" s="145"/>
      <c r="C586" s="145"/>
      <c r="D586" s="145"/>
      <c r="E586" s="145"/>
      <c r="F586" s="145"/>
      <c r="G586" s="145"/>
      <c r="H586" s="145"/>
      <c r="I586" s="145"/>
    </row>
    <row r="587" spans="1:9" ht="15.75" customHeight="1">
      <c r="A587" s="658"/>
      <c r="B587" s="145"/>
      <c r="C587" s="145"/>
      <c r="D587" s="145"/>
      <c r="E587" s="145"/>
      <c r="F587" s="145"/>
      <c r="G587" s="145"/>
      <c r="H587" s="145"/>
      <c r="I587" s="145"/>
    </row>
    <row r="588" spans="1:9" ht="15.75" customHeight="1">
      <c r="A588" s="658"/>
      <c r="B588" s="145"/>
      <c r="C588" s="145"/>
      <c r="D588" s="145"/>
      <c r="E588" s="145"/>
      <c r="F588" s="145"/>
      <c r="G588" s="145"/>
      <c r="H588" s="145"/>
      <c r="I588" s="145"/>
    </row>
    <row r="589" spans="1:9" ht="15.75" customHeight="1">
      <c r="A589" s="658"/>
      <c r="B589" s="145"/>
      <c r="C589" s="145"/>
      <c r="D589" s="145"/>
      <c r="E589" s="145"/>
      <c r="F589" s="145"/>
      <c r="G589" s="145"/>
      <c r="H589" s="145"/>
      <c r="I589" s="145"/>
    </row>
    <row r="590" spans="1:9" ht="15.75" customHeight="1">
      <c r="A590" s="658"/>
      <c r="B590" s="145"/>
      <c r="C590" s="145"/>
      <c r="D590" s="145"/>
      <c r="E590" s="145"/>
      <c r="F590" s="145"/>
      <c r="G590" s="145"/>
      <c r="H590" s="145"/>
      <c r="I590" s="145"/>
    </row>
    <row r="591" spans="1:9" ht="15.75" customHeight="1">
      <c r="A591" s="658"/>
      <c r="B591" s="145"/>
      <c r="C591" s="145"/>
      <c r="D591" s="145"/>
      <c r="E591" s="145"/>
      <c r="F591" s="145"/>
      <c r="G591" s="145"/>
      <c r="H591" s="145"/>
      <c r="I591" s="145"/>
    </row>
    <row r="592" spans="1:9" ht="15.75" customHeight="1">
      <c r="A592" s="658"/>
      <c r="B592" s="145"/>
      <c r="C592" s="145"/>
      <c r="D592" s="145"/>
      <c r="E592" s="145"/>
      <c r="F592" s="145"/>
      <c r="G592" s="145"/>
      <c r="H592" s="145"/>
      <c r="I592" s="145"/>
    </row>
    <row r="593" spans="1:9" ht="15.75" customHeight="1">
      <c r="A593" s="658"/>
      <c r="B593" s="145"/>
      <c r="C593" s="145"/>
      <c r="D593" s="145"/>
      <c r="E593" s="145"/>
      <c r="F593" s="145"/>
      <c r="G593" s="145"/>
      <c r="H593" s="145"/>
      <c r="I593" s="145"/>
    </row>
    <row r="594" spans="1:9" ht="15.75" customHeight="1">
      <c r="A594" s="658"/>
      <c r="B594" s="145"/>
      <c r="C594" s="145"/>
      <c r="D594" s="145"/>
      <c r="E594" s="145"/>
      <c r="F594" s="145"/>
      <c r="G594" s="145"/>
      <c r="H594" s="145"/>
      <c r="I594" s="145"/>
    </row>
    <row r="595" spans="1:9" ht="15.75" customHeight="1">
      <c r="A595" s="658"/>
      <c r="B595" s="145"/>
      <c r="C595" s="145"/>
      <c r="D595" s="145"/>
      <c r="E595" s="145"/>
      <c r="F595" s="145"/>
      <c r="G595" s="145"/>
      <c r="H595" s="145"/>
      <c r="I595" s="145"/>
    </row>
    <row r="596" spans="1:9" ht="15.75" customHeight="1">
      <c r="A596" s="658"/>
      <c r="B596" s="145"/>
      <c r="C596" s="145"/>
      <c r="D596" s="145"/>
      <c r="E596" s="145"/>
      <c r="F596" s="145"/>
      <c r="G596" s="145"/>
      <c r="H596" s="145"/>
      <c r="I596" s="145"/>
    </row>
    <row r="597" spans="1:9" ht="15.75" customHeight="1">
      <c r="A597" s="658"/>
      <c r="B597" s="145"/>
      <c r="C597" s="145"/>
      <c r="D597" s="145"/>
      <c r="E597" s="145"/>
      <c r="F597" s="145"/>
      <c r="G597" s="145"/>
      <c r="H597" s="145"/>
      <c r="I597" s="145"/>
    </row>
    <row r="598" spans="1:9" ht="15.75" customHeight="1">
      <c r="A598" s="658"/>
      <c r="B598" s="145"/>
      <c r="C598" s="145"/>
      <c r="D598" s="145"/>
      <c r="E598" s="145"/>
      <c r="F598" s="145"/>
      <c r="G598" s="145"/>
      <c r="H598" s="145"/>
      <c r="I598" s="145"/>
    </row>
    <row r="599" spans="1:9" ht="15.75" customHeight="1">
      <c r="A599" s="658"/>
      <c r="B599" s="145"/>
      <c r="C599" s="145"/>
      <c r="D599" s="145"/>
      <c r="E599" s="145"/>
      <c r="F599" s="145"/>
      <c r="G599" s="145"/>
      <c r="H599" s="145"/>
      <c r="I599" s="145"/>
    </row>
    <row r="600" spans="1:9" ht="15.75" customHeight="1">
      <c r="A600" s="658"/>
      <c r="B600" s="145"/>
      <c r="C600" s="145"/>
      <c r="D600" s="145"/>
      <c r="E600" s="145"/>
      <c r="F600" s="145"/>
      <c r="G600" s="145"/>
      <c r="H600" s="145"/>
      <c r="I600" s="145"/>
    </row>
    <row r="601" spans="1:9" ht="15.75" customHeight="1">
      <c r="A601" s="658"/>
      <c r="B601" s="145"/>
      <c r="C601" s="145"/>
      <c r="D601" s="145"/>
      <c r="E601" s="145"/>
      <c r="F601" s="145"/>
      <c r="G601" s="145"/>
      <c r="H601" s="145"/>
      <c r="I601" s="145"/>
    </row>
    <row r="602" spans="1:9" ht="15.75" customHeight="1">
      <c r="A602" s="658"/>
      <c r="B602" s="145"/>
      <c r="C602" s="145"/>
      <c r="D602" s="145"/>
      <c r="E602" s="145"/>
      <c r="F602" s="145"/>
      <c r="G602" s="145"/>
      <c r="H602" s="145"/>
      <c r="I602" s="145"/>
    </row>
    <row r="603" spans="1:9" ht="15.75" customHeight="1">
      <c r="A603" s="658"/>
      <c r="B603" s="145"/>
      <c r="C603" s="145"/>
      <c r="D603" s="145"/>
      <c r="E603" s="145"/>
      <c r="F603" s="145"/>
      <c r="G603" s="145"/>
      <c r="H603" s="145"/>
      <c r="I603" s="145"/>
    </row>
    <row r="604" spans="1:9" ht="15.75" customHeight="1">
      <c r="A604" s="658"/>
      <c r="B604" s="145"/>
      <c r="C604" s="145"/>
      <c r="D604" s="145"/>
      <c r="E604" s="145"/>
      <c r="F604" s="145"/>
      <c r="G604" s="145"/>
      <c r="H604" s="145"/>
      <c r="I604" s="145"/>
    </row>
    <row r="605" spans="1:9" ht="15.75" customHeight="1">
      <c r="A605" s="658"/>
      <c r="B605" s="145"/>
      <c r="C605" s="145"/>
      <c r="D605" s="145"/>
      <c r="E605" s="145"/>
      <c r="F605" s="145"/>
      <c r="G605" s="145"/>
      <c r="H605" s="145"/>
      <c r="I605" s="145"/>
    </row>
    <row r="606" spans="1:9" ht="15.75" customHeight="1">
      <c r="A606" s="658"/>
      <c r="B606" s="145"/>
      <c r="C606" s="145"/>
      <c r="D606" s="145"/>
      <c r="E606" s="145"/>
      <c r="F606" s="145"/>
      <c r="G606" s="145"/>
      <c r="H606" s="145"/>
      <c r="I606" s="145"/>
    </row>
    <row r="607" spans="1:9" ht="15.75" customHeight="1">
      <c r="A607" s="658"/>
      <c r="B607" s="145"/>
      <c r="C607" s="145"/>
      <c r="D607" s="145"/>
      <c r="E607" s="145"/>
      <c r="F607" s="145"/>
      <c r="G607" s="145"/>
      <c r="H607" s="145"/>
      <c r="I607" s="145"/>
    </row>
    <row r="608" spans="1:9" ht="15.75" customHeight="1">
      <c r="A608" s="658"/>
      <c r="B608" s="145"/>
      <c r="C608" s="145"/>
      <c r="D608" s="145"/>
      <c r="E608" s="145"/>
      <c r="F608" s="145"/>
      <c r="G608" s="145"/>
      <c r="H608" s="145"/>
      <c r="I608" s="145"/>
    </row>
    <row r="609" spans="1:9" ht="15.75" customHeight="1">
      <c r="A609" s="658"/>
      <c r="B609" s="145"/>
      <c r="C609" s="145"/>
      <c r="D609" s="145"/>
      <c r="E609" s="145"/>
      <c r="F609" s="145"/>
      <c r="G609" s="145"/>
      <c r="H609" s="145"/>
      <c r="I609" s="145"/>
    </row>
    <row r="610" spans="1:9" ht="15.75" customHeight="1">
      <c r="A610" s="658"/>
      <c r="B610" s="145"/>
      <c r="C610" s="145"/>
      <c r="D610" s="145"/>
      <c r="E610" s="145"/>
      <c r="F610" s="145"/>
      <c r="G610" s="145"/>
      <c r="H610" s="145"/>
      <c r="I610" s="145"/>
    </row>
    <row r="611" spans="1:9" ht="15.75" customHeight="1">
      <c r="A611" s="658"/>
      <c r="B611" s="145"/>
      <c r="C611" s="145"/>
      <c r="D611" s="145"/>
      <c r="E611" s="145"/>
      <c r="F611" s="145"/>
      <c r="G611" s="145"/>
      <c r="H611" s="145"/>
      <c r="I611" s="145"/>
    </row>
    <row r="612" spans="1:9" ht="15.75" customHeight="1">
      <c r="A612" s="658"/>
      <c r="B612" s="145"/>
      <c r="C612" s="145"/>
      <c r="D612" s="145"/>
      <c r="E612" s="145"/>
      <c r="F612" s="145"/>
      <c r="G612" s="145"/>
      <c r="H612" s="145"/>
      <c r="I612" s="145"/>
    </row>
    <row r="613" spans="1:9" ht="15.75" customHeight="1">
      <c r="A613" s="658"/>
      <c r="B613" s="145"/>
      <c r="C613" s="145"/>
      <c r="D613" s="145"/>
      <c r="E613" s="145"/>
      <c r="F613" s="145"/>
      <c r="G613" s="145"/>
      <c r="H613" s="145"/>
      <c r="I613" s="145"/>
    </row>
    <row r="614" spans="1:9" ht="15.75" customHeight="1">
      <c r="A614" s="658"/>
      <c r="B614" s="145"/>
      <c r="C614" s="145"/>
      <c r="D614" s="145"/>
      <c r="E614" s="145"/>
      <c r="F614" s="145"/>
      <c r="G614" s="145"/>
      <c r="H614" s="145"/>
      <c r="I614" s="145"/>
    </row>
    <row r="615" spans="1:9" ht="15.75" customHeight="1">
      <c r="A615" s="658"/>
      <c r="B615" s="145"/>
      <c r="C615" s="145"/>
      <c r="D615" s="145"/>
      <c r="E615" s="145"/>
      <c r="F615" s="145"/>
      <c r="G615" s="145"/>
      <c r="H615" s="145"/>
      <c r="I615" s="145"/>
    </row>
    <row r="616" spans="1:9" ht="15.75" customHeight="1">
      <c r="A616" s="658"/>
      <c r="B616" s="145"/>
      <c r="C616" s="145"/>
      <c r="D616" s="145"/>
      <c r="E616" s="145"/>
      <c r="F616" s="145"/>
      <c r="G616" s="145"/>
      <c r="H616" s="145"/>
      <c r="I616" s="145"/>
    </row>
    <row r="617" spans="1:9" ht="15.75" customHeight="1">
      <c r="A617" s="658"/>
      <c r="B617" s="145"/>
      <c r="C617" s="145"/>
      <c r="D617" s="145"/>
      <c r="E617" s="145"/>
      <c r="F617" s="145"/>
      <c r="G617" s="145"/>
      <c r="H617" s="145"/>
      <c r="I617" s="145"/>
    </row>
    <row r="618" spans="1:9" ht="15.75" customHeight="1">
      <c r="A618" s="658"/>
      <c r="B618" s="145"/>
      <c r="C618" s="145"/>
      <c r="D618" s="145"/>
      <c r="E618" s="145"/>
      <c r="F618" s="145"/>
      <c r="G618" s="145"/>
      <c r="H618" s="145"/>
      <c r="I618" s="145"/>
    </row>
    <row r="619" spans="1:9" ht="15.75" customHeight="1">
      <c r="A619" s="658"/>
      <c r="B619" s="145"/>
      <c r="C619" s="145"/>
      <c r="D619" s="145"/>
      <c r="E619" s="145"/>
      <c r="F619" s="145"/>
      <c r="G619" s="145"/>
      <c r="H619" s="145"/>
      <c r="I619" s="145"/>
    </row>
    <row r="620" spans="1:9" ht="15.75" customHeight="1">
      <c r="A620" s="658"/>
      <c r="B620" s="145"/>
      <c r="C620" s="145"/>
      <c r="D620" s="145"/>
      <c r="E620" s="145"/>
      <c r="F620" s="145"/>
      <c r="G620" s="145"/>
      <c r="H620" s="145"/>
      <c r="I620" s="145"/>
    </row>
    <row r="621" spans="1:9" ht="15.75" customHeight="1">
      <c r="A621" s="658"/>
      <c r="B621" s="145"/>
      <c r="C621" s="145"/>
      <c r="D621" s="145"/>
      <c r="E621" s="145"/>
      <c r="F621" s="145"/>
      <c r="G621" s="145"/>
      <c r="H621" s="145"/>
      <c r="I621" s="145"/>
    </row>
    <row r="622" spans="1:9" ht="15.75" customHeight="1">
      <c r="A622" s="658"/>
      <c r="B622" s="145"/>
      <c r="C622" s="145"/>
      <c r="D622" s="145"/>
      <c r="E622" s="145"/>
      <c r="F622" s="145"/>
      <c r="G622" s="145"/>
      <c r="H622" s="145"/>
      <c r="I622" s="145"/>
    </row>
    <row r="623" spans="1:9" ht="15.75" customHeight="1">
      <c r="A623" s="658"/>
      <c r="B623" s="145"/>
      <c r="C623" s="145"/>
      <c r="D623" s="145"/>
      <c r="E623" s="145"/>
      <c r="F623" s="145"/>
      <c r="G623" s="145"/>
      <c r="H623" s="145"/>
      <c r="I623" s="145"/>
    </row>
    <row r="624" spans="1:9" ht="15.75" customHeight="1">
      <c r="A624" s="658"/>
      <c r="B624" s="145"/>
      <c r="C624" s="145"/>
      <c r="D624" s="145"/>
      <c r="E624" s="145"/>
      <c r="F624" s="145"/>
      <c r="G624" s="145"/>
      <c r="H624" s="145"/>
      <c r="I624" s="145"/>
    </row>
    <row r="625" spans="1:9" ht="15.75" customHeight="1">
      <c r="A625" s="658"/>
      <c r="B625" s="145"/>
      <c r="C625" s="145"/>
      <c r="D625" s="145"/>
      <c r="E625" s="145"/>
      <c r="F625" s="145"/>
      <c r="G625" s="145"/>
      <c r="H625" s="145"/>
      <c r="I625" s="145"/>
    </row>
    <row r="626" spans="1:9" ht="15.75" customHeight="1">
      <c r="A626" s="658"/>
      <c r="B626" s="145"/>
      <c r="C626" s="145"/>
      <c r="D626" s="145"/>
      <c r="E626" s="145"/>
      <c r="F626" s="145"/>
      <c r="G626" s="145"/>
      <c r="H626" s="145"/>
      <c r="I626" s="145"/>
    </row>
    <row r="627" spans="1:9" ht="15.75" customHeight="1">
      <c r="A627" s="658"/>
      <c r="B627" s="145"/>
      <c r="C627" s="145"/>
      <c r="D627" s="145"/>
      <c r="E627" s="145"/>
      <c r="F627" s="145"/>
      <c r="G627" s="145"/>
      <c r="H627" s="145"/>
      <c r="I627" s="145"/>
    </row>
    <row r="628" spans="1:9" ht="15.75" customHeight="1">
      <c r="A628" s="658"/>
      <c r="B628" s="145"/>
      <c r="C628" s="145"/>
      <c r="D628" s="145"/>
      <c r="E628" s="145"/>
      <c r="F628" s="145"/>
      <c r="G628" s="145"/>
      <c r="H628" s="145"/>
      <c r="I628" s="145"/>
    </row>
    <row r="629" spans="1:9" ht="15.75" customHeight="1">
      <c r="A629" s="658"/>
      <c r="B629" s="145"/>
      <c r="C629" s="145"/>
      <c r="D629" s="145"/>
      <c r="E629" s="145"/>
      <c r="F629" s="145"/>
      <c r="G629" s="145"/>
      <c r="H629" s="145"/>
      <c r="I629" s="145"/>
    </row>
    <row r="630" spans="1:9" ht="15.75" customHeight="1">
      <c r="A630" s="658"/>
      <c r="B630" s="145"/>
      <c r="C630" s="145"/>
      <c r="D630" s="145"/>
      <c r="E630" s="145"/>
      <c r="F630" s="145"/>
      <c r="G630" s="145"/>
      <c r="H630" s="145"/>
      <c r="I630" s="145"/>
    </row>
    <row r="631" spans="1:9" ht="15.75" customHeight="1">
      <c r="A631" s="658"/>
      <c r="B631" s="145"/>
      <c r="C631" s="145"/>
      <c r="D631" s="145"/>
      <c r="E631" s="145"/>
      <c r="F631" s="145"/>
      <c r="G631" s="145"/>
      <c r="H631" s="145"/>
      <c r="I631" s="145"/>
    </row>
    <row r="632" spans="1:9" ht="15.75" customHeight="1">
      <c r="A632" s="658"/>
      <c r="B632" s="145"/>
      <c r="C632" s="145"/>
      <c r="D632" s="145"/>
      <c r="E632" s="145"/>
      <c r="F632" s="145"/>
      <c r="G632" s="145"/>
      <c r="H632" s="145"/>
      <c r="I632" s="145"/>
    </row>
    <row r="633" spans="1:9" ht="15.75" customHeight="1">
      <c r="A633" s="658"/>
      <c r="B633" s="145"/>
      <c r="C633" s="145"/>
      <c r="D633" s="145"/>
      <c r="E633" s="145"/>
      <c r="F633" s="145"/>
      <c r="G633" s="145"/>
      <c r="H633" s="145"/>
      <c r="I633" s="145"/>
    </row>
    <row r="634" spans="1:9" ht="15.75" customHeight="1">
      <c r="A634" s="658"/>
      <c r="B634" s="145"/>
      <c r="C634" s="145"/>
      <c r="D634" s="145"/>
      <c r="E634" s="145"/>
      <c r="F634" s="145"/>
      <c r="G634" s="145"/>
      <c r="H634" s="145"/>
      <c r="I634" s="145"/>
    </row>
    <row r="635" spans="1:9" ht="15.75" customHeight="1">
      <c r="A635" s="658"/>
      <c r="B635" s="145"/>
      <c r="C635" s="145"/>
      <c r="D635" s="145"/>
      <c r="E635" s="145"/>
      <c r="F635" s="145"/>
      <c r="G635" s="145"/>
      <c r="H635" s="145"/>
      <c r="I635" s="145"/>
    </row>
    <row r="636" spans="1:9" ht="15.75" customHeight="1">
      <c r="A636" s="658"/>
      <c r="B636" s="145"/>
      <c r="C636" s="145"/>
      <c r="D636" s="145"/>
      <c r="E636" s="145"/>
      <c r="F636" s="145"/>
      <c r="G636" s="145"/>
      <c r="H636" s="145"/>
      <c r="I636" s="145"/>
    </row>
    <row r="637" spans="1:9" ht="15.75" customHeight="1">
      <c r="A637" s="658"/>
      <c r="B637" s="145"/>
      <c r="C637" s="145"/>
      <c r="D637" s="145"/>
      <c r="E637" s="145"/>
      <c r="F637" s="145"/>
      <c r="G637" s="145"/>
      <c r="H637" s="145"/>
      <c r="I637" s="145"/>
    </row>
    <row r="638" spans="1:9" ht="15.75" customHeight="1">
      <c r="A638" s="658"/>
      <c r="B638" s="145"/>
      <c r="C638" s="145"/>
      <c r="D638" s="145"/>
      <c r="E638" s="145"/>
      <c r="F638" s="145"/>
      <c r="G638" s="145"/>
      <c r="H638" s="145"/>
      <c r="I638" s="145"/>
    </row>
    <row r="639" spans="1:9" ht="15.75" customHeight="1">
      <c r="A639" s="658"/>
      <c r="B639" s="145"/>
      <c r="C639" s="145"/>
      <c r="D639" s="145"/>
      <c r="E639" s="145"/>
      <c r="F639" s="145"/>
      <c r="G639" s="145"/>
      <c r="H639" s="145"/>
      <c r="I639" s="145"/>
    </row>
    <row r="640" spans="1:9" ht="15.75" customHeight="1">
      <c r="A640" s="658"/>
      <c r="B640" s="145"/>
      <c r="C640" s="145"/>
      <c r="D640" s="145"/>
      <c r="E640" s="145"/>
      <c r="F640" s="145"/>
      <c r="G640" s="145"/>
      <c r="H640" s="145"/>
      <c r="I640" s="145"/>
    </row>
    <row r="641" spans="1:9" ht="15.75" customHeight="1">
      <c r="A641" s="658"/>
      <c r="B641" s="145"/>
      <c r="C641" s="145"/>
      <c r="D641" s="145"/>
      <c r="E641" s="145"/>
      <c r="F641" s="145"/>
      <c r="G641" s="145"/>
      <c r="H641" s="145"/>
      <c r="I641" s="145"/>
    </row>
    <row r="642" spans="1:9" ht="15.75" customHeight="1">
      <c r="A642" s="658"/>
      <c r="B642" s="145"/>
      <c r="C642" s="145"/>
      <c r="D642" s="145"/>
      <c r="E642" s="145"/>
      <c r="F642" s="145"/>
      <c r="G642" s="145"/>
      <c r="H642" s="145"/>
      <c r="I642" s="145"/>
    </row>
    <row r="643" spans="1:9" ht="15.75" customHeight="1">
      <c r="A643" s="658"/>
      <c r="B643" s="145"/>
      <c r="C643" s="145"/>
      <c r="D643" s="145"/>
      <c r="E643" s="145"/>
      <c r="F643" s="145"/>
      <c r="G643" s="145"/>
      <c r="H643" s="145"/>
      <c r="I643" s="145"/>
    </row>
    <row r="644" spans="1:9" ht="15.75" customHeight="1">
      <c r="A644" s="658"/>
      <c r="B644" s="145"/>
      <c r="C644" s="145"/>
      <c r="D644" s="145"/>
      <c r="E644" s="145"/>
      <c r="F644" s="145"/>
      <c r="G644" s="145"/>
      <c r="H644" s="145"/>
      <c r="I644" s="145"/>
    </row>
    <row r="645" spans="1:9" ht="15.75" customHeight="1">
      <c r="A645" s="658"/>
      <c r="B645" s="145"/>
      <c r="C645" s="145"/>
      <c r="D645" s="145"/>
      <c r="E645" s="145"/>
      <c r="F645" s="145"/>
      <c r="G645" s="145"/>
      <c r="H645" s="145"/>
      <c r="I645" s="145"/>
    </row>
    <row r="646" spans="1:9" ht="15.75" customHeight="1">
      <c r="A646" s="658"/>
      <c r="B646" s="145"/>
      <c r="C646" s="145"/>
      <c r="D646" s="145"/>
      <c r="E646" s="145"/>
      <c r="F646" s="145"/>
      <c r="G646" s="145"/>
      <c r="H646" s="145"/>
      <c r="I646" s="145"/>
    </row>
    <row r="647" spans="1:9" ht="15.75" customHeight="1">
      <c r="A647" s="658"/>
      <c r="B647" s="145"/>
      <c r="C647" s="145"/>
      <c r="D647" s="145"/>
      <c r="E647" s="145"/>
      <c r="F647" s="145"/>
      <c r="G647" s="145"/>
      <c r="H647" s="145"/>
      <c r="I647" s="145"/>
    </row>
    <row r="648" spans="1:9" ht="15.75" customHeight="1">
      <c r="A648" s="658"/>
      <c r="B648" s="145"/>
      <c r="C648" s="145"/>
      <c r="D648" s="145"/>
      <c r="E648" s="145"/>
      <c r="F648" s="145"/>
      <c r="G648" s="145"/>
      <c r="H648" s="145"/>
      <c r="I648" s="145"/>
    </row>
    <row r="649" spans="1:9" ht="15.75" customHeight="1">
      <c r="A649" s="658"/>
      <c r="B649" s="145"/>
      <c r="C649" s="145"/>
      <c r="D649" s="145"/>
      <c r="E649" s="145"/>
      <c r="F649" s="145"/>
      <c r="G649" s="145"/>
      <c r="H649" s="145"/>
      <c r="I649" s="145"/>
    </row>
    <row r="650" spans="1:9" ht="15.75" customHeight="1">
      <c r="A650" s="658"/>
      <c r="B650" s="145"/>
      <c r="C650" s="145"/>
      <c r="D650" s="145"/>
      <c r="E650" s="145"/>
      <c r="F650" s="145"/>
      <c r="G650" s="145"/>
      <c r="H650" s="145"/>
      <c r="I650" s="145"/>
    </row>
    <row r="651" spans="1:9" ht="15.75" customHeight="1">
      <c r="A651" s="658"/>
      <c r="B651" s="145"/>
      <c r="C651" s="145"/>
      <c r="D651" s="145"/>
      <c r="E651" s="145"/>
      <c r="F651" s="145"/>
      <c r="G651" s="145"/>
      <c r="H651" s="145"/>
      <c r="I651" s="145"/>
    </row>
    <row r="652" spans="1:9" ht="15.75" customHeight="1">
      <c r="A652" s="658"/>
      <c r="B652" s="145"/>
      <c r="C652" s="145"/>
      <c r="D652" s="145"/>
      <c r="E652" s="145"/>
      <c r="F652" s="145"/>
      <c r="G652" s="145"/>
      <c r="H652" s="145"/>
      <c r="I652" s="145"/>
    </row>
    <row r="653" spans="1:9" ht="15.75" customHeight="1">
      <c r="A653" s="658"/>
      <c r="B653" s="145"/>
      <c r="C653" s="145"/>
      <c r="D653" s="145"/>
      <c r="E653" s="145"/>
      <c r="F653" s="145"/>
      <c r="G653" s="145"/>
      <c r="H653" s="145"/>
      <c r="I653" s="145"/>
    </row>
    <row r="654" spans="1:9" ht="15.75" customHeight="1">
      <c r="A654" s="658"/>
      <c r="B654" s="145"/>
      <c r="C654" s="145"/>
      <c r="D654" s="145"/>
      <c r="E654" s="145"/>
      <c r="F654" s="145"/>
      <c r="G654" s="145"/>
      <c r="H654" s="145"/>
      <c r="I654" s="145"/>
    </row>
    <row r="655" spans="1:9" ht="15.75" customHeight="1">
      <c r="A655" s="658"/>
      <c r="B655" s="145"/>
      <c r="C655" s="145"/>
      <c r="D655" s="145"/>
      <c r="E655" s="145"/>
      <c r="F655" s="145"/>
      <c r="G655" s="145"/>
      <c r="H655" s="145"/>
      <c r="I655" s="145"/>
    </row>
    <row r="656" spans="1:9" ht="15.75" customHeight="1">
      <c r="A656" s="658"/>
      <c r="B656" s="145"/>
      <c r="C656" s="145"/>
      <c r="D656" s="145"/>
      <c r="E656" s="145"/>
      <c r="F656" s="145"/>
      <c r="G656" s="145"/>
      <c r="H656" s="145"/>
      <c r="I656" s="145"/>
    </row>
    <row r="657" spans="1:9" ht="15.75" customHeight="1">
      <c r="A657" s="658"/>
      <c r="B657" s="145"/>
      <c r="C657" s="145"/>
      <c r="D657" s="145"/>
      <c r="E657" s="145"/>
      <c r="F657" s="145"/>
      <c r="G657" s="145"/>
      <c r="H657" s="145"/>
      <c r="I657" s="145"/>
    </row>
    <row r="658" spans="1:9" ht="15.75" customHeight="1">
      <c r="A658" s="658"/>
      <c r="B658" s="145"/>
      <c r="C658" s="145"/>
      <c r="D658" s="145"/>
      <c r="E658" s="145"/>
      <c r="F658" s="145"/>
      <c r="G658" s="145"/>
      <c r="H658" s="145"/>
      <c r="I658" s="145"/>
    </row>
    <row r="659" spans="1:9" ht="15.75" customHeight="1">
      <c r="A659" s="658"/>
      <c r="B659" s="145"/>
      <c r="C659" s="145"/>
      <c r="D659" s="145"/>
      <c r="E659" s="145"/>
      <c r="F659" s="145"/>
      <c r="G659" s="145"/>
      <c r="H659" s="145"/>
      <c r="I659" s="145"/>
    </row>
    <row r="660" spans="1:9" ht="15.75" customHeight="1">
      <c r="A660" s="658"/>
      <c r="B660" s="145"/>
      <c r="C660" s="145"/>
      <c r="D660" s="145"/>
      <c r="E660" s="145"/>
      <c r="F660" s="145"/>
      <c r="G660" s="145"/>
      <c r="H660" s="145"/>
      <c r="I660" s="145"/>
    </row>
    <row r="661" spans="1:9" ht="15.75" customHeight="1">
      <c r="A661" s="658"/>
      <c r="B661" s="145"/>
      <c r="C661" s="145"/>
      <c r="D661" s="145"/>
      <c r="E661" s="145"/>
      <c r="F661" s="145"/>
      <c r="G661" s="145"/>
      <c r="H661" s="145"/>
      <c r="I661" s="145"/>
    </row>
    <row r="662" spans="1:9" ht="15.75" customHeight="1">
      <c r="A662" s="658"/>
      <c r="B662" s="145"/>
      <c r="C662" s="145"/>
      <c r="D662" s="145"/>
      <c r="E662" s="145"/>
      <c r="F662" s="145"/>
      <c r="G662" s="145"/>
      <c r="H662" s="145"/>
      <c r="I662" s="145"/>
    </row>
    <row r="663" spans="1:9" ht="15.75" customHeight="1">
      <c r="A663" s="658"/>
      <c r="B663" s="145"/>
      <c r="C663" s="145"/>
      <c r="D663" s="145"/>
      <c r="E663" s="145"/>
      <c r="F663" s="145"/>
      <c r="G663" s="145"/>
      <c r="H663" s="145"/>
      <c r="I663" s="145"/>
    </row>
    <row r="664" spans="1:9" ht="15.75" customHeight="1">
      <c r="A664" s="658"/>
      <c r="B664" s="145"/>
      <c r="C664" s="145"/>
      <c r="D664" s="145"/>
      <c r="E664" s="145"/>
      <c r="F664" s="145"/>
      <c r="G664" s="145"/>
      <c r="H664" s="145"/>
      <c r="I664" s="145"/>
    </row>
    <row r="665" spans="1:9" ht="15.75" customHeight="1">
      <c r="A665" s="658"/>
      <c r="B665" s="145"/>
      <c r="C665" s="145"/>
      <c r="D665" s="145"/>
      <c r="E665" s="145"/>
      <c r="F665" s="145"/>
      <c r="G665" s="145"/>
      <c r="H665" s="145"/>
      <c r="I665" s="145"/>
    </row>
    <row r="666" spans="1:9" ht="15.75" customHeight="1">
      <c r="A666" s="658"/>
      <c r="B666" s="145"/>
      <c r="C666" s="145"/>
      <c r="D666" s="145"/>
      <c r="E666" s="145"/>
      <c r="F666" s="145"/>
      <c r="G666" s="145"/>
      <c r="H666" s="145"/>
      <c r="I666" s="145"/>
    </row>
    <row r="667" spans="1:9" ht="15.75" customHeight="1">
      <c r="A667" s="658"/>
      <c r="B667" s="145"/>
      <c r="C667" s="145"/>
      <c r="D667" s="145"/>
      <c r="E667" s="145"/>
      <c r="F667" s="145"/>
      <c r="G667" s="145"/>
      <c r="H667" s="145"/>
      <c r="I667" s="145"/>
    </row>
    <row r="668" spans="1:9" ht="15.75" customHeight="1">
      <c r="A668" s="658"/>
      <c r="B668" s="145"/>
      <c r="C668" s="145"/>
      <c r="D668" s="145"/>
      <c r="E668" s="145"/>
      <c r="F668" s="145"/>
      <c r="G668" s="145"/>
      <c r="H668" s="145"/>
      <c r="I668" s="145"/>
    </row>
    <row r="669" spans="1:9" ht="15.75" customHeight="1">
      <c r="A669" s="658"/>
      <c r="B669" s="145"/>
      <c r="C669" s="145"/>
      <c r="D669" s="145"/>
      <c r="E669" s="145"/>
      <c r="F669" s="145"/>
      <c r="G669" s="145"/>
      <c r="H669" s="145"/>
      <c r="I669" s="145"/>
    </row>
    <row r="670" spans="1:9" ht="15.75" customHeight="1">
      <c r="A670" s="658"/>
      <c r="B670" s="145"/>
      <c r="C670" s="145"/>
      <c r="D670" s="145"/>
      <c r="E670" s="145"/>
      <c r="F670" s="145"/>
      <c r="G670" s="145"/>
      <c r="H670" s="145"/>
      <c r="I670" s="145"/>
    </row>
    <row r="671" spans="1:9" ht="15.75" customHeight="1">
      <c r="A671" s="658"/>
      <c r="B671" s="145"/>
      <c r="C671" s="145"/>
      <c r="D671" s="145"/>
      <c r="E671" s="145"/>
      <c r="F671" s="145"/>
      <c r="G671" s="145"/>
      <c r="H671" s="145"/>
      <c r="I671" s="145"/>
    </row>
    <row r="672" spans="1:9" ht="15.75" customHeight="1">
      <c r="A672" s="658"/>
      <c r="B672" s="145"/>
      <c r="C672" s="145"/>
      <c r="D672" s="145"/>
      <c r="E672" s="145"/>
      <c r="F672" s="145"/>
      <c r="G672" s="145"/>
      <c r="H672" s="145"/>
      <c r="I672" s="145"/>
    </row>
    <row r="673" spans="1:9" ht="15.75" customHeight="1">
      <c r="A673" s="658"/>
      <c r="B673" s="145"/>
      <c r="C673" s="145"/>
      <c r="D673" s="145"/>
      <c r="E673" s="145"/>
      <c r="F673" s="145"/>
      <c r="G673" s="145"/>
      <c r="H673" s="145"/>
      <c r="I673" s="145"/>
    </row>
    <row r="674" spans="1:9" ht="15.75" customHeight="1">
      <c r="A674" s="658"/>
      <c r="B674" s="145"/>
      <c r="C674" s="145"/>
      <c r="D674" s="145"/>
      <c r="E674" s="145"/>
      <c r="F674" s="145"/>
      <c r="G674" s="145"/>
      <c r="H674" s="145"/>
      <c r="I674" s="145"/>
    </row>
    <row r="675" spans="1:9" ht="15.75" customHeight="1">
      <c r="A675" s="658"/>
      <c r="B675" s="145"/>
      <c r="C675" s="145"/>
      <c r="D675" s="145"/>
      <c r="E675" s="145"/>
      <c r="F675" s="145"/>
      <c r="G675" s="145"/>
      <c r="H675" s="145"/>
      <c r="I675" s="145"/>
    </row>
    <row r="676" spans="1:9" ht="15.75" customHeight="1">
      <c r="A676" s="658"/>
      <c r="B676" s="145"/>
      <c r="C676" s="145"/>
      <c r="D676" s="145"/>
      <c r="E676" s="145"/>
      <c r="F676" s="145"/>
      <c r="G676" s="145"/>
      <c r="H676" s="145"/>
      <c r="I676" s="145"/>
    </row>
    <row r="677" spans="1:9" ht="15.75" customHeight="1">
      <c r="A677" s="658"/>
      <c r="B677" s="145"/>
      <c r="C677" s="145"/>
      <c r="D677" s="145"/>
      <c r="E677" s="145"/>
      <c r="F677" s="145"/>
      <c r="G677" s="145"/>
      <c r="H677" s="145"/>
      <c r="I677" s="145"/>
    </row>
    <row r="678" spans="1:9" ht="15.75" customHeight="1">
      <c r="A678" s="658"/>
      <c r="B678" s="145"/>
      <c r="C678" s="145"/>
      <c r="D678" s="145"/>
      <c r="E678" s="145"/>
      <c r="F678" s="145"/>
      <c r="G678" s="145"/>
      <c r="H678" s="145"/>
      <c r="I678" s="145"/>
    </row>
    <row r="679" spans="1:9" ht="15.75" customHeight="1">
      <c r="A679" s="658"/>
      <c r="B679" s="145"/>
      <c r="C679" s="145"/>
      <c r="D679" s="145"/>
      <c r="E679" s="145"/>
      <c r="F679" s="145"/>
      <c r="G679" s="145"/>
      <c r="H679" s="145"/>
      <c r="I679" s="145"/>
    </row>
    <row r="680" spans="1:9" ht="15.75" customHeight="1">
      <c r="A680" s="658"/>
      <c r="B680" s="145"/>
      <c r="C680" s="145"/>
      <c r="D680" s="145"/>
      <c r="E680" s="145"/>
      <c r="F680" s="145"/>
      <c r="G680" s="145"/>
      <c r="H680" s="145"/>
      <c r="I680" s="145"/>
    </row>
    <row r="681" spans="1:9" ht="15.75" customHeight="1">
      <c r="A681" s="658"/>
      <c r="B681" s="145"/>
      <c r="C681" s="145"/>
      <c r="D681" s="145"/>
      <c r="E681" s="145"/>
      <c r="F681" s="145"/>
      <c r="G681" s="145"/>
      <c r="H681" s="145"/>
      <c r="I681" s="145"/>
    </row>
    <row r="682" spans="1:9" ht="15.75" customHeight="1">
      <c r="A682" s="658"/>
      <c r="B682" s="145"/>
      <c r="C682" s="145"/>
      <c r="D682" s="145"/>
      <c r="E682" s="145"/>
      <c r="F682" s="145"/>
      <c r="G682" s="145"/>
      <c r="H682" s="145"/>
      <c r="I682" s="145"/>
    </row>
    <row r="683" spans="1:9" ht="15.75" customHeight="1">
      <c r="A683" s="658"/>
      <c r="B683" s="145"/>
      <c r="C683" s="145"/>
      <c r="D683" s="145"/>
      <c r="E683" s="145"/>
      <c r="F683" s="145"/>
      <c r="G683" s="145"/>
      <c r="H683" s="145"/>
      <c r="I683" s="145"/>
    </row>
    <row r="684" spans="1:9" ht="15.75" customHeight="1">
      <c r="A684" s="658"/>
      <c r="B684" s="145"/>
      <c r="C684" s="145"/>
      <c r="D684" s="145"/>
      <c r="E684" s="145"/>
      <c r="F684" s="145"/>
      <c r="G684" s="145"/>
      <c r="H684" s="145"/>
      <c r="I684" s="145"/>
    </row>
    <row r="685" spans="1:9" ht="15.75" customHeight="1">
      <c r="A685" s="658"/>
      <c r="B685" s="145"/>
      <c r="C685" s="145"/>
      <c r="D685" s="145"/>
      <c r="E685" s="145"/>
      <c r="F685" s="145"/>
      <c r="G685" s="145"/>
      <c r="H685" s="145"/>
      <c r="I685" s="145"/>
    </row>
    <row r="686" spans="1:9" ht="15.75" customHeight="1">
      <c r="A686" s="658"/>
      <c r="B686" s="145"/>
      <c r="C686" s="145"/>
      <c r="D686" s="145"/>
      <c r="E686" s="145"/>
      <c r="F686" s="145"/>
      <c r="G686" s="145"/>
      <c r="H686" s="145"/>
      <c r="I686" s="145"/>
    </row>
    <row r="687" spans="1:9" ht="15.75" customHeight="1">
      <c r="A687" s="658"/>
      <c r="B687" s="145"/>
      <c r="C687" s="145"/>
      <c r="D687" s="145"/>
      <c r="E687" s="145"/>
      <c r="F687" s="145"/>
      <c r="G687" s="145"/>
      <c r="H687" s="145"/>
      <c r="I687" s="145"/>
    </row>
    <row r="688" spans="1:9" ht="15.75" customHeight="1">
      <c r="A688" s="658"/>
      <c r="B688" s="145"/>
      <c r="C688" s="145"/>
      <c r="D688" s="145"/>
      <c r="E688" s="145"/>
      <c r="F688" s="145"/>
      <c r="G688" s="145"/>
      <c r="H688" s="145"/>
      <c r="I688" s="145"/>
    </row>
    <row r="689" spans="1:9" ht="15.75" customHeight="1">
      <c r="A689" s="658"/>
      <c r="B689" s="145"/>
      <c r="C689" s="145"/>
      <c r="D689" s="145"/>
      <c r="E689" s="145"/>
      <c r="F689" s="145"/>
      <c r="G689" s="145"/>
      <c r="H689" s="145"/>
      <c r="I689" s="145"/>
    </row>
    <row r="690" spans="1:9" ht="15.75" customHeight="1">
      <c r="A690" s="658"/>
      <c r="B690" s="145"/>
      <c r="C690" s="145"/>
      <c r="D690" s="145"/>
      <c r="E690" s="145"/>
      <c r="F690" s="145"/>
      <c r="G690" s="145"/>
      <c r="H690" s="145"/>
      <c r="I690" s="145"/>
    </row>
    <row r="691" spans="1:9" ht="15.75" customHeight="1">
      <c r="A691" s="658"/>
      <c r="B691" s="145"/>
      <c r="C691" s="145"/>
      <c r="D691" s="145"/>
      <c r="E691" s="145"/>
      <c r="F691" s="145"/>
      <c r="G691" s="145"/>
      <c r="H691" s="145"/>
      <c r="I691" s="145"/>
    </row>
    <row r="692" spans="1:9" ht="15.75" customHeight="1">
      <c r="A692" s="658"/>
      <c r="B692" s="145"/>
      <c r="C692" s="145"/>
      <c r="D692" s="145"/>
      <c r="E692" s="145"/>
      <c r="F692" s="145"/>
      <c r="G692" s="145"/>
      <c r="H692" s="145"/>
      <c r="I692" s="145"/>
    </row>
    <row r="693" spans="1:9" ht="15.75" customHeight="1">
      <c r="A693" s="658"/>
      <c r="B693" s="145"/>
      <c r="C693" s="145"/>
      <c r="D693" s="145"/>
      <c r="E693" s="145"/>
      <c r="F693" s="145"/>
      <c r="G693" s="145"/>
      <c r="H693" s="145"/>
      <c r="I693" s="145"/>
    </row>
    <row r="694" spans="1:9" ht="15.75" customHeight="1">
      <c r="A694" s="658"/>
      <c r="B694" s="145"/>
      <c r="C694" s="145"/>
      <c r="D694" s="145"/>
      <c r="E694" s="145"/>
      <c r="F694" s="145"/>
      <c r="G694" s="145"/>
      <c r="H694" s="145"/>
      <c r="I694" s="145"/>
    </row>
    <row r="695" spans="1:9" ht="15.75" customHeight="1">
      <c r="A695" s="658"/>
      <c r="B695" s="145"/>
      <c r="C695" s="145"/>
      <c r="D695" s="145"/>
      <c r="E695" s="145"/>
      <c r="F695" s="145"/>
      <c r="G695" s="145"/>
      <c r="H695" s="145"/>
      <c r="I695" s="145"/>
    </row>
    <row r="696" spans="1:9" ht="15.75" customHeight="1">
      <c r="A696" s="658"/>
      <c r="B696" s="145"/>
      <c r="C696" s="145"/>
      <c r="D696" s="145"/>
      <c r="E696" s="145"/>
      <c r="F696" s="145"/>
      <c r="G696" s="145"/>
      <c r="H696" s="145"/>
      <c r="I696" s="145"/>
    </row>
    <row r="697" spans="1:9" ht="15.75" customHeight="1">
      <c r="A697" s="658"/>
      <c r="B697" s="145"/>
      <c r="C697" s="145"/>
      <c r="D697" s="145"/>
      <c r="E697" s="145"/>
      <c r="F697" s="145"/>
      <c r="G697" s="145"/>
      <c r="H697" s="145"/>
      <c r="I697" s="145"/>
    </row>
    <row r="698" spans="1:9" ht="15.75" customHeight="1">
      <c r="A698" s="658"/>
      <c r="B698" s="145"/>
      <c r="C698" s="145"/>
      <c r="D698" s="145"/>
      <c r="E698" s="145"/>
      <c r="F698" s="145"/>
      <c r="G698" s="145"/>
      <c r="H698" s="145"/>
      <c r="I698" s="145"/>
    </row>
    <row r="699" spans="1:9" ht="15.75" customHeight="1">
      <c r="A699" s="658"/>
      <c r="B699" s="145"/>
      <c r="C699" s="145"/>
      <c r="D699" s="145"/>
      <c r="E699" s="145"/>
      <c r="F699" s="145"/>
      <c r="G699" s="145"/>
      <c r="H699" s="145"/>
      <c r="I699" s="145"/>
    </row>
    <row r="700" spans="1:9" ht="15.75" customHeight="1">
      <c r="A700" s="658"/>
      <c r="B700" s="145"/>
      <c r="C700" s="145"/>
      <c r="D700" s="145"/>
      <c r="E700" s="145"/>
      <c r="F700" s="145"/>
      <c r="G700" s="145"/>
      <c r="H700" s="145"/>
      <c r="I700" s="145"/>
    </row>
    <row r="701" spans="1:9" ht="15.75" customHeight="1">
      <c r="A701" s="658"/>
      <c r="B701" s="145"/>
      <c r="C701" s="145"/>
      <c r="D701" s="145"/>
      <c r="E701" s="145"/>
      <c r="F701" s="145"/>
      <c r="G701" s="145"/>
      <c r="H701" s="145"/>
      <c r="I701" s="145"/>
    </row>
    <row r="702" spans="1:9" ht="15.75" customHeight="1">
      <c r="A702" s="658"/>
      <c r="B702" s="145"/>
      <c r="C702" s="145"/>
      <c r="D702" s="145"/>
      <c r="E702" s="145"/>
      <c r="F702" s="145"/>
      <c r="G702" s="145"/>
      <c r="H702" s="145"/>
      <c r="I702" s="145"/>
    </row>
    <row r="703" spans="1:9" ht="15.75" customHeight="1">
      <c r="A703" s="658"/>
      <c r="B703" s="145"/>
      <c r="C703" s="145"/>
      <c r="D703" s="145"/>
      <c r="E703" s="145"/>
      <c r="F703" s="145"/>
      <c r="G703" s="145"/>
      <c r="H703" s="145"/>
      <c r="I703" s="145"/>
    </row>
    <row r="704" spans="1:9" ht="15.75" customHeight="1">
      <c r="A704" s="658"/>
      <c r="B704" s="145"/>
      <c r="C704" s="145"/>
      <c r="D704" s="145"/>
      <c r="E704" s="145"/>
      <c r="F704" s="145"/>
      <c r="G704" s="145"/>
      <c r="H704" s="145"/>
      <c r="I704" s="145"/>
    </row>
    <row r="705" spans="1:9" ht="15.75" customHeight="1">
      <c r="A705" s="658"/>
      <c r="B705" s="145"/>
      <c r="C705" s="145"/>
      <c r="D705" s="145"/>
      <c r="E705" s="145"/>
      <c r="F705" s="145"/>
      <c r="G705" s="145"/>
      <c r="H705" s="145"/>
      <c r="I705" s="145"/>
    </row>
    <row r="706" spans="1:9" ht="15.75" customHeight="1">
      <c r="A706" s="658"/>
      <c r="B706" s="145"/>
      <c r="C706" s="145"/>
      <c r="D706" s="145"/>
      <c r="E706" s="145"/>
      <c r="F706" s="145"/>
      <c r="G706" s="145"/>
      <c r="H706" s="145"/>
      <c r="I706" s="145"/>
    </row>
    <row r="707" spans="1:9" ht="15.75" customHeight="1">
      <c r="A707" s="658"/>
      <c r="B707" s="145"/>
      <c r="C707" s="145"/>
      <c r="D707" s="145"/>
      <c r="E707" s="145"/>
      <c r="F707" s="145"/>
      <c r="G707" s="145"/>
      <c r="H707" s="145"/>
      <c r="I707" s="145"/>
    </row>
    <row r="708" spans="1:9" ht="15.75" customHeight="1">
      <c r="A708" s="658"/>
      <c r="B708" s="145"/>
      <c r="C708" s="145"/>
      <c r="D708" s="145"/>
      <c r="E708" s="145"/>
      <c r="F708" s="145"/>
      <c r="G708" s="145"/>
      <c r="H708" s="145"/>
      <c r="I708" s="145"/>
    </row>
    <row r="709" spans="1:9" ht="15.75" customHeight="1">
      <c r="A709" s="658"/>
      <c r="B709" s="145"/>
      <c r="C709" s="145"/>
      <c r="D709" s="145"/>
      <c r="E709" s="145"/>
      <c r="F709" s="145"/>
      <c r="G709" s="145"/>
      <c r="H709" s="145"/>
      <c r="I709" s="145"/>
    </row>
    <row r="710" spans="1:9" ht="15.75" customHeight="1">
      <c r="A710" s="658"/>
      <c r="B710" s="145"/>
      <c r="C710" s="145"/>
      <c r="D710" s="145"/>
      <c r="E710" s="145"/>
      <c r="F710" s="145"/>
      <c r="G710" s="145"/>
      <c r="H710" s="145"/>
      <c r="I710" s="145"/>
    </row>
    <row r="711" spans="1:9" ht="15.75" customHeight="1">
      <c r="A711" s="658"/>
      <c r="B711" s="145"/>
      <c r="C711" s="145"/>
      <c r="D711" s="145"/>
      <c r="E711" s="145"/>
      <c r="F711" s="145"/>
      <c r="G711" s="145"/>
      <c r="H711" s="145"/>
      <c r="I711" s="145"/>
    </row>
    <row r="712" spans="1:9" ht="15.75" customHeight="1">
      <c r="A712" s="658"/>
      <c r="B712" s="145"/>
      <c r="C712" s="145"/>
      <c r="D712" s="145"/>
      <c r="E712" s="145"/>
      <c r="F712" s="145"/>
      <c r="G712" s="145"/>
      <c r="H712" s="145"/>
      <c r="I712" s="145"/>
    </row>
    <row r="713" spans="1:9" ht="15.75" customHeight="1">
      <c r="A713" s="658"/>
      <c r="B713" s="145"/>
      <c r="C713" s="145"/>
      <c r="D713" s="145"/>
      <c r="E713" s="145"/>
      <c r="F713" s="145"/>
      <c r="G713" s="145"/>
      <c r="H713" s="145"/>
      <c r="I713" s="145"/>
    </row>
    <row r="714" spans="1:9" ht="15.75" customHeight="1">
      <c r="A714" s="658"/>
      <c r="B714" s="145"/>
      <c r="C714" s="145"/>
      <c r="D714" s="145"/>
      <c r="E714" s="145"/>
      <c r="F714" s="145"/>
      <c r="G714" s="145"/>
      <c r="H714" s="145"/>
      <c r="I714" s="145"/>
    </row>
    <row r="715" spans="1:9" ht="15.75" customHeight="1">
      <c r="A715" s="658"/>
      <c r="B715" s="145"/>
      <c r="C715" s="145"/>
      <c r="D715" s="145"/>
      <c r="E715" s="145"/>
      <c r="F715" s="145"/>
      <c r="G715" s="145"/>
      <c r="H715" s="145"/>
      <c r="I715" s="145"/>
    </row>
    <row r="716" spans="1:9" ht="15.75" customHeight="1">
      <c r="A716" s="658"/>
      <c r="B716" s="145"/>
      <c r="C716" s="145"/>
      <c r="D716" s="145"/>
      <c r="E716" s="145"/>
      <c r="F716" s="145"/>
      <c r="G716" s="145"/>
      <c r="H716" s="145"/>
      <c r="I716" s="145"/>
    </row>
    <row r="717" spans="1:9" ht="15.75" customHeight="1">
      <c r="A717" s="658"/>
      <c r="B717" s="145"/>
      <c r="C717" s="145"/>
      <c r="D717" s="145"/>
      <c r="E717" s="145"/>
      <c r="F717" s="145"/>
      <c r="G717" s="145"/>
      <c r="H717" s="145"/>
      <c r="I717" s="145"/>
    </row>
    <row r="718" spans="1:9" ht="15.75" customHeight="1">
      <c r="A718" s="658"/>
      <c r="B718" s="145"/>
      <c r="C718" s="145"/>
      <c r="D718" s="145"/>
      <c r="E718" s="145"/>
      <c r="F718" s="145"/>
      <c r="G718" s="145"/>
      <c r="H718" s="145"/>
      <c r="I718" s="145"/>
    </row>
    <row r="719" spans="1:9" ht="15.75" customHeight="1">
      <c r="A719" s="658"/>
      <c r="B719" s="145"/>
      <c r="C719" s="145"/>
      <c r="D719" s="145"/>
      <c r="E719" s="145"/>
      <c r="F719" s="145"/>
      <c r="G719" s="145"/>
      <c r="H719" s="145"/>
      <c r="I719" s="145"/>
    </row>
    <row r="720" spans="1:9" ht="15.75" customHeight="1">
      <c r="A720" s="658"/>
      <c r="B720" s="145"/>
      <c r="C720" s="145"/>
      <c r="D720" s="145"/>
      <c r="E720" s="145"/>
      <c r="F720" s="145"/>
      <c r="G720" s="145"/>
      <c r="H720" s="145"/>
      <c r="I720" s="145"/>
    </row>
    <row r="721" spans="1:9" ht="15.75" customHeight="1">
      <c r="A721" s="658"/>
      <c r="B721" s="145"/>
      <c r="C721" s="145"/>
      <c r="D721" s="145"/>
      <c r="E721" s="145"/>
      <c r="F721" s="145"/>
      <c r="G721" s="145"/>
      <c r="H721" s="145"/>
      <c r="I721" s="145"/>
    </row>
    <row r="722" spans="1:9" ht="15.75" customHeight="1">
      <c r="A722" s="658"/>
      <c r="B722" s="145"/>
      <c r="C722" s="145"/>
      <c r="D722" s="145"/>
      <c r="E722" s="145"/>
      <c r="F722" s="145"/>
      <c r="G722" s="145"/>
      <c r="H722" s="145"/>
      <c r="I722" s="145"/>
    </row>
    <row r="723" spans="1:9" ht="15.75" customHeight="1">
      <c r="A723" s="658"/>
      <c r="B723" s="145"/>
      <c r="C723" s="145"/>
      <c r="D723" s="145"/>
      <c r="E723" s="145"/>
      <c r="F723" s="145"/>
      <c r="G723" s="145"/>
      <c r="H723" s="145"/>
      <c r="I723" s="145"/>
    </row>
    <row r="724" spans="1:9" ht="15.75" customHeight="1">
      <c r="A724" s="658"/>
      <c r="B724" s="145"/>
      <c r="C724" s="145"/>
      <c r="D724" s="145"/>
      <c r="E724" s="145"/>
      <c r="F724" s="145"/>
      <c r="G724" s="145"/>
      <c r="H724" s="145"/>
      <c r="I724" s="145"/>
    </row>
    <row r="725" spans="1:9" ht="15.75" customHeight="1">
      <c r="A725" s="658"/>
      <c r="B725" s="145"/>
      <c r="C725" s="145"/>
      <c r="D725" s="145"/>
      <c r="E725" s="145"/>
      <c r="F725" s="145"/>
      <c r="G725" s="145"/>
      <c r="H725" s="145"/>
      <c r="I725" s="145"/>
    </row>
    <row r="726" spans="1:9" ht="15.75" customHeight="1">
      <c r="A726" s="658"/>
      <c r="B726" s="145"/>
      <c r="C726" s="145"/>
      <c r="D726" s="145"/>
      <c r="E726" s="145"/>
      <c r="F726" s="145"/>
      <c r="G726" s="145"/>
      <c r="H726" s="145"/>
      <c r="I726" s="145"/>
    </row>
    <row r="727" spans="1:9" ht="15.75" customHeight="1">
      <c r="A727" s="658"/>
      <c r="B727" s="145"/>
      <c r="C727" s="145"/>
      <c r="D727" s="145"/>
      <c r="E727" s="145"/>
      <c r="F727" s="145"/>
      <c r="G727" s="145"/>
      <c r="H727" s="145"/>
      <c r="I727" s="145"/>
    </row>
    <row r="728" spans="1:9" ht="15.75" customHeight="1">
      <c r="A728" s="658"/>
      <c r="B728" s="145"/>
      <c r="C728" s="145"/>
      <c r="D728" s="145"/>
      <c r="E728" s="145"/>
      <c r="F728" s="145"/>
      <c r="G728" s="145"/>
      <c r="H728" s="145"/>
      <c r="I728" s="145"/>
    </row>
    <row r="729" spans="1:9" ht="15.75" customHeight="1">
      <c r="A729" s="658"/>
      <c r="B729" s="145"/>
      <c r="C729" s="145"/>
      <c r="D729" s="145"/>
      <c r="E729" s="145"/>
      <c r="F729" s="145"/>
      <c r="G729" s="145"/>
      <c r="H729" s="145"/>
      <c r="I729" s="145"/>
    </row>
    <row r="730" spans="1:9" ht="15.75" customHeight="1">
      <c r="A730" s="658"/>
      <c r="B730" s="145"/>
      <c r="C730" s="145"/>
      <c r="D730" s="145"/>
      <c r="E730" s="145"/>
      <c r="F730" s="145"/>
      <c r="G730" s="145"/>
      <c r="H730" s="145"/>
      <c r="I730" s="145"/>
    </row>
    <row r="731" spans="1:9" ht="15.75" customHeight="1">
      <c r="A731" s="658"/>
      <c r="B731" s="145"/>
      <c r="C731" s="145"/>
      <c r="D731" s="145"/>
      <c r="E731" s="145"/>
      <c r="F731" s="145"/>
      <c r="G731" s="145"/>
      <c r="H731" s="145"/>
      <c r="I731" s="145"/>
    </row>
    <row r="732" spans="1:9" ht="15.75" customHeight="1">
      <c r="A732" s="658"/>
      <c r="B732" s="145"/>
      <c r="C732" s="145"/>
      <c r="D732" s="145"/>
      <c r="E732" s="145"/>
      <c r="F732" s="145"/>
      <c r="G732" s="145"/>
      <c r="H732" s="145"/>
      <c r="I732" s="145"/>
    </row>
    <row r="733" spans="1:9" ht="15.75" customHeight="1">
      <c r="A733" s="658"/>
      <c r="B733" s="145"/>
      <c r="C733" s="145"/>
      <c r="D733" s="145"/>
      <c r="E733" s="145"/>
      <c r="F733" s="145"/>
      <c r="G733" s="145"/>
      <c r="H733" s="145"/>
      <c r="I733" s="145"/>
    </row>
    <row r="734" spans="1:9" ht="15.75" customHeight="1">
      <c r="A734" s="658"/>
      <c r="B734" s="145"/>
      <c r="C734" s="145"/>
      <c r="D734" s="145"/>
      <c r="E734" s="145"/>
      <c r="F734" s="145"/>
      <c r="G734" s="145"/>
      <c r="H734" s="145"/>
      <c r="I734" s="145"/>
    </row>
    <row r="735" spans="1:9" ht="15.75" customHeight="1">
      <c r="A735" s="658"/>
      <c r="B735" s="145"/>
      <c r="C735" s="145"/>
      <c r="D735" s="145"/>
      <c r="E735" s="145"/>
      <c r="F735" s="145"/>
      <c r="G735" s="145"/>
      <c r="H735" s="145"/>
      <c r="I735" s="145"/>
    </row>
    <row r="736" spans="1:9" ht="15.75" customHeight="1">
      <c r="A736" s="658"/>
      <c r="B736" s="145"/>
      <c r="C736" s="145"/>
      <c r="D736" s="145"/>
      <c r="E736" s="145"/>
      <c r="F736" s="145"/>
      <c r="G736" s="145"/>
      <c r="H736" s="145"/>
      <c r="I736" s="145"/>
    </row>
    <row r="737" spans="1:9" ht="15.75" customHeight="1">
      <c r="A737" s="658"/>
      <c r="B737" s="145"/>
      <c r="C737" s="145"/>
      <c r="D737" s="145"/>
      <c r="E737" s="145"/>
      <c r="F737" s="145"/>
      <c r="G737" s="145"/>
      <c r="H737" s="145"/>
      <c r="I737" s="145"/>
    </row>
    <row r="738" spans="1:9" ht="15.75" customHeight="1">
      <c r="A738" s="658"/>
      <c r="B738" s="145"/>
      <c r="C738" s="145"/>
      <c r="D738" s="145"/>
      <c r="E738" s="145"/>
      <c r="F738" s="145"/>
      <c r="G738" s="145"/>
      <c r="H738" s="145"/>
      <c r="I738" s="145"/>
    </row>
    <row r="739" spans="1:9" ht="15.75" customHeight="1">
      <c r="A739" s="658"/>
      <c r="B739" s="145"/>
      <c r="C739" s="145"/>
      <c r="D739" s="145"/>
      <c r="E739" s="145"/>
      <c r="F739" s="145"/>
      <c r="G739" s="145"/>
      <c r="H739" s="145"/>
      <c r="I739" s="145"/>
    </row>
    <row r="740" spans="1:9" ht="15.75" customHeight="1">
      <c r="A740" s="658"/>
      <c r="B740" s="145"/>
      <c r="C740" s="145"/>
      <c r="D740" s="145"/>
      <c r="E740" s="145"/>
      <c r="F740" s="145"/>
      <c r="G740" s="145"/>
      <c r="H740" s="145"/>
      <c r="I740" s="145"/>
    </row>
    <row r="741" spans="1:9" ht="15.75" customHeight="1">
      <c r="A741" s="658"/>
      <c r="B741" s="145"/>
      <c r="C741" s="145"/>
      <c r="D741" s="145"/>
      <c r="E741" s="145"/>
      <c r="F741" s="145"/>
      <c r="G741" s="145"/>
      <c r="H741" s="145"/>
      <c r="I741" s="145"/>
    </row>
    <row r="742" spans="1:9" ht="15.75" customHeight="1">
      <c r="A742" s="658"/>
      <c r="B742" s="145"/>
      <c r="C742" s="145"/>
      <c r="D742" s="145"/>
      <c r="E742" s="145"/>
      <c r="F742" s="145"/>
      <c r="G742" s="145"/>
      <c r="H742" s="145"/>
      <c r="I742" s="145"/>
    </row>
    <row r="743" spans="1:9" ht="15.75" customHeight="1">
      <c r="A743" s="658"/>
      <c r="B743" s="145"/>
      <c r="C743" s="145"/>
      <c r="D743" s="145"/>
      <c r="E743" s="145"/>
      <c r="F743" s="145"/>
      <c r="G743" s="145"/>
      <c r="H743" s="145"/>
      <c r="I743" s="145"/>
    </row>
    <row r="744" spans="1:9" ht="15.75" customHeight="1">
      <c r="A744" s="658"/>
      <c r="B744" s="145"/>
      <c r="C744" s="145"/>
      <c r="D744" s="145"/>
      <c r="E744" s="145"/>
      <c r="F744" s="145"/>
      <c r="G744" s="145"/>
      <c r="H744" s="145"/>
      <c r="I744" s="145"/>
    </row>
    <row r="745" spans="1:9" ht="15.75" customHeight="1">
      <c r="A745" s="658"/>
      <c r="B745" s="145"/>
      <c r="C745" s="145"/>
      <c r="D745" s="145"/>
      <c r="E745" s="145"/>
      <c r="F745" s="145"/>
      <c r="G745" s="145"/>
      <c r="H745" s="145"/>
      <c r="I745" s="145"/>
    </row>
    <row r="746" spans="1:9" ht="15.75" customHeight="1">
      <c r="A746" s="658"/>
      <c r="B746" s="145"/>
      <c r="C746" s="145"/>
      <c r="D746" s="145"/>
      <c r="E746" s="145"/>
      <c r="F746" s="145"/>
      <c r="G746" s="145"/>
      <c r="H746" s="145"/>
      <c r="I746" s="145"/>
    </row>
    <row r="747" spans="1:9" ht="15.75" customHeight="1">
      <c r="A747" s="658"/>
      <c r="B747" s="145"/>
      <c r="C747" s="145"/>
      <c r="D747" s="145"/>
      <c r="E747" s="145"/>
      <c r="F747" s="145"/>
      <c r="G747" s="145"/>
      <c r="H747" s="145"/>
      <c r="I747" s="145"/>
    </row>
    <row r="748" spans="1:9" ht="15.75" customHeight="1">
      <c r="A748" s="658"/>
      <c r="B748" s="145"/>
      <c r="C748" s="145"/>
      <c r="D748" s="145"/>
      <c r="E748" s="145"/>
      <c r="F748" s="145"/>
      <c r="G748" s="145"/>
      <c r="H748" s="145"/>
      <c r="I748" s="145"/>
    </row>
    <row r="749" spans="1:9" ht="15.75" customHeight="1">
      <c r="A749" s="658"/>
      <c r="B749" s="145"/>
      <c r="C749" s="145"/>
      <c r="D749" s="145"/>
      <c r="E749" s="145"/>
      <c r="F749" s="145"/>
      <c r="G749" s="145"/>
      <c r="H749" s="145"/>
      <c r="I749" s="145"/>
    </row>
    <row r="750" spans="1:9" ht="15.75" customHeight="1">
      <c r="A750" s="658"/>
      <c r="B750" s="145"/>
      <c r="C750" s="145"/>
      <c r="D750" s="145"/>
      <c r="E750" s="145"/>
      <c r="F750" s="145"/>
      <c r="G750" s="145"/>
      <c r="H750" s="145"/>
      <c r="I750" s="145"/>
    </row>
    <row r="751" spans="1:9" ht="15.75" customHeight="1">
      <c r="A751" s="658"/>
      <c r="B751" s="145"/>
      <c r="C751" s="145"/>
      <c r="D751" s="145"/>
      <c r="E751" s="145"/>
      <c r="F751" s="145"/>
      <c r="G751" s="145"/>
      <c r="H751" s="145"/>
      <c r="I751" s="145"/>
    </row>
    <row r="752" spans="1:9" ht="15.75" customHeight="1">
      <c r="A752" s="658"/>
      <c r="B752" s="145"/>
      <c r="C752" s="145"/>
      <c r="D752" s="145"/>
      <c r="E752" s="145"/>
      <c r="F752" s="145"/>
      <c r="G752" s="145"/>
      <c r="H752" s="145"/>
      <c r="I752" s="145"/>
    </row>
    <row r="753" spans="1:9" ht="15.75" customHeight="1">
      <c r="A753" s="658"/>
      <c r="B753" s="145"/>
      <c r="C753" s="145"/>
      <c r="D753" s="145"/>
      <c r="E753" s="145"/>
      <c r="F753" s="145"/>
      <c r="G753" s="145"/>
      <c r="H753" s="145"/>
      <c r="I753" s="145"/>
    </row>
    <row r="754" spans="1:9" ht="15.75" customHeight="1">
      <c r="A754" s="658"/>
      <c r="B754" s="145"/>
      <c r="C754" s="145"/>
      <c r="D754" s="145"/>
      <c r="E754" s="145"/>
      <c r="F754" s="145"/>
      <c r="G754" s="145"/>
      <c r="H754" s="145"/>
      <c r="I754" s="145"/>
    </row>
    <row r="755" spans="1:9" ht="15.75" customHeight="1">
      <c r="A755" s="658"/>
      <c r="B755" s="145"/>
      <c r="C755" s="145"/>
      <c r="D755" s="145"/>
      <c r="E755" s="145"/>
      <c r="F755" s="145"/>
      <c r="G755" s="145"/>
      <c r="H755" s="145"/>
      <c r="I755" s="145"/>
    </row>
    <row r="756" spans="1:9" ht="15.75" customHeight="1">
      <c r="A756" s="658"/>
      <c r="B756" s="145"/>
      <c r="C756" s="145"/>
      <c r="D756" s="145"/>
      <c r="E756" s="145"/>
      <c r="F756" s="145"/>
      <c r="G756" s="145"/>
      <c r="H756" s="145"/>
      <c r="I756" s="145"/>
    </row>
    <row r="757" spans="1:9" ht="15.75" customHeight="1">
      <c r="A757" s="658"/>
      <c r="B757" s="145"/>
      <c r="C757" s="145"/>
      <c r="D757" s="145"/>
      <c r="E757" s="145"/>
      <c r="F757" s="145"/>
      <c r="G757" s="145"/>
      <c r="H757" s="145"/>
      <c r="I757" s="145"/>
    </row>
    <row r="758" spans="1:9" ht="15.75" customHeight="1">
      <c r="A758" s="658"/>
      <c r="B758" s="145"/>
      <c r="C758" s="145"/>
      <c r="D758" s="145"/>
      <c r="E758" s="145"/>
      <c r="F758" s="145"/>
      <c r="G758" s="145"/>
      <c r="H758" s="145"/>
      <c r="I758" s="145"/>
    </row>
    <row r="759" spans="1:9" ht="15.75" customHeight="1">
      <c r="A759" s="658"/>
      <c r="B759" s="145"/>
      <c r="C759" s="145"/>
      <c r="D759" s="145"/>
      <c r="E759" s="145"/>
      <c r="F759" s="145"/>
      <c r="G759" s="145"/>
      <c r="H759" s="145"/>
      <c r="I759" s="145"/>
    </row>
    <row r="760" spans="1:9" ht="15.75" customHeight="1">
      <c r="A760" s="658"/>
      <c r="B760" s="145"/>
      <c r="C760" s="145"/>
      <c r="D760" s="145"/>
      <c r="E760" s="145"/>
      <c r="F760" s="145"/>
      <c r="G760" s="145"/>
      <c r="H760" s="145"/>
      <c r="I760" s="145"/>
    </row>
    <row r="761" spans="1:9" ht="15.75" customHeight="1">
      <c r="A761" s="658"/>
      <c r="B761" s="145"/>
      <c r="C761" s="145"/>
      <c r="D761" s="145"/>
      <c r="E761" s="145"/>
      <c r="F761" s="145"/>
      <c r="G761" s="145"/>
      <c r="H761" s="145"/>
      <c r="I761" s="145"/>
    </row>
    <row r="762" spans="1:9" ht="15.75" customHeight="1">
      <c r="A762" s="658"/>
      <c r="B762" s="145"/>
      <c r="C762" s="145"/>
      <c r="D762" s="145"/>
      <c r="E762" s="145"/>
      <c r="F762" s="145"/>
      <c r="G762" s="145"/>
      <c r="H762" s="145"/>
      <c r="I762" s="145"/>
    </row>
    <row r="763" spans="1:9" ht="15.75" customHeight="1">
      <c r="A763" s="658"/>
      <c r="B763" s="145"/>
      <c r="C763" s="145"/>
      <c r="D763" s="145"/>
      <c r="E763" s="145"/>
      <c r="F763" s="145"/>
      <c r="G763" s="145"/>
      <c r="H763" s="145"/>
      <c r="I763" s="145"/>
    </row>
    <row r="764" spans="1:9" ht="15.75" customHeight="1">
      <c r="A764" s="658"/>
      <c r="B764" s="145"/>
      <c r="C764" s="145"/>
      <c r="D764" s="145"/>
      <c r="E764" s="145"/>
      <c r="F764" s="145"/>
      <c r="G764" s="145"/>
      <c r="H764" s="145"/>
      <c r="I764" s="145"/>
    </row>
    <row r="765" spans="1:9" ht="15.75" customHeight="1">
      <c r="A765" s="658"/>
      <c r="B765" s="145"/>
      <c r="C765" s="145"/>
      <c r="D765" s="145"/>
      <c r="E765" s="145"/>
      <c r="F765" s="145"/>
      <c r="G765" s="145"/>
      <c r="H765" s="145"/>
      <c r="I765" s="145"/>
    </row>
    <row r="766" spans="1:9" ht="15.75" customHeight="1">
      <c r="A766" s="658"/>
      <c r="B766" s="145"/>
      <c r="C766" s="145"/>
      <c r="D766" s="145"/>
      <c r="E766" s="145"/>
      <c r="F766" s="145"/>
      <c r="G766" s="145"/>
      <c r="H766" s="145"/>
      <c r="I766" s="145"/>
    </row>
    <row r="767" spans="1:9" ht="15.75" customHeight="1">
      <c r="A767" s="658"/>
      <c r="B767" s="145"/>
      <c r="C767" s="145"/>
      <c r="D767" s="145"/>
      <c r="E767" s="145"/>
      <c r="F767" s="145"/>
      <c r="G767" s="145"/>
      <c r="H767" s="145"/>
      <c r="I767" s="145"/>
    </row>
    <row r="768" spans="1:9" ht="15.75" customHeight="1">
      <c r="A768" s="658"/>
      <c r="B768" s="145"/>
      <c r="C768" s="145"/>
      <c r="D768" s="145"/>
      <c r="E768" s="145"/>
      <c r="F768" s="145"/>
      <c r="G768" s="145"/>
      <c r="H768" s="145"/>
      <c r="I768" s="145"/>
    </row>
    <row r="769" spans="1:9" ht="15.75" customHeight="1">
      <c r="A769" s="658"/>
      <c r="B769" s="145"/>
      <c r="C769" s="145"/>
      <c r="D769" s="145"/>
      <c r="E769" s="145"/>
      <c r="F769" s="145"/>
      <c r="G769" s="145"/>
      <c r="H769" s="145"/>
      <c r="I769" s="145"/>
    </row>
    <row r="770" spans="1:9" ht="15.75" customHeight="1">
      <c r="A770" s="658"/>
      <c r="B770" s="145"/>
      <c r="C770" s="145"/>
      <c r="D770" s="145"/>
      <c r="E770" s="145"/>
      <c r="F770" s="145"/>
      <c r="G770" s="145"/>
      <c r="H770" s="145"/>
      <c r="I770" s="145"/>
    </row>
    <row r="771" spans="1:9" ht="15.75" customHeight="1">
      <c r="A771" s="658"/>
      <c r="B771" s="145"/>
      <c r="C771" s="145"/>
      <c r="D771" s="145"/>
      <c r="E771" s="145"/>
      <c r="F771" s="145"/>
      <c r="G771" s="145"/>
      <c r="H771" s="145"/>
      <c r="I771" s="145"/>
    </row>
    <row r="772" spans="1:9" ht="15.75" customHeight="1">
      <c r="A772" s="658"/>
      <c r="B772" s="145"/>
      <c r="C772" s="145"/>
      <c r="D772" s="145"/>
      <c r="E772" s="145"/>
      <c r="F772" s="145"/>
      <c r="G772" s="145"/>
      <c r="H772" s="145"/>
      <c r="I772" s="145"/>
    </row>
    <row r="773" spans="1:9" ht="15.75" customHeight="1">
      <c r="A773" s="658"/>
      <c r="B773" s="145"/>
      <c r="C773" s="145"/>
      <c r="D773" s="145"/>
      <c r="E773" s="145"/>
      <c r="F773" s="145"/>
      <c r="G773" s="145"/>
      <c r="H773" s="145"/>
      <c r="I773" s="145"/>
    </row>
    <row r="774" spans="1:9" ht="15.75" customHeight="1">
      <c r="A774" s="658"/>
      <c r="B774" s="145"/>
      <c r="C774" s="145"/>
      <c r="D774" s="145"/>
      <c r="E774" s="145"/>
      <c r="F774" s="145"/>
      <c r="G774" s="145"/>
      <c r="H774" s="145"/>
      <c r="I774" s="145"/>
    </row>
    <row r="775" spans="1:9" ht="15.75" customHeight="1">
      <c r="A775" s="658"/>
      <c r="B775" s="145"/>
      <c r="C775" s="145"/>
      <c r="D775" s="145"/>
      <c r="E775" s="145"/>
      <c r="F775" s="145"/>
      <c r="G775" s="145"/>
      <c r="H775" s="145"/>
      <c r="I775" s="145"/>
    </row>
    <row r="776" spans="1:9" ht="15.75" customHeight="1">
      <c r="A776" s="658"/>
      <c r="B776" s="145"/>
      <c r="C776" s="145"/>
      <c r="D776" s="145"/>
      <c r="E776" s="145"/>
      <c r="F776" s="145"/>
      <c r="G776" s="145"/>
      <c r="H776" s="145"/>
      <c r="I776" s="145"/>
    </row>
    <row r="777" spans="1:9" ht="15.75" customHeight="1">
      <c r="A777" s="658"/>
      <c r="B777" s="145"/>
      <c r="C777" s="145"/>
      <c r="D777" s="145"/>
      <c r="E777" s="145"/>
      <c r="F777" s="145"/>
      <c r="G777" s="145"/>
      <c r="H777" s="145"/>
      <c r="I777" s="145"/>
    </row>
    <row r="778" spans="1:9" ht="15.75" customHeight="1">
      <c r="A778" s="658"/>
      <c r="B778" s="145"/>
      <c r="C778" s="145"/>
      <c r="D778" s="145"/>
      <c r="E778" s="145"/>
      <c r="F778" s="145"/>
      <c r="G778" s="145"/>
      <c r="H778" s="145"/>
      <c r="I778" s="145"/>
    </row>
    <row r="779" spans="1:9" ht="15.75" customHeight="1">
      <c r="A779" s="658"/>
      <c r="B779" s="145"/>
      <c r="C779" s="145"/>
      <c r="D779" s="145"/>
      <c r="E779" s="145"/>
      <c r="F779" s="145"/>
      <c r="G779" s="145"/>
      <c r="H779" s="145"/>
      <c r="I779" s="145"/>
    </row>
    <row r="780" spans="1:9" ht="15.75" customHeight="1">
      <c r="A780" s="658"/>
      <c r="B780" s="145"/>
      <c r="C780" s="145"/>
      <c r="D780" s="145"/>
      <c r="E780" s="145"/>
      <c r="F780" s="145"/>
      <c r="G780" s="145"/>
      <c r="H780" s="145"/>
      <c r="I780" s="145"/>
    </row>
    <row r="781" spans="1:9" ht="15.75" customHeight="1">
      <c r="A781" s="658"/>
      <c r="B781" s="145"/>
      <c r="C781" s="145"/>
      <c r="D781" s="145"/>
      <c r="E781" s="145"/>
      <c r="F781" s="145"/>
      <c r="G781" s="145"/>
      <c r="H781" s="145"/>
      <c r="I781" s="145"/>
    </row>
    <row r="782" spans="1:9" ht="15.75" customHeight="1">
      <c r="A782" s="658"/>
      <c r="B782" s="145"/>
      <c r="C782" s="145"/>
      <c r="D782" s="145"/>
      <c r="E782" s="145"/>
      <c r="F782" s="145"/>
      <c r="G782" s="145"/>
      <c r="H782" s="145"/>
      <c r="I782" s="145"/>
    </row>
    <row r="783" spans="1:9" ht="15.75" customHeight="1">
      <c r="A783" s="658"/>
      <c r="B783" s="145"/>
      <c r="C783" s="145"/>
      <c r="D783" s="145"/>
      <c r="E783" s="145"/>
      <c r="F783" s="145"/>
      <c r="G783" s="145"/>
      <c r="H783" s="145"/>
      <c r="I783" s="145"/>
    </row>
    <row r="784" spans="1:9" ht="15.75" customHeight="1">
      <c r="A784" s="658"/>
      <c r="B784" s="145"/>
      <c r="C784" s="145"/>
      <c r="D784" s="145"/>
      <c r="E784" s="145"/>
      <c r="F784" s="145"/>
      <c r="G784" s="145"/>
      <c r="H784" s="145"/>
      <c r="I784" s="145"/>
    </row>
    <row r="785" spans="1:9" ht="15.75" customHeight="1">
      <c r="A785" s="658"/>
      <c r="B785" s="145"/>
      <c r="C785" s="145"/>
      <c r="D785" s="145"/>
      <c r="E785" s="145"/>
      <c r="F785" s="145"/>
      <c r="G785" s="145"/>
      <c r="H785" s="145"/>
      <c r="I785" s="145"/>
    </row>
    <row r="786" spans="1:9" ht="15.75" customHeight="1">
      <c r="A786" s="658"/>
      <c r="B786" s="145"/>
      <c r="C786" s="145"/>
      <c r="D786" s="145"/>
      <c r="E786" s="145"/>
      <c r="F786" s="145"/>
      <c r="G786" s="145"/>
      <c r="H786" s="145"/>
      <c r="I786" s="145"/>
    </row>
    <row r="787" spans="1:9" ht="15.75" customHeight="1">
      <c r="A787" s="658"/>
      <c r="B787" s="145"/>
      <c r="C787" s="145"/>
      <c r="D787" s="145"/>
      <c r="E787" s="145"/>
      <c r="F787" s="145"/>
      <c r="G787" s="145"/>
      <c r="H787" s="145"/>
      <c r="I787" s="145"/>
    </row>
    <row r="788" spans="1:9" ht="15.75" customHeight="1">
      <c r="A788" s="658"/>
      <c r="B788" s="145"/>
      <c r="C788" s="145"/>
      <c r="D788" s="145"/>
      <c r="E788" s="145"/>
      <c r="F788" s="145"/>
      <c r="G788" s="145"/>
      <c r="H788" s="145"/>
      <c r="I788" s="145"/>
    </row>
    <row r="789" spans="1:9" ht="15.75" customHeight="1">
      <c r="A789" s="658"/>
      <c r="B789" s="145"/>
      <c r="C789" s="145"/>
      <c r="D789" s="145"/>
      <c r="E789" s="145"/>
      <c r="F789" s="145"/>
      <c r="G789" s="145"/>
      <c r="H789" s="145"/>
      <c r="I789" s="145"/>
    </row>
    <row r="790" spans="1:9" ht="15.75" customHeight="1">
      <c r="A790" s="658"/>
      <c r="B790" s="145"/>
      <c r="C790" s="145"/>
      <c r="D790" s="145"/>
      <c r="E790" s="145"/>
      <c r="F790" s="145"/>
      <c r="G790" s="145"/>
      <c r="H790" s="145"/>
      <c r="I790" s="145"/>
    </row>
    <row r="791" spans="1:9" ht="15.75" customHeight="1">
      <c r="A791" s="658"/>
      <c r="B791" s="145"/>
      <c r="C791" s="145"/>
      <c r="D791" s="145"/>
      <c r="E791" s="145"/>
      <c r="F791" s="145"/>
      <c r="G791" s="145"/>
      <c r="H791" s="145"/>
      <c r="I791" s="145"/>
    </row>
    <row r="792" spans="1:9" ht="15.75" customHeight="1">
      <c r="A792" s="658"/>
      <c r="B792" s="145"/>
      <c r="C792" s="145"/>
      <c r="D792" s="145"/>
      <c r="E792" s="145"/>
      <c r="F792" s="145"/>
      <c r="G792" s="145"/>
      <c r="H792" s="145"/>
      <c r="I792" s="145"/>
    </row>
    <row r="793" spans="1:9" ht="15.75" customHeight="1">
      <c r="A793" s="658"/>
      <c r="B793" s="145"/>
      <c r="C793" s="145"/>
      <c r="D793" s="145"/>
      <c r="E793" s="145"/>
      <c r="F793" s="145"/>
      <c r="G793" s="145"/>
      <c r="H793" s="145"/>
      <c r="I793" s="145"/>
    </row>
    <row r="794" spans="1:9" ht="15.75" customHeight="1">
      <c r="A794" s="658"/>
      <c r="B794" s="145"/>
      <c r="C794" s="145"/>
      <c r="D794" s="145"/>
      <c r="E794" s="145"/>
      <c r="F794" s="145"/>
      <c r="G794" s="145"/>
      <c r="H794" s="145"/>
      <c r="I794" s="145"/>
    </row>
    <row r="795" spans="1:9" ht="15.75" customHeight="1">
      <c r="A795" s="658"/>
      <c r="B795" s="145"/>
      <c r="C795" s="145"/>
      <c r="D795" s="145"/>
      <c r="E795" s="145"/>
      <c r="F795" s="145"/>
      <c r="G795" s="145"/>
      <c r="H795" s="145"/>
      <c r="I795" s="145"/>
    </row>
    <row r="796" spans="1:9" ht="15.75" customHeight="1">
      <c r="A796" s="658"/>
      <c r="B796" s="145"/>
      <c r="C796" s="145"/>
      <c r="D796" s="145"/>
      <c r="E796" s="145"/>
      <c r="F796" s="145"/>
      <c r="G796" s="145"/>
      <c r="H796" s="145"/>
      <c r="I796" s="145"/>
    </row>
    <row r="797" spans="1:9" ht="15.75" customHeight="1">
      <c r="A797" s="658"/>
      <c r="B797" s="145"/>
      <c r="C797" s="145"/>
      <c r="D797" s="145"/>
      <c r="E797" s="145"/>
      <c r="F797" s="145"/>
      <c r="G797" s="145"/>
      <c r="H797" s="145"/>
      <c r="I797" s="145"/>
    </row>
    <row r="798" spans="1:9" ht="15.75" customHeight="1">
      <c r="A798" s="658"/>
      <c r="B798" s="145"/>
      <c r="C798" s="145"/>
      <c r="D798" s="145"/>
      <c r="E798" s="145"/>
      <c r="F798" s="145"/>
      <c r="G798" s="145"/>
      <c r="H798" s="145"/>
      <c r="I798" s="145"/>
    </row>
    <row r="799" spans="1:9" ht="15.75" customHeight="1">
      <c r="A799" s="658"/>
      <c r="B799" s="145"/>
      <c r="C799" s="145"/>
      <c r="D799" s="145"/>
      <c r="E799" s="145"/>
      <c r="F799" s="145"/>
      <c r="G799" s="145"/>
      <c r="H799" s="145"/>
      <c r="I799" s="145"/>
    </row>
    <row r="800" spans="1:9" ht="15.75" customHeight="1">
      <c r="A800" s="658"/>
      <c r="B800" s="145"/>
      <c r="C800" s="145"/>
      <c r="D800" s="145"/>
      <c r="E800" s="145"/>
      <c r="F800" s="145"/>
      <c r="G800" s="145"/>
      <c r="H800" s="145"/>
      <c r="I800" s="145"/>
    </row>
    <row r="801" spans="1:9" ht="15.75" customHeight="1">
      <c r="A801" s="658"/>
      <c r="B801" s="145"/>
      <c r="C801" s="145"/>
      <c r="D801" s="145"/>
      <c r="E801" s="145"/>
      <c r="F801" s="145"/>
      <c r="G801" s="145"/>
      <c r="H801" s="145"/>
      <c r="I801" s="145"/>
    </row>
    <row r="802" spans="1:9" ht="15.75" customHeight="1">
      <c r="A802" s="658"/>
      <c r="B802" s="145"/>
      <c r="C802" s="145"/>
      <c r="D802" s="145"/>
      <c r="E802" s="145"/>
      <c r="F802" s="145"/>
      <c r="G802" s="145"/>
      <c r="H802" s="145"/>
      <c r="I802" s="145"/>
    </row>
    <row r="803" spans="1:9" ht="15.75" customHeight="1">
      <c r="A803" s="658"/>
      <c r="B803" s="145"/>
      <c r="C803" s="145"/>
      <c r="D803" s="145"/>
      <c r="E803" s="145"/>
      <c r="F803" s="145"/>
      <c r="G803" s="145"/>
      <c r="H803" s="145"/>
      <c r="I803" s="145"/>
    </row>
    <row r="804" spans="1:9" ht="15.75" customHeight="1">
      <c r="A804" s="658"/>
      <c r="B804" s="145"/>
      <c r="C804" s="145"/>
      <c r="D804" s="145"/>
      <c r="E804" s="145"/>
      <c r="F804" s="145"/>
      <c r="G804" s="145"/>
      <c r="H804" s="145"/>
      <c r="I804" s="145"/>
    </row>
    <row r="805" spans="1:9" ht="15.75" customHeight="1">
      <c r="A805" s="658"/>
      <c r="B805" s="145"/>
      <c r="C805" s="145"/>
      <c r="D805" s="145"/>
      <c r="E805" s="145"/>
      <c r="F805" s="145"/>
      <c r="G805" s="145"/>
      <c r="H805" s="145"/>
      <c r="I805" s="145"/>
    </row>
    <row r="806" spans="1:9" ht="15.75" customHeight="1">
      <c r="A806" s="658"/>
      <c r="B806" s="145"/>
      <c r="C806" s="145"/>
      <c r="D806" s="145"/>
      <c r="E806" s="145"/>
      <c r="F806" s="145"/>
      <c r="G806" s="145"/>
      <c r="H806" s="145"/>
      <c r="I806" s="145"/>
    </row>
    <row r="807" spans="1:9" ht="15.75" customHeight="1">
      <c r="A807" s="658"/>
      <c r="B807" s="145"/>
      <c r="C807" s="145"/>
      <c r="D807" s="145"/>
      <c r="E807" s="145"/>
      <c r="F807" s="145"/>
      <c r="G807" s="145"/>
      <c r="H807" s="145"/>
      <c r="I807" s="145"/>
    </row>
    <row r="808" spans="1:9" ht="15.75" customHeight="1">
      <c r="A808" s="658"/>
      <c r="B808" s="145"/>
      <c r="C808" s="145"/>
      <c r="D808" s="145"/>
      <c r="E808" s="145"/>
      <c r="F808" s="145"/>
      <c r="G808" s="145"/>
      <c r="H808" s="145"/>
      <c r="I808" s="145"/>
    </row>
    <row r="809" spans="1:9" ht="15.75" customHeight="1">
      <c r="A809" s="658"/>
      <c r="B809" s="145"/>
      <c r="C809" s="145"/>
      <c r="D809" s="145"/>
      <c r="E809" s="145"/>
      <c r="F809" s="145"/>
      <c r="G809" s="145"/>
      <c r="H809" s="145"/>
      <c r="I809" s="145"/>
    </row>
    <row r="810" spans="1:9" ht="15.75" customHeight="1">
      <c r="A810" s="658"/>
      <c r="B810" s="145"/>
      <c r="C810" s="145"/>
      <c r="D810" s="145"/>
      <c r="E810" s="145"/>
      <c r="F810" s="145"/>
      <c r="G810" s="145"/>
      <c r="H810" s="145"/>
      <c r="I810" s="145"/>
    </row>
    <row r="811" spans="1:9" ht="15.75" customHeight="1">
      <c r="A811" s="658"/>
      <c r="B811" s="145"/>
      <c r="C811" s="145"/>
      <c r="D811" s="145"/>
      <c r="E811" s="145"/>
      <c r="F811" s="145"/>
      <c r="G811" s="145"/>
      <c r="H811" s="145"/>
      <c r="I811" s="145"/>
    </row>
    <row r="812" spans="1:9" ht="15.75" customHeight="1">
      <c r="A812" s="658"/>
      <c r="B812" s="145"/>
      <c r="C812" s="145"/>
      <c r="D812" s="145"/>
      <c r="E812" s="145"/>
      <c r="F812" s="145"/>
      <c r="G812" s="145"/>
      <c r="H812" s="145"/>
      <c r="I812" s="145"/>
    </row>
    <row r="813" spans="1:9" ht="15.75" customHeight="1">
      <c r="A813" s="658"/>
      <c r="B813" s="145"/>
      <c r="C813" s="145"/>
      <c r="D813" s="145"/>
      <c r="E813" s="145"/>
      <c r="F813" s="145"/>
      <c r="G813" s="145"/>
      <c r="H813" s="145"/>
      <c r="I813" s="145"/>
    </row>
    <row r="814" spans="1:9" ht="15.75" customHeight="1">
      <c r="A814" s="658"/>
      <c r="B814" s="145"/>
      <c r="C814" s="145"/>
      <c r="D814" s="145"/>
      <c r="E814" s="145"/>
      <c r="F814" s="145"/>
      <c r="G814" s="145"/>
      <c r="H814" s="145"/>
      <c r="I814" s="145"/>
    </row>
    <row r="815" spans="1:9" ht="15.75" customHeight="1">
      <c r="A815" s="658"/>
      <c r="B815" s="145"/>
      <c r="C815" s="145"/>
      <c r="D815" s="145"/>
      <c r="E815" s="145"/>
      <c r="F815" s="145"/>
      <c r="G815" s="145"/>
      <c r="H815" s="145"/>
      <c r="I815" s="145"/>
    </row>
    <row r="816" spans="1:9" ht="15.75" customHeight="1">
      <c r="A816" s="658"/>
      <c r="B816" s="145"/>
      <c r="C816" s="145"/>
      <c r="D816" s="145"/>
      <c r="E816" s="145"/>
      <c r="F816" s="145"/>
      <c r="G816" s="145"/>
      <c r="H816" s="145"/>
      <c r="I816" s="145"/>
    </row>
    <row r="817" spans="1:9" ht="15.75" customHeight="1">
      <c r="A817" s="658"/>
      <c r="B817" s="145"/>
      <c r="C817" s="145"/>
      <c r="D817" s="145"/>
      <c r="E817" s="145"/>
      <c r="F817" s="145"/>
      <c r="G817" s="145"/>
      <c r="H817" s="145"/>
      <c r="I817" s="145"/>
    </row>
    <row r="818" spans="1:9" ht="15.75" customHeight="1">
      <c r="A818" s="658"/>
      <c r="B818" s="145"/>
      <c r="C818" s="145"/>
      <c r="D818" s="145"/>
      <c r="E818" s="145"/>
      <c r="F818" s="145"/>
      <c r="G818" s="145"/>
      <c r="H818" s="145"/>
      <c r="I818" s="145"/>
    </row>
    <row r="819" spans="1:9" ht="15.75" customHeight="1">
      <c r="A819" s="658"/>
      <c r="B819" s="145"/>
      <c r="C819" s="145"/>
      <c r="D819" s="145"/>
      <c r="E819" s="145"/>
      <c r="F819" s="145"/>
      <c r="G819" s="145"/>
      <c r="H819" s="145"/>
      <c r="I819" s="145"/>
    </row>
    <row r="820" spans="1:9" ht="15.75" customHeight="1">
      <c r="A820" s="658"/>
      <c r="B820" s="145"/>
      <c r="C820" s="145"/>
      <c r="D820" s="145"/>
      <c r="E820" s="145"/>
      <c r="F820" s="145"/>
      <c r="G820" s="145"/>
      <c r="H820" s="145"/>
      <c r="I820" s="145"/>
    </row>
    <row r="821" spans="1:9" ht="15.75" customHeight="1">
      <c r="A821" s="658"/>
      <c r="B821" s="145"/>
      <c r="C821" s="145"/>
      <c r="D821" s="145"/>
      <c r="E821" s="145"/>
      <c r="F821" s="145"/>
      <c r="G821" s="145"/>
      <c r="H821" s="145"/>
      <c r="I821" s="145"/>
    </row>
    <row r="822" spans="1:9" ht="15.75" customHeight="1">
      <c r="A822" s="658"/>
      <c r="B822" s="145"/>
      <c r="C822" s="145"/>
      <c r="D822" s="145"/>
      <c r="E822" s="145"/>
      <c r="F822" s="145"/>
      <c r="G822" s="145"/>
      <c r="H822" s="145"/>
      <c r="I822" s="145"/>
    </row>
    <row r="823" spans="1:9" ht="15.75" customHeight="1">
      <c r="A823" s="658"/>
      <c r="B823" s="145"/>
      <c r="C823" s="145"/>
      <c r="D823" s="145"/>
      <c r="E823" s="145"/>
      <c r="F823" s="145"/>
      <c r="G823" s="145"/>
      <c r="H823" s="145"/>
      <c r="I823" s="145"/>
    </row>
    <row r="824" spans="1:9" ht="15.75" customHeight="1">
      <c r="A824" s="658"/>
      <c r="B824" s="145"/>
      <c r="C824" s="145"/>
      <c r="D824" s="145"/>
      <c r="E824" s="145"/>
      <c r="F824" s="145"/>
      <c r="G824" s="145"/>
      <c r="H824" s="145"/>
      <c r="I824" s="145"/>
    </row>
    <row r="825" spans="1:9" ht="15.75" customHeight="1">
      <c r="A825" s="658"/>
      <c r="B825" s="145"/>
      <c r="C825" s="145"/>
      <c r="D825" s="145"/>
      <c r="E825" s="145"/>
      <c r="F825" s="145"/>
      <c r="G825" s="145"/>
      <c r="H825" s="145"/>
      <c r="I825" s="145"/>
    </row>
    <row r="826" spans="1:9" ht="15.75" customHeight="1">
      <c r="A826" s="658"/>
      <c r="B826" s="145"/>
      <c r="C826" s="145"/>
      <c r="D826" s="145"/>
      <c r="E826" s="145"/>
      <c r="F826" s="145"/>
      <c r="G826" s="145"/>
      <c r="H826" s="145"/>
      <c r="I826" s="145"/>
    </row>
    <row r="827" spans="1:9" ht="15.75" customHeight="1">
      <c r="A827" s="658"/>
      <c r="B827" s="145"/>
      <c r="C827" s="145"/>
      <c r="D827" s="145"/>
      <c r="E827" s="145"/>
      <c r="F827" s="145"/>
      <c r="G827" s="145"/>
      <c r="H827" s="145"/>
      <c r="I827" s="145"/>
    </row>
    <row r="828" spans="1:9" ht="15.75" customHeight="1">
      <c r="A828" s="658"/>
      <c r="B828" s="145"/>
      <c r="C828" s="145"/>
      <c r="D828" s="145"/>
      <c r="E828" s="145"/>
      <c r="F828" s="145"/>
      <c r="G828" s="145"/>
      <c r="H828" s="145"/>
      <c r="I828" s="145"/>
    </row>
    <row r="829" spans="1:9" ht="15.75" customHeight="1">
      <c r="A829" s="658"/>
      <c r="B829" s="145"/>
      <c r="C829" s="145"/>
      <c r="D829" s="145"/>
      <c r="E829" s="145"/>
      <c r="F829" s="145"/>
      <c r="G829" s="145"/>
      <c r="H829" s="145"/>
      <c r="I829" s="145"/>
    </row>
    <row r="830" spans="1:9" ht="15.75" customHeight="1">
      <c r="A830" s="658"/>
      <c r="B830" s="145"/>
      <c r="C830" s="145"/>
      <c r="D830" s="145"/>
      <c r="E830" s="145"/>
      <c r="F830" s="145"/>
      <c r="G830" s="145"/>
      <c r="H830" s="145"/>
      <c r="I830" s="145"/>
    </row>
    <row r="831" spans="1:9" ht="15.75" customHeight="1">
      <c r="A831" s="658"/>
      <c r="B831" s="145"/>
      <c r="C831" s="145"/>
      <c r="D831" s="145"/>
      <c r="E831" s="145"/>
      <c r="F831" s="145"/>
      <c r="G831" s="145"/>
      <c r="H831" s="145"/>
      <c r="I831" s="145"/>
    </row>
    <row r="832" spans="1:9" ht="15.75" customHeight="1">
      <c r="A832" s="658"/>
      <c r="B832" s="145"/>
      <c r="C832" s="145"/>
      <c r="D832" s="145"/>
      <c r="E832" s="145"/>
      <c r="F832" s="145"/>
      <c r="G832" s="145"/>
      <c r="H832" s="145"/>
      <c r="I832" s="145"/>
    </row>
    <row r="833" spans="1:9" ht="15.75" customHeight="1">
      <c r="A833" s="658"/>
      <c r="B833" s="145"/>
      <c r="C833" s="145"/>
      <c r="D833" s="145"/>
      <c r="E833" s="145"/>
      <c r="F833" s="145"/>
      <c r="G833" s="145"/>
      <c r="H833" s="145"/>
      <c r="I833" s="145"/>
    </row>
    <row r="834" spans="1:9" ht="15.75" customHeight="1">
      <c r="A834" s="658"/>
      <c r="B834" s="145"/>
      <c r="C834" s="145"/>
      <c r="D834" s="145"/>
      <c r="E834" s="145"/>
      <c r="F834" s="145"/>
      <c r="G834" s="145"/>
      <c r="H834" s="145"/>
      <c r="I834" s="145"/>
    </row>
    <row r="835" spans="1:9" ht="15.75" customHeight="1">
      <c r="A835" s="658"/>
      <c r="B835" s="145"/>
      <c r="C835" s="145"/>
      <c r="D835" s="145"/>
      <c r="E835" s="145"/>
      <c r="F835" s="145"/>
      <c r="G835" s="145"/>
      <c r="H835" s="145"/>
      <c r="I835" s="145"/>
    </row>
    <row r="836" spans="1:9" ht="15.75" customHeight="1">
      <c r="A836" s="658"/>
      <c r="B836" s="145"/>
      <c r="C836" s="145"/>
      <c r="D836" s="145"/>
      <c r="E836" s="145"/>
      <c r="F836" s="145"/>
      <c r="G836" s="145"/>
      <c r="H836" s="145"/>
      <c r="I836" s="145"/>
    </row>
    <row r="837" spans="1:9" ht="15.75" customHeight="1">
      <c r="A837" s="658"/>
      <c r="B837" s="145"/>
      <c r="C837" s="145"/>
      <c r="D837" s="145"/>
      <c r="E837" s="145"/>
      <c r="F837" s="145"/>
      <c r="G837" s="145"/>
      <c r="H837" s="145"/>
      <c r="I837" s="145"/>
    </row>
    <row r="838" spans="1:9" ht="15.75" customHeight="1">
      <c r="A838" s="658"/>
      <c r="B838" s="145"/>
      <c r="C838" s="145"/>
      <c r="D838" s="145"/>
      <c r="E838" s="145"/>
      <c r="F838" s="145"/>
      <c r="G838" s="145"/>
      <c r="H838" s="145"/>
      <c r="I838" s="145"/>
    </row>
    <row r="839" spans="1:9" ht="15.75" customHeight="1">
      <c r="A839" s="658"/>
      <c r="B839" s="145"/>
      <c r="C839" s="145"/>
      <c r="D839" s="145"/>
      <c r="E839" s="145"/>
      <c r="F839" s="145"/>
      <c r="G839" s="145"/>
      <c r="H839" s="145"/>
      <c r="I839" s="145"/>
    </row>
    <row r="840" spans="1:9" ht="15.75" customHeight="1">
      <c r="A840" s="658"/>
      <c r="B840" s="145"/>
      <c r="C840" s="145"/>
      <c r="D840" s="145"/>
      <c r="E840" s="145"/>
      <c r="F840" s="145"/>
      <c r="G840" s="145"/>
      <c r="H840" s="145"/>
      <c r="I840" s="145"/>
    </row>
    <row r="841" spans="1:9" ht="15.75" customHeight="1">
      <c r="A841" s="658"/>
      <c r="B841" s="145"/>
      <c r="C841" s="145"/>
      <c r="D841" s="145"/>
      <c r="E841" s="145"/>
      <c r="F841" s="145"/>
      <c r="G841" s="145"/>
      <c r="H841" s="145"/>
      <c r="I841" s="145"/>
    </row>
    <row r="842" spans="1:9" ht="15.75" customHeight="1">
      <c r="A842" s="658"/>
      <c r="B842" s="145"/>
      <c r="C842" s="145"/>
      <c r="D842" s="145"/>
      <c r="E842" s="145"/>
      <c r="F842" s="145"/>
      <c r="G842" s="145"/>
      <c r="H842" s="145"/>
      <c r="I842" s="145"/>
    </row>
    <row r="843" spans="1:9" ht="15.75" customHeight="1">
      <c r="A843" s="658"/>
      <c r="B843" s="145"/>
      <c r="C843" s="145"/>
      <c r="D843" s="145"/>
      <c r="E843" s="145"/>
      <c r="F843" s="145"/>
      <c r="G843" s="145"/>
      <c r="H843" s="145"/>
      <c r="I843" s="145"/>
    </row>
    <row r="844" spans="1:9" ht="15.75" customHeight="1">
      <c r="A844" s="658"/>
      <c r="B844" s="145"/>
      <c r="C844" s="145"/>
      <c r="D844" s="145"/>
      <c r="E844" s="145"/>
      <c r="F844" s="145"/>
      <c r="G844" s="145"/>
      <c r="H844" s="145"/>
      <c r="I844" s="145"/>
    </row>
    <row r="845" spans="1:9" ht="15.75" customHeight="1">
      <c r="A845" s="658"/>
      <c r="B845" s="145"/>
      <c r="C845" s="145"/>
      <c r="D845" s="145"/>
      <c r="E845" s="145"/>
      <c r="F845" s="145"/>
      <c r="G845" s="145"/>
      <c r="H845" s="145"/>
      <c r="I845" s="145"/>
    </row>
    <row r="846" spans="1:9" ht="15.75" customHeight="1">
      <c r="A846" s="658"/>
      <c r="B846" s="145"/>
      <c r="C846" s="145"/>
      <c r="D846" s="145"/>
      <c r="E846" s="145"/>
      <c r="F846" s="145"/>
      <c r="G846" s="145"/>
      <c r="H846" s="145"/>
      <c r="I846" s="145"/>
    </row>
    <row r="847" spans="1:9" ht="15.75" customHeight="1">
      <c r="A847" s="658"/>
      <c r="B847" s="145"/>
      <c r="C847" s="145"/>
      <c r="D847" s="145"/>
      <c r="E847" s="145"/>
      <c r="F847" s="145"/>
      <c r="G847" s="145"/>
      <c r="H847" s="145"/>
      <c r="I847" s="145"/>
    </row>
    <row r="848" spans="1:9" ht="15.75" customHeight="1">
      <c r="A848" s="658"/>
      <c r="B848" s="145"/>
      <c r="C848" s="145"/>
      <c r="D848" s="145"/>
      <c r="E848" s="145"/>
      <c r="F848" s="145"/>
      <c r="G848" s="145"/>
      <c r="H848" s="145"/>
      <c r="I848" s="145"/>
    </row>
    <row r="849" spans="1:9" ht="15.75" customHeight="1">
      <c r="A849" s="658"/>
      <c r="B849" s="145"/>
      <c r="C849" s="145"/>
      <c r="D849" s="145"/>
      <c r="E849" s="145"/>
      <c r="F849" s="145"/>
      <c r="G849" s="145"/>
      <c r="H849" s="145"/>
      <c r="I849" s="145"/>
    </row>
    <row r="850" spans="1:9" ht="15.75" customHeight="1">
      <c r="A850" s="658"/>
      <c r="B850" s="145"/>
      <c r="C850" s="145"/>
      <c r="D850" s="145"/>
      <c r="E850" s="145"/>
      <c r="F850" s="145"/>
      <c r="G850" s="145"/>
      <c r="H850" s="145"/>
      <c r="I850" s="145"/>
    </row>
    <row r="851" spans="1:9" ht="15.75" customHeight="1">
      <c r="A851" s="658"/>
      <c r="B851" s="145"/>
      <c r="C851" s="145"/>
      <c r="D851" s="145"/>
      <c r="E851" s="145"/>
      <c r="F851" s="145"/>
      <c r="G851" s="145"/>
      <c r="H851" s="145"/>
      <c r="I851" s="145"/>
    </row>
    <row r="852" spans="1:9" ht="15.75" customHeight="1">
      <c r="A852" s="658"/>
      <c r="B852" s="145"/>
      <c r="C852" s="145"/>
      <c r="D852" s="145"/>
      <c r="E852" s="145"/>
      <c r="F852" s="145"/>
      <c r="G852" s="145"/>
      <c r="H852" s="145"/>
      <c r="I852" s="145"/>
    </row>
    <row r="853" spans="1:9" ht="15.75" customHeight="1">
      <c r="A853" s="658"/>
      <c r="B853" s="145"/>
      <c r="C853" s="145"/>
      <c r="D853" s="145"/>
      <c r="E853" s="145"/>
      <c r="F853" s="145"/>
      <c r="G853" s="145"/>
      <c r="H853" s="145"/>
      <c r="I853" s="145"/>
    </row>
    <row r="854" spans="1:9" ht="15.75" customHeight="1">
      <c r="A854" s="658"/>
      <c r="B854" s="145"/>
      <c r="C854" s="145"/>
      <c r="D854" s="145"/>
      <c r="E854" s="145"/>
      <c r="F854" s="145"/>
      <c r="G854" s="145"/>
      <c r="H854" s="145"/>
      <c r="I854" s="145"/>
    </row>
    <row r="855" spans="1:9" ht="15.75" customHeight="1">
      <c r="A855" s="658"/>
      <c r="B855" s="145"/>
      <c r="C855" s="145"/>
      <c r="D855" s="145"/>
      <c r="E855" s="145"/>
      <c r="F855" s="145"/>
      <c r="G855" s="145"/>
      <c r="H855" s="145"/>
      <c r="I855" s="145"/>
    </row>
    <row r="856" spans="1:9" ht="15.75" customHeight="1">
      <c r="A856" s="658"/>
      <c r="B856" s="145"/>
      <c r="C856" s="145"/>
      <c r="D856" s="145"/>
      <c r="E856" s="145"/>
      <c r="F856" s="145"/>
      <c r="G856" s="145"/>
      <c r="H856" s="145"/>
      <c r="I856" s="145"/>
    </row>
    <row r="857" spans="1:9" ht="15.75" customHeight="1">
      <c r="A857" s="658"/>
      <c r="B857" s="145"/>
      <c r="C857" s="145"/>
      <c r="D857" s="145"/>
      <c r="E857" s="145"/>
      <c r="F857" s="145"/>
      <c r="G857" s="145"/>
      <c r="H857" s="145"/>
      <c r="I857" s="145"/>
    </row>
    <row r="858" spans="1:9" ht="15.75" customHeight="1">
      <c r="A858" s="658"/>
      <c r="B858" s="145"/>
      <c r="C858" s="145"/>
      <c r="D858" s="145"/>
      <c r="E858" s="145"/>
      <c r="F858" s="145"/>
      <c r="G858" s="145"/>
      <c r="H858" s="145"/>
      <c r="I858" s="145"/>
    </row>
    <row r="859" spans="1:9" ht="15.75" customHeight="1">
      <c r="A859" s="658"/>
      <c r="B859" s="145"/>
      <c r="C859" s="145"/>
      <c r="D859" s="145"/>
      <c r="E859" s="145"/>
      <c r="F859" s="145"/>
      <c r="G859" s="145"/>
      <c r="H859" s="145"/>
      <c r="I859" s="145"/>
    </row>
    <row r="860" spans="1:9" ht="15.75" customHeight="1">
      <c r="A860" s="658"/>
      <c r="B860" s="145"/>
      <c r="C860" s="145"/>
      <c r="D860" s="145"/>
      <c r="E860" s="145"/>
      <c r="F860" s="145"/>
      <c r="G860" s="145"/>
      <c r="H860" s="145"/>
      <c r="I860" s="145"/>
    </row>
    <row r="861" spans="1:9" ht="15.75" customHeight="1">
      <c r="A861" s="658"/>
      <c r="B861" s="145"/>
      <c r="C861" s="145"/>
      <c r="D861" s="145"/>
      <c r="E861" s="145"/>
      <c r="F861" s="145"/>
      <c r="G861" s="145"/>
      <c r="H861" s="145"/>
      <c r="I861" s="145"/>
    </row>
    <row r="862" spans="1:9" ht="15.75" customHeight="1">
      <c r="A862" s="658"/>
      <c r="B862" s="145"/>
      <c r="C862" s="145"/>
      <c r="D862" s="145"/>
      <c r="E862" s="145"/>
      <c r="F862" s="145"/>
      <c r="G862" s="145"/>
      <c r="H862" s="145"/>
      <c r="I862" s="145"/>
    </row>
    <row r="863" spans="1:9" ht="15.75" customHeight="1">
      <c r="A863" s="658"/>
      <c r="B863" s="145"/>
      <c r="C863" s="145"/>
      <c r="D863" s="145"/>
      <c r="E863" s="145"/>
      <c r="F863" s="145"/>
      <c r="G863" s="145"/>
      <c r="H863" s="145"/>
      <c r="I863" s="145"/>
    </row>
    <row r="864" spans="1:9" ht="15.75" customHeight="1">
      <c r="A864" s="658"/>
      <c r="B864" s="145"/>
      <c r="C864" s="145"/>
      <c r="D864" s="145"/>
      <c r="E864" s="145"/>
      <c r="F864" s="145"/>
      <c r="G864" s="145"/>
      <c r="H864" s="145"/>
      <c r="I864" s="145"/>
    </row>
    <row r="865" spans="1:9" ht="15.75" customHeight="1">
      <c r="A865" s="658"/>
      <c r="B865" s="145"/>
      <c r="C865" s="145"/>
      <c r="D865" s="145"/>
      <c r="E865" s="145"/>
      <c r="F865" s="145"/>
      <c r="G865" s="145"/>
      <c r="H865" s="145"/>
      <c r="I865" s="145"/>
    </row>
    <row r="866" spans="1:9" ht="15.75" customHeight="1">
      <c r="A866" s="658"/>
      <c r="B866" s="145"/>
      <c r="C866" s="145"/>
      <c r="D866" s="145"/>
      <c r="E866" s="145"/>
      <c r="F866" s="145"/>
      <c r="G866" s="145"/>
      <c r="H866" s="145"/>
      <c r="I866" s="145"/>
    </row>
    <row r="867" spans="1:9" ht="15.75" customHeight="1">
      <c r="A867" s="658"/>
      <c r="B867" s="145"/>
      <c r="C867" s="145"/>
      <c r="D867" s="145"/>
      <c r="E867" s="145"/>
      <c r="F867" s="145"/>
      <c r="G867" s="145"/>
      <c r="H867" s="145"/>
      <c r="I867" s="145"/>
    </row>
    <row r="868" spans="1:9" ht="15.75" customHeight="1">
      <c r="A868" s="658"/>
      <c r="B868" s="145"/>
      <c r="C868" s="145"/>
      <c r="D868" s="145"/>
      <c r="E868" s="145"/>
      <c r="F868" s="145"/>
      <c r="G868" s="145"/>
      <c r="H868" s="145"/>
      <c r="I868" s="145"/>
    </row>
    <row r="869" spans="1:9" ht="15.75" customHeight="1">
      <c r="A869" s="658"/>
      <c r="B869" s="145"/>
      <c r="C869" s="145"/>
      <c r="D869" s="145"/>
      <c r="E869" s="145"/>
      <c r="F869" s="145"/>
      <c r="G869" s="145"/>
      <c r="H869" s="145"/>
      <c r="I869" s="145"/>
    </row>
    <row r="870" spans="1:9" ht="15.75" customHeight="1">
      <c r="A870" s="658"/>
      <c r="B870" s="145"/>
      <c r="C870" s="145"/>
      <c r="D870" s="145"/>
      <c r="E870" s="145"/>
      <c r="F870" s="145"/>
      <c r="G870" s="145"/>
      <c r="H870" s="145"/>
      <c r="I870" s="145"/>
    </row>
    <row r="871" spans="1:9" ht="15.75" customHeight="1">
      <c r="A871" s="658"/>
      <c r="B871" s="145"/>
      <c r="C871" s="145"/>
      <c r="D871" s="145"/>
      <c r="E871" s="145"/>
      <c r="F871" s="145"/>
      <c r="G871" s="145"/>
      <c r="H871" s="145"/>
      <c r="I871" s="145"/>
    </row>
    <row r="872" spans="1:9" ht="15.75" customHeight="1">
      <c r="A872" s="658"/>
      <c r="B872" s="145"/>
      <c r="C872" s="145"/>
      <c r="D872" s="145"/>
      <c r="E872" s="145"/>
      <c r="F872" s="145"/>
      <c r="G872" s="145"/>
      <c r="H872" s="145"/>
      <c r="I872" s="145"/>
    </row>
    <row r="873" spans="1:9" ht="15.75" customHeight="1">
      <c r="A873" s="658"/>
      <c r="B873" s="145"/>
      <c r="C873" s="145"/>
      <c r="D873" s="145"/>
      <c r="E873" s="145"/>
      <c r="F873" s="145"/>
      <c r="G873" s="145"/>
      <c r="H873" s="145"/>
      <c r="I873" s="145"/>
    </row>
    <row r="874" spans="1:9" ht="15.75" customHeight="1">
      <c r="A874" s="658"/>
      <c r="B874" s="145"/>
      <c r="C874" s="145"/>
      <c r="D874" s="145"/>
      <c r="E874" s="145"/>
      <c r="F874" s="145"/>
      <c r="G874" s="145"/>
      <c r="H874" s="145"/>
      <c r="I874" s="145"/>
    </row>
    <row r="875" spans="1:9" ht="15.75" customHeight="1">
      <c r="A875" s="658"/>
      <c r="B875" s="145"/>
      <c r="C875" s="145"/>
      <c r="D875" s="145"/>
      <c r="E875" s="145"/>
      <c r="F875" s="145"/>
      <c r="G875" s="145"/>
      <c r="H875" s="145"/>
      <c r="I875" s="145"/>
    </row>
    <row r="876" spans="1:9" ht="15.75" customHeight="1">
      <c r="A876" s="658"/>
      <c r="B876" s="145"/>
      <c r="C876" s="145"/>
      <c r="D876" s="145"/>
      <c r="E876" s="145"/>
      <c r="F876" s="145"/>
      <c r="G876" s="145"/>
      <c r="H876" s="145"/>
      <c r="I876" s="145"/>
    </row>
    <row r="877" spans="1:9" ht="15.75" customHeight="1">
      <c r="A877" s="658"/>
      <c r="B877" s="145"/>
      <c r="C877" s="145"/>
      <c r="D877" s="145"/>
      <c r="E877" s="145"/>
      <c r="F877" s="145"/>
      <c r="G877" s="145"/>
      <c r="H877" s="145"/>
      <c r="I877" s="145"/>
    </row>
    <row r="878" spans="1:9" ht="15.75" customHeight="1">
      <c r="A878" s="658"/>
      <c r="B878" s="145"/>
      <c r="C878" s="145"/>
      <c r="D878" s="145"/>
      <c r="E878" s="145"/>
      <c r="F878" s="145"/>
      <c r="G878" s="145"/>
      <c r="H878" s="145"/>
      <c r="I878" s="145"/>
    </row>
    <row r="879" spans="1:9" ht="15.75" customHeight="1">
      <c r="A879" s="658"/>
      <c r="B879" s="145"/>
      <c r="C879" s="145"/>
      <c r="D879" s="145"/>
      <c r="E879" s="145"/>
      <c r="F879" s="145"/>
      <c r="G879" s="145"/>
      <c r="H879" s="145"/>
      <c r="I879" s="145"/>
    </row>
    <row r="880" spans="1:9" ht="15.75" customHeight="1">
      <c r="A880" s="658"/>
      <c r="B880" s="145"/>
      <c r="C880" s="145"/>
      <c r="D880" s="145"/>
      <c r="E880" s="145"/>
      <c r="F880" s="145"/>
      <c r="G880" s="145"/>
      <c r="H880" s="145"/>
      <c r="I880" s="145"/>
    </row>
    <row r="881" spans="1:9" ht="15.75" customHeight="1">
      <c r="A881" s="658"/>
      <c r="B881" s="145"/>
      <c r="C881" s="145"/>
      <c r="D881" s="145"/>
      <c r="E881" s="145"/>
      <c r="F881" s="145"/>
      <c r="G881" s="145"/>
      <c r="H881" s="145"/>
      <c r="I881" s="145"/>
    </row>
    <row r="882" spans="1:9" ht="15.75" customHeight="1">
      <c r="A882" s="658"/>
      <c r="B882" s="145"/>
      <c r="C882" s="145"/>
      <c r="D882" s="145"/>
      <c r="E882" s="145"/>
      <c r="F882" s="145"/>
      <c r="G882" s="145"/>
      <c r="H882" s="145"/>
      <c r="I882" s="145"/>
    </row>
    <row r="883" spans="1:9" ht="15.75" customHeight="1">
      <c r="A883" s="658"/>
      <c r="B883" s="145"/>
      <c r="C883" s="145"/>
      <c r="D883" s="145"/>
      <c r="E883" s="145"/>
      <c r="F883" s="145"/>
      <c r="G883" s="145"/>
      <c r="H883" s="145"/>
      <c r="I883" s="145"/>
    </row>
    <row r="884" spans="1:9" ht="15.75" customHeight="1">
      <c r="A884" s="658"/>
      <c r="B884" s="145"/>
      <c r="C884" s="145"/>
      <c r="D884" s="145"/>
      <c r="E884" s="145"/>
      <c r="F884" s="145"/>
      <c r="G884" s="145"/>
      <c r="H884" s="145"/>
      <c r="I884" s="145"/>
    </row>
    <row r="885" spans="1:9" ht="15.75" customHeight="1">
      <c r="A885" s="658"/>
      <c r="B885" s="145"/>
      <c r="C885" s="145"/>
      <c r="D885" s="145"/>
      <c r="E885" s="145"/>
      <c r="F885" s="145"/>
      <c r="G885" s="145"/>
      <c r="H885" s="145"/>
      <c r="I885" s="145"/>
    </row>
    <row r="886" spans="1:9" ht="15.75" customHeight="1">
      <c r="A886" s="658"/>
      <c r="B886" s="145"/>
      <c r="C886" s="145"/>
      <c r="D886" s="145"/>
      <c r="E886" s="145"/>
      <c r="F886" s="145"/>
      <c r="G886" s="145"/>
      <c r="H886" s="145"/>
      <c r="I886" s="145"/>
    </row>
    <row r="887" spans="1:9" ht="15.75" customHeight="1">
      <c r="A887" s="658"/>
      <c r="B887" s="145"/>
      <c r="C887" s="145"/>
      <c r="D887" s="145"/>
      <c r="E887" s="145"/>
      <c r="F887" s="145"/>
      <c r="G887" s="145"/>
      <c r="H887" s="145"/>
      <c r="I887" s="145"/>
    </row>
    <row r="888" spans="1:9" ht="15.75" customHeight="1">
      <c r="A888" s="658"/>
      <c r="B888" s="145"/>
      <c r="C888" s="145"/>
      <c r="D888" s="145"/>
      <c r="E888" s="145"/>
      <c r="F888" s="145"/>
      <c r="G888" s="145"/>
      <c r="H888" s="145"/>
      <c r="I888" s="145"/>
    </row>
    <row r="889" spans="1:9" ht="15.75" customHeight="1">
      <c r="A889" s="658"/>
      <c r="B889" s="145"/>
      <c r="C889" s="145"/>
      <c r="D889" s="145"/>
      <c r="E889" s="145"/>
      <c r="F889" s="145"/>
      <c r="G889" s="145"/>
      <c r="H889" s="145"/>
      <c r="I889" s="145"/>
    </row>
    <row r="890" spans="1:9" ht="15.75" customHeight="1">
      <c r="A890" s="658"/>
      <c r="B890" s="145"/>
      <c r="C890" s="145"/>
      <c r="D890" s="145"/>
      <c r="E890" s="145"/>
      <c r="F890" s="145"/>
      <c r="G890" s="145"/>
      <c r="H890" s="145"/>
      <c r="I890" s="145"/>
    </row>
    <row r="891" spans="1:9" ht="15.75" customHeight="1">
      <c r="A891" s="658"/>
      <c r="B891" s="145"/>
      <c r="C891" s="145"/>
      <c r="D891" s="145"/>
      <c r="E891" s="145"/>
      <c r="F891" s="145"/>
      <c r="G891" s="145"/>
      <c r="H891" s="145"/>
      <c r="I891" s="145"/>
    </row>
    <row r="892" spans="1:9" ht="15.75" customHeight="1">
      <c r="A892" s="658"/>
      <c r="B892" s="145"/>
      <c r="C892" s="145"/>
      <c r="D892" s="145"/>
      <c r="E892" s="145"/>
      <c r="F892" s="145"/>
      <c r="G892" s="145"/>
      <c r="H892" s="145"/>
      <c r="I892" s="145"/>
    </row>
    <row r="893" spans="1:9" ht="15.75" customHeight="1">
      <c r="A893" s="658"/>
      <c r="B893" s="145"/>
      <c r="C893" s="145"/>
      <c r="D893" s="145"/>
      <c r="E893" s="145"/>
      <c r="F893" s="145"/>
      <c r="G893" s="145"/>
      <c r="H893" s="145"/>
      <c r="I893" s="145"/>
    </row>
    <row r="894" spans="1:9" ht="15.75" customHeight="1">
      <c r="A894" s="658"/>
      <c r="B894" s="145"/>
      <c r="C894" s="145"/>
      <c r="D894" s="145"/>
      <c r="E894" s="145"/>
      <c r="F894" s="145"/>
      <c r="G894" s="145"/>
      <c r="H894" s="145"/>
      <c r="I894" s="145"/>
    </row>
    <row r="895" spans="1:9" ht="15.75" customHeight="1">
      <c r="A895" s="658"/>
      <c r="B895" s="145"/>
      <c r="C895" s="145"/>
      <c r="D895" s="145"/>
      <c r="E895" s="145"/>
      <c r="F895" s="145"/>
      <c r="G895" s="145"/>
      <c r="H895" s="145"/>
      <c r="I895" s="145"/>
    </row>
    <row r="896" spans="1:9" ht="15.75" customHeight="1">
      <c r="A896" s="658"/>
      <c r="B896" s="145"/>
      <c r="C896" s="145"/>
      <c r="D896" s="145"/>
      <c r="E896" s="145"/>
      <c r="F896" s="145"/>
      <c r="G896" s="145"/>
      <c r="H896" s="145"/>
      <c r="I896" s="145"/>
    </row>
    <row r="897" spans="1:9" ht="15.75" customHeight="1">
      <c r="A897" s="658"/>
      <c r="B897" s="145"/>
      <c r="C897" s="145"/>
      <c r="D897" s="145"/>
      <c r="E897" s="145"/>
      <c r="F897" s="145"/>
      <c r="G897" s="145"/>
      <c r="H897" s="145"/>
      <c r="I897" s="145"/>
    </row>
    <row r="898" spans="1:9" ht="15.75" customHeight="1">
      <c r="A898" s="658"/>
      <c r="B898" s="145"/>
      <c r="C898" s="145"/>
      <c r="D898" s="145"/>
      <c r="E898" s="145"/>
      <c r="F898" s="145"/>
      <c r="G898" s="145"/>
      <c r="H898" s="145"/>
      <c r="I898" s="145"/>
    </row>
    <row r="899" spans="1:9" ht="15.75" customHeight="1">
      <c r="A899" s="658"/>
      <c r="B899" s="145"/>
      <c r="C899" s="145"/>
      <c r="D899" s="145"/>
      <c r="E899" s="145"/>
      <c r="F899" s="145"/>
      <c r="G899" s="145"/>
      <c r="H899" s="145"/>
      <c r="I899" s="145"/>
    </row>
    <row r="900" spans="1:9" ht="15.75" customHeight="1">
      <c r="A900" s="658"/>
      <c r="B900" s="145"/>
      <c r="C900" s="145"/>
      <c r="D900" s="145"/>
      <c r="E900" s="145"/>
      <c r="F900" s="145"/>
      <c r="G900" s="145"/>
      <c r="H900" s="145"/>
      <c r="I900" s="145"/>
    </row>
    <row r="901" spans="1:9" ht="15.75" customHeight="1">
      <c r="A901" s="658"/>
      <c r="B901" s="145"/>
      <c r="C901" s="145"/>
      <c r="D901" s="145"/>
      <c r="E901" s="145"/>
      <c r="F901" s="145"/>
      <c r="G901" s="145"/>
      <c r="H901" s="145"/>
      <c r="I901" s="145"/>
    </row>
    <row r="902" spans="1:9" ht="15.75" customHeight="1">
      <c r="A902" s="658"/>
      <c r="B902" s="145"/>
      <c r="C902" s="145"/>
      <c r="D902" s="145"/>
      <c r="E902" s="145"/>
      <c r="F902" s="145"/>
      <c r="G902" s="145"/>
      <c r="H902" s="145"/>
      <c r="I902" s="145"/>
    </row>
    <row r="903" spans="1:9" ht="15.75" customHeight="1">
      <c r="A903" s="658"/>
      <c r="B903" s="145"/>
      <c r="C903" s="145"/>
      <c r="D903" s="145"/>
      <c r="E903" s="145"/>
      <c r="F903" s="145"/>
      <c r="G903" s="145"/>
      <c r="H903" s="145"/>
      <c r="I903" s="145"/>
    </row>
    <row r="904" spans="1:9" ht="15.75" customHeight="1">
      <c r="A904" s="658"/>
      <c r="B904" s="145"/>
      <c r="C904" s="145"/>
      <c r="D904" s="145"/>
      <c r="E904" s="145"/>
      <c r="F904" s="145"/>
      <c r="G904" s="145"/>
      <c r="H904" s="145"/>
      <c r="I904" s="145"/>
    </row>
    <row r="905" spans="1:9" ht="15.75" customHeight="1">
      <c r="A905" s="658"/>
      <c r="B905" s="145"/>
      <c r="C905" s="145"/>
      <c r="D905" s="145"/>
      <c r="E905" s="145"/>
      <c r="F905" s="145"/>
      <c r="G905" s="145"/>
      <c r="H905" s="145"/>
      <c r="I905" s="145"/>
    </row>
    <row r="906" spans="1:9" ht="15.75" customHeight="1">
      <c r="A906" s="658"/>
      <c r="B906" s="145"/>
      <c r="C906" s="145"/>
      <c r="D906" s="145"/>
      <c r="E906" s="145"/>
      <c r="F906" s="145"/>
      <c r="G906" s="145"/>
      <c r="H906" s="145"/>
      <c r="I906" s="145"/>
    </row>
    <row r="907" spans="1:9" ht="15.75" customHeight="1">
      <c r="A907" s="658"/>
      <c r="B907" s="145"/>
      <c r="C907" s="145"/>
      <c r="D907" s="145"/>
      <c r="E907" s="145"/>
      <c r="F907" s="145"/>
      <c r="G907" s="145"/>
      <c r="H907" s="145"/>
      <c r="I907" s="145"/>
    </row>
    <row r="908" spans="1:9" ht="15.75" customHeight="1">
      <c r="A908" s="658"/>
      <c r="B908" s="145"/>
      <c r="C908" s="145"/>
      <c r="D908" s="145"/>
      <c r="E908" s="145"/>
      <c r="F908" s="145"/>
      <c r="G908" s="145"/>
      <c r="H908" s="145"/>
      <c r="I908" s="145"/>
    </row>
    <row r="909" spans="1:9" ht="15.75" customHeight="1">
      <c r="A909" s="658"/>
      <c r="B909" s="145"/>
      <c r="C909" s="145"/>
      <c r="D909" s="145"/>
      <c r="E909" s="145"/>
      <c r="F909" s="145"/>
      <c r="G909" s="145"/>
      <c r="H909" s="145"/>
      <c r="I909" s="145"/>
    </row>
    <row r="910" spans="1:9" ht="15.75" customHeight="1">
      <c r="A910" s="658"/>
      <c r="B910" s="145"/>
      <c r="C910" s="145"/>
      <c r="D910" s="145"/>
      <c r="E910" s="145"/>
      <c r="F910" s="145"/>
      <c r="G910" s="145"/>
      <c r="H910" s="145"/>
      <c r="I910" s="145"/>
    </row>
    <row r="911" spans="1:9" ht="15.75" customHeight="1">
      <c r="A911" s="658"/>
      <c r="B911" s="145"/>
      <c r="C911" s="145"/>
      <c r="D911" s="145"/>
      <c r="E911" s="145"/>
      <c r="F911" s="145"/>
      <c r="G911" s="145"/>
      <c r="H911" s="145"/>
      <c r="I911" s="145"/>
    </row>
    <row r="912" spans="1:9" ht="15.75" customHeight="1">
      <c r="A912" s="658"/>
      <c r="B912" s="145"/>
      <c r="C912" s="145"/>
      <c r="D912" s="145"/>
      <c r="E912" s="145"/>
      <c r="F912" s="145"/>
      <c r="G912" s="145"/>
      <c r="H912" s="145"/>
      <c r="I912" s="145"/>
    </row>
    <row r="913" spans="1:9" ht="15.75" customHeight="1">
      <c r="A913" s="658"/>
      <c r="B913" s="145"/>
      <c r="C913" s="145"/>
      <c r="D913" s="145"/>
      <c r="E913" s="145"/>
      <c r="F913" s="145"/>
      <c r="G913" s="145"/>
      <c r="H913" s="145"/>
      <c r="I913" s="145"/>
    </row>
    <row r="914" spans="1:9" ht="15.75" customHeight="1">
      <c r="A914" s="658"/>
      <c r="B914" s="145"/>
      <c r="C914" s="145"/>
      <c r="D914" s="145"/>
      <c r="E914" s="145"/>
      <c r="F914" s="145"/>
      <c r="G914" s="145"/>
      <c r="H914" s="145"/>
      <c r="I914" s="145"/>
    </row>
    <row r="915" spans="1:9" ht="15.75" customHeight="1">
      <c r="A915" s="658"/>
      <c r="B915" s="145"/>
      <c r="C915" s="145"/>
      <c r="D915" s="145"/>
      <c r="E915" s="145"/>
      <c r="F915" s="145"/>
      <c r="G915" s="145"/>
      <c r="H915" s="145"/>
      <c r="I915" s="145"/>
    </row>
    <row r="916" spans="1:9" ht="15.75" customHeight="1">
      <c r="A916" s="658"/>
      <c r="B916" s="145"/>
      <c r="C916" s="145"/>
      <c r="D916" s="145"/>
      <c r="E916" s="145"/>
      <c r="F916" s="145"/>
      <c r="G916" s="145"/>
      <c r="H916" s="145"/>
      <c r="I916" s="145"/>
    </row>
    <row r="917" spans="1:9" ht="15.75" customHeight="1">
      <c r="A917" s="658"/>
      <c r="B917" s="145"/>
      <c r="C917" s="145"/>
      <c r="D917" s="145"/>
      <c r="E917" s="145"/>
      <c r="F917" s="145"/>
      <c r="G917" s="145"/>
      <c r="H917" s="145"/>
      <c r="I917" s="145"/>
    </row>
    <row r="918" spans="1:9" ht="15.75" customHeight="1">
      <c r="A918" s="658"/>
      <c r="B918" s="145"/>
      <c r="C918" s="145"/>
      <c r="D918" s="145"/>
      <c r="E918" s="145"/>
      <c r="F918" s="145"/>
      <c r="G918" s="145"/>
      <c r="H918" s="145"/>
      <c r="I918" s="145"/>
    </row>
    <row r="919" spans="1:9" ht="15.75" customHeight="1">
      <c r="A919" s="658"/>
      <c r="B919" s="145"/>
      <c r="C919" s="145"/>
      <c r="D919" s="145"/>
      <c r="E919" s="145"/>
      <c r="F919" s="145"/>
      <c r="G919" s="145"/>
      <c r="H919" s="145"/>
      <c r="I919" s="145"/>
    </row>
    <row r="920" spans="1:9" ht="15.75" customHeight="1">
      <c r="A920" s="658"/>
      <c r="B920" s="145"/>
      <c r="C920" s="145"/>
      <c r="D920" s="145"/>
      <c r="E920" s="145"/>
      <c r="F920" s="145"/>
      <c r="G920" s="145"/>
      <c r="H920" s="145"/>
      <c r="I920" s="145"/>
    </row>
    <row r="921" spans="1:9" ht="15.75" customHeight="1">
      <c r="A921" s="658"/>
      <c r="B921" s="145"/>
      <c r="C921" s="145"/>
      <c r="D921" s="145"/>
      <c r="E921" s="145"/>
      <c r="F921" s="145"/>
      <c r="G921" s="145"/>
      <c r="H921" s="145"/>
      <c r="I921" s="145"/>
    </row>
    <row r="922" spans="1:9" ht="15.75" customHeight="1">
      <c r="A922" s="658"/>
      <c r="B922" s="145"/>
      <c r="C922" s="145"/>
      <c r="D922" s="145"/>
      <c r="E922" s="145"/>
      <c r="F922" s="145"/>
      <c r="G922" s="145"/>
      <c r="H922" s="145"/>
      <c r="I922" s="145"/>
    </row>
    <row r="923" spans="1:9" ht="15.75" customHeight="1">
      <c r="A923" s="658"/>
      <c r="B923" s="145"/>
      <c r="C923" s="145"/>
      <c r="D923" s="145"/>
      <c r="E923" s="145"/>
      <c r="F923" s="145"/>
      <c r="G923" s="145"/>
      <c r="H923" s="145"/>
      <c r="I923" s="145"/>
    </row>
    <row r="924" spans="1:9" ht="15.75" customHeight="1">
      <c r="A924" s="658"/>
      <c r="B924" s="145"/>
      <c r="C924" s="145"/>
      <c r="D924" s="145"/>
      <c r="E924" s="145"/>
      <c r="F924" s="145"/>
      <c r="G924" s="145"/>
      <c r="H924" s="145"/>
      <c r="I924" s="145"/>
    </row>
    <row r="925" spans="1:9" ht="15.75" customHeight="1">
      <c r="A925" s="658"/>
      <c r="B925" s="145"/>
      <c r="C925" s="145"/>
      <c r="D925" s="145"/>
      <c r="E925" s="145"/>
      <c r="F925" s="145"/>
      <c r="G925" s="145"/>
      <c r="H925" s="145"/>
      <c r="I925" s="145"/>
    </row>
    <row r="926" spans="1:9" ht="15.75" customHeight="1">
      <c r="A926" s="658"/>
      <c r="B926" s="145"/>
      <c r="C926" s="145"/>
      <c r="D926" s="145"/>
      <c r="E926" s="145"/>
      <c r="F926" s="145"/>
      <c r="G926" s="145"/>
      <c r="H926" s="145"/>
      <c r="I926" s="145"/>
    </row>
    <row r="927" spans="1:9" ht="15.75" customHeight="1">
      <c r="A927" s="658"/>
      <c r="B927" s="145"/>
      <c r="C927" s="145"/>
      <c r="D927" s="145"/>
      <c r="E927" s="145"/>
      <c r="F927" s="145"/>
      <c r="G927" s="145"/>
      <c r="H927" s="145"/>
      <c r="I927" s="145"/>
    </row>
    <row r="928" spans="1:9" ht="15.75" customHeight="1">
      <c r="A928" s="658"/>
      <c r="B928" s="145"/>
      <c r="C928" s="145"/>
      <c r="D928" s="145"/>
      <c r="E928" s="145"/>
      <c r="F928" s="145"/>
      <c r="G928" s="145"/>
      <c r="H928" s="145"/>
      <c r="I928" s="145"/>
    </row>
    <row r="929" spans="1:9" ht="15.75" customHeight="1">
      <c r="A929" s="658"/>
      <c r="B929" s="145"/>
      <c r="C929" s="145"/>
      <c r="D929" s="145"/>
      <c r="E929" s="145"/>
      <c r="F929" s="145"/>
      <c r="G929" s="145"/>
      <c r="H929" s="145"/>
      <c r="I929" s="145"/>
    </row>
    <row r="930" spans="1:9" ht="15.75" customHeight="1">
      <c r="A930" s="658"/>
      <c r="B930" s="145"/>
      <c r="C930" s="145"/>
      <c r="D930" s="145"/>
      <c r="E930" s="145"/>
      <c r="F930" s="145"/>
      <c r="G930" s="145"/>
      <c r="H930" s="145"/>
      <c r="I930" s="145"/>
    </row>
    <row r="931" spans="1:9" ht="15.75" customHeight="1">
      <c r="A931" s="658"/>
      <c r="B931" s="145"/>
      <c r="C931" s="145"/>
      <c r="D931" s="145"/>
      <c r="E931" s="145"/>
      <c r="F931" s="145"/>
      <c r="G931" s="145"/>
      <c r="H931" s="145"/>
      <c r="I931" s="145"/>
    </row>
    <row r="932" spans="1:9" ht="15.75" customHeight="1">
      <c r="A932" s="658"/>
      <c r="B932" s="145"/>
      <c r="C932" s="145"/>
      <c r="D932" s="145"/>
      <c r="E932" s="145"/>
      <c r="F932" s="145"/>
      <c r="G932" s="145"/>
      <c r="H932" s="145"/>
      <c r="I932" s="145"/>
    </row>
    <row r="933" spans="1:9" ht="15.75" customHeight="1">
      <c r="A933" s="658"/>
      <c r="B933" s="145"/>
      <c r="C933" s="145"/>
      <c r="D933" s="145"/>
      <c r="E933" s="145"/>
      <c r="F933" s="145"/>
      <c r="G933" s="145"/>
      <c r="H933" s="145"/>
      <c r="I933" s="145"/>
    </row>
    <row r="934" spans="1:9" ht="15.75" customHeight="1">
      <c r="A934" s="658"/>
      <c r="B934" s="145"/>
      <c r="C934" s="145"/>
      <c r="D934" s="145"/>
      <c r="E934" s="145"/>
      <c r="F934" s="145"/>
      <c r="G934" s="145"/>
      <c r="H934" s="145"/>
      <c r="I934" s="145"/>
    </row>
    <row r="935" spans="1:9" ht="15.75" customHeight="1">
      <c r="A935" s="658"/>
      <c r="B935" s="145"/>
      <c r="C935" s="145"/>
      <c r="D935" s="145"/>
      <c r="E935" s="145"/>
      <c r="F935" s="145"/>
      <c r="G935" s="145"/>
      <c r="H935" s="145"/>
      <c r="I935" s="145"/>
    </row>
    <row r="936" spans="1:9" ht="15.75" customHeight="1">
      <c r="A936" s="658"/>
      <c r="B936" s="145"/>
      <c r="C936" s="145"/>
      <c r="D936" s="145"/>
      <c r="E936" s="145"/>
      <c r="F936" s="145"/>
      <c r="G936" s="145"/>
      <c r="H936" s="145"/>
      <c r="I936" s="145"/>
    </row>
    <row r="937" spans="1:9" ht="15.75" customHeight="1">
      <c r="A937" s="658"/>
      <c r="B937" s="145"/>
      <c r="C937" s="145"/>
      <c r="D937" s="145"/>
      <c r="E937" s="145"/>
      <c r="F937" s="145"/>
      <c r="G937" s="145"/>
      <c r="H937" s="145"/>
      <c r="I937" s="145"/>
    </row>
    <row r="938" spans="1:9" ht="15.75" customHeight="1">
      <c r="A938" s="658"/>
      <c r="B938" s="145"/>
      <c r="C938" s="145"/>
      <c r="D938" s="145"/>
      <c r="E938" s="145"/>
      <c r="F938" s="145"/>
      <c r="G938" s="145"/>
      <c r="H938" s="145"/>
      <c r="I938" s="145"/>
    </row>
    <row r="939" spans="1:9" ht="15.75" customHeight="1">
      <c r="A939" s="658"/>
      <c r="B939" s="145"/>
      <c r="C939" s="145"/>
      <c r="D939" s="145"/>
      <c r="E939" s="145"/>
      <c r="F939" s="145"/>
      <c r="G939" s="145"/>
      <c r="H939" s="145"/>
      <c r="I939" s="145"/>
    </row>
    <row r="940" spans="1:9" ht="15.75" customHeight="1">
      <c r="A940" s="658"/>
      <c r="B940" s="145"/>
      <c r="C940" s="145"/>
      <c r="D940" s="145"/>
      <c r="E940" s="145"/>
      <c r="F940" s="145"/>
      <c r="G940" s="145"/>
      <c r="H940" s="145"/>
      <c r="I940" s="145"/>
    </row>
    <row r="941" spans="1:9" ht="15.75" customHeight="1">
      <c r="A941" s="658"/>
      <c r="B941" s="145"/>
      <c r="C941" s="145"/>
      <c r="D941" s="145"/>
      <c r="E941" s="145"/>
      <c r="F941" s="145"/>
      <c r="G941" s="145"/>
      <c r="H941" s="145"/>
      <c r="I941" s="145"/>
    </row>
    <row r="942" spans="1:9" ht="15.75" customHeight="1">
      <c r="A942" s="658"/>
      <c r="B942" s="145"/>
      <c r="C942" s="145"/>
      <c r="D942" s="145"/>
      <c r="E942" s="145"/>
      <c r="F942" s="145"/>
      <c r="G942" s="145"/>
      <c r="H942" s="145"/>
      <c r="I942" s="145"/>
    </row>
    <row r="943" spans="1:9" ht="15.75" customHeight="1">
      <c r="A943" s="658"/>
      <c r="B943" s="145"/>
      <c r="C943" s="145"/>
      <c r="D943" s="145"/>
      <c r="E943" s="145"/>
      <c r="F943" s="145"/>
      <c r="G943" s="145"/>
      <c r="H943" s="145"/>
      <c r="I943" s="145"/>
    </row>
    <row r="944" spans="1:9" ht="15.75" customHeight="1">
      <c r="A944" s="658"/>
      <c r="B944" s="145"/>
      <c r="C944" s="145"/>
      <c r="D944" s="145"/>
      <c r="E944" s="145"/>
      <c r="F944" s="145"/>
      <c r="G944" s="145"/>
      <c r="H944" s="145"/>
      <c r="I944" s="145"/>
    </row>
    <row r="945" spans="1:9" ht="15.75" customHeight="1">
      <c r="A945" s="658"/>
      <c r="B945" s="145"/>
      <c r="C945" s="145"/>
      <c r="D945" s="145"/>
      <c r="E945" s="145"/>
      <c r="F945" s="145"/>
      <c r="G945" s="145"/>
      <c r="H945" s="145"/>
      <c r="I945" s="145"/>
    </row>
    <row r="946" spans="1:9" ht="15.75" customHeight="1">
      <c r="A946" s="658"/>
      <c r="B946" s="145"/>
      <c r="C946" s="145"/>
      <c r="D946" s="145"/>
      <c r="E946" s="145"/>
      <c r="F946" s="145"/>
      <c r="G946" s="145"/>
      <c r="H946" s="145"/>
      <c r="I946" s="145"/>
    </row>
    <row r="947" spans="1:9" ht="15.75" customHeight="1">
      <c r="A947" s="658"/>
      <c r="B947" s="145"/>
      <c r="C947" s="145"/>
      <c r="D947" s="145"/>
      <c r="E947" s="145"/>
      <c r="F947" s="145"/>
      <c r="G947" s="145"/>
      <c r="H947" s="145"/>
      <c r="I947" s="145"/>
    </row>
    <row r="948" spans="1:9" ht="15.75" customHeight="1">
      <c r="A948" s="658"/>
      <c r="B948" s="145"/>
      <c r="C948" s="145"/>
      <c r="D948" s="145"/>
      <c r="E948" s="145"/>
      <c r="F948" s="145"/>
      <c r="G948" s="145"/>
      <c r="H948" s="145"/>
      <c r="I948" s="145"/>
    </row>
    <row r="949" spans="1:9" ht="15.75" customHeight="1">
      <c r="A949" s="658"/>
      <c r="B949" s="145"/>
      <c r="C949" s="145"/>
      <c r="D949" s="145"/>
      <c r="E949" s="145"/>
      <c r="F949" s="145"/>
      <c r="G949" s="145"/>
      <c r="H949" s="145"/>
      <c r="I949" s="145"/>
    </row>
    <row r="950" spans="1:9" ht="15.75" customHeight="1">
      <c r="A950" s="658"/>
      <c r="B950" s="145"/>
      <c r="C950" s="145"/>
      <c r="D950" s="145"/>
      <c r="E950" s="145"/>
      <c r="F950" s="145"/>
      <c r="G950" s="145"/>
      <c r="H950" s="145"/>
      <c r="I950" s="145"/>
    </row>
    <row r="951" spans="1:9" ht="15.75" customHeight="1">
      <c r="A951" s="658"/>
      <c r="B951" s="145"/>
      <c r="C951" s="145"/>
      <c r="D951" s="145"/>
      <c r="E951" s="145"/>
      <c r="F951" s="145"/>
      <c r="G951" s="145"/>
      <c r="H951" s="145"/>
      <c r="I951" s="145"/>
    </row>
    <row r="952" spans="1:9" ht="15.75" customHeight="1">
      <c r="A952" s="658"/>
      <c r="B952" s="145"/>
      <c r="C952" s="145"/>
      <c r="D952" s="145"/>
      <c r="E952" s="145"/>
      <c r="F952" s="145"/>
      <c r="G952" s="145"/>
      <c r="H952" s="145"/>
      <c r="I952" s="145"/>
    </row>
    <row r="953" spans="1:9" ht="15.75" customHeight="1">
      <c r="A953" s="658"/>
      <c r="B953" s="145"/>
      <c r="C953" s="145"/>
      <c r="D953" s="145"/>
      <c r="E953" s="145"/>
      <c r="F953" s="145"/>
      <c r="G953" s="145"/>
      <c r="H953" s="145"/>
      <c r="I953" s="145"/>
    </row>
    <row r="954" spans="1:9" ht="15.75" customHeight="1">
      <c r="A954" s="658"/>
      <c r="B954" s="145"/>
      <c r="C954" s="145"/>
      <c r="D954" s="145"/>
      <c r="E954" s="145"/>
      <c r="F954" s="145"/>
      <c r="G954" s="145"/>
      <c r="H954" s="145"/>
      <c r="I954" s="145"/>
    </row>
    <row r="955" spans="1:9" ht="15.75" customHeight="1">
      <c r="A955" s="658"/>
      <c r="B955" s="145"/>
      <c r="C955" s="145"/>
      <c r="D955" s="145"/>
      <c r="E955" s="145"/>
      <c r="F955" s="145"/>
      <c r="G955" s="145"/>
      <c r="H955" s="145"/>
      <c r="I955" s="145"/>
    </row>
    <row r="956" spans="1:9" ht="15.75" customHeight="1">
      <c r="A956" s="658"/>
      <c r="B956" s="145"/>
      <c r="C956" s="145"/>
      <c r="D956" s="145"/>
      <c r="E956" s="145"/>
      <c r="F956" s="145"/>
      <c r="G956" s="145"/>
      <c r="H956" s="145"/>
      <c r="I956" s="145"/>
    </row>
    <row r="957" spans="1:9" ht="15.75" customHeight="1">
      <c r="A957" s="658"/>
      <c r="B957" s="145"/>
      <c r="C957" s="145"/>
      <c r="D957" s="145"/>
      <c r="E957" s="145"/>
      <c r="F957" s="145"/>
      <c r="G957" s="145"/>
      <c r="H957" s="145"/>
      <c r="I957" s="145"/>
    </row>
    <row r="958" spans="1:9" ht="15.75" customHeight="1">
      <c r="A958" s="658"/>
      <c r="B958" s="145"/>
      <c r="C958" s="145"/>
      <c r="D958" s="145"/>
      <c r="E958" s="145"/>
      <c r="F958" s="145"/>
      <c r="G958" s="145"/>
      <c r="H958" s="145"/>
      <c r="I958" s="145"/>
    </row>
    <row r="959" spans="1:9" ht="15.75" customHeight="1">
      <c r="A959" s="658"/>
      <c r="B959" s="145"/>
      <c r="C959" s="145"/>
      <c r="D959" s="145"/>
      <c r="E959" s="145"/>
      <c r="F959" s="145"/>
      <c r="G959" s="145"/>
      <c r="H959" s="145"/>
      <c r="I959" s="145"/>
    </row>
    <row r="960" spans="1:9" ht="15.75" customHeight="1">
      <c r="A960" s="658"/>
      <c r="B960" s="145"/>
      <c r="C960" s="145"/>
      <c r="D960" s="145"/>
      <c r="E960" s="145"/>
      <c r="F960" s="145"/>
      <c r="G960" s="145"/>
      <c r="H960" s="145"/>
      <c r="I960" s="145"/>
    </row>
    <row r="961" spans="1:9" ht="15.75" customHeight="1">
      <c r="A961" s="658"/>
      <c r="B961" s="145"/>
      <c r="C961" s="145"/>
      <c r="D961" s="145"/>
      <c r="E961" s="145"/>
      <c r="F961" s="145"/>
      <c r="G961" s="145"/>
      <c r="H961" s="145"/>
      <c r="I961" s="145"/>
    </row>
    <row r="962" spans="1:9" ht="15.75" customHeight="1">
      <c r="A962" s="658"/>
      <c r="B962" s="145"/>
      <c r="C962" s="145"/>
      <c r="D962" s="145"/>
      <c r="E962" s="145"/>
      <c r="F962" s="145"/>
      <c r="G962" s="145"/>
      <c r="H962" s="145"/>
      <c r="I962" s="145"/>
    </row>
    <row r="963" spans="1:9" ht="15.75" customHeight="1">
      <c r="A963" s="658"/>
      <c r="B963" s="145"/>
      <c r="C963" s="145"/>
      <c r="D963" s="145"/>
      <c r="E963" s="145"/>
      <c r="F963" s="145"/>
      <c r="G963" s="145"/>
      <c r="H963" s="145"/>
      <c r="I963" s="145"/>
    </row>
    <row r="964" spans="1:9" ht="15.75" customHeight="1">
      <c r="A964" s="658"/>
      <c r="B964" s="145"/>
      <c r="C964" s="145"/>
      <c r="D964" s="145"/>
      <c r="E964" s="145"/>
      <c r="F964" s="145"/>
      <c r="G964" s="145"/>
      <c r="H964" s="145"/>
      <c r="I964" s="145"/>
    </row>
    <row r="965" spans="1:9" ht="15.75" customHeight="1">
      <c r="A965" s="658"/>
      <c r="B965" s="145"/>
      <c r="C965" s="145"/>
      <c r="D965" s="145"/>
      <c r="E965" s="145"/>
      <c r="F965" s="145"/>
      <c r="G965" s="145"/>
      <c r="H965" s="145"/>
      <c r="I965" s="145"/>
    </row>
    <row r="966" spans="1:9" ht="15.75" customHeight="1">
      <c r="A966" s="658"/>
      <c r="B966" s="145"/>
      <c r="C966" s="145"/>
      <c r="D966" s="145"/>
      <c r="E966" s="145"/>
      <c r="F966" s="145"/>
      <c r="G966" s="145"/>
      <c r="H966" s="145"/>
      <c r="I966" s="145"/>
    </row>
    <row r="967" spans="1:9" ht="15.75" customHeight="1">
      <c r="A967" s="658"/>
      <c r="B967" s="145"/>
      <c r="C967" s="145"/>
      <c r="D967" s="145"/>
      <c r="E967" s="145"/>
      <c r="F967" s="145"/>
      <c r="G967" s="145"/>
      <c r="H967" s="145"/>
      <c r="I967" s="145"/>
    </row>
    <row r="968" spans="1:9" ht="15.75" customHeight="1">
      <c r="A968" s="658"/>
      <c r="B968" s="145"/>
      <c r="C968" s="145"/>
      <c r="D968" s="145"/>
      <c r="E968" s="145"/>
      <c r="F968" s="145"/>
      <c r="G968" s="145"/>
      <c r="H968" s="145"/>
      <c r="I968" s="145"/>
    </row>
    <row r="969" spans="1:9" ht="15.75" customHeight="1">
      <c r="A969" s="658"/>
      <c r="B969" s="145"/>
      <c r="C969" s="145"/>
      <c r="D969" s="145"/>
      <c r="E969" s="145"/>
      <c r="F969" s="145"/>
      <c r="G969" s="145"/>
      <c r="H969" s="145"/>
      <c r="I969" s="145"/>
    </row>
    <row r="970" spans="1:9" ht="15.75" customHeight="1">
      <c r="A970" s="658"/>
      <c r="B970" s="145"/>
      <c r="C970" s="145"/>
      <c r="D970" s="145"/>
      <c r="E970" s="145"/>
      <c r="F970" s="145"/>
      <c r="G970" s="145"/>
      <c r="H970" s="145"/>
      <c r="I970" s="145"/>
    </row>
    <row r="971" spans="1:9" ht="15.75" customHeight="1">
      <c r="A971" s="658"/>
      <c r="B971" s="145"/>
      <c r="C971" s="145"/>
      <c r="D971" s="145"/>
      <c r="E971" s="145"/>
      <c r="F971" s="145"/>
      <c r="G971" s="145"/>
      <c r="H971" s="145"/>
      <c r="I971" s="145"/>
    </row>
    <row r="972" spans="1:9" ht="15.75" customHeight="1">
      <c r="A972" s="658"/>
      <c r="B972" s="145"/>
      <c r="C972" s="145"/>
      <c r="D972" s="145"/>
      <c r="E972" s="145"/>
      <c r="F972" s="145"/>
      <c r="G972" s="145"/>
      <c r="H972" s="145"/>
      <c r="I972" s="145"/>
    </row>
    <row r="973" spans="1:9" ht="15.75" customHeight="1">
      <c r="A973" s="658"/>
      <c r="B973" s="145"/>
      <c r="C973" s="145"/>
      <c r="D973" s="145"/>
      <c r="E973" s="145"/>
      <c r="F973" s="145"/>
      <c r="G973" s="145"/>
      <c r="H973" s="145"/>
      <c r="I973" s="145"/>
    </row>
    <row r="974" spans="1:9" ht="15.75" customHeight="1">
      <c r="A974" s="658"/>
      <c r="B974" s="145"/>
      <c r="C974" s="145"/>
      <c r="D974" s="145"/>
      <c r="E974" s="145"/>
      <c r="F974" s="145"/>
      <c r="G974" s="145"/>
      <c r="H974" s="145"/>
      <c r="I974" s="145"/>
    </row>
    <row r="975" spans="1:9" ht="15.75" customHeight="1">
      <c r="A975" s="658"/>
      <c r="B975" s="145"/>
      <c r="C975" s="145"/>
      <c r="D975" s="145"/>
      <c r="E975" s="145"/>
      <c r="F975" s="145"/>
      <c r="G975" s="145"/>
      <c r="H975" s="145"/>
      <c r="I975" s="145"/>
    </row>
    <row r="976" spans="1:9" ht="15.75" customHeight="1">
      <c r="A976" s="658"/>
      <c r="B976" s="145"/>
      <c r="C976" s="145"/>
      <c r="D976" s="145"/>
      <c r="E976" s="145"/>
      <c r="F976" s="145"/>
      <c r="G976" s="145"/>
      <c r="H976" s="145"/>
      <c r="I976" s="145"/>
    </row>
    <row r="977" spans="1:9" ht="15.75" customHeight="1">
      <c r="A977" s="658"/>
      <c r="B977" s="145"/>
      <c r="C977" s="145"/>
      <c r="D977" s="145"/>
      <c r="E977" s="145"/>
      <c r="F977" s="145"/>
      <c r="G977" s="145"/>
      <c r="H977" s="145"/>
      <c r="I977" s="145"/>
    </row>
    <row r="978" spans="1:9" ht="15.75" customHeight="1">
      <c r="A978" s="658"/>
      <c r="B978" s="145"/>
      <c r="C978" s="145"/>
      <c r="D978" s="145"/>
      <c r="E978" s="145"/>
      <c r="F978" s="145"/>
      <c r="G978" s="145"/>
      <c r="H978" s="145"/>
      <c r="I978" s="145"/>
    </row>
    <row r="979" spans="1:9" ht="15.75" customHeight="1">
      <c r="A979" s="658"/>
      <c r="B979" s="145"/>
      <c r="C979" s="145"/>
      <c r="D979" s="145"/>
      <c r="E979" s="145"/>
      <c r="F979" s="145"/>
      <c r="G979" s="145"/>
      <c r="H979" s="145"/>
      <c r="I979" s="145"/>
    </row>
    <row r="980" spans="1:9" ht="15.75" customHeight="1">
      <c r="A980" s="658"/>
      <c r="B980" s="145"/>
      <c r="C980" s="145"/>
      <c r="D980" s="145"/>
      <c r="E980" s="145"/>
      <c r="F980" s="145"/>
      <c r="G980" s="145"/>
      <c r="H980" s="145"/>
      <c r="I980" s="145"/>
    </row>
    <row r="981" spans="1:9" ht="15.75" customHeight="1">
      <c r="A981" s="658"/>
      <c r="B981" s="145"/>
      <c r="C981" s="145"/>
      <c r="D981" s="145"/>
      <c r="E981" s="145"/>
      <c r="F981" s="145"/>
      <c r="G981" s="145"/>
      <c r="H981" s="145"/>
      <c r="I981" s="145"/>
    </row>
    <row r="982" spans="1:9" ht="15.75" customHeight="1">
      <c r="A982" s="658"/>
      <c r="B982" s="145"/>
      <c r="C982" s="145"/>
      <c r="D982" s="145"/>
      <c r="E982" s="145"/>
      <c r="F982" s="145"/>
      <c r="G982" s="145"/>
      <c r="H982" s="145"/>
      <c r="I982" s="145"/>
    </row>
    <row r="983" spans="1:9" ht="15.75" customHeight="1">
      <c r="A983" s="658"/>
      <c r="B983" s="145"/>
      <c r="C983" s="145"/>
      <c r="D983" s="145"/>
      <c r="E983" s="145"/>
      <c r="F983" s="145"/>
      <c r="G983" s="145"/>
      <c r="H983" s="145"/>
      <c r="I983" s="145"/>
    </row>
    <row r="984" spans="1:9" ht="15.75" customHeight="1">
      <c r="A984" s="658"/>
      <c r="B984" s="145"/>
      <c r="C984" s="145"/>
      <c r="D984" s="145"/>
      <c r="E984" s="145"/>
      <c r="F984" s="145"/>
      <c r="G984" s="145"/>
      <c r="H984" s="145"/>
      <c r="I984" s="145"/>
    </row>
    <row r="985" spans="1:9" ht="15.75" customHeight="1">
      <c r="A985" s="658"/>
      <c r="B985" s="145"/>
      <c r="C985" s="145"/>
      <c r="D985" s="145"/>
      <c r="E985" s="145"/>
      <c r="F985" s="145"/>
      <c r="G985" s="145"/>
      <c r="H985" s="145"/>
      <c r="I985" s="145"/>
    </row>
    <row r="986" spans="1:9" ht="15.75" customHeight="1">
      <c r="A986" s="658"/>
      <c r="B986" s="145"/>
      <c r="C986" s="145"/>
      <c r="D986" s="145"/>
      <c r="E986" s="145"/>
      <c r="F986" s="145"/>
      <c r="G986" s="145"/>
      <c r="H986" s="145"/>
      <c r="I986" s="145"/>
    </row>
    <row r="987" spans="1:9" ht="15.75" customHeight="1">
      <c r="A987" s="658"/>
      <c r="B987" s="145"/>
      <c r="C987" s="145"/>
      <c r="D987" s="145"/>
      <c r="E987" s="145"/>
      <c r="F987" s="145"/>
      <c r="G987" s="145"/>
      <c r="H987" s="145"/>
      <c r="I987" s="145"/>
    </row>
    <row r="988" spans="1:9" ht="15.75" customHeight="1">
      <c r="A988" s="658"/>
      <c r="B988" s="145"/>
      <c r="C988" s="145"/>
      <c r="D988" s="145"/>
      <c r="E988" s="145"/>
      <c r="F988" s="145"/>
      <c r="G988" s="145"/>
      <c r="H988" s="145"/>
      <c r="I988" s="145"/>
    </row>
    <row r="989" spans="1:9" ht="15.75" customHeight="1">
      <c r="A989" s="658"/>
      <c r="B989" s="145"/>
      <c r="C989" s="145"/>
      <c r="D989" s="145"/>
      <c r="E989" s="145"/>
      <c r="F989" s="145"/>
      <c r="G989" s="145"/>
      <c r="H989" s="145"/>
      <c r="I989" s="145"/>
    </row>
    <row r="990" spans="1:9" ht="15.75" customHeight="1">
      <c r="A990" s="658"/>
      <c r="B990" s="145"/>
      <c r="C990" s="145"/>
      <c r="D990" s="145"/>
      <c r="E990" s="145"/>
      <c r="F990" s="145"/>
      <c r="G990" s="145"/>
      <c r="H990" s="145"/>
      <c r="I990" s="145"/>
    </row>
    <row r="991" spans="1:9" ht="15.75" customHeight="1">
      <c r="A991" s="658"/>
      <c r="B991" s="145"/>
      <c r="C991" s="145"/>
      <c r="D991" s="145"/>
      <c r="E991" s="145"/>
      <c r="F991" s="145"/>
      <c r="G991" s="145"/>
      <c r="H991" s="145"/>
      <c r="I991" s="145"/>
    </row>
    <row r="992" spans="1:9" ht="15.75" customHeight="1">
      <c r="A992" s="658"/>
      <c r="B992" s="145"/>
      <c r="C992" s="145"/>
      <c r="D992" s="145"/>
      <c r="E992" s="145"/>
      <c r="F992" s="145"/>
      <c r="G992" s="145"/>
      <c r="H992" s="145"/>
      <c r="I992" s="145"/>
    </row>
    <row r="993" spans="1:9" ht="15.75" customHeight="1">
      <c r="A993" s="658"/>
      <c r="B993" s="145"/>
      <c r="C993" s="145"/>
      <c r="D993" s="145"/>
      <c r="E993" s="145"/>
      <c r="F993" s="145"/>
      <c r="G993" s="145"/>
      <c r="H993" s="145"/>
      <c r="I993" s="145"/>
    </row>
    <row r="994" spans="1:9" ht="15.75" customHeight="1">
      <c r="A994" s="658"/>
      <c r="B994" s="145"/>
      <c r="C994" s="145"/>
      <c r="D994" s="145"/>
      <c r="E994" s="145"/>
      <c r="F994" s="145"/>
      <c r="G994" s="145"/>
      <c r="H994" s="145"/>
      <c r="I994" s="145"/>
    </row>
    <row r="995" spans="1:9" ht="15.75" customHeight="1">
      <c r="A995" s="658"/>
      <c r="B995" s="145"/>
      <c r="C995" s="145"/>
      <c r="D995" s="145"/>
      <c r="E995" s="145"/>
      <c r="F995" s="145"/>
      <c r="G995" s="145"/>
      <c r="H995" s="145"/>
      <c r="I995" s="145"/>
    </row>
    <row r="996" spans="1:9" ht="15.75" customHeight="1">
      <c r="A996" s="658"/>
      <c r="B996" s="145"/>
      <c r="C996" s="145"/>
      <c r="D996" s="145"/>
      <c r="E996" s="145"/>
      <c r="F996" s="145"/>
      <c r="G996" s="145"/>
      <c r="H996" s="145"/>
      <c r="I996" s="145"/>
    </row>
    <row r="997" spans="1:9" ht="15.75" customHeight="1">
      <c r="A997" s="658"/>
      <c r="B997" s="145"/>
      <c r="C997" s="145"/>
      <c r="D997" s="145"/>
      <c r="E997" s="145"/>
      <c r="F997" s="145"/>
      <c r="G997" s="145"/>
      <c r="H997" s="145"/>
      <c r="I997" s="145"/>
    </row>
    <row r="998" spans="1:9" ht="15.75" customHeight="1">
      <c r="A998" s="658"/>
      <c r="B998" s="145"/>
      <c r="C998" s="145"/>
      <c r="D998" s="145"/>
      <c r="E998" s="145"/>
      <c r="F998" s="145"/>
      <c r="G998" s="145"/>
      <c r="H998" s="145"/>
      <c r="I998" s="145"/>
    </row>
    <row r="999" spans="1:9" ht="15.75" customHeight="1">
      <c r="A999" s="658"/>
      <c r="B999" s="145"/>
      <c r="C999" s="145"/>
      <c r="D999" s="145"/>
      <c r="E999" s="145"/>
      <c r="F999" s="145"/>
      <c r="G999" s="145"/>
      <c r="H999" s="145"/>
      <c r="I999" s="145"/>
    </row>
    <row r="1000" spans="1:9" ht="15.75" customHeight="1">
      <c r="A1000" s="658"/>
      <c r="B1000" s="145"/>
      <c r="C1000" s="145"/>
      <c r="D1000" s="145"/>
      <c r="E1000" s="145"/>
      <c r="F1000" s="145"/>
      <c r="G1000" s="145"/>
      <c r="H1000" s="145"/>
      <c r="I1000" s="145"/>
    </row>
    <row r="1001" spans="1:9" ht="15" customHeight="1">
      <c r="A1001" s="658"/>
      <c r="B1001" s="145"/>
      <c r="C1001" s="145"/>
      <c r="D1001" s="145"/>
      <c r="E1001" s="145"/>
      <c r="F1001" s="145"/>
      <c r="G1001" s="145"/>
      <c r="H1001" s="145"/>
      <c r="I1001" s="145"/>
    </row>
    <row r="1002" spans="1:9" ht="15" customHeight="1">
      <c r="A1002" s="658"/>
      <c r="B1002" s="145"/>
      <c r="C1002" s="145"/>
      <c r="D1002" s="145"/>
      <c r="E1002" s="145"/>
      <c r="F1002" s="145"/>
      <c r="G1002" s="145"/>
      <c r="H1002" s="145"/>
      <c r="I1002" s="145"/>
    </row>
    <row r="1003" spans="1:9" ht="15" customHeight="1">
      <c r="A1003" s="658"/>
      <c r="B1003" s="145"/>
      <c r="C1003" s="145"/>
      <c r="D1003" s="145"/>
      <c r="E1003" s="145"/>
      <c r="F1003" s="145"/>
      <c r="G1003" s="145"/>
      <c r="H1003" s="145"/>
      <c r="I1003" s="145"/>
    </row>
    <row r="1004" spans="1:9" ht="15" customHeight="1">
      <c r="A1004" s="658"/>
      <c r="B1004" s="145"/>
      <c r="C1004" s="145"/>
      <c r="D1004" s="145"/>
      <c r="E1004" s="145"/>
      <c r="F1004" s="145"/>
      <c r="G1004" s="145"/>
      <c r="H1004" s="145"/>
      <c r="I1004" s="145"/>
    </row>
    <row r="1005" spans="1:9" ht="15" customHeight="1">
      <c r="A1005" s="658"/>
      <c r="B1005" s="145"/>
      <c r="C1005" s="145"/>
      <c r="D1005" s="145"/>
      <c r="E1005" s="145"/>
      <c r="F1005" s="145"/>
      <c r="G1005" s="145"/>
      <c r="H1005" s="145"/>
      <c r="I1005" s="145"/>
    </row>
    <row r="1006" spans="1:9" ht="15" customHeight="1">
      <c r="A1006" s="658"/>
      <c r="B1006" s="145"/>
      <c r="C1006" s="145"/>
      <c r="D1006" s="145"/>
      <c r="E1006" s="145"/>
      <c r="F1006" s="145"/>
      <c r="G1006" s="145"/>
      <c r="H1006" s="145"/>
      <c r="I1006" s="145"/>
    </row>
    <row r="1007" spans="1:9" ht="15" customHeight="1">
      <c r="A1007" s="658"/>
      <c r="B1007" s="145"/>
      <c r="C1007" s="145"/>
      <c r="D1007" s="145"/>
      <c r="E1007" s="145"/>
      <c r="F1007" s="145"/>
      <c r="G1007" s="145"/>
      <c r="H1007" s="145"/>
      <c r="I1007" s="145"/>
    </row>
    <row r="1008" spans="1:9" ht="15" customHeight="1">
      <c r="A1008" s="658"/>
      <c r="B1008" s="145"/>
      <c r="C1008" s="145"/>
      <c r="D1008" s="145"/>
      <c r="E1008" s="145"/>
      <c r="F1008" s="145"/>
      <c r="G1008" s="145"/>
      <c r="H1008" s="145"/>
      <c r="I1008" s="145"/>
    </row>
    <row r="1009" spans="1:9" ht="15" customHeight="1">
      <c r="A1009" s="658"/>
      <c r="B1009" s="145"/>
      <c r="C1009" s="145"/>
      <c r="D1009" s="145"/>
      <c r="E1009" s="145"/>
      <c r="F1009" s="145"/>
      <c r="G1009" s="145"/>
      <c r="H1009" s="145"/>
      <c r="I1009" s="145"/>
    </row>
    <row r="1010" spans="1:9" ht="15" customHeight="1">
      <c r="A1010" s="658"/>
      <c r="B1010" s="145"/>
      <c r="C1010" s="145"/>
      <c r="D1010" s="145"/>
      <c r="E1010" s="145"/>
      <c r="F1010" s="145"/>
      <c r="G1010" s="145"/>
      <c r="H1010" s="145"/>
      <c r="I1010" s="145"/>
    </row>
    <row r="1011" spans="1:9" ht="15" customHeight="1">
      <c r="A1011" s="658"/>
      <c r="B1011" s="145"/>
      <c r="C1011" s="145"/>
      <c r="D1011" s="145"/>
      <c r="E1011" s="145"/>
      <c r="F1011" s="145"/>
      <c r="G1011" s="145"/>
      <c r="H1011" s="145"/>
      <c r="I1011" s="145"/>
    </row>
    <row r="1012" spans="1:9" ht="15" customHeight="1">
      <c r="A1012" s="658"/>
      <c r="B1012" s="145"/>
      <c r="C1012" s="145"/>
      <c r="D1012" s="145"/>
      <c r="E1012" s="145"/>
      <c r="F1012" s="145"/>
      <c r="G1012" s="145"/>
      <c r="H1012" s="145"/>
      <c r="I1012" s="145"/>
    </row>
    <row r="1013" spans="1:9" ht="15" customHeight="1">
      <c r="A1013" s="658"/>
      <c r="B1013" s="145"/>
      <c r="C1013" s="145"/>
      <c r="D1013" s="145"/>
      <c r="E1013" s="145"/>
      <c r="F1013" s="145"/>
      <c r="G1013" s="145"/>
      <c r="H1013" s="145"/>
      <c r="I1013" s="145"/>
    </row>
    <row r="1014" spans="1:9" ht="15" customHeight="1">
      <c r="A1014" s="658"/>
      <c r="B1014" s="145"/>
      <c r="C1014" s="145"/>
      <c r="D1014" s="145"/>
      <c r="E1014" s="145"/>
      <c r="F1014" s="145"/>
      <c r="G1014" s="145"/>
      <c r="H1014" s="145"/>
      <c r="I1014" s="145"/>
    </row>
    <row r="1015" spans="1:9" ht="15" customHeight="1">
      <c r="A1015" s="658"/>
      <c r="B1015" s="145"/>
      <c r="C1015" s="145"/>
      <c r="D1015" s="145"/>
      <c r="E1015" s="145"/>
      <c r="F1015" s="145"/>
      <c r="G1015" s="145"/>
      <c r="H1015" s="145"/>
      <c r="I1015" s="145"/>
    </row>
    <row r="1016" spans="1:9" ht="15" customHeight="1">
      <c r="A1016" s="658"/>
      <c r="B1016" s="145"/>
      <c r="C1016" s="145"/>
      <c r="D1016" s="145"/>
      <c r="E1016" s="145"/>
      <c r="F1016" s="145"/>
      <c r="G1016" s="145"/>
      <c r="H1016" s="145"/>
      <c r="I1016" s="145"/>
    </row>
    <row r="1017" spans="1:9" ht="15" customHeight="1">
      <c r="A1017" s="658"/>
      <c r="B1017" s="145"/>
      <c r="C1017" s="145"/>
      <c r="D1017" s="145"/>
      <c r="E1017" s="145"/>
      <c r="F1017" s="145"/>
      <c r="G1017" s="145"/>
      <c r="H1017" s="145"/>
      <c r="I1017" s="145"/>
    </row>
    <row r="1018" spans="1:9" ht="15" customHeight="1">
      <c r="A1018" s="658"/>
      <c r="B1018" s="145"/>
      <c r="C1018" s="145"/>
      <c r="D1018" s="145"/>
      <c r="E1018" s="145"/>
      <c r="F1018" s="145"/>
      <c r="G1018" s="145"/>
      <c r="H1018" s="145"/>
      <c r="I1018" s="145"/>
    </row>
    <row r="1019" spans="1:9" ht="15" customHeight="1">
      <c r="A1019" s="658"/>
      <c r="B1019" s="145"/>
      <c r="C1019" s="145"/>
      <c r="D1019" s="145"/>
      <c r="E1019" s="145"/>
      <c r="F1019" s="145"/>
      <c r="G1019" s="145"/>
      <c r="H1019" s="145"/>
      <c r="I1019" s="145"/>
    </row>
    <row r="1020" spans="1:9" ht="15" customHeight="1">
      <c r="A1020" s="658"/>
      <c r="B1020" s="145"/>
      <c r="C1020" s="145"/>
      <c r="D1020" s="145"/>
      <c r="E1020" s="145"/>
      <c r="F1020" s="145"/>
      <c r="G1020" s="145"/>
      <c r="H1020" s="145"/>
      <c r="I1020" s="145"/>
    </row>
    <row r="1021" spans="1:9" ht="15" customHeight="1">
      <c r="A1021" s="658"/>
      <c r="B1021" s="145"/>
      <c r="C1021" s="145"/>
      <c r="D1021" s="145"/>
      <c r="E1021" s="145"/>
      <c r="F1021" s="145"/>
      <c r="G1021" s="145"/>
      <c r="H1021" s="145"/>
      <c r="I1021" s="145"/>
    </row>
    <row r="1022" spans="1:9" ht="15" customHeight="1">
      <c r="A1022" s="658"/>
      <c r="B1022" s="145"/>
      <c r="C1022" s="145"/>
      <c r="D1022" s="145"/>
      <c r="E1022" s="145"/>
      <c r="F1022" s="145"/>
      <c r="G1022" s="145"/>
      <c r="H1022" s="145"/>
      <c r="I1022" s="145"/>
    </row>
    <row r="1023" spans="1:9" ht="15" customHeight="1">
      <c r="A1023" s="658"/>
      <c r="B1023" s="145"/>
      <c r="C1023" s="145"/>
      <c r="D1023" s="145"/>
      <c r="E1023" s="145"/>
      <c r="F1023" s="145"/>
      <c r="G1023" s="145"/>
      <c r="H1023" s="145"/>
      <c r="I1023" s="145"/>
    </row>
    <row r="1024" spans="1:9" ht="15" customHeight="1">
      <c r="A1024" s="658"/>
      <c r="B1024" s="145"/>
      <c r="C1024" s="145"/>
      <c r="D1024" s="145"/>
      <c r="E1024" s="145"/>
      <c r="F1024" s="145"/>
      <c r="G1024" s="145"/>
      <c r="H1024" s="145"/>
      <c r="I1024" s="145"/>
    </row>
    <row r="1025" spans="1:9" ht="15" customHeight="1">
      <c r="A1025" s="658"/>
      <c r="B1025" s="145"/>
      <c r="C1025" s="145"/>
      <c r="D1025" s="145"/>
      <c r="E1025" s="145"/>
      <c r="F1025" s="145"/>
      <c r="G1025" s="145"/>
      <c r="H1025" s="145"/>
      <c r="I1025" s="145"/>
    </row>
    <row r="1026" spans="1:9" ht="15" customHeight="1">
      <c r="A1026" s="658"/>
      <c r="B1026" s="145"/>
      <c r="C1026" s="145"/>
      <c r="D1026" s="145"/>
      <c r="E1026" s="145"/>
      <c r="F1026" s="145"/>
      <c r="G1026" s="145"/>
      <c r="H1026" s="145"/>
      <c r="I1026" s="145"/>
    </row>
    <row r="1027" spans="1:9" ht="15" customHeight="1">
      <c r="A1027" s="658"/>
      <c r="B1027" s="145"/>
      <c r="C1027" s="145"/>
      <c r="D1027" s="145"/>
      <c r="E1027" s="145"/>
      <c r="F1027" s="145"/>
      <c r="G1027" s="145"/>
      <c r="H1027" s="145"/>
      <c r="I1027" s="145"/>
    </row>
    <row r="1028" spans="1:9" ht="15" customHeight="1">
      <c r="A1028" s="658"/>
      <c r="B1028" s="145"/>
      <c r="C1028" s="145"/>
      <c r="D1028" s="145"/>
      <c r="E1028" s="145"/>
      <c r="F1028" s="145"/>
      <c r="G1028" s="145"/>
      <c r="H1028" s="145"/>
      <c r="I1028" s="145"/>
    </row>
    <row r="1029" spans="1:9" ht="15" customHeight="1">
      <c r="A1029" s="658"/>
      <c r="B1029" s="145"/>
      <c r="C1029" s="145"/>
      <c r="D1029" s="145"/>
      <c r="E1029" s="145"/>
      <c r="F1029" s="145"/>
      <c r="G1029" s="145"/>
      <c r="H1029" s="145"/>
      <c r="I1029" s="145"/>
    </row>
    <row r="1030" spans="1:9" ht="15" customHeight="1">
      <c r="A1030" s="658"/>
      <c r="B1030" s="145"/>
      <c r="C1030" s="145"/>
      <c r="D1030" s="145"/>
      <c r="E1030" s="145"/>
      <c r="F1030" s="145"/>
      <c r="G1030" s="145"/>
      <c r="H1030" s="145"/>
      <c r="I1030" s="145"/>
    </row>
    <row r="1031" spans="1:9" ht="15" customHeight="1">
      <c r="A1031" s="658"/>
      <c r="B1031" s="145"/>
      <c r="C1031" s="145"/>
      <c r="D1031" s="145"/>
      <c r="E1031" s="145"/>
      <c r="F1031" s="145"/>
      <c r="G1031" s="145"/>
      <c r="H1031" s="145"/>
      <c r="I1031" s="145"/>
    </row>
    <row r="1032" spans="1:9" ht="15" customHeight="1">
      <c r="A1032" s="658"/>
      <c r="B1032" s="145"/>
      <c r="C1032" s="145"/>
      <c r="D1032" s="145"/>
      <c r="E1032" s="145"/>
      <c r="F1032" s="145"/>
      <c r="G1032" s="145"/>
      <c r="H1032" s="145"/>
      <c r="I1032" s="145"/>
    </row>
    <row r="1033" spans="1:9" ht="15" customHeight="1">
      <c r="A1033" s="658"/>
      <c r="B1033" s="145"/>
      <c r="C1033" s="145"/>
      <c r="D1033" s="145"/>
      <c r="E1033" s="145"/>
      <c r="F1033" s="145"/>
      <c r="G1033" s="145"/>
      <c r="H1033" s="145"/>
      <c r="I1033" s="145"/>
    </row>
    <row r="1034" spans="1:9" ht="15" customHeight="1">
      <c r="A1034" s="658"/>
      <c r="B1034" s="145"/>
      <c r="C1034" s="145"/>
      <c r="D1034" s="145"/>
      <c r="E1034" s="145"/>
      <c r="F1034" s="145"/>
      <c r="G1034" s="145"/>
      <c r="H1034" s="145"/>
      <c r="I1034" s="145"/>
    </row>
    <row r="1035" spans="1:9" ht="15" customHeight="1">
      <c r="A1035" s="658"/>
      <c r="B1035" s="145"/>
      <c r="C1035" s="145"/>
      <c r="D1035" s="145"/>
      <c r="E1035" s="145"/>
      <c r="F1035" s="145"/>
      <c r="G1035" s="145"/>
      <c r="H1035" s="145"/>
      <c r="I1035" s="145"/>
    </row>
    <row r="1036" spans="1:9" ht="15" customHeight="1">
      <c r="A1036" s="658"/>
      <c r="B1036" s="145"/>
      <c r="C1036" s="145"/>
      <c r="D1036" s="145"/>
      <c r="E1036" s="145"/>
      <c r="F1036" s="145"/>
      <c r="G1036" s="145"/>
      <c r="H1036" s="145"/>
      <c r="I1036" s="145"/>
    </row>
    <row r="1037" spans="1:9" ht="15" customHeight="1">
      <c r="A1037" s="658"/>
      <c r="B1037" s="145"/>
      <c r="C1037" s="145"/>
      <c r="D1037" s="145"/>
      <c r="E1037" s="145"/>
      <c r="F1037" s="145"/>
      <c r="G1037" s="145"/>
      <c r="H1037" s="145"/>
      <c r="I1037" s="145"/>
    </row>
    <row r="1038" spans="1:9" ht="15" customHeight="1">
      <c r="A1038" s="658"/>
      <c r="B1038" s="145"/>
      <c r="C1038" s="145"/>
      <c r="D1038" s="145"/>
      <c r="E1038" s="145"/>
      <c r="F1038" s="145"/>
      <c r="G1038" s="145"/>
      <c r="H1038" s="145"/>
      <c r="I1038" s="145"/>
    </row>
    <row r="1039" spans="1:9" ht="15" customHeight="1">
      <c r="A1039" s="658"/>
      <c r="B1039" s="145"/>
      <c r="C1039" s="145"/>
      <c r="D1039" s="145"/>
      <c r="E1039" s="145"/>
      <c r="F1039" s="145"/>
      <c r="G1039" s="145"/>
      <c r="H1039" s="145"/>
      <c r="I1039" s="145"/>
    </row>
    <row r="1040" spans="1:9" ht="15" customHeight="1">
      <c r="A1040" s="658"/>
      <c r="B1040" s="145"/>
      <c r="C1040" s="145"/>
      <c r="D1040" s="145"/>
      <c r="E1040" s="145"/>
      <c r="F1040" s="145"/>
      <c r="G1040" s="145"/>
      <c r="H1040" s="145"/>
      <c r="I1040" s="145"/>
    </row>
    <row r="1041" spans="1:9" ht="15" customHeight="1">
      <c r="A1041" s="658"/>
      <c r="B1041" s="145"/>
      <c r="C1041" s="145"/>
      <c r="D1041" s="145"/>
      <c r="E1041" s="145"/>
      <c r="F1041" s="145"/>
      <c r="G1041" s="145"/>
      <c r="H1041" s="145"/>
      <c r="I1041" s="145"/>
    </row>
    <row r="1042" spans="1:9" ht="15" customHeight="1">
      <c r="A1042" s="658"/>
      <c r="B1042" s="145"/>
      <c r="C1042" s="145"/>
      <c r="D1042" s="145"/>
      <c r="E1042" s="145"/>
      <c r="F1042" s="145"/>
      <c r="G1042" s="145"/>
      <c r="H1042" s="145"/>
      <c r="I1042" s="145"/>
    </row>
    <row r="1043" spans="1:9" ht="15" customHeight="1">
      <c r="A1043" s="658"/>
      <c r="B1043" s="145"/>
      <c r="C1043" s="145"/>
      <c r="D1043" s="145"/>
      <c r="E1043" s="145"/>
      <c r="F1043" s="145"/>
      <c r="G1043" s="145"/>
      <c r="H1043" s="145"/>
      <c r="I1043" s="145"/>
    </row>
    <row r="1044" spans="1:9" ht="15" customHeight="1">
      <c r="A1044" s="658"/>
      <c r="B1044" s="145"/>
      <c r="C1044" s="145"/>
      <c r="D1044" s="145"/>
      <c r="E1044" s="145"/>
      <c r="F1044" s="145"/>
      <c r="G1044" s="145"/>
      <c r="H1044" s="145"/>
      <c r="I1044" s="145"/>
    </row>
    <row r="1045" spans="1:9" ht="15" customHeight="1">
      <c r="A1045" s="658"/>
      <c r="B1045" s="145"/>
      <c r="C1045" s="145"/>
      <c r="D1045" s="145"/>
      <c r="E1045" s="145"/>
      <c r="F1045" s="145"/>
      <c r="G1045" s="145"/>
      <c r="H1045" s="145"/>
      <c r="I1045" s="145"/>
    </row>
    <row r="1046" spans="1:9" ht="15" customHeight="1">
      <c r="A1046" s="658"/>
      <c r="B1046" s="145"/>
      <c r="C1046" s="145"/>
      <c r="D1046" s="145"/>
      <c r="E1046" s="145"/>
      <c r="F1046" s="145"/>
      <c r="G1046" s="145"/>
      <c r="H1046" s="145"/>
      <c r="I1046" s="145"/>
    </row>
    <row r="1047" spans="1:9" ht="15" customHeight="1">
      <c r="A1047" s="658"/>
      <c r="B1047" s="145"/>
      <c r="C1047" s="145"/>
      <c r="D1047" s="145"/>
      <c r="E1047" s="145"/>
      <c r="F1047" s="145"/>
      <c r="G1047" s="145"/>
      <c r="H1047" s="145"/>
      <c r="I1047" s="145"/>
    </row>
    <row r="1048" spans="1:9" ht="15" customHeight="1">
      <c r="A1048" s="658"/>
      <c r="B1048" s="145"/>
      <c r="C1048" s="145"/>
      <c r="D1048" s="145"/>
      <c r="E1048" s="145"/>
      <c r="F1048" s="145"/>
      <c r="G1048" s="145"/>
      <c r="H1048" s="145"/>
      <c r="I1048" s="145"/>
    </row>
    <row r="1049" spans="1:9" ht="15" customHeight="1">
      <c r="A1049" s="658"/>
      <c r="B1049" s="145"/>
      <c r="C1049" s="145"/>
      <c r="D1049" s="145"/>
      <c r="E1049" s="145"/>
      <c r="F1049" s="145"/>
      <c r="G1049" s="145"/>
      <c r="H1049" s="145"/>
      <c r="I1049" s="145"/>
    </row>
    <row r="1050" spans="1:9" ht="15" customHeight="1">
      <c r="A1050" s="658"/>
      <c r="B1050" s="145"/>
      <c r="C1050" s="145"/>
      <c r="D1050" s="145"/>
      <c r="E1050" s="145"/>
      <c r="F1050" s="145"/>
      <c r="G1050" s="145"/>
      <c r="H1050" s="145"/>
      <c r="I1050" s="145"/>
    </row>
    <row r="1051" spans="1:9" ht="15" customHeight="1">
      <c r="A1051" s="658"/>
      <c r="B1051" s="145"/>
      <c r="C1051" s="145"/>
      <c r="D1051" s="145"/>
      <c r="E1051" s="145"/>
      <c r="F1051" s="145"/>
      <c r="G1051" s="145"/>
      <c r="H1051" s="145"/>
      <c r="I1051" s="145"/>
    </row>
    <row r="1052" spans="1:9" ht="15" customHeight="1">
      <c r="A1052" s="658"/>
      <c r="B1052" s="145"/>
      <c r="C1052" s="145"/>
      <c r="D1052" s="145"/>
      <c r="E1052" s="145"/>
      <c r="F1052" s="145"/>
      <c r="G1052" s="145"/>
      <c r="H1052" s="145"/>
      <c r="I1052" s="145"/>
    </row>
    <row r="1053" spans="1:9" ht="15" customHeight="1">
      <c r="A1053" s="658"/>
      <c r="B1053" s="145"/>
      <c r="C1053" s="145"/>
      <c r="D1053" s="145"/>
      <c r="E1053" s="145"/>
      <c r="F1053" s="145"/>
      <c r="G1053" s="145"/>
      <c r="H1053" s="145"/>
      <c r="I1053" s="145"/>
    </row>
    <row r="1054" spans="1:9" ht="15" customHeight="1">
      <c r="A1054" s="658"/>
      <c r="B1054" s="145"/>
      <c r="C1054" s="145"/>
      <c r="D1054" s="145"/>
      <c r="E1054" s="145"/>
      <c r="F1054" s="145"/>
      <c r="G1054" s="145"/>
      <c r="H1054" s="145"/>
      <c r="I1054" s="145"/>
    </row>
    <row r="1055" spans="1:9" ht="15" customHeight="1">
      <c r="A1055" s="658"/>
      <c r="B1055" s="145"/>
      <c r="C1055" s="145"/>
      <c r="D1055" s="145"/>
      <c r="E1055" s="145"/>
      <c r="F1055" s="145"/>
      <c r="G1055" s="145"/>
      <c r="H1055" s="145"/>
      <c r="I1055" s="145"/>
    </row>
    <row r="1056" spans="1:9" ht="15" customHeight="1">
      <c r="A1056" s="658"/>
      <c r="B1056" s="145"/>
      <c r="C1056" s="145"/>
      <c r="D1056" s="145"/>
      <c r="E1056" s="145"/>
      <c r="F1056" s="145"/>
      <c r="G1056" s="145"/>
      <c r="H1056" s="145"/>
      <c r="I1056" s="145"/>
    </row>
    <row r="1057" spans="1:9" ht="15" customHeight="1">
      <c r="A1057" s="658"/>
      <c r="B1057" s="145"/>
      <c r="C1057" s="145"/>
      <c r="D1057" s="145"/>
      <c r="E1057" s="145"/>
      <c r="F1057" s="145"/>
      <c r="G1057" s="145"/>
      <c r="H1057" s="145"/>
      <c r="I1057" s="145"/>
    </row>
    <row r="1058" spans="1:9" ht="15" customHeight="1">
      <c r="A1058" s="658"/>
      <c r="B1058" s="145"/>
      <c r="C1058" s="145"/>
      <c r="D1058" s="145"/>
      <c r="E1058" s="145"/>
      <c r="F1058" s="145"/>
      <c r="G1058" s="145"/>
      <c r="H1058" s="145"/>
      <c r="I1058" s="145"/>
    </row>
    <row r="1059" spans="1:9" ht="15" customHeight="1">
      <c r="A1059" s="658"/>
      <c r="B1059" s="145"/>
      <c r="C1059" s="145"/>
      <c r="D1059" s="145"/>
      <c r="E1059" s="145"/>
      <c r="F1059" s="145"/>
      <c r="G1059" s="145"/>
      <c r="H1059" s="145"/>
      <c r="I1059" s="145"/>
    </row>
    <row r="1060" spans="1:9" ht="15" customHeight="1">
      <c r="A1060" s="658"/>
      <c r="B1060" s="145"/>
      <c r="C1060" s="145"/>
      <c r="D1060" s="145"/>
      <c r="E1060" s="145"/>
      <c r="F1060" s="145"/>
      <c r="G1060" s="145"/>
      <c r="H1060" s="145"/>
      <c r="I1060" s="145"/>
    </row>
    <row r="1061" spans="1:9" ht="15" customHeight="1">
      <c r="A1061" s="658"/>
      <c r="B1061" s="145"/>
      <c r="C1061" s="145"/>
      <c r="D1061" s="145"/>
      <c r="E1061" s="145"/>
      <c r="F1061" s="145"/>
      <c r="G1061" s="145"/>
      <c r="H1061" s="145"/>
      <c r="I1061" s="145"/>
    </row>
    <row r="1062" spans="1:9" ht="15" customHeight="1">
      <c r="A1062" s="658"/>
      <c r="B1062" s="145"/>
      <c r="C1062" s="145"/>
      <c r="D1062" s="145"/>
      <c r="E1062" s="145"/>
      <c r="F1062" s="145"/>
      <c r="G1062" s="145"/>
      <c r="H1062" s="145"/>
      <c r="I1062" s="145"/>
    </row>
    <row r="1063" spans="1:9" ht="15" customHeight="1">
      <c r="A1063" s="658"/>
      <c r="B1063" s="145"/>
      <c r="C1063" s="145"/>
      <c r="D1063" s="145"/>
      <c r="E1063" s="145"/>
      <c r="F1063" s="145"/>
      <c r="G1063" s="145"/>
      <c r="H1063" s="145"/>
      <c r="I1063" s="145"/>
    </row>
    <row r="1064" spans="1:9" ht="15" customHeight="1">
      <c r="A1064" s="658"/>
      <c r="B1064" s="145"/>
      <c r="C1064" s="145"/>
      <c r="D1064" s="145"/>
      <c r="E1064" s="145"/>
      <c r="F1064" s="145"/>
      <c r="G1064" s="145"/>
      <c r="H1064" s="145"/>
      <c r="I1064" s="145"/>
    </row>
    <row r="1065" spans="1:9" ht="15" customHeight="1">
      <c r="A1065" s="658"/>
      <c r="B1065" s="145"/>
      <c r="C1065" s="145"/>
      <c r="D1065" s="145"/>
      <c r="E1065" s="145"/>
      <c r="F1065" s="145"/>
      <c r="G1065" s="145"/>
      <c r="H1065" s="145"/>
      <c r="I1065" s="145"/>
    </row>
    <row r="1066" spans="1:9" ht="15" customHeight="1">
      <c r="A1066" s="658"/>
      <c r="B1066" s="145"/>
      <c r="C1066" s="145"/>
      <c r="D1066" s="145"/>
      <c r="E1066" s="145"/>
      <c r="F1066" s="145"/>
      <c r="G1066" s="145"/>
      <c r="H1066" s="145"/>
      <c r="I1066" s="145"/>
    </row>
    <row r="1067" spans="1:9" ht="15" customHeight="1">
      <c r="A1067" s="658"/>
      <c r="B1067" s="145"/>
      <c r="C1067" s="145"/>
      <c r="D1067" s="145"/>
      <c r="E1067" s="145"/>
      <c r="F1067" s="145"/>
      <c r="G1067" s="145"/>
      <c r="H1067" s="145"/>
      <c r="I1067" s="145"/>
    </row>
    <row r="1068" spans="1:9" ht="15" customHeight="1">
      <c r="A1068" s="658"/>
      <c r="B1068" s="145"/>
      <c r="C1068" s="145"/>
      <c r="D1068" s="145"/>
      <c r="E1068" s="145"/>
      <c r="F1068" s="145"/>
      <c r="G1068" s="145"/>
      <c r="H1068" s="145"/>
      <c r="I1068" s="145"/>
    </row>
    <row r="1069" spans="1:9" ht="15" customHeight="1">
      <c r="A1069" s="658"/>
      <c r="B1069" s="145"/>
      <c r="C1069" s="145"/>
      <c r="D1069" s="145"/>
      <c r="E1069" s="145"/>
      <c r="F1069" s="145"/>
      <c r="G1069" s="145"/>
      <c r="H1069" s="145"/>
      <c r="I1069" s="145"/>
    </row>
    <row r="1070" spans="1:9" ht="15" customHeight="1">
      <c r="A1070" s="658"/>
      <c r="B1070" s="145"/>
      <c r="C1070" s="145"/>
      <c r="D1070" s="145"/>
      <c r="E1070" s="145"/>
      <c r="F1070" s="145"/>
      <c r="G1070" s="145"/>
      <c r="H1070" s="145"/>
      <c r="I1070" s="145"/>
    </row>
    <row r="1071" spans="1:9" ht="15" customHeight="1">
      <c r="A1071" s="658"/>
      <c r="B1071" s="145"/>
      <c r="C1071" s="145"/>
      <c r="D1071" s="145"/>
      <c r="E1071" s="145"/>
      <c r="F1071" s="145"/>
      <c r="G1071" s="145"/>
      <c r="H1071" s="145"/>
      <c r="I1071" s="145"/>
    </row>
    <row r="1072" spans="1:9" ht="15" customHeight="1">
      <c r="A1072" s="658"/>
      <c r="B1072" s="145"/>
      <c r="C1072" s="145"/>
      <c r="D1072" s="145"/>
      <c r="E1072" s="145"/>
      <c r="F1072" s="145"/>
      <c r="G1072" s="145"/>
      <c r="H1072" s="145"/>
      <c r="I1072" s="145"/>
    </row>
    <row r="1073" spans="1:9" ht="15" customHeight="1">
      <c r="A1073" s="658"/>
      <c r="B1073" s="145"/>
      <c r="C1073" s="145"/>
      <c r="D1073" s="145"/>
      <c r="E1073" s="145"/>
      <c r="F1073" s="145"/>
      <c r="G1073" s="145"/>
      <c r="H1073" s="145"/>
      <c r="I1073" s="145"/>
    </row>
    <row r="1074" spans="1:9" ht="15" customHeight="1">
      <c r="A1074" s="658"/>
      <c r="B1074" s="145"/>
      <c r="C1074" s="145"/>
      <c r="D1074" s="145"/>
      <c r="E1074" s="145"/>
      <c r="F1074" s="145"/>
      <c r="G1074" s="145"/>
      <c r="H1074" s="145"/>
      <c r="I1074" s="145"/>
    </row>
    <row r="1075" spans="1:9" ht="15" customHeight="1">
      <c r="A1075" s="658"/>
      <c r="B1075" s="145"/>
      <c r="C1075" s="145"/>
      <c r="D1075" s="145"/>
      <c r="E1075" s="145"/>
      <c r="F1075" s="145"/>
      <c r="G1075" s="145"/>
      <c r="H1075" s="145"/>
      <c r="I1075" s="145"/>
    </row>
    <row r="1076" spans="1:9" ht="15" customHeight="1">
      <c r="A1076" s="658"/>
      <c r="B1076" s="145"/>
      <c r="C1076" s="145"/>
      <c r="D1076" s="145"/>
      <c r="E1076" s="145"/>
      <c r="F1076" s="145"/>
      <c r="G1076" s="145"/>
      <c r="H1076" s="145"/>
      <c r="I1076" s="145"/>
    </row>
    <row r="1077" spans="1:9" ht="15" customHeight="1">
      <c r="A1077" s="658"/>
      <c r="B1077" s="145"/>
      <c r="C1077" s="145"/>
      <c r="D1077" s="145"/>
      <c r="E1077" s="145"/>
      <c r="F1077" s="145"/>
      <c r="G1077" s="145"/>
      <c r="H1077" s="145"/>
      <c r="I1077" s="145"/>
    </row>
    <row r="1078" spans="1:9" ht="15" customHeight="1">
      <c r="A1078" s="658"/>
      <c r="B1078" s="145"/>
      <c r="C1078" s="145"/>
      <c r="D1078" s="145"/>
      <c r="E1078" s="145"/>
      <c r="F1078" s="145"/>
      <c r="G1078" s="145"/>
      <c r="H1078" s="145"/>
      <c r="I1078" s="145"/>
    </row>
    <row r="1079" spans="1:9" ht="15" customHeight="1">
      <c r="A1079" s="658"/>
      <c r="B1079" s="145"/>
      <c r="C1079" s="145"/>
      <c r="D1079" s="145"/>
      <c r="E1079" s="145"/>
      <c r="F1079" s="145"/>
      <c r="G1079" s="145"/>
      <c r="H1079" s="145"/>
      <c r="I1079" s="145"/>
    </row>
    <row r="1080" spans="1:9" ht="15" customHeight="1">
      <c r="A1080" s="658"/>
      <c r="B1080" s="145"/>
      <c r="C1080" s="145"/>
      <c r="D1080" s="145"/>
      <c r="E1080" s="145"/>
      <c r="F1080" s="145"/>
      <c r="G1080" s="145"/>
      <c r="H1080" s="145"/>
      <c r="I1080" s="145"/>
    </row>
    <row r="1081" spans="1:9" ht="15" customHeight="1">
      <c r="A1081" s="658"/>
      <c r="B1081" s="145"/>
      <c r="C1081" s="145"/>
      <c r="D1081" s="145"/>
      <c r="E1081" s="145"/>
      <c r="F1081" s="145"/>
      <c r="G1081" s="145"/>
      <c r="H1081" s="145"/>
      <c r="I1081" s="145"/>
    </row>
    <row r="1082" spans="1:9" ht="15" customHeight="1">
      <c r="A1082" s="658"/>
      <c r="B1082" s="145"/>
      <c r="C1082" s="145"/>
      <c r="D1082" s="145"/>
      <c r="E1082" s="145"/>
      <c r="F1082" s="145"/>
      <c r="G1082" s="145"/>
      <c r="H1082" s="145"/>
      <c r="I1082" s="145"/>
    </row>
    <row r="1083" spans="1:9" ht="15" customHeight="1">
      <c r="A1083" s="658"/>
      <c r="B1083" s="145"/>
      <c r="C1083" s="145"/>
      <c r="D1083" s="145"/>
      <c r="E1083" s="145"/>
      <c r="F1083" s="145"/>
      <c r="G1083" s="145"/>
      <c r="H1083" s="145"/>
      <c r="I1083" s="145"/>
    </row>
    <row r="1084" spans="1:9" ht="15" customHeight="1">
      <c r="A1084" s="658"/>
      <c r="B1084" s="145"/>
      <c r="C1084" s="145"/>
      <c r="D1084" s="145"/>
      <c r="E1084" s="145"/>
      <c r="F1084" s="145"/>
      <c r="G1084" s="145"/>
      <c r="H1084" s="145"/>
      <c r="I1084" s="145"/>
    </row>
    <row r="1085" spans="1:9" ht="15" customHeight="1">
      <c r="A1085" s="658"/>
      <c r="B1085" s="145"/>
      <c r="C1085" s="145"/>
      <c r="D1085" s="145"/>
      <c r="E1085" s="145"/>
      <c r="F1085" s="145"/>
      <c r="G1085" s="145"/>
      <c r="H1085" s="145"/>
      <c r="I1085" s="145"/>
    </row>
    <row r="1086" spans="1:9" ht="15" customHeight="1">
      <c r="A1086" s="658"/>
      <c r="B1086" s="145"/>
      <c r="C1086" s="145"/>
      <c r="D1086" s="145"/>
      <c r="E1086" s="145"/>
      <c r="F1086" s="145"/>
      <c r="G1086" s="145"/>
      <c r="H1086" s="145"/>
      <c r="I1086" s="145"/>
    </row>
    <row r="1087" spans="1:9" ht="15" customHeight="1">
      <c r="A1087" s="658"/>
      <c r="B1087" s="145"/>
      <c r="C1087" s="145"/>
      <c r="D1087" s="145"/>
      <c r="E1087" s="145"/>
      <c r="F1087" s="145"/>
      <c r="G1087" s="145"/>
      <c r="H1087" s="145"/>
      <c r="I1087" s="145"/>
    </row>
    <row r="1088" spans="1:9" ht="15" customHeight="1">
      <c r="A1088" s="658"/>
      <c r="B1088" s="145"/>
      <c r="C1088" s="145"/>
      <c r="D1088" s="145"/>
      <c r="E1088" s="145"/>
      <c r="F1088" s="145"/>
      <c r="G1088" s="145"/>
      <c r="H1088" s="145"/>
      <c r="I1088" s="145"/>
    </row>
    <row r="1089" spans="1:9" ht="15" customHeight="1">
      <c r="A1089" s="658"/>
      <c r="B1089" s="145"/>
      <c r="C1089" s="145"/>
      <c r="D1089" s="145"/>
      <c r="E1089" s="145"/>
      <c r="F1089" s="145"/>
      <c r="G1089" s="145"/>
      <c r="H1089" s="145"/>
      <c r="I1089" s="145"/>
    </row>
    <row r="1090" spans="1:9" ht="15" customHeight="1">
      <c r="A1090" s="658"/>
      <c r="B1090" s="145"/>
      <c r="C1090" s="145"/>
      <c r="D1090" s="145"/>
      <c r="E1090" s="145"/>
      <c r="F1090" s="145"/>
      <c r="G1090" s="145"/>
      <c r="H1090" s="145"/>
      <c r="I1090" s="145"/>
    </row>
    <row r="1091" spans="1:9" ht="15" customHeight="1">
      <c r="A1091" s="658"/>
      <c r="B1091" s="145"/>
      <c r="C1091" s="145"/>
      <c r="D1091" s="145"/>
      <c r="E1091" s="145"/>
      <c r="F1091" s="145"/>
      <c r="G1091" s="145"/>
      <c r="H1091" s="145"/>
      <c r="I1091" s="145"/>
    </row>
    <row r="1092" spans="1:9" ht="15" customHeight="1">
      <c r="A1092" s="658"/>
      <c r="B1092" s="145"/>
      <c r="C1092" s="145"/>
      <c r="D1092" s="145"/>
      <c r="E1092" s="145"/>
      <c r="F1092" s="145"/>
      <c r="G1092" s="145"/>
      <c r="H1092" s="145"/>
      <c r="I1092" s="145"/>
    </row>
    <row r="1093" spans="1:9" ht="15" customHeight="1">
      <c r="A1093" s="658"/>
      <c r="B1093" s="145"/>
      <c r="C1093" s="145"/>
      <c r="D1093" s="145"/>
      <c r="E1093" s="145"/>
      <c r="F1093" s="145"/>
      <c r="G1093" s="145"/>
      <c r="H1093" s="145"/>
      <c r="I1093" s="145"/>
    </row>
    <row r="1094" spans="1:9" ht="15" customHeight="1">
      <c r="A1094" s="658"/>
      <c r="B1094" s="145"/>
      <c r="C1094" s="145"/>
      <c r="D1094" s="145"/>
      <c r="E1094" s="145"/>
      <c r="F1094" s="145"/>
      <c r="G1094" s="145"/>
      <c r="H1094" s="145"/>
      <c r="I1094" s="145"/>
    </row>
    <row r="1095" spans="1:9" ht="15" customHeight="1">
      <c r="A1095" s="658"/>
      <c r="B1095" s="145"/>
      <c r="C1095" s="145"/>
      <c r="D1095" s="145"/>
      <c r="E1095" s="145"/>
      <c r="F1095" s="145"/>
      <c r="G1095" s="145"/>
      <c r="H1095" s="145"/>
      <c r="I1095" s="145"/>
    </row>
    <row r="1096" spans="1:9" ht="15" customHeight="1">
      <c r="A1096" s="658"/>
      <c r="B1096" s="145"/>
      <c r="C1096" s="145"/>
      <c r="D1096" s="145"/>
      <c r="E1096" s="145"/>
      <c r="F1096" s="145"/>
      <c r="G1096" s="145"/>
      <c r="H1096" s="145"/>
      <c r="I1096" s="145"/>
    </row>
    <row r="1097" spans="1:9" ht="15" customHeight="1">
      <c r="A1097" s="658"/>
      <c r="B1097" s="145"/>
      <c r="C1097" s="145"/>
      <c r="D1097" s="145"/>
      <c r="E1097" s="145"/>
      <c r="F1097" s="145"/>
      <c r="G1097" s="145"/>
      <c r="H1097" s="145"/>
      <c r="I1097" s="145"/>
    </row>
    <row r="1098" spans="1:9" ht="15" customHeight="1">
      <c r="A1098" s="658"/>
      <c r="B1098" s="145"/>
      <c r="C1098" s="145"/>
      <c r="D1098" s="145"/>
      <c r="E1098" s="145"/>
      <c r="F1098" s="145"/>
      <c r="G1098" s="145"/>
      <c r="H1098" s="145"/>
      <c r="I1098" s="145"/>
    </row>
    <row r="1099" spans="1:9" ht="15" customHeight="1">
      <c r="A1099" s="658"/>
      <c r="B1099" s="145"/>
      <c r="C1099" s="145"/>
      <c r="D1099" s="145"/>
      <c r="E1099" s="145"/>
      <c r="F1099" s="145"/>
      <c r="G1099" s="145"/>
      <c r="H1099" s="145"/>
      <c r="I1099" s="145"/>
    </row>
    <row r="1100" spans="1:9" ht="15" customHeight="1">
      <c r="A1100" s="658"/>
      <c r="B1100" s="145"/>
      <c r="C1100" s="145"/>
      <c r="D1100" s="145"/>
      <c r="E1100" s="145"/>
      <c r="F1100" s="145"/>
      <c r="G1100" s="145"/>
      <c r="H1100" s="145"/>
      <c r="I1100" s="145"/>
    </row>
    <row r="1101" spans="1:9" ht="15" customHeight="1">
      <c r="A1101" s="658"/>
      <c r="B1101" s="145"/>
      <c r="C1101" s="145"/>
      <c r="D1101" s="145"/>
      <c r="E1101" s="145"/>
      <c r="F1101" s="145"/>
      <c r="G1101" s="145"/>
      <c r="H1101" s="145"/>
      <c r="I1101" s="145"/>
    </row>
    <row r="1102" spans="1:9" ht="15" customHeight="1">
      <c r="A1102" s="658"/>
      <c r="B1102" s="145"/>
      <c r="C1102" s="145"/>
      <c r="D1102" s="145"/>
      <c r="E1102" s="145"/>
      <c r="F1102" s="145"/>
      <c r="G1102" s="145"/>
      <c r="H1102" s="145"/>
      <c r="I1102" s="145"/>
    </row>
    <row r="1103" spans="1:9" ht="15" customHeight="1">
      <c r="A1103" s="658"/>
      <c r="B1103" s="145"/>
      <c r="C1103" s="145"/>
      <c r="D1103" s="145"/>
      <c r="E1103" s="145"/>
      <c r="F1103" s="145"/>
      <c r="G1103" s="145"/>
      <c r="H1103" s="145"/>
      <c r="I1103" s="145"/>
    </row>
    <row r="1104" spans="1:9" ht="15" customHeight="1">
      <c r="A1104" s="658"/>
      <c r="B1104" s="145"/>
      <c r="C1104" s="145"/>
      <c r="D1104" s="145"/>
      <c r="E1104" s="145"/>
      <c r="F1104" s="145"/>
      <c r="G1104" s="145"/>
      <c r="H1104" s="145"/>
      <c r="I1104" s="145"/>
    </row>
    <row r="1105" spans="1:9" ht="15" customHeight="1">
      <c r="A1105" s="658"/>
      <c r="B1105" s="145"/>
      <c r="C1105" s="145"/>
      <c r="D1105" s="145"/>
      <c r="E1105" s="145"/>
      <c r="F1105" s="145"/>
      <c r="G1105" s="145"/>
      <c r="H1105" s="145"/>
      <c r="I1105" s="145"/>
    </row>
    <row r="1106" spans="1:9" ht="15" customHeight="1">
      <c r="A1106" s="658"/>
      <c r="B1106" s="145"/>
      <c r="C1106" s="145"/>
      <c r="D1106" s="145"/>
      <c r="E1106" s="145"/>
      <c r="F1106" s="145"/>
      <c r="G1106" s="145"/>
      <c r="H1106" s="145"/>
      <c r="I1106" s="145"/>
    </row>
    <row r="1107" spans="1:9" ht="15" customHeight="1">
      <c r="A1107" s="658"/>
      <c r="B1107" s="145"/>
      <c r="C1107" s="145"/>
      <c r="D1107" s="145"/>
      <c r="E1107" s="145"/>
      <c r="F1107" s="145"/>
      <c r="G1107" s="145"/>
      <c r="H1107" s="145"/>
      <c r="I1107" s="145"/>
    </row>
    <row r="1108" spans="1:9" ht="15" customHeight="1">
      <c r="A1108" s="658"/>
      <c r="B1108" s="145"/>
      <c r="C1108" s="145"/>
      <c r="D1108" s="145"/>
      <c r="E1108" s="145"/>
      <c r="F1108" s="145"/>
      <c r="G1108" s="145"/>
      <c r="H1108" s="145"/>
      <c r="I1108" s="145"/>
    </row>
    <row r="1109" spans="1:9" ht="15" customHeight="1">
      <c r="A1109" s="658"/>
      <c r="B1109" s="145"/>
      <c r="C1109" s="145"/>
      <c r="D1109" s="145"/>
      <c r="E1109" s="145"/>
      <c r="F1109" s="145"/>
      <c r="G1109" s="145"/>
      <c r="H1109" s="145"/>
      <c r="I1109" s="145"/>
    </row>
    <row r="1110" spans="1:9" ht="15" customHeight="1">
      <c r="A1110" s="658"/>
      <c r="B1110" s="145"/>
      <c r="C1110" s="145"/>
      <c r="D1110" s="145"/>
      <c r="E1110" s="145"/>
      <c r="F1110" s="145"/>
      <c r="G1110" s="145"/>
      <c r="H1110" s="145"/>
      <c r="I1110" s="145"/>
    </row>
    <row r="1111" spans="1:9" ht="15" customHeight="1">
      <c r="A1111" s="658"/>
      <c r="B1111" s="145"/>
      <c r="C1111" s="145"/>
      <c r="D1111" s="145"/>
      <c r="E1111" s="145"/>
      <c r="F1111" s="145"/>
      <c r="G1111" s="145"/>
      <c r="H1111" s="145"/>
      <c r="I1111" s="145"/>
    </row>
    <row r="1112" spans="1:9" ht="15" customHeight="1">
      <c r="A1112" s="658"/>
      <c r="B1112" s="145"/>
      <c r="C1112" s="145"/>
      <c r="D1112" s="145"/>
      <c r="E1112" s="145"/>
      <c r="F1112" s="145"/>
      <c r="G1112" s="145"/>
      <c r="H1112" s="145"/>
      <c r="I1112" s="145"/>
    </row>
    <row r="1113" spans="1:9" ht="15" customHeight="1">
      <c r="A1113" s="658"/>
      <c r="B1113" s="145"/>
      <c r="C1113" s="145"/>
      <c r="D1113" s="145"/>
      <c r="E1113" s="145"/>
      <c r="F1113" s="145"/>
      <c r="G1113" s="145"/>
      <c r="H1113" s="145"/>
      <c r="I1113" s="145"/>
    </row>
    <row r="1114" spans="1:9" ht="15" customHeight="1">
      <c r="A1114" s="658"/>
      <c r="B1114" s="145"/>
      <c r="C1114" s="145"/>
      <c r="D1114" s="145"/>
      <c r="E1114" s="145"/>
      <c r="F1114" s="145"/>
      <c r="G1114" s="145"/>
      <c r="H1114" s="145"/>
      <c r="I1114" s="145"/>
    </row>
    <row r="1115" spans="1:9" ht="15" customHeight="1">
      <c r="A1115" s="658"/>
      <c r="B1115" s="145"/>
      <c r="C1115" s="145"/>
      <c r="D1115" s="145"/>
      <c r="E1115" s="145"/>
      <c r="F1115" s="145"/>
      <c r="G1115" s="145"/>
      <c r="H1115" s="145"/>
      <c r="I1115" s="145"/>
    </row>
    <row r="1116" spans="1:9" ht="15" customHeight="1">
      <c r="A1116" s="658"/>
      <c r="B1116" s="145"/>
      <c r="C1116" s="145"/>
      <c r="D1116" s="145"/>
      <c r="E1116" s="145"/>
      <c r="F1116" s="145"/>
      <c r="G1116" s="145"/>
      <c r="H1116" s="145"/>
      <c r="I1116" s="145"/>
    </row>
    <row r="1117" spans="1:9" ht="15" customHeight="1">
      <c r="A1117" s="658"/>
      <c r="B1117" s="145"/>
      <c r="C1117" s="145"/>
      <c r="D1117" s="145"/>
      <c r="E1117" s="145"/>
      <c r="F1117" s="145"/>
      <c r="G1117" s="145"/>
      <c r="H1117" s="145"/>
      <c r="I1117" s="145"/>
    </row>
    <row r="1118" spans="1:9" ht="15" customHeight="1">
      <c r="A1118" s="658"/>
      <c r="B1118" s="145"/>
      <c r="C1118" s="145"/>
      <c r="D1118" s="145"/>
      <c r="E1118" s="145"/>
      <c r="F1118" s="145"/>
      <c r="G1118" s="145"/>
      <c r="H1118" s="145"/>
      <c r="I1118" s="145"/>
    </row>
    <row r="1119" spans="1:9" ht="15" customHeight="1">
      <c r="A1119" s="658"/>
      <c r="B1119" s="145"/>
      <c r="C1119" s="145"/>
      <c r="D1119" s="145"/>
      <c r="E1119" s="145"/>
      <c r="F1119" s="145"/>
      <c r="G1119" s="145"/>
      <c r="H1119" s="145"/>
      <c r="I1119" s="145"/>
    </row>
    <row r="1120" spans="1:9" ht="15" customHeight="1">
      <c r="A1120" s="658"/>
      <c r="B1120" s="145"/>
      <c r="C1120" s="145"/>
      <c r="D1120" s="145"/>
      <c r="E1120" s="145"/>
      <c r="F1120" s="145"/>
      <c r="G1120" s="145"/>
      <c r="H1120" s="145"/>
      <c r="I1120" s="145"/>
    </row>
    <row r="1121" spans="1:9" ht="15" customHeight="1">
      <c r="A1121" s="658"/>
      <c r="B1121" s="145"/>
      <c r="C1121" s="145"/>
      <c r="D1121" s="145"/>
      <c r="E1121" s="145"/>
      <c r="F1121" s="145"/>
      <c r="G1121" s="145"/>
      <c r="H1121" s="145"/>
      <c r="I1121" s="145"/>
    </row>
    <row r="1122" spans="1:9" ht="15" customHeight="1">
      <c r="A1122" s="658"/>
      <c r="B1122" s="145"/>
      <c r="C1122" s="145"/>
      <c r="D1122" s="145"/>
      <c r="E1122" s="145"/>
      <c r="F1122" s="145"/>
      <c r="G1122" s="145"/>
      <c r="H1122" s="145"/>
      <c r="I1122" s="145"/>
    </row>
    <row r="1123" spans="1:9" ht="15" customHeight="1">
      <c r="A1123" s="658"/>
      <c r="B1123" s="145"/>
      <c r="C1123" s="145"/>
      <c r="D1123" s="145"/>
      <c r="E1123" s="145"/>
      <c r="F1123" s="145"/>
      <c r="G1123" s="145"/>
      <c r="H1123" s="145"/>
      <c r="I1123" s="145"/>
    </row>
    <row r="1124" spans="1:9" ht="15" customHeight="1">
      <c r="A1124" s="658"/>
      <c r="B1124" s="145"/>
      <c r="C1124" s="145"/>
      <c r="D1124" s="145"/>
      <c r="E1124" s="145"/>
      <c r="F1124" s="145"/>
      <c r="G1124" s="145"/>
      <c r="H1124" s="145"/>
      <c r="I1124" s="145"/>
    </row>
    <row r="1125" spans="1:9" ht="15" customHeight="1">
      <c r="A1125" s="658"/>
      <c r="B1125" s="145"/>
      <c r="C1125" s="145"/>
      <c r="D1125" s="145"/>
      <c r="E1125" s="145"/>
      <c r="F1125" s="145"/>
      <c r="G1125" s="145"/>
      <c r="H1125" s="145"/>
      <c r="I1125" s="145"/>
    </row>
    <row r="1126" spans="1:9" ht="15" customHeight="1">
      <c r="A1126" s="658"/>
      <c r="B1126" s="145"/>
      <c r="C1126" s="145"/>
      <c r="D1126" s="145"/>
      <c r="E1126" s="145"/>
      <c r="F1126" s="145"/>
      <c r="G1126" s="145"/>
      <c r="H1126" s="145"/>
      <c r="I1126" s="145"/>
    </row>
    <row r="1127" spans="1:9" ht="15" customHeight="1">
      <c r="A1127" s="658"/>
      <c r="B1127" s="145"/>
      <c r="C1127" s="145"/>
      <c r="D1127" s="145"/>
      <c r="E1127" s="145"/>
      <c r="F1127" s="145"/>
      <c r="G1127" s="145"/>
      <c r="H1127" s="145"/>
      <c r="I1127" s="145"/>
    </row>
    <row r="1128" spans="1:9" ht="15" customHeight="1">
      <c r="A1128" s="658"/>
      <c r="B1128" s="145"/>
      <c r="C1128" s="145"/>
      <c r="D1128" s="145"/>
      <c r="E1128" s="145"/>
      <c r="F1128" s="145"/>
      <c r="G1128" s="145"/>
      <c r="H1128" s="145"/>
      <c r="I1128" s="145"/>
    </row>
    <row r="1129" spans="1:9" ht="15" customHeight="1">
      <c r="A1129" s="658"/>
      <c r="B1129" s="145"/>
      <c r="C1129" s="145"/>
      <c r="D1129" s="145"/>
      <c r="E1129" s="145"/>
      <c r="F1129" s="145"/>
      <c r="G1129" s="145"/>
      <c r="H1129" s="145"/>
      <c r="I1129" s="145"/>
    </row>
    <row r="1130" spans="1:9" ht="15" customHeight="1">
      <c r="A1130" s="658"/>
      <c r="B1130" s="145"/>
      <c r="C1130" s="145"/>
      <c r="D1130" s="145"/>
      <c r="E1130" s="145"/>
      <c r="F1130" s="145"/>
      <c r="G1130" s="145"/>
      <c r="H1130" s="145"/>
      <c r="I1130" s="145"/>
    </row>
    <row r="1131" spans="1:9" ht="15" customHeight="1">
      <c r="A1131" s="658"/>
      <c r="B1131" s="145"/>
      <c r="C1131" s="145"/>
      <c r="D1131" s="145"/>
      <c r="E1131" s="145"/>
      <c r="F1131" s="145"/>
      <c r="G1131" s="145"/>
      <c r="H1131" s="145"/>
      <c r="I1131" s="145"/>
    </row>
    <row r="1132" spans="1:9" ht="15" customHeight="1">
      <c r="A1132" s="658"/>
      <c r="B1132" s="145"/>
      <c r="C1132" s="145"/>
      <c r="D1132" s="145"/>
      <c r="E1132" s="145"/>
      <c r="F1132" s="145"/>
      <c r="G1132" s="145"/>
      <c r="H1132" s="145"/>
      <c r="I1132" s="145"/>
    </row>
    <row r="1133" spans="1:9" ht="15" customHeight="1">
      <c r="A1133" s="658"/>
      <c r="B1133" s="145"/>
      <c r="C1133" s="145"/>
      <c r="D1133" s="145"/>
      <c r="E1133" s="145"/>
      <c r="F1133" s="145"/>
      <c r="G1133" s="145"/>
      <c r="H1133" s="145"/>
      <c r="I1133" s="145"/>
    </row>
    <row r="1134" spans="1:9" ht="15" customHeight="1">
      <c r="A1134" s="658"/>
      <c r="B1134" s="145"/>
      <c r="C1134" s="145"/>
      <c r="D1134" s="145"/>
      <c r="E1134" s="145"/>
      <c r="F1134" s="145"/>
      <c r="G1134" s="145"/>
      <c r="H1134" s="145"/>
      <c r="I1134" s="145"/>
    </row>
    <row r="1135" spans="1:9" ht="15" customHeight="1">
      <c r="A1135" s="658"/>
      <c r="B1135" s="145"/>
      <c r="C1135" s="145"/>
      <c r="D1135" s="145"/>
      <c r="E1135" s="145"/>
      <c r="F1135" s="145"/>
      <c r="G1135" s="145"/>
      <c r="H1135" s="145"/>
      <c r="I1135" s="145"/>
    </row>
    <row r="1136" spans="1:9" ht="15" customHeight="1">
      <c r="A1136" s="658"/>
      <c r="B1136" s="145"/>
      <c r="C1136" s="145"/>
      <c r="D1136" s="145"/>
      <c r="E1136" s="145"/>
      <c r="F1136" s="145"/>
      <c r="G1136" s="145"/>
      <c r="H1136" s="145"/>
      <c r="I1136" s="145"/>
    </row>
    <row r="1137" spans="1:9" ht="15" customHeight="1">
      <c r="A1137" s="658"/>
      <c r="B1137" s="145"/>
      <c r="C1137" s="145"/>
      <c r="D1137" s="145"/>
      <c r="E1137" s="145"/>
      <c r="F1137" s="145"/>
      <c r="G1137" s="145"/>
      <c r="H1137" s="145"/>
      <c r="I1137" s="145"/>
    </row>
    <row r="1138" spans="1:9" ht="15" customHeight="1">
      <c r="A1138" s="658"/>
      <c r="B1138" s="145"/>
      <c r="C1138" s="145"/>
      <c r="D1138" s="145"/>
      <c r="E1138" s="145"/>
      <c r="F1138" s="145"/>
      <c r="G1138" s="145"/>
      <c r="H1138" s="145"/>
      <c r="I1138" s="145"/>
    </row>
    <row r="1139" spans="1:9" ht="15" customHeight="1">
      <c r="A1139" s="658"/>
      <c r="B1139" s="145"/>
      <c r="C1139" s="145"/>
      <c r="D1139" s="145"/>
      <c r="E1139" s="145"/>
      <c r="F1139" s="145"/>
      <c r="G1139" s="145"/>
      <c r="H1139" s="145"/>
      <c r="I1139" s="145"/>
    </row>
    <row r="1140" spans="1:9" ht="15" customHeight="1">
      <c r="A1140" s="658"/>
      <c r="B1140" s="145"/>
      <c r="C1140" s="145"/>
      <c r="D1140" s="145"/>
      <c r="E1140" s="145"/>
      <c r="F1140" s="145"/>
      <c r="G1140" s="145"/>
      <c r="H1140" s="145"/>
      <c r="I1140" s="145"/>
    </row>
    <row r="1141" spans="1:9" ht="15" customHeight="1">
      <c r="A1141" s="658"/>
      <c r="B1141" s="145"/>
      <c r="C1141" s="145"/>
      <c r="D1141" s="145"/>
      <c r="E1141" s="145"/>
      <c r="F1141" s="145"/>
      <c r="G1141" s="145"/>
      <c r="H1141" s="145"/>
      <c r="I1141" s="145"/>
    </row>
    <row r="1142" spans="1:9" ht="15" customHeight="1">
      <c r="A1142" s="658"/>
      <c r="B1142" s="145"/>
      <c r="C1142" s="145"/>
      <c r="D1142" s="145"/>
      <c r="E1142" s="145"/>
      <c r="F1142" s="145"/>
      <c r="G1142" s="145"/>
      <c r="H1142" s="145"/>
      <c r="I1142" s="145"/>
    </row>
    <row r="1143" spans="1:9" ht="15" customHeight="1">
      <c r="A1143" s="658"/>
      <c r="B1143" s="145"/>
      <c r="C1143" s="145"/>
      <c r="D1143" s="145"/>
      <c r="E1143" s="145"/>
      <c r="F1143" s="145"/>
      <c r="G1143" s="145"/>
      <c r="H1143" s="145"/>
      <c r="I1143" s="145"/>
    </row>
    <row r="1144" spans="1:9" ht="15" customHeight="1">
      <c r="A1144" s="658"/>
      <c r="B1144" s="145"/>
      <c r="C1144" s="145"/>
      <c r="D1144" s="145"/>
      <c r="E1144" s="145"/>
      <c r="F1144" s="145"/>
      <c r="G1144" s="145"/>
      <c r="H1144" s="145"/>
      <c r="I1144" s="145"/>
    </row>
    <row r="1145" spans="1:9" ht="15" customHeight="1">
      <c r="A1145" s="658"/>
      <c r="B1145" s="145"/>
      <c r="C1145" s="145"/>
      <c r="D1145" s="145"/>
      <c r="E1145" s="145"/>
      <c r="F1145" s="145"/>
      <c r="G1145" s="145"/>
      <c r="H1145" s="145"/>
      <c r="I1145" s="145"/>
    </row>
    <row r="1146" spans="1:9" ht="15" customHeight="1">
      <c r="A1146" s="658"/>
      <c r="B1146" s="145"/>
      <c r="C1146" s="145"/>
      <c r="D1146" s="145"/>
      <c r="E1146" s="145"/>
      <c r="F1146" s="145"/>
      <c r="G1146" s="145"/>
      <c r="H1146" s="145"/>
      <c r="I1146" s="145"/>
    </row>
    <row r="1147" spans="1:9" ht="15" customHeight="1">
      <c r="A1147" s="658"/>
      <c r="B1147" s="145"/>
      <c r="C1147" s="145"/>
      <c r="D1147" s="145"/>
      <c r="E1147" s="145"/>
      <c r="F1147" s="145"/>
      <c r="G1147" s="145"/>
      <c r="H1147" s="145"/>
      <c r="I1147" s="145"/>
    </row>
    <row r="1148" spans="1:9" ht="15" customHeight="1">
      <c r="A1148" s="658"/>
      <c r="B1148" s="145"/>
      <c r="C1148" s="145"/>
      <c r="D1148" s="145"/>
      <c r="E1148" s="145"/>
      <c r="F1148" s="145"/>
      <c r="G1148" s="145"/>
      <c r="H1148" s="145"/>
      <c r="I1148" s="145"/>
    </row>
    <row r="1149" spans="1:9" ht="15" customHeight="1">
      <c r="A1149" s="658"/>
      <c r="B1149" s="145"/>
      <c r="C1149" s="145"/>
      <c r="D1149" s="145"/>
      <c r="E1149" s="145"/>
      <c r="F1149" s="145"/>
      <c r="G1149" s="145"/>
      <c r="H1149" s="145"/>
      <c r="I1149" s="145"/>
    </row>
    <row r="1150" spans="1:9" ht="15" customHeight="1">
      <c r="A1150" s="658"/>
      <c r="B1150" s="145"/>
      <c r="C1150" s="145"/>
      <c r="D1150" s="145"/>
      <c r="E1150" s="145"/>
      <c r="F1150" s="145"/>
      <c r="G1150" s="145"/>
      <c r="H1150" s="145"/>
      <c r="I1150" s="145"/>
    </row>
    <row r="1151" spans="1:9" ht="15" customHeight="1">
      <c r="A1151" s="658"/>
      <c r="B1151" s="145"/>
      <c r="C1151" s="145"/>
      <c r="D1151" s="145"/>
      <c r="E1151" s="145"/>
      <c r="F1151" s="145"/>
      <c r="G1151" s="145"/>
      <c r="H1151" s="145"/>
      <c r="I1151" s="145"/>
    </row>
    <row r="1152" spans="1:9" ht="15" customHeight="1">
      <c r="A1152" s="658"/>
      <c r="B1152" s="145"/>
      <c r="C1152" s="145"/>
      <c r="D1152" s="145"/>
      <c r="E1152" s="145"/>
      <c r="F1152" s="145"/>
      <c r="G1152" s="145"/>
      <c r="H1152" s="145"/>
      <c r="I1152" s="145"/>
    </row>
    <row r="1153" spans="1:9" ht="15" customHeight="1">
      <c r="A1153" s="658"/>
      <c r="B1153" s="145"/>
      <c r="C1153" s="145"/>
      <c r="D1153" s="145"/>
      <c r="E1153" s="145"/>
      <c r="F1153" s="145"/>
      <c r="G1153" s="145"/>
      <c r="H1153" s="145"/>
      <c r="I1153" s="145"/>
    </row>
    <row r="1154" spans="1:9" ht="15" customHeight="1">
      <c r="A1154" s="658"/>
      <c r="B1154" s="145"/>
      <c r="C1154" s="145"/>
      <c r="D1154" s="145"/>
      <c r="E1154" s="145"/>
      <c r="F1154" s="145"/>
      <c r="G1154" s="145"/>
      <c r="H1154" s="145"/>
      <c r="I1154" s="145"/>
    </row>
    <row r="1155" spans="1:9" ht="15" customHeight="1">
      <c r="A1155" s="658"/>
      <c r="B1155" s="145"/>
      <c r="C1155" s="145"/>
      <c r="D1155" s="145"/>
      <c r="E1155" s="145"/>
      <c r="F1155" s="145"/>
      <c r="G1155" s="145"/>
      <c r="H1155" s="145"/>
      <c r="I1155" s="145"/>
    </row>
    <row r="1156" spans="1:9" ht="15" customHeight="1">
      <c r="A1156" s="658"/>
      <c r="B1156" s="145"/>
      <c r="C1156" s="145"/>
      <c r="D1156" s="145"/>
      <c r="E1156" s="145"/>
      <c r="F1156" s="145"/>
      <c r="G1156" s="145"/>
      <c r="H1156" s="145"/>
      <c r="I1156" s="145"/>
    </row>
    <row r="1157" spans="1:9" ht="15" customHeight="1">
      <c r="A1157" s="658"/>
      <c r="B1157" s="145"/>
      <c r="C1157" s="145"/>
      <c r="D1157" s="145"/>
      <c r="E1157" s="145"/>
      <c r="F1157" s="145"/>
      <c r="G1157" s="145"/>
      <c r="H1157" s="145"/>
      <c r="I1157" s="145"/>
    </row>
    <row r="1158" spans="1:9" ht="15" customHeight="1">
      <c r="A1158" s="658"/>
      <c r="B1158" s="145"/>
      <c r="C1158" s="145"/>
      <c r="D1158" s="145"/>
      <c r="E1158" s="145"/>
      <c r="F1158" s="145"/>
      <c r="G1158" s="145"/>
      <c r="H1158" s="145"/>
      <c r="I1158" s="145"/>
    </row>
    <row r="1159" spans="1:9" ht="15" customHeight="1">
      <c r="A1159" s="658"/>
      <c r="B1159" s="145"/>
      <c r="C1159" s="145"/>
      <c r="D1159" s="145"/>
      <c r="E1159" s="145"/>
      <c r="F1159" s="145"/>
      <c r="G1159" s="145"/>
      <c r="H1159" s="145"/>
      <c r="I1159" s="145"/>
    </row>
    <row r="1160" spans="1:9" ht="15" customHeight="1">
      <c r="A1160" s="658"/>
      <c r="B1160" s="145"/>
      <c r="C1160" s="145"/>
      <c r="D1160" s="145"/>
      <c r="E1160" s="145"/>
      <c r="F1160" s="145"/>
      <c r="G1160" s="145"/>
      <c r="H1160" s="145"/>
      <c r="I1160" s="145"/>
    </row>
    <row r="1161" spans="1:9" ht="15" customHeight="1">
      <c r="A1161" s="658"/>
      <c r="B1161" s="145"/>
      <c r="C1161" s="145"/>
      <c r="D1161" s="145"/>
      <c r="E1161" s="145"/>
      <c r="F1161" s="145"/>
      <c r="G1161" s="145"/>
      <c r="H1161" s="145"/>
      <c r="I1161" s="145"/>
    </row>
    <row r="1162" spans="1:9" ht="15" customHeight="1">
      <c r="A1162" s="658"/>
      <c r="B1162" s="145"/>
      <c r="C1162" s="145"/>
      <c r="D1162" s="145"/>
      <c r="E1162" s="145"/>
      <c r="F1162" s="145"/>
      <c r="G1162" s="145"/>
      <c r="H1162" s="145"/>
      <c r="I1162" s="145"/>
    </row>
    <row r="1163" spans="1:9" ht="15" customHeight="1">
      <c r="A1163" s="658"/>
      <c r="B1163" s="145"/>
      <c r="C1163" s="145"/>
      <c r="D1163" s="145"/>
      <c r="E1163" s="145"/>
      <c r="F1163" s="145"/>
      <c r="G1163" s="145"/>
      <c r="H1163" s="145"/>
      <c r="I1163" s="145"/>
    </row>
    <row r="1164" spans="1:9" ht="15" customHeight="1">
      <c r="A1164" s="658"/>
      <c r="B1164" s="145"/>
      <c r="C1164" s="145"/>
      <c r="D1164" s="145"/>
      <c r="E1164" s="145"/>
      <c r="F1164" s="145"/>
      <c r="G1164" s="145"/>
      <c r="H1164" s="145"/>
      <c r="I1164" s="145"/>
    </row>
    <row r="1165" spans="1:9" ht="15" customHeight="1">
      <c r="A1165" s="658"/>
      <c r="B1165" s="145"/>
      <c r="C1165" s="145"/>
      <c r="D1165" s="145"/>
      <c r="E1165" s="145"/>
      <c r="F1165" s="145"/>
      <c r="G1165" s="145"/>
      <c r="H1165" s="145"/>
      <c r="I1165" s="145"/>
    </row>
    <row r="1166" spans="1:9" ht="15" customHeight="1">
      <c r="A1166" s="658"/>
      <c r="B1166" s="145"/>
      <c r="C1166" s="145"/>
      <c r="D1166" s="145"/>
      <c r="E1166" s="145"/>
      <c r="F1166" s="145"/>
      <c r="G1166" s="145"/>
      <c r="H1166" s="145"/>
      <c r="I1166" s="145"/>
    </row>
    <row r="1167" spans="1:9" ht="15" customHeight="1">
      <c r="A1167" s="658"/>
      <c r="B1167" s="145"/>
      <c r="C1167" s="145"/>
      <c r="D1167" s="145"/>
      <c r="E1167" s="145"/>
      <c r="F1167" s="145"/>
      <c r="G1167" s="145"/>
      <c r="H1167" s="145"/>
      <c r="I1167" s="145"/>
    </row>
    <row r="1168" spans="1:9" ht="15" customHeight="1">
      <c r="A1168" s="658"/>
      <c r="B1168" s="145"/>
      <c r="C1168" s="145"/>
      <c r="D1168" s="145"/>
      <c r="E1168" s="145"/>
      <c r="F1168" s="145"/>
      <c r="G1168" s="145"/>
      <c r="H1168" s="145"/>
      <c r="I1168" s="145"/>
    </row>
    <row r="1169" spans="1:9" ht="15" customHeight="1">
      <c r="A1169" s="658"/>
      <c r="B1169" s="145"/>
      <c r="C1169" s="145"/>
      <c r="D1169" s="145"/>
      <c r="E1169" s="145"/>
      <c r="F1169" s="145"/>
      <c r="G1169" s="145"/>
      <c r="H1169" s="145"/>
      <c r="I1169" s="145"/>
    </row>
    <row r="1170" spans="1:9" ht="15" customHeight="1">
      <c r="A1170" s="658"/>
      <c r="B1170" s="145"/>
      <c r="C1170" s="145"/>
      <c r="D1170" s="145"/>
      <c r="E1170" s="145"/>
      <c r="F1170" s="145"/>
      <c r="G1170" s="145"/>
      <c r="H1170" s="145"/>
      <c r="I1170" s="145"/>
    </row>
    <row r="1171" spans="1:9" ht="15" customHeight="1">
      <c r="A1171" s="658"/>
      <c r="B1171" s="145"/>
      <c r="C1171" s="145"/>
      <c r="D1171" s="145"/>
      <c r="E1171" s="145"/>
      <c r="F1171" s="145"/>
      <c r="G1171" s="145"/>
      <c r="H1171" s="145"/>
      <c r="I1171" s="145"/>
    </row>
    <row r="1172" spans="1:9" ht="15" customHeight="1">
      <c r="A1172" s="658"/>
      <c r="B1172" s="145"/>
      <c r="C1172" s="145"/>
      <c r="D1172" s="145"/>
      <c r="E1172" s="145"/>
      <c r="F1172" s="145"/>
      <c r="G1172" s="145"/>
      <c r="H1172" s="145"/>
      <c r="I1172" s="145"/>
    </row>
    <row r="1173" spans="1:9" ht="15" customHeight="1">
      <c r="A1173" s="658"/>
      <c r="B1173" s="145"/>
      <c r="C1173" s="145"/>
      <c r="D1173" s="145"/>
      <c r="E1173" s="145"/>
      <c r="F1173" s="145"/>
      <c r="G1173" s="145"/>
      <c r="H1173" s="145"/>
      <c r="I1173" s="145"/>
    </row>
    <row r="1174" spans="1:9" ht="15" customHeight="1">
      <c r="A1174" s="658"/>
      <c r="B1174" s="145"/>
      <c r="C1174" s="145"/>
      <c r="D1174" s="145"/>
      <c r="E1174" s="145"/>
      <c r="F1174" s="145"/>
      <c r="G1174" s="145"/>
      <c r="H1174" s="145"/>
      <c r="I1174" s="145"/>
    </row>
    <row r="1175" spans="1:9" ht="15" customHeight="1">
      <c r="A1175" s="658"/>
      <c r="B1175" s="145"/>
      <c r="C1175" s="145"/>
      <c r="D1175" s="145"/>
      <c r="E1175" s="145"/>
      <c r="F1175" s="145"/>
      <c r="G1175" s="145"/>
      <c r="H1175" s="145"/>
      <c r="I1175" s="145"/>
    </row>
    <row r="1176" spans="1:9" ht="15" customHeight="1">
      <c r="A1176" s="658"/>
      <c r="B1176" s="145"/>
      <c r="C1176" s="145"/>
      <c r="D1176" s="145"/>
      <c r="E1176" s="145"/>
      <c r="F1176" s="145"/>
      <c r="G1176" s="145"/>
      <c r="H1176" s="145"/>
      <c r="I1176" s="145"/>
    </row>
    <row r="1177" spans="1:9" ht="15" customHeight="1">
      <c r="A1177" s="658"/>
      <c r="B1177" s="145"/>
      <c r="C1177" s="145"/>
      <c r="D1177" s="145"/>
      <c r="E1177" s="145"/>
      <c r="F1177" s="145"/>
      <c r="G1177" s="145"/>
      <c r="H1177" s="145"/>
      <c r="I1177" s="145"/>
    </row>
    <row r="1178" spans="1:9" ht="15" customHeight="1">
      <c r="A1178" s="658"/>
      <c r="B1178" s="145"/>
      <c r="C1178" s="145"/>
      <c r="D1178" s="145"/>
      <c r="E1178" s="145"/>
      <c r="F1178" s="145"/>
      <c r="G1178" s="145"/>
      <c r="H1178" s="145"/>
      <c r="I1178" s="145"/>
    </row>
    <row r="1179" spans="1:9" ht="15" customHeight="1">
      <c r="A1179" s="658"/>
      <c r="B1179" s="145"/>
      <c r="C1179" s="145"/>
      <c r="D1179" s="145"/>
      <c r="E1179" s="145"/>
      <c r="F1179" s="145"/>
      <c r="G1179" s="145"/>
      <c r="H1179" s="145"/>
      <c r="I1179" s="145"/>
    </row>
    <row r="1180" spans="1:9" ht="15" customHeight="1">
      <c r="A1180" s="658"/>
      <c r="B1180" s="145"/>
      <c r="C1180" s="145"/>
      <c r="D1180" s="145"/>
      <c r="E1180" s="145"/>
      <c r="F1180" s="145"/>
      <c r="G1180" s="145"/>
      <c r="H1180" s="145"/>
      <c r="I1180" s="145"/>
    </row>
    <row r="1181" spans="1:9" ht="15" customHeight="1">
      <c r="A1181" s="658"/>
      <c r="B1181" s="145"/>
      <c r="C1181" s="145"/>
      <c r="D1181" s="145"/>
      <c r="E1181" s="145"/>
      <c r="F1181" s="145"/>
      <c r="G1181" s="145"/>
      <c r="H1181" s="145"/>
      <c r="I1181" s="145"/>
    </row>
    <row r="1182" spans="1:9" ht="15" customHeight="1">
      <c r="A1182" s="658"/>
      <c r="B1182" s="145"/>
      <c r="C1182" s="145"/>
      <c r="D1182" s="145"/>
      <c r="E1182" s="145"/>
      <c r="F1182" s="145"/>
      <c r="G1182" s="145"/>
      <c r="H1182" s="145"/>
      <c r="I1182" s="145"/>
    </row>
    <row r="1183" spans="1:9" ht="15" customHeight="1">
      <c r="A1183" s="658"/>
      <c r="B1183" s="145"/>
      <c r="C1183" s="145"/>
      <c r="D1183" s="145"/>
      <c r="E1183" s="145"/>
      <c r="F1183" s="145"/>
      <c r="G1183" s="145"/>
      <c r="H1183" s="145"/>
      <c r="I1183" s="145"/>
    </row>
    <row r="1184" spans="1:9" ht="15" customHeight="1">
      <c r="A1184" s="658"/>
      <c r="B1184" s="145"/>
      <c r="C1184" s="145"/>
      <c r="D1184" s="145"/>
      <c r="E1184" s="145"/>
      <c r="F1184" s="145"/>
      <c r="G1184" s="145"/>
      <c r="H1184" s="145"/>
      <c r="I1184" s="145"/>
    </row>
    <row r="1185" spans="1:9" ht="15" customHeight="1">
      <c r="A1185" s="658"/>
      <c r="B1185" s="145"/>
      <c r="C1185" s="145"/>
      <c r="D1185" s="145"/>
      <c r="E1185" s="145"/>
      <c r="F1185" s="145"/>
      <c r="G1185" s="145"/>
      <c r="H1185" s="145"/>
      <c r="I1185" s="145"/>
    </row>
    <row r="1186" spans="1:9" ht="15" customHeight="1">
      <c r="A1186" s="658"/>
      <c r="B1186" s="145"/>
      <c r="C1186" s="145"/>
      <c r="D1186" s="145"/>
      <c r="E1186" s="145"/>
      <c r="F1186" s="145"/>
      <c r="G1186" s="145"/>
      <c r="H1186" s="145"/>
      <c r="I1186" s="145"/>
    </row>
    <row r="1187" spans="1:9" ht="15" customHeight="1">
      <c r="A1187" s="658"/>
      <c r="B1187" s="145"/>
      <c r="C1187" s="145"/>
      <c r="D1187" s="145"/>
      <c r="E1187" s="145"/>
      <c r="F1187" s="145"/>
      <c r="G1187" s="145"/>
      <c r="H1187" s="145"/>
      <c r="I1187" s="145"/>
    </row>
    <row r="1188" spans="1:9" ht="15" customHeight="1">
      <c r="A1188" s="658"/>
      <c r="B1188" s="145"/>
      <c r="C1188" s="145"/>
      <c r="D1188" s="145"/>
      <c r="E1188" s="145"/>
      <c r="F1188" s="145"/>
      <c r="G1188" s="145"/>
      <c r="H1188" s="145"/>
      <c r="I1188" s="145"/>
    </row>
    <row r="1189" spans="1:9" ht="15" customHeight="1">
      <c r="A1189" s="658"/>
      <c r="B1189" s="145"/>
      <c r="C1189" s="145"/>
      <c r="D1189" s="145"/>
      <c r="E1189" s="145"/>
      <c r="F1189" s="145"/>
      <c r="G1189" s="145"/>
      <c r="H1189" s="145"/>
      <c r="I1189" s="145"/>
    </row>
    <row r="1190" spans="1:9" ht="15" customHeight="1">
      <c r="A1190" s="658"/>
      <c r="B1190" s="145"/>
      <c r="C1190" s="145"/>
      <c r="D1190" s="145"/>
      <c r="E1190" s="145"/>
      <c r="F1190" s="145"/>
      <c r="G1190" s="145"/>
      <c r="H1190" s="145"/>
      <c r="I1190" s="145"/>
    </row>
    <row r="1191" spans="1:9" ht="15" customHeight="1">
      <c r="A1191" s="658"/>
      <c r="B1191" s="145"/>
      <c r="C1191" s="145"/>
      <c r="D1191" s="145"/>
      <c r="E1191" s="145"/>
      <c r="F1191" s="145"/>
      <c r="G1191" s="145"/>
      <c r="H1191" s="145"/>
      <c r="I1191" s="145"/>
    </row>
    <row r="1192" spans="1:9" ht="15" customHeight="1">
      <c r="A1192" s="658"/>
      <c r="B1192" s="145"/>
      <c r="C1192" s="145"/>
      <c r="D1192" s="145"/>
      <c r="E1192" s="145"/>
      <c r="F1192" s="145"/>
      <c r="G1192" s="145"/>
      <c r="H1192" s="145"/>
      <c r="I1192" s="145"/>
    </row>
    <row r="1193" spans="1:9" ht="15" customHeight="1">
      <c r="A1193" s="658"/>
      <c r="B1193" s="145"/>
      <c r="C1193" s="145"/>
      <c r="D1193" s="145"/>
      <c r="E1193" s="145"/>
      <c r="F1193" s="145"/>
      <c r="G1193" s="145"/>
      <c r="H1193" s="145"/>
      <c r="I1193" s="145"/>
    </row>
    <row r="1194" spans="1:9" ht="15" customHeight="1">
      <c r="A1194" s="658"/>
      <c r="B1194" s="145"/>
      <c r="C1194" s="145"/>
      <c r="D1194" s="145"/>
      <c r="E1194" s="145"/>
      <c r="F1194" s="145"/>
      <c r="G1194" s="145"/>
      <c r="H1194" s="145"/>
      <c r="I1194" s="145"/>
    </row>
    <row r="1195" spans="1:9" ht="15" customHeight="1">
      <c r="A1195" s="658"/>
      <c r="B1195" s="145"/>
      <c r="C1195" s="145"/>
      <c r="D1195" s="145"/>
      <c r="E1195" s="145"/>
      <c r="F1195" s="145"/>
      <c r="G1195" s="145"/>
      <c r="H1195" s="145"/>
      <c r="I1195" s="145"/>
    </row>
    <row r="1196" spans="1:9" ht="15" customHeight="1">
      <c r="A1196" s="658"/>
      <c r="B1196" s="145"/>
      <c r="C1196" s="145"/>
      <c r="D1196" s="145"/>
      <c r="E1196" s="145"/>
      <c r="F1196" s="145"/>
      <c r="G1196" s="145"/>
      <c r="H1196" s="145"/>
      <c r="I1196" s="145"/>
    </row>
  </sheetData>
  <mergeCells count="3">
    <mergeCell ref="A1:I1"/>
    <mergeCell ref="A2:I2"/>
    <mergeCell ref="K2:S2"/>
  </mergeCells>
  <pageMargins left="0.75" right="0.75" top="1" bottom="1" header="0" footer="0"/>
  <pageSetup paperSize="9"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796"/>
  <sheetViews>
    <sheetView topLeftCell="F3" zoomScale="137" workbookViewId="0">
      <pane ySplit="1440" topLeftCell="A959" activePane="bottomLeft"/>
      <selection activeCell="Q3" sqref="Q3:Q199"/>
      <selection pane="bottomLeft" activeCell="L5" sqref="L5"/>
    </sheetView>
  </sheetViews>
  <sheetFormatPr baseColWidth="10" defaultColWidth="11.5" defaultRowHeight="16"/>
  <cols>
    <col min="1" max="1" width="10.83203125" style="59" customWidth="1"/>
    <col min="3" max="3" width="15.5" customWidth="1"/>
    <col min="4" max="4" width="13.5" customWidth="1"/>
    <col min="9" max="9" width="11.5" style="684" customWidth="1"/>
    <col min="17" max="17" width="11.5" style="982" customWidth="1"/>
    <col min="18" max="19" width="11.5" style="983" customWidth="1"/>
    <col min="20" max="20" width="13" style="983" customWidth="1"/>
    <col min="21" max="22" width="11.5" style="983" customWidth="1"/>
    <col min="24" max="24" width="22.83203125" customWidth="1"/>
    <col min="25" max="25" width="14.1640625" style="59" customWidth="1"/>
    <col min="26" max="26" width="21.83203125" customWidth="1"/>
    <col min="28" max="28" width="33.33203125" customWidth="1"/>
    <col min="29" max="29" width="20" customWidth="1"/>
    <col min="30" max="30" width="13.33203125" customWidth="1"/>
    <col min="31" max="31" width="16.6640625" customWidth="1"/>
    <col min="32" max="32" width="15" customWidth="1"/>
    <col min="33" max="33" width="58.33203125" customWidth="1"/>
    <col min="34" max="36" width="16.6640625" customWidth="1"/>
    <col min="37" max="37" width="13.33203125" customWidth="1"/>
  </cols>
  <sheetData>
    <row r="1" spans="1:26">
      <c r="A1" s="708" t="s">
        <v>621</v>
      </c>
      <c r="B1" s="74"/>
      <c r="C1" s="74"/>
      <c r="D1" s="74"/>
      <c r="E1" s="74"/>
      <c r="F1" s="74"/>
      <c r="G1" s="74"/>
      <c r="H1" s="74"/>
      <c r="I1" s="708" t="s">
        <v>622</v>
      </c>
      <c r="J1" s="74"/>
      <c r="K1" s="74"/>
      <c r="L1" s="74"/>
      <c r="M1" s="74"/>
      <c r="N1" s="74"/>
      <c r="O1" s="74"/>
      <c r="P1" s="74"/>
      <c r="Q1" s="1127" t="s">
        <v>623</v>
      </c>
      <c r="R1" s="1128"/>
      <c r="S1" s="1128"/>
      <c r="T1" s="1128"/>
      <c r="U1" s="1128"/>
      <c r="V1" s="1128"/>
      <c r="W1" s="74"/>
      <c r="X1" s="74"/>
      <c r="Y1" s="684"/>
      <c r="Z1" s="1261">
        <v>46143</v>
      </c>
    </row>
    <row r="2" spans="1:26">
      <c r="A2" s="709" t="s">
        <v>438</v>
      </c>
      <c r="B2" s="709" t="s">
        <v>490</v>
      </c>
      <c r="C2" s="710" t="s">
        <v>624</v>
      </c>
      <c r="D2" s="710" t="s">
        <v>625</v>
      </c>
      <c r="E2" s="710" t="s">
        <v>480</v>
      </c>
      <c r="F2" s="74"/>
      <c r="G2" s="74"/>
      <c r="H2" s="74"/>
      <c r="I2" s="875" t="s">
        <v>438</v>
      </c>
      <c r="J2" s="132" t="s">
        <v>626</v>
      </c>
      <c r="K2" s="132" t="s">
        <v>627</v>
      </c>
      <c r="L2" s="971" t="s">
        <v>628</v>
      </c>
      <c r="M2" s="132" t="s">
        <v>629</v>
      </c>
      <c r="N2" s="132" t="s">
        <v>490</v>
      </c>
      <c r="O2" s="132" t="s">
        <v>452</v>
      </c>
      <c r="P2" s="74"/>
      <c r="Q2" s="970" t="s">
        <v>438</v>
      </c>
      <c r="R2" s="971" t="s">
        <v>629</v>
      </c>
      <c r="S2" s="971" t="s">
        <v>490</v>
      </c>
      <c r="T2" s="971" t="s">
        <v>628</v>
      </c>
      <c r="U2" s="971" t="s">
        <v>630</v>
      </c>
      <c r="V2" s="971" t="s">
        <v>452</v>
      </c>
      <c r="W2" s="150"/>
      <c r="X2" s="74"/>
      <c r="Y2" s="684" t="s">
        <v>631</v>
      </c>
      <c r="Z2" s="74" t="s">
        <v>632</v>
      </c>
    </row>
    <row r="3" spans="1:26">
      <c r="A3" s="684">
        <v>46024</v>
      </c>
      <c r="B3" s="684" t="s">
        <v>146</v>
      </c>
      <c r="C3" s="711">
        <f t="array" ref="C3">SUMPRODUCT(($I$3:$I$5022=$A3)*($N$3:$N$5022=B3)*$K$3:$K$5022)</f>
        <v>89.250000000000014</v>
      </c>
      <c r="D3" s="711">
        <f t="array" ref="D3">SUMPRODUCT(($Q$3:$Q$4998=$A3)*($S$3:$S$4998=B3)*$U$3:$U$4998)</f>
        <v>92.73</v>
      </c>
      <c r="E3" s="711">
        <f t="shared" ref="E3:E66" si="0">C3+D3</f>
        <v>181.98000000000002</v>
      </c>
      <c r="F3" s="74"/>
      <c r="G3" s="74"/>
      <c r="H3" s="74"/>
      <c r="I3" s="133">
        <v>46024</v>
      </c>
      <c r="J3" s="134">
        <v>0.29166666666666669</v>
      </c>
      <c r="K3" s="135">
        <v>11.3</v>
      </c>
      <c r="L3" s="75">
        <v>1</v>
      </c>
      <c r="M3" s="75" t="s">
        <v>633</v>
      </c>
      <c r="N3" s="75" t="s">
        <v>146</v>
      </c>
      <c r="O3" s="75"/>
      <c r="P3" s="74"/>
      <c r="Q3" s="972">
        <v>46024</v>
      </c>
      <c r="R3" s="973" t="str">
        <f>TEXT(Tabla9[[#This Row],[Fecha]],"dddd")</f>
        <v>viernes</v>
      </c>
      <c r="S3" s="427" t="s">
        <v>146</v>
      </c>
      <c r="T3" s="427">
        <v>23</v>
      </c>
      <c r="U3" s="974">
        <v>92.73</v>
      </c>
      <c r="V3" s="427"/>
      <c r="W3" s="76"/>
      <c r="X3" s="74" t="s">
        <v>634</v>
      </c>
      <c r="Y3" s="684">
        <v>45660</v>
      </c>
      <c r="Z3" s="74">
        <v>1941.95</v>
      </c>
    </row>
    <row r="4" spans="1:26">
      <c r="A4" s="684">
        <v>46024</v>
      </c>
      <c r="B4" s="684" t="s">
        <v>494</v>
      </c>
      <c r="C4" s="711">
        <f t="array" ref="C4">SUMPRODUCT(($I$3:$I$5022=$A4)*($N$3:$N$5022=B4)*$K$3:$K$5022)</f>
        <v>90.65</v>
      </c>
      <c r="D4" s="711">
        <f t="array" ref="D4">SUMPRODUCT(($Q$3:$Q$4998=$A4)*($S$3:$S$4998=B4)*$U$3:$U$4998)</f>
        <v>612</v>
      </c>
      <c r="E4" s="711">
        <f t="shared" si="0"/>
        <v>702.65</v>
      </c>
      <c r="F4" s="74"/>
      <c r="G4" s="74"/>
      <c r="H4" s="74"/>
      <c r="I4" s="133">
        <v>46024</v>
      </c>
      <c r="J4" s="134">
        <v>0.32361111111111113</v>
      </c>
      <c r="K4" s="135">
        <v>1.55</v>
      </c>
      <c r="L4" s="75">
        <v>1</v>
      </c>
      <c r="M4" s="75" t="s">
        <v>633</v>
      </c>
      <c r="N4" s="75" t="s">
        <v>146</v>
      </c>
      <c r="O4" s="75"/>
      <c r="P4" s="74"/>
      <c r="Q4" s="972">
        <v>46024</v>
      </c>
      <c r="R4" s="973" t="str">
        <f>TEXT(Tabla9[[#This Row],[Fecha]],"dddd")</f>
        <v>viernes</v>
      </c>
      <c r="S4" s="427" t="s">
        <v>494</v>
      </c>
      <c r="T4" s="427">
        <v>36</v>
      </c>
      <c r="U4" s="974">
        <v>612</v>
      </c>
      <c r="V4" s="427"/>
      <c r="W4" s="76"/>
      <c r="X4" s="74"/>
      <c r="Y4" s="684" t="s">
        <v>146</v>
      </c>
      <c r="Z4" s="74">
        <v>147.65</v>
      </c>
    </row>
    <row r="5" spans="1:26">
      <c r="A5" s="684">
        <v>46024</v>
      </c>
      <c r="B5" s="684" t="s">
        <v>497</v>
      </c>
      <c r="C5" s="711">
        <f t="array" ref="C5">SUMPRODUCT(($I$3:$I$5022=$A5)*($N$3:$N$5022=B5)*$K$3:$K$5022)</f>
        <v>0</v>
      </c>
      <c r="D5" s="711">
        <f t="array" ref="D5">SUMPRODUCT(($Q$3:$Q$4998=$A5)*($S$3:$S$4998=B5)*$U$3:$U$4998)</f>
        <v>727.68</v>
      </c>
      <c r="E5" s="711">
        <f t="shared" si="0"/>
        <v>727.68</v>
      </c>
      <c r="F5" s="74"/>
      <c r="G5" s="74"/>
      <c r="H5" s="74"/>
      <c r="I5" s="133">
        <v>46024</v>
      </c>
      <c r="J5" s="134">
        <v>0.34027777777777779</v>
      </c>
      <c r="K5" s="135">
        <v>1.5</v>
      </c>
      <c r="L5" s="75">
        <v>1</v>
      </c>
      <c r="M5" s="75" t="s">
        <v>633</v>
      </c>
      <c r="N5" s="75" t="s">
        <v>146</v>
      </c>
      <c r="O5" s="75"/>
      <c r="P5" s="74"/>
      <c r="Q5" s="972">
        <v>46024</v>
      </c>
      <c r="R5" s="973" t="str">
        <f>TEXT(Tabla9[[#This Row],[Fecha]],"dddd")</f>
        <v>viernes</v>
      </c>
      <c r="S5" s="427" t="s">
        <v>497</v>
      </c>
      <c r="T5" s="427">
        <v>51</v>
      </c>
      <c r="U5" s="974">
        <v>727.68</v>
      </c>
      <c r="V5" s="427"/>
      <c r="W5" s="76"/>
      <c r="X5" s="74"/>
      <c r="Y5" s="684" t="s">
        <v>494</v>
      </c>
      <c r="Z5" s="74">
        <v>380.8</v>
      </c>
    </row>
    <row r="6" spans="1:26">
      <c r="A6" s="684">
        <v>46025</v>
      </c>
      <c r="B6" s="684" t="s">
        <v>146</v>
      </c>
      <c r="C6" s="711">
        <f t="array" ref="C6">SUMPRODUCT(($I$3:$I$5022=$A6)*($N$3:$N$5022=B6)*$K$3:$K$5022)</f>
        <v>106.05000000000001</v>
      </c>
      <c r="D6" s="711">
        <f t="array" ref="D6">SUMPRODUCT(($Q$3:$Q$4998=$A6)*($S$3:$S$4998=B6)*$U$3:$U$4998)</f>
        <v>74.14</v>
      </c>
      <c r="E6" s="711">
        <f t="shared" si="0"/>
        <v>180.19</v>
      </c>
      <c r="F6" s="74"/>
      <c r="G6" s="74"/>
      <c r="H6" s="74"/>
      <c r="I6" s="133">
        <v>46024</v>
      </c>
      <c r="J6" s="134">
        <v>0.35138888888888892</v>
      </c>
      <c r="K6" s="135">
        <v>1.85</v>
      </c>
      <c r="L6" s="75">
        <v>1</v>
      </c>
      <c r="M6" s="75" t="s">
        <v>633</v>
      </c>
      <c r="N6" s="75" t="s">
        <v>146</v>
      </c>
      <c r="O6" s="75"/>
      <c r="P6" s="74"/>
      <c r="Q6" s="972">
        <v>46025</v>
      </c>
      <c r="R6" s="973" t="str">
        <f>TEXT(Tabla9[[#This Row],[Fecha]],"dddd")</f>
        <v>sábado</v>
      </c>
      <c r="S6" s="427" t="s">
        <v>146</v>
      </c>
      <c r="T6" s="427">
        <v>19</v>
      </c>
      <c r="U6" s="974">
        <v>74.14</v>
      </c>
      <c r="V6" s="427"/>
      <c r="W6" s="76"/>
      <c r="X6" s="74"/>
      <c r="Y6" s="684" t="s">
        <v>497</v>
      </c>
      <c r="Z6" s="74">
        <v>1413.5</v>
      </c>
    </row>
    <row r="7" spans="1:26">
      <c r="A7" s="684">
        <v>46025</v>
      </c>
      <c r="B7" s="74" t="s">
        <v>494</v>
      </c>
      <c r="C7" s="711">
        <f t="array" ref="C7">SUMPRODUCT(($I$3:$I$5022=$A7)*($N$3:$N$5022=B7)*$K$3:$K$5022)</f>
        <v>5.15</v>
      </c>
      <c r="D7" s="711">
        <f t="array" ref="D7">SUMPRODUCT(($Q$3:$Q$4998=$A7)*($S$3:$S$4998=B7)*$U$3:$U$4998)</f>
        <v>1054.32</v>
      </c>
      <c r="E7" s="711">
        <f t="shared" si="0"/>
        <v>1059.47</v>
      </c>
      <c r="F7" s="74"/>
      <c r="G7" s="74"/>
      <c r="H7" s="74"/>
      <c r="I7" s="133">
        <v>46024</v>
      </c>
      <c r="J7" s="134">
        <v>0.36736111111111108</v>
      </c>
      <c r="K7" s="135">
        <v>2.9</v>
      </c>
      <c r="L7" s="75">
        <v>1</v>
      </c>
      <c r="M7" s="75" t="s">
        <v>633</v>
      </c>
      <c r="N7" s="75" t="s">
        <v>146</v>
      </c>
      <c r="O7" s="75"/>
      <c r="P7" s="74"/>
      <c r="Q7" s="972">
        <v>46025</v>
      </c>
      <c r="R7" s="973" t="str">
        <f>TEXT(Tabla9[[#This Row],[Fecha]],"dddd")</f>
        <v>sábado</v>
      </c>
      <c r="S7" s="427" t="s">
        <v>494</v>
      </c>
      <c r="T7" s="427">
        <v>73</v>
      </c>
      <c r="U7" s="974">
        <v>1054.32</v>
      </c>
      <c r="V7" s="427"/>
      <c r="W7" s="76"/>
      <c r="X7" s="74"/>
      <c r="Y7" s="684">
        <v>45661</v>
      </c>
      <c r="Z7" s="74">
        <v>2537.3000000000002</v>
      </c>
    </row>
    <row r="8" spans="1:26">
      <c r="A8" s="684">
        <v>46025</v>
      </c>
      <c r="B8" s="74" t="s">
        <v>497</v>
      </c>
      <c r="C8" s="711">
        <f t="array" ref="C8">SUMPRODUCT(($I$3:$I$5022=$A8)*($N$3:$N$5022=B8)*$K$3:$K$5022)</f>
        <v>0</v>
      </c>
      <c r="D8" s="711">
        <f t="array" ref="D8">SUMPRODUCT(($Q$3:$Q$4998=$A8)*($S$3:$S$4998=B8)*$U$3:$U$4998)</f>
        <v>382.82</v>
      </c>
      <c r="E8" s="711">
        <f t="shared" si="0"/>
        <v>382.82</v>
      </c>
      <c r="F8" s="74"/>
      <c r="G8" s="74"/>
      <c r="H8" s="74"/>
      <c r="I8" s="133">
        <v>46024</v>
      </c>
      <c r="J8" s="134">
        <v>0.37291666666666667</v>
      </c>
      <c r="K8" s="135">
        <v>6.55</v>
      </c>
      <c r="L8" s="75">
        <v>1</v>
      </c>
      <c r="M8" s="75" t="s">
        <v>633</v>
      </c>
      <c r="N8" s="75" t="s">
        <v>146</v>
      </c>
      <c r="O8" s="75"/>
      <c r="P8" s="74"/>
      <c r="Q8" s="972">
        <v>46025</v>
      </c>
      <c r="R8" s="973" t="str">
        <f>TEXT(Tabla9[[#This Row],[Fecha]],"dddd")</f>
        <v>sábado</v>
      </c>
      <c r="S8" s="427" t="s">
        <v>497</v>
      </c>
      <c r="T8" s="427">
        <v>30</v>
      </c>
      <c r="U8" s="974">
        <v>382.82</v>
      </c>
      <c r="V8" s="427"/>
      <c r="W8" s="76"/>
      <c r="X8" s="74"/>
      <c r="Y8" s="684" t="s">
        <v>146</v>
      </c>
      <c r="Z8" s="74">
        <v>278.3</v>
      </c>
    </row>
    <row r="9" spans="1:26">
      <c r="A9" s="684">
        <v>46026</v>
      </c>
      <c r="B9" s="684" t="s">
        <v>146</v>
      </c>
      <c r="C9" s="711">
        <f t="array" ref="C9">SUMPRODUCT(($I$3:$I$5022=$A9)*($N$3:$N$5022=B9)*$K$3:$K$5022)</f>
        <v>58.399999999999991</v>
      </c>
      <c r="D9" s="711">
        <f t="array" ref="D9">SUMPRODUCT(($Q$3:$Q$4998=$A9)*($S$3:$S$4998=B9)*$U$3:$U$4998)</f>
        <v>47.41</v>
      </c>
      <c r="E9" s="711">
        <f t="shared" si="0"/>
        <v>105.80999999999999</v>
      </c>
      <c r="F9" s="74"/>
      <c r="G9" s="74"/>
      <c r="H9" s="74"/>
      <c r="I9" s="133">
        <v>46024</v>
      </c>
      <c r="J9" s="134">
        <v>0.37569444444444439</v>
      </c>
      <c r="K9" s="135">
        <v>3.2</v>
      </c>
      <c r="L9" s="75">
        <v>1</v>
      </c>
      <c r="M9" s="75" t="s">
        <v>633</v>
      </c>
      <c r="N9" s="75" t="s">
        <v>146</v>
      </c>
      <c r="O9" s="75"/>
      <c r="P9" s="74"/>
      <c r="Q9" s="972">
        <v>46026</v>
      </c>
      <c r="R9" s="973" t="str">
        <f>TEXT(Tabla9[[#This Row],[Fecha]],"dddd")</f>
        <v>domingo</v>
      </c>
      <c r="S9" s="427" t="s">
        <v>146</v>
      </c>
      <c r="T9" s="427">
        <v>11</v>
      </c>
      <c r="U9" s="974">
        <v>47.41</v>
      </c>
      <c r="V9" s="427"/>
      <c r="W9" s="76"/>
      <c r="X9" s="74"/>
      <c r="Y9" s="684" t="s">
        <v>494</v>
      </c>
      <c r="Z9" s="74">
        <v>1375.05</v>
      </c>
    </row>
    <row r="10" spans="1:26">
      <c r="A10" s="684">
        <v>46026</v>
      </c>
      <c r="B10" s="684" t="s">
        <v>494</v>
      </c>
      <c r="C10" s="711">
        <f t="array" ref="C10">SUMPRODUCT(($I$3:$I$5022=$A10)*($N$3:$N$5022=B10)*$K$3:$K$5022)</f>
        <v>17.7</v>
      </c>
      <c r="D10" s="711">
        <f t="array" ref="D10">SUMPRODUCT(($Q$3:$Q$4998=$A10)*($S$3:$S$4998=B10)*$U$3:$U$4998)</f>
        <v>816.14</v>
      </c>
      <c r="E10" s="711">
        <f t="shared" si="0"/>
        <v>833.84</v>
      </c>
      <c r="F10" s="74"/>
      <c r="G10" s="74"/>
      <c r="H10" s="74"/>
      <c r="I10" s="133">
        <v>46024</v>
      </c>
      <c r="J10" s="134">
        <v>0.37916666666666671</v>
      </c>
      <c r="K10" s="135">
        <v>3.7</v>
      </c>
      <c r="L10" s="75">
        <v>1</v>
      </c>
      <c r="M10" s="75" t="s">
        <v>633</v>
      </c>
      <c r="N10" s="75" t="s">
        <v>146</v>
      </c>
      <c r="O10" s="75"/>
      <c r="P10" s="74"/>
      <c r="Q10" s="972">
        <v>46026</v>
      </c>
      <c r="R10" s="973" t="str">
        <f>TEXT(Tabla9[[#This Row],[Fecha]],"dddd")</f>
        <v>domingo</v>
      </c>
      <c r="S10" s="427" t="s">
        <v>494</v>
      </c>
      <c r="T10" s="427">
        <v>62</v>
      </c>
      <c r="U10" s="974">
        <v>816.14</v>
      </c>
      <c r="V10" s="427"/>
      <c r="W10" s="76"/>
      <c r="X10" s="74"/>
      <c r="Y10" s="684" t="s">
        <v>497</v>
      </c>
      <c r="Z10" s="74">
        <v>883.95</v>
      </c>
    </row>
    <row r="11" spans="1:26">
      <c r="A11" s="684">
        <v>46029</v>
      </c>
      <c r="B11" s="74" t="s">
        <v>146</v>
      </c>
      <c r="C11" s="711">
        <f t="array" ref="C11">SUMPRODUCT(($I$3:$I$5022=$A11)*($N$3:$N$5022=B11)*$K$3:$K$5022)</f>
        <v>58.35</v>
      </c>
      <c r="D11" s="711">
        <f t="array" ref="D11">SUMPRODUCT(($Q$3:$Q$4998=$A11)*($S$3:$S$4998=B11)*$U$3:$U$4998)</f>
        <v>39.049999999999997</v>
      </c>
      <c r="E11" s="711">
        <f t="shared" si="0"/>
        <v>97.4</v>
      </c>
      <c r="F11" s="74"/>
      <c r="G11" s="74"/>
      <c r="H11" s="74"/>
      <c r="I11" s="133">
        <v>46024</v>
      </c>
      <c r="J11" s="134">
        <v>0.39791666666666659</v>
      </c>
      <c r="K11" s="135">
        <v>3</v>
      </c>
      <c r="L11" s="75">
        <v>2</v>
      </c>
      <c r="M11" s="75" t="s">
        <v>633</v>
      </c>
      <c r="N11" s="75" t="s">
        <v>146</v>
      </c>
      <c r="O11" s="75"/>
      <c r="P11" s="74"/>
      <c r="Q11" s="972">
        <v>46029</v>
      </c>
      <c r="R11" s="973" t="str">
        <f>TEXT(Tabla9[[#This Row],[Fecha]],"dddd")</f>
        <v>miércoles</v>
      </c>
      <c r="S11" s="427" t="s">
        <v>494</v>
      </c>
      <c r="T11" s="427">
        <v>27</v>
      </c>
      <c r="U11" s="974">
        <v>215.77</v>
      </c>
      <c r="V11" s="427"/>
      <c r="W11" s="76"/>
      <c r="X11" s="74"/>
      <c r="Y11" s="684">
        <v>45662</v>
      </c>
      <c r="Z11" s="74">
        <v>1129.4000000000001</v>
      </c>
    </row>
    <row r="12" spans="1:26">
      <c r="A12" s="684">
        <v>46029</v>
      </c>
      <c r="B12" s="74" t="s">
        <v>494</v>
      </c>
      <c r="C12" s="711">
        <f t="array" ref="C12">SUMPRODUCT(($I$3:$I$5022=$A12)*($N$3:$N$5022=B12)*$K$3:$K$5022)</f>
        <v>127.75</v>
      </c>
      <c r="D12" s="711">
        <f t="array" ref="D12">SUMPRODUCT(($Q$3:$Q$4998=$A12)*($S$3:$S$4998=B12)*$U$3:$U$4998)</f>
        <v>215.77</v>
      </c>
      <c r="E12" s="711">
        <f t="shared" si="0"/>
        <v>343.52</v>
      </c>
      <c r="F12" s="74"/>
      <c r="G12" s="74"/>
      <c r="H12" s="74"/>
      <c r="I12" s="133">
        <v>46024</v>
      </c>
      <c r="J12" s="134">
        <v>0.40694444444444439</v>
      </c>
      <c r="K12" s="135">
        <v>4.2</v>
      </c>
      <c r="L12" s="75">
        <v>2</v>
      </c>
      <c r="M12" s="75" t="s">
        <v>633</v>
      </c>
      <c r="N12" s="75" t="s">
        <v>146</v>
      </c>
      <c r="O12" s="75"/>
      <c r="P12" s="74"/>
      <c r="Q12" s="972">
        <v>46029</v>
      </c>
      <c r="R12" s="973" t="str">
        <f>TEXT(Tabla9[[#This Row],[Fecha]],"dddd")</f>
        <v>miércoles</v>
      </c>
      <c r="S12" s="427" t="s">
        <v>146</v>
      </c>
      <c r="T12" s="427">
        <v>9</v>
      </c>
      <c r="U12" s="974">
        <v>39.049999999999997</v>
      </c>
      <c r="V12" s="427"/>
      <c r="W12" s="76"/>
      <c r="X12" s="74"/>
      <c r="Y12" s="684" t="s">
        <v>146</v>
      </c>
      <c r="Z12" s="74">
        <v>278.10000000000002</v>
      </c>
    </row>
    <row r="13" spans="1:26">
      <c r="A13" s="684">
        <v>46029</v>
      </c>
      <c r="B13" s="684" t="s">
        <v>497</v>
      </c>
      <c r="C13" s="711">
        <f t="array" ref="C13">SUMPRODUCT(($I$3:$I$5022=$A13)*($N$3:$N$5022=B13)*$K$3:$K$5022)</f>
        <v>26.75</v>
      </c>
      <c r="D13" s="711">
        <f t="array" ref="D13">SUMPRODUCT(($Q$3:$Q$4998=$A13)*($S$3:$S$4998=B13)*$U$3:$U$4998)</f>
        <v>133.22999999999999</v>
      </c>
      <c r="E13" s="711">
        <f t="shared" si="0"/>
        <v>159.97999999999999</v>
      </c>
      <c r="F13" s="74"/>
      <c r="G13" s="74"/>
      <c r="H13" s="74"/>
      <c r="I13" s="133">
        <v>46024</v>
      </c>
      <c r="J13" s="134">
        <v>0.40902777777777782</v>
      </c>
      <c r="K13" s="135">
        <v>8.9</v>
      </c>
      <c r="L13" s="75">
        <v>2</v>
      </c>
      <c r="M13" s="75" t="s">
        <v>633</v>
      </c>
      <c r="N13" s="75" t="s">
        <v>146</v>
      </c>
      <c r="O13" s="75"/>
      <c r="P13" s="74"/>
      <c r="Q13" s="972">
        <v>46029</v>
      </c>
      <c r="R13" s="973" t="str">
        <f>TEXT(Tabla9[[#This Row],[Fecha]],"dddd")</f>
        <v>miércoles</v>
      </c>
      <c r="S13" s="427" t="s">
        <v>497</v>
      </c>
      <c r="T13" s="427">
        <v>12</v>
      </c>
      <c r="U13" s="974">
        <v>133.22999999999999</v>
      </c>
      <c r="V13" s="427"/>
      <c r="W13" s="76"/>
      <c r="X13" s="74"/>
      <c r="Y13" s="684" t="s">
        <v>494</v>
      </c>
      <c r="Z13" s="74">
        <v>851.3</v>
      </c>
    </row>
    <row r="14" spans="1:26">
      <c r="A14" s="684">
        <v>46030</v>
      </c>
      <c r="B14" s="684" t="s">
        <v>146</v>
      </c>
      <c r="C14" s="711">
        <f t="array" ref="C14">SUMPRODUCT(($I$3:$I$5022=$A14)*($N$3:$N$5022=B14)*$K$3:$K$5022)</f>
        <v>72.899999999999991</v>
      </c>
      <c r="D14" s="711">
        <f t="array" ref="D14">SUMPRODUCT(($Q$3:$Q$4998=$A14)*($S$3:$S$4998=B14)*$U$3:$U$4998)</f>
        <v>7.41</v>
      </c>
      <c r="E14" s="711">
        <f t="shared" si="0"/>
        <v>80.309999999999988</v>
      </c>
      <c r="F14" s="74"/>
      <c r="G14" s="74"/>
      <c r="H14" s="74"/>
      <c r="I14" s="133">
        <v>46024</v>
      </c>
      <c r="J14" s="134">
        <v>0.42291666666666672</v>
      </c>
      <c r="K14" s="135">
        <v>2.4500000000000002</v>
      </c>
      <c r="L14" s="75">
        <v>1</v>
      </c>
      <c r="M14" s="75" t="s">
        <v>633</v>
      </c>
      <c r="N14" s="75" t="s">
        <v>146</v>
      </c>
      <c r="O14" s="75"/>
      <c r="P14" s="74"/>
      <c r="Q14" s="972">
        <v>46030</v>
      </c>
      <c r="R14" s="973" t="str">
        <f>TEXT(Tabla9[[#This Row],[Fecha]],"dddd")</f>
        <v>jueves</v>
      </c>
      <c r="S14" s="427" t="s">
        <v>494</v>
      </c>
      <c r="T14" s="427">
        <v>20</v>
      </c>
      <c r="U14" s="974">
        <v>415.55</v>
      </c>
      <c r="V14" s="427"/>
      <c r="W14" s="76"/>
      <c r="X14" s="74"/>
      <c r="Y14" s="684">
        <v>45665</v>
      </c>
      <c r="Z14" s="74">
        <v>401.4</v>
      </c>
    </row>
    <row r="15" spans="1:26">
      <c r="A15" s="684">
        <v>46030</v>
      </c>
      <c r="B15" s="74" t="s">
        <v>494</v>
      </c>
      <c r="C15" s="711">
        <f t="array" ref="C15">SUMPRODUCT(($I$3:$I$5022=$A15)*($N$3:$N$5022=B15)*$K$3:$K$5022)</f>
        <v>137.84</v>
      </c>
      <c r="D15" s="711">
        <f t="array" ref="D15">SUMPRODUCT(($Q$3:$Q$4998=$A15)*($S$3:$S$4998=B15)*$U$3:$U$4998)</f>
        <v>415.55</v>
      </c>
      <c r="E15" s="711">
        <f t="shared" si="0"/>
        <v>553.39</v>
      </c>
      <c r="F15" s="74"/>
      <c r="G15" s="74"/>
      <c r="H15" s="74"/>
      <c r="I15" s="133">
        <v>46024</v>
      </c>
      <c r="J15" s="134">
        <v>0.42499999999999999</v>
      </c>
      <c r="K15" s="135">
        <v>1.4</v>
      </c>
      <c r="L15" s="75">
        <v>1</v>
      </c>
      <c r="M15" s="75" t="s">
        <v>633</v>
      </c>
      <c r="N15" s="75" t="s">
        <v>146</v>
      </c>
      <c r="O15" s="75"/>
      <c r="P15" s="74"/>
      <c r="Q15" s="972">
        <v>46030</v>
      </c>
      <c r="R15" s="973" t="str">
        <f>TEXT(Tabla9[[#This Row],[Fecha]],"dddd")</f>
        <v>jueves</v>
      </c>
      <c r="S15" s="427" t="s">
        <v>146</v>
      </c>
      <c r="T15" s="427">
        <v>4</v>
      </c>
      <c r="U15" s="974">
        <v>7.41</v>
      </c>
      <c r="V15" s="427"/>
      <c r="W15" s="76"/>
      <c r="X15" s="74"/>
      <c r="Y15" s="684" t="s">
        <v>146</v>
      </c>
      <c r="Z15" s="74">
        <v>154.94999999999999</v>
      </c>
    </row>
    <row r="16" spans="1:26">
      <c r="A16" s="684">
        <v>46030</v>
      </c>
      <c r="B16" s="74" t="s">
        <v>497</v>
      </c>
      <c r="C16" s="711">
        <f t="array" ref="C16">SUMPRODUCT(($I$3:$I$5022=$A16)*($N$3:$N$5022=B16)*$K$3:$K$5022)</f>
        <v>3.4</v>
      </c>
      <c r="D16" s="711">
        <f t="array" ref="D16">SUMPRODUCT(($Q$3:$Q$4998=$A16)*($S$3:$S$4998=B16)*$U$3:$U$4998)</f>
        <v>36.229999999999997</v>
      </c>
      <c r="E16" s="711">
        <f t="shared" si="0"/>
        <v>39.629999999999995</v>
      </c>
      <c r="F16" s="74"/>
      <c r="G16" s="74"/>
      <c r="H16" s="74"/>
      <c r="I16" s="133">
        <v>46024</v>
      </c>
      <c r="J16" s="134">
        <v>0.42777777777777781</v>
      </c>
      <c r="K16" s="135">
        <v>3.2</v>
      </c>
      <c r="L16" s="75">
        <v>1</v>
      </c>
      <c r="M16" s="75" t="s">
        <v>633</v>
      </c>
      <c r="N16" s="75" t="s">
        <v>146</v>
      </c>
      <c r="O16" s="75"/>
      <c r="P16" s="74"/>
      <c r="Q16" s="972">
        <v>46030</v>
      </c>
      <c r="R16" s="973" t="str">
        <f>TEXT(Tabla9[[#This Row],[Fecha]],"dddd")</f>
        <v>jueves</v>
      </c>
      <c r="S16" s="427" t="s">
        <v>497</v>
      </c>
      <c r="T16" s="427">
        <v>2</v>
      </c>
      <c r="U16" s="974">
        <v>36.229999999999997</v>
      </c>
      <c r="V16" s="427"/>
      <c r="W16" s="76"/>
      <c r="X16" s="74"/>
      <c r="Y16" s="684" t="s">
        <v>494</v>
      </c>
      <c r="Z16" s="74">
        <v>46.7</v>
      </c>
    </row>
    <row r="17" spans="1:26">
      <c r="A17" s="684">
        <v>46031</v>
      </c>
      <c r="B17" s="684" t="s">
        <v>146</v>
      </c>
      <c r="C17" s="711">
        <f t="array" ref="C17">SUMPRODUCT(($I$3:$I$5022=$A17)*($N$3:$N$5022=B17)*$K$3:$K$5022)</f>
        <v>96.350000000000009</v>
      </c>
      <c r="D17" s="711">
        <f t="array" ref="D17">SUMPRODUCT(($Q$3:$Q$4998=$A17)*($S$3:$S$4998=B17)*$U$3:$U$4998)</f>
        <v>26.91</v>
      </c>
      <c r="E17" s="711">
        <f t="shared" si="0"/>
        <v>123.26</v>
      </c>
      <c r="F17" s="74"/>
      <c r="G17" s="74"/>
      <c r="H17" s="74"/>
      <c r="I17" s="133">
        <v>46024</v>
      </c>
      <c r="J17" s="134">
        <v>0.44444444444444442</v>
      </c>
      <c r="K17" s="135">
        <v>2.2000000000000002</v>
      </c>
      <c r="L17" s="75">
        <v>1</v>
      </c>
      <c r="M17" s="75" t="s">
        <v>633</v>
      </c>
      <c r="N17" s="75" t="s">
        <v>146</v>
      </c>
      <c r="O17" s="75"/>
      <c r="P17" s="74"/>
      <c r="Q17" s="972">
        <v>46031</v>
      </c>
      <c r="R17" s="973" t="str">
        <f>TEXT(Tabla9[[#This Row],[Fecha]],"dddd")</f>
        <v>viernes</v>
      </c>
      <c r="S17" s="427" t="s">
        <v>146</v>
      </c>
      <c r="T17" s="427">
        <v>9</v>
      </c>
      <c r="U17" s="974">
        <v>26.91</v>
      </c>
      <c r="V17" s="427"/>
      <c r="W17" s="76"/>
      <c r="X17" s="74"/>
      <c r="Y17" s="684" t="s">
        <v>497</v>
      </c>
      <c r="Z17" s="74">
        <v>199.75</v>
      </c>
    </row>
    <row r="18" spans="1:26">
      <c r="A18" s="684">
        <v>46031</v>
      </c>
      <c r="B18" s="74" t="s">
        <v>494</v>
      </c>
      <c r="C18" s="711">
        <f t="array" ref="C18">SUMPRODUCT(($I$3:$I$5022=$A18)*($N$3:$N$5022=B18)*$K$3:$K$5022)</f>
        <v>130.79000000000002</v>
      </c>
      <c r="D18" s="711">
        <f t="array" ref="D18">SUMPRODUCT(($Q$3:$Q$4998=$A18)*($S$3:$S$4998=B18)*$U$3:$U$4998)</f>
        <v>79.959999999999994</v>
      </c>
      <c r="E18" s="711">
        <f t="shared" si="0"/>
        <v>210.75</v>
      </c>
      <c r="F18" s="74"/>
      <c r="G18" s="74"/>
      <c r="H18" s="74"/>
      <c r="I18" s="133">
        <v>46024</v>
      </c>
      <c r="J18" s="134">
        <v>0.44861111111111113</v>
      </c>
      <c r="K18" s="135">
        <v>9.65</v>
      </c>
      <c r="L18" s="75">
        <v>2</v>
      </c>
      <c r="M18" s="75" t="s">
        <v>633</v>
      </c>
      <c r="N18" s="75" t="s">
        <v>146</v>
      </c>
      <c r="O18" s="75"/>
      <c r="P18" s="74"/>
      <c r="Q18" s="972">
        <v>46031</v>
      </c>
      <c r="R18" s="973" t="str">
        <f>TEXT(Tabla9[[#This Row],[Fecha]],"dddd")</f>
        <v>viernes</v>
      </c>
      <c r="S18" s="427" t="s">
        <v>494</v>
      </c>
      <c r="T18" s="427">
        <v>9</v>
      </c>
      <c r="U18" s="974">
        <v>79.959999999999994</v>
      </c>
      <c r="V18" s="427"/>
      <c r="W18" s="76"/>
      <c r="X18" s="74"/>
      <c r="Y18" s="684">
        <v>45666</v>
      </c>
      <c r="Z18" s="74">
        <v>466.19</v>
      </c>
    </row>
    <row r="19" spans="1:26">
      <c r="A19" s="684">
        <v>46031</v>
      </c>
      <c r="B19" s="74" t="s">
        <v>497</v>
      </c>
      <c r="C19" s="711">
        <f t="array" ref="C19">SUMPRODUCT(($I$3:$I$5022=$A19)*($N$3:$N$5022=B19)*$K$3:$K$5022)</f>
        <v>0</v>
      </c>
      <c r="D19" s="711">
        <f t="array" ref="D19">SUMPRODUCT(($Q$3:$Q$4998=$A19)*($S$3:$S$4998=B19)*$U$3:$U$4998)</f>
        <v>652.09</v>
      </c>
      <c r="E19" s="711">
        <f t="shared" si="0"/>
        <v>652.09</v>
      </c>
      <c r="F19" s="74"/>
      <c r="G19" s="74"/>
      <c r="H19" s="74"/>
      <c r="I19" s="133">
        <v>46024</v>
      </c>
      <c r="J19" s="134">
        <v>0.44930555555555562</v>
      </c>
      <c r="K19" s="135">
        <v>6.4</v>
      </c>
      <c r="L19" s="75">
        <v>2</v>
      </c>
      <c r="M19" s="75" t="s">
        <v>633</v>
      </c>
      <c r="N19" s="75" t="s">
        <v>146</v>
      </c>
      <c r="O19" s="75"/>
      <c r="P19" s="74"/>
      <c r="Q19" s="972">
        <v>46031</v>
      </c>
      <c r="R19" s="973" t="str">
        <f>TEXT(Tabla9[[#This Row],[Fecha]],"dddd")</f>
        <v>viernes</v>
      </c>
      <c r="S19" s="427" t="s">
        <v>497</v>
      </c>
      <c r="T19" s="427">
        <v>35</v>
      </c>
      <c r="U19" s="974">
        <v>652.09</v>
      </c>
      <c r="V19" s="427"/>
      <c r="W19" s="76"/>
      <c r="X19" s="74"/>
      <c r="Y19" s="684" t="s">
        <v>146</v>
      </c>
      <c r="Z19" s="74">
        <v>118.39</v>
      </c>
    </row>
    <row r="20" spans="1:26">
      <c r="A20" s="684">
        <v>46032</v>
      </c>
      <c r="B20" s="74" t="s">
        <v>146</v>
      </c>
      <c r="C20" s="711">
        <f t="array" ref="C20">SUMPRODUCT(($I$3:$I$5022=$A20)*($N$3:$N$5022=B20)*$K$3:$K$5022)</f>
        <v>88.850000000000023</v>
      </c>
      <c r="D20" s="711">
        <f t="array" ref="D20">SUMPRODUCT(($Q$3:$Q$4998=$A20)*($S$3:$S$4998=B20)*$U$3:$U$4998)</f>
        <v>42</v>
      </c>
      <c r="E20" s="711">
        <f t="shared" si="0"/>
        <v>130.85000000000002</v>
      </c>
      <c r="F20" s="74"/>
      <c r="G20" s="74"/>
      <c r="H20" s="74"/>
      <c r="I20" s="133">
        <v>46024</v>
      </c>
      <c r="J20" s="134">
        <v>0.45069444444444451</v>
      </c>
      <c r="K20" s="135">
        <v>9.35</v>
      </c>
      <c r="L20" s="75">
        <v>1</v>
      </c>
      <c r="M20" s="75" t="s">
        <v>633</v>
      </c>
      <c r="N20" s="75" t="s">
        <v>146</v>
      </c>
      <c r="O20" s="75"/>
      <c r="P20" s="74"/>
      <c r="Q20" s="972">
        <v>46032</v>
      </c>
      <c r="R20" s="973" t="str">
        <f>TEXT(Tabla9[[#This Row],[Fecha]],"dddd")</f>
        <v>sábado</v>
      </c>
      <c r="S20" s="427" t="s">
        <v>494</v>
      </c>
      <c r="T20" s="427">
        <v>66</v>
      </c>
      <c r="U20" s="974">
        <v>1129.4100000000001</v>
      </c>
      <c r="V20" s="427"/>
      <c r="W20" s="76"/>
      <c r="X20" s="74"/>
      <c r="Y20" s="684" t="s">
        <v>494</v>
      </c>
      <c r="Z20" s="74">
        <v>212.45</v>
      </c>
    </row>
    <row r="21" spans="1:26">
      <c r="A21" s="684">
        <v>46032</v>
      </c>
      <c r="B21" s="684" t="s">
        <v>494</v>
      </c>
      <c r="C21" s="711">
        <f t="array" ref="C21">SUMPRODUCT(($I$3:$I$5022=$A21)*($N$3:$N$5022=B21)*$K$3:$K$5022)</f>
        <v>38.799999999999997</v>
      </c>
      <c r="D21" s="711">
        <f t="array" ref="D21">SUMPRODUCT(($Q$3:$Q$4998=$A21)*($S$3:$S$4998=B21)*$U$3:$U$4998)</f>
        <v>1129.4100000000001</v>
      </c>
      <c r="E21" s="711">
        <f t="shared" si="0"/>
        <v>1168.21</v>
      </c>
      <c r="F21" s="74"/>
      <c r="G21" s="74"/>
      <c r="H21" s="74"/>
      <c r="I21" s="133">
        <v>46024</v>
      </c>
      <c r="J21" s="134">
        <v>0.46736111111111112</v>
      </c>
      <c r="K21" s="135">
        <v>1.4</v>
      </c>
      <c r="L21" s="75">
        <v>1</v>
      </c>
      <c r="M21" s="75" t="s">
        <v>633</v>
      </c>
      <c r="N21" s="75" t="s">
        <v>146</v>
      </c>
      <c r="O21" s="75"/>
      <c r="P21" s="74"/>
      <c r="Q21" s="972">
        <v>46032</v>
      </c>
      <c r="R21" s="973" t="str">
        <f>TEXT(Tabla9[[#This Row],[Fecha]],"dddd")</f>
        <v>sábado</v>
      </c>
      <c r="S21" s="427" t="s">
        <v>146</v>
      </c>
      <c r="T21" s="427">
        <v>15</v>
      </c>
      <c r="U21" s="974">
        <v>42</v>
      </c>
      <c r="V21" s="427"/>
      <c r="W21" s="76"/>
      <c r="X21" s="74"/>
      <c r="Y21" s="684" t="s">
        <v>497</v>
      </c>
      <c r="Z21" s="74">
        <v>135.35</v>
      </c>
    </row>
    <row r="22" spans="1:26">
      <c r="A22" s="684">
        <v>46032</v>
      </c>
      <c r="B22" s="684" t="s">
        <v>497</v>
      </c>
      <c r="C22" s="711">
        <f t="array" ref="C22">SUMPRODUCT(($I$3:$I$5022=$A22)*($N$3:$N$5022=B22)*$K$3:$K$5022)</f>
        <v>0</v>
      </c>
      <c r="D22" s="711">
        <f t="array" ref="D22">SUMPRODUCT(($Q$3:$Q$4998=$A22)*($S$3:$S$4998=B22)*$U$3:$U$4998)</f>
        <v>1131.23</v>
      </c>
      <c r="E22" s="711">
        <f t="shared" si="0"/>
        <v>1131.23</v>
      </c>
      <c r="F22" s="74"/>
      <c r="G22" s="74"/>
      <c r="H22" s="74"/>
      <c r="I22" s="133">
        <v>46024</v>
      </c>
      <c r="J22" s="134">
        <v>0.47222222222222221</v>
      </c>
      <c r="K22" s="135">
        <v>1.55</v>
      </c>
      <c r="L22" s="75">
        <v>1</v>
      </c>
      <c r="M22" s="75" t="s">
        <v>633</v>
      </c>
      <c r="N22" s="75" t="s">
        <v>146</v>
      </c>
      <c r="O22" s="75"/>
      <c r="P22" s="74"/>
      <c r="Q22" s="972">
        <v>46032</v>
      </c>
      <c r="R22" s="973" t="str">
        <f>TEXT(Tabla9[[#This Row],[Fecha]],"dddd")</f>
        <v>sábado</v>
      </c>
      <c r="S22" s="427" t="s">
        <v>497</v>
      </c>
      <c r="T22" s="427">
        <v>63</v>
      </c>
      <c r="U22" s="974">
        <v>1131.23</v>
      </c>
      <c r="V22" s="427"/>
      <c r="W22" s="76"/>
      <c r="X22" s="74"/>
      <c r="Y22" s="684">
        <v>45667</v>
      </c>
      <c r="Z22" s="74">
        <v>983.4</v>
      </c>
    </row>
    <row r="23" spans="1:26">
      <c r="A23" s="684">
        <v>46033</v>
      </c>
      <c r="B23" s="74" t="s">
        <v>146</v>
      </c>
      <c r="C23" s="711">
        <f t="array" ref="C23">SUMPRODUCT(($I$3:$I$5022=$A23)*($N$3:$N$5022=B23)*$K$3:$K$5022)</f>
        <v>28.65</v>
      </c>
      <c r="D23" s="711">
        <f t="array" ref="D23">SUMPRODUCT(($Q$3:$Q$4998=$A23)*($S$3:$S$4998=B23)*$U$3:$U$4998)</f>
        <v>67.14</v>
      </c>
      <c r="E23" s="711">
        <f t="shared" si="0"/>
        <v>95.789999999999992</v>
      </c>
      <c r="F23" s="74"/>
      <c r="G23" s="74"/>
      <c r="H23" s="74"/>
      <c r="I23" s="133">
        <v>46024</v>
      </c>
      <c r="J23" s="134">
        <v>0.48819444444444438</v>
      </c>
      <c r="K23" s="135">
        <v>3</v>
      </c>
      <c r="L23" s="75">
        <v>2</v>
      </c>
      <c r="M23" s="75" t="s">
        <v>633</v>
      </c>
      <c r="N23" s="75" t="s">
        <v>146</v>
      </c>
      <c r="O23" s="75"/>
      <c r="P23" s="74"/>
      <c r="Q23" s="972">
        <v>46033</v>
      </c>
      <c r="R23" s="973" t="str">
        <f>TEXT(Tabla9[[#This Row],[Fecha]],"dddd")</f>
        <v>domingo</v>
      </c>
      <c r="S23" s="427" t="s">
        <v>494</v>
      </c>
      <c r="T23" s="427">
        <v>61</v>
      </c>
      <c r="U23" s="974">
        <v>720.5</v>
      </c>
      <c r="V23" s="427"/>
      <c r="W23" s="76"/>
      <c r="X23" s="74"/>
      <c r="Y23" s="684" t="s">
        <v>146</v>
      </c>
      <c r="Z23" s="74">
        <v>87.15</v>
      </c>
    </row>
    <row r="24" spans="1:26">
      <c r="A24" s="684">
        <v>46033</v>
      </c>
      <c r="B24" s="684" t="s">
        <v>494</v>
      </c>
      <c r="C24" s="711">
        <f t="array" ref="C24">SUMPRODUCT(($I$3:$I$5022=$A24)*($N$3:$N$5022=B24)*$K$3:$K$5022)</f>
        <v>38.349999999999994</v>
      </c>
      <c r="D24" s="711">
        <f t="array" ref="D24">SUMPRODUCT(($Q$3:$Q$4998=$A24)*($S$3:$S$4998=B24)*$U$3:$U$4998)</f>
        <v>720.5</v>
      </c>
      <c r="E24" s="711">
        <f t="shared" si="0"/>
        <v>758.85</v>
      </c>
      <c r="F24" s="74"/>
      <c r="G24" s="74"/>
      <c r="H24" s="74"/>
      <c r="I24" s="133">
        <v>46024</v>
      </c>
      <c r="J24" s="134">
        <v>0.52847222222222223</v>
      </c>
      <c r="K24" s="135">
        <v>1.55</v>
      </c>
      <c r="L24" s="75">
        <v>1</v>
      </c>
      <c r="M24" s="75" t="s">
        <v>633</v>
      </c>
      <c r="N24" s="75" t="s">
        <v>494</v>
      </c>
      <c r="O24" s="75"/>
      <c r="P24" s="74"/>
      <c r="Q24" s="972">
        <v>46033</v>
      </c>
      <c r="R24" s="973" t="str">
        <f>TEXT(Tabla9[[#This Row],[Fecha]],"dddd")</f>
        <v>domingo</v>
      </c>
      <c r="S24" s="427" t="s">
        <v>146</v>
      </c>
      <c r="T24" s="427">
        <v>17</v>
      </c>
      <c r="U24" s="974">
        <v>67.14</v>
      </c>
      <c r="V24" s="427"/>
      <c r="W24" s="76"/>
      <c r="X24" s="74"/>
      <c r="Y24" s="684" t="s">
        <v>494</v>
      </c>
      <c r="Z24" s="74">
        <v>199.25</v>
      </c>
    </row>
    <row r="25" spans="1:26">
      <c r="A25" s="684">
        <v>46036</v>
      </c>
      <c r="B25" s="684" t="s">
        <v>146</v>
      </c>
      <c r="C25" s="711">
        <f t="array" ref="C25">SUMPRODUCT(($I$3:$I$5022=$A25)*($N$3:$N$5022=B25)*$K$3:$K$5022)</f>
        <v>82.850000000000009</v>
      </c>
      <c r="D25" s="711">
        <f t="array" ref="D25">SUMPRODUCT(($Q$3:$Q$4998=$A25)*($S$3:$S$4998=B25)*$U$3:$U$4998)</f>
        <v>135.22999999999999</v>
      </c>
      <c r="E25" s="711">
        <f t="shared" si="0"/>
        <v>218.07999999999998</v>
      </c>
      <c r="F25" s="74"/>
      <c r="G25" s="74"/>
      <c r="H25" s="74"/>
      <c r="I25" s="133">
        <v>46024</v>
      </c>
      <c r="J25" s="134">
        <v>0.58958333333333335</v>
      </c>
      <c r="K25" s="135">
        <v>2.5</v>
      </c>
      <c r="L25" s="75">
        <v>1</v>
      </c>
      <c r="M25" s="75" t="s">
        <v>633</v>
      </c>
      <c r="N25" s="75" t="s">
        <v>494</v>
      </c>
      <c r="O25" s="75"/>
      <c r="P25" s="74"/>
      <c r="Q25" s="972">
        <v>46036</v>
      </c>
      <c r="R25" s="973" t="str">
        <f>TEXT(Tabla9[[#This Row],[Fecha]],"dddd")</f>
        <v>miércoles</v>
      </c>
      <c r="S25" s="427" t="s">
        <v>146</v>
      </c>
      <c r="T25" s="427">
        <v>17</v>
      </c>
      <c r="U25" s="974">
        <v>135.22999999999999</v>
      </c>
      <c r="V25" s="427"/>
      <c r="W25" s="76"/>
      <c r="X25" s="74"/>
      <c r="Y25" s="684" t="s">
        <v>497</v>
      </c>
      <c r="Z25" s="74">
        <v>697</v>
      </c>
    </row>
    <row r="26" spans="1:26">
      <c r="A26" s="684">
        <v>46036</v>
      </c>
      <c r="B26" s="684" t="s">
        <v>494</v>
      </c>
      <c r="C26" s="711">
        <f t="array" ref="C26">SUMPRODUCT(($I$3:$I$5022=$A26)*($N$3:$N$5022=B26)*$K$3:$K$5022)</f>
        <v>99.300000000000011</v>
      </c>
      <c r="D26" s="711">
        <f t="array" ref="D26">SUMPRODUCT(($Q$3:$Q$4998=$A26)*($S$3:$S$4998=B26)*$U$3:$U$4998)</f>
        <v>113.23</v>
      </c>
      <c r="E26" s="711">
        <f t="shared" si="0"/>
        <v>212.53000000000003</v>
      </c>
      <c r="F26" s="74"/>
      <c r="G26" s="74"/>
      <c r="H26" s="74"/>
      <c r="I26" s="133">
        <v>46024</v>
      </c>
      <c r="J26" s="134">
        <v>0.6069444444444444</v>
      </c>
      <c r="K26" s="135">
        <v>29.8</v>
      </c>
      <c r="L26" s="75">
        <v>3</v>
      </c>
      <c r="M26" s="75" t="s">
        <v>633</v>
      </c>
      <c r="N26" s="75" t="s">
        <v>494</v>
      </c>
      <c r="O26" s="75"/>
      <c r="P26" s="74"/>
      <c r="Q26" s="972">
        <v>46036</v>
      </c>
      <c r="R26" s="973" t="str">
        <f>TEXT(Tabla9[[#This Row],[Fecha]],"dddd")</f>
        <v>miércoles</v>
      </c>
      <c r="S26" s="427" t="s">
        <v>494</v>
      </c>
      <c r="T26" s="427">
        <v>15</v>
      </c>
      <c r="U26" s="974">
        <v>113.23</v>
      </c>
      <c r="V26" s="427"/>
      <c r="W26" s="76"/>
      <c r="X26" s="74"/>
      <c r="Y26" s="684">
        <v>45668</v>
      </c>
      <c r="Z26" s="74">
        <v>1596.55</v>
      </c>
    </row>
    <row r="27" spans="1:26">
      <c r="A27" s="684">
        <v>46036</v>
      </c>
      <c r="B27" s="74" t="s">
        <v>497</v>
      </c>
      <c r="C27" s="711">
        <f t="array" ref="C27">SUMPRODUCT(($I$3:$I$5022=$A27)*($N$3:$N$5022=B27)*$K$3:$K$5022)</f>
        <v>16.100000000000001</v>
      </c>
      <c r="D27" s="711">
        <f t="array" ref="D27">SUMPRODUCT(($Q$3:$Q$4998=$A27)*($S$3:$S$4998=B27)*$U$3:$U$4998)</f>
        <v>87.18</v>
      </c>
      <c r="E27" s="711">
        <f t="shared" si="0"/>
        <v>103.28</v>
      </c>
      <c r="F27" s="74"/>
      <c r="G27" s="74"/>
      <c r="H27" s="74"/>
      <c r="I27" s="133">
        <v>46024</v>
      </c>
      <c r="J27" s="134">
        <v>0.60763888888888884</v>
      </c>
      <c r="K27" s="135">
        <v>0</v>
      </c>
      <c r="L27" s="75">
        <v>1</v>
      </c>
      <c r="M27" s="75" t="s">
        <v>633</v>
      </c>
      <c r="N27" s="75" t="s">
        <v>494</v>
      </c>
      <c r="O27" s="75"/>
      <c r="P27" s="74"/>
      <c r="Q27" s="972">
        <v>46036</v>
      </c>
      <c r="R27" s="973" t="str">
        <f>TEXT(Tabla9[[#This Row],[Fecha]],"dddd")</f>
        <v>miércoles</v>
      </c>
      <c r="S27" s="427" t="s">
        <v>497</v>
      </c>
      <c r="T27" s="427">
        <v>8</v>
      </c>
      <c r="U27" s="974">
        <v>87.18</v>
      </c>
      <c r="V27" s="427"/>
      <c r="W27" s="76"/>
      <c r="X27" s="74"/>
      <c r="Y27" s="684" t="s">
        <v>146</v>
      </c>
      <c r="Z27" s="74">
        <v>436.9</v>
      </c>
    </row>
    <row r="28" spans="1:26">
      <c r="A28" s="684">
        <v>46037</v>
      </c>
      <c r="B28" s="684" t="s">
        <v>146</v>
      </c>
      <c r="C28" s="711">
        <f t="array" ref="C28">SUMPRODUCT(($I$3:$I$5022=$A28)*($N$3:$N$5022=B28)*$K$3:$K$5022)</f>
        <v>66.449999999999989</v>
      </c>
      <c r="D28" s="711">
        <f t="array" ref="D28">SUMPRODUCT(($Q$3:$Q$4998=$A28)*($S$3:$S$4998=B28)*$U$3:$U$4998)</f>
        <v>59.09</v>
      </c>
      <c r="E28" s="711">
        <f t="shared" si="0"/>
        <v>125.53999999999999</v>
      </c>
      <c r="F28" s="74"/>
      <c r="G28" s="74"/>
      <c r="H28" s="74"/>
      <c r="I28" s="133">
        <v>46024</v>
      </c>
      <c r="J28" s="134">
        <v>0.62708333333333333</v>
      </c>
      <c r="K28" s="135">
        <v>35.700000000000003</v>
      </c>
      <c r="L28" s="75">
        <v>2</v>
      </c>
      <c r="M28" s="75" t="s">
        <v>633</v>
      </c>
      <c r="N28" s="75" t="s">
        <v>494</v>
      </c>
      <c r="O28" s="75"/>
      <c r="P28" s="74"/>
      <c r="Q28" s="972">
        <v>46037</v>
      </c>
      <c r="R28" s="973" t="str">
        <f>TEXT(Tabla9[[#This Row],[Fecha]],"dddd")</f>
        <v>jueves</v>
      </c>
      <c r="S28" s="427" t="s">
        <v>146</v>
      </c>
      <c r="T28" s="427">
        <v>8</v>
      </c>
      <c r="U28" s="974">
        <v>59.09</v>
      </c>
      <c r="V28" s="427"/>
      <c r="W28" s="76"/>
      <c r="X28" s="74"/>
      <c r="Y28" s="684" t="s">
        <v>494</v>
      </c>
      <c r="Z28" s="74">
        <v>735.3</v>
      </c>
    </row>
    <row r="29" spans="1:26">
      <c r="A29" s="684">
        <v>46037</v>
      </c>
      <c r="B29" s="684" t="s">
        <v>494</v>
      </c>
      <c r="C29" s="711">
        <f t="array" ref="C29">SUMPRODUCT(($I$3:$I$5022=$A29)*($N$3:$N$5022=B29)*$K$3:$K$5022)</f>
        <v>11.7</v>
      </c>
      <c r="D29" s="711">
        <f t="array" ref="D29">SUMPRODUCT(($Q$3:$Q$4998=$A29)*($S$3:$S$4998=B29)*$U$3:$U$4998)</f>
        <v>457.86</v>
      </c>
      <c r="E29" s="711">
        <f t="shared" si="0"/>
        <v>469.56</v>
      </c>
      <c r="F29" s="74"/>
      <c r="G29" s="74"/>
      <c r="H29" s="74"/>
      <c r="I29" s="133">
        <v>46024</v>
      </c>
      <c r="J29" s="134">
        <v>0.67083333333333328</v>
      </c>
      <c r="K29" s="135">
        <v>21.1</v>
      </c>
      <c r="L29" s="75">
        <v>1</v>
      </c>
      <c r="M29" s="75" t="s">
        <v>633</v>
      </c>
      <c r="N29" s="75" t="s">
        <v>494</v>
      </c>
      <c r="O29" s="75"/>
      <c r="P29" s="74"/>
      <c r="Q29" s="972">
        <v>46037</v>
      </c>
      <c r="R29" s="973" t="str">
        <f>TEXT(Tabla9[[#This Row],[Fecha]],"dddd")</f>
        <v>jueves</v>
      </c>
      <c r="S29" s="427" t="s">
        <v>494</v>
      </c>
      <c r="T29" s="427">
        <v>33</v>
      </c>
      <c r="U29" s="974">
        <v>457.86</v>
      </c>
      <c r="V29" s="427"/>
      <c r="W29" s="76"/>
      <c r="X29" s="74"/>
      <c r="Y29" s="684" t="s">
        <v>497</v>
      </c>
      <c r="Z29" s="74">
        <v>424.35</v>
      </c>
    </row>
    <row r="30" spans="1:26">
      <c r="A30" s="684">
        <v>46037</v>
      </c>
      <c r="B30" s="74" t="s">
        <v>497</v>
      </c>
      <c r="C30" s="711">
        <f t="array" ref="C30">SUMPRODUCT(($I$3:$I$5022=$A30)*($N$3:$N$5022=B30)*$K$3:$K$5022)</f>
        <v>6.1</v>
      </c>
      <c r="D30" s="711">
        <f t="array" ref="D30">SUMPRODUCT(($Q$3:$Q$4998=$A30)*($S$3:$S$4998=B30)*$U$3:$U$4998)</f>
        <v>204.5</v>
      </c>
      <c r="E30" s="711">
        <f t="shared" si="0"/>
        <v>210.6</v>
      </c>
      <c r="F30" s="74"/>
      <c r="G30" s="74"/>
      <c r="H30" s="74"/>
      <c r="I30" s="133">
        <v>46025</v>
      </c>
      <c r="J30" s="134">
        <v>0.3527777777777778</v>
      </c>
      <c r="K30" s="135">
        <v>1.5</v>
      </c>
      <c r="L30" s="75">
        <v>1</v>
      </c>
      <c r="M30" s="75" t="s">
        <v>635</v>
      </c>
      <c r="N30" s="75" t="s">
        <v>146</v>
      </c>
      <c r="O30" s="75"/>
      <c r="P30" s="74"/>
      <c r="Q30" s="972">
        <v>46037</v>
      </c>
      <c r="R30" s="973" t="str">
        <f>TEXT(Tabla9[[#This Row],[Fecha]],"dddd")</f>
        <v>jueves</v>
      </c>
      <c r="S30" s="427" t="s">
        <v>497</v>
      </c>
      <c r="T30" s="427">
        <v>12</v>
      </c>
      <c r="U30" s="974">
        <v>204.5</v>
      </c>
      <c r="V30" s="427"/>
      <c r="W30" s="76"/>
      <c r="X30" s="74"/>
      <c r="Y30" s="684">
        <v>45669</v>
      </c>
      <c r="Z30" s="74">
        <v>1109.6500000000001</v>
      </c>
    </row>
    <row r="31" spans="1:26">
      <c r="A31" s="684">
        <v>46038</v>
      </c>
      <c r="B31" s="684" t="s">
        <v>146</v>
      </c>
      <c r="C31" s="711">
        <f t="array" ref="C31">SUMPRODUCT(($I$3:$I$5022=$A31)*($N$3:$N$5022=B31)*$K$3:$K$5022)</f>
        <v>41.3</v>
      </c>
      <c r="D31" s="711">
        <f t="array" ref="D31">SUMPRODUCT(($Q$3:$Q$4998=$A31)*($S$3:$S$4998=B31)*$U$3:$U$4998)</f>
        <v>66.59</v>
      </c>
      <c r="E31" s="711">
        <f t="shared" si="0"/>
        <v>107.89</v>
      </c>
      <c r="F31" s="74"/>
      <c r="G31" s="74"/>
      <c r="H31" s="74"/>
      <c r="I31" s="133">
        <v>46025</v>
      </c>
      <c r="J31" s="134">
        <v>0.375</v>
      </c>
      <c r="K31" s="135">
        <v>2.15</v>
      </c>
      <c r="L31" s="75">
        <v>1</v>
      </c>
      <c r="M31" s="75" t="s">
        <v>635</v>
      </c>
      <c r="N31" s="75" t="s">
        <v>146</v>
      </c>
      <c r="O31" s="75"/>
      <c r="P31" s="74"/>
      <c r="Q31" s="972">
        <v>46038</v>
      </c>
      <c r="R31" s="973" t="str">
        <f>TEXT(Tabla9[[#This Row],[Fecha]],"dddd")</f>
        <v>viernes</v>
      </c>
      <c r="S31" s="427" t="s">
        <v>494</v>
      </c>
      <c r="T31" s="427">
        <v>14</v>
      </c>
      <c r="U31" s="974">
        <v>157.82</v>
      </c>
      <c r="V31" s="427"/>
      <c r="W31" s="76"/>
      <c r="X31" s="74"/>
      <c r="Y31" s="684" t="s">
        <v>146</v>
      </c>
      <c r="Z31" s="74">
        <v>191.65</v>
      </c>
    </row>
    <row r="32" spans="1:26">
      <c r="A32" s="684">
        <v>46038</v>
      </c>
      <c r="B32" s="684" t="s">
        <v>494</v>
      </c>
      <c r="C32" s="711">
        <f t="array" ref="C32">SUMPRODUCT(($I$3:$I$5022=$A32)*($N$3:$N$5022=B32)*$K$3:$K$5022)</f>
        <v>51.5</v>
      </c>
      <c r="D32" s="711">
        <f t="array" ref="D32">SUMPRODUCT(($Q$3:$Q$4998=$A32)*($S$3:$S$4998=B32)*$U$3:$U$4998)</f>
        <v>157.82</v>
      </c>
      <c r="E32" s="711">
        <f t="shared" si="0"/>
        <v>209.32</v>
      </c>
      <c r="F32" s="74"/>
      <c r="G32" s="74"/>
      <c r="H32" s="74"/>
      <c r="I32" s="133">
        <v>46025</v>
      </c>
      <c r="J32" s="134">
        <v>0.37569444444444439</v>
      </c>
      <c r="K32" s="135">
        <v>1.5</v>
      </c>
      <c r="L32" s="75">
        <v>1</v>
      </c>
      <c r="M32" s="75" t="s">
        <v>635</v>
      </c>
      <c r="N32" s="75" t="s">
        <v>146</v>
      </c>
      <c r="O32" s="75"/>
      <c r="P32" s="74"/>
      <c r="Q32" s="972">
        <v>46038</v>
      </c>
      <c r="R32" s="973" t="str">
        <f>TEXT(Tabla9[[#This Row],[Fecha]],"dddd")</f>
        <v>viernes</v>
      </c>
      <c r="S32" s="427" t="s">
        <v>146</v>
      </c>
      <c r="T32" s="427">
        <v>14</v>
      </c>
      <c r="U32" s="974">
        <v>66.59</v>
      </c>
      <c r="V32" s="427"/>
      <c r="W32" s="76"/>
      <c r="X32" s="74"/>
      <c r="Y32" s="684" t="s">
        <v>494</v>
      </c>
      <c r="Z32" s="74">
        <v>918</v>
      </c>
    </row>
    <row r="33" spans="1:26">
      <c r="A33" s="684">
        <v>46038</v>
      </c>
      <c r="B33" s="684" t="s">
        <v>497</v>
      </c>
      <c r="C33" s="711">
        <f t="array" ref="C33">SUMPRODUCT(($I$3:$I$5022=$A33)*($N$3:$N$5022=B33)*$K$3:$K$5022)</f>
        <v>18</v>
      </c>
      <c r="D33" s="711">
        <f t="array" ref="D33">SUMPRODUCT(($Q$3:$Q$4998=$A33)*($S$3:$S$4998=B33)*$U$3:$U$4998)</f>
        <v>915.73</v>
      </c>
      <c r="E33" s="711">
        <f t="shared" si="0"/>
        <v>933.73</v>
      </c>
      <c r="F33" s="74"/>
      <c r="G33" s="74"/>
      <c r="H33" s="74"/>
      <c r="I33" s="133">
        <v>46025</v>
      </c>
      <c r="J33" s="134">
        <v>0.39583333333333331</v>
      </c>
      <c r="K33" s="135">
        <v>1.5</v>
      </c>
      <c r="L33" s="75">
        <v>1</v>
      </c>
      <c r="M33" s="75" t="s">
        <v>635</v>
      </c>
      <c r="N33" s="75" t="s">
        <v>146</v>
      </c>
      <c r="O33" s="75"/>
      <c r="P33" s="74"/>
      <c r="Q33" s="972">
        <v>46038</v>
      </c>
      <c r="R33" s="973" t="str">
        <f>TEXT(Tabla9[[#This Row],[Fecha]],"dddd")</f>
        <v>viernes</v>
      </c>
      <c r="S33" s="427" t="s">
        <v>497</v>
      </c>
      <c r="T33" s="427">
        <v>49</v>
      </c>
      <c r="U33" s="974">
        <v>915.73</v>
      </c>
      <c r="V33" s="427"/>
      <c r="W33" s="76"/>
      <c r="X33" s="74"/>
      <c r="Y33" s="684">
        <v>45672</v>
      </c>
      <c r="Z33" s="74">
        <v>895.6</v>
      </c>
    </row>
    <row r="34" spans="1:26">
      <c r="A34" s="684">
        <v>46039</v>
      </c>
      <c r="B34" s="74" t="s">
        <v>146</v>
      </c>
      <c r="C34" s="711">
        <f t="array" ref="C34">SUMPRODUCT(($I$3:$I$5022=$A34)*($N$3:$N$5022=B34)*$K$3:$K$5022)</f>
        <v>43.600000000000009</v>
      </c>
      <c r="D34" s="711">
        <f t="array" ref="D34">SUMPRODUCT(($Q$3:$Q$4998=$A34)*($S$3:$S$4998=B34)*$U$3:$U$4998)</f>
        <v>41.59</v>
      </c>
      <c r="E34" s="711">
        <f t="shared" si="0"/>
        <v>85.190000000000012</v>
      </c>
      <c r="F34" s="74"/>
      <c r="G34" s="74"/>
      <c r="H34" s="74"/>
      <c r="I34" s="133">
        <v>46025</v>
      </c>
      <c r="J34" s="134">
        <v>0.39861111111111108</v>
      </c>
      <c r="K34" s="135">
        <v>4.95</v>
      </c>
      <c r="L34" s="75">
        <v>1</v>
      </c>
      <c r="M34" s="75" t="s">
        <v>635</v>
      </c>
      <c r="N34" s="75" t="s">
        <v>146</v>
      </c>
      <c r="O34" s="75"/>
      <c r="P34" s="74"/>
      <c r="Q34" s="972">
        <v>46039</v>
      </c>
      <c r="R34" s="973" t="str">
        <f>TEXT(Tabla9[[#This Row],[Fecha]],"dddd")</f>
        <v>sábado</v>
      </c>
      <c r="S34" s="427" t="s">
        <v>146</v>
      </c>
      <c r="T34" s="427">
        <v>9</v>
      </c>
      <c r="U34" s="974">
        <v>41.59</v>
      </c>
      <c r="V34" s="427"/>
      <c r="W34" s="76"/>
      <c r="X34" s="74"/>
      <c r="Y34" s="684" t="s">
        <v>146</v>
      </c>
      <c r="Z34" s="74">
        <v>124.65</v>
      </c>
    </row>
    <row r="35" spans="1:26">
      <c r="A35" s="684">
        <v>46039</v>
      </c>
      <c r="B35" s="684" t="s">
        <v>494</v>
      </c>
      <c r="C35" s="711">
        <f t="array" ref="C35">SUMPRODUCT(($I$3:$I$5022=$A35)*($N$3:$N$5022=B35)*$K$3:$K$5022)</f>
        <v>3.2</v>
      </c>
      <c r="D35" s="711">
        <f t="array" ref="D35">SUMPRODUCT(($Q$3:$Q$4998=$A35)*($S$3:$S$4998=B35)*$U$3:$U$4998)</f>
        <v>457.55</v>
      </c>
      <c r="E35" s="711">
        <f t="shared" si="0"/>
        <v>460.75</v>
      </c>
      <c r="F35" s="74"/>
      <c r="G35" s="74"/>
      <c r="H35" s="74"/>
      <c r="I35" s="133">
        <v>46025</v>
      </c>
      <c r="J35" s="134">
        <v>0.40416666666666667</v>
      </c>
      <c r="K35" s="135">
        <v>9.5</v>
      </c>
      <c r="L35" s="75">
        <v>3</v>
      </c>
      <c r="M35" s="75" t="s">
        <v>635</v>
      </c>
      <c r="N35" s="75" t="s">
        <v>146</v>
      </c>
      <c r="O35" s="75"/>
      <c r="P35" s="74"/>
      <c r="Q35" s="972">
        <v>46039</v>
      </c>
      <c r="R35" s="973" t="str">
        <f>TEXT(Tabla9[[#This Row],[Fecha]],"dddd")</f>
        <v>sábado</v>
      </c>
      <c r="S35" s="427" t="s">
        <v>494</v>
      </c>
      <c r="T35" s="427">
        <v>42</v>
      </c>
      <c r="U35" s="974">
        <v>457.55</v>
      </c>
      <c r="V35" s="427"/>
      <c r="W35" s="76"/>
      <c r="X35" s="74"/>
      <c r="Y35" s="684" t="s">
        <v>494</v>
      </c>
      <c r="Z35" s="74">
        <v>573.04999999999995</v>
      </c>
    </row>
    <row r="36" spans="1:26">
      <c r="A36" s="684">
        <v>46039</v>
      </c>
      <c r="B36" s="684" t="s">
        <v>497</v>
      </c>
      <c r="C36" s="711">
        <f t="array" ref="C36">SUMPRODUCT(($I$3:$I$5022=$A36)*($N$3:$N$5022=B36)*$K$3:$K$5022)</f>
        <v>0</v>
      </c>
      <c r="D36" s="711">
        <f t="array" ref="D36">SUMPRODUCT(($Q$3:$Q$4998=$A36)*($S$3:$S$4998=B36)*$U$3:$U$4998)</f>
        <v>455.55</v>
      </c>
      <c r="E36" s="711">
        <f t="shared" si="0"/>
        <v>455.55</v>
      </c>
      <c r="F36" s="74"/>
      <c r="G36" s="74"/>
      <c r="H36" s="74"/>
      <c r="I36" s="133">
        <v>46025</v>
      </c>
      <c r="J36" s="134">
        <v>0.40486111111111112</v>
      </c>
      <c r="K36" s="135">
        <v>7.9</v>
      </c>
      <c r="L36" s="75">
        <v>2</v>
      </c>
      <c r="M36" s="75" t="s">
        <v>635</v>
      </c>
      <c r="N36" s="75" t="s">
        <v>146</v>
      </c>
      <c r="O36" s="75"/>
      <c r="P36" s="74"/>
      <c r="Q36" s="972">
        <v>46039</v>
      </c>
      <c r="R36" s="973" t="str">
        <f>TEXT(Tabla9[[#This Row],[Fecha]],"dddd")</f>
        <v>sábado</v>
      </c>
      <c r="S36" s="427" t="s">
        <v>497</v>
      </c>
      <c r="T36" s="427">
        <v>28</v>
      </c>
      <c r="U36" s="974">
        <v>455.55</v>
      </c>
      <c r="V36" s="427"/>
      <c r="W36" s="76"/>
      <c r="X36" s="74"/>
      <c r="Y36" s="684" t="s">
        <v>497</v>
      </c>
      <c r="Z36" s="74">
        <v>197.9</v>
      </c>
    </row>
    <row r="37" spans="1:26">
      <c r="A37" s="684">
        <v>46040</v>
      </c>
      <c r="B37" s="684" t="s">
        <v>146</v>
      </c>
      <c r="C37" s="711">
        <f t="array" ref="C37">SUMPRODUCT(($I$3:$I$5022=$A37)*($N$3:$N$5022=B37)*$K$3:$K$5022)</f>
        <v>87.2</v>
      </c>
      <c r="D37" s="711">
        <f t="array" ref="D37">SUMPRODUCT(($Q$3:$Q$4998=$A37)*($S$3:$S$4998=B37)*$U$3:$U$4998)</f>
        <v>70.5</v>
      </c>
      <c r="E37" s="711">
        <f t="shared" si="0"/>
        <v>157.69999999999999</v>
      </c>
      <c r="F37" s="74"/>
      <c r="G37" s="74"/>
      <c r="H37" s="74"/>
      <c r="I37" s="133">
        <v>46025</v>
      </c>
      <c r="J37" s="134">
        <v>0.42222222222222222</v>
      </c>
      <c r="K37" s="135">
        <v>3.1</v>
      </c>
      <c r="L37" s="75">
        <v>2</v>
      </c>
      <c r="M37" s="75" t="s">
        <v>635</v>
      </c>
      <c r="N37" s="75" t="s">
        <v>146</v>
      </c>
      <c r="O37" s="75"/>
      <c r="P37" s="74"/>
      <c r="Q37" s="972">
        <v>46040</v>
      </c>
      <c r="R37" s="973" t="str">
        <f>TEXT(Tabla9[[#This Row],[Fecha]],"dddd")</f>
        <v>domingo</v>
      </c>
      <c r="S37" s="427" t="s">
        <v>494</v>
      </c>
      <c r="T37" s="427">
        <v>69</v>
      </c>
      <c r="U37" s="974">
        <v>935.32</v>
      </c>
      <c r="V37" s="427"/>
      <c r="W37" s="76"/>
      <c r="X37" s="74"/>
      <c r="Y37" s="684">
        <v>45673</v>
      </c>
      <c r="Z37" s="74">
        <v>744.65</v>
      </c>
    </row>
    <row r="38" spans="1:26">
      <c r="A38" s="684">
        <v>46040</v>
      </c>
      <c r="B38" s="74" t="s">
        <v>494</v>
      </c>
      <c r="C38" s="711">
        <f t="array" ref="C38">SUMPRODUCT(($I$3:$I$5022=$A38)*($N$3:$N$5022=B38)*$K$3:$K$5022)</f>
        <v>30.55</v>
      </c>
      <c r="D38" s="711">
        <f t="array" ref="D38">SUMPRODUCT(($Q$3:$Q$4998=$A38)*($S$3:$S$4998=B38)*$U$3:$U$4998)</f>
        <v>935.32</v>
      </c>
      <c r="E38" s="711">
        <f t="shared" si="0"/>
        <v>965.87</v>
      </c>
      <c r="F38" s="74"/>
      <c r="G38" s="74"/>
      <c r="H38" s="74"/>
      <c r="I38" s="133">
        <v>46025</v>
      </c>
      <c r="J38" s="134">
        <v>0.43333333333333329</v>
      </c>
      <c r="K38" s="135">
        <v>1.5</v>
      </c>
      <c r="L38" s="75">
        <v>1</v>
      </c>
      <c r="M38" s="75" t="s">
        <v>635</v>
      </c>
      <c r="N38" s="75" t="s">
        <v>146</v>
      </c>
      <c r="O38" s="75"/>
      <c r="P38" s="74"/>
      <c r="Q38" s="972">
        <v>46040</v>
      </c>
      <c r="R38" s="973" t="str">
        <f>TEXT(Tabla9[[#This Row],[Fecha]],"dddd")</f>
        <v>domingo</v>
      </c>
      <c r="S38" s="427" t="s">
        <v>146</v>
      </c>
      <c r="T38" s="427">
        <v>11</v>
      </c>
      <c r="U38" s="974">
        <v>70.5</v>
      </c>
      <c r="V38" s="427"/>
      <c r="W38" s="76"/>
      <c r="X38" s="74"/>
      <c r="Y38" s="684" t="s">
        <v>146</v>
      </c>
      <c r="Z38" s="74">
        <v>122.3</v>
      </c>
    </row>
    <row r="39" spans="1:26">
      <c r="A39" s="684">
        <v>46043</v>
      </c>
      <c r="B39" s="684" t="s">
        <v>146</v>
      </c>
      <c r="C39" s="711">
        <f t="array" ref="C39">SUMPRODUCT(($I$3:$I$5022=$A39)*($N$3:$N$5022=B39)*$K$3:$K$5022)</f>
        <v>98.850000000000023</v>
      </c>
      <c r="D39" s="711">
        <f t="array" ref="D39">SUMPRODUCT(($Q$3:$Q$4998=$A39)*($S$3:$S$4998=B39)*$U$3:$U$4998)</f>
        <v>102.46</v>
      </c>
      <c r="E39" s="711">
        <f t="shared" si="0"/>
        <v>201.31</v>
      </c>
      <c r="F39" s="74"/>
      <c r="G39" s="74"/>
      <c r="H39" s="74"/>
      <c r="I39" s="133">
        <v>46025</v>
      </c>
      <c r="J39" s="134">
        <v>0.43333333333333329</v>
      </c>
      <c r="K39" s="135">
        <v>4.8</v>
      </c>
      <c r="L39" s="75">
        <v>1</v>
      </c>
      <c r="M39" s="75" t="s">
        <v>635</v>
      </c>
      <c r="N39" s="75" t="s">
        <v>146</v>
      </c>
      <c r="O39" s="75"/>
      <c r="P39" s="74"/>
      <c r="Q39" s="972">
        <v>46043</v>
      </c>
      <c r="R39" s="973" t="str">
        <f>TEXT(Tabla9[[#This Row],[Fecha]],"dddd")</f>
        <v>miércoles</v>
      </c>
      <c r="S39" s="427" t="s">
        <v>146</v>
      </c>
      <c r="T39" s="427">
        <v>26</v>
      </c>
      <c r="U39" s="974">
        <v>102.46</v>
      </c>
      <c r="V39" s="427"/>
      <c r="W39" s="76"/>
      <c r="X39" s="74"/>
      <c r="Y39" s="684" t="s">
        <v>494</v>
      </c>
      <c r="Z39" s="74">
        <v>147.94999999999999</v>
      </c>
    </row>
    <row r="40" spans="1:26">
      <c r="A40" s="684">
        <v>46043</v>
      </c>
      <c r="B40" s="684" t="s">
        <v>494</v>
      </c>
      <c r="C40" s="711">
        <f t="array" ref="C40">SUMPRODUCT(($I$3:$I$5022=$A40)*($N$3:$N$5022=B40)*$K$3:$K$5022)</f>
        <v>129.9</v>
      </c>
      <c r="D40" s="711">
        <f t="array" ref="D40">SUMPRODUCT(($Q$3:$Q$4998=$A40)*($S$3:$S$4998=B40)*$U$3:$U$4998)</f>
        <v>214.91</v>
      </c>
      <c r="E40" s="711">
        <f t="shared" si="0"/>
        <v>344.81</v>
      </c>
      <c r="F40" s="74"/>
      <c r="G40" s="74"/>
      <c r="H40" s="74"/>
      <c r="I40" s="133">
        <v>46025</v>
      </c>
      <c r="J40" s="134">
        <v>0.43541666666666667</v>
      </c>
      <c r="K40" s="135">
        <v>7.1</v>
      </c>
      <c r="L40" s="75">
        <v>1</v>
      </c>
      <c r="M40" s="75" t="s">
        <v>635</v>
      </c>
      <c r="N40" s="75" t="s">
        <v>146</v>
      </c>
      <c r="O40" s="75"/>
      <c r="P40" s="74"/>
      <c r="Q40" s="972">
        <v>46043</v>
      </c>
      <c r="R40" s="973" t="str">
        <f>TEXT(Tabla9[[#This Row],[Fecha]],"dddd")</f>
        <v>miércoles</v>
      </c>
      <c r="S40" s="427" t="s">
        <v>494</v>
      </c>
      <c r="T40" s="427">
        <v>21</v>
      </c>
      <c r="U40" s="974">
        <v>214.91</v>
      </c>
      <c r="V40" s="427"/>
      <c r="W40" s="76"/>
      <c r="X40" s="74"/>
      <c r="Y40" s="684" t="s">
        <v>497</v>
      </c>
      <c r="Z40" s="74">
        <v>474.4</v>
      </c>
    </row>
    <row r="41" spans="1:26">
      <c r="A41" s="684">
        <v>46043</v>
      </c>
      <c r="B41" s="684" t="s">
        <v>497</v>
      </c>
      <c r="C41" s="711">
        <f t="array" ref="C41">SUMPRODUCT(($I$3:$I$5022=$A41)*($N$3:$N$5022=B41)*$K$3:$K$5022)</f>
        <v>5</v>
      </c>
      <c r="D41" s="711">
        <f t="array" ref="D41">SUMPRODUCT(($Q$3:$Q$4998=$A41)*($S$3:$S$4998=B41)*$U$3:$U$4998)</f>
        <v>203.73</v>
      </c>
      <c r="E41" s="711">
        <f t="shared" si="0"/>
        <v>208.73</v>
      </c>
      <c r="F41" s="74"/>
      <c r="G41" s="74"/>
      <c r="H41" s="74"/>
      <c r="I41" s="133">
        <v>46025</v>
      </c>
      <c r="J41" s="134">
        <v>0.43611111111111112</v>
      </c>
      <c r="K41" s="135">
        <v>34.200000000000003</v>
      </c>
      <c r="L41" s="75">
        <v>4</v>
      </c>
      <c r="M41" s="75" t="s">
        <v>635</v>
      </c>
      <c r="N41" s="75" t="s">
        <v>146</v>
      </c>
      <c r="O41" s="75"/>
      <c r="P41" s="74"/>
      <c r="Q41" s="972">
        <v>46043</v>
      </c>
      <c r="R41" s="973" t="str">
        <f>TEXT(Tabla9[[#This Row],[Fecha]],"dddd")</f>
        <v>miércoles</v>
      </c>
      <c r="S41" s="427" t="s">
        <v>497</v>
      </c>
      <c r="T41" s="427">
        <v>13</v>
      </c>
      <c r="U41" s="974">
        <v>203.73</v>
      </c>
      <c r="V41" s="427"/>
      <c r="W41" s="76"/>
      <c r="X41" s="74"/>
      <c r="Y41" s="684">
        <v>45674</v>
      </c>
      <c r="Z41" s="74">
        <v>1440.6</v>
      </c>
    </row>
    <row r="42" spans="1:26">
      <c r="A42" s="684">
        <v>46044</v>
      </c>
      <c r="B42" s="74" t="s">
        <v>146</v>
      </c>
      <c r="C42" s="711">
        <f t="array" ref="C42">SUMPRODUCT(($I$3:$I$5022=$A42)*($N$3:$N$5022=B42)*$K$3:$K$5022)</f>
        <v>66.05</v>
      </c>
      <c r="D42" s="711">
        <f t="array" ref="D42">SUMPRODUCT(($Q$3:$Q$4998=$A42)*($S$3:$S$4998=B42)*$U$3:$U$4998)</f>
        <v>84.91</v>
      </c>
      <c r="E42" s="711">
        <f t="shared" si="0"/>
        <v>150.95999999999998</v>
      </c>
      <c r="F42" s="74"/>
      <c r="G42" s="74"/>
      <c r="H42" s="74"/>
      <c r="I42" s="133">
        <v>46025</v>
      </c>
      <c r="J42" s="134">
        <v>0.49236111111111108</v>
      </c>
      <c r="K42" s="135">
        <v>3</v>
      </c>
      <c r="L42" s="75">
        <v>1</v>
      </c>
      <c r="M42" s="75" t="s">
        <v>635</v>
      </c>
      <c r="N42" s="75" t="s">
        <v>146</v>
      </c>
      <c r="O42" s="75"/>
      <c r="P42" s="74"/>
      <c r="Q42" s="972">
        <v>46044</v>
      </c>
      <c r="R42" s="973" t="str">
        <f>TEXT(Tabla9[[#This Row],[Fecha]],"dddd")</f>
        <v>jueves</v>
      </c>
      <c r="S42" s="427" t="s">
        <v>146</v>
      </c>
      <c r="T42" s="427">
        <v>23</v>
      </c>
      <c r="U42" s="974">
        <v>84.91</v>
      </c>
      <c r="V42" s="427"/>
      <c r="W42" s="76"/>
      <c r="X42" s="74"/>
      <c r="Y42" s="684" t="s">
        <v>146</v>
      </c>
      <c r="Z42" s="74">
        <v>160.15</v>
      </c>
    </row>
    <row r="43" spans="1:26">
      <c r="A43" s="684">
        <v>46044</v>
      </c>
      <c r="B43" s="684" t="s">
        <v>494</v>
      </c>
      <c r="C43" s="711">
        <f t="array" ref="C43">SUMPRODUCT(($I$3:$I$5022=$A43)*($N$3:$N$5022=B43)*$K$3:$K$5022)</f>
        <v>115.35</v>
      </c>
      <c r="D43" s="711">
        <f t="array" ref="D43">SUMPRODUCT(($Q$3:$Q$4998=$A43)*($S$3:$S$4998=B43)*$U$3:$U$4998)</f>
        <v>509.59</v>
      </c>
      <c r="E43" s="711">
        <f t="shared" si="0"/>
        <v>624.93999999999994</v>
      </c>
      <c r="F43" s="74"/>
      <c r="G43" s="74"/>
      <c r="H43" s="74"/>
      <c r="I43" s="133">
        <v>46025</v>
      </c>
      <c r="J43" s="134">
        <v>0.49791666666666667</v>
      </c>
      <c r="K43" s="135">
        <v>23.35</v>
      </c>
      <c r="L43" s="75">
        <v>4</v>
      </c>
      <c r="M43" s="75" t="s">
        <v>635</v>
      </c>
      <c r="N43" s="75" t="s">
        <v>146</v>
      </c>
      <c r="O43" s="75"/>
      <c r="P43" s="74"/>
      <c r="Q43" s="972">
        <v>46044</v>
      </c>
      <c r="R43" s="973" t="str">
        <f>TEXT(Tabla9[[#This Row],[Fecha]],"dddd")</f>
        <v>jueves</v>
      </c>
      <c r="S43" s="427" t="s">
        <v>494</v>
      </c>
      <c r="T43" s="427">
        <v>45</v>
      </c>
      <c r="U43" s="974">
        <v>509.59</v>
      </c>
      <c r="V43" s="427"/>
      <c r="W43" s="76"/>
      <c r="X43" s="74"/>
      <c r="Y43" s="684" t="s">
        <v>494</v>
      </c>
      <c r="Z43" s="74">
        <v>366.9</v>
      </c>
    </row>
    <row r="44" spans="1:26">
      <c r="A44" s="684">
        <v>46044</v>
      </c>
      <c r="B44" s="684" t="s">
        <v>497</v>
      </c>
      <c r="C44" s="711">
        <f t="array" ref="C44">SUMPRODUCT(($I$3:$I$5022=$A44)*($N$3:$N$5022=B44)*$K$3:$K$5022)</f>
        <v>9.9499999999999993</v>
      </c>
      <c r="D44" s="711">
        <f t="array" ref="D44">SUMPRODUCT(($Q$3:$Q$4998=$A44)*($S$3:$S$4998=B44)*$U$3:$U$4998)</f>
        <v>82.73</v>
      </c>
      <c r="E44" s="711">
        <f t="shared" si="0"/>
        <v>92.68</v>
      </c>
      <c r="F44" s="74"/>
      <c r="G44" s="74"/>
      <c r="H44" s="74"/>
      <c r="I44" s="133">
        <v>46025</v>
      </c>
      <c r="J44" s="134">
        <v>0.50277777777777777</v>
      </c>
      <c r="K44" s="135">
        <v>1.95</v>
      </c>
      <c r="L44" s="75">
        <v>2</v>
      </c>
      <c r="M44" s="75" t="s">
        <v>635</v>
      </c>
      <c r="N44" s="75" t="s">
        <v>494</v>
      </c>
      <c r="O44" s="75"/>
      <c r="P44" s="74"/>
      <c r="Q44" s="972">
        <v>46044</v>
      </c>
      <c r="R44" s="973" t="str">
        <f>TEXT(Tabla9[[#This Row],[Fecha]],"dddd")</f>
        <v>jueves</v>
      </c>
      <c r="S44" s="427" t="s">
        <v>497</v>
      </c>
      <c r="T44" s="427">
        <v>6</v>
      </c>
      <c r="U44" s="974">
        <v>82.73</v>
      </c>
      <c r="V44" s="427"/>
      <c r="W44" s="76"/>
      <c r="X44" s="74"/>
      <c r="Y44" s="684" t="s">
        <v>497</v>
      </c>
      <c r="Z44" s="74">
        <v>913.55</v>
      </c>
    </row>
    <row r="45" spans="1:26">
      <c r="A45" s="684">
        <v>46045</v>
      </c>
      <c r="B45" s="684" t="s">
        <v>146</v>
      </c>
      <c r="C45" s="711">
        <f t="array" ref="C45">SUMPRODUCT(($I$3:$I$5022=$A45)*($N$3:$N$5022=B45)*$K$3:$K$5022)</f>
        <v>116.45</v>
      </c>
      <c r="D45" s="711">
        <f t="array" ref="D45">SUMPRODUCT(($Q$3:$Q$4998=$A45)*($S$3:$S$4998=B45)*$U$3:$U$4998)</f>
        <v>21</v>
      </c>
      <c r="E45" s="711">
        <f t="shared" si="0"/>
        <v>137.44999999999999</v>
      </c>
      <c r="F45" s="74"/>
      <c r="G45" s="74"/>
      <c r="H45" s="74"/>
      <c r="I45" s="133">
        <v>46025</v>
      </c>
      <c r="J45" s="134">
        <v>0.66319444444444442</v>
      </c>
      <c r="K45" s="135">
        <v>3.2</v>
      </c>
      <c r="L45" s="75">
        <v>2</v>
      </c>
      <c r="M45" s="75" t="s">
        <v>635</v>
      </c>
      <c r="N45" s="75" t="s">
        <v>494</v>
      </c>
      <c r="O45" s="75"/>
      <c r="P45" s="74"/>
      <c r="Q45" s="972">
        <v>46045</v>
      </c>
      <c r="R45" s="973" t="str">
        <f>TEXT(Tabla9[[#This Row],[Fecha]],"dddd")</f>
        <v>viernes</v>
      </c>
      <c r="S45" s="427" t="s">
        <v>494</v>
      </c>
      <c r="T45" s="427">
        <v>17</v>
      </c>
      <c r="U45" s="974">
        <v>144</v>
      </c>
      <c r="V45" s="427"/>
      <c r="W45" s="76"/>
      <c r="X45" s="74"/>
      <c r="Y45" s="684">
        <v>45675</v>
      </c>
      <c r="Z45" s="74">
        <v>1449.45</v>
      </c>
    </row>
    <row r="46" spans="1:26">
      <c r="A46" s="684">
        <v>46045</v>
      </c>
      <c r="B46" s="74" t="s">
        <v>494</v>
      </c>
      <c r="C46" s="711">
        <f t="array" ref="C46">SUMPRODUCT(($I$3:$I$5022=$A46)*($N$3:$N$5022=B46)*$K$3:$K$5022)</f>
        <v>106.45000000000002</v>
      </c>
      <c r="D46" s="711">
        <f t="array" ref="D46">SUMPRODUCT(($Q$3:$Q$4998=$A46)*($S$3:$S$4998=B46)*$U$3:$U$4998)</f>
        <v>144</v>
      </c>
      <c r="E46" s="711">
        <f t="shared" si="0"/>
        <v>250.45000000000002</v>
      </c>
      <c r="F46" s="74"/>
      <c r="G46" s="74"/>
      <c r="H46" s="74"/>
      <c r="I46" s="133">
        <v>46026</v>
      </c>
      <c r="J46" s="134">
        <v>0.35208333333333341</v>
      </c>
      <c r="K46" s="135">
        <v>1.7</v>
      </c>
      <c r="L46" s="75">
        <v>1</v>
      </c>
      <c r="M46" s="75" t="s">
        <v>636</v>
      </c>
      <c r="N46" s="75" t="s">
        <v>146</v>
      </c>
      <c r="O46" s="75"/>
      <c r="P46" s="74"/>
      <c r="Q46" s="972">
        <v>46045</v>
      </c>
      <c r="R46" s="973" t="str">
        <f>TEXT(Tabla9[[#This Row],[Fecha]],"dddd")</f>
        <v>viernes</v>
      </c>
      <c r="S46" s="427" t="s">
        <v>146</v>
      </c>
      <c r="T46" s="427">
        <v>5</v>
      </c>
      <c r="U46" s="974">
        <v>21</v>
      </c>
      <c r="V46" s="427"/>
      <c r="W46" s="76"/>
      <c r="X46" s="74"/>
      <c r="Y46" s="684" t="s">
        <v>146</v>
      </c>
      <c r="Z46" s="74">
        <v>222.45</v>
      </c>
    </row>
    <row r="47" spans="1:26">
      <c r="A47" s="684">
        <v>46045</v>
      </c>
      <c r="B47" s="684" t="s">
        <v>497</v>
      </c>
      <c r="C47" s="711">
        <f t="array" ref="C47">SUMPRODUCT(($I$3:$I$5022=$A47)*($N$3:$N$5022=B47)*$K$3:$K$5022)</f>
        <v>0</v>
      </c>
      <c r="D47" s="711">
        <f t="array" ref="D47">SUMPRODUCT(($Q$3:$Q$4998=$A47)*($S$3:$S$4998=B47)*$U$3:$U$4998)</f>
        <v>812.96</v>
      </c>
      <c r="E47" s="711">
        <f t="shared" si="0"/>
        <v>812.96</v>
      </c>
      <c r="F47" s="74"/>
      <c r="G47" s="74"/>
      <c r="H47" s="74"/>
      <c r="I47" s="133">
        <v>46026</v>
      </c>
      <c r="J47" s="134">
        <v>0.39513888888888887</v>
      </c>
      <c r="K47" s="135">
        <v>1.7</v>
      </c>
      <c r="L47" s="75">
        <v>1</v>
      </c>
      <c r="M47" s="75" t="s">
        <v>636</v>
      </c>
      <c r="N47" s="75" t="s">
        <v>146</v>
      </c>
      <c r="O47" s="75"/>
      <c r="P47" s="74"/>
      <c r="Q47" s="972">
        <v>46045</v>
      </c>
      <c r="R47" s="973" t="str">
        <f>TEXT(Tabla9[[#This Row],[Fecha]],"dddd")</f>
        <v>viernes</v>
      </c>
      <c r="S47" s="427" t="s">
        <v>497</v>
      </c>
      <c r="T47" s="427">
        <v>51</v>
      </c>
      <c r="U47" s="974">
        <v>812.96</v>
      </c>
      <c r="V47" s="427"/>
      <c r="W47" s="76"/>
      <c r="X47" s="74"/>
      <c r="Y47" s="684" t="s">
        <v>494</v>
      </c>
      <c r="Z47" s="74">
        <v>731.6</v>
      </c>
    </row>
    <row r="48" spans="1:26">
      <c r="A48" s="684">
        <v>46046</v>
      </c>
      <c r="B48" s="684" t="s">
        <v>146</v>
      </c>
      <c r="C48" s="711">
        <f t="array" ref="C48">SUMPRODUCT(($I$3:$I$5022=$A48)*($N$3:$N$5022=B48)*$K$3:$K$5022)</f>
        <v>109.40000000000002</v>
      </c>
      <c r="D48" s="711">
        <f t="array" ref="D48">SUMPRODUCT(($Q$3:$Q$4998=$A48)*($S$3:$S$4998=B48)*$U$3:$U$4998)</f>
        <v>124.18</v>
      </c>
      <c r="E48" s="711">
        <f t="shared" si="0"/>
        <v>233.58000000000004</v>
      </c>
      <c r="F48" s="74"/>
      <c r="G48" s="74"/>
      <c r="H48" s="74"/>
      <c r="I48" s="133">
        <v>46026</v>
      </c>
      <c r="J48" s="134">
        <v>0.39513888888888887</v>
      </c>
      <c r="K48" s="135">
        <v>5.55</v>
      </c>
      <c r="L48" s="75">
        <v>1</v>
      </c>
      <c r="M48" s="75" t="s">
        <v>636</v>
      </c>
      <c r="N48" s="75" t="s">
        <v>146</v>
      </c>
      <c r="O48" s="75"/>
      <c r="P48" s="74"/>
      <c r="Q48" s="972">
        <v>46046</v>
      </c>
      <c r="R48" s="973" t="str">
        <f>TEXT(Tabla9[[#This Row],[Fecha]],"dddd")</f>
        <v>sábado</v>
      </c>
      <c r="S48" s="427" t="s">
        <v>146</v>
      </c>
      <c r="T48" s="427">
        <v>25</v>
      </c>
      <c r="U48" s="974">
        <v>124.18</v>
      </c>
      <c r="V48" s="427"/>
      <c r="W48" s="76"/>
      <c r="X48" s="74"/>
      <c r="Y48" s="684" t="s">
        <v>497</v>
      </c>
      <c r="Z48" s="74">
        <v>495.4</v>
      </c>
    </row>
    <row r="49" spans="1:26">
      <c r="A49" s="684">
        <v>46046</v>
      </c>
      <c r="B49" s="74" t="s">
        <v>494</v>
      </c>
      <c r="C49" s="711">
        <f t="array" ref="C49">SUMPRODUCT(($I$3:$I$5022=$A49)*($N$3:$N$5022=B49)*$K$3:$K$5022)</f>
        <v>11.5</v>
      </c>
      <c r="D49" s="711">
        <f t="array" ref="D49">SUMPRODUCT(($Q$3:$Q$4998=$A49)*($S$3:$S$4998=B49)*$U$3:$U$4998)</f>
        <v>674</v>
      </c>
      <c r="E49" s="711">
        <f t="shared" si="0"/>
        <v>685.5</v>
      </c>
      <c r="F49" s="74"/>
      <c r="G49" s="74"/>
      <c r="H49" s="74"/>
      <c r="I49" s="133">
        <v>46026</v>
      </c>
      <c r="J49" s="134">
        <v>0.40347222222222218</v>
      </c>
      <c r="K49" s="135">
        <v>8.15</v>
      </c>
      <c r="L49" s="75">
        <v>1</v>
      </c>
      <c r="M49" s="75" t="s">
        <v>636</v>
      </c>
      <c r="N49" s="75" t="s">
        <v>146</v>
      </c>
      <c r="O49" s="75"/>
      <c r="P49" s="74"/>
      <c r="Q49" s="972">
        <v>46046</v>
      </c>
      <c r="R49" s="973" t="str">
        <f>TEXT(Tabla9[[#This Row],[Fecha]],"dddd")</f>
        <v>sábado</v>
      </c>
      <c r="S49" s="427" t="s">
        <v>494</v>
      </c>
      <c r="T49" s="427">
        <v>54</v>
      </c>
      <c r="U49" s="974">
        <v>674</v>
      </c>
      <c r="V49" s="427"/>
      <c r="W49" s="76"/>
      <c r="X49" s="74"/>
      <c r="Y49" s="684">
        <v>45676</v>
      </c>
      <c r="Z49" s="74">
        <v>1216.7</v>
      </c>
    </row>
    <row r="50" spans="1:26">
      <c r="A50" s="684">
        <v>46046</v>
      </c>
      <c r="B50" s="684" t="s">
        <v>497</v>
      </c>
      <c r="C50" s="711">
        <f t="array" ref="C50">SUMPRODUCT(($I$3:$I$5022=$A50)*($N$3:$N$5022=B50)*$K$3:$K$5022)</f>
        <v>0</v>
      </c>
      <c r="D50" s="711">
        <f t="array" ref="D50">SUMPRODUCT(($Q$3:$Q$4998=$A50)*($S$3:$S$4998=B50)*$U$3:$U$4998)</f>
        <v>668.82</v>
      </c>
      <c r="E50" s="711">
        <f t="shared" si="0"/>
        <v>668.82</v>
      </c>
      <c r="F50" s="74"/>
      <c r="G50" s="74"/>
      <c r="H50" s="74"/>
      <c r="I50" s="133">
        <v>46026</v>
      </c>
      <c r="J50" s="134">
        <v>0.4284722222222222</v>
      </c>
      <c r="K50" s="135">
        <v>2.4500000000000002</v>
      </c>
      <c r="L50" s="75">
        <v>1</v>
      </c>
      <c r="M50" s="75" t="s">
        <v>636</v>
      </c>
      <c r="N50" s="75" t="s">
        <v>146</v>
      </c>
      <c r="O50" s="75"/>
      <c r="P50" s="74"/>
      <c r="Q50" s="972">
        <v>46046</v>
      </c>
      <c r="R50" s="973" t="str">
        <f>TEXT(Tabla9[[#This Row],[Fecha]],"dddd")</f>
        <v>sábado</v>
      </c>
      <c r="S50" s="427" t="s">
        <v>497</v>
      </c>
      <c r="T50" s="427">
        <v>47</v>
      </c>
      <c r="U50" s="974">
        <v>668.82</v>
      </c>
      <c r="V50" s="427"/>
      <c r="W50" s="76"/>
      <c r="X50" s="74"/>
      <c r="Y50" s="684" t="s">
        <v>146</v>
      </c>
      <c r="Z50" s="74">
        <v>245.9</v>
      </c>
    </row>
    <row r="51" spans="1:26">
      <c r="A51" s="684">
        <v>46047</v>
      </c>
      <c r="B51" s="684" t="s">
        <v>146</v>
      </c>
      <c r="C51" s="711">
        <f t="array" ref="C51">SUMPRODUCT(($I$3:$I$5022=$A51)*($N$3:$N$5022=B51)*$K$3:$K$5022)</f>
        <v>108.60000000000001</v>
      </c>
      <c r="D51" s="711">
        <f t="array" ref="D51">SUMPRODUCT(($Q$3:$Q$4998=$A51)*($S$3:$S$4998=B51)*$U$3:$U$4998)</f>
        <v>175.09</v>
      </c>
      <c r="E51" s="711">
        <f t="shared" si="0"/>
        <v>283.69</v>
      </c>
      <c r="F51" s="74"/>
      <c r="G51" s="74"/>
      <c r="H51" s="74"/>
      <c r="I51" s="133">
        <v>46026</v>
      </c>
      <c r="J51" s="134">
        <v>0.42916666666666659</v>
      </c>
      <c r="K51" s="135">
        <v>2.4500000000000002</v>
      </c>
      <c r="L51" s="75">
        <v>1</v>
      </c>
      <c r="M51" s="75" t="s">
        <v>636</v>
      </c>
      <c r="N51" s="75" t="s">
        <v>146</v>
      </c>
      <c r="O51" s="75"/>
      <c r="P51" s="74"/>
      <c r="Q51" s="972">
        <v>46047</v>
      </c>
      <c r="R51" s="973" t="str">
        <f>TEXT(Tabla9[[#This Row],[Fecha]],"dddd")</f>
        <v>domingo</v>
      </c>
      <c r="S51" s="427" t="s">
        <v>494</v>
      </c>
      <c r="T51" s="427">
        <v>105</v>
      </c>
      <c r="U51" s="974">
        <v>1511.64</v>
      </c>
      <c r="V51" s="427"/>
      <c r="W51" s="76"/>
      <c r="X51" s="74"/>
      <c r="Y51" s="684" t="s">
        <v>494</v>
      </c>
      <c r="Z51" s="74">
        <v>970.8</v>
      </c>
    </row>
    <row r="52" spans="1:26">
      <c r="A52" s="684">
        <v>46047</v>
      </c>
      <c r="B52" s="684" t="s">
        <v>494</v>
      </c>
      <c r="C52" s="711">
        <f t="array" ref="C52">SUMPRODUCT(($I$3:$I$5022=$A52)*($N$3:$N$5022=B52)*$K$3:$K$5022)</f>
        <v>12.65</v>
      </c>
      <c r="D52" s="711">
        <f t="array" ref="D52">SUMPRODUCT(($Q$3:$Q$4998=$A52)*($S$3:$S$4998=B52)*$U$3:$U$4998)</f>
        <v>1511.64</v>
      </c>
      <c r="E52" s="711">
        <f t="shared" si="0"/>
        <v>1524.2900000000002</v>
      </c>
      <c r="F52" s="74"/>
      <c r="G52" s="74"/>
      <c r="H52" s="74"/>
      <c r="I52" s="133">
        <v>46026</v>
      </c>
      <c r="J52" s="134">
        <v>0.43611111111111112</v>
      </c>
      <c r="K52" s="135">
        <v>4.95</v>
      </c>
      <c r="L52" s="75">
        <v>2</v>
      </c>
      <c r="M52" s="75" t="s">
        <v>636</v>
      </c>
      <c r="N52" s="75" t="s">
        <v>146</v>
      </c>
      <c r="O52" s="75"/>
      <c r="P52" s="74"/>
      <c r="Q52" s="972">
        <v>46047</v>
      </c>
      <c r="R52" s="973" t="str">
        <f>TEXT(Tabla9[[#This Row],[Fecha]],"dddd")</f>
        <v>domingo</v>
      </c>
      <c r="S52" s="427" t="s">
        <v>146</v>
      </c>
      <c r="T52" s="427">
        <v>32</v>
      </c>
      <c r="U52" s="974">
        <v>175.09</v>
      </c>
      <c r="V52" s="427"/>
      <c r="W52" s="76"/>
      <c r="X52" s="74"/>
      <c r="Y52" s="684">
        <v>45679</v>
      </c>
      <c r="Z52" s="74">
        <v>806.5</v>
      </c>
    </row>
    <row r="53" spans="1:26">
      <c r="A53" s="684">
        <v>46050</v>
      </c>
      <c r="B53" s="74" t="s">
        <v>146</v>
      </c>
      <c r="C53" s="711">
        <f t="array" ref="C53">SUMPRODUCT(($I$3:$I$5022=$A53)*($N$3:$N$5022=B53)*$K$3:$K$5022)</f>
        <v>86.5</v>
      </c>
      <c r="D53" s="711">
        <f t="array" ref="D53">SUMPRODUCT(($Q$3:$Q$4998=$A53)*($S$3:$S$4998=B53)*$U$3:$U$4998)</f>
        <v>74.64</v>
      </c>
      <c r="E53" s="711">
        <f t="shared" si="0"/>
        <v>161.13999999999999</v>
      </c>
      <c r="F53" s="74"/>
      <c r="G53" s="74"/>
      <c r="H53" s="74"/>
      <c r="I53" s="133">
        <v>46026</v>
      </c>
      <c r="J53" s="134">
        <v>0.46319444444444452</v>
      </c>
      <c r="K53" s="135">
        <v>4.8</v>
      </c>
      <c r="L53" s="75">
        <v>1</v>
      </c>
      <c r="M53" s="75" t="s">
        <v>636</v>
      </c>
      <c r="N53" s="75" t="s">
        <v>146</v>
      </c>
      <c r="O53" s="75"/>
      <c r="P53" s="74"/>
      <c r="Q53" s="972">
        <v>46050</v>
      </c>
      <c r="R53" s="973" t="str">
        <f>TEXT(Tabla9[[#This Row],[Fecha]],"dddd")</f>
        <v>miércoles</v>
      </c>
      <c r="S53" s="427" t="s">
        <v>146</v>
      </c>
      <c r="T53" s="427">
        <v>22</v>
      </c>
      <c r="U53" s="974">
        <v>74.64</v>
      </c>
      <c r="V53" s="427"/>
      <c r="W53" s="76"/>
      <c r="X53" s="74"/>
      <c r="Y53" s="684" t="s">
        <v>146</v>
      </c>
      <c r="Z53" s="74">
        <v>151.15</v>
      </c>
    </row>
    <row r="54" spans="1:26">
      <c r="A54" s="684">
        <v>46050</v>
      </c>
      <c r="B54" s="684" t="s">
        <v>494</v>
      </c>
      <c r="C54" s="711">
        <f t="array" ref="C54">SUMPRODUCT(($I$3:$I$5022=$A54)*($N$3:$N$5022=B54)*$K$3:$K$5022)</f>
        <v>115.9</v>
      </c>
      <c r="D54" s="711">
        <f t="array" ref="D54">SUMPRODUCT(($Q$3:$Q$4998=$A54)*($S$3:$S$4998=B54)*$U$3:$U$4998)</f>
        <v>117.64</v>
      </c>
      <c r="E54" s="711">
        <f t="shared" si="0"/>
        <v>233.54000000000002</v>
      </c>
      <c r="F54" s="74"/>
      <c r="G54" s="74"/>
      <c r="H54" s="74"/>
      <c r="I54" s="133">
        <v>46026</v>
      </c>
      <c r="J54" s="134">
        <v>0.46388888888888891</v>
      </c>
      <c r="K54" s="135">
        <v>6.4</v>
      </c>
      <c r="L54" s="75">
        <v>1</v>
      </c>
      <c r="M54" s="75" t="s">
        <v>636</v>
      </c>
      <c r="N54" s="75" t="s">
        <v>146</v>
      </c>
      <c r="O54" s="75"/>
      <c r="P54" s="74"/>
      <c r="Q54" s="972">
        <v>46050</v>
      </c>
      <c r="R54" s="973" t="str">
        <f>TEXT(Tabla9[[#This Row],[Fecha]],"dddd")</f>
        <v>miércoles</v>
      </c>
      <c r="S54" s="427" t="s">
        <v>494</v>
      </c>
      <c r="T54" s="427">
        <v>15</v>
      </c>
      <c r="U54" s="974">
        <v>117.64</v>
      </c>
      <c r="V54" s="427"/>
      <c r="W54" s="76"/>
      <c r="X54" s="74"/>
      <c r="Y54" s="684" t="s">
        <v>494</v>
      </c>
      <c r="Z54" s="74">
        <v>486.65</v>
      </c>
    </row>
    <row r="55" spans="1:26">
      <c r="A55" s="684">
        <v>46050</v>
      </c>
      <c r="B55" s="684" t="s">
        <v>497</v>
      </c>
      <c r="C55" s="711">
        <f t="array" ref="C55">SUMPRODUCT(($I$3:$I$5022=$A55)*($N$3:$N$5022=B55)*$K$3:$K$5022)</f>
        <v>0</v>
      </c>
      <c r="D55" s="711">
        <f t="array" ref="D55">SUMPRODUCT(($Q$3:$Q$4998=$A55)*($S$3:$S$4998=B55)*$U$3:$U$4998)</f>
        <v>125.41</v>
      </c>
      <c r="E55" s="711">
        <f t="shared" si="0"/>
        <v>125.41</v>
      </c>
      <c r="F55" s="74"/>
      <c r="G55" s="74"/>
      <c r="H55" s="74"/>
      <c r="I55" s="133">
        <v>46026</v>
      </c>
      <c r="J55" s="134">
        <v>0.47708333333333341</v>
      </c>
      <c r="K55" s="135">
        <v>12.2</v>
      </c>
      <c r="L55" s="75">
        <v>2</v>
      </c>
      <c r="M55" s="75" t="s">
        <v>636</v>
      </c>
      <c r="N55" s="75" t="s">
        <v>146</v>
      </c>
      <c r="O55" s="75"/>
      <c r="P55" s="74"/>
      <c r="Q55" s="972">
        <v>46050</v>
      </c>
      <c r="R55" s="973" t="str">
        <f>TEXT(Tabla9[[#This Row],[Fecha]],"dddd")</f>
        <v>miércoles</v>
      </c>
      <c r="S55" s="427" t="s">
        <v>497</v>
      </c>
      <c r="T55" s="427">
        <v>6</v>
      </c>
      <c r="U55" s="974">
        <v>125.41</v>
      </c>
      <c r="V55" s="427"/>
      <c r="W55" s="76"/>
      <c r="X55" s="74"/>
      <c r="Y55" s="684" t="s">
        <v>497</v>
      </c>
      <c r="Z55" s="74">
        <v>168.7</v>
      </c>
    </row>
    <row r="56" spans="1:26">
      <c r="A56" s="684">
        <v>46051</v>
      </c>
      <c r="B56" s="684" t="s">
        <v>146</v>
      </c>
      <c r="C56" s="711">
        <f t="array" ref="C56">SUMPRODUCT(($I$3:$I$5022=$A56)*($N$3:$N$5022=B56)*$K$3:$K$5022)</f>
        <v>90.800000000000011</v>
      </c>
      <c r="D56" s="711">
        <f t="array" ref="D56">SUMPRODUCT(($Q$3:$Q$4998=$A56)*($S$3:$S$4998=B56)*$U$3:$U$4998)</f>
        <v>96.09</v>
      </c>
      <c r="E56" s="711">
        <f t="shared" si="0"/>
        <v>186.89000000000001</v>
      </c>
      <c r="F56" s="74"/>
      <c r="G56" s="74"/>
      <c r="H56" s="74"/>
      <c r="I56" s="133">
        <v>46026</v>
      </c>
      <c r="J56" s="134">
        <v>0.48125000000000001</v>
      </c>
      <c r="K56" s="135">
        <v>2.0499999999999998</v>
      </c>
      <c r="L56" s="75">
        <v>1</v>
      </c>
      <c r="M56" s="75" t="s">
        <v>636</v>
      </c>
      <c r="N56" s="75" t="s">
        <v>146</v>
      </c>
      <c r="O56" s="75"/>
      <c r="P56" s="74"/>
      <c r="Q56" s="972">
        <v>46051</v>
      </c>
      <c r="R56" s="973" t="str">
        <f>TEXT(Tabla9[[#This Row],[Fecha]],"dddd")</f>
        <v>jueves</v>
      </c>
      <c r="S56" s="427" t="s">
        <v>146</v>
      </c>
      <c r="T56" s="427">
        <v>30</v>
      </c>
      <c r="U56" s="974">
        <v>96.09</v>
      </c>
      <c r="V56" s="427"/>
      <c r="W56" s="76"/>
      <c r="X56" s="74"/>
      <c r="Y56" s="684">
        <v>45680</v>
      </c>
      <c r="Z56" s="74">
        <v>532.45000000000005</v>
      </c>
    </row>
    <row r="57" spans="1:26">
      <c r="A57" s="684">
        <v>46051</v>
      </c>
      <c r="B57" s="74" t="s">
        <v>494</v>
      </c>
      <c r="C57" s="711">
        <f t="array" ref="C57">SUMPRODUCT(($I$3:$I$5022=$A57)*($N$3:$N$5022=B57)*$K$3:$K$5022)</f>
        <v>190.24999999999997</v>
      </c>
      <c r="D57" s="711">
        <f t="array" ref="D57">SUMPRODUCT(($Q$3:$Q$4998=$A57)*($S$3:$S$4998=B57)*$U$3:$U$4998)</f>
        <v>678.23</v>
      </c>
      <c r="E57" s="711">
        <f t="shared" si="0"/>
        <v>868.48</v>
      </c>
      <c r="F57" s="74"/>
      <c r="G57" s="74"/>
      <c r="H57" s="74"/>
      <c r="I57" s="133">
        <v>46026</v>
      </c>
      <c r="J57" s="134">
        <v>0.48749999999999999</v>
      </c>
      <c r="K57" s="135">
        <v>3</v>
      </c>
      <c r="L57" s="75">
        <v>2</v>
      </c>
      <c r="M57" s="75" t="s">
        <v>636</v>
      </c>
      <c r="N57" s="75" t="s">
        <v>146</v>
      </c>
      <c r="O57" s="75"/>
      <c r="P57" s="74"/>
      <c r="Q57" s="972">
        <v>46051</v>
      </c>
      <c r="R57" s="973" t="str">
        <f>TEXT(Tabla9[[#This Row],[Fecha]],"dddd")</f>
        <v>jueves</v>
      </c>
      <c r="S57" s="427" t="s">
        <v>494</v>
      </c>
      <c r="T57" s="427">
        <v>42</v>
      </c>
      <c r="U57" s="974">
        <v>678.23</v>
      </c>
      <c r="V57" s="427"/>
      <c r="W57" s="76"/>
      <c r="X57" s="74"/>
      <c r="Y57" s="684" t="s">
        <v>146</v>
      </c>
      <c r="Z57" s="74">
        <v>113.95</v>
      </c>
    </row>
    <row r="58" spans="1:26">
      <c r="A58" s="684">
        <v>46051</v>
      </c>
      <c r="B58" s="684" t="s">
        <v>497</v>
      </c>
      <c r="C58" s="711">
        <f t="array" ref="C58">SUMPRODUCT(($I$3:$I$5022=$A58)*($N$3:$N$5022=B58)*$K$3:$K$5022)</f>
        <v>14</v>
      </c>
      <c r="D58" s="711">
        <f t="array" ref="D58">SUMPRODUCT(($Q$3:$Q$4998=$A58)*($S$3:$S$4998=B58)*$U$3:$U$4998)</f>
        <v>275.95999999999998</v>
      </c>
      <c r="E58" s="711">
        <f t="shared" si="0"/>
        <v>289.95999999999998</v>
      </c>
      <c r="F58" s="74"/>
      <c r="G58" s="74"/>
      <c r="H58" s="74"/>
      <c r="I58" s="133">
        <v>46026</v>
      </c>
      <c r="J58" s="134">
        <v>0.49652777777777779</v>
      </c>
      <c r="K58" s="135">
        <v>3</v>
      </c>
      <c r="L58" s="75">
        <v>2</v>
      </c>
      <c r="M58" s="75" t="s">
        <v>636</v>
      </c>
      <c r="N58" s="75" t="s">
        <v>146</v>
      </c>
      <c r="O58" s="75"/>
      <c r="P58" s="74"/>
      <c r="Q58" s="972">
        <v>46051</v>
      </c>
      <c r="R58" s="973" t="str">
        <f>TEXT(Tabla9[[#This Row],[Fecha]],"dddd")</f>
        <v>jueves</v>
      </c>
      <c r="S58" s="427" t="s">
        <v>497</v>
      </c>
      <c r="T58" s="427">
        <v>12</v>
      </c>
      <c r="U58" s="974">
        <v>275.95999999999998</v>
      </c>
      <c r="V58" s="427"/>
      <c r="W58" s="76"/>
      <c r="X58" s="74"/>
      <c r="Y58" s="684" t="s">
        <v>494</v>
      </c>
      <c r="Z58" s="74">
        <v>318.14999999999998</v>
      </c>
    </row>
    <row r="59" spans="1:26">
      <c r="A59" s="684">
        <v>46052</v>
      </c>
      <c r="B59" s="684" t="s">
        <v>146</v>
      </c>
      <c r="C59" s="711">
        <f t="array" ref="C59">SUMPRODUCT(($I$3:$I$5022=$A59)*($N$3:$N$5022=B59)*$K$3:$K$5022)</f>
        <v>99.6</v>
      </c>
      <c r="D59" s="711">
        <f t="array" ref="D59">SUMPRODUCT(($Q$3:$Q$4998=$A59)*($S$3:$S$4998=B59)*$U$3:$U$4998)</f>
        <v>10.36</v>
      </c>
      <c r="E59" s="711">
        <f t="shared" si="0"/>
        <v>109.96</v>
      </c>
      <c r="F59" s="74"/>
      <c r="G59" s="74"/>
      <c r="H59" s="74"/>
      <c r="I59" s="133">
        <v>46026</v>
      </c>
      <c r="J59" s="134">
        <v>0.51180555555555551</v>
      </c>
      <c r="K59" s="135">
        <v>1.7</v>
      </c>
      <c r="L59" s="75">
        <v>1</v>
      </c>
      <c r="M59" s="75" t="s">
        <v>636</v>
      </c>
      <c r="N59" s="75" t="s">
        <v>494</v>
      </c>
      <c r="O59" s="75"/>
      <c r="P59" s="74"/>
      <c r="Q59" s="972">
        <v>46052</v>
      </c>
      <c r="R59" s="973" t="str">
        <f>TEXT(Tabla9[[#This Row],[Fecha]],"dddd")</f>
        <v>viernes</v>
      </c>
      <c r="S59" s="427" t="s">
        <v>146</v>
      </c>
      <c r="T59" s="427">
        <v>4</v>
      </c>
      <c r="U59" s="974">
        <v>10.36</v>
      </c>
      <c r="V59" s="427"/>
      <c r="W59" s="76"/>
      <c r="X59" s="74"/>
      <c r="Y59" s="684" t="s">
        <v>497</v>
      </c>
      <c r="Z59" s="74">
        <v>100.35</v>
      </c>
    </row>
    <row r="60" spans="1:26">
      <c r="A60" s="684">
        <v>46052</v>
      </c>
      <c r="B60" s="684" t="s">
        <v>494</v>
      </c>
      <c r="C60" s="711">
        <f t="array" ref="C60">SUMPRODUCT(($I$3:$I$5022=$A60)*($N$3:$N$5022=B60)*$K$3:$K$5022)</f>
        <v>166</v>
      </c>
      <c r="D60" s="711">
        <f t="array" ref="D60">SUMPRODUCT(($Q$3:$Q$4998=$A60)*($S$3:$S$4998=B60)*$U$3:$U$4998)</f>
        <v>311.45999999999998</v>
      </c>
      <c r="E60" s="711">
        <f t="shared" si="0"/>
        <v>477.46</v>
      </c>
      <c r="F60" s="74"/>
      <c r="G60" s="74"/>
      <c r="H60" s="74"/>
      <c r="I60" s="133">
        <v>46026</v>
      </c>
      <c r="J60" s="134">
        <v>0.52986111111111112</v>
      </c>
      <c r="K60" s="135">
        <v>2.5499999999999998</v>
      </c>
      <c r="L60" s="75">
        <v>1</v>
      </c>
      <c r="M60" s="75" t="s">
        <v>636</v>
      </c>
      <c r="N60" s="75" t="s">
        <v>494</v>
      </c>
      <c r="O60" s="75"/>
      <c r="P60" s="74"/>
      <c r="Q60" s="972">
        <v>46052</v>
      </c>
      <c r="R60" s="973" t="str">
        <f>TEXT(Tabla9[[#This Row],[Fecha]],"dddd")</f>
        <v>viernes</v>
      </c>
      <c r="S60" s="427" t="s">
        <v>494</v>
      </c>
      <c r="T60" s="427">
        <v>25</v>
      </c>
      <c r="U60" s="974">
        <v>311.45999999999998</v>
      </c>
      <c r="V60" s="427"/>
      <c r="W60" s="76"/>
      <c r="X60" s="74"/>
      <c r="Y60" s="684">
        <v>45681</v>
      </c>
      <c r="Z60" s="74">
        <v>1319.55</v>
      </c>
    </row>
    <row r="61" spans="1:26">
      <c r="A61" s="684">
        <v>46052</v>
      </c>
      <c r="B61" s="74" t="s">
        <v>497</v>
      </c>
      <c r="C61" s="711">
        <f t="array" ref="C61">SUMPRODUCT(($I$3:$I$5022=$A61)*($N$3:$N$5022=B61)*$K$3:$K$5022)</f>
        <v>0</v>
      </c>
      <c r="D61" s="711">
        <f t="array" ref="D61">SUMPRODUCT(($Q$3:$Q$4998=$A61)*($S$3:$S$4998=B61)*$U$3:$U$4998)</f>
        <v>1400.91</v>
      </c>
      <c r="E61" s="711">
        <f t="shared" si="0"/>
        <v>1400.91</v>
      </c>
      <c r="F61" s="74"/>
      <c r="G61" s="74"/>
      <c r="H61" s="74"/>
      <c r="I61" s="133">
        <v>46026</v>
      </c>
      <c r="J61" s="134">
        <v>0.5493055555555556</v>
      </c>
      <c r="K61" s="135">
        <v>6.6</v>
      </c>
      <c r="L61" s="75">
        <v>2</v>
      </c>
      <c r="M61" s="75" t="s">
        <v>636</v>
      </c>
      <c r="N61" s="75" t="s">
        <v>494</v>
      </c>
      <c r="O61" s="75"/>
      <c r="P61" s="74"/>
      <c r="Q61" s="972">
        <v>46052</v>
      </c>
      <c r="R61" s="973" t="str">
        <f>TEXT(Tabla9[[#This Row],[Fecha]],"dddd")</f>
        <v>viernes</v>
      </c>
      <c r="S61" s="427" t="s">
        <v>497</v>
      </c>
      <c r="T61" s="427">
        <v>85</v>
      </c>
      <c r="U61" s="974">
        <v>1400.91</v>
      </c>
      <c r="V61" s="427"/>
      <c r="W61" s="76"/>
      <c r="X61" s="74"/>
      <c r="Y61" s="684" t="s">
        <v>146</v>
      </c>
      <c r="Z61" s="74">
        <v>157.4</v>
      </c>
    </row>
    <row r="62" spans="1:26">
      <c r="A62" s="684">
        <v>46053</v>
      </c>
      <c r="B62" s="684" t="s">
        <v>146</v>
      </c>
      <c r="C62" s="711">
        <f t="array" ref="C62">SUMPRODUCT(($I$3:$I$5022=$A62)*($N$3:$N$5022=B62)*$K$3:$K$5022)</f>
        <v>63.450000000000017</v>
      </c>
      <c r="D62" s="711">
        <f t="array" ref="D62">SUMPRODUCT(($Q$3:$Q$4998=$A62)*($S$3:$S$4998=B62)*$U$3:$U$4998)</f>
        <v>66.05</v>
      </c>
      <c r="E62" s="711">
        <f t="shared" si="0"/>
        <v>129.5</v>
      </c>
      <c r="F62" s="74"/>
      <c r="G62" s="74"/>
      <c r="H62" s="74"/>
      <c r="I62" s="133">
        <v>46026</v>
      </c>
      <c r="J62" s="134">
        <v>0.62361111111111112</v>
      </c>
      <c r="K62" s="135">
        <v>2.65</v>
      </c>
      <c r="L62" s="75">
        <v>1</v>
      </c>
      <c r="M62" s="75" t="s">
        <v>636</v>
      </c>
      <c r="N62" s="75" t="s">
        <v>494</v>
      </c>
      <c r="O62" s="75"/>
      <c r="P62" s="74"/>
      <c r="Q62" s="972">
        <v>46053</v>
      </c>
      <c r="R62" s="973" t="str">
        <f>TEXT(Tabla9[[#This Row],[Fecha]],"dddd")</f>
        <v>sábado</v>
      </c>
      <c r="S62" s="427" t="s">
        <v>146</v>
      </c>
      <c r="T62" s="427">
        <v>16</v>
      </c>
      <c r="U62" s="974">
        <v>66.05</v>
      </c>
      <c r="V62" s="427"/>
      <c r="W62" s="76"/>
      <c r="X62" s="74"/>
      <c r="Y62" s="684" t="s">
        <v>494</v>
      </c>
      <c r="Z62" s="74">
        <v>279.55</v>
      </c>
    </row>
    <row r="63" spans="1:26">
      <c r="A63" s="684">
        <v>46053</v>
      </c>
      <c r="B63" s="684" t="s">
        <v>494</v>
      </c>
      <c r="C63" s="711">
        <f t="array" ref="C63">SUMPRODUCT(($I$3:$I$5022=$A63)*($N$3:$N$5022=B63)*$K$3:$K$5022)</f>
        <v>0</v>
      </c>
      <c r="D63" s="711">
        <f t="array" ref="D63">SUMPRODUCT(($Q$3:$Q$4998=$A63)*($S$3:$S$4998=B63)*$U$3:$U$4998)</f>
        <v>1084.27</v>
      </c>
      <c r="E63" s="711">
        <f t="shared" si="0"/>
        <v>1084.27</v>
      </c>
      <c r="F63" s="74"/>
      <c r="G63" s="74"/>
      <c r="H63" s="74"/>
      <c r="I63" s="133">
        <v>46026</v>
      </c>
      <c r="J63" s="134">
        <v>0.6479166666666667</v>
      </c>
      <c r="K63" s="135">
        <v>4.2</v>
      </c>
      <c r="L63" s="75">
        <v>2</v>
      </c>
      <c r="M63" s="75" t="s">
        <v>636</v>
      </c>
      <c r="N63" s="75" t="s">
        <v>494</v>
      </c>
      <c r="O63" s="75"/>
      <c r="P63" s="74"/>
      <c r="Q63" s="972">
        <v>46053</v>
      </c>
      <c r="R63" s="973" t="str">
        <f>TEXT(Tabla9[[#This Row],[Fecha]],"dddd")</f>
        <v>sábado</v>
      </c>
      <c r="S63" s="427" t="s">
        <v>494</v>
      </c>
      <c r="T63" s="427">
        <v>63</v>
      </c>
      <c r="U63" s="974">
        <v>1084.27</v>
      </c>
      <c r="V63" s="427"/>
      <c r="W63" s="76"/>
      <c r="X63" s="74"/>
      <c r="Y63" s="684" t="s">
        <v>497</v>
      </c>
      <c r="Z63" s="74">
        <v>882.6</v>
      </c>
    </row>
    <row r="64" spans="1:26">
      <c r="A64" s="684">
        <v>46053</v>
      </c>
      <c r="B64" s="684" t="s">
        <v>497</v>
      </c>
      <c r="C64" s="711">
        <f t="array" ref="C64">SUMPRODUCT(($I$3:$I$5022=$A64)*($N$3:$N$5022=B64)*$K$3:$K$5022)</f>
        <v>0</v>
      </c>
      <c r="D64" s="711">
        <f t="array" ref="D64">SUMPRODUCT(($Q$3:$Q$4998=$A64)*($S$3:$S$4998=B64)*$U$3:$U$4998)</f>
        <v>721.14</v>
      </c>
      <c r="E64" s="711">
        <f t="shared" si="0"/>
        <v>721.14</v>
      </c>
      <c r="F64" s="74"/>
      <c r="G64" s="74"/>
      <c r="H64" s="74"/>
      <c r="I64" s="133">
        <v>46029</v>
      </c>
      <c r="J64" s="134">
        <v>0.30416666666666659</v>
      </c>
      <c r="K64" s="135">
        <v>6.5</v>
      </c>
      <c r="L64" s="75">
        <v>1</v>
      </c>
      <c r="M64" s="75" t="s">
        <v>637</v>
      </c>
      <c r="N64" s="75" t="s">
        <v>146</v>
      </c>
      <c r="O64" s="75"/>
      <c r="P64" s="74"/>
      <c r="Q64" s="972">
        <v>46053</v>
      </c>
      <c r="R64" s="973" t="str">
        <f>TEXT(Tabla9[[#This Row],[Fecha]],"dddd")</f>
        <v>sábado</v>
      </c>
      <c r="S64" s="427" t="s">
        <v>497</v>
      </c>
      <c r="T64" s="427">
        <v>55</v>
      </c>
      <c r="U64" s="974">
        <v>721.14</v>
      </c>
      <c r="V64" s="427"/>
      <c r="W64" s="76"/>
      <c r="X64" s="74"/>
      <c r="Y64" s="684">
        <v>45682</v>
      </c>
      <c r="Z64" s="74">
        <v>2328.1999999999998</v>
      </c>
    </row>
    <row r="65" spans="1:26">
      <c r="A65" s="684">
        <v>46054</v>
      </c>
      <c r="B65" s="74" t="s">
        <v>146</v>
      </c>
      <c r="C65" s="711">
        <f t="array" ref="C65">SUMPRODUCT(($I$3:$I$5022=$A65)*($N$3:$N$5022=B65)*$K$3:$K$5022)</f>
        <v>80.250000000000014</v>
      </c>
      <c r="D65" s="711">
        <f t="array" ref="D65">SUMPRODUCT(($Q$3:$Q$4998=$A65)*($S$3:$S$4998=B65)*$U$3:$U$4998)</f>
        <v>137.82</v>
      </c>
      <c r="E65" s="711">
        <f t="shared" si="0"/>
        <v>218.07</v>
      </c>
      <c r="F65" s="74"/>
      <c r="G65" s="74"/>
      <c r="H65" s="74"/>
      <c r="I65" s="133">
        <v>46029</v>
      </c>
      <c r="J65" s="134">
        <v>0.35</v>
      </c>
      <c r="K65" s="135">
        <v>7.5</v>
      </c>
      <c r="L65" s="75">
        <v>1</v>
      </c>
      <c r="M65" s="75" t="s">
        <v>637</v>
      </c>
      <c r="N65" s="75" t="s">
        <v>146</v>
      </c>
      <c r="O65" s="75"/>
      <c r="P65" s="74"/>
      <c r="Q65" s="972">
        <v>46054</v>
      </c>
      <c r="R65" s="973" t="str">
        <f>TEXT(Tabla9[[#This Row],[Fecha]],"dddd")</f>
        <v>domingo</v>
      </c>
      <c r="S65" s="427" t="s">
        <v>146</v>
      </c>
      <c r="T65" s="427">
        <v>37</v>
      </c>
      <c r="U65" s="974">
        <v>137.82</v>
      </c>
      <c r="V65" s="427"/>
      <c r="W65" s="76"/>
      <c r="X65" s="74"/>
      <c r="Y65" s="684" t="s">
        <v>146</v>
      </c>
      <c r="Z65" s="74">
        <v>321.55</v>
      </c>
    </row>
    <row r="66" spans="1:26">
      <c r="A66" s="684">
        <v>46054</v>
      </c>
      <c r="B66" s="684" t="s">
        <v>494</v>
      </c>
      <c r="C66" s="711">
        <f t="array" ref="C66">SUMPRODUCT(($I$3:$I$5022=$A66)*($N$3:$N$5022=B66)*$K$3:$K$5022)</f>
        <v>5.6</v>
      </c>
      <c r="D66" s="711">
        <f t="array" ref="D66">SUMPRODUCT(($Q$3:$Q$4998=$A66)*($S$3:$S$4998=B66)*$U$3:$U$4998)</f>
        <v>870.23</v>
      </c>
      <c r="E66" s="711">
        <f t="shared" si="0"/>
        <v>875.83</v>
      </c>
      <c r="F66" s="74"/>
      <c r="G66" s="74"/>
      <c r="H66" s="74"/>
      <c r="I66" s="133">
        <v>46029</v>
      </c>
      <c r="J66" s="134">
        <v>0.35972222222222222</v>
      </c>
      <c r="K66" s="135">
        <v>1.7</v>
      </c>
      <c r="L66" s="75">
        <v>1</v>
      </c>
      <c r="M66" s="75" t="s">
        <v>637</v>
      </c>
      <c r="N66" s="75" t="s">
        <v>146</v>
      </c>
      <c r="O66" s="75"/>
      <c r="P66" s="74"/>
      <c r="Q66" s="972">
        <v>46054</v>
      </c>
      <c r="R66" s="973" t="str">
        <f>TEXT(Tabla9[[#This Row],[Fecha]],"dddd")</f>
        <v>domingo</v>
      </c>
      <c r="S66" s="427" t="s">
        <v>494</v>
      </c>
      <c r="T66" s="427">
        <v>87</v>
      </c>
      <c r="U66" s="974">
        <v>870.23</v>
      </c>
      <c r="V66" s="427"/>
      <c r="W66" s="76"/>
      <c r="X66" s="74"/>
      <c r="Y66" s="684" t="s">
        <v>494</v>
      </c>
      <c r="Z66" s="74">
        <v>914.7</v>
      </c>
    </row>
    <row r="67" spans="1:26">
      <c r="A67" s="684">
        <v>46057</v>
      </c>
      <c r="B67" s="684" t="s">
        <v>146</v>
      </c>
      <c r="C67" s="711">
        <f t="array" ref="C67">SUMPRODUCT(($I$3:$I$5022=$A67)*($N$3:$N$5022=B67)*$K$3:$K$5022)</f>
        <v>75.90000000000002</v>
      </c>
      <c r="D67" s="711">
        <f t="array" ref="D67">SUMPRODUCT(($Q$3:$Q$4998=$A67)*($S$3:$S$4998=B67)*$U$3:$U$4998)</f>
        <v>43.59</v>
      </c>
      <c r="E67" s="711">
        <f t="shared" ref="E67:E130" si="1">C67+D67</f>
        <v>119.49000000000002</v>
      </c>
      <c r="F67" s="74"/>
      <c r="G67" s="74"/>
      <c r="H67" s="74"/>
      <c r="I67" s="133">
        <v>46029</v>
      </c>
      <c r="J67" s="134">
        <v>0.36180555555555549</v>
      </c>
      <c r="K67" s="135">
        <v>1.7</v>
      </c>
      <c r="L67" s="75">
        <v>1</v>
      </c>
      <c r="M67" s="75" t="s">
        <v>637</v>
      </c>
      <c r="N67" s="75" t="s">
        <v>146</v>
      </c>
      <c r="O67" s="75"/>
      <c r="P67" s="74"/>
      <c r="Q67" s="972">
        <v>46057</v>
      </c>
      <c r="R67" s="973" t="str">
        <f>TEXT(Tabla9[[#This Row],[Fecha]],"dddd")</f>
        <v>miércoles</v>
      </c>
      <c r="S67" s="427" t="s">
        <v>146</v>
      </c>
      <c r="T67" s="427">
        <v>15</v>
      </c>
      <c r="U67" s="974">
        <v>43.59</v>
      </c>
      <c r="V67" s="427"/>
      <c r="W67" s="76"/>
      <c r="X67" s="74"/>
      <c r="Y67" s="684" t="s">
        <v>497</v>
      </c>
      <c r="Z67" s="74">
        <v>1091.95</v>
      </c>
    </row>
    <row r="68" spans="1:26">
      <c r="A68" s="684">
        <v>46057</v>
      </c>
      <c r="B68" s="74" t="s">
        <v>494</v>
      </c>
      <c r="C68" s="711">
        <f t="array" ref="C68">SUMPRODUCT(($I$3:$I$5022=$A68)*($N$3:$N$5022=B68)*$K$3:$K$5022)</f>
        <v>50.25</v>
      </c>
      <c r="D68" s="711">
        <f t="array" ref="D68">SUMPRODUCT(($Q$3:$Q$4998=$A68)*($S$3:$S$4998=B68)*$U$3:$U$4998)</f>
        <v>194.68</v>
      </c>
      <c r="E68" s="711">
        <f t="shared" si="1"/>
        <v>244.93</v>
      </c>
      <c r="F68" s="74"/>
      <c r="G68" s="74"/>
      <c r="H68" s="74"/>
      <c r="I68" s="133">
        <v>46029</v>
      </c>
      <c r="J68" s="134">
        <v>0.37013888888888891</v>
      </c>
      <c r="K68" s="135">
        <v>1.7</v>
      </c>
      <c r="L68" s="75">
        <v>1</v>
      </c>
      <c r="M68" s="75" t="s">
        <v>637</v>
      </c>
      <c r="N68" s="75" t="s">
        <v>146</v>
      </c>
      <c r="O68" s="75"/>
      <c r="P68" s="74"/>
      <c r="Q68" s="972">
        <v>46057</v>
      </c>
      <c r="R68" s="973" t="str">
        <f>TEXT(Tabla9[[#This Row],[Fecha]],"dddd")</f>
        <v>miércoles</v>
      </c>
      <c r="S68" s="427" t="s">
        <v>494</v>
      </c>
      <c r="T68" s="427">
        <v>19</v>
      </c>
      <c r="U68" s="974">
        <v>194.68</v>
      </c>
      <c r="V68" s="427"/>
      <c r="W68" s="76"/>
      <c r="X68" s="74"/>
      <c r="Y68" s="684">
        <v>45683</v>
      </c>
      <c r="Z68" s="74">
        <v>1391.68</v>
      </c>
    </row>
    <row r="69" spans="1:26">
      <c r="A69" s="684">
        <v>46057</v>
      </c>
      <c r="B69" s="684" t="s">
        <v>497</v>
      </c>
      <c r="C69" s="711">
        <f t="array" ref="C69">SUMPRODUCT(($I$3:$I$5022=$A69)*($N$3:$N$5022=B69)*$K$3:$K$5022)</f>
        <v>99</v>
      </c>
      <c r="D69" s="711">
        <f t="array" ref="D69">SUMPRODUCT(($Q$3:$Q$4998=$A69)*($S$3:$S$4998=B69)*$U$3:$U$4998)</f>
        <v>83.91</v>
      </c>
      <c r="E69" s="711">
        <f t="shared" si="1"/>
        <v>182.91</v>
      </c>
      <c r="F69" s="74"/>
      <c r="G69" s="74"/>
      <c r="H69" s="74"/>
      <c r="I69" s="133">
        <v>46029</v>
      </c>
      <c r="J69" s="134">
        <v>0.37222222222222218</v>
      </c>
      <c r="K69" s="135">
        <v>1.7</v>
      </c>
      <c r="L69" s="75">
        <v>1</v>
      </c>
      <c r="M69" s="75" t="s">
        <v>637</v>
      </c>
      <c r="N69" s="75" t="s">
        <v>146</v>
      </c>
      <c r="O69" s="75"/>
      <c r="P69" s="74"/>
      <c r="Q69" s="972">
        <v>46057</v>
      </c>
      <c r="R69" s="973" t="str">
        <f>TEXT(Tabla9[[#This Row],[Fecha]],"dddd")</f>
        <v>miércoles</v>
      </c>
      <c r="S69" s="427" t="s">
        <v>497</v>
      </c>
      <c r="T69" s="427">
        <v>5</v>
      </c>
      <c r="U69" s="974">
        <v>83.91</v>
      </c>
      <c r="V69" s="427"/>
      <c r="W69" s="76"/>
      <c r="X69" s="74"/>
      <c r="Y69" s="684" t="s">
        <v>146</v>
      </c>
      <c r="Z69" s="74">
        <v>248.03</v>
      </c>
    </row>
    <row r="70" spans="1:26">
      <c r="A70" s="684">
        <v>46058</v>
      </c>
      <c r="B70" s="684" t="s">
        <v>146</v>
      </c>
      <c r="C70" s="711">
        <f t="array" ref="C70">SUMPRODUCT(($I$3:$I$5022=$A70)*($N$3:$N$5022=B70)*$K$3:$K$5022)</f>
        <v>110.05</v>
      </c>
      <c r="D70" s="711">
        <f t="array" ref="D70">SUMPRODUCT(($Q$3:$Q$4998=$A70)*($S$3:$S$4998=B70)*$U$3:$U$4998)</f>
        <v>32.590000000000003</v>
      </c>
      <c r="E70" s="711">
        <f t="shared" si="1"/>
        <v>142.63999999999999</v>
      </c>
      <c r="F70" s="74"/>
      <c r="G70" s="74"/>
      <c r="H70" s="74"/>
      <c r="I70" s="133">
        <v>46029</v>
      </c>
      <c r="J70" s="134">
        <v>0.3888888888888889</v>
      </c>
      <c r="K70" s="135">
        <v>3.4</v>
      </c>
      <c r="L70" s="75">
        <v>2</v>
      </c>
      <c r="M70" s="75" t="s">
        <v>637</v>
      </c>
      <c r="N70" s="75" t="s">
        <v>146</v>
      </c>
      <c r="O70" s="75"/>
      <c r="P70" s="74"/>
      <c r="Q70" s="972">
        <v>46058</v>
      </c>
      <c r="R70" s="973" t="str">
        <f>TEXT(Tabla9[[#This Row],[Fecha]],"dddd")</f>
        <v>jueves</v>
      </c>
      <c r="S70" s="427" t="s">
        <v>146</v>
      </c>
      <c r="T70" s="427">
        <v>12</v>
      </c>
      <c r="U70" s="974">
        <v>32.590000000000003</v>
      </c>
      <c r="V70" s="427"/>
      <c r="W70" s="76"/>
      <c r="X70" s="74"/>
      <c r="Y70" s="684" t="s">
        <v>494</v>
      </c>
      <c r="Z70" s="74">
        <v>1143.6500000000001</v>
      </c>
    </row>
    <row r="71" spans="1:26">
      <c r="A71" s="684">
        <v>46058</v>
      </c>
      <c r="B71" s="684" t="s">
        <v>494</v>
      </c>
      <c r="C71" s="711">
        <f t="array" ref="C71">SUMPRODUCT(($I$3:$I$5022=$A71)*($N$3:$N$5022=B71)*$K$3:$K$5022)</f>
        <v>97.7</v>
      </c>
      <c r="D71" s="711">
        <f t="array" ref="D71">SUMPRODUCT(($Q$3:$Q$4998=$A71)*($S$3:$S$4998=B71)*$U$3:$U$4998)</f>
        <v>275.91000000000003</v>
      </c>
      <c r="E71" s="711">
        <f t="shared" si="1"/>
        <v>373.61</v>
      </c>
      <c r="F71" s="74"/>
      <c r="G71" s="74"/>
      <c r="H71" s="74"/>
      <c r="I71" s="133">
        <v>46029</v>
      </c>
      <c r="J71" s="134">
        <v>0.39097222222222222</v>
      </c>
      <c r="K71" s="135">
        <v>1.5</v>
      </c>
      <c r="L71" s="75">
        <v>1</v>
      </c>
      <c r="M71" s="75" t="s">
        <v>637</v>
      </c>
      <c r="N71" s="75" t="s">
        <v>146</v>
      </c>
      <c r="O71" s="75"/>
      <c r="P71" s="74"/>
      <c r="Q71" s="972">
        <v>46058</v>
      </c>
      <c r="R71" s="973" t="str">
        <f>TEXT(Tabla9[[#This Row],[Fecha]],"dddd")</f>
        <v>jueves</v>
      </c>
      <c r="S71" s="427" t="s">
        <v>494</v>
      </c>
      <c r="T71" s="427">
        <v>15</v>
      </c>
      <c r="U71" s="974">
        <v>275.91000000000003</v>
      </c>
      <c r="V71" s="427"/>
      <c r="W71" s="76"/>
      <c r="X71" s="74"/>
      <c r="Y71" s="684">
        <v>45686</v>
      </c>
      <c r="Z71" s="74">
        <v>738.55</v>
      </c>
    </row>
    <row r="72" spans="1:26">
      <c r="A72" s="684">
        <v>46058</v>
      </c>
      <c r="B72" s="74" t="s">
        <v>497</v>
      </c>
      <c r="C72" s="711">
        <f t="array" ref="C72">SUMPRODUCT(($I$3:$I$5022=$A72)*($N$3:$N$5022=B72)*$K$3:$K$5022)</f>
        <v>76.850000000000009</v>
      </c>
      <c r="D72" s="711">
        <f t="array" ref="D72">SUMPRODUCT(($Q$3:$Q$4998=$A72)*($S$3:$S$4998=B72)*$U$3:$U$4998)</f>
        <v>624.32000000000005</v>
      </c>
      <c r="E72" s="711">
        <f t="shared" si="1"/>
        <v>701.17000000000007</v>
      </c>
      <c r="F72" s="74"/>
      <c r="G72" s="74"/>
      <c r="H72" s="74"/>
      <c r="I72" s="133">
        <v>46029</v>
      </c>
      <c r="J72" s="134">
        <v>0.39374999999999999</v>
      </c>
      <c r="K72" s="135">
        <v>4.8499999999999996</v>
      </c>
      <c r="L72" s="75">
        <v>3</v>
      </c>
      <c r="M72" s="75" t="s">
        <v>637</v>
      </c>
      <c r="N72" s="75" t="s">
        <v>146</v>
      </c>
      <c r="O72" s="75"/>
      <c r="P72" s="74"/>
      <c r="Q72" s="972">
        <v>46058</v>
      </c>
      <c r="R72" s="973" t="str">
        <f>TEXT(Tabla9[[#This Row],[Fecha]],"dddd")</f>
        <v>jueves</v>
      </c>
      <c r="S72" s="427" t="s">
        <v>497</v>
      </c>
      <c r="T72" s="427">
        <v>39</v>
      </c>
      <c r="U72" s="974">
        <v>624.32000000000005</v>
      </c>
      <c r="V72" s="427"/>
      <c r="W72" s="76"/>
      <c r="X72" s="74"/>
      <c r="Y72" s="684" t="s">
        <v>146</v>
      </c>
      <c r="Z72" s="74">
        <v>166.25</v>
      </c>
    </row>
    <row r="73" spans="1:26">
      <c r="A73" s="684">
        <v>46059</v>
      </c>
      <c r="B73" s="684" t="s">
        <v>146</v>
      </c>
      <c r="C73" s="711">
        <f t="array" ref="C73">SUMPRODUCT(($I$3:$I$5022=$A73)*($N$3:$N$5022=B73)*$K$3:$K$5022)</f>
        <v>60.500000000000007</v>
      </c>
      <c r="D73" s="711">
        <f t="array" ref="D73">SUMPRODUCT(($Q$3:$Q$4998=$A73)*($S$3:$S$4998=B73)*$U$3:$U$4998)</f>
        <v>66.09</v>
      </c>
      <c r="E73" s="711">
        <f t="shared" si="1"/>
        <v>126.59</v>
      </c>
      <c r="F73" s="74"/>
      <c r="G73" s="74"/>
      <c r="H73" s="74"/>
      <c r="I73" s="133">
        <v>46029</v>
      </c>
      <c r="J73" s="134">
        <v>0.39930555555555558</v>
      </c>
      <c r="K73" s="135">
        <v>5.5</v>
      </c>
      <c r="L73" s="75">
        <v>2</v>
      </c>
      <c r="M73" s="75" t="s">
        <v>637</v>
      </c>
      <c r="N73" s="75" t="s">
        <v>146</v>
      </c>
      <c r="O73" s="75"/>
      <c r="P73" s="74"/>
      <c r="Q73" s="972">
        <v>46059</v>
      </c>
      <c r="R73" s="973" t="str">
        <f>TEXT(Tabla9[[#This Row],[Fecha]],"dddd")</f>
        <v>viernes</v>
      </c>
      <c r="S73" s="427" t="s">
        <v>146</v>
      </c>
      <c r="T73" s="427">
        <v>14</v>
      </c>
      <c r="U73" s="974">
        <v>66.09</v>
      </c>
      <c r="V73" s="427"/>
      <c r="W73" s="76"/>
      <c r="X73" s="74"/>
      <c r="Y73" s="684" t="s">
        <v>494</v>
      </c>
      <c r="Z73" s="74">
        <v>336.4</v>
      </c>
    </row>
    <row r="74" spans="1:26">
      <c r="A74" s="684">
        <v>46059</v>
      </c>
      <c r="B74" s="684" t="s">
        <v>494</v>
      </c>
      <c r="C74" s="711">
        <f t="array" ref="C74">SUMPRODUCT(($I$3:$I$5022=$A74)*($N$3:$N$5022=B74)*$K$3:$K$5022)</f>
        <v>87.9</v>
      </c>
      <c r="D74" s="711">
        <f t="array" ref="D74">SUMPRODUCT(($Q$3:$Q$4998=$A74)*($S$3:$S$4998=B74)*$U$3:$U$4998)</f>
        <v>414</v>
      </c>
      <c r="E74" s="711">
        <f t="shared" si="1"/>
        <v>501.9</v>
      </c>
      <c r="F74" s="74"/>
      <c r="G74" s="74"/>
      <c r="H74" s="74"/>
      <c r="I74" s="133">
        <v>46029</v>
      </c>
      <c r="J74" s="134">
        <v>0.40208333333333329</v>
      </c>
      <c r="K74" s="135">
        <v>1.95</v>
      </c>
      <c r="L74" s="75">
        <v>1</v>
      </c>
      <c r="M74" s="75" t="s">
        <v>637</v>
      </c>
      <c r="N74" s="75" t="s">
        <v>146</v>
      </c>
      <c r="O74" s="75"/>
      <c r="P74" s="74"/>
      <c r="Q74" s="972">
        <v>46059</v>
      </c>
      <c r="R74" s="973" t="str">
        <f>TEXT(Tabla9[[#This Row],[Fecha]],"dddd")</f>
        <v>viernes</v>
      </c>
      <c r="S74" s="427" t="s">
        <v>494</v>
      </c>
      <c r="T74" s="427">
        <v>18</v>
      </c>
      <c r="U74" s="974">
        <v>414</v>
      </c>
      <c r="V74" s="427"/>
      <c r="W74" s="76"/>
      <c r="X74" s="74"/>
      <c r="Y74" s="684" t="s">
        <v>497</v>
      </c>
      <c r="Z74" s="74">
        <v>235.9</v>
      </c>
    </row>
    <row r="75" spans="1:26">
      <c r="A75" s="684">
        <v>46059</v>
      </c>
      <c r="B75" s="684" t="s">
        <v>497</v>
      </c>
      <c r="C75" s="711">
        <f t="array" ref="C75">SUMPRODUCT(($I$3:$I$5022=$A75)*($N$3:$N$5022=B75)*$K$3:$K$5022)</f>
        <v>0</v>
      </c>
      <c r="D75" s="711">
        <f t="array" ref="D75">SUMPRODUCT(($Q$3:$Q$4998=$A75)*($S$3:$S$4998=B75)*$U$3:$U$4998)</f>
        <v>1328.73</v>
      </c>
      <c r="E75" s="711">
        <f t="shared" si="1"/>
        <v>1328.73</v>
      </c>
      <c r="F75" s="74"/>
      <c r="G75" s="74"/>
      <c r="H75" s="74"/>
      <c r="I75" s="133">
        <v>46029</v>
      </c>
      <c r="J75" s="134">
        <v>0.41875000000000001</v>
      </c>
      <c r="K75" s="135">
        <v>2.9</v>
      </c>
      <c r="L75" s="75">
        <v>1</v>
      </c>
      <c r="M75" s="75" t="s">
        <v>637</v>
      </c>
      <c r="N75" s="75" t="s">
        <v>146</v>
      </c>
      <c r="O75" s="75"/>
      <c r="P75" s="74"/>
      <c r="Q75" s="972">
        <v>46059</v>
      </c>
      <c r="R75" s="973" t="str">
        <f>TEXT(Tabla9[[#This Row],[Fecha]],"dddd")</f>
        <v>viernes</v>
      </c>
      <c r="S75" s="427" t="s">
        <v>497</v>
      </c>
      <c r="T75" s="427">
        <v>82</v>
      </c>
      <c r="U75" s="974">
        <v>1328.73</v>
      </c>
      <c r="V75" s="427"/>
      <c r="W75" s="76"/>
      <c r="X75" s="74"/>
      <c r="Y75" s="684">
        <v>45687</v>
      </c>
      <c r="Z75" s="74">
        <v>778.15</v>
      </c>
    </row>
    <row r="76" spans="1:26">
      <c r="A76" s="684">
        <v>46060</v>
      </c>
      <c r="B76" s="74" t="s">
        <v>146</v>
      </c>
      <c r="C76" s="711">
        <f t="array" ref="C76">SUMPRODUCT(($I$3:$I$5022=$A76)*($N$3:$N$5022=B76)*$K$3:$K$5022)</f>
        <v>50.099999999999994</v>
      </c>
      <c r="D76" s="711">
        <f t="array" ref="D76">SUMPRODUCT(($Q$3:$Q$4998=$A76)*($S$3:$S$4998=B76)*$U$3:$U$4998)</f>
        <v>216.77</v>
      </c>
      <c r="E76" s="711">
        <f t="shared" si="1"/>
        <v>266.87</v>
      </c>
      <c r="F76" s="74"/>
      <c r="G76" s="74"/>
      <c r="H76" s="74"/>
      <c r="I76" s="133">
        <v>46029</v>
      </c>
      <c r="J76" s="134">
        <v>0.42777777777777781</v>
      </c>
      <c r="K76" s="135">
        <v>1.5</v>
      </c>
      <c r="L76" s="75">
        <v>1</v>
      </c>
      <c r="M76" s="75" t="s">
        <v>637</v>
      </c>
      <c r="N76" s="75" t="s">
        <v>146</v>
      </c>
      <c r="O76" s="75"/>
      <c r="P76" s="74"/>
      <c r="Q76" s="972">
        <v>46060</v>
      </c>
      <c r="R76" s="973" t="str">
        <f>TEXT(Tabla9[[#This Row],[Fecha]],"dddd")</f>
        <v>sábado</v>
      </c>
      <c r="S76" s="427" t="s">
        <v>494</v>
      </c>
      <c r="T76" s="427">
        <v>135</v>
      </c>
      <c r="U76" s="974">
        <v>2381.59</v>
      </c>
      <c r="V76" s="427"/>
      <c r="W76" s="76"/>
      <c r="X76" s="74"/>
      <c r="Y76" s="684" t="s">
        <v>146</v>
      </c>
      <c r="Z76" s="74">
        <v>374.85</v>
      </c>
    </row>
    <row r="77" spans="1:26">
      <c r="A77" s="684">
        <v>46060</v>
      </c>
      <c r="B77" s="684" t="s">
        <v>494</v>
      </c>
      <c r="C77" s="711">
        <f t="array" ref="C77">SUMPRODUCT(($I$3:$I$5022=$A77)*($N$3:$N$5022=B77)*$K$3:$K$5022)</f>
        <v>8.3000000000000007</v>
      </c>
      <c r="D77" s="711">
        <f t="array" ref="D77">SUMPRODUCT(($Q$3:$Q$4998=$A77)*($S$3:$S$4998=B77)*$U$3:$U$4998)</f>
        <v>2381.59</v>
      </c>
      <c r="E77" s="711">
        <f t="shared" si="1"/>
        <v>2389.8900000000003</v>
      </c>
      <c r="F77" s="74"/>
      <c r="G77" s="74"/>
      <c r="H77" s="74"/>
      <c r="I77" s="133">
        <v>46029</v>
      </c>
      <c r="J77" s="134">
        <v>0.43472222222222218</v>
      </c>
      <c r="K77" s="135">
        <v>1.5</v>
      </c>
      <c r="L77" s="75">
        <v>1</v>
      </c>
      <c r="M77" s="75" t="s">
        <v>637</v>
      </c>
      <c r="N77" s="75" t="s">
        <v>146</v>
      </c>
      <c r="O77" s="75"/>
      <c r="P77" s="74"/>
      <c r="Q77" s="972">
        <v>46060</v>
      </c>
      <c r="R77" s="973" t="str">
        <f>TEXT(Tabla9[[#This Row],[Fecha]],"dddd")</f>
        <v>sábado</v>
      </c>
      <c r="S77" s="427" t="s">
        <v>146</v>
      </c>
      <c r="T77" s="427">
        <v>40</v>
      </c>
      <c r="U77" s="974">
        <v>216.77</v>
      </c>
      <c r="V77" s="427"/>
      <c r="W77" s="76"/>
      <c r="X77" s="74"/>
      <c r="Y77" s="684" t="s">
        <v>494</v>
      </c>
      <c r="Z77" s="74">
        <v>347.7</v>
      </c>
    </row>
    <row r="78" spans="1:26">
      <c r="A78" s="684">
        <v>46060</v>
      </c>
      <c r="B78" s="684" t="s">
        <v>497</v>
      </c>
      <c r="C78" s="711">
        <f t="array" ref="C78">SUMPRODUCT(($I$3:$I$5022=$A78)*($N$3:$N$5022=B78)*$K$3:$K$5022)</f>
        <v>0</v>
      </c>
      <c r="D78" s="711">
        <f t="array" ref="D78">SUMPRODUCT(($Q$3:$Q$4998=$A78)*($S$3:$S$4998=B78)*$U$3:$U$4998)</f>
        <v>1250.82</v>
      </c>
      <c r="E78" s="711">
        <f t="shared" si="1"/>
        <v>1250.82</v>
      </c>
      <c r="F78" s="74"/>
      <c r="G78" s="74"/>
      <c r="H78" s="74"/>
      <c r="I78" s="133">
        <v>46029</v>
      </c>
      <c r="J78" s="134">
        <v>0.44513888888888892</v>
      </c>
      <c r="K78" s="135">
        <v>1.7</v>
      </c>
      <c r="L78" s="75">
        <v>1</v>
      </c>
      <c r="M78" s="75" t="s">
        <v>637</v>
      </c>
      <c r="N78" s="75" t="s">
        <v>146</v>
      </c>
      <c r="O78" s="75"/>
      <c r="P78" s="74"/>
      <c r="Q78" s="972">
        <v>46060</v>
      </c>
      <c r="R78" s="973" t="str">
        <f>TEXT(Tabla9[[#This Row],[Fecha]],"dddd")</f>
        <v>sábado</v>
      </c>
      <c r="S78" s="427" t="s">
        <v>497</v>
      </c>
      <c r="T78" s="427">
        <v>73</v>
      </c>
      <c r="U78" s="974">
        <v>1250.82</v>
      </c>
      <c r="V78" s="427"/>
      <c r="W78" s="76"/>
      <c r="X78" s="74"/>
      <c r="Y78" s="684" t="s">
        <v>497</v>
      </c>
      <c r="Z78" s="74">
        <v>55.6</v>
      </c>
    </row>
    <row r="79" spans="1:26">
      <c r="A79" s="684">
        <v>46061</v>
      </c>
      <c r="B79" s="684" t="s">
        <v>146</v>
      </c>
      <c r="C79" s="711">
        <f t="array" ref="C79">SUMPRODUCT(($I$3:$I$5022=$A79)*($N$3:$N$5022=B79)*$K$3:$K$5022)</f>
        <v>77.739999999999995</v>
      </c>
      <c r="D79" s="711">
        <f t="array" ref="D79">SUMPRODUCT(($Q$3:$Q$4998=$A79)*($S$3:$S$4998=B79)*$U$3:$U$4998)</f>
        <v>212.14</v>
      </c>
      <c r="E79" s="711">
        <f t="shared" si="1"/>
        <v>289.88</v>
      </c>
      <c r="F79" s="74"/>
      <c r="G79" s="74"/>
      <c r="H79" s="74"/>
      <c r="I79" s="133">
        <v>46029</v>
      </c>
      <c r="J79" s="134">
        <v>0.45208333333333328</v>
      </c>
      <c r="K79" s="135">
        <v>1.4</v>
      </c>
      <c r="L79" s="75">
        <v>1</v>
      </c>
      <c r="M79" s="75" t="s">
        <v>637</v>
      </c>
      <c r="N79" s="75" t="s">
        <v>146</v>
      </c>
      <c r="O79" s="75"/>
      <c r="P79" s="74"/>
      <c r="Q79" s="972">
        <v>46061</v>
      </c>
      <c r="R79" s="973" t="str">
        <f>TEXT(Tabla9[[#This Row],[Fecha]],"dddd")</f>
        <v>domingo</v>
      </c>
      <c r="S79" s="427" t="s">
        <v>494</v>
      </c>
      <c r="T79" s="427">
        <v>140</v>
      </c>
      <c r="U79" s="974">
        <v>1808.82</v>
      </c>
      <c r="V79" s="427"/>
      <c r="W79" s="76"/>
      <c r="X79" s="74"/>
      <c r="Y79" s="684">
        <v>45693</v>
      </c>
      <c r="Z79" s="74">
        <v>585.79999999999995</v>
      </c>
    </row>
    <row r="80" spans="1:26">
      <c r="A80" s="684">
        <v>46061</v>
      </c>
      <c r="B80" s="74" t="s">
        <v>494</v>
      </c>
      <c r="C80" s="711">
        <f t="array" ref="C80">SUMPRODUCT(($I$3:$I$5022=$A80)*($N$3:$N$5022=B80)*$K$3:$K$5022)</f>
        <v>22</v>
      </c>
      <c r="D80" s="711">
        <f t="array" ref="D80">SUMPRODUCT(($Q$3:$Q$4998=$A80)*($S$3:$S$4998=B80)*$U$3:$U$4998)</f>
        <v>1808.82</v>
      </c>
      <c r="E80" s="711">
        <f t="shared" si="1"/>
        <v>1830.82</v>
      </c>
      <c r="F80" s="74"/>
      <c r="G80" s="74"/>
      <c r="H80" s="74"/>
      <c r="I80" s="133">
        <v>46029</v>
      </c>
      <c r="J80" s="134">
        <v>0.4909722222222222</v>
      </c>
      <c r="K80" s="135">
        <v>11.35</v>
      </c>
      <c r="L80" s="75">
        <v>2</v>
      </c>
      <c r="M80" s="75" t="s">
        <v>637</v>
      </c>
      <c r="N80" s="75" t="s">
        <v>146</v>
      </c>
      <c r="O80" s="75"/>
      <c r="P80" s="74"/>
      <c r="Q80" s="972">
        <v>46061</v>
      </c>
      <c r="R80" s="973" t="str">
        <f>TEXT(Tabla9[[#This Row],[Fecha]],"dddd")</f>
        <v>domingo</v>
      </c>
      <c r="S80" s="427" t="s">
        <v>146</v>
      </c>
      <c r="T80" s="427">
        <v>25</v>
      </c>
      <c r="U80" s="974">
        <v>212.14</v>
      </c>
      <c r="V80" s="427"/>
      <c r="W80" s="76"/>
      <c r="X80" s="74"/>
      <c r="Y80" s="684" t="s">
        <v>146</v>
      </c>
      <c r="Z80" s="74">
        <v>213.2</v>
      </c>
    </row>
    <row r="81" spans="1:26">
      <c r="A81" s="684">
        <v>46064</v>
      </c>
      <c r="B81" s="684" t="s">
        <v>146</v>
      </c>
      <c r="C81" s="711">
        <f t="array" ref="C81">SUMPRODUCT(($I$3:$I$5022=$A81)*($N$3:$N$5022=B81)*$K$3:$K$5022)</f>
        <v>78.400000000000006</v>
      </c>
      <c r="D81" s="711">
        <f t="array" ref="D81">SUMPRODUCT(($Q$3:$Q$4998=$A81)*($S$3:$S$4998=B81)*$U$3:$U$4998)</f>
        <v>88.91</v>
      </c>
      <c r="E81" s="711">
        <f t="shared" si="1"/>
        <v>167.31</v>
      </c>
      <c r="F81" s="74"/>
      <c r="G81" s="74"/>
      <c r="H81" s="74"/>
      <c r="I81" s="133">
        <v>46029</v>
      </c>
      <c r="J81" s="134">
        <v>0.5</v>
      </c>
      <c r="K81" s="135">
        <v>3.35</v>
      </c>
      <c r="L81" s="75">
        <v>1</v>
      </c>
      <c r="M81" s="75" t="s">
        <v>637</v>
      </c>
      <c r="N81" s="75" t="s">
        <v>494</v>
      </c>
      <c r="O81" s="75"/>
      <c r="P81" s="74"/>
      <c r="Q81" s="972">
        <v>46064</v>
      </c>
      <c r="R81" s="973" t="str">
        <f>TEXT(Tabla9[[#This Row],[Fecha]],"dddd")</f>
        <v>miércoles</v>
      </c>
      <c r="S81" s="427" t="s">
        <v>494</v>
      </c>
      <c r="T81" s="427">
        <v>24</v>
      </c>
      <c r="U81" s="974">
        <v>296.64</v>
      </c>
      <c r="V81" s="427"/>
      <c r="W81" s="76"/>
      <c r="X81" s="74"/>
      <c r="Y81" s="684" t="s">
        <v>494</v>
      </c>
      <c r="Z81" s="74">
        <v>249.7</v>
      </c>
    </row>
    <row r="82" spans="1:26">
      <c r="A82" s="684">
        <v>46064</v>
      </c>
      <c r="B82" s="684" t="s">
        <v>494</v>
      </c>
      <c r="C82" s="711">
        <f t="array" ref="C82">SUMPRODUCT(($I$3:$I$5022=$A82)*($N$3:$N$5022=B82)*$K$3:$K$5022)</f>
        <v>61.800000000000004</v>
      </c>
      <c r="D82" s="711">
        <f t="array" ref="D82">SUMPRODUCT(($Q$3:$Q$4998=$A82)*($S$3:$S$4998=B82)*$U$3:$U$4998)</f>
        <v>296.64</v>
      </c>
      <c r="E82" s="711">
        <f t="shared" si="1"/>
        <v>358.44</v>
      </c>
      <c r="F82" s="74"/>
      <c r="G82" s="74"/>
      <c r="H82" s="74"/>
      <c r="I82" s="133">
        <v>46029</v>
      </c>
      <c r="J82" s="134">
        <v>0.52847222222222223</v>
      </c>
      <c r="K82" s="135">
        <v>1.7</v>
      </c>
      <c r="L82" s="75">
        <v>1</v>
      </c>
      <c r="M82" s="75" t="s">
        <v>637</v>
      </c>
      <c r="N82" s="75" t="s">
        <v>494</v>
      </c>
      <c r="O82" s="75"/>
      <c r="P82" s="74"/>
      <c r="Q82" s="972">
        <v>46064</v>
      </c>
      <c r="R82" s="973" t="str">
        <f>TEXT(Tabla9[[#This Row],[Fecha]],"dddd")</f>
        <v>miércoles</v>
      </c>
      <c r="S82" s="427" t="s">
        <v>146</v>
      </c>
      <c r="T82" s="427">
        <v>21</v>
      </c>
      <c r="U82" s="974">
        <v>88.91</v>
      </c>
      <c r="V82" s="427"/>
      <c r="W82" s="76"/>
      <c r="X82" s="74"/>
      <c r="Y82" s="684" t="s">
        <v>497</v>
      </c>
      <c r="Z82" s="74">
        <v>122.9</v>
      </c>
    </row>
    <row r="83" spans="1:26">
      <c r="A83" s="684">
        <v>46064</v>
      </c>
      <c r="B83" s="684" t="s">
        <v>497</v>
      </c>
      <c r="C83" s="711">
        <f t="array" ref="C83">SUMPRODUCT(($I$3:$I$5022=$A83)*($N$3:$N$5022=B83)*$K$3:$K$5022)</f>
        <v>1.65</v>
      </c>
      <c r="D83" s="711">
        <f t="array" ref="D83">SUMPRODUCT(($Q$3:$Q$4998=$A83)*($S$3:$S$4998=B83)*$U$3:$U$4998)</f>
        <v>601</v>
      </c>
      <c r="E83" s="711">
        <f t="shared" si="1"/>
        <v>602.65</v>
      </c>
      <c r="F83" s="74"/>
      <c r="G83" s="74"/>
      <c r="H83" s="74"/>
      <c r="I83" s="133">
        <v>46029</v>
      </c>
      <c r="J83" s="134">
        <v>0.55138888888888893</v>
      </c>
      <c r="K83" s="135">
        <v>3.45</v>
      </c>
      <c r="L83" s="75">
        <v>2</v>
      </c>
      <c r="M83" s="75" t="s">
        <v>637</v>
      </c>
      <c r="N83" s="75" t="s">
        <v>494</v>
      </c>
      <c r="O83" s="75"/>
      <c r="P83" s="74"/>
      <c r="Q83" s="972">
        <v>46064</v>
      </c>
      <c r="R83" s="973" t="str">
        <f>TEXT(Tabla9[[#This Row],[Fecha]],"dddd")</f>
        <v>miércoles</v>
      </c>
      <c r="S83" s="427" t="s">
        <v>497</v>
      </c>
      <c r="T83" s="427">
        <v>40</v>
      </c>
      <c r="U83" s="974">
        <v>601</v>
      </c>
      <c r="V83" s="427"/>
      <c r="W83" s="76"/>
      <c r="X83" s="74"/>
      <c r="Y83" s="684">
        <v>45694</v>
      </c>
      <c r="Z83" s="74">
        <v>634.04999999999995</v>
      </c>
    </row>
    <row r="84" spans="1:26">
      <c r="A84" s="684">
        <v>46065</v>
      </c>
      <c r="B84" s="74" t="s">
        <v>146</v>
      </c>
      <c r="C84" s="711">
        <f t="array" ref="C84">SUMPRODUCT(($I$3:$I$5022=$A84)*($N$3:$N$5022=B84)*$K$3:$K$5022)</f>
        <v>81.500000000000014</v>
      </c>
      <c r="D84" s="711">
        <f t="array" ref="D84">SUMPRODUCT(($Q$3:$Q$4998=$A84)*($S$3:$S$4998=B84)*$U$3:$U$4998)</f>
        <v>37.14</v>
      </c>
      <c r="E84" s="711">
        <f t="shared" si="1"/>
        <v>118.64000000000001</v>
      </c>
      <c r="F84" s="74"/>
      <c r="G84" s="74"/>
      <c r="H84" s="74"/>
      <c r="I84" s="133">
        <v>46029</v>
      </c>
      <c r="J84" s="134">
        <v>0.59375</v>
      </c>
      <c r="K84" s="135">
        <v>3.35</v>
      </c>
      <c r="L84" s="75">
        <v>1</v>
      </c>
      <c r="M84" s="75" t="s">
        <v>637</v>
      </c>
      <c r="N84" s="75" t="s">
        <v>494</v>
      </c>
      <c r="O84" s="75"/>
      <c r="P84" s="74"/>
      <c r="Q84" s="972">
        <v>46065</v>
      </c>
      <c r="R84" s="973" t="str">
        <f>TEXT(Tabla9[[#This Row],[Fecha]],"dddd")</f>
        <v>jueves</v>
      </c>
      <c r="S84" s="427" t="s">
        <v>494</v>
      </c>
      <c r="T84" s="427">
        <v>24</v>
      </c>
      <c r="U84" s="974">
        <v>165.46</v>
      </c>
      <c r="V84" s="427"/>
      <c r="W84" s="76"/>
      <c r="X84" s="74"/>
      <c r="Y84" s="684" t="s">
        <v>146</v>
      </c>
      <c r="Z84" s="74">
        <v>150.55000000000001</v>
      </c>
    </row>
    <row r="85" spans="1:26">
      <c r="A85" s="684">
        <v>46065</v>
      </c>
      <c r="B85" s="684" t="s">
        <v>494</v>
      </c>
      <c r="C85" s="711">
        <f t="array" ref="C85">SUMPRODUCT(($I$3:$I$5022=$A85)*($N$3:$N$5022=B85)*$K$3:$K$5022)</f>
        <v>41.1</v>
      </c>
      <c r="D85" s="711">
        <f t="array" ref="D85">SUMPRODUCT(($Q$3:$Q$4998=$A85)*($S$3:$S$4998=B85)*$U$3:$U$4998)</f>
        <v>165.46</v>
      </c>
      <c r="E85" s="711">
        <f t="shared" si="1"/>
        <v>206.56</v>
      </c>
      <c r="F85" s="74"/>
      <c r="G85" s="74"/>
      <c r="H85" s="74"/>
      <c r="I85" s="133">
        <v>46029</v>
      </c>
      <c r="J85" s="134">
        <v>0.62083333333333335</v>
      </c>
      <c r="K85" s="135">
        <v>16.45</v>
      </c>
      <c r="L85" s="75">
        <v>1</v>
      </c>
      <c r="M85" s="75" t="s">
        <v>637</v>
      </c>
      <c r="N85" s="75" t="s">
        <v>494</v>
      </c>
      <c r="O85" s="75"/>
      <c r="P85" s="74"/>
      <c r="Q85" s="972">
        <v>46065</v>
      </c>
      <c r="R85" s="973" t="str">
        <f>TEXT(Tabla9[[#This Row],[Fecha]],"dddd")</f>
        <v>jueves</v>
      </c>
      <c r="S85" s="427" t="s">
        <v>146</v>
      </c>
      <c r="T85" s="427">
        <v>15</v>
      </c>
      <c r="U85" s="974">
        <v>37.14</v>
      </c>
      <c r="V85" s="427"/>
      <c r="W85" s="76"/>
      <c r="X85" s="74"/>
      <c r="Y85" s="684" t="s">
        <v>494</v>
      </c>
      <c r="Z85" s="74">
        <v>258.25</v>
      </c>
    </row>
    <row r="86" spans="1:26">
      <c r="A86" s="684">
        <v>46065</v>
      </c>
      <c r="B86" s="684" t="s">
        <v>497</v>
      </c>
      <c r="C86" s="711">
        <f t="array" ref="C86">SUMPRODUCT(($I$3:$I$5022=$A86)*($N$3:$N$5022=B86)*$K$3:$K$5022)</f>
        <v>34.950000000000003</v>
      </c>
      <c r="D86" s="711">
        <f t="array" ref="D86">SUMPRODUCT(($Q$3:$Q$4998=$A86)*($S$3:$S$4998=B86)*$U$3:$U$4998)</f>
        <v>258.36</v>
      </c>
      <c r="E86" s="711">
        <f t="shared" si="1"/>
        <v>293.31</v>
      </c>
      <c r="F86" s="74"/>
      <c r="G86" s="74"/>
      <c r="H86" s="74"/>
      <c r="I86" s="133">
        <v>46029</v>
      </c>
      <c r="J86" s="134">
        <v>0.62361111111111112</v>
      </c>
      <c r="K86" s="135">
        <v>17.55</v>
      </c>
      <c r="L86" s="75">
        <v>1</v>
      </c>
      <c r="M86" s="75" t="s">
        <v>637</v>
      </c>
      <c r="N86" s="75" t="s">
        <v>494</v>
      </c>
      <c r="O86" s="75"/>
      <c r="P86" s="74"/>
      <c r="Q86" s="972">
        <v>46065</v>
      </c>
      <c r="R86" s="973" t="str">
        <f>TEXT(Tabla9[[#This Row],[Fecha]],"dddd")</f>
        <v>jueves</v>
      </c>
      <c r="S86" s="427" t="s">
        <v>497</v>
      </c>
      <c r="T86" s="427">
        <v>20</v>
      </c>
      <c r="U86" s="974">
        <v>258.36</v>
      </c>
      <c r="V86" s="427"/>
      <c r="W86" s="76"/>
      <c r="X86" s="74"/>
      <c r="Y86" s="684" t="s">
        <v>497</v>
      </c>
      <c r="Z86" s="74">
        <v>225.25</v>
      </c>
    </row>
    <row r="87" spans="1:26">
      <c r="A87" s="684">
        <v>46066</v>
      </c>
      <c r="B87" s="684" t="s">
        <v>146</v>
      </c>
      <c r="C87" s="711">
        <f t="array" ref="C87">SUMPRODUCT(($I$3:$I$5022=$A87)*($N$3:$N$5022=B87)*$K$3:$K$5022)</f>
        <v>95.65</v>
      </c>
      <c r="D87" s="711">
        <f t="array" ref="D87">SUMPRODUCT(($Q$3:$Q$4998=$A87)*($S$3:$S$4998=B87)*$U$3:$U$4998)</f>
        <v>129.68</v>
      </c>
      <c r="E87" s="711">
        <f t="shared" si="1"/>
        <v>225.33</v>
      </c>
      <c r="F87" s="74"/>
      <c r="G87" s="74"/>
      <c r="H87" s="74"/>
      <c r="I87" s="133">
        <v>46029</v>
      </c>
      <c r="J87" s="134">
        <v>0.63263888888888886</v>
      </c>
      <c r="K87" s="135">
        <v>17.850000000000001</v>
      </c>
      <c r="L87" s="75">
        <v>1</v>
      </c>
      <c r="M87" s="75" t="s">
        <v>637</v>
      </c>
      <c r="N87" s="75" t="s">
        <v>494</v>
      </c>
      <c r="O87" s="75"/>
      <c r="P87" s="74"/>
      <c r="Q87" s="972">
        <v>46066</v>
      </c>
      <c r="R87" s="973" t="str">
        <f>TEXT(Tabla9[[#This Row],[Fecha]],"dddd")</f>
        <v>viernes</v>
      </c>
      <c r="S87" s="427" t="s">
        <v>494</v>
      </c>
      <c r="T87" s="427">
        <v>26</v>
      </c>
      <c r="U87" s="974">
        <v>298.14</v>
      </c>
      <c r="V87" s="427"/>
      <c r="W87" s="76"/>
      <c r="X87" s="74"/>
      <c r="Y87" s="684">
        <v>45695</v>
      </c>
      <c r="Z87" s="74">
        <v>1358.95</v>
      </c>
    </row>
    <row r="88" spans="1:26">
      <c r="A88" s="684">
        <v>46066</v>
      </c>
      <c r="B88" s="74" t="s">
        <v>494</v>
      </c>
      <c r="C88" s="711">
        <f t="array" ref="C88">SUMPRODUCT(($I$3:$I$5022=$A88)*($N$3:$N$5022=B88)*$K$3:$K$5022)</f>
        <v>80.25</v>
      </c>
      <c r="D88" s="711">
        <f t="array" ref="D88">SUMPRODUCT(($Q$3:$Q$4998=$A88)*($S$3:$S$4998=B88)*$U$3:$U$4998)</f>
        <v>298.14</v>
      </c>
      <c r="E88" s="711">
        <f t="shared" si="1"/>
        <v>378.39</v>
      </c>
      <c r="F88" s="74"/>
      <c r="G88" s="74"/>
      <c r="H88" s="74"/>
      <c r="I88" s="133">
        <v>46029</v>
      </c>
      <c r="J88" s="134">
        <v>0.63402777777777775</v>
      </c>
      <c r="K88" s="135">
        <v>1.7</v>
      </c>
      <c r="L88" s="75">
        <v>1</v>
      </c>
      <c r="M88" s="75" t="s">
        <v>637</v>
      </c>
      <c r="N88" s="75" t="s">
        <v>494</v>
      </c>
      <c r="O88" s="75"/>
      <c r="P88" s="74"/>
      <c r="Q88" s="972">
        <v>46066</v>
      </c>
      <c r="R88" s="973" t="str">
        <f>TEXT(Tabla9[[#This Row],[Fecha]],"dddd")</f>
        <v>viernes</v>
      </c>
      <c r="S88" s="427" t="s">
        <v>146</v>
      </c>
      <c r="T88" s="427">
        <v>35</v>
      </c>
      <c r="U88" s="974">
        <v>129.68</v>
      </c>
      <c r="V88" s="427"/>
      <c r="W88" s="76"/>
      <c r="X88" s="74"/>
      <c r="Y88" s="684" t="s">
        <v>146</v>
      </c>
      <c r="Z88" s="74">
        <v>78.2</v>
      </c>
    </row>
    <row r="89" spans="1:26">
      <c r="A89" s="684">
        <v>46066</v>
      </c>
      <c r="B89" s="684" t="s">
        <v>497</v>
      </c>
      <c r="C89" s="711">
        <f t="array" ref="C89">SUMPRODUCT(($I$3:$I$5022=$A89)*($N$3:$N$5022=B89)*$K$3:$K$5022)</f>
        <v>0</v>
      </c>
      <c r="D89" s="711">
        <f t="array" ref="D89">SUMPRODUCT(($Q$3:$Q$4998=$A89)*($S$3:$S$4998=B89)*$U$3:$U$4998)</f>
        <v>501.77</v>
      </c>
      <c r="E89" s="711">
        <f t="shared" si="1"/>
        <v>501.77</v>
      </c>
      <c r="F89" s="74"/>
      <c r="G89" s="74"/>
      <c r="H89" s="74"/>
      <c r="I89" s="133">
        <v>46029</v>
      </c>
      <c r="J89" s="134">
        <v>0.64513888888888893</v>
      </c>
      <c r="K89" s="135">
        <v>24.25</v>
      </c>
      <c r="L89" s="75">
        <v>2</v>
      </c>
      <c r="M89" s="75" t="s">
        <v>637</v>
      </c>
      <c r="N89" s="75" t="s">
        <v>494</v>
      </c>
      <c r="O89" s="75"/>
      <c r="P89" s="74"/>
      <c r="Q89" s="972">
        <v>46066</v>
      </c>
      <c r="R89" s="973" t="str">
        <f>TEXT(Tabla9[[#This Row],[Fecha]],"dddd")</f>
        <v>viernes</v>
      </c>
      <c r="S89" s="427" t="s">
        <v>497</v>
      </c>
      <c r="T89" s="427">
        <v>33</v>
      </c>
      <c r="U89" s="974">
        <v>501.77</v>
      </c>
      <c r="V89" s="427"/>
      <c r="W89" s="76"/>
      <c r="X89" s="74"/>
      <c r="Y89" s="684" t="s">
        <v>494</v>
      </c>
      <c r="Z89" s="74">
        <v>273</v>
      </c>
    </row>
    <row r="90" spans="1:26">
      <c r="A90" s="684">
        <v>46067</v>
      </c>
      <c r="B90" s="684" t="s">
        <v>146</v>
      </c>
      <c r="C90" s="711">
        <f t="array" ref="C90">SUMPRODUCT(($I$3:$I$5022=$A90)*($N$3:$N$5022=B90)*$K$3:$K$5022)</f>
        <v>83.84999999999998</v>
      </c>
      <c r="D90" s="711">
        <f t="array" ref="D90">SUMPRODUCT(($Q$3:$Q$4998=$A90)*($S$3:$S$4998=B90)*$U$3:$U$4998)</f>
        <v>85.41</v>
      </c>
      <c r="E90" s="711">
        <f t="shared" si="1"/>
        <v>169.26</v>
      </c>
      <c r="F90" s="74"/>
      <c r="G90" s="74"/>
      <c r="H90" s="74"/>
      <c r="I90" s="133">
        <v>46029</v>
      </c>
      <c r="J90" s="134">
        <v>0.64930555555555558</v>
      </c>
      <c r="K90" s="135">
        <v>20.2</v>
      </c>
      <c r="L90" s="75">
        <v>1</v>
      </c>
      <c r="M90" s="75" t="s">
        <v>637</v>
      </c>
      <c r="N90" s="75" t="s">
        <v>494</v>
      </c>
      <c r="O90" s="75"/>
      <c r="P90" s="74"/>
      <c r="Q90" s="972">
        <v>46067</v>
      </c>
      <c r="R90" s="973" t="str">
        <f>TEXT(Tabla9[[#This Row],[Fecha]],"dddd")</f>
        <v>sábado</v>
      </c>
      <c r="S90" s="427" t="s">
        <v>494</v>
      </c>
      <c r="T90" s="427">
        <v>57</v>
      </c>
      <c r="U90" s="974">
        <v>1013.09</v>
      </c>
      <c r="V90" s="427"/>
      <c r="W90" s="76"/>
      <c r="X90" s="74"/>
      <c r="Y90" s="684" t="s">
        <v>497</v>
      </c>
      <c r="Z90" s="74">
        <v>1007.75</v>
      </c>
    </row>
    <row r="91" spans="1:26">
      <c r="A91" s="684">
        <v>46067</v>
      </c>
      <c r="B91" s="684" t="s">
        <v>494</v>
      </c>
      <c r="C91" s="711">
        <f t="array" ref="C91">SUMPRODUCT(($I$3:$I$5022=$A91)*($N$3:$N$5022=B91)*$K$3:$K$5022)</f>
        <v>461.54999999999995</v>
      </c>
      <c r="D91" s="711">
        <f t="array" ref="D91">SUMPRODUCT(($Q$3:$Q$4998=$A91)*($S$3:$S$4998=B91)*$U$3:$U$4998)</f>
        <v>1013.09</v>
      </c>
      <c r="E91" s="711">
        <f t="shared" si="1"/>
        <v>1474.6399999999999</v>
      </c>
      <c r="F91" s="74"/>
      <c r="G91" s="74"/>
      <c r="H91" s="74"/>
      <c r="I91" s="133">
        <v>46029</v>
      </c>
      <c r="J91" s="134">
        <v>0.68402777777777779</v>
      </c>
      <c r="K91" s="135">
        <v>17.899999999999999</v>
      </c>
      <c r="L91" s="75">
        <v>1</v>
      </c>
      <c r="M91" s="75" t="s">
        <v>637</v>
      </c>
      <c r="N91" s="75" t="s">
        <v>494</v>
      </c>
      <c r="O91" s="75"/>
      <c r="P91" s="74"/>
      <c r="Q91" s="972">
        <v>46067</v>
      </c>
      <c r="R91" s="973" t="str">
        <f>TEXT(Tabla9[[#This Row],[Fecha]],"dddd")</f>
        <v>sábado</v>
      </c>
      <c r="S91" s="427" t="s">
        <v>146</v>
      </c>
      <c r="T91" s="427">
        <v>21</v>
      </c>
      <c r="U91" s="974">
        <v>85.41</v>
      </c>
      <c r="V91" s="427"/>
      <c r="W91" s="76"/>
      <c r="X91" s="74"/>
      <c r="Y91" s="684">
        <v>45696</v>
      </c>
      <c r="Z91" s="74">
        <v>1847.7</v>
      </c>
    </row>
    <row r="92" spans="1:26">
      <c r="A92" s="684">
        <v>46067</v>
      </c>
      <c r="B92" s="74" t="s">
        <v>497</v>
      </c>
      <c r="C92" s="711">
        <f t="array" ref="C92">SUMPRODUCT(($I$3:$I$5022=$A92)*($N$3:$N$5022=B92)*$K$3:$K$5022)</f>
        <v>0</v>
      </c>
      <c r="D92" s="711">
        <f t="array" ref="D92">SUMPRODUCT(($Q$3:$Q$4998=$A92)*($S$3:$S$4998=B92)*$U$3:$U$4998)</f>
        <v>1898.82</v>
      </c>
      <c r="E92" s="711">
        <f t="shared" si="1"/>
        <v>1898.82</v>
      </c>
      <c r="F92" s="74"/>
      <c r="G92" s="74"/>
      <c r="H92" s="74"/>
      <c r="I92" s="133">
        <v>46029</v>
      </c>
      <c r="J92" s="134">
        <v>0.85555555555555551</v>
      </c>
      <c r="K92" s="135">
        <v>3.75</v>
      </c>
      <c r="L92" s="75">
        <v>1</v>
      </c>
      <c r="M92" s="75" t="s">
        <v>637</v>
      </c>
      <c r="N92" s="75" t="s">
        <v>497</v>
      </c>
      <c r="O92" s="75"/>
      <c r="P92" s="74"/>
      <c r="Q92" s="972">
        <v>46067</v>
      </c>
      <c r="R92" s="973" t="str">
        <f>TEXT(Tabla9[[#This Row],[Fecha]],"dddd")</f>
        <v>sábado</v>
      </c>
      <c r="S92" s="427" t="s">
        <v>497</v>
      </c>
      <c r="T92" s="427">
        <v>130</v>
      </c>
      <c r="U92" s="974">
        <v>1898.82</v>
      </c>
      <c r="V92" s="427"/>
      <c r="W92" s="76"/>
      <c r="X92" s="74"/>
      <c r="Y92" s="684" t="s">
        <v>146</v>
      </c>
      <c r="Z92" s="74">
        <v>262</v>
      </c>
    </row>
    <row r="93" spans="1:26">
      <c r="A93" s="684">
        <v>46068</v>
      </c>
      <c r="B93" s="684" t="s">
        <v>146</v>
      </c>
      <c r="C93" s="711">
        <f t="array" ref="C93">SUMPRODUCT(($I$3:$I$5022=$A93)*($N$3:$N$5022=B93)*$K$3:$K$5022)</f>
        <v>150.35000000000002</v>
      </c>
      <c r="D93" s="711">
        <f t="array" ref="D93">SUMPRODUCT(($Q$3:$Q$4998=$A93)*($S$3:$S$4998=B93)*$U$3:$U$4998)</f>
        <v>66.36</v>
      </c>
      <c r="E93" s="711">
        <f t="shared" si="1"/>
        <v>216.71000000000004</v>
      </c>
      <c r="F93" s="74"/>
      <c r="G93" s="74"/>
      <c r="H93" s="74"/>
      <c r="I93" s="133">
        <v>46029</v>
      </c>
      <c r="J93" s="134">
        <v>0.90347222222222223</v>
      </c>
      <c r="K93" s="135">
        <v>23</v>
      </c>
      <c r="L93" s="75">
        <v>2</v>
      </c>
      <c r="M93" s="75" t="s">
        <v>637</v>
      </c>
      <c r="N93" s="75" t="s">
        <v>497</v>
      </c>
      <c r="O93" s="75"/>
      <c r="P93" s="74"/>
      <c r="Q93" s="972">
        <v>46068</v>
      </c>
      <c r="R93" s="973" t="str">
        <f>TEXT(Tabla9[[#This Row],[Fecha]],"dddd")</f>
        <v>domingo</v>
      </c>
      <c r="S93" s="427" t="s">
        <v>494</v>
      </c>
      <c r="T93" s="427">
        <v>70</v>
      </c>
      <c r="U93" s="974">
        <v>1168.6400000000001</v>
      </c>
      <c r="V93" s="427"/>
      <c r="W93" s="76"/>
      <c r="X93" s="74"/>
      <c r="Y93" s="684" t="s">
        <v>494</v>
      </c>
      <c r="Z93" s="74">
        <v>1107.1500000000001</v>
      </c>
    </row>
    <row r="94" spans="1:26">
      <c r="A94" s="684">
        <v>46068</v>
      </c>
      <c r="B94" s="684" t="s">
        <v>494</v>
      </c>
      <c r="C94" s="711">
        <f t="array" ref="C94">SUMPRODUCT(($I$3:$I$5022=$A94)*($N$3:$N$5022=B94)*$K$3:$K$5022)</f>
        <v>174</v>
      </c>
      <c r="D94" s="711">
        <f t="array" ref="D94">SUMPRODUCT(($Q$3:$Q$4998=$A94)*($S$3:$S$4998=B94)*$U$3:$U$4998)</f>
        <v>1168.6400000000001</v>
      </c>
      <c r="E94" s="711">
        <f t="shared" si="1"/>
        <v>1342.64</v>
      </c>
      <c r="F94" s="74"/>
      <c r="G94" s="74"/>
      <c r="H94" s="74"/>
      <c r="I94" s="133">
        <v>46030</v>
      </c>
      <c r="J94" s="134">
        <v>0.33958333333333329</v>
      </c>
      <c r="K94" s="135">
        <v>1.5</v>
      </c>
      <c r="L94" s="75">
        <v>1</v>
      </c>
      <c r="M94" s="75" t="s">
        <v>638</v>
      </c>
      <c r="N94" s="75" t="s">
        <v>146</v>
      </c>
      <c r="O94" s="75"/>
      <c r="P94" s="74"/>
      <c r="Q94" s="972">
        <v>46068</v>
      </c>
      <c r="R94" s="973" t="str">
        <f>TEXT(Tabla9[[#This Row],[Fecha]],"dddd")</f>
        <v>domingo</v>
      </c>
      <c r="S94" s="427" t="s">
        <v>146</v>
      </c>
      <c r="T94" s="427">
        <v>15</v>
      </c>
      <c r="U94" s="974">
        <v>66.36</v>
      </c>
      <c r="V94" s="427"/>
      <c r="W94" s="76"/>
      <c r="X94" s="74"/>
      <c r="Y94" s="684" t="s">
        <v>497</v>
      </c>
      <c r="Z94" s="74">
        <v>478.55</v>
      </c>
    </row>
    <row r="95" spans="1:26">
      <c r="A95" s="684">
        <v>46071</v>
      </c>
      <c r="B95" s="74" t="s">
        <v>146</v>
      </c>
      <c r="C95" s="711">
        <f t="array" ref="C95">SUMPRODUCT(($I$3:$I$5022=$A95)*($N$3:$N$5022=B95)*$K$3:$K$5022)</f>
        <v>46.449999999999996</v>
      </c>
      <c r="D95" s="711">
        <f t="array" ref="D95">SUMPRODUCT(($Q$3:$Q$4998=$A95)*($S$3:$S$4998=B95)*$U$3:$U$4998)</f>
        <v>84.27</v>
      </c>
      <c r="E95" s="711">
        <f t="shared" si="1"/>
        <v>130.72</v>
      </c>
      <c r="F95" s="74"/>
      <c r="G95" s="74"/>
      <c r="H95" s="74"/>
      <c r="I95" s="133">
        <v>46030</v>
      </c>
      <c r="J95" s="134">
        <v>0.36527777777777781</v>
      </c>
      <c r="K95" s="135">
        <v>5.0999999999999996</v>
      </c>
      <c r="L95" s="75">
        <v>1</v>
      </c>
      <c r="M95" s="75" t="s">
        <v>638</v>
      </c>
      <c r="N95" s="75" t="s">
        <v>146</v>
      </c>
      <c r="O95" s="75"/>
      <c r="P95" s="74"/>
      <c r="Q95" s="972">
        <v>46071</v>
      </c>
      <c r="R95" s="973" t="str">
        <f>TEXT(Tabla9[[#This Row],[Fecha]],"dddd")</f>
        <v>miércoles</v>
      </c>
      <c r="S95" s="427" t="s">
        <v>494</v>
      </c>
      <c r="T95" s="427">
        <v>21</v>
      </c>
      <c r="U95" s="974">
        <v>203.09</v>
      </c>
      <c r="V95" s="427"/>
      <c r="W95" s="76"/>
      <c r="X95" s="74"/>
      <c r="Y95" s="684">
        <v>45697</v>
      </c>
      <c r="Z95" s="74">
        <v>1697.35</v>
      </c>
    </row>
    <row r="96" spans="1:26">
      <c r="A96" s="684">
        <v>46071</v>
      </c>
      <c r="B96" s="684" t="s">
        <v>494</v>
      </c>
      <c r="C96" s="711">
        <f t="array" ref="C96">SUMPRODUCT(($I$3:$I$5022=$A96)*($N$3:$N$5022=B96)*$K$3:$K$5022)</f>
        <v>196.15</v>
      </c>
      <c r="D96" s="711">
        <f t="array" ref="D96">SUMPRODUCT(($Q$3:$Q$4998=$A96)*($S$3:$S$4998=B96)*$U$3:$U$4998)</f>
        <v>203.09</v>
      </c>
      <c r="E96" s="711">
        <f t="shared" si="1"/>
        <v>399.24</v>
      </c>
      <c r="F96" s="74"/>
      <c r="G96" s="74"/>
      <c r="H96" s="74"/>
      <c r="I96" s="133">
        <v>46030</v>
      </c>
      <c r="J96" s="134">
        <v>0.40833333333333333</v>
      </c>
      <c r="K96" s="135">
        <v>4.2</v>
      </c>
      <c r="L96" s="75">
        <v>1</v>
      </c>
      <c r="M96" s="75" t="s">
        <v>638</v>
      </c>
      <c r="N96" s="75" t="s">
        <v>146</v>
      </c>
      <c r="O96" s="75"/>
      <c r="P96" s="74"/>
      <c r="Q96" s="972">
        <v>46071</v>
      </c>
      <c r="R96" s="973" t="str">
        <f>TEXT(Tabla9[[#This Row],[Fecha]],"dddd")</f>
        <v>miércoles</v>
      </c>
      <c r="S96" s="427" t="s">
        <v>146</v>
      </c>
      <c r="T96" s="427">
        <v>20</v>
      </c>
      <c r="U96" s="974">
        <v>84.27</v>
      </c>
      <c r="V96" s="427"/>
      <c r="W96" s="76"/>
      <c r="X96" s="74"/>
      <c r="Y96" s="684" t="s">
        <v>146</v>
      </c>
      <c r="Z96" s="74">
        <v>187.7</v>
      </c>
    </row>
    <row r="97" spans="1:26">
      <c r="A97" s="684">
        <v>46071</v>
      </c>
      <c r="B97" s="684" t="s">
        <v>497</v>
      </c>
      <c r="C97" s="711">
        <f t="array" ref="C97">SUMPRODUCT(($I$3:$I$5022=$A97)*($N$3:$N$5022=B97)*$K$3:$K$5022)</f>
        <v>44.6</v>
      </c>
      <c r="D97" s="711">
        <f t="array" ref="D97">SUMPRODUCT(($Q$3:$Q$4998=$A97)*($S$3:$S$4998=B97)*$U$3:$U$4998)</f>
        <v>195.86</v>
      </c>
      <c r="E97" s="711">
        <f t="shared" si="1"/>
        <v>240.46</v>
      </c>
      <c r="F97" s="74"/>
      <c r="G97" s="74"/>
      <c r="H97" s="74"/>
      <c r="I97" s="133">
        <v>46030</v>
      </c>
      <c r="J97" s="134">
        <v>0.43194444444444452</v>
      </c>
      <c r="K97" s="135">
        <v>21.7</v>
      </c>
      <c r="L97" s="75">
        <v>2</v>
      </c>
      <c r="M97" s="75" t="s">
        <v>638</v>
      </c>
      <c r="N97" s="75" t="s">
        <v>146</v>
      </c>
      <c r="O97" s="75"/>
      <c r="P97" s="74"/>
      <c r="Q97" s="972">
        <v>46071</v>
      </c>
      <c r="R97" s="973" t="str">
        <f>TEXT(Tabla9[[#This Row],[Fecha]],"dddd")</f>
        <v>miércoles</v>
      </c>
      <c r="S97" s="427" t="s">
        <v>497</v>
      </c>
      <c r="T97" s="427">
        <v>13</v>
      </c>
      <c r="U97" s="974">
        <v>195.86</v>
      </c>
      <c r="V97" s="427"/>
      <c r="W97" s="76"/>
      <c r="X97" s="74"/>
      <c r="Y97" s="684" t="s">
        <v>494</v>
      </c>
      <c r="Z97" s="74">
        <v>1509.65</v>
      </c>
    </row>
    <row r="98" spans="1:26">
      <c r="A98" s="684">
        <v>46072</v>
      </c>
      <c r="B98" s="684" t="s">
        <v>146</v>
      </c>
      <c r="C98" s="711">
        <f t="array" ref="C98">SUMPRODUCT(($I$3:$I$5022=$A98)*($N$3:$N$5022=B98)*$K$3:$K$5022)</f>
        <v>53.849999999999994</v>
      </c>
      <c r="D98" s="711">
        <f t="array" ref="D98">SUMPRODUCT(($Q$3:$Q$4998=$A98)*($S$3:$S$4998=B98)*$U$3:$U$4998)</f>
        <v>68.959999999999994</v>
      </c>
      <c r="E98" s="711">
        <f t="shared" si="1"/>
        <v>122.80999999999999</v>
      </c>
      <c r="F98" s="74"/>
      <c r="G98" s="74"/>
      <c r="H98" s="74"/>
      <c r="I98" s="133">
        <v>46030</v>
      </c>
      <c r="J98" s="134">
        <v>0.46597222222222218</v>
      </c>
      <c r="K98" s="135">
        <v>16.55</v>
      </c>
      <c r="L98" s="75">
        <v>2</v>
      </c>
      <c r="M98" s="75" t="s">
        <v>638</v>
      </c>
      <c r="N98" s="75" t="s">
        <v>146</v>
      </c>
      <c r="O98" s="75"/>
      <c r="P98" s="74"/>
      <c r="Q98" s="972">
        <v>46072</v>
      </c>
      <c r="R98" s="973" t="str">
        <f>TEXT(Tabla9[[#This Row],[Fecha]],"dddd")</f>
        <v>jueves</v>
      </c>
      <c r="S98" s="427" t="s">
        <v>494</v>
      </c>
      <c r="T98" s="427">
        <v>32</v>
      </c>
      <c r="U98" s="974">
        <v>408.73</v>
      </c>
      <c r="V98" s="427"/>
      <c r="W98" s="76"/>
      <c r="X98" s="74"/>
      <c r="Y98" s="684">
        <v>45700</v>
      </c>
      <c r="Z98" s="74">
        <v>335.2</v>
      </c>
    </row>
    <row r="99" spans="1:26">
      <c r="A99" s="684">
        <v>46072</v>
      </c>
      <c r="B99" s="74" t="s">
        <v>494</v>
      </c>
      <c r="C99" s="711">
        <f t="array" ref="C99">SUMPRODUCT(($I$3:$I$5022=$A99)*($N$3:$N$5022=B99)*$K$3:$K$5022)</f>
        <v>163.70000000000002</v>
      </c>
      <c r="D99" s="711">
        <f t="array" ref="D99">SUMPRODUCT(($Q$3:$Q$4998=$A99)*($S$3:$S$4998=B99)*$U$3:$U$4998)</f>
        <v>408.73</v>
      </c>
      <c r="E99" s="711">
        <f t="shared" si="1"/>
        <v>572.43000000000006</v>
      </c>
      <c r="F99" s="74"/>
      <c r="G99" s="74"/>
      <c r="H99" s="74"/>
      <c r="I99" s="133">
        <v>46030</v>
      </c>
      <c r="J99" s="134">
        <v>0.47847222222222219</v>
      </c>
      <c r="K99" s="135">
        <v>8.1999999999999993</v>
      </c>
      <c r="L99" s="75">
        <v>2</v>
      </c>
      <c r="M99" s="75" t="s">
        <v>638</v>
      </c>
      <c r="N99" s="75" t="s">
        <v>146</v>
      </c>
      <c r="O99" s="75"/>
      <c r="P99" s="74"/>
      <c r="Q99" s="972">
        <v>46072</v>
      </c>
      <c r="R99" s="973" t="str">
        <f>TEXT(Tabla9[[#This Row],[Fecha]],"dddd")</f>
        <v>jueves</v>
      </c>
      <c r="S99" s="427" t="s">
        <v>146</v>
      </c>
      <c r="T99" s="427">
        <v>14</v>
      </c>
      <c r="U99" s="974">
        <v>68.959999999999994</v>
      </c>
      <c r="V99" s="427"/>
      <c r="W99" s="76"/>
      <c r="X99" s="74"/>
      <c r="Y99" s="684" t="s">
        <v>146</v>
      </c>
      <c r="Z99" s="74">
        <v>111.9</v>
      </c>
    </row>
    <row r="100" spans="1:26">
      <c r="A100" s="684">
        <v>46072</v>
      </c>
      <c r="B100" s="684" t="s">
        <v>497</v>
      </c>
      <c r="C100" s="711">
        <f t="array" ref="C100">SUMPRODUCT(($I$3:$I$5022=$A100)*($N$3:$N$5022=B100)*$K$3:$K$5022)</f>
        <v>39.950000000000003</v>
      </c>
      <c r="D100" s="711">
        <f t="array" ref="D100">SUMPRODUCT(($Q$3:$Q$4998=$A100)*($S$3:$S$4998=B100)*$U$3:$U$4998)</f>
        <v>57.5</v>
      </c>
      <c r="E100" s="711">
        <f t="shared" si="1"/>
        <v>97.45</v>
      </c>
      <c r="F100" s="74"/>
      <c r="G100" s="74"/>
      <c r="H100" s="74"/>
      <c r="I100" s="133">
        <v>46030</v>
      </c>
      <c r="J100" s="134">
        <v>0.48958333333333331</v>
      </c>
      <c r="K100" s="135">
        <v>12.55</v>
      </c>
      <c r="L100" s="75">
        <v>2</v>
      </c>
      <c r="M100" s="75" t="s">
        <v>638</v>
      </c>
      <c r="N100" s="75" t="s">
        <v>146</v>
      </c>
      <c r="O100" s="75"/>
      <c r="P100" s="74"/>
      <c r="Q100" s="972">
        <v>46072</v>
      </c>
      <c r="R100" s="973" t="str">
        <f>TEXT(Tabla9[[#This Row],[Fecha]],"dddd")</f>
        <v>jueves</v>
      </c>
      <c r="S100" s="427" t="s">
        <v>497</v>
      </c>
      <c r="T100" s="427">
        <v>13</v>
      </c>
      <c r="U100" s="974">
        <v>57.5</v>
      </c>
      <c r="V100" s="427"/>
      <c r="W100" s="76"/>
      <c r="X100" s="74"/>
      <c r="Y100" s="684" t="s">
        <v>494</v>
      </c>
      <c r="Z100" s="74">
        <v>163.4</v>
      </c>
    </row>
    <row r="101" spans="1:26">
      <c r="A101" s="684">
        <v>46073</v>
      </c>
      <c r="B101" s="684" t="s">
        <v>146</v>
      </c>
      <c r="C101" s="711">
        <f t="array" ref="C101">SUMPRODUCT(($I$3:$I$5022=$A101)*($N$3:$N$5022=B101)*$K$3:$K$5022)</f>
        <v>47.2</v>
      </c>
      <c r="D101" s="711">
        <f t="array" ref="D101">SUMPRODUCT(($Q$3:$Q$4998=$A101)*($S$3:$S$4998=B101)*$U$3:$U$4998)</f>
        <v>53.41</v>
      </c>
      <c r="E101" s="711">
        <f t="shared" si="1"/>
        <v>100.61</v>
      </c>
      <c r="F101" s="74"/>
      <c r="G101" s="74"/>
      <c r="H101" s="74"/>
      <c r="I101" s="133">
        <v>46030</v>
      </c>
      <c r="J101" s="134">
        <v>0.49375000000000002</v>
      </c>
      <c r="K101" s="135">
        <v>3.1</v>
      </c>
      <c r="L101" s="75">
        <v>1</v>
      </c>
      <c r="M101" s="75" t="s">
        <v>638</v>
      </c>
      <c r="N101" s="75" t="s">
        <v>146</v>
      </c>
      <c r="O101" s="75"/>
      <c r="P101" s="74"/>
      <c r="Q101" s="972">
        <v>46073</v>
      </c>
      <c r="R101" s="973" t="str">
        <f>TEXT(Tabla9[[#This Row],[Fecha]],"dddd")</f>
        <v>viernes</v>
      </c>
      <c r="S101" s="427" t="s">
        <v>494</v>
      </c>
      <c r="T101" s="427">
        <v>24</v>
      </c>
      <c r="U101" s="974">
        <v>320.05</v>
      </c>
      <c r="V101" s="427"/>
      <c r="W101" s="76"/>
      <c r="X101" s="74"/>
      <c r="Y101" s="684" t="s">
        <v>497</v>
      </c>
      <c r="Z101" s="74">
        <v>59.9</v>
      </c>
    </row>
    <row r="102" spans="1:26">
      <c r="A102" s="684">
        <v>46073</v>
      </c>
      <c r="B102" s="684" t="s">
        <v>494</v>
      </c>
      <c r="C102" s="711">
        <f t="array" ref="C102">SUMPRODUCT(($I$3:$I$5022=$A102)*($N$3:$N$5022=B102)*$K$3:$K$5022)</f>
        <v>35.200000000000003</v>
      </c>
      <c r="D102" s="711">
        <f t="array" ref="D102">SUMPRODUCT(($Q$3:$Q$4998=$A102)*($S$3:$S$4998=B102)*$U$3:$U$4998)</f>
        <v>320.05</v>
      </c>
      <c r="E102" s="711">
        <f t="shared" si="1"/>
        <v>355.25</v>
      </c>
      <c r="F102" s="74"/>
      <c r="G102" s="74"/>
      <c r="H102" s="74"/>
      <c r="I102" s="133">
        <v>46030</v>
      </c>
      <c r="J102" s="134">
        <v>0.5229166666666667</v>
      </c>
      <c r="K102" s="135">
        <v>3.3</v>
      </c>
      <c r="L102" s="75">
        <v>2</v>
      </c>
      <c r="M102" s="75" t="s">
        <v>638</v>
      </c>
      <c r="N102" s="75" t="s">
        <v>494</v>
      </c>
      <c r="O102" s="75"/>
      <c r="P102" s="74"/>
      <c r="Q102" s="972">
        <v>46073</v>
      </c>
      <c r="R102" s="973" t="str">
        <f>TEXT(Tabla9[[#This Row],[Fecha]],"dddd")</f>
        <v>viernes</v>
      </c>
      <c r="S102" s="427" t="s">
        <v>146</v>
      </c>
      <c r="T102" s="427">
        <v>12</v>
      </c>
      <c r="U102" s="974">
        <v>53.41</v>
      </c>
      <c r="V102" s="427"/>
      <c r="W102" s="76"/>
      <c r="X102" s="74"/>
      <c r="Y102" s="684">
        <v>45701</v>
      </c>
      <c r="Z102" s="74">
        <v>724.75</v>
      </c>
    </row>
    <row r="103" spans="1:26">
      <c r="A103" s="684">
        <v>46073</v>
      </c>
      <c r="B103" s="74" t="s">
        <v>497</v>
      </c>
      <c r="C103" s="711">
        <f t="array" ref="C103">SUMPRODUCT(($I$3:$I$5022=$A103)*($N$3:$N$5022=B103)*$K$3:$K$5022)</f>
        <v>210.74999999999997</v>
      </c>
      <c r="D103" s="711">
        <f t="array" ref="D103">SUMPRODUCT(($Q$3:$Q$4998=$A103)*($S$3:$S$4998=B103)*$U$3:$U$4998)</f>
        <v>593.41</v>
      </c>
      <c r="E103" s="711">
        <f t="shared" si="1"/>
        <v>804.16</v>
      </c>
      <c r="F103" s="74"/>
      <c r="G103" s="74"/>
      <c r="H103" s="74"/>
      <c r="I103" s="133">
        <v>46030</v>
      </c>
      <c r="J103" s="134">
        <v>0.52777777777777779</v>
      </c>
      <c r="K103" s="135">
        <v>4.45</v>
      </c>
      <c r="L103" s="75">
        <v>2</v>
      </c>
      <c r="M103" s="75" t="s">
        <v>638</v>
      </c>
      <c r="N103" s="75" t="s">
        <v>494</v>
      </c>
      <c r="O103" s="75"/>
      <c r="P103" s="74"/>
      <c r="Q103" s="972">
        <v>46073</v>
      </c>
      <c r="R103" s="973" t="str">
        <f>TEXT(Tabla9[[#This Row],[Fecha]],"dddd")</f>
        <v>viernes</v>
      </c>
      <c r="S103" s="427" t="s">
        <v>497</v>
      </c>
      <c r="T103" s="427">
        <v>35</v>
      </c>
      <c r="U103" s="974">
        <v>593.41</v>
      </c>
      <c r="V103" s="427"/>
      <c r="W103" s="76"/>
      <c r="X103" s="74"/>
      <c r="Y103" s="684" t="s">
        <v>146</v>
      </c>
      <c r="Z103" s="74">
        <v>180.9</v>
      </c>
    </row>
    <row r="104" spans="1:26">
      <c r="A104" s="684">
        <v>46074</v>
      </c>
      <c r="B104" s="74" t="s">
        <v>146</v>
      </c>
      <c r="C104" s="711">
        <f t="array" ref="C104">SUMPRODUCT(($I$3:$I$5022=$A104)*($N$3:$N$5022=B104)*$K$3:$K$5022)</f>
        <v>105.39999999999998</v>
      </c>
      <c r="D104" s="711">
        <f t="array" ref="D104">SUMPRODUCT(($Q$3:$Q$4998=$A104)*($S$3:$S$4998=B104)*$U$3:$U$4998)</f>
        <v>63.36</v>
      </c>
      <c r="E104" s="711">
        <f t="shared" si="1"/>
        <v>168.76</v>
      </c>
      <c r="F104" s="74"/>
      <c r="G104" s="74"/>
      <c r="H104" s="74"/>
      <c r="I104" s="133">
        <v>46030</v>
      </c>
      <c r="J104" s="134">
        <v>0.53402777777777777</v>
      </c>
      <c r="K104" s="135">
        <v>2.5</v>
      </c>
      <c r="L104" s="75">
        <v>1</v>
      </c>
      <c r="M104" s="75" t="s">
        <v>638</v>
      </c>
      <c r="N104" s="75" t="s">
        <v>494</v>
      </c>
      <c r="O104" s="75"/>
      <c r="P104" s="74"/>
      <c r="Q104" s="972">
        <v>46074</v>
      </c>
      <c r="R104" s="973" t="str">
        <f>TEXT(Tabla9[[#This Row],[Fecha]],"dddd")</f>
        <v>sábado</v>
      </c>
      <c r="S104" s="427" t="s">
        <v>146</v>
      </c>
      <c r="T104" s="427">
        <v>21</v>
      </c>
      <c r="U104" s="974">
        <v>63.36</v>
      </c>
      <c r="V104" s="427"/>
      <c r="W104" s="76"/>
      <c r="X104" s="74"/>
      <c r="Y104" s="684" t="s">
        <v>494</v>
      </c>
      <c r="Z104" s="74">
        <v>327.7</v>
      </c>
    </row>
    <row r="105" spans="1:26">
      <c r="A105" s="684">
        <v>46074</v>
      </c>
      <c r="B105" s="684" t="s">
        <v>494</v>
      </c>
      <c r="C105" s="711">
        <f t="array" ref="C105">SUMPRODUCT(($I$3:$I$5022=$A105)*($N$3:$N$5022=B105)*$K$3:$K$5022)</f>
        <v>474.5</v>
      </c>
      <c r="D105" s="711">
        <f t="array" ref="D105">SUMPRODUCT(($Q$3:$Q$4998=$A105)*($S$3:$S$4998=B105)*$U$3:$U$4998)</f>
        <v>1210.6600000000001</v>
      </c>
      <c r="E105" s="711">
        <f t="shared" si="1"/>
        <v>1685.16</v>
      </c>
      <c r="F105" s="74"/>
      <c r="G105" s="74"/>
      <c r="H105" s="74"/>
      <c r="I105" s="133">
        <v>46030</v>
      </c>
      <c r="J105" s="134">
        <v>0.54166666666666663</v>
      </c>
      <c r="K105" s="135">
        <v>2.75</v>
      </c>
      <c r="L105" s="75">
        <v>1</v>
      </c>
      <c r="M105" s="75" t="s">
        <v>638</v>
      </c>
      <c r="N105" s="75" t="s">
        <v>494</v>
      </c>
      <c r="O105" s="75"/>
      <c r="P105" s="74"/>
      <c r="Q105" s="972">
        <v>46074</v>
      </c>
      <c r="R105" s="973" t="str">
        <f>TEXT(Tabla9[[#This Row],[Fecha]],"dddd")</f>
        <v>sábado</v>
      </c>
      <c r="S105" s="427" t="s">
        <v>494</v>
      </c>
      <c r="T105" s="427">
        <v>68</v>
      </c>
      <c r="U105" s="974">
        <v>1210.6600000000001</v>
      </c>
      <c r="V105" s="427"/>
      <c r="W105" s="76"/>
      <c r="X105" s="74"/>
      <c r="Y105" s="684" t="s">
        <v>497</v>
      </c>
      <c r="Z105" s="74">
        <v>216.15</v>
      </c>
    </row>
    <row r="106" spans="1:26">
      <c r="A106" s="684">
        <v>46074</v>
      </c>
      <c r="B106" s="684" t="s">
        <v>497</v>
      </c>
      <c r="C106" s="711">
        <f t="array" ref="C106">SUMPRODUCT(($I$3:$I$5022=$A106)*($N$3:$N$5022=B106)*$K$3:$K$5022)</f>
        <v>167.3</v>
      </c>
      <c r="D106" s="711">
        <f t="array" ref="D106">SUMPRODUCT(($Q$3:$Q$4998=$A106)*($S$3:$S$4998=B106)*$U$3:$U$4998)</f>
        <v>1163.23</v>
      </c>
      <c r="E106" s="711">
        <f t="shared" si="1"/>
        <v>1330.53</v>
      </c>
      <c r="F106" s="74"/>
      <c r="G106" s="74"/>
      <c r="H106" s="74"/>
      <c r="I106" s="133">
        <v>46030</v>
      </c>
      <c r="J106" s="134">
        <v>0.54236111111111107</v>
      </c>
      <c r="K106" s="135">
        <v>0</v>
      </c>
      <c r="L106" s="75">
        <v>1</v>
      </c>
      <c r="M106" s="75" t="s">
        <v>638</v>
      </c>
      <c r="N106" s="75" t="s">
        <v>494</v>
      </c>
      <c r="O106" s="75"/>
      <c r="P106" s="74"/>
      <c r="Q106" s="972">
        <v>46074</v>
      </c>
      <c r="R106" s="973" t="str">
        <f>TEXT(Tabla9[[#This Row],[Fecha]],"dddd")</f>
        <v>sábado</v>
      </c>
      <c r="S106" s="427" t="s">
        <v>497</v>
      </c>
      <c r="T106" s="427">
        <v>69</v>
      </c>
      <c r="U106" s="974">
        <v>1163.23</v>
      </c>
      <c r="V106" s="427"/>
      <c r="W106" s="76"/>
      <c r="X106" s="74"/>
      <c r="Y106" s="684">
        <v>45702</v>
      </c>
      <c r="Z106" s="74">
        <v>2713.2</v>
      </c>
    </row>
    <row r="107" spans="1:26">
      <c r="A107" s="684">
        <v>46075</v>
      </c>
      <c r="B107" s="74" t="s">
        <v>146</v>
      </c>
      <c r="C107" s="711">
        <f t="array" ref="C107">SUMPRODUCT(($I$3:$I$5022=$A107)*($N$3:$N$5022=B107)*$K$3:$K$5022)</f>
        <v>128.5</v>
      </c>
      <c r="D107" s="711">
        <f t="array" ref="D107">SUMPRODUCT(($Q$3:$Q$4998=$A107)*($S$3:$S$4998=B107)*$U$3:$U$4998)</f>
        <v>95.41</v>
      </c>
      <c r="E107" s="711">
        <f t="shared" si="1"/>
        <v>223.91</v>
      </c>
      <c r="F107" s="74"/>
      <c r="G107" s="74"/>
      <c r="H107" s="74"/>
      <c r="I107" s="133">
        <v>46030</v>
      </c>
      <c r="J107" s="134">
        <v>0.55833333333333335</v>
      </c>
      <c r="K107" s="135">
        <v>1.65</v>
      </c>
      <c r="L107" s="75">
        <v>1</v>
      </c>
      <c r="M107" s="75" t="s">
        <v>638</v>
      </c>
      <c r="N107" s="75" t="s">
        <v>494</v>
      </c>
      <c r="O107" s="75"/>
      <c r="P107" s="74"/>
      <c r="Q107" s="972">
        <v>46075</v>
      </c>
      <c r="R107" s="973" t="str">
        <f>TEXT(Tabla9[[#This Row],[Fecha]],"dddd")</f>
        <v>domingo</v>
      </c>
      <c r="S107" s="427" t="s">
        <v>146</v>
      </c>
      <c r="T107" s="427">
        <v>22</v>
      </c>
      <c r="U107" s="974">
        <v>95.41</v>
      </c>
      <c r="V107" s="427"/>
      <c r="W107" s="76"/>
      <c r="X107" s="74"/>
      <c r="Y107" s="684" t="s">
        <v>146</v>
      </c>
      <c r="Z107" s="74">
        <v>130.25</v>
      </c>
    </row>
    <row r="108" spans="1:26">
      <c r="A108" s="684">
        <v>46075</v>
      </c>
      <c r="B108" s="74" t="s">
        <v>494</v>
      </c>
      <c r="C108" s="711">
        <f t="array" ref="C108">SUMPRODUCT(($I$3:$I$5022=$A108)*($N$3:$N$5022=B108)*$K$3:$K$5022)</f>
        <v>591.85</v>
      </c>
      <c r="D108" s="711">
        <f t="array" ref="D108">SUMPRODUCT(($Q$3:$Q$4998=$A108)*($S$3:$S$4998=B108)*$U$3:$U$4998)</f>
        <v>1369.55</v>
      </c>
      <c r="E108" s="711">
        <f t="shared" si="1"/>
        <v>1961.4</v>
      </c>
      <c r="F108" s="74"/>
      <c r="G108" s="74"/>
      <c r="H108" s="74"/>
      <c r="I108" s="133">
        <v>46030</v>
      </c>
      <c r="J108" s="134">
        <v>0.58611111111111114</v>
      </c>
      <c r="K108" s="135">
        <v>22.05</v>
      </c>
      <c r="L108" s="75">
        <v>1</v>
      </c>
      <c r="M108" s="75" t="s">
        <v>638</v>
      </c>
      <c r="N108" s="75" t="s">
        <v>494</v>
      </c>
      <c r="O108" s="75"/>
      <c r="P108" s="74"/>
      <c r="Q108" s="972">
        <v>46075</v>
      </c>
      <c r="R108" s="973" t="str">
        <f>TEXT(Tabla9[[#This Row],[Fecha]],"dddd")</f>
        <v>domingo</v>
      </c>
      <c r="S108" s="427" t="s">
        <v>494</v>
      </c>
      <c r="T108" s="427">
        <v>88</v>
      </c>
      <c r="U108" s="974">
        <v>1369.55</v>
      </c>
      <c r="V108" s="427"/>
      <c r="W108" s="76"/>
      <c r="X108" s="74"/>
      <c r="Y108" s="684" t="s">
        <v>494</v>
      </c>
      <c r="Z108" s="74">
        <v>526.65</v>
      </c>
    </row>
    <row r="109" spans="1:26">
      <c r="A109" s="684">
        <v>46092</v>
      </c>
      <c r="B109" s="74" t="s">
        <v>146</v>
      </c>
      <c r="C109" s="711">
        <f t="array" ref="C109">SUMPRODUCT(($I$3:$I$5022=$A109)*($N$3:$N$5022=B109)*$K$3:$K$5022)</f>
        <v>51.55</v>
      </c>
      <c r="D109" s="711">
        <f t="array" ref="D109">SUMPRODUCT(($Q$3:$Q$4998=$A109)*($S$3:$S$4998=B109)*$U$3:$U$4998)</f>
        <v>35.270000000000003</v>
      </c>
      <c r="E109" s="711">
        <f t="shared" si="1"/>
        <v>86.82</v>
      </c>
      <c r="F109" s="74"/>
      <c r="G109" s="74"/>
      <c r="H109" s="74"/>
      <c r="I109" s="133">
        <v>46030</v>
      </c>
      <c r="J109" s="134">
        <v>0.59027777777777779</v>
      </c>
      <c r="K109" s="135">
        <v>39.4</v>
      </c>
      <c r="L109" s="75">
        <v>2</v>
      </c>
      <c r="M109" s="75" t="s">
        <v>638</v>
      </c>
      <c r="N109" s="75" t="s">
        <v>494</v>
      </c>
      <c r="O109" s="75"/>
      <c r="P109" s="74"/>
      <c r="Q109" s="972">
        <v>46092</v>
      </c>
      <c r="R109" s="973" t="str">
        <f>TEXT(Tabla9[[#This Row],[Fecha]],"dddd")</f>
        <v>miércoles</v>
      </c>
      <c r="S109" s="427" t="s">
        <v>146</v>
      </c>
      <c r="T109" s="427">
        <v>8</v>
      </c>
      <c r="U109" s="974">
        <v>35.270000000000003</v>
      </c>
      <c r="V109" s="427"/>
      <c r="W109" s="76"/>
      <c r="X109" s="74"/>
      <c r="Y109" s="684" t="s">
        <v>497</v>
      </c>
      <c r="Z109" s="74">
        <v>2056.3000000000002</v>
      </c>
    </row>
    <row r="110" spans="1:26">
      <c r="A110" s="684">
        <v>46092</v>
      </c>
      <c r="B110" s="74" t="s">
        <v>494</v>
      </c>
      <c r="C110" s="711">
        <f t="array" ref="C110">SUMPRODUCT(($I$3:$I$5022=$A110)*($N$3:$N$5022=B110)*$K$3:$K$5022)</f>
        <v>119.6</v>
      </c>
      <c r="D110" s="711">
        <f t="array" ref="D110">SUMPRODUCT(($Q$3:$Q$4998=$A110)*($S$3:$S$4998=B110)*$U$3:$U$4998)</f>
        <v>178.23</v>
      </c>
      <c r="E110" s="711">
        <f t="shared" si="1"/>
        <v>297.83</v>
      </c>
      <c r="F110" s="74"/>
      <c r="G110" s="74"/>
      <c r="H110" s="74"/>
      <c r="I110" s="133">
        <v>46030</v>
      </c>
      <c r="J110" s="134">
        <v>0.59930555555555554</v>
      </c>
      <c r="K110" s="135">
        <v>0.79</v>
      </c>
      <c r="L110" s="75">
        <v>1</v>
      </c>
      <c r="M110" s="75" t="s">
        <v>638</v>
      </c>
      <c r="N110" s="75" t="s">
        <v>494</v>
      </c>
      <c r="O110" s="75"/>
      <c r="P110" s="74"/>
      <c r="Q110" s="972">
        <v>46092</v>
      </c>
      <c r="R110" s="973" t="str">
        <f>TEXT(Tabla9[[#This Row],[Fecha]],"dddd")</f>
        <v>miércoles</v>
      </c>
      <c r="S110" s="427" t="s">
        <v>494</v>
      </c>
      <c r="T110" s="427">
        <v>17</v>
      </c>
      <c r="U110" s="974">
        <v>178.23</v>
      </c>
      <c r="V110" s="427"/>
      <c r="W110" s="76"/>
      <c r="X110" s="74"/>
      <c r="Y110" s="684">
        <v>45703</v>
      </c>
      <c r="Z110" s="74">
        <v>2799.55</v>
      </c>
    </row>
    <row r="111" spans="1:26">
      <c r="A111" s="684">
        <v>46092</v>
      </c>
      <c r="B111" s="74" t="s">
        <v>497</v>
      </c>
      <c r="C111" s="711">
        <f t="array" ref="C111">SUMPRODUCT(($I$3:$I$5022=$A111)*($N$3:$N$5022=B111)*$K$3:$K$5022)</f>
        <v>98.45</v>
      </c>
      <c r="D111" s="711">
        <f t="array" ref="D111">SUMPRODUCT(($Q$3:$Q$4998=$A111)*($S$3:$S$4998=B111)*$U$3:$U$4998)</f>
        <v>92.18</v>
      </c>
      <c r="E111" s="711">
        <f t="shared" si="1"/>
        <v>190.63</v>
      </c>
      <c r="F111" s="74"/>
      <c r="G111" s="74"/>
      <c r="H111" s="74"/>
      <c r="I111" s="133">
        <v>46030</v>
      </c>
      <c r="J111" s="134">
        <v>0.61527777777777781</v>
      </c>
      <c r="K111" s="135">
        <v>21.4</v>
      </c>
      <c r="L111" s="75">
        <v>1</v>
      </c>
      <c r="M111" s="75" t="s">
        <v>638</v>
      </c>
      <c r="N111" s="75" t="s">
        <v>494</v>
      </c>
      <c r="O111" s="75"/>
      <c r="P111" s="74"/>
      <c r="Q111" s="972">
        <v>46092</v>
      </c>
      <c r="R111" s="973" t="str">
        <f>TEXT(Tabla9[[#This Row],[Fecha]],"dddd")</f>
        <v>miércoles</v>
      </c>
      <c r="S111" s="427" t="s">
        <v>497</v>
      </c>
      <c r="T111" s="427">
        <v>12</v>
      </c>
      <c r="U111" s="974">
        <v>92.18</v>
      </c>
      <c r="V111" s="427"/>
      <c r="W111" s="76"/>
      <c r="X111" s="74"/>
      <c r="Y111" s="684" t="s">
        <v>146</v>
      </c>
      <c r="Z111" s="74">
        <v>225.3</v>
      </c>
    </row>
    <row r="112" spans="1:26">
      <c r="A112" s="684">
        <v>46093</v>
      </c>
      <c r="B112" s="74" t="s">
        <v>146</v>
      </c>
      <c r="C112" s="711">
        <f t="array" ref="C112">SUMPRODUCT(($I$3:$I$5022=$A112)*($N$3:$N$5022=B112)*$K$3:$K$5022)</f>
        <v>44.7</v>
      </c>
      <c r="D112" s="711">
        <f t="array" ref="D112">SUMPRODUCT(($Q$3:$Q$4998=$A112)*($S$3:$S$4998=B112)*$U$3:$U$4998)</f>
        <v>24.96</v>
      </c>
      <c r="E112" s="711">
        <f t="shared" si="1"/>
        <v>69.66</v>
      </c>
      <c r="F112" s="74"/>
      <c r="G112" s="74"/>
      <c r="H112" s="74"/>
      <c r="I112" s="133">
        <v>46030</v>
      </c>
      <c r="J112" s="134">
        <v>0.66527777777777775</v>
      </c>
      <c r="K112" s="135">
        <v>34</v>
      </c>
      <c r="L112" s="75">
        <v>2</v>
      </c>
      <c r="M112" s="75" t="s">
        <v>638</v>
      </c>
      <c r="N112" s="75" t="s">
        <v>494</v>
      </c>
      <c r="O112" s="75"/>
      <c r="P112" s="74"/>
      <c r="Q112" s="972">
        <v>46093</v>
      </c>
      <c r="R112" s="973" t="str">
        <f>TEXT(Tabla9[[#This Row],[Fecha]],"dddd")</f>
        <v>jueves</v>
      </c>
      <c r="S112" s="427" t="s">
        <v>146</v>
      </c>
      <c r="T112" s="427">
        <v>12</v>
      </c>
      <c r="U112" s="974">
        <v>24.96</v>
      </c>
      <c r="V112" s="427"/>
      <c r="W112" s="76"/>
      <c r="X112" s="74"/>
      <c r="Y112" s="684" t="s">
        <v>494</v>
      </c>
      <c r="Z112" s="74">
        <v>1546.05</v>
      </c>
    </row>
    <row r="113" spans="1:26">
      <c r="A113" s="684">
        <v>46093</v>
      </c>
      <c r="B113" s="74" t="s">
        <v>494</v>
      </c>
      <c r="C113" s="711">
        <f t="array" ref="C113">SUMPRODUCT(($I$3:$I$5022=$A113)*($N$3:$N$5022=B113)*$K$3:$K$5022)</f>
        <v>46.099999999999994</v>
      </c>
      <c r="D113" s="711">
        <f t="array" ref="D113">SUMPRODUCT(($Q$3:$Q$4998=$A113)*($S$3:$S$4998=B113)*$U$3:$U$4998)</f>
        <v>283</v>
      </c>
      <c r="E113" s="711">
        <f t="shared" si="1"/>
        <v>329.1</v>
      </c>
      <c r="F113" s="74"/>
      <c r="G113" s="74"/>
      <c r="H113" s="74"/>
      <c r="I113" s="133">
        <v>46030</v>
      </c>
      <c r="J113" s="134">
        <v>0.66805555555555551</v>
      </c>
      <c r="K113" s="135">
        <v>5.55</v>
      </c>
      <c r="L113" s="75">
        <v>3</v>
      </c>
      <c r="M113" s="75" t="s">
        <v>638</v>
      </c>
      <c r="N113" s="75" t="s">
        <v>494</v>
      </c>
      <c r="O113" s="75"/>
      <c r="P113" s="74"/>
      <c r="Q113" s="972">
        <v>46093</v>
      </c>
      <c r="R113" s="973" t="str">
        <f>TEXT(Tabla9[[#This Row],[Fecha]],"dddd")</f>
        <v>jueves</v>
      </c>
      <c r="S113" s="427" t="s">
        <v>494</v>
      </c>
      <c r="T113" s="427">
        <v>26</v>
      </c>
      <c r="U113" s="974">
        <v>283</v>
      </c>
      <c r="V113" s="427"/>
      <c r="W113" s="76"/>
      <c r="X113" s="74"/>
      <c r="Y113" s="684" t="s">
        <v>497</v>
      </c>
      <c r="Z113" s="74">
        <v>1028.2</v>
      </c>
    </row>
    <row r="114" spans="1:26">
      <c r="A114" s="684">
        <v>46093</v>
      </c>
      <c r="B114" s="74" t="s">
        <v>497</v>
      </c>
      <c r="C114" s="711">
        <f t="array" ref="C114">SUMPRODUCT(($I$3:$I$5022=$A114)*($N$3:$N$5022=B114)*$K$3:$K$5022)</f>
        <v>22.25</v>
      </c>
      <c r="D114" s="711">
        <f t="array" ref="D114">SUMPRODUCT(($Q$3:$Q$4998=$A114)*($S$3:$S$4998=B114)*$U$3:$U$4998)</f>
        <v>169.55</v>
      </c>
      <c r="E114" s="711">
        <f t="shared" si="1"/>
        <v>191.8</v>
      </c>
      <c r="F114" s="74"/>
      <c r="G114" s="74"/>
      <c r="H114" s="74"/>
      <c r="I114" s="133">
        <v>46030</v>
      </c>
      <c r="J114" s="134">
        <v>0.82847222222222228</v>
      </c>
      <c r="K114" s="135">
        <v>3.4</v>
      </c>
      <c r="L114" s="75">
        <v>2</v>
      </c>
      <c r="M114" s="75" t="s">
        <v>638</v>
      </c>
      <c r="N114" s="75" t="s">
        <v>497</v>
      </c>
      <c r="O114" s="75"/>
      <c r="P114" s="74"/>
      <c r="Q114" s="972">
        <v>46093</v>
      </c>
      <c r="R114" s="973" t="str">
        <f>TEXT(Tabla9[[#This Row],[Fecha]],"dddd")</f>
        <v>jueves</v>
      </c>
      <c r="S114" s="427" t="s">
        <v>497</v>
      </c>
      <c r="T114" s="427">
        <v>10</v>
      </c>
      <c r="U114" s="974">
        <v>169.55</v>
      </c>
      <c r="V114" s="427"/>
      <c r="W114" s="76"/>
      <c r="X114" s="74"/>
      <c r="Y114" s="684">
        <v>45704</v>
      </c>
      <c r="Z114" s="74">
        <v>1383.93</v>
      </c>
    </row>
    <row r="115" spans="1:26">
      <c r="A115" s="684">
        <v>46094</v>
      </c>
      <c r="B115" s="74" t="s">
        <v>146</v>
      </c>
      <c r="C115" s="711">
        <f t="array" ref="C115">SUMPRODUCT(($I$3:$I$5022=$A115)*($N$3:$N$5022=B115)*$K$3:$K$5022)</f>
        <v>76.55</v>
      </c>
      <c r="D115" s="711">
        <f t="array" ref="D115">SUMPRODUCT(($Q$3:$Q$4998=$A115)*($S$3:$S$4998=B115)*$U$3:$U$4998)</f>
        <v>26.68</v>
      </c>
      <c r="E115" s="711">
        <f t="shared" si="1"/>
        <v>103.22999999999999</v>
      </c>
      <c r="F115" s="74"/>
      <c r="G115" s="74"/>
      <c r="H115" s="74"/>
      <c r="I115" s="133">
        <v>46031</v>
      </c>
      <c r="J115" s="134">
        <v>0.2986111111111111</v>
      </c>
      <c r="K115" s="135">
        <v>3.4</v>
      </c>
      <c r="L115" s="75">
        <v>1</v>
      </c>
      <c r="M115" s="75" t="s">
        <v>633</v>
      </c>
      <c r="N115" s="75" t="s">
        <v>146</v>
      </c>
      <c r="O115" s="75"/>
      <c r="P115" s="74"/>
      <c r="Q115" s="972">
        <v>46094</v>
      </c>
      <c r="R115" s="973" t="str">
        <f>TEXT(Tabla9[[#This Row],[Fecha]],"dddd")</f>
        <v>viernes</v>
      </c>
      <c r="S115" s="427" t="s">
        <v>146</v>
      </c>
      <c r="T115" s="427">
        <v>8</v>
      </c>
      <c r="U115" s="974">
        <v>26.68</v>
      </c>
      <c r="V115" s="427"/>
      <c r="W115" s="76"/>
      <c r="X115" s="74"/>
      <c r="Y115" s="684" t="s">
        <v>146</v>
      </c>
      <c r="Z115" s="74">
        <v>305.89999999999998</v>
      </c>
    </row>
    <row r="116" spans="1:26">
      <c r="A116" s="684">
        <v>46094</v>
      </c>
      <c r="B116" s="74" t="s">
        <v>494</v>
      </c>
      <c r="C116" s="711">
        <f t="array" ref="C116">SUMPRODUCT(($I$3:$I$5022=$A116)*($N$3:$N$5022=B116)*$K$3:$K$5022)</f>
        <v>98.85</v>
      </c>
      <c r="D116" s="711">
        <f t="array" ref="D116">SUMPRODUCT(($Q$3:$Q$4998=$A116)*($S$3:$S$4998=B116)*$U$3:$U$4998)</f>
        <v>328.64</v>
      </c>
      <c r="E116" s="711">
        <f t="shared" si="1"/>
        <v>427.49</v>
      </c>
      <c r="F116" s="74"/>
      <c r="G116" s="74"/>
      <c r="H116" s="74"/>
      <c r="I116" s="133">
        <v>46031</v>
      </c>
      <c r="J116" s="134">
        <v>0.32013888888888892</v>
      </c>
      <c r="K116" s="135">
        <v>2.65</v>
      </c>
      <c r="L116" s="75">
        <v>1</v>
      </c>
      <c r="M116" s="75" t="s">
        <v>633</v>
      </c>
      <c r="N116" s="75" t="s">
        <v>146</v>
      </c>
      <c r="O116" s="75"/>
      <c r="P116" s="74"/>
      <c r="Q116" s="972">
        <v>46094</v>
      </c>
      <c r="R116" s="973" t="str">
        <f>TEXT(Tabla9[[#This Row],[Fecha]],"dddd")</f>
        <v>viernes</v>
      </c>
      <c r="S116" s="427" t="s">
        <v>494</v>
      </c>
      <c r="T116" s="427">
        <v>18</v>
      </c>
      <c r="U116" s="974">
        <v>328.64</v>
      </c>
      <c r="V116" s="427"/>
      <c r="W116" s="76"/>
      <c r="X116" s="74"/>
      <c r="Y116" s="684" t="s">
        <v>494</v>
      </c>
      <c r="Z116" s="74">
        <v>1078.03</v>
      </c>
    </row>
    <row r="117" spans="1:26">
      <c r="A117" s="684">
        <v>46094</v>
      </c>
      <c r="B117" s="74" t="s">
        <v>497</v>
      </c>
      <c r="C117" s="711">
        <f t="array" ref="C117">SUMPRODUCT(($I$3:$I$5022=$A117)*($N$3:$N$5022=B117)*$K$3:$K$5022)</f>
        <v>0</v>
      </c>
      <c r="D117" s="711">
        <f t="array" ref="D117">SUMPRODUCT(($Q$3:$Q$4998=$A117)*($S$3:$S$4998=B117)*$U$3:$U$4998)</f>
        <v>842.55</v>
      </c>
      <c r="E117" s="711">
        <f t="shared" si="1"/>
        <v>842.55</v>
      </c>
      <c r="F117" s="74"/>
      <c r="G117" s="74"/>
      <c r="H117" s="74"/>
      <c r="I117" s="133">
        <v>46031</v>
      </c>
      <c r="J117" s="134">
        <v>0.33680555555555558</v>
      </c>
      <c r="K117" s="135">
        <v>1.5</v>
      </c>
      <c r="L117" s="75">
        <v>1</v>
      </c>
      <c r="M117" s="75" t="s">
        <v>633</v>
      </c>
      <c r="N117" s="75" t="s">
        <v>146</v>
      </c>
      <c r="O117" s="75"/>
      <c r="P117" s="74"/>
      <c r="Q117" s="972">
        <v>46094</v>
      </c>
      <c r="R117" s="973" t="str">
        <f>TEXT(Tabla9[[#This Row],[Fecha]],"dddd")</f>
        <v>viernes</v>
      </c>
      <c r="S117" s="427" t="s">
        <v>497</v>
      </c>
      <c r="T117" s="427">
        <v>59</v>
      </c>
      <c r="U117" s="974">
        <v>842.55</v>
      </c>
      <c r="V117" s="427"/>
      <c r="W117" s="76"/>
      <c r="X117" s="74"/>
      <c r="Y117" s="684">
        <v>45707</v>
      </c>
      <c r="Z117" s="74">
        <v>688.7</v>
      </c>
    </row>
    <row r="118" spans="1:26">
      <c r="A118" s="684">
        <v>46095</v>
      </c>
      <c r="B118" s="74" t="s">
        <v>146</v>
      </c>
      <c r="C118" s="711">
        <f t="array" ref="C118">SUMPRODUCT(($I$3:$I$5022=$A118)*($N$3:$N$5022=B118)*$K$3:$K$5022)</f>
        <v>71.050000000000011</v>
      </c>
      <c r="D118" s="711">
        <f t="array" ref="D118">SUMPRODUCT(($Q$3:$Q$4998=$A118)*($S$3:$S$4998=B118)*$U$3:$U$4998)</f>
        <v>112.91</v>
      </c>
      <c r="E118" s="711">
        <f t="shared" si="1"/>
        <v>183.96</v>
      </c>
      <c r="F118" s="74"/>
      <c r="G118" s="74"/>
      <c r="H118" s="74"/>
      <c r="I118" s="133">
        <v>46031</v>
      </c>
      <c r="J118" s="134">
        <v>0.38680555555555562</v>
      </c>
      <c r="K118" s="135">
        <v>2.15</v>
      </c>
      <c r="L118" s="75">
        <v>1</v>
      </c>
      <c r="M118" s="75" t="s">
        <v>633</v>
      </c>
      <c r="N118" s="75" t="s">
        <v>146</v>
      </c>
      <c r="O118" s="75"/>
      <c r="P118" s="74"/>
      <c r="Q118" s="972">
        <v>46095</v>
      </c>
      <c r="R118" s="973" t="str">
        <f>TEXT(Tabla9[[#This Row],[Fecha]],"dddd")</f>
        <v>sábado</v>
      </c>
      <c r="S118" s="427" t="s">
        <v>146</v>
      </c>
      <c r="T118" s="427">
        <v>23</v>
      </c>
      <c r="U118" s="974">
        <v>112.91</v>
      </c>
      <c r="V118" s="427"/>
      <c r="W118" s="76"/>
      <c r="X118" s="74"/>
      <c r="Y118" s="684" t="s">
        <v>146</v>
      </c>
      <c r="Z118" s="74">
        <v>107.3</v>
      </c>
    </row>
    <row r="119" spans="1:26">
      <c r="A119" s="684">
        <v>46095</v>
      </c>
      <c r="B119" s="74" t="s">
        <v>494</v>
      </c>
      <c r="C119" s="711">
        <f t="array" ref="C119">SUMPRODUCT(($I$3:$I$5022=$A119)*($N$3:$N$5022=B119)*$K$3:$K$5022)</f>
        <v>53.65</v>
      </c>
      <c r="D119" s="711">
        <f t="array" ref="D119">SUMPRODUCT(($Q$3:$Q$4998=$A119)*($S$3:$S$4998=B119)*$U$3:$U$4998)</f>
        <v>830.5</v>
      </c>
      <c r="E119" s="711">
        <f t="shared" si="1"/>
        <v>884.15</v>
      </c>
      <c r="F119" s="74"/>
      <c r="G119" s="74"/>
      <c r="H119" s="74"/>
      <c r="I119" s="133">
        <v>46031</v>
      </c>
      <c r="J119" s="134">
        <v>0.38750000000000001</v>
      </c>
      <c r="K119" s="135">
        <v>4.6500000000000004</v>
      </c>
      <c r="L119" s="75">
        <v>1</v>
      </c>
      <c r="M119" s="75" t="s">
        <v>633</v>
      </c>
      <c r="N119" s="75" t="s">
        <v>146</v>
      </c>
      <c r="O119" s="75"/>
      <c r="P119" s="74"/>
      <c r="Q119" s="972">
        <v>46095</v>
      </c>
      <c r="R119" s="973" t="str">
        <f>TEXT(Tabla9[[#This Row],[Fecha]],"dddd")</f>
        <v>sábado</v>
      </c>
      <c r="S119" s="427" t="s">
        <v>494</v>
      </c>
      <c r="T119" s="427">
        <v>53</v>
      </c>
      <c r="U119" s="974">
        <v>830.5</v>
      </c>
      <c r="V119" s="427"/>
      <c r="W119" s="76"/>
      <c r="X119" s="74"/>
      <c r="Y119" s="684" t="s">
        <v>494</v>
      </c>
      <c r="Z119" s="74">
        <v>303.7</v>
      </c>
    </row>
    <row r="120" spans="1:26">
      <c r="A120" s="684">
        <v>46095</v>
      </c>
      <c r="B120" s="74" t="s">
        <v>497</v>
      </c>
      <c r="C120" s="711">
        <f t="array" ref="C120">SUMPRODUCT(($I$3:$I$5022=$A120)*($N$3:$N$5022=B120)*$K$3:$K$5022)</f>
        <v>256.05</v>
      </c>
      <c r="D120" s="711">
        <f t="array" ref="D120">SUMPRODUCT(($Q$3:$Q$4998=$A120)*($S$3:$S$4998=B120)*$U$3:$U$4998)</f>
        <v>887.77</v>
      </c>
      <c r="E120" s="711">
        <f t="shared" si="1"/>
        <v>1143.82</v>
      </c>
      <c r="F120" s="74"/>
      <c r="G120" s="74"/>
      <c r="H120" s="74"/>
      <c r="I120" s="133">
        <v>46031</v>
      </c>
      <c r="J120" s="134">
        <v>0.38750000000000001</v>
      </c>
      <c r="K120" s="135">
        <v>1.5</v>
      </c>
      <c r="L120" s="75">
        <v>1</v>
      </c>
      <c r="M120" s="75" t="s">
        <v>633</v>
      </c>
      <c r="N120" s="75" t="s">
        <v>146</v>
      </c>
      <c r="O120" s="75"/>
      <c r="P120" s="74"/>
      <c r="Q120" s="972">
        <v>46095</v>
      </c>
      <c r="R120" s="973" t="str">
        <f>TEXT(Tabla9[[#This Row],[Fecha]],"dddd")</f>
        <v>sábado</v>
      </c>
      <c r="S120" s="427" t="s">
        <v>497</v>
      </c>
      <c r="T120" s="427">
        <v>48</v>
      </c>
      <c r="U120" s="974">
        <v>887.77</v>
      </c>
      <c r="V120" s="427"/>
      <c r="W120" s="76"/>
      <c r="X120" s="74"/>
      <c r="Y120" s="684" t="s">
        <v>497</v>
      </c>
      <c r="Z120" s="74">
        <v>277.7</v>
      </c>
    </row>
    <row r="121" spans="1:26">
      <c r="A121" s="684">
        <v>46096</v>
      </c>
      <c r="B121" s="74" t="s">
        <v>146</v>
      </c>
      <c r="C121" s="711">
        <f t="array" ref="C121">SUMPRODUCT(($I$3:$I$5022=$A121)*($N$3:$N$5022=B121)*$K$3:$K$5022)</f>
        <v>137.25</v>
      </c>
      <c r="D121" s="711">
        <f t="array" ref="D121">SUMPRODUCT(($Q$3:$Q$4998=$A121)*($S$3:$S$4998=B121)*$U$3:$U$4998)</f>
        <v>223.23</v>
      </c>
      <c r="E121" s="711">
        <f t="shared" si="1"/>
        <v>360.48</v>
      </c>
      <c r="F121" s="74"/>
      <c r="G121" s="74"/>
      <c r="H121" s="74"/>
      <c r="I121" s="133">
        <v>46031</v>
      </c>
      <c r="J121" s="134">
        <v>0.40763888888888888</v>
      </c>
      <c r="K121" s="135">
        <v>7.1</v>
      </c>
      <c r="L121" s="75">
        <v>1</v>
      </c>
      <c r="M121" s="75" t="s">
        <v>633</v>
      </c>
      <c r="N121" s="75" t="s">
        <v>146</v>
      </c>
      <c r="O121" s="75"/>
      <c r="P121" s="74"/>
      <c r="Q121" s="972">
        <v>46096</v>
      </c>
      <c r="R121" s="973" t="str">
        <f>TEXT(Tabla9[[#This Row],[Fecha]],"dddd")</f>
        <v>domingo</v>
      </c>
      <c r="S121" s="427" t="s">
        <v>146</v>
      </c>
      <c r="T121" s="427">
        <v>49</v>
      </c>
      <c r="U121" s="974">
        <v>223.23</v>
      </c>
      <c r="V121" s="427"/>
      <c r="W121" s="76"/>
      <c r="X121" s="74"/>
      <c r="Y121" s="684">
        <v>45708</v>
      </c>
      <c r="Z121" s="74">
        <v>724.1</v>
      </c>
    </row>
    <row r="122" spans="1:26">
      <c r="A122" s="684">
        <v>46096</v>
      </c>
      <c r="B122" s="74" t="s">
        <v>494</v>
      </c>
      <c r="C122" s="711">
        <f t="array" ref="C122">SUMPRODUCT(($I$3:$I$5022=$A122)*($N$3:$N$5022=B122)*$K$3:$K$5022)</f>
        <v>1.95</v>
      </c>
      <c r="D122" s="711">
        <f t="array" ref="D122">SUMPRODUCT(($Q$3:$Q$4998=$A122)*($S$3:$S$4998=B122)*$U$3:$U$4998)</f>
        <v>2308.0500000000002</v>
      </c>
      <c r="E122" s="711">
        <f t="shared" si="1"/>
        <v>2310</v>
      </c>
      <c r="F122" s="74"/>
      <c r="G122" s="74"/>
      <c r="H122" s="74"/>
      <c r="I122" s="133">
        <v>46031</v>
      </c>
      <c r="J122" s="134">
        <v>0.40763888888888888</v>
      </c>
      <c r="K122" s="135">
        <v>5.7</v>
      </c>
      <c r="L122" s="75">
        <v>1</v>
      </c>
      <c r="M122" s="75" t="s">
        <v>633</v>
      </c>
      <c r="N122" s="75" t="s">
        <v>146</v>
      </c>
      <c r="O122" s="75"/>
      <c r="P122" s="74"/>
      <c r="Q122" s="972">
        <v>46096</v>
      </c>
      <c r="R122" s="973" t="str">
        <f>TEXT(Tabla9[[#This Row],[Fecha]],"dddd")</f>
        <v>domingo</v>
      </c>
      <c r="S122" s="427" t="s">
        <v>494</v>
      </c>
      <c r="T122" s="427">
        <v>195</v>
      </c>
      <c r="U122" s="974">
        <v>2308.0500000000002</v>
      </c>
      <c r="V122" s="427"/>
      <c r="W122" s="76"/>
      <c r="X122" s="74"/>
      <c r="Y122" s="684" t="s">
        <v>146</v>
      </c>
      <c r="Z122" s="74">
        <v>167.95</v>
      </c>
    </row>
    <row r="123" spans="1:26">
      <c r="A123" s="684">
        <v>46096</v>
      </c>
      <c r="B123" s="74" t="s">
        <v>497</v>
      </c>
      <c r="C123" s="711">
        <f t="array" ref="C123">SUMPRODUCT(($I$3:$I$5022=$A123)*($N$3:$N$5022=B123)*$K$3:$K$5022)</f>
        <v>12.85</v>
      </c>
      <c r="D123" s="711">
        <f t="array" ref="D123">SUMPRODUCT(($Q$3:$Q$4998=$A123)*($S$3:$S$4998=B123)*$U$3:$U$4998)</f>
        <v>0</v>
      </c>
      <c r="E123" s="711">
        <f t="shared" si="1"/>
        <v>12.85</v>
      </c>
      <c r="F123" s="74"/>
      <c r="G123" s="74"/>
      <c r="H123" s="74"/>
      <c r="I123" s="133">
        <v>46031</v>
      </c>
      <c r="J123" s="134">
        <v>0.42291666666666672</v>
      </c>
      <c r="K123" s="135">
        <v>1.7</v>
      </c>
      <c r="L123" s="75">
        <v>1</v>
      </c>
      <c r="M123" s="75" t="s">
        <v>633</v>
      </c>
      <c r="N123" s="75" t="s">
        <v>146</v>
      </c>
      <c r="O123" s="75"/>
      <c r="P123" s="74"/>
      <c r="Q123" s="972">
        <v>46099</v>
      </c>
      <c r="R123" s="973" t="str">
        <f>TEXT(Tabla9[[#This Row],[Fecha]],"dddd")</f>
        <v>miércoles</v>
      </c>
      <c r="S123" s="427" t="s">
        <v>146</v>
      </c>
      <c r="T123" s="427">
        <v>22</v>
      </c>
      <c r="U123" s="974">
        <v>90.14</v>
      </c>
      <c r="V123" s="427"/>
      <c r="W123" s="76"/>
      <c r="X123" s="74"/>
      <c r="Y123" s="684" t="s">
        <v>494</v>
      </c>
      <c r="Z123" s="74">
        <v>405.05</v>
      </c>
    </row>
    <row r="124" spans="1:26">
      <c r="A124" s="684">
        <v>46099</v>
      </c>
      <c r="B124" s="74" t="s">
        <v>146</v>
      </c>
      <c r="C124" s="711">
        <f t="array" ref="C124">SUMPRODUCT(($I$3:$I$5022=$A124)*($N$3:$N$5022=B124)*$K$3:$K$5022)</f>
        <v>58.2</v>
      </c>
      <c r="D124" s="711">
        <f t="array" ref="D124">SUMPRODUCT(($Q$3:$Q$4998=$A124)*($S$3:$S$4998=B124)*$U$3:$U$4998)</f>
        <v>90.14</v>
      </c>
      <c r="E124" s="711">
        <f t="shared" si="1"/>
        <v>148.34</v>
      </c>
      <c r="F124" s="74"/>
      <c r="G124" s="74"/>
      <c r="H124" s="74"/>
      <c r="I124" s="133">
        <v>46031</v>
      </c>
      <c r="J124" s="134">
        <v>0.44305555555555548</v>
      </c>
      <c r="K124" s="135">
        <v>12.15</v>
      </c>
      <c r="L124" s="75">
        <v>1</v>
      </c>
      <c r="M124" s="75" t="s">
        <v>633</v>
      </c>
      <c r="N124" s="75" t="s">
        <v>146</v>
      </c>
      <c r="O124" s="75"/>
      <c r="P124" s="74"/>
      <c r="Q124" s="972">
        <v>46099</v>
      </c>
      <c r="R124" s="973" t="str">
        <f>TEXT(Tabla9[[#This Row],[Fecha]],"dddd")</f>
        <v>miércoles</v>
      </c>
      <c r="S124" s="427" t="s">
        <v>494</v>
      </c>
      <c r="T124" s="427">
        <v>29</v>
      </c>
      <c r="U124" s="974">
        <v>511.55</v>
      </c>
      <c r="V124" s="427"/>
      <c r="W124" s="76"/>
      <c r="X124" s="74"/>
      <c r="Y124" s="684" t="s">
        <v>497</v>
      </c>
      <c r="Z124" s="74">
        <v>151.1</v>
      </c>
    </row>
    <row r="125" spans="1:26">
      <c r="A125" s="684">
        <v>46099</v>
      </c>
      <c r="B125" s="74" t="s">
        <v>494</v>
      </c>
      <c r="C125" s="711">
        <f t="array" ref="C125">SUMPRODUCT(($I$3:$I$5022=$A125)*($N$3:$N$5022=B125)*$K$3:$K$5022)</f>
        <v>75.849999999999994</v>
      </c>
      <c r="D125" s="711">
        <f t="array" ref="D125">SUMPRODUCT(($Q$3:$Q$4998=$A125)*($S$3:$S$4998=B125)*$U$3:$U$4998)</f>
        <v>511.55</v>
      </c>
      <c r="E125" s="711">
        <f t="shared" si="1"/>
        <v>587.4</v>
      </c>
      <c r="F125" s="74"/>
      <c r="G125" s="74"/>
      <c r="H125" s="74"/>
      <c r="I125" s="133">
        <v>46031</v>
      </c>
      <c r="J125" s="134">
        <v>0.44583333333333341</v>
      </c>
      <c r="K125" s="135">
        <v>39.299999999999997</v>
      </c>
      <c r="L125" s="75">
        <v>3</v>
      </c>
      <c r="M125" s="75" t="s">
        <v>633</v>
      </c>
      <c r="N125" s="75" t="s">
        <v>146</v>
      </c>
      <c r="O125" s="75"/>
      <c r="P125" s="74"/>
      <c r="Q125" s="972">
        <v>46099</v>
      </c>
      <c r="R125" s="973" t="str">
        <f>TEXT(Tabla9[[#This Row],[Fecha]],"dddd")</f>
        <v>miércoles</v>
      </c>
      <c r="S125" s="427" t="s">
        <v>497</v>
      </c>
      <c r="T125" s="427">
        <v>7</v>
      </c>
      <c r="U125" s="974">
        <v>108.14</v>
      </c>
      <c r="V125" s="427"/>
      <c r="W125" s="76"/>
      <c r="X125" s="74"/>
      <c r="Y125" s="684">
        <v>45709</v>
      </c>
      <c r="Z125" s="74">
        <v>1350.55</v>
      </c>
    </row>
    <row r="126" spans="1:26">
      <c r="A126" s="684">
        <v>46099</v>
      </c>
      <c r="B126" s="74" t="s">
        <v>497</v>
      </c>
      <c r="C126" s="711">
        <f t="array" ref="C126">SUMPRODUCT(($I$3:$I$5022=$A126)*($N$3:$N$5022=B126)*$K$3:$K$5022)</f>
        <v>147.05000000000001</v>
      </c>
      <c r="D126" s="711">
        <f t="array" ref="D126">SUMPRODUCT(($Q$3:$Q$4998=$A126)*($S$3:$S$4998=B126)*$U$3:$U$4998)</f>
        <v>108.14</v>
      </c>
      <c r="E126" s="711">
        <f t="shared" si="1"/>
        <v>255.19</v>
      </c>
      <c r="F126" s="74"/>
      <c r="G126" s="74"/>
      <c r="H126" s="74"/>
      <c r="I126" s="133">
        <v>46031</v>
      </c>
      <c r="J126" s="134">
        <v>0.4465277777777778</v>
      </c>
      <c r="K126" s="135">
        <v>6.5</v>
      </c>
      <c r="L126" s="75">
        <v>1</v>
      </c>
      <c r="M126" s="75" t="s">
        <v>633</v>
      </c>
      <c r="N126" s="75" t="s">
        <v>146</v>
      </c>
      <c r="O126" s="75"/>
      <c r="P126" s="74"/>
      <c r="Q126" s="972">
        <v>46100</v>
      </c>
      <c r="R126" s="973" t="str">
        <f>TEXT(Tabla9[[#This Row],[Fecha]],"dddd")</f>
        <v>jueves</v>
      </c>
      <c r="S126" s="427" t="s">
        <v>146</v>
      </c>
      <c r="T126" s="427">
        <v>8</v>
      </c>
      <c r="U126" s="974">
        <v>21.09</v>
      </c>
      <c r="V126" s="427"/>
      <c r="W126" s="76"/>
      <c r="X126" s="74"/>
      <c r="Y126" s="684" t="s">
        <v>146</v>
      </c>
      <c r="Z126" s="74">
        <v>94.3</v>
      </c>
    </row>
    <row r="127" spans="1:26">
      <c r="A127" s="684">
        <v>46100</v>
      </c>
      <c r="B127" s="74" t="s">
        <v>146</v>
      </c>
      <c r="C127" s="711">
        <f t="array" ref="C127">SUMPRODUCT(($I$3:$I$5022=$A127)*($N$3:$N$5022=B127)*$K$3:$K$5022)</f>
        <v>66.100000000000009</v>
      </c>
      <c r="D127" s="711">
        <f t="array" ref="D127">SUMPRODUCT(($Q$3:$Q$4998=$A127)*($S$3:$S$4998=B127)*$U$3:$U$4998)</f>
        <v>21.09</v>
      </c>
      <c r="E127" s="711">
        <f t="shared" si="1"/>
        <v>87.190000000000012</v>
      </c>
      <c r="F127" s="74"/>
      <c r="G127" s="74"/>
      <c r="H127" s="74"/>
      <c r="I127" s="133">
        <v>46031</v>
      </c>
      <c r="J127" s="134">
        <v>0.4465277777777778</v>
      </c>
      <c r="K127" s="135">
        <v>1.4</v>
      </c>
      <c r="L127" s="75">
        <v>1</v>
      </c>
      <c r="M127" s="75" t="s">
        <v>633</v>
      </c>
      <c r="N127" s="75" t="s">
        <v>146</v>
      </c>
      <c r="O127" s="75"/>
      <c r="P127" s="74"/>
      <c r="Q127" s="972">
        <v>46100</v>
      </c>
      <c r="R127" s="973" t="str">
        <f>TEXT(Tabla9[[#This Row],[Fecha]],"dddd")</f>
        <v>jueves</v>
      </c>
      <c r="S127" s="427" t="s">
        <v>494</v>
      </c>
      <c r="T127" s="427">
        <v>19</v>
      </c>
      <c r="U127" s="974">
        <v>180.77</v>
      </c>
      <c r="V127" s="427"/>
      <c r="W127" s="76"/>
      <c r="X127" s="74"/>
      <c r="Y127" s="684" t="s">
        <v>494</v>
      </c>
      <c r="Z127" s="74">
        <v>529.45000000000005</v>
      </c>
    </row>
    <row r="128" spans="1:26">
      <c r="A128" s="684">
        <v>46100</v>
      </c>
      <c r="B128" s="74" t="s">
        <v>494</v>
      </c>
      <c r="C128" s="711">
        <f t="array" ref="C128">SUMPRODUCT(($I$3:$I$5022=$A128)*($N$3:$N$5022=B128)*$K$3:$K$5022)</f>
        <v>97.25</v>
      </c>
      <c r="D128" s="711">
        <f t="array" ref="D128">SUMPRODUCT(($Q$3:$Q$4998=$A128)*($S$3:$S$4998=B128)*$U$3:$U$4998)</f>
        <v>180.77</v>
      </c>
      <c r="E128" s="711">
        <f t="shared" si="1"/>
        <v>278.02</v>
      </c>
      <c r="F128" s="74"/>
      <c r="G128" s="74"/>
      <c r="H128" s="74"/>
      <c r="I128" s="133">
        <v>46031</v>
      </c>
      <c r="J128" s="134">
        <v>0.47569444444444442</v>
      </c>
      <c r="K128" s="135">
        <v>3</v>
      </c>
      <c r="L128" s="75">
        <v>2</v>
      </c>
      <c r="M128" s="75" t="s">
        <v>633</v>
      </c>
      <c r="N128" s="75" t="s">
        <v>146</v>
      </c>
      <c r="O128" s="75"/>
      <c r="P128" s="74"/>
      <c r="Q128" s="972">
        <v>46100</v>
      </c>
      <c r="R128" s="973" t="str">
        <f>TEXT(Tabla9[[#This Row],[Fecha]],"dddd")</f>
        <v>jueves</v>
      </c>
      <c r="S128" s="427" t="s">
        <v>497</v>
      </c>
      <c r="T128" s="427">
        <v>15</v>
      </c>
      <c r="U128" s="974">
        <v>268.18</v>
      </c>
      <c r="V128" s="427"/>
      <c r="W128" s="76"/>
      <c r="X128" s="74"/>
      <c r="Y128" s="684" t="s">
        <v>497</v>
      </c>
      <c r="Z128" s="74">
        <v>726.8</v>
      </c>
    </row>
    <row r="129" spans="1:26">
      <c r="A129" s="684">
        <v>46100</v>
      </c>
      <c r="B129" s="74" t="s">
        <v>497</v>
      </c>
      <c r="C129" s="711">
        <f t="array" ref="C129">SUMPRODUCT(($I$3:$I$5022=$A129)*($N$3:$N$5022=B129)*$K$3:$K$5022)</f>
        <v>0</v>
      </c>
      <c r="D129" s="711">
        <f t="array" ref="D129">SUMPRODUCT(($Q$3:$Q$4998=$A129)*($S$3:$S$4998=B129)*$U$3:$U$4998)</f>
        <v>268.18</v>
      </c>
      <c r="E129" s="711">
        <f t="shared" si="1"/>
        <v>268.18</v>
      </c>
      <c r="F129" s="74"/>
      <c r="G129" s="74"/>
      <c r="H129" s="74"/>
      <c r="I129" s="133">
        <v>46031</v>
      </c>
      <c r="J129" s="134">
        <v>0.47847222222222219</v>
      </c>
      <c r="K129" s="135">
        <v>3.65</v>
      </c>
      <c r="L129" s="75">
        <v>1</v>
      </c>
      <c r="M129" s="75" t="s">
        <v>633</v>
      </c>
      <c r="N129" s="75" t="s">
        <v>146</v>
      </c>
      <c r="O129" s="75"/>
      <c r="P129" s="74"/>
      <c r="Q129" s="972">
        <v>46101</v>
      </c>
      <c r="R129" s="973" t="str">
        <f>TEXT(Tabla9[[#This Row],[Fecha]],"dddd")</f>
        <v>viernes</v>
      </c>
      <c r="S129" s="427" t="s">
        <v>146</v>
      </c>
      <c r="T129" s="427">
        <v>10</v>
      </c>
      <c r="U129" s="974">
        <v>37.46</v>
      </c>
      <c r="V129" s="427"/>
      <c r="W129" s="76"/>
      <c r="X129" s="74"/>
      <c r="Y129" s="684">
        <v>45710</v>
      </c>
      <c r="Z129" s="74">
        <v>2715.7</v>
      </c>
    </row>
    <row r="130" spans="1:26">
      <c r="A130" s="684">
        <v>46101</v>
      </c>
      <c r="B130" s="74" t="s">
        <v>146</v>
      </c>
      <c r="C130" s="711">
        <f t="array" ref="C130">SUMPRODUCT(($I$3:$I$5022=$A130)*($N$3:$N$5022=B130)*$K$3:$K$5022)</f>
        <v>115.2</v>
      </c>
      <c r="D130" s="711">
        <f t="array" ref="D130">SUMPRODUCT(($Q$3:$Q$4998=$A130)*($S$3:$S$4998=B130)*$U$3:$U$4998)</f>
        <v>37.46</v>
      </c>
      <c r="E130" s="711">
        <f t="shared" si="1"/>
        <v>152.66</v>
      </c>
      <c r="F130" s="74"/>
      <c r="G130" s="74"/>
      <c r="H130" s="74"/>
      <c r="I130" s="133">
        <v>46031</v>
      </c>
      <c r="J130" s="134">
        <v>0.51458333333333328</v>
      </c>
      <c r="K130" s="135">
        <v>24.45</v>
      </c>
      <c r="L130" s="75">
        <v>3</v>
      </c>
      <c r="M130" s="75" t="s">
        <v>633</v>
      </c>
      <c r="N130" s="75" t="s">
        <v>494</v>
      </c>
      <c r="O130" s="75"/>
      <c r="P130" s="74"/>
      <c r="Q130" s="972">
        <v>46101</v>
      </c>
      <c r="R130" s="973" t="str">
        <f>TEXT(Tabla9[[#This Row],[Fecha]],"dddd")</f>
        <v>viernes</v>
      </c>
      <c r="S130" s="427" t="s">
        <v>494</v>
      </c>
      <c r="T130" s="427">
        <v>21</v>
      </c>
      <c r="U130" s="974">
        <v>318.14</v>
      </c>
      <c r="V130" s="427"/>
      <c r="W130" s="76"/>
      <c r="X130" s="74"/>
      <c r="Y130" s="684" t="s">
        <v>146</v>
      </c>
      <c r="Z130" s="74">
        <v>152.75</v>
      </c>
    </row>
    <row r="131" spans="1:26">
      <c r="A131" s="684">
        <v>46101</v>
      </c>
      <c r="B131" s="74" t="s">
        <v>494</v>
      </c>
      <c r="C131" s="711">
        <f t="array" ref="C131">SUMPRODUCT(($I$3:$I$5022=$A131)*($N$3:$N$5022=B131)*$K$3:$K$5022)</f>
        <v>255.3</v>
      </c>
      <c r="D131" s="711">
        <f t="array" ref="D131">SUMPRODUCT(($Q$3:$Q$4998=$A131)*($S$3:$S$4998=B131)*$U$3:$U$4998)</f>
        <v>318.14</v>
      </c>
      <c r="E131" s="711">
        <f t="shared" ref="E131:E200" si="2">C131+D131</f>
        <v>573.44000000000005</v>
      </c>
      <c r="F131" s="74"/>
      <c r="G131" s="74"/>
      <c r="H131" s="74"/>
      <c r="I131" s="133">
        <v>46031</v>
      </c>
      <c r="J131" s="134">
        <v>0.51944444444444449</v>
      </c>
      <c r="K131" s="135">
        <v>1.5</v>
      </c>
      <c r="L131" s="75">
        <v>1</v>
      </c>
      <c r="M131" s="75" t="s">
        <v>633</v>
      </c>
      <c r="N131" s="75" t="s">
        <v>494</v>
      </c>
      <c r="O131" s="75"/>
      <c r="P131" s="74"/>
      <c r="Q131" s="972">
        <v>46101</v>
      </c>
      <c r="R131" s="973" t="str">
        <f>TEXT(Tabla9[[#This Row],[Fecha]],"dddd")</f>
        <v>viernes</v>
      </c>
      <c r="S131" s="427" t="s">
        <v>497</v>
      </c>
      <c r="T131" s="427">
        <v>44</v>
      </c>
      <c r="U131" s="974">
        <v>762.14</v>
      </c>
      <c r="V131" s="427"/>
      <c r="W131" s="76"/>
      <c r="X131" s="74"/>
      <c r="Y131" s="684" t="s">
        <v>494</v>
      </c>
      <c r="Z131" s="74">
        <v>1680.75</v>
      </c>
    </row>
    <row r="132" spans="1:26">
      <c r="A132" s="684">
        <v>46101</v>
      </c>
      <c r="B132" s="74" t="s">
        <v>497</v>
      </c>
      <c r="C132" s="711">
        <f t="array" ref="C132">SUMPRODUCT(($I$3:$I$5022=$A132)*($N$3:$N$5022=B132)*$K$3:$K$5022)</f>
        <v>131.5</v>
      </c>
      <c r="D132" s="711">
        <f t="array" ref="D132">SUMPRODUCT(($Q$3:$Q$4998=$A132)*($S$3:$S$4998=B132)*$U$3:$U$4998)</f>
        <v>762.14</v>
      </c>
      <c r="E132" s="711">
        <f t="shared" si="2"/>
        <v>893.64</v>
      </c>
      <c r="F132" s="74"/>
      <c r="G132" s="74"/>
      <c r="H132" s="74"/>
      <c r="I132" s="133">
        <v>46031</v>
      </c>
      <c r="J132" s="134">
        <v>0.54513888888888884</v>
      </c>
      <c r="K132" s="135">
        <v>24.6</v>
      </c>
      <c r="L132" s="75">
        <v>1</v>
      </c>
      <c r="M132" s="75" t="s">
        <v>633</v>
      </c>
      <c r="N132" s="75" t="s">
        <v>494</v>
      </c>
      <c r="O132" s="75"/>
      <c r="P132" s="74"/>
      <c r="Q132" s="972">
        <v>46102</v>
      </c>
      <c r="R132" s="973" t="str">
        <f>TEXT(Tabla9[[#This Row],[Fecha]],"dddd")</f>
        <v>sábado</v>
      </c>
      <c r="S132" s="427" t="s">
        <v>146</v>
      </c>
      <c r="T132" s="427">
        <v>19</v>
      </c>
      <c r="U132" s="974">
        <v>84.41</v>
      </c>
      <c r="V132" s="427"/>
      <c r="W132" s="76"/>
      <c r="X132" s="74"/>
      <c r="Y132" s="684" t="s">
        <v>497</v>
      </c>
      <c r="Z132" s="74">
        <v>882.2</v>
      </c>
    </row>
    <row r="133" spans="1:26">
      <c r="A133" s="684">
        <v>46102</v>
      </c>
      <c r="B133" s="74" t="s">
        <v>146</v>
      </c>
      <c r="C133" s="711">
        <f t="array" ref="C133">SUMPRODUCT(($I$3:$I$5022=$A133)*($N$3:$N$5022=B133)*$K$3:$K$5022)</f>
        <v>74.100000000000009</v>
      </c>
      <c r="D133" s="711">
        <f t="array" ref="D133">SUMPRODUCT(($Q$3:$Q$4998=$A133)*($S$3:$S$4998=B133)*$U$3:$U$4998)</f>
        <v>84.41</v>
      </c>
      <c r="E133" s="711">
        <f t="shared" si="2"/>
        <v>158.51</v>
      </c>
      <c r="F133" s="74"/>
      <c r="G133" s="74"/>
      <c r="H133" s="74"/>
      <c r="I133" s="133">
        <v>46031</v>
      </c>
      <c r="J133" s="134">
        <v>0.56666666666666665</v>
      </c>
      <c r="K133" s="135">
        <v>1.95</v>
      </c>
      <c r="L133" s="75">
        <v>1</v>
      </c>
      <c r="M133" s="75" t="s">
        <v>633</v>
      </c>
      <c r="N133" s="75" t="s">
        <v>494</v>
      </c>
      <c r="O133" s="75"/>
      <c r="P133" s="74"/>
      <c r="Q133" s="972">
        <v>46102</v>
      </c>
      <c r="R133" s="973" t="str">
        <f>TEXT(Tabla9[[#This Row],[Fecha]],"dddd")</f>
        <v>sábado</v>
      </c>
      <c r="S133" s="427" t="s">
        <v>497</v>
      </c>
      <c r="T133" s="427">
        <v>78</v>
      </c>
      <c r="U133" s="974">
        <v>1212.96</v>
      </c>
      <c r="V133" s="427"/>
      <c r="W133" s="76"/>
      <c r="X133" s="74"/>
      <c r="Y133" s="684">
        <v>45711</v>
      </c>
      <c r="Z133" s="74">
        <v>1767.5</v>
      </c>
    </row>
    <row r="134" spans="1:26">
      <c r="A134" s="684">
        <v>46102</v>
      </c>
      <c r="B134" s="74" t="s">
        <v>494</v>
      </c>
      <c r="C134" s="711">
        <f t="array" ref="C134">SUMPRODUCT(($I$3:$I$5022=$A134)*($N$3:$N$5022=B134)*$K$3:$K$5022)</f>
        <v>190.45</v>
      </c>
      <c r="D134" s="711">
        <f t="array" ref="D134">SUMPRODUCT(($Q$3:$Q$4998=$A134)*($S$3:$S$4998=B134)*$U$3:$U$4998)</f>
        <v>360.46</v>
      </c>
      <c r="E134" s="711">
        <f t="shared" si="2"/>
        <v>550.91</v>
      </c>
      <c r="F134" s="74"/>
      <c r="G134" s="74"/>
      <c r="H134" s="74"/>
      <c r="I134" s="133">
        <v>46031</v>
      </c>
      <c r="J134" s="134">
        <v>0.57013888888888886</v>
      </c>
      <c r="K134" s="135">
        <v>13.64</v>
      </c>
      <c r="L134" s="75">
        <v>1</v>
      </c>
      <c r="M134" s="75" t="s">
        <v>633</v>
      </c>
      <c r="N134" s="75" t="s">
        <v>494</v>
      </c>
      <c r="O134" s="75"/>
      <c r="P134" s="74"/>
      <c r="Q134" s="972">
        <v>46102</v>
      </c>
      <c r="R134" s="973" t="str">
        <f>TEXT(Tabla9[[#This Row],[Fecha]],"dddd")</f>
        <v>sábado</v>
      </c>
      <c r="S134" s="427" t="s">
        <v>494</v>
      </c>
      <c r="T134" s="427">
        <v>24</v>
      </c>
      <c r="U134" s="974">
        <v>360.46</v>
      </c>
      <c r="V134" s="427"/>
      <c r="W134" s="76"/>
      <c r="X134" s="74"/>
      <c r="Y134" s="684" t="s">
        <v>146</v>
      </c>
      <c r="Z134" s="74">
        <v>341</v>
      </c>
    </row>
    <row r="135" spans="1:26">
      <c r="A135" s="684">
        <v>46102</v>
      </c>
      <c r="B135" s="74" t="s">
        <v>497</v>
      </c>
      <c r="C135" s="711">
        <f t="array" ref="C135">SUMPRODUCT(($I$3:$I$5022=$A135)*($N$3:$N$5022=B135)*$K$3:$K$5022)</f>
        <v>77.2</v>
      </c>
      <c r="D135" s="711">
        <f t="array" ref="D135">SUMPRODUCT(($Q$3:$Q$4998=$A135)*($S$3:$S$4998=B135)*$U$3:$U$4998)</f>
        <v>1212.96</v>
      </c>
      <c r="E135" s="711">
        <f t="shared" si="2"/>
        <v>1290.1600000000001</v>
      </c>
      <c r="F135" s="74"/>
      <c r="G135" s="74"/>
      <c r="H135" s="74"/>
      <c r="I135" s="133">
        <v>46031</v>
      </c>
      <c r="J135" s="134">
        <v>0.57430555555555551</v>
      </c>
      <c r="K135" s="135">
        <v>18.850000000000001</v>
      </c>
      <c r="L135" s="75">
        <v>2</v>
      </c>
      <c r="M135" s="75" t="s">
        <v>633</v>
      </c>
      <c r="N135" s="75" t="s">
        <v>494</v>
      </c>
      <c r="O135" s="75"/>
      <c r="P135" s="74"/>
      <c r="Q135" s="972">
        <v>46103</v>
      </c>
      <c r="R135" s="973" t="str">
        <f>TEXT(Tabla9[[#This Row],[Fecha]],"dddd")</f>
        <v>domingo</v>
      </c>
      <c r="S135" s="427" t="s">
        <v>146</v>
      </c>
      <c r="T135" s="427">
        <v>29</v>
      </c>
      <c r="U135" s="974">
        <v>101.5</v>
      </c>
      <c r="V135" s="427"/>
      <c r="W135" s="76"/>
      <c r="X135" s="74"/>
      <c r="Y135" s="684" t="s">
        <v>494</v>
      </c>
      <c r="Z135" s="74">
        <v>1426.5</v>
      </c>
    </row>
    <row r="136" spans="1:26">
      <c r="A136" s="684">
        <v>46103</v>
      </c>
      <c r="B136" s="74" t="s">
        <v>146</v>
      </c>
      <c r="C136" s="711">
        <f t="array" ref="C136">SUMPRODUCT(($I$3:$I$5022=$A136)*($N$3:$N$5022=B136)*$K$3:$K$5022)</f>
        <v>65.349999999999994</v>
      </c>
      <c r="D136" s="711">
        <f t="array" ref="D136">SUMPRODUCT(($Q$3:$Q$4998=$A136)*($S$3:$S$4998=B136)*$U$3:$U$4998)</f>
        <v>101.5</v>
      </c>
      <c r="E136" s="711">
        <f t="shared" si="2"/>
        <v>166.85</v>
      </c>
      <c r="F136" s="74"/>
      <c r="G136" s="74"/>
      <c r="H136" s="74"/>
      <c r="I136" s="133">
        <v>46031</v>
      </c>
      <c r="J136" s="134">
        <v>0.64236111111111116</v>
      </c>
      <c r="K136" s="135">
        <v>45.8</v>
      </c>
      <c r="L136" s="75">
        <v>2</v>
      </c>
      <c r="M136" s="75" t="s">
        <v>633</v>
      </c>
      <c r="N136" s="75" t="s">
        <v>494</v>
      </c>
      <c r="O136" s="75"/>
      <c r="P136" s="74"/>
      <c r="Q136" s="972">
        <v>46103</v>
      </c>
      <c r="R136" s="973" t="str">
        <f>TEXT(Tabla9[[#This Row],[Fecha]],"dddd")</f>
        <v>domingo</v>
      </c>
      <c r="S136" s="427" t="s">
        <v>497</v>
      </c>
      <c r="T136" s="427">
        <v>2</v>
      </c>
      <c r="U136" s="974">
        <v>-4.18</v>
      </c>
      <c r="V136" s="427"/>
      <c r="W136" s="76"/>
      <c r="X136" s="74"/>
      <c r="Y136" s="684">
        <v>45714</v>
      </c>
      <c r="Z136" s="74">
        <v>836.65</v>
      </c>
    </row>
    <row r="137" spans="1:26">
      <c r="A137" s="684">
        <v>46103</v>
      </c>
      <c r="B137" s="74" t="s">
        <v>494</v>
      </c>
      <c r="C137" s="711">
        <f t="array" ref="C137">SUMPRODUCT(($I$3:$I$5022=$A137)*($N$3:$N$5022=B137)*$K$3:$K$5022)</f>
        <v>95.700000000000017</v>
      </c>
      <c r="D137" s="711">
        <f t="array" ref="D137">SUMPRODUCT(($Q$3:$Q$4998=$A137)*($S$3:$S$4998=B137)*$U$3:$U$4998)</f>
        <v>446.41</v>
      </c>
      <c r="E137" s="711">
        <f t="shared" si="2"/>
        <v>542.11</v>
      </c>
      <c r="F137" s="74"/>
      <c r="G137" s="74"/>
      <c r="H137" s="74"/>
      <c r="I137" s="133">
        <v>46032</v>
      </c>
      <c r="J137" s="134">
        <v>0.34583333333333333</v>
      </c>
      <c r="K137" s="135">
        <v>1.5</v>
      </c>
      <c r="L137" s="75">
        <v>1</v>
      </c>
      <c r="M137" s="75" t="s">
        <v>635</v>
      </c>
      <c r="N137" s="75" t="s">
        <v>146</v>
      </c>
      <c r="O137" s="75"/>
      <c r="P137" s="74"/>
      <c r="Q137" s="972">
        <v>46103</v>
      </c>
      <c r="R137" s="973" t="str">
        <f>TEXT(Tabla9[[#This Row],[Fecha]],"dddd")</f>
        <v>domingo</v>
      </c>
      <c r="S137" s="427" t="s">
        <v>494</v>
      </c>
      <c r="T137" s="427">
        <v>44</v>
      </c>
      <c r="U137" s="974">
        <v>446.41</v>
      </c>
      <c r="V137" s="427"/>
      <c r="W137" s="76"/>
      <c r="X137" s="74"/>
      <c r="Y137" s="684" t="s">
        <v>146</v>
      </c>
      <c r="Z137" s="74">
        <v>230.5</v>
      </c>
    </row>
    <row r="138" spans="1:26">
      <c r="A138" s="684">
        <v>46106</v>
      </c>
      <c r="B138" s="74" t="s">
        <v>146</v>
      </c>
      <c r="C138" s="711">
        <f t="array" ref="C138">SUMPRODUCT(($I$3:$I$5022=$A138)*($N$3:$N$5022=B138)*$K$3:$K$5022)</f>
        <v>70.200000000000017</v>
      </c>
      <c r="D138" s="711">
        <f t="array" ref="D138">SUMPRODUCT(($Q$3:$Q$4998=$A138)*($S$3:$S$4998=B138)*$U$3:$U$4998)</f>
        <v>99.18</v>
      </c>
      <c r="E138" s="711">
        <f t="shared" si="2"/>
        <v>169.38000000000002</v>
      </c>
      <c r="F138" s="74"/>
      <c r="G138" s="74"/>
      <c r="H138" s="74"/>
      <c r="I138" s="133">
        <v>46032</v>
      </c>
      <c r="J138" s="134">
        <v>0.36666666666666659</v>
      </c>
      <c r="K138" s="135">
        <v>7.9</v>
      </c>
      <c r="L138" s="75">
        <v>2</v>
      </c>
      <c r="M138" s="75" t="s">
        <v>635</v>
      </c>
      <c r="N138" s="75" t="s">
        <v>146</v>
      </c>
      <c r="O138" s="75"/>
      <c r="P138" s="74"/>
      <c r="Q138" s="972">
        <v>46106</v>
      </c>
      <c r="R138" s="973" t="str">
        <f>TEXT(Tabla9[[#This Row],[Fecha]],"dddd")</f>
        <v>miércoles</v>
      </c>
      <c r="S138" s="427" t="s">
        <v>146</v>
      </c>
      <c r="T138" s="427">
        <v>26</v>
      </c>
      <c r="U138" s="974">
        <v>99.18</v>
      </c>
      <c r="V138" s="427"/>
      <c r="W138" s="76"/>
      <c r="X138" s="74"/>
      <c r="Y138" s="684" t="s">
        <v>494</v>
      </c>
      <c r="Z138" s="74">
        <v>346.5</v>
      </c>
    </row>
    <row r="139" spans="1:26">
      <c r="A139" s="684">
        <v>46106</v>
      </c>
      <c r="B139" s="74" t="s">
        <v>494</v>
      </c>
      <c r="C139" s="711">
        <f t="array" ref="C139">SUMPRODUCT(($I$3:$I$5022=$A139)*($N$3:$N$5022=B139)*$K$3:$K$5022)</f>
        <v>121.29999999999998</v>
      </c>
      <c r="D139" s="711">
        <f t="array" ref="D139">SUMPRODUCT(($Q$3:$Q$4998=$A139)*($S$3:$S$4998=B139)*$U$3:$U$4998)</f>
        <v>141.09</v>
      </c>
      <c r="E139" s="711">
        <f t="shared" si="2"/>
        <v>262.39</v>
      </c>
      <c r="F139" s="74"/>
      <c r="G139" s="74"/>
      <c r="H139" s="74"/>
      <c r="I139" s="133">
        <v>46032</v>
      </c>
      <c r="J139" s="134">
        <v>0.37013888888888891</v>
      </c>
      <c r="K139" s="135">
        <v>5.5</v>
      </c>
      <c r="L139" s="75">
        <v>2</v>
      </c>
      <c r="M139" s="75" t="s">
        <v>635</v>
      </c>
      <c r="N139" s="75" t="s">
        <v>146</v>
      </c>
      <c r="O139" s="75"/>
      <c r="P139" s="74"/>
      <c r="Q139" s="972">
        <v>46106</v>
      </c>
      <c r="R139" s="973" t="str">
        <f>TEXT(Tabla9[[#This Row],[Fecha]],"dddd")</f>
        <v>miércoles</v>
      </c>
      <c r="S139" s="427" t="s">
        <v>494</v>
      </c>
      <c r="T139" s="427">
        <v>14</v>
      </c>
      <c r="U139" s="974">
        <v>141.09</v>
      </c>
      <c r="V139" s="427"/>
      <c r="W139" s="76"/>
      <c r="X139" s="74"/>
      <c r="Y139" s="684" t="s">
        <v>497</v>
      </c>
      <c r="Z139" s="74">
        <v>259.64999999999998</v>
      </c>
    </row>
    <row r="140" spans="1:26">
      <c r="A140" s="684">
        <v>46106</v>
      </c>
      <c r="B140" s="74" t="s">
        <v>497</v>
      </c>
      <c r="C140" s="711">
        <f t="array" ref="C140">SUMPRODUCT(($I$3:$I$5022=$A140)*($N$3:$N$5022=B140)*$K$3:$K$5022)</f>
        <v>0</v>
      </c>
      <c r="D140" s="711">
        <f t="array" ref="D140">SUMPRODUCT(($Q$3:$Q$4998=$A140)*($S$3:$S$4998=B140)*$U$3:$U$4998)</f>
        <v>339.68</v>
      </c>
      <c r="E140" s="711">
        <f t="shared" si="2"/>
        <v>339.68</v>
      </c>
      <c r="F140" s="74"/>
      <c r="G140" s="74"/>
      <c r="H140" s="74"/>
      <c r="I140" s="133">
        <v>46032</v>
      </c>
      <c r="J140" s="134">
        <v>0.38611111111111113</v>
      </c>
      <c r="K140" s="135">
        <v>3.2</v>
      </c>
      <c r="L140" s="75">
        <v>2</v>
      </c>
      <c r="M140" s="75" t="s">
        <v>635</v>
      </c>
      <c r="N140" s="75" t="s">
        <v>146</v>
      </c>
      <c r="O140" s="75"/>
      <c r="P140" s="74"/>
      <c r="Q140" s="972">
        <v>46106</v>
      </c>
      <c r="R140" s="973" t="str">
        <f>TEXT(Tabla9[[#This Row],[Fecha]],"dddd")</f>
        <v>miércoles</v>
      </c>
      <c r="S140" s="427" t="s">
        <v>497</v>
      </c>
      <c r="T140" s="427">
        <v>23</v>
      </c>
      <c r="U140" s="974">
        <v>339.68</v>
      </c>
      <c r="V140" s="427"/>
      <c r="W140" s="76"/>
      <c r="X140" s="74"/>
      <c r="Y140" s="684">
        <v>45715</v>
      </c>
      <c r="Z140" s="74">
        <v>842.85</v>
      </c>
    </row>
    <row r="141" spans="1:26">
      <c r="A141" s="684">
        <v>46107</v>
      </c>
      <c r="B141" s="74" t="s">
        <v>146</v>
      </c>
      <c r="C141" s="711">
        <f t="array" ref="C141">SUMPRODUCT(($I$3:$I$5022=$A141)*($N$3:$N$5022=B141)*$K$3:$K$5022)</f>
        <v>65.599999999999994</v>
      </c>
      <c r="D141" s="711">
        <f t="array" ref="D141">SUMPRODUCT(($Q$3:$Q$4998=$A141)*($S$3:$S$4998=B141)*$U$3:$U$4998)</f>
        <v>33.770000000000003</v>
      </c>
      <c r="E141" s="711">
        <f t="shared" si="2"/>
        <v>99.37</v>
      </c>
      <c r="F141" s="74"/>
      <c r="G141" s="74"/>
      <c r="H141" s="74"/>
      <c r="I141" s="133">
        <v>46032</v>
      </c>
      <c r="J141" s="134">
        <v>0.40416666666666667</v>
      </c>
      <c r="K141" s="135">
        <v>3.45</v>
      </c>
      <c r="L141" s="75">
        <v>2</v>
      </c>
      <c r="M141" s="75" t="s">
        <v>635</v>
      </c>
      <c r="N141" s="75" t="s">
        <v>146</v>
      </c>
      <c r="O141" s="75"/>
      <c r="P141" s="74"/>
      <c r="Q141" s="972">
        <v>46107</v>
      </c>
      <c r="R141" s="973" t="str">
        <f>TEXT(Tabla9[[#This Row],[Fecha]],"dddd")</f>
        <v>jueves</v>
      </c>
      <c r="S141" s="427" t="s">
        <v>146</v>
      </c>
      <c r="T141" s="427">
        <v>10</v>
      </c>
      <c r="U141" s="974">
        <v>33.770000000000003</v>
      </c>
      <c r="V141" s="427"/>
      <c r="W141" s="76"/>
      <c r="X141" s="74"/>
      <c r="Y141" s="684" t="s">
        <v>146</v>
      </c>
      <c r="Z141" s="74">
        <v>193.25</v>
      </c>
    </row>
    <row r="142" spans="1:26">
      <c r="A142" s="684">
        <v>46107</v>
      </c>
      <c r="B142" s="74" t="s">
        <v>494</v>
      </c>
      <c r="C142" s="711">
        <f t="array" ref="C142">SUMPRODUCT(($I$3:$I$5022=$A142)*($N$3:$N$5022=B142)*$K$3:$K$5022)</f>
        <v>97.75</v>
      </c>
      <c r="D142" s="711">
        <f t="array" ref="D142">SUMPRODUCT(($Q$3:$Q$4998=$A142)*($S$3:$S$4998=B142)*$U$3:$U$4998)</f>
        <v>172.14</v>
      </c>
      <c r="E142" s="711">
        <f t="shared" si="2"/>
        <v>269.89</v>
      </c>
      <c r="F142" s="74"/>
      <c r="G142" s="74"/>
      <c r="H142" s="74"/>
      <c r="I142" s="133">
        <v>46032</v>
      </c>
      <c r="J142" s="134">
        <v>0.40486111111111112</v>
      </c>
      <c r="K142" s="135">
        <v>6.55</v>
      </c>
      <c r="L142" s="75">
        <v>1</v>
      </c>
      <c r="M142" s="75" t="s">
        <v>635</v>
      </c>
      <c r="N142" s="75" t="s">
        <v>146</v>
      </c>
      <c r="O142" s="75"/>
      <c r="P142" s="74"/>
      <c r="Q142" s="972">
        <v>46107</v>
      </c>
      <c r="R142" s="973" t="str">
        <f>TEXT(Tabla9[[#This Row],[Fecha]],"dddd")</f>
        <v>jueves</v>
      </c>
      <c r="S142" s="427" t="s">
        <v>494</v>
      </c>
      <c r="T142" s="427">
        <v>9</v>
      </c>
      <c r="U142" s="974">
        <v>172.14</v>
      </c>
      <c r="V142" s="427"/>
      <c r="W142" s="76"/>
      <c r="X142" s="74"/>
      <c r="Y142" s="684" t="s">
        <v>494</v>
      </c>
      <c r="Z142" s="74">
        <v>180</v>
      </c>
    </row>
    <row r="143" spans="1:26">
      <c r="A143" s="684">
        <v>46107</v>
      </c>
      <c r="B143" s="74" t="s">
        <v>497</v>
      </c>
      <c r="C143" s="711">
        <f t="array" ref="C143">SUMPRODUCT(($I$3:$I$5022=$A143)*($N$3:$N$5022=B143)*$K$3:$K$5022)</f>
        <v>165.1</v>
      </c>
      <c r="D143" s="711">
        <f t="array" ref="D143">SUMPRODUCT(($Q$3:$Q$4998=$A143)*($S$3:$S$4998=B143)*$U$3:$U$4998)</f>
        <v>254.14</v>
      </c>
      <c r="E143" s="711">
        <f t="shared" si="2"/>
        <v>419.24</v>
      </c>
      <c r="F143" s="74"/>
      <c r="G143" s="74"/>
      <c r="H143" s="74"/>
      <c r="I143" s="133">
        <v>46032</v>
      </c>
      <c r="J143" s="134">
        <v>0.40555555555555561</v>
      </c>
      <c r="K143" s="135">
        <v>6.5</v>
      </c>
      <c r="L143" s="75">
        <v>1</v>
      </c>
      <c r="M143" s="75" t="s">
        <v>635</v>
      </c>
      <c r="N143" s="75" t="s">
        <v>146</v>
      </c>
      <c r="O143" s="75"/>
      <c r="P143" s="74"/>
      <c r="Q143" s="972">
        <v>46107</v>
      </c>
      <c r="R143" s="973" t="str">
        <f>TEXT(Tabla9[[#This Row],[Fecha]],"dddd")</f>
        <v>jueves</v>
      </c>
      <c r="S143" s="427" t="s">
        <v>497</v>
      </c>
      <c r="T143" s="427">
        <v>18</v>
      </c>
      <c r="U143" s="974">
        <v>254.14</v>
      </c>
      <c r="V143" s="427"/>
      <c r="W143" s="76"/>
      <c r="X143" s="74"/>
      <c r="Y143" s="684" t="s">
        <v>497</v>
      </c>
      <c r="Z143" s="74">
        <v>469.6</v>
      </c>
    </row>
    <row r="144" spans="1:26">
      <c r="A144" s="684">
        <v>46108</v>
      </c>
      <c r="B144" s="74" t="s">
        <v>146</v>
      </c>
      <c r="C144" s="711">
        <f t="array" ref="C144">SUMPRODUCT(($I$3:$I$5022=$A144)*($N$3:$N$5022=B144)*$K$3:$K$5022)</f>
        <v>95.95</v>
      </c>
      <c r="D144" s="711">
        <f t="array" ref="D144">SUMPRODUCT(($Q$3:$Q$4998=$A144)*($S$3:$S$4998=B144)*$U$3:$U$4998)</f>
        <v>13.96</v>
      </c>
      <c r="E144" s="711">
        <f t="shared" si="2"/>
        <v>109.91</v>
      </c>
      <c r="F144" s="74"/>
      <c r="G144" s="74"/>
      <c r="H144" s="74"/>
      <c r="I144" s="133">
        <v>46032</v>
      </c>
      <c r="J144" s="134">
        <v>0.40625</v>
      </c>
      <c r="K144" s="135">
        <v>1.5</v>
      </c>
      <c r="L144" s="75">
        <v>1</v>
      </c>
      <c r="M144" s="75" t="s">
        <v>635</v>
      </c>
      <c r="N144" s="75" t="s">
        <v>146</v>
      </c>
      <c r="O144" s="75"/>
      <c r="P144" s="74"/>
      <c r="Q144" s="972">
        <v>46108</v>
      </c>
      <c r="R144" s="973" t="str">
        <f>TEXT(Tabla9[[#This Row],[Fecha]],"dddd")</f>
        <v>viernes</v>
      </c>
      <c r="S144" s="427" t="s">
        <v>146</v>
      </c>
      <c r="T144" s="427">
        <v>7</v>
      </c>
      <c r="U144" s="974">
        <v>13.96</v>
      </c>
      <c r="V144" s="427"/>
      <c r="W144" s="76"/>
      <c r="X144" s="74"/>
      <c r="Y144" s="684">
        <v>45716</v>
      </c>
      <c r="Z144" s="74">
        <v>1627.65</v>
      </c>
    </row>
    <row r="145" spans="1:26">
      <c r="A145" s="684">
        <v>46108</v>
      </c>
      <c r="B145" s="74" t="s">
        <v>494</v>
      </c>
      <c r="C145" s="711">
        <f t="array" ref="C145">SUMPRODUCT(($I$3:$I$5022=$A145)*($N$3:$N$5022=B145)*$K$3:$K$5022)</f>
        <v>123.39999999999999</v>
      </c>
      <c r="D145" s="711">
        <f t="array" ref="D145">SUMPRODUCT(($Q$3:$Q$4998=$A145)*($S$3:$S$4998=B145)*$U$3:$U$4998)</f>
        <v>578.82000000000005</v>
      </c>
      <c r="E145" s="711">
        <f t="shared" si="2"/>
        <v>702.22</v>
      </c>
      <c r="F145" s="74"/>
      <c r="G145" s="74"/>
      <c r="H145" s="74"/>
      <c r="I145" s="133">
        <v>46032</v>
      </c>
      <c r="J145" s="134">
        <v>0.41736111111111113</v>
      </c>
      <c r="K145" s="135">
        <v>2.4500000000000002</v>
      </c>
      <c r="L145" s="75">
        <v>1</v>
      </c>
      <c r="M145" s="75" t="s">
        <v>635</v>
      </c>
      <c r="N145" s="75" t="s">
        <v>146</v>
      </c>
      <c r="O145" s="75"/>
      <c r="P145" s="74"/>
      <c r="Q145" s="972">
        <v>46108</v>
      </c>
      <c r="R145" s="973" t="str">
        <f>TEXT(Tabla9[[#This Row],[Fecha]],"dddd")</f>
        <v>viernes</v>
      </c>
      <c r="S145" s="427" t="s">
        <v>494</v>
      </c>
      <c r="T145" s="427">
        <v>31</v>
      </c>
      <c r="U145" s="974">
        <v>578.82000000000005</v>
      </c>
      <c r="V145" s="427"/>
      <c r="W145" s="76"/>
      <c r="X145" s="74"/>
      <c r="Y145" s="684" t="s">
        <v>146</v>
      </c>
      <c r="Z145" s="74">
        <v>157.4</v>
      </c>
    </row>
    <row r="146" spans="1:26">
      <c r="A146" s="684">
        <v>46108</v>
      </c>
      <c r="B146" s="74" t="s">
        <v>497</v>
      </c>
      <c r="C146" s="711">
        <f t="array" ref="C146">SUMPRODUCT(($I$3:$I$5022=$A146)*($N$3:$N$5022=B146)*$K$3:$K$5022)</f>
        <v>0</v>
      </c>
      <c r="D146" s="711">
        <f t="array" ref="D146">SUMPRODUCT(($Q$3:$Q$4998=$A146)*($S$3:$S$4998=B146)*$U$3:$U$4998)</f>
        <v>1151</v>
      </c>
      <c r="E146" s="711">
        <f t="shared" si="2"/>
        <v>1151</v>
      </c>
      <c r="F146" s="74"/>
      <c r="G146" s="74"/>
      <c r="H146" s="74"/>
      <c r="I146" s="133">
        <v>46032</v>
      </c>
      <c r="J146" s="134">
        <v>0.42569444444444438</v>
      </c>
      <c r="K146" s="135">
        <v>4.8499999999999996</v>
      </c>
      <c r="L146" s="75">
        <v>1</v>
      </c>
      <c r="M146" s="75" t="s">
        <v>635</v>
      </c>
      <c r="N146" s="75" t="s">
        <v>146</v>
      </c>
      <c r="O146" s="75"/>
      <c r="P146" s="74"/>
      <c r="Q146" s="972">
        <v>46108</v>
      </c>
      <c r="R146" s="973" t="str">
        <f>TEXT(Tabla9[[#This Row],[Fecha]],"dddd")</f>
        <v>viernes</v>
      </c>
      <c r="S146" s="427" t="s">
        <v>497</v>
      </c>
      <c r="T146" s="427">
        <v>59</v>
      </c>
      <c r="U146" s="974">
        <v>1151</v>
      </c>
      <c r="V146" s="427"/>
      <c r="W146" s="76"/>
      <c r="X146" s="74"/>
      <c r="Y146" s="684" t="s">
        <v>494</v>
      </c>
      <c r="Z146" s="74">
        <v>411.55</v>
      </c>
    </row>
    <row r="147" spans="1:26">
      <c r="A147" s="684">
        <v>46109</v>
      </c>
      <c r="B147" s="74" t="s">
        <v>146</v>
      </c>
      <c r="C147" s="711">
        <f t="array" ref="C147">SUMPRODUCT(($I$3:$I$5022=$A147)*($N$3:$N$5022=B147)*$K$3:$K$5022)</f>
        <v>76.650000000000006</v>
      </c>
      <c r="D147" s="711">
        <f t="array" ref="D147">SUMPRODUCT(($Q$3:$Q$4998=$A147)*($S$3:$S$4998=B147)*$U$3:$U$4998)</f>
        <v>72.819999999999993</v>
      </c>
      <c r="E147" s="711">
        <f t="shared" si="2"/>
        <v>149.47</v>
      </c>
      <c r="F147" s="74"/>
      <c r="G147" s="74"/>
      <c r="H147" s="74"/>
      <c r="I147" s="133">
        <v>46032</v>
      </c>
      <c r="J147" s="134">
        <v>0.42638888888888887</v>
      </c>
      <c r="K147" s="135">
        <v>1.7</v>
      </c>
      <c r="L147" s="75">
        <v>1</v>
      </c>
      <c r="M147" s="75" t="s">
        <v>635</v>
      </c>
      <c r="N147" s="75" t="s">
        <v>146</v>
      </c>
      <c r="O147" s="75"/>
      <c r="P147" s="74"/>
      <c r="Q147" s="972">
        <v>46109</v>
      </c>
      <c r="R147" s="973" t="str">
        <f>TEXT(Tabla9[[#This Row],[Fecha]],"dddd")</f>
        <v>sábado</v>
      </c>
      <c r="S147" s="427" t="s">
        <v>146</v>
      </c>
      <c r="T147" s="427">
        <v>17</v>
      </c>
      <c r="U147" s="974">
        <v>72.819999999999993</v>
      </c>
      <c r="V147" s="427"/>
      <c r="W147" s="76"/>
      <c r="X147" s="74"/>
      <c r="Y147" s="684" t="s">
        <v>497</v>
      </c>
      <c r="Z147" s="74">
        <v>1058.7</v>
      </c>
    </row>
    <row r="148" spans="1:26">
      <c r="A148" s="684">
        <v>46109</v>
      </c>
      <c r="B148" s="74" t="s">
        <v>494</v>
      </c>
      <c r="C148" s="711">
        <f t="array" ref="C148">SUMPRODUCT(($I$3:$I$5022=$A148)*($N$3:$N$5022=B148)*$K$3:$K$5022)</f>
        <v>120.19</v>
      </c>
      <c r="D148" s="711">
        <f t="array" ref="D148">SUMPRODUCT(($Q$3:$Q$4998=$A148)*($S$3:$S$4998=B148)*$U$3:$U$4998)</f>
        <v>598.09</v>
      </c>
      <c r="E148" s="711">
        <f t="shared" si="2"/>
        <v>718.28</v>
      </c>
      <c r="F148" s="74"/>
      <c r="G148" s="74"/>
      <c r="H148" s="74"/>
      <c r="I148" s="133">
        <v>46032</v>
      </c>
      <c r="J148" s="134">
        <v>0.4284722222222222</v>
      </c>
      <c r="K148" s="135">
        <v>3.1</v>
      </c>
      <c r="L148" s="75">
        <v>2</v>
      </c>
      <c r="M148" s="75" t="s">
        <v>635</v>
      </c>
      <c r="N148" s="75" t="s">
        <v>146</v>
      </c>
      <c r="O148" s="75"/>
      <c r="P148" s="74"/>
      <c r="Q148" s="972">
        <v>46109</v>
      </c>
      <c r="R148" s="973" t="str">
        <f>TEXT(Tabla9[[#This Row],[Fecha]],"dddd")</f>
        <v>sábado</v>
      </c>
      <c r="S148" s="427" t="s">
        <v>494</v>
      </c>
      <c r="T148" s="427">
        <v>36</v>
      </c>
      <c r="U148" s="974">
        <v>598.09</v>
      </c>
      <c r="V148" s="427"/>
      <c r="W148" s="76"/>
      <c r="X148" s="74"/>
      <c r="Y148" s="684">
        <v>45717</v>
      </c>
      <c r="Z148" s="74">
        <v>3058.5</v>
      </c>
    </row>
    <row r="149" spans="1:26">
      <c r="A149" s="684">
        <v>46109</v>
      </c>
      <c r="B149" s="74" t="s">
        <v>497</v>
      </c>
      <c r="C149" s="711">
        <f t="array" ref="C149">SUMPRODUCT(($I$3:$I$5022=$A149)*($N$3:$N$5022=B149)*$K$3:$K$5022)</f>
        <v>233.64999999999998</v>
      </c>
      <c r="D149" s="711">
        <f t="array" ref="D149">SUMPRODUCT(($Q$3:$Q$4998=$A149)*($S$3:$S$4998=B149)*$U$3:$U$4998)</f>
        <v>711.23</v>
      </c>
      <c r="E149" s="711">
        <f t="shared" si="2"/>
        <v>944.88</v>
      </c>
      <c r="F149" s="74"/>
      <c r="G149" s="74"/>
      <c r="H149" s="74"/>
      <c r="I149" s="133">
        <v>46032</v>
      </c>
      <c r="J149" s="134">
        <v>0.43333333333333329</v>
      </c>
      <c r="K149" s="135">
        <v>17.3</v>
      </c>
      <c r="L149" s="75">
        <v>2</v>
      </c>
      <c r="M149" s="75" t="s">
        <v>635</v>
      </c>
      <c r="N149" s="75" t="s">
        <v>146</v>
      </c>
      <c r="O149" s="75"/>
      <c r="P149" s="74"/>
      <c r="Q149" s="972">
        <v>46109</v>
      </c>
      <c r="R149" s="973" t="str">
        <f>TEXT(Tabla9[[#This Row],[Fecha]],"dddd")</f>
        <v>sábado</v>
      </c>
      <c r="S149" s="427" t="s">
        <v>497</v>
      </c>
      <c r="T149" s="427">
        <v>47</v>
      </c>
      <c r="U149" s="974">
        <v>711.23</v>
      </c>
      <c r="V149" s="427"/>
      <c r="W149" s="76"/>
      <c r="X149" s="74"/>
      <c r="Y149" s="684" t="s">
        <v>146</v>
      </c>
      <c r="Z149" s="74">
        <v>282.14999999999998</v>
      </c>
    </row>
    <row r="150" spans="1:26">
      <c r="A150" s="684">
        <v>46110</v>
      </c>
      <c r="B150" s="74" t="s">
        <v>146</v>
      </c>
      <c r="C150" s="711">
        <f t="array" ref="C150">SUMPRODUCT(($I$3:$I$5022=$A150)*($N$3:$N$5022=B150)*$K$3:$K$5022)</f>
        <v>76.600000000000009</v>
      </c>
      <c r="D150" s="711">
        <f t="array" ref="D150">SUMPRODUCT(($Q$3:$Q$4998=$A150)*($S$3:$S$4998=B150)*$U$3:$U$4998)</f>
        <v>99.09</v>
      </c>
      <c r="E150" s="711">
        <f t="shared" si="2"/>
        <v>175.69</v>
      </c>
      <c r="F150" s="74"/>
      <c r="G150" s="74"/>
      <c r="H150" s="74"/>
      <c r="I150" s="133">
        <v>46032</v>
      </c>
      <c r="J150" s="134">
        <v>0.44583333333333341</v>
      </c>
      <c r="K150" s="135">
        <v>3.2</v>
      </c>
      <c r="L150" s="75">
        <v>1</v>
      </c>
      <c r="M150" s="75" t="s">
        <v>635</v>
      </c>
      <c r="N150" s="75" t="s">
        <v>146</v>
      </c>
      <c r="O150" s="75"/>
      <c r="P150" s="74"/>
      <c r="Q150" s="972">
        <v>46110</v>
      </c>
      <c r="R150" s="973" t="str">
        <f>TEXT(Tabla9[[#This Row],[Fecha]],"dddd")</f>
        <v>domingo</v>
      </c>
      <c r="S150" s="427" t="s">
        <v>146</v>
      </c>
      <c r="T150" s="427">
        <v>26</v>
      </c>
      <c r="U150" s="974">
        <v>99.09</v>
      </c>
      <c r="V150" s="427"/>
      <c r="W150" s="76"/>
      <c r="X150" s="74"/>
      <c r="Y150" s="684" t="s">
        <v>494</v>
      </c>
      <c r="Z150" s="74">
        <v>1480.2</v>
      </c>
    </row>
    <row r="151" spans="1:26">
      <c r="A151" s="684">
        <v>46110</v>
      </c>
      <c r="B151" s="74" t="s">
        <v>494</v>
      </c>
      <c r="C151" s="711">
        <f t="array" ref="C151">SUMPRODUCT(($I$3:$I$5022=$A151)*($N$3:$N$5022=B151)*$K$3:$K$5022)</f>
        <v>76.800000000000011</v>
      </c>
      <c r="D151" s="711">
        <f t="array" ref="D151">SUMPRODUCT(($Q$3:$Q$4998=$A151)*($S$3:$S$4998=B151)*$U$3:$U$4998)</f>
        <v>1265.1400000000001</v>
      </c>
      <c r="E151" s="711">
        <f t="shared" si="2"/>
        <v>1341.94</v>
      </c>
      <c r="F151" s="74"/>
      <c r="G151" s="74"/>
      <c r="H151" s="74"/>
      <c r="I151" s="133">
        <v>46032</v>
      </c>
      <c r="J151" s="134">
        <v>0.4465277777777778</v>
      </c>
      <c r="K151" s="135">
        <v>3.45</v>
      </c>
      <c r="L151" s="75">
        <v>1</v>
      </c>
      <c r="M151" s="75" t="s">
        <v>635</v>
      </c>
      <c r="N151" s="75" t="s">
        <v>146</v>
      </c>
      <c r="O151" s="75"/>
      <c r="P151" s="74"/>
      <c r="Q151" s="972">
        <v>46110</v>
      </c>
      <c r="R151" s="973" t="str">
        <f>TEXT(Tabla9[[#This Row],[Fecha]],"dddd")</f>
        <v>domingo</v>
      </c>
      <c r="S151" s="427" t="s">
        <v>494</v>
      </c>
      <c r="T151" s="427">
        <v>104</v>
      </c>
      <c r="U151" s="974">
        <v>1265.1400000000001</v>
      </c>
      <c r="V151" s="427"/>
      <c r="W151" s="76"/>
      <c r="X151" s="74"/>
      <c r="Y151" s="684" t="s">
        <v>497</v>
      </c>
      <c r="Z151" s="74">
        <v>1296.1500000000001</v>
      </c>
    </row>
    <row r="152" spans="1:26">
      <c r="A152" s="684">
        <v>46110</v>
      </c>
      <c r="B152" s="74" t="s">
        <v>497</v>
      </c>
      <c r="C152" s="711">
        <f t="array" ref="C152">SUMPRODUCT(($I$3:$I$5022=$A152)*($N$3:$N$5022=B152)*$K$3:$K$5022)</f>
        <v>0</v>
      </c>
      <c r="D152" s="711">
        <f t="array" ref="D152">SUMPRODUCT(($Q$3:$Q$4998=$A152)*($S$3:$S$4998=B152)*$U$3:$U$4998)</f>
        <v>0</v>
      </c>
      <c r="E152" s="711">
        <f t="shared" si="2"/>
        <v>0</v>
      </c>
      <c r="F152" s="74"/>
      <c r="G152" s="74"/>
      <c r="H152" s="74"/>
      <c r="I152" s="133">
        <v>46032</v>
      </c>
      <c r="J152" s="134">
        <v>0.45069444444444451</v>
      </c>
      <c r="K152" s="135">
        <v>1.5</v>
      </c>
      <c r="L152" s="75">
        <v>1</v>
      </c>
      <c r="M152" s="75" t="s">
        <v>635</v>
      </c>
      <c r="N152" s="75" t="s">
        <v>146</v>
      </c>
      <c r="O152" s="75"/>
      <c r="P152" s="74"/>
      <c r="Q152" s="972">
        <v>46113</v>
      </c>
      <c r="R152" s="973" t="str">
        <f>TEXT(Tabla9[[#This Row],[Fecha]],"dddd")</f>
        <v>miércoles</v>
      </c>
      <c r="S152" s="427" t="s">
        <v>494</v>
      </c>
      <c r="T152" s="427">
        <v>32</v>
      </c>
      <c r="U152" s="974">
        <v>595.73</v>
      </c>
      <c r="V152" s="427"/>
      <c r="W152" s="76"/>
      <c r="X152" s="74"/>
      <c r="Y152" s="684">
        <v>45718</v>
      </c>
      <c r="Z152" s="74">
        <v>1137.05</v>
      </c>
    </row>
    <row r="153" spans="1:26">
      <c r="A153" s="684">
        <v>46113</v>
      </c>
      <c r="B153" s="74" t="s">
        <v>146</v>
      </c>
      <c r="C153" s="711">
        <f t="array" ref="C153">SUMPRODUCT(($I$3:$I$5022=$A153)*($N$3:$N$5022=B153)*$K$3:$K$5022)</f>
        <v>81.099999999999994</v>
      </c>
      <c r="D153" s="711">
        <f t="array" ref="D153">SUMPRODUCT(($Q$3:$Q$4998=$A153)*($S$3:$S$4998=B153)*$U$3:$U$4998)</f>
        <v>95.45</v>
      </c>
      <c r="E153" s="711">
        <f t="shared" si="2"/>
        <v>176.55</v>
      </c>
      <c r="F153" s="74"/>
      <c r="G153" s="74"/>
      <c r="H153" s="74"/>
      <c r="I153" s="133">
        <v>46032</v>
      </c>
      <c r="J153" s="134">
        <v>0.45624999999999999</v>
      </c>
      <c r="K153" s="135">
        <v>1.4</v>
      </c>
      <c r="L153" s="75">
        <v>1</v>
      </c>
      <c r="M153" s="75" t="s">
        <v>635</v>
      </c>
      <c r="N153" s="75" t="s">
        <v>146</v>
      </c>
      <c r="O153" s="75"/>
      <c r="P153" s="74"/>
      <c r="Q153" s="972">
        <v>46113</v>
      </c>
      <c r="R153" s="973" t="str">
        <f>TEXT(Tabla9[[#This Row],[Fecha]],"dddd")</f>
        <v>miércoles</v>
      </c>
      <c r="S153" s="427" t="s">
        <v>146</v>
      </c>
      <c r="T153" s="427">
        <v>16</v>
      </c>
      <c r="U153" s="974">
        <v>95.45</v>
      </c>
      <c r="V153" s="427"/>
      <c r="W153" s="76"/>
      <c r="X153" s="74"/>
      <c r="Y153" s="684" t="s">
        <v>146</v>
      </c>
      <c r="Z153" s="74">
        <v>183.3</v>
      </c>
    </row>
    <row r="154" spans="1:26">
      <c r="A154" s="684">
        <v>46113</v>
      </c>
      <c r="B154" s="74" t="s">
        <v>494</v>
      </c>
      <c r="C154" s="711">
        <f t="array" ref="C154">SUMPRODUCT(($I$3:$I$5022=$A154)*($N$3:$N$5022=B154)*$K$3:$K$5022)</f>
        <v>195.75000000000003</v>
      </c>
      <c r="D154" s="711">
        <f t="array" ref="D154">SUMPRODUCT(($Q$3:$Q$4998=$A154)*($S$3:$S$4998=B154)*$U$3:$U$4998)</f>
        <v>595.73</v>
      </c>
      <c r="E154" s="711">
        <f t="shared" si="2"/>
        <v>791.48</v>
      </c>
      <c r="F154" s="74"/>
      <c r="G154" s="74"/>
      <c r="H154" s="74"/>
      <c r="I154" s="133">
        <v>46032</v>
      </c>
      <c r="J154" s="134">
        <v>0.45833333333333331</v>
      </c>
      <c r="K154" s="135">
        <v>1.5</v>
      </c>
      <c r="L154" s="75">
        <v>1</v>
      </c>
      <c r="M154" s="75" t="s">
        <v>635</v>
      </c>
      <c r="N154" s="75" t="s">
        <v>146</v>
      </c>
      <c r="O154" s="75"/>
      <c r="P154" s="74"/>
      <c r="Q154" s="975">
        <v>46113</v>
      </c>
      <c r="R154" s="973" t="str">
        <f>TEXT(Tabla9[[#This Row],[Fecha]],"dddd")</f>
        <v>miércoles</v>
      </c>
      <c r="S154" s="427" t="s">
        <v>497</v>
      </c>
      <c r="T154" s="976">
        <v>27</v>
      </c>
      <c r="U154" s="977">
        <v>387.32</v>
      </c>
      <c r="V154" s="976"/>
      <c r="W154" s="76"/>
      <c r="X154" s="74"/>
      <c r="Y154" s="684" t="s">
        <v>494</v>
      </c>
      <c r="Z154" s="74">
        <v>953.75</v>
      </c>
    </row>
    <row r="155" spans="1:26">
      <c r="A155" s="684">
        <v>46113</v>
      </c>
      <c r="B155" s="74" t="s">
        <v>497</v>
      </c>
      <c r="C155" s="711">
        <f t="array" ref="C155">SUMPRODUCT(($I$3:$I$5022=$A155)*($N$3:$N$5022=B155)*$K$3:$K$5022)</f>
        <v>120.69999999999999</v>
      </c>
      <c r="D155" s="711">
        <f t="array" ref="D155">SUMPRODUCT(($Q$3:$Q$4998=$A155)*($S$3:$S$4998=B155)*$U$3:$U$4998)</f>
        <v>387.32</v>
      </c>
      <c r="E155" s="711">
        <f t="shared" si="2"/>
        <v>508.02</v>
      </c>
      <c r="F155" s="74"/>
      <c r="G155" s="74"/>
      <c r="H155" s="74"/>
      <c r="I155" s="133">
        <v>46032</v>
      </c>
      <c r="J155" s="134">
        <v>0.46805555555555561</v>
      </c>
      <c r="K155" s="135">
        <v>7.2</v>
      </c>
      <c r="L155" s="75">
        <v>2</v>
      </c>
      <c r="M155" s="75" t="s">
        <v>635</v>
      </c>
      <c r="N155" s="75" t="s">
        <v>146</v>
      </c>
      <c r="O155" s="75"/>
      <c r="P155" s="74"/>
      <c r="Q155" s="978">
        <v>46114</v>
      </c>
      <c r="R155" s="979" t="str">
        <f>TEXT(Tabla9[[#This Row],[Fecha]],"dddd")</f>
        <v>jueves</v>
      </c>
      <c r="S155" s="980" t="s">
        <v>494</v>
      </c>
      <c r="T155" s="980">
        <v>31</v>
      </c>
      <c r="U155" s="981">
        <v>638.32000000000005</v>
      </c>
      <c r="V155" s="980"/>
      <c r="W155" s="143"/>
      <c r="X155" s="74"/>
      <c r="Y155" s="684">
        <v>45730</v>
      </c>
      <c r="Z155" s="74">
        <v>864.65</v>
      </c>
    </row>
    <row r="156" spans="1:26">
      <c r="A156" s="684">
        <v>46114</v>
      </c>
      <c r="B156" s="74" t="s">
        <v>146</v>
      </c>
      <c r="C156" s="711">
        <f t="array" ref="C156">SUMPRODUCT(($I$3:$I$5022=$A156)*($N$3:$N$5022=B156)*$K$3:$K$5022)</f>
        <v>90.85</v>
      </c>
      <c r="D156" s="711">
        <f t="array" ref="D156">SUMPRODUCT(($Q$3:$Q$4998=$A156)*($S$3:$S$4998=B156)*$U$3:$U$4998)</f>
        <v>67.77</v>
      </c>
      <c r="E156" s="711">
        <f t="shared" si="2"/>
        <v>158.62</v>
      </c>
      <c r="F156" s="74"/>
      <c r="G156" s="74"/>
      <c r="H156" s="74"/>
      <c r="I156" s="133">
        <v>46032</v>
      </c>
      <c r="J156" s="134">
        <v>0.48749999999999999</v>
      </c>
      <c r="K156" s="135">
        <v>5.0999999999999996</v>
      </c>
      <c r="L156" s="75">
        <v>3</v>
      </c>
      <c r="M156" s="75" t="s">
        <v>635</v>
      </c>
      <c r="N156" s="75" t="s">
        <v>146</v>
      </c>
      <c r="O156" s="75"/>
      <c r="P156" s="74"/>
      <c r="Q156" s="972">
        <v>46114</v>
      </c>
      <c r="R156" s="973" t="str">
        <f>TEXT(Tabla9[[#This Row],[Fecha]],"dddd")</f>
        <v>jueves</v>
      </c>
      <c r="S156" s="427" t="s">
        <v>146</v>
      </c>
      <c r="T156" s="427">
        <v>18</v>
      </c>
      <c r="U156" s="974">
        <v>67.77</v>
      </c>
      <c r="V156" s="427"/>
      <c r="W156" s="76"/>
      <c r="X156" s="74"/>
      <c r="Y156" s="684" t="s">
        <v>146</v>
      </c>
      <c r="Z156" s="74">
        <v>84.7</v>
      </c>
    </row>
    <row r="157" spans="1:26">
      <c r="A157" s="684">
        <v>46114</v>
      </c>
      <c r="B157" s="74" t="s">
        <v>494</v>
      </c>
      <c r="C157" s="711">
        <f t="array" ref="C157">SUMPRODUCT(($I$3:$I$5022=$A157)*($N$3:$N$5022=B157)*$K$3:$K$5022)</f>
        <v>14</v>
      </c>
      <c r="D157" s="711">
        <f t="array" ref="D157">SUMPRODUCT(($Q$3:$Q$4998=$A157)*($S$3:$S$4998=B157)*$U$3:$U$4998)</f>
        <v>638.32000000000005</v>
      </c>
      <c r="E157" s="711">
        <f t="shared" si="2"/>
        <v>652.32000000000005</v>
      </c>
      <c r="F157" s="74"/>
      <c r="G157" s="74"/>
      <c r="H157" s="74"/>
      <c r="I157" s="133">
        <v>46032</v>
      </c>
      <c r="J157" s="134">
        <v>0.51180555555555551</v>
      </c>
      <c r="K157" s="135">
        <v>4.9000000000000004</v>
      </c>
      <c r="L157" s="75">
        <v>2</v>
      </c>
      <c r="M157" s="75" t="s">
        <v>635</v>
      </c>
      <c r="N157" s="75" t="s">
        <v>494</v>
      </c>
      <c r="O157" s="75"/>
      <c r="P157" s="74"/>
      <c r="Q157" s="972">
        <v>46114</v>
      </c>
      <c r="R157" s="973" t="str">
        <f>TEXT(Tabla9[[#This Row],[Fecha]],"dddd")</f>
        <v>jueves</v>
      </c>
      <c r="S157" s="427" t="s">
        <v>497</v>
      </c>
      <c r="T157" s="427">
        <v>37</v>
      </c>
      <c r="U157" s="974">
        <v>684.46</v>
      </c>
      <c r="V157" s="427"/>
      <c r="W157" s="76"/>
      <c r="X157" s="74"/>
      <c r="Y157" s="684" t="s">
        <v>494</v>
      </c>
      <c r="Z157" s="74">
        <v>100.65</v>
      </c>
    </row>
    <row r="158" spans="1:26">
      <c r="A158" s="684">
        <v>46114</v>
      </c>
      <c r="B158" s="74" t="s">
        <v>497</v>
      </c>
      <c r="C158" s="711">
        <f t="array" ref="C158">SUMPRODUCT(($I$3:$I$5022=$A158)*($N$3:$N$5022=B158)*$K$3:$K$5022)</f>
        <v>3.7</v>
      </c>
      <c r="D158" s="711">
        <f t="array" ref="D158">SUMPRODUCT(($Q$3:$Q$4998=$A158)*($S$3:$S$4998=B158)*$U$3:$U$4998)</f>
        <v>684.46</v>
      </c>
      <c r="E158" s="711">
        <f t="shared" si="2"/>
        <v>688.16000000000008</v>
      </c>
      <c r="F158" s="74"/>
      <c r="G158" s="74"/>
      <c r="H158" s="74"/>
      <c r="I158" s="133">
        <v>46032</v>
      </c>
      <c r="J158" s="134">
        <v>0.51736111111111116</v>
      </c>
      <c r="K158" s="135">
        <v>2.5</v>
      </c>
      <c r="L158" s="75">
        <v>1</v>
      </c>
      <c r="M158" s="75" t="s">
        <v>635</v>
      </c>
      <c r="N158" s="75" t="s">
        <v>494</v>
      </c>
      <c r="O158" s="75"/>
      <c r="P158" s="74"/>
      <c r="Q158" s="972">
        <v>46115</v>
      </c>
      <c r="R158" s="973" t="str">
        <f>TEXT(Tabla9[[#This Row],[Fecha]],"dddd")</f>
        <v>viernes</v>
      </c>
      <c r="S158" s="427" t="s">
        <v>494</v>
      </c>
      <c r="T158" s="427">
        <v>70</v>
      </c>
      <c r="U158" s="974">
        <v>1096.82</v>
      </c>
      <c r="V158" s="427"/>
      <c r="W158" s="76"/>
      <c r="X158" s="74"/>
      <c r="Y158" s="684" t="s">
        <v>497</v>
      </c>
      <c r="Z158" s="74">
        <v>679.3</v>
      </c>
    </row>
    <row r="159" spans="1:26">
      <c r="A159" s="684">
        <v>46115</v>
      </c>
      <c r="B159" s="74" t="s">
        <v>146</v>
      </c>
      <c r="C159" s="711">
        <f t="array" ref="C159">SUMPRODUCT(($I$3:$I$5022=$A159)*($N$3:$N$5022=B159)*$K$3:$K$5022)</f>
        <v>80.7</v>
      </c>
      <c r="D159" s="711">
        <f t="array" ref="D159">SUMPRODUCT(($Q$3:$Q$4998=$A159)*($S$3:$S$4998=B159)*$U$3:$U$4998)</f>
        <v>34</v>
      </c>
      <c r="E159" s="711">
        <f t="shared" si="2"/>
        <v>114.7</v>
      </c>
      <c r="F159" s="74"/>
      <c r="G159" s="74"/>
      <c r="H159" s="74"/>
      <c r="I159" s="133">
        <v>46032</v>
      </c>
      <c r="J159" s="134">
        <v>0.52847222222222223</v>
      </c>
      <c r="K159" s="135">
        <v>23.9</v>
      </c>
      <c r="L159" s="75">
        <v>1</v>
      </c>
      <c r="M159" s="75" t="s">
        <v>635</v>
      </c>
      <c r="N159" s="75" t="s">
        <v>494</v>
      </c>
      <c r="O159" s="75"/>
      <c r="P159" s="74"/>
      <c r="Q159" s="972">
        <v>46115</v>
      </c>
      <c r="R159" s="973" t="str">
        <f>TEXT(Tabla9[[#This Row],[Fecha]],"dddd")</f>
        <v>viernes</v>
      </c>
      <c r="S159" s="427" t="s">
        <v>146</v>
      </c>
      <c r="T159" s="427">
        <v>9</v>
      </c>
      <c r="U159" s="974">
        <v>34</v>
      </c>
      <c r="V159" s="427"/>
      <c r="W159" s="76"/>
      <c r="X159" s="74"/>
      <c r="Y159" s="684">
        <v>45731</v>
      </c>
      <c r="Z159" s="74">
        <v>2655.9</v>
      </c>
    </row>
    <row r="160" spans="1:26">
      <c r="A160" s="684">
        <v>46115</v>
      </c>
      <c r="B160" s="74" t="s">
        <v>494</v>
      </c>
      <c r="C160" s="711">
        <f t="array" ref="C160">SUMPRODUCT(($I$3:$I$5022=$A160)*($N$3:$N$5022=B160)*$K$3:$K$5022)</f>
        <v>20.350000000000001</v>
      </c>
      <c r="D160" s="711">
        <f t="array" ref="D160">SUMPRODUCT(($Q$3:$Q$4998=$A160)*($S$3:$S$4998=B160)*$U$3:$U$4998)</f>
        <v>1096.82</v>
      </c>
      <c r="E160" s="711">
        <f t="shared" si="2"/>
        <v>1117.1699999999998</v>
      </c>
      <c r="F160" s="74"/>
      <c r="G160" s="74"/>
      <c r="H160" s="74"/>
      <c r="I160" s="133">
        <v>46032</v>
      </c>
      <c r="J160" s="134">
        <v>0.53263888888888888</v>
      </c>
      <c r="K160" s="135">
        <v>7.5</v>
      </c>
      <c r="L160" s="75">
        <v>1</v>
      </c>
      <c r="M160" s="75" t="s">
        <v>635</v>
      </c>
      <c r="N160" s="75" t="s">
        <v>494</v>
      </c>
      <c r="O160" s="75"/>
      <c r="P160" s="74"/>
      <c r="Q160" s="972">
        <v>46115</v>
      </c>
      <c r="R160" s="973" t="str">
        <f>TEXT(Tabla9[[#This Row],[Fecha]],"dddd")</f>
        <v>viernes</v>
      </c>
      <c r="S160" s="427" t="s">
        <v>497</v>
      </c>
      <c r="T160" s="427">
        <v>60</v>
      </c>
      <c r="U160" s="974">
        <v>1089.96</v>
      </c>
      <c r="V160" s="427"/>
      <c r="W160" s="76"/>
      <c r="X160" s="74"/>
      <c r="Y160" s="684" t="s">
        <v>146</v>
      </c>
      <c r="Z160" s="74">
        <v>190.3</v>
      </c>
    </row>
    <row r="161" spans="1:26">
      <c r="A161" s="684">
        <v>46116</v>
      </c>
      <c r="B161" s="74" t="s">
        <v>146</v>
      </c>
      <c r="C161" s="711">
        <f t="array" ref="C161">SUMPRODUCT(($I$3:$I$5022=$A161)*($N$3:$N$5022=B161)*$K$3:$K$5022)</f>
        <v>109.85000000000002</v>
      </c>
      <c r="D161" s="711">
        <f t="array" ref="D161">SUMPRODUCT(($Q$3:$Q$4998=$A161)*($S$3:$S$4998=B161)*$U$3:$U$4998)</f>
        <v>77.55</v>
      </c>
      <c r="E161" s="711">
        <f t="shared" si="2"/>
        <v>187.40000000000003</v>
      </c>
      <c r="F161" s="74"/>
      <c r="G161" s="74"/>
      <c r="H161" s="74"/>
      <c r="I161" s="133">
        <v>46033</v>
      </c>
      <c r="J161" s="134">
        <v>0.34861111111111109</v>
      </c>
      <c r="K161" s="135">
        <v>4.2</v>
      </c>
      <c r="L161" s="75">
        <v>2</v>
      </c>
      <c r="M161" s="75" t="s">
        <v>636</v>
      </c>
      <c r="N161" s="75" t="s">
        <v>146</v>
      </c>
      <c r="O161" s="75"/>
      <c r="P161" s="74"/>
      <c r="Q161" s="972">
        <v>46116</v>
      </c>
      <c r="R161" s="973" t="str">
        <f>TEXT(Tabla9[[#This Row],[Fecha]],"dddd")</f>
        <v>sábado</v>
      </c>
      <c r="S161" s="427" t="s">
        <v>494</v>
      </c>
      <c r="T161" s="427">
        <v>69</v>
      </c>
      <c r="U161" s="974">
        <v>828.32</v>
      </c>
      <c r="V161" s="427"/>
      <c r="W161" s="76"/>
      <c r="X161" s="74"/>
      <c r="Y161" s="684" t="s">
        <v>494</v>
      </c>
      <c r="Z161" s="74">
        <v>1284.8</v>
      </c>
    </row>
    <row r="162" spans="1:26">
      <c r="A162" s="684">
        <v>46116</v>
      </c>
      <c r="B162" s="74" t="s">
        <v>494</v>
      </c>
      <c r="C162" s="711">
        <f t="array" ref="C162">SUMPRODUCT(($I$3:$I$5022=$A162)*($N$3:$N$5022=B162)*$K$3:$K$5022)</f>
        <v>356.79999999999995</v>
      </c>
      <c r="D162" s="711">
        <f t="array" ref="D162">SUMPRODUCT(($Q$3:$Q$4998=$A162)*($S$3:$S$4998=B162)*$U$3:$U$4998)</f>
        <v>828.32</v>
      </c>
      <c r="E162" s="711">
        <f t="shared" si="2"/>
        <v>1185.1199999999999</v>
      </c>
      <c r="F162" s="74"/>
      <c r="G162" s="74"/>
      <c r="H162" s="74"/>
      <c r="I162" s="133">
        <v>46033</v>
      </c>
      <c r="J162" s="134">
        <v>0.40694444444444439</v>
      </c>
      <c r="K162" s="135">
        <v>3.4</v>
      </c>
      <c r="L162" s="75">
        <v>1</v>
      </c>
      <c r="M162" s="75" t="s">
        <v>636</v>
      </c>
      <c r="N162" s="75" t="s">
        <v>146</v>
      </c>
      <c r="O162" s="75"/>
      <c r="P162" s="74"/>
      <c r="Q162" s="972">
        <v>46116</v>
      </c>
      <c r="R162" s="973" t="str">
        <f>TEXT(Tabla9[[#This Row],[Fecha]],"dddd")</f>
        <v>sábado</v>
      </c>
      <c r="S162" s="427" t="s">
        <v>146</v>
      </c>
      <c r="T162" s="427">
        <v>16</v>
      </c>
      <c r="U162" s="974">
        <v>77.55</v>
      </c>
      <c r="V162" s="427"/>
      <c r="W162" s="76"/>
      <c r="X162" s="74"/>
      <c r="Y162" s="684" t="s">
        <v>497</v>
      </c>
      <c r="Z162" s="74">
        <v>1180.8</v>
      </c>
    </row>
    <row r="163" spans="1:26">
      <c r="A163" s="684">
        <v>46116</v>
      </c>
      <c r="B163" s="428" t="s">
        <v>497</v>
      </c>
      <c r="C163" s="711">
        <f t="array" ref="C163">SUMPRODUCT(($I$3:$I$5022=$A163)*($N$3:$N$5022=B163)*$K$3:$K$5022)</f>
        <v>0</v>
      </c>
      <c r="D163" s="711">
        <f t="array" ref="D163">SUMPRODUCT(($Q$3:$Q$4998=$A163)*($S$3:$S$4998=B163)*$U$3:$U$4998)</f>
        <v>528.59</v>
      </c>
      <c r="E163" s="711">
        <f t="shared" si="2"/>
        <v>528.59</v>
      </c>
      <c r="F163" s="74"/>
      <c r="G163" s="74"/>
      <c r="H163" s="74"/>
      <c r="I163" s="133">
        <v>46033</v>
      </c>
      <c r="J163" s="134">
        <v>0.41111111111111109</v>
      </c>
      <c r="K163" s="135">
        <v>15.6</v>
      </c>
      <c r="L163" s="75">
        <v>2</v>
      </c>
      <c r="M163" s="75" t="s">
        <v>636</v>
      </c>
      <c r="N163" s="75" t="s">
        <v>146</v>
      </c>
      <c r="O163" s="75"/>
      <c r="P163" s="74"/>
      <c r="Q163" s="972">
        <v>46116</v>
      </c>
      <c r="R163" s="973" t="str">
        <f>TEXT(Tabla9[[#This Row],[Fecha]],"dddd")</f>
        <v>sábado</v>
      </c>
      <c r="S163" s="427" t="s">
        <v>497</v>
      </c>
      <c r="T163" s="427">
        <v>32</v>
      </c>
      <c r="U163" s="974">
        <v>528.59</v>
      </c>
      <c r="V163" s="427"/>
      <c r="W163" s="76"/>
      <c r="X163" s="74"/>
      <c r="Y163" s="684">
        <v>45732</v>
      </c>
      <c r="Z163" s="74">
        <v>1787.65</v>
      </c>
    </row>
    <row r="164" spans="1:26">
      <c r="A164" s="684">
        <v>46129</v>
      </c>
      <c r="B164" s="74" t="s">
        <v>497</v>
      </c>
      <c r="C164" s="711">
        <f t="array" ref="C164">SUMPRODUCT(($I$3:$I$5022=$A164)*($N$3:$N$5022=B164)*$K$3:$K$5022)</f>
        <v>113.6</v>
      </c>
      <c r="D164" s="711">
        <f t="array" ref="D164">SUMPRODUCT(($Q$3:$Q$4998=$A164)*($S$3:$S$4998=B164)*$U$3:$U$4998)</f>
        <v>884.40899999999999</v>
      </c>
      <c r="E164" s="711">
        <f t="shared" si="2"/>
        <v>998.00900000000001</v>
      </c>
      <c r="F164" s="74"/>
      <c r="G164" s="74"/>
      <c r="H164" s="74"/>
      <c r="I164" s="133">
        <v>46033</v>
      </c>
      <c r="J164" s="134">
        <v>0.42986111111111108</v>
      </c>
      <c r="K164" s="135">
        <v>2.4500000000000002</v>
      </c>
      <c r="L164" s="75">
        <v>1</v>
      </c>
      <c r="M164" s="75" t="s">
        <v>636</v>
      </c>
      <c r="N164" s="75" t="s">
        <v>146</v>
      </c>
      <c r="O164" s="75"/>
      <c r="P164" s="74"/>
      <c r="Q164" s="972">
        <v>46117</v>
      </c>
      <c r="R164" s="973" t="str">
        <f t="shared" ref="R164:R190" si="3">TEXT(Q164,"dddd")</f>
        <v>domingo</v>
      </c>
      <c r="S164" s="427" t="s">
        <v>494</v>
      </c>
      <c r="T164" s="427">
        <v>82</v>
      </c>
      <c r="U164" s="974">
        <v>1152.2729999999999</v>
      </c>
      <c r="V164" s="427"/>
      <c r="W164" s="74"/>
      <c r="X164" s="74"/>
      <c r="Y164" s="684" t="s">
        <v>146</v>
      </c>
      <c r="Z164" s="74">
        <v>236.65</v>
      </c>
    </row>
    <row r="165" spans="1:26">
      <c r="A165" s="684">
        <v>46129</v>
      </c>
      <c r="B165" s="74" t="s">
        <v>494</v>
      </c>
      <c r="C165" s="711">
        <f t="array" ref="C165">SUMPRODUCT(($I$3:$I$5022=$A165)*($N$3:$N$5022=B165)*$K$3:$K$5022)</f>
        <v>57.650000000000006</v>
      </c>
      <c r="D165" s="711">
        <f t="array" ref="D165">SUMPRODUCT(($Q$3:$Q$4998=$A165)*($S$3:$S$4998=B165)*$U$3:$U$4998)</f>
        <v>310.81799999999998</v>
      </c>
      <c r="E165" s="711">
        <f t="shared" si="2"/>
        <v>368.46799999999996</v>
      </c>
      <c r="F165" s="74"/>
      <c r="G165" s="74"/>
      <c r="H165" s="74"/>
      <c r="I165" s="133">
        <v>46033</v>
      </c>
      <c r="J165" s="134">
        <v>0.43402777777777779</v>
      </c>
      <c r="K165" s="135">
        <v>3</v>
      </c>
      <c r="L165" s="75">
        <v>1</v>
      </c>
      <c r="M165" s="75" t="s">
        <v>636</v>
      </c>
      <c r="N165" s="75" t="s">
        <v>146</v>
      </c>
      <c r="O165" s="75"/>
      <c r="P165" s="74"/>
      <c r="Q165" s="972">
        <v>46117</v>
      </c>
      <c r="R165" s="973" t="str">
        <f t="shared" si="3"/>
        <v>domingo</v>
      </c>
      <c r="S165" s="427" t="s">
        <v>146</v>
      </c>
      <c r="T165" s="427">
        <v>26</v>
      </c>
      <c r="U165" s="974">
        <v>106.40900000000001</v>
      </c>
      <c r="V165" s="427"/>
      <c r="W165" s="74"/>
      <c r="X165" s="74"/>
      <c r="Y165" s="684" t="s">
        <v>494</v>
      </c>
      <c r="Z165" s="74">
        <v>1551</v>
      </c>
    </row>
    <row r="166" spans="1:26">
      <c r="A166" s="684">
        <v>46130</v>
      </c>
      <c r="B166" s="74" t="s">
        <v>497</v>
      </c>
      <c r="C166" s="711">
        <f t="array" ref="C166">SUMPRODUCT(($I$3:$I$5022=$A166)*($N$3:$N$5022=B166)*$K$3:$K$5022)</f>
        <v>121.55</v>
      </c>
      <c r="D166" s="711">
        <f t="array" ref="D166">SUMPRODUCT(($Q$3:$Q$4998=$A166)*($S$3:$S$4998=B166)*$U$3:$U$4998)</f>
        <v>624.40899999999999</v>
      </c>
      <c r="E166" s="711">
        <f t="shared" si="2"/>
        <v>745.95899999999995</v>
      </c>
      <c r="F166" s="74"/>
      <c r="G166" s="74"/>
      <c r="H166" s="74"/>
      <c r="I166" s="133">
        <v>46033</v>
      </c>
      <c r="J166" s="134">
        <v>0.50208333333333333</v>
      </c>
      <c r="K166" s="135">
        <v>23.15</v>
      </c>
      <c r="L166" s="75">
        <v>3</v>
      </c>
      <c r="M166" s="75" t="s">
        <v>636</v>
      </c>
      <c r="N166" s="75" t="s">
        <v>494</v>
      </c>
      <c r="O166" s="75"/>
      <c r="P166" s="74"/>
      <c r="Q166" s="972">
        <v>46117</v>
      </c>
      <c r="R166" s="973" t="str">
        <f t="shared" si="3"/>
        <v>domingo</v>
      </c>
      <c r="S166" s="427" t="s">
        <v>497</v>
      </c>
      <c r="T166" s="427">
        <v>42</v>
      </c>
      <c r="U166" s="974">
        <v>775.40899999999999</v>
      </c>
      <c r="V166" s="427"/>
      <c r="W166" s="74"/>
      <c r="X166" s="74"/>
      <c r="Y166" s="684">
        <v>45735</v>
      </c>
      <c r="Z166" s="74">
        <v>734.2</v>
      </c>
    </row>
    <row r="167" spans="1:26">
      <c r="A167" s="684">
        <v>46131</v>
      </c>
      <c r="B167" s="74" t="s">
        <v>497</v>
      </c>
      <c r="C167" s="711">
        <f t="array" ref="C167">SUMPRODUCT(($I$3:$I$5022=$A167)*($N$3:$N$5022=B167)*$K$3:$K$5022)</f>
        <v>37.25</v>
      </c>
      <c r="D167" s="711">
        <f t="array" ref="D167">SUMPRODUCT(($Q$3:$Q$4998=$A167)*($S$3:$S$4998=B167)*$U$3:$U$4998)</f>
        <v>326.27300000000002</v>
      </c>
      <c r="E167" s="711">
        <f t="shared" si="2"/>
        <v>363.52300000000002</v>
      </c>
      <c r="F167" s="74"/>
      <c r="G167" s="74"/>
      <c r="H167" s="74"/>
      <c r="I167" s="133">
        <v>46033</v>
      </c>
      <c r="J167" s="134">
        <v>0.50277777777777777</v>
      </c>
      <c r="K167" s="135">
        <v>15.2</v>
      </c>
      <c r="L167" s="75">
        <v>3</v>
      </c>
      <c r="M167" s="75" t="s">
        <v>636</v>
      </c>
      <c r="N167" s="75" t="s">
        <v>494</v>
      </c>
      <c r="O167" s="75"/>
      <c r="P167" s="74"/>
      <c r="Q167" s="972">
        <v>46120</v>
      </c>
      <c r="R167" s="973" t="str">
        <f t="shared" si="3"/>
        <v>miércoles</v>
      </c>
      <c r="S167" s="427" t="s">
        <v>494</v>
      </c>
      <c r="T167" s="427">
        <v>17</v>
      </c>
      <c r="U167" s="974">
        <v>214.773</v>
      </c>
      <c r="V167" s="427"/>
      <c r="W167" s="74"/>
      <c r="X167" s="74"/>
      <c r="Y167" s="684" t="s">
        <v>146</v>
      </c>
      <c r="Z167" s="74">
        <v>140.5</v>
      </c>
    </row>
    <row r="168" spans="1:26">
      <c r="A168" s="684">
        <v>46130</v>
      </c>
      <c r="B168" s="74" t="s">
        <v>146</v>
      </c>
      <c r="C168" s="711">
        <f t="array" ref="C168">SUMPRODUCT(($I$3:$I$5022=$A168)*($N$3:$N$5022=B168)*$K$3:$K$5022)</f>
        <v>31.099999999999998</v>
      </c>
      <c r="D168" s="711">
        <f t="array" ref="D168">SUMPRODUCT(($Q$3:$Q$4998=$A168)*($S$3:$S$4998=B168)*$U$3:$U$4998)</f>
        <v>119.636</v>
      </c>
      <c r="E168" s="711">
        <f t="shared" si="2"/>
        <v>150.73599999999999</v>
      </c>
      <c r="F168" s="74"/>
      <c r="G168" s="74"/>
      <c r="H168" s="74"/>
      <c r="I168" s="133">
        <v>46036</v>
      </c>
      <c r="J168" s="134">
        <v>0.3034722222222222</v>
      </c>
      <c r="K168" s="135">
        <v>6.55</v>
      </c>
      <c r="L168" s="75">
        <v>1</v>
      </c>
      <c r="M168" s="75" t="s">
        <v>637</v>
      </c>
      <c r="N168" s="75" t="s">
        <v>146</v>
      </c>
      <c r="O168" s="75"/>
      <c r="P168" s="74"/>
      <c r="Q168" s="972">
        <v>46120</v>
      </c>
      <c r="R168" s="973" t="str">
        <f t="shared" si="3"/>
        <v>miércoles</v>
      </c>
      <c r="S168" s="427" t="s">
        <v>497</v>
      </c>
      <c r="T168" s="427">
        <v>18</v>
      </c>
      <c r="U168" s="974">
        <v>124.636</v>
      </c>
      <c r="V168" s="427"/>
      <c r="W168" s="74"/>
      <c r="X168" s="74"/>
      <c r="Y168" s="684" t="s">
        <v>494</v>
      </c>
      <c r="Z168" s="74">
        <v>266.5</v>
      </c>
    </row>
    <row r="169" spans="1:26">
      <c r="A169" s="684">
        <v>46130</v>
      </c>
      <c r="B169" s="74" t="s">
        <v>494</v>
      </c>
      <c r="C169" s="711">
        <f t="array" ref="C169">SUMPRODUCT(($I$3:$I$5022=$A169)*($N$3:$N$5022=B169)*$K$3:$K$5022)</f>
        <v>283.60000000000002</v>
      </c>
      <c r="D169" s="711">
        <f t="array" ref="D169">SUMPRODUCT(($Q$3:$Q$4998=$A169)*($S$3:$S$4998=B169)*$U$3:$U$4998)</f>
        <v>608.09100000000001</v>
      </c>
      <c r="E169" s="711">
        <f t="shared" si="2"/>
        <v>891.69100000000003</v>
      </c>
      <c r="F169" s="74"/>
      <c r="G169" s="74"/>
      <c r="H169" s="74"/>
      <c r="I169" s="133">
        <v>46036</v>
      </c>
      <c r="J169" s="134">
        <v>0.31736111111111109</v>
      </c>
      <c r="K169" s="135">
        <v>1.55</v>
      </c>
      <c r="L169" s="75">
        <v>1</v>
      </c>
      <c r="M169" s="75" t="s">
        <v>637</v>
      </c>
      <c r="N169" s="75" t="s">
        <v>146</v>
      </c>
      <c r="O169" s="75"/>
      <c r="P169" s="74"/>
      <c r="Q169" s="972">
        <v>46121</v>
      </c>
      <c r="R169" s="973" t="str">
        <f t="shared" si="3"/>
        <v>jueves</v>
      </c>
      <c r="S169" s="427" t="s">
        <v>494</v>
      </c>
      <c r="T169" s="427">
        <v>20</v>
      </c>
      <c r="U169" s="974">
        <v>185.864</v>
      </c>
      <c r="V169" s="427"/>
      <c r="W169" s="74"/>
      <c r="X169" s="74"/>
      <c r="Y169" s="684" t="s">
        <v>497</v>
      </c>
      <c r="Z169" s="74">
        <v>327.2</v>
      </c>
    </row>
    <row r="170" spans="1:26">
      <c r="A170" s="684">
        <v>46131</v>
      </c>
      <c r="B170" s="74" t="s">
        <v>146</v>
      </c>
      <c r="C170" s="711">
        <f t="array" ref="C170">SUMPRODUCT(($I$3:$I$5022=$A170)*($N$3:$N$5022=B170)*$K$3:$K$5022)</f>
        <v>34.85</v>
      </c>
      <c r="D170" s="711">
        <f t="array" ref="D170">SUMPRODUCT(($Q$3:$Q$4998=$A170)*($S$3:$S$4998=B170)*$U$3:$U$4998)</f>
        <v>91.090999999999994</v>
      </c>
      <c r="E170" s="711">
        <f t="shared" si="2"/>
        <v>125.941</v>
      </c>
      <c r="F170" s="74"/>
      <c r="G170" s="74"/>
      <c r="H170" s="74"/>
      <c r="I170" s="133">
        <v>46036</v>
      </c>
      <c r="J170" s="134">
        <v>0.32291666666666669</v>
      </c>
      <c r="K170" s="135">
        <v>13</v>
      </c>
      <c r="L170" s="75">
        <v>2</v>
      </c>
      <c r="M170" s="75" t="s">
        <v>637</v>
      </c>
      <c r="N170" s="75" t="s">
        <v>146</v>
      </c>
      <c r="O170" s="75"/>
      <c r="P170" s="74"/>
      <c r="Q170" s="972">
        <v>46121</v>
      </c>
      <c r="R170" s="973" t="str">
        <f t="shared" si="3"/>
        <v>jueves</v>
      </c>
      <c r="S170" s="427" t="s">
        <v>497</v>
      </c>
      <c r="T170" s="427">
        <v>16</v>
      </c>
      <c r="U170" s="974">
        <v>315.04500000000002</v>
      </c>
      <c r="V170" s="427"/>
      <c r="W170" s="74"/>
      <c r="X170" s="74"/>
      <c r="Y170" s="684">
        <v>45736</v>
      </c>
      <c r="Z170" s="74">
        <v>346.05</v>
      </c>
    </row>
    <row r="171" spans="1:26">
      <c r="A171" s="684">
        <v>46117</v>
      </c>
      <c r="B171" s="74" t="s">
        <v>146</v>
      </c>
      <c r="C171" s="711">
        <f t="array" ref="C171">SUMPRODUCT(($I$3:$I$5022=$A171)*($N$3:$N$5022=B171)*$K$3:$K$5022)</f>
        <v>23.9</v>
      </c>
      <c r="D171" s="711">
        <f t="array" ref="D171">SUMPRODUCT(($Q$3:$Q$4998=$A171)*($S$3:$S$4998=B171)*$U$3:$U$4998)</f>
        <v>106.40900000000001</v>
      </c>
      <c r="E171" s="711">
        <f t="shared" si="2"/>
        <v>130.309</v>
      </c>
      <c r="F171" s="74"/>
      <c r="G171" s="74"/>
      <c r="H171" s="74"/>
      <c r="I171" s="133">
        <v>46036</v>
      </c>
      <c r="J171" s="134">
        <v>0.33263888888888887</v>
      </c>
      <c r="K171" s="135">
        <v>1.5</v>
      </c>
      <c r="L171" s="75">
        <v>1</v>
      </c>
      <c r="M171" s="75" t="s">
        <v>637</v>
      </c>
      <c r="N171" s="75" t="s">
        <v>146</v>
      </c>
      <c r="O171" s="75"/>
      <c r="P171" s="74"/>
      <c r="Q171" s="972">
        <v>46122</v>
      </c>
      <c r="R171" s="973" t="str">
        <f t="shared" si="3"/>
        <v>viernes</v>
      </c>
      <c r="S171" s="427" t="s">
        <v>494</v>
      </c>
      <c r="T171" s="427">
        <v>18</v>
      </c>
      <c r="U171" s="974">
        <v>226.04499999999999</v>
      </c>
      <c r="V171" s="427"/>
      <c r="W171" s="74"/>
      <c r="X171" s="74"/>
      <c r="Y171" s="684" t="s">
        <v>146</v>
      </c>
      <c r="Z171" s="74">
        <v>70.349999999999994</v>
      </c>
    </row>
    <row r="172" spans="1:26">
      <c r="A172" s="684">
        <v>46127</v>
      </c>
      <c r="B172" s="74" t="s">
        <v>494</v>
      </c>
      <c r="C172" s="711">
        <f t="array" ref="C172">SUMPRODUCT(($I$3:$I$5028=A172)*($N$3:$N$5028=B172)*$K$3:$K$5028)</f>
        <v>142.4</v>
      </c>
      <c r="D172" s="711">
        <f t="array" ref="D172">SUMPRODUCT(($Q$3:$Q$4998=$A172)*($S$3:$S$4998=B172)*$U$3:$U$4998)</f>
        <v>302.63600000000002</v>
      </c>
      <c r="E172" s="711">
        <f t="shared" si="2"/>
        <v>445.03600000000006</v>
      </c>
      <c r="F172" s="74"/>
      <c r="G172" s="74"/>
      <c r="H172" s="74"/>
      <c r="I172" s="133">
        <v>46036</v>
      </c>
      <c r="J172" s="134">
        <v>0.33402777777777781</v>
      </c>
      <c r="K172" s="135">
        <v>1.7</v>
      </c>
      <c r="L172" s="75">
        <v>1</v>
      </c>
      <c r="M172" s="75" t="s">
        <v>637</v>
      </c>
      <c r="N172" s="75" t="s">
        <v>146</v>
      </c>
      <c r="O172" s="75"/>
      <c r="P172" s="74"/>
      <c r="Q172" s="972">
        <v>46122</v>
      </c>
      <c r="R172" s="973" t="str">
        <f t="shared" si="3"/>
        <v>viernes</v>
      </c>
      <c r="S172" s="427" t="s">
        <v>497</v>
      </c>
      <c r="T172" s="427">
        <v>37</v>
      </c>
      <c r="U172" s="974">
        <v>477.90899999999999</v>
      </c>
      <c r="V172" s="427"/>
      <c r="W172" s="74"/>
      <c r="X172" s="74"/>
      <c r="Y172" s="684" t="s">
        <v>494</v>
      </c>
      <c r="Z172" s="74">
        <v>178.8</v>
      </c>
    </row>
    <row r="173" spans="1:26">
      <c r="A173" s="684">
        <v>46127</v>
      </c>
      <c r="B173" s="74" t="s">
        <v>497</v>
      </c>
      <c r="C173" s="711">
        <f t="array" ref="C173">SUMPRODUCT(($I$3:$I$5028=A173)*($N$3:$N$5028=B173)*$K$3:$K$5028)</f>
        <v>173.35</v>
      </c>
      <c r="D173" s="711">
        <f t="array" ref="D173">SUMPRODUCT(($Q$3:$Q$4998=$A173)*($S$3:$S$4998=B173)*$U$3:$U$4998)</f>
        <v>187.09100000000001</v>
      </c>
      <c r="E173" s="711">
        <f t="shared" si="2"/>
        <v>360.44100000000003</v>
      </c>
      <c r="F173" s="74"/>
      <c r="G173" s="74"/>
      <c r="H173" s="74"/>
      <c r="I173" s="133">
        <v>46036</v>
      </c>
      <c r="J173" s="134">
        <v>0.37013888888888891</v>
      </c>
      <c r="K173" s="135">
        <v>3</v>
      </c>
      <c r="L173" s="75">
        <v>1</v>
      </c>
      <c r="M173" s="75" t="s">
        <v>637</v>
      </c>
      <c r="N173" s="75" t="s">
        <v>146</v>
      </c>
      <c r="O173" s="75"/>
      <c r="P173" s="74"/>
      <c r="Q173" s="972">
        <v>46123</v>
      </c>
      <c r="R173" s="973" t="str">
        <f t="shared" si="3"/>
        <v>sábado</v>
      </c>
      <c r="S173" s="427" t="s">
        <v>494</v>
      </c>
      <c r="T173" s="427">
        <v>55</v>
      </c>
      <c r="U173" s="974">
        <v>772.31799999999998</v>
      </c>
      <c r="V173" s="427"/>
      <c r="W173" s="74"/>
      <c r="X173" s="74"/>
      <c r="Y173" s="684" t="s">
        <v>497</v>
      </c>
      <c r="Z173" s="74">
        <v>96.9</v>
      </c>
    </row>
    <row r="174" spans="1:26">
      <c r="A174" s="684">
        <v>46128</v>
      </c>
      <c r="B174" s="74" t="s">
        <v>494</v>
      </c>
      <c r="C174" s="711">
        <f t="array" ref="C174">SUMPRODUCT(($I$3:$I$5028=A174)*($N$3:$N$5028=B174)*$K$3:$K$5028)</f>
        <v>44.7</v>
      </c>
      <c r="D174" s="711">
        <f t="array" ref="D174">SUMPRODUCT(($Q$3:$Q$4998=$A174)*($S$3:$S$4998=B174)*$U$3:$U$4998)</f>
        <v>421.95499999999998</v>
      </c>
      <c r="E174" s="711">
        <f t="shared" si="2"/>
        <v>466.65499999999997</v>
      </c>
      <c r="F174" s="74"/>
      <c r="G174" s="74"/>
      <c r="H174" s="74"/>
      <c r="I174" s="133">
        <v>46036</v>
      </c>
      <c r="J174" s="134">
        <v>0.40277777777777779</v>
      </c>
      <c r="K174" s="135">
        <v>6.8</v>
      </c>
      <c r="L174" s="75">
        <v>2</v>
      </c>
      <c r="M174" s="75" t="s">
        <v>637</v>
      </c>
      <c r="N174" s="75" t="s">
        <v>146</v>
      </c>
      <c r="O174" s="75"/>
      <c r="P174" s="74"/>
      <c r="Q174" s="972">
        <v>46123</v>
      </c>
      <c r="R174" s="973" t="str">
        <f t="shared" si="3"/>
        <v>sábado</v>
      </c>
      <c r="S174" s="427" t="s">
        <v>146</v>
      </c>
      <c r="T174" s="427">
        <v>21</v>
      </c>
      <c r="U174" s="974">
        <v>85.272999999999996</v>
      </c>
      <c r="V174" s="427"/>
      <c r="W174" s="74"/>
      <c r="X174" s="74"/>
      <c r="Y174" s="684">
        <v>45737</v>
      </c>
      <c r="Z174" s="74">
        <v>1163.1500000000001</v>
      </c>
    </row>
    <row r="175" spans="1:26">
      <c r="A175" s="684">
        <v>46123</v>
      </c>
      <c r="B175" s="74" t="s">
        <v>497</v>
      </c>
      <c r="C175" s="711">
        <f t="array" ref="C175">SUMPRODUCT(($I$3:$I$5028=A175)*($N$3:$N$5028=B175)*$K$3:$K$5028)</f>
        <v>301.29999999999995</v>
      </c>
      <c r="D175" s="876">
        <f t="array" ref="D175">SUMPRODUCT(($Q$3:$Q$4998=$A175)*($S$3:$S$4998=B175)*$U$3:$U$4998)</f>
        <v>947.95500000000004</v>
      </c>
      <c r="E175" s="711">
        <f t="shared" si="2"/>
        <v>1249.2550000000001</v>
      </c>
      <c r="F175" s="74"/>
      <c r="G175" s="74"/>
      <c r="H175" s="74"/>
      <c r="I175" s="133">
        <v>46036</v>
      </c>
      <c r="J175" s="134">
        <v>0.40694444444444439</v>
      </c>
      <c r="K175" s="135">
        <v>2.8</v>
      </c>
      <c r="L175" s="75">
        <v>2</v>
      </c>
      <c r="M175" s="75" t="s">
        <v>637</v>
      </c>
      <c r="N175" s="75" t="s">
        <v>146</v>
      </c>
      <c r="O175" s="75"/>
      <c r="P175" s="74"/>
      <c r="Q175" s="972">
        <v>46123</v>
      </c>
      <c r="R175" s="973" t="str">
        <f t="shared" si="3"/>
        <v>sábado</v>
      </c>
      <c r="S175" s="427" t="s">
        <v>497</v>
      </c>
      <c r="T175" s="427">
        <v>53</v>
      </c>
      <c r="U175" s="974">
        <v>947.95500000000004</v>
      </c>
      <c r="V175" s="427"/>
      <c r="W175" s="74"/>
      <c r="X175" s="74"/>
      <c r="Y175" s="684" t="s">
        <v>146</v>
      </c>
      <c r="Z175" s="74">
        <v>96.75</v>
      </c>
    </row>
    <row r="176" spans="1:26">
      <c r="A176" s="684">
        <v>46121</v>
      </c>
      <c r="B176" s="74" t="s">
        <v>497</v>
      </c>
      <c r="C176" s="711">
        <f t="array" ref="C176">SUMPRODUCT(($I$3:$I$5028=A176)*($N$3:$N$5028=B176)*$K$3:$K$5028)</f>
        <v>73</v>
      </c>
      <c r="D176" s="876">
        <f t="array" ref="D176">SUMPRODUCT(($Q$3:$Q$4998=$A176)*($S$3:$S$4998=B176)*$U$3:$U$4998)</f>
        <v>315.04500000000002</v>
      </c>
      <c r="E176" s="711">
        <f t="shared" si="2"/>
        <v>388.04500000000002</v>
      </c>
      <c r="F176" s="74"/>
      <c r="G176" s="74"/>
      <c r="H176" s="74"/>
      <c r="I176" s="133">
        <v>46036</v>
      </c>
      <c r="J176" s="134">
        <v>0.41736111111111113</v>
      </c>
      <c r="K176" s="135">
        <v>3.45</v>
      </c>
      <c r="L176" s="75">
        <v>2</v>
      </c>
      <c r="M176" s="75" t="s">
        <v>637</v>
      </c>
      <c r="N176" s="75" t="s">
        <v>146</v>
      </c>
      <c r="O176" s="75"/>
      <c r="P176" s="74"/>
      <c r="Q176" s="972">
        <v>46124</v>
      </c>
      <c r="R176" s="973" t="str">
        <f t="shared" si="3"/>
        <v>domingo</v>
      </c>
      <c r="S176" s="427" t="s">
        <v>494</v>
      </c>
      <c r="T176" s="427">
        <v>31</v>
      </c>
      <c r="U176" s="974">
        <v>481.63600000000002</v>
      </c>
      <c r="V176" s="427"/>
      <c r="W176" s="74"/>
      <c r="X176" s="74"/>
      <c r="Y176" s="684" t="s">
        <v>494</v>
      </c>
      <c r="Z176" s="74">
        <v>473.1</v>
      </c>
    </row>
    <row r="177" spans="1:26">
      <c r="A177" s="684">
        <v>46120</v>
      </c>
      <c r="B177" s="74" t="s">
        <v>497</v>
      </c>
      <c r="C177" s="711">
        <f t="array" ref="C177">SUMPRODUCT(($I$3:$I$5028=A177)*($N$3:$N$5028=B177)*$K$3:$K$5028)</f>
        <v>43.2</v>
      </c>
      <c r="D177" s="876">
        <f t="array" ref="D177">SUMPRODUCT(($Q$3:$Q$4998=$A177)*($S$3:$S$4998=B177)*$U$3:$U$4998)</f>
        <v>124.636</v>
      </c>
      <c r="E177" s="711">
        <f t="shared" si="2"/>
        <v>167.83600000000001</v>
      </c>
      <c r="F177" s="74"/>
      <c r="G177" s="74"/>
      <c r="H177" s="74"/>
      <c r="I177" s="133">
        <v>46036</v>
      </c>
      <c r="J177" s="134">
        <v>0.42222222222222222</v>
      </c>
      <c r="K177" s="135">
        <v>1.65</v>
      </c>
      <c r="L177" s="75">
        <v>1</v>
      </c>
      <c r="M177" s="75" t="s">
        <v>637</v>
      </c>
      <c r="N177" s="75" t="s">
        <v>146</v>
      </c>
      <c r="O177" s="75"/>
      <c r="P177" s="74"/>
      <c r="Q177" s="972">
        <v>46124</v>
      </c>
      <c r="R177" s="973" t="str">
        <f t="shared" si="3"/>
        <v>domingo</v>
      </c>
      <c r="S177" s="427" t="s">
        <v>146</v>
      </c>
      <c r="T177" s="427">
        <v>28</v>
      </c>
      <c r="U177" s="974">
        <v>123.227</v>
      </c>
      <c r="V177" s="427"/>
      <c r="W177" s="74"/>
      <c r="X177" s="74"/>
      <c r="Y177" s="684" t="s">
        <v>497</v>
      </c>
      <c r="Z177" s="74">
        <v>593.29999999999995</v>
      </c>
    </row>
    <row r="178" spans="1:26">
      <c r="A178" s="684">
        <v>46120</v>
      </c>
      <c r="B178" s="74" t="s">
        <v>494</v>
      </c>
      <c r="C178" s="711">
        <f t="array" ref="C178">SUMPRODUCT(($I$3:$I$5028=A178)*($N$3:$N$5028=B178)*$K$3:$K$5028)</f>
        <v>10.049999999999999</v>
      </c>
      <c r="D178" s="876">
        <f t="array" ref="D178">SUMPRODUCT(($Q$3:$Q$4998=$A178)*($S$3:$S$4998=B178)*$U$3:$U$4998)</f>
        <v>214.773</v>
      </c>
      <c r="E178" s="711">
        <f t="shared" si="2"/>
        <v>224.82300000000001</v>
      </c>
      <c r="F178" s="74"/>
      <c r="G178" s="74"/>
      <c r="H178" s="74"/>
      <c r="I178" s="133">
        <v>46036</v>
      </c>
      <c r="J178" s="134">
        <v>0.42291666666666672</v>
      </c>
      <c r="K178" s="135">
        <v>4.25</v>
      </c>
      <c r="L178" s="75">
        <v>2</v>
      </c>
      <c r="M178" s="75" t="s">
        <v>637</v>
      </c>
      <c r="N178" s="75" t="s">
        <v>146</v>
      </c>
      <c r="O178" s="75"/>
      <c r="P178" s="74"/>
      <c r="Q178" s="972">
        <v>46124</v>
      </c>
      <c r="R178" s="973" t="str">
        <f t="shared" si="3"/>
        <v>domingo</v>
      </c>
      <c r="S178" s="427" t="s">
        <v>497</v>
      </c>
      <c r="T178" s="427">
        <v>6</v>
      </c>
      <c r="U178" s="974">
        <v>61.045000000000002</v>
      </c>
      <c r="V178" s="427"/>
      <c r="W178" s="74"/>
      <c r="X178" s="74"/>
      <c r="Y178" s="684">
        <v>45738</v>
      </c>
      <c r="Z178" s="74">
        <v>2976.5</v>
      </c>
    </row>
    <row r="179" spans="1:26">
      <c r="A179" s="684">
        <v>46121</v>
      </c>
      <c r="B179" s="74" t="s">
        <v>146</v>
      </c>
      <c r="C179" s="711">
        <f t="array" ref="C179">SUMPRODUCT(($I$3:$I$5028=A179)*($N$3:$N$5028=B179)*$K$3:$K$5028)</f>
        <v>21.65</v>
      </c>
      <c r="D179" s="876">
        <f t="array" ref="D179">SUMPRODUCT(($Q$3:$Q$4998=$A179)*($S$3:$S$4998=B179)*$U$3:$U$4998)</f>
        <v>0</v>
      </c>
      <c r="E179" s="711">
        <f t="shared" si="2"/>
        <v>21.65</v>
      </c>
      <c r="F179" s="74"/>
      <c r="G179" s="74"/>
      <c r="H179" s="74"/>
      <c r="I179" s="133">
        <v>46036</v>
      </c>
      <c r="J179" s="134">
        <v>0.42569444444444438</v>
      </c>
      <c r="K179" s="135">
        <v>1.75</v>
      </c>
      <c r="L179" s="75">
        <v>1</v>
      </c>
      <c r="M179" s="75" t="s">
        <v>637</v>
      </c>
      <c r="N179" s="75" t="s">
        <v>146</v>
      </c>
      <c r="O179" s="75"/>
      <c r="P179" s="74"/>
      <c r="Q179" s="972">
        <v>46127</v>
      </c>
      <c r="R179" s="973" t="str">
        <f t="shared" si="3"/>
        <v>miércoles</v>
      </c>
      <c r="S179" s="427" t="s">
        <v>494</v>
      </c>
      <c r="T179" s="427">
        <v>24</v>
      </c>
      <c r="U179" s="974">
        <v>302.63600000000002</v>
      </c>
      <c r="V179" s="427"/>
      <c r="W179" s="74"/>
      <c r="X179" s="74"/>
      <c r="Y179" s="684" t="s">
        <v>146</v>
      </c>
      <c r="Z179" s="74">
        <v>183.2</v>
      </c>
    </row>
    <row r="180" spans="1:26">
      <c r="A180" s="684">
        <v>46121</v>
      </c>
      <c r="B180" s="74" t="s">
        <v>494</v>
      </c>
      <c r="C180" s="711">
        <f t="array" ref="C180">SUMPRODUCT(($I$3:$I$5028=A180)*($N$3:$N$5028=B180)*$K$3:$K$5028)</f>
        <v>34.5</v>
      </c>
      <c r="D180" s="876">
        <f t="array" ref="D180">SUMPRODUCT(($Q$3:$Q$4998=$A180)*($S$3:$S$4998=B180)*$U$3:$U$4998)</f>
        <v>185.864</v>
      </c>
      <c r="E180" s="711">
        <f t="shared" si="2"/>
        <v>220.364</v>
      </c>
      <c r="F180" s="74"/>
      <c r="G180" s="74"/>
      <c r="H180" s="74"/>
      <c r="I180" s="133">
        <v>46036</v>
      </c>
      <c r="J180" s="134">
        <v>0.42569444444444438</v>
      </c>
      <c r="K180" s="135">
        <v>3.45</v>
      </c>
      <c r="L180" s="75">
        <v>2</v>
      </c>
      <c r="M180" s="75" t="s">
        <v>637</v>
      </c>
      <c r="N180" s="75" t="s">
        <v>146</v>
      </c>
      <c r="O180" s="75"/>
      <c r="P180" s="74"/>
      <c r="Q180" s="972">
        <v>46127</v>
      </c>
      <c r="R180" s="973" t="str">
        <f t="shared" si="3"/>
        <v>miércoles</v>
      </c>
      <c r="S180" s="427" t="s">
        <v>497</v>
      </c>
      <c r="T180" s="427">
        <v>14</v>
      </c>
      <c r="U180" s="974">
        <v>187.09100000000001</v>
      </c>
      <c r="V180" s="427"/>
      <c r="W180" s="74"/>
      <c r="X180" s="74"/>
      <c r="Y180" s="684" t="s">
        <v>494</v>
      </c>
      <c r="Z180" s="74">
        <v>1106.3</v>
      </c>
    </row>
    <row r="181" spans="1:26">
      <c r="A181" s="684">
        <v>46118</v>
      </c>
      <c r="B181" s="74" t="s">
        <v>146</v>
      </c>
      <c r="C181" s="711">
        <f t="array" ref="C181">SUMPRODUCT(($I$3:$I$5028=A181)*($N$3:$N$5028=B181)*$K$3:$K$5028)</f>
        <v>74.400000000000006</v>
      </c>
      <c r="D181" s="876">
        <f t="array" ref="D181">SUMPRODUCT(($Q$3:$Q$4998=$A181)*($S$3:$S$4998=B181)*$U$3:$U$4998)</f>
        <v>0</v>
      </c>
      <c r="E181" s="711">
        <f t="shared" si="2"/>
        <v>74.400000000000006</v>
      </c>
      <c r="F181" s="74"/>
      <c r="G181" s="74"/>
      <c r="H181" s="74"/>
      <c r="I181" s="133">
        <v>46036</v>
      </c>
      <c r="J181" s="134">
        <v>0.43333333333333329</v>
      </c>
      <c r="K181" s="135">
        <v>1.7</v>
      </c>
      <c r="L181" s="75">
        <v>1</v>
      </c>
      <c r="M181" s="75" t="s">
        <v>637</v>
      </c>
      <c r="N181" s="75" t="s">
        <v>146</v>
      </c>
      <c r="O181" s="75"/>
      <c r="P181" s="74"/>
      <c r="Q181" s="972">
        <v>46128</v>
      </c>
      <c r="R181" s="973" t="str">
        <f t="shared" si="3"/>
        <v>jueves</v>
      </c>
      <c r="S181" s="427" t="s">
        <v>494</v>
      </c>
      <c r="T181" s="427">
        <v>20</v>
      </c>
      <c r="U181" s="974">
        <v>421.95499999999998</v>
      </c>
      <c r="V181" s="427"/>
      <c r="W181" s="74"/>
      <c r="X181" s="74"/>
      <c r="Y181" s="684" t="s">
        <v>497</v>
      </c>
      <c r="Z181" s="74">
        <v>1687</v>
      </c>
    </row>
    <row r="182" spans="1:26">
      <c r="A182" s="684">
        <v>46118</v>
      </c>
      <c r="B182" s="74" t="s">
        <v>494</v>
      </c>
      <c r="C182" s="711">
        <f t="array" ref="C182">SUMPRODUCT(($I$3:$I$5028=A182)*($N$3:$N$5028=B182)*$K$3:$K$5028)</f>
        <v>6.5</v>
      </c>
      <c r="D182" s="876">
        <f t="array" ref="D182">SUMPRODUCT(($Q$3:$Q$4998=$A182)*($S$3:$S$4998=B182)*$U$3:$U$4998)</f>
        <v>0</v>
      </c>
      <c r="E182" s="711">
        <f t="shared" si="2"/>
        <v>6.5</v>
      </c>
      <c r="F182" s="74"/>
      <c r="G182" s="74"/>
      <c r="H182" s="74"/>
      <c r="I182" s="133">
        <v>46036</v>
      </c>
      <c r="J182" s="134">
        <v>0.4375</v>
      </c>
      <c r="K182" s="135">
        <v>1.5</v>
      </c>
      <c r="L182" s="75">
        <v>1</v>
      </c>
      <c r="M182" s="75" t="s">
        <v>637</v>
      </c>
      <c r="N182" s="75" t="s">
        <v>146</v>
      </c>
      <c r="O182" s="75"/>
      <c r="P182" s="74"/>
      <c r="Q182" s="972">
        <v>46128</v>
      </c>
      <c r="R182" s="973" t="str">
        <f t="shared" si="3"/>
        <v>jueves</v>
      </c>
      <c r="S182" s="427" t="s">
        <v>497</v>
      </c>
      <c r="T182" s="427">
        <v>32</v>
      </c>
      <c r="U182" s="974">
        <v>403.04500000000002</v>
      </c>
      <c r="V182" s="427"/>
      <c r="W182" s="74"/>
      <c r="X182" s="74"/>
      <c r="Y182" s="684">
        <v>45739</v>
      </c>
      <c r="Z182" s="74">
        <v>777.95</v>
      </c>
    </row>
    <row r="183" spans="1:26">
      <c r="A183" s="684">
        <v>46117</v>
      </c>
      <c r="B183" s="74" t="s">
        <v>494</v>
      </c>
      <c r="C183" s="711">
        <f t="array" ref="C183">SUMPRODUCT(($I$3:$I$5028=A183)*($N$3:$N$5028=B183)*$K$3:$K$5028)</f>
        <v>48.85</v>
      </c>
      <c r="D183" s="876">
        <f t="array" ref="D183">SUMPRODUCT(($Q$3:$Q$4998=$A183)*($S$3:$S$4998=B183)*$U$3:$U$4998)</f>
        <v>1152.2729999999999</v>
      </c>
      <c r="E183" s="711">
        <f t="shared" si="2"/>
        <v>1201.1229999999998</v>
      </c>
      <c r="F183" s="74"/>
      <c r="G183" s="74"/>
      <c r="H183" s="74"/>
      <c r="I183" s="133">
        <v>46036</v>
      </c>
      <c r="J183" s="134">
        <v>0.44374999999999998</v>
      </c>
      <c r="K183" s="135">
        <v>4.7</v>
      </c>
      <c r="L183" s="75">
        <v>2</v>
      </c>
      <c r="M183" s="75" t="s">
        <v>637</v>
      </c>
      <c r="N183" s="75" t="s">
        <v>146</v>
      </c>
      <c r="O183" s="75"/>
      <c r="P183" s="74"/>
      <c r="Q183" s="972">
        <v>46129</v>
      </c>
      <c r="R183" s="973" t="str">
        <f t="shared" si="3"/>
        <v>viernes</v>
      </c>
      <c r="S183" s="427" t="s">
        <v>494</v>
      </c>
      <c r="T183" s="427">
        <v>20</v>
      </c>
      <c r="U183" s="974">
        <v>310.81799999999998</v>
      </c>
      <c r="V183" s="427"/>
      <c r="W183" s="74"/>
      <c r="X183" s="74"/>
      <c r="Y183" s="684" t="s">
        <v>146</v>
      </c>
      <c r="Z183" s="74">
        <v>176.6</v>
      </c>
    </row>
    <row r="184" spans="1:26">
      <c r="A184" s="684">
        <v>46124</v>
      </c>
      <c r="B184" s="74" t="s">
        <v>146</v>
      </c>
      <c r="C184" s="711">
        <f t="array" ref="C184">SUMPRODUCT(($I$3:$I$5028=A184)*($N$3:$N$5028=B184)*$K$3:$K$5028)</f>
        <v>64.650000000000006</v>
      </c>
      <c r="D184" s="876">
        <f t="array" ref="D184">SUMPRODUCT(($Q$3:$Q$4998=$A184)*($S$3:$S$4998=B184)*$U$3:$U$4998)</f>
        <v>123.227</v>
      </c>
      <c r="E184" s="711">
        <f t="shared" si="2"/>
        <v>187.87700000000001</v>
      </c>
      <c r="F184" s="74"/>
      <c r="G184" s="74"/>
      <c r="H184" s="74"/>
      <c r="I184" s="133">
        <v>46036</v>
      </c>
      <c r="J184" s="134">
        <v>0.44861111111111113</v>
      </c>
      <c r="K184" s="135">
        <v>3.9</v>
      </c>
      <c r="L184" s="75">
        <v>2</v>
      </c>
      <c r="M184" s="75" t="s">
        <v>637</v>
      </c>
      <c r="N184" s="75" t="s">
        <v>146</v>
      </c>
      <c r="O184" s="75"/>
      <c r="P184" s="74"/>
      <c r="Q184" s="972">
        <v>46129</v>
      </c>
      <c r="R184" s="973" t="str">
        <f t="shared" si="3"/>
        <v>viernes</v>
      </c>
      <c r="S184" s="427" t="s">
        <v>497</v>
      </c>
      <c r="T184" s="427">
        <v>58</v>
      </c>
      <c r="U184" s="974">
        <v>884.40899999999999</v>
      </c>
      <c r="V184" s="427"/>
      <c r="W184" s="74"/>
      <c r="X184" s="74"/>
      <c r="Y184" s="684" t="s">
        <v>494</v>
      </c>
      <c r="Z184" s="74">
        <v>365.65</v>
      </c>
    </row>
    <row r="185" spans="1:26">
      <c r="A185" s="684">
        <v>46124</v>
      </c>
      <c r="B185" s="74" t="s">
        <v>494</v>
      </c>
      <c r="C185" s="711">
        <f t="array" ref="C185">SUMPRODUCT(($I$3:$I$5028=A185)*($N$3:$N$5028=B185)*$K$3:$K$5028)</f>
        <v>155.94999999999999</v>
      </c>
      <c r="D185" s="876">
        <f t="array" ref="D185">SUMPRODUCT(($Q$3:$Q$4998=$A185)*($S$3:$S$4998=B185)*$U$3:$U$4998)</f>
        <v>481.63600000000002</v>
      </c>
      <c r="E185" s="711">
        <f t="shared" si="2"/>
        <v>637.58600000000001</v>
      </c>
      <c r="F185" s="74"/>
      <c r="G185" s="74"/>
      <c r="H185" s="74"/>
      <c r="I185" s="133">
        <v>46036</v>
      </c>
      <c r="J185" s="134">
        <v>0.45277777777777778</v>
      </c>
      <c r="K185" s="135">
        <v>3</v>
      </c>
      <c r="L185" s="75">
        <v>1</v>
      </c>
      <c r="M185" s="75" t="s">
        <v>637</v>
      </c>
      <c r="N185" s="75" t="s">
        <v>146</v>
      </c>
      <c r="O185" s="75"/>
      <c r="P185" s="74"/>
      <c r="Q185" s="972">
        <v>46130</v>
      </c>
      <c r="R185" s="973" t="str">
        <f t="shared" si="3"/>
        <v>sábado</v>
      </c>
      <c r="S185" s="427" t="s">
        <v>494</v>
      </c>
      <c r="T185" s="427">
        <v>33</v>
      </c>
      <c r="U185" s="974">
        <v>608.09100000000001</v>
      </c>
      <c r="V185" s="427"/>
      <c r="W185" s="74"/>
      <c r="X185" s="74"/>
      <c r="Y185" s="684" t="s">
        <v>497</v>
      </c>
      <c r="Z185" s="74">
        <v>235.7</v>
      </c>
    </row>
    <row r="186" spans="1:26">
      <c r="A186" s="684">
        <v>46124</v>
      </c>
      <c r="B186" s="74" t="s">
        <v>497</v>
      </c>
      <c r="C186" s="711">
        <f t="array" ref="C186">SUMPRODUCT(($I$3:$I$5028=A186)*($N$3:$N$5028=B186)*$K$3:$K$5028)</f>
        <v>30.15</v>
      </c>
      <c r="D186" s="876">
        <f t="array" ref="D186">SUMPRODUCT(($Q$3:$Q$4998=$A186)*($S$3:$S$4998=B186)*$U$3:$U$4998)</f>
        <v>61.045000000000002</v>
      </c>
      <c r="E186" s="711">
        <f t="shared" si="2"/>
        <v>91.194999999999993</v>
      </c>
      <c r="F186" s="74"/>
      <c r="G186" s="74"/>
      <c r="H186" s="74"/>
      <c r="I186" s="133">
        <v>46036</v>
      </c>
      <c r="J186" s="134">
        <v>0.45277777777777778</v>
      </c>
      <c r="K186" s="135">
        <v>5.75</v>
      </c>
      <c r="L186" s="75">
        <v>1</v>
      </c>
      <c r="M186" s="75" t="s">
        <v>637</v>
      </c>
      <c r="N186" s="75" t="s">
        <v>146</v>
      </c>
      <c r="O186" s="75"/>
      <c r="P186" s="74"/>
      <c r="Q186" s="972">
        <v>46130</v>
      </c>
      <c r="R186" s="973" t="str">
        <f t="shared" si="3"/>
        <v>sábado</v>
      </c>
      <c r="S186" s="427" t="s">
        <v>146</v>
      </c>
      <c r="T186" s="427">
        <v>18</v>
      </c>
      <c r="U186" s="974">
        <v>119.636</v>
      </c>
      <c r="V186" s="427"/>
      <c r="W186" s="74"/>
      <c r="X186" s="74"/>
      <c r="Y186" s="684">
        <v>45742</v>
      </c>
      <c r="Z186" s="74">
        <v>930.75</v>
      </c>
    </row>
    <row r="187" spans="1:26">
      <c r="A187" s="684">
        <v>46131</v>
      </c>
      <c r="B187" s="74" t="s">
        <v>494</v>
      </c>
      <c r="C187" s="711">
        <f t="array" ref="C187">SUMPRODUCT(($I$3:$I$5028=A187)*($N$3:$N$5028=B187)*$K$3:$K$5028)</f>
        <v>504.59999999999997</v>
      </c>
      <c r="D187" s="876">
        <f t="array" ref="D187">SUMPRODUCT(($Q$3:$Q$4998=$A187)*($S$3:$S$4998=B187)*$U$3:$U$4998)</f>
        <v>611.95500000000004</v>
      </c>
      <c r="E187" s="711">
        <f t="shared" si="2"/>
        <v>1116.5550000000001</v>
      </c>
      <c r="F187" s="74"/>
      <c r="G187" s="74"/>
      <c r="H187" s="74"/>
      <c r="I187" s="133">
        <v>46036</v>
      </c>
      <c r="J187" s="134">
        <v>0.47430555555555548</v>
      </c>
      <c r="K187" s="135">
        <v>2.9</v>
      </c>
      <c r="L187" s="75">
        <v>2</v>
      </c>
      <c r="M187" s="75" t="s">
        <v>637</v>
      </c>
      <c r="N187" s="75" t="s">
        <v>146</v>
      </c>
      <c r="O187" s="75"/>
      <c r="P187" s="74"/>
      <c r="Q187" s="972">
        <v>46130</v>
      </c>
      <c r="R187" s="973" t="str">
        <f t="shared" si="3"/>
        <v>sábado</v>
      </c>
      <c r="S187" s="427" t="s">
        <v>497</v>
      </c>
      <c r="T187" s="427">
        <v>39</v>
      </c>
      <c r="U187" s="974">
        <v>624.40899999999999</v>
      </c>
      <c r="V187" s="427"/>
      <c r="W187" s="74"/>
      <c r="X187" s="74"/>
      <c r="Y187" s="684" t="s">
        <v>146</v>
      </c>
      <c r="Z187" s="74">
        <v>134.69999999999999</v>
      </c>
    </row>
    <row r="188" spans="1:26">
      <c r="A188" s="684">
        <v>46128</v>
      </c>
      <c r="B188" s="74" t="s">
        <v>497</v>
      </c>
      <c r="C188" s="711">
        <f t="array" ref="C188">SUMPRODUCT(($I$3:$I$5028=A188)*($N$3:$N$5028=B188)*$K$3:$K$5028)</f>
        <v>64.599999999999994</v>
      </c>
      <c r="D188" s="876">
        <f t="array" ref="D188">SUMPRODUCT(($Q$3:$Q$4998=$A188)*($S$3:$S$4998=B188)*$U$3:$U$4998)</f>
        <v>403.04500000000002</v>
      </c>
      <c r="E188" s="711">
        <f t="shared" si="2"/>
        <v>467.64499999999998</v>
      </c>
      <c r="F188" s="74"/>
      <c r="G188" s="74"/>
      <c r="H188" s="74"/>
      <c r="I188" s="133">
        <v>46036</v>
      </c>
      <c r="J188" s="134">
        <v>0.47847222222222219</v>
      </c>
      <c r="K188" s="135">
        <v>6</v>
      </c>
      <c r="L188" s="75">
        <v>2</v>
      </c>
      <c r="M188" s="75" t="s">
        <v>637</v>
      </c>
      <c r="N188" s="75" t="s">
        <v>146</v>
      </c>
      <c r="O188" s="75"/>
      <c r="P188" s="74"/>
      <c r="Q188" s="972">
        <v>46131</v>
      </c>
      <c r="R188" s="973" t="str">
        <f t="shared" si="3"/>
        <v>domingo</v>
      </c>
      <c r="S188" s="427" t="s">
        <v>497</v>
      </c>
      <c r="T188" s="427">
        <v>23</v>
      </c>
      <c r="U188" s="974">
        <v>326.27300000000002</v>
      </c>
      <c r="V188" s="427"/>
      <c r="W188" s="74"/>
      <c r="X188" s="74"/>
      <c r="Y188" s="684" t="s">
        <v>494</v>
      </c>
      <c r="Z188" s="74">
        <v>267.05</v>
      </c>
    </row>
    <row r="189" spans="1:26">
      <c r="A189" s="684">
        <v>46134</v>
      </c>
      <c r="B189" s="74" t="s">
        <v>494</v>
      </c>
      <c r="C189" s="711">
        <f t="array" ref="C189">SUMPRODUCT(($I$3:$I$5028=A189)*($N$3:$N$5028=B189)*$K$3:$K$5028)</f>
        <v>29.5</v>
      </c>
      <c r="D189" s="876">
        <f t="array" ref="D189">SUMPRODUCT(($Q$3:$Q$4998=$A189)*($S$3:$S$4998=B189)*$U$3:$U$4998)</f>
        <v>413.68</v>
      </c>
      <c r="E189" s="711">
        <f t="shared" si="2"/>
        <v>443.18</v>
      </c>
      <c r="F189" s="74"/>
      <c r="G189" s="74"/>
      <c r="H189" s="74"/>
      <c r="I189" s="133">
        <v>46036</v>
      </c>
      <c r="J189" s="134">
        <v>0.49930555555555561</v>
      </c>
      <c r="K189" s="135">
        <v>1.95</v>
      </c>
      <c r="L189" s="75">
        <v>1</v>
      </c>
      <c r="M189" s="75" t="s">
        <v>637</v>
      </c>
      <c r="N189" s="75" t="s">
        <v>146</v>
      </c>
      <c r="O189" s="75"/>
      <c r="P189" s="74"/>
      <c r="Q189" s="972">
        <v>46131</v>
      </c>
      <c r="R189" s="973" t="str">
        <f t="shared" si="3"/>
        <v>domingo</v>
      </c>
      <c r="S189" s="427" t="s">
        <v>494</v>
      </c>
      <c r="T189" s="427">
        <v>42</v>
      </c>
      <c r="U189" s="974">
        <v>611.95500000000004</v>
      </c>
      <c r="V189" s="427"/>
      <c r="W189" s="74"/>
      <c r="X189" s="74"/>
      <c r="Y189" s="684" t="s">
        <v>497</v>
      </c>
      <c r="Z189" s="74">
        <v>529</v>
      </c>
    </row>
    <row r="190" spans="1:26">
      <c r="A190" s="684">
        <v>46134</v>
      </c>
      <c r="B190" s="74" t="s">
        <v>497</v>
      </c>
      <c r="C190" s="711">
        <f t="array" ref="C190">SUMPRODUCT(($I$3:$I$5028=A190)*($N$3:$N$5028=B190)*$K$3:$K$5028)</f>
        <v>118.25000000000001</v>
      </c>
      <c r="D190" s="876">
        <f t="array" ref="D190">SUMPRODUCT(($Q$3:$Q$4998=$A190)*($S$3:$S$4998=B190)*$U$3:$U$4998)</f>
        <v>129.05000000000001</v>
      </c>
      <c r="E190" s="711">
        <f t="shared" si="2"/>
        <v>247.3</v>
      </c>
      <c r="F190" s="74"/>
      <c r="G190" s="74"/>
      <c r="H190" s="74"/>
      <c r="I190" s="133">
        <v>46036</v>
      </c>
      <c r="J190" s="134">
        <v>0.50277777777777777</v>
      </c>
      <c r="K190" s="135">
        <v>5.4</v>
      </c>
      <c r="L190" s="75">
        <v>1</v>
      </c>
      <c r="M190" s="75" t="s">
        <v>637</v>
      </c>
      <c r="N190" s="75" t="s">
        <v>494</v>
      </c>
      <c r="O190" s="75"/>
      <c r="P190" s="74"/>
      <c r="Q190" s="972">
        <v>46131</v>
      </c>
      <c r="R190" s="973" t="str">
        <f t="shared" si="3"/>
        <v>domingo</v>
      </c>
      <c r="S190" s="427" t="s">
        <v>146</v>
      </c>
      <c r="T190" s="427">
        <v>21</v>
      </c>
      <c r="U190" s="974">
        <v>91.090999999999994</v>
      </c>
      <c r="V190" s="427"/>
      <c r="W190" s="74"/>
      <c r="X190" s="74"/>
      <c r="Y190" s="684">
        <v>45743</v>
      </c>
      <c r="Z190" s="74">
        <v>567.15</v>
      </c>
    </row>
    <row r="191" spans="1:26">
      <c r="A191" s="684">
        <v>46135</v>
      </c>
      <c r="B191" s="74" t="s">
        <v>146</v>
      </c>
      <c r="C191" s="711">
        <f t="array" ref="C191">SUMPRODUCT(($I$3:$I$5028=A191)*($N$3:$N$5028=B191)*$K$3:$K$5028)</f>
        <v>65.95</v>
      </c>
      <c r="D191" s="876">
        <f t="array" ref="D191">SUMPRODUCT(($Q$3:$Q$4998=$A191)*($S$3:$S$4998=B191)*$U$3:$U$4998)</f>
        <v>74.27</v>
      </c>
      <c r="E191" s="711">
        <f t="shared" si="2"/>
        <v>140.22</v>
      </c>
      <c r="F191" s="74"/>
      <c r="G191" s="74"/>
      <c r="H191" s="74"/>
      <c r="I191" s="133">
        <v>46036</v>
      </c>
      <c r="J191" s="134">
        <v>0.50347222222222221</v>
      </c>
      <c r="K191" s="135">
        <v>1.55</v>
      </c>
      <c r="L191" s="75">
        <v>1</v>
      </c>
      <c r="M191" s="75" t="s">
        <v>637</v>
      </c>
      <c r="N191" s="75" t="s">
        <v>494</v>
      </c>
      <c r="O191" s="75"/>
      <c r="P191" s="74"/>
      <c r="Q191" s="972">
        <v>46134</v>
      </c>
      <c r="R191" s="973" t="str">
        <f>TEXT(Tabla9[[#This Row],[Fecha]],"dddd")</f>
        <v>miércoles</v>
      </c>
      <c r="S191" s="427" t="s">
        <v>494</v>
      </c>
      <c r="T191" s="427">
        <v>31</v>
      </c>
      <c r="U191" s="1081">
        <v>413.68</v>
      </c>
      <c r="V191" s="427"/>
      <c r="W191" s="74"/>
      <c r="X191" s="74"/>
      <c r="Y191" s="684" t="s">
        <v>146</v>
      </c>
      <c r="Z191" s="74">
        <v>59.85</v>
      </c>
    </row>
    <row r="192" spans="1:26">
      <c r="A192" s="684">
        <v>46135</v>
      </c>
      <c r="B192" s="74" t="s">
        <v>494</v>
      </c>
      <c r="C192" s="711">
        <f t="array" ref="C192">SUMPRODUCT(($I$3:$I$5028=A192)*($N$3:$N$5028=B192)*$K$3:$K$5028)</f>
        <v>295.70000000000005</v>
      </c>
      <c r="D192" s="876">
        <f t="array" ref="D192">SUMPRODUCT(($Q$3:$Q$4998=$A192)*($S$3:$S$4998=B192)*$U$3:$U$4998)</f>
        <v>925.77</v>
      </c>
      <c r="E192" s="711">
        <f t="shared" si="2"/>
        <v>1221.47</v>
      </c>
      <c r="F192" s="74"/>
      <c r="G192" s="74"/>
      <c r="H192" s="74"/>
      <c r="I192" s="133">
        <v>46036</v>
      </c>
      <c r="J192" s="134">
        <v>0.50624999999999998</v>
      </c>
      <c r="K192" s="135">
        <v>1.4</v>
      </c>
      <c r="L192" s="75">
        <v>1</v>
      </c>
      <c r="M192" s="75" t="s">
        <v>637</v>
      </c>
      <c r="N192" s="75" t="s">
        <v>494</v>
      </c>
      <c r="O192" s="75"/>
      <c r="P192" s="74"/>
      <c r="Q192" s="972">
        <v>46134</v>
      </c>
      <c r="R192" s="973" t="str">
        <f>TEXT(Tabla9[[#This Row],[Fecha]],"dddd")</f>
        <v>miércoles</v>
      </c>
      <c r="S192" s="427" t="s">
        <v>497</v>
      </c>
      <c r="T192" s="1081">
        <v>11</v>
      </c>
      <c r="U192" s="1081">
        <v>129.05000000000001</v>
      </c>
      <c r="V192" s="427"/>
      <c r="W192" s="74"/>
      <c r="X192" s="74"/>
      <c r="Y192" s="684" t="s">
        <v>494</v>
      </c>
      <c r="Z192" s="74">
        <v>206.1</v>
      </c>
    </row>
    <row r="193" spans="1:26">
      <c r="A193" s="1261">
        <v>46141</v>
      </c>
      <c r="B193" s="74" t="s">
        <v>494</v>
      </c>
      <c r="C193" s="711" cm="1">
        <f t="array" ref="C193">SUMPRODUCT(($I$3:$I$5028=A193)*($N$3:$N$5028=B193)*$K$3:$K$5028)</f>
        <v>105.15</v>
      </c>
      <c r="D193" s="876" cm="1">
        <f t="array" ref="D193">SUMPRODUCT(($Q$3:$Q$4998=$A193)*($S$3:$S$4998=B193)*$U$3:$U$4998)</f>
        <v>339.18</v>
      </c>
      <c r="E193" s="711">
        <f>C193+D193</f>
        <v>444.33000000000004</v>
      </c>
      <c r="F193" s="74"/>
      <c r="G193" s="74"/>
      <c r="H193" s="74"/>
      <c r="I193" s="133">
        <v>46036</v>
      </c>
      <c r="J193" s="134">
        <v>0.52083333333333337</v>
      </c>
      <c r="K193" s="135">
        <v>3.85</v>
      </c>
      <c r="L193" s="75">
        <v>2</v>
      </c>
      <c r="M193" s="75" t="s">
        <v>637</v>
      </c>
      <c r="N193" s="75" t="s">
        <v>494</v>
      </c>
      <c r="O193" s="75"/>
      <c r="P193" s="74"/>
      <c r="Q193" s="972">
        <v>46135</v>
      </c>
      <c r="R193" s="973" t="str">
        <f>TEXT(Tabla9[[#This Row],[Fecha]],"dddd")</f>
        <v>jueves</v>
      </c>
      <c r="S193" s="427" t="s">
        <v>146</v>
      </c>
      <c r="T193" s="427">
        <v>18</v>
      </c>
      <c r="U193" s="974">
        <v>74.27</v>
      </c>
      <c r="V193" s="427"/>
      <c r="W193" s="74"/>
      <c r="X193" s="74"/>
      <c r="Y193" s="684" t="s">
        <v>497</v>
      </c>
      <c r="Z193" s="74">
        <v>301.2</v>
      </c>
    </row>
    <row r="194" spans="1:26">
      <c r="A194" s="1261">
        <v>46142</v>
      </c>
      <c r="B194" s="74" t="s">
        <v>494</v>
      </c>
      <c r="C194" s="711" cm="1">
        <f t="array" ref="C194">SUMPRODUCT(($I$3:$I$5032=A194)*($N$3:$N$5032=B194)*$K$3:$K$5032)</f>
        <v>130.30000000000001</v>
      </c>
      <c r="D194" s="876" cm="1">
        <f t="array" ref="D194">SUMPRODUCT(($Q$3:$Q$5006=$A194)*($S$3:$S$5006=B194)*$U$3:$U$5006)</f>
        <v>411.86</v>
      </c>
      <c r="E194" s="711">
        <f>C194+D194</f>
        <v>542.16000000000008</v>
      </c>
      <c r="F194" s="74"/>
      <c r="G194" s="74"/>
      <c r="H194" s="74"/>
      <c r="I194" s="133">
        <v>46036</v>
      </c>
      <c r="J194" s="134">
        <v>0.52500000000000002</v>
      </c>
      <c r="K194" s="135">
        <v>1.5</v>
      </c>
      <c r="L194" s="75">
        <v>1</v>
      </c>
      <c r="M194" s="75" t="s">
        <v>637</v>
      </c>
      <c r="N194" s="75" t="s">
        <v>494</v>
      </c>
      <c r="O194" s="75"/>
      <c r="P194" s="74"/>
      <c r="Q194" s="972">
        <v>46135</v>
      </c>
      <c r="R194" s="973" t="str">
        <f>TEXT(Tabla9[[#This Row],[Fecha]],"dddd")</f>
        <v>jueves</v>
      </c>
      <c r="S194" s="427" t="s">
        <v>494</v>
      </c>
      <c r="T194" s="427">
        <v>50</v>
      </c>
      <c r="U194" s="974">
        <v>925.77</v>
      </c>
      <c r="V194" s="427"/>
      <c r="W194" s="74"/>
      <c r="X194" s="74"/>
      <c r="Y194" s="684">
        <v>45744</v>
      </c>
      <c r="Z194" s="74">
        <v>174.15</v>
      </c>
    </row>
    <row r="195" spans="1:26">
      <c r="A195" s="1261">
        <v>46142</v>
      </c>
      <c r="B195" s="74" t="s">
        <v>497</v>
      </c>
      <c r="C195" s="711" cm="1">
        <f t="array" ref="C195">SUMPRODUCT(($I$3:$I$5028=A195)*($N$3:$N$5028=B195)*$K$3:$K$5028)</f>
        <v>145.75</v>
      </c>
      <c r="D195" s="876" cm="1">
        <f t="array" ref="D195">SUMPRODUCT(($Q$3:$Q$5006=$A195)*($S$3:$S$5006=B195)*$U$3:$U$5006)</f>
        <v>464.82</v>
      </c>
      <c r="E195" s="711">
        <f>C195+D195</f>
        <v>610.56999999999994</v>
      </c>
      <c r="F195" s="74"/>
      <c r="G195" s="74"/>
      <c r="H195" s="74"/>
      <c r="I195" s="133">
        <v>46036</v>
      </c>
      <c r="J195" s="134">
        <v>0.53888888888888886</v>
      </c>
      <c r="K195" s="135">
        <v>3</v>
      </c>
      <c r="L195" s="75">
        <v>2</v>
      </c>
      <c r="M195" s="75" t="s">
        <v>637</v>
      </c>
      <c r="N195" s="75" t="s">
        <v>494</v>
      </c>
      <c r="O195" s="75"/>
      <c r="P195" s="74"/>
      <c r="Q195" s="972">
        <v>46135</v>
      </c>
      <c r="R195" s="973" t="str">
        <f>TEXT(Tabla9[[#This Row],[Fecha]],"dddd")</f>
        <v>jueves</v>
      </c>
      <c r="S195" s="427" t="s">
        <v>497</v>
      </c>
      <c r="T195" s="427">
        <v>74</v>
      </c>
      <c r="U195" s="974">
        <v>1043.77</v>
      </c>
      <c r="V195" s="427"/>
      <c r="W195" s="74"/>
      <c r="X195" s="74"/>
      <c r="Y195" s="684" t="s">
        <v>146</v>
      </c>
      <c r="Z195" s="74">
        <v>174.15</v>
      </c>
    </row>
    <row r="196" spans="1:26">
      <c r="A196" s="1261">
        <v>46143</v>
      </c>
      <c r="B196" s="74" t="s">
        <v>146</v>
      </c>
      <c r="C196" s="711" cm="1">
        <f t="array" ref="C196">SUMPRODUCT(($I$3:$I$5019=A196)*($N$3:$N$5019=B196)*$K$3:$K$5019)</f>
        <v>43.25</v>
      </c>
      <c r="D196" s="876" cm="1">
        <f t="array" ref="D196">SUMPRODUCT(($Q$3:$Q$5006=$A196)*($S$3:$S$5006=B196)*$U$3:$U$5006)</f>
        <v>0</v>
      </c>
      <c r="E196" s="711">
        <f>C196+D196</f>
        <v>43.25</v>
      </c>
      <c r="F196" s="74"/>
      <c r="G196" s="74"/>
      <c r="H196" s="74"/>
      <c r="I196" s="133">
        <v>46036</v>
      </c>
      <c r="J196" s="134">
        <v>0.60069444444444442</v>
      </c>
      <c r="K196" s="135">
        <v>17</v>
      </c>
      <c r="L196" s="75">
        <v>1</v>
      </c>
      <c r="M196" s="75" t="s">
        <v>637</v>
      </c>
      <c r="N196" s="75" t="s">
        <v>494</v>
      </c>
      <c r="O196" s="75"/>
      <c r="P196" s="74"/>
      <c r="Q196" s="972">
        <v>46136</v>
      </c>
      <c r="R196" s="973" t="s">
        <v>633</v>
      </c>
      <c r="S196" s="427" t="s">
        <v>494</v>
      </c>
      <c r="T196" s="427">
        <v>50</v>
      </c>
      <c r="U196" s="974">
        <v>221.77</v>
      </c>
      <c r="V196" s="427"/>
      <c r="W196" s="74"/>
      <c r="X196" s="74"/>
      <c r="Y196" s="684" t="s">
        <v>494</v>
      </c>
      <c r="Z196" s="74"/>
    </row>
    <row r="197" spans="1:26">
      <c r="A197" s="1261">
        <v>46143</v>
      </c>
      <c r="B197" s="74" t="s">
        <v>494</v>
      </c>
      <c r="C197" s="711" cm="1">
        <f t="array" ref="C197">SUMPRODUCT(($I$3:$I$5014=A197)*($N$3:$N$5014=B197)*$K$3:$K$5014)</f>
        <v>20.75</v>
      </c>
      <c r="D197" s="876" cm="1">
        <f t="array" ref="D197">SUMPRODUCT(($Q$3:$Q$5006=$A197)*($S$3:$S$5006=B197)*$U$3:$U$5006)</f>
        <v>0</v>
      </c>
      <c r="E197" s="711">
        <f>C197+D197</f>
        <v>20.75</v>
      </c>
      <c r="F197" s="74"/>
      <c r="G197" s="74"/>
      <c r="H197" s="74"/>
      <c r="I197" s="133">
        <v>46036</v>
      </c>
      <c r="J197" s="134">
        <v>0.60069444444444442</v>
      </c>
      <c r="K197" s="135">
        <v>17.55</v>
      </c>
      <c r="L197" s="75">
        <v>1</v>
      </c>
      <c r="M197" s="75" t="s">
        <v>637</v>
      </c>
      <c r="N197" s="75" t="s">
        <v>494</v>
      </c>
      <c r="O197" s="75"/>
      <c r="P197" s="74"/>
      <c r="Q197" s="972">
        <v>46136</v>
      </c>
      <c r="R197" s="973" t="s">
        <v>633</v>
      </c>
      <c r="S197" s="427" t="s">
        <v>497</v>
      </c>
      <c r="T197" s="427">
        <v>45</v>
      </c>
      <c r="U197" s="974">
        <v>815.23</v>
      </c>
      <c r="V197" s="427"/>
      <c r="W197" s="74"/>
      <c r="X197" s="74"/>
      <c r="Y197" s="684" t="s">
        <v>497</v>
      </c>
      <c r="Z197" s="74"/>
    </row>
    <row r="198" spans="1:26">
      <c r="A198" s="1261">
        <v>46143</v>
      </c>
      <c r="B198" s="74" t="s">
        <v>497</v>
      </c>
      <c r="C198" s="711" cm="1">
        <f t="array" ref="C198">SUMPRODUCT(($I$3:$I$5014=A198)*($N$3:$N$5014=B198)*$K$3:$K$5014)</f>
        <v>11.3</v>
      </c>
      <c r="D198" s="876" cm="1">
        <f t="array" ref="D198">SUMPRODUCT(($Q$3:$Q$5006=$A198)*($S$3:$S$5006=B198)*$U$3:$U$5006)</f>
        <v>0</v>
      </c>
      <c r="E198" s="711">
        <f>C198+D198</f>
        <v>11.3</v>
      </c>
      <c r="F198" s="74"/>
      <c r="G198" s="74"/>
      <c r="H198" s="74"/>
      <c r="I198" s="133">
        <v>46036</v>
      </c>
      <c r="J198" s="134">
        <v>0.6020833333333333</v>
      </c>
      <c r="K198" s="135">
        <v>18.899999999999999</v>
      </c>
      <c r="L198" s="75">
        <v>1</v>
      </c>
      <c r="M198" s="75" t="s">
        <v>637</v>
      </c>
      <c r="N198" s="75" t="s">
        <v>494</v>
      </c>
      <c r="O198" s="75"/>
      <c r="P198" s="74"/>
      <c r="Q198" s="972">
        <v>46137</v>
      </c>
      <c r="R198" s="973" t="str">
        <f>TEXT(Tabla9[[#This Row],[Fecha]],"dddd")</f>
        <v>sábado</v>
      </c>
      <c r="S198" s="427" t="s">
        <v>146</v>
      </c>
      <c r="T198" s="427">
        <v>19</v>
      </c>
      <c r="U198" s="974">
        <v>64.86</v>
      </c>
      <c r="V198" s="427"/>
      <c r="W198" s="74"/>
      <c r="X198" s="74"/>
      <c r="Y198" s="684">
        <v>45745</v>
      </c>
      <c r="Z198" s="74">
        <v>2385.3000000000002</v>
      </c>
    </row>
    <row r="199" spans="1:26">
      <c r="A199" s="1267">
        <f>46135</f>
        <v>46135</v>
      </c>
      <c r="B199" s="1240" t="s">
        <v>497</v>
      </c>
      <c r="C199" s="1268">
        <f t="array" ref="C199">SUMPRODUCT(($I$3:$I$5028=A199)*($N$3:$N$5028=B199)*$K$3:$K$5028)</f>
        <v>0</v>
      </c>
      <c r="D199" s="876">
        <f t="array" ref="D199">SUMPRODUCT(($Q$3:$Q$4998=A199)*($S$3:$S$4998=B199)*$U$3:$U$4998)</f>
        <v>1043.77</v>
      </c>
      <c r="E199" s="1268">
        <f t="shared" si="2"/>
        <v>1043.77</v>
      </c>
      <c r="F199" s="74"/>
      <c r="G199" s="74"/>
      <c r="H199" s="74"/>
      <c r="I199" s="133">
        <v>46036</v>
      </c>
      <c r="J199" s="134">
        <v>0.60277777777777775</v>
      </c>
      <c r="K199" s="135">
        <v>18.899999999999999</v>
      </c>
      <c r="L199" s="75">
        <v>1</v>
      </c>
      <c r="M199" s="75" t="s">
        <v>637</v>
      </c>
      <c r="N199" s="75" t="s">
        <v>494</v>
      </c>
      <c r="O199" s="75"/>
      <c r="P199" s="74"/>
      <c r="Q199" s="972">
        <v>46137</v>
      </c>
      <c r="R199" s="973" t="str">
        <f>TEXT(Tabla9[[#This Row],[Fecha]],"dddd")</f>
        <v>sábado</v>
      </c>
      <c r="S199" s="427" t="s">
        <v>494</v>
      </c>
      <c r="T199" s="427">
        <v>50</v>
      </c>
      <c r="U199" s="974">
        <v>838.27</v>
      </c>
      <c r="V199" s="427"/>
      <c r="W199" s="74"/>
      <c r="X199" s="74"/>
      <c r="Y199" s="684" t="s">
        <v>146</v>
      </c>
      <c r="Z199" s="74">
        <v>137.65</v>
      </c>
    </row>
    <row r="200" spans="1:26">
      <c r="A200" s="1035">
        <f>46122</f>
        <v>46122</v>
      </c>
      <c r="B200" s="428" t="s">
        <v>494</v>
      </c>
      <c r="C200" s="1019">
        <f t="array" ref="C200">SUMPRODUCT(($I$3:$I$5028=A200)*($N$3:$N$5028=B200)*$K$3:$K$5028)</f>
        <v>88.15</v>
      </c>
      <c r="D200" s="1057">
        <f t="array" ref="D200">SUMPRODUCT(($Q$3:$Q$4998=A200)*($S$3:$S$4998=B200)*$U$3:$U$4998)</f>
        <v>226.04499999999999</v>
      </c>
      <c r="E200" s="1019">
        <f t="shared" si="2"/>
        <v>314.19499999999999</v>
      </c>
      <c r="F200" s="74"/>
      <c r="G200" s="74"/>
      <c r="H200" s="74"/>
      <c r="I200" s="133">
        <v>46036</v>
      </c>
      <c r="J200" s="134">
        <v>0.60624999999999996</v>
      </c>
      <c r="K200" s="135">
        <v>6.7</v>
      </c>
      <c r="L200" s="75">
        <v>1</v>
      </c>
      <c r="M200" s="75" t="s">
        <v>637</v>
      </c>
      <c r="N200" s="75" t="s">
        <v>494</v>
      </c>
      <c r="O200" s="75"/>
      <c r="P200" s="74"/>
      <c r="Q200" s="1130">
        <v>46137</v>
      </c>
      <c r="R200" s="1131" t="s">
        <v>635</v>
      </c>
      <c r="S200" s="1131" t="s">
        <v>497</v>
      </c>
      <c r="T200" s="1131">
        <v>66</v>
      </c>
      <c r="U200" s="1132">
        <v>740.77</v>
      </c>
      <c r="V200" s="1132">
        <v>11.22</v>
      </c>
      <c r="W200" s="74"/>
      <c r="X200" s="74"/>
      <c r="Y200" s="684" t="s">
        <v>494</v>
      </c>
      <c r="Z200" s="74">
        <v>718.75</v>
      </c>
    </row>
    <row r="201" spans="1:26">
      <c r="A201" s="1035">
        <f>46122</f>
        <v>46122</v>
      </c>
      <c r="B201" s="428" t="s">
        <v>497</v>
      </c>
      <c r="C201" s="1019">
        <f t="array" ref="C201">SUMPRODUCT(($I$3:$I$5028=A201)*($N$3:$N$5028=B201)*$K$3:$K$5028)</f>
        <v>3.2</v>
      </c>
      <c r="D201" s="1057">
        <f t="array" ref="D201">SUMPRODUCT(($Q$3:$Q$4998=A201)*($S$3:$S$4998=B201)*$U$3:$U$4998)</f>
        <v>477.90899999999999</v>
      </c>
      <c r="E201" s="1019">
        <f t="shared" ref="E201:E210" si="4">C201+D201</f>
        <v>481.10899999999998</v>
      </c>
      <c r="F201" s="74"/>
      <c r="G201" s="74"/>
      <c r="H201" s="74"/>
      <c r="I201" s="133">
        <v>46036</v>
      </c>
      <c r="J201" s="134">
        <v>0.61111111111111116</v>
      </c>
      <c r="K201" s="135">
        <v>1.85</v>
      </c>
      <c r="L201" s="75">
        <v>1</v>
      </c>
      <c r="M201" s="75" t="s">
        <v>637</v>
      </c>
      <c r="N201" s="75" t="s">
        <v>494</v>
      </c>
      <c r="O201" s="75"/>
      <c r="P201" s="74"/>
      <c r="Q201" s="1130">
        <v>46138</v>
      </c>
      <c r="R201" s="1131" t="s">
        <v>636</v>
      </c>
      <c r="S201" s="1131" t="s">
        <v>146</v>
      </c>
      <c r="T201" s="1131">
        <v>30</v>
      </c>
      <c r="U201" s="1132">
        <v>85.86</v>
      </c>
      <c r="V201" s="1132">
        <v>2.86</v>
      </c>
      <c r="W201" s="74"/>
      <c r="X201" s="74"/>
      <c r="Y201" s="684" t="s">
        <v>497</v>
      </c>
      <c r="Z201" s="74">
        <v>1528.9</v>
      </c>
    </row>
    <row r="202" spans="1:26">
      <c r="A202" s="1035">
        <f>46123</f>
        <v>46123</v>
      </c>
      <c r="B202" s="428" t="s">
        <v>146</v>
      </c>
      <c r="C202" s="1019">
        <f t="array" ref="C202">SUMPRODUCT(($I$3:$I$5028=A202)*($N$3:$N$5028=B202)*$K$3:$K$5028)</f>
        <v>118.7</v>
      </c>
      <c r="D202" s="1057">
        <f t="array" ref="D202">SUMPRODUCT(($Q$3:$Q$4998=A202)*($S$3:$S$4998=B202)*$U$3:$U$4998)</f>
        <v>85.272999999999996</v>
      </c>
      <c r="E202" s="1019">
        <f t="shared" si="4"/>
        <v>203.97300000000001</v>
      </c>
      <c r="F202" s="74"/>
      <c r="G202" s="74"/>
      <c r="H202" s="74"/>
      <c r="I202" s="133">
        <v>46036</v>
      </c>
      <c r="J202" s="134">
        <v>0.625</v>
      </c>
      <c r="K202" s="135">
        <v>1.7</v>
      </c>
      <c r="L202" s="75">
        <v>1</v>
      </c>
      <c r="M202" s="75" t="s">
        <v>637</v>
      </c>
      <c r="N202" s="75" t="s">
        <v>494</v>
      </c>
      <c r="O202" s="75"/>
      <c r="P202" s="74"/>
      <c r="Q202" s="1130">
        <v>46138</v>
      </c>
      <c r="R202" s="1131" t="s">
        <v>636</v>
      </c>
      <c r="S202" s="1131" t="s">
        <v>494</v>
      </c>
      <c r="T202" s="1131">
        <v>58</v>
      </c>
      <c r="U202" s="1132">
        <v>723.82</v>
      </c>
      <c r="V202" s="1132">
        <v>12.48</v>
      </c>
      <c r="W202" s="74"/>
      <c r="X202" s="74"/>
      <c r="Y202" s="684">
        <v>45746</v>
      </c>
      <c r="Z202" s="74">
        <v>1403.95</v>
      </c>
    </row>
    <row r="203" spans="1:26">
      <c r="A203" s="1035">
        <f>46123</f>
        <v>46123</v>
      </c>
      <c r="B203" s="428" t="s">
        <v>494</v>
      </c>
      <c r="C203" s="1019">
        <f t="array" ref="C203">SUMPRODUCT(($I$3:$I$5028=A203)*($N$3:$N$5028=B203)*$K$3:$K$5028)</f>
        <v>267.75</v>
      </c>
      <c r="D203" s="1057">
        <f t="array" ref="D203">SUMPRODUCT(($Q$3:$Q$4998=A203)*($S$3:$S$4998=B203)*$U$3:$U$4998)</f>
        <v>772.31799999999998</v>
      </c>
      <c r="E203" s="1019">
        <f t="shared" si="4"/>
        <v>1040.068</v>
      </c>
      <c r="F203" s="74"/>
      <c r="G203" s="74"/>
      <c r="H203" s="74"/>
      <c r="I203" s="133">
        <v>46036</v>
      </c>
      <c r="J203" s="134">
        <v>0.80555555555555558</v>
      </c>
      <c r="K203" s="135">
        <v>3.1</v>
      </c>
      <c r="L203" s="75">
        <v>1</v>
      </c>
      <c r="M203" s="75" t="s">
        <v>637</v>
      </c>
      <c r="N203" s="75" t="s">
        <v>497</v>
      </c>
      <c r="O203" s="75"/>
      <c r="P203" s="74"/>
      <c r="Q203" s="1130">
        <v>46138</v>
      </c>
      <c r="R203" s="1131" t="s">
        <v>636</v>
      </c>
      <c r="S203" s="1131" t="s">
        <v>497</v>
      </c>
      <c r="T203" s="1131">
        <v>16</v>
      </c>
      <c r="U203" s="1132">
        <v>158.72999999999999</v>
      </c>
      <c r="V203" s="1132">
        <v>9.92</v>
      </c>
      <c r="W203" s="74"/>
      <c r="X203" s="74"/>
      <c r="Y203" s="684" t="s">
        <v>146</v>
      </c>
      <c r="Z203" s="74">
        <v>298.8</v>
      </c>
    </row>
    <row r="204" spans="1:26">
      <c r="A204" s="684">
        <v>46136</v>
      </c>
      <c r="B204" s="428" t="s">
        <v>497</v>
      </c>
      <c r="C204" s="1019">
        <f t="array" ref="C204">SUMPRODUCT((I1722:I1822=A204)*(N1722:N1822=B204)*K1722:K1822)</f>
        <v>241.8</v>
      </c>
      <c r="D204" s="74">
        <f t="array" ref="D204">SUMPRODUCT(($Q$3:$Q$4998=A204)*($S$3:$S$4998=B204)*$U$3:$U$4998)</f>
        <v>815.23</v>
      </c>
      <c r="E204" s="153">
        <f t="shared" si="4"/>
        <v>1057.03</v>
      </c>
      <c r="F204" s="74"/>
      <c r="G204" s="74"/>
      <c r="H204" s="74"/>
      <c r="I204" s="133">
        <v>46036</v>
      </c>
      <c r="J204" s="134">
        <v>0.81458333333333333</v>
      </c>
      <c r="K204" s="135">
        <v>7.75</v>
      </c>
      <c r="L204" s="75">
        <v>1</v>
      </c>
      <c r="M204" s="75" t="s">
        <v>637</v>
      </c>
      <c r="N204" s="75" t="s">
        <v>497</v>
      </c>
      <c r="O204" s="75"/>
      <c r="P204" s="74"/>
      <c r="Q204" s="1130">
        <v>46141</v>
      </c>
      <c r="R204" s="1131" t="s">
        <v>637</v>
      </c>
      <c r="S204" s="1131" t="s">
        <v>494</v>
      </c>
      <c r="T204" s="1131">
        <v>24</v>
      </c>
      <c r="U204" s="1132">
        <v>339.18</v>
      </c>
      <c r="V204" s="1132">
        <v>14.13</v>
      </c>
      <c r="W204" s="74"/>
      <c r="X204" s="74"/>
      <c r="Y204" s="684" t="s">
        <v>494</v>
      </c>
      <c r="Z204" s="74">
        <v>921.5</v>
      </c>
    </row>
    <row r="205" spans="1:26">
      <c r="A205" s="684">
        <v>46136</v>
      </c>
      <c r="B205" s="428" t="s">
        <v>494</v>
      </c>
      <c r="C205" s="1019">
        <f t="array" ref="C205">SUMPRODUCT((I1728:I1822=A205)*(N1728:N1822=B205)*K1728:K1822)</f>
        <v>41.7</v>
      </c>
      <c r="D205" s="74">
        <f t="array" ref="D205">SUMPRODUCT(($Q$3:$Q$4998=A205)*($S$3:$S$4998=B205)*$U$3:$U$4998)</f>
        <v>221.77</v>
      </c>
      <c r="E205" s="1019">
        <f t="shared" si="4"/>
        <v>263.47000000000003</v>
      </c>
      <c r="F205" s="74"/>
      <c r="G205" s="74"/>
      <c r="H205" s="74"/>
      <c r="I205" s="133">
        <v>46036</v>
      </c>
      <c r="J205" s="134">
        <v>0.87083333333333335</v>
      </c>
      <c r="K205" s="135">
        <v>5.25</v>
      </c>
      <c r="L205" s="75">
        <v>1</v>
      </c>
      <c r="M205" s="75" t="s">
        <v>637</v>
      </c>
      <c r="N205" s="75" t="s">
        <v>497</v>
      </c>
      <c r="O205" s="75"/>
      <c r="P205" s="74"/>
      <c r="Q205" s="1130">
        <v>46141</v>
      </c>
      <c r="R205" s="1131" t="s">
        <v>637</v>
      </c>
      <c r="S205" s="1131" t="s">
        <v>497</v>
      </c>
      <c r="T205" s="1131">
        <v>11</v>
      </c>
      <c r="U205" s="1132">
        <v>168.05</v>
      </c>
      <c r="V205" s="1132">
        <v>15.28</v>
      </c>
      <c r="W205" s="74"/>
      <c r="X205" s="74"/>
      <c r="Y205" s="684" t="s">
        <v>497</v>
      </c>
      <c r="Z205" s="74">
        <v>183.65</v>
      </c>
    </row>
    <row r="206" spans="1:26">
      <c r="A206" s="684">
        <v>46137</v>
      </c>
      <c r="B206" s="428" t="s">
        <v>494</v>
      </c>
      <c r="C206" s="74">
        <f t="array" ref="C206">SUMPRODUCT((I1732:I1822=A206)*(N1732:N1822=B206)*K1732:K1822)</f>
        <v>99</v>
      </c>
      <c r="D206" s="1057">
        <f t="array" ref="D206">SUMPRODUCT(($Q$3:$Q$4998=A206)*($S$3:$S$4998=B206)*$U$3:$U$4998)</f>
        <v>838.27</v>
      </c>
      <c r="E206" s="153">
        <f t="shared" si="4"/>
        <v>937.27</v>
      </c>
      <c r="F206" s="74"/>
      <c r="G206" s="74"/>
      <c r="H206" s="74"/>
      <c r="I206" s="133">
        <v>46037</v>
      </c>
      <c r="J206" s="134">
        <v>0.30069444444444438</v>
      </c>
      <c r="K206" s="135">
        <v>3.4</v>
      </c>
      <c r="L206" s="75">
        <v>1</v>
      </c>
      <c r="M206" s="75" t="s">
        <v>638</v>
      </c>
      <c r="N206" s="75" t="s">
        <v>146</v>
      </c>
      <c r="O206" s="75"/>
      <c r="P206" s="74"/>
      <c r="Q206" s="1130">
        <v>46142</v>
      </c>
      <c r="R206" s="1131" t="s">
        <v>638</v>
      </c>
      <c r="S206" s="1131" t="s">
        <v>494</v>
      </c>
      <c r="T206" s="1131">
        <v>27</v>
      </c>
      <c r="U206" s="1132">
        <v>411.86</v>
      </c>
      <c r="V206" s="1132">
        <v>15.25</v>
      </c>
      <c r="W206" s="74"/>
      <c r="X206" s="74"/>
      <c r="Y206" s="684">
        <v>45749</v>
      </c>
      <c r="Z206" s="74">
        <v>943.4</v>
      </c>
    </row>
    <row r="207" spans="1:26">
      <c r="A207" s="684">
        <v>46137</v>
      </c>
      <c r="B207" s="428" t="s">
        <v>146</v>
      </c>
      <c r="C207" s="74">
        <f t="array" ref="C207">SUMPRODUCT((I1736:I1822=A207)*(N1736:N1822=B207)*K1736:K1822)</f>
        <v>99.200000000000031</v>
      </c>
      <c r="D207" s="1057">
        <f t="array" ref="D207">SUMPRODUCT(($Q$3:$Q$4998=A207)*($S$3:$S$4998=B207)*$U$3:$U$4998)</f>
        <v>64.86</v>
      </c>
      <c r="E207" s="153">
        <f t="shared" si="4"/>
        <v>164.06000000000003</v>
      </c>
      <c r="F207" s="74"/>
      <c r="G207" s="74"/>
      <c r="H207" s="74"/>
      <c r="I207" s="133">
        <v>46037</v>
      </c>
      <c r="J207" s="134">
        <v>0.31736111111111109</v>
      </c>
      <c r="K207" s="135">
        <v>1.55</v>
      </c>
      <c r="L207" s="75">
        <v>1</v>
      </c>
      <c r="M207" s="75" t="s">
        <v>638</v>
      </c>
      <c r="N207" s="75" t="s">
        <v>146</v>
      </c>
      <c r="O207" s="75"/>
      <c r="P207" s="74"/>
      <c r="Q207" s="1130">
        <v>46142</v>
      </c>
      <c r="R207" s="1131" t="s">
        <v>638</v>
      </c>
      <c r="S207" s="1131" t="s">
        <v>497</v>
      </c>
      <c r="T207" s="1131">
        <v>23</v>
      </c>
      <c r="U207" s="1132">
        <v>464.82</v>
      </c>
      <c r="V207" s="1132">
        <v>20.21</v>
      </c>
      <c r="W207" s="74"/>
      <c r="X207" s="74"/>
      <c r="Y207" s="684" t="s">
        <v>146</v>
      </c>
      <c r="Z207" s="74">
        <v>138.1</v>
      </c>
    </row>
    <row r="208" spans="1:26">
      <c r="A208" s="684">
        <v>46138</v>
      </c>
      <c r="B208" s="428" t="s">
        <v>497</v>
      </c>
      <c r="C208" s="74">
        <f t="array" ref="C208">SUMPRODUCT(($I$3:$I$5028=A208)*($N$3:$N$5028=B208)*$K$3:$K$5028)</f>
        <v>87.700000000000017</v>
      </c>
      <c r="D208" s="1057">
        <f t="array" ref="D208">SUMPRODUCT(($Q$3:$Q$4998=A208)*($S$3:$S$4998=B208)*$U$3:$U$4998)</f>
        <v>158.72999999999999</v>
      </c>
      <c r="E208" s="153">
        <f t="shared" si="4"/>
        <v>246.43</v>
      </c>
      <c r="F208" s="74"/>
      <c r="G208" s="74"/>
      <c r="H208" s="74"/>
      <c r="I208" s="133">
        <v>46037</v>
      </c>
      <c r="J208" s="134">
        <v>0.35347222222222219</v>
      </c>
      <c r="K208" s="135">
        <v>1.5</v>
      </c>
      <c r="L208" s="75">
        <v>1</v>
      </c>
      <c r="M208" s="75" t="s">
        <v>638</v>
      </c>
      <c r="N208" s="75" t="s">
        <v>146</v>
      </c>
      <c r="O208" s="75"/>
      <c r="P208" s="74"/>
      <c r="Q208" s="1127"/>
      <c r="R208" s="1128"/>
      <c r="S208" s="1128"/>
      <c r="T208" s="1128"/>
      <c r="U208" s="1128"/>
      <c r="V208" s="1128"/>
      <c r="W208" s="74"/>
      <c r="X208" s="74"/>
      <c r="Y208" s="684" t="s">
        <v>494</v>
      </c>
      <c r="Z208" s="74">
        <v>383.85</v>
      </c>
    </row>
    <row r="209" spans="1:26">
      <c r="A209" s="684">
        <v>46141</v>
      </c>
      <c r="B209" s="428" t="s">
        <v>494</v>
      </c>
      <c r="C209" s="74">
        <f t="array" ref="C209">SUMPRODUCT(($I$3:$I$5028=A209)*($N$3:$N$5028=B209)*$K$3:$K$5028)</f>
        <v>105.15</v>
      </c>
      <c r="D209" s="1057">
        <f t="array" ref="D209">SUMPRODUCT(($Q$3:$Q$4998=A209)*($S$3:$S$4998=B209)*$U$3:$U$4998)</f>
        <v>339.18</v>
      </c>
      <c r="E209" s="153">
        <f t="shared" si="4"/>
        <v>444.33000000000004</v>
      </c>
      <c r="I209" s="133">
        <v>46037</v>
      </c>
      <c r="J209" s="134">
        <v>0.37777777777777782</v>
      </c>
      <c r="K209" s="135">
        <v>4.95</v>
      </c>
      <c r="L209" s="75">
        <v>2</v>
      </c>
      <c r="M209" s="75" t="s">
        <v>638</v>
      </c>
      <c r="N209" s="75" t="s">
        <v>146</v>
      </c>
      <c r="O209" s="75"/>
      <c r="P209" s="74"/>
      <c r="Q209" s="1127"/>
      <c r="R209" s="1128"/>
      <c r="S209" s="1128"/>
      <c r="T209" s="1128"/>
      <c r="U209" s="1128"/>
      <c r="V209" s="1128"/>
      <c r="W209" s="74"/>
      <c r="X209" s="74"/>
      <c r="Y209" s="684" t="s">
        <v>497</v>
      </c>
      <c r="Z209" s="74">
        <v>421.45</v>
      </c>
    </row>
    <row r="210" spans="1:26">
      <c r="A210" s="684">
        <v>46141</v>
      </c>
      <c r="B210" s="428" t="s">
        <v>497</v>
      </c>
      <c r="C210" s="74">
        <f t="array" ref="C210">SUMPRODUCT(($I$3:$I$5028=A210)*($N$3:$N$5028=B210)*$K$3:$K$5028)</f>
        <v>95.499999999999986</v>
      </c>
      <c r="D210" s="1057">
        <f t="array" ref="D210">SUMPRODUCT(($Q$3:$Q$4998=A210)*($S$3:$S$4998=B210)*$U$3:$U$4998)</f>
        <v>168.05</v>
      </c>
      <c r="E210" s="153">
        <f t="shared" si="4"/>
        <v>263.55</v>
      </c>
      <c r="I210" s="133">
        <v>46037</v>
      </c>
      <c r="J210" s="134">
        <v>0.3923611111111111</v>
      </c>
      <c r="K210" s="135">
        <v>1.7</v>
      </c>
      <c r="L210" s="75">
        <v>1</v>
      </c>
      <c r="M210" s="75" t="s">
        <v>638</v>
      </c>
      <c r="N210" s="75" t="s">
        <v>146</v>
      </c>
      <c r="O210" s="75"/>
      <c r="P210" s="74"/>
      <c r="Q210" s="1127"/>
      <c r="R210" s="1128"/>
      <c r="S210" s="1128"/>
      <c r="T210" s="1128"/>
      <c r="U210" s="1128"/>
      <c r="V210" s="1128"/>
      <c r="W210" s="74"/>
      <c r="X210" s="74"/>
      <c r="Y210" s="684">
        <v>45750</v>
      </c>
      <c r="Z210" s="74">
        <v>1020.85</v>
      </c>
    </row>
    <row r="211" spans="1:26">
      <c r="A211" s="1133">
        <v>46115</v>
      </c>
      <c r="B211" s="1134" t="s">
        <v>497</v>
      </c>
      <c r="C211" s="1135">
        <v>51.6</v>
      </c>
      <c r="D211" s="1135">
        <v>1089.96</v>
      </c>
      <c r="E211" s="1135">
        <v>1141.56</v>
      </c>
      <c r="I211" s="133">
        <v>46037</v>
      </c>
      <c r="J211" s="134">
        <v>0.41111111111111109</v>
      </c>
      <c r="K211" s="135">
        <v>1.95</v>
      </c>
      <c r="L211" s="75">
        <v>1</v>
      </c>
      <c r="M211" s="75" t="s">
        <v>638</v>
      </c>
      <c r="N211" s="75" t="s">
        <v>146</v>
      </c>
      <c r="O211" s="75"/>
      <c r="P211" s="74"/>
      <c r="Q211" s="1127"/>
      <c r="R211" s="1128"/>
      <c r="S211" s="1128"/>
      <c r="T211" s="1128"/>
      <c r="U211" s="1128"/>
      <c r="V211" s="1128"/>
      <c r="W211" s="74"/>
      <c r="X211" s="74"/>
      <c r="Y211" s="684" t="s">
        <v>146</v>
      </c>
      <c r="Z211" s="74">
        <v>50.55</v>
      </c>
    </row>
    <row r="212" spans="1:26">
      <c r="A212" s="1133">
        <v>46117</v>
      </c>
      <c r="B212" s="1134" t="s">
        <v>497</v>
      </c>
      <c r="C212" s="1135">
        <v>0</v>
      </c>
      <c r="D212" s="1135">
        <v>775.41</v>
      </c>
      <c r="E212" s="1135">
        <v>775.41</v>
      </c>
      <c r="I212" s="133">
        <v>46037</v>
      </c>
      <c r="J212" s="134">
        <v>0.44722222222222219</v>
      </c>
      <c r="K212" s="135">
        <v>1.4</v>
      </c>
      <c r="L212" s="75">
        <v>1</v>
      </c>
      <c r="M212" s="75" t="s">
        <v>638</v>
      </c>
      <c r="N212" s="75" t="s">
        <v>146</v>
      </c>
      <c r="O212" s="75"/>
      <c r="P212" s="74"/>
      <c r="Q212" s="1127"/>
      <c r="R212" s="1128"/>
      <c r="S212" s="1128"/>
      <c r="T212" s="1128"/>
      <c r="U212" s="1128"/>
      <c r="V212" s="1128"/>
      <c r="W212" s="74"/>
      <c r="X212" s="74"/>
      <c r="Y212" s="684" t="s">
        <v>494</v>
      </c>
      <c r="Z212" s="74">
        <v>310.25</v>
      </c>
    </row>
    <row r="213" spans="1:26">
      <c r="A213" s="1133">
        <v>46137</v>
      </c>
      <c r="B213" s="1134" t="s">
        <v>497</v>
      </c>
      <c r="C213" s="1135">
        <v>0</v>
      </c>
      <c r="D213" s="1135">
        <v>740.77</v>
      </c>
      <c r="E213" s="1135">
        <v>740.77</v>
      </c>
      <c r="I213" s="133">
        <v>46037</v>
      </c>
      <c r="J213" s="134">
        <v>0.45694444444444438</v>
      </c>
      <c r="K213" s="135">
        <v>4.7</v>
      </c>
      <c r="L213" s="75">
        <v>2</v>
      </c>
      <c r="M213" s="75" t="s">
        <v>638</v>
      </c>
      <c r="N213" s="75" t="s">
        <v>146</v>
      </c>
      <c r="O213" s="75"/>
      <c r="P213" s="74"/>
      <c r="Q213" s="1127"/>
      <c r="R213" s="1128"/>
      <c r="S213" s="1128"/>
      <c r="T213" s="1128"/>
      <c r="U213" s="1128"/>
      <c r="V213" s="1128"/>
      <c r="W213" s="74"/>
      <c r="X213" s="74"/>
      <c r="Y213" s="684" t="s">
        <v>497</v>
      </c>
      <c r="Z213" s="74">
        <v>660.05</v>
      </c>
    </row>
    <row r="214" spans="1:26">
      <c r="A214" s="1133">
        <v>46138</v>
      </c>
      <c r="B214" s="1134" t="s">
        <v>146</v>
      </c>
      <c r="C214" s="1135">
        <v>0</v>
      </c>
      <c r="D214" s="1135">
        <v>85.86</v>
      </c>
      <c r="E214" s="1135">
        <v>85.86</v>
      </c>
      <c r="I214" s="133">
        <v>46037</v>
      </c>
      <c r="J214" s="134">
        <v>0.4597222222222222</v>
      </c>
      <c r="K214" s="135">
        <v>2.8</v>
      </c>
      <c r="L214" s="75">
        <v>1</v>
      </c>
      <c r="M214" s="75" t="s">
        <v>638</v>
      </c>
      <c r="N214" s="75" t="s">
        <v>146</v>
      </c>
      <c r="O214" s="75"/>
      <c r="P214" s="74"/>
      <c r="Q214" s="1127"/>
      <c r="R214" s="1128"/>
      <c r="S214" s="1128"/>
      <c r="T214" s="1128"/>
      <c r="U214" s="1128"/>
      <c r="V214" s="1128"/>
      <c r="W214" s="74"/>
      <c r="X214" s="74"/>
      <c r="Y214" s="684">
        <v>45751</v>
      </c>
      <c r="Z214" s="74">
        <v>1628.4</v>
      </c>
    </row>
    <row r="215" spans="1:26">
      <c r="A215" s="1136">
        <v>46138</v>
      </c>
      <c r="B215" s="1137" t="s">
        <v>494</v>
      </c>
      <c r="C215" s="1138">
        <v>0</v>
      </c>
      <c r="D215" s="1138">
        <v>723.82</v>
      </c>
      <c r="E215" s="1138">
        <v>723.82</v>
      </c>
      <c r="I215" s="133">
        <v>46037</v>
      </c>
      <c r="J215" s="134">
        <v>0.47222222222222221</v>
      </c>
      <c r="K215" s="135">
        <v>31.9</v>
      </c>
      <c r="L215" s="75">
        <v>1</v>
      </c>
      <c r="M215" s="75" t="s">
        <v>638</v>
      </c>
      <c r="N215" s="75" t="s">
        <v>146</v>
      </c>
      <c r="O215" s="75"/>
      <c r="P215" s="74"/>
      <c r="Q215" s="1127"/>
      <c r="R215" s="1128"/>
      <c r="S215" s="1128"/>
      <c r="T215" s="1128"/>
      <c r="U215" s="1128"/>
      <c r="V215" s="1128"/>
      <c r="W215" s="74"/>
      <c r="X215" s="74"/>
      <c r="Y215" s="684" t="s">
        <v>146</v>
      </c>
      <c r="Z215" s="74">
        <v>124.65</v>
      </c>
    </row>
    <row r="216" spans="1:26">
      <c r="A216" s="1136">
        <v>46142</v>
      </c>
      <c r="B216" s="1137" t="s">
        <v>494</v>
      </c>
      <c r="C216" s="1138">
        <v>0</v>
      </c>
      <c r="D216" s="1138">
        <v>411.86</v>
      </c>
      <c r="E216" s="1138">
        <v>411.86</v>
      </c>
      <c r="I216" s="133">
        <v>46037</v>
      </c>
      <c r="J216" s="134">
        <v>0.48333333333333328</v>
      </c>
      <c r="K216" s="135">
        <v>3</v>
      </c>
      <c r="L216" s="75">
        <v>1</v>
      </c>
      <c r="M216" s="75" t="s">
        <v>638</v>
      </c>
      <c r="N216" s="75" t="s">
        <v>146</v>
      </c>
      <c r="O216" s="75"/>
      <c r="P216" s="74"/>
      <c r="Q216" s="1127"/>
      <c r="R216" s="1128"/>
      <c r="S216" s="1128"/>
      <c r="T216" s="1128"/>
      <c r="U216" s="1128"/>
      <c r="V216" s="1128"/>
      <c r="W216" s="74"/>
      <c r="X216" s="74"/>
      <c r="Y216" s="684" t="s">
        <v>494</v>
      </c>
      <c r="Z216" s="74">
        <v>453.55</v>
      </c>
    </row>
    <row r="217" spans="1:26">
      <c r="A217" s="1136">
        <v>46142</v>
      </c>
      <c r="B217" s="1137" t="s">
        <v>497</v>
      </c>
      <c r="C217" s="1138">
        <v>0</v>
      </c>
      <c r="D217" s="1138">
        <v>464.82</v>
      </c>
      <c r="E217" s="1138">
        <v>464.82</v>
      </c>
      <c r="I217" s="133">
        <v>46037</v>
      </c>
      <c r="J217" s="134">
        <v>0.49305555555555558</v>
      </c>
      <c r="K217" s="135">
        <v>7.6</v>
      </c>
      <c r="L217" s="75">
        <v>2</v>
      </c>
      <c r="M217" s="75" t="s">
        <v>638</v>
      </c>
      <c r="N217" s="75" t="s">
        <v>146</v>
      </c>
      <c r="O217" s="75"/>
      <c r="P217" s="74"/>
      <c r="Q217" s="1127"/>
      <c r="R217" s="1128"/>
      <c r="S217" s="1128"/>
      <c r="T217" s="1128"/>
      <c r="U217" s="1128"/>
      <c r="V217" s="1128"/>
      <c r="W217" s="74"/>
      <c r="X217" s="74"/>
      <c r="Y217" s="684" t="s">
        <v>497</v>
      </c>
      <c r="Z217" s="74">
        <v>1050.2</v>
      </c>
    </row>
    <row r="218" spans="1:26">
      <c r="I218" s="133">
        <v>46037</v>
      </c>
      <c r="J218" s="134">
        <v>0.50347222222222221</v>
      </c>
      <c r="K218" s="135">
        <v>4.6500000000000004</v>
      </c>
      <c r="L218" s="75">
        <v>2</v>
      </c>
      <c r="M218" s="75" t="s">
        <v>638</v>
      </c>
      <c r="N218" s="75" t="s">
        <v>494</v>
      </c>
      <c r="O218" s="75"/>
      <c r="P218" s="74"/>
      <c r="Q218" s="1127"/>
      <c r="R218" s="1128"/>
      <c r="S218" s="1128"/>
      <c r="T218" s="1128"/>
      <c r="U218" s="1128"/>
      <c r="V218" s="1128"/>
      <c r="W218" s="74"/>
      <c r="X218" s="74"/>
      <c r="Y218" s="684">
        <v>45752</v>
      </c>
      <c r="Z218" s="74">
        <v>2282.9</v>
      </c>
    </row>
    <row r="219" spans="1:26">
      <c r="I219" s="133">
        <v>46037</v>
      </c>
      <c r="J219" s="134">
        <v>0.52430555555555558</v>
      </c>
      <c r="K219" s="135">
        <v>2.65</v>
      </c>
      <c r="L219" s="75">
        <v>1</v>
      </c>
      <c r="M219" s="75" t="s">
        <v>638</v>
      </c>
      <c r="N219" s="75" t="s">
        <v>494</v>
      </c>
      <c r="O219" s="75"/>
      <c r="P219" s="74"/>
      <c r="Q219" s="1127"/>
      <c r="R219" s="1128"/>
      <c r="S219" s="1128"/>
      <c r="T219" s="1128"/>
      <c r="U219" s="1128"/>
      <c r="V219" s="1128"/>
      <c r="W219" s="74"/>
      <c r="X219" s="74"/>
      <c r="Y219" s="684" t="s">
        <v>146</v>
      </c>
      <c r="Z219" s="74">
        <v>251.2</v>
      </c>
    </row>
    <row r="220" spans="1:26">
      <c r="I220" s="133">
        <v>46037</v>
      </c>
      <c r="J220" s="134">
        <v>0.6</v>
      </c>
      <c r="K220" s="135">
        <v>1.85</v>
      </c>
      <c r="L220" s="75">
        <v>1</v>
      </c>
      <c r="M220" s="75" t="s">
        <v>638</v>
      </c>
      <c r="N220" s="75" t="s">
        <v>494</v>
      </c>
      <c r="O220" s="75"/>
      <c r="P220" s="74"/>
      <c r="Q220" s="1127"/>
      <c r="R220" s="1128"/>
      <c r="S220" s="1128"/>
      <c r="T220" s="1128"/>
      <c r="U220" s="1128"/>
      <c r="V220" s="1128"/>
      <c r="W220" s="74"/>
      <c r="X220" s="74"/>
      <c r="Y220" s="684" t="s">
        <v>494</v>
      </c>
      <c r="Z220" s="74">
        <v>788.8</v>
      </c>
    </row>
    <row r="221" spans="1:26">
      <c r="I221" s="133">
        <v>46037</v>
      </c>
      <c r="J221" s="134">
        <v>0.63749999999999996</v>
      </c>
      <c r="K221" s="135">
        <v>2.5499999999999998</v>
      </c>
      <c r="L221" s="75">
        <v>1</v>
      </c>
      <c r="M221" s="75" t="s">
        <v>638</v>
      </c>
      <c r="N221" s="75" t="s">
        <v>494</v>
      </c>
      <c r="O221" s="75"/>
      <c r="P221" s="74"/>
      <c r="Q221" s="1127"/>
      <c r="R221" s="1128"/>
      <c r="S221" s="1128"/>
      <c r="T221" s="1128"/>
      <c r="U221" s="1128"/>
      <c r="V221" s="1128"/>
      <c r="W221" s="74"/>
      <c r="X221" s="74"/>
      <c r="Y221" s="684" t="s">
        <v>497</v>
      </c>
      <c r="Z221" s="74">
        <v>1242.9000000000001</v>
      </c>
    </row>
    <row r="222" spans="1:26">
      <c r="I222" s="133">
        <v>46037</v>
      </c>
      <c r="J222" s="134">
        <v>0.88888888888888884</v>
      </c>
      <c r="K222" s="135">
        <v>6.1</v>
      </c>
      <c r="L222" s="75">
        <v>1</v>
      </c>
      <c r="M222" s="75" t="s">
        <v>638</v>
      </c>
      <c r="N222" s="75" t="s">
        <v>497</v>
      </c>
      <c r="O222" s="75"/>
      <c r="P222" s="74"/>
      <c r="Q222" s="1127"/>
      <c r="R222" s="1128"/>
      <c r="S222" s="1128"/>
      <c r="T222" s="1128"/>
      <c r="U222" s="1128"/>
      <c r="V222" s="1128"/>
      <c r="W222" s="74"/>
      <c r="X222" s="74"/>
      <c r="Y222" s="684">
        <v>45753</v>
      </c>
      <c r="Z222" s="74">
        <v>1401.6</v>
      </c>
    </row>
    <row r="223" spans="1:26">
      <c r="I223" s="133">
        <v>46038</v>
      </c>
      <c r="J223" s="134">
        <v>0.29722222222222222</v>
      </c>
      <c r="K223" s="135">
        <v>3.4</v>
      </c>
      <c r="L223" s="75">
        <v>1</v>
      </c>
      <c r="M223" s="75" t="s">
        <v>633</v>
      </c>
      <c r="N223" s="75" t="s">
        <v>146</v>
      </c>
      <c r="O223" s="75"/>
      <c r="P223" s="74"/>
      <c r="Q223" s="1127"/>
      <c r="R223" s="1128"/>
      <c r="S223" s="1128"/>
      <c r="T223" s="1128"/>
      <c r="U223" s="1128"/>
      <c r="V223" s="1128"/>
      <c r="W223" s="74"/>
      <c r="X223" s="74"/>
      <c r="Y223" s="684" t="s">
        <v>146</v>
      </c>
      <c r="Z223" s="74">
        <v>65.05</v>
      </c>
    </row>
    <row r="224" spans="1:26">
      <c r="I224" s="133">
        <v>46038</v>
      </c>
      <c r="J224" s="134">
        <v>0.31458333333333333</v>
      </c>
      <c r="K224" s="135">
        <v>3.2</v>
      </c>
      <c r="L224" s="75">
        <v>1</v>
      </c>
      <c r="M224" s="75" t="s">
        <v>633</v>
      </c>
      <c r="N224" s="75" t="s">
        <v>146</v>
      </c>
      <c r="O224" s="75"/>
      <c r="P224" s="74"/>
      <c r="Q224" s="1127"/>
      <c r="R224" s="1128"/>
      <c r="S224" s="1128"/>
      <c r="T224" s="1128"/>
      <c r="U224" s="1128"/>
      <c r="V224" s="1128"/>
      <c r="W224" s="74"/>
      <c r="X224" s="74"/>
      <c r="Y224" s="684" t="s">
        <v>494</v>
      </c>
      <c r="Z224" s="74">
        <v>1025</v>
      </c>
    </row>
    <row r="225" spans="9:26">
      <c r="I225" s="133">
        <v>46038</v>
      </c>
      <c r="J225" s="134">
        <v>0.31805555555555548</v>
      </c>
      <c r="K225" s="135">
        <v>1.55</v>
      </c>
      <c r="L225" s="75">
        <v>1</v>
      </c>
      <c r="M225" s="75" t="s">
        <v>633</v>
      </c>
      <c r="N225" s="75" t="s">
        <v>146</v>
      </c>
      <c r="O225" s="75"/>
      <c r="P225" s="74"/>
      <c r="Q225" s="1127"/>
      <c r="R225" s="1128"/>
      <c r="S225" s="1128"/>
      <c r="T225" s="1128"/>
      <c r="U225" s="1128"/>
      <c r="V225" s="1128"/>
      <c r="W225" s="74"/>
      <c r="X225" s="74"/>
      <c r="Y225" s="684" t="s">
        <v>497</v>
      </c>
      <c r="Z225" s="74">
        <v>311.55</v>
      </c>
    </row>
    <row r="226" spans="9:26">
      <c r="I226" s="133">
        <v>46038</v>
      </c>
      <c r="J226" s="134">
        <v>0.34027777777777779</v>
      </c>
      <c r="K226" s="135">
        <v>1.5</v>
      </c>
      <c r="L226" s="75">
        <v>1</v>
      </c>
      <c r="M226" s="75" t="s">
        <v>633</v>
      </c>
      <c r="N226" s="75" t="s">
        <v>146</v>
      </c>
      <c r="O226" s="75"/>
      <c r="P226" s="74"/>
      <c r="Q226" s="1127"/>
      <c r="R226" s="1128"/>
      <c r="S226" s="1128"/>
      <c r="T226" s="1128"/>
      <c r="U226" s="1128"/>
      <c r="V226" s="1128"/>
      <c r="W226" s="74"/>
      <c r="X226" s="74"/>
      <c r="Y226" s="684">
        <v>45756</v>
      </c>
      <c r="Z226" s="74">
        <v>898.55</v>
      </c>
    </row>
    <row r="227" spans="9:26">
      <c r="I227" s="133">
        <v>46038</v>
      </c>
      <c r="J227" s="134">
        <v>0.3611111111111111</v>
      </c>
      <c r="K227" s="135">
        <v>1.4</v>
      </c>
      <c r="L227" s="75">
        <v>1</v>
      </c>
      <c r="M227" s="75" t="s">
        <v>633</v>
      </c>
      <c r="N227" s="75" t="s">
        <v>146</v>
      </c>
      <c r="O227" s="75"/>
      <c r="P227" s="74"/>
      <c r="Q227" s="1127"/>
      <c r="R227" s="1128"/>
      <c r="S227" s="1128"/>
      <c r="T227" s="1128"/>
      <c r="U227" s="1128"/>
      <c r="V227" s="1128"/>
      <c r="W227" s="74"/>
      <c r="X227" s="74"/>
      <c r="Y227" s="684" t="s">
        <v>146</v>
      </c>
      <c r="Z227" s="74">
        <v>98.3</v>
      </c>
    </row>
    <row r="228" spans="9:26">
      <c r="I228" s="133">
        <v>46038</v>
      </c>
      <c r="J228" s="134">
        <v>0.37777777777777782</v>
      </c>
      <c r="K228" s="135">
        <v>1.4</v>
      </c>
      <c r="L228" s="75">
        <v>1</v>
      </c>
      <c r="M228" s="75" t="s">
        <v>633</v>
      </c>
      <c r="N228" s="75" t="s">
        <v>146</v>
      </c>
      <c r="O228" s="75"/>
      <c r="P228" s="74"/>
      <c r="Q228" s="1127"/>
      <c r="R228" s="1128"/>
      <c r="S228" s="1128"/>
      <c r="T228" s="1128"/>
      <c r="U228" s="1128"/>
      <c r="V228" s="1128"/>
      <c r="W228" s="74"/>
      <c r="X228" s="74"/>
      <c r="Y228" s="684" t="s">
        <v>494</v>
      </c>
      <c r="Z228" s="74">
        <v>394.2</v>
      </c>
    </row>
    <row r="229" spans="9:26">
      <c r="I229" s="133">
        <v>46038</v>
      </c>
      <c r="J229" s="134">
        <v>0.40625</v>
      </c>
      <c r="K229" s="135">
        <v>8.9</v>
      </c>
      <c r="L229" s="75">
        <v>2</v>
      </c>
      <c r="M229" s="75" t="s">
        <v>633</v>
      </c>
      <c r="N229" s="75" t="s">
        <v>146</v>
      </c>
      <c r="O229" s="75"/>
      <c r="P229" s="74"/>
      <c r="Q229" s="1127"/>
      <c r="R229" s="1128"/>
      <c r="S229" s="1128"/>
      <c r="T229" s="1128"/>
      <c r="U229" s="1128"/>
      <c r="V229" s="1128"/>
      <c r="W229" s="74"/>
      <c r="X229" s="74"/>
      <c r="Y229" s="684" t="s">
        <v>497</v>
      </c>
      <c r="Z229" s="74">
        <v>406.05</v>
      </c>
    </row>
    <row r="230" spans="9:26">
      <c r="I230" s="133">
        <v>46038</v>
      </c>
      <c r="J230" s="134">
        <v>0.43611111111111112</v>
      </c>
      <c r="K230" s="135">
        <v>3.2</v>
      </c>
      <c r="L230" s="75">
        <v>1</v>
      </c>
      <c r="M230" s="75" t="s">
        <v>633</v>
      </c>
      <c r="N230" s="75" t="s">
        <v>146</v>
      </c>
      <c r="O230" s="75"/>
      <c r="P230" s="74"/>
      <c r="Q230" s="1127"/>
      <c r="R230" s="1128"/>
      <c r="S230" s="1128"/>
      <c r="T230" s="1128"/>
      <c r="U230" s="1128"/>
      <c r="V230" s="1128"/>
      <c r="W230" s="74"/>
      <c r="X230" s="74"/>
      <c r="Y230" s="684">
        <v>45757</v>
      </c>
      <c r="Z230" s="74">
        <v>600.6</v>
      </c>
    </row>
    <row r="231" spans="9:26">
      <c r="I231" s="133">
        <v>46038</v>
      </c>
      <c r="J231" s="134">
        <v>0.46666666666666667</v>
      </c>
      <c r="K231" s="135">
        <v>1.5</v>
      </c>
      <c r="L231" s="75">
        <v>1</v>
      </c>
      <c r="M231" s="75" t="s">
        <v>633</v>
      </c>
      <c r="N231" s="75" t="s">
        <v>146</v>
      </c>
      <c r="O231" s="75"/>
      <c r="P231" s="74"/>
      <c r="Q231" s="1127"/>
      <c r="R231" s="1128"/>
      <c r="S231" s="1128"/>
      <c r="T231" s="1128"/>
      <c r="U231" s="1128"/>
      <c r="V231" s="1128"/>
      <c r="W231" s="74"/>
      <c r="X231" s="74"/>
      <c r="Y231" s="684" t="s">
        <v>146</v>
      </c>
      <c r="Z231" s="74">
        <v>119.9</v>
      </c>
    </row>
    <row r="232" spans="9:26">
      <c r="I232" s="133">
        <v>46038</v>
      </c>
      <c r="J232" s="134">
        <v>0.47152777777777782</v>
      </c>
      <c r="K232" s="135">
        <v>1.4</v>
      </c>
      <c r="L232" s="75">
        <v>1</v>
      </c>
      <c r="M232" s="75" t="s">
        <v>633</v>
      </c>
      <c r="N232" s="75" t="s">
        <v>146</v>
      </c>
      <c r="O232" s="75"/>
      <c r="P232" s="74"/>
      <c r="Q232" s="1127"/>
      <c r="R232" s="1128"/>
      <c r="S232" s="1128"/>
      <c r="T232" s="1128"/>
      <c r="U232" s="1128"/>
      <c r="V232" s="1128"/>
      <c r="W232" s="74"/>
      <c r="X232" s="74"/>
      <c r="Y232" s="684" t="s">
        <v>494</v>
      </c>
      <c r="Z232" s="74">
        <v>250.95</v>
      </c>
    </row>
    <row r="233" spans="9:26">
      <c r="I233" s="133">
        <v>46038</v>
      </c>
      <c r="J233" s="134">
        <v>0.47638888888888892</v>
      </c>
      <c r="K233" s="135">
        <v>9.1</v>
      </c>
      <c r="L233" s="75">
        <v>2</v>
      </c>
      <c r="M233" s="75" t="s">
        <v>633</v>
      </c>
      <c r="N233" s="75" t="s">
        <v>146</v>
      </c>
      <c r="O233" s="75"/>
      <c r="P233" s="74"/>
      <c r="Q233" s="1127"/>
      <c r="R233" s="1128"/>
      <c r="S233" s="1128"/>
      <c r="T233" s="1128"/>
      <c r="U233" s="1128"/>
      <c r="V233" s="1128"/>
      <c r="W233" s="74"/>
      <c r="X233" s="74"/>
      <c r="Y233" s="684" t="s">
        <v>497</v>
      </c>
      <c r="Z233" s="74">
        <v>229.75</v>
      </c>
    </row>
    <row r="234" spans="9:26">
      <c r="I234" s="133">
        <v>46038</v>
      </c>
      <c r="J234" s="134">
        <v>0.4861111111111111</v>
      </c>
      <c r="K234" s="135">
        <v>1.7</v>
      </c>
      <c r="L234" s="75">
        <v>1</v>
      </c>
      <c r="M234" s="75" t="s">
        <v>633</v>
      </c>
      <c r="N234" s="75" t="s">
        <v>146</v>
      </c>
      <c r="O234" s="75"/>
      <c r="P234" s="74"/>
      <c r="Q234" s="1127"/>
      <c r="R234" s="1128"/>
      <c r="S234" s="1128"/>
      <c r="T234" s="1128"/>
      <c r="U234" s="1128"/>
      <c r="V234" s="1128"/>
      <c r="W234" s="74"/>
      <c r="X234" s="74"/>
      <c r="Y234" s="684">
        <v>45758</v>
      </c>
      <c r="Z234" s="74">
        <v>2151.3000000000002</v>
      </c>
    </row>
    <row r="235" spans="9:26">
      <c r="I235" s="133">
        <v>46038</v>
      </c>
      <c r="J235" s="134">
        <v>0.49027777777777781</v>
      </c>
      <c r="K235" s="135">
        <v>3.05</v>
      </c>
      <c r="L235" s="75">
        <v>1</v>
      </c>
      <c r="M235" s="75" t="s">
        <v>633</v>
      </c>
      <c r="N235" s="75" t="s">
        <v>146</v>
      </c>
      <c r="O235" s="75"/>
      <c r="P235" s="74"/>
      <c r="Q235" s="1127"/>
      <c r="R235" s="1128"/>
      <c r="S235" s="1128"/>
      <c r="T235" s="1128"/>
      <c r="U235" s="1128"/>
      <c r="V235" s="1128"/>
      <c r="W235" s="74"/>
      <c r="X235" s="74"/>
      <c r="Y235" s="684" t="s">
        <v>146</v>
      </c>
      <c r="Z235" s="74">
        <v>104.65</v>
      </c>
    </row>
    <row r="236" spans="9:26">
      <c r="I236" s="133">
        <v>46038</v>
      </c>
      <c r="J236" s="134">
        <v>0.51388888888888884</v>
      </c>
      <c r="K236" s="135">
        <v>9.85</v>
      </c>
      <c r="L236" s="75">
        <v>3</v>
      </c>
      <c r="M236" s="75" t="s">
        <v>633</v>
      </c>
      <c r="N236" s="75" t="s">
        <v>494</v>
      </c>
      <c r="O236" s="75"/>
      <c r="P236" s="74"/>
      <c r="Q236" s="1127"/>
      <c r="R236" s="1128"/>
      <c r="S236" s="1128"/>
      <c r="T236" s="1128"/>
      <c r="U236" s="1128"/>
      <c r="V236" s="1128"/>
      <c r="W236" s="74"/>
      <c r="X236" s="74"/>
      <c r="Y236" s="684" t="s">
        <v>494</v>
      </c>
      <c r="Z236" s="74">
        <v>347.1</v>
      </c>
    </row>
    <row r="237" spans="9:26">
      <c r="I237" s="133">
        <v>46038</v>
      </c>
      <c r="J237" s="134">
        <v>0.53611111111111109</v>
      </c>
      <c r="K237" s="135">
        <v>1.85</v>
      </c>
      <c r="L237" s="75">
        <v>1</v>
      </c>
      <c r="M237" s="75" t="s">
        <v>633</v>
      </c>
      <c r="N237" s="75" t="s">
        <v>494</v>
      </c>
      <c r="O237" s="75"/>
      <c r="P237" s="74"/>
      <c r="Q237" s="1127"/>
      <c r="R237" s="1128"/>
      <c r="S237" s="1128"/>
      <c r="T237" s="1128"/>
      <c r="U237" s="1128"/>
      <c r="V237" s="1128"/>
      <c r="W237" s="74"/>
      <c r="X237" s="74"/>
      <c r="Y237" s="684" t="s">
        <v>497</v>
      </c>
      <c r="Z237" s="74">
        <v>1699.55</v>
      </c>
    </row>
    <row r="238" spans="9:26">
      <c r="I238" s="133">
        <v>46038</v>
      </c>
      <c r="J238" s="134">
        <v>0.54027777777777775</v>
      </c>
      <c r="K238" s="135">
        <v>9.4</v>
      </c>
      <c r="L238" s="75">
        <v>1</v>
      </c>
      <c r="M238" s="75" t="s">
        <v>633</v>
      </c>
      <c r="N238" s="75" t="s">
        <v>494</v>
      </c>
      <c r="O238" s="75"/>
      <c r="P238" s="74"/>
      <c r="Q238" s="1127"/>
      <c r="R238" s="1128"/>
      <c r="S238" s="1128"/>
      <c r="T238" s="1128"/>
      <c r="U238" s="1128"/>
      <c r="V238" s="1128"/>
      <c r="W238" s="74"/>
      <c r="X238" s="74"/>
      <c r="Y238" s="684">
        <v>45759</v>
      </c>
      <c r="Z238" s="74">
        <v>2382.5500000000002</v>
      </c>
    </row>
    <row r="239" spans="9:26">
      <c r="I239" s="133">
        <v>46038</v>
      </c>
      <c r="J239" s="134">
        <v>0.55069444444444449</v>
      </c>
      <c r="K239" s="135">
        <v>3.35</v>
      </c>
      <c r="L239" s="75">
        <v>1</v>
      </c>
      <c r="M239" s="75" t="s">
        <v>633</v>
      </c>
      <c r="N239" s="75" t="s">
        <v>494</v>
      </c>
      <c r="O239" s="75"/>
      <c r="P239" s="74"/>
      <c r="Q239" s="1127"/>
      <c r="R239" s="1128"/>
      <c r="S239" s="1128"/>
      <c r="T239" s="1128"/>
      <c r="U239" s="1128"/>
      <c r="V239" s="1128"/>
      <c r="W239" s="74"/>
      <c r="X239" s="74"/>
      <c r="Y239" s="684" t="s">
        <v>146</v>
      </c>
      <c r="Z239" s="74">
        <v>84.5</v>
      </c>
    </row>
    <row r="240" spans="9:26">
      <c r="I240" s="133">
        <v>46038</v>
      </c>
      <c r="J240" s="134">
        <v>0.57013888888888886</v>
      </c>
      <c r="K240" s="135">
        <v>19</v>
      </c>
      <c r="L240" s="75">
        <v>2</v>
      </c>
      <c r="M240" s="75" t="s">
        <v>633</v>
      </c>
      <c r="N240" s="75" t="s">
        <v>494</v>
      </c>
      <c r="O240" s="75"/>
      <c r="P240" s="74"/>
      <c r="Q240" s="1127"/>
      <c r="R240" s="1128"/>
      <c r="S240" s="1128"/>
      <c r="T240" s="1128"/>
      <c r="U240" s="1128"/>
      <c r="V240" s="1128"/>
      <c r="W240" s="74"/>
      <c r="X240" s="74"/>
      <c r="Y240" s="684" t="s">
        <v>494</v>
      </c>
      <c r="Z240" s="74">
        <v>431.85</v>
      </c>
    </row>
    <row r="241" spans="9:26">
      <c r="I241" s="133">
        <v>46038</v>
      </c>
      <c r="J241" s="134">
        <v>0.5708333333333333</v>
      </c>
      <c r="K241" s="135">
        <v>3.3</v>
      </c>
      <c r="L241" s="75">
        <v>1</v>
      </c>
      <c r="M241" s="75" t="s">
        <v>633</v>
      </c>
      <c r="N241" s="75" t="s">
        <v>494</v>
      </c>
      <c r="O241" s="75"/>
      <c r="P241" s="74"/>
      <c r="Q241" s="1127"/>
      <c r="R241" s="1128"/>
      <c r="S241" s="1128"/>
      <c r="T241" s="1128"/>
      <c r="U241" s="1128"/>
      <c r="V241" s="1128"/>
      <c r="W241" s="74"/>
      <c r="X241" s="74"/>
      <c r="Y241" s="684" t="s">
        <v>497</v>
      </c>
      <c r="Z241" s="74">
        <v>1866.2</v>
      </c>
    </row>
    <row r="242" spans="9:26">
      <c r="I242" s="133">
        <v>46038</v>
      </c>
      <c r="J242" s="134">
        <v>0.62013888888888891</v>
      </c>
      <c r="K242" s="135">
        <v>1.4</v>
      </c>
      <c r="L242" s="75">
        <v>1</v>
      </c>
      <c r="M242" s="75" t="s">
        <v>633</v>
      </c>
      <c r="N242" s="75" t="s">
        <v>494</v>
      </c>
      <c r="O242" s="75"/>
      <c r="P242" s="74"/>
      <c r="Q242" s="1127"/>
      <c r="R242" s="1128"/>
      <c r="S242" s="1128"/>
      <c r="T242" s="1128"/>
      <c r="U242" s="1128"/>
      <c r="V242" s="1128"/>
      <c r="W242" s="74"/>
      <c r="X242" s="74"/>
      <c r="Y242" s="684">
        <v>45760</v>
      </c>
      <c r="Z242" s="74">
        <v>2023</v>
      </c>
    </row>
    <row r="243" spans="9:26">
      <c r="I243" s="133">
        <v>46038</v>
      </c>
      <c r="J243" s="134">
        <v>0.64652777777777781</v>
      </c>
      <c r="K243" s="135">
        <v>3.35</v>
      </c>
      <c r="L243" s="75">
        <v>1</v>
      </c>
      <c r="M243" s="75" t="s">
        <v>633</v>
      </c>
      <c r="N243" s="75" t="s">
        <v>494</v>
      </c>
      <c r="O243" s="75"/>
      <c r="P243" s="74"/>
      <c r="Q243" s="1127"/>
      <c r="R243" s="1128"/>
      <c r="S243" s="1128"/>
      <c r="T243" s="1128"/>
      <c r="U243" s="1128"/>
      <c r="V243" s="1128"/>
      <c r="W243" s="74"/>
      <c r="X243" s="74"/>
      <c r="Y243" s="684" t="s">
        <v>146</v>
      </c>
      <c r="Z243" s="74">
        <v>119.9</v>
      </c>
    </row>
    <row r="244" spans="9:26">
      <c r="I244" s="136">
        <v>46038</v>
      </c>
      <c r="J244" s="137">
        <v>0.99930555555555556</v>
      </c>
      <c r="K244" s="138">
        <v>18</v>
      </c>
      <c r="L244" s="139">
        <v>1</v>
      </c>
      <c r="M244" s="75" t="s">
        <v>633</v>
      </c>
      <c r="N244" s="75" t="s">
        <v>497</v>
      </c>
      <c r="O244" s="75"/>
      <c r="P244" s="74"/>
      <c r="Q244" s="1127"/>
      <c r="R244" s="1128"/>
      <c r="S244" s="1128"/>
      <c r="T244" s="1128"/>
      <c r="U244" s="1128"/>
      <c r="V244" s="1128"/>
      <c r="W244" s="74"/>
      <c r="X244" s="74"/>
      <c r="Y244" s="684" t="s">
        <v>494</v>
      </c>
      <c r="Z244" s="74">
        <v>1240.1500000000001</v>
      </c>
    </row>
    <row r="245" spans="9:26">
      <c r="I245" s="133">
        <v>46039</v>
      </c>
      <c r="J245" s="134">
        <v>0.39097222222222222</v>
      </c>
      <c r="K245" s="135">
        <v>7.9</v>
      </c>
      <c r="L245" s="75">
        <v>1</v>
      </c>
      <c r="M245" s="75" t="s">
        <v>635</v>
      </c>
      <c r="N245" s="75" t="s">
        <v>146</v>
      </c>
      <c r="O245" s="75"/>
      <c r="P245" s="74"/>
      <c r="Q245" s="1127"/>
      <c r="R245" s="1128"/>
      <c r="S245" s="1128"/>
      <c r="T245" s="1128"/>
      <c r="U245" s="1128"/>
      <c r="V245" s="1128"/>
      <c r="W245" s="74"/>
      <c r="X245" s="74"/>
      <c r="Y245" s="684" t="s">
        <v>497</v>
      </c>
      <c r="Z245" s="74">
        <v>662.95</v>
      </c>
    </row>
    <row r="246" spans="9:26">
      <c r="I246" s="133">
        <v>46039</v>
      </c>
      <c r="J246" s="134">
        <v>0.39166666666666672</v>
      </c>
      <c r="K246" s="135">
        <v>6.5</v>
      </c>
      <c r="L246" s="75">
        <v>1</v>
      </c>
      <c r="M246" s="75" t="s">
        <v>635</v>
      </c>
      <c r="N246" s="75" t="s">
        <v>146</v>
      </c>
      <c r="O246" s="75"/>
      <c r="P246" s="74"/>
      <c r="Q246" s="1127"/>
      <c r="R246" s="1128"/>
      <c r="S246" s="1128"/>
      <c r="T246" s="1128"/>
      <c r="U246" s="1128"/>
      <c r="V246" s="1128"/>
      <c r="W246" s="74"/>
      <c r="X246" s="74"/>
      <c r="Y246" s="684">
        <v>45763</v>
      </c>
      <c r="Z246" s="74">
        <v>1253.4000000000001</v>
      </c>
    </row>
    <row r="247" spans="9:26">
      <c r="I247" s="133">
        <v>46039</v>
      </c>
      <c r="J247" s="134">
        <v>0.3972222222222222</v>
      </c>
      <c r="K247" s="135">
        <v>15.65</v>
      </c>
      <c r="L247" s="75">
        <v>2</v>
      </c>
      <c r="M247" s="75" t="s">
        <v>635</v>
      </c>
      <c r="N247" s="75" t="s">
        <v>146</v>
      </c>
      <c r="O247" s="75"/>
      <c r="P247" s="74"/>
      <c r="Q247" s="1127"/>
      <c r="R247" s="1128"/>
      <c r="S247" s="1128"/>
      <c r="T247" s="1128"/>
      <c r="U247" s="1128"/>
      <c r="V247" s="1128"/>
      <c r="W247" s="74"/>
      <c r="X247" s="74"/>
      <c r="Y247" s="684" t="s">
        <v>146</v>
      </c>
      <c r="Z247" s="74">
        <v>226.7</v>
      </c>
    </row>
    <row r="248" spans="9:26">
      <c r="I248" s="133">
        <v>46039</v>
      </c>
      <c r="J248" s="134">
        <v>0.46736111111111112</v>
      </c>
      <c r="K248" s="135">
        <v>8.65</v>
      </c>
      <c r="L248" s="75">
        <v>2</v>
      </c>
      <c r="M248" s="75" t="s">
        <v>635</v>
      </c>
      <c r="N248" s="75" t="s">
        <v>146</v>
      </c>
      <c r="O248" s="75"/>
      <c r="P248" s="74"/>
      <c r="Q248" s="1127"/>
      <c r="R248" s="1128"/>
      <c r="S248" s="1128"/>
      <c r="T248" s="1128"/>
      <c r="U248" s="1128"/>
      <c r="V248" s="1128"/>
      <c r="W248" s="74"/>
      <c r="X248" s="74"/>
      <c r="Y248" s="684" t="s">
        <v>494</v>
      </c>
      <c r="Z248" s="74">
        <v>625.70000000000005</v>
      </c>
    </row>
    <row r="249" spans="9:26">
      <c r="I249" s="133">
        <v>46039</v>
      </c>
      <c r="J249" s="134">
        <v>0.47847222222222219</v>
      </c>
      <c r="K249" s="135">
        <v>1.7</v>
      </c>
      <c r="L249" s="75">
        <v>1</v>
      </c>
      <c r="M249" s="75" t="s">
        <v>635</v>
      </c>
      <c r="N249" s="75" t="s">
        <v>146</v>
      </c>
      <c r="O249" s="75"/>
      <c r="P249" s="74"/>
      <c r="Q249" s="1127"/>
      <c r="R249" s="1128"/>
      <c r="S249" s="1128"/>
      <c r="T249" s="1128"/>
      <c r="U249" s="1128"/>
      <c r="V249" s="1128"/>
      <c r="W249" s="74"/>
      <c r="X249" s="74"/>
      <c r="Y249" s="684" t="s">
        <v>497</v>
      </c>
      <c r="Z249" s="74">
        <v>401</v>
      </c>
    </row>
    <row r="250" spans="9:26">
      <c r="I250" s="133">
        <v>46039</v>
      </c>
      <c r="J250" s="134">
        <v>0.47847222222222219</v>
      </c>
      <c r="K250" s="135">
        <v>1.7</v>
      </c>
      <c r="L250" s="75">
        <v>1</v>
      </c>
      <c r="M250" s="75" t="s">
        <v>635</v>
      </c>
      <c r="N250" s="75" t="s">
        <v>146</v>
      </c>
      <c r="O250" s="75"/>
      <c r="P250" s="74"/>
      <c r="Q250" s="1127"/>
      <c r="R250" s="1128"/>
      <c r="S250" s="1128"/>
      <c r="T250" s="1128"/>
      <c r="U250" s="1128"/>
      <c r="V250" s="1128"/>
      <c r="W250" s="74"/>
      <c r="X250" s="74"/>
      <c r="Y250" s="684">
        <v>45764</v>
      </c>
      <c r="Z250" s="74">
        <v>1388.15</v>
      </c>
    </row>
    <row r="251" spans="9:26">
      <c r="I251" s="133">
        <v>46039</v>
      </c>
      <c r="J251" s="134">
        <v>0.48125000000000001</v>
      </c>
      <c r="K251" s="135">
        <v>1.5</v>
      </c>
      <c r="L251" s="75">
        <v>1</v>
      </c>
      <c r="M251" s="75" t="s">
        <v>635</v>
      </c>
      <c r="N251" s="75" t="s">
        <v>146</v>
      </c>
      <c r="O251" s="75"/>
      <c r="P251" s="74"/>
      <c r="Q251" s="1127"/>
      <c r="R251" s="1128"/>
      <c r="S251" s="1128"/>
      <c r="T251" s="1128"/>
      <c r="U251" s="1128"/>
      <c r="V251" s="1128"/>
      <c r="W251" s="74"/>
      <c r="X251" s="74"/>
      <c r="Y251" s="684" t="s">
        <v>146</v>
      </c>
      <c r="Z251" s="74">
        <v>105.3</v>
      </c>
    </row>
    <row r="252" spans="9:26">
      <c r="I252" s="133">
        <v>46039</v>
      </c>
      <c r="J252" s="134">
        <v>0.52500000000000002</v>
      </c>
      <c r="K252" s="135">
        <v>3.2</v>
      </c>
      <c r="L252" s="75">
        <v>1</v>
      </c>
      <c r="M252" s="75" t="s">
        <v>635</v>
      </c>
      <c r="N252" s="75" t="s">
        <v>494</v>
      </c>
      <c r="O252" s="75"/>
      <c r="P252" s="74"/>
      <c r="Q252" s="1127"/>
      <c r="R252" s="1128"/>
      <c r="S252" s="1128"/>
      <c r="T252" s="1128"/>
      <c r="U252" s="1128"/>
      <c r="V252" s="1128"/>
      <c r="W252" s="74"/>
      <c r="X252" s="74"/>
      <c r="Y252" s="684" t="s">
        <v>494</v>
      </c>
      <c r="Z252" s="74">
        <v>408.1</v>
      </c>
    </row>
    <row r="253" spans="9:26">
      <c r="I253" s="133">
        <v>46040</v>
      </c>
      <c r="J253" s="134">
        <v>0.35486111111111113</v>
      </c>
      <c r="K253" s="135">
        <v>1.5</v>
      </c>
      <c r="L253" s="75">
        <v>1</v>
      </c>
      <c r="M253" s="75" t="s">
        <v>636</v>
      </c>
      <c r="N253" s="75" t="s">
        <v>146</v>
      </c>
      <c r="O253" s="75"/>
      <c r="P253" s="74"/>
      <c r="Q253" s="1127"/>
      <c r="R253" s="1128"/>
      <c r="S253" s="1128"/>
      <c r="T253" s="1128"/>
      <c r="U253" s="1128"/>
      <c r="V253" s="1128"/>
      <c r="W253" s="74"/>
      <c r="X253" s="74"/>
      <c r="Y253" s="684" t="s">
        <v>497</v>
      </c>
      <c r="Z253" s="74">
        <v>874.75</v>
      </c>
    </row>
    <row r="254" spans="9:26">
      <c r="I254" s="133">
        <v>46040</v>
      </c>
      <c r="J254" s="134">
        <v>0.37986111111111109</v>
      </c>
      <c r="K254" s="135">
        <v>1.95</v>
      </c>
      <c r="L254" s="75">
        <v>1</v>
      </c>
      <c r="M254" s="75" t="s">
        <v>636</v>
      </c>
      <c r="N254" s="75" t="s">
        <v>146</v>
      </c>
      <c r="O254" s="75"/>
      <c r="P254" s="74"/>
      <c r="Q254" s="1127"/>
      <c r="R254" s="1128"/>
      <c r="S254" s="1128"/>
      <c r="T254" s="1128"/>
      <c r="U254" s="1128"/>
      <c r="V254" s="1128"/>
      <c r="W254" s="74"/>
      <c r="X254" s="74"/>
      <c r="Y254" s="684">
        <v>45765</v>
      </c>
      <c r="Z254" s="74">
        <v>2047.8</v>
      </c>
    </row>
    <row r="255" spans="9:26">
      <c r="I255" s="133">
        <v>46040</v>
      </c>
      <c r="J255" s="134">
        <v>0.38333333333333341</v>
      </c>
      <c r="K255" s="135">
        <v>4.2</v>
      </c>
      <c r="L255" s="75">
        <v>2</v>
      </c>
      <c r="M255" s="75" t="s">
        <v>636</v>
      </c>
      <c r="N255" s="75" t="s">
        <v>146</v>
      </c>
      <c r="O255" s="75"/>
      <c r="P255" s="74"/>
      <c r="Q255" s="1127"/>
      <c r="R255" s="1128"/>
      <c r="S255" s="1128"/>
      <c r="T255" s="1128"/>
      <c r="U255" s="1128"/>
      <c r="V255" s="1128"/>
      <c r="W255" s="74"/>
      <c r="X255" s="74"/>
      <c r="Y255" s="684" t="s">
        <v>146</v>
      </c>
      <c r="Z255" s="74">
        <v>194.65</v>
      </c>
    </row>
    <row r="256" spans="9:26">
      <c r="I256" s="133">
        <v>46040</v>
      </c>
      <c r="J256" s="134">
        <v>0.41875000000000001</v>
      </c>
      <c r="K256" s="135">
        <v>8</v>
      </c>
      <c r="L256" s="75">
        <v>1</v>
      </c>
      <c r="M256" s="75" t="s">
        <v>636</v>
      </c>
      <c r="N256" s="75" t="s">
        <v>146</v>
      </c>
      <c r="O256" s="75"/>
      <c r="P256" s="74"/>
      <c r="Q256" s="1127"/>
      <c r="R256" s="1128"/>
      <c r="S256" s="1128"/>
      <c r="T256" s="1128"/>
      <c r="U256" s="1128"/>
      <c r="V256" s="1128"/>
      <c r="W256" s="74"/>
      <c r="X256" s="74"/>
      <c r="Y256" s="684" t="s">
        <v>494</v>
      </c>
      <c r="Z256" s="74">
        <v>1286.8499999999999</v>
      </c>
    </row>
    <row r="257" spans="9:26">
      <c r="I257" s="133">
        <v>46040</v>
      </c>
      <c r="J257" s="134">
        <v>0.42986111111111108</v>
      </c>
      <c r="K257" s="135">
        <v>7.9</v>
      </c>
      <c r="L257" s="75">
        <v>2</v>
      </c>
      <c r="M257" s="75" t="s">
        <v>636</v>
      </c>
      <c r="N257" s="75" t="s">
        <v>146</v>
      </c>
      <c r="O257" s="75"/>
      <c r="P257" s="74"/>
      <c r="Q257" s="1127"/>
      <c r="R257" s="1128"/>
      <c r="S257" s="1128"/>
      <c r="T257" s="1128"/>
      <c r="U257" s="1128"/>
      <c r="V257" s="1128"/>
      <c r="W257" s="74"/>
      <c r="X257" s="74"/>
      <c r="Y257" s="684" t="s">
        <v>497</v>
      </c>
      <c r="Z257" s="74">
        <v>566.29999999999995</v>
      </c>
    </row>
    <row r="258" spans="9:26">
      <c r="I258" s="133">
        <v>46040</v>
      </c>
      <c r="J258" s="134">
        <v>0.44722222222222219</v>
      </c>
      <c r="K258" s="135">
        <v>18.8</v>
      </c>
      <c r="L258" s="75">
        <v>3</v>
      </c>
      <c r="M258" s="75" t="s">
        <v>636</v>
      </c>
      <c r="N258" s="75" t="s">
        <v>146</v>
      </c>
      <c r="O258" s="75"/>
      <c r="P258" s="74"/>
      <c r="Q258" s="1127"/>
      <c r="R258" s="1128"/>
      <c r="S258" s="1128"/>
      <c r="T258" s="1128"/>
      <c r="U258" s="1128"/>
      <c r="V258" s="1128"/>
      <c r="W258" s="74"/>
      <c r="X258" s="74"/>
      <c r="Y258" s="684">
        <v>45766</v>
      </c>
      <c r="Z258" s="74">
        <v>2052.25</v>
      </c>
    </row>
    <row r="259" spans="9:26">
      <c r="I259" s="133">
        <v>46040</v>
      </c>
      <c r="J259" s="134">
        <v>0.44722222222222219</v>
      </c>
      <c r="K259" s="135">
        <v>3</v>
      </c>
      <c r="L259" s="75">
        <v>2</v>
      </c>
      <c r="M259" s="75" t="s">
        <v>636</v>
      </c>
      <c r="N259" s="75" t="s">
        <v>146</v>
      </c>
      <c r="O259" s="75"/>
      <c r="P259" s="74"/>
      <c r="Q259" s="1127"/>
      <c r="R259" s="1128"/>
      <c r="S259" s="1128"/>
      <c r="T259" s="1128"/>
      <c r="U259" s="1128"/>
      <c r="V259" s="1128"/>
      <c r="W259" s="74"/>
      <c r="X259" s="74"/>
      <c r="Y259" s="684" t="s">
        <v>146</v>
      </c>
      <c r="Z259" s="74">
        <v>223.7</v>
      </c>
    </row>
    <row r="260" spans="9:26">
      <c r="I260" s="133">
        <v>46040</v>
      </c>
      <c r="J260" s="134">
        <v>0.47152777777777782</v>
      </c>
      <c r="K260" s="135">
        <v>4.6500000000000004</v>
      </c>
      <c r="L260" s="75">
        <v>1</v>
      </c>
      <c r="M260" s="75" t="s">
        <v>636</v>
      </c>
      <c r="N260" s="75" t="s">
        <v>146</v>
      </c>
      <c r="O260" s="75"/>
      <c r="P260" s="74"/>
      <c r="Q260" s="1127"/>
      <c r="R260" s="1128"/>
      <c r="S260" s="1128"/>
      <c r="T260" s="1128"/>
      <c r="U260" s="1128"/>
      <c r="V260" s="1128"/>
      <c r="W260" s="74"/>
      <c r="X260" s="74"/>
      <c r="Y260" s="684" t="s">
        <v>494</v>
      </c>
      <c r="Z260" s="74">
        <v>669.9</v>
      </c>
    </row>
    <row r="261" spans="9:26">
      <c r="I261" s="133">
        <v>46040</v>
      </c>
      <c r="J261" s="134">
        <v>0.47222222222222221</v>
      </c>
      <c r="K261" s="135">
        <v>6.05</v>
      </c>
      <c r="L261" s="75">
        <v>1</v>
      </c>
      <c r="M261" s="75" t="s">
        <v>636</v>
      </c>
      <c r="N261" s="75" t="s">
        <v>146</v>
      </c>
      <c r="O261" s="75"/>
      <c r="P261" s="74"/>
      <c r="Q261" s="1127"/>
      <c r="R261" s="1128"/>
      <c r="S261" s="1128"/>
      <c r="T261" s="1128"/>
      <c r="U261" s="1128"/>
      <c r="V261" s="1128"/>
      <c r="W261" s="74"/>
      <c r="X261" s="74"/>
      <c r="Y261" s="684" t="s">
        <v>497</v>
      </c>
      <c r="Z261" s="74">
        <v>1158.6500000000001</v>
      </c>
    </row>
    <row r="262" spans="9:26">
      <c r="I262" s="133">
        <v>46040</v>
      </c>
      <c r="J262" s="134">
        <v>0.47222222222222221</v>
      </c>
      <c r="K262" s="135">
        <v>6.05</v>
      </c>
      <c r="L262" s="75">
        <v>1</v>
      </c>
      <c r="M262" s="75" t="s">
        <v>636</v>
      </c>
      <c r="N262" s="75" t="s">
        <v>146</v>
      </c>
      <c r="O262" s="75"/>
      <c r="P262" s="74"/>
      <c r="Q262" s="1127"/>
      <c r="R262" s="1128"/>
      <c r="S262" s="1128"/>
      <c r="T262" s="1128"/>
      <c r="U262" s="1128"/>
      <c r="V262" s="1128"/>
      <c r="W262" s="74"/>
      <c r="X262" s="74"/>
      <c r="Y262" s="684">
        <v>45767</v>
      </c>
      <c r="Z262" s="74">
        <v>2713.35</v>
      </c>
    </row>
    <row r="263" spans="9:26">
      <c r="I263" s="133">
        <v>46040</v>
      </c>
      <c r="J263" s="134">
        <v>0.47291666666666671</v>
      </c>
      <c r="K263" s="135">
        <v>10.95</v>
      </c>
      <c r="L263" s="75">
        <v>2</v>
      </c>
      <c r="M263" s="75" t="s">
        <v>636</v>
      </c>
      <c r="N263" s="75" t="s">
        <v>146</v>
      </c>
      <c r="O263" s="75"/>
      <c r="P263" s="74"/>
      <c r="Q263" s="1127"/>
      <c r="R263" s="1128"/>
      <c r="S263" s="1128"/>
      <c r="T263" s="1128"/>
      <c r="U263" s="1128"/>
      <c r="V263" s="1128"/>
      <c r="W263" s="74"/>
      <c r="X263" s="74"/>
      <c r="Y263" s="684" t="s">
        <v>146</v>
      </c>
      <c r="Z263" s="74">
        <v>144.05000000000001</v>
      </c>
    </row>
    <row r="264" spans="9:26">
      <c r="I264" s="133">
        <v>46040</v>
      </c>
      <c r="J264" s="134">
        <v>0.47291666666666671</v>
      </c>
      <c r="K264" s="135">
        <v>10.95</v>
      </c>
      <c r="L264" s="75">
        <v>2</v>
      </c>
      <c r="M264" s="75" t="s">
        <v>636</v>
      </c>
      <c r="N264" s="75" t="s">
        <v>146</v>
      </c>
      <c r="O264" s="75"/>
      <c r="P264" s="74"/>
      <c r="Q264" s="1127"/>
      <c r="R264" s="1128"/>
      <c r="S264" s="1128"/>
      <c r="T264" s="1128"/>
      <c r="U264" s="1128"/>
      <c r="V264" s="1128"/>
      <c r="W264" s="74"/>
      <c r="X264" s="74"/>
      <c r="Y264" s="684" t="s">
        <v>494</v>
      </c>
      <c r="Z264" s="74">
        <v>1324.45</v>
      </c>
    </row>
    <row r="265" spans="9:26">
      <c r="I265" s="133">
        <v>46040</v>
      </c>
      <c r="J265" s="134">
        <v>0.48680555555555549</v>
      </c>
      <c r="K265" s="135">
        <v>3.2</v>
      </c>
      <c r="L265" s="75">
        <v>1</v>
      </c>
      <c r="M265" s="75" t="s">
        <v>636</v>
      </c>
      <c r="N265" s="75" t="s">
        <v>146</v>
      </c>
      <c r="O265" s="75"/>
      <c r="P265" s="74"/>
      <c r="Q265" s="1127"/>
      <c r="R265" s="1128"/>
      <c r="S265" s="1128"/>
      <c r="T265" s="1128"/>
      <c r="U265" s="1128"/>
      <c r="V265" s="1128"/>
      <c r="W265" s="74"/>
      <c r="X265" s="74"/>
      <c r="Y265" s="684" t="s">
        <v>497</v>
      </c>
      <c r="Z265" s="74">
        <v>1244.8499999999999</v>
      </c>
    </row>
    <row r="266" spans="9:26">
      <c r="I266" s="133">
        <v>46040</v>
      </c>
      <c r="J266" s="134">
        <v>0.5</v>
      </c>
      <c r="K266" s="135">
        <v>9.4</v>
      </c>
      <c r="L266" s="75">
        <v>2</v>
      </c>
      <c r="M266" s="75" t="s">
        <v>636</v>
      </c>
      <c r="N266" s="75" t="s">
        <v>494</v>
      </c>
      <c r="O266" s="75"/>
      <c r="P266" s="74"/>
      <c r="Q266" s="1127"/>
      <c r="R266" s="1128"/>
      <c r="S266" s="1128"/>
      <c r="T266" s="1128"/>
      <c r="U266" s="1128"/>
      <c r="V266" s="1128"/>
      <c r="W266" s="74"/>
      <c r="X266" s="74"/>
      <c r="Y266" s="684">
        <v>45770</v>
      </c>
      <c r="Z266" s="74">
        <v>1523.05</v>
      </c>
    </row>
    <row r="267" spans="9:26">
      <c r="I267" s="133">
        <v>46040</v>
      </c>
      <c r="J267" s="134">
        <v>0.50208333333333333</v>
      </c>
      <c r="K267" s="135">
        <v>3.2</v>
      </c>
      <c r="L267" s="75">
        <v>2</v>
      </c>
      <c r="M267" s="75" t="s">
        <v>636</v>
      </c>
      <c r="N267" s="75" t="s">
        <v>494</v>
      </c>
      <c r="O267" s="75"/>
      <c r="P267" s="74"/>
      <c r="Q267" s="1127"/>
      <c r="R267" s="1128"/>
      <c r="S267" s="1128"/>
      <c r="T267" s="1128"/>
      <c r="U267" s="1128"/>
      <c r="V267" s="1128"/>
      <c r="W267" s="74"/>
      <c r="X267" s="74"/>
      <c r="Y267" s="684" t="s">
        <v>146</v>
      </c>
      <c r="Z267" s="74">
        <v>120.05</v>
      </c>
    </row>
    <row r="268" spans="9:26">
      <c r="I268" s="133">
        <v>46040</v>
      </c>
      <c r="J268" s="134">
        <v>0.50972222222222219</v>
      </c>
      <c r="K268" s="135">
        <v>10.5</v>
      </c>
      <c r="L268" s="75">
        <v>4</v>
      </c>
      <c r="M268" s="75" t="s">
        <v>636</v>
      </c>
      <c r="N268" s="75" t="s">
        <v>494</v>
      </c>
      <c r="O268" s="75"/>
      <c r="P268" s="74"/>
      <c r="Q268" s="1127"/>
      <c r="R268" s="1128"/>
      <c r="S268" s="1128"/>
      <c r="T268" s="1128"/>
      <c r="U268" s="1128"/>
      <c r="V268" s="1128"/>
      <c r="W268" s="74"/>
      <c r="X268" s="74"/>
      <c r="Y268" s="684" t="s">
        <v>494</v>
      </c>
      <c r="Z268" s="74">
        <v>442.45</v>
      </c>
    </row>
    <row r="269" spans="9:26">
      <c r="I269" s="133">
        <v>46040</v>
      </c>
      <c r="J269" s="134">
        <v>0.52222222222222225</v>
      </c>
      <c r="K269" s="135">
        <v>5.75</v>
      </c>
      <c r="L269" s="75">
        <v>1</v>
      </c>
      <c r="M269" s="75" t="s">
        <v>636</v>
      </c>
      <c r="N269" s="75" t="s">
        <v>494</v>
      </c>
      <c r="O269" s="75"/>
      <c r="P269" s="74"/>
      <c r="Q269" s="1127"/>
      <c r="R269" s="1128"/>
      <c r="S269" s="1128"/>
      <c r="T269" s="1128"/>
      <c r="U269" s="1128"/>
      <c r="V269" s="1128"/>
      <c r="W269" s="74"/>
      <c r="X269" s="74"/>
      <c r="Y269" s="684" t="s">
        <v>497</v>
      </c>
      <c r="Z269" s="74">
        <v>960.55</v>
      </c>
    </row>
    <row r="270" spans="9:26">
      <c r="I270" s="133">
        <v>46040</v>
      </c>
      <c r="J270" s="134">
        <v>0.66388888888888886</v>
      </c>
      <c r="K270" s="135">
        <v>1.7</v>
      </c>
      <c r="L270" s="75">
        <v>1</v>
      </c>
      <c r="M270" s="75" t="s">
        <v>636</v>
      </c>
      <c r="N270" s="75" t="s">
        <v>494</v>
      </c>
      <c r="O270" s="75"/>
      <c r="P270" s="74"/>
      <c r="Q270" s="1127"/>
      <c r="R270" s="1128"/>
      <c r="S270" s="1128"/>
      <c r="T270" s="1128"/>
      <c r="U270" s="1128"/>
      <c r="V270" s="1128"/>
      <c r="W270" s="74"/>
      <c r="X270" s="74"/>
      <c r="Y270" s="684">
        <v>45771</v>
      </c>
      <c r="Z270" s="74">
        <v>552.45000000000005</v>
      </c>
    </row>
    <row r="271" spans="9:26">
      <c r="I271" s="133">
        <v>46043</v>
      </c>
      <c r="J271" s="134">
        <v>0.30277777777777781</v>
      </c>
      <c r="K271" s="135">
        <v>6.5</v>
      </c>
      <c r="L271" s="75">
        <v>1</v>
      </c>
      <c r="M271" s="75" t="s">
        <v>637</v>
      </c>
      <c r="N271" s="75" t="s">
        <v>146</v>
      </c>
      <c r="O271" s="75"/>
      <c r="P271" s="74"/>
      <c r="Q271" s="1127"/>
      <c r="R271" s="1128"/>
      <c r="S271" s="1128"/>
      <c r="T271" s="1128"/>
      <c r="U271" s="1128"/>
      <c r="V271" s="1128"/>
      <c r="W271" s="74"/>
      <c r="X271" s="74"/>
      <c r="Y271" s="684" t="s">
        <v>146</v>
      </c>
      <c r="Z271" s="74">
        <v>181.75</v>
      </c>
    </row>
    <row r="272" spans="9:26">
      <c r="I272" s="133">
        <v>46043</v>
      </c>
      <c r="J272" s="134">
        <v>0.3215277777777778</v>
      </c>
      <c r="K272" s="135">
        <v>3.65</v>
      </c>
      <c r="L272" s="75">
        <v>1</v>
      </c>
      <c r="M272" s="75" t="s">
        <v>637</v>
      </c>
      <c r="N272" s="75" t="s">
        <v>146</v>
      </c>
      <c r="O272" s="75"/>
      <c r="P272" s="74"/>
      <c r="Q272" s="1127"/>
      <c r="R272" s="1128"/>
      <c r="S272" s="1128"/>
      <c r="T272" s="1128"/>
      <c r="U272" s="1128"/>
      <c r="V272" s="1128"/>
      <c r="W272" s="74"/>
      <c r="X272" s="74"/>
      <c r="Y272" s="684" t="s">
        <v>494</v>
      </c>
      <c r="Z272" s="74">
        <v>302.5</v>
      </c>
    </row>
    <row r="273" spans="9:26">
      <c r="I273" s="133">
        <v>46043</v>
      </c>
      <c r="J273" s="134">
        <v>0.32847222222222222</v>
      </c>
      <c r="K273" s="135">
        <v>1.85</v>
      </c>
      <c r="L273" s="75">
        <v>1</v>
      </c>
      <c r="M273" s="75" t="s">
        <v>637</v>
      </c>
      <c r="N273" s="75" t="s">
        <v>146</v>
      </c>
      <c r="O273" s="75"/>
      <c r="P273" s="74"/>
      <c r="Q273" s="1127"/>
      <c r="R273" s="1128"/>
      <c r="S273" s="1128"/>
      <c r="T273" s="1128"/>
      <c r="U273" s="1128"/>
      <c r="V273" s="1128"/>
      <c r="W273" s="74"/>
      <c r="X273" s="74"/>
      <c r="Y273" s="684" t="s">
        <v>497</v>
      </c>
      <c r="Z273" s="74">
        <v>68.2</v>
      </c>
    </row>
    <row r="274" spans="9:26">
      <c r="I274" s="133">
        <v>46043</v>
      </c>
      <c r="J274" s="134">
        <v>0.32916666666666672</v>
      </c>
      <c r="K274" s="135">
        <v>7.35</v>
      </c>
      <c r="L274" s="75">
        <v>2</v>
      </c>
      <c r="M274" s="75" t="s">
        <v>637</v>
      </c>
      <c r="N274" s="75" t="s">
        <v>146</v>
      </c>
      <c r="O274" s="75"/>
      <c r="P274" s="74"/>
      <c r="Q274" s="1127"/>
      <c r="R274" s="1128"/>
      <c r="S274" s="1128"/>
      <c r="T274" s="1128"/>
      <c r="U274" s="1128"/>
      <c r="V274" s="1128"/>
      <c r="W274" s="74"/>
      <c r="X274" s="74"/>
      <c r="Y274" s="684">
        <v>45772</v>
      </c>
      <c r="Z274" s="74">
        <v>2467.6</v>
      </c>
    </row>
    <row r="275" spans="9:26">
      <c r="I275" s="133">
        <v>46043</v>
      </c>
      <c r="J275" s="134">
        <v>0.33402777777777781</v>
      </c>
      <c r="K275" s="135">
        <v>10.1</v>
      </c>
      <c r="L275" s="75">
        <v>1</v>
      </c>
      <c r="M275" s="75" t="s">
        <v>637</v>
      </c>
      <c r="N275" s="75" t="s">
        <v>146</v>
      </c>
      <c r="O275" s="75"/>
      <c r="P275" s="74"/>
      <c r="Q275" s="1127"/>
      <c r="R275" s="1128"/>
      <c r="S275" s="1128"/>
      <c r="T275" s="1128"/>
      <c r="U275" s="1128"/>
      <c r="V275" s="1128"/>
      <c r="W275" s="74"/>
      <c r="X275" s="74"/>
      <c r="Y275" s="684" t="s">
        <v>146</v>
      </c>
      <c r="Z275" s="74">
        <v>152.4</v>
      </c>
    </row>
    <row r="276" spans="9:26">
      <c r="I276" s="133">
        <v>46043</v>
      </c>
      <c r="J276" s="134">
        <v>0.33958333333333329</v>
      </c>
      <c r="K276" s="135">
        <v>1.5</v>
      </c>
      <c r="L276" s="75">
        <v>1</v>
      </c>
      <c r="M276" s="75" t="s">
        <v>637</v>
      </c>
      <c r="N276" s="75" t="s">
        <v>146</v>
      </c>
      <c r="O276" s="75"/>
      <c r="P276" s="74"/>
      <c r="Q276" s="1127"/>
      <c r="R276" s="1128"/>
      <c r="S276" s="1128"/>
      <c r="T276" s="1128"/>
      <c r="U276" s="1128"/>
      <c r="V276" s="1128"/>
      <c r="W276" s="74"/>
      <c r="X276" s="74"/>
      <c r="Y276" s="684" t="s">
        <v>494</v>
      </c>
      <c r="Z276" s="74">
        <v>734.05</v>
      </c>
    </row>
    <row r="277" spans="9:26">
      <c r="I277" s="133">
        <v>46043</v>
      </c>
      <c r="J277" s="134">
        <v>0.36041666666666672</v>
      </c>
      <c r="K277" s="135">
        <v>1.4</v>
      </c>
      <c r="L277" s="75">
        <v>1</v>
      </c>
      <c r="M277" s="75" t="s">
        <v>637</v>
      </c>
      <c r="N277" s="75" t="s">
        <v>146</v>
      </c>
      <c r="O277" s="75"/>
      <c r="P277" s="74"/>
      <c r="Q277" s="1127"/>
      <c r="R277" s="1128"/>
      <c r="S277" s="1128"/>
      <c r="T277" s="1128"/>
      <c r="U277" s="1128"/>
      <c r="V277" s="1128"/>
      <c r="W277" s="74"/>
      <c r="X277" s="74"/>
      <c r="Y277" s="684" t="s">
        <v>497</v>
      </c>
      <c r="Z277" s="74">
        <v>1581.15</v>
      </c>
    </row>
    <row r="278" spans="9:26">
      <c r="I278" s="133">
        <v>46043</v>
      </c>
      <c r="J278" s="134">
        <v>0.37152777777777779</v>
      </c>
      <c r="K278" s="135">
        <v>2.9</v>
      </c>
      <c r="L278" s="75">
        <v>2</v>
      </c>
      <c r="M278" s="75" t="s">
        <v>637</v>
      </c>
      <c r="N278" s="75" t="s">
        <v>146</v>
      </c>
      <c r="O278" s="75"/>
      <c r="P278" s="74"/>
      <c r="Q278" s="1127"/>
      <c r="R278" s="1128"/>
      <c r="S278" s="1128"/>
      <c r="T278" s="1128"/>
      <c r="U278" s="1128"/>
      <c r="V278" s="1128"/>
      <c r="W278" s="74"/>
      <c r="X278" s="74"/>
      <c r="Y278" s="684">
        <v>45773</v>
      </c>
      <c r="Z278" s="74">
        <v>1143</v>
      </c>
    </row>
    <row r="279" spans="9:26">
      <c r="I279" s="133">
        <v>46043</v>
      </c>
      <c r="J279" s="134">
        <v>0.37777777777777782</v>
      </c>
      <c r="K279" s="135">
        <v>5.0999999999999996</v>
      </c>
      <c r="L279" s="75">
        <v>1</v>
      </c>
      <c r="M279" s="75" t="s">
        <v>637</v>
      </c>
      <c r="N279" s="75" t="s">
        <v>146</v>
      </c>
      <c r="O279" s="75"/>
      <c r="P279" s="74"/>
      <c r="Q279" s="1127"/>
      <c r="R279" s="1128"/>
      <c r="S279" s="1128"/>
      <c r="T279" s="1128"/>
      <c r="U279" s="1128"/>
      <c r="V279" s="1128"/>
      <c r="W279" s="74"/>
      <c r="X279" s="74"/>
      <c r="Y279" s="684" t="s">
        <v>146</v>
      </c>
      <c r="Z279" s="74">
        <v>193.15</v>
      </c>
    </row>
    <row r="280" spans="9:26">
      <c r="I280" s="133">
        <v>46043</v>
      </c>
      <c r="J280" s="134">
        <v>0.38194444444444442</v>
      </c>
      <c r="K280" s="135">
        <v>1.85</v>
      </c>
      <c r="L280" s="75">
        <v>1</v>
      </c>
      <c r="M280" s="75" t="s">
        <v>637</v>
      </c>
      <c r="N280" s="75" t="s">
        <v>146</v>
      </c>
      <c r="O280" s="75"/>
      <c r="P280" s="74"/>
      <c r="Q280" s="1127"/>
      <c r="R280" s="1128"/>
      <c r="S280" s="1128"/>
      <c r="T280" s="1128"/>
      <c r="U280" s="1128"/>
      <c r="V280" s="1128"/>
      <c r="W280" s="74"/>
      <c r="X280" s="74"/>
      <c r="Y280" s="684" t="s">
        <v>494</v>
      </c>
      <c r="Z280" s="74">
        <v>697.2</v>
      </c>
    </row>
    <row r="281" spans="9:26">
      <c r="I281" s="133">
        <v>46043</v>
      </c>
      <c r="J281" s="134">
        <v>0.38333333333333341</v>
      </c>
      <c r="K281" s="135">
        <v>1.5</v>
      </c>
      <c r="L281" s="75">
        <v>1</v>
      </c>
      <c r="M281" s="75" t="s">
        <v>637</v>
      </c>
      <c r="N281" s="75" t="s">
        <v>146</v>
      </c>
      <c r="O281" s="75"/>
      <c r="P281" s="74"/>
      <c r="Q281" s="1127"/>
      <c r="R281" s="1128"/>
      <c r="S281" s="1128"/>
      <c r="T281" s="1128"/>
      <c r="U281" s="1128"/>
      <c r="V281" s="1128"/>
      <c r="W281" s="74"/>
      <c r="X281" s="74"/>
      <c r="Y281" s="684" t="s">
        <v>497</v>
      </c>
      <c r="Z281" s="74">
        <v>252.65</v>
      </c>
    </row>
    <row r="282" spans="9:26">
      <c r="I282" s="133">
        <v>46043</v>
      </c>
      <c r="J282" s="134">
        <v>0.3972222222222222</v>
      </c>
      <c r="K282" s="135">
        <v>3.2</v>
      </c>
      <c r="L282" s="75">
        <v>1</v>
      </c>
      <c r="M282" s="75" t="s">
        <v>637</v>
      </c>
      <c r="N282" s="75" t="s">
        <v>146</v>
      </c>
      <c r="O282" s="75"/>
      <c r="P282" s="74"/>
      <c r="Q282" s="1127"/>
      <c r="R282" s="1128"/>
      <c r="S282" s="1128"/>
      <c r="T282" s="1128"/>
      <c r="U282" s="1128"/>
      <c r="V282" s="1128"/>
      <c r="W282" s="74"/>
      <c r="X282" s="74"/>
      <c r="Y282" s="684">
        <v>45774</v>
      </c>
      <c r="Z282" s="74">
        <v>1503.15</v>
      </c>
    </row>
    <row r="283" spans="9:26">
      <c r="I283" s="133">
        <v>46043</v>
      </c>
      <c r="J283" s="134">
        <v>0.41319444444444442</v>
      </c>
      <c r="K283" s="135">
        <v>1.95</v>
      </c>
      <c r="L283" s="75">
        <v>1</v>
      </c>
      <c r="M283" s="75" t="s">
        <v>637</v>
      </c>
      <c r="N283" s="75" t="s">
        <v>146</v>
      </c>
      <c r="O283" s="75"/>
      <c r="P283" s="74"/>
      <c r="Q283" s="1127"/>
      <c r="R283" s="1128"/>
      <c r="S283" s="1128"/>
      <c r="T283" s="1128"/>
      <c r="U283" s="1128"/>
      <c r="V283" s="1128"/>
      <c r="W283" s="74"/>
      <c r="X283" s="74"/>
      <c r="Y283" s="684" t="s">
        <v>146</v>
      </c>
      <c r="Z283" s="74">
        <v>122.85</v>
      </c>
    </row>
    <row r="284" spans="9:26">
      <c r="I284" s="133">
        <v>46043</v>
      </c>
      <c r="J284" s="134">
        <v>0.41458333333333341</v>
      </c>
      <c r="K284" s="135">
        <v>1.75</v>
      </c>
      <c r="L284" s="75">
        <v>1</v>
      </c>
      <c r="M284" s="75" t="s">
        <v>637</v>
      </c>
      <c r="N284" s="75" t="s">
        <v>146</v>
      </c>
      <c r="O284" s="75"/>
      <c r="P284" s="74"/>
      <c r="Q284" s="1127"/>
      <c r="R284" s="1128"/>
      <c r="S284" s="1128"/>
      <c r="T284" s="1128"/>
      <c r="U284" s="1128"/>
      <c r="V284" s="1128"/>
      <c r="W284" s="74"/>
      <c r="X284" s="74"/>
      <c r="Y284" s="684" t="s">
        <v>494</v>
      </c>
      <c r="Z284" s="74">
        <v>1210.4000000000001</v>
      </c>
    </row>
    <row r="285" spans="9:26">
      <c r="I285" s="133">
        <v>46043</v>
      </c>
      <c r="J285" s="134">
        <v>0.41805555555555562</v>
      </c>
      <c r="K285" s="135">
        <v>1.7</v>
      </c>
      <c r="L285" s="75">
        <v>1</v>
      </c>
      <c r="M285" s="75" t="s">
        <v>637</v>
      </c>
      <c r="N285" s="75" t="s">
        <v>146</v>
      </c>
      <c r="O285" s="75"/>
      <c r="P285" s="74"/>
      <c r="Q285" s="1127"/>
      <c r="R285" s="1128"/>
      <c r="S285" s="1128"/>
      <c r="T285" s="1128"/>
      <c r="U285" s="1128"/>
      <c r="V285" s="1128"/>
      <c r="W285" s="74"/>
      <c r="X285" s="74"/>
      <c r="Y285" s="684" t="s">
        <v>497</v>
      </c>
      <c r="Z285" s="74">
        <v>169.9</v>
      </c>
    </row>
    <row r="286" spans="9:26">
      <c r="I286" s="133">
        <v>46043</v>
      </c>
      <c r="J286" s="134">
        <v>0.41875000000000001</v>
      </c>
      <c r="K286" s="135">
        <v>3.65</v>
      </c>
      <c r="L286" s="75">
        <v>1</v>
      </c>
      <c r="M286" s="75" t="s">
        <v>637</v>
      </c>
      <c r="N286" s="75" t="s">
        <v>146</v>
      </c>
      <c r="O286" s="75"/>
      <c r="P286" s="74"/>
      <c r="Q286" s="1127"/>
      <c r="R286" s="1128"/>
      <c r="S286" s="1128"/>
      <c r="T286" s="1128"/>
      <c r="U286" s="1128"/>
      <c r="V286" s="1128"/>
      <c r="W286" s="74"/>
      <c r="X286" s="74"/>
      <c r="Y286" s="684">
        <v>45777</v>
      </c>
      <c r="Z286" s="74">
        <v>1492.32</v>
      </c>
    </row>
    <row r="287" spans="9:26">
      <c r="I287" s="133">
        <v>46043</v>
      </c>
      <c r="J287" s="134">
        <v>0.43541666666666667</v>
      </c>
      <c r="K287" s="135">
        <v>3</v>
      </c>
      <c r="L287" s="75">
        <v>1</v>
      </c>
      <c r="M287" s="75" t="s">
        <v>637</v>
      </c>
      <c r="N287" s="75" t="s">
        <v>146</v>
      </c>
      <c r="O287" s="75"/>
      <c r="P287" s="74"/>
      <c r="Q287" s="1127"/>
      <c r="R287" s="1128"/>
      <c r="S287" s="1128"/>
      <c r="T287" s="1128"/>
      <c r="U287" s="1128"/>
      <c r="V287" s="1128"/>
      <c r="W287" s="74"/>
      <c r="X287" s="74"/>
      <c r="Y287" s="684" t="s">
        <v>146</v>
      </c>
      <c r="Z287" s="74">
        <v>123.95</v>
      </c>
    </row>
    <row r="288" spans="9:26">
      <c r="I288" s="133">
        <v>46043</v>
      </c>
      <c r="J288" s="134">
        <v>0.43611111111111112</v>
      </c>
      <c r="K288" s="135">
        <v>17.850000000000001</v>
      </c>
      <c r="L288" s="75">
        <v>3</v>
      </c>
      <c r="M288" s="75" t="s">
        <v>637</v>
      </c>
      <c r="N288" s="75" t="s">
        <v>146</v>
      </c>
      <c r="O288" s="75"/>
      <c r="P288" s="74"/>
      <c r="Q288" s="1127"/>
      <c r="R288" s="1128"/>
      <c r="S288" s="1128"/>
      <c r="T288" s="1128"/>
      <c r="U288" s="1128"/>
      <c r="V288" s="1128"/>
      <c r="W288" s="74"/>
      <c r="X288" s="74"/>
      <c r="Y288" s="684" t="s">
        <v>494</v>
      </c>
      <c r="Z288" s="74">
        <v>519.6</v>
      </c>
    </row>
    <row r="289" spans="9:26">
      <c r="I289" s="133">
        <v>46043</v>
      </c>
      <c r="J289" s="134">
        <v>0.43680555555555561</v>
      </c>
      <c r="K289" s="135">
        <v>1.55</v>
      </c>
      <c r="L289" s="75">
        <v>3</v>
      </c>
      <c r="M289" s="75" t="s">
        <v>637</v>
      </c>
      <c r="N289" s="75" t="s">
        <v>146</v>
      </c>
      <c r="O289" s="75"/>
      <c r="P289" s="74"/>
      <c r="Q289" s="1127"/>
      <c r="R289" s="1128"/>
      <c r="S289" s="1128"/>
      <c r="T289" s="1128"/>
      <c r="U289" s="1128"/>
      <c r="V289" s="1128"/>
      <c r="W289" s="74"/>
      <c r="X289" s="74"/>
      <c r="Y289" s="684" t="s">
        <v>497</v>
      </c>
      <c r="Z289" s="74">
        <v>848.77</v>
      </c>
    </row>
    <row r="290" spans="9:26">
      <c r="I290" s="133">
        <v>46043</v>
      </c>
      <c r="J290" s="134">
        <v>0.44027777777777782</v>
      </c>
      <c r="K290" s="135">
        <v>13</v>
      </c>
      <c r="L290" s="75">
        <v>2</v>
      </c>
      <c r="M290" s="75" t="s">
        <v>637</v>
      </c>
      <c r="N290" s="75" t="s">
        <v>146</v>
      </c>
      <c r="O290" s="75"/>
      <c r="P290" s="74"/>
      <c r="Q290" s="1127"/>
      <c r="R290" s="1128"/>
      <c r="S290" s="1128"/>
      <c r="T290" s="1128"/>
      <c r="U290" s="1128"/>
      <c r="V290" s="1128"/>
      <c r="W290" s="74"/>
      <c r="X290" s="74"/>
      <c r="Y290" s="684">
        <v>45778</v>
      </c>
      <c r="Z290" s="74">
        <v>2402.15</v>
      </c>
    </row>
    <row r="291" spans="9:26">
      <c r="I291" s="133">
        <v>46043</v>
      </c>
      <c r="J291" s="134">
        <v>0.44513888888888892</v>
      </c>
      <c r="K291" s="135">
        <v>3.2</v>
      </c>
      <c r="L291" s="75">
        <v>2</v>
      </c>
      <c r="M291" s="75" t="s">
        <v>637</v>
      </c>
      <c r="N291" s="75" t="s">
        <v>146</v>
      </c>
      <c r="O291" s="75"/>
      <c r="P291" s="74"/>
      <c r="Q291" s="1127"/>
      <c r="R291" s="1128"/>
      <c r="S291" s="1128"/>
      <c r="T291" s="1128"/>
      <c r="U291" s="1128"/>
      <c r="V291" s="1128"/>
      <c r="W291" s="74"/>
      <c r="X291" s="74"/>
      <c r="Y291" s="684" t="s">
        <v>146</v>
      </c>
      <c r="Z291" s="74">
        <v>141.5</v>
      </c>
    </row>
    <row r="292" spans="9:26">
      <c r="I292" s="133">
        <v>46043</v>
      </c>
      <c r="J292" s="134">
        <v>0.46597222222222218</v>
      </c>
      <c r="K292" s="135">
        <v>1.65</v>
      </c>
      <c r="L292" s="75">
        <v>1</v>
      </c>
      <c r="M292" s="75" t="s">
        <v>637</v>
      </c>
      <c r="N292" s="75" t="s">
        <v>146</v>
      </c>
      <c r="O292" s="75"/>
      <c r="P292" s="74"/>
      <c r="Q292" s="1127"/>
      <c r="R292" s="1128"/>
      <c r="S292" s="1128"/>
      <c r="T292" s="1128"/>
      <c r="U292" s="1128"/>
      <c r="V292" s="1128"/>
      <c r="W292" s="74"/>
      <c r="X292" s="74"/>
      <c r="Y292" s="684" t="s">
        <v>494</v>
      </c>
      <c r="Z292" s="74">
        <v>1365.25</v>
      </c>
    </row>
    <row r="293" spans="9:26">
      <c r="I293" s="133">
        <v>46043</v>
      </c>
      <c r="J293" s="134">
        <v>0.48472222222222222</v>
      </c>
      <c r="K293" s="135">
        <v>2.65</v>
      </c>
      <c r="L293" s="75">
        <v>1</v>
      </c>
      <c r="M293" s="75" t="s">
        <v>637</v>
      </c>
      <c r="N293" s="75" t="s">
        <v>146</v>
      </c>
      <c r="O293" s="75"/>
      <c r="P293" s="74"/>
      <c r="Q293" s="1127"/>
      <c r="R293" s="1128"/>
      <c r="S293" s="1128"/>
      <c r="T293" s="1128"/>
      <c r="U293" s="1128"/>
      <c r="V293" s="1128"/>
      <c r="W293" s="74"/>
      <c r="X293" s="74"/>
      <c r="Y293" s="684" t="s">
        <v>497</v>
      </c>
      <c r="Z293" s="74">
        <v>895.4</v>
      </c>
    </row>
    <row r="294" spans="9:26">
      <c r="I294" s="133">
        <v>46043</v>
      </c>
      <c r="J294" s="134">
        <v>0.50069444444444444</v>
      </c>
      <c r="K294" s="135">
        <v>1.4</v>
      </c>
      <c r="L294" s="75">
        <v>1</v>
      </c>
      <c r="M294" s="75" t="s">
        <v>637</v>
      </c>
      <c r="N294" s="75" t="s">
        <v>494</v>
      </c>
      <c r="O294" s="75"/>
      <c r="P294" s="74"/>
      <c r="Q294" s="1127"/>
      <c r="R294" s="1128"/>
      <c r="S294" s="1128"/>
      <c r="T294" s="1128"/>
      <c r="U294" s="1128"/>
      <c r="V294" s="1128"/>
      <c r="W294" s="74"/>
      <c r="X294" s="74"/>
      <c r="Y294" s="684">
        <v>45779</v>
      </c>
      <c r="Z294" s="74">
        <v>1406.2</v>
      </c>
    </row>
    <row r="295" spans="9:26">
      <c r="I295" s="133">
        <v>46043</v>
      </c>
      <c r="J295" s="134">
        <v>0.51597222222222228</v>
      </c>
      <c r="K295" s="135">
        <v>1.7</v>
      </c>
      <c r="L295" s="75">
        <v>1</v>
      </c>
      <c r="M295" s="75" t="s">
        <v>637</v>
      </c>
      <c r="N295" s="75" t="s">
        <v>494</v>
      </c>
      <c r="O295" s="75"/>
      <c r="P295" s="74"/>
      <c r="Q295" s="1127"/>
      <c r="R295" s="1128"/>
      <c r="S295" s="1128"/>
      <c r="T295" s="1128"/>
      <c r="U295" s="1128"/>
      <c r="V295" s="1128"/>
      <c r="W295" s="74"/>
      <c r="X295" s="74"/>
      <c r="Y295" s="684" t="s">
        <v>146</v>
      </c>
      <c r="Z295" s="74">
        <v>180.95</v>
      </c>
    </row>
    <row r="296" spans="9:26">
      <c r="I296" s="133">
        <v>46043</v>
      </c>
      <c r="J296" s="134">
        <v>0.52083333333333337</v>
      </c>
      <c r="K296" s="135">
        <v>3.4</v>
      </c>
      <c r="L296" s="75">
        <v>1</v>
      </c>
      <c r="M296" s="75" t="s">
        <v>637</v>
      </c>
      <c r="N296" s="75" t="s">
        <v>494</v>
      </c>
      <c r="O296" s="75"/>
      <c r="P296" s="74"/>
      <c r="Q296" s="1127"/>
      <c r="R296" s="1128"/>
      <c r="S296" s="1128"/>
      <c r="T296" s="1128"/>
      <c r="U296" s="1128"/>
      <c r="V296" s="1128"/>
      <c r="W296" s="74"/>
      <c r="X296" s="74"/>
      <c r="Y296" s="684" t="s">
        <v>494</v>
      </c>
      <c r="Z296" s="74">
        <v>361.25</v>
      </c>
    </row>
    <row r="297" spans="9:26">
      <c r="I297" s="133">
        <v>46043</v>
      </c>
      <c r="J297" s="134">
        <v>0.54791666666666672</v>
      </c>
      <c r="K297" s="135">
        <v>38.1</v>
      </c>
      <c r="L297" s="75">
        <v>2</v>
      </c>
      <c r="M297" s="75" t="s">
        <v>637</v>
      </c>
      <c r="N297" s="75" t="s">
        <v>494</v>
      </c>
      <c r="O297" s="75"/>
      <c r="P297" s="74"/>
      <c r="Q297" s="1127"/>
      <c r="R297" s="1128"/>
      <c r="S297" s="1128"/>
      <c r="T297" s="1128"/>
      <c r="U297" s="1128"/>
      <c r="V297" s="1128"/>
      <c r="W297" s="74"/>
      <c r="X297" s="74"/>
      <c r="Y297" s="684" t="s">
        <v>497</v>
      </c>
      <c r="Z297" s="74">
        <v>864</v>
      </c>
    </row>
    <row r="298" spans="9:26">
      <c r="I298" s="133">
        <v>46043</v>
      </c>
      <c r="J298" s="134">
        <v>0.55694444444444446</v>
      </c>
      <c r="K298" s="135">
        <v>9.85</v>
      </c>
      <c r="L298" s="75">
        <v>2</v>
      </c>
      <c r="M298" s="75" t="s">
        <v>637</v>
      </c>
      <c r="N298" s="75" t="s">
        <v>494</v>
      </c>
      <c r="O298" s="75"/>
      <c r="P298" s="74"/>
      <c r="Q298" s="1127"/>
      <c r="R298" s="1128"/>
      <c r="S298" s="1128"/>
      <c r="T298" s="1128"/>
      <c r="U298" s="1128"/>
      <c r="V298" s="1128"/>
      <c r="W298" s="74"/>
      <c r="X298" s="74"/>
      <c r="Y298" s="684">
        <v>45780</v>
      </c>
      <c r="Z298" s="74">
        <v>2069.6799999999998</v>
      </c>
    </row>
    <row r="299" spans="9:26">
      <c r="I299" s="133">
        <v>46043</v>
      </c>
      <c r="J299" s="134">
        <v>0.57986111111111116</v>
      </c>
      <c r="K299" s="135">
        <v>15.45</v>
      </c>
      <c r="L299" s="75">
        <v>1</v>
      </c>
      <c r="M299" s="75" t="s">
        <v>637</v>
      </c>
      <c r="N299" s="75" t="s">
        <v>494</v>
      </c>
      <c r="O299" s="75"/>
      <c r="P299" s="74"/>
      <c r="Q299" s="1127"/>
      <c r="R299" s="1128"/>
      <c r="S299" s="1128"/>
      <c r="T299" s="1128"/>
      <c r="U299" s="1128"/>
      <c r="V299" s="1128"/>
      <c r="W299" s="74"/>
      <c r="X299" s="74"/>
      <c r="Y299" s="684" t="s">
        <v>146</v>
      </c>
      <c r="Z299" s="74">
        <v>124.15</v>
      </c>
    </row>
    <row r="300" spans="9:26">
      <c r="I300" s="133">
        <v>46043</v>
      </c>
      <c r="J300" s="134">
        <v>0.58333333333333337</v>
      </c>
      <c r="K300" s="135">
        <v>6</v>
      </c>
      <c r="L300" s="75">
        <v>2</v>
      </c>
      <c r="M300" s="75" t="s">
        <v>637</v>
      </c>
      <c r="N300" s="75" t="s">
        <v>494</v>
      </c>
      <c r="O300" s="75"/>
      <c r="P300" s="74"/>
      <c r="Q300" s="1127"/>
      <c r="R300" s="1128"/>
      <c r="S300" s="1128"/>
      <c r="T300" s="1128"/>
      <c r="U300" s="1128"/>
      <c r="V300" s="1128"/>
      <c r="W300" s="74"/>
      <c r="X300" s="74"/>
      <c r="Y300" s="684" t="s">
        <v>494</v>
      </c>
      <c r="Z300" s="74">
        <v>1064.8</v>
      </c>
    </row>
    <row r="301" spans="9:26">
      <c r="I301" s="133">
        <v>46043</v>
      </c>
      <c r="J301" s="134">
        <v>0.59444444444444444</v>
      </c>
      <c r="K301" s="135">
        <v>2.5</v>
      </c>
      <c r="L301" s="75">
        <v>1</v>
      </c>
      <c r="M301" s="75" t="s">
        <v>637</v>
      </c>
      <c r="N301" s="75" t="s">
        <v>494</v>
      </c>
      <c r="O301" s="75"/>
      <c r="P301" s="74"/>
      <c r="Q301" s="1127"/>
      <c r="R301" s="1128"/>
      <c r="S301" s="1128"/>
      <c r="T301" s="1128"/>
      <c r="U301" s="1128"/>
      <c r="V301" s="1128"/>
      <c r="W301" s="74"/>
      <c r="X301" s="74"/>
      <c r="Y301" s="684" t="s">
        <v>497</v>
      </c>
      <c r="Z301" s="74">
        <v>880.73</v>
      </c>
    </row>
    <row r="302" spans="9:26">
      <c r="I302" s="133">
        <v>46043</v>
      </c>
      <c r="J302" s="134">
        <v>0.61111111111111116</v>
      </c>
      <c r="K302" s="135">
        <v>41.15</v>
      </c>
      <c r="L302" s="75">
        <v>2</v>
      </c>
      <c r="M302" s="75" t="s">
        <v>637</v>
      </c>
      <c r="N302" s="75" t="s">
        <v>494</v>
      </c>
      <c r="O302" s="75"/>
      <c r="P302" s="74"/>
      <c r="Q302" s="1127"/>
      <c r="R302" s="1128"/>
      <c r="S302" s="1128"/>
      <c r="T302" s="1128"/>
      <c r="U302" s="1128"/>
      <c r="V302" s="1128"/>
      <c r="W302" s="74"/>
      <c r="X302" s="74"/>
      <c r="Y302" s="684">
        <v>45781</v>
      </c>
      <c r="Z302" s="74">
        <v>1268.9000000000001</v>
      </c>
    </row>
    <row r="303" spans="9:26">
      <c r="I303" s="133">
        <v>46043</v>
      </c>
      <c r="J303" s="134">
        <v>0.61458333333333337</v>
      </c>
      <c r="K303" s="135">
        <v>6.5</v>
      </c>
      <c r="L303" s="75">
        <v>4</v>
      </c>
      <c r="M303" s="75" t="s">
        <v>637</v>
      </c>
      <c r="N303" s="75" t="s">
        <v>494</v>
      </c>
      <c r="O303" s="75"/>
      <c r="P303" s="74"/>
      <c r="Q303" s="1127"/>
      <c r="R303" s="1128"/>
      <c r="S303" s="1128"/>
      <c r="T303" s="1128"/>
      <c r="U303" s="1128"/>
      <c r="V303" s="1128"/>
      <c r="W303" s="74"/>
      <c r="X303" s="74"/>
      <c r="Y303" s="684" t="s">
        <v>146</v>
      </c>
      <c r="Z303" s="74">
        <v>159.69999999999999</v>
      </c>
    </row>
    <row r="304" spans="9:26">
      <c r="I304" s="133">
        <v>46043</v>
      </c>
      <c r="J304" s="134">
        <v>0.6166666666666667</v>
      </c>
      <c r="K304" s="135">
        <v>2.15</v>
      </c>
      <c r="L304" s="75">
        <v>1</v>
      </c>
      <c r="M304" s="75" t="s">
        <v>637</v>
      </c>
      <c r="N304" s="75" t="s">
        <v>494</v>
      </c>
      <c r="O304" s="75"/>
      <c r="P304" s="74"/>
      <c r="Q304" s="1127"/>
      <c r="R304" s="1128"/>
      <c r="S304" s="1128"/>
      <c r="T304" s="1128"/>
      <c r="U304" s="1128"/>
      <c r="V304" s="1128"/>
      <c r="W304" s="74"/>
      <c r="X304" s="74"/>
      <c r="Y304" s="684" t="s">
        <v>494</v>
      </c>
      <c r="Z304" s="74">
        <v>960.6</v>
      </c>
    </row>
    <row r="305" spans="9:26">
      <c r="I305" s="133">
        <v>46043</v>
      </c>
      <c r="J305" s="134">
        <v>0.62361111111111112</v>
      </c>
      <c r="K305" s="135">
        <v>1.7</v>
      </c>
      <c r="L305" s="75">
        <v>1</v>
      </c>
      <c r="M305" s="75" t="s">
        <v>637</v>
      </c>
      <c r="N305" s="75" t="s">
        <v>494</v>
      </c>
      <c r="O305" s="75"/>
      <c r="P305" s="74"/>
      <c r="Q305" s="1127"/>
      <c r="R305" s="1128"/>
      <c r="S305" s="1128"/>
      <c r="T305" s="1128"/>
      <c r="U305" s="1128"/>
      <c r="V305" s="1128"/>
      <c r="W305" s="74"/>
      <c r="X305" s="74"/>
      <c r="Y305" s="684" t="s">
        <v>497</v>
      </c>
      <c r="Z305" s="74">
        <v>148.6</v>
      </c>
    </row>
    <row r="306" spans="9:26">
      <c r="I306" s="133">
        <v>46043</v>
      </c>
      <c r="J306" s="134">
        <v>0.87013888888888891</v>
      </c>
      <c r="K306" s="135">
        <v>5</v>
      </c>
      <c r="L306" s="75">
        <v>1</v>
      </c>
      <c r="M306" s="75" t="s">
        <v>637</v>
      </c>
      <c r="N306" s="75" t="s">
        <v>497</v>
      </c>
      <c r="O306" s="75"/>
      <c r="P306" s="74"/>
      <c r="Q306" s="1127"/>
      <c r="R306" s="1128"/>
      <c r="S306" s="1128"/>
      <c r="T306" s="1128"/>
      <c r="U306" s="1128"/>
      <c r="V306" s="1128"/>
      <c r="W306" s="74"/>
      <c r="X306" s="74"/>
      <c r="Y306" s="684">
        <v>45784</v>
      </c>
      <c r="Z306" s="74">
        <v>269.55</v>
      </c>
    </row>
    <row r="307" spans="9:26">
      <c r="I307" s="133">
        <v>46044</v>
      </c>
      <c r="J307" s="134">
        <v>0.29722222222222222</v>
      </c>
      <c r="K307" s="135">
        <v>3.4</v>
      </c>
      <c r="L307" s="75">
        <v>1</v>
      </c>
      <c r="M307" s="75" t="s">
        <v>638</v>
      </c>
      <c r="N307" s="75" t="s">
        <v>146</v>
      </c>
      <c r="O307" s="75"/>
      <c r="P307" s="74"/>
      <c r="Q307" s="1127"/>
      <c r="R307" s="1128"/>
      <c r="S307" s="1128"/>
      <c r="T307" s="1128"/>
      <c r="U307" s="1128"/>
      <c r="V307" s="1128"/>
      <c r="W307" s="74"/>
      <c r="X307" s="74"/>
      <c r="Y307" s="684" t="s">
        <v>146</v>
      </c>
      <c r="Z307" s="74">
        <v>75.900000000000006</v>
      </c>
    </row>
    <row r="308" spans="9:26">
      <c r="I308" s="133">
        <v>46044</v>
      </c>
      <c r="J308" s="134">
        <v>0.3034722222222222</v>
      </c>
      <c r="K308" s="135">
        <v>1.55</v>
      </c>
      <c r="L308" s="75">
        <v>1</v>
      </c>
      <c r="M308" s="75" t="s">
        <v>638</v>
      </c>
      <c r="N308" s="75" t="s">
        <v>146</v>
      </c>
      <c r="O308" s="75"/>
      <c r="P308" s="74"/>
      <c r="Q308" s="1127"/>
      <c r="R308" s="1128"/>
      <c r="S308" s="1128"/>
      <c r="T308" s="1128"/>
      <c r="U308" s="1128"/>
      <c r="V308" s="1128"/>
      <c r="W308" s="74"/>
      <c r="X308" s="74"/>
      <c r="Y308" s="684" t="s">
        <v>494</v>
      </c>
      <c r="Z308" s="74">
        <v>122.1</v>
      </c>
    </row>
    <row r="309" spans="9:26">
      <c r="I309" s="133">
        <v>46044</v>
      </c>
      <c r="J309" s="134">
        <v>0.32013888888888892</v>
      </c>
      <c r="K309" s="135">
        <v>1.9</v>
      </c>
      <c r="L309" s="75">
        <v>1</v>
      </c>
      <c r="M309" s="75" t="s">
        <v>638</v>
      </c>
      <c r="N309" s="75" t="s">
        <v>146</v>
      </c>
      <c r="O309" s="75"/>
      <c r="P309" s="74"/>
      <c r="Q309" s="1127"/>
      <c r="R309" s="1128"/>
      <c r="S309" s="1128"/>
      <c r="T309" s="1128"/>
      <c r="U309" s="1128"/>
      <c r="V309" s="1128"/>
      <c r="W309" s="74"/>
      <c r="X309" s="74"/>
      <c r="Y309" s="684" t="s">
        <v>497</v>
      </c>
      <c r="Z309" s="74">
        <v>71.55</v>
      </c>
    </row>
    <row r="310" spans="9:26">
      <c r="I310" s="133">
        <v>46044</v>
      </c>
      <c r="J310" s="134">
        <v>0.3263888888888889</v>
      </c>
      <c r="K310" s="135">
        <v>1.4</v>
      </c>
      <c r="L310" s="75">
        <v>1</v>
      </c>
      <c r="M310" s="75" t="s">
        <v>638</v>
      </c>
      <c r="N310" s="75" t="s">
        <v>146</v>
      </c>
      <c r="O310" s="75"/>
      <c r="P310" s="74"/>
      <c r="Q310" s="1127"/>
      <c r="R310" s="1128"/>
      <c r="S310" s="1128"/>
      <c r="T310" s="1128"/>
      <c r="U310" s="1128"/>
      <c r="V310" s="1128"/>
      <c r="W310" s="74"/>
      <c r="X310" s="74"/>
      <c r="Y310" s="684">
        <v>45785</v>
      </c>
      <c r="Z310" s="74">
        <v>467.1</v>
      </c>
    </row>
    <row r="311" spans="9:26">
      <c r="I311" s="133">
        <v>46044</v>
      </c>
      <c r="J311" s="134">
        <v>0.34166666666666667</v>
      </c>
      <c r="K311" s="135">
        <v>1.5</v>
      </c>
      <c r="L311" s="75">
        <v>1</v>
      </c>
      <c r="M311" s="75" t="s">
        <v>638</v>
      </c>
      <c r="N311" s="75" t="s">
        <v>146</v>
      </c>
      <c r="O311" s="75"/>
      <c r="P311" s="74"/>
      <c r="Q311" s="1127"/>
      <c r="R311" s="1128"/>
      <c r="S311" s="1128"/>
      <c r="T311" s="1128"/>
      <c r="U311" s="1128"/>
      <c r="V311" s="1128"/>
      <c r="W311" s="74"/>
      <c r="X311" s="74"/>
      <c r="Y311" s="684" t="s">
        <v>146</v>
      </c>
      <c r="Z311" s="74">
        <v>93.1</v>
      </c>
    </row>
    <row r="312" spans="9:26">
      <c r="I312" s="133">
        <v>46044</v>
      </c>
      <c r="J312" s="134">
        <v>0.36388888888888887</v>
      </c>
      <c r="K312" s="135">
        <v>1.7</v>
      </c>
      <c r="L312" s="75">
        <v>1</v>
      </c>
      <c r="M312" s="75" t="s">
        <v>638</v>
      </c>
      <c r="N312" s="75" t="s">
        <v>146</v>
      </c>
      <c r="O312" s="75"/>
      <c r="P312" s="74"/>
      <c r="Q312" s="1127"/>
      <c r="R312" s="1128"/>
      <c r="S312" s="1128"/>
      <c r="T312" s="1128"/>
      <c r="U312" s="1128"/>
      <c r="V312" s="1128"/>
      <c r="W312" s="74"/>
      <c r="X312" s="74"/>
      <c r="Y312" s="684" t="s">
        <v>494</v>
      </c>
      <c r="Z312" s="74">
        <v>278</v>
      </c>
    </row>
    <row r="313" spans="9:26">
      <c r="I313" s="133">
        <v>46044</v>
      </c>
      <c r="J313" s="134">
        <v>0.3659722222222222</v>
      </c>
      <c r="K313" s="135">
        <v>2.5499999999999998</v>
      </c>
      <c r="L313" s="75">
        <v>1</v>
      </c>
      <c r="M313" s="75" t="s">
        <v>638</v>
      </c>
      <c r="N313" s="75" t="s">
        <v>146</v>
      </c>
      <c r="O313" s="75"/>
      <c r="P313" s="74"/>
      <c r="Q313" s="1127"/>
      <c r="R313" s="1128"/>
      <c r="S313" s="1128"/>
      <c r="T313" s="1128"/>
      <c r="U313" s="1128"/>
      <c r="V313" s="1128"/>
      <c r="W313" s="74"/>
      <c r="X313" s="74"/>
      <c r="Y313" s="684" t="s">
        <v>497</v>
      </c>
      <c r="Z313" s="74">
        <v>96</v>
      </c>
    </row>
    <row r="314" spans="9:26">
      <c r="I314" s="133">
        <v>46044</v>
      </c>
      <c r="J314" s="134">
        <v>0.37291666666666667</v>
      </c>
      <c r="K314" s="135">
        <v>3.2</v>
      </c>
      <c r="L314" s="75">
        <v>2</v>
      </c>
      <c r="M314" s="75" t="s">
        <v>638</v>
      </c>
      <c r="N314" s="75" t="s">
        <v>146</v>
      </c>
      <c r="O314" s="75"/>
      <c r="P314" s="74"/>
      <c r="Q314" s="1127"/>
      <c r="R314" s="1128"/>
      <c r="S314" s="1128"/>
      <c r="T314" s="1128"/>
      <c r="U314" s="1128"/>
      <c r="V314" s="1128"/>
      <c r="W314" s="74"/>
      <c r="X314" s="74"/>
      <c r="Y314" s="684">
        <v>45786</v>
      </c>
      <c r="Z314" s="74">
        <v>1716.85</v>
      </c>
    </row>
    <row r="315" spans="9:26">
      <c r="I315" s="133">
        <v>46044</v>
      </c>
      <c r="J315" s="134">
        <v>0.37916666666666671</v>
      </c>
      <c r="K315" s="135">
        <v>5.7</v>
      </c>
      <c r="L315" s="75">
        <v>1</v>
      </c>
      <c r="M315" s="75" t="s">
        <v>638</v>
      </c>
      <c r="N315" s="75" t="s">
        <v>146</v>
      </c>
      <c r="O315" s="75"/>
      <c r="P315" s="74"/>
      <c r="Q315" s="1127"/>
      <c r="R315" s="1128"/>
      <c r="S315" s="1128"/>
      <c r="T315" s="1128"/>
      <c r="U315" s="1128"/>
      <c r="V315" s="1128"/>
      <c r="W315" s="74"/>
      <c r="X315" s="74"/>
      <c r="Y315" s="684" t="s">
        <v>146</v>
      </c>
      <c r="Z315" s="74">
        <v>111.15</v>
      </c>
    </row>
    <row r="316" spans="9:26">
      <c r="I316" s="133">
        <v>46044</v>
      </c>
      <c r="J316" s="134">
        <v>0.38750000000000001</v>
      </c>
      <c r="K316" s="135">
        <v>1.85</v>
      </c>
      <c r="L316" s="75">
        <v>1</v>
      </c>
      <c r="M316" s="75" t="s">
        <v>638</v>
      </c>
      <c r="N316" s="75" t="s">
        <v>146</v>
      </c>
      <c r="O316" s="75"/>
      <c r="P316" s="74"/>
      <c r="Q316" s="1127"/>
      <c r="R316" s="1128"/>
      <c r="S316" s="1128"/>
      <c r="T316" s="1128"/>
      <c r="U316" s="1128"/>
      <c r="V316" s="1128"/>
      <c r="W316" s="74"/>
      <c r="X316" s="74"/>
      <c r="Y316" s="684" t="s">
        <v>494</v>
      </c>
      <c r="Z316" s="74">
        <v>394.35</v>
      </c>
    </row>
    <row r="317" spans="9:26">
      <c r="I317" s="133">
        <v>46044</v>
      </c>
      <c r="J317" s="134">
        <v>0.41458333333333341</v>
      </c>
      <c r="K317" s="135">
        <v>1.5</v>
      </c>
      <c r="L317" s="75">
        <v>1</v>
      </c>
      <c r="M317" s="75" t="s">
        <v>638</v>
      </c>
      <c r="N317" s="75" t="s">
        <v>146</v>
      </c>
      <c r="O317" s="75"/>
      <c r="P317" s="74"/>
      <c r="Q317" s="1127"/>
      <c r="R317" s="1128"/>
      <c r="S317" s="1128"/>
      <c r="T317" s="1128"/>
      <c r="U317" s="1128"/>
      <c r="V317" s="1128"/>
      <c r="W317" s="74"/>
      <c r="X317" s="74"/>
      <c r="Y317" s="684" t="s">
        <v>497</v>
      </c>
      <c r="Z317" s="74">
        <v>1211.3499999999999</v>
      </c>
    </row>
    <row r="318" spans="9:26">
      <c r="I318" s="133">
        <v>46044</v>
      </c>
      <c r="J318" s="134">
        <v>0.4236111111111111</v>
      </c>
      <c r="K318" s="135">
        <v>3.95</v>
      </c>
      <c r="L318" s="75">
        <v>1</v>
      </c>
      <c r="M318" s="75" t="s">
        <v>638</v>
      </c>
      <c r="N318" s="75" t="s">
        <v>146</v>
      </c>
      <c r="O318" s="75"/>
      <c r="P318" s="74"/>
      <c r="Q318" s="1127"/>
      <c r="R318" s="1128"/>
      <c r="S318" s="1128"/>
      <c r="T318" s="1128"/>
      <c r="U318" s="1128"/>
      <c r="V318" s="1128"/>
      <c r="W318" s="74"/>
      <c r="X318" s="74"/>
      <c r="Y318" s="684">
        <v>45787</v>
      </c>
      <c r="Z318" s="74">
        <v>1470.05</v>
      </c>
    </row>
    <row r="319" spans="9:26">
      <c r="I319" s="133">
        <v>46044</v>
      </c>
      <c r="J319" s="134">
        <v>0.42430555555555549</v>
      </c>
      <c r="K319" s="135">
        <v>4.8499999999999996</v>
      </c>
      <c r="L319" s="75">
        <v>1</v>
      </c>
      <c r="M319" s="75" t="s">
        <v>638</v>
      </c>
      <c r="N319" s="75" t="s">
        <v>146</v>
      </c>
      <c r="O319" s="75"/>
      <c r="P319" s="74"/>
      <c r="Q319" s="1127"/>
      <c r="R319" s="1128"/>
      <c r="S319" s="1128"/>
      <c r="T319" s="1128"/>
      <c r="U319" s="1128"/>
      <c r="V319" s="1128"/>
      <c r="W319" s="74"/>
      <c r="X319" s="74"/>
      <c r="Y319" s="684" t="s">
        <v>146</v>
      </c>
      <c r="Z319" s="74">
        <v>277.25</v>
      </c>
    </row>
    <row r="320" spans="9:26">
      <c r="I320" s="133">
        <v>46044</v>
      </c>
      <c r="J320" s="134">
        <v>0.4284722222222222</v>
      </c>
      <c r="K320" s="135">
        <v>1.7</v>
      </c>
      <c r="L320" s="75">
        <v>1</v>
      </c>
      <c r="M320" s="75" t="s">
        <v>638</v>
      </c>
      <c r="N320" s="75" t="s">
        <v>146</v>
      </c>
      <c r="O320" s="75"/>
      <c r="P320" s="74"/>
      <c r="Q320" s="1127"/>
      <c r="R320" s="1128"/>
      <c r="S320" s="1128"/>
      <c r="T320" s="1128"/>
      <c r="U320" s="1128"/>
      <c r="V320" s="1128"/>
      <c r="W320" s="74"/>
      <c r="X320" s="74"/>
      <c r="Y320" s="684" t="s">
        <v>494</v>
      </c>
      <c r="Z320" s="74">
        <v>417.7</v>
      </c>
    </row>
    <row r="321" spans="9:26">
      <c r="I321" s="133">
        <v>46044</v>
      </c>
      <c r="J321" s="134">
        <v>0.43055555555555558</v>
      </c>
      <c r="K321" s="135">
        <v>6.65</v>
      </c>
      <c r="L321" s="75">
        <v>2</v>
      </c>
      <c r="M321" s="75" t="s">
        <v>638</v>
      </c>
      <c r="N321" s="75" t="s">
        <v>146</v>
      </c>
      <c r="O321" s="75"/>
      <c r="P321" s="74"/>
      <c r="Q321" s="1127"/>
      <c r="R321" s="1128"/>
      <c r="S321" s="1128"/>
      <c r="T321" s="1128"/>
      <c r="U321" s="1128"/>
      <c r="V321" s="1128"/>
      <c r="W321" s="74"/>
      <c r="X321" s="74"/>
      <c r="Y321" s="684" t="s">
        <v>497</v>
      </c>
      <c r="Z321" s="74">
        <v>775.1</v>
      </c>
    </row>
    <row r="322" spans="9:26">
      <c r="I322" s="133">
        <v>46044</v>
      </c>
      <c r="J322" s="134">
        <v>0.44097222222222221</v>
      </c>
      <c r="K322" s="135">
        <v>3.2</v>
      </c>
      <c r="L322" s="75">
        <v>1</v>
      </c>
      <c r="M322" s="75" t="s">
        <v>638</v>
      </c>
      <c r="N322" s="75" t="s">
        <v>146</v>
      </c>
      <c r="O322" s="75"/>
      <c r="P322" s="74"/>
      <c r="Q322" s="1127"/>
      <c r="R322" s="1128"/>
      <c r="S322" s="1128"/>
      <c r="T322" s="1128"/>
      <c r="U322" s="1128"/>
      <c r="V322" s="1128"/>
      <c r="W322" s="74"/>
      <c r="X322" s="74"/>
      <c r="Y322" s="684">
        <v>45788</v>
      </c>
      <c r="Z322" s="74">
        <v>1167.8499999999999</v>
      </c>
    </row>
    <row r="323" spans="9:26">
      <c r="I323" s="133">
        <v>46044</v>
      </c>
      <c r="J323" s="134">
        <v>0.44374999999999998</v>
      </c>
      <c r="K323" s="135">
        <v>1.5</v>
      </c>
      <c r="L323" s="75">
        <v>1</v>
      </c>
      <c r="M323" s="75" t="s">
        <v>638</v>
      </c>
      <c r="N323" s="75" t="s">
        <v>146</v>
      </c>
      <c r="O323" s="75"/>
      <c r="P323" s="74"/>
      <c r="Q323" s="1127"/>
      <c r="R323" s="1128"/>
      <c r="S323" s="1128"/>
      <c r="T323" s="1128"/>
      <c r="U323" s="1128"/>
      <c r="V323" s="1128"/>
      <c r="W323" s="74"/>
      <c r="X323" s="74"/>
      <c r="Y323" s="684" t="s">
        <v>146</v>
      </c>
      <c r="Z323" s="74">
        <v>172.55</v>
      </c>
    </row>
    <row r="324" spans="9:26">
      <c r="I324" s="133">
        <v>46044</v>
      </c>
      <c r="J324" s="134">
        <v>0.45347222222222222</v>
      </c>
      <c r="K324" s="135">
        <v>1.4</v>
      </c>
      <c r="L324" s="75">
        <v>1</v>
      </c>
      <c r="M324" s="75" t="s">
        <v>638</v>
      </c>
      <c r="N324" s="75" t="s">
        <v>146</v>
      </c>
      <c r="O324" s="75"/>
      <c r="P324" s="74"/>
      <c r="Q324" s="1127"/>
      <c r="R324" s="1128"/>
      <c r="S324" s="1128"/>
      <c r="T324" s="1128"/>
      <c r="U324" s="1128"/>
      <c r="V324" s="1128"/>
      <c r="W324" s="74"/>
      <c r="X324" s="74"/>
      <c r="Y324" s="684" t="s">
        <v>494</v>
      </c>
      <c r="Z324" s="74">
        <v>742.6</v>
      </c>
    </row>
    <row r="325" spans="9:26">
      <c r="I325" s="133">
        <v>46044</v>
      </c>
      <c r="J325" s="134">
        <v>0.45624999999999999</v>
      </c>
      <c r="K325" s="135">
        <v>1.5</v>
      </c>
      <c r="L325" s="75">
        <v>1</v>
      </c>
      <c r="M325" s="75" t="s">
        <v>638</v>
      </c>
      <c r="N325" s="75" t="s">
        <v>146</v>
      </c>
      <c r="O325" s="75"/>
      <c r="P325" s="74"/>
      <c r="Q325" s="1127"/>
      <c r="R325" s="1128"/>
      <c r="S325" s="1128"/>
      <c r="T325" s="1128"/>
      <c r="U325" s="1128"/>
      <c r="V325" s="1128"/>
      <c r="W325" s="74"/>
      <c r="X325" s="74"/>
      <c r="Y325" s="684" t="s">
        <v>497</v>
      </c>
      <c r="Z325" s="74">
        <v>252.7</v>
      </c>
    </row>
    <row r="326" spans="9:26">
      <c r="I326" s="133">
        <v>46044</v>
      </c>
      <c r="J326" s="134">
        <v>0.46458333333333329</v>
      </c>
      <c r="K326" s="135">
        <v>4.2</v>
      </c>
      <c r="L326" s="75">
        <v>2</v>
      </c>
      <c r="M326" s="75" t="s">
        <v>638</v>
      </c>
      <c r="N326" s="75" t="s">
        <v>146</v>
      </c>
      <c r="O326" s="75"/>
      <c r="P326" s="74"/>
      <c r="Q326" s="1127"/>
      <c r="R326" s="1128"/>
      <c r="S326" s="1128"/>
      <c r="T326" s="1128"/>
      <c r="U326" s="1128"/>
      <c r="V326" s="1128"/>
      <c r="W326" s="74"/>
      <c r="X326" s="74"/>
      <c r="Y326" s="684">
        <v>45791</v>
      </c>
      <c r="Z326" s="74">
        <v>1178.6500000000001</v>
      </c>
    </row>
    <row r="327" spans="9:26">
      <c r="I327" s="133">
        <v>46044</v>
      </c>
      <c r="J327" s="134">
        <v>0.46666666666666667</v>
      </c>
      <c r="K327" s="135">
        <v>1.3</v>
      </c>
      <c r="L327" s="75">
        <v>2</v>
      </c>
      <c r="M327" s="75" t="s">
        <v>638</v>
      </c>
      <c r="N327" s="75" t="s">
        <v>146</v>
      </c>
      <c r="O327" s="75"/>
      <c r="P327" s="74"/>
      <c r="Q327" s="1127"/>
      <c r="R327" s="1128"/>
      <c r="S327" s="1128"/>
      <c r="T327" s="1128"/>
      <c r="U327" s="1128"/>
      <c r="V327" s="1128"/>
      <c r="W327" s="74"/>
      <c r="X327" s="74"/>
      <c r="Y327" s="684" t="s">
        <v>146</v>
      </c>
      <c r="Z327" s="74">
        <v>162.80000000000001</v>
      </c>
    </row>
    <row r="328" spans="9:26">
      <c r="I328" s="133">
        <v>46044</v>
      </c>
      <c r="J328" s="134">
        <v>0.47083333333333333</v>
      </c>
      <c r="K328" s="135">
        <v>3</v>
      </c>
      <c r="L328" s="75">
        <v>2</v>
      </c>
      <c r="M328" s="75" t="s">
        <v>638</v>
      </c>
      <c r="N328" s="75" t="s">
        <v>146</v>
      </c>
      <c r="O328" s="75"/>
      <c r="P328" s="74"/>
      <c r="Q328" s="1127"/>
      <c r="R328" s="1128"/>
      <c r="S328" s="1128"/>
      <c r="T328" s="1128"/>
      <c r="U328" s="1128"/>
      <c r="V328" s="1128"/>
      <c r="W328" s="74"/>
      <c r="X328" s="74"/>
      <c r="Y328" s="684" t="s">
        <v>494</v>
      </c>
      <c r="Z328" s="74">
        <v>461.15</v>
      </c>
    </row>
    <row r="329" spans="9:26">
      <c r="I329" s="133">
        <v>46044</v>
      </c>
      <c r="J329" s="134">
        <v>0.47152777777777782</v>
      </c>
      <c r="K329" s="135">
        <v>1.5</v>
      </c>
      <c r="L329" s="75">
        <v>1</v>
      </c>
      <c r="M329" s="75" t="s">
        <v>638</v>
      </c>
      <c r="N329" s="75" t="s">
        <v>146</v>
      </c>
      <c r="O329" s="75"/>
      <c r="P329" s="74"/>
      <c r="Q329" s="1127"/>
      <c r="R329" s="1128"/>
      <c r="S329" s="1128"/>
      <c r="T329" s="1128"/>
      <c r="U329" s="1128"/>
      <c r="V329" s="1128"/>
      <c r="W329" s="74"/>
      <c r="X329" s="74"/>
      <c r="Y329" s="684" t="s">
        <v>497</v>
      </c>
      <c r="Z329" s="74">
        <v>554.70000000000005</v>
      </c>
    </row>
    <row r="330" spans="9:26">
      <c r="I330" s="133">
        <v>46044</v>
      </c>
      <c r="J330" s="134">
        <v>0.47291666666666671</v>
      </c>
      <c r="K330" s="135">
        <v>3.35</v>
      </c>
      <c r="L330" s="75">
        <v>2</v>
      </c>
      <c r="M330" s="75" t="s">
        <v>638</v>
      </c>
      <c r="N330" s="75" t="s">
        <v>146</v>
      </c>
      <c r="O330" s="75"/>
      <c r="P330" s="74"/>
      <c r="Q330" s="1127"/>
      <c r="R330" s="1128"/>
      <c r="S330" s="1128"/>
      <c r="T330" s="1128"/>
      <c r="U330" s="1128"/>
      <c r="V330" s="1128"/>
      <c r="W330" s="74"/>
      <c r="X330" s="74"/>
      <c r="Y330" s="684">
        <v>45792</v>
      </c>
      <c r="Z330" s="74">
        <v>985.3</v>
      </c>
    </row>
    <row r="331" spans="9:26">
      <c r="I331" s="133">
        <v>46044</v>
      </c>
      <c r="J331" s="134">
        <v>0.49861111111111112</v>
      </c>
      <c r="K331" s="135">
        <v>1.7</v>
      </c>
      <c r="L331" s="75">
        <v>1</v>
      </c>
      <c r="M331" s="75" t="s">
        <v>638</v>
      </c>
      <c r="N331" s="75" t="s">
        <v>146</v>
      </c>
      <c r="O331" s="75"/>
      <c r="P331" s="74"/>
      <c r="Q331" s="1127"/>
      <c r="R331" s="1128"/>
      <c r="S331" s="1128"/>
      <c r="T331" s="1128"/>
      <c r="U331" s="1128"/>
      <c r="V331" s="1128"/>
      <c r="W331" s="74"/>
      <c r="X331" s="74"/>
      <c r="Y331" s="684" t="s">
        <v>146</v>
      </c>
      <c r="Z331" s="74">
        <v>97.65</v>
      </c>
    </row>
    <row r="332" spans="9:26">
      <c r="I332" s="133">
        <v>46044</v>
      </c>
      <c r="J332" s="134">
        <v>0.5</v>
      </c>
      <c r="K332" s="135">
        <v>1.95</v>
      </c>
      <c r="L332" s="75">
        <v>1</v>
      </c>
      <c r="M332" s="75" t="s">
        <v>638</v>
      </c>
      <c r="N332" s="75" t="s">
        <v>494</v>
      </c>
      <c r="O332" s="75"/>
      <c r="P332" s="74"/>
      <c r="Q332" s="1127"/>
      <c r="R332" s="1128"/>
      <c r="S332" s="1128"/>
      <c r="T332" s="1128"/>
      <c r="U332" s="1128"/>
      <c r="V332" s="1128"/>
      <c r="W332" s="74"/>
      <c r="X332" s="74"/>
      <c r="Y332" s="684" t="s">
        <v>494</v>
      </c>
      <c r="Z332" s="74">
        <v>522.95000000000005</v>
      </c>
    </row>
    <row r="333" spans="9:26">
      <c r="I333" s="133">
        <v>46044</v>
      </c>
      <c r="J333" s="134">
        <v>0.50277777777777777</v>
      </c>
      <c r="K333" s="135">
        <v>3.2</v>
      </c>
      <c r="L333" s="75">
        <v>1</v>
      </c>
      <c r="M333" s="75" t="s">
        <v>638</v>
      </c>
      <c r="N333" s="75" t="s">
        <v>494</v>
      </c>
      <c r="O333" s="75"/>
      <c r="P333" s="74"/>
      <c r="Q333" s="1127"/>
      <c r="R333" s="1128"/>
      <c r="S333" s="1128"/>
      <c r="T333" s="1128"/>
      <c r="U333" s="1128"/>
      <c r="V333" s="1128"/>
      <c r="W333" s="74"/>
      <c r="X333" s="74"/>
      <c r="Y333" s="684" t="s">
        <v>497</v>
      </c>
      <c r="Z333" s="74">
        <v>364.7</v>
      </c>
    </row>
    <row r="334" spans="9:26">
      <c r="I334" s="133">
        <v>46044</v>
      </c>
      <c r="J334" s="134">
        <v>0.5180555555555556</v>
      </c>
      <c r="K334" s="135">
        <v>3.35</v>
      </c>
      <c r="L334" s="75">
        <v>1</v>
      </c>
      <c r="M334" s="75" t="s">
        <v>638</v>
      </c>
      <c r="N334" s="75" t="s">
        <v>494</v>
      </c>
      <c r="O334" s="75"/>
      <c r="P334" s="74"/>
      <c r="Q334" s="1127"/>
      <c r="R334" s="1128"/>
      <c r="S334" s="1128"/>
      <c r="T334" s="1128"/>
      <c r="U334" s="1128"/>
      <c r="V334" s="1128"/>
      <c r="W334" s="74"/>
      <c r="X334" s="74"/>
      <c r="Y334" s="684">
        <v>45793</v>
      </c>
      <c r="Z334" s="74">
        <v>907</v>
      </c>
    </row>
    <row r="335" spans="9:26">
      <c r="I335" s="133">
        <v>46044</v>
      </c>
      <c r="J335" s="134">
        <v>0.51875000000000004</v>
      </c>
      <c r="K335" s="135">
        <v>2.5499999999999998</v>
      </c>
      <c r="L335" s="75">
        <v>1</v>
      </c>
      <c r="M335" s="75" t="s">
        <v>638</v>
      </c>
      <c r="N335" s="75" t="s">
        <v>494</v>
      </c>
      <c r="O335" s="75"/>
      <c r="P335" s="74"/>
      <c r="Q335" s="1127"/>
      <c r="R335" s="1128"/>
      <c r="S335" s="1128"/>
      <c r="T335" s="1128"/>
      <c r="U335" s="1128"/>
      <c r="V335" s="1128"/>
      <c r="W335" s="74"/>
      <c r="X335" s="74"/>
      <c r="Y335" s="684" t="s">
        <v>146</v>
      </c>
      <c r="Z335" s="74">
        <v>78.900000000000006</v>
      </c>
    </row>
    <row r="336" spans="9:26">
      <c r="I336" s="133">
        <v>46044</v>
      </c>
      <c r="J336" s="134">
        <v>0.5229166666666667</v>
      </c>
      <c r="K336" s="135">
        <v>1.7</v>
      </c>
      <c r="L336" s="75">
        <v>1</v>
      </c>
      <c r="M336" s="75" t="s">
        <v>638</v>
      </c>
      <c r="N336" s="75" t="s">
        <v>494</v>
      </c>
      <c r="O336" s="75"/>
      <c r="P336" s="74"/>
      <c r="Q336" s="1127"/>
      <c r="R336" s="1128"/>
      <c r="S336" s="1128"/>
      <c r="T336" s="1128"/>
      <c r="U336" s="1128"/>
      <c r="V336" s="1128"/>
      <c r="W336" s="74"/>
      <c r="X336" s="74"/>
      <c r="Y336" s="684" t="s">
        <v>494</v>
      </c>
      <c r="Z336" s="74">
        <v>243</v>
      </c>
    </row>
    <row r="337" spans="9:26">
      <c r="I337" s="133">
        <v>46044</v>
      </c>
      <c r="J337" s="134">
        <v>0.55972222222222223</v>
      </c>
      <c r="K337" s="135">
        <v>3.2</v>
      </c>
      <c r="L337" s="75">
        <v>1</v>
      </c>
      <c r="M337" s="75" t="s">
        <v>638</v>
      </c>
      <c r="N337" s="75" t="s">
        <v>494</v>
      </c>
      <c r="O337" s="75"/>
      <c r="P337" s="74"/>
      <c r="Q337" s="1127"/>
      <c r="R337" s="1128"/>
      <c r="S337" s="1128"/>
      <c r="T337" s="1128"/>
      <c r="U337" s="1128"/>
      <c r="V337" s="1128"/>
      <c r="W337" s="74"/>
      <c r="X337" s="74"/>
      <c r="Y337" s="684" t="s">
        <v>497</v>
      </c>
      <c r="Z337" s="74">
        <v>585.1</v>
      </c>
    </row>
    <row r="338" spans="9:26">
      <c r="I338" s="133">
        <v>46044</v>
      </c>
      <c r="J338" s="134">
        <v>0.57638888888888884</v>
      </c>
      <c r="K338" s="135">
        <v>2.35</v>
      </c>
      <c r="L338" s="75">
        <v>1</v>
      </c>
      <c r="M338" s="75" t="s">
        <v>638</v>
      </c>
      <c r="N338" s="75" t="s">
        <v>494</v>
      </c>
      <c r="O338" s="75"/>
      <c r="P338" s="74"/>
      <c r="Q338" s="1127"/>
      <c r="R338" s="1128"/>
      <c r="S338" s="1128"/>
      <c r="T338" s="1128"/>
      <c r="U338" s="1128"/>
      <c r="V338" s="1128"/>
      <c r="W338" s="74"/>
      <c r="X338" s="74"/>
      <c r="Y338" s="684">
        <v>45794</v>
      </c>
      <c r="Z338" s="74">
        <v>892.85</v>
      </c>
    </row>
    <row r="339" spans="9:26">
      <c r="I339" s="133">
        <v>46044</v>
      </c>
      <c r="J339" s="134">
        <v>0.58194444444444449</v>
      </c>
      <c r="K339" s="135">
        <v>3.4</v>
      </c>
      <c r="L339" s="75">
        <v>2</v>
      </c>
      <c r="M339" s="75" t="s">
        <v>638</v>
      </c>
      <c r="N339" s="75" t="s">
        <v>494</v>
      </c>
      <c r="O339" s="75"/>
      <c r="P339" s="74"/>
      <c r="Q339" s="1127"/>
      <c r="R339" s="1128"/>
      <c r="S339" s="1128"/>
      <c r="T339" s="1128"/>
      <c r="U339" s="1128"/>
      <c r="V339" s="1128"/>
      <c r="W339" s="74"/>
      <c r="X339" s="74"/>
      <c r="Y339" s="684" t="s">
        <v>146</v>
      </c>
      <c r="Z339" s="74">
        <v>75.75</v>
      </c>
    </row>
    <row r="340" spans="9:26">
      <c r="I340" s="133">
        <v>46044</v>
      </c>
      <c r="J340" s="134">
        <v>0.5854166666666667</v>
      </c>
      <c r="K340" s="135">
        <v>10</v>
      </c>
      <c r="L340" s="75">
        <v>1</v>
      </c>
      <c r="M340" s="75" t="s">
        <v>638</v>
      </c>
      <c r="N340" s="75" t="s">
        <v>494</v>
      </c>
      <c r="O340" s="75"/>
      <c r="P340" s="74"/>
      <c r="Q340" s="1127"/>
      <c r="R340" s="1128"/>
      <c r="S340" s="1128"/>
      <c r="T340" s="1128"/>
      <c r="U340" s="1128"/>
      <c r="V340" s="1128"/>
      <c r="W340" s="74"/>
      <c r="X340" s="74"/>
      <c r="Y340" s="684" t="s">
        <v>494</v>
      </c>
      <c r="Z340" s="74">
        <v>232</v>
      </c>
    </row>
    <row r="341" spans="9:26">
      <c r="I341" s="133">
        <v>46044</v>
      </c>
      <c r="J341" s="134">
        <v>0.5854166666666667</v>
      </c>
      <c r="K341" s="135">
        <v>22.9</v>
      </c>
      <c r="L341" s="75">
        <v>1</v>
      </c>
      <c r="M341" s="75" t="s">
        <v>638</v>
      </c>
      <c r="N341" s="75" t="s">
        <v>494</v>
      </c>
      <c r="O341" s="75"/>
      <c r="P341" s="74"/>
      <c r="Q341" s="1127"/>
      <c r="R341" s="1128"/>
      <c r="S341" s="1128"/>
      <c r="T341" s="1128"/>
      <c r="U341" s="1128"/>
      <c r="V341" s="1128"/>
      <c r="W341" s="74"/>
      <c r="X341" s="74"/>
      <c r="Y341" s="684" t="s">
        <v>497</v>
      </c>
      <c r="Z341" s="74">
        <v>585.1</v>
      </c>
    </row>
    <row r="342" spans="9:26">
      <c r="I342" s="133">
        <v>46044</v>
      </c>
      <c r="J342" s="134">
        <v>0.59930555555555554</v>
      </c>
      <c r="K342" s="135">
        <v>17.899999999999999</v>
      </c>
      <c r="L342" s="75">
        <v>1</v>
      </c>
      <c r="M342" s="75" t="s">
        <v>638</v>
      </c>
      <c r="N342" s="75" t="s">
        <v>494</v>
      </c>
      <c r="O342" s="75"/>
      <c r="P342" s="74"/>
      <c r="Q342" s="1127"/>
      <c r="R342" s="1128"/>
      <c r="S342" s="1128"/>
      <c r="T342" s="1128"/>
      <c r="U342" s="1128"/>
      <c r="V342" s="1128"/>
      <c r="W342" s="74"/>
      <c r="X342" s="74"/>
      <c r="Y342" s="684">
        <v>45795</v>
      </c>
      <c r="Z342" s="74">
        <v>1266.5999999999999</v>
      </c>
    </row>
    <row r="343" spans="9:26">
      <c r="I343" s="133">
        <v>46044</v>
      </c>
      <c r="J343" s="134">
        <v>0.60069444444444442</v>
      </c>
      <c r="K343" s="135">
        <v>9.5</v>
      </c>
      <c r="L343" s="75">
        <v>2</v>
      </c>
      <c r="M343" s="75" t="s">
        <v>638</v>
      </c>
      <c r="N343" s="75" t="s">
        <v>494</v>
      </c>
      <c r="O343" s="75"/>
      <c r="P343" s="74"/>
      <c r="Q343" s="1127"/>
      <c r="R343" s="1128"/>
      <c r="S343" s="1128"/>
      <c r="T343" s="1128"/>
      <c r="U343" s="1128"/>
      <c r="V343" s="1128"/>
      <c r="W343" s="74"/>
      <c r="X343" s="74"/>
      <c r="Y343" s="684" t="s">
        <v>146</v>
      </c>
      <c r="Z343" s="74">
        <v>140.44999999999999</v>
      </c>
    </row>
    <row r="344" spans="9:26">
      <c r="I344" s="133">
        <v>46044</v>
      </c>
      <c r="J344" s="134">
        <v>0.62361111111111112</v>
      </c>
      <c r="K344" s="135">
        <v>9.85</v>
      </c>
      <c r="L344" s="75">
        <v>5</v>
      </c>
      <c r="M344" s="75" t="s">
        <v>638</v>
      </c>
      <c r="N344" s="75" t="s">
        <v>494</v>
      </c>
      <c r="O344" s="75"/>
      <c r="P344" s="74"/>
      <c r="Q344" s="1127"/>
      <c r="R344" s="1128"/>
      <c r="S344" s="1128"/>
      <c r="T344" s="1128"/>
      <c r="U344" s="1128"/>
      <c r="V344" s="1128"/>
      <c r="W344" s="74"/>
      <c r="X344" s="74"/>
      <c r="Y344" s="684" t="s">
        <v>494</v>
      </c>
      <c r="Z344" s="74">
        <v>923.5</v>
      </c>
    </row>
    <row r="345" spans="9:26">
      <c r="I345" s="133">
        <v>46044</v>
      </c>
      <c r="J345" s="134">
        <v>0.63749999999999996</v>
      </c>
      <c r="K345" s="135">
        <v>8.6</v>
      </c>
      <c r="L345" s="75">
        <v>1</v>
      </c>
      <c r="M345" s="75" t="s">
        <v>638</v>
      </c>
      <c r="N345" s="75" t="s">
        <v>494</v>
      </c>
      <c r="O345" s="75"/>
      <c r="P345" s="74"/>
      <c r="Q345" s="1127"/>
      <c r="R345" s="1128"/>
      <c r="S345" s="1128"/>
      <c r="T345" s="1128"/>
      <c r="U345" s="1128"/>
      <c r="V345" s="1128"/>
      <c r="W345" s="74"/>
      <c r="X345" s="74"/>
      <c r="Y345" s="684" t="s">
        <v>497</v>
      </c>
      <c r="Z345" s="74">
        <v>202.65</v>
      </c>
    </row>
    <row r="346" spans="9:26">
      <c r="I346" s="133">
        <v>46044</v>
      </c>
      <c r="J346" s="134">
        <v>0.63958333333333328</v>
      </c>
      <c r="K346" s="135">
        <v>14.9</v>
      </c>
      <c r="L346" s="75">
        <v>1</v>
      </c>
      <c r="M346" s="75" t="s">
        <v>638</v>
      </c>
      <c r="N346" s="75" t="s">
        <v>494</v>
      </c>
      <c r="O346" s="75"/>
      <c r="P346" s="74"/>
      <c r="Q346" s="1127"/>
      <c r="R346" s="1128"/>
      <c r="S346" s="1128"/>
      <c r="T346" s="1128"/>
      <c r="U346" s="1128"/>
      <c r="V346" s="1128"/>
      <c r="W346" s="74"/>
      <c r="X346" s="74"/>
      <c r="Y346" s="684">
        <v>45798</v>
      </c>
      <c r="Z346" s="74">
        <v>696.86</v>
      </c>
    </row>
    <row r="347" spans="9:26">
      <c r="I347" s="133">
        <v>46044</v>
      </c>
      <c r="J347" s="134">
        <v>0.8569444444444444</v>
      </c>
      <c r="K347" s="135">
        <v>5.2</v>
      </c>
      <c r="L347" s="75">
        <v>1</v>
      </c>
      <c r="M347" s="75" t="s">
        <v>638</v>
      </c>
      <c r="N347" s="75" t="s">
        <v>497</v>
      </c>
      <c r="O347" s="75"/>
      <c r="P347" s="74"/>
      <c r="Q347" s="1127"/>
      <c r="R347" s="1128"/>
      <c r="S347" s="1128"/>
      <c r="T347" s="1128"/>
      <c r="U347" s="1128"/>
      <c r="V347" s="1128"/>
      <c r="W347" s="74"/>
      <c r="X347" s="74"/>
      <c r="Y347" s="684" t="s">
        <v>146</v>
      </c>
      <c r="Z347" s="74">
        <v>126</v>
      </c>
    </row>
    <row r="348" spans="9:26">
      <c r="I348" s="133">
        <v>46044</v>
      </c>
      <c r="J348" s="134">
        <v>0.86041666666666672</v>
      </c>
      <c r="K348" s="135">
        <v>4.75</v>
      </c>
      <c r="L348" s="75">
        <v>1</v>
      </c>
      <c r="M348" s="75" t="s">
        <v>638</v>
      </c>
      <c r="N348" s="75" t="s">
        <v>497</v>
      </c>
      <c r="O348" s="75"/>
      <c r="P348" s="74"/>
      <c r="Q348" s="1127"/>
      <c r="R348" s="1128"/>
      <c r="S348" s="1128"/>
      <c r="T348" s="1128"/>
      <c r="U348" s="1128"/>
      <c r="V348" s="1128"/>
      <c r="W348" s="74"/>
      <c r="X348" s="74"/>
      <c r="Y348" s="684" t="s">
        <v>494</v>
      </c>
      <c r="Z348" s="74">
        <v>309.85000000000002</v>
      </c>
    </row>
    <row r="349" spans="9:26">
      <c r="I349" s="133">
        <v>46045</v>
      </c>
      <c r="J349" s="134">
        <v>0.29791666666666672</v>
      </c>
      <c r="K349" s="135">
        <v>8.0500000000000007</v>
      </c>
      <c r="L349" s="75">
        <v>1</v>
      </c>
      <c r="M349" s="75" t="s">
        <v>633</v>
      </c>
      <c r="N349" s="75" t="s">
        <v>146</v>
      </c>
      <c r="O349" s="75"/>
      <c r="P349" s="74"/>
      <c r="Q349" s="1127"/>
      <c r="R349" s="1128"/>
      <c r="S349" s="1128"/>
      <c r="T349" s="1128"/>
      <c r="U349" s="1128"/>
      <c r="V349" s="1128"/>
      <c r="W349" s="74"/>
      <c r="X349" s="74"/>
      <c r="Y349" s="684" t="s">
        <v>497</v>
      </c>
      <c r="Z349" s="74">
        <v>261.01</v>
      </c>
    </row>
    <row r="350" spans="9:26">
      <c r="I350" s="133">
        <v>46045</v>
      </c>
      <c r="J350" s="134">
        <v>0.31527777777777782</v>
      </c>
      <c r="K350" s="135">
        <v>1.4</v>
      </c>
      <c r="L350" s="75">
        <v>1</v>
      </c>
      <c r="M350" s="75" t="s">
        <v>633</v>
      </c>
      <c r="N350" s="75" t="s">
        <v>146</v>
      </c>
      <c r="O350" s="75"/>
      <c r="P350" s="74"/>
      <c r="Q350" s="1127"/>
      <c r="R350" s="1128"/>
      <c r="S350" s="1128"/>
      <c r="T350" s="1128"/>
      <c r="U350" s="1128"/>
      <c r="V350" s="1128"/>
      <c r="W350" s="74"/>
      <c r="X350" s="74"/>
      <c r="Y350" s="684">
        <v>45799</v>
      </c>
      <c r="Z350" s="74">
        <v>705.95</v>
      </c>
    </row>
    <row r="351" spans="9:26">
      <c r="I351" s="133">
        <v>46045</v>
      </c>
      <c r="J351" s="134">
        <v>0.3298611111111111</v>
      </c>
      <c r="K351" s="135">
        <v>3.1</v>
      </c>
      <c r="L351" s="75">
        <v>1</v>
      </c>
      <c r="M351" s="75" t="s">
        <v>633</v>
      </c>
      <c r="N351" s="75" t="s">
        <v>146</v>
      </c>
      <c r="O351" s="75"/>
      <c r="P351" s="74"/>
      <c r="Q351" s="1127"/>
      <c r="R351" s="1128"/>
      <c r="S351" s="1128"/>
      <c r="T351" s="1128"/>
      <c r="U351" s="1128"/>
      <c r="V351" s="1128"/>
      <c r="W351" s="74"/>
      <c r="X351" s="74"/>
      <c r="Y351" s="684" t="s">
        <v>146</v>
      </c>
      <c r="Z351" s="74">
        <v>79.900000000000006</v>
      </c>
    </row>
    <row r="352" spans="9:26">
      <c r="I352" s="133">
        <v>46045</v>
      </c>
      <c r="J352" s="134">
        <v>0.35069444444444442</v>
      </c>
      <c r="K352" s="135">
        <v>3.95</v>
      </c>
      <c r="L352" s="75">
        <v>1</v>
      </c>
      <c r="M352" s="75" t="s">
        <v>633</v>
      </c>
      <c r="N352" s="75" t="s">
        <v>146</v>
      </c>
      <c r="O352" s="75"/>
      <c r="P352" s="74"/>
      <c r="Q352" s="1127"/>
      <c r="R352" s="1128"/>
      <c r="S352" s="1128"/>
      <c r="T352" s="1128"/>
      <c r="U352" s="1128"/>
      <c r="V352" s="1128"/>
      <c r="W352" s="74"/>
      <c r="X352" s="74"/>
      <c r="Y352" s="684" t="s">
        <v>494</v>
      </c>
      <c r="Z352" s="74">
        <v>424.6</v>
      </c>
    </row>
    <row r="353" spans="9:26">
      <c r="I353" s="133">
        <v>46045</v>
      </c>
      <c r="J353" s="134">
        <v>0.35694444444444451</v>
      </c>
      <c r="K353" s="135">
        <v>1.5</v>
      </c>
      <c r="L353" s="75">
        <v>1</v>
      </c>
      <c r="M353" s="75" t="s">
        <v>633</v>
      </c>
      <c r="N353" s="75" t="s">
        <v>146</v>
      </c>
      <c r="O353" s="75"/>
      <c r="P353" s="74"/>
      <c r="Q353" s="1127"/>
      <c r="R353" s="1128"/>
      <c r="S353" s="1128"/>
      <c r="T353" s="1128"/>
      <c r="U353" s="1128"/>
      <c r="V353" s="1128"/>
      <c r="W353" s="74"/>
      <c r="X353" s="74"/>
      <c r="Y353" s="684" t="s">
        <v>497</v>
      </c>
      <c r="Z353" s="74">
        <v>201.45</v>
      </c>
    </row>
    <row r="354" spans="9:26">
      <c r="I354" s="133">
        <v>46045</v>
      </c>
      <c r="J354" s="134">
        <v>0.36319444444444438</v>
      </c>
      <c r="K354" s="135">
        <v>23.25</v>
      </c>
      <c r="L354" s="75">
        <v>2</v>
      </c>
      <c r="M354" s="75" t="s">
        <v>633</v>
      </c>
      <c r="N354" s="75" t="s">
        <v>146</v>
      </c>
      <c r="O354" s="75"/>
      <c r="P354" s="74"/>
      <c r="Q354" s="1127"/>
      <c r="R354" s="1128"/>
      <c r="S354" s="1128"/>
      <c r="T354" s="1128"/>
      <c r="U354" s="1128"/>
      <c r="V354" s="1128"/>
      <c r="W354" s="74"/>
      <c r="X354" s="74"/>
      <c r="Y354" s="684">
        <v>45800</v>
      </c>
      <c r="Z354" s="74">
        <v>1252.83</v>
      </c>
    </row>
    <row r="355" spans="9:26">
      <c r="I355" s="133">
        <v>46045</v>
      </c>
      <c r="J355" s="134">
        <v>0.36736111111111108</v>
      </c>
      <c r="K355" s="135">
        <v>3.75</v>
      </c>
      <c r="L355" s="75">
        <v>1</v>
      </c>
      <c r="M355" s="75" t="s">
        <v>633</v>
      </c>
      <c r="N355" s="75" t="s">
        <v>146</v>
      </c>
      <c r="O355" s="75"/>
      <c r="P355" s="74"/>
      <c r="Q355" s="1127"/>
      <c r="R355" s="1128"/>
      <c r="S355" s="1128"/>
      <c r="T355" s="1128"/>
      <c r="U355" s="1128"/>
      <c r="V355" s="1128"/>
      <c r="W355" s="74"/>
      <c r="X355" s="74"/>
      <c r="Y355" s="684" t="s">
        <v>146</v>
      </c>
      <c r="Z355" s="74">
        <v>84.55</v>
      </c>
    </row>
    <row r="356" spans="9:26">
      <c r="I356" s="133">
        <v>46045</v>
      </c>
      <c r="J356" s="134">
        <v>0.36805555555555558</v>
      </c>
      <c r="K356" s="135">
        <v>15.5</v>
      </c>
      <c r="L356" s="75">
        <v>2</v>
      </c>
      <c r="M356" s="75" t="s">
        <v>633</v>
      </c>
      <c r="N356" s="75" t="s">
        <v>146</v>
      </c>
      <c r="O356" s="75"/>
      <c r="P356" s="74"/>
      <c r="Q356" s="1127"/>
      <c r="R356" s="1128"/>
      <c r="S356" s="1128"/>
      <c r="T356" s="1128"/>
      <c r="U356" s="1128"/>
      <c r="V356" s="1128"/>
      <c r="W356" s="74"/>
      <c r="X356" s="74"/>
      <c r="Y356" s="684" t="s">
        <v>494</v>
      </c>
      <c r="Z356" s="74">
        <v>143.30000000000001</v>
      </c>
    </row>
    <row r="357" spans="9:26">
      <c r="I357" s="133">
        <v>46045</v>
      </c>
      <c r="J357" s="134">
        <v>0.36875000000000002</v>
      </c>
      <c r="K357" s="135">
        <v>4.8</v>
      </c>
      <c r="L357" s="75">
        <v>1</v>
      </c>
      <c r="M357" s="75" t="s">
        <v>633</v>
      </c>
      <c r="N357" s="75" t="s">
        <v>146</v>
      </c>
      <c r="O357" s="75"/>
      <c r="P357" s="74"/>
      <c r="Q357" s="1127"/>
      <c r="R357" s="1128"/>
      <c r="S357" s="1128"/>
      <c r="T357" s="1128"/>
      <c r="U357" s="1128"/>
      <c r="V357" s="1128"/>
      <c r="W357" s="74"/>
      <c r="X357" s="74"/>
      <c r="Y357" s="684" t="s">
        <v>497</v>
      </c>
      <c r="Z357" s="74">
        <v>1024.98</v>
      </c>
    </row>
    <row r="358" spans="9:26">
      <c r="I358" s="133">
        <v>46045</v>
      </c>
      <c r="J358" s="134">
        <v>0.37916666666666671</v>
      </c>
      <c r="K358" s="135">
        <v>1.85</v>
      </c>
      <c r="L358" s="75">
        <v>1</v>
      </c>
      <c r="M358" s="75" t="s">
        <v>633</v>
      </c>
      <c r="N358" s="75" t="s">
        <v>146</v>
      </c>
      <c r="O358" s="75"/>
      <c r="P358" s="74"/>
      <c r="Q358" s="1127"/>
      <c r="R358" s="1128"/>
      <c r="S358" s="1128"/>
      <c r="T358" s="1128"/>
      <c r="U358" s="1128"/>
      <c r="V358" s="1128"/>
      <c r="W358" s="74"/>
      <c r="X358" s="74"/>
      <c r="Y358" s="684">
        <v>45801</v>
      </c>
      <c r="Z358" s="74">
        <v>3283.75</v>
      </c>
    </row>
    <row r="359" spans="9:26">
      <c r="I359" s="133">
        <v>46045</v>
      </c>
      <c r="J359" s="134">
        <v>0.3888888888888889</v>
      </c>
      <c r="K359" s="135">
        <v>3.45</v>
      </c>
      <c r="L359" s="75">
        <v>1</v>
      </c>
      <c r="M359" s="75" t="s">
        <v>633</v>
      </c>
      <c r="N359" s="75" t="s">
        <v>146</v>
      </c>
      <c r="O359" s="75"/>
      <c r="P359" s="74"/>
      <c r="Q359" s="1127"/>
      <c r="R359" s="1128"/>
      <c r="S359" s="1128"/>
      <c r="T359" s="1128"/>
      <c r="U359" s="1128"/>
      <c r="V359" s="1128"/>
      <c r="W359" s="74"/>
      <c r="X359" s="74"/>
      <c r="Y359" s="684" t="s">
        <v>146</v>
      </c>
      <c r="Z359" s="74">
        <v>236.85</v>
      </c>
    </row>
    <row r="360" spans="9:26">
      <c r="I360" s="133">
        <v>46045</v>
      </c>
      <c r="J360" s="134">
        <v>0.38958333333333328</v>
      </c>
      <c r="K360" s="135">
        <v>6.8</v>
      </c>
      <c r="L360" s="75">
        <v>1</v>
      </c>
      <c r="M360" s="75" t="s">
        <v>633</v>
      </c>
      <c r="N360" s="75" t="s">
        <v>146</v>
      </c>
      <c r="O360" s="75"/>
      <c r="P360" s="74"/>
      <c r="Q360" s="1127"/>
      <c r="R360" s="1128"/>
      <c r="S360" s="1128"/>
      <c r="T360" s="1128"/>
      <c r="U360" s="1128"/>
      <c r="V360" s="1128"/>
      <c r="W360" s="74"/>
      <c r="X360" s="74"/>
      <c r="Y360" s="684" t="s">
        <v>494</v>
      </c>
      <c r="Z360" s="74">
        <v>1499.6</v>
      </c>
    </row>
    <row r="361" spans="9:26">
      <c r="I361" s="133">
        <v>46045</v>
      </c>
      <c r="J361" s="134">
        <v>0.41458333333333341</v>
      </c>
      <c r="K361" s="135">
        <v>8.75</v>
      </c>
      <c r="L361" s="75">
        <v>2</v>
      </c>
      <c r="M361" s="75" t="s">
        <v>633</v>
      </c>
      <c r="N361" s="75" t="s">
        <v>146</v>
      </c>
      <c r="O361" s="75"/>
      <c r="P361" s="74"/>
      <c r="Q361" s="1127"/>
      <c r="R361" s="1128"/>
      <c r="S361" s="1128"/>
      <c r="T361" s="1128"/>
      <c r="U361" s="1128"/>
      <c r="V361" s="1128"/>
      <c r="W361" s="74"/>
      <c r="X361" s="74"/>
      <c r="Y361" s="684" t="s">
        <v>497</v>
      </c>
      <c r="Z361" s="74">
        <v>1547.3</v>
      </c>
    </row>
    <row r="362" spans="9:26">
      <c r="I362" s="133">
        <v>46045</v>
      </c>
      <c r="J362" s="134">
        <v>0.4152777777777778</v>
      </c>
      <c r="K362" s="135">
        <v>3.65</v>
      </c>
      <c r="L362" s="75">
        <v>2</v>
      </c>
      <c r="M362" s="75" t="s">
        <v>633</v>
      </c>
      <c r="N362" s="75" t="s">
        <v>146</v>
      </c>
      <c r="O362" s="75"/>
      <c r="P362" s="74"/>
      <c r="Q362" s="1127"/>
      <c r="R362" s="1128"/>
      <c r="S362" s="1128"/>
      <c r="T362" s="1128"/>
      <c r="U362" s="1128"/>
      <c r="V362" s="1128"/>
      <c r="W362" s="74"/>
      <c r="X362" s="74"/>
      <c r="Y362" s="684">
        <v>45802</v>
      </c>
      <c r="Z362" s="74">
        <v>1343.85</v>
      </c>
    </row>
    <row r="363" spans="9:26">
      <c r="I363" s="133">
        <v>46045</v>
      </c>
      <c r="J363" s="134">
        <v>0.4152777777777778</v>
      </c>
      <c r="K363" s="135">
        <v>3.65</v>
      </c>
      <c r="L363" s="75">
        <v>2</v>
      </c>
      <c r="M363" s="75" t="s">
        <v>633</v>
      </c>
      <c r="N363" s="75" t="s">
        <v>146</v>
      </c>
      <c r="O363" s="75"/>
      <c r="P363" s="74"/>
      <c r="Q363" s="1127"/>
      <c r="R363" s="1128"/>
      <c r="S363" s="1128"/>
      <c r="T363" s="1128"/>
      <c r="U363" s="1128"/>
      <c r="V363" s="1128"/>
      <c r="W363" s="74"/>
      <c r="X363" s="74"/>
      <c r="Y363" s="684" t="s">
        <v>146</v>
      </c>
      <c r="Z363" s="74">
        <v>204.3</v>
      </c>
    </row>
    <row r="364" spans="9:26">
      <c r="I364" s="133">
        <v>46045</v>
      </c>
      <c r="J364" s="134">
        <v>0.42222222222222222</v>
      </c>
      <c r="K364" s="135">
        <v>4.0999999999999996</v>
      </c>
      <c r="L364" s="75">
        <v>1</v>
      </c>
      <c r="M364" s="75" t="s">
        <v>633</v>
      </c>
      <c r="N364" s="75" t="s">
        <v>146</v>
      </c>
      <c r="O364" s="75"/>
      <c r="P364" s="74"/>
      <c r="Q364" s="1127"/>
      <c r="R364" s="1128"/>
      <c r="S364" s="1128"/>
      <c r="T364" s="1128"/>
      <c r="U364" s="1128"/>
      <c r="V364" s="1128"/>
      <c r="W364" s="74"/>
      <c r="X364" s="74"/>
      <c r="Y364" s="684" t="s">
        <v>494</v>
      </c>
      <c r="Z364" s="74">
        <v>842.9</v>
      </c>
    </row>
    <row r="365" spans="9:26">
      <c r="I365" s="133">
        <v>46045</v>
      </c>
      <c r="J365" s="134">
        <v>0.4236111111111111</v>
      </c>
      <c r="K365" s="135">
        <v>11.25</v>
      </c>
      <c r="L365" s="75">
        <v>3</v>
      </c>
      <c r="M365" s="75" t="s">
        <v>633</v>
      </c>
      <c r="N365" s="75" t="s">
        <v>146</v>
      </c>
      <c r="O365" s="75"/>
      <c r="P365" s="74"/>
      <c r="Q365" s="1127"/>
      <c r="R365" s="1128"/>
      <c r="S365" s="1128"/>
      <c r="T365" s="1128"/>
      <c r="U365" s="1128"/>
      <c r="V365" s="1128"/>
      <c r="W365" s="74"/>
      <c r="X365" s="74"/>
      <c r="Y365" s="684" t="s">
        <v>497</v>
      </c>
      <c r="Z365" s="74">
        <v>296.64999999999998</v>
      </c>
    </row>
    <row r="366" spans="9:26">
      <c r="I366" s="133">
        <v>46045</v>
      </c>
      <c r="J366" s="134">
        <v>0.45555555555555549</v>
      </c>
      <c r="K366" s="135">
        <v>1.85</v>
      </c>
      <c r="L366" s="75">
        <v>1</v>
      </c>
      <c r="M366" s="75" t="s">
        <v>633</v>
      </c>
      <c r="N366" s="75" t="s">
        <v>146</v>
      </c>
      <c r="O366" s="75"/>
      <c r="P366" s="74"/>
      <c r="Q366" s="1127"/>
      <c r="R366" s="1128"/>
      <c r="S366" s="1128"/>
      <c r="T366" s="1128"/>
      <c r="U366" s="1128"/>
      <c r="V366" s="1128"/>
      <c r="W366" s="74"/>
      <c r="X366" s="74"/>
      <c r="Y366" s="684">
        <v>45805</v>
      </c>
      <c r="Z366" s="74">
        <v>821.65</v>
      </c>
    </row>
    <row r="367" spans="9:26">
      <c r="I367" s="133">
        <v>46045</v>
      </c>
      <c r="J367" s="134">
        <v>0.46944444444444439</v>
      </c>
      <c r="K367" s="135">
        <v>2.9</v>
      </c>
      <c r="L367" s="75">
        <v>1</v>
      </c>
      <c r="M367" s="75" t="s">
        <v>633</v>
      </c>
      <c r="N367" s="75" t="s">
        <v>146</v>
      </c>
      <c r="O367" s="75"/>
      <c r="P367" s="74"/>
      <c r="Q367" s="1127"/>
      <c r="R367" s="1128"/>
      <c r="S367" s="1128"/>
      <c r="T367" s="1128"/>
      <c r="U367" s="1128"/>
      <c r="V367" s="1128"/>
      <c r="W367" s="74"/>
      <c r="X367" s="74"/>
      <c r="Y367" s="684" t="s">
        <v>146</v>
      </c>
      <c r="Z367" s="74">
        <v>184.5</v>
      </c>
    </row>
    <row r="368" spans="9:26">
      <c r="I368" s="133">
        <v>46045</v>
      </c>
      <c r="J368" s="134">
        <v>0.46944444444444439</v>
      </c>
      <c r="K368" s="135">
        <v>2.9</v>
      </c>
      <c r="L368" s="75">
        <v>1</v>
      </c>
      <c r="M368" s="75" t="s">
        <v>633</v>
      </c>
      <c r="N368" s="75" t="s">
        <v>146</v>
      </c>
      <c r="O368" s="75"/>
      <c r="P368" s="74"/>
      <c r="Q368" s="1127"/>
      <c r="R368" s="1128"/>
      <c r="S368" s="1128"/>
      <c r="T368" s="1128"/>
      <c r="U368" s="1128"/>
      <c r="V368" s="1128"/>
      <c r="W368" s="74"/>
      <c r="X368" s="74"/>
      <c r="Y368" s="684" t="s">
        <v>494</v>
      </c>
      <c r="Z368" s="74">
        <v>435.75</v>
      </c>
    </row>
    <row r="369" spans="9:26">
      <c r="I369" s="133">
        <v>46045</v>
      </c>
      <c r="J369" s="134">
        <v>0.52777777777777779</v>
      </c>
      <c r="K369" s="135">
        <v>1.65</v>
      </c>
      <c r="L369" s="75">
        <v>1</v>
      </c>
      <c r="M369" s="75" t="s">
        <v>633</v>
      </c>
      <c r="N369" s="75" t="s">
        <v>494</v>
      </c>
      <c r="O369" s="75"/>
      <c r="P369" s="74"/>
      <c r="Q369" s="1127"/>
      <c r="R369" s="1128"/>
      <c r="S369" s="1128"/>
      <c r="T369" s="1128"/>
      <c r="U369" s="1128"/>
      <c r="V369" s="1128"/>
      <c r="W369" s="74"/>
      <c r="X369" s="74"/>
      <c r="Y369" s="684" t="s">
        <v>497</v>
      </c>
      <c r="Z369" s="74">
        <v>201.4</v>
      </c>
    </row>
    <row r="370" spans="9:26">
      <c r="I370" s="133">
        <v>46045</v>
      </c>
      <c r="J370" s="134">
        <v>0.55000000000000004</v>
      </c>
      <c r="K370" s="135">
        <v>3.1</v>
      </c>
      <c r="L370" s="75">
        <v>2</v>
      </c>
      <c r="M370" s="75" t="s">
        <v>633</v>
      </c>
      <c r="N370" s="75" t="s">
        <v>494</v>
      </c>
      <c r="O370" s="75"/>
      <c r="P370" s="74"/>
      <c r="Q370" s="1127"/>
      <c r="R370" s="1128"/>
      <c r="S370" s="1128"/>
      <c r="T370" s="1128"/>
      <c r="U370" s="1128"/>
      <c r="V370" s="1128"/>
      <c r="W370" s="74"/>
      <c r="X370" s="74"/>
      <c r="Y370" s="684">
        <v>45806</v>
      </c>
      <c r="Z370" s="74">
        <v>857.45</v>
      </c>
    </row>
    <row r="371" spans="9:26">
      <c r="I371" s="133">
        <v>46045</v>
      </c>
      <c r="J371" s="134">
        <v>0.55138888888888893</v>
      </c>
      <c r="K371" s="135">
        <v>19.7</v>
      </c>
      <c r="L371" s="75">
        <v>3</v>
      </c>
      <c r="M371" s="75" t="s">
        <v>633</v>
      </c>
      <c r="N371" s="75" t="s">
        <v>494</v>
      </c>
      <c r="O371" s="75"/>
      <c r="P371" s="74"/>
      <c r="Q371" s="1127"/>
      <c r="R371" s="1128"/>
      <c r="S371" s="1128"/>
      <c r="T371" s="1128"/>
      <c r="U371" s="1128"/>
      <c r="V371" s="1128"/>
      <c r="W371" s="74"/>
      <c r="X371" s="74"/>
      <c r="Y371" s="684" t="s">
        <v>146</v>
      </c>
      <c r="Z371" s="74">
        <v>202.7</v>
      </c>
    </row>
    <row r="372" spans="9:26">
      <c r="I372" s="133">
        <v>46045</v>
      </c>
      <c r="J372" s="134">
        <v>0.56666666666666665</v>
      </c>
      <c r="K372" s="135">
        <v>2.8</v>
      </c>
      <c r="L372" s="75">
        <v>1</v>
      </c>
      <c r="M372" s="75" t="s">
        <v>633</v>
      </c>
      <c r="N372" s="75" t="s">
        <v>494</v>
      </c>
      <c r="O372" s="75"/>
      <c r="P372" s="74"/>
      <c r="Q372" s="1127"/>
      <c r="R372" s="1128"/>
      <c r="S372" s="1128"/>
      <c r="T372" s="1128"/>
      <c r="U372" s="1128"/>
      <c r="V372" s="1128"/>
      <c r="W372" s="74"/>
      <c r="X372" s="74"/>
      <c r="Y372" s="684" t="s">
        <v>494</v>
      </c>
      <c r="Z372" s="74">
        <v>375.85</v>
      </c>
    </row>
    <row r="373" spans="9:26">
      <c r="I373" s="133">
        <v>46045</v>
      </c>
      <c r="J373" s="134">
        <v>0.625</v>
      </c>
      <c r="K373" s="135">
        <v>57.95</v>
      </c>
      <c r="L373" s="75">
        <v>2</v>
      </c>
      <c r="M373" s="75" t="s">
        <v>633</v>
      </c>
      <c r="N373" s="75" t="s">
        <v>494</v>
      </c>
      <c r="O373" s="75"/>
      <c r="P373" s="74"/>
      <c r="Q373" s="1127"/>
      <c r="R373" s="1128"/>
      <c r="S373" s="1128"/>
      <c r="T373" s="1128"/>
      <c r="U373" s="1128"/>
      <c r="V373" s="1128"/>
      <c r="W373" s="74"/>
      <c r="X373" s="74"/>
      <c r="Y373" s="684" t="s">
        <v>497</v>
      </c>
      <c r="Z373" s="74">
        <v>278.89999999999998</v>
      </c>
    </row>
    <row r="374" spans="9:26">
      <c r="I374" s="133">
        <v>46045</v>
      </c>
      <c r="J374" s="134">
        <v>0.62638888888888888</v>
      </c>
      <c r="K374" s="135">
        <v>1.7</v>
      </c>
      <c r="L374" s="75">
        <v>1</v>
      </c>
      <c r="M374" s="75" t="s">
        <v>633</v>
      </c>
      <c r="N374" s="75" t="s">
        <v>494</v>
      </c>
      <c r="O374" s="75"/>
      <c r="P374" s="74"/>
      <c r="Q374" s="1127"/>
      <c r="R374" s="1128"/>
      <c r="S374" s="1128"/>
      <c r="T374" s="1128"/>
      <c r="U374" s="1128"/>
      <c r="V374" s="1128"/>
      <c r="W374" s="74"/>
      <c r="X374" s="74"/>
      <c r="Y374" s="684">
        <v>45807</v>
      </c>
      <c r="Z374" s="74">
        <v>1796.7</v>
      </c>
    </row>
    <row r="375" spans="9:26">
      <c r="I375" s="133">
        <v>46045</v>
      </c>
      <c r="J375" s="134">
        <v>0.6479166666666667</v>
      </c>
      <c r="K375" s="135">
        <v>17.899999999999999</v>
      </c>
      <c r="L375" s="75">
        <v>1</v>
      </c>
      <c r="M375" s="75" t="s">
        <v>633</v>
      </c>
      <c r="N375" s="75" t="s">
        <v>494</v>
      </c>
      <c r="O375" s="75"/>
      <c r="P375" s="74"/>
      <c r="Q375" s="1127"/>
      <c r="R375" s="1128"/>
      <c r="S375" s="1128"/>
      <c r="T375" s="1128"/>
      <c r="U375" s="1128"/>
      <c r="V375" s="1128"/>
      <c r="W375" s="74"/>
      <c r="X375" s="74"/>
      <c r="Y375" s="684" t="s">
        <v>146</v>
      </c>
      <c r="Z375" s="74">
        <v>133.65</v>
      </c>
    </row>
    <row r="376" spans="9:26">
      <c r="I376" s="133">
        <v>46045</v>
      </c>
      <c r="J376" s="134">
        <v>0.66388888888888886</v>
      </c>
      <c r="K376" s="135">
        <v>1.65</v>
      </c>
      <c r="L376" s="75">
        <v>1</v>
      </c>
      <c r="M376" s="75" t="s">
        <v>633</v>
      </c>
      <c r="N376" s="75" t="s">
        <v>494</v>
      </c>
      <c r="O376" s="75"/>
      <c r="P376" s="74"/>
      <c r="Q376" s="1127"/>
      <c r="R376" s="1128"/>
      <c r="S376" s="1128"/>
      <c r="T376" s="1128"/>
      <c r="U376" s="1128"/>
      <c r="V376" s="1128"/>
      <c r="W376" s="74"/>
      <c r="X376" s="74"/>
      <c r="Y376" s="684" t="s">
        <v>494</v>
      </c>
      <c r="Z376" s="74">
        <v>391.1</v>
      </c>
    </row>
    <row r="377" spans="9:26">
      <c r="I377" s="133">
        <v>46046</v>
      </c>
      <c r="J377" s="134">
        <v>0.36736111111111108</v>
      </c>
      <c r="K377" s="135">
        <v>7.9</v>
      </c>
      <c r="L377" s="75">
        <v>2</v>
      </c>
      <c r="M377" s="75" t="s">
        <v>635</v>
      </c>
      <c r="N377" s="75" t="s">
        <v>146</v>
      </c>
      <c r="O377" s="75"/>
      <c r="P377" s="74"/>
      <c r="Q377" s="1127"/>
      <c r="R377" s="1128"/>
      <c r="S377" s="1128"/>
      <c r="T377" s="1128"/>
      <c r="U377" s="1128"/>
      <c r="V377" s="1128"/>
      <c r="W377" s="74"/>
      <c r="X377" s="74"/>
      <c r="Y377" s="684" t="s">
        <v>497</v>
      </c>
      <c r="Z377" s="74">
        <v>1271.95</v>
      </c>
    </row>
    <row r="378" spans="9:26">
      <c r="I378" s="133">
        <v>46046</v>
      </c>
      <c r="J378" s="134">
        <v>0.39027777777777778</v>
      </c>
      <c r="K378" s="135">
        <v>6.55</v>
      </c>
      <c r="L378" s="75">
        <v>1</v>
      </c>
      <c r="M378" s="75" t="s">
        <v>635</v>
      </c>
      <c r="N378" s="75" t="s">
        <v>146</v>
      </c>
      <c r="O378" s="75"/>
      <c r="P378" s="74"/>
      <c r="Q378" s="1127"/>
      <c r="R378" s="1128"/>
      <c r="S378" s="1128"/>
      <c r="T378" s="1128"/>
      <c r="U378" s="1128"/>
      <c r="V378" s="1128"/>
      <c r="W378" s="74"/>
      <c r="X378" s="74"/>
      <c r="Y378" s="684">
        <v>45808</v>
      </c>
      <c r="Z378" s="74">
        <v>1887.6</v>
      </c>
    </row>
    <row r="379" spans="9:26">
      <c r="I379" s="133">
        <v>46046</v>
      </c>
      <c r="J379" s="134">
        <v>0.40416666666666667</v>
      </c>
      <c r="K379" s="135">
        <v>13.7</v>
      </c>
      <c r="L379" s="75">
        <v>2</v>
      </c>
      <c r="M379" s="75" t="s">
        <v>635</v>
      </c>
      <c r="N379" s="75" t="s">
        <v>146</v>
      </c>
      <c r="O379" s="75"/>
      <c r="P379" s="74"/>
      <c r="Q379" s="1127"/>
      <c r="R379" s="1128"/>
      <c r="S379" s="1128"/>
      <c r="T379" s="1128"/>
      <c r="U379" s="1128"/>
      <c r="V379" s="1128"/>
      <c r="W379" s="74"/>
      <c r="X379" s="74"/>
      <c r="Y379" s="684" t="s">
        <v>146</v>
      </c>
      <c r="Z379" s="74">
        <v>202.35</v>
      </c>
    </row>
    <row r="380" spans="9:26">
      <c r="I380" s="133">
        <v>46046</v>
      </c>
      <c r="J380" s="134">
        <v>0.40555555555555561</v>
      </c>
      <c r="K380" s="135">
        <v>1.4</v>
      </c>
      <c r="L380" s="75">
        <v>1</v>
      </c>
      <c r="M380" s="75" t="s">
        <v>635</v>
      </c>
      <c r="N380" s="75" t="s">
        <v>146</v>
      </c>
      <c r="O380" s="75"/>
      <c r="P380" s="74"/>
      <c r="Q380" s="1127"/>
      <c r="R380" s="1128"/>
      <c r="S380" s="1128"/>
      <c r="T380" s="1128"/>
      <c r="U380" s="1128"/>
      <c r="V380" s="1128"/>
      <c r="W380" s="74"/>
      <c r="X380" s="74"/>
      <c r="Y380" s="684" t="s">
        <v>494</v>
      </c>
      <c r="Z380" s="74">
        <v>553.70000000000005</v>
      </c>
    </row>
    <row r="381" spans="9:26">
      <c r="I381" s="133">
        <v>46046</v>
      </c>
      <c r="J381" s="134">
        <v>0.40833333333333333</v>
      </c>
      <c r="K381" s="135">
        <v>17.5</v>
      </c>
      <c r="L381" s="75">
        <v>2</v>
      </c>
      <c r="M381" s="75" t="s">
        <v>635</v>
      </c>
      <c r="N381" s="75" t="s">
        <v>146</v>
      </c>
      <c r="O381" s="75"/>
      <c r="P381" s="74"/>
      <c r="Q381" s="1127"/>
      <c r="R381" s="1128"/>
      <c r="S381" s="1128"/>
      <c r="T381" s="1128"/>
      <c r="U381" s="1128"/>
      <c r="V381" s="1128"/>
      <c r="W381" s="74"/>
      <c r="X381" s="74"/>
      <c r="Y381" s="684" t="s">
        <v>497</v>
      </c>
      <c r="Z381" s="74">
        <v>1131.55</v>
      </c>
    </row>
    <row r="382" spans="9:26">
      <c r="I382" s="133">
        <v>46046</v>
      </c>
      <c r="J382" s="134">
        <v>0.40902777777777782</v>
      </c>
      <c r="K382" s="135">
        <v>1.85</v>
      </c>
      <c r="L382" s="75">
        <v>1</v>
      </c>
      <c r="M382" s="75" t="s">
        <v>635</v>
      </c>
      <c r="N382" s="75" t="s">
        <v>146</v>
      </c>
      <c r="O382" s="75"/>
      <c r="P382" s="74"/>
      <c r="Q382" s="1127"/>
      <c r="R382" s="1128"/>
      <c r="S382" s="1128"/>
      <c r="T382" s="1128"/>
      <c r="U382" s="1128"/>
      <c r="V382" s="1128"/>
      <c r="W382" s="74"/>
      <c r="X382" s="74"/>
      <c r="Y382" s="684">
        <v>45809</v>
      </c>
      <c r="Z382" s="74">
        <v>1384.4</v>
      </c>
    </row>
    <row r="383" spans="9:26">
      <c r="I383" s="133">
        <v>46046</v>
      </c>
      <c r="J383" s="134">
        <v>0.41388888888888892</v>
      </c>
      <c r="K383" s="135">
        <v>10.8</v>
      </c>
      <c r="L383" s="75">
        <v>2</v>
      </c>
      <c r="M383" s="75" t="s">
        <v>635</v>
      </c>
      <c r="N383" s="75" t="s">
        <v>146</v>
      </c>
      <c r="O383" s="75"/>
      <c r="P383" s="74"/>
      <c r="Q383" s="1127"/>
      <c r="R383" s="1128"/>
      <c r="S383" s="1128"/>
      <c r="T383" s="1128"/>
      <c r="U383" s="1128"/>
      <c r="V383" s="1128"/>
      <c r="W383" s="74"/>
      <c r="X383" s="74"/>
      <c r="Y383" s="684" t="s">
        <v>146</v>
      </c>
      <c r="Z383" s="74">
        <v>223.95</v>
      </c>
    </row>
    <row r="384" spans="9:26">
      <c r="I384" s="133">
        <v>46046</v>
      </c>
      <c r="J384" s="134">
        <v>0.41458333333333341</v>
      </c>
      <c r="K384" s="135">
        <v>10.8</v>
      </c>
      <c r="L384" s="75">
        <v>2</v>
      </c>
      <c r="M384" s="75" t="s">
        <v>635</v>
      </c>
      <c r="N384" s="75" t="s">
        <v>146</v>
      </c>
      <c r="O384" s="75"/>
      <c r="P384" s="74"/>
      <c r="Q384" s="1127"/>
      <c r="R384" s="1128"/>
      <c r="S384" s="1128"/>
      <c r="T384" s="1128"/>
      <c r="U384" s="1128"/>
      <c r="V384" s="1128"/>
      <c r="W384" s="74"/>
      <c r="X384" s="74"/>
      <c r="Y384" s="684" t="s">
        <v>494</v>
      </c>
      <c r="Z384" s="74">
        <v>619.6</v>
      </c>
    </row>
    <row r="385" spans="9:26">
      <c r="I385" s="133">
        <v>46046</v>
      </c>
      <c r="J385" s="134">
        <v>0.42152777777777778</v>
      </c>
      <c r="K385" s="135">
        <v>3.25</v>
      </c>
      <c r="L385" s="75">
        <v>1</v>
      </c>
      <c r="M385" s="75" t="s">
        <v>635</v>
      </c>
      <c r="N385" s="75" t="s">
        <v>146</v>
      </c>
      <c r="O385" s="75"/>
      <c r="P385" s="74"/>
      <c r="Q385" s="1127"/>
      <c r="R385" s="1128"/>
      <c r="S385" s="1128"/>
      <c r="T385" s="1128"/>
      <c r="U385" s="1128"/>
      <c r="V385" s="1128"/>
      <c r="W385" s="74"/>
      <c r="X385" s="74"/>
      <c r="Y385" s="684" t="s">
        <v>497</v>
      </c>
      <c r="Z385" s="74">
        <v>540.85</v>
      </c>
    </row>
    <row r="386" spans="9:26">
      <c r="I386" s="133">
        <v>46046</v>
      </c>
      <c r="J386" s="134">
        <v>0.42152777777777778</v>
      </c>
      <c r="K386" s="135">
        <v>9.4</v>
      </c>
      <c r="L386" s="75">
        <v>2</v>
      </c>
      <c r="M386" s="75" t="s">
        <v>635</v>
      </c>
      <c r="N386" s="75" t="s">
        <v>146</v>
      </c>
      <c r="O386" s="75"/>
      <c r="P386" s="74"/>
      <c r="Q386" s="1127"/>
      <c r="R386" s="1128"/>
      <c r="S386" s="1128"/>
      <c r="T386" s="1128"/>
      <c r="U386" s="1128"/>
      <c r="V386" s="1128"/>
      <c r="W386" s="74"/>
      <c r="X386" s="74"/>
      <c r="Y386" s="684">
        <v>45812</v>
      </c>
      <c r="Z386" s="74">
        <v>1455.15</v>
      </c>
    </row>
    <row r="387" spans="9:26">
      <c r="I387" s="133">
        <v>46046</v>
      </c>
      <c r="J387" s="134">
        <v>0.4236111111111111</v>
      </c>
      <c r="K387" s="135">
        <v>2.4500000000000002</v>
      </c>
      <c r="L387" s="75">
        <v>1</v>
      </c>
      <c r="M387" s="75" t="s">
        <v>635</v>
      </c>
      <c r="N387" s="75" t="s">
        <v>146</v>
      </c>
      <c r="O387" s="75"/>
      <c r="P387" s="74"/>
      <c r="Q387" s="1127"/>
      <c r="R387" s="1128"/>
      <c r="S387" s="1128"/>
      <c r="T387" s="1128"/>
      <c r="U387" s="1128"/>
      <c r="V387" s="1128"/>
      <c r="W387" s="74"/>
      <c r="X387" s="74"/>
      <c r="Y387" s="684" t="s">
        <v>146</v>
      </c>
      <c r="Z387" s="74">
        <v>157.94999999999999</v>
      </c>
    </row>
    <row r="388" spans="9:26">
      <c r="I388" s="133">
        <v>46046</v>
      </c>
      <c r="J388" s="134">
        <v>0.43888888888888888</v>
      </c>
      <c r="K388" s="135">
        <v>1.7</v>
      </c>
      <c r="L388" s="75">
        <v>1</v>
      </c>
      <c r="M388" s="75" t="s">
        <v>635</v>
      </c>
      <c r="N388" s="75" t="s">
        <v>146</v>
      </c>
      <c r="O388" s="75"/>
      <c r="P388" s="74"/>
      <c r="Q388" s="1127"/>
      <c r="R388" s="1128"/>
      <c r="S388" s="1128"/>
      <c r="T388" s="1128"/>
      <c r="U388" s="1128"/>
      <c r="V388" s="1128"/>
      <c r="W388" s="74"/>
      <c r="X388" s="74"/>
      <c r="Y388" s="684" t="s">
        <v>494</v>
      </c>
      <c r="Z388" s="74">
        <v>451</v>
      </c>
    </row>
    <row r="389" spans="9:26">
      <c r="I389" s="133">
        <v>46046</v>
      </c>
      <c r="J389" s="134">
        <v>0.44513888888888892</v>
      </c>
      <c r="K389" s="135">
        <v>1.4</v>
      </c>
      <c r="L389" s="75">
        <v>1</v>
      </c>
      <c r="M389" s="75" t="s">
        <v>635</v>
      </c>
      <c r="N389" s="75" t="s">
        <v>146</v>
      </c>
      <c r="O389" s="75"/>
      <c r="P389" s="74"/>
      <c r="Q389" s="1127"/>
      <c r="R389" s="1128"/>
      <c r="S389" s="1128"/>
      <c r="T389" s="1128"/>
      <c r="U389" s="1128"/>
      <c r="V389" s="1128"/>
      <c r="W389" s="74"/>
      <c r="X389" s="74"/>
      <c r="Y389" s="684" t="s">
        <v>497</v>
      </c>
      <c r="Z389" s="74">
        <v>846.2</v>
      </c>
    </row>
    <row r="390" spans="9:26">
      <c r="I390" s="133">
        <v>46046</v>
      </c>
      <c r="J390" s="134">
        <v>0.4513888888888889</v>
      </c>
      <c r="K390" s="135">
        <v>6</v>
      </c>
      <c r="L390" s="75">
        <v>1</v>
      </c>
      <c r="M390" s="75" t="s">
        <v>635</v>
      </c>
      <c r="N390" s="75" t="s">
        <v>146</v>
      </c>
      <c r="O390" s="75"/>
      <c r="P390" s="74"/>
      <c r="Q390" s="1127"/>
      <c r="R390" s="1128"/>
      <c r="S390" s="1128"/>
      <c r="T390" s="1128"/>
      <c r="U390" s="1128"/>
      <c r="V390" s="1128"/>
      <c r="W390" s="74"/>
      <c r="X390" s="74"/>
      <c r="Y390" s="684">
        <v>45813</v>
      </c>
      <c r="Z390" s="74">
        <v>830.4</v>
      </c>
    </row>
    <row r="391" spans="9:26">
      <c r="I391" s="133">
        <v>46046</v>
      </c>
      <c r="J391" s="134">
        <v>0.4513888888888889</v>
      </c>
      <c r="K391" s="135">
        <v>3.1</v>
      </c>
      <c r="L391" s="75">
        <v>1</v>
      </c>
      <c r="M391" s="75" t="s">
        <v>635</v>
      </c>
      <c r="N391" s="75" t="s">
        <v>146</v>
      </c>
      <c r="O391" s="75"/>
      <c r="P391" s="74"/>
      <c r="Q391" s="1127"/>
      <c r="R391" s="1128"/>
      <c r="S391" s="1128"/>
      <c r="T391" s="1128"/>
      <c r="U391" s="1128"/>
      <c r="V391" s="1128"/>
      <c r="W391" s="74"/>
      <c r="X391" s="74"/>
      <c r="Y391" s="684" t="s">
        <v>146</v>
      </c>
      <c r="Z391" s="74">
        <v>153.44999999999999</v>
      </c>
    </row>
    <row r="392" spans="9:26">
      <c r="I392" s="133">
        <v>46046</v>
      </c>
      <c r="J392" s="134">
        <v>0.46944444444444439</v>
      </c>
      <c r="K392" s="135">
        <v>2.15</v>
      </c>
      <c r="L392" s="75">
        <v>1</v>
      </c>
      <c r="M392" s="75" t="s">
        <v>635</v>
      </c>
      <c r="N392" s="75" t="s">
        <v>146</v>
      </c>
      <c r="O392" s="75"/>
      <c r="P392" s="74"/>
      <c r="Q392" s="1127"/>
      <c r="R392" s="1128"/>
      <c r="S392" s="1128"/>
      <c r="T392" s="1128"/>
      <c r="U392" s="1128"/>
      <c r="V392" s="1128"/>
      <c r="W392" s="74"/>
      <c r="X392" s="74"/>
      <c r="Y392" s="684" t="s">
        <v>494</v>
      </c>
      <c r="Z392" s="74">
        <v>237</v>
      </c>
    </row>
    <row r="393" spans="9:26">
      <c r="I393" s="133">
        <v>46046</v>
      </c>
      <c r="J393" s="134">
        <v>0.48333333333333328</v>
      </c>
      <c r="K393" s="135">
        <v>3.45</v>
      </c>
      <c r="L393" s="75">
        <v>2</v>
      </c>
      <c r="M393" s="75" t="s">
        <v>635</v>
      </c>
      <c r="N393" s="75" t="s">
        <v>146</v>
      </c>
      <c r="O393" s="75"/>
      <c r="P393" s="74"/>
      <c r="Q393" s="1127"/>
      <c r="R393" s="1128"/>
      <c r="S393" s="1128"/>
      <c r="T393" s="1128"/>
      <c r="U393" s="1128"/>
      <c r="V393" s="1128"/>
      <c r="W393" s="74"/>
      <c r="X393" s="74"/>
      <c r="Y393" s="684" t="s">
        <v>497</v>
      </c>
      <c r="Z393" s="74">
        <v>439.95</v>
      </c>
    </row>
    <row r="394" spans="9:26">
      <c r="I394" s="133">
        <v>46046</v>
      </c>
      <c r="J394" s="134">
        <v>0.4909722222222222</v>
      </c>
      <c r="K394" s="135">
        <v>1.5</v>
      </c>
      <c r="L394" s="75">
        <v>1</v>
      </c>
      <c r="M394" s="75" t="s">
        <v>635</v>
      </c>
      <c r="N394" s="75" t="s">
        <v>146</v>
      </c>
      <c r="O394" s="75"/>
      <c r="P394" s="74"/>
      <c r="Q394" s="1127"/>
      <c r="R394" s="1128"/>
      <c r="S394" s="1128"/>
      <c r="T394" s="1128"/>
      <c r="U394" s="1128"/>
      <c r="V394" s="1128"/>
      <c r="W394" s="74"/>
      <c r="X394" s="74"/>
      <c r="Y394" s="684">
        <v>45814</v>
      </c>
      <c r="Z394" s="74">
        <v>2018.23</v>
      </c>
    </row>
    <row r="395" spans="9:26">
      <c r="I395" s="133">
        <v>46046</v>
      </c>
      <c r="J395" s="134">
        <v>0.49375000000000002</v>
      </c>
      <c r="K395" s="135">
        <v>1.5</v>
      </c>
      <c r="L395" s="75">
        <v>1</v>
      </c>
      <c r="M395" s="75" t="s">
        <v>635</v>
      </c>
      <c r="N395" s="75" t="s">
        <v>146</v>
      </c>
      <c r="O395" s="75"/>
      <c r="P395" s="74"/>
      <c r="Q395" s="1127"/>
      <c r="R395" s="1128"/>
      <c r="S395" s="1128"/>
      <c r="T395" s="1128"/>
      <c r="U395" s="1128"/>
      <c r="V395" s="1128"/>
      <c r="W395" s="74"/>
      <c r="X395" s="74"/>
      <c r="Y395" s="684" t="s">
        <v>146</v>
      </c>
      <c r="Z395" s="74">
        <v>127.43</v>
      </c>
    </row>
    <row r="396" spans="9:26">
      <c r="I396" s="133">
        <v>46046</v>
      </c>
      <c r="J396" s="134">
        <v>0.49791666666666667</v>
      </c>
      <c r="K396" s="135">
        <v>3</v>
      </c>
      <c r="L396" s="75">
        <v>1</v>
      </c>
      <c r="M396" s="75" t="s">
        <v>635</v>
      </c>
      <c r="N396" s="75" t="s">
        <v>146</v>
      </c>
      <c r="O396" s="75"/>
      <c r="P396" s="74"/>
      <c r="Q396" s="1127"/>
      <c r="R396" s="1128"/>
      <c r="S396" s="1128"/>
      <c r="T396" s="1128"/>
      <c r="U396" s="1128"/>
      <c r="V396" s="1128"/>
      <c r="W396" s="74"/>
      <c r="X396" s="74"/>
      <c r="Y396" s="684" t="s">
        <v>494</v>
      </c>
      <c r="Z396" s="74">
        <v>314.55</v>
      </c>
    </row>
    <row r="397" spans="9:26">
      <c r="I397" s="133">
        <v>46046</v>
      </c>
      <c r="J397" s="134">
        <v>0.50208333333333333</v>
      </c>
      <c r="K397" s="135">
        <v>2.65</v>
      </c>
      <c r="L397" s="75">
        <v>1</v>
      </c>
      <c r="M397" s="75" t="s">
        <v>635</v>
      </c>
      <c r="N397" s="75" t="s">
        <v>494</v>
      </c>
      <c r="O397" s="75"/>
      <c r="P397" s="74"/>
      <c r="Q397" s="1127"/>
      <c r="R397" s="1128"/>
      <c r="S397" s="1128"/>
      <c r="T397" s="1128"/>
      <c r="U397" s="1128"/>
      <c r="V397" s="1128"/>
      <c r="W397" s="74"/>
      <c r="X397" s="74"/>
      <c r="Y397" s="684" t="s">
        <v>497</v>
      </c>
      <c r="Z397" s="74">
        <v>1576.25</v>
      </c>
    </row>
    <row r="398" spans="9:26">
      <c r="I398" s="133">
        <v>46046</v>
      </c>
      <c r="J398" s="134">
        <v>0.52986111111111112</v>
      </c>
      <c r="K398" s="135">
        <v>1.5</v>
      </c>
      <c r="L398" s="75">
        <v>1</v>
      </c>
      <c r="M398" s="75" t="s">
        <v>635</v>
      </c>
      <c r="N398" s="75" t="s">
        <v>494</v>
      </c>
      <c r="O398" s="75"/>
      <c r="P398" s="74"/>
      <c r="Q398" s="1127"/>
      <c r="R398" s="1128"/>
      <c r="S398" s="1128"/>
      <c r="T398" s="1128"/>
      <c r="U398" s="1128"/>
      <c r="V398" s="1128"/>
      <c r="W398" s="74"/>
      <c r="X398" s="74"/>
      <c r="Y398" s="684">
        <v>45815</v>
      </c>
      <c r="Z398" s="74">
        <v>2648.75</v>
      </c>
    </row>
    <row r="399" spans="9:26">
      <c r="I399" s="133">
        <v>46046</v>
      </c>
      <c r="J399" s="134">
        <v>0.5444444444444444</v>
      </c>
      <c r="K399" s="135">
        <v>3.65</v>
      </c>
      <c r="L399" s="75">
        <v>2</v>
      </c>
      <c r="M399" s="75" t="s">
        <v>635</v>
      </c>
      <c r="N399" s="75" t="s">
        <v>494</v>
      </c>
      <c r="O399" s="75"/>
      <c r="P399" s="74"/>
      <c r="Q399" s="1127"/>
      <c r="R399" s="1128"/>
      <c r="S399" s="1128"/>
      <c r="T399" s="1128"/>
      <c r="U399" s="1128"/>
      <c r="V399" s="1128"/>
      <c r="W399" s="74"/>
      <c r="X399" s="74"/>
      <c r="Y399" s="684" t="s">
        <v>146</v>
      </c>
      <c r="Z399" s="74">
        <v>186.7</v>
      </c>
    </row>
    <row r="400" spans="9:26">
      <c r="I400" s="133">
        <v>46046</v>
      </c>
      <c r="J400" s="134">
        <v>0.61250000000000004</v>
      </c>
      <c r="K400" s="135">
        <v>3.7</v>
      </c>
      <c r="L400" s="75">
        <v>2</v>
      </c>
      <c r="M400" s="75" t="s">
        <v>635</v>
      </c>
      <c r="N400" s="75" t="s">
        <v>494</v>
      </c>
      <c r="O400" s="75"/>
      <c r="P400" s="74"/>
      <c r="Q400" s="1127"/>
      <c r="R400" s="1128"/>
      <c r="S400" s="1128"/>
      <c r="T400" s="1128"/>
      <c r="U400" s="1128"/>
      <c r="V400" s="1128"/>
      <c r="W400" s="74"/>
      <c r="X400" s="74"/>
      <c r="Y400" s="684" t="s">
        <v>494</v>
      </c>
      <c r="Z400" s="74">
        <v>1055.75</v>
      </c>
    </row>
    <row r="401" spans="9:26">
      <c r="I401" s="133">
        <v>46047</v>
      </c>
      <c r="J401" s="134">
        <v>0.3611111111111111</v>
      </c>
      <c r="K401" s="135">
        <v>3</v>
      </c>
      <c r="L401" s="75">
        <v>1</v>
      </c>
      <c r="M401" s="75" t="s">
        <v>636</v>
      </c>
      <c r="N401" s="75" t="s">
        <v>146</v>
      </c>
      <c r="O401" s="75"/>
      <c r="P401" s="74"/>
      <c r="Q401" s="1127"/>
      <c r="R401" s="1128"/>
      <c r="S401" s="1128"/>
      <c r="T401" s="1128"/>
      <c r="U401" s="1128"/>
      <c r="V401" s="1128"/>
      <c r="W401" s="74"/>
      <c r="X401" s="74"/>
      <c r="Y401" s="684" t="s">
        <v>497</v>
      </c>
      <c r="Z401" s="74">
        <v>1406.3</v>
      </c>
    </row>
    <row r="402" spans="9:26">
      <c r="I402" s="133">
        <v>46047</v>
      </c>
      <c r="J402" s="134">
        <v>0.36736111111111108</v>
      </c>
      <c r="K402" s="135">
        <v>1.7</v>
      </c>
      <c r="L402" s="75">
        <v>1</v>
      </c>
      <c r="M402" s="75" t="s">
        <v>636</v>
      </c>
      <c r="N402" s="75" t="s">
        <v>146</v>
      </c>
      <c r="O402" s="75"/>
      <c r="P402" s="74"/>
      <c r="Q402" s="1127"/>
      <c r="R402" s="1128"/>
      <c r="S402" s="1128"/>
      <c r="T402" s="1128"/>
      <c r="U402" s="1128"/>
      <c r="V402" s="1128"/>
      <c r="W402" s="74"/>
      <c r="X402" s="74"/>
      <c r="Y402" s="684">
        <v>45816</v>
      </c>
      <c r="Z402" s="74">
        <v>2062.35</v>
      </c>
    </row>
    <row r="403" spans="9:26">
      <c r="I403" s="133">
        <v>46047</v>
      </c>
      <c r="J403" s="134">
        <v>0.36805555555555558</v>
      </c>
      <c r="K403" s="135">
        <v>5.7</v>
      </c>
      <c r="L403" s="75">
        <v>1</v>
      </c>
      <c r="M403" s="75" t="s">
        <v>636</v>
      </c>
      <c r="N403" s="75" t="s">
        <v>146</v>
      </c>
      <c r="O403" s="75"/>
      <c r="P403" s="74"/>
      <c r="Q403" s="1127"/>
      <c r="R403" s="1128"/>
      <c r="S403" s="1128"/>
      <c r="T403" s="1128"/>
      <c r="U403" s="1128"/>
      <c r="V403" s="1128"/>
      <c r="W403" s="74"/>
      <c r="X403" s="74"/>
      <c r="Y403" s="684" t="s">
        <v>146</v>
      </c>
      <c r="Z403" s="74">
        <v>196.85</v>
      </c>
    </row>
    <row r="404" spans="9:26">
      <c r="I404" s="133">
        <v>46047</v>
      </c>
      <c r="J404" s="134">
        <v>0.38055555555555548</v>
      </c>
      <c r="K404" s="135">
        <v>1.5</v>
      </c>
      <c r="L404" s="75">
        <v>1</v>
      </c>
      <c r="M404" s="75" t="s">
        <v>636</v>
      </c>
      <c r="N404" s="75" t="s">
        <v>146</v>
      </c>
      <c r="O404" s="75"/>
      <c r="P404" s="74"/>
      <c r="Q404" s="1127"/>
      <c r="R404" s="1128"/>
      <c r="S404" s="1128"/>
      <c r="T404" s="1128"/>
      <c r="U404" s="1128"/>
      <c r="V404" s="1128"/>
      <c r="W404" s="74"/>
      <c r="X404" s="74"/>
      <c r="Y404" s="684" t="s">
        <v>494</v>
      </c>
      <c r="Z404" s="74">
        <v>1179.7</v>
      </c>
    </row>
    <row r="405" spans="9:26">
      <c r="I405" s="133">
        <v>46047</v>
      </c>
      <c r="J405" s="134">
        <v>0.4</v>
      </c>
      <c r="K405" s="135">
        <v>8.8000000000000007</v>
      </c>
      <c r="L405" s="75">
        <v>2</v>
      </c>
      <c r="M405" s="75" t="s">
        <v>636</v>
      </c>
      <c r="N405" s="75" t="s">
        <v>146</v>
      </c>
      <c r="O405" s="75"/>
      <c r="P405" s="74"/>
      <c r="Q405" s="1127"/>
      <c r="R405" s="1128"/>
      <c r="S405" s="1128"/>
      <c r="T405" s="1128"/>
      <c r="U405" s="1128"/>
      <c r="V405" s="1128"/>
      <c r="W405" s="74"/>
      <c r="X405" s="74"/>
      <c r="Y405" s="684" t="s">
        <v>497</v>
      </c>
      <c r="Z405" s="74">
        <v>685.8</v>
      </c>
    </row>
    <row r="406" spans="9:26">
      <c r="I406" s="133">
        <v>46047</v>
      </c>
      <c r="J406" s="134">
        <v>0.40208333333333329</v>
      </c>
      <c r="K406" s="135">
        <v>7.35</v>
      </c>
      <c r="L406" s="75">
        <v>1</v>
      </c>
      <c r="M406" s="75" t="s">
        <v>636</v>
      </c>
      <c r="N406" s="75" t="s">
        <v>146</v>
      </c>
      <c r="O406" s="75"/>
      <c r="P406" s="74"/>
      <c r="Q406" s="1127"/>
      <c r="R406" s="1128"/>
      <c r="S406" s="1128"/>
      <c r="T406" s="1128"/>
      <c r="U406" s="1128"/>
      <c r="V406" s="1128"/>
      <c r="W406" s="74"/>
      <c r="X406" s="74"/>
      <c r="Y406" s="684">
        <v>45819</v>
      </c>
      <c r="Z406" s="74">
        <v>1202.8</v>
      </c>
    </row>
    <row r="407" spans="9:26">
      <c r="I407" s="133">
        <v>46047</v>
      </c>
      <c r="J407" s="134">
        <v>0.4236111111111111</v>
      </c>
      <c r="K407" s="135">
        <v>8.9</v>
      </c>
      <c r="L407" s="75">
        <v>2</v>
      </c>
      <c r="M407" s="75" t="s">
        <v>636</v>
      </c>
      <c r="N407" s="75" t="s">
        <v>146</v>
      </c>
      <c r="O407" s="75"/>
      <c r="P407" s="74"/>
      <c r="Q407" s="1127"/>
      <c r="R407" s="1128"/>
      <c r="S407" s="1128"/>
      <c r="T407" s="1128"/>
      <c r="U407" s="1128"/>
      <c r="V407" s="1128"/>
      <c r="W407" s="74"/>
      <c r="X407" s="74"/>
      <c r="Y407" s="684" t="s">
        <v>146</v>
      </c>
      <c r="Z407" s="74">
        <v>109.35</v>
      </c>
    </row>
    <row r="408" spans="9:26">
      <c r="I408" s="133">
        <v>46047</v>
      </c>
      <c r="J408" s="134">
        <v>0.42638888888888887</v>
      </c>
      <c r="K408" s="135">
        <v>5.7</v>
      </c>
      <c r="L408" s="75">
        <v>1</v>
      </c>
      <c r="M408" s="75" t="s">
        <v>636</v>
      </c>
      <c r="N408" s="75" t="s">
        <v>146</v>
      </c>
      <c r="O408" s="75"/>
      <c r="P408" s="74"/>
      <c r="Q408" s="1127"/>
      <c r="R408" s="1128"/>
      <c r="S408" s="1128"/>
      <c r="T408" s="1128"/>
      <c r="U408" s="1128"/>
      <c r="V408" s="1128"/>
      <c r="W408" s="74"/>
      <c r="X408" s="74"/>
      <c r="Y408" s="684" t="s">
        <v>494</v>
      </c>
      <c r="Z408" s="74">
        <v>583.25</v>
      </c>
    </row>
    <row r="409" spans="9:26">
      <c r="I409" s="133">
        <v>46047</v>
      </c>
      <c r="J409" s="134">
        <v>0.42638888888888887</v>
      </c>
      <c r="K409" s="135">
        <v>7.25</v>
      </c>
      <c r="L409" s="75">
        <v>1</v>
      </c>
      <c r="M409" s="75" t="s">
        <v>636</v>
      </c>
      <c r="N409" s="75" t="s">
        <v>146</v>
      </c>
      <c r="O409" s="75"/>
      <c r="P409" s="74"/>
      <c r="Q409" s="1127"/>
      <c r="R409" s="1128"/>
      <c r="S409" s="1128"/>
      <c r="T409" s="1128"/>
      <c r="U409" s="1128"/>
      <c r="V409" s="1128"/>
      <c r="W409" s="74"/>
      <c r="X409" s="74"/>
      <c r="Y409" s="684" t="s">
        <v>497</v>
      </c>
      <c r="Z409" s="74">
        <v>510.2</v>
      </c>
    </row>
    <row r="410" spans="9:26">
      <c r="I410" s="133">
        <v>46047</v>
      </c>
      <c r="J410" s="134">
        <v>0.42916666666666659</v>
      </c>
      <c r="K410" s="135">
        <v>8.25</v>
      </c>
      <c r="L410" s="75">
        <v>2</v>
      </c>
      <c r="M410" s="75" t="s">
        <v>636</v>
      </c>
      <c r="N410" s="75" t="s">
        <v>146</v>
      </c>
      <c r="O410" s="75"/>
      <c r="P410" s="74"/>
      <c r="Q410" s="1127"/>
      <c r="R410" s="1128"/>
      <c r="S410" s="1128"/>
      <c r="T410" s="1128"/>
      <c r="U410" s="1128"/>
      <c r="V410" s="1128"/>
      <c r="W410" s="74"/>
      <c r="X410" s="74"/>
      <c r="Y410" s="684">
        <v>45820</v>
      </c>
      <c r="Z410" s="74">
        <v>926.3</v>
      </c>
    </row>
    <row r="411" spans="9:26">
      <c r="I411" s="133">
        <v>46047</v>
      </c>
      <c r="J411" s="134">
        <v>0.43402777777777779</v>
      </c>
      <c r="K411" s="135">
        <v>3.55</v>
      </c>
      <c r="L411" s="75">
        <v>1</v>
      </c>
      <c r="M411" s="75" t="s">
        <v>636</v>
      </c>
      <c r="N411" s="75" t="s">
        <v>146</v>
      </c>
      <c r="O411" s="75"/>
      <c r="P411" s="74"/>
      <c r="Q411" s="1127"/>
      <c r="R411" s="1128"/>
      <c r="S411" s="1128"/>
      <c r="T411" s="1128"/>
      <c r="U411" s="1128"/>
      <c r="V411" s="1128"/>
      <c r="W411" s="74"/>
      <c r="X411" s="74"/>
      <c r="Y411" s="684" t="s">
        <v>146</v>
      </c>
      <c r="Z411" s="74">
        <v>128.6</v>
      </c>
    </row>
    <row r="412" spans="9:26">
      <c r="I412" s="133">
        <v>46047</v>
      </c>
      <c r="J412" s="134">
        <v>0.46875</v>
      </c>
      <c r="K412" s="135">
        <v>4.7</v>
      </c>
      <c r="L412" s="75">
        <v>3</v>
      </c>
      <c r="M412" s="75" t="s">
        <v>636</v>
      </c>
      <c r="N412" s="75" t="s">
        <v>146</v>
      </c>
      <c r="O412" s="75"/>
      <c r="P412" s="74"/>
      <c r="Q412" s="1127"/>
      <c r="R412" s="1128"/>
      <c r="S412" s="1128"/>
      <c r="T412" s="1128"/>
      <c r="U412" s="1128"/>
      <c r="V412" s="1128"/>
      <c r="W412" s="74"/>
      <c r="X412" s="74"/>
      <c r="Y412" s="684" t="s">
        <v>494</v>
      </c>
      <c r="Z412" s="74">
        <v>462.75</v>
      </c>
    </row>
    <row r="413" spans="9:26">
      <c r="I413" s="133">
        <v>46047</v>
      </c>
      <c r="J413" s="134">
        <v>0.47499999999999998</v>
      </c>
      <c r="K413" s="135">
        <v>1.5</v>
      </c>
      <c r="L413" s="75">
        <v>1</v>
      </c>
      <c r="M413" s="75" t="s">
        <v>636</v>
      </c>
      <c r="N413" s="75" t="s">
        <v>146</v>
      </c>
      <c r="O413" s="75"/>
      <c r="P413" s="74"/>
      <c r="Q413" s="1127"/>
      <c r="R413" s="1128"/>
      <c r="S413" s="1128"/>
      <c r="T413" s="1128"/>
      <c r="U413" s="1128"/>
      <c r="V413" s="1128"/>
      <c r="W413" s="74"/>
      <c r="X413" s="74"/>
      <c r="Y413" s="684" t="s">
        <v>497</v>
      </c>
      <c r="Z413" s="74">
        <v>334.95</v>
      </c>
    </row>
    <row r="414" spans="9:26">
      <c r="I414" s="133">
        <v>46047</v>
      </c>
      <c r="J414" s="134">
        <v>0.4777777777777778</v>
      </c>
      <c r="K414" s="135">
        <v>5.7</v>
      </c>
      <c r="L414" s="75">
        <v>1</v>
      </c>
      <c r="M414" s="75" t="s">
        <v>636</v>
      </c>
      <c r="N414" s="75" t="s">
        <v>146</v>
      </c>
      <c r="O414" s="75"/>
      <c r="P414" s="74"/>
      <c r="Q414" s="1127"/>
      <c r="R414" s="1128"/>
      <c r="S414" s="1128"/>
      <c r="T414" s="1128"/>
      <c r="U414" s="1128"/>
      <c r="V414" s="1128"/>
      <c r="W414" s="74"/>
      <c r="X414" s="74"/>
      <c r="Y414" s="684">
        <v>45821</v>
      </c>
      <c r="Z414" s="74">
        <v>1812</v>
      </c>
    </row>
    <row r="415" spans="9:26">
      <c r="I415" s="133">
        <v>46047</v>
      </c>
      <c r="J415" s="134">
        <v>0.49513888888888891</v>
      </c>
      <c r="K415" s="135">
        <v>15</v>
      </c>
      <c r="L415" s="75">
        <v>2</v>
      </c>
      <c r="M415" s="75" t="s">
        <v>636</v>
      </c>
      <c r="N415" s="75" t="s">
        <v>146</v>
      </c>
      <c r="O415" s="75"/>
      <c r="P415" s="74"/>
      <c r="Q415" s="1127"/>
      <c r="R415" s="1128"/>
      <c r="S415" s="1128"/>
      <c r="T415" s="1128"/>
      <c r="U415" s="1128"/>
      <c r="V415" s="1128"/>
      <c r="W415" s="74"/>
      <c r="X415" s="74"/>
      <c r="Y415" s="684" t="s">
        <v>146</v>
      </c>
      <c r="Z415" s="74">
        <v>241.4</v>
      </c>
    </row>
    <row r="416" spans="9:26">
      <c r="I416" s="133">
        <v>46047</v>
      </c>
      <c r="J416" s="134">
        <v>0.49652777777777779</v>
      </c>
      <c r="K416" s="135">
        <v>13.2</v>
      </c>
      <c r="L416" s="75">
        <v>2</v>
      </c>
      <c r="M416" s="75" t="s">
        <v>636</v>
      </c>
      <c r="N416" s="75" t="s">
        <v>146</v>
      </c>
      <c r="O416" s="75"/>
      <c r="P416" s="74"/>
      <c r="Q416" s="1127"/>
      <c r="R416" s="1128"/>
      <c r="S416" s="1128"/>
      <c r="T416" s="1128"/>
      <c r="U416" s="1128"/>
      <c r="V416" s="1128"/>
      <c r="W416" s="74"/>
      <c r="X416" s="74"/>
      <c r="Y416" s="684" t="s">
        <v>494</v>
      </c>
      <c r="Z416" s="74">
        <v>237.7</v>
      </c>
    </row>
    <row r="417" spans="9:26">
      <c r="I417" s="133">
        <v>46047</v>
      </c>
      <c r="J417" s="134">
        <v>0.49722222222222218</v>
      </c>
      <c r="K417" s="135">
        <v>6.8</v>
      </c>
      <c r="L417" s="75">
        <v>1</v>
      </c>
      <c r="M417" s="75" t="s">
        <v>636</v>
      </c>
      <c r="N417" s="75" t="s">
        <v>146</v>
      </c>
      <c r="O417" s="75"/>
      <c r="P417" s="74"/>
      <c r="Q417" s="1127"/>
      <c r="R417" s="1128"/>
      <c r="S417" s="1128"/>
      <c r="T417" s="1128"/>
      <c r="U417" s="1128"/>
      <c r="V417" s="1128"/>
      <c r="W417" s="74"/>
      <c r="X417" s="74"/>
      <c r="Y417" s="684" t="s">
        <v>497</v>
      </c>
      <c r="Z417" s="74">
        <v>1332.9</v>
      </c>
    </row>
    <row r="418" spans="9:26">
      <c r="I418" s="133">
        <v>46047</v>
      </c>
      <c r="J418" s="134">
        <v>0.50069444444444444</v>
      </c>
      <c r="K418" s="135">
        <v>1.5</v>
      </c>
      <c r="L418" s="75">
        <v>1</v>
      </c>
      <c r="M418" s="75" t="s">
        <v>636</v>
      </c>
      <c r="N418" s="75" t="s">
        <v>494</v>
      </c>
      <c r="O418" s="75"/>
      <c r="P418" s="74"/>
      <c r="Q418" s="1127"/>
      <c r="R418" s="1128"/>
      <c r="S418" s="1128"/>
      <c r="T418" s="1128"/>
      <c r="U418" s="1128"/>
      <c r="V418" s="1128"/>
      <c r="W418" s="74"/>
      <c r="X418" s="74"/>
      <c r="Y418" s="684">
        <v>45822</v>
      </c>
      <c r="Z418" s="74">
        <v>1857.25</v>
      </c>
    </row>
    <row r="419" spans="9:26">
      <c r="I419" s="133">
        <v>46047</v>
      </c>
      <c r="J419" s="134">
        <v>0.50347222222222221</v>
      </c>
      <c r="K419" s="135">
        <v>6.2</v>
      </c>
      <c r="L419" s="75">
        <v>1</v>
      </c>
      <c r="M419" s="75" t="s">
        <v>636</v>
      </c>
      <c r="N419" s="75" t="s">
        <v>494</v>
      </c>
      <c r="O419" s="75"/>
      <c r="P419" s="74"/>
      <c r="Q419" s="1127"/>
      <c r="R419" s="1128"/>
      <c r="S419" s="1128"/>
      <c r="T419" s="1128"/>
      <c r="U419" s="1128"/>
      <c r="V419" s="1128"/>
      <c r="W419" s="74"/>
      <c r="X419" s="74"/>
      <c r="Y419" s="684" t="s">
        <v>146</v>
      </c>
      <c r="Z419" s="74">
        <v>344.25</v>
      </c>
    </row>
    <row r="420" spans="9:26">
      <c r="I420" s="133">
        <v>46047</v>
      </c>
      <c r="J420" s="134">
        <v>0.50416666666666665</v>
      </c>
      <c r="K420" s="135">
        <v>4.95</v>
      </c>
      <c r="L420" s="75">
        <v>1</v>
      </c>
      <c r="M420" s="75" t="s">
        <v>636</v>
      </c>
      <c r="N420" s="75" t="s">
        <v>494</v>
      </c>
      <c r="O420" s="75"/>
      <c r="P420" s="74"/>
      <c r="Q420" s="1127"/>
      <c r="R420" s="1128"/>
      <c r="S420" s="1128"/>
      <c r="T420" s="1128"/>
      <c r="U420" s="1128"/>
      <c r="V420" s="1128"/>
      <c r="W420" s="74"/>
      <c r="X420" s="74"/>
      <c r="Y420" s="684" t="s">
        <v>494</v>
      </c>
      <c r="Z420" s="74">
        <v>590.70000000000005</v>
      </c>
    </row>
    <row r="421" spans="9:26">
      <c r="I421" s="133">
        <v>46050</v>
      </c>
      <c r="J421" s="134">
        <v>0.29791666666666672</v>
      </c>
      <c r="K421" s="135">
        <v>6.55</v>
      </c>
      <c r="L421" s="75">
        <v>1</v>
      </c>
      <c r="M421" s="75" t="s">
        <v>637</v>
      </c>
      <c r="N421" s="75" t="s">
        <v>146</v>
      </c>
      <c r="O421" s="75"/>
      <c r="P421" s="74"/>
      <c r="Q421" s="1127"/>
      <c r="R421" s="1128"/>
      <c r="S421" s="1128"/>
      <c r="T421" s="1128"/>
      <c r="U421" s="1128"/>
      <c r="V421" s="1128"/>
      <c r="W421" s="74"/>
      <c r="X421" s="74"/>
      <c r="Y421" s="684" t="s">
        <v>497</v>
      </c>
      <c r="Z421" s="74">
        <v>922.3</v>
      </c>
    </row>
    <row r="422" spans="9:26">
      <c r="I422" s="133">
        <v>46050</v>
      </c>
      <c r="J422" s="134">
        <v>0.32291666666666669</v>
      </c>
      <c r="K422" s="135">
        <v>2.35</v>
      </c>
      <c r="L422" s="75">
        <v>1</v>
      </c>
      <c r="M422" s="75" t="s">
        <v>637</v>
      </c>
      <c r="N422" s="75" t="s">
        <v>146</v>
      </c>
      <c r="O422" s="75"/>
      <c r="P422" s="74"/>
      <c r="Q422" s="1127"/>
      <c r="R422" s="1128"/>
      <c r="S422" s="1128"/>
      <c r="T422" s="1128"/>
      <c r="U422" s="1128"/>
      <c r="V422" s="1128"/>
      <c r="W422" s="74"/>
      <c r="X422" s="74"/>
      <c r="Y422" s="684">
        <v>45823</v>
      </c>
      <c r="Z422" s="74">
        <v>2010</v>
      </c>
    </row>
    <row r="423" spans="9:26">
      <c r="I423" s="133">
        <v>46050</v>
      </c>
      <c r="J423" s="134">
        <v>0.33124999999999999</v>
      </c>
      <c r="K423" s="135">
        <v>1.5</v>
      </c>
      <c r="L423" s="75">
        <v>1</v>
      </c>
      <c r="M423" s="75" t="s">
        <v>637</v>
      </c>
      <c r="N423" s="75" t="s">
        <v>146</v>
      </c>
      <c r="O423" s="75"/>
      <c r="P423" s="74"/>
      <c r="Q423" s="1127"/>
      <c r="R423" s="1128"/>
      <c r="S423" s="1128"/>
      <c r="T423" s="1128"/>
      <c r="U423" s="1128"/>
      <c r="V423" s="1128"/>
      <c r="W423" s="74"/>
      <c r="X423" s="74"/>
      <c r="Y423" s="684" t="s">
        <v>146</v>
      </c>
      <c r="Z423" s="74">
        <v>268.39999999999998</v>
      </c>
    </row>
    <row r="424" spans="9:26">
      <c r="I424" s="133">
        <v>46050</v>
      </c>
      <c r="J424" s="134">
        <v>0.35347222222222219</v>
      </c>
      <c r="K424" s="135">
        <v>1.5</v>
      </c>
      <c r="L424" s="75">
        <v>1</v>
      </c>
      <c r="M424" s="75" t="s">
        <v>637</v>
      </c>
      <c r="N424" s="75" t="s">
        <v>146</v>
      </c>
      <c r="O424" s="75"/>
      <c r="P424" s="74"/>
      <c r="Q424" s="1127"/>
      <c r="R424" s="1128"/>
      <c r="S424" s="1128"/>
      <c r="T424" s="1128"/>
      <c r="U424" s="1128"/>
      <c r="V424" s="1128"/>
      <c r="W424" s="74"/>
      <c r="X424" s="74"/>
      <c r="Y424" s="684" t="s">
        <v>494</v>
      </c>
      <c r="Z424" s="74">
        <v>1219.0999999999999</v>
      </c>
    </row>
    <row r="425" spans="9:26">
      <c r="I425" s="133">
        <v>46050</v>
      </c>
      <c r="J425" s="134">
        <v>0.3611111111111111</v>
      </c>
      <c r="K425" s="135">
        <v>1.5</v>
      </c>
      <c r="L425" s="75">
        <v>1</v>
      </c>
      <c r="M425" s="75" t="s">
        <v>637</v>
      </c>
      <c r="N425" s="75" t="s">
        <v>146</v>
      </c>
      <c r="O425" s="75"/>
      <c r="P425" s="74"/>
      <c r="Q425" s="1127"/>
      <c r="R425" s="1128"/>
      <c r="S425" s="1128"/>
      <c r="T425" s="1128"/>
      <c r="U425" s="1128"/>
      <c r="V425" s="1128"/>
      <c r="W425" s="74"/>
      <c r="X425" s="74"/>
      <c r="Y425" s="684" t="s">
        <v>497</v>
      </c>
      <c r="Z425" s="74">
        <v>522.5</v>
      </c>
    </row>
    <row r="426" spans="9:26">
      <c r="I426" s="133">
        <v>46050</v>
      </c>
      <c r="J426" s="134">
        <v>0.37708333333333333</v>
      </c>
      <c r="K426" s="135">
        <v>2.15</v>
      </c>
      <c r="L426" s="75">
        <v>1</v>
      </c>
      <c r="M426" s="75" t="s">
        <v>637</v>
      </c>
      <c r="N426" s="75" t="s">
        <v>146</v>
      </c>
      <c r="O426" s="75"/>
      <c r="P426" s="74"/>
      <c r="Q426" s="1127"/>
      <c r="R426" s="1128"/>
      <c r="S426" s="1128"/>
      <c r="T426" s="1128"/>
      <c r="U426" s="1128"/>
      <c r="V426" s="1128"/>
      <c r="W426" s="74"/>
      <c r="X426" s="74"/>
      <c r="Y426" s="684">
        <v>45826</v>
      </c>
      <c r="Z426" s="74">
        <v>901.45</v>
      </c>
    </row>
    <row r="427" spans="9:26">
      <c r="I427" s="133">
        <v>46050</v>
      </c>
      <c r="J427" s="134">
        <v>0.3840277777777778</v>
      </c>
      <c r="K427" s="135">
        <v>4.7</v>
      </c>
      <c r="L427" s="75">
        <v>1</v>
      </c>
      <c r="M427" s="75" t="s">
        <v>637</v>
      </c>
      <c r="N427" s="75" t="s">
        <v>146</v>
      </c>
      <c r="O427" s="75"/>
      <c r="P427" s="74"/>
      <c r="Q427" s="1127"/>
      <c r="R427" s="1128"/>
      <c r="S427" s="1128"/>
      <c r="T427" s="1128"/>
      <c r="U427" s="1128"/>
      <c r="V427" s="1128"/>
      <c r="W427" s="74"/>
      <c r="X427" s="74"/>
      <c r="Y427" s="684" t="s">
        <v>146</v>
      </c>
      <c r="Z427" s="74">
        <v>176.55</v>
      </c>
    </row>
    <row r="428" spans="9:26">
      <c r="I428" s="133">
        <v>46050</v>
      </c>
      <c r="J428" s="134">
        <v>0.38472222222222219</v>
      </c>
      <c r="K428" s="135">
        <v>1.85</v>
      </c>
      <c r="L428" s="75">
        <v>1</v>
      </c>
      <c r="M428" s="75" t="s">
        <v>637</v>
      </c>
      <c r="N428" s="75" t="s">
        <v>146</v>
      </c>
      <c r="O428" s="75"/>
      <c r="P428" s="74"/>
      <c r="Q428" s="1127"/>
      <c r="R428" s="1128"/>
      <c r="S428" s="1128"/>
      <c r="T428" s="1128"/>
      <c r="U428" s="1128"/>
      <c r="V428" s="1128"/>
      <c r="W428" s="74"/>
      <c r="X428" s="74"/>
      <c r="Y428" s="684" t="s">
        <v>494</v>
      </c>
      <c r="Z428" s="74">
        <v>244.6</v>
      </c>
    </row>
    <row r="429" spans="9:26">
      <c r="I429" s="133">
        <v>46050</v>
      </c>
      <c r="J429" s="134">
        <v>0.39027777777777778</v>
      </c>
      <c r="K429" s="135">
        <v>1.75</v>
      </c>
      <c r="L429" s="75">
        <v>1</v>
      </c>
      <c r="M429" s="75" t="s">
        <v>637</v>
      </c>
      <c r="N429" s="75" t="s">
        <v>146</v>
      </c>
      <c r="O429" s="75"/>
      <c r="P429" s="74"/>
      <c r="Q429" s="1127"/>
      <c r="R429" s="1128"/>
      <c r="S429" s="1128"/>
      <c r="T429" s="1128"/>
      <c r="U429" s="1128"/>
      <c r="V429" s="1128"/>
      <c r="W429" s="74"/>
      <c r="X429" s="74"/>
      <c r="Y429" s="684" t="s">
        <v>497</v>
      </c>
      <c r="Z429" s="74">
        <v>480.3</v>
      </c>
    </row>
    <row r="430" spans="9:26">
      <c r="I430" s="133">
        <v>46050</v>
      </c>
      <c r="J430" s="134">
        <v>0.39027777777777778</v>
      </c>
      <c r="K430" s="135">
        <v>1.7</v>
      </c>
      <c r="L430" s="75">
        <v>1</v>
      </c>
      <c r="M430" s="75" t="s">
        <v>637</v>
      </c>
      <c r="N430" s="75" t="s">
        <v>146</v>
      </c>
      <c r="O430" s="75"/>
      <c r="P430" s="74"/>
      <c r="Q430" s="1127"/>
      <c r="R430" s="1128"/>
      <c r="S430" s="1128"/>
      <c r="T430" s="1128"/>
      <c r="U430" s="1128"/>
      <c r="V430" s="1128"/>
      <c r="W430" s="74"/>
      <c r="X430" s="74"/>
      <c r="Y430" s="684">
        <v>45827</v>
      </c>
      <c r="Z430" s="74">
        <v>923.7</v>
      </c>
    </row>
    <row r="431" spans="9:26">
      <c r="I431" s="133">
        <v>46050</v>
      </c>
      <c r="J431" s="134">
        <v>0.39583333333333331</v>
      </c>
      <c r="K431" s="135">
        <v>1.4</v>
      </c>
      <c r="L431" s="75">
        <v>1</v>
      </c>
      <c r="M431" s="75" t="s">
        <v>637</v>
      </c>
      <c r="N431" s="75" t="s">
        <v>146</v>
      </c>
      <c r="O431" s="75"/>
      <c r="P431" s="74"/>
      <c r="Q431" s="1127"/>
      <c r="R431" s="1128"/>
      <c r="S431" s="1128"/>
      <c r="T431" s="1128"/>
      <c r="U431" s="1128"/>
      <c r="V431" s="1128"/>
      <c r="W431" s="74"/>
      <c r="X431" s="74"/>
      <c r="Y431" s="684" t="s">
        <v>146</v>
      </c>
      <c r="Z431" s="74">
        <v>212.15</v>
      </c>
    </row>
    <row r="432" spans="9:26">
      <c r="I432" s="133">
        <v>46050</v>
      </c>
      <c r="J432" s="134">
        <v>0.40208333333333329</v>
      </c>
      <c r="K432" s="135">
        <v>3</v>
      </c>
      <c r="L432" s="75">
        <v>2</v>
      </c>
      <c r="M432" s="75" t="s">
        <v>637</v>
      </c>
      <c r="N432" s="75" t="s">
        <v>146</v>
      </c>
      <c r="O432" s="75"/>
      <c r="P432" s="74"/>
      <c r="Q432" s="1127"/>
      <c r="R432" s="1128"/>
      <c r="S432" s="1128"/>
      <c r="T432" s="1128"/>
      <c r="U432" s="1128"/>
      <c r="V432" s="1128"/>
      <c r="W432" s="74"/>
      <c r="X432" s="74"/>
      <c r="Y432" s="684" t="s">
        <v>494</v>
      </c>
      <c r="Z432" s="74">
        <v>125.25</v>
      </c>
    </row>
    <row r="433" spans="9:26">
      <c r="I433" s="133">
        <v>46050</v>
      </c>
      <c r="J433" s="134">
        <v>0.40486111111111112</v>
      </c>
      <c r="K433" s="135">
        <v>3.2</v>
      </c>
      <c r="L433" s="75">
        <v>2</v>
      </c>
      <c r="M433" s="75" t="s">
        <v>637</v>
      </c>
      <c r="N433" s="75" t="s">
        <v>146</v>
      </c>
      <c r="O433" s="75"/>
      <c r="P433" s="74"/>
      <c r="Q433" s="1127"/>
      <c r="R433" s="1128"/>
      <c r="S433" s="1128"/>
      <c r="T433" s="1128"/>
      <c r="U433" s="1128"/>
      <c r="V433" s="1128"/>
      <c r="W433" s="74"/>
      <c r="X433" s="74"/>
      <c r="Y433" s="684" t="s">
        <v>497</v>
      </c>
      <c r="Z433" s="74">
        <v>586.29999999999995</v>
      </c>
    </row>
    <row r="434" spans="9:26">
      <c r="I434" s="133">
        <v>46050</v>
      </c>
      <c r="J434" s="134">
        <v>0.40625</v>
      </c>
      <c r="K434" s="135">
        <v>5.45</v>
      </c>
      <c r="L434" s="75">
        <v>2</v>
      </c>
      <c r="M434" s="75" t="s">
        <v>637</v>
      </c>
      <c r="N434" s="75" t="s">
        <v>146</v>
      </c>
      <c r="O434" s="75"/>
      <c r="P434" s="74"/>
      <c r="Q434" s="1127"/>
      <c r="R434" s="1128"/>
      <c r="S434" s="1128"/>
      <c r="T434" s="1128"/>
      <c r="U434" s="1128"/>
      <c r="V434" s="1128"/>
      <c r="W434" s="74"/>
      <c r="X434" s="74"/>
      <c r="Y434" s="684">
        <v>45828</v>
      </c>
      <c r="Z434" s="74">
        <v>2180.4</v>
      </c>
    </row>
    <row r="435" spans="9:26">
      <c r="I435" s="133">
        <v>46050</v>
      </c>
      <c r="J435" s="134">
        <v>0.40763888888888888</v>
      </c>
      <c r="K435" s="135">
        <v>1.95</v>
      </c>
      <c r="L435" s="75">
        <v>2</v>
      </c>
      <c r="M435" s="75" t="s">
        <v>637</v>
      </c>
      <c r="N435" s="75" t="s">
        <v>146</v>
      </c>
      <c r="O435" s="75"/>
      <c r="P435" s="74"/>
      <c r="Q435" s="1127"/>
      <c r="R435" s="1128"/>
      <c r="S435" s="1128"/>
      <c r="T435" s="1128"/>
      <c r="U435" s="1128"/>
      <c r="V435" s="1128"/>
      <c r="W435" s="74"/>
      <c r="X435" s="74"/>
      <c r="Y435" s="684" t="s">
        <v>146</v>
      </c>
      <c r="Z435" s="74">
        <v>192.4</v>
      </c>
    </row>
    <row r="436" spans="9:26">
      <c r="I436" s="133">
        <v>46050</v>
      </c>
      <c r="J436" s="134">
        <v>0.42222222222222222</v>
      </c>
      <c r="K436" s="135">
        <v>4.0999999999999996</v>
      </c>
      <c r="L436" s="75">
        <v>1</v>
      </c>
      <c r="M436" s="75" t="s">
        <v>637</v>
      </c>
      <c r="N436" s="75" t="s">
        <v>146</v>
      </c>
      <c r="O436" s="75"/>
      <c r="P436" s="74"/>
      <c r="Q436" s="1127"/>
      <c r="R436" s="1128"/>
      <c r="S436" s="1128"/>
      <c r="T436" s="1128"/>
      <c r="U436" s="1128"/>
      <c r="V436" s="1128"/>
      <c r="W436" s="74"/>
      <c r="X436" s="74"/>
      <c r="Y436" s="684" t="s">
        <v>494</v>
      </c>
      <c r="Z436" s="74">
        <v>898.4</v>
      </c>
    </row>
    <row r="437" spans="9:26">
      <c r="I437" s="133">
        <v>46050</v>
      </c>
      <c r="J437" s="134">
        <v>0.4236111111111111</v>
      </c>
      <c r="K437" s="135">
        <v>11.25</v>
      </c>
      <c r="L437" s="75">
        <v>3</v>
      </c>
      <c r="M437" s="75" t="s">
        <v>637</v>
      </c>
      <c r="N437" s="75" t="s">
        <v>146</v>
      </c>
      <c r="O437" s="75"/>
      <c r="P437" s="74"/>
      <c r="Q437" s="1127"/>
      <c r="R437" s="1128"/>
      <c r="S437" s="1128"/>
      <c r="T437" s="1128"/>
      <c r="U437" s="1128"/>
      <c r="V437" s="1128"/>
      <c r="W437" s="74"/>
      <c r="X437" s="74"/>
      <c r="Y437" s="684" t="s">
        <v>497</v>
      </c>
      <c r="Z437" s="74">
        <v>1089.5999999999999</v>
      </c>
    </row>
    <row r="438" spans="9:26">
      <c r="I438" s="133">
        <v>46050</v>
      </c>
      <c r="J438" s="134">
        <v>0.42499999999999999</v>
      </c>
      <c r="K438" s="135">
        <v>1.7</v>
      </c>
      <c r="L438" s="75">
        <v>1</v>
      </c>
      <c r="M438" s="75" t="s">
        <v>637</v>
      </c>
      <c r="N438" s="75" t="s">
        <v>146</v>
      </c>
      <c r="O438" s="75"/>
      <c r="P438" s="74"/>
      <c r="Q438" s="1127"/>
      <c r="R438" s="1128"/>
      <c r="S438" s="1128"/>
      <c r="T438" s="1128"/>
      <c r="U438" s="1128"/>
      <c r="V438" s="1128"/>
      <c r="W438" s="74"/>
      <c r="X438" s="74"/>
      <c r="Y438" s="684">
        <v>45829</v>
      </c>
      <c r="Z438" s="74">
        <v>2662.7</v>
      </c>
    </row>
    <row r="439" spans="9:26">
      <c r="I439" s="133">
        <v>46050</v>
      </c>
      <c r="J439" s="134">
        <v>0.45347222222222222</v>
      </c>
      <c r="K439" s="135">
        <v>1.5</v>
      </c>
      <c r="L439" s="75">
        <v>1</v>
      </c>
      <c r="M439" s="75" t="s">
        <v>637</v>
      </c>
      <c r="N439" s="75" t="s">
        <v>146</v>
      </c>
      <c r="O439" s="75"/>
      <c r="P439" s="74"/>
      <c r="Q439" s="1127"/>
      <c r="R439" s="1128"/>
      <c r="S439" s="1128"/>
      <c r="T439" s="1128"/>
      <c r="U439" s="1128"/>
      <c r="V439" s="1128"/>
      <c r="W439" s="74"/>
      <c r="X439" s="74"/>
      <c r="Y439" s="684" t="s">
        <v>146</v>
      </c>
      <c r="Z439" s="74">
        <v>213.05</v>
      </c>
    </row>
    <row r="440" spans="9:26">
      <c r="I440" s="133">
        <v>46050</v>
      </c>
      <c r="J440" s="134">
        <v>0.45555555555555549</v>
      </c>
      <c r="K440" s="135">
        <v>1.85</v>
      </c>
      <c r="L440" s="75">
        <v>1</v>
      </c>
      <c r="M440" s="75" t="s">
        <v>637</v>
      </c>
      <c r="N440" s="75" t="s">
        <v>146</v>
      </c>
      <c r="O440" s="75"/>
      <c r="P440" s="74"/>
      <c r="Q440" s="1127"/>
      <c r="R440" s="1128"/>
      <c r="S440" s="1128"/>
      <c r="T440" s="1128"/>
      <c r="U440" s="1128"/>
      <c r="V440" s="1128"/>
      <c r="W440" s="74"/>
      <c r="X440" s="74"/>
      <c r="Y440" s="684" t="s">
        <v>494</v>
      </c>
      <c r="Z440" s="74">
        <v>1228</v>
      </c>
    </row>
    <row r="441" spans="9:26">
      <c r="I441" s="133">
        <v>46050</v>
      </c>
      <c r="J441" s="134">
        <v>0.46944444444444439</v>
      </c>
      <c r="K441" s="135">
        <v>3.4</v>
      </c>
      <c r="L441" s="75">
        <v>2</v>
      </c>
      <c r="M441" s="75" t="s">
        <v>637</v>
      </c>
      <c r="N441" s="75" t="s">
        <v>146</v>
      </c>
      <c r="O441" s="75"/>
      <c r="P441" s="74"/>
      <c r="Q441" s="1127"/>
      <c r="R441" s="1128"/>
      <c r="S441" s="1128"/>
      <c r="T441" s="1128"/>
      <c r="U441" s="1128"/>
      <c r="V441" s="1128"/>
      <c r="W441" s="74"/>
      <c r="X441" s="74"/>
      <c r="Y441" s="684" t="s">
        <v>497</v>
      </c>
      <c r="Z441" s="74">
        <v>1221.6500000000001</v>
      </c>
    </row>
    <row r="442" spans="9:26">
      <c r="I442" s="133">
        <v>46050</v>
      </c>
      <c r="J442" s="134">
        <v>0.47083333333333333</v>
      </c>
      <c r="K442" s="135">
        <v>3.7</v>
      </c>
      <c r="L442" s="75">
        <v>2</v>
      </c>
      <c r="M442" s="75" t="s">
        <v>637</v>
      </c>
      <c r="N442" s="75" t="s">
        <v>146</v>
      </c>
      <c r="O442" s="75"/>
      <c r="P442" s="74"/>
      <c r="Q442" s="1127"/>
      <c r="R442" s="1128"/>
      <c r="S442" s="1128"/>
      <c r="T442" s="1128"/>
      <c r="U442" s="1128"/>
      <c r="V442" s="1128"/>
      <c r="W442" s="74"/>
      <c r="X442" s="74"/>
      <c r="Y442" s="684">
        <v>45830</v>
      </c>
      <c r="Z442" s="74">
        <v>1977.15</v>
      </c>
    </row>
    <row r="443" spans="9:26">
      <c r="I443" s="133">
        <v>46050</v>
      </c>
      <c r="J443" s="134">
        <v>0.49027777777777781</v>
      </c>
      <c r="K443" s="135">
        <v>13.85</v>
      </c>
      <c r="L443" s="75">
        <v>2</v>
      </c>
      <c r="M443" s="75" t="s">
        <v>637</v>
      </c>
      <c r="N443" s="75" t="s">
        <v>146</v>
      </c>
      <c r="O443" s="75"/>
      <c r="P443" s="74"/>
      <c r="Q443" s="1127"/>
      <c r="R443" s="1128"/>
      <c r="S443" s="1128"/>
      <c r="T443" s="1128"/>
      <c r="U443" s="1128"/>
      <c r="V443" s="1128"/>
      <c r="W443" s="74"/>
      <c r="X443" s="74"/>
      <c r="Y443" s="684" t="s">
        <v>146</v>
      </c>
      <c r="Z443" s="74">
        <v>225.55</v>
      </c>
    </row>
    <row r="444" spans="9:26">
      <c r="I444" s="133">
        <v>46050</v>
      </c>
      <c r="J444" s="134">
        <v>0.49444444444444452</v>
      </c>
      <c r="K444" s="135">
        <v>3.1</v>
      </c>
      <c r="L444" s="75">
        <v>2</v>
      </c>
      <c r="M444" s="75" t="s">
        <v>637</v>
      </c>
      <c r="N444" s="75" t="s">
        <v>146</v>
      </c>
      <c r="O444" s="75"/>
      <c r="P444" s="74"/>
      <c r="Q444" s="1127"/>
      <c r="R444" s="1128"/>
      <c r="S444" s="1128"/>
      <c r="T444" s="1128"/>
      <c r="U444" s="1128"/>
      <c r="V444" s="1128"/>
      <c r="W444" s="74"/>
      <c r="X444" s="74"/>
      <c r="Y444" s="684" t="s">
        <v>494</v>
      </c>
      <c r="Z444" s="74">
        <v>796.2</v>
      </c>
    </row>
    <row r="445" spans="9:26">
      <c r="I445" s="133">
        <v>46050</v>
      </c>
      <c r="J445" s="134">
        <v>0.49513888888888891</v>
      </c>
      <c r="K445" s="135">
        <v>1.5</v>
      </c>
      <c r="L445" s="75">
        <v>1</v>
      </c>
      <c r="M445" s="75" t="s">
        <v>637</v>
      </c>
      <c r="N445" s="75" t="s">
        <v>146</v>
      </c>
      <c r="O445" s="75"/>
      <c r="P445" s="74"/>
      <c r="Q445" s="1127"/>
      <c r="R445" s="1128"/>
      <c r="S445" s="1128"/>
      <c r="T445" s="1128"/>
      <c r="U445" s="1128"/>
      <c r="V445" s="1128"/>
      <c r="W445" s="74"/>
      <c r="X445" s="74"/>
      <c r="Y445" s="684" t="s">
        <v>497</v>
      </c>
      <c r="Z445" s="74">
        <v>955.4</v>
      </c>
    </row>
    <row r="446" spans="9:26">
      <c r="I446" s="133">
        <v>46050</v>
      </c>
      <c r="J446" s="134">
        <v>0.52152777777777781</v>
      </c>
      <c r="K446" s="135">
        <v>10.75</v>
      </c>
      <c r="L446" s="75">
        <v>2</v>
      </c>
      <c r="M446" s="75" t="s">
        <v>637</v>
      </c>
      <c r="N446" s="75" t="s">
        <v>494</v>
      </c>
      <c r="O446" s="75"/>
      <c r="P446" s="74"/>
      <c r="Q446" s="1127"/>
      <c r="R446" s="1128"/>
      <c r="S446" s="1128"/>
      <c r="T446" s="1128"/>
      <c r="U446" s="1128"/>
      <c r="V446" s="1128"/>
      <c r="W446" s="74"/>
      <c r="X446" s="74"/>
      <c r="Y446" s="684">
        <v>45833</v>
      </c>
      <c r="Z446" s="74">
        <v>1048.5999999999999</v>
      </c>
    </row>
    <row r="447" spans="9:26">
      <c r="I447" s="133">
        <v>46050</v>
      </c>
      <c r="J447" s="134">
        <v>0.55625000000000002</v>
      </c>
      <c r="K447" s="135">
        <v>1.75</v>
      </c>
      <c r="L447" s="75">
        <v>1</v>
      </c>
      <c r="M447" s="75" t="s">
        <v>637</v>
      </c>
      <c r="N447" s="75" t="s">
        <v>494</v>
      </c>
      <c r="O447" s="75"/>
      <c r="P447" s="74"/>
      <c r="Q447" s="1127"/>
      <c r="R447" s="1128"/>
      <c r="S447" s="1128"/>
      <c r="T447" s="1128"/>
      <c r="U447" s="1128"/>
      <c r="V447" s="1128"/>
      <c r="W447" s="74"/>
      <c r="X447" s="74"/>
      <c r="Y447" s="684" t="s">
        <v>146</v>
      </c>
      <c r="Z447" s="74">
        <v>185.6</v>
      </c>
    </row>
    <row r="448" spans="9:26">
      <c r="I448" s="133">
        <v>46050</v>
      </c>
      <c r="J448" s="134">
        <v>0.6020833333333333</v>
      </c>
      <c r="K448" s="135">
        <v>28.25</v>
      </c>
      <c r="L448" s="75">
        <v>2</v>
      </c>
      <c r="M448" s="75" t="s">
        <v>637</v>
      </c>
      <c r="N448" s="75" t="s">
        <v>494</v>
      </c>
      <c r="O448" s="75"/>
      <c r="P448" s="74"/>
      <c r="Q448" s="1127"/>
      <c r="R448" s="1128"/>
      <c r="S448" s="1128"/>
      <c r="T448" s="1128"/>
      <c r="U448" s="1128"/>
      <c r="V448" s="1128"/>
      <c r="W448" s="74"/>
      <c r="X448" s="74"/>
      <c r="Y448" s="684" t="s">
        <v>494</v>
      </c>
      <c r="Z448" s="74">
        <v>181.4</v>
      </c>
    </row>
    <row r="449" spans="9:26">
      <c r="I449" s="133">
        <v>46050</v>
      </c>
      <c r="J449" s="134">
        <v>0.61388888888888893</v>
      </c>
      <c r="K449" s="135">
        <v>8.6</v>
      </c>
      <c r="L449" s="75">
        <v>2</v>
      </c>
      <c r="M449" s="75" t="s">
        <v>637</v>
      </c>
      <c r="N449" s="75" t="s">
        <v>494</v>
      </c>
      <c r="O449" s="75"/>
      <c r="P449" s="74"/>
      <c r="Q449" s="1127"/>
      <c r="R449" s="1128"/>
      <c r="S449" s="1128"/>
      <c r="T449" s="1128"/>
      <c r="U449" s="1128"/>
      <c r="V449" s="1128"/>
      <c r="W449" s="74"/>
      <c r="X449" s="74"/>
      <c r="Y449" s="684" t="s">
        <v>497</v>
      </c>
      <c r="Z449" s="74">
        <v>681.6</v>
      </c>
    </row>
    <row r="450" spans="9:26">
      <c r="I450" s="133">
        <v>46050</v>
      </c>
      <c r="J450" s="134">
        <v>0.61805555555555558</v>
      </c>
      <c r="K450" s="135">
        <v>1.7</v>
      </c>
      <c r="L450" s="75">
        <v>1</v>
      </c>
      <c r="M450" s="75" t="s">
        <v>637</v>
      </c>
      <c r="N450" s="75" t="s">
        <v>494</v>
      </c>
      <c r="O450" s="75"/>
      <c r="P450" s="74"/>
      <c r="Q450" s="1127"/>
      <c r="R450" s="1128"/>
      <c r="S450" s="1128"/>
      <c r="T450" s="1128"/>
      <c r="U450" s="1128"/>
      <c r="V450" s="1128"/>
      <c r="W450" s="74"/>
      <c r="X450" s="74"/>
      <c r="Y450" s="684">
        <v>45834</v>
      </c>
      <c r="Z450" s="74">
        <v>1648.1</v>
      </c>
    </row>
    <row r="451" spans="9:26">
      <c r="I451" s="133">
        <v>46050</v>
      </c>
      <c r="J451" s="134">
        <v>0.65069444444444446</v>
      </c>
      <c r="K451" s="135">
        <v>20.05</v>
      </c>
      <c r="L451" s="75">
        <v>2</v>
      </c>
      <c r="M451" s="75" t="s">
        <v>637</v>
      </c>
      <c r="N451" s="75" t="s">
        <v>494</v>
      </c>
      <c r="O451" s="75"/>
      <c r="P451" s="74"/>
      <c r="Q451" s="1127"/>
      <c r="R451" s="1128"/>
      <c r="S451" s="1128"/>
      <c r="T451" s="1128"/>
      <c r="U451" s="1128"/>
      <c r="V451" s="1128"/>
      <c r="W451" s="74"/>
      <c r="X451" s="74"/>
      <c r="Y451" s="684" t="s">
        <v>146</v>
      </c>
      <c r="Z451" s="74">
        <v>208.45</v>
      </c>
    </row>
    <row r="452" spans="9:26">
      <c r="I452" s="133">
        <v>46050</v>
      </c>
      <c r="J452" s="134">
        <v>0.65069444444444446</v>
      </c>
      <c r="K452" s="135">
        <v>43.3</v>
      </c>
      <c r="L452" s="75">
        <v>2</v>
      </c>
      <c r="M452" s="75" t="s">
        <v>637</v>
      </c>
      <c r="N452" s="75" t="s">
        <v>494</v>
      </c>
      <c r="O452" s="75"/>
      <c r="P452" s="74"/>
      <c r="Q452" s="1127"/>
      <c r="R452" s="1128"/>
      <c r="S452" s="1128"/>
      <c r="T452" s="1128"/>
      <c r="U452" s="1128"/>
      <c r="V452" s="1128"/>
      <c r="W452" s="74"/>
      <c r="X452" s="74"/>
      <c r="Y452" s="684" t="s">
        <v>494</v>
      </c>
      <c r="Z452" s="74">
        <v>567.35</v>
      </c>
    </row>
    <row r="453" spans="9:26">
      <c r="I453" s="133">
        <v>46050</v>
      </c>
      <c r="J453" s="134">
        <v>0.66597222222222219</v>
      </c>
      <c r="K453" s="135">
        <v>1.5</v>
      </c>
      <c r="L453" s="75">
        <v>1</v>
      </c>
      <c r="M453" s="75" t="s">
        <v>637</v>
      </c>
      <c r="N453" s="75" t="s">
        <v>494</v>
      </c>
      <c r="O453" s="75"/>
      <c r="P453" s="74"/>
      <c r="Q453" s="1127"/>
      <c r="R453" s="1128"/>
      <c r="S453" s="1128"/>
      <c r="T453" s="1128"/>
      <c r="U453" s="1128"/>
      <c r="V453" s="1128"/>
      <c r="W453" s="74"/>
      <c r="X453" s="74"/>
      <c r="Y453" s="684" t="s">
        <v>497</v>
      </c>
      <c r="Z453" s="74">
        <v>872.3</v>
      </c>
    </row>
    <row r="454" spans="9:26">
      <c r="I454" s="133">
        <v>46051</v>
      </c>
      <c r="J454" s="134">
        <v>0.29166666666666669</v>
      </c>
      <c r="K454" s="135">
        <v>5.35</v>
      </c>
      <c r="L454" s="75">
        <v>2</v>
      </c>
      <c r="M454" s="75" t="s">
        <v>638</v>
      </c>
      <c r="N454" s="75" t="s">
        <v>146</v>
      </c>
      <c r="O454" s="75"/>
      <c r="P454" s="74"/>
      <c r="Q454" s="1127"/>
      <c r="R454" s="1128"/>
      <c r="S454" s="1128"/>
      <c r="T454" s="1128"/>
      <c r="U454" s="1128"/>
      <c r="V454" s="1128"/>
      <c r="W454" s="74"/>
      <c r="X454" s="74"/>
      <c r="Y454" s="684">
        <v>45835</v>
      </c>
      <c r="Z454" s="74">
        <v>2035.55</v>
      </c>
    </row>
    <row r="455" spans="9:26">
      <c r="I455" s="133">
        <v>46051</v>
      </c>
      <c r="J455" s="134">
        <v>0.30486111111111108</v>
      </c>
      <c r="K455" s="135">
        <v>3.3</v>
      </c>
      <c r="L455" s="75">
        <v>2</v>
      </c>
      <c r="M455" s="75" t="s">
        <v>638</v>
      </c>
      <c r="N455" s="75" t="s">
        <v>146</v>
      </c>
      <c r="O455" s="75"/>
      <c r="P455" s="74"/>
      <c r="Q455" s="1127"/>
      <c r="R455" s="1128"/>
      <c r="S455" s="1128"/>
      <c r="T455" s="1128"/>
      <c r="U455" s="1128"/>
      <c r="V455" s="1128"/>
      <c r="W455" s="74"/>
      <c r="X455" s="74"/>
      <c r="Y455" s="684" t="s">
        <v>146</v>
      </c>
      <c r="Z455" s="74">
        <v>202.45</v>
      </c>
    </row>
    <row r="456" spans="9:26">
      <c r="I456" s="133">
        <v>46051</v>
      </c>
      <c r="J456" s="134">
        <v>0.31041666666666667</v>
      </c>
      <c r="K456" s="135">
        <v>3.1</v>
      </c>
      <c r="L456" s="75">
        <v>2</v>
      </c>
      <c r="M456" s="75" t="s">
        <v>638</v>
      </c>
      <c r="N456" s="75" t="s">
        <v>146</v>
      </c>
      <c r="O456" s="75"/>
      <c r="P456" s="74"/>
      <c r="Q456" s="1127"/>
      <c r="R456" s="1128"/>
      <c r="S456" s="1128"/>
      <c r="T456" s="1128"/>
      <c r="U456" s="1128"/>
      <c r="V456" s="1128"/>
      <c r="W456" s="74"/>
      <c r="X456" s="74"/>
      <c r="Y456" s="684" t="s">
        <v>494</v>
      </c>
      <c r="Z456" s="74">
        <v>580.35</v>
      </c>
    </row>
    <row r="457" spans="9:26">
      <c r="I457" s="133">
        <v>46051</v>
      </c>
      <c r="J457" s="134">
        <v>0.31180555555555561</v>
      </c>
      <c r="K457" s="135">
        <v>6</v>
      </c>
      <c r="L457" s="75">
        <v>4</v>
      </c>
      <c r="M457" s="75" t="s">
        <v>638</v>
      </c>
      <c r="N457" s="75" t="s">
        <v>146</v>
      </c>
      <c r="O457" s="75"/>
      <c r="P457" s="74"/>
      <c r="Q457" s="1127"/>
      <c r="R457" s="1128"/>
      <c r="S457" s="1128"/>
      <c r="T457" s="1128"/>
      <c r="U457" s="1128"/>
      <c r="V457" s="1128"/>
      <c r="W457" s="74"/>
      <c r="X457" s="74"/>
      <c r="Y457" s="684" t="s">
        <v>497</v>
      </c>
      <c r="Z457" s="74">
        <v>1252.75</v>
      </c>
    </row>
    <row r="458" spans="9:26">
      <c r="I458" s="133">
        <v>46051</v>
      </c>
      <c r="J458" s="134">
        <v>0.32361111111111113</v>
      </c>
      <c r="K458" s="135">
        <v>1.85</v>
      </c>
      <c r="L458" s="75">
        <v>1</v>
      </c>
      <c r="M458" s="75" t="s">
        <v>638</v>
      </c>
      <c r="N458" s="75" t="s">
        <v>146</v>
      </c>
      <c r="O458" s="75"/>
      <c r="P458" s="74"/>
      <c r="Q458" s="1127"/>
      <c r="R458" s="1128"/>
      <c r="S458" s="1128"/>
      <c r="T458" s="1128"/>
      <c r="U458" s="1128"/>
      <c r="V458" s="1128"/>
      <c r="W458" s="74"/>
      <c r="X458" s="74"/>
      <c r="Y458" s="684">
        <v>45836</v>
      </c>
      <c r="Z458" s="74">
        <v>2486.3000000000002</v>
      </c>
    </row>
    <row r="459" spans="9:26">
      <c r="I459" s="133">
        <v>46051</v>
      </c>
      <c r="J459" s="134">
        <v>0.32430555555555562</v>
      </c>
      <c r="K459" s="135">
        <v>1.4</v>
      </c>
      <c r="L459" s="75">
        <v>1</v>
      </c>
      <c r="M459" s="75" t="s">
        <v>638</v>
      </c>
      <c r="N459" s="75" t="s">
        <v>146</v>
      </c>
      <c r="O459" s="75"/>
      <c r="P459" s="74"/>
      <c r="Q459" s="1127"/>
      <c r="R459" s="1128"/>
      <c r="S459" s="1128"/>
      <c r="T459" s="1128"/>
      <c r="U459" s="1128"/>
      <c r="V459" s="1128"/>
      <c r="W459" s="74"/>
      <c r="X459" s="74"/>
      <c r="Y459" s="684" t="s">
        <v>146</v>
      </c>
      <c r="Z459" s="74">
        <v>268.10000000000002</v>
      </c>
    </row>
    <row r="460" spans="9:26">
      <c r="I460" s="133">
        <v>46051</v>
      </c>
      <c r="J460" s="134">
        <v>0.32569444444444451</v>
      </c>
      <c r="K460" s="135">
        <v>1.4</v>
      </c>
      <c r="L460" s="75">
        <v>1</v>
      </c>
      <c r="M460" s="75" t="s">
        <v>638</v>
      </c>
      <c r="N460" s="75" t="s">
        <v>146</v>
      </c>
      <c r="O460" s="75"/>
      <c r="P460" s="74"/>
      <c r="Q460" s="1127"/>
      <c r="R460" s="1128"/>
      <c r="S460" s="1128"/>
      <c r="T460" s="1128"/>
      <c r="U460" s="1128"/>
      <c r="V460" s="1128"/>
      <c r="W460" s="74"/>
      <c r="X460" s="74"/>
      <c r="Y460" s="684" t="s">
        <v>494</v>
      </c>
      <c r="Z460" s="74">
        <v>540.15</v>
      </c>
    </row>
    <row r="461" spans="9:26">
      <c r="I461" s="133">
        <v>46051</v>
      </c>
      <c r="J461" s="134">
        <v>0.34513888888888888</v>
      </c>
      <c r="K461" s="135">
        <v>1.5</v>
      </c>
      <c r="L461" s="75">
        <v>1</v>
      </c>
      <c r="M461" s="75" t="s">
        <v>638</v>
      </c>
      <c r="N461" s="75" t="s">
        <v>146</v>
      </c>
      <c r="O461" s="75"/>
      <c r="P461" s="74"/>
      <c r="Q461" s="1127"/>
      <c r="R461" s="1128"/>
      <c r="S461" s="1128"/>
      <c r="T461" s="1128"/>
      <c r="U461" s="1128"/>
      <c r="V461" s="1128"/>
      <c r="W461" s="74"/>
      <c r="X461" s="74"/>
      <c r="Y461" s="684" t="s">
        <v>497</v>
      </c>
      <c r="Z461" s="74">
        <v>1678.05</v>
      </c>
    </row>
    <row r="462" spans="9:26">
      <c r="I462" s="133">
        <v>46051</v>
      </c>
      <c r="J462" s="134">
        <v>0.37222222222222218</v>
      </c>
      <c r="K462" s="135">
        <v>4.9000000000000004</v>
      </c>
      <c r="L462" s="75">
        <v>2</v>
      </c>
      <c r="M462" s="75" t="s">
        <v>638</v>
      </c>
      <c r="N462" s="75" t="s">
        <v>146</v>
      </c>
      <c r="O462" s="75"/>
      <c r="P462" s="74"/>
      <c r="Q462" s="1127"/>
      <c r="R462" s="1128"/>
      <c r="S462" s="1128"/>
      <c r="T462" s="1128"/>
      <c r="U462" s="1128"/>
      <c r="V462" s="1128"/>
      <c r="W462" s="74"/>
      <c r="X462" s="74"/>
      <c r="Y462" s="684">
        <v>45837</v>
      </c>
      <c r="Z462" s="74">
        <v>1458.2</v>
      </c>
    </row>
    <row r="463" spans="9:26">
      <c r="I463" s="133">
        <v>46051</v>
      </c>
      <c r="J463" s="134">
        <v>0.37430555555555561</v>
      </c>
      <c r="K463" s="135">
        <v>1.85</v>
      </c>
      <c r="L463" s="75">
        <v>1</v>
      </c>
      <c r="M463" s="75" t="s">
        <v>638</v>
      </c>
      <c r="N463" s="75" t="s">
        <v>146</v>
      </c>
      <c r="O463" s="75"/>
      <c r="P463" s="74"/>
      <c r="Q463" s="1127"/>
      <c r="R463" s="1128"/>
      <c r="S463" s="1128"/>
      <c r="T463" s="1128"/>
      <c r="U463" s="1128"/>
      <c r="V463" s="1128"/>
      <c r="W463" s="74"/>
      <c r="X463" s="74"/>
      <c r="Y463" s="684" t="s">
        <v>146</v>
      </c>
      <c r="Z463" s="74">
        <v>253.9</v>
      </c>
    </row>
    <row r="464" spans="9:26">
      <c r="I464" s="133">
        <v>46051</v>
      </c>
      <c r="J464" s="134">
        <v>0.38194444444444442</v>
      </c>
      <c r="K464" s="135">
        <v>3.2</v>
      </c>
      <c r="L464" s="75">
        <v>1</v>
      </c>
      <c r="M464" s="75" t="s">
        <v>638</v>
      </c>
      <c r="N464" s="75" t="s">
        <v>146</v>
      </c>
      <c r="O464" s="75"/>
      <c r="P464" s="74"/>
      <c r="Q464" s="1127"/>
      <c r="R464" s="1128"/>
      <c r="S464" s="1128"/>
      <c r="T464" s="1128"/>
      <c r="U464" s="1128"/>
      <c r="V464" s="1128"/>
      <c r="W464" s="74"/>
      <c r="X464" s="74"/>
      <c r="Y464" s="684" t="s">
        <v>494</v>
      </c>
      <c r="Z464" s="74">
        <v>524.65</v>
      </c>
    </row>
    <row r="465" spans="9:26">
      <c r="I465" s="133">
        <v>46051</v>
      </c>
      <c r="J465" s="134">
        <v>0.38611111111111113</v>
      </c>
      <c r="K465" s="135">
        <v>3.7</v>
      </c>
      <c r="L465" s="75">
        <v>2</v>
      </c>
      <c r="M465" s="75" t="s">
        <v>638</v>
      </c>
      <c r="N465" s="75" t="s">
        <v>146</v>
      </c>
      <c r="O465" s="75"/>
      <c r="P465" s="74"/>
      <c r="Q465" s="1127"/>
      <c r="R465" s="1128"/>
      <c r="S465" s="1128"/>
      <c r="T465" s="1128"/>
      <c r="U465" s="1128"/>
      <c r="V465" s="1128"/>
      <c r="W465" s="74"/>
      <c r="X465" s="74"/>
      <c r="Y465" s="684" t="s">
        <v>497</v>
      </c>
      <c r="Z465" s="74">
        <v>679.65</v>
      </c>
    </row>
    <row r="466" spans="9:26">
      <c r="I466" s="133">
        <v>46051</v>
      </c>
      <c r="J466" s="134">
        <v>0.38958333333333328</v>
      </c>
      <c r="K466" s="135">
        <v>1.5</v>
      </c>
      <c r="L466" s="75">
        <v>2</v>
      </c>
      <c r="M466" s="75" t="s">
        <v>638</v>
      </c>
      <c r="N466" s="75" t="s">
        <v>146</v>
      </c>
      <c r="O466" s="75"/>
      <c r="P466" s="74"/>
      <c r="Q466" s="1127"/>
      <c r="R466" s="1128"/>
      <c r="S466" s="1128"/>
      <c r="T466" s="1128"/>
      <c r="U466" s="1128"/>
      <c r="V466" s="1128"/>
      <c r="W466" s="74"/>
      <c r="X466" s="74"/>
      <c r="Y466" s="684">
        <v>45840</v>
      </c>
      <c r="Z466" s="74">
        <v>1080.55</v>
      </c>
    </row>
    <row r="467" spans="9:26">
      <c r="I467" s="133">
        <v>46051</v>
      </c>
      <c r="J467" s="134">
        <v>0.40555555555555561</v>
      </c>
      <c r="K467" s="135">
        <v>3.95</v>
      </c>
      <c r="L467" s="75">
        <v>1</v>
      </c>
      <c r="M467" s="75" t="s">
        <v>638</v>
      </c>
      <c r="N467" s="75" t="s">
        <v>146</v>
      </c>
      <c r="O467" s="75"/>
      <c r="P467" s="74"/>
      <c r="Q467" s="1127"/>
      <c r="R467" s="1128"/>
      <c r="S467" s="1128"/>
      <c r="T467" s="1128"/>
      <c r="U467" s="1128"/>
      <c r="V467" s="1128"/>
      <c r="W467" s="74"/>
      <c r="X467" s="74"/>
      <c r="Y467" s="684" t="s">
        <v>146</v>
      </c>
      <c r="Z467" s="74">
        <v>246.85</v>
      </c>
    </row>
    <row r="468" spans="9:26">
      <c r="I468" s="133">
        <v>46051</v>
      </c>
      <c r="J468" s="134">
        <v>0.40625</v>
      </c>
      <c r="K468" s="135">
        <v>8.3000000000000007</v>
      </c>
      <c r="L468" s="75">
        <v>4</v>
      </c>
      <c r="M468" s="75" t="s">
        <v>638</v>
      </c>
      <c r="N468" s="75" t="s">
        <v>146</v>
      </c>
      <c r="O468" s="75"/>
      <c r="P468" s="74"/>
      <c r="Q468" s="1127"/>
      <c r="R468" s="1128"/>
      <c r="S468" s="1128"/>
      <c r="T468" s="1128"/>
      <c r="U468" s="1128"/>
      <c r="V468" s="1128"/>
      <c r="W468" s="74"/>
      <c r="X468" s="74"/>
      <c r="Y468" s="684" t="s">
        <v>494</v>
      </c>
      <c r="Z468" s="74">
        <v>604.15</v>
      </c>
    </row>
    <row r="469" spans="9:26">
      <c r="I469" s="133">
        <v>46051</v>
      </c>
      <c r="J469" s="134">
        <v>0.41875000000000001</v>
      </c>
      <c r="K469" s="135">
        <v>4.2</v>
      </c>
      <c r="L469" s="75">
        <v>1</v>
      </c>
      <c r="M469" s="75" t="s">
        <v>638</v>
      </c>
      <c r="N469" s="75" t="s">
        <v>146</v>
      </c>
      <c r="O469" s="75"/>
      <c r="P469" s="74"/>
      <c r="Q469" s="1127"/>
      <c r="R469" s="1128"/>
      <c r="S469" s="1128"/>
      <c r="T469" s="1128"/>
      <c r="U469" s="1128"/>
      <c r="V469" s="1128"/>
      <c r="W469" s="74"/>
      <c r="X469" s="74"/>
      <c r="Y469" s="684" t="s">
        <v>497</v>
      </c>
      <c r="Z469" s="74">
        <v>229.55</v>
      </c>
    </row>
    <row r="470" spans="9:26">
      <c r="I470" s="133">
        <v>46051</v>
      </c>
      <c r="J470" s="134">
        <v>0.43333333333333329</v>
      </c>
      <c r="K470" s="135">
        <v>9.15</v>
      </c>
      <c r="L470" s="75">
        <v>1</v>
      </c>
      <c r="M470" s="75" t="s">
        <v>638</v>
      </c>
      <c r="N470" s="75" t="s">
        <v>146</v>
      </c>
      <c r="O470" s="75"/>
      <c r="P470" s="74"/>
      <c r="Q470" s="1127"/>
      <c r="R470" s="1128"/>
      <c r="S470" s="1128"/>
      <c r="T470" s="1128"/>
      <c r="U470" s="1128"/>
      <c r="V470" s="1128"/>
      <c r="W470" s="74"/>
      <c r="X470" s="74"/>
      <c r="Y470" s="684">
        <v>45841</v>
      </c>
      <c r="Z470" s="74">
        <v>1073.5</v>
      </c>
    </row>
    <row r="471" spans="9:26">
      <c r="I471" s="133">
        <v>46051</v>
      </c>
      <c r="J471" s="134">
        <v>0.44305555555555548</v>
      </c>
      <c r="K471" s="135">
        <v>3.4</v>
      </c>
      <c r="L471" s="75">
        <v>1</v>
      </c>
      <c r="M471" s="75" t="s">
        <v>638</v>
      </c>
      <c r="N471" s="75" t="s">
        <v>146</v>
      </c>
      <c r="O471" s="75"/>
      <c r="P471" s="74"/>
      <c r="Q471" s="1127"/>
      <c r="R471" s="1128"/>
      <c r="S471" s="1128"/>
      <c r="T471" s="1128"/>
      <c r="U471" s="1128"/>
      <c r="V471" s="1128"/>
      <c r="W471" s="74"/>
      <c r="X471" s="74"/>
      <c r="Y471" s="684" t="s">
        <v>146</v>
      </c>
      <c r="Z471" s="74">
        <v>127.35</v>
      </c>
    </row>
    <row r="472" spans="9:26">
      <c r="I472" s="133">
        <v>46051</v>
      </c>
      <c r="J472" s="134">
        <v>0.4465277777777778</v>
      </c>
      <c r="K472" s="135">
        <v>9.8000000000000007</v>
      </c>
      <c r="L472" s="75">
        <v>3</v>
      </c>
      <c r="M472" s="75" t="s">
        <v>638</v>
      </c>
      <c r="N472" s="75" t="s">
        <v>146</v>
      </c>
      <c r="O472" s="75"/>
      <c r="P472" s="74"/>
      <c r="Q472" s="1127"/>
      <c r="R472" s="1128"/>
      <c r="S472" s="1128"/>
      <c r="T472" s="1128"/>
      <c r="U472" s="1128"/>
      <c r="V472" s="1128"/>
      <c r="W472" s="74"/>
      <c r="X472" s="74"/>
      <c r="Y472" s="684" t="s">
        <v>494</v>
      </c>
      <c r="Z472" s="74">
        <v>471</v>
      </c>
    </row>
    <row r="473" spans="9:26">
      <c r="I473" s="133">
        <v>46051</v>
      </c>
      <c r="J473" s="134">
        <v>0.48194444444444451</v>
      </c>
      <c r="K473" s="135">
        <v>7.1</v>
      </c>
      <c r="L473" s="75">
        <v>1</v>
      </c>
      <c r="M473" s="75" t="s">
        <v>638</v>
      </c>
      <c r="N473" s="75" t="s">
        <v>146</v>
      </c>
      <c r="O473" s="75"/>
      <c r="P473" s="74"/>
      <c r="Q473" s="1127"/>
      <c r="R473" s="1128"/>
      <c r="S473" s="1128"/>
      <c r="T473" s="1128"/>
      <c r="U473" s="1128"/>
      <c r="V473" s="1128"/>
      <c r="W473" s="74"/>
      <c r="X473" s="74"/>
      <c r="Y473" s="684" t="s">
        <v>497</v>
      </c>
      <c r="Z473" s="74">
        <v>475.15</v>
      </c>
    </row>
    <row r="474" spans="9:26">
      <c r="I474" s="133">
        <v>46051</v>
      </c>
      <c r="J474" s="134">
        <v>0.48888888888888887</v>
      </c>
      <c r="K474" s="135">
        <v>5.85</v>
      </c>
      <c r="L474" s="75">
        <v>3</v>
      </c>
      <c r="M474" s="75" t="s">
        <v>638</v>
      </c>
      <c r="N474" s="75" t="s">
        <v>146</v>
      </c>
      <c r="O474" s="75"/>
      <c r="P474" s="74"/>
      <c r="Q474" s="1127"/>
      <c r="R474" s="1128"/>
      <c r="S474" s="1128"/>
      <c r="T474" s="1128"/>
      <c r="U474" s="1128"/>
      <c r="V474" s="1128"/>
      <c r="W474" s="74"/>
      <c r="X474" s="74"/>
      <c r="Y474" s="684">
        <v>45842</v>
      </c>
      <c r="Z474" s="74">
        <v>2186.4</v>
      </c>
    </row>
    <row r="475" spans="9:26">
      <c r="I475" s="133">
        <v>46051</v>
      </c>
      <c r="J475" s="134">
        <v>0.50486111111111109</v>
      </c>
      <c r="K475" s="135">
        <v>1.5</v>
      </c>
      <c r="L475" s="75">
        <v>1</v>
      </c>
      <c r="M475" s="75" t="s">
        <v>638</v>
      </c>
      <c r="N475" s="75" t="s">
        <v>494</v>
      </c>
      <c r="O475" s="75"/>
      <c r="P475" s="74"/>
      <c r="Q475" s="1127"/>
      <c r="R475" s="1128"/>
      <c r="S475" s="1128"/>
      <c r="T475" s="1128"/>
      <c r="U475" s="1128"/>
      <c r="V475" s="1128"/>
      <c r="W475" s="74"/>
      <c r="X475" s="74"/>
      <c r="Y475" s="684" t="s">
        <v>146</v>
      </c>
      <c r="Z475" s="74">
        <v>157.59</v>
      </c>
    </row>
    <row r="476" spans="9:26">
      <c r="I476" s="133">
        <v>46051</v>
      </c>
      <c r="J476" s="134">
        <v>0.50555555555555554</v>
      </c>
      <c r="K476" s="135">
        <v>1.7</v>
      </c>
      <c r="L476" s="75">
        <v>1</v>
      </c>
      <c r="M476" s="75" t="s">
        <v>638</v>
      </c>
      <c r="N476" s="75" t="s">
        <v>494</v>
      </c>
      <c r="O476" s="75"/>
      <c r="P476" s="74"/>
      <c r="Q476" s="1127"/>
      <c r="R476" s="1128"/>
      <c r="S476" s="1128"/>
      <c r="T476" s="1128"/>
      <c r="U476" s="1128"/>
      <c r="V476" s="1128"/>
      <c r="W476" s="74"/>
      <c r="X476" s="74"/>
      <c r="Y476" s="684" t="s">
        <v>494</v>
      </c>
      <c r="Z476" s="74">
        <v>736.51</v>
      </c>
    </row>
    <row r="477" spans="9:26">
      <c r="I477" s="133">
        <v>46051</v>
      </c>
      <c r="J477" s="134">
        <v>0.52083333333333337</v>
      </c>
      <c r="K477" s="135">
        <v>4.2</v>
      </c>
      <c r="L477" s="75">
        <v>2</v>
      </c>
      <c r="M477" s="75" t="s">
        <v>638</v>
      </c>
      <c r="N477" s="75" t="s">
        <v>494</v>
      </c>
      <c r="O477" s="75"/>
      <c r="P477" s="74"/>
      <c r="Q477" s="1127"/>
      <c r="R477" s="1128"/>
      <c r="S477" s="1128"/>
      <c r="T477" s="1128"/>
      <c r="U477" s="1128"/>
      <c r="V477" s="1128"/>
      <c r="W477" s="74"/>
      <c r="X477" s="74"/>
      <c r="Y477" s="684" t="s">
        <v>497</v>
      </c>
      <c r="Z477" s="74">
        <v>1292.3</v>
      </c>
    </row>
    <row r="478" spans="9:26">
      <c r="I478" s="133">
        <v>46051</v>
      </c>
      <c r="J478" s="134">
        <v>0.56874999999999998</v>
      </c>
      <c r="K478" s="135">
        <v>16.149999999999999</v>
      </c>
      <c r="L478" s="75">
        <v>1</v>
      </c>
      <c r="M478" s="75" t="s">
        <v>638</v>
      </c>
      <c r="N478" s="75" t="s">
        <v>494</v>
      </c>
      <c r="O478" s="75"/>
      <c r="P478" s="74"/>
      <c r="Q478" s="1127"/>
      <c r="R478" s="1128"/>
      <c r="S478" s="1128"/>
      <c r="T478" s="1128"/>
      <c r="U478" s="1128"/>
      <c r="V478" s="1128"/>
      <c r="W478" s="74"/>
      <c r="X478" s="74"/>
      <c r="Y478" s="684">
        <v>45843</v>
      </c>
      <c r="Z478" s="74">
        <v>3069.94</v>
      </c>
    </row>
    <row r="479" spans="9:26">
      <c r="I479" s="133">
        <v>46051</v>
      </c>
      <c r="J479" s="134">
        <v>0.59375</v>
      </c>
      <c r="K479" s="135">
        <v>47.25</v>
      </c>
      <c r="L479" s="75">
        <v>2</v>
      </c>
      <c r="M479" s="75" t="s">
        <v>638</v>
      </c>
      <c r="N479" s="75" t="s">
        <v>494</v>
      </c>
      <c r="O479" s="75"/>
      <c r="P479" s="74"/>
      <c r="Q479" s="1127"/>
      <c r="R479" s="1128"/>
      <c r="S479" s="1128"/>
      <c r="T479" s="1128"/>
      <c r="U479" s="1128"/>
      <c r="V479" s="1128"/>
      <c r="W479" s="74"/>
      <c r="X479" s="74"/>
      <c r="Y479" s="684" t="s">
        <v>146</v>
      </c>
      <c r="Z479" s="74">
        <v>299.25</v>
      </c>
    </row>
    <row r="480" spans="9:26">
      <c r="I480" s="133">
        <v>46051</v>
      </c>
      <c r="J480" s="134">
        <v>0.59444444444444444</v>
      </c>
      <c r="K480" s="135">
        <v>4.05</v>
      </c>
      <c r="L480" s="75">
        <v>1</v>
      </c>
      <c r="M480" s="75" t="s">
        <v>638</v>
      </c>
      <c r="N480" s="75" t="s">
        <v>494</v>
      </c>
      <c r="O480" s="75"/>
      <c r="P480" s="74"/>
      <c r="Q480" s="1127"/>
      <c r="R480" s="1128"/>
      <c r="S480" s="1128"/>
      <c r="T480" s="1128"/>
      <c r="U480" s="1128"/>
      <c r="V480" s="1128"/>
      <c r="W480" s="74"/>
      <c r="X480" s="74"/>
      <c r="Y480" s="684" t="s">
        <v>494</v>
      </c>
      <c r="Z480" s="74">
        <v>1184</v>
      </c>
    </row>
    <row r="481" spans="9:26">
      <c r="I481" s="133">
        <v>46051</v>
      </c>
      <c r="J481" s="134">
        <v>0.625</v>
      </c>
      <c r="K481" s="135">
        <v>6.5</v>
      </c>
      <c r="L481" s="75">
        <v>4</v>
      </c>
      <c r="M481" s="75" t="s">
        <v>638</v>
      </c>
      <c r="N481" s="75" t="s">
        <v>494</v>
      </c>
      <c r="O481" s="75"/>
      <c r="P481" s="74"/>
      <c r="Q481" s="1127"/>
      <c r="R481" s="1128"/>
      <c r="S481" s="1128"/>
      <c r="T481" s="1128"/>
      <c r="U481" s="1128"/>
      <c r="V481" s="1128"/>
      <c r="W481" s="74"/>
      <c r="X481" s="74"/>
      <c r="Y481" s="684" t="s">
        <v>497</v>
      </c>
      <c r="Z481" s="74">
        <v>1586.69</v>
      </c>
    </row>
    <row r="482" spans="9:26">
      <c r="I482" s="133">
        <v>46051</v>
      </c>
      <c r="J482" s="134">
        <v>0.64097222222222228</v>
      </c>
      <c r="K482" s="135">
        <v>92.3</v>
      </c>
      <c r="L482" s="75">
        <v>5</v>
      </c>
      <c r="M482" s="75" t="s">
        <v>638</v>
      </c>
      <c r="N482" s="75" t="s">
        <v>494</v>
      </c>
      <c r="O482" s="75"/>
      <c r="P482" s="74"/>
      <c r="Q482" s="1127"/>
      <c r="R482" s="1128"/>
      <c r="S482" s="1128"/>
      <c r="T482" s="1128"/>
      <c r="U482" s="1128"/>
      <c r="V482" s="1128"/>
      <c r="W482" s="74"/>
      <c r="X482" s="74"/>
      <c r="Y482" s="684">
        <v>45844</v>
      </c>
      <c r="Z482" s="74">
        <v>1752.1</v>
      </c>
    </row>
    <row r="483" spans="9:26">
      <c r="I483" s="133">
        <v>46051</v>
      </c>
      <c r="J483" s="134">
        <v>0.64861111111111114</v>
      </c>
      <c r="K483" s="135">
        <v>16.600000000000001</v>
      </c>
      <c r="L483" s="75">
        <v>1</v>
      </c>
      <c r="M483" s="75" t="s">
        <v>638</v>
      </c>
      <c r="N483" s="75" t="s">
        <v>494</v>
      </c>
      <c r="O483" s="75"/>
      <c r="P483" s="74"/>
      <c r="Q483" s="1127"/>
      <c r="R483" s="1128"/>
      <c r="S483" s="1128"/>
      <c r="T483" s="1128"/>
      <c r="U483" s="1128"/>
      <c r="V483" s="1128"/>
      <c r="W483" s="74"/>
      <c r="X483" s="74"/>
      <c r="Y483" s="684" t="s">
        <v>146</v>
      </c>
      <c r="Z483" s="74">
        <v>378.6</v>
      </c>
    </row>
    <row r="484" spans="9:26">
      <c r="I484" s="133">
        <v>46051</v>
      </c>
      <c r="J484" s="134">
        <v>0.8256944444444444</v>
      </c>
      <c r="K484" s="135">
        <v>6.05</v>
      </c>
      <c r="L484" s="75">
        <v>3</v>
      </c>
      <c r="M484" s="75" t="s">
        <v>638</v>
      </c>
      <c r="N484" s="75" t="s">
        <v>497</v>
      </c>
      <c r="O484" s="75"/>
      <c r="P484" s="74"/>
      <c r="Q484" s="1127"/>
      <c r="R484" s="1128"/>
      <c r="S484" s="1128"/>
      <c r="T484" s="1128"/>
      <c r="U484" s="1128"/>
      <c r="V484" s="1128"/>
      <c r="W484" s="74"/>
      <c r="X484" s="74"/>
      <c r="Y484" s="684" t="s">
        <v>494</v>
      </c>
      <c r="Z484" s="74">
        <v>786.6</v>
      </c>
    </row>
    <row r="485" spans="9:26">
      <c r="I485" s="133">
        <v>46051</v>
      </c>
      <c r="J485" s="134">
        <v>0.83680555555555558</v>
      </c>
      <c r="K485" s="135">
        <v>7.95</v>
      </c>
      <c r="L485" s="75">
        <v>3</v>
      </c>
      <c r="M485" s="75" t="s">
        <v>638</v>
      </c>
      <c r="N485" s="75" t="s">
        <v>497</v>
      </c>
      <c r="O485" s="75"/>
      <c r="P485" s="74"/>
      <c r="Q485" s="1127"/>
      <c r="R485" s="1128"/>
      <c r="S485" s="1128"/>
      <c r="T485" s="1128"/>
      <c r="U485" s="1128"/>
      <c r="V485" s="1128"/>
      <c r="W485" s="74"/>
      <c r="X485" s="74"/>
      <c r="Y485" s="684" t="s">
        <v>497</v>
      </c>
      <c r="Z485" s="74">
        <v>586.9</v>
      </c>
    </row>
    <row r="486" spans="9:26">
      <c r="I486" s="133">
        <v>46052</v>
      </c>
      <c r="J486" s="134">
        <v>0.29444444444444451</v>
      </c>
      <c r="K486" s="135">
        <v>3.4</v>
      </c>
      <c r="L486" s="75">
        <v>1</v>
      </c>
      <c r="M486" s="75" t="s">
        <v>633</v>
      </c>
      <c r="N486" s="75" t="s">
        <v>146</v>
      </c>
      <c r="O486" s="75"/>
      <c r="P486" s="74"/>
      <c r="Q486" s="1127"/>
      <c r="R486" s="1128"/>
      <c r="S486" s="1128"/>
      <c r="T486" s="1128"/>
      <c r="U486" s="1128"/>
      <c r="V486" s="1128"/>
      <c r="W486" s="74"/>
      <c r="X486" s="74"/>
      <c r="Y486" s="684">
        <v>45847</v>
      </c>
      <c r="Z486" s="74">
        <v>1577.8</v>
      </c>
    </row>
    <row r="487" spans="9:26">
      <c r="I487" s="133">
        <v>46052</v>
      </c>
      <c r="J487" s="134">
        <v>0.3125</v>
      </c>
      <c r="K487" s="135">
        <v>4.3</v>
      </c>
      <c r="L487" s="75">
        <v>3</v>
      </c>
      <c r="M487" s="75" t="s">
        <v>633</v>
      </c>
      <c r="N487" s="75" t="s">
        <v>146</v>
      </c>
      <c r="O487" s="75"/>
      <c r="P487" s="74"/>
      <c r="Q487" s="1127"/>
      <c r="R487" s="1128"/>
      <c r="S487" s="1128"/>
      <c r="T487" s="1128"/>
      <c r="U487" s="1128"/>
      <c r="V487" s="1128"/>
      <c r="W487" s="74"/>
      <c r="X487" s="74"/>
      <c r="Y487" s="684" t="s">
        <v>146</v>
      </c>
      <c r="Z487" s="74">
        <v>213.4</v>
      </c>
    </row>
    <row r="488" spans="9:26">
      <c r="I488" s="133">
        <v>46052</v>
      </c>
      <c r="J488" s="134">
        <v>0.32361111111111113</v>
      </c>
      <c r="K488" s="135">
        <v>4.5</v>
      </c>
      <c r="L488" s="75">
        <v>3</v>
      </c>
      <c r="M488" s="75" t="s">
        <v>633</v>
      </c>
      <c r="N488" s="75" t="s">
        <v>146</v>
      </c>
      <c r="O488" s="75"/>
      <c r="P488" s="74"/>
      <c r="Q488" s="1127"/>
      <c r="R488" s="1128"/>
      <c r="S488" s="1128"/>
      <c r="T488" s="1128"/>
      <c r="U488" s="1128"/>
      <c r="V488" s="1128"/>
      <c r="W488" s="74"/>
      <c r="X488" s="74"/>
      <c r="Y488" s="684" t="s">
        <v>494</v>
      </c>
      <c r="Z488" s="74">
        <v>835.3</v>
      </c>
    </row>
    <row r="489" spans="9:26">
      <c r="I489" s="133">
        <v>46052</v>
      </c>
      <c r="J489" s="134">
        <v>0.33958333333333329</v>
      </c>
      <c r="K489" s="135">
        <v>1.85</v>
      </c>
      <c r="L489" s="75">
        <v>1</v>
      </c>
      <c r="M489" s="75" t="s">
        <v>633</v>
      </c>
      <c r="N489" s="75" t="s">
        <v>146</v>
      </c>
      <c r="O489" s="75"/>
      <c r="P489" s="74"/>
      <c r="Q489" s="1127"/>
      <c r="R489" s="1128"/>
      <c r="S489" s="1128"/>
      <c r="T489" s="1128"/>
      <c r="U489" s="1128"/>
      <c r="V489" s="1128"/>
      <c r="W489" s="74"/>
      <c r="X489" s="74"/>
      <c r="Y489" s="684" t="s">
        <v>497</v>
      </c>
      <c r="Z489" s="74">
        <v>529.1</v>
      </c>
    </row>
    <row r="490" spans="9:26">
      <c r="I490" s="133">
        <v>46052</v>
      </c>
      <c r="J490" s="134">
        <v>0.34444444444444439</v>
      </c>
      <c r="K490" s="135">
        <v>1.5</v>
      </c>
      <c r="L490" s="75">
        <v>1</v>
      </c>
      <c r="M490" s="75" t="s">
        <v>633</v>
      </c>
      <c r="N490" s="75" t="s">
        <v>146</v>
      </c>
      <c r="O490" s="75"/>
      <c r="P490" s="74"/>
      <c r="Q490" s="1127"/>
      <c r="R490" s="1128"/>
      <c r="S490" s="1128"/>
      <c r="T490" s="1128"/>
      <c r="U490" s="1128"/>
      <c r="V490" s="1128"/>
      <c r="W490" s="74"/>
      <c r="X490" s="74"/>
      <c r="Y490" s="684">
        <v>45848</v>
      </c>
      <c r="Z490" s="74">
        <v>1315.24</v>
      </c>
    </row>
    <row r="491" spans="9:26">
      <c r="I491" s="133">
        <v>46052</v>
      </c>
      <c r="J491" s="134">
        <v>0.35069444444444442</v>
      </c>
      <c r="K491" s="135">
        <v>5.65</v>
      </c>
      <c r="L491" s="75">
        <v>2</v>
      </c>
      <c r="M491" s="75" t="s">
        <v>633</v>
      </c>
      <c r="N491" s="75" t="s">
        <v>146</v>
      </c>
      <c r="O491" s="75"/>
      <c r="P491" s="74"/>
      <c r="Q491" s="1127"/>
      <c r="R491" s="1128"/>
      <c r="S491" s="1128"/>
      <c r="T491" s="1128"/>
      <c r="U491" s="1128"/>
      <c r="V491" s="1128"/>
      <c r="W491" s="74"/>
      <c r="X491" s="74"/>
      <c r="Y491" s="684" t="s">
        <v>146</v>
      </c>
      <c r="Z491" s="74">
        <v>143.38999999999999</v>
      </c>
    </row>
    <row r="492" spans="9:26">
      <c r="I492" s="133">
        <v>46052</v>
      </c>
      <c r="J492" s="134">
        <v>0.37083333333333329</v>
      </c>
      <c r="K492" s="135">
        <v>2.15</v>
      </c>
      <c r="L492" s="75">
        <v>1</v>
      </c>
      <c r="M492" s="75" t="s">
        <v>633</v>
      </c>
      <c r="N492" s="75" t="s">
        <v>146</v>
      </c>
      <c r="O492" s="75"/>
      <c r="P492" s="74"/>
      <c r="Q492" s="1127"/>
      <c r="R492" s="1128"/>
      <c r="S492" s="1128"/>
      <c r="T492" s="1128"/>
      <c r="U492" s="1128"/>
      <c r="V492" s="1128"/>
      <c r="W492" s="74"/>
      <c r="X492" s="74"/>
      <c r="Y492" s="684" t="s">
        <v>494</v>
      </c>
      <c r="Z492" s="74">
        <v>432.3</v>
      </c>
    </row>
    <row r="493" spans="9:26">
      <c r="I493" s="133">
        <v>46052</v>
      </c>
      <c r="J493" s="134">
        <v>0.38124999999999998</v>
      </c>
      <c r="K493" s="135">
        <v>4.0999999999999996</v>
      </c>
      <c r="L493" s="75">
        <v>1</v>
      </c>
      <c r="M493" s="75" t="s">
        <v>633</v>
      </c>
      <c r="N493" s="75" t="s">
        <v>146</v>
      </c>
      <c r="O493" s="75"/>
      <c r="P493" s="74"/>
      <c r="Q493" s="1127"/>
      <c r="R493" s="1128"/>
      <c r="S493" s="1128"/>
      <c r="T493" s="1128"/>
      <c r="U493" s="1128"/>
      <c r="V493" s="1128"/>
      <c r="W493" s="74"/>
      <c r="X493" s="74"/>
      <c r="Y493" s="684" t="s">
        <v>497</v>
      </c>
      <c r="Z493" s="74">
        <v>739.55</v>
      </c>
    </row>
    <row r="494" spans="9:26">
      <c r="I494" s="133">
        <v>46052</v>
      </c>
      <c r="J494" s="134">
        <v>0.38750000000000001</v>
      </c>
      <c r="K494" s="135">
        <v>3.2</v>
      </c>
      <c r="L494" s="75">
        <v>1</v>
      </c>
      <c r="M494" s="75" t="s">
        <v>633</v>
      </c>
      <c r="N494" s="75" t="s">
        <v>146</v>
      </c>
      <c r="O494" s="75"/>
      <c r="P494" s="74"/>
      <c r="Q494" s="1127"/>
      <c r="R494" s="1128"/>
      <c r="S494" s="1128"/>
      <c r="T494" s="1128"/>
      <c r="U494" s="1128"/>
      <c r="V494" s="1128"/>
      <c r="W494" s="74"/>
      <c r="X494" s="74"/>
      <c r="Y494" s="684">
        <v>45849</v>
      </c>
      <c r="Z494" s="74">
        <v>1956.55</v>
      </c>
    </row>
    <row r="495" spans="9:26">
      <c r="I495" s="133">
        <v>46052</v>
      </c>
      <c r="J495" s="134">
        <v>0.40069444444444452</v>
      </c>
      <c r="K495" s="135">
        <v>10.7</v>
      </c>
      <c r="L495" s="75">
        <v>2</v>
      </c>
      <c r="M495" s="75" t="s">
        <v>633</v>
      </c>
      <c r="N495" s="75" t="s">
        <v>146</v>
      </c>
      <c r="O495" s="75"/>
      <c r="P495" s="74"/>
      <c r="Q495" s="1127"/>
      <c r="R495" s="1128"/>
      <c r="S495" s="1128"/>
      <c r="T495" s="1128"/>
      <c r="U495" s="1128"/>
      <c r="V495" s="1128"/>
      <c r="W495" s="74"/>
      <c r="X495" s="74"/>
      <c r="Y495" s="684" t="s">
        <v>146</v>
      </c>
      <c r="Z495" s="74">
        <v>187.45</v>
      </c>
    </row>
    <row r="496" spans="9:26">
      <c r="I496" s="133">
        <v>46052</v>
      </c>
      <c r="J496" s="134">
        <v>0.40555555555555561</v>
      </c>
      <c r="K496" s="135">
        <v>2.9</v>
      </c>
      <c r="L496" s="75">
        <v>1</v>
      </c>
      <c r="M496" s="75" t="s">
        <v>633</v>
      </c>
      <c r="N496" s="75" t="s">
        <v>146</v>
      </c>
      <c r="O496" s="75"/>
      <c r="P496" s="74"/>
      <c r="Q496" s="1127"/>
      <c r="R496" s="1128"/>
      <c r="S496" s="1128"/>
      <c r="T496" s="1128"/>
      <c r="U496" s="1128"/>
      <c r="V496" s="1128"/>
      <c r="W496" s="74"/>
      <c r="X496" s="74"/>
      <c r="Y496" s="684" t="s">
        <v>494</v>
      </c>
      <c r="Z496" s="74">
        <v>205.05</v>
      </c>
    </row>
    <row r="497" spans="9:26">
      <c r="I497" s="133">
        <v>46052</v>
      </c>
      <c r="J497" s="134">
        <v>0.40763888888888888</v>
      </c>
      <c r="K497" s="135">
        <v>4.9000000000000004</v>
      </c>
      <c r="L497" s="75">
        <v>1</v>
      </c>
      <c r="M497" s="75" t="s">
        <v>633</v>
      </c>
      <c r="N497" s="75" t="s">
        <v>146</v>
      </c>
      <c r="O497" s="75"/>
      <c r="P497" s="74"/>
      <c r="Q497" s="1127"/>
      <c r="R497" s="1128"/>
      <c r="S497" s="1128"/>
      <c r="T497" s="1128"/>
      <c r="U497" s="1128"/>
      <c r="V497" s="1128"/>
      <c r="W497" s="74"/>
      <c r="X497" s="74"/>
      <c r="Y497" s="684" t="s">
        <v>497</v>
      </c>
      <c r="Z497" s="74">
        <v>1564.05</v>
      </c>
    </row>
    <row r="498" spans="9:26">
      <c r="I498" s="133">
        <v>46052</v>
      </c>
      <c r="J498" s="134">
        <v>0.40902777777777782</v>
      </c>
      <c r="K498" s="135">
        <v>8.25</v>
      </c>
      <c r="L498" s="75">
        <v>3</v>
      </c>
      <c r="M498" s="75" t="s">
        <v>633</v>
      </c>
      <c r="N498" s="75" t="s">
        <v>146</v>
      </c>
      <c r="O498" s="75"/>
      <c r="P498" s="74"/>
      <c r="Q498" s="1127"/>
      <c r="R498" s="1128"/>
      <c r="S498" s="1128"/>
      <c r="T498" s="1128"/>
      <c r="U498" s="1128"/>
      <c r="V498" s="1128"/>
      <c r="W498" s="74"/>
      <c r="X498" s="74"/>
      <c r="Y498" s="684">
        <v>45850</v>
      </c>
      <c r="Z498" s="74">
        <v>2945.4</v>
      </c>
    </row>
    <row r="499" spans="9:26">
      <c r="I499" s="133">
        <v>46052</v>
      </c>
      <c r="J499" s="134">
        <v>0.41736111111111113</v>
      </c>
      <c r="K499" s="135">
        <v>2.15</v>
      </c>
      <c r="L499" s="75">
        <v>1</v>
      </c>
      <c r="M499" s="75" t="s">
        <v>633</v>
      </c>
      <c r="N499" s="75" t="s">
        <v>146</v>
      </c>
      <c r="O499" s="75"/>
      <c r="P499" s="74"/>
      <c r="Q499" s="1127"/>
      <c r="R499" s="1128"/>
      <c r="S499" s="1128"/>
      <c r="T499" s="1128"/>
      <c r="U499" s="1128"/>
      <c r="V499" s="1128"/>
      <c r="W499" s="74"/>
      <c r="X499" s="74"/>
      <c r="Y499" s="684" t="s">
        <v>146</v>
      </c>
      <c r="Z499" s="74">
        <v>402.1</v>
      </c>
    </row>
    <row r="500" spans="9:26">
      <c r="I500" s="133">
        <v>46052</v>
      </c>
      <c r="J500" s="134">
        <v>0.42916666666666659</v>
      </c>
      <c r="K500" s="135">
        <v>1.7</v>
      </c>
      <c r="L500" s="75">
        <v>1</v>
      </c>
      <c r="M500" s="75" t="s">
        <v>633</v>
      </c>
      <c r="N500" s="75" t="s">
        <v>146</v>
      </c>
      <c r="O500" s="75"/>
      <c r="P500" s="74"/>
      <c r="Q500" s="1127"/>
      <c r="R500" s="1128"/>
      <c r="S500" s="1128"/>
      <c r="T500" s="1128"/>
      <c r="U500" s="1128"/>
      <c r="V500" s="1128"/>
      <c r="W500" s="74"/>
      <c r="X500" s="74"/>
      <c r="Y500" s="684" t="s">
        <v>494</v>
      </c>
      <c r="Z500" s="74">
        <v>514.85</v>
      </c>
    </row>
    <row r="501" spans="9:26">
      <c r="I501" s="133">
        <v>46052</v>
      </c>
      <c r="J501" s="134">
        <v>0.44097222222222221</v>
      </c>
      <c r="K501" s="135">
        <v>3.2</v>
      </c>
      <c r="L501" s="75">
        <v>1</v>
      </c>
      <c r="M501" s="75" t="s">
        <v>633</v>
      </c>
      <c r="N501" s="75" t="s">
        <v>146</v>
      </c>
      <c r="O501" s="75"/>
      <c r="P501" s="74"/>
      <c r="Q501" s="1127"/>
      <c r="R501" s="1128"/>
      <c r="S501" s="1128"/>
      <c r="T501" s="1128"/>
      <c r="U501" s="1128"/>
      <c r="V501" s="1128"/>
      <c r="W501" s="74"/>
      <c r="X501" s="74"/>
      <c r="Y501" s="684" t="s">
        <v>497</v>
      </c>
      <c r="Z501" s="74">
        <v>2028.45</v>
      </c>
    </row>
    <row r="502" spans="9:26">
      <c r="I502" s="133">
        <v>46052</v>
      </c>
      <c r="J502" s="134">
        <v>0.44791666666666669</v>
      </c>
      <c r="K502" s="135">
        <v>2.5</v>
      </c>
      <c r="L502" s="75">
        <v>1</v>
      </c>
      <c r="M502" s="75" t="s">
        <v>633</v>
      </c>
      <c r="N502" s="75" t="s">
        <v>146</v>
      </c>
      <c r="O502" s="75"/>
      <c r="P502" s="74"/>
      <c r="Q502" s="1127"/>
      <c r="R502" s="1128"/>
      <c r="S502" s="1128"/>
      <c r="T502" s="1128"/>
      <c r="U502" s="1128"/>
      <c r="V502" s="1128"/>
      <c r="W502" s="74"/>
      <c r="X502" s="74"/>
      <c r="Y502" s="684">
        <v>45851</v>
      </c>
      <c r="Z502" s="74">
        <v>2332.65</v>
      </c>
    </row>
    <row r="503" spans="9:26">
      <c r="I503" s="133">
        <v>46052</v>
      </c>
      <c r="J503" s="134">
        <v>0.45624999999999999</v>
      </c>
      <c r="K503" s="135">
        <v>13.4</v>
      </c>
      <c r="L503" s="75">
        <v>3</v>
      </c>
      <c r="M503" s="75" t="s">
        <v>633</v>
      </c>
      <c r="N503" s="75" t="s">
        <v>146</v>
      </c>
      <c r="O503" s="75"/>
      <c r="P503" s="74"/>
      <c r="Q503" s="1127"/>
      <c r="R503" s="1128"/>
      <c r="S503" s="1128"/>
      <c r="T503" s="1128"/>
      <c r="U503" s="1128"/>
      <c r="V503" s="1128"/>
      <c r="W503" s="74"/>
      <c r="X503" s="74"/>
      <c r="Y503" s="684" t="s">
        <v>146</v>
      </c>
      <c r="Z503" s="74">
        <v>338.5</v>
      </c>
    </row>
    <row r="504" spans="9:26">
      <c r="I504" s="133">
        <v>46052</v>
      </c>
      <c r="J504" s="134">
        <v>0.47569444444444442</v>
      </c>
      <c r="K504" s="135">
        <v>1.5</v>
      </c>
      <c r="L504" s="75">
        <v>1</v>
      </c>
      <c r="M504" s="75" t="s">
        <v>633</v>
      </c>
      <c r="N504" s="75" t="s">
        <v>146</v>
      </c>
      <c r="O504" s="75"/>
      <c r="P504" s="74"/>
      <c r="Q504" s="1127"/>
      <c r="R504" s="1128"/>
      <c r="S504" s="1128"/>
      <c r="T504" s="1128"/>
      <c r="U504" s="1128"/>
      <c r="V504" s="1128"/>
      <c r="W504" s="74"/>
      <c r="X504" s="74"/>
      <c r="Y504" s="684" t="s">
        <v>494</v>
      </c>
      <c r="Z504" s="74">
        <v>1367.4</v>
      </c>
    </row>
    <row r="505" spans="9:26">
      <c r="I505" s="133">
        <v>46052</v>
      </c>
      <c r="J505" s="134">
        <v>0.47847222222222219</v>
      </c>
      <c r="K505" s="135">
        <v>1.85</v>
      </c>
      <c r="L505" s="75">
        <v>1</v>
      </c>
      <c r="M505" s="75" t="s">
        <v>633</v>
      </c>
      <c r="N505" s="75" t="s">
        <v>146</v>
      </c>
      <c r="O505" s="75"/>
      <c r="P505" s="74"/>
      <c r="Q505" s="1127"/>
      <c r="R505" s="1128"/>
      <c r="S505" s="1128"/>
      <c r="T505" s="1128"/>
      <c r="U505" s="1128"/>
      <c r="V505" s="1128"/>
      <c r="W505" s="74"/>
      <c r="X505" s="74"/>
      <c r="Y505" s="684" t="s">
        <v>497</v>
      </c>
      <c r="Z505" s="74">
        <v>626.75</v>
      </c>
    </row>
    <row r="506" spans="9:26">
      <c r="I506" s="133">
        <v>46052</v>
      </c>
      <c r="J506" s="134">
        <v>0.48888888888888887</v>
      </c>
      <c r="K506" s="135">
        <v>12</v>
      </c>
      <c r="L506" s="75">
        <v>2</v>
      </c>
      <c r="M506" s="75" t="s">
        <v>633</v>
      </c>
      <c r="N506" s="75" t="s">
        <v>146</v>
      </c>
      <c r="O506" s="75"/>
      <c r="P506" s="74"/>
      <c r="Q506" s="1127"/>
      <c r="R506" s="1128"/>
      <c r="S506" s="1128"/>
      <c r="T506" s="1128"/>
      <c r="U506" s="1128"/>
      <c r="V506" s="1128"/>
      <c r="W506" s="74"/>
      <c r="X506" s="74"/>
      <c r="Y506" s="684">
        <v>45854</v>
      </c>
      <c r="Z506" s="74">
        <v>1020.4</v>
      </c>
    </row>
    <row r="507" spans="9:26">
      <c r="I507" s="133">
        <v>46052</v>
      </c>
      <c r="J507" s="134">
        <v>0.49583333333333329</v>
      </c>
      <c r="K507" s="135">
        <v>3.9</v>
      </c>
      <c r="L507" s="75">
        <v>2</v>
      </c>
      <c r="M507" s="75" t="s">
        <v>633</v>
      </c>
      <c r="N507" s="75" t="s">
        <v>146</v>
      </c>
      <c r="O507" s="75"/>
      <c r="P507" s="74"/>
      <c r="Q507" s="1127"/>
      <c r="R507" s="1128"/>
      <c r="S507" s="1128"/>
      <c r="T507" s="1128"/>
      <c r="U507" s="1128"/>
      <c r="V507" s="1128"/>
      <c r="W507" s="74"/>
      <c r="X507" s="74"/>
      <c r="Y507" s="684" t="s">
        <v>146</v>
      </c>
      <c r="Z507" s="74">
        <v>161.69999999999999</v>
      </c>
    </row>
    <row r="508" spans="9:26">
      <c r="I508" s="133">
        <v>46052</v>
      </c>
      <c r="J508" s="134">
        <v>0.5</v>
      </c>
      <c r="K508" s="135">
        <v>1.75</v>
      </c>
      <c r="L508" s="75">
        <v>1</v>
      </c>
      <c r="M508" s="75" t="s">
        <v>633</v>
      </c>
      <c r="N508" s="75" t="s">
        <v>494</v>
      </c>
      <c r="O508" s="75"/>
      <c r="P508" s="74"/>
      <c r="Q508" s="1127"/>
      <c r="R508" s="1128"/>
      <c r="S508" s="1128"/>
      <c r="T508" s="1128"/>
      <c r="U508" s="1128"/>
      <c r="V508" s="1128"/>
      <c r="W508" s="74"/>
      <c r="X508" s="74"/>
      <c r="Y508" s="684" t="s">
        <v>494</v>
      </c>
      <c r="Z508" s="74">
        <v>321.55</v>
      </c>
    </row>
    <row r="509" spans="9:26">
      <c r="I509" s="133">
        <v>46052</v>
      </c>
      <c r="J509" s="134">
        <v>0.52500000000000002</v>
      </c>
      <c r="K509" s="135">
        <v>1.65</v>
      </c>
      <c r="L509" s="75">
        <v>1</v>
      </c>
      <c r="M509" s="75" t="s">
        <v>633</v>
      </c>
      <c r="N509" s="75" t="s">
        <v>494</v>
      </c>
      <c r="O509" s="75"/>
      <c r="P509" s="74"/>
      <c r="Q509" s="1127"/>
      <c r="R509" s="1128"/>
      <c r="S509" s="1128"/>
      <c r="T509" s="1128"/>
      <c r="U509" s="1128"/>
      <c r="V509" s="1128"/>
      <c r="W509" s="74"/>
      <c r="X509" s="74"/>
      <c r="Y509" s="684" t="s">
        <v>497</v>
      </c>
      <c r="Z509" s="74">
        <v>537.15</v>
      </c>
    </row>
    <row r="510" spans="9:26">
      <c r="I510" s="133">
        <v>46052</v>
      </c>
      <c r="J510" s="134">
        <v>0.53263888888888888</v>
      </c>
      <c r="K510" s="135">
        <v>13.35</v>
      </c>
      <c r="L510" s="75">
        <v>2</v>
      </c>
      <c r="M510" s="75" t="s">
        <v>633</v>
      </c>
      <c r="N510" s="75" t="s">
        <v>494</v>
      </c>
      <c r="O510" s="75"/>
      <c r="P510" s="74"/>
      <c r="Q510" s="1127"/>
      <c r="R510" s="1128"/>
      <c r="S510" s="1128"/>
      <c r="T510" s="1128"/>
      <c r="U510" s="1128"/>
      <c r="V510" s="1128"/>
      <c r="W510" s="74"/>
      <c r="X510" s="74"/>
      <c r="Y510" s="684">
        <v>45855</v>
      </c>
      <c r="Z510" s="74">
        <v>1223.05</v>
      </c>
    </row>
    <row r="511" spans="9:26">
      <c r="I511" s="133">
        <v>46052</v>
      </c>
      <c r="J511" s="134">
        <v>0.54027777777777775</v>
      </c>
      <c r="K511" s="135">
        <v>1.7</v>
      </c>
      <c r="L511" s="75">
        <v>1</v>
      </c>
      <c r="M511" s="75" t="s">
        <v>633</v>
      </c>
      <c r="N511" s="75" t="s">
        <v>494</v>
      </c>
      <c r="O511" s="75"/>
      <c r="P511" s="74"/>
      <c r="Q511" s="1127"/>
      <c r="R511" s="1128"/>
      <c r="S511" s="1128"/>
      <c r="T511" s="1128"/>
      <c r="U511" s="1128"/>
      <c r="V511" s="1128"/>
      <c r="W511" s="74"/>
      <c r="X511" s="74"/>
      <c r="Y511" s="684" t="s">
        <v>146</v>
      </c>
      <c r="Z511" s="74">
        <v>150.69999999999999</v>
      </c>
    </row>
    <row r="512" spans="9:26">
      <c r="I512" s="133">
        <v>46052</v>
      </c>
      <c r="J512" s="134">
        <v>0.55138888888888893</v>
      </c>
      <c r="K512" s="135">
        <v>6.5</v>
      </c>
      <c r="L512" s="75">
        <v>1</v>
      </c>
      <c r="M512" s="75" t="s">
        <v>633</v>
      </c>
      <c r="N512" s="75" t="s">
        <v>494</v>
      </c>
      <c r="O512" s="75"/>
      <c r="P512" s="74"/>
      <c r="Q512" s="1127"/>
      <c r="R512" s="1128"/>
      <c r="S512" s="1128"/>
      <c r="T512" s="1128"/>
      <c r="U512" s="1128"/>
      <c r="V512" s="1128"/>
      <c r="W512" s="74"/>
      <c r="X512" s="74"/>
      <c r="Y512" s="684" t="s">
        <v>494</v>
      </c>
      <c r="Z512" s="74">
        <v>122.15</v>
      </c>
    </row>
    <row r="513" spans="9:26">
      <c r="I513" s="133">
        <v>46052</v>
      </c>
      <c r="J513" s="134">
        <v>0.55208333333333337</v>
      </c>
      <c r="K513" s="135">
        <v>6.5</v>
      </c>
      <c r="L513" s="75">
        <v>1</v>
      </c>
      <c r="M513" s="75" t="s">
        <v>633</v>
      </c>
      <c r="N513" s="75" t="s">
        <v>494</v>
      </c>
      <c r="O513" s="75"/>
      <c r="P513" s="74"/>
      <c r="Q513" s="1127"/>
      <c r="R513" s="1128"/>
      <c r="S513" s="1128"/>
      <c r="T513" s="1128"/>
      <c r="U513" s="1128"/>
      <c r="V513" s="1128"/>
      <c r="W513" s="74"/>
      <c r="X513" s="74"/>
      <c r="Y513" s="684" t="s">
        <v>497</v>
      </c>
      <c r="Z513" s="74">
        <v>950.2</v>
      </c>
    </row>
    <row r="514" spans="9:26">
      <c r="I514" s="133">
        <v>46052</v>
      </c>
      <c r="J514" s="134">
        <v>0.5805555555555556</v>
      </c>
      <c r="K514" s="135">
        <v>6.15</v>
      </c>
      <c r="L514" s="75">
        <v>1</v>
      </c>
      <c r="M514" s="75" t="s">
        <v>633</v>
      </c>
      <c r="N514" s="75" t="s">
        <v>494</v>
      </c>
      <c r="O514" s="75"/>
      <c r="P514" s="74"/>
      <c r="Q514" s="1127"/>
      <c r="R514" s="1128"/>
      <c r="S514" s="1128"/>
      <c r="T514" s="1128"/>
      <c r="U514" s="1128"/>
      <c r="V514" s="1128"/>
      <c r="W514" s="74"/>
      <c r="X514" s="74"/>
      <c r="Y514" s="684">
        <v>45856</v>
      </c>
      <c r="Z514" s="74">
        <v>1229</v>
      </c>
    </row>
    <row r="515" spans="9:26">
      <c r="I515" s="133">
        <v>46052</v>
      </c>
      <c r="J515" s="134">
        <v>0.6020833333333333</v>
      </c>
      <c r="K515" s="135">
        <v>4.0999999999999996</v>
      </c>
      <c r="L515" s="75">
        <v>2</v>
      </c>
      <c r="M515" s="75" t="s">
        <v>633</v>
      </c>
      <c r="N515" s="75" t="s">
        <v>494</v>
      </c>
      <c r="O515" s="75"/>
      <c r="P515" s="74"/>
      <c r="Q515" s="1127"/>
      <c r="R515" s="1128"/>
      <c r="S515" s="1128"/>
      <c r="T515" s="1128"/>
      <c r="U515" s="1128"/>
      <c r="V515" s="1128"/>
      <c r="W515" s="74"/>
      <c r="X515" s="74"/>
      <c r="Y515" s="684" t="s">
        <v>146</v>
      </c>
      <c r="Z515" s="74">
        <v>198</v>
      </c>
    </row>
    <row r="516" spans="9:26">
      <c r="I516" s="133">
        <v>46052</v>
      </c>
      <c r="J516" s="134">
        <v>0.61736111111111114</v>
      </c>
      <c r="K516" s="135">
        <v>2.5</v>
      </c>
      <c r="L516" s="75">
        <v>1</v>
      </c>
      <c r="M516" s="75" t="s">
        <v>633</v>
      </c>
      <c r="N516" s="75" t="s">
        <v>494</v>
      </c>
      <c r="O516" s="75"/>
      <c r="P516" s="74"/>
      <c r="Q516" s="1127"/>
      <c r="R516" s="1128"/>
      <c r="S516" s="1128"/>
      <c r="T516" s="1128"/>
      <c r="U516" s="1128"/>
      <c r="V516" s="1128"/>
      <c r="W516" s="74"/>
      <c r="X516" s="74"/>
      <c r="Y516" s="684" t="s">
        <v>494</v>
      </c>
      <c r="Z516" s="74">
        <v>119.9</v>
      </c>
    </row>
    <row r="517" spans="9:26">
      <c r="I517" s="133">
        <v>46052</v>
      </c>
      <c r="J517" s="134">
        <v>0.62291666666666667</v>
      </c>
      <c r="K517" s="135">
        <v>4.8499999999999996</v>
      </c>
      <c r="L517" s="75">
        <v>3</v>
      </c>
      <c r="M517" s="75" t="s">
        <v>633</v>
      </c>
      <c r="N517" s="75" t="s">
        <v>494</v>
      </c>
      <c r="O517" s="75"/>
      <c r="P517" s="74"/>
      <c r="Q517" s="1127"/>
      <c r="R517" s="1128"/>
      <c r="S517" s="1128"/>
      <c r="T517" s="1128"/>
      <c r="U517" s="1128"/>
      <c r="V517" s="1128"/>
      <c r="W517" s="74"/>
      <c r="X517" s="74"/>
      <c r="Y517" s="684" t="s">
        <v>497</v>
      </c>
      <c r="Z517" s="74">
        <v>911.1</v>
      </c>
    </row>
    <row r="518" spans="9:26">
      <c r="I518" s="133">
        <v>46052</v>
      </c>
      <c r="J518" s="134">
        <v>0.63472222222222219</v>
      </c>
      <c r="K518" s="135">
        <v>33.299999999999997</v>
      </c>
      <c r="L518" s="75">
        <v>2</v>
      </c>
      <c r="M518" s="75" t="s">
        <v>633</v>
      </c>
      <c r="N518" s="75" t="s">
        <v>494</v>
      </c>
      <c r="O518" s="75"/>
      <c r="P518" s="74"/>
      <c r="Q518" s="1127"/>
      <c r="R518" s="1128"/>
      <c r="S518" s="1128"/>
      <c r="T518" s="1128"/>
      <c r="U518" s="1128"/>
      <c r="V518" s="1128"/>
      <c r="W518" s="74"/>
      <c r="X518" s="74"/>
      <c r="Y518" s="684">
        <v>45857</v>
      </c>
      <c r="Z518" s="74">
        <v>2392.4499999999998</v>
      </c>
    </row>
    <row r="519" spans="9:26">
      <c r="I519" s="133">
        <v>46052</v>
      </c>
      <c r="J519" s="134">
        <v>0.66319444444444442</v>
      </c>
      <c r="K519" s="135">
        <v>45.9</v>
      </c>
      <c r="L519" s="75">
        <v>2</v>
      </c>
      <c r="M519" s="75" t="s">
        <v>633</v>
      </c>
      <c r="N519" s="75" t="s">
        <v>494</v>
      </c>
      <c r="O519" s="75"/>
      <c r="P519" s="74"/>
      <c r="Q519" s="1127"/>
      <c r="R519" s="1128"/>
      <c r="S519" s="1128"/>
      <c r="T519" s="1128"/>
      <c r="U519" s="1128"/>
      <c r="V519" s="1128"/>
      <c r="W519" s="74"/>
      <c r="X519" s="74"/>
      <c r="Y519" s="684" t="s">
        <v>146</v>
      </c>
      <c r="Z519" s="74">
        <v>250.65</v>
      </c>
    </row>
    <row r="520" spans="9:26">
      <c r="I520" s="133">
        <v>46052</v>
      </c>
      <c r="J520" s="134">
        <v>0.66388888888888886</v>
      </c>
      <c r="K520" s="135">
        <v>30.8</v>
      </c>
      <c r="L520" s="75">
        <v>2</v>
      </c>
      <c r="M520" s="75" t="s">
        <v>633</v>
      </c>
      <c r="N520" s="75" t="s">
        <v>494</v>
      </c>
      <c r="O520" s="75"/>
      <c r="P520" s="74"/>
      <c r="Q520" s="1127"/>
      <c r="R520" s="1128"/>
      <c r="S520" s="1128"/>
      <c r="T520" s="1128"/>
      <c r="U520" s="1128"/>
      <c r="V520" s="1128"/>
      <c r="W520" s="74"/>
      <c r="X520" s="74"/>
      <c r="Y520" s="684" t="s">
        <v>494</v>
      </c>
      <c r="Z520" s="74">
        <v>624.1</v>
      </c>
    </row>
    <row r="521" spans="9:26">
      <c r="I521" s="133">
        <v>46052</v>
      </c>
      <c r="J521" s="134">
        <v>0.66805555555555551</v>
      </c>
      <c r="K521" s="135">
        <v>1.5</v>
      </c>
      <c r="L521" s="75">
        <v>1</v>
      </c>
      <c r="M521" s="75" t="s">
        <v>633</v>
      </c>
      <c r="N521" s="75" t="s">
        <v>494</v>
      </c>
      <c r="O521" s="75"/>
      <c r="P521" s="74"/>
      <c r="Q521" s="1127"/>
      <c r="R521" s="1128"/>
      <c r="S521" s="1128"/>
      <c r="T521" s="1128"/>
      <c r="U521" s="1128"/>
      <c r="V521" s="1128"/>
      <c r="W521" s="74"/>
      <c r="X521" s="74"/>
      <c r="Y521" s="684" t="s">
        <v>497</v>
      </c>
      <c r="Z521" s="74">
        <v>1517.7</v>
      </c>
    </row>
    <row r="522" spans="9:26">
      <c r="I522" s="133">
        <v>46052</v>
      </c>
      <c r="J522" s="134">
        <v>0.67013888888888884</v>
      </c>
      <c r="K522" s="135">
        <v>5.45</v>
      </c>
      <c r="L522" s="75">
        <v>2</v>
      </c>
      <c r="M522" s="75" t="s">
        <v>633</v>
      </c>
      <c r="N522" s="75" t="s">
        <v>494</v>
      </c>
      <c r="O522" s="75"/>
      <c r="P522" s="74"/>
      <c r="Q522" s="1127"/>
      <c r="R522" s="1128"/>
      <c r="S522" s="1128"/>
      <c r="T522" s="1128"/>
      <c r="U522" s="1128"/>
      <c r="V522" s="1128"/>
      <c r="W522" s="74"/>
      <c r="X522" s="74"/>
      <c r="Y522" s="684">
        <v>45858</v>
      </c>
      <c r="Z522" s="74">
        <v>1906.91</v>
      </c>
    </row>
    <row r="523" spans="9:26">
      <c r="I523" s="133">
        <v>46053</v>
      </c>
      <c r="J523" s="134">
        <v>0.32361111111111113</v>
      </c>
      <c r="K523" s="135">
        <v>1.7</v>
      </c>
      <c r="L523" s="75">
        <v>1</v>
      </c>
      <c r="M523" s="75" t="s">
        <v>635</v>
      </c>
      <c r="N523" s="75" t="s">
        <v>146</v>
      </c>
      <c r="O523" s="75"/>
      <c r="P523" s="74"/>
      <c r="Q523" s="1127"/>
      <c r="R523" s="1128"/>
      <c r="S523" s="1128"/>
      <c r="T523" s="1128"/>
      <c r="U523" s="1128"/>
      <c r="V523" s="1128"/>
      <c r="W523" s="74"/>
      <c r="X523" s="74"/>
      <c r="Y523" s="684" t="s">
        <v>146</v>
      </c>
      <c r="Z523" s="74">
        <v>262.55</v>
      </c>
    </row>
    <row r="524" spans="9:26">
      <c r="I524" s="133">
        <v>46053</v>
      </c>
      <c r="J524" s="134">
        <v>0.34027777777777779</v>
      </c>
      <c r="K524" s="135">
        <v>2.9</v>
      </c>
      <c r="L524" s="75">
        <v>1</v>
      </c>
      <c r="M524" s="75" t="s">
        <v>635</v>
      </c>
      <c r="N524" s="75" t="s">
        <v>146</v>
      </c>
      <c r="O524" s="75"/>
      <c r="P524" s="74"/>
      <c r="Q524" s="1127"/>
      <c r="R524" s="1128"/>
      <c r="S524" s="1128"/>
      <c r="T524" s="1128"/>
      <c r="U524" s="1128"/>
      <c r="V524" s="1128"/>
      <c r="W524" s="74"/>
      <c r="X524" s="74"/>
      <c r="Y524" s="684" t="s">
        <v>494</v>
      </c>
      <c r="Z524" s="74">
        <v>939.45</v>
      </c>
    </row>
    <row r="525" spans="9:26">
      <c r="I525" s="133">
        <v>46053</v>
      </c>
      <c r="J525" s="134">
        <v>0.35069444444444442</v>
      </c>
      <c r="K525" s="135">
        <v>1.5</v>
      </c>
      <c r="L525" s="75">
        <v>1</v>
      </c>
      <c r="M525" s="75" t="s">
        <v>635</v>
      </c>
      <c r="N525" s="75" t="s">
        <v>146</v>
      </c>
      <c r="O525" s="75"/>
      <c r="P525" s="74"/>
      <c r="Q525" s="1127"/>
      <c r="R525" s="1128"/>
      <c r="S525" s="1128"/>
      <c r="T525" s="1128"/>
      <c r="U525" s="1128"/>
      <c r="V525" s="1128"/>
      <c r="W525" s="74"/>
      <c r="X525" s="74"/>
      <c r="Y525" s="684" t="s">
        <v>497</v>
      </c>
      <c r="Z525" s="74">
        <v>704.91</v>
      </c>
    </row>
    <row r="526" spans="9:26">
      <c r="I526" s="133">
        <v>46053</v>
      </c>
      <c r="J526" s="134">
        <v>0.39166666666666672</v>
      </c>
      <c r="K526" s="135">
        <v>5.0999999999999996</v>
      </c>
      <c r="L526" s="75">
        <v>1</v>
      </c>
      <c r="M526" s="75" t="s">
        <v>635</v>
      </c>
      <c r="N526" s="75" t="s">
        <v>146</v>
      </c>
      <c r="O526" s="75"/>
      <c r="P526" s="74"/>
      <c r="Q526" s="1127"/>
      <c r="R526" s="1128"/>
      <c r="S526" s="1128"/>
      <c r="T526" s="1128"/>
      <c r="U526" s="1128"/>
      <c r="V526" s="1128"/>
      <c r="W526" s="74"/>
      <c r="X526" s="74"/>
      <c r="Y526" s="684">
        <v>45861</v>
      </c>
      <c r="Z526" s="74">
        <v>694.1</v>
      </c>
    </row>
    <row r="527" spans="9:26">
      <c r="I527" s="133">
        <v>46053</v>
      </c>
      <c r="J527" s="134">
        <v>0.39166666666666672</v>
      </c>
      <c r="K527" s="135">
        <v>6.55</v>
      </c>
      <c r="L527" s="75">
        <v>1</v>
      </c>
      <c r="M527" s="75" t="s">
        <v>635</v>
      </c>
      <c r="N527" s="75" t="s">
        <v>146</v>
      </c>
      <c r="O527" s="75"/>
      <c r="P527" s="74"/>
      <c r="Q527" s="1127"/>
      <c r="R527" s="1128"/>
      <c r="S527" s="1128"/>
      <c r="T527" s="1128"/>
      <c r="U527" s="1128"/>
      <c r="V527" s="1128"/>
      <c r="W527" s="74"/>
      <c r="X527" s="74"/>
      <c r="Y527" s="684" t="s">
        <v>146</v>
      </c>
      <c r="Z527" s="74">
        <v>128.55000000000001</v>
      </c>
    </row>
    <row r="528" spans="9:26">
      <c r="I528" s="133">
        <v>46053</v>
      </c>
      <c r="J528" s="134">
        <v>0.43263888888888891</v>
      </c>
      <c r="K528" s="135">
        <v>7.2</v>
      </c>
      <c r="L528" s="75">
        <v>1</v>
      </c>
      <c r="M528" s="75" t="s">
        <v>635</v>
      </c>
      <c r="N528" s="75" t="s">
        <v>146</v>
      </c>
      <c r="O528" s="75"/>
      <c r="P528" s="74"/>
      <c r="Q528" s="1127"/>
      <c r="R528" s="1128"/>
      <c r="S528" s="1128"/>
      <c r="T528" s="1128"/>
      <c r="U528" s="1128"/>
      <c r="V528" s="1128"/>
      <c r="W528" s="74"/>
      <c r="X528" s="74"/>
      <c r="Y528" s="684" t="s">
        <v>494</v>
      </c>
      <c r="Z528" s="74">
        <v>200.2</v>
      </c>
    </row>
    <row r="529" spans="9:26">
      <c r="I529" s="133">
        <v>46053</v>
      </c>
      <c r="J529" s="134">
        <v>0.44166666666666671</v>
      </c>
      <c r="K529" s="135">
        <v>15.4</v>
      </c>
      <c r="L529" s="75">
        <v>2</v>
      </c>
      <c r="M529" s="75" t="s">
        <v>635</v>
      </c>
      <c r="N529" s="75" t="s">
        <v>146</v>
      </c>
      <c r="O529" s="75"/>
      <c r="P529" s="74"/>
      <c r="Q529" s="1127"/>
      <c r="R529" s="1128"/>
      <c r="S529" s="1128"/>
      <c r="T529" s="1128"/>
      <c r="U529" s="1128"/>
      <c r="V529" s="1128"/>
      <c r="W529" s="74"/>
      <c r="X529" s="74"/>
      <c r="Y529" s="684" t="s">
        <v>497</v>
      </c>
      <c r="Z529" s="74">
        <v>365.35</v>
      </c>
    </row>
    <row r="530" spans="9:26">
      <c r="I530" s="133">
        <v>46053</v>
      </c>
      <c r="J530" s="134">
        <v>0.45208333333333328</v>
      </c>
      <c r="K530" s="135">
        <v>8.3000000000000007</v>
      </c>
      <c r="L530" s="75">
        <v>2</v>
      </c>
      <c r="M530" s="75" t="s">
        <v>635</v>
      </c>
      <c r="N530" s="75" t="s">
        <v>146</v>
      </c>
      <c r="O530" s="75"/>
      <c r="P530" s="74"/>
      <c r="Q530" s="1127"/>
      <c r="R530" s="1128"/>
      <c r="S530" s="1128"/>
      <c r="T530" s="1128"/>
      <c r="U530" s="1128"/>
      <c r="V530" s="1128"/>
      <c r="W530" s="74"/>
      <c r="X530" s="74"/>
      <c r="Y530" s="684">
        <v>45862</v>
      </c>
      <c r="Z530" s="74">
        <v>831.3</v>
      </c>
    </row>
    <row r="531" spans="9:26">
      <c r="I531" s="133">
        <v>46053</v>
      </c>
      <c r="J531" s="134">
        <v>0.46111111111111108</v>
      </c>
      <c r="K531" s="135">
        <v>4.7</v>
      </c>
      <c r="L531" s="75">
        <v>2</v>
      </c>
      <c r="M531" s="75" t="s">
        <v>635</v>
      </c>
      <c r="N531" s="75" t="s">
        <v>146</v>
      </c>
      <c r="O531" s="75"/>
      <c r="P531" s="74"/>
      <c r="Q531" s="1127"/>
      <c r="R531" s="1128"/>
      <c r="S531" s="1128"/>
      <c r="T531" s="1128"/>
      <c r="U531" s="1128"/>
      <c r="V531" s="1128"/>
      <c r="W531" s="74"/>
      <c r="X531" s="74"/>
      <c r="Y531" s="684" t="s">
        <v>146</v>
      </c>
      <c r="Z531" s="74">
        <v>107.2</v>
      </c>
    </row>
    <row r="532" spans="9:26">
      <c r="I532" s="133">
        <v>46053</v>
      </c>
      <c r="J532" s="134">
        <v>0.4777777777777778</v>
      </c>
      <c r="K532" s="135">
        <v>3.95</v>
      </c>
      <c r="L532" s="75">
        <v>2</v>
      </c>
      <c r="M532" s="75" t="s">
        <v>635</v>
      </c>
      <c r="N532" s="75" t="s">
        <v>146</v>
      </c>
      <c r="O532" s="75"/>
      <c r="P532" s="74"/>
      <c r="Q532" s="1127"/>
      <c r="R532" s="1128"/>
      <c r="S532" s="1128"/>
      <c r="T532" s="1128"/>
      <c r="U532" s="1128"/>
      <c r="V532" s="1128"/>
      <c r="W532" s="74"/>
      <c r="X532" s="74"/>
      <c r="Y532" s="684" t="s">
        <v>494</v>
      </c>
      <c r="Z532" s="74">
        <v>549.29999999999995</v>
      </c>
    </row>
    <row r="533" spans="9:26">
      <c r="I533" s="133">
        <v>46053</v>
      </c>
      <c r="J533" s="134">
        <v>0.48958333333333331</v>
      </c>
      <c r="K533" s="135">
        <v>2.95</v>
      </c>
      <c r="L533" s="75">
        <v>2</v>
      </c>
      <c r="M533" s="75" t="s">
        <v>635</v>
      </c>
      <c r="N533" s="75" t="s">
        <v>146</v>
      </c>
      <c r="O533" s="75"/>
      <c r="P533" s="74"/>
      <c r="Q533" s="1127"/>
      <c r="R533" s="1128"/>
      <c r="S533" s="1128"/>
      <c r="T533" s="1128"/>
      <c r="U533" s="1128"/>
      <c r="V533" s="1128"/>
      <c r="W533" s="74"/>
      <c r="X533" s="74"/>
      <c r="Y533" s="684" t="s">
        <v>497</v>
      </c>
      <c r="Z533" s="74">
        <v>174.8</v>
      </c>
    </row>
    <row r="534" spans="9:26">
      <c r="I534" s="133">
        <v>46053</v>
      </c>
      <c r="J534" s="134">
        <v>0.49791666666666667</v>
      </c>
      <c r="K534" s="135">
        <v>3.2</v>
      </c>
      <c r="L534" s="75">
        <v>1</v>
      </c>
      <c r="M534" s="75" t="s">
        <v>635</v>
      </c>
      <c r="N534" s="75" t="s">
        <v>146</v>
      </c>
      <c r="O534" s="75"/>
      <c r="P534" s="74"/>
      <c r="Q534" s="1127"/>
      <c r="R534" s="1128"/>
      <c r="S534" s="1128"/>
      <c r="T534" s="1128"/>
      <c r="U534" s="1128"/>
      <c r="V534" s="1128"/>
      <c r="W534" s="74"/>
      <c r="X534" s="74"/>
      <c r="Y534" s="684">
        <v>45863</v>
      </c>
      <c r="Z534" s="74">
        <v>1249.05</v>
      </c>
    </row>
    <row r="535" spans="9:26">
      <c r="I535" s="133">
        <v>46054</v>
      </c>
      <c r="J535" s="134">
        <v>0.33402777777777781</v>
      </c>
      <c r="K535" s="135">
        <v>1.7</v>
      </c>
      <c r="L535" s="75">
        <v>1</v>
      </c>
      <c r="M535" s="75" t="s">
        <v>636</v>
      </c>
      <c r="N535" s="75" t="s">
        <v>146</v>
      </c>
      <c r="O535" s="75"/>
      <c r="P535" s="74"/>
      <c r="Q535" s="1127"/>
      <c r="R535" s="1128"/>
      <c r="S535" s="1128"/>
      <c r="T535" s="1128"/>
      <c r="U535" s="1128"/>
      <c r="V535" s="1128"/>
      <c r="W535" s="74"/>
      <c r="X535" s="74"/>
      <c r="Y535" s="684" t="s">
        <v>146</v>
      </c>
      <c r="Z535" s="74">
        <v>156.1</v>
      </c>
    </row>
    <row r="536" spans="9:26">
      <c r="I536" s="133">
        <v>46054</v>
      </c>
      <c r="J536" s="134">
        <v>0.34583333333333333</v>
      </c>
      <c r="K536" s="135">
        <v>1.4</v>
      </c>
      <c r="L536" s="75">
        <v>1</v>
      </c>
      <c r="M536" s="75" t="s">
        <v>636</v>
      </c>
      <c r="N536" s="75" t="s">
        <v>146</v>
      </c>
      <c r="O536" s="75"/>
      <c r="P536" s="74"/>
      <c r="Q536" s="1127"/>
      <c r="R536" s="1128"/>
      <c r="S536" s="1128"/>
      <c r="T536" s="1128"/>
      <c r="U536" s="1128"/>
      <c r="V536" s="1128"/>
      <c r="W536" s="74"/>
      <c r="X536" s="74"/>
      <c r="Y536" s="684" t="s">
        <v>494</v>
      </c>
      <c r="Z536" s="74">
        <v>207.9</v>
      </c>
    </row>
    <row r="537" spans="9:26">
      <c r="I537" s="133">
        <v>46054</v>
      </c>
      <c r="J537" s="134">
        <v>0.3527777777777778</v>
      </c>
      <c r="K537" s="135">
        <v>1.5</v>
      </c>
      <c r="L537" s="75">
        <v>1</v>
      </c>
      <c r="M537" s="75" t="s">
        <v>636</v>
      </c>
      <c r="N537" s="75" t="s">
        <v>146</v>
      </c>
      <c r="O537" s="75"/>
      <c r="P537" s="74"/>
      <c r="Q537" s="1127"/>
      <c r="R537" s="1128"/>
      <c r="S537" s="1128"/>
      <c r="T537" s="1128"/>
      <c r="U537" s="1128"/>
      <c r="V537" s="1128"/>
      <c r="W537" s="74"/>
      <c r="X537" s="74"/>
      <c r="Y537" s="684" t="s">
        <v>497</v>
      </c>
      <c r="Z537" s="74">
        <v>885.05</v>
      </c>
    </row>
    <row r="538" spans="9:26">
      <c r="I538" s="133">
        <v>46054</v>
      </c>
      <c r="J538" s="134">
        <v>0.35972222222222222</v>
      </c>
      <c r="K538" s="135">
        <v>1.85</v>
      </c>
      <c r="L538" s="75">
        <v>1</v>
      </c>
      <c r="M538" s="75" t="s">
        <v>636</v>
      </c>
      <c r="N538" s="75" t="s">
        <v>146</v>
      </c>
      <c r="O538" s="75"/>
      <c r="P538" s="74"/>
      <c r="Q538" s="1127"/>
      <c r="R538" s="1128"/>
      <c r="S538" s="1128"/>
      <c r="T538" s="1128"/>
      <c r="U538" s="1128"/>
      <c r="V538" s="1128"/>
      <c r="W538" s="74"/>
      <c r="X538" s="74"/>
      <c r="Y538" s="684">
        <v>45864</v>
      </c>
      <c r="Z538" s="74">
        <v>2058.9499999999998</v>
      </c>
    </row>
    <row r="539" spans="9:26">
      <c r="I539" s="133">
        <v>46054</v>
      </c>
      <c r="J539" s="134">
        <v>0.37430555555555561</v>
      </c>
      <c r="K539" s="135">
        <v>7</v>
      </c>
      <c r="L539" s="75">
        <v>4</v>
      </c>
      <c r="M539" s="75" t="s">
        <v>636</v>
      </c>
      <c r="N539" s="75" t="s">
        <v>146</v>
      </c>
      <c r="O539" s="75"/>
      <c r="P539" s="74"/>
      <c r="Q539" s="1127"/>
      <c r="R539" s="1128"/>
      <c r="S539" s="1128"/>
      <c r="T539" s="1128"/>
      <c r="U539" s="1128"/>
      <c r="V539" s="1128"/>
      <c r="W539" s="74"/>
      <c r="X539" s="74"/>
      <c r="Y539" s="684" t="s">
        <v>146</v>
      </c>
      <c r="Z539" s="74">
        <v>255.65</v>
      </c>
    </row>
    <row r="540" spans="9:26">
      <c r="I540" s="133">
        <v>46054</v>
      </c>
      <c r="J540" s="134">
        <v>0.38124999999999998</v>
      </c>
      <c r="K540" s="135">
        <v>4.9000000000000004</v>
      </c>
      <c r="L540" s="75">
        <v>3</v>
      </c>
      <c r="M540" s="75" t="s">
        <v>636</v>
      </c>
      <c r="N540" s="75" t="s">
        <v>146</v>
      </c>
      <c r="O540" s="75"/>
      <c r="P540" s="74"/>
      <c r="Q540" s="1127"/>
      <c r="R540" s="1128"/>
      <c r="S540" s="1128"/>
      <c r="T540" s="1128"/>
      <c r="U540" s="1128"/>
      <c r="V540" s="1128"/>
      <c r="W540" s="74"/>
      <c r="X540" s="74"/>
      <c r="Y540" s="684" t="s">
        <v>494</v>
      </c>
      <c r="Z540" s="74">
        <v>884</v>
      </c>
    </row>
    <row r="541" spans="9:26">
      <c r="I541" s="133">
        <v>46054</v>
      </c>
      <c r="J541" s="134">
        <v>0.40069444444444452</v>
      </c>
      <c r="K541" s="135">
        <v>9.3000000000000007</v>
      </c>
      <c r="L541" s="75">
        <v>1</v>
      </c>
      <c r="M541" s="75" t="s">
        <v>636</v>
      </c>
      <c r="N541" s="75" t="s">
        <v>146</v>
      </c>
      <c r="O541" s="75"/>
      <c r="P541" s="74"/>
      <c r="Q541" s="1127"/>
      <c r="R541" s="1128"/>
      <c r="S541" s="1128"/>
      <c r="T541" s="1128"/>
      <c r="U541" s="1128"/>
      <c r="V541" s="1128"/>
      <c r="W541" s="74"/>
      <c r="X541" s="74"/>
      <c r="Y541" s="684" t="s">
        <v>497</v>
      </c>
      <c r="Z541" s="74">
        <v>919.3</v>
      </c>
    </row>
    <row r="542" spans="9:26">
      <c r="I542" s="133">
        <v>46054</v>
      </c>
      <c r="J542" s="134">
        <v>0.40138888888888891</v>
      </c>
      <c r="K542" s="135">
        <v>6.3</v>
      </c>
      <c r="L542" s="75">
        <v>2</v>
      </c>
      <c r="M542" s="75" t="s">
        <v>636</v>
      </c>
      <c r="N542" s="75" t="s">
        <v>146</v>
      </c>
      <c r="O542" s="75"/>
      <c r="P542" s="74"/>
      <c r="Q542" s="1127"/>
      <c r="R542" s="1128"/>
      <c r="S542" s="1128"/>
      <c r="T542" s="1128"/>
      <c r="U542" s="1128"/>
      <c r="V542" s="1128"/>
      <c r="W542" s="74"/>
      <c r="X542" s="74"/>
      <c r="Y542" s="684">
        <v>45865</v>
      </c>
      <c r="Z542" s="74">
        <v>1564.3</v>
      </c>
    </row>
    <row r="543" spans="9:26">
      <c r="I543" s="133">
        <v>46054</v>
      </c>
      <c r="J543" s="134">
        <v>0.41319444444444442</v>
      </c>
      <c r="K543" s="135">
        <v>3.4</v>
      </c>
      <c r="L543" s="75">
        <v>2</v>
      </c>
      <c r="M543" s="75" t="s">
        <v>636</v>
      </c>
      <c r="N543" s="75" t="s">
        <v>146</v>
      </c>
      <c r="O543" s="75"/>
      <c r="P543" s="74"/>
      <c r="Q543" s="1127"/>
      <c r="R543" s="1128"/>
      <c r="S543" s="1128"/>
      <c r="T543" s="1128"/>
      <c r="U543" s="1128"/>
      <c r="V543" s="1128"/>
      <c r="W543" s="74"/>
      <c r="X543" s="74"/>
      <c r="Y543" s="684" t="s">
        <v>146</v>
      </c>
      <c r="Z543" s="74">
        <v>243</v>
      </c>
    </row>
    <row r="544" spans="9:26">
      <c r="I544" s="133">
        <v>46054</v>
      </c>
      <c r="J544" s="134">
        <v>0.41597222222222219</v>
      </c>
      <c r="K544" s="135">
        <v>3</v>
      </c>
      <c r="L544" s="75">
        <v>2</v>
      </c>
      <c r="M544" s="75" t="s">
        <v>636</v>
      </c>
      <c r="N544" s="75" t="s">
        <v>146</v>
      </c>
      <c r="O544" s="75"/>
      <c r="P544" s="74"/>
      <c r="Q544" s="1127"/>
      <c r="R544" s="1128"/>
      <c r="S544" s="1128"/>
      <c r="T544" s="1128"/>
      <c r="U544" s="1128"/>
      <c r="V544" s="1128"/>
      <c r="W544" s="74"/>
      <c r="X544" s="74"/>
      <c r="Y544" s="684" t="s">
        <v>494</v>
      </c>
      <c r="Z544" s="74">
        <v>679.2</v>
      </c>
    </row>
    <row r="545" spans="9:26">
      <c r="I545" s="133">
        <v>46054</v>
      </c>
      <c r="J545" s="134">
        <v>0.42152777777777778</v>
      </c>
      <c r="K545" s="135">
        <v>3</v>
      </c>
      <c r="L545" s="75">
        <v>2</v>
      </c>
      <c r="M545" s="75" t="s">
        <v>636</v>
      </c>
      <c r="N545" s="75" t="s">
        <v>146</v>
      </c>
      <c r="O545" s="75"/>
      <c r="P545" s="74"/>
      <c r="Q545" s="1127"/>
      <c r="R545" s="1128"/>
      <c r="S545" s="1128"/>
      <c r="T545" s="1128"/>
      <c r="U545" s="1128"/>
      <c r="V545" s="1128"/>
      <c r="W545" s="74"/>
      <c r="X545" s="74"/>
      <c r="Y545" s="684" t="s">
        <v>497</v>
      </c>
      <c r="Z545" s="74">
        <v>642.1</v>
      </c>
    </row>
    <row r="546" spans="9:26">
      <c r="I546" s="133">
        <v>46054</v>
      </c>
      <c r="J546" s="134">
        <v>0.43263888888888891</v>
      </c>
      <c r="K546" s="135">
        <v>13.65</v>
      </c>
      <c r="L546" s="75">
        <v>2</v>
      </c>
      <c r="M546" s="75" t="s">
        <v>636</v>
      </c>
      <c r="N546" s="75" t="s">
        <v>146</v>
      </c>
      <c r="O546" s="75"/>
      <c r="P546" s="74"/>
      <c r="Q546" s="1127"/>
      <c r="R546" s="1128"/>
      <c r="S546" s="1128"/>
      <c r="T546" s="1128"/>
      <c r="U546" s="1128"/>
      <c r="V546" s="1128"/>
      <c r="W546" s="74"/>
      <c r="X546" s="74"/>
      <c r="Y546" s="684">
        <v>45868</v>
      </c>
      <c r="Z546" s="74">
        <v>1588.4</v>
      </c>
    </row>
    <row r="547" spans="9:26">
      <c r="I547" s="133">
        <v>46054</v>
      </c>
      <c r="J547" s="134">
        <v>0.43333333333333329</v>
      </c>
      <c r="K547" s="135">
        <v>3.2</v>
      </c>
      <c r="L547" s="75">
        <v>2</v>
      </c>
      <c r="M547" s="75" t="s">
        <v>636</v>
      </c>
      <c r="N547" s="75" t="s">
        <v>146</v>
      </c>
      <c r="O547" s="75"/>
      <c r="P547" s="74"/>
      <c r="Q547" s="1127"/>
      <c r="R547" s="1128"/>
      <c r="S547" s="1128"/>
      <c r="T547" s="1128"/>
      <c r="U547" s="1128"/>
      <c r="V547" s="1128"/>
      <c r="W547" s="74"/>
      <c r="X547" s="74"/>
      <c r="Y547" s="684" t="s">
        <v>146</v>
      </c>
      <c r="Z547" s="74">
        <v>167.65</v>
      </c>
    </row>
    <row r="548" spans="9:26">
      <c r="I548" s="133">
        <v>46054</v>
      </c>
      <c r="J548" s="134">
        <v>0.43680555555555561</v>
      </c>
      <c r="K548" s="135">
        <v>3.45</v>
      </c>
      <c r="L548" s="75">
        <v>1</v>
      </c>
      <c r="M548" s="75" t="s">
        <v>636</v>
      </c>
      <c r="N548" s="75" t="s">
        <v>146</v>
      </c>
      <c r="O548" s="75"/>
      <c r="P548" s="74"/>
      <c r="Q548" s="1127"/>
      <c r="R548" s="1128"/>
      <c r="S548" s="1128"/>
      <c r="T548" s="1128"/>
      <c r="U548" s="1128"/>
      <c r="V548" s="1128"/>
      <c r="W548" s="74"/>
      <c r="X548" s="74"/>
      <c r="Y548" s="684" t="s">
        <v>494</v>
      </c>
      <c r="Z548" s="74">
        <v>486.95</v>
      </c>
    </row>
    <row r="549" spans="9:26">
      <c r="I549" s="133">
        <v>46054</v>
      </c>
      <c r="J549" s="134">
        <v>0.44861111111111113</v>
      </c>
      <c r="K549" s="135">
        <v>3.2</v>
      </c>
      <c r="L549" s="75">
        <v>2</v>
      </c>
      <c r="M549" s="75" t="s">
        <v>636</v>
      </c>
      <c r="N549" s="75" t="s">
        <v>146</v>
      </c>
      <c r="O549" s="75"/>
      <c r="P549" s="74"/>
      <c r="Q549" s="1127"/>
      <c r="R549" s="1128"/>
      <c r="S549" s="1128"/>
      <c r="T549" s="1128"/>
      <c r="U549" s="1128"/>
      <c r="V549" s="1128"/>
      <c r="W549" s="74"/>
      <c r="X549" s="74"/>
      <c r="Y549" s="684" t="s">
        <v>497</v>
      </c>
      <c r="Z549" s="74">
        <v>933.8</v>
      </c>
    </row>
    <row r="550" spans="9:26">
      <c r="I550" s="133">
        <v>46054</v>
      </c>
      <c r="J550" s="134">
        <v>0.46388888888888891</v>
      </c>
      <c r="K550" s="135">
        <v>4.2</v>
      </c>
      <c r="L550" s="75">
        <v>2</v>
      </c>
      <c r="M550" s="75" t="s">
        <v>636</v>
      </c>
      <c r="N550" s="75" t="s">
        <v>146</v>
      </c>
      <c r="O550" s="75"/>
      <c r="P550" s="74"/>
      <c r="Q550" s="1127"/>
      <c r="R550" s="1128"/>
      <c r="S550" s="1128"/>
      <c r="T550" s="1128"/>
      <c r="U550" s="1128"/>
      <c r="V550" s="1128"/>
      <c r="W550" s="74"/>
      <c r="X550" s="74"/>
      <c r="Y550" s="684">
        <v>45869</v>
      </c>
      <c r="Z550" s="74">
        <v>823.73</v>
      </c>
    </row>
    <row r="551" spans="9:26">
      <c r="I551" s="133">
        <v>46054</v>
      </c>
      <c r="J551" s="134">
        <v>0.46388888888888891</v>
      </c>
      <c r="K551" s="135">
        <v>5.8</v>
      </c>
      <c r="L551" s="75">
        <v>2</v>
      </c>
      <c r="M551" s="75" t="s">
        <v>636</v>
      </c>
      <c r="N551" s="75" t="s">
        <v>146</v>
      </c>
      <c r="O551" s="75"/>
      <c r="P551" s="74"/>
      <c r="Q551" s="1127"/>
      <c r="R551" s="1128"/>
      <c r="S551" s="1128"/>
      <c r="T551" s="1128"/>
      <c r="U551" s="1128"/>
      <c r="V551" s="1128"/>
      <c r="W551" s="74"/>
      <c r="X551" s="74"/>
      <c r="Y551" s="684" t="s">
        <v>146</v>
      </c>
      <c r="Z551" s="74">
        <v>135.69999999999999</v>
      </c>
    </row>
    <row r="552" spans="9:26">
      <c r="I552" s="133">
        <v>46054</v>
      </c>
      <c r="J552" s="134">
        <v>0.46736111111111112</v>
      </c>
      <c r="K552" s="135">
        <v>3.4</v>
      </c>
      <c r="L552" s="75">
        <v>1</v>
      </c>
      <c r="M552" s="75" t="s">
        <v>636</v>
      </c>
      <c r="N552" s="75" t="s">
        <v>146</v>
      </c>
      <c r="O552" s="75"/>
      <c r="P552" s="74"/>
      <c r="Q552" s="1127"/>
      <c r="R552" s="1128"/>
      <c r="S552" s="1128"/>
      <c r="T552" s="1128"/>
      <c r="U552" s="1128"/>
      <c r="V552" s="1128"/>
      <c r="W552" s="74"/>
      <c r="X552" s="74"/>
      <c r="Y552" s="684" t="s">
        <v>494</v>
      </c>
      <c r="Z552" s="74">
        <v>193.05</v>
      </c>
    </row>
    <row r="553" spans="9:26">
      <c r="I553" s="133">
        <v>46054</v>
      </c>
      <c r="J553" s="134">
        <v>0.50347222222222221</v>
      </c>
      <c r="K553" s="135">
        <v>1.95</v>
      </c>
      <c r="L553" s="75">
        <v>1</v>
      </c>
      <c r="M553" s="75" t="s">
        <v>636</v>
      </c>
      <c r="N553" s="75" t="s">
        <v>494</v>
      </c>
      <c r="O553" s="75"/>
      <c r="P553" s="74"/>
      <c r="Q553" s="1127"/>
      <c r="R553" s="1128"/>
      <c r="S553" s="1128"/>
      <c r="T553" s="1128"/>
      <c r="U553" s="1128"/>
      <c r="V553" s="1128"/>
      <c r="W553" s="74"/>
      <c r="X553" s="74"/>
      <c r="Y553" s="684" t="s">
        <v>497</v>
      </c>
      <c r="Z553" s="74">
        <v>494.98</v>
      </c>
    </row>
    <row r="554" spans="9:26">
      <c r="I554" s="133">
        <v>46054</v>
      </c>
      <c r="J554" s="134">
        <v>0.54305555555555551</v>
      </c>
      <c r="K554" s="135">
        <v>3.65</v>
      </c>
      <c r="L554" s="75">
        <v>1</v>
      </c>
      <c r="M554" s="75" t="s">
        <v>636</v>
      </c>
      <c r="N554" s="75" t="s">
        <v>494</v>
      </c>
      <c r="O554" s="75"/>
      <c r="P554" s="74"/>
      <c r="Q554" s="1127"/>
      <c r="R554" s="1128"/>
      <c r="S554" s="1128"/>
      <c r="T554" s="1128"/>
      <c r="U554" s="1128"/>
      <c r="V554" s="1128"/>
      <c r="W554" s="74"/>
      <c r="X554" s="74"/>
      <c r="Y554" s="684">
        <v>45870</v>
      </c>
      <c r="Z554" s="74">
        <v>2399.31</v>
      </c>
    </row>
    <row r="555" spans="9:26">
      <c r="I555" s="133">
        <v>46057</v>
      </c>
      <c r="J555" s="134">
        <v>0.30069444444444438</v>
      </c>
      <c r="K555" s="135">
        <v>6.55</v>
      </c>
      <c r="L555" s="75">
        <v>1</v>
      </c>
      <c r="M555" s="75" t="s">
        <v>637</v>
      </c>
      <c r="N555" s="75" t="s">
        <v>146</v>
      </c>
      <c r="O555" s="75"/>
      <c r="P555" s="74"/>
      <c r="Q555" s="1127"/>
      <c r="R555" s="1128"/>
      <c r="S555" s="1128"/>
      <c r="T555" s="1128"/>
      <c r="U555" s="1128"/>
      <c r="V555" s="1128"/>
      <c r="W555" s="74"/>
      <c r="X555" s="74"/>
      <c r="Y555" s="684" t="s">
        <v>146</v>
      </c>
      <c r="Z555" s="74">
        <v>117.4</v>
      </c>
    </row>
    <row r="556" spans="9:26">
      <c r="I556" s="133">
        <v>46057</v>
      </c>
      <c r="J556" s="134">
        <v>0.3263888888888889</v>
      </c>
      <c r="K556" s="135">
        <v>3.35</v>
      </c>
      <c r="L556" s="75">
        <v>1</v>
      </c>
      <c r="M556" s="75" t="s">
        <v>637</v>
      </c>
      <c r="N556" s="75" t="s">
        <v>146</v>
      </c>
      <c r="O556" s="75"/>
      <c r="P556" s="74"/>
      <c r="Q556" s="1127"/>
      <c r="R556" s="1128"/>
      <c r="S556" s="1128"/>
      <c r="T556" s="1128"/>
      <c r="U556" s="1128"/>
      <c r="V556" s="1128"/>
      <c r="W556" s="74"/>
      <c r="X556" s="74"/>
      <c r="Y556" s="684" t="s">
        <v>494</v>
      </c>
      <c r="Z556" s="74">
        <v>780.36</v>
      </c>
    </row>
    <row r="557" spans="9:26">
      <c r="I557" s="133">
        <v>46057</v>
      </c>
      <c r="J557" s="134">
        <v>0.34375</v>
      </c>
      <c r="K557" s="135">
        <v>1.4</v>
      </c>
      <c r="L557" s="75">
        <v>1</v>
      </c>
      <c r="M557" s="75" t="s">
        <v>637</v>
      </c>
      <c r="N557" s="75" t="s">
        <v>146</v>
      </c>
      <c r="O557" s="75"/>
      <c r="P557" s="74"/>
      <c r="Q557" s="1127"/>
      <c r="R557" s="1128"/>
      <c r="S557" s="1128"/>
      <c r="T557" s="1128"/>
      <c r="U557" s="1128"/>
      <c r="V557" s="1128"/>
      <c r="W557" s="74"/>
      <c r="X557" s="74"/>
      <c r="Y557" s="684" t="s">
        <v>497</v>
      </c>
      <c r="Z557" s="74">
        <v>1501.55</v>
      </c>
    </row>
    <row r="558" spans="9:26">
      <c r="I558" s="133">
        <v>46057</v>
      </c>
      <c r="J558" s="134">
        <v>0.35555555555555562</v>
      </c>
      <c r="K558" s="135">
        <v>1.5</v>
      </c>
      <c r="L558" s="75">
        <v>1</v>
      </c>
      <c r="M558" s="75" t="s">
        <v>637</v>
      </c>
      <c r="N558" s="75" t="s">
        <v>146</v>
      </c>
      <c r="O558" s="75"/>
      <c r="P558" s="74"/>
      <c r="Q558" s="1127"/>
      <c r="R558" s="1128"/>
      <c r="S558" s="1128"/>
      <c r="T558" s="1128"/>
      <c r="U558" s="1128"/>
      <c r="V558" s="1128"/>
      <c r="W558" s="74"/>
      <c r="X558" s="74"/>
      <c r="Y558" s="684">
        <v>45871</v>
      </c>
      <c r="Z558" s="74">
        <v>2270.5500000000002</v>
      </c>
    </row>
    <row r="559" spans="9:26">
      <c r="I559" s="133">
        <v>46057</v>
      </c>
      <c r="J559" s="134">
        <v>0.38750000000000001</v>
      </c>
      <c r="K559" s="135">
        <v>1.4</v>
      </c>
      <c r="L559" s="75">
        <v>1</v>
      </c>
      <c r="M559" s="75" t="s">
        <v>637</v>
      </c>
      <c r="N559" s="75" t="s">
        <v>146</v>
      </c>
      <c r="O559" s="75"/>
      <c r="P559" s="74"/>
      <c r="Q559" s="1127"/>
      <c r="R559" s="1128"/>
      <c r="S559" s="1128"/>
      <c r="T559" s="1128"/>
      <c r="U559" s="1128"/>
      <c r="V559" s="1128"/>
      <c r="W559" s="74"/>
      <c r="X559" s="74"/>
      <c r="Y559" s="684" t="s">
        <v>146</v>
      </c>
      <c r="Z559" s="74">
        <v>168.45</v>
      </c>
    </row>
    <row r="560" spans="9:26">
      <c r="I560" s="133">
        <v>46057</v>
      </c>
      <c r="J560" s="134">
        <v>0.39583333333333331</v>
      </c>
      <c r="K560" s="135">
        <v>1.5</v>
      </c>
      <c r="L560" s="75">
        <v>1</v>
      </c>
      <c r="M560" s="75" t="s">
        <v>637</v>
      </c>
      <c r="N560" s="75" t="s">
        <v>146</v>
      </c>
      <c r="O560" s="75"/>
      <c r="P560" s="74"/>
      <c r="Q560" s="1127"/>
      <c r="R560" s="1128"/>
      <c r="S560" s="1128"/>
      <c r="T560" s="1128"/>
      <c r="U560" s="1128"/>
      <c r="V560" s="1128"/>
      <c r="W560" s="74"/>
      <c r="X560" s="74"/>
      <c r="Y560" s="684" t="s">
        <v>494</v>
      </c>
      <c r="Z560" s="74">
        <v>1120.3</v>
      </c>
    </row>
    <row r="561" spans="9:26">
      <c r="I561" s="133">
        <v>46057</v>
      </c>
      <c r="J561" s="134">
        <v>0.40486111111111112</v>
      </c>
      <c r="K561" s="135">
        <v>13.95</v>
      </c>
      <c r="L561" s="75">
        <v>2</v>
      </c>
      <c r="M561" s="75" t="s">
        <v>637</v>
      </c>
      <c r="N561" s="75" t="s">
        <v>146</v>
      </c>
      <c r="O561" s="75"/>
      <c r="P561" s="74"/>
      <c r="Q561" s="1127"/>
      <c r="R561" s="1128"/>
      <c r="S561" s="1128"/>
      <c r="T561" s="1128"/>
      <c r="U561" s="1128"/>
      <c r="V561" s="1128"/>
      <c r="W561" s="74"/>
      <c r="X561" s="74"/>
      <c r="Y561" s="684" t="s">
        <v>497</v>
      </c>
      <c r="Z561" s="74">
        <v>981.8</v>
      </c>
    </row>
    <row r="562" spans="9:26">
      <c r="I562" s="133">
        <v>46057</v>
      </c>
      <c r="J562" s="134">
        <v>0.40833333333333333</v>
      </c>
      <c r="K562" s="135">
        <v>1.95</v>
      </c>
      <c r="L562" s="75">
        <v>1</v>
      </c>
      <c r="M562" s="75" t="s">
        <v>637</v>
      </c>
      <c r="N562" s="75" t="s">
        <v>146</v>
      </c>
      <c r="O562" s="75"/>
      <c r="P562" s="74"/>
      <c r="Q562" s="1127"/>
      <c r="R562" s="1128"/>
      <c r="S562" s="1128"/>
      <c r="T562" s="1128"/>
      <c r="U562" s="1128"/>
      <c r="V562" s="1128"/>
      <c r="W562" s="74"/>
      <c r="X562" s="74"/>
      <c r="Y562" s="684">
        <v>45872</v>
      </c>
      <c r="Z562" s="74">
        <v>1449.45</v>
      </c>
    </row>
    <row r="563" spans="9:26">
      <c r="I563" s="133">
        <v>46057</v>
      </c>
      <c r="J563" s="134">
        <v>0.41111111111111109</v>
      </c>
      <c r="K563" s="135">
        <v>4.05</v>
      </c>
      <c r="L563" s="75">
        <v>2</v>
      </c>
      <c r="M563" s="75" t="s">
        <v>637</v>
      </c>
      <c r="N563" s="75" t="s">
        <v>146</v>
      </c>
      <c r="O563" s="75"/>
      <c r="P563" s="74"/>
      <c r="Q563" s="1127"/>
      <c r="R563" s="1128"/>
      <c r="S563" s="1128"/>
      <c r="T563" s="1128"/>
      <c r="U563" s="1128"/>
      <c r="V563" s="1128"/>
      <c r="W563" s="74"/>
      <c r="X563" s="74"/>
      <c r="Y563" s="684" t="s">
        <v>146</v>
      </c>
      <c r="Z563" s="74">
        <v>232.45</v>
      </c>
    </row>
    <row r="564" spans="9:26">
      <c r="I564" s="133">
        <v>46057</v>
      </c>
      <c r="J564" s="134">
        <v>0.41875000000000001</v>
      </c>
      <c r="K564" s="135">
        <v>3.65</v>
      </c>
      <c r="L564" s="75">
        <v>1</v>
      </c>
      <c r="M564" s="75" t="s">
        <v>637</v>
      </c>
      <c r="N564" s="75" t="s">
        <v>146</v>
      </c>
      <c r="O564" s="75"/>
      <c r="P564" s="74"/>
      <c r="Q564" s="1127"/>
      <c r="R564" s="1128"/>
      <c r="S564" s="1128"/>
      <c r="T564" s="1128"/>
      <c r="U564" s="1128"/>
      <c r="V564" s="1128"/>
      <c r="W564" s="74"/>
      <c r="X564" s="74"/>
      <c r="Y564" s="684" t="s">
        <v>494</v>
      </c>
      <c r="Z564" s="74">
        <v>680.4</v>
      </c>
    </row>
    <row r="565" spans="9:26">
      <c r="I565" s="133">
        <v>46057</v>
      </c>
      <c r="J565" s="134">
        <v>0.42152777777777778</v>
      </c>
      <c r="K565" s="135">
        <v>3.2</v>
      </c>
      <c r="L565" s="75">
        <v>1</v>
      </c>
      <c r="M565" s="75" t="s">
        <v>637</v>
      </c>
      <c r="N565" s="75" t="s">
        <v>146</v>
      </c>
      <c r="O565" s="75"/>
      <c r="P565" s="74"/>
      <c r="Q565" s="1127"/>
      <c r="R565" s="1128"/>
      <c r="S565" s="1128"/>
      <c r="T565" s="1128"/>
      <c r="U565" s="1128"/>
      <c r="V565" s="1128"/>
      <c r="W565" s="74"/>
      <c r="X565" s="74"/>
      <c r="Y565" s="684" t="s">
        <v>497</v>
      </c>
      <c r="Z565" s="74">
        <v>536.6</v>
      </c>
    </row>
    <row r="566" spans="9:26">
      <c r="I566" s="133">
        <v>46057</v>
      </c>
      <c r="J566" s="134">
        <v>0.42986111111111108</v>
      </c>
      <c r="K566" s="135">
        <v>1.7</v>
      </c>
      <c r="L566" s="75">
        <v>1</v>
      </c>
      <c r="M566" s="75" t="s">
        <v>637</v>
      </c>
      <c r="N566" s="75" t="s">
        <v>146</v>
      </c>
      <c r="O566" s="75"/>
      <c r="P566" s="74"/>
      <c r="Q566" s="1127"/>
      <c r="R566" s="1128"/>
      <c r="S566" s="1128"/>
      <c r="T566" s="1128"/>
      <c r="U566" s="1128"/>
      <c r="V566" s="1128"/>
      <c r="W566" s="74"/>
      <c r="X566" s="74"/>
      <c r="Y566" s="684">
        <v>45875</v>
      </c>
      <c r="Z566" s="74">
        <v>1546.6</v>
      </c>
    </row>
    <row r="567" spans="9:26">
      <c r="I567" s="133">
        <v>46057</v>
      </c>
      <c r="J567" s="134">
        <v>0.44583333333333341</v>
      </c>
      <c r="K567" s="135">
        <v>3.2</v>
      </c>
      <c r="L567" s="75">
        <v>2</v>
      </c>
      <c r="M567" s="75" t="s">
        <v>637</v>
      </c>
      <c r="N567" s="75" t="s">
        <v>146</v>
      </c>
      <c r="O567" s="75"/>
      <c r="P567" s="74"/>
      <c r="Q567" s="1127"/>
      <c r="R567" s="1128"/>
      <c r="S567" s="1128"/>
      <c r="T567" s="1128"/>
      <c r="U567" s="1128"/>
      <c r="V567" s="1128"/>
      <c r="W567" s="74"/>
      <c r="X567" s="74"/>
      <c r="Y567" s="684" t="s">
        <v>146</v>
      </c>
      <c r="Z567" s="74">
        <v>217.35</v>
      </c>
    </row>
    <row r="568" spans="9:26">
      <c r="I568" s="133">
        <v>46057</v>
      </c>
      <c r="J568" s="134">
        <v>0.45</v>
      </c>
      <c r="K568" s="135">
        <v>2.25</v>
      </c>
      <c r="L568" s="75">
        <v>1</v>
      </c>
      <c r="M568" s="75" t="s">
        <v>637</v>
      </c>
      <c r="N568" s="75" t="s">
        <v>146</v>
      </c>
      <c r="O568" s="75"/>
      <c r="P568" s="74"/>
      <c r="Q568" s="1127"/>
      <c r="R568" s="1128"/>
      <c r="S568" s="1128"/>
      <c r="T568" s="1128"/>
      <c r="U568" s="1128"/>
      <c r="V568" s="1128"/>
      <c r="W568" s="74"/>
      <c r="X568" s="74"/>
      <c r="Y568" s="684" t="s">
        <v>494</v>
      </c>
      <c r="Z568" s="74">
        <v>695.85</v>
      </c>
    </row>
    <row r="569" spans="9:26">
      <c r="I569" s="133">
        <v>46057</v>
      </c>
      <c r="J569" s="134">
        <v>0.45208333333333328</v>
      </c>
      <c r="K569" s="135">
        <v>1.7</v>
      </c>
      <c r="L569" s="75">
        <v>1</v>
      </c>
      <c r="M569" s="75" t="s">
        <v>637</v>
      </c>
      <c r="N569" s="75" t="s">
        <v>146</v>
      </c>
      <c r="O569" s="75"/>
      <c r="P569" s="74"/>
      <c r="Q569" s="1127"/>
      <c r="R569" s="1128"/>
      <c r="S569" s="1128"/>
      <c r="T569" s="1128"/>
      <c r="U569" s="1128"/>
      <c r="V569" s="1128"/>
      <c r="W569" s="74"/>
      <c r="X569" s="74"/>
      <c r="Y569" s="684" t="s">
        <v>497</v>
      </c>
      <c r="Z569" s="74">
        <v>633.4</v>
      </c>
    </row>
    <row r="570" spans="9:26">
      <c r="I570" s="133">
        <v>46057</v>
      </c>
      <c r="J570" s="134">
        <v>0.45208333333333328</v>
      </c>
      <c r="K570" s="135">
        <v>1.7</v>
      </c>
      <c r="L570" s="75">
        <v>1</v>
      </c>
      <c r="M570" s="75" t="s">
        <v>637</v>
      </c>
      <c r="N570" s="75" t="s">
        <v>146</v>
      </c>
      <c r="O570" s="75"/>
      <c r="P570" s="74"/>
      <c r="Q570" s="1127"/>
      <c r="R570" s="1128"/>
      <c r="S570" s="1128"/>
      <c r="T570" s="1128"/>
      <c r="U570" s="1128"/>
      <c r="V570" s="1128"/>
      <c r="W570" s="74"/>
      <c r="X570" s="74"/>
      <c r="Y570" s="684">
        <v>45876</v>
      </c>
      <c r="Z570" s="74">
        <v>1711.55</v>
      </c>
    </row>
    <row r="571" spans="9:26">
      <c r="I571" s="133">
        <v>46057</v>
      </c>
      <c r="J571" s="134">
        <v>0.4548611111111111</v>
      </c>
      <c r="K571" s="135">
        <v>1.4</v>
      </c>
      <c r="L571" s="75">
        <v>1</v>
      </c>
      <c r="M571" s="75" t="s">
        <v>637</v>
      </c>
      <c r="N571" s="75" t="s">
        <v>146</v>
      </c>
      <c r="O571" s="75"/>
      <c r="P571" s="74"/>
      <c r="Q571" s="1127"/>
      <c r="R571" s="1128"/>
      <c r="S571" s="1128"/>
      <c r="T571" s="1128"/>
      <c r="U571" s="1128"/>
      <c r="V571" s="1128"/>
      <c r="W571" s="74"/>
      <c r="X571" s="74"/>
      <c r="Y571" s="684" t="s">
        <v>146</v>
      </c>
      <c r="Z571" s="74">
        <v>141.30000000000001</v>
      </c>
    </row>
    <row r="572" spans="9:26">
      <c r="I572" s="133">
        <v>46057</v>
      </c>
      <c r="J572" s="134">
        <v>0.46319444444444452</v>
      </c>
      <c r="K572" s="135">
        <v>3.2</v>
      </c>
      <c r="L572" s="75">
        <v>1</v>
      </c>
      <c r="M572" s="75" t="s">
        <v>637</v>
      </c>
      <c r="N572" s="75" t="s">
        <v>146</v>
      </c>
      <c r="O572" s="75"/>
      <c r="P572" s="74"/>
      <c r="Q572" s="1127"/>
      <c r="R572" s="1128"/>
      <c r="S572" s="1128"/>
      <c r="T572" s="1128"/>
      <c r="U572" s="1128"/>
      <c r="V572" s="1128"/>
      <c r="W572" s="74"/>
      <c r="X572" s="74"/>
      <c r="Y572" s="684" t="s">
        <v>494</v>
      </c>
      <c r="Z572" s="74">
        <v>626.6</v>
      </c>
    </row>
    <row r="573" spans="9:26">
      <c r="I573" s="133">
        <v>46057</v>
      </c>
      <c r="J573" s="134">
        <v>0.49513888888888891</v>
      </c>
      <c r="K573" s="135">
        <v>11.05</v>
      </c>
      <c r="L573" s="75">
        <v>2</v>
      </c>
      <c r="M573" s="75" t="s">
        <v>637</v>
      </c>
      <c r="N573" s="75" t="s">
        <v>146</v>
      </c>
      <c r="O573" s="75"/>
      <c r="P573" s="74"/>
      <c r="Q573" s="1127"/>
      <c r="R573" s="1128"/>
      <c r="S573" s="1128"/>
      <c r="T573" s="1128"/>
      <c r="U573" s="1128"/>
      <c r="V573" s="1128"/>
      <c r="W573" s="74"/>
      <c r="X573" s="74"/>
      <c r="Y573" s="684" t="s">
        <v>497</v>
      </c>
      <c r="Z573" s="74">
        <v>943.65</v>
      </c>
    </row>
    <row r="574" spans="9:26">
      <c r="I574" s="133">
        <v>46057</v>
      </c>
      <c r="J574" s="134">
        <v>0.49652777777777779</v>
      </c>
      <c r="K574" s="135">
        <v>2.5</v>
      </c>
      <c r="L574" s="75">
        <v>1</v>
      </c>
      <c r="M574" s="75" t="s">
        <v>637</v>
      </c>
      <c r="N574" s="75" t="s">
        <v>146</v>
      </c>
      <c r="O574" s="75"/>
      <c r="P574" s="74"/>
      <c r="Q574" s="1127"/>
      <c r="R574" s="1128"/>
      <c r="S574" s="1128"/>
      <c r="T574" s="1128"/>
      <c r="U574" s="1128"/>
      <c r="V574" s="1128"/>
      <c r="W574" s="74"/>
      <c r="X574" s="74"/>
      <c r="Y574" s="684">
        <v>45877</v>
      </c>
      <c r="Z574" s="74">
        <v>1866.6</v>
      </c>
    </row>
    <row r="575" spans="9:26">
      <c r="I575" s="133">
        <v>46057</v>
      </c>
      <c r="J575" s="134">
        <v>0.49861111111111112</v>
      </c>
      <c r="K575" s="135">
        <v>4.7</v>
      </c>
      <c r="L575" s="75">
        <v>2</v>
      </c>
      <c r="M575" s="75" t="s">
        <v>637</v>
      </c>
      <c r="N575" s="75" t="s">
        <v>146</v>
      </c>
      <c r="O575" s="75"/>
      <c r="P575" s="74"/>
      <c r="Q575" s="1127"/>
      <c r="R575" s="1128"/>
      <c r="S575" s="1128"/>
      <c r="T575" s="1128"/>
      <c r="U575" s="1128"/>
      <c r="V575" s="1128"/>
      <c r="W575" s="74"/>
      <c r="X575" s="74"/>
      <c r="Y575" s="684" t="s">
        <v>146</v>
      </c>
      <c r="Z575" s="74">
        <v>292.45</v>
      </c>
    </row>
    <row r="576" spans="9:26">
      <c r="I576" s="133">
        <v>46057</v>
      </c>
      <c r="J576" s="134">
        <v>0.50694444444444442</v>
      </c>
      <c r="K576" s="135">
        <v>1.5</v>
      </c>
      <c r="L576" s="75">
        <v>1</v>
      </c>
      <c r="M576" s="75" t="s">
        <v>637</v>
      </c>
      <c r="N576" s="75" t="s">
        <v>494</v>
      </c>
      <c r="O576" s="75"/>
      <c r="P576" s="74"/>
      <c r="Q576" s="1127"/>
      <c r="R576" s="1128"/>
      <c r="S576" s="1128"/>
      <c r="T576" s="1128"/>
      <c r="U576" s="1128"/>
      <c r="V576" s="1128"/>
      <c r="W576" s="74"/>
      <c r="X576" s="74"/>
      <c r="Y576" s="684" t="s">
        <v>494</v>
      </c>
      <c r="Z576" s="74">
        <v>619.9</v>
      </c>
    </row>
    <row r="577" spans="9:26">
      <c r="I577" s="133">
        <v>46057</v>
      </c>
      <c r="J577" s="134">
        <v>0.51388888888888884</v>
      </c>
      <c r="K577" s="135">
        <v>2.15</v>
      </c>
      <c r="L577" s="75">
        <v>1</v>
      </c>
      <c r="M577" s="75" t="s">
        <v>637</v>
      </c>
      <c r="N577" s="75" t="s">
        <v>494</v>
      </c>
      <c r="O577" s="75"/>
      <c r="P577" s="74"/>
      <c r="Q577" s="1127"/>
      <c r="R577" s="1128"/>
      <c r="S577" s="1128"/>
      <c r="T577" s="1128"/>
      <c r="U577" s="1128"/>
      <c r="V577" s="1128"/>
      <c r="W577" s="74"/>
      <c r="X577" s="74"/>
      <c r="Y577" s="684" t="s">
        <v>497</v>
      </c>
      <c r="Z577" s="74">
        <v>954.25</v>
      </c>
    </row>
    <row r="578" spans="9:26">
      <c r="I578" s="133">
        <v>46057</v>
      </c>
      <c r="J578" s="134">
        <v>0.52222222222222225</v>
      </c>
      <c r="K578" s="135">
        <v>10.65</v>
      </c>
      <c r="L578" s="75">
        <v>3</v>
      </c>
      <c r="M578" s="75" t="s">
        <v>637</v>
      </c>
      <c r="N578" s="75" t="s">
        <v>494</v>
      </c>
      <c r="O578" s="75"/>
      <c r="P578" s="74"/>
      <c r="Q578" s="1127"/>
      <c r="R578" s="1128"/>
      <c r="S578" s="1128"/>
      <c r="T578" s="1128"/>
      <c r="U578" s="1128"/>
      <c r="V578" s="1128"/>
      <c r="W578" s="74"/>
      <c r="X578" s="74"/>
      <c r="Y578" s="684">
        <v>45878</v>
      </c>
      <c r="Z578" s="74">
        <v>2388.85</v>
      </c>
    </row>
    <row r="579" spans="9:26">
      <c r="I579" s="133">
        <v>46057</v>
      </c>
      <c r="J579" s="134">
        <v>0.53125</v>
      </c>
      <c r="K579" s="135">
        <v>2.5</v>
      </c>
      <c r="L579" s="75">
        <v>1</v>
      </c>
      <c r="M579" s="75" t="s">
        <v>637</v>
      </c>
      <c r="N579" s="75" t="s">
        <v>494</v>
      </c>
      <c r="O579" s="75"/>
      <c r="P579" s="74"/>
      <c r="Q579" s="1127"/>
      <c r="R579" s="1128"/>
      <c r="S579" s="1128"/>
      <c r="T579" s="1128"/>
      <c r="U579" s="1128"/>
      <c r="V579" s="1128"/>
      <c r="W579" s="74"/>
      <c r="X579" s="74"/>
      <c r="Y579" s="684" t="s">
        <v>146</v>
      </c>
      <c r="Z579" s="74">
        <v>330.6</v>
      </c>
    </row>
    <row r="580" spans="9:26">
      <c r="I580" s="133">
        <v>46057</v>
      </c>
      <c r="J580" s="134">
        <v>0.59097222222222223</v>
      </c>
      <c r="K580" s="135">
        <v>2.5</v>
      </c>
      <c r="L580" s="75">
        <v>1</v>
      </c>
      <c r="M580" s="75" t="s">
        <v>637</v>
      </c>
      <c r="N580" s="75" t="s">
        <v>494</v>
      </c>
      <c r="O580" s="75"/>
      <c r="P580" s="74"/>
      <c r="Q580" s="1127"/>
      <c r="R580" s="1128"/>
      <c r="S580" s="1128"/>
      <c r="T580" s="1128"/>
      <c r="U580" s="1128"/>
      <c r="V580" s="1128"/>
      <c r="W580" s="74"/>
      <c r="X580" s="74"/>
      <c r="Y580" s="684" t="s">
        <v>494</v>
      </c>
      <c r="Z580" s="74">
        <v>612.65</v>
      </c>
    </row>
    <row r="581" spans="9:26">
      <c r="I581" s="133">
        <v>46057</v>
      </c>
      <c r="J581" s="134">
        <v>0.59375</v>
      </c>
      <c r="K581" s="135">
        <v>17.899999999999999</v>
      </c>
      <c r="L581" s="75">
        <v>1</v>
      </c>
      <c r="M581" s="75" t="s">
        <v>637</v>
      </c>
      <c r="N581" s="75" t="s">
        <v>494</v>
      </c>
      <c r="O581" s="75"/>
      <c r="P581" s="74"/>
      <c r="Q581" s="1127"/>
      <c r="R581" s="1128"/>
      <c r="S581" s="1128"/>
      <c r="T581" s="1128"/>
      <c r="U581" s="1128"/>
      <c r="V581" s="1128"/>
      <c r="W581" s="74"/>
      <c r="X581" s="74"/>
      <c r="Y581" s="684" t="s">
        <v>497</v>
      </c>
      <c r="Z581" s="74">
        <v>1445.6</v>
      </c>
    </row>
    <row r="582" spans="9:26">
      <c r="I582" s="133">
        <v>46057</v>
      </c>
      <c r="J582" s="134">
        <v>0.59444444444444444</v>
      </c>
      <c r="K582" s="135">
        <v>4.1500000000000004</v>
      </c>
      <c r="L582" s="75">
        <v>1</v>
      </c>
      <c r="M582" s="75" t="s">
        <v>637</v>
      </c>
      <c r="N582" s="75" t="s">
        <v>494</v>
      </c>
      <c r="O582" s="75"/>
      <c r="P582" s="74"/>
      <c r="Q582" s="1127"/>
      <c r="R582" s="1128"/>
      <c r="S582" s="1128"/>
      <c r="T582" s="1128"/>
      <c r="U582" s="1128"/>
      <c r="V582" s="1128"/>
      <c r="W582" s="74"/>
      <c r="X582" s="74"/>
      <c r="Y582" s="684">
        <v>45879</v>
      </c>
      <c r="Z582" s="74">
        <v>2527.5</v>
      </c>
    </row>
    <row r="583" spans="9:26">
      <c r="I583" s="133">
        <v>46057</v>
      </c>
      <c r="J583" s="134">
        <v>0.62638888888888888</v>
      </c>
      <c r="K583" s="135">
        <v>1.7</v>
      </c>
      <c r="L583" s="75">
        <v>1</v>
      </c>
      <c r="M583" s="75" t="s">
        <v>637</v>
      </c>
      <c r="N583" s="75" t="s">
        <v>494</v>
      </c>
      <c r="O583" s="75"/>
      <c r="P583" s="74"/>
      <c r="Q583" s="1127"/>
      <c r="R583" s="1128"/>
      <c r="S583" s="1128"/>
      <c r="T583" s="1128"/>
      <c r="U583" s="1128"/>
      <c r="V583" s="1128"/>
      <c r="W583" s="74"/>
      <c r="X583" s="74"/>
      <c r="Y583" s="684" t="s">
        <v>146</v>
      </c>
      <c r="Z583" s="74">
        <v>270.45</v>
      </c>
    </row>
    <row r="584" spans="9:26">
      <c r="I584" s="133">
        <v>46057</v>
      </c>
      <c r="J584" s="134">
        <v>0.63611111111111107</v>
      </c>
      <c r="K584" s="135">
        <v>2.5499999999999998</v>
      </c>
      <c r="L584" s="75">
        <v>1</v>
      </c>
      <c r="M584" s="75" t="s">
        <v>637</v>
      </c>
      <c r="N584" s="75" t="s">
        <v>494</v>
      </c>
      <c r="O584" s="75"/>
      <c r="P584" s="74"/>
      <c r="Q584" s="1127"/>
      <c r="R584" s="1128"/>
      <c r="S584" s="1128"/>
      <c r="T584" s="1128"/>
      <c r="U584" s="1128"/>
      <c r="V584" s="1128"/>
      <c r="W584" s="74"/>
      <c r="X584" s="74"/>
      <c r="Y584" s="684" t="s">
        <v>494</v>
      </c>
      <c r="Z584" s="74">
        <v>1135.8</v>
      </c>
    </row>
    <row r="585" spans="9:26">
      <c r="I585" s="133">
        <v>46057</v>
      </c>
      <c r="J585" s="134">
        <v>0.64027777777777772</v>
      </c>
      <c r="K585" s="135">
        <v>4.6500000000000004</v>
      </c>
      <c r="L585" s="75">
        <v>1</v>
      </c>
      <c r="M585" s="75" t="s">
        <v>637</v>
      </c>
      <c r="N585" s="75" t="s">
        <v>494</v>
      </c>
      <c r="O585" s="75"/>
      <c r="P585" s="74"/>
      <c r="Q585" s="1127"/>
      <c r="R585" s="1128"/>
      <c r="S585" s="1128"/>
      <c r="T585" s="1128"/>
      <c r="U585" s="1128"/>
      <c r="V585" s="1128"/>
      <c r="W585" s="74"/>
      <c r="X585" s="74"/>
      <c r="Y585" s="684" t="s">
        <v>497</v>
      </c>
      <c r="Z585" s="74">
        <v>1121.25</v>
      </c>
    </row>
    <row r="586" spans="9:26">
      <c r="I586" s="133">
        <v>46057</v>
      </c>
      <c r="J586" s="134">
        <v>0.86805555555555558</v>
      </c>
      <c r="K586" s="135">
        <v>35.4</v>
      </c>
      <c r="L586" s="75">
        <v>1</v>
      </c>
      <c r="M586" s="75" t="s">
        <v>637</v>
      </c>
      <c r="N586" s="75" t="s">
        <v>497</v>
      </c>
      <c r="O586" s="75"/>
      <c r="P586" s="74"/>
      <c r="Q586" s="1127"/>
      <c r="R586" s="1128"/>
      <c r="S586" s="1128"/>
      <c r="T586" s="1128"/>
      <c r="U586" s="1128"/>
      <c r="V586" s="1128"/>
      <c r="W586" s="74"/>
      <c r="X586" s="74"/>
      <c r="Y586" s="684">
        <v>45882</v>
      </c>
      <c r="Z586" s="74">
        <v>1746.15</v>
      </c>
    </row>
    <row r="587" spans="9:26">
      <c r="I587" s="133">
        <v>46057</v>
      </c>
      <c r="J587" s="134">
        <v>0.88194444444444442</v>
      </c>
      <c r="K587" s="135">
        <v>4.2</v>
      </c>
      <c r="L587" s="75">
        <v>2</v>
      </c>
      <c r="M587" s="75" t="s">
        <v>637</v>
      </c>
      <c r="N587" s="75" t="s">
        <v>497</v>
      </c>
      <c r="O587" s="75"/>
      <c r="P587" s="74"/>
      <c r="Q587" s="1127"/>
      <c r="R587" s="1128"/>
      <c r="S587" s="1128"/>
      <c r="T587" s="1128"/>
      <c r="U587" s="1128"/>
      <c r="V587" s="1128"/>
      <c r="W587" s="74"/>
      <c r="X587" s="74"/>
      <c r="Y587" s="684" t="s">
        <v>146</v>
      </c>
      <c r="Z587" s="74">
        <v>258.89999999999998</v>
      </c>
    </row>
    <row r="588" spans="9:26">
      <c r="I588" s="133">
        <v>46057</v>
      </c>
      <c r="J588" s="134">
        <v>0.88749999999999996</v>
      </c>
      <c r="K588" s="135">
        <v>11</v>
      </c>
      <c r="L588" s="75">
        <v>2</v>
      </c>
      <c r="M588" s="75" t="s">
        <v>637</v>
      </c>
      <c r="N588" s="75" t="s">
        <v>497</v>
      </c>
      <c r="O588" s="75"/>
      <c r="P588" s="74"/>
      <c r="Q588" s="1127"/>
      <c r="R588" s="1128"/>
      <c r="S588" s="1128"/>
      <c r="T588" s="1128"/>
      <c r="U588" s="1128"/>
      <c r="V588" s="1128"/>
      <c r="W588" s="74"/>
      <c r="X588" s="74"/>
      <c r="Y588" s="684" t="s">
        <v>494</v>
      </c>
      <c r="Z588" s="74">
        <v>793.05</v>
      </c>
    </row>
    <row r="589" spans="9:26">
      <c r="I589" s="133">
        <v>46057</v>
      </c>
      <c r="J589" s="134">
        <v>0.91805555555555551</v>
      </c>
      <c r="K589" s="135">
        <v>2.5</v>
      </c>
      <c r="L589" s="75">
        <v>1</v>
      </c>
      <c r="M589" s="75" t="s">
        <v>637</v>
      </c>
      <c r="N589" s="75" t="s">
        <v>497</v>
      </c>
      <c r="O589" s="75"/>
      <c r="P589" s="74"/>
      <c r="Q589" s="1127"/>
      <c r="R589" s="1128"/>
      <c r="S589" s="1128"/>
      <c r="T589" s="1128"/>
      <c r="U589" s="1128"/>
      <c r="V589" s="1128"/>
      <c r="W589" s="74"/>
      <c r="X589" s="74"/>
      <c r="Y589" s="684" t="s">
        <v>497</v>
      </c>
      <c r="Z589" s="74">
        <v>694.2</v>
      </c>
    </row>
    <row r="590" spans="9:26">
      <c r="I590" s="133">
        <v>46057</v>
      </c>
      <c r="J590" s="134">
        <v>0.93472222222222223</v>
      </c>
      <c r="K590" s="135">
        <v>5</v>
      </c>
      <c r="L590" s="75">
        <v>1</v>
      </c>
      <c r="M590" s="75" t="s">
        <v>637</v>
      </c>
      <c r="N590" s="75" t="s">
        <v>497</v>
      </c>
      <c r="O590" s="75"/>
      <c r="P590" s="74"/>
      <c r="Q590" s="1127"/>
      <c r="R590" s="1128"/>
      <c r="S590" s="1128"/>
      <c r="T590" s="1128"/>
      <c r="U590" s="1128"/>
      <c r="V590" s="1128"/>
      <c r="W590" s="74"/>
      <c r="X590" s="74"/>
      <c r="Y590" s="684">
        <v>45883</v>
      </c>
      <c r="Z590" s="74">
        <v>2470.9499999999998</v>
      </c>
    </row>
    <row r="591" spans="9:26">
      <c r="I591" s="133">
        <v>46057</v>
      </c>
      <c r="J591" s="134">
        <v>0.94652777777777775</v>
      </c>
      <c r="K591" s="135">
        <v>40.9</v>
      </c>
      <c r="L591" s="75">
        <v>2</v>
      </c>
      <c r="M591" s="75" t="s">
        <v>637</v>
      </c>
      <c r="N591" s="75" t="s">
        <v>497</v>
      </c>
      <c r="O591" s="75"/>
      <c r="P591" s="74"/>
      <c r="Q591" s="1127"/>
      <c r="R591" s="1128"/>
      <c r="S591" s="1128"/>
      <c r="T591" s="1128"/>
      <c r="U591" s="1128"/>
      <c r="V591" s="1128"/>
      <c r="W591" s="74"/>
      <c r="X591" s="74"/>
      <c r="Y591" s="684" t="s">
        <v>146</v>
      </c>
      <c r="Z591" s="74">
        <v>284.55</v>
      </c>
    </row>
    <row r="592" spans="9:26">
      <c r="I592" s="133">
        <v>46058</v>
      </c>
      <c r="J592" s="134">
        <v>0.29583333333333328</v>
      </c>
      <c r="K592" s="135">
        <v>3.4</v>
      </c>
      <c r="L592" s="75">
        <v>1</v>
      </c>
      <c r="M592" s="75" t="s">
        <v>638</v>
      </c>
      <c r="N592" s="75" t="s">
        <v>146</v>
      </c>
      <c r="O592" s="75"/>
      <c r="P592" s="74"/>
      <c r="Q592" s="1127"/>
      <c r="R592" s="1128"/>
      <c r="S592" s="1128"/>
      <c r="T592" s="1128"/>
      <c r="U592" s="1128"/>
      <c r="V592" s="1128"/>
      <c r="W592" s="74"/>
      <c r="X592" s="74"/>
      <c r="Y592" s="684" t="s">
        <v>494</v>
      </c>
      <c r="Z592" s="74">
        <v>769.35</v>
      </c>
    </row>
    <row r="593" spans="9:26">
      <c r="I593" s="133">
        <v>46058</v>
      </c>
      <c r="J593" s="134">
        <v>0.31597222222222221</v>
      </c>
      <c r="K593" s="135">
        <v>1.5</v>
      </c>
      <c r="L593" s="75">
        <v>1</v>
      </c>
      <c r="M593" s="75" t="s">
        <v>638</v>
      </c>
      <c r="N593" s="75" t="s">
        <v>146</v>
      </c>
      <c r="O593" s="75"/>
      <c r="P593" s="74"/>
      <c r="Q593" s="1127"/>
      <c r="R593" s="1128"/>
      <c r="S593" s="1128"/>
      <c r="T593" s="1128"/>
      <c r="U593" s="1128"/>
      <c r="V593" s="1128"/>
      <c r="W593" s="74"/>
      <c r="X593" s="74"/>
      <c r="Y593" s="684" t="s">
        <v>497</v>
      </c>
      <c r="Z593" s="74">
        <v>1417.05</v>
      </c>
    </row>
    <row r="594" spans="9:26">
      <c r="I594" s="133">
        <v>46058</v>
      </c>
      <c r="J594" s="134">
        <v>0.34097222222222218</v>
      </c>
      <c r="K594" s="135">
        <v>4.5</v>
      </c>
      <c r="L594" s="75">
        <v>2</v>
      </c>
      <c r="M594" s="75" t="s">
        <v>638</v>
      </c>
      <c r="N594" s="75" t="s">
        <v>146</v>
      </c>
      <c r="O594" s="75"/>
      <c r="P594" s="74"/>
      <c r="Q594" s="1127"/>
      <c r="R594" s="1128"/>
      <c r="S594" s="1128"/>
      <c r="T594" s="1128"/>
      <c r="U594" s="1128"/>
      <c r="V594" s="1128"/>
      <c r="W594" s="74"/>
      <c r="X594" s="74"/>
      <c r="Y594" s="684">
        <v>45884</v>
      </c>
      <c r="Z594" s="74">
        <v>2591.85</v>
      </c>
    </row>
    <row r="595" spans="9:26">
      <c r="I595" s="133">
        <v>46058</v>
      </c>
      <c r="J595" s="134">
        <v>0.34652777777777782</v>
      </c>
      <c r="K595" s="135">
        <v>5.3</v>
      </c>
      <c r="L595" s="75">
        <v>1</v>
      </c>
      <c r="M595" s="75" t="s">
        <v>638</v>
      </c>
      <c r="N595" s="75" t="s">
        <v>146</v>
      </c>
      <c r="O595" s="75"/>
      <c r="P595" s="74"/>
      <c r="Q595" s="1127"/>
      <c r="R595" s="1128"/>
      <c r="S595" s="1128"/>
      <c r="T595" s="1128"/>
      <c r="U595" s="1128"/>
      <c r="V595" s="1128"/>
      <c r="W595" s="74"/>
      <c r="X595" s="74"/>
      <c r="Y595" s="684" t="s">
        <v>146</v>
      </c>
      <c r="Z595" s="74">
        <v>225.95</v>
      </c>
    </row>
    <row r="596" spans="9:26">
      <c r="I596" s="133">
        <v>46058</v>
      </c>
      <c r="J596" s="134">
        <v>0.35347222222222219</v>
      </c>
      <c r="K596" s="135">
        <v>4.1500000000000004</v>
      </c>
      <c r="L596" s="75">
        <v>1</v>
      </c>
      <c r="M596" s="75" t="s">
        <v>638</v>
      </c>
      <c r="N596" s="75" t="s">
        <v>146</v>
      </c>
      <c r="O596" s="75"/>
      <c r="P596" s="74"/>
      <c r="Q596" s="1127"/>
      <c r="R596" s="1128"/>
      <c r="S596" s="1128"/>
      <c r="T596" s="1128"/>
      <c r="U596" s="1128"/>
      <c r="V596" s="1128"/>
      <c r="W596" s="74"/>
      <c r="X596" s="74"/>
      <c r="Y596" s="684" t="s">
        <v>494</v>
      </c>
      <c r="Z596" s="74">
        <v>873.4</v>
      </c>
    </row>
    <row r="597" spans="9:26">
      <c r="I597" s="133">
        <v>46058</v>
      </c>
      <c r="J597" s="134">
        <v>0.36319444444444438</v>
      </c>
      <c r="K597" s="135">
        <v>3.95</v>
      </c>
      <c r="L597" s="75">
        <v>1</v>
      </c>
      <c r="M597" s="75" t="s">
        <v>638</v>
      </c>
      <c r="N597" s="75" t="s">
        <v>146</v>
      </c>
      <c r="O597" s="75"/>
      <c r="P597" s="74"/>
      <c r="Q597" s="1127"/>
      <c r="R597" s="1128"/>
      <c r="S597" s="1128"/>
      <c r="T597" s="1128"/>
      <c r="U597" s="1128"/>
      <c r="V597" s="1128"/>
      <c r="W597" s="74"/>
      <c r="X597" s="74"/>
      <c r="Y597" s="684" t="s">
        <v>497</v>
      </c>
      <c r="Z597" s="74">
        <v>1492.5</v>
      </c>
    </row>
    <row r="598" spans="9:26">
      <c r="I598" s="133">
        <v>46058</v>
      </c>
      <c r="J598" s="134">
        <v>0.37361111111111112</v>
      </c>
      <c r="K598" s="135">
        <v>2.25</v>
      </c>
      <c r="L598" s="75">
        <v>1</v>
      </c>
      <c r="M598" s="75" t="s">
        <v>638</v>
      </c>
      <c r="N598" s="75" t="s">
        <v>146</v>
      </c>
      <c r="O598" s="75"/>
      <c r="P598" s="74"/>
      <c r="Q598" s="1127"/>
      <c r="R598" s="1128"/>
      <c r="S598" s="1128"/>
      <c r="T598" s="1128"/>
      <c r="U598" s="1128"/>
      <c r="V598" s="1128"/>
      <c r="W598" s="74"/>
      <c r="X598" s="74"/>
      <c r="Y598" s="684">
        <v>45885</v>
      </c>
      <c r="Z598" s="74">
        <v>2845.8</v>
      </c>
    </row>
    <row r="599" spans="9:26">
      <c r="I599" s="133">
        <v>46058</v>
      </c>
      <c r="J599" s="134">
        <v>0.38055555555555548</v>
      </c>
      <c r="K599" s="135">
        <v>1.7</v>
      </c>
      <c r="L599" s="75">
        <v>1</v>
      </c>
      <c r="M599" s="75" t="s">
        <v>638</v>
      </c>
      <c r="N599" s="75" t="s">
        <v>146</v>
      </c>
      <c r="O599" s="75"/>
      <c r="P599" s="74"/>
      <c r="Q599" s="1127"/>
      <c r="R599" s="1128"/>
      <c r="S599" s="1128"/>
      <c r="T599" s="1128"/>
      <c r="U599" s="1128"/>
      <c r="V599" s="1128"/>
      <c r="W599" s="74"/>
      <c r="X599" s="74"/>
      <c r="Y599" s="684" t="s">
        <v>146</v>
      </c>
      <c r="Z599" s="74">
        <v>307.10000000000002</v>
      </c>
    </row>
    <row r="600" spans="9:26">
      <c r="I600" s="133">
        <v>46058</v>
      </c>
      <c r="J600" s="134">
        <v>0.38124999999999998</v>
      </c>
      <c r="K600" s="135">
        <v>1.5</v>
      </c>
      <c r="L600" s="75">
        <v>1</v>
      </c>
      <c r="M600" s="75" t="s">
        <v>638</v>
      </c>
      <c r="N600" s="75" t="s">
        <v>146</v>
      </c>
      <c r="O600" s="75"/>
      <c r="P600" s="74"/>
      <c r="Q600" s="1127"/>
      <c r="R600" s="1128"/>
      <c r="S600" s="1128"/>
      <c r="T600" s="1128"/>
      <c r="U600" s="1128"/>
      <c r="V600" s="1128"/>
      <c r="W600" s="74"/>
      <c r="X600" s="74"/>
      <c r="Y600" s="684" t="s">
        <v>494</v>
      </c>
      <c r="Z600" s="74">
        <v>604.4</v>
      </c>
    </row>
    <row r="601" spans="9:26">
      <c r="I601" s="133">
        <v>46058</v>
      </c>
      <c r="J601" s="134">
        <v>0.38263888888888892</v>
      </c>
      <c r="K601" s="135">
        <v>1.85</v>
      </c>
      <c r="L601" s="75">
        <v>1</v>
      </c>
      <c r="M601" s="75" t="s">
        <v>638</v>
      </c>
      <c r="N601" s="75" t="s">
        <v>146</v>
      </c>
      <c r="O601" s="75"/>
      <c r="P601" s="74"/>
      <c r="Q601" s="1127"/>
      <c r="R601" s="1128"/>
      <c r="S601" s="1128"/>
      <c r="T601" s="1128"/>
      <c r="U601" s="1128"/>
      <c r="V601" s="1128"/>
      <c r="W601" s="74"/>
      <c r="X601" s="74"/>
      <c r="Y601" s="684" t="s">
        <v>497</v>
      </c>
      <c r="Z601" s="74">
        <v>1934.3</v>
      </c>
    </row>
    <row r="602" spans="9:26">
      <c r="I602" s="133">
        <v>46058</v>
      </c>
      <c r="J602" s="134">
        <v>0.38680555555555562</v>
      </c>
      <c r="K602" s="135">
        <v>1.55</v>
      </c>
      <c r="L602" s="75">
        <v>1</v>
      </c>
      <c r="M602" s="75" t="s">
        <v>638</v>
      </c>
      <c r="N602" s="75" t="s">
        <v>146</v>
      </c>
      <c r="O602" s="75"/>
      <c r="P602" s="74"/>
      <c r="Q602" s="1127"/>
      <c r="R602" s="1128"/>
      <c r="S602" s="1128"/>
      <c r="T602" s="1128"/>
      <c r="U602" s="1128"/>
      <c r="V602" s="1128"/>
      <c r="W602" s="74"/>
      <c r="X602" s="74"/>
      <c r="Y602" s="684">
        <v>45886</v>
      </c>
      <c r="Z602" s="74">
        <v>2996.6</v>
      </c>
    </row>
    <row r="603" spans="9:26">
      <c r="I603" s="133">
        <v>46058</v>
      </c>
      <c r="J603" s="134">
        <v>0.3972222222222222</v>
      </c>
      <c r="K603" s="135">
        <v>1.5</v>
      </c>
      <c r="L603" s="75">
        <v>1</v>
      </c>
      <c r="M603" s="75" t="s">
        <v>638</v>
      </c>
      <c r="N603" s="75" t="s">
        <v>146</v>
      </c>
      <c r="O603" s="75"/>
      <c r="P603" s="74"/>
      <c r="Q603" s="1127"/>
      <c r="R603" s="1128"/>
      <c r="S603" s="1128"/>
      <c r="T603" s="1128"/>
      <c r="U603" s="1128"/>
      <c r="V603" s="1128"/>
      <c r="W603" s="74"/>
      <c r="X603" s="74"/>
      <c r="Y603" s="684" t="s">
        <v>146</v>
      </c>
      <c r="Z603" s="74">
        <v>277.14999999999998</v>
      </c>
    </row>
    <row r="604" spans="9:26">
      <c r="I604" s="133">
        <v>46058</v>
      </c>
      <c r="J604" s="134">
        <v>0.39861111111111108</v>
      </c>
      <c r="K604" s="135">
        <v>4.75</v>
      </c>
      <c r="L604" s="75">
        <v>1</v>
      </c>
      <c r="M604" s="75" t="s">
        <v>638</v>
      </c>
      <c r="N604" s="75" t="s">
        <v>146</v>
      </c>
      <c r="O604" s="75"/>
      <c r="P604" s="74"/>
      <c r="Q604" s="1127"/>
      <c r="R604" s="1128"/>
      <c r="S604" s="1128"/>
      <c r="T604" s="1128"/>
      <c r="U604" s="1128"/>
      <c r="V604" s="1128"/>
      <c r="W604" s="74"/>
      <c r="X604" s="74"/>
      <c r="Y604" s="684" t="s">
        <v>494</v>
      </c>
      <c r="Z604" s="74">
        <v>1066.9000000000001</v>
      </c>
    </row>
    <row r="605" spans="9:26">
      <c r="I605" s="133">
        <v>46058</v>
      </c>
      <c r="J605" s="134">
        <v>0.4152777777777778</v>
      </c>
      <c r="K605" s="135">
        <v>5.9</v>
      </c>
      <c r="L605" s="75">
        <v>1</v>
      </c>
      <c r="M605" s="75" t="s">
        <v>638</v>
      </c>
      <c r="N605" s="75" t="s">
        <v>146</v>
      </c>
      <c r="O605" s="75"/>
      <c r="P605" s="74"/>
      <c r="Q605" s="1127"/>
      <c r="R605" s="1128"/>
      <c r="S605" s="1128"/>
      <c r="T605" s="1128"/>
      <c r="U605" s="1128"/>
      <c r="V605" s="1128"/>
      <c r="W605" s="74"/>
      <c r="X605" s="74"/>
      <c r="Y605" s="684" t="s">
        <v>497</v>
      </c>
      <c r="Z605" s="74">
        <v>1652.55</v>
      </c>
    </row>
    <row r="606" spans="9:26">
      <c r="I606" s="133">
        <v>46058</v>
      </c>
      <c r="J606" s="134">
        <v>0.41944444444444451</v>
      </c>
      <c r="K606" s="135">
        <v>2.4500000000000002</v>
      </c>
      <c r="L606" s="75">
        <v>1</v>
      </c>
      <c r="M606" s="75" t="s">
        <v>638</v>
      </c>
      <c r="N606" s="75" t="s">
        <v>146</v>
      </c>
      <c r="O606" s="75"/>
      <c r="P606" s="74"/>
      <c r="Q606" s="1127"/>
      <c r="R606" s="1128"/>
      <c r="S606" s="1128"/>
      <c r="T606" s="1128"/>
      <c r="U606" s="1128"/>
      <c r="V606" s="1128"/>
      <c r="W606" s="74"/>
      <c r="X606" s="74"/>
      <c r="Y606" s="684">
        <v>45889</v>
      </c>
      <c r="Z606" s="74">
        <v>1779.3</v>
      </c>
    </row>
    <row r="607" spans="9:26">
      <c r="I607" s="133">
        <v>46058</v>
      </c>
      <c r="J607" s="134">
        <v>0.42777777777777781</v>
      </c>
      <c r="K607" s="135">
        <v>6.5</v>
      </c>
      <c r="L607" s="75">
        <v>1</v>
      </c>
      <c r="M607" s="75" t="s">
        <v>638</v>
      </c>
      <c r="N607" s="75" t="s">
        <v>146</v>
      </c>
      <c r="O607" s="75"/>
      <c r="P607" s="74"/>
      <c r="Q607" s="1127"/>
      <c r="R607" s="1128"/>
      <c r="S607" s="1128"/>
      <c r="T607" s="1128"/>
      <c r="U607" s="1128"/>
      <c r="V607" s="1128"/>
      <c r="W607" s="74"/>
      <c r="X607" s="74"/>
      <c r="Y607" s="684" t="s">
        <v>146</v>
      </c>
      <c r="Z607" s="74">
        <v>203.85</v>
      </c>
    </row>
    <row r="608" spans="9:26">
      <c r="I608" s="133">
        <v>46058</v>
      </c>
      <c r="J608" s="134">
        <v>0.42986111111111108</v>
      </c>
      <c r="K608" s="135">
        <v>4.25</v>
      </c>
      <c r="L608" s="75">
        <v>2</v>
      </c>
      <c r="M608" s="75" t="s">
        <v>638</v>
      </c>
      <c r="N608" s="75" t="s">
        <v>146</v>
      </c>
      <c r="O608" s="75"/>
      <c r="P608" s="74"/>
      <c r="Q608" s="1127"/>
      <c r="R608" s="1128"/>
      <c r="S608" s="1128"/>
      <c r="T608" s="1128"/>
      <c r="U608" s="1128"/>
      <c r="V608" s="1128"/>
      <c r="W608" s="74"/>
      <c r="X608" s="74"/>
      <c r="Y608" s="684" t="s">
        <v>494</v>
      </c>
      <c r="Z608" s="74">
        <v>773.95</v>
      </c>
    </row>
    <row r="609" spans="9:26">
      <c r="I609" s="133">
        <v>46058</v>
      </c>
      <c r="J609" s="134">
        <v>0.43611111111111112</v>
      </c>
      <c r="K609" s="135">
        <v>19.75</v>
      </c>
      <c r="L609" s="75">
        <v>2</v>
      </c>
      <c r="M609" s="75" t="s">
        <v>638</v>
      </c>
      <c r="N609" s="75" t="s">
        <v>146</v>
      </c>
      <c r="O609" s="75"/>
      <c r="P609" s="74"/>
      <c r="Q609" s="1127"/>
      <c r="R609" s="1128"/>
      <c r="S609" s="1128"/>
      <c r="T609" s="1128"/>
      <c r="U609" s="1128"/>
      <c r="V609" s="1128"/>
      <c r="W609" s="74"/>
      <c r="X609" s="74"/>
      <c r="Y609" s="684" t="s">
        <v>497</v>
      </c>
      <c r="Z609" s="74">
        <v>801.5</v>
      </c>
    </row>
    <row r="610" spans="9:26">
      <c r="I610" s="133">
        <v>46058</v>
      </c>
      <c r="J610" s="134">
        <v>0.43680555555555561</v>
      </c>
      <c r="K610" s="135">
        <v>2.5499999999999998</v>
      </c>
      <c r="L610" s="75">
        <v>1</v>
      </c>
      <c r="M610" s="75" t="s">
        <v>638</v>
      </c>
      <c r="N610" s="75" t="s">
        <v>146</v>
      </c>
      <c r="O610" s="75"/>
      <c r="P610" s="74"/>
      <c r="Q610" s="1127"/>
      <c r="R610" s="1128"/>
      <c r="S610" s="1128"/>
      <c r="T610" s="1128"/>
      <c r="U610" s="1128"/>
      <c r="V610" s="1128"/>
      <c r="W610" s="74"/>
      <c r="X610" s="74"/>
      <c r="Y610" s="684">
        <v>45890</v>
      </c>
      <c r="Z610" s="74">
        <v>1877.9</v>
      </c>
    </row>
    <row r="611" spans="9:26">
      <c r="I611" s="133">
        <v>46058</v>
      </c>
      <c r="J611" s="134">
        <v>0.43819444444444439</v>
      </c>
      <c r="K611" s="135">
        <v>1.7</v>
      </c>
      <c r="L611" s="75">
        <v>1</v>
      </c>
      <c r="M611" s="75" t="s">
        <v>638</v>
      </c>
      <c r="N611" s="75" t="s">
        <v>146</v>
      </c>
      <c r="O611" s="75"/>
      <c r="P611" s="74"/>
      <c r="Q611" s="1127"/>
      <c r="R611" s="1128"/>
      <c r="S611" s="1128"/>
      <c r="T611" s="1128"/>
      <c r="U611" s="1128"/>
      <c r="V611" s="1128"/>
      <c r="W611" s="74"/>
      <c r="X611" s="74"/>
      <c r="Y611" s="684" t="s">
        <v>146</v>
      </c>
      <c r="Z611" s="74">
        <v>243.9</v>
      </c>
    </row>
    <row r="612" spans="9:26">
      <c r="I612" s="133">
        <v>46058</v>
      </c>
      <c r="J612" s="134">
        <v>0.44305555555555548</v>
      </c>
      <c r="K612" s="135">
        <v>4.8499999999999996</v>
      </c>
      <c r="L612" s="75">
        <v>2</v>
      </c>
      <c r="M612" s="75" t="s">
        <v>638</v>
      </c>
      <c r="N612" s="75" t="s">
        <v>146</v>
      </c>
      <c r="O612" s="75"/>
      <c r="P612" s="74"/>
      <c r="Q612" s="1127"/>
      <c r="R612" s="1128"/>
      <c r="S612" s="1128"/>
      <c r="T612" s="1128"/>
      <c r="U612" s="1128"/>
      <c r="V612" s="1128"/>
      <c r="W612" s="74"/>
      <c r="X612" s="74"/>
      <c r="Y612" s="684" t="s">
        <v>494</v>
      </c>
      <c r="Z612" s="74">
        <v>711.5</v>
      </c>
    </row>
    <row r="613" spans="9:26">
      <c r="I613" s="133">
        <v>46058</v>
      </c>
      <c r="J613" s="134">
        <v>0.44444444444444442</v>
      </c>
      <c r="K613" s="135">
        <v>4.05</v>
      </c>
      <c r="L613" s="75">
        <v>2</v>
      </c>
      <c r="M613" s="75" t="s">
        <v>638</v>
      </c>
      <c r="N613" s="75" t="s">
        <v>146</v>
      </c>
      <c r="O613" s="75"/>
      <c r="P613" s="74"/>
      <c r="Q613" s="1127"/>
      <c r="R613" s="1128"/>
      <c r="S613" s="1128"/>
      <c r="T613" s="1128"/>
      <c r="U613" s="1128"/>
      <c r="V613" s="1128"/>
      <c r="W613" s="74"/>
      <c r="X613" s="74"/>
      <c r="Y613" s="684" t="s">
        <v>497</v>
      </c>
      <c r="Z613" s="74">
        <v>922.5</v>
      </c>
    </row>
    <row r="614" spans="9:26">
      <c r="I614" s="133">
        <v>46058</v>
      </c>
      <c r="J614" s="134">
        <v>0.45555555555555549</v>
      </c>
      <c r="K614" s="135">
        <v>3.95</v>
      </c>
      <c r="L614" s="75">
        <v>2</v>
      </c>
      <c r="M614" s="75" t="s">
        <v>638</v>
      </c>
      <c r="N614" s="75" t="s">
        <v>146</v>
      </c>
      <c r="O614" s="75"/>
      <c r="P614" s="74"/>
      <c r="Q614" s="1127"/>
      <c r="R614" s="1128"/>
      <c r="S614" s="1128"/>
      <c r="T614" s="1128"/>
      <c r="U614" s="1128"/>
      <c r="V614" s="1128"/>
      <c r="W614" s="74"/>
      <c r="X614" s="74"/>
      <c r="Y614" s="684">
        <v>45891</v>
      </c>
      <c r="Z614" s="74">
        <v>2621.85</v>
      </c>
    </row>
    <row r="615" spans="9:26">
      <c r="I615" s="133">
        <v>46058</v>
      </c>
      <c r="J615" s="134">
        <v>0.45624999999999999</v>
      </c>
      <c r="K615" s="135">
        <v>3.2</v>
      </c>
      <c r="L615" s="75">
        <v>1</v>
      </c>
      <c r="M615" s="75" t="s">
        <v>638</v>
      </c>
      <c r="N615" s="75" t="s">
        <v>146</v>
      </c>
      <c r="O615" s="75"/>
      <c r="P615" s="74"/>
      <c r="Q615" s="1127"/>
      <c r="R615" s="1128"/>
      <c r="S615" s="1128"/>
      <c r="T615" s="1128"/>
      <c r="U615" s="1128"/>
      <c r="V615" s="1128"/>
      <c r="W615" s="74"/>
      <c r="X615" s="74"/>
      <c r="Y615" s="684" t="s">
        <v>146</v>
      </c>
      <c r="Z615" s="74">
        <v>291.5</v>
      </c>
    </row>
    <row r="616" spans="9:26">
      <c r="I616" s="133">
        <v>46058</v>
      </c>
      <c r="J616" s="134">
        <v>0.46180555555555558</v>
      </c>
      <c r="K616" s="135">
        <v>3</v>
      </c>
      <c r="L616" s="75">
        <v>2</v>
      </c>
      <c r="M616" s="75" t="s">
        <v>638</v>
      </c>
      <c r="N616" s="75" t="s">
        <v>146</v>
      </c>
      <c r="O616" s="75"/>
      <c r="P616" s="74"/>
      <c r="Q616" s="1127"/>
      <c r="R616" s="1128"/>
      <c r="S616" s="1128"/>
      <c r="T616" s="1128"/>
      <c r="U616" s="1128"/>
      <c r="V616" s="1128"/>
      <c r="W616" s="74"/>
      <c r="X616" s="74"/>
      <c r="Y616" s="684" t="s">
        <v>494</v>
      </c>
      <c r="Z616" s="74">
        <v>554.6</v>
      </c>
    </row>
    <row r="617" spans="9:26">
      <c r="I617" s="133">
        <v>46058</v>
      </c>
      <c r="J617" s="134">
        <v>0.47916666666666669</v>
      </c>
      <c r="K617" s="135">
        <v>8.3000000000000007</v>
      </c>
      <c r="L617" s="75">
        <v>2</v>
      </c>
      <c r="M617" s="75" t="s">
        <v>638</v>
      </c>
      <c r="N617" s="75" t="s">
        <v>146</v>
      </c>
      <c r="O617" s="75"/>
      <c r="P617" s="74"/>
      <c r="Q617" s="1127"/>
      <c r="R617" s="1128"/>
      <c r="S617" s="1128"/>
      <c r="T617" s="1128"/>
      <c r="U617" s="1128"/>
      <c r="V617" s="1128"/>
      <c r="W617" s="74"/>
      <c r="X617" s="74"/>
      <c r="Y617" s="684" t="s">
        <v>497</v>
      </c>
      <c r="Z617" s="74">
        <v>1775.75</v>
      </c>
    </row>
    <row r="618" spans="9:26">
      <c r="I618" s="133">
        <v>46058</v>
      </c>
      <c r="J618" s="134">
        <v>0.49444444444444452</v>
      </c>
      <c r="K618" s="135">
        <v>1.7</v>
      </c>
      <c r="L618" s="75">
        <v>1</v>
      </c>
      <c r="M618" s="75" t="s">
        <v>638</v>
      </c>
      <c r="N618" s="75" t="s">
        <v>146</v>
      </c>
      <c r="O618" s="75"/>
      <c r="P618" s="74"/>
      <c r="Q618" s="1127"/>
      <c r="R618" s="1128"/>
      <c r="S618" s="1128"/>
      <c r="T618" s="1128"/>
      <c r="U618" s="1128"/>
      <c r="V618" s="1128"/>
      <c r="W618" s="74"/>
      <c r="X618" s="74"/>
      <c r="Y618" s="684">
        <v>45892</v>
      </c>
      <c r="Z618" s="74">
        <v>2576.75</v>
      </c>
    </row>
    <row r="619" spans="9:26">
      <c r="I619" s="133">
        <v>46058</v>
      </c>
      <c r="J619" s="134">
        <v>0.50902777777777775</v>
      </c>
      <c r="K619" s="135">
        <v>3.25</v>
      </c>
      <c r="L619" s="75">
        <v>2</v>
      </c>
      <c r="M619" s="75" t="s">
        <v>638</v>
      </c>
      <c r="N619" s="75" t="s">
        <v>494</v>
      </c>
      <c r="O619" s="75"/>
      <c r="P619" s="74"/>
      <c r="Q619" s="1127"/>
      <c r="R619" s="1128"/>
      <c r="S619" s="1128"/>
      <c r="T619" s="1128"/>
      <c r="U619" s="1128"/>
      <c r="V619" s="1128"/>
      <c r="W619" s="74"/>
      <c r="X619" s="74"/>
      <c r="Y619" s="684" t="s">
        <v>146</v>
      </c>
      <c r="Z619" s="74">
        <v>232.4</v>
      </c>
    </row>
    <row r="620" spans="9:26">
      <c r="I620" s="133">
        <v>46058</v>
      </c>
      <c r="J620" s="134">
        <v>0.53680555555555554</v>
      </c>
      <c r="K620" s="135">
        <v>2.15</v>
      </c>
      <c r="L620" s="75">
        <v>1</v>
      </c>
      <c r="M620" s="75" t="s">
        <v>638</v>
      </c>
      <c r="N620" s="75" t="s">
        <v>494</v>
      </c>
      <c r="O620" s="75"/>
      <c r="P620" s="74"/>
      <c r="Q620" s="1127"/>
      <c r="R620" s="1128"/>
      <c r="S620" s="1128"/>
      <c r="T620" s="1128"/>
      <c r="U620" s="1128"/>
      <c r="V620" s="1128"/>
      <c r="W620" s="74"/>
      <c r="X620" s="74"/>
      <c r="Y620" s="684" t="s">
        <v>494</v>
      </c>
      <c r="Z620" s="74">
        <v>674</v>
      </c>
    </row>
    <row r="621" spans="9:26">
      <c r="I621" s="133">
        <v>46058</v>
      </c>
      <c r="J621" s="134">
        <v>0.60833333333333328</v>
      </c>
      <c r="K621" s="135">
        <v>6.9</v>
      </c>
      <c r="L621" s="75">
        <v>1</v>
      </c>
      <c r="M621" s="75" t="s">
        <v>638</v>
      </c>
      <c r="N621" s="75" t="s">
        <v>494</v>
      </c>
      <c r="O621" s="75"/>
      <c r="P621" s="74"/>
      <c r="Q621" s="1127"/>
      <c r="R621" s="1128"/>
      <c r="S621" s="1128"/>
      <c r="T621" s="1128"/>
      <c r="U621" s="1128"/>
      <c r="V621" s="1128"/>
      <c r="W621" s="74"/>
      <c r="X621" s="74"/>
      <c r="Y621" s="684" t="s">
        <v>497</v>
      </c>
      <c r="Z621" s="74">
        <v>1670.35</v>
      </c>
    </row>
    <row r="622" spans="9:26">
      <c r="I622" s="133">
        <v>46058</v>
      </c>
      <c r="J622" s="134">
        <v>0.61458333333333337</v>
      </c>
      <c r="K622" s="135">
        <v>16.55</v>
      </c>
      <c r="L622" s="75">
        <v>1</v>
      </c>
      <c r="M622" s="75" t="s">
        <v>638</v>
      </c>
      <c r="N622" s="75" t="s">
        <v>494</v>
      </c>
      <c r="O622" s="75"/>
      <c r="P622" s="74"/>
      <c r="Q622" s="1127"/>
      <c r="R622" s="1128"/>
      <c r="S622" s="1128"/>
      <c r="T622" s="1128"/>
      <c r="U622" s="1128"/>
      <c r="V622" s="1128"/>
      <c r="W622" s="74"/>
      <c r="X622" s="74"/>
      <c r="Y622" s="684">
        <v>45893</v>
      </c>
      <c r="Z622" s="74">
        <v>1859.59</v>
      </c>
    </row>
    <row r="623" spans="9:26">
      <c r="I623" s="133">
        <v>46058</v>
      </c>
      <c r="J623" s="134">
        <v>0.61944444444444446</v>
      </c>
      <c r="K623" s="135">
        <v>8.15</v>
      </c>
      <c r="L623" s="75">
        <v>5</v>
      </c>
      <c r="M623" s="75" t="s">
        <v>638</v>
      </c>
      <c r="N623" s="75" t="s">
        <v>494</v>
      </c>
      <c r="O623" s="75"/>
      <c r="P623" s="74"/>
      <c r="Q623" s="1127"/>
      <c r="R623" s="1128"/>
      <c r="S623" s="1128"/>
      <c r="T623" s="1128"/>
      <c r="U623" s="1128"/>
      <c r="V623" s="1128"/>
      <c r="W623" s="74"/>
      <c r="X623" s="74"/>
      <c r="Y623" s="684" t="s">
        <v>146</v>
      </c>
      <c r="Z623" s="74">
        <v>368.4</v>
      </c>
    </row>
    <row r="624" spans="9:26">
      <c r="I624" s="133">
        <v>46058</v>
      </c>
      <c r="J624" s="134">
        <v>0.64027777777777772</v>
      </c>
      <c r="K624" s="135">
        <v>23.75</v>
      </c>
      <c r="L624" s="75">
        <v>1</v>
      </c>
      <c r="M624" s="75" t="s">
        <v>638</v>
      </c>
      <c r="N624" s="75" t="s">
        <v>494</v>
      </c>
      <c r="O624" s="75"/>
      <c r="P624" s="74"/>
      <c r="Q624" s="1127"/>
      <c r="R624" s="1128"/>
      <c r="S624" s="1128"/>
      <c r="T624" s="1128"/>
      <c r="U624" s="1128"/>
      <c r="V624" s="1128"/>
      <c r="W624" s="74"/>
      <c r="X624" s="74"/>
      <c r="Y624" s="684" t="s">
        <v>494</v>
      </c>
      <c r="Z624" s="74">
        <v>761.64</v>
      </c>
    </row>
    <row r="625" spans="9:26">
      <c r="I625" s="133">
        <v>46058</v>
      </c>
      <c r="J625" s="134">
        <v>0.65972222222222221</v>
      </c>
      <c r="K625" s="135">
        <v>1.4</v>
      </c>
      <c r="L625" s="75">
        <v>1</v>
      </c>
      <c r="M625" s="75" t="s">
        <v>638</v>
      </c>
      <c r="N625" s="75" t="s">
        <v>494</v>
      </c>
      <c r="O625" s="75"/>
      <c r="P625" s="74"/>
      <c r="Q625" s="1127"/>
      <c r="R625" s="1128"/>
      <c r="S625" s="1128"/>
      <c r="T625" s="1128"/>
      <c r="U625" s="1128"/>
      <c r="V625" s="1128"/>
      <c r="W625" s="74"/>
      <c r="X625" s="74"/>
      <c r="Y625" s="684" t="s">
        <v>497</v>
      </c>
      <c r="Z625" s="74">
        <v>729.55</v>
      </c>
    </row>
    <row r="626" spans="9:26">
      <c r="I626" s="133">
        <v>46058</v>
      </c>
      <c r="J626" s="134">
        <v>0.66666666666666663</v>
      </c>
      <c r="K626" s="135">
        <v>5.75</v>
      </c>
      <c r="L626" s="75">
        <v>1</v>
      </c>
      <c r="M626" s="75" t="s">
        <v>638</v>
      </c>
      <c r="N626" s="75" t="s">
        <v>494</v>
      </c>
      <c r="O626" s="75"/>
      <c r="P626" s="74"/>
      <c r="Q626" s="1127"/>
      <c r="R626" s="1128"/>
      <c r="S626" s="1128"/>
      <c r="T626" s="1128"/>
      <c r="U626" s="1128"/>
      <c r="V626" s="1128"/>
      <c r="W626" s="74"/>
      <c r="X626" s="74"/>
      <c r="Y626" s="684">
        <v>45896</v>
      </c>
      <c r="Z626" s="74">
        <v>1645.85</v>
      </c>
    </row>
    <row r="627" spans="9:26">
      <c r="I627" s="133">
        <v>46058</v>
      </c>
      <c r="J627" s="134">
        <v>0.66805555555555551</v>
      </c>
      <c r="K627" s="135">
        <v>29.8</v>
      </c>
      <c r="L627" s="75">
        <v>2</v>
      </c>
      <c r="M627" s="75" t="s">
        <v>638</v>
      </c>
      <c r="N627" s="75" t="s">
        <v>494</v>
      </c>
      <c r="O627" s="75"/>
      <c r="P627" s="74"/>
      <c r="Q627" s="1127"/>
      <c r="R627" s="1128"/>
      <c r="S627" s="1128"/>
      <c r="T627" s="1128"/>
      <c r="U627" s="1128"/>
      <c r="V627" s="1128"/>
      <c r="W627" s="74"/>
      <c r="X627" s="74"/>
      <c r="Y627" s="684" t="s">
        <v>146</v>
      </c>
      <c r="Z627" s="74">
        <v>171.05</v>
      </c>
    </row>
    <row r="628" spans="9:26">
      <c r="I628" s="133">
        <v>46058</v>
      </c>
      <c r="J628" s="134">
        <v>0.81458333333333333</v>
      </c>
      <c r="K628" s="135">
        <v>5.55</v>
      </c>
      <c r="L628" s="75">
        <v>1</v>
      </c>
      <c r="M628" s="75" t="s">
        <v>638</v>
      </c>
      <c r="N628" s="75" t="s">
        <v>497</v>
      </c>
      <c r="O628" s="75"/>
      <c r="P628" s="74"/>
      <c r="Q628" s="1127"/>
      <c r="R628" s="1128"/>
      <c r="S628" s="1128"/>
      <c r="T628" s="1128"/>
      <c r="U628" s="1128"/>
      <c r="V628" s="1128"/>
      <c r="W628" s="74"/>
      <c r="X628" s="74"/>
      <c r="Y628" s="684" t="s">
        <v>494</v>
      </c>
      <c r="Z628" s="74">
        <v>821.55</v>
      </c>
    </row>
    <row r="629" spans="9:26">
      <c r="I629" s="133">
        <v>46058</v>
      </c>
      <c r="J629" s="134">
        <v>0.8520833333333333</v>
      </c>
      <c r="K629" s="135">
        <v>3.35</v>
      </c>
      <c r="L629" s="75">
        <v>1</v>
      </c>
      <c r="M629" s="75" t="s">
        <v>638</v>
      </c>
      <c r="N629" s="75" t="s">
        <v>497</v>
      </c>
      <c r="O629" s="75"/>
      <c r="P629" s="74"/>
      <c r="Q629" s="1127"/>
      <c r="R629" s="1128"/>
      <c r="S629" s="1128"/>
      <c r="T629" s="1128"/>
      <c r="U629" s="1128"/>
      <c r="V629" s="1128"/>
      <c r="W629" s="74"/>
      <c r="X629" s="74"/>
      <c r="Y629" s="684" t="s">
        <v>497</v>
      </c>
      <c r="Z629" s="74">
        <v>653.25</v>
      </c>
    </row>
    <row r="630" spans="9:26">
      <c r="I630" s="133">
        <v>46058</v>
      </c>
      <c r="J630" s="134">
        <v>0.93541666666666667</v>
      </c>
      <c r="K630" s="135">
        <v>2.75</v>
      </c>
      <c r="L630" s="75">
        <v>1</v>
      </c>
      <c r="M630" s="75" t="s">
        <v>638</v>
      </c>
      <c r="N630" s="75" t="s">
        <v>497</v>
      </c>
      <c r="O630" s="75"/>
      <c r="P630" s="74"/>
      <c r="Q630" s="1127"/>
      <c r="R630" s="1128"/>
      <c r="S630" s="1128"/>
      <c r="T630" s="1128"/>
      <c r="U630" s="1128"/>
      <c r="V630" s="1128"/>
      <c r="W630" s="74"/>
      <c r="X630" s="74"/>
      <c r="Y630" s="684">
        <v>45897</v>
      </c>
      <c r="Z630" s="74">
        <v>968.7</v>
      </c>
    </row>
    <row r="631" spans="9:26">
      <c r="I631" s="133">
        <v>46058</v>
      </c>
      <c r="J631" s="134">
        <v>0.95833333333333337</v>
      </c>
      <c r="K631" s="135">
        <v>65.2</v>
      </c>
      <c r="L631" s="75">
        <v>3</v>
      </c>
      <c r="M631" s="75" t="s">
        <v>638</v>
      </c>
      <c r="N631" s="75" t="s">
        <v>497</v>
      </c>
      <c r="O631" s="75"/>
      <c r="P631" s="74"/>
      <c r="Q631" s="1127"/>
      <c r="R631" s="1128"/>
      <c r="S631" s="1128"/>
      <c r="T631" s="1128"/>
      <c r="U631" s="1128"/>
      <c r="V631" s="1128"/>
      <c r="W631" s="74"/>
      <c r="X631" s="74"/>
      <c r="Y631" s="684" t="s">
        <v>146</v>
      </c>
      <c r="Z631" s="74">
        <v>169.9</v>
      </c>
    </row>
    <row r="632" spans="9:26">
      <c r="I632" s="133">
        <v>46059</v>
      </c>
      <c r="J632" s="134">
        <v>0.2986111111111111</v>
      </c>
      <c r="K632" s="135">
        <v>3.4</v>
      </c>
      <c r="L632" s="75">
        <v>1</v>
      </c>
      <c r="M632" s="75" t="s">
        <v>633</v>
      </c>
      <c r="N632" s="75" t="s">
        <v>146</v>
      </c>
      <c r="O632" s="75"/>
      <c r="P632" s="74"/>
      <c r="Q632" s="1127"/>
      <c r="R632" s="1128"/>
      <c r="S632" s="1128"/>
      <c r="T632" s="1128"/>
      <c r="U632" s="1128"/>
      <c r="V632" s="1128"/>
      <c r="W632" s="74"/>
      <c r="X632" s="74"/>
      <c r="Y632" s="684" t="s">
        <v>494</v>
      </c>
      <c r="Z632" s="74">
        <v>358.65</v>
      </c>
    </row>
    <row r="633" spans="9:26">
      <c r="I633" s="133">
        <v>46059</v>
      </c>
      <c r="J633" s="134">
        <v>0.30208333333333331</v>
      </c>
      <c r="K633" s="135">
        <v>5.05</v>
      </c>
      <c r="L633" s="75">
        <v>2</v>
      </c>
      <c r="M633" s="75" t="s">
        <v>633</v>
      </c>
      <c r="N633" s="75" t="s">
        <v>146</v>
      </c>
      <c r="O633" s="75"/>
      <c r="P633" s="74"/>
      <c r="Q633" s="1127"/>
      <c r="R633" s="1128"/>
      <c r="S633" s="1128"/>
      <c r="T633" s="1128"/>
      <c r="U633" s="1128"/>
      <c r="V633" s="1128"/>
      <c r="W633" s="74"/>
      <c r="X633" s="74"/>
      <c r="Y633" s="684" t="s">
        <v>497</v>
      </c>
      <c r="Z633" s="74">
        <v>440.15</v>
      </c>
    </row>
    <row r="634" spans="9:26">
      <c r="I634" s="133">
        <v>46059</v>
      </c>
      <c r="J634" s="134">
        <v>0.3125</v>
      </c>
      <c r="K634" s="135">
        <v>3.2</v>
      </c>
      <c r="L634" s="75">
        <v>1</v>
      </c>
      <c r="M634" s="75" t="s">
        <v>633</v>
      </c>
      <c r="N634" s="75" t="s">
        <v>146</v>
      </c>
      <c r="O634" s="75"/>
      <c r="P634" s="74"/>
      <c r="Q634" s="1127"/>
      <c r="R634" s="1128"/>
      <c r="S634" s="1128"/>
      <c r="T634" s="1128"/>
      <c r="U634" s="1128"/>
      <c r="V634" s="1128"/>
      <c r="W634" s="74"/>
      <c r="X634" s="74"/>
      <c r="Y634" s="684">
        <v>45898</v>
      </c>
      <c r="Z634" s="74">
        <v>1938.7</v>
      </c>
    </row>
    <row r="635" spans="9:26">
      <c r="I635" s="133">
        <v>46059</v>
      </c>
      <c r="J635" s="134">
        <v>0.34236111111111112</v>
      </c>
      <c r="K635" s="135">
        <v>2.4500000000000002</v>
      </c>
      <c r="L635" s="75">
        <v>1</v>
      </c>
      <c r="M635" s="75" t="s">
        <v>633</v>
      </c>
      <c r="N635" s="75" t="s">
        <v>146</v>
      </c>
      <c r="O635" s="75"/>
      <c r="P635" s="74"/>
      <c r="Q635" s="1127"/>
      <c r="R635" s="1128"/>
      <c r="S635" s="1128"/>
      <c r="T635" s="1128"/>
      <c r="U635" s="1128"/>
      <c r="V635" s="1128"/>
      <c r="W635" s="74"/>
      <c r="X635" s="74"/>
      <c r="Y635" s="684" t="s">
        <v>146</v>
      </c>
      <c r="Z635" s="74">
        <v>220.55</v>
      </c>
    </row>
    <row r="636" spans="9:26">
      <c r="I636" s="133">
        <v>46059</v>
      </c>
      <c r="J636" s="134">
        <v>0.36944444444444452</v>
      </c>
      <c r="K636" s="135">
        <v>1.7</v>
      </c>
      <c r="L636" s="75">
        <v>1</v>
      </c>
      <c r="M636" s="75" t="s">
        <v>633</v>
      </c>
      <c r="N636" s="75" t="s">
        <v>146</v>
      </c>
      <c r="O636" s="75"/>
      <c r="P636" s="74"/>
      <c r="Q636" s="1127"/>
      <c r="R636" s="1128"/>
      <c r="S636" s="1128"/>
      <c r="T636" s="1128"/>
      <c r="U636" s="1128"/>
      <c r="V636" s="1128"/>
      <c r="W636" s="74"/>
      <c r="X636" s="74"/>
      <c r="Y636" s="684" t="s">
        <v>494</v>
      </c>
      <c r="Z636" s="74">
        <v>317.35000000000002</v>
      </c>
    </row>
    <row r="637" spans="9:26">
      <c r="I637" s="133">
        <v>46059</v>
      </c>
      <c r="J637" s="134">
        <v>0.39861111111111108</v>
      </c>
      <c r="K637" s="135">
        <v>9.5</v>
      </c>
      <c r="L637" s="75">
        <v>2</v>
      </c>
      <c r="M637" s="75" t="s">
        <v>633</v>
      </c>
      <c r="N637" s="75" t="s">
        <v>146</v>
      </c>
      <c r="O637" s="75"/>
      <c r="P637" s="74"/>
      <c r="Q637" s="1127"/>
      <c r="R637" s="1128"/>
      <c r="S637" s="1128"/>
      <c r="T637" s="1128"/>
      <c r="U637" s="1128"/>
      <c r="V637" s="1128"/>
      <c r="W637" s="74"/>
      <c r="X637" s="74"/>
      <c r="Y637" s="684" t="s">
        <v>497</v>
      </c>
      <c r="Z637" s="74">
        <v>1400.8</v>
      </c>
    </row>
    <row r="638" spans="9:26">
      <c r="I638" s="133">
        <v>46059</v>
      </c>
      <c r="J638" s="134">
        <v>0.41180555555555548</v>
      </c>
      <c r="K638" s="135">
        <v>1.95</v>
      </c>
      <c r="L638" s="75">
        <v>1</v>
      </c>
      <c r="M638" s="75" t="s">
        <v>633</v>
      </c>
      <c r="N638" s="75" t="s">
        <v>146</v>
      </c>
      <c r="O638" s="75"/>
      <c r="P638" s="74"/>
      <c r="Q638" s="1127"/>
      <c r="R638" s="1128"/>
      <c r="S638" s="1128"/>
      <c r="T638" s="1128"/>
      <c r="U638" s="1128"/>
      <c r="V638" s="1128"/>
      <c r="W638" s="74"/>
      <c r="X638" s="74"/>
      <c r="Y638" s="684">
        <v>45899</v>
      </c>
      <c r="Z638" s="74">
        <v>2246.75</v>
      </c>
    </row>
    <row r="639" spans="9:26">
      <c r="I639" s="133">
        <v>46059</v>
      </c>
      <c r="J639" s="134">
        <v>0.41319444444444442</v>
      </c>
      <c r="K639" s="135">
        <v>4.3</v>
      </c>
      <c r="L639" s="75">
        <v>2</v>
      </c>
      <c r="M639" s="75" t="s">
        <v>633</v>
      </c>
      <c r="N639" s="75" t="s">
        <v>146</v>
      </c>
      <c r="O639" s="75"/>
      <c r="P639" s="74"/>
      <c r="Q639" s="1127"/>
      <c r="R639" s="1128"/>
      <c r="S639" s="1128"/>
      <c r="T639" s="1128"/>
      <c r="U639" s="1128"/>
      <c r="V639" s="1128"/>
      <c r="W639" s="74"/>
      <c r="X639" s="74"/>
      <c r="Y639" s="684" t="s">
        <v>146</v>
      </c>
      <c r="Z639" s="74">
        <v>174</v>
      </c>
    </row>
    <row r="640" spans="9:26">
      <c r="I640" s="133">
        <v>46059</v>
      </c>
      <c r="J640" s="134">
        <v>0.41458333333333341</v>
      </c>
      <c r="K640" s="135">
        <v>3.2</v>
      </c>
      <c r="L640" s="75">
        <v>1</v>
      </c>
      <c r="M640" s="75" t="s">
        <v>633</v>
      </c>
      <c r="N640" s="75" t="s">
        <v>146</v>
      </c>
      <c r="O640" s="75"/>
      <c r="P640" s="74"/>
      <c r="Q640" s="1127"/>
      <c r="R640" s="1128"/>
      <c r="S640" s="1128"/>
      <c r="T640" s="1128"/>
      <c r="U640" s="1128"/>
      <c r="V640" s="1128"/>
      <c r="W640" s="74"/>
      <c r="X640" s="74"/>
      <c r="Y640" s="684" t="s">
        <v>494</v>
      </c>
      <c r="Z640" s="74">
        <v>1176.9000000000001</v>
      </c>
    </row>
    <row r="641" spans="9:26">
      <c r="I641" s="133">
        <v>46059</v>
      </c>
      <c r="J641" s="134">
        <v>0.41597222222222219</v>
      </c>
      <c r="K641" s="135">
        <v>1.7</v>
      </c>
      <c r="L641" s="75">
        <v>1</v>
      </c>
      <c r="M641" s="75" t="s">
        <v>633</v>
      </c>
      <c r="N641" s="75" t="s">
        <v>146</v>
      </c>
      <c r="O641" s="75"/>
      <c r="P641" s="74"/>
      <c r="Q641" s="1127"/>
      <c r="R641" s="1128"/>
      <c r="S641" s="1128"/>
      <c r="T641" s="1128"/>
      <c r="U641" s="1128"/>
      <c r="V641" s="1128"/>
      <c r="W641" s="74"/>
      <c r="X641" s="74"/>
      <c r="Y641" s="684" t="s">
        <v>497</v>
      </c>
      <c r="Z641" s="74">
        <v>802.1</v>
      </c>
    </row>
    <row r="642" spans="9:26">
      <c r="I642" s="133">
        <v>46059</v>
      </c>
      <c r="J642" s="134">
        <v>0.41597222222222219</v>
      </c>
      <c r="K642" s="135">
        <v>1.4</v>
      </c>
      <c r="L642" s="75">
        <v>1</v>
      </c>
      <c r="M642" s="75" t="s">
        <v>633</v>
      </c>
      <c r="N642" s="75" t="s">
        <v>146</v>
      </c>
      <c r="O642" s="75"/>
      <c r="P642" s="74"/>
      <c r="Q642" s="1127"/>
      <c r="R642" s="1128"/>
      <c r="S642" s="1128"/>
      <c r="T642" s="1128"/>
      <c r="U642" s="1128"/>
      <c r="V642" s="1128"/>
      <c r="W642" s="74"/>
      <c r="X642" s="74"/>
      <c r="Y642" s="684" t="s">
        <v>639</v>
      </c>
      <c r="Z642" s="74">
        <v>93.75</v>
      </c>
    </row>
    <row r="643" spans="9:26">
      <c r="I643" s="133">
        <v>46059</v>
      </c>
      <c r="J643" s="134">
        <v>0.41875000000000001</v>
      </c>
      <c r="K643" s="135">
        <v>10.8</v>
      </c>
      <c r="L643" s="75">
        <v>2</v>
      </c>
      <c r="M643" s="75" t="s">
        <v>633</v>
      </c>
      <c r="N643" s="75" t="s">
        <v>146</v>
      </c>
      <c r="O643" s="75"/>
      <c r="P643" s="74"/>
      <c r="Q643" s="1127"/>
      <c r="R643" s="1128"/>
      <c r="S643" s="1128"/>
      <c r="T643" s="1128"/>
      <c r="U643" s="1128"/>
      <c r="V643" s="1128"/>
      <c r="W643" s="74"/>
      <c r="X643" s="74"/>
      <c r="Y643" s="684">
        <v>45900</v>
      </c>
      <c r="Z643" s="74">
        <v>1801.55</v>
      </c>
    </row>
    <row r="644" spans="9:26">
      <c r="I644" s="133">
        <v>46059</v>
      </c>
      <c r="J644" s="134">
        <v>0.42222222222222222</v>
      </c>
      <c r="K644" s="135">
        <v>2.5499999999999998</v>
      </c>
      <c r="L644" s="75">
        <v>1</v>
      </c>
      <c r="M644" s="75" t="s">
        <v>633</v>
      </c>
      <c r="N644" s="75" t="s">
        <v>146</v>
      </c>
      <c r="O644" s="75"/>
      <c r="P644" s="74"/>
      <c r="Q644" s="1127"/>
      <c r="R644" s="1128"/>
      <c r="S644" s="1128"/>
      <c r="T644" s="1128"/>
      <c r="U644" s="1128"/>
      <c r="V644" s="1128"/>
      <c r="W644" s="74"/>
      <c r="X644" s="74"/>
      <c r="Y644" s="684" t="s">
        <v>146</v>
      </c>
      <c r="Z644" s="74">
        <v>433.25</v>
      </c>
    </row>
    <row r="645" spans="9:26">
      <c r="I645" s="133">
        <v>46059</v>
      </c>
      <c r="J645" s="134">
        <v>0.43958333333333333</v>
      </c>
      <c r="K645" s="135">
        <v>1.7</v>
      </c>
      <c r="L645" s="75">
        <v>1</v>
      </c>
      <c r="M645" s="75" t="s">
        <v>633</v>
      </c>
      <c r="N645" s="75" t="s">
        <v>146</v>
      </c>
      <c r="O645" s="75"/>
      <c r="P645" s="74"/>
      <c r="Q645" s="1127"/>
      <c r="R645" s="1128"/>
      <c r="S645" s="1128"/>
      <c r="T645" s="1128"/>
      <c r="U645" s="1128"/>
      <c r="V645" s="1128"/>
      <c r="W645" s="74"/>
      <c r="X645" s="74"/>
      <c r="Y645" s="684" t="s">
        <v>494</v>
      </c>
      <c r="Z645" s="74">
        <v>1110.3</v>
      </c>
    </row>
    <row r="646" spans="9:26">
      <c r="I646" s="133">
        <v>46059</v>
      </c>
      <c r="J646" s="134">
        <v>0.44166666666666671</v>
      </c>
      <c r="K646" s="135">
        <v>1.4</v>
      </c>
      <c r="L646" s="75">
        <v>1</v>
      </c>
      <c r="M646" s="75" t="s">
        <v>633</v>
      </c>
      <c r="N646" s="75" t="s">
        <v>146</v>
      </c>
      <c r="O646" s="75"/>
      <c r="P646" s="74"/>
      <c r="Q646" s="1127"/>
      <c r="R646" s="1128"/>
      <c r="S646" s="1128"/>
      <c r="T646" s="1128"/>
      <c r="U646" s="1128"/>
      <c r="V646" s="1128"/>
      <c r="W646" s="74"/>
      <c r="X646" s="74"/>
      <c r="Y646" s="684" t="s">
        <v>497</v>
      </c>
      <c r="Z646" s="74">
        <v>258</v>
      </c>
    </row>
    <row r="647" spans="9:26">
      <c r="I647" s="133">
        <v>46059</v>
      </c>
      <c r="J647" s="134">
        <v>0.4513888888888889</v>
      </c>
      <c r="K647" s="135">
        <v>3</v>
      </c>
      <c r="L647" s="75">
        <v>2</v>
      </c>
      <c r="M647" s="75" t="s">
        <v>633</v>
      </c>
      <c r="N647" s="75" t="s">
        <v>146</v>
      </c>
      <c r="O647" s="75"/>
      <c r="P647" s="74"/>
      <c r="Q647" s="1127"/>
      <c r="R647" s="1128"/>
      <c r="S647" s="1128"/>
      <c r="T647" s="1128"/>
      <c r="U647" s="1128"/>
      <c r="V647" s="1128"/>
      <c r="W647" s="74"/>
      <c r="X647" s="74"/>
      <c r="Y647" s="684">
        <v>45903</v>
      </c>
      <c r="Z647" s="74">
        <v>1990.88</v>
      </c>
    </row>
    <row r="648" spans="9:26">
      <c r="I648" s="133">
        <v>46059</v>
      </c>
      <c r="J648" s="134">
        <v>0.48958333333333331</v>
      </c>
      <c r="K648" s="135">
        <v>1.5</v>
      </c>
      <c r="L648" s="75">
        <v>1</v>
      </c>
      <c r="M648" s="75" t="s">
        <v>633</v>
      </c>
      <c r="N648" s="75" t="s">
        <v>146</v>
      </c>
      <c r="O648" s="75"/>
      <c r="P648" s="74"/>
      <c r="Q648" s="1127"/>
      <c r="R648" s="1128"/>
      <c r="S648" s="1128"/>
      <c r="T648" s="1128"/>
      <c r="U648" s="1128"/>
      <c r="V648" s="1128"/>
      <c r="W648" s="74"/>
      <c r="X648" s="74"/>
      <c r="Y648" s="684" t="s">
        <v>146</v>
      </c>
      <c r="Z648" s="74">
        <v>241.4</v>
      </c>
    </row>
    <row r="649" spans="9:26">
      <c r="I649" s="133">
        <v>46059</v>
      </c>
      <c r="J649" s="134">
        <v>0.4909722222222222</v>
      </c>
      <c r="K649" s="135">
        <v>1.7</v>
      </c>
      <c r="L649" s="75">
        <v>1</v>
      </c>
      <c r="M649" s="75" t="s">
        <v>633</v>
      </c>
      <c r="N649" s="75" t="s">
        <v>146</v>
      </c>
      <c r="O649" s="75"/>
      <c r="P649" s="74"/>
      <c r="Q649" s="1127"/>
      <c r="R649" s="1128"/>
      <c r="S649" s="1128"/>
      <c r="T649" s="1128"/>
      <c r="U649" s="1128"/>
      <c r="V649" s="1128"/>
      <c r="W649" s="74"/>
      <c r="X649" s="74"/>
      <c r="Y649" s="684" t="s">
        <v>494</v>
      </c>
      <c r="Z649" s="74">
        <v>1142.75</v>
      </c>
    </row>
    <row r="650" spans="9:26">
      <c r="I650" s="133">
        <v>46059</v>
      </c>
      <c r="J650" s="134">
        <v>0.52569444444444446</v>
      </c>
      <c r="K650" s="135">
        <v>3</v>
      </c>
      <c r="L650" s="75">
        <v>2</v>
      </c>
      <c r="M650" s="75" t="s">
        <v>633</v>
      </c>
      <c r="N650" s="75" t="s">
        <v>494</v>
      </c>
      <c r="O650" s="75"/>
      <c r="P650" s="74"/>
      <c r="Q650" s="1127"/>
      <c r="R650" s="1128"/>
      <c r="S650" s="1128"/>
      <c r="T650" s="1128"/>
      <c r="U650" s="1128"/>
      <c r="V650" s="1128"/>
      <c r="W650" s="74"/>
      <c r="X650" s="74"/>
      <c r="Y650" s="684" t="s">
        <v>497</v>
      </c>
      <c r="Z650" s="74">
        <v>606.73</v>
      </c>
    </row>
    <row r="651" spans="9:26">
      <c r="I651" s="133">
        <v>46059</v>
      </c>
      <c r="J651" s="134">
        <v>0.53402777777777777</v>
      </c>
      <c r="K651" s="135">
        <v>2.65</v>
      </c>
      <c r="L651" s="75">
        <v>1</v>
      </c>
      <c r="M651" s="75" t="s">
        <v>633</v>
      </c>
      <c r="N651" s="75" t="s">
        <v>494</v>
      </c>
      <c r="O651" s="75"/>
      <c r="P651" s="74"/>
      <c r="Q651" s="1127"/>
      <c r="R651" s="1128"/>
      <c r="S651" s="1128"/>
      <c r="T651" s="1128"/>
      <c r="U651" s="1128"/>
      <c r="V651" s="1128"/>
      <c r="W651" s="74"/>
      <c r="X651" s="74"/>
      <c r="Y651" s="684">
        <v>45904</v>
      </c>
      <c r="Z651" s="74">
        <v>1210.7</v>
      </c>
    </row>
    <row r="652" spans="9:26">
      <c r="I652" s="133">
        <v>46059</v>
      </c>
      <c r="J652" s="134">
        <v>0.55694444444444446</v>
      </c>
      <c r="K652" s="135">
        <v>2.5</v>
      </c>
      <c r="L652" s="75">
        <v>1</v>
      </c>
      <c r="M652" s="75" t="s">
        <v>633</v>
      </c>
      <c r="N652" s="75" t="s">
        <v>494</v>
      </c>
      <c r="O652" s="75"/>
      <c r="P652" s="74"/>
      <c r="Q652" s="1127"/>
      <c r="R652" s="1128"/>
      <c r="S652" s="1128"/>
      <c r="T652" s="1128"/>
      <c r="U652" s="1128"/>
      <c r="V652" s="1128"/>
      <c r="W652" s="74"/>
      <c r="X652" s="74"/>
      <c r="Y652" s="684" t="s">
        <v>146</v>
      </c>
      <c r="Z652" s="74">
        <v>208.75</v>
      </c>
    </row>
    <row r="653" spans="9:26">
      <c r="I653" s="133">
        <v>46059</v>
      </c>
      <c r="J653" s="134">
        <v>0.63958333333333328</v>
      </c>
      <c r="K653" s="135">
        <v>24.45</v>
      </c>
      <c r="L653" s="75">
        <v>2</v>
      </c>
      <c r="M653" s="75" t="s">
        <v>633</v>
      </c>
      <c r="N653" s="75" t="s">
        <v>494</v>
      </c>
      <c r="O653" s="75"/>
      <c r="P653" s="74"/>
      <c r="Q653" s="1127"/>
      <c r="R653" s="1128"/>
      <c r="S653" s="1128"/>
      <c r="T653" s="1128"/>
      <c r="U653" s="1128"/>
      <c r="V653" s="1128"/>
      <c r="W653" s="74"/>
      <c r="X653" s="74"/>
      <c r="Y653" s="684" t="s">
        <v>494</v>
      </c>
      <c r="Z653" s="74">
        <v>667.85</v>
      </c>
    </row>
    <row r="654" spans="9:26">
      <c r="I654" s="133">
        <v>46059</v>
      </c>
      <c r="J654" s="134">
        <v>0.64375000000000004</v>
      </c>
      <c r="K654" s="135">
        <v>1.55</v>
      </c>
      <c r="L654" s="75">
        <v>1</v>
      </c>
      <c r="M654" s="75" t="s">
        <v>633</v>
      </c>
      <c r="N654" s="75" t="s">
        <v>494</v>
      </c>
      <c r="O654" s="75"/>
      <c r="P654" s="74"/>
      <c r="Q654" s="1127"/>
      <c r="R654" s="1128"/>
      <c r="S654" s="1128"/>
      <c r="T654" s="1128"/>
      <c r="U654" s="1128"/>
      <c r="V654" s="1128"/>
      <c r="W654" s="74"/>
      <c r="X654" s="74"/>
      <c r="Y654" s="684" t="s">
        <v>497</v>
      </c>
      <c r="Z654" s="74">
        <v>334.1</v>
      </c>
    </row>
    <row r="655" spans="9:26">
      <c r="I655" s="133">
        <v>46059</v>
      </c>
      <c r="J655" s="134">
        <v>0.65833333333333333</v>
      </c>
      <c r="K655" s="135">
        <v>53.75</v>
      </c>
      <c r="L655" s="75">
        <v>3</v>
      </c>
      <c r="M655" s="75" t="s">
        <v>633</v>
      </c>
      <c r="N655" s="75" t="s">
        <v>494</v>
      </c>
      <c r="O655" s="75"/>
      <c r="P655" s="74"/>
      <c r="Q655" s="1127"/>
      <c r="R655" s="1128"/>
      <c r="S655" s="1128"/>
      <c r="T655" s="1128"/>
      <c r="U655" s="1128"/>
      <c r="V655" s="1128"/>
      <c r="W655" s="74"/>
      <c r="X655" s="74"/>
      <c r="Y655" s="684">
        <v>45905</v>
      </c>
      <c r="Z655" s="74">
        <v>1674</v>
      </c>
    </row>
    <row r="656" spans="9:26">
      <c r="I656" s="133">
        <v>46060</v>
      </c>
      <c r="J656" s="134">
        <v>0.36944444444444452</v>
      </c>
      <c r="K656" s="135">
        <v>3.95</v>
      </c>
      <c r="L656" s="75">
        <v>1</v>
      </c>
      <c r="M656" s="75" t="s">
        <v>635</v>
      </c>
      <c r="N656" s="75" t="s">
        <v>146</v>
      </c>
      <c r="O656" s="75"/>
      <c r="P656" s="74"/>
      <c r="Q656" s="1127"/>
      <c r="R656" s="1128"/>
      <c r="S656" s="1128"/>
      <c r="T656" s="1128"/>
      <c r="U656" s="1128"/>
      <c r="V656" s="1128"/>
      <c r="W656" s="74"/>
      <c r="X656" s="74"/>
      <c r="Y656" s="684" t="s">
        <v>146</v>
      </c>
      <c r="Z656" s="74">
        <v>125.3</v>
      </c>
    </row>
    <row r="657" spans="9:26">
      <c r="I657" s="133">
        <v>46060</v>
      </c>
      <c r="J657" s="134">
        <v>0.37361111111111112</v>
      </c>
      <c r="K657" s="135">
        <v>1.4</v>
      </c>
      <c r="L657" s="75">
        <v>1</v>
      </c>
      <c r="M657" s="75" t="s">
        <v>635</v>
      </c>
      <c r="N657" s="75" t="s">
        <v>146</v>
      </c>
      <c r="O657" s="75"/>
      <c r="P657" s="74"/>
      <c r="Q657" s="1127"/>
      <c r="R657" s="1128"/>
      <c r="S657" s="1128"/>
      <c r="T657" s="1128"/>
      <c r="U657" s="1128"/>
      <c r="V657" s="1128"/>
      <c r="W657" s="74"/>
      <c r="X657" s="74"/>
      <c r="Y657" s="684" t="s">
        <v>494</v>
      </c>
      <c r="Z657" s="74">
        <v>502.55</v>
      </c>
    </row>
    <row r="658" spans="9:26">
      <c r="I658" s="133">
        <v>46060</v>
      </c>
      <c r="J658" s="134">
        <v>0.39513888888888887</v>
      </c>
      <c r="K658" s="135">
        <v>6.55</v>
      </c>
      <c r="L658" s="75">
        <v>1</v>
      </c>
      <c r="M658" s="75" t="s">
        <v>635</v>
      </c>
      <c r="N658" s="75" t="s">
        <v>146</v>
      </c>
      <c r="O658" s="75"/>
      <c r="P658" s="74"/>
      <c r="Q658" s="1127"/>
      <c r="R658" s="1128"/>
      <c r="S658" s="1128"/>
      <c r="T658" s="1128"/>
      <c r="U658" s="1128"/>
      <c r="V658" s="1128"/>
      <c r="W658" s="74"/>
      <c r="X658" s="74"/>
      <c r="Y658" s="684" t="s">
        <v>497</v>
      </c>
      <c r="Z658" s="74">
        <v>1046.1500000000001</v>
      </c>
    </row>
    <row r="659" spans="9:26">
      <c r="I659" s="133">
        <v>46060</v>
      </c>
      <c r="J659" s="134">
        <v>0.40555555555555561</v>
      </c>
      <c r="K659" s="135">
        <v>6.1</v>
      </c>
      <c r="L659" s="75">
        <v>1</v>
      </c>
      <c r="M659" s="75" t="s">
        <v>635</v>
      </c>
      <c r="N659" s="75" t="s">
        <v>146</v>
      </c>
      <c r="O659" s="75"/>
      <c r="P659" s="74"/>
      <c r="Q659" s="1127"/>
      <c r="R659" s="1128"/>
      <c r="S659" s="1128"/>
      <c r="T659" s="1128"/>
      <c r="U659" s="1128"/>
      <c r="V659" s="1128"/>
      <c r="W659" s="74"/>
      <c r="X659" s="74"/>
      <c r="Y659" s="684">
        <v>45906</v>
      </c>
      <c r="Z659" s="74">
        <v>1886.46</v>
      </c>
    </row>
    <row r="660" spans="9:26">
      <c r="I660" s="133">
        <v>46060</v>
      </c>
      <c r="J660" s="134">
        <v>0.42986111111111108</v>
      </c>
      <c r="K660" s="135">
        <v>3.4</v>
      </c>
      <c r="L660" s="75">
        <v>2</v>
      </c>
      <c r="M660" s="75" t="s">
        <v>635</v>
      </c>
      <c r="N660" s="75" t="s">
        <v>146</v>
      </c>
      <c r="O660" s="75"/>
      <c r="P660" s="74"/>
      <c r="Q660" s="1127"/>
      <c r="R660" s="1128"/>
      <c r="S660" s="1128"/>
      <c r="T660" s="1128"/>
      <c r="U660" s="1128"/>
      <c r="V660" s="1128"/>
      <c r="W660" s="74"/>
      <c r="X660" s="74"/>
      <c r="Y660" s="684" t="s">
        <v>146</v>
      </c>
      <c r="Z660" s="74">
        <v>224.2</v>
      </c>
    </row>
    <row r="661" spans="9:26">
      <c r="I661" s="133">
        <v>46060</v>
      </c>
      <c r="J661" s="134">
        <v>0.43263888888888891</v>
      </c>
      <c r="K661" s="135">
        <v>1.7</v>
      </c>
      <c r="L661" s="75">
        <v>1</v>
      </c>
      <c r="M661" s="75" t="s">
        <v>635</v>
      </c>
      <c r="N661" s="75" t="s">
        <v>146</v>
      </c>
      <c r="O661" s="75"/>
      <c r="P661" s="74"/>
      <c r="Q661" s="1127"/>
      <c r="R661" s="1128"/>
      <c r="S661" s="1128"/>
      <c r="T661" s="1128"/>
      <c r="U661" s="1128"/>
      <c r="V661" s="1128"/>
      <c r="W661" s="74"/>
      <c r="X661" s="74"/>
      <c r="Y661" s="684" t="s">
        <v>494</v>
      </c>
      <c r="Z661" s="74">
        <v>506.65</v>
      </c>
    </row>
    <row r="662" spans="9:26">
      <c r="I662" s="133">
        <v>46060</v>
      </c>
      <c r="J662" s="134">
        <v>0.45208333333333328</v>
      </c>
      <c r="K662" s="135">
        <v>2.7</v>
      </c>
      <c r="L662" s="75">
        <v>1</v>
      </c>
      <c r="M662" s="75" t="s">
        <v>635</v>
      </c>
      <c r="N662" s="75" t="s">
        <v>146</v>
      </c>
      <c r="O662" s="75"/>
      <c r="P662" s="74"/>
      <c r="Q662" s="1127"/>
      <c r="R662" s="1128"/>
      <c r="S662" s="1128"/>
      <c r="T662" s="1128"/>
      <c r="U662" s="1128"/>
      <c r="V662" s="1128"/>
      <c r="W662" s="74"/>
      <c r="X662" s="74"/>
      <c r="Y662" s="684" t="s">
        <v>497</v>
      </c>
      <c r="Z662" s="74">
        <v>1155.6099999999999</v>
      </c>
    </row>
    <row r="663" spans="9:26">
      <c r="I663" s="133">
        <v>46060</v>
      </c>
      <c r="J663" s="134">
        <v>0.45277777777777778</v>
      </c>
      <c r="K663" s="135">
        <v>3</v>
      </c>
      <c r="L663" s="75">
        <v>2</v>
      </c>
      <c r="M663" s="75" t="s">
        <v>635</v>
      </c>
      <c r="N663" s="75" t="s">
        <v>146</v>
      </c>
      <c r="O663" s="75"/>
      <c r="P663" s="74"/>
      <c r="Q663" s="1127"/>
      <c r="R663" s="1128"/>
      <c r="S663" s="1128"/>
      <c r="T663" s="1128"/>
      <c r="U663" s="1128"/>
      <c r="V663" s="1128"/>
      <c r="W663" s="74"/>
      <c r="X663" s="74"/>
      <c r="Y663" s="684">
        <v>45907</v>
      </c>
      <c r="Z663" s="74">
        <v>1721.39</v>
      </c>
    </row>
    <row r="664" spans="9:26">
      <c r="I664" s="133">
        <v>46060</v>
      </c>
      <c r="J664" s="134">
        <v>0.46944444444444439</v>
      </c>
      <c r="K664" s="135">
        <v>5.4</v>
      </c>
      <c r="L664" s="75">
        <v>1</v>
      </c>
      <c r="M664" s="75" t="s">
        <v>635</v>
      </c>
      <c r="N664" s="75" t="s">
        <v>146</v>
      </c>
      <c r="O664" s="75"/>
      <c r="P664" s="74"/>
      <c r="Q664" s="1127"/>
      <c r="R664" s="1128"/>
      <c r="S664" s="1128"/>
      <c r="T664" s="1128"/>
      <c r="U664" s="1128"/>
      <c r="V664" s="1128"/>
      <c r="W664" s="74"/>
      <c r="X664" s="74"/>
      <c r="Y664" s="684" t="s">
        <v>146</v>
      </c>
      <c r="Z664" s="74">
        <v>274.39999999999998</v>
      </c>
    </row>
    <row r="665" spans="9:26">
      <c r="I665" s="133">
        <v>46060</v>
      </c>
      <c r="J665" s="134">
        <v>0.47152777777777782</v>
      </c>
      <c r="K665" s="135">
        <v>1.55</v>
      </c>
      <c r="L665" s="75">
        <v>1</v>
      </c>
      <c r="M665" s="75" t="s">
        <v>635</v>
      </c>
      <c r="N665" s="75" t="s">
        <v>146</v>
      </c>
      <c r="O665" s="75"/>
      <c r="P665" s="74"/>
      <c r="Q665" s="1127"/>
      <c r="R665" s="1128"/>
      <c r="S665" s="1128"/>
      <c r="T665" s="1128"/>
      <c r="U665" s="1128"/>
      <c r="V665" s="1128"/>
      <c r="W665" s="74"/>
      <c r="X665" s="74"/>
      <c r="Y665" s="684" t="s">
        <v>494</v>
      </c>
      <c r="Z665" s="74">
        <v>826.69</v>
      </c>
    </row>
    <row r="666" spans="9:26">
      <c r="I666" s="133">
        <v>46060</v>
      </c>
      <c r="J666" s="134">
        <v>0.47499999999999998</v>
      </c>
      <c r="K666" s="135">
        <v>14.35</v>
      </c>
      <c r="L666" s="75">
        <v>2</v>
      </c>
      <c r="M666" s="75" t="s">
        <v>635</v>
      </c>
      <c r="N666" s="75" t="s">
        <v>146</v>
      </c>
      <c r="O666" s="75"/>
      <c r="P666" s="74"/>
      <c r="Q666" s="1127"/>
      <c r="R666" s="1128"/>
      <c r="S666" s="1128"/>
      <c r="T666" s="1128"/>
      <c r="U666" s="1128"/>
      <c r="V666" s="1128"/>
      <c r="W666" s="74"/>
      <c r="X666" s="74"/>
      <c r="Y666" s="684" t="s">
        <v>497</v>
      </c>
      <c r="Z666" s="74">
        <v>620.29999999999995</v>
      </c>
    </row>
    <row r="667" spans="9:26">
      <c r="I667" s="133">
        <v>46060</v>
      </c>
      <c r="J667" s="134">
        <v>0.5131944444444444</v>
      </c>
      <c r="K667" s="135">
        <v>8.3000000000000007</v>
      </c>
      <c r="L667" s="75">
        <v>2</v>
      </c>
      <c r="M667" s="75" t="s">
        <v>635</v>
      </c>
      <c r="N667" s="75" t="s">
        <v>494</v>
      </c>
      <c r="O667" s="75"/>
      <c r="P667" s="74"/>
      <c r="Q667" s="1127"/>
      <c r="R667" s="1128"/>
      <c r="S667" s="1128"/>
      <c r="T667" s="1128"/>
      <c r="U667" s="1128"/>
      <c r="V667" s="1128"/>
      <c r="W667" s="74"/>
      <c r="X667" s="74"/>
      <c r="Y667" s="684">
        <v>45910</v>
      </c>
      <c r="Z667" s="74">
        <v>1571.45</v>
      </c>
    </row>
    <row r="668" spans="9:26">
      <c r="I668" s="133">
        <v>46061</v>
      </c>
      <c r="J668" s="134">
        <v>0.34236111111111112</v>
      </c>
      <c r="K668" s="135">
        <v>1.5</v>
      </c>
      <c r="L668" s="75">
        <v>1</v>
      </c>
      <c r="M668" s="75" t="s">
        <v>636</v>
      </c>
      <c r="N668" s="75" t="s">
        <v>146</v>
      </c>
      <c r="O668" s="75"/>
      <c r="P668" s="74"/>
      <c r="Q668" s="1127"/>
      <c r="R668" s="1128"/>
      <c r="S668" s="1128"/>
      <c r="T668" s="1128"/>
      <c r="U668" s="1128"/>
      <c r="V668" s="1128"/>
      <c r="W668" s="74"/>
      <c r="X668" s="74"/>
      <c r="Y668" s="684" t="s">
        <v>146</v>
      </c>
      <c r="Z668" s="74">
        <v>224.55</v>
      </c>
    </row>
    <row r="669" spans="9:26">
      <c r="I669" s="133">
        <v>46061</v>
      </c>
      <c r="J669" s="134">
        <v>0.35625000000000001</v>
      </c>
      <c r="K669" s="135">
        <v>1.4</v>
      </c>
      <c r="L669" s="75">
        <v>1</v>
      </c>
      <c r="M669" s="75" t="s">
        <v>636</v>
      </c>
      <c r="N669" s="75" t="s">
        <v>146</v>
      </c>
      <c r="O669" s="75"/>
      <c r="P669" s="74"/>
      <c r="Q669" s="1127"/>
      <c r="R669" s="1128"/>
      <c r="S669" s="1128"/>
      <c r="T669" s="1128"/>
      <c r="U669" s="1128"/>
      <c r="V669" s="1128"/>
      <c r="W669" s="74"/>
      <c r="X669" s="74"/>
      <c r="Y669" s="684" t="s">
        <v>494</v>
      </c>
      <c r="Z669" s="74">
        <v>456.8</v>
      </c>
    </row>
    <row r="670" spans="9:26">
      <c r="I670" s="133">
        <v>46061</v>
      </c>
      <c r="J670" s="134">
        <v>0.39374999999999999</v>
      </c>
      <c r="K670" s="135">
        <v>9.5</v>
      </c>
      <c r="L670" s="75">
        <v>5</v>
      </c>
      <c r="M670" s="75" t="s">
        <v>636</v>
      </c>
      <c r="N670" s="75" t="s">
        <v>146</v>
      </c>
      <c r="O670" s="75"/>
      <c r="P670" s="74"/>
      <c r="Q670" s="1127"/>
      <c r="R670" s="1128"/>
      <c r="S670" s="1128"/>
      <c r="T670" s="1128"/>
      <c r="U670" s="1128"/>
      <c r="V670" s="1128"/>
      <c r="W670" s="74"/>
      <c r="X670" s="74"/>
      <c r="Y670" s="684" t="s">
        <v>497</v>
      </c>
      <c r="Z670" s="74">
        <v>890.1</v>
      </c>
    </row>
    <row r="671" spans="9:26">
      <c r="I671" s="133">
        <v>46061</v>
      </c>
      <c r="J671" s="134">
        <v>0.39652777777777781</v>
      </c>
      <c r="K671" s="135">
        <v>1.8</v>
      </c>
      <c r="L671" s="75">
        <v>1</v>
      </c>
      <c r="M671" s="75" t="s">
        <v>636</v>
      </c>
      <c r="N671" s="75" t="s">
        <v>146</v>
      </c>
      <c r="O671" s="75"/>
      <c r="P671" s="74"/>
      <c r="Q671" s="1127"/>
      <c r="R671" s="1128"/>
      <c r="S671" s="1128"/>
      <c r="T671" s="1128"/>
      <c r="U671" s="1128"/>
      <c r="V671" s="1128"/>
      <c r="W671" s="74"/>
      <c r="X671" s="74"/>
      <c r="Y671" s="684">
        <v>45911</v>
      </c>
      <c r="Z671" s="74">
        <v>1990.45</v>
      </c>
    </row>
    <row r="672" spans="9:26">
      <c r="I672" s="133">
        <v>46061</v>
      </c>
      <c r="J672" s="134">
        <v>0.3972222222222222</v>
      </c>
      <c r="K672" s="135">
        <v>7.9</v>
      </c>
      <c r="L672" s="75">
        <v>2</v>
      </c>
      <c r="M672" s="75" t="s">
        <v>636</v>
      </c>
      <c r="N672" s="75" t="s">
        <v>146</v>
      </c>
      <c r="O672" s="75"/>
      <c r="P672" s="74"/>
      <c r="Q672" s="1127"/>
      <c r="R672" s="1128"/>
      <c r="S672" s="1128"/>
      <c r="T672" s="1128"/>
      <c r="U672" s="1128"/>
      <c r="V672" s="1128"/>
      <c r="W672" s="74"/>
      <c r="X672" s="74"/>
      <c r="Y672" s="684" t="s">
        <v>146</v>
      </c>
      <c r="Z672" s="74">
        <v>144.19999999999999</v>
      </c>
    </row>
    <row r="673" spans="9:26">
      <c r="I673" s="133">
        <v>46061</v>
      </c>
      <c r="J673" s="134">
        <v>0.40902777777777782</v>
      </c>
      <c r="K673" s="135">
        <v>9.39</v>
      </c>
      <c r="L673" s="75">
        <v>1</v>
      </c>
      <c r="M673" s="75" t="s">
        <v>636</v>
      </c>
      <c r="N673" s="75" t="s">
        <v>146</v>
      </c>
      <c r="O673" s="75"/>
      <c r="P673" s="74"/>
      <c r="Q673" s="1127"/>
      <c r="R673" s="1128"/>
      <c r="S673" s="1128"/>
      <c r="T673" s="1128"/>
      <c r="U673" s="1128"/>
      <c r="V673" s="1128"/>
      <c r="W673" s="74"/>
      <c r="X673" s="74"/>
      <c r="Y673" s="684" t="s">
        <v>494</v>
      </c>
      <c r="Z673" s="74">
        <v>1452.3</v>
      </c>
    </row>
    <row r="674" spans="9:26">
      <c r="I674" s="133">
        <v>46061</v>
      </c>
      <c r="J674" s="134">
        <v>0.41111111111111109</v>
      </c>
      <c r="K674" s="135">
        <v>4.2</v>
      </c>
      <c r="L674" s="75">
        <v>2</v>
      </c>
      <c r="M674" s="75" t="s">
        <v>636</v>
      </c>
      <c r="N674" s="75" t="s">
        <v>146</v>
      </c>
      <c r="O674" s="75"/>
      <c r="P674" s="74"/>
      <c r="Q674" s="1127"/>
      <c r="R674" s="1128"/>
      <c r="S674" s="1128"/>
      <c r="T674" s="1128"/>
      <c r="U674" s="1128"/>
      <c r="V674" s="1128"/>
      <c r="W674" s="74"/>
      <c r="X674" s="74"/>
      <c r="Y674" s="684" t="s">
        <v>497</v>
      </c>
      <c r="Z674" s="74">
        <v>393.95</v>
      </c>
    </row>
    <row r="675" spans="9:26">
      <c r="I675" s="133">
        <v>46061</v>
      </c>
      <c r="J675" s="134">
        <v>0.42291666666666672</v>
      </c>
      <c r="K675" s="135">
        <v>3.3</v>
      </c>
      <c r="L675" s="75">
        <v>1</v>
      </c>
      <c r="M675" s="75" t="s">
        <v>636</v>
      </c>
      <c r="N675" s="75" t="s">
        <v>146</v>
      </c>
      <c r="O675" s="75"/>
      <c r="P675" s="74"/>
      <c r="Q675" s="1127"/>
      <c r="R675" s="1128"/>
      <c r="S675" s="1128"/>
      <c r="T675" s="1128"/>
      <c r="U675" s="1128"/>
      <c r="V675" s="1128"/>
      <c r="W675" s="74"/>
      <c r="X675" s="74"/>
      <c r="Y675" s="684">
        <v>45912</v>
      </c>
      <c r="Z675" s="74">
        <v>1398.9</v>
      </c>
    </row>
    <row r="676" spans="9:26">
      <c r="I676" s="133">
        <v>46061</v>
      </c>
      <c r="J676" s="134">
        <v>0.43680555555555561</v>
      </c>
      <c r="K676" s="135">
        <v>5.7</v>
      </c>
      <c r="L676" s="75">
        <v>1</v>
      </c>
      <c r="M676" s="75" t="s">
        <v>636</v>
      </c>
      <c r="N676" s="75" t="s">
        <v>146</v>
      </c>
      <c r="O676" s="75"/>
      <c r="P676" s="74"/>
      <c r="Q676" s="1127"/>
      <c r="R676" s="1128"/>
      <c r="S676" s="1128"/>
      <c r="T676" s="1128"/>
      <c r="U676" s="1128"/>
      <c r="V676" s="1128"/>
      <c r="W676" s="74"/>
      <c r="X676" s="74"/>
      <c r="Y676" s="684" t="s">
        <v>146</v>
      </c>
      <c r="Z676" s="74">
        <v>173.2</v>
      </c>
    </row>
    <row r="677" spans="9:26">
      <c r="I677" s="133">
        <v>46061</v>
      </c>
      <c r="J677" s="134">
        <v>0.44305555555555548</v>
      </c>
      <c r="K677" s="135">
        <v>7.2</v>
      </c>
      <c r="L677" s="75">
        <v>1</v>
      </c>
      <c r="M677" s="75" t="s">
        <v>636</v>
      </c>
      <c r="N677" s="75" t="s">
        <v>146</v>
      </c>
      <c r="O677" s="75"/>
      <c r="P677" s="74"/>
      <c r="Q677" s="1127"/>
      <c r="R677" s="1128"/>
      <c r="S677" s="1128"/>
      <c r="T677" s="1128"/>
      <c r="U677" s="1128"/>
      <c r="V677" s="1128"/>
      <c r="W677" s="74"/>
      <c r="X677" s="74"/>
      <c r="Y677" s="684" t="s">
        <v>494</v>
      </c>
      <c r="Z677" s="74">
        <v>553</v>
      </c>
    </row>
    <row r="678" spans="9:26">
      <c r="I678" s="133">
        <v>46061</v>
      </c>
      <c r="J678" s="134">
        <v>0.46805555555555561</v>
      </c>
      <c r="K678" s="135">
        <v>1.5</v>
      </c>
      <c r="L678" s="75">
        <v>1</v>
      </c>
      <c r="M678" s="75" t="s">
        <v>636</v>
      </c>
      <c r="N678" s="75" t="s">
        <v>146</v>
      </c>
      <c r="O678" s="75"/>
      <c r="P678" s="74"/>
      <c r="Q678" s="1127"/>
      <c r="R678" s="1128"/>
      <c r="S678" s="1128"/>
      <c r="T678" s="1128"/>
      <c r="U678" s="1128"/>
      <c r="V678" s="1128"/>
      <c r="W678" s="74"/>
      <c r="X678" s="74"/>
      <c r="Y678" s="684" t="s">
        <v>497</v>
      </c>
      <c r="Z678" s="74">
        <v>672.7</v>
      </c>
    </row>
    <row r="679" spans="9:26">
      <c r="I679" s="133">
        <v>46061</v>
      </c>
      <c r="J679" s="134">
        <v>0.48333333333333328</v>
      </c>
      <c r="K679" s="135">
        <v>12.15</v>
      </c>
      <c r="L679" s="75">
        <v>2</v>
      </c>
      <c r="M679" s="75" t="s">
        <v>636</v>
      </c>
      <c r="N679" s="75" t="s">
        <v>146</v>
      </c>
      <c r="O679" s="75"/>
      <c r="P679" s="74"/>
      <c r="Q679" s="1127"/>
      <c r="R679" s="1128"/>
      <c r="S679" s="1128"/>
      <c r="T679" s="1128"/>
      <c r="U679" s="1128"/>
      <c r="V679" s="1128"/>
      <c r="W679" s="74"/>
      <c r="X679" s="74"/>
      <c r="Y679" s="684">
        <v>45913</v>
      </c>
      <c r="Z679" s="74">
        <v>2305.15</v>
      </c>
    </row>
    <row r="680" spans="9:26">
      <c r="I680" s="133">
        <v>46061</v>
      </c>
      <c r="J680" s="134">
        <v>0.48680555555555549</v>
      </c>
      <c r="K680" s="135">
        <v>9.85</v>
      </c>
      <c r="L680" s="75">
        <v>1</v>
      </c>
      <c r="M680" s="75" t="s">
        <v>636</v>
      </c>
      <c r="N680" s="75" t="s">
        <v>146</v>
      </c>
      <c r="O680" s="75"/>
      <c r="P680" s="74"/>
      <c r="Q680" s="1127"/>
      <c r="R680" s="1128"/>
      <c r="S680" s="1128"/>
      <c r="T680" s="1128"/>
      <c r="U680" s="1128"/>
      <c r="V680" s="1128"/>
      <c r="W680" s="74"/>
      <c r="X680" s="74"/>
      <c r="Y680" s="684" t="s">
        <v>146</v>
      </c>
      <c r="Z680" s="74">
        <v>273.2</v>
      </c>
    </row>
    <row r="681" spans="9:26">
      <c r="I681" s="133">
        <v>46061</v>
      </c>
      <c r="J681" s="134">
        <v>0.48749999999999999</v>
      </c>
      <c r="K681" s="135">
        <v>2.35</v>
      </c>
      <c r="L681" s="75">
        <v>1</v>
      </c>
      <c r="M681" s="75" t="s">
        <v>636</v>
      </c>
      <c r="N681" s="75" t="s">
        <v>146</v>
      </c>
      <c r="O681" s="75"/>
      <c r="P681" s="74"/>
      <c r="Q681" s="1127"/>
      <c r="R681" s="1128"/>
      <c r="S681" s="1128"/>
      <c r="T681" s="1128"/>
      <c r="U681" s="1128"/>
      <c r="V681" s="1128"/>
      <c r="W681" s="74"/>
      <c r="X681" s="74"/>
      <c r="Y681" s="684" t="s">
        <v>494</v>
      </c>
      <c r="Z681" s="74">
        <v>1319.65</v>
      </c>
    </row>
    <row r="682" spans="9:26">
      <c r="I682" s="133">
        <v>46061</v>
      </c>
      <c r="J682" s="134">
        <v>0.5</v>
      </c>
      <c r="K682" s="135">
        <v>4.5</v>
      </c>
      <c r="L682" s="75">
        <v>2</v>
      </c>
      <c r="M682" s="75" t="s">
        <v>636</v>
      </c>
      <c r="N682" s="75" t="s">
        <v>494</v>
      </c>
      <c r="O682" s="75"/>
      <c r="P682" s="74"/>
      <c r="Q682" s="1127"/>
      <c r="R682" s="1128"/>
      <c r="S682" s="1128"/>
      <c r="T682" s="1128"/>
      <c r="U682" s="1128"/>
      <c r="V682" s="1128"/>
      <c r="W682" s="74"/>
      <c r="X682" s="74"/>
      <c r="Y682" s="684" t="s">
        <v>497</v>
      </c>
      <c r="Z682" s="74">
        <v>712.3</v>
      </c>
    </row>
    <row r="683" spans="9:26">
      <c r="I683" s="133">
        <v>46061</v>
      </c>
      <c r="J683" s="134">
        <v>0.50069444444444444</v>
      </c>
      <c r="K683" s="135">
        <v>17.5</v>
      </c>
      <c r="L683" s="75">
        <v>4</v>
      </c>
      <c r="M683" s="75" t="s">
        <v>636</v>
      </c>
      <c r="N683" s="75" t="s">
        <v>494</v>
      </c>
      <c r="O683" s="75"/>
      <c r="P683" s="74"/>
      <c r="Q683" s="1127"/>
      <c r="R683" s="1128"/>
      <c r="S683" s="1128"/>
      <c r="T683" s="1128"/>
      <c r="U683" s="1128"/>
      <c r="V683" s="1128"/>
      <c r="W683" s="74"/>
      <c r="X683" s="74"/>
      <c r="Y683" s="684">
        <v>45914</v>
      </c>
      <c r="Z683" s="74">
        <v>1573.55</v>
      </c>
    </row>
    <row r="684" spans="9:26">
      <c r="I684" s="133">
        <v>46064</v>
      </c>
      <c r="J684" s="134">
        <v>0.30069444444444438</v>
      </c>
      <c r="K684" s="135">
        <v>5.05</v>
      </c>
      <c r="L684" s="75">
        <v>2</v>
      </c>
      <c r="M684" s="75" t="s">
        <v>637</v>
      </c>
      <c r="N684" s="75" t="s">
        <v>146</v>
      </c>
      <c r="O684" s="75"/>
      <c r="P684" s="74"/>
      <c r="Q684" s="1127"/>
      <c r="R684" s="1128"/>
      <c r="S684" s="1128"/>
      <c r="T684" s="1128"/>
      <c r="U684" s="1128"/>
      <c r="V684" s="1128"/>
      <c r="W684" s="74"/>
      <c r="X684" s="74"/>
      <c r="Y684" s="684" t="s">
        <v>146</v>
      </c>
      <c r="Z684" s="74">
        <v>419.5</v>
      </c>
    </row>
    <row r="685" spans="9:26">
      <c r="I685" s="133">
        <v>46064</v>
      </c>
      <c r="J685" s="134">
        <v>0.30208333333333331</v>
      </c>
      <c r="K685" s="135">
        <v>4.8</v>
      </c>
      <c r="L685" s="75">
        <v>1</v>
      </c>
      <c r="M685" s="75" t="s">
        <v>637</v>
      </c>
      <c r="N685" s="75" t="s">
        <v>146</v>
      </c>
      <c r="O685" s="75"/>
      <c r="P685" s="74"/>
      <c r="Q685" s="1127"/>
      <c r="R685" s="1128"/>
      <c r="S685" s="1128"/>
      <c r="T685" s="1128"/>
      <c r="U685" s="1128"/>
      <c r="V685" s="1128"/>
      <c r="W685" s="74"/>
      <c r="X685" s="74"/>
      <c r="Y685" s="684" t="s">
        <v>494</v>
      </c>
      <c r="Z685" s="74">
        <v>726.05</v>
      </c>
    </row>
    <row r="686" spans="9:26">
      <c r="I686" s="133">
        <v>46064</v>
      </c>
      <c r="J686" s="134">
        <v>0.30208333333333331</v>
      </c>
      <c r="K686" s="135">
        <v>4.8</v>
      </c>
      <c r="L686" s="75">
        <v>1</v>
      </c>
      <c r="M686" s="75" t="s">
        <v>637</v>
      </c>
      <c r="N686" s="75" t="s">
        <v>146</v>
      </c>
      <c r="O686" s="75"/>
      <c r="P686" s="74"/>
      <c r="Q686" s="1127"/>
      <c r="R686" s="1128"/>
      <c r="S686" s="1128"/>
      <c r="T686" s="1128"/>
      <c r="U686" s="1128"/>
      <c r="V686" s="1128"/>
      <c r="W686" s="74"/>
      <c r="X686" s="74"/>
      <c r="Y686" s="684" t="s">
        <v>497</v>
      </c>
      <c r="Z686" s="74">
        <v>428</v>
      </c>
    </row>
    <row r="687" spans="9:26">
      <c r="I687" s="133">
        <v>46064</v>
      </c>
      <c r="J687" s="134">
        <v>0.33750000000000002</v>
      </c>
      <c r="K687" s="135">
        <v>3.2</v>
      </c>
      <c r="L687" s="75">
        <v>1</v>
      </c>
      <c r="M687" s="75" t="s">
        <v>637</v>
      </c>
      <c r="N687" s="75" t="s">
        <v>146</v>
      </c>
      <c r="O687" s="75"/>
      <c r="P687" s="74"/>
      <c r="Q687" s="1127"/>
      <c r="R687" s="1128"/>
      <c r="S687" s="1128"/>
      <c r="T687" s="1128"/>
      <c r="U687" s="1128"/>
      <c r="V687" s="1128"/>
      <c r="W687" s="74"/>
      <c r="X687" s="74"/>
      <c r="Y687" s="684">
        <v>45917</v>
      </c>
      <c r="Z687" s="74">
        <v>898.75</v>
      </c>
    </row>
    <row r="688" spans="9:26">
      <c r="I688" s="133">
        <v>46064</v>
      </c>
      <c r="J688" s="134">
        <v>0.34027777777777779</v>
      </c>
      <c r="K688" s="135">
        <v>1.5</v>
      </c>
      <c r="L688" s="75">
        <v>1</v>
      </c>
      <c r="M688" s="75" t="s">
        <v>637</v>
      </c>
      <c r="N688" s="75" t="s">
        <v>146</v>
      </c>
      <c r="O688" s="75"/>
      <c r="P688" s="74"/>
      <c r="Q688" s="1127"/>
      <c r="R688" s="1128"/>
      <c r="S688" s="1128"/>
      <c r="T688" s="1128"/>
      <c r="U688" s="1128"/>
      <c r="V688" s="1128"/>
      <c r="W688" s="74"/>
      <c r="X688" s="74"/>
      <c r="Y688" s="684" t="s">
        <v>146</v>
      </c>
      <c r="Z688" s="74">
        <v>233.85</v>
      </c>
    </row>
    <row r="689" spans="9:26">
      <c r="I689" s="133">
        <v>46064</v>
      </c>
      <c r="J689" s="134">
        <v>0.34861111111111109</v>
      </c>
      <c r="K689" s="135">
        <v>5.95</v>
      </c>
      <c r="L689" s="75">
        <v>1</v>
      </c>
      <c r="M689" s="75" t="s">
        <v>637</v>
      </c>
      <c r="N689" s="75" t="s">
        <v>146</v>
      </c>
      <c r="O689" s="75"/>
      <c r="P689" s="74"/>
      <c r="Q689" s="1127"/>
      <c r="R689" s="1128"/>
      <c r="S689" s="1128"/>
      <c r="T689" s="1128"/>
      <c r="U689" s="1128"/>
      <c r="V689" s="1128"/>
      <c r="W689" s="74"/>
      <c r="X689" s="74"/>
      <c r="Y689" s="684" t="s">
        <v>494</v>
      </c>
      <c r="Z689" s="74">
        <v>325.5</v>
      </c>
    </row>
    <row r="690" spans="9:26">
      <c r="I690" s="133">
        <v>46064</v>
      </c>
      <c r="J690" s="134">
        <v>0.37847222222222221</v>
      </c>
      <c r="K690" s="135">
        <v>2.15</v>
      </c>
      <c r="L690" s="75">
        <v>1</v>
      </c>
      <c r="M690" s="75" t="s">
        <v>637</v>
      </c>
      <c r="N690" s="75" t="s">
        <v>146</v>
      </c>
      <c r="O690" s="75"/>
      <c r="P690" s="74"/>
      <c r="Q690" s="1127"/>
      <c r="R690" s="1128"/>
      <c r="S690" s="1128"/>
      <c r="T690" s="1128"/>
      <c r="U690" s="1128"/>
      <c r="V690" s="1128"/>
      <c r="W690" s="74"/>
      <c r="X690" s="74"/>
      <c r="Y690" s="684" t="s">
        <v>497</v>
      </c>
      <c r="Z690" s="74">
        <v>339.4</v>
      </c>
    </row>
    <row r="691" spans="9:26">
      <c r="I691" s="133">
        <v>46064</v>
      </c>
      <c r="J691" s="134">
        <v>0.39861111111111108</v>
      </c>
      <c r="K691" s="135">
        <v>12.15</v>
      </c>
      <c r="L691" s="75">
        <v>2</v>
      </c>
      <c r="M691" s="75" t="s">
        <v>637</v>
      </c>
      <c r="N691" s="75" t="s">
        <v>146</v>
      </c>
      <c r="O691" s="75"/>
      <c r="P691" s="74"/>
      <c r="Q691" s="1127"/>
      <c r="R691" s="1128"/>
      <c r="S691" s="1128"/>
      <c r="T691" s="1128"/>
      <c r="U691" s="1128"/>
      <c r="V691" s="1128"/>
      <c r="W691" s="74"/>
      <c r="X691" s="74"/>
      <c r="Y691" s="684">
        <v>45918</v>
      </c>
      <c r="Z691" s="74">
        <v>1030.3</v>
      </c>
    </row>
    <row r="692" spans="9:26">
      <c r="I692" s="133">
        <v>46064</v>
      </c>
      <c r="J692" s="134">
        <v>0.40763888888888888</v>
      </c>
      <c r="K692" s="135">
        <v>1.95</v>
      </c>
      <c r="L692" s="75">
        <v>1</v>
      </c>
      <c r="M692" s="75" t="s">
        <v>637</v>
      </c>
      <c r="N692" s="75" t="s">
        <v>146</v>
      </c>
      <c r="O692" s="75"/>
      <c r="P692" s="74"/>
      <c r="Q692" s="1127"/>
      <c r="R692" s="1128"/>
      <c r="S692" s="1128"/>
      <c r="T692" s="1128"/>
      <c r="U692" s="1128"/>
      <c r="V692" s="1128"/>
      <c r="W692" s="74"/>
      <c r="X692" s="74"/>
      <c r="Y692" s="684" t="s">
        <v>146</v>
      </c>
      <c r="Z692" s="74">
        <v>135.44999999999999</v>
      </c>
    </row>
    <row r="693" spans="9:26">
      <c r="I693" s="133">
        <v>46064</v>
      </c>
      <c r="J693" s="134">
        <v>0.41249999999999998</v>
      </c>
      <c r="K693" s="135">
        <v>2.4500000000000002</v>
      </c>
      <c r="L693" s="75">
        <v>1</v>
      </c>
      <c r="M693" s="75" t="s">
        <v>637</v>
      </c>
      <c r="N693" s="75" t="s">
        <v>146</v>
      </c>
      <c r="O693" s="75"/>
      <c r="P693" s="74"/>
      <c r="Q693" s="1127"/>
      <c r="R693" s="1128"/>
      <c r="S693" s="1128"/>
      <c r="T693" s="1128"/>
      <c r="U693" s="1128"/>
      <c r="V693" s="1128"/>
      <c r="W693" s="74"/>
      <c r="X693" s="74"/>
      <c r="Y693" s="684" t="s">
        <v>494</v>
      </c>
      <c r="Z693" s="74">
        <v>353.65</v>
      </c>
    </row>
    <row r="694" spans="9:26">
      <c r="I694" s="133">
        <v>46064</v>
      </c>
      <c r="J694" s="134">
        <v>0.41805555555555562</v>
      </c>
      <c r="K694" s="135">
        <v>4.3499999999999996</v>
      </c>
      <c r="L694" s="75">
        <v>1</v>
      </c>
      <c r="M694" s="75" t="s">
        <v>637</v>
      </c>
      <c r="N694" s="75" t="s">
        <v>146</v>
      </c>
      <c r="O694" s="75"/>
      <c r="P694" s="74"/>
      <c r="Q694" s="1127"/>
      <c r="R694" s="1128"/>
      <c r="S694" s="1128"/>
      <c r="T694" s="1128"/>
      <c r="U694" s="1128"/>
      <c r="V694" s="1128"/>
      <c r="W694" s="74"/>
      <c r="X694" s="74"/>
      <c r="Y694" s="684" t="s">
        <v>497</v>
      </c>
      <c r="Z694" s="74">
        <v>541.20000000000005</v>
      </c>
    </row>
    <row r="695" spans="9:26">
      <c r="I695" s="133">
        <v>46064</v>
      </c>
      <c r="J695" s="134">
        <v>0.41944444444444451</v>
      </c>
      <c r="K695" s="135">
        <v>1.4</v>
      </c>
      <c r="L695" s="75">
        <v>1</v>
      </c>
      <c r="M695" s="75" t="s">
        <v>637</v>
      </c>
      <c r="N695" s="75" t="s">
        <v>146</v>
      </c>
      <c r="O695" s="75"/>
      <c r="P695" s="74"/>
      <c r="Q695" s="1127"/>
      <c r="R695" s="1128"/>
      <c r="S695" s="1128"/>
      <c r="T695" s="1128"/>
      <c r="U695" s="1128"/>
      <c r="V695" s="1128"/>
      <c r="W695" s="74"/>
      <c r="X695" s="74"/>
      <c r="Y695" s="684">
        <v>45919</v>
      </c>
      <c r="Z695" s="74">
        <v>2103.15</v>
      </c>
    </row>
    <row r="696" spans="9:26">
      <c r="I696" s="133">
        <v>46064</v>
      </c>
      <c r="J696" s="134">
        <v>0.42569444444444438</v>
      </c>
      <c r="K696" s="135">
        <v>1.4</v>
      </c>
      <c r="L696" s="75">
        <v>1</v>
      </c>
      <c r="M696" s="75" t="s">
        <v>637</v>
      </c>
      <c r="N696" s="75" t="s">
        <v>146</v>
      </c>
      <c r="O696" s="75"/>
      <c r="P696" s="74"/>
      <c r="Q696" s="1127"/>
      <c r="R696" s="1128"/>
      <c r="S696" s="1128"/>
      <c r="T696" s="1128"/>
      <c r="U696" s="1128"/>
      <c r="V696" s="1128"/>
      <c r="W696" s="74"/>
      <c r="X696" s="74"/>
      <c r="Y696" s="684" t="s">
        <v>146</v>
      </c>
      <c r="Z696" s="74">
        <v>152</v>
      </c>
    </row>
    <row r="697" spans="9:26">
      <c r="I697" s="133">
        <v>46064</v>
      </c>
      <c r="J697" s="134">
        <v>0.44791666666666669</v>
      </c>
      <c r="K697" s="135">
        <v>1.7</v>
      </c>
      <c r="L697" s="75">
        <v>1</v>
      </c>
      <c r="M697" s="75" t="s">
        <v>637</v>
      </c>
      <c r="N697" s="75" t="s">
        <v>146</v>
      </c>
      <c r="O697" s="75"/>
      <c r="P697" s="74"/>
      <c r="Q697" s="1127"/>
      <c r="R697" s="1128"/>
      <c r="S697" s="1128"/>
      <c r="T697" s="1128"/>
      <c r="U697" s="1128"/>
      <c r="V697" s="1128"/>
      <c r="W697" s="74"/>
      <c r="X697" s="74"/>
      <c r="Y697" s="684" t="s">
        <v>494</v>
      </c>
      <c r="Z697" s="74">
        <v>371.95</v>
      </c>
    </row>
    <row r="698" spans="9:26">
      <c r="I698" s="133">
        <v>46064</v>
      </c>
      <c r="J698" s="134">
        <v>0.45277777777777778</v>
      </c>
      <c r="K698" s="135">
        <v>1.5</v>
      </c>
      <c r="L698" s="75">
        <v>1</v>
      </c>
      <c r="M698" s="75" t="s">
        <v>637</v>
      </c>
      <c r="N698" s="75" t="s">
        <v>146</v>
      </c>
      <c r="O698" s="75"/>
      <c r="P698" s="74"/>
      <c r="Q698" s="1127"/>
      <c r="R698" s="1128"/>
      <c r="S698" s="1128"/>
      <c r="T698" s="1128"/>
      <c r="U698" s="1128"/>
      <c r="V698" s="1128"/>
      <c r="W698" s="74"/>
      <c r="X698" s="74"/>
      <c r="Y698" s="684" t="s">
        <v>497</v>
      </c>
      <c r="Z698" s="74">
        <v>1579.2</v>
      </c>
    </row>
    <row r="699" spans="9:26">
      <c r="I699" s="133">
        <v>46064</v>
      </c>
      <c r="J699" s="134">
        <v>0.46597222222222218</v>
      </c>
      <c r="K699" s="135">
        <v>1.7</v>
      </c>
      <c r="L699" s="75">
        <v>1</v>
      </c>
      <c r="M699" s="75" t="s">
        <v>637</v>
      </c>
      <c r="N699" s="75" t="s">
        <v>146</v>
      </c>
      <c r="O699" s="75"/>
      <c r="P699" s="74"/>
      <c r="Q699" s="1127"/>
      <c r="R699" s="1128"/>
      <c r="S699" s="1128"/>
      <c r="T699" s="1128"/>
      <c r="U699" s="1128"/>
      <c r="V699" s="1128"/>
      <c r="W699" s="74"/>
      <c r="X699" s="74"/>
      <c r="Y699" s="684">
        <v>45920</v>
      </c>
      <c r="Z699" s="74">
        <v>1658.7</v>
      </c>
    </row>
    <row r="700" spans="9:26">
      <c r="I700" s="133">
        <v>46064</v>
      </c>
      <c r="J700" s="134">
        <v>0.47013888888888888</v>
      </c>
      <c r="K700" s="135">
        <v>1.7</v>
      </c>
      <c r="L700" s="75">
        <v>1</v>
      </c>
      <c r="M700" s="75" t="s">
        <v>637</v>
      </c>
      <c r="N700" s="75" t="s">
        <v>146</v>
      </c>
      <c r="O700" s="75"/>
      <c r="P700" s="74"/>
      <c r="Q700" s="1127"/>
      <c r="R700" s="1128"/>
      <c r="S700" s="1128"/>
      <c r="T700" s="1128"/>
      <c r="U700" s="1128"/>
      <c r="V700" s="1128"/>
      <c r="W700" s="74"/>
      <c r="X700" s="74"/>
      <c r="Y700" s="684" t="s">
        <v>146</v>
      </c>
      <c r="Z700" s="74">
        <v>310.64999999999998</v>
      </c>
    </row>
    <row r="701" spans="9:26">
      <c r="I701" s="133">
        <v>46064</v>
      </c>
      <c r="J701" s="134">
        <v>0.47361111111111109</v>
      </c>
      <c r="K701" s="135">
        <v>3.2</v>
      </c>
      <c r="L701" s="75">
        <v>1</v>
      </c>
      <c r="M701" s="75" t="s">
        <v>637</v>
      </c>
      <c r="N701" s="75" t="s">
        <v>146</v>
      </c>
      <c r="O701" s="75"/>
      <c r="P701" s="74"/>
      <c r="Q701" s="1127"/>
      <c r="R701" s="1128"/>
      <c r="S701" s="1128"/>
      <c r="T701" s="1128"/>
      <c r="U701" s="1128"/>
      <c r="V701" s="1128"/>
      <c r="W701" s="74"/>
      <c r="X701" s="74"/>
      <c r="Y701" s="684" t="s">
        <v>494</v>
      </c>
      <c r="Z701" s="74">
        <v>645.04999999999995</v>
      </c>
    </row>
    <row r="702" spans="9:26">
      <c r="I702" s="133">
        <v>46064</v>
      </c>
      <c r="J702" s="134">
        <v>0.47708333333333341</v>
      </c>
      <c r="K702" s="135">
        <v>2.8</v>
      </c>
      <c r="L702" s="75">
        <v>2</v>
      </c>
      <c r="M702" s="75" t="s">
        <v>637</v>
      </c>
      <c r="N702" s="75" t="s">
        <v>146</v>
      </c>
      <c r="O702" s="75"/>
      <c r="P702" s="74"/>
      <c r="Q702" s="1127"/>
      <c r="R702" s="1128"/>
      <c r="S702" s="1128"/>
      <c r="T702" s="1128"/>
      <c r="U702" s="1128"/>
      <c r="V702" s="1128"/>
      <c r="W702" s="74"/>
      <c r="X702" s="74"/>
      <c r="Y702" s="684" t="s">
        <v>497</v>
      </c>
      <c r="Z702" s="74">
        <v>703</v>
      </c>
    </row>
    <row r="703" spans="9:26">
      <c r="I703" s="133">
        <v>46064</v>
      </c>
      <c r="J703" s="134">
        <v>0.47847222222222219</v>
      </c>
      <c r="K703" s="135">
        <v>1.5</v>
      </c>
      <c r="L703" s="75">
        <v>1</v>
      </c>
      <c r="M703" s="75" t="s">
        <v>637</v>
      </c>
      <c r="N703" s="75" t="s">
        <v>146</v>
      </c>
      <c r="O703" s="75"/>
      <c r="P703" s="74"/>
      <c r="Q703" s="1127"/>
      <c r="R703" s="1128"/>
      <c r="S703" s="1128"/>
      <c r="T703" s="1128"/>
      <c r="U703" s="1128"/>
      <c r="V703" s="1128"/>
      <c r="W703" s="74"/>
      <c r="X703" s="74"/>
      <c r="Y703" s="684">
        <v>45921</v>
      </c>
      <c r="Z703" s="74">
        <v>829.8</v>
      </c>
    </row>
    <row r="704" spans="9:26">
      <c r="I704" s="133">
        <v>46064</v>
      </c>
      <c r="J704" s="134">
        <v>0.48194444444444451</v>
      </c>
      <c r="K704" s="135">
        <v>1.5</v>
      </c>
      <c r="L704" s="75">
        <v>1</v>
      </c>
      <c r="M704" s="75" t="s">
        <v>637</v>
      </c>
      <c r="N704" s="75" t="s">
        <v>146</v>
      </c>
      <c r="O704" s="75"/>
      <c r="P704" s="74"/>
      <c r="Q704" s="1127"/>
      <c r="R704" s="1128"/>
      <c r="S704" s="1128"/>
      <c r="T704" s="1128"/>
      <c r="U704" s="1128"/>
      <c r="V704" s="1128"/>
      <c r="W704" s="74"/>
      <c r="X704" s="74"/>
      <c r="Y704" s="684" t="s">
        <v>146</v>
      </c>
      <c r="Z704" s="74">
        <v>236.6</v>
      </c>
    </row>
    <row r="705" spans="9:26">
      <c r="I705" s="133">
        <v>46064</v>
      </c>
      <c r="J705" s="134">
        <v>0.48541666666666672</v>
      </c>
      <c r="K705" s="135">
        <v>7.05</v>
      </c>
      <c r="L705" s="75">
        <v>1</v>
      </c>
      <c r="M705" s="75" t="s">
        <v>637</v>
      </c>
      <c r="N705" s="75" t="s">
        <v>146</v>
      </c>
      <c r="O705" s="75"/>
      <c r="P705" s="74"/>
      <c r="Q705" s="1127"/>
      <c r="R705" s="1128"/>
      <c r="S705" s="1128"/>
      <c r="T705" s="1128"/>
      <c r="U705" s="1128"/>
      <c r="V705" s="1128"/>
      <c r="W705" s="74"/>
      <c r="X705" s="74"/>
      <c r="Y705" s="684" t="s">
        <v>494</v>
      </c>
      <c r="Z705" s="74">
        <v>395.4</v>
      </c>
    </row>
    <row r="706" spans="9:26">
      <c r="I706" s="133">
        <v>46064</v>
      </c>
      <c r="J706" s="134">
        <v>0.48541666666666672</v>
      </c>
      <c r="K706" s="135">
        <v>1.4</v>
      </c>
      <c r="L706" s="75">
        <v>1</v>
      </c>
      <c r="M706" s="75" t="s">
        <v>637</v>
      </c>
      <c r="N706" s="75" t="s">
        <v>146</v>
      </c>
      <c r="O706" s="75"/>
      <c r="P706" s="74"/>
      <c r="Q706" s="1127"/>
      <c r="R706" s="1128"/>
      <c r="S706" s="1128"/>
      <c r="T706" s="1128"/>
      <c r="U706" s="1128"/>
      <c r="V706" s="1128"/>
      <c r="W706" s="74"/>
      <c r="X706" s="74"/>
      <c r="Y706" s="684" t="s">
        <v>497</v>
      </c>
      <c r="Z706" s="74">
        <v>197.8</v>
      </c>
    </row>
    <row r="707" spans="9:26">
      <c r="I707" s="133">
        <v>46064</v>
      </c>
      <c r="J707" s="134">
        <v>0.48888888888888887</v>
      </c>
      <c r="K707" s="135">
        <v>1.7</v>
      </c>
      <c r="L707" s="75">
        <v>1</v>
      </c>
      <c r="M707" s="75" t="s">
        <v>637</v>
      </c>
      <c r="N707" s="75" t="s">
        <v>146</v>
      </c>
      <c r="O707" s="75"/>
      <c r="P707" s="74"/>
      <c r="Q707" s="1127"/>
      <c r="R707" s="1128"/>
      <c r="S707" s="1128"/>
      <c r="T707" s="1128"/>
      <c r="U707" s="1128"/>
      <c r="V707" s="1128"/>
      <c r="W707" s="74"/>
      <c r="X707" s="74"/>
      <c r="Y707" s="684">
        <v>45924</v>
      </c>
      <c r="Z707" s="74">
        <v>1341.3</v>
      </c>
    </row>
    <row r="708" spans="9:26">
      <c r="I708" s="133">
        <v>46064</v>
      </c>
      <c r="J708" s="134">
        <v>0.49930555555555561</v>
      </c>
      <c r="K708" s="135">
        <v>1.5</v>
      </c>
      <c r="L708" s="75">
        <v>1</v>
      </c>
      <c r="M708" s="75" t="s">
        <v>637</v>
      </c>
      <c r="N708" s="75" t="s">
        <v>146</v>
      </c>
      <c r="O708" s="75"/>
      <c r="P708" s="74"/>
      <c r="Q708" s="1127"/>
      <c r="R708" s="1128"/>
      <c r="S708" s="1128"/>
      <c r="T708" s="1128"/>
      <c r="U708" s="1128"/>
      <c r="V708" s="1128"/>
      <c r="W708" s="74"/>
      <c r="X708" s="74"/>
      <c r="Y708" s="684" t="s">
        <v>146</v>
      </c>
      <c r="Z708" s="74">
        <v>230.4</v>
      </c>
    </row>
    <row r="709" spans="9:26">
      <c r="I709" s="133">
        <v>46064</v>
      </c>
      <c r="J709" s="134">
        <v>0.55972222222222223</v>
      </c>
      <c r="K709" s="135">
        <v>8.0500000000000007</v>
      </c>
      <c r="L709" s="75">
        <v>2</v>
      </c>
      <c r="M709" s="75" t="s">
        <v>637</v>
      </c>
      <c r="N709" s="75" t="s">
        <v>494</v>
      </c>
      <c r="O709" s="75"/>
      <c r="P709" s="74"/>
      <c r="Q709" s="1127"/>
      <c r="R709" s="1128"/>
      <c r="S709" s="1128"/>
      <c r="T709" s="1128"/>
      <c r="U709" s="1128"/>
      <c r="V709" s="1128"/>
      <c r="W709" s="74"/>
      <c r="X709" s="74"/>
      <c r="Y709" s="684" t="s">
        <v>494</v>
      </c>
      <c r="Z709" s="74">
        <v>877.65</v>
      </c>
    </row>
    <row r="710" spans="9:26">
      <c r="I710" s="133">
        <v>46064</v>
      </c>
      <c r="J710" s="134">
        <v>0.56041666666666667</v>
      </c>
      <c r="K710" s="135">
        <v>1.75</v>
      </c>
      <c r="L710" s="75">
        <v>1</v>
      </c>
      <c r="M710" s="75" t="s">
        <v>637</v>
      </c>
      <c r="N710" s="75" t="s">
        <v>494</v>
      </c>
      <c r="O710" s="75"/>
      <c r="P710" s="74"/>
      <c r="Q710" s="1127"/>
      <c r="R710" s="1128"/>
      <c r="S710" s="1128"/>
      <c r="T710" s="1128"/>
      <c r="U710" s="1128"/>
      <c r="V710" s="1128"/>
      <c r="W710" s="74"/>
      <c r="X710" s="74"/>
      <c r="Y710" s="684" t="s">
        <v>497</v>
      </c>
      <c r="Z710" s="74">
        <v>233.25</v>
      </c>
    </row>
    <row r="711" spans="9:26">
      <c r="I711" s="133">
        <v>46064</v>
      </c>
      <c r="J711" s="134">
        <v>0.59444444444444444</v>
      </c>
      <c r="K711" s="135">
        <v>2.65</v>
      </c>
      <c r="L711" s="75">
        <v>1</v>
      </c>
      <c r="M711" s="75" t="s">
        <v>637</v>
      </c>
      <c r="N711" s="75" t="s">
        <v>494</v>
      </c>
      <c r="O711" s="75"/>
      <c r="P711" s="74"/>
      <c r="Q711" s="1127"/>
      <c r="R711" s="1128"/>
      <c r="S711" s="1128"/>
      <c r="T711" s="1128"/>
      <c r="U711" s="1128"/>
      <c r="V711" s="1128"/>
      <c r="W711" s="74"/>
      <c r="X711" s="74"/>
      <c r="Y711" s="684">
        <v>45925</v>
      </c>
      <c r="Z711" s="74">
        <v>906.4</v>
      </c>
    </row>
    <row r="712" spans="9:26">
      <c r="I712" s="133">
        <v>46064</v>
      </c>
      <c r="J712" s="134">
        <v>0.59861111111111109</v>
      </c>
      <c r="K712" s="135">
        <v>47.65</v>
      </c>
      <c r="L712" s="75">
        <v>2</v>
      </c>
      <c r="M712" s="75" t="s">
        <v>637</v>
      </c>
      <c r="N712" s="75" t="s">
        <v>494</v>
      </c>
      <c r="O712" s="75"/>
      <c r="P712" s="74"/>
      <c r="Q712" s="1127"/>
      <c r="R712" s="1128"/>
      <c r="S712" s="1128"/>
      <c r="T712" s="1128"/>
      <c r="U712" s="1128"/>
      <c r="V712" s="1128"/>
      <c r="W712" s="74"/>
      <c r="X712" s="74"/>
      <c r="Y712" s="684" t="s">
        <v>146</v>
      </c>
      <c r="Z712" s="74">
        <v>89.6</v>
      </c>
    </row>
    <row r="713" spans="9:26">
      <c r="I713" s="133">
        <v>46064</v>
      </c>
      <c r="J713" s="134">
        <v>0.625</v>
      </c>
      <c r="K713" s="135">
        <v>1.7</v>
      </c>
      <c r="L713" s="75">
        <v>1</v>
      </c>
      <c r="M713" s="75" t="s">
        <v>637</v>
      </c>
      <c r="N713" s="75" t="s">
        <v>494</v>
      </c>
      <c r="O713" s="75"/>
      <c r="P713" s="74"/>
      <c r="Q713" s="1127"/>
      <c r="R713" s="1128"/>
      <c r="S713" s="1128"/>
      <c r="T713" s="1128"/>
      <c r="U713" s="1128"/>
      <c r="V713" s="1128"/>
      <c r="W713" s="74"/>
      <c r="X713" s="74"/>
      <c r="Y713" s="684" t="s">
        <v>494</v>
      </c>
      <c r="Z713" s="74">
        <v>336</v>
      </c>
    </row>
    <row r="714" spans="9:26">
      <c r="I714" s="133">
        <v>46064</v>
      </c>
      <c r="J714" s="134">
        <v>0.79652777777777772</v>
      </c>
      <c r="K714" s="135">
        <v>1.65</v>
      </c>
      <c r="L714" s="75">
        <v>1</v>
      </c>
      <c r="M714" s="75" t="s">
        <v>637</v>
      </c>
      <c r="N714" s="75" t="s">
        <v>497</v>
      </c>
      <c r="O714" s="75"/>
      <c r="P714" s="74"/>
      <c r="Q714" s="1127"/>
      <c r="R714" s="1128"/>
      <c r="S714" s="1128"/>
      <c r="T714" s="1128"/>
      <c r="U714" s="1128"/>
      <c r="V714" s="1128"/>
      <c r="W714" s="74"/>
      <c r="X714" s="74"/>
      <c r="Y714" s="684" t="s">
        <v>497</v>
      </c>
      <c r="Z714" s="74">
        <v>480.8</v>
      </c>
    </row>
    <row r="715" spans="9:26">
      <c r="I715" s="133">
        <v>46065</v>
      </c>
      <c r="J715" s="134">
        <v>0.2986111111111111</v>
      </c>
      <c r="K715" s="135">
        <v>3.4</v>
      </c>
      <c r="L715" s="75">
        <v>1</v>
      </c>
      <c r="M715" s="75" t="s">
        <v>638</v>
      </c>
      <c r="N715" s="75" t="s">
        <v>146</v>
      </c>
      <c r="O715" s="75"/>
      <c r="P715" s="74"/>
      <c r="Q715" s="1127"/>
      <c r="R715" s="1128"/>
      <c r="S715" s="1128"/>
      <c r="T715" s="1128"/>
      <c r="U715" s="1128"/>
      <c r="V715" s="1128"/>
      <c r="W715" s="74"/>
      <c r="X715" s="74"/>
      <c r="Y715" s="684">
        <v>45926</v>
      </c>
      <c r="Z715" s="74">
        <v>605.04999999999995</v>
      </c>
    </row>
    <row r="716" spans="9:26">
      <c r="I716" s="133">
        <v>46065</v>
      </c>
      <c r="J716" s="134">
        <v>0.32777777777777778</v>
      </c>
      <c r="K716" s="135">
        <v>5.6</v>
      </c>
      <c r="L716" s="75">
        <v>1</v>
      </c>
      <c r="M716" s="75" t="s">
        <v>638</v>
      </c>
      <c r="N716" s="75" t="s">
        <v>146</v>
      </c>
      <c r="O716" s="75"/>
      <c r="P716" s="74"/>
      <c r="Q716" s="1127"/>
      <c r="R716" s="1128"/>
      <c r="S716" s="1128"/>
      <c r="T716" s="1128"/>
      <c r="U716" s="1128"/>
      <c r="V716" s="1128"/>
      <c r="W716" s="74"/>
      <c r="X716" s="74"/>
      <c r="Y716" s="684" t="s">
        <v>146</v>
      </c>
      <c r="Z716" s="74">
        <v>82.95</v>
      </c>
    </row>
    <row r="717" spans="9:26">
      <c r="I717" s="133">
        <v>46065</v>
      </c>
      <c r="J717" s="134">
        <v>0.33958333333333329</v>
      </c>
      <c r="K717" s="135">
        <v>1.5</v>
      </c>
      <c r="L717" s="75">
        <v>1</v>
      </c>
      <c r="M717" s="75" t="s">
        <v>638</v>
      </c>
      <c r="N717" s="75" t="s">
        <v>146</v>
      </c>
      <c r="O717" s="75"/>
      <c r="P717" s="74"/>
      <c r="Q717" s="1127"/>
      <c r="R717" s="1128"/>
      <c r="S717" s="1128"/>
      <c r="T717" s="1128"/>
      <c r="U717" s="1128"/>
      <c r="V717" s="1128"/>
      <c r="W717" s="74"/>
      <c r="X717" s="74"/>
      <c r="Y717" s="684" t="s">
        <v>494</v>
      </c>
      <c r="Z717" s="74">
        <v>220.25</v>
      </c>
    </row>
    <row r="718" spans="9:26">
      <c r="I718" s="133">
        <v>46065</v>
      </c>
      <c r="J718" s="134">
        <v>0.35694444444444451</v>
      </c>
      <c r="K718" s="135">
        <v>1.5</v>
      </c>
      <c r="L718" s="75">
        <v>1</v>
      </c>
      <c r="M718" s="75" t="s">
        <v>638</v>
      </c>
      <c r="N718" s="75" t="s">
        <v>146</v>
      </c>
      <c r="O718" s="75"/>
      <c r="P718" s="74"/>
      <c r="Q718" s="1127"/>
      <c r="R718" s="1128"/>
      <c r="S718" s="1128"/>
      <c r="T718" s="1128"/>
      <c r="U718" s="1128"/>
      <c r="V718" s="1128"/>
      <c r="W718" s="74"/>
      <c r="X718" s="74"/>
      <c r="Y718" s="684" t="s">
        <v>497</v>
      </c>
      <c r="Z718" s="74">
        <v>301.85000000000002</v>
      </c>
    </row>
    <row r="719" spans="9:26">
      <c r="I719" s="133">
        <v>46065</v>
      </c>
      <c r="J719" s="134">
        <v>0.35972222222222222</v>
      </c>
      <c r="K719" s="135">
        <v>1.5</v>
      </c>
      <c r="L719" s="75">
        <v>1</v>
      </c>
      <c r="M719" s="75" t="s">
        <v>638</v>
      </c>
      <c r="N719" s="75" t="s">
        <v>146</v>
      </c>
      <c r="O719" s="75"/>
      <c r="P719" s="74"/>
      <c r="Q719" s="1127"/>
      <c r="R719" s="1128"/>
      <c r="S719" s="1128"/>
      <c r="T719" s="1128"/>
      <c r="U719" s="1128"/>
      <c r="V719" s="1128"/>
      <c r="W719" s="74"/>
      <c r="X719" s="74"/>
      <c r="Y719" s="684">
        <v>45927</v>
      </c>
      <c r="Z719" s="74">
        <v>1813.6</v>
      </c>
    </row>
    <row r="720" spans="9:26">
      <c r="I720" s="133">
        <v>46065</v>
      </c>
      <c r="J720" s="134">
        <v>0.3659722222222222</v>
      </c>
      <c r="K720" s="135">
        <v>1.4</v>
      </c>
      <c r="L720" s="75">
        <v>1</v>
      </c>
      <c r="M720" s="75" t="s">
        <v>638</v>
      </c>
      <c r="N720" s="75" t="s">
        <v>146</v>
      </c>
      <c r="O720" s="75"/>
      <c r="P720" s="74"/>
      <c r="Q720" s="1127"/>
      <c r="R720" s="1128"/>
      <c r="S720" s="1128"/>
      <c r="T720" s="1128"/>
      <c r="U720" s="1128"/>
      <c r="V720" s="1128"/>
      <c r="W720" s="74"/>
      <c r="X720" s="74"/>
      <c r="Y720" s="684" t="s">
        <v>146</v>
      </c>
      <c r="Z720" s="74">
        <v>105.8</v>
      </c>
    </row>
    <row r="721" spans="9:26">
      <c r="I721" s="133">
        <v>46065</v>
      </c>
      <c r="J721" s="134">
        <v>0.3659722222222222</v>
      </c>
      <c r="K721" s="135">
        <v>3.7</v>
      </c>
      <c r="L721" s="75">
        <v>2</v>
      </c>
      <c r="M721" s="75" t="s">
        <v>638</v>
      </c>
      <c r="N721" s="75" t="s">
        <v>146</v>
      </c>
      <c r="O721" s="75"/>
      <c r="P721" s="74"/>
      <c r="Q721" s="1127"/>
      <c r="R721" s="1128"/>
      <c r="S721" s="1128"/>
      <c r="T721" s="1128"/>
      <c r="U721" s="1128"/>
      <c r="V721" s="1128"/>
      <c r="W721" s="74"/>
      <c r="X721" s="74"/>
      <c r="Y721" s="684" t="s">
        <v>494</v>
      </c>
      <c r="Z721" s="74">
        <v>875.95</v>
      </c>
    </row>
    <row r="722" spans="9:26">
      <c r="I722" s="133">
        <v>46065</v>
      </c>
      <c r="J722" s="134">
        <v>0.37777777777777782</v>
      </c>
      <c r="K722" s="135">
        <v>3.05</v>
      </c>
      <c r="L722" s="75">
        <v>1</v>
      </c>
      <c r="M722" s="75" t="s">
        <v>638</v>
      </c>
      <c r="N722" s="75" t="s">
        <v>146</v>
      </c>
      <c r="O722" s="75"/>
      <c r="P722" s="74"/>
      <c r="Q722" s="1127"/>
      <c r="R722" s="1128"/>
      <c r="S722" s="1128"/>
      <c r="T722" s="1128"/>
      <c r="U722" s="1128"/>
      <c r="V722" s="1128"/>
      <c r="W722" s="74"/>
      <c r="X722" s="74"/>
      <c r="Y722" s="684" t="s">
        <v>497</v>
      </c>
      <c r="Z722" s="74">
        <v>831.85</v>
      </c>
    </row>
    <row r="723" spans="9:26">
      <c r="I723" s="133">
        <v>46065</v>
      </c>
      <c r="J723" s="134">
        <v>0.38055555555555548</v>
      </c>
      <c r="K723" s="135">
        <v>3.4</v>
      </c>
      <c r="L723" s="75">
        <v>1</v>
      </c>
      <c r="M723" s="75" t="s">
        <v>638</v>
      </c>
      <c r="N723" s="75" t="s">
        <v>146</v>
      </c>
      <c r="O723" s="75"/>
      <c r="P723" s="74"/>
      <c r="Q723" s="1127"/>
      <c r="R723" s="1128"/>
      <c r="S723" s="1128"/>
      <c r="T723" s="1128"/>
      <c r="U723" s="1128"/>
      <c r="V723" s="1128"/>
      <c r="W723" s="74"/>
      <c r="X723" s="74"/>
      <c r="Y723" s="684">
        <v>45928</v>
      </c>
      <c r="Z723" s="74">
        <v>1818.9</v>
      </c>
    </row>
    <row r="724" spans="9:26">
      <c r="I724" s="133">
        <v>46065</v>
      </c>
      <c r="J724" s="134">
        <v>0.38472222222222219</v>
      </c>
      <c r="K724" s="135">
        <v>5.25</v>
      </c>
      <c r="L724" s="75">
        <v>1</v>
      </c>
      <c r="M724" s="75" t="s">
        <v>638</v>
      </c>
      <c r="N724" s="75" t="s">
        <v>146</v>
      </c>
      <c r="O724" s="75"/>
      <c r="P724" s="74"/>
      <c r="Q724" s="1127"/>
      <c r="R724" s="1128"/>
      <c r="S724" s="1128"/>
      <c r="T724" s="1128"/>
      <c r="U724" s="1128"/>
      <c r="V724" s="1128"/>
      <c r="W724" s="74"/>
      <c r="X724" s="74"/>
      <c r="Y724" s="684" t="s">
        <v>146</v>
      </c>
      <c r="Z724" s="74">
        <v>269.8</v>
      </c>
    </row>
    <row r="725" spans="9:26">
      <c r="I725" s="133">
        <v>46065</v>
      </c>
      <c r="J725" s="134">
        <v>0.40694444444444439</v>
      </c>
      <c r="K725" s="135">
        <v>1.4</v>
      </c>
      <c r="L725" s="75">
        <v>1</v>
      </c>
      <c r="M725" s="75" t="s">
        <v>638</v>
      </c>
      <c r="N725" s="75" t="s">
        <v>146</v>
      </c>
      <c r="O725" s="75"/>
      <c r="P725" s="74"/>
      <c r="Q725" s="1127"/>
      <c r="R725" s="1128"/>
      <c r="S725" s="1128"/>
      <c r="T725" s="1128"/>
      <c r="U725" s="1128"/>
      <c r="V725" s="1128"/>
      <c r="W725" s="74"/>
      <c r="X725" s="74"/>
      <c r="Y725" s="684" t="s">
        <v>494</v>
      </c>
      <c r="Z725" s="74">
        <v>1266.45</v>
      </c>
    </row>
    <row r="726" spans="9:26">
      <c r="I726" s="133">
        <v>46065</v>
      </c>
      <c r="J726" s="134">
        <v>0.40833333333333333</v>
      </c>
      <c r="K726" s="135">
        <v>2.4500000000000002</v>
      </c>
      <c r="L726" s="75">
        <v>1</v>
      </c>
      <c r="M726" s="75" t="s">
        <v>638</v>
      </c>
      <c r="N726" s="75" t="s">
        <v>146</v>
      </c>
      <c r="O726" s="75"/>
      <c r="P726" s="74"/>
      <c r="Q726" s="1127"/>
      <c r="R726" s="1128"/>
      <c r="S726" s="1128"/>
      <c r="T726" s="1128"/>
      <c r="U726" s="1128"/>
      <c r="V726" s="1128"/>
      <c r="W726" s="74"/>
      <c r="X726" s="74"/>
      <c r="Y726" s="684" t="s">
        <v>497</v>
      </c>
      <c r="Z726" s="74">
        <v>282.64999999999998</v>
      </c>
    </row>
    <row r="727" spans="9:26">
      <c r="I727" s="133">
        <v>46065</v>
      </c>
      <c r="J727" s="134">
        <v>0.40902777777777782</v>
      </c>
      <c r="K727" s="135">
        <v>6.5</v>
      </c>
      <c r="L727" s="75">
        <v>1</v>
      </c>
      <c r="M727" s="75" t="s">
        <v>638</v>
      </c>
      <c r="N727" s="75" t="s">
        <v>146</v>
      </c>
      <c r="O727" s="75"/>
      <c r="P727" s="74"/>
      <c r="Q727" s="1127"/>
      <c r="R727" s="1128"/>
      <c r="S727" s="1128"/>
      <c r="T727" s="1128"/>
      <c r="U727" s="1128"/>
      <c r="V727" s="1128"/>
      <c r="W727" s="74"/>
      <c r="X727" s="74"/>
      <c r="Y727" s="684">
        <v>45931</v>
      </c>
      <c r="Z727" s="74">
        <v>877.85</v>
      </c>
    </row>
    <row r="728" spans="9:26">
      <c r="I728" s="133">
        <v>46065</v>
      </c>
      <c r="J728" s="134">
        <v>0.41041666666666671</v>
      </c>
      <c r="K728" s="135">
        <v>2.4500000000000002</v>
      </c>
      <c r="L728" s="75">
        <v>1</v>
      </c>
      <c r="M728" s="75" t="s">
        <v>638</v>
      </c>
      <c r="N728" s="75" t="s">
        <v>146</v>
      </c>
      <c r="O728" s="75"/>
      <c r="P728" s="74"/>
      <c r="Q728" s="1127"/>
      <c r="R728" s="1128"/>
      <c r="S728" s="1128"/>
      <c r="T728" s="1128"/>
      <c r="U728" s="1128"/>
      <c r="V728" s="1128"/>
      <c r="W728" s="74"/>
      <c r="X728" s="74"/>
      <c r="Y728" s="684" t="s">
        <v>146</v>
      </c>
      <c r="Z728" s="74">
        <v>152.80000000000001</v>
      </c>
    </row>
    <row r="729" spans="9:26">
      <c r="I729" s="133">
        <v>46065</v>
      </c>
      <c r="J729" s="134">
        <v>0.41249999999999998</v>
      </c>
      <c r="K729" s="135">
        <v>2.5499999999999998</v>
      </c>
      <c r="L729" s="75">
        <v>1</v>
      </c>
      <c r="M729" s="75" t="s">
        <v>638</v>
      </c>
      <c r="N729" s="75" t="s">
        <v>146</v>
      </c>
      <c r="O729" s="75"/>
      <c r="P729" s="74"/>
      <c r="Q729" s="1127"/>
      <c r="R729" s="1128"/>
      <c r="S729" s="1128"/>
      <c r="T729" s="1128"/>
      <c r="U729" s="1128"/>
      <c r="V729" s="1128"/>
      <c r="W729" s="74"/>
      <c r="X729" s="74"/>
      <c r="Y729" s="684" t="s">
        <v>494</v>
      </c>
      <c r="Z729" s="74">
        <v>440.65</v>
      </c>
    </row>
    <row r="730" spans="9:26">
      <c r="I730" s="133">
        <v>46065</v>
      </c>
      <c r="J730" s="134">
        <v>0.41597222222222219</v>
      </c>
      <c r="K730" s="135">
        <v>7.55</v>
      </c>
      <c r="L730" s="75">
        <v>1</v>
      </c>
      <c r="M730" s="75" t="s">
        <v>638</v>
      </c>
      <c r="N730" s="75" t="s">
        <v>146</v>
      </c>
      <c r="O730" s="75"/>
      <c r="P730" s="74"/>
      <c r="Q730" s="1127"/>
      <c r="R730" s="1128"/>
      <c r="S730" s="1128"/>
      <c r="T730" s="1128"/>
      <c r="U730" s="1128"/>
      <c r="V730" s="1128"/>
      <c r="W730" s="74"/>
      <c r="X730" s="74"/>
      <c r="Y730" s="684" t="s">
        <v>497</v>
      </c>
      <c r="Z730" s="74">
        <v>284.39999999999998</v>
      </c>
    </row>
    <row r="731" spans="9:26">
      <c r="I731" s="133">
        <v>46065</v>
      </c>
      <c r="J731" s="134">
        <v>0.41666666666666669</v>
      </c>
      <c r="K731" s="135">
        <v>1.7</v>
      </c>
      <c r="L731" s="75">
        <v>1</v>
      </c>
      <c r="M731" s="75" t="s">
        <v>638</v>
      </c>
      <c r="N731" s="75" t="s">
        <v>146</v>
      </c>
      <c r="O731" s="75"/>
      <c r="P731" s="74"/>
      <c r="Q731" s="1127"/>
      <c r="R731" s="1128"/>
      <c r="S731" s="1128"/>
      <c r="T731" s="1128"/>
      <c r="U731" s="1128"/>
      <c r="V731" s="1128"/>
      <c r="W731" s="74"/>
      <c r="X731" s="74"/>
      <c r="Y731" s="684">
        <v>45932</v>
      </c>
      <c r="Z731" s="74">
        <v>574.45000000000005</v>
      </c>
    </row>
    <row r="732" spans="9:26">
      <c r="I732" s="133">
        <v>46065</v>
      </c>
      <c r="J732" s="134">
        <v>0.41666666666666669</v>
      </c>
      <c r="K732" s="135">
        <v>1.7</v>
      </c>
      <c r="L732" s="75">
        <v>1</v>
      </c>
      <c r="M732" s="75" t="s">
        <v>638</v>
      </c>
      <c r="N732" s="75" t="s">
        <v>146</v>
      </c>
      <c r="O732" s="75"/>
      <c r="P732" s="74"/>
      <c r="Q732" s="1127"/>
      <c r="R732" s="1128"/>
      <c r="S732" s="1128"/>
      <c r="T732" s="1128"/>
      <c r="U732" s="1128"/>
      <c r="V732" s="1128"/>
      <c r="W732" s="74"/>
      <c r="X732" s="74"/>
      <c r="Y732" s="684" t="s">
        <v>146</v>
      </c>
      <c r="Z732" s="74">
        <v>113.8</v>
      </c>
    </row>
    <row r="733" spans="9:26">
      <c r="I733" s="133">
        <v>46065</v>
      </c>
      <c r="J733" s="134">
        <v>0.42430555555555549</v>
      </c>
      <c r="K733" s="135">
        <v>1.7</v>
      </c>
      <c r="L733" s="75">
        <v>1</v>
      </c>
      <c r="M733" s="75" t="s">
        <v>638</v>
      </c>
      <c r="N733" s="75" t="s">
        <v>146</v>
      </c>
      <c r="O733" s="75"/>
      <c r="P733" s="74"/>
      <c r="Q733" s="1127"/>
      <c r="R733" s="1128"/>
      <c r="S733" s="1128"/>
      <c r="T733" s="1128"/>
      <c r="U733" s="1128"/>
      <c r="V733" s="1128"/>
      <c r="W733" s="74"/>
      <c r="X733" s="74"/>
      <c r="Y733" s="684" t="s">
        <v>494</v>
      </c>
      <c r="Z733" s="74">
        <v>334.65</v>
      </c>
    </row>
    <row r="734" spans="9:26">
      <c r="I734" s="133">
        <v>46065</v>
      </c>
      <c r="J734" s="134">
        <v>0.43472222222222218</v>
      </c>
      <c r="K734" s="135">
        <v>3.25</v>
      </c>
      <c r="L734" s="75">
        <v>2</v>
      </c>
      <c r="M734" s="75" t="s">
        <v>638</v>
      </c>
      <c r="N734" s="75" t="s">
        <v>146</v>
      </c>
      <c r="O734" s="75"/>
      <c r="P734" s="74"/>
      <c r="Q734" s="1127"/>
      <c r="R734" s="1128"/>
      <c r="S734" s="1128"/>
      <c r="T734" s="1128"/>
      <c r="U734" s="1128"/>
      <c r="V734" s="1128"/>
      <c r="W734" s="74"/>
      <c r="X734" s="74"/>
      <c r="Y734" s="684" t="s">
        <v>497</v>
      </c>
      <c r="Z734" s="74">
        <v>126</v>
      </c>
    </row>
    <row r="735" spans="9:26">
      <c r="I735" s="133">
        <v>46065</v>
      </c>
      <c r="J735" s="134">
        <v>0.44097222222222221</v>
      </c>
      <c r="K735" s="135">
        <v>1.5</v>
      </c>
      <c r="L735" s="75">
        <v>1</v>
      </c>
      <c r="M735" s="75" t="s">
        <v>638</v>
      </c>
      <c r="N735" s="75" t="s">
        <v>146</v>
      </c>
      <c r="O735" s="75"/>
      <c r="P735" s="74"/>
      <c r="Q735" s="1127"/>
      <c r="R735" s="1128"/>
      <c r="S735" s="1128"/>
      <c r="T735" s="1128"/>
      <c r="U735" s="1128"/>
      <c r="V735" s="1128"/>
      <c r="W735" s="74"/>
      <c r="X735" s="74"/>
      <c r="Y735" s="684">
        <v>45933</v>
      </c>
      <c r="Z735" s="74">
        <v>1836.06</v>
      </c>
    </row>
    <row r="736" spans="9:26">
      <c r="I736" s="133">
        <v>46065</v>
      </c>
      <c r="J736" s="134">
        <v>0.44166666666666671</v>
      </c>
      <c r="K736" s="135">
        <v>3</v>
      </c>
      <c r="L736" s="75">
        <v>1</v>
      </c>
      <c r="M736" s="75" t="s">
        <v>638</v>
      </c>
      <c r="N736" s="75" t="s">
        <v>146</v>
      </c>
      <c r="O736" s="75"/>
      <c r="P736" s="74"/>
      <c r="Q736" s="1127"/>
      <c r="R736" s="1128"/>
      <c r="S736" s="1128"/>
      <c r="T736" s="1128"/>
      <c r="U736" s="1128"/>
      <c r="V736" s="1128"/>
      <c r="W736" s="74"/>
      <c r="X736" s="74"/>
      <c r="Y736" s="684" t="s">
        <v>146</v>
      </c>
      <c r="Z736" s="74">
        <v>119.55</v>
      </c>
    </row>
    <row r="737" spans="9:26">
      <c r="I737" s="133">
        <v>46065</v>
      </c>
      <c r="J737" s="134">
        <v>0.45763888888888887</v>
      </c>
      <c r="K737" s="135">
        <v>2.65</v>
      </c>
      <c r="L737" s="75">
        <v>1</v>
      </c>
      <c r="M737" s="75" t="s">
        <v>638</v>
      </c>
      <c r="N737" s="75" t="s">
        <v>146</v>
      </c>
      <c r="O737" s="75"/>
      <c r="P737" s="74"/>
      <c r="Q737" s="1127"/>
      <c r="R737" s="1128"/>
      <c r="S737" s="1128"/>
      <c r="T737" s="1128"/>
      <c r="U737" s="1128"/>
      <c r="V737" s="1128"/>
      <c r="W737" s="74"/>
      <c r="X737" s="74"/>
      <c r="Y737" s="684" t="s">
        <v>494</v>
      </c>
      <c r="Z737" s="74">
        <v>599.11</v>
      </c>
    </row>
    <row r="738" spans="9:26">
      <c r="I738" s="133">
        <v>46065</v>
      </c>
      <c r="J738" s="134">
        <v>0.46805555555555561</v>
      </c>
      <c r="K738" s="135">
        <v>1.5</v>
      </c>
      <c r="L738" s="75">
        <v>1</v>
      </c>
      <c r="M738" s="75" t="s">
        <v>638</v>
      </c>
      <c r="N738" s="75" t="s">
        <v>146</v>
      </c>
      <c r="O738" s="75"/>
      <c r="P738" s="74"/>
      <c r="Q738" s="1127"/>
      <c r="R738" s="1128"/>
      <c r="S738" s="1128"/>
      <c r="T738" s="1128"/>
      <c r="U738" s="1128"/>
      <c r="V738" s="1128"/>
      <c r="W738" s="74"/>
      <c r="X738" s="74"/>
      <c r="Y738" s="684" t="s">
        <v>497</v>
      </c>
      <c r="Z738" s="74">
        <v>1117.4000000000001</v>
      </c>
    </row>
    <row r="739" spans="9:26">
      <c r="I739" s="133">
        <v>46065</v>
      </c>
      <c r="J739" s="134">
        <v>0.47708333333333341</v>
      </c>
      <c r="K739" s="135">
        <v>8.3000000000000007</v>
      </c>
      <c r="L739" s="75">
        <v>2</v>
      </c>
      <c r="M739" s="75" t="s">
        <v>638</v>
      </c>
      <c r="N739" s="75" t="s">
        <v>146</v>
      </c>
      <c r="O739" s="75"/>
      <c r="P739" s="74"/>
      <c r="Q739" s="1127"/>
      <c r="R739" s="1128"/>
      <c r="S739" s="1128"/>
      <c r="T739" s="1128"/>
      <c r="U739" s="1128"/>
      <c r="V739" s="1128"/>
      <c r="W739" s="74"/>
      <c r="X739" s="74"/>
      <c r="Y739" s="684">
        <v>45934</v>
      </c>
      <c r="Z739" s="74">
        <v>1986.9</v>
      </c>
    </row>
    <row r="740" spans="9:26">
      <c r="I740" s="133">
        <v>46065</v>
      </c>
      <c r="J740" s="134">
        <v>0.49930555555555561</v>
      </c>
      <c r="K740" s="135">
        <v>3</v>
      </c>
      <c r="L740" s="75">
        <v>2</v>
      </c>
      <c r="M740" s="75" t="s">
        <v>638</v>
      </c>
      <c r="N740" s="75" t="s">
        <v>146</v>
      </c>
      <c r="O740" s="75"/>
      <c r="P740" s="74"/>
      <c r="Q740" s="1127"/>
      <c r="R740" s="1128"/>
      <c r="S740" s="1128"/>
      <c r="T740" s="1128"/>
      <c r="U740" s="1128"/>
      <c r="V740" s="1128"/>
      <c r="W740" s="74"/>
      <c r="X740" s="74"/>
      <c r="Y740" s="684" t="s">
        <v>146</v>
      </c>
      <c r="Z740" s="74">
        <v>179.35</v>
      </c>
    </row>
    <row r="741" spans="9:26">
      <c r="I741" s="133">
        <v>46065</v>
      </c>
      <c r="J741" s="134">
        <v>0.54166666666666663</v>
      </c>
      <c r="K741" s="135">
        <v>3.2</v>
      </c>
      <c r="L741" s="75">
        <v>3</v>
      </c>
      <c r="M741" s="75" t="s">
        <v>638</v>
      </c>
      <c r="N741" s="75" t="s">
        <v>494</v>
      </c>
      <c r="O741" s="75"/>
      <c r="P741" s="74"/>
      <c r="Q741" s="1127"/>
      <c r="R741" s="1128"/>
      <c r="S741" s="1128"/>
      <c r="T741" s="1128"/>
      <c r="U741" s="1128"/>
      <c r="V741" s="1128"/>
      <c r="W741" s="74"/>
      <c r="X741" s="74"/>
      <c r="Y741" s="684" t="s">
        <v>494</v>
      </c>
      <c r="Z741" s="74">
        <v>838.05</v>
      </c>
    </row>
    <row r="742" spans="9:26">
      <c r="I742" s="133">
        <v>46065</v>
      </c>
      <c r="J742" s="134">
        <v>0.54166666666666663</v>
      </c>
      <c r="K742" s="135">
        <v>3.2</v>
      </c>
      <c r="L742" s="75">
        <v>3</v>
      </c>
      <c r="M742" s="75" t="s">
        <v>638</v>
      </c>
      <c r="N742" s="75" t="s">
        <v>494</v>
      </c>
      <c r="O742" s="75"/>
      <c r="P742" s="74"/>
      <c r="Q742" s="1127"/>
      <c r="R742" s="1128"/>
      <c r="S742" s="1128"/>
      <c r="T742" s="1128"/>
      <c r="U742" s="1128"/>
      <c r="V742" s="1128"/>
      <c r="W742" s="74"/>
      <c r="X742" s="74"/>
      <c r="Y742" s="684" t="s">
        <v>497</v>
      </c>
      <c r="Z742" s="74">
        <v>969.5</v>
      </c>
    </row>
    <row r="743" spans="9:26">
      <c r="I743" s="133">
        <v>46065</v>
      </c>
      <c r="J743" s="134">
        <v>0.61944444444444446</v>
      </c>
      <c r="K743" s="135">
        <v>1.7</v>
      </c>
      <c r="L743" s="75">
        <v>1</v>
      </c>
      <c r="M743" s="75" t="s">
        <v>638</v>
      </c>
      <c r="N743" s="75" t="s">
        <v>494</v>
      </c>
      <c r="O743" s="75"/>
      <c r="P743" s="74"/>
      <c r="Q743" s="1127"/>
      <c r="R743" s="1128"/>
      <c r="S743" s="1128"/>
      <c r="T743" s="1128"/>
      <c r="U743" s="1128"/>
      <c r="V743" s="1128"/>
      <c r="W743" s="74"/>
      <c r="X743" s="74"/>
      <c r="Y743" s="684">
        <v>45935</v>
      </c>
      <c r="Z743" s="74">
        <v>2106.25</v>
      </c>
    </row>
    <row r="744" spans="9:26">
      <c r="I744" s="133">
        <v>46065</v>
      </c>
      <c r="J744" s="134">
        <v>0.61944444444444446</v>
      </c>
      <c r="K744" s="135">
        <v>1.7</v>
      </c>
      <c r="L744" s="75">
        <v>1</v>
      </c>
      <c r="M744" s="75" t="s">
        <v>638</v>
      </c>
      <c r="N744" s="75" t="s">
        <v>494</v>
      </c>
      <c r="O744" s="75"/>
      <c r="P744" s="74"/>
      <c r="Q744" s="1127"/>
      <c r="R744" s="1128"/>
      <c r="S744" s="1128"/>
      <c r="T744" s="1128"/>
      <c r="U744" s="1128"/>
      <c r="V744" s="1128"/>
      <c r="W744" s="74"/>
      <c r="X744" s="74"/>
      <c r="Y744" s="684" t="s">
        <v>146</v>
      </c>
      <c r="Z744" s="74">
        <v>311.05</v>
      </c>
    </row>
    <row r="745" spans="9:26">
      <c r="I745" s="133">
        <v>46065</v>
      </c>
      <c r="J745" s="134">
        <v>0.66874999999999996</v>
      </c>
      <c r="K745" s="135">
        <v>15.65</v>
      </c>
      <c r="L745" s="75">
        <v>1</v>
      </c>
      <c r="M745" s="75" t="s">
        <v>638</v>
      </c>
      <c r="N745" s="75" t="s">
        <v>494</v>
      </c>
      <c r="O745" s="75"/>
      <c r="P745" s="74"/>
      <c r="Q745" s="1127"/>
      <c r="R745" s="1128"/>
      <c r="S745" s="1128"/>
      <c r="T745" s="1128"/>
      <c r="U745" s="1128"/>
      <c r="V745" s="1128"/>
      <c r="W745" s="74"/>
      <c r="X745" s="74"/>
      <c r="Y745" s="684" t="s">
        <v>494</v>
      </c>
      <c r="Z745" s="74">
        <v>1515.45</v>
      </c>
    </row>
    <row r="746" spans="9:26">
      <c r="I746" s="133">
        <v>46065</v>
      </c>
      <c r="J746" s="134">
        <v>0.66874999999999996</v>
      </c>
      <c r="K746" s="135">
        <v>15.65</v>
      </c>
      <c r="L746" s="75">
        <v>1</v>
      </c>
      <c r="M746" s="75" t="s">
        <v>638</v>
      </c>
      <c r="N746" s="75" t="s">
        <v>494</v>
      </c>
      <c r="O746" s="75"/>
      <c r="P746" s="74"/>
      <c r="Q746" s="1127"/>
      <c r="R746" s="1128"/>
      <c r="S746" s="1128"/>
      <c r="T746" s="1128"/>
      <c r="U746" s="1128"/>
      <c r="V746" s="1128"/>
      <c r="W746" s="74"/>
      <c r="X746" s="74"/>
      <c r="Y746" s="684" t="s">
        <v>497</v>
      </c>
      <c r="Z746" s="74">
        <v>279.75</v>
      </c>
    </row>
    <row r="747" spans="9:26">
      <c r="I747" s="133">
        <v>46065</v>
      </c>
      <c r="J747" s="134">
        <v>0.82638888888888884</v>
      </c>
      <c r="K747" s="135">
        <v>6.15</v>
      </c>
      <c r="L747" s="75">
        <v>2</v>
      </c>
      <c r="M747" s="75" t="s">
        <v>638</v>
      </c>
      <c r="N747" s="75" t="s">
        <v>497</v>
      </c>
      <c r="O747" s="75"/>
      <c r="P747" s="74"/>
      <c r="Q747" s="1127"/>
      <c r="R747" s="1128"/>
      <c r="S747" s="1128"/>
      <c r="T747" s="1128"/>
      <c r="U747" s="1128"/>
      <c r="V747" s="1128"/>
      <c r="W747" s="74"/>
      <c r="X747" s="74"/>
      <c r="Y747" s="684">
        <v>45938</v>
      </c>
      <c r="Z747" s="74">
        <v>903.4</v>
      </c>
    </row>
    <row r="748" spans="9:26">
      <c r="I748" s="133">
        <v>46065</v>
      </c>
      <c r="J748" s="134">
        <v>0.83333333333333337</v>
      </c>
      <c r="K748" s="135">
        <v>3.4</v>
      </c>
      <c r="L748" s="75">
        <v>1</v>
      </c>
      <c r="M748" s="75" t="s">
        <v>638</v>
      </c>
      <c r="N748" s="75" t="s">
        <v>497</v>
      </c>
      <c r="O748" s="75"/>
      <c r="P748" s="74"/>
      <c r="Q748" s="1127"/>
      <c r="R748" s="1128"/>
      <c r="S748" s="1128"/>
      <c r="T748" s="1128"/>
      <c r="U748" s="1128"/>
      <c r="V748" s="1128"/>
      <c r="W748" s="74"/>
      <c r="X748" s="74"/>
      <c r="Y748" s="684" t="s">
        <v>146</v>
      </c>
      <c r="Z748" s="74">
        <v>258</v>
      </c>
    </row>
    <row r="749" spans="9:26">
      <c r="I749" s="133">
        <v>46065</v>
      </c>
      <c r="J749" s="134">
        <v>0.8666666666666667</v>
      </c>
      <c r="K749" s="135">
        <v>25.4</v>
      </c>
      <c r="L749" s="75">
        <v>2</v>
      </c>
      <c r="M749" s="75" t="s">
        <v>638</v>
      </c>
      <c r="N749" s="75" t="s">
        <v>497</v>
      </c>
      <c r="O749" s="75"/>
      <c r="P749" s="74"/>
      <c r="Q749" s="1127"/>
      <c r="R749" s="1128"/>
      <c r="S749" s="1128"/>
      <c r="T749" s="1128"/>
      <c r="U749" s="1128"/>
      <c r="V749" s="1128"/>
      <c r="W749" s="74"/>
      <c r="X749" s="74"/>
      <c r="Y749" s="684" t="s">
        <v>494</v>
      </c>
      <c r="Z749" s="74">
        <v>197.95</v>
      </c>
    </row>
    <row r="750" spans="9:26">
      <c r="I750" s="133">
        <v>46066</v>
      </c>
      <c r="J750" s="134">
        <v>0.29166666666666669</v>
      </c>
      <c r="K750" s="135">
        <v>3.6</v>
      </c>
      <c r="L750" s="75">
        <v>1</v>
      </c>
      <c r="M750" s="75" t="s">
        <v>633</v>
      </c>
      <c r="N750" s="75" t="s">
        <v>146</v>
      </c>
      <c r="O750" s="75"/>
      <c r="P750" s="74"/>
      <c r="Q750" s="1127"/>
      <c r="R750" s="1128"/>
      <c r="S750" s="1128"/>
      <c r="T750" s="1128"/>
      <c r="U750" s="1128"/>
      <c r="V750" s="1128"/>
      <c r="W750" s="74"/>
      <c r="X750" s="74"/>
      <c r="Y750" s="684" t="s">
        <v>497</v>
      </c>
      <c r="Z750" s="74">
        <v>447.45</v>
      </c>
    </row>
    <row r="751" spans="9:26">
      <c r="I751" s="133">
        <v>46066</v>
      </c>
      <c r="J751" s="134">
        <v>0.30277777777777781</v>
      </c>
      <c r="K751" s="135">
        <v>9.25</v>
      </c>
      <c r="L751" s="75">
        <v>1</v>
      </c>
      <c r="M751" s="75" t="s">
        <v>633</v>
      </c>
      <c r="N751" s="75" t="s">
        <v>146</v>
      </c>
      <c r="O751" s="75"/>
      <c r="P751" s="74"/>
      <c r="Q751" s="1127"/>
      <c r="R751" s="1128"/>
      <c r="S751" s="1128"/>
      <c r="T751" s="1128"/>
      <c r="U751" s="1128"/>
      <c r="V751" s="1128"/>
      <c r="W751" s="74"/>
      <c r="X751" s="74"/>
      <c r="Y751" s="684">
        <v>45939</v>
      </c>
      <c r="Z751" s="74">
        <v>877.65</v>
      </c>
    </row>
    <row r="752" spans="9:26">
      <c r="I752" s="133">
        <v>46066</v>
      </c>
      <c r="J752" s="134">
        <v>0.3298611111111111</v>
      </c>
      <c r="K752" s="135">
        <v>3.4</v>
      </c>
      <c r="L752" s="75">
        <v>2</v>
      </c>
      <c r="M752" s="75" t="s">
        <v>633</v>
      </c>
      <c r="N752" s="75" t="s">
        <v>146</v>
      </c>
      <c r="O752" s="75"/>
      <c r="P752" s="74"/>
      <c r="Q752" s="1127"/>
      <c r="R752" s="1128"/>
      <c r="S752" s="1128"/>
      <c r="T752" s="1128"/>
      <c r="U752" s="1128"/>
      <c r="V752" s="1128"/>
      <c r="W752" s="74"/>
      <c r="X752" s="74"/>
      <c r="Y752" s="684" t="s">
        <v>146</v>
      </c>
      <c r="Z752" s="74">
        <v>122.45</v>
      </c>
    </row>
    <row r="753" spans="9:26">
      <c r="I753" s="133">
        <v>46066</v>
      </c>
      <c r="J753" s="134">
        <v>0.35208333333333341</v>
      </c>
      <c r="K753" s="135">
        <v>1.5</v>
      </c>
      <c r="L753" s="75">
        <v>1</v>
      </c>
      <c r="M753" s="75" t="s">
        <v>633</v>
      </c>
      <c r="N753" s="75" t="s">
        <v>146</v>
      </c>
      <c r="O753" s="75"/>
      <c r="P753" s="74"/>
      <c r="Q753" s="1127"/>
      <c r="R753" s="1128"/>
      <c r="S753" s="1128"/>
      <c r="T753" s="1128"/>
      <c r="U753" s="1128"/>
      <c r="V753" s="1128"/>
      <c r="W753" s="74"/>
      <c r="X753" s="74"/>
      <c r="Y753" s="684" t="s">
        <v>494</v>
      </c>
      <c r="Z753" s="74">
        <v>531.20000000000005</v>
      </c>
    </row>
    <row r="754" spans="9:26">
      <c r="I754" s="133">
        <v>46066</v>
      </c>
      <c r="J754" s="134">
        <v>0.3576388888888889</v>
      </c>
      <c r="K754" s="135">
        <v>3.2</v>
      </c>
      <c r="L754" s="75">
        <v>1</v>
      </c>
      <c r="M754" s="75" t="s">
        <v>633</v>
      </c>
      <c r="N754" s="75" t="s">
        <v>146</v>
      </c>
      <c r="O754" s="75"/>
      <c r="P754" s="74"/>
      <c r="Q754" s="1127"/>
      <c r="R754" s="1128"/>
      <c r="S754" s="1128"/>
      <c r="T754" s="1128"/>
      <c r="U754" s="1128"/>
      <c r="V754" s="1128"/>
      <c r="W754" s="74"/>
      <c r="X754" s="74"/>
      <c r="Y754" s="684" t="s">
        <v>497</v>
      </c>
      <c r="Z754" s="74">
        <v>224</v>
      </c>
    </row>
    <row r="755" spans="9:26">
      <c r="I755" s="133">
        <v>46066</v>
      </c>
      <c r="J755" s="134">
        <v>0.36041666666666672</v>
      </c>
      <c r="K755" s="135">
        <v>1.5</v>
      </c>
      <c r="L755" s="75">
        <v>1</v>
      </c>
      <c r="M755" s="75" t="s">
        <v>633</v>
      </c>
      <c r="N755" s="75" t="s">
        <v>146</v>
      </c>
      <c r="O755" s="75"/>
      <c r="P755" s="74"/>
      <c r="Q755" s="1127"/>
      <c r="R755" s="1128"/>
      <c r="S755" s="1128"/>
      <c r="T755" s="1128"/>
      <c r="U755" s="1128"/>
      <c r="V755" s="1128"/>
      <c r="W755" s="74"/>
      <c r="X755" s="74"/>
      <c r="Y755" s="684">
        <v>45940</v>
      </c>
      <c r="Z755" s="74">
        <v>2219.1999999999998</v>
      </c>
    </row>
    <row r="756" spans="9:26">
      <c r="I756" s="133">
        <v>46066</v>
      </c>
      <c r="J756" s="134">
        <v>0.37361111111111112</v>
      </c>
      <c r="K756" s="135">
        <v>3</v>
      </c>
      <c r="L756" s="75">
        <v>1</v>
      </c>
      <c r="M756" s="75" t="s">
        <v>633</v>
      </c>
      <c r="N756" s="75" t="s">
        <v>146</v>
      </c>
      <c r="O756" s="75"/>
      <c r="P756" s="74"/>
      <c r="Q756" s="1127"/>
      <c r="R756" s="1128"/>
      <c r="S756" s="1128"/>
      <c r="T756" s="1128"/>
      <c r="U756" s="1128"/>
      <c r="V756" s="1128"/>
      <c r="W756" s="74"/>
      <c r="X756" s="74"/>
      <c r="Y756" s="684" t="s">
        <v>146</v>
      </c>
      <c r="Z756" s="74">
        <v>156.85</v>
      </c>
    </row>
    <row r="757" spans="9:26">
      <c r="I757" s="133">
        <v>46066</v>
      </c>
      <c r="J757" s="134">
        <v>0.37430555555555561</v>
      </c>
      <c r="K757" s="135">
        <v>2.9</v>
      </c>
      <c r="L757" s="75">
        <v>2</v>
      </c>
      <c r="M757" s="75" t="s">
        <v>633</v>
      </c>
      <c r="N757" s="75" t="s">
        <v>146</v>
      </c>
      <c r="O757" s="75"/>
      <c r="P757" s="74"/>
      <c r="Q757" s="1127"/>
      <c r="R757" s="1128"/>
      <c r="S757" s="1128"/>
      <c r="T757" s="1128"/>
      <c r="U757" s="1128"/>
      <c r="V757" s="1128"/>
      <c r="W757" s="74"/>
      <c r="X757" s="74"/>
      <c r="Y757" s="684" t="s">
        <v>494</v>
      </c>
      <c r="Z757" s="74">
        <v>442.8</v>
      </c>
    </row>
    <row r="758" spans="9:26">
      <c r="I758" s="133">
        <v>46066</v>
      </c>
      <c r="J758" s="134">
        <v>0.37569444444444439</v>
      </c>
      <c r="K758" s="135">
        <v>12.95</v>
      </c>
      <c r="L758" s="75">
        <v>3</v>
      </c>
      <c r="M758" s="75" t="s">
        <v>633</v>
      </c>
      <c r="N758" s="75" t="s">
        <v>146</v>
      </c>
      <c r="O758" s="75"/>
      <c r="P758" s="74"/>
      <c r="Q758" s="1127"/>
      <c r="R758" s="1128"/>
      <c r="S758" s="1128"/>
      <c r="T758" s="1128"/>
      <c r="U758" s="1128"/>
      <c r="V758" s="1128"/>
      <c r="W758" s="74"/>
      <c r="X758" s="74"/>
      <c r="Y758" s="684" t="s">
        <v>497</v>
      </c>
      <c r="Z758" s="74">
        <v>1619.55</v>
      </c>
    </row>
    <row r="759" spans="9:26">
      <c r="I759" s="133">
        <v>46066</v>
      </c>
      <c r="J759" s="134">
        <v>0.38194444444444442</v>
      </c>
      <c r="K759" s="135">
        <v>4.05</v>
      </c>
      <c r="L759" s="75">
        <v>2</v>
      </c>
      <c r="M759" s="75" t="s">
        <v>633</v>
      </c>
      <c r="N759" s="75" t="s">
        <v>146</v>
      </c>
      <c r="O759" s="75"/>
      <c r="P759" s="74"/>
      <c r="Q759" s="1127"/>
      <c r="R759" s="1128"/>
      <c r="S759" s="1128"/>
      <c r="T759" s="1128"/>
      <c r="U759" s="1128"/>
      <c r="V759" s="1128"/>
      <c r="W759" s="74"/>
      <c r="X759" s="74"/>
      <c r="Y759" s="684">
        <v>45941</v>
      </c>
      <c r="Z759" s="74">
        <v>5015.8500000000004</v>
      </c>
    </row>
    <row r="760" spans="9:26">
      <c r="I760" s="133">
        <v>46066</v>
      </c>
      <c r="J760" s="134">
        <v>0.39652777777777781</v>
      </c>
      <c r="K760" s="135">
        <v>1.7</v>
      </c>
      <c r="L760" s="75">
        <v>1</v>
      </c>
      <c r="M760" s="75" t="s">
        <v>633</v>
      </c>
      <c r="N760" s="75" t="s">
        <v>146</v>
      </c>
      <c r="O760" s="75"/>
      <c r="P760" s="74"/>
      <c r="Q760" s="1127"/>
      <c r="R760" s="1128"/>
      <c r="S760" s="1128"/>
      <c r="T760" s="1128"/>
      <c r="U760" s="1128"/>
      <c r="V760" s="1128"/>
      <c r="W760" s="74"/>
      <c r="X760" s="74"/>
      <c r="Y760" s="684" t="s">
        <v>146</v>
      </c>
      <c r="Z760" s="74">
        <v>369.4</v>
      </c>
    </row>
    <row r="761" spans="9:26">
      <c r="I761" s="133">
        <v>46066</v>
      </c>
      <c r="J761" s="134">
        <v>0.39861111111111108</v>
      </c>
      <c r="K761" s="135">
        <v>3.4</v>
      </c>
      <c r="L761" s="75">
        <v>2</v>
      </c>
      <c r="M761" s="75" t="s">
        <v>633</v>
      </c>
      <c r="N761" s="75" t="s">
        <v>146</v>
      </c>
      <c r="O761" s="75"/>
      <c r="P761" s="74"/>
      <c r="Q761" s="1127"/>
      <c r="R761" s="1128"/>
      <c r="S761" s="1128"/>
      <c r="T761" s="1128"/>
      <c r="U761" s="1128"/>
      <c r="V761" s="1128"/>
      <c r="W761" s="74"/>
      <c r="X761" s="74"/>
      <c r="Y761" s="684" t="s">
        <v>494</v>
      </c>
      <c r="Z761" s="74">
        <v>1297.05</v>
      </c>
    </row>
    <row r="762" spans="9:26">
      <c r="I762" s="133">
        <v>46066</v>
      </c>
      <c r="J762" s="134">
        <v>0.40138888888888891</v>
      </c>
      <c r="K762" s="135">
        <v>1.4</v>
      </c>
      <c r="L762" s="75">
        <v>1</v>
      </c>
      <c r="M762" s="75" t="s">
        <v>633</v>
      </c>
      <c r="N762" s="75" t="s">
        <v>146</v>
      </c>
      <c r="O762" s="75"/>
      <c r="P762" s="74"/>
      <c r="Q762" s="1127"/>
      <c r="R762" s="1128"/>
      <c r="S762" s="1128"/>
      <c r="T762" s="1128"/>
      <c r="U762" s="1128"/>
      <c r="V762" s="1128"/>
      <c r="W762" s="74"/>
      <c r="X762" s="74"/>
      <c r="Y762" s="684" t="s">
        <v>497</v>
      </c>
      <c r="Z762" s="74">
        <v>3349.4</v>
      </c>
    </row>
    <row r="763" spans="9:26">
      <c r="I763" s="133">
        <v>46066</v>
      </c>
      <c r="J763" s="134">
        <v>0.40347222222222218</v>
      </c>
      <c r="K763" s="135">
        <v>2.4500000000000002</v>
      </c>
      <c r="L763" s="75">
        <v>1</v>
      </c>
      <c r="M763" s="75" t="s">
        <v>633</v>
      </c>
      <c r="N763" s="75" t="s">
        <v>146</v>
      </c>
      <c r="O763" s="75"/>
      <c r="P763" s="74"/>
      <c r="Q763" s="1127"/>
      <c r="R763" s="1128"/>
      <c r="S763" s="1128"/>
      <c r="T763" s="1128"/>
      <c r="U763" s="1128"/>
      <c r="V763" s="1128"/>
      <c r="W763" s="74"/>
      <c r="X763" s="74"/>
      <c r="Y763" s="684">
        <v>45942</v>
      </c>
      <c r="Z763" s="74">
        <v>2279.6999999999998</v>
      </c>
    </row>
    <row r="764" spans="9:26">
      <c r="I764" s="133">
        <v>46066</v>
      </c>
      <c r="J764" s="134">
        <v>0.40694444444444439</v>
      </c>
      <c r="K764" s="135">
        <v>1.95</v>
      </c>
      <c r="L764" s="75">
        <v>1</v>
      </c>
      <c r="M764" s="75" t="s">
        <v>633</v>
      </c>
      <c r="N764" s="75" t="s">
        <v>146</v>
      </c>
      <c r="O764" s="75"/>
      <c r="P764" s="74"/>
      <c r="Q764" s="1127"/>
      <c r="R764" s="1128"/>
      <c r="S764" s="1128"/>
      <c r="T764" s="1128"/>
      <c r="U764" s="1128"/>
      <c r="V764" s="1128"/>
      <c r="W764" s="74"/>
      <c r="X764" s="74"/>
      <c r="Y764" s="684" t="s">
        <v>146</v>
      </c>
      <c r="Z764" s="74">
        <v>361.4</v>
      </c>
    </row>
    <row r="765" spans="9:26">
      <c r="I765" s="133">
        <v>46066</v>
      </c>
      <c r="J765" s="134">
        <v>0.41388888888888892</v>
      </c>
      <c r="K765" s="135">
        <v>7.7</v>
      </c>
      <c r="L765" s="75">
        <v>2</v>
      </c>
      <c r="M765" s="75" t="s">
        <v>633</v>
      </c>
      <c r="N765" s="75" t="s">
        <v>146</v>
      </c>
      <c r="O765" s="75"/>
      <c r="P765" s="74"/>
      <c r="Q765" s="1127"/>
      <c r="R765" s="1128"/>
      <c r="S765" s="1128"/>
      <c r="T765" s="1128"/>
      <c r="U765" s="1128"/>
      <c r="V765" s="1128"/>
      <c r="W765" s="74"/>
      <c r="X765" s="74"/>
      <c r="Y765" s="684" t="s">
        <v>494</v>
      </c>
      <c r="Z765" s="74">
        <v>1628.3</v>
      </c>
    </row>
    <row r="766" spans="9:26">
      <c r="I766" s="133">
        <v>46066</v>
      </c>
      <c r="J766" s="134">
        <v>0.4152777777777778</v>
      </c>
      <c r="K766" s="135">
        <v>4.2</v>
      </c>
      <c r="L766" s="75">
        <v>2</v>
      </c>
      <c r="M766" s="75" t="s">
        <v>633</v>
      </c>
      <c r="N766" s="75" t="s">
        <v>146</v>
      </c>
      <c r="O766" s="75"/>
      <c r="P766" s="74"/>
      <c r="Q766" s="1127"/>
      <c r="R766" s="1128"/>
      <c r="S766" s="1128"/>
      <c r="T766" s="1128"/>
      <c r="U766" s="1128"/>
      <c r="V766" s="1128"/>
      <c r="W766" s="74"/>
      <c r="X766" s="74"/>
      <c r="Y766" s="684" t="s">
        <v>497</v>
      </c>
      <c r="Z766" s="74">
        <v>290</v>
      </c>
    </row>
    <row r="767" spans="9:26">
      <c r="I767" s="133">
        <v>46066</v>
      </c>
      <c r="J767" s="134">
        <v>0.4152777777777778</v>
      </c>
      <c r="K767" s="135">
        <v>1.5</v>
      </c>
      <c r="L767" s="75">
        <v>1</v>
      </c>
      <c r="M767" s="75" t="s">
        <v>633</v>
      </c>
      <c r="N767" s="75" t="s">
        <v>146</v>
      </c>
      <c r="O767" s="75"/>
      <c r="P767" s="74"/>
      <c r="Q767" s="1127"/>
      <c r="R767" s="1128"/>
      <c r="S767" s="1128"/>
      <c r="T767" s="1128"/>
      <c r="U767" s="1128"/>
      <c r="V767" s="1128"/>
      <c r="W767" s="74"/>
      <c r="X767" s="74"/>
      <c r="Y767" s="684">
        <v>45945</v>
      </c>
      <c r="Z767" s="74">
        <v>1099.97</v>
      </c>
    </row>
    <row r="768" spans="9:26">
      <c r="I768" s="133">
        <v>46066</v>
      </c>
      <c r="J768" s="134">
        <v>0.41944444444444451</v>
      </c>
      <c r="K768" s="135">
        <v>1.5</v>
      </c>
      <c r="L768" s="75">
        <v>1</v>
      </c>
      <c r="M768" s="75" t="s">
        <v>633</v>
      </c>
      <c r="N768" s="75" t="s">
        <v>146</v>
      </c>
      <c r="O768" s="75"/>
      <c r="P768" s="74"/>
      <c r="Q768" s="1127"/>
      <c r="R768" s="1128"/>
      <c r="S768" s="1128"/>
      <c r="T768" s="1128"/>
      <c r="U768" s="1128"/>
      <c r="V768" s="1128"/>
      <c r="W768" s="74"/>
      <c r="X768" s="74"/>
      <c r="Y768" s="684" t="s">
        <v>146</v>
      </c>
      <c r="Z768" s="74">
        <v>179.2</v>
      </c>
    </row>
    <row r="769" spans="9:26">
      <c r="I769" s="133">
        <v>46066</v>
      </c>
      <c r="J769" s="134">
        <v>0.42083333333333328</v>
      </c>
      <c r="K769" s="135">
        <v>7.25</v>
      </c>
      <c r="L769" s="75">
        <v>2</v>
      </c>
      <c r="M769" s="75" t="s">
        <v>633</v>
      </c>
      <c r="N769" s="75" t="s">
        <v>146</v>
      </c>
      <c r="O769" s="75"/>
      <c r="P769" s="74"/>
      <c r="Q769" s="1127"/>
      <c r="R769" s="1128"/>
      <c r="S769" s="1128"/>
      <c r="T769" s="1128"/>
      <c r="U769" s="1128"/>
      <c r="V769" s="1128"/>
      <c r="W769" s="74"/>
      <c r="X769" s="74"/>
      <c r="Y769" s="684" t="s">
        <v>494</v>
      </c>
      <c r="Z769" s="74">
        <v>481.02</v>
      </c>
    </row>
    <row r="770" spans="9:26">
      <c r="I770" s="133">
        <v>46066</v>
      </c>
      <c r="J770" s="134">
        <v>0.4236111111111111</v>
      </c>
      <c r="K770" s="135">
        <v>4.25</v>
      </c>
      <c r="L770" s="75">
        <v>2</v>
      </c>
      <c r="M770" s="75" t="s">
        <v>633</v>
      </c>
      <c r="N770" s="75" t="s">
        <v>146</v>
      </c>
      <c r="O770" s="75"/>
      <c r="P770" s="74"/>
      <c r="Q770" s="1127"/>
      <c r="R770" s="1128"/>
      <c r="S770" s="1128"/>
      <c r="T770" s="1128"/>
      <c r="U770" s="1128"/>
      <c r="V770" s="1128"/>
      <c r="W770" s="74"/>
      <c r="X770" s="74"/>
      <c r="Y770" s="684" t="s">
        <v>497</v>
      </c>
      <c r="Z770" s="74">
        <v>439.75</v>
      </c>
    </row>
    <row r="771" spans="9:26">
      <c r="I771" s="133">
        <v>46066</v>
      </c>
      <c r="J771" s="134">
        <v>0.42430555555555549</v>
      </c>
      <c r="K771" s="135">
        <v>3</v>
      </c>
      <c r="L771" s="75">
        <v>2</v>
      </c>
      <c r="M771" s="75" t="s">
        <v>633</v>
      </c>
      <c r="N771" s="75" t="s">
        <v>146</v>
      </c>
      <c r="O771" s="75"/>
      <c r="P771" s="74"/>
      <c r="Q771" s="1127"/>
      <c r="R771" s="1128"/>
      <c r="S771" s="1128"/>
      <c r="T771" s="1128"/>
      <c r="U771" s="1128"/>
      <c r="V771" s="1128"/>
      <c r="W771" s="74"/>
      <c r="X771" s="74"/>
      <c r="Y771" s="684">
        <v>45946</v>
      </c>
      <c r="Z771" s="74">
        <v>709.35</v>
      </c>
    </row>
    <row r="772" spans="9:26">
      <c r="I772" s="133">
        <v>46066</v>
      </c>
      <c r="J772" s="134">
        <v>0.44374999999999998</v>
      </c>
      <c r="K772" s="135">
        <v>1.5</v>
      </c>
      <c r="L772" s="75">
        <v>1</v>
      </c>
      <c r="M772" s="75" t="s">
        <v>633</v>
      </c>
      <c r="N772" s="75" t="s">
        <v>146</v>
      </c>
      <c r="O772" s="75"/>
      <c r="P772" s="74"/>
      <c r="Q772" s="1127"/>
      <c r="R772" s="1128"/>
      <c r="S772" s="1128"/>
      <c r="T772" s="1128"/>
      <c r="U772" s="1128"/>
      <c r="V772" s="1128"/>
      <c r="W772" s="74"/>
      <c r="X772" s="74"/>
      <c r="Y772" s="684" t="s">
        <v>146</v>
      </c>
      <c r="Z772" s="74">
        <v>228.75</v>
      </c>
    </row>
    <row r="773" spans="9:26">
      <c r="I773" s="133">
        <v>46066</v>
      </c>
      <c r="J773" s="134">
        <v>0.44444444444444442</v>
      </c>
      <c r="K773" s="135">
        <v>5.15</v>
      </c>
      <c r="L773" s="75">
        <v>2</v>
      </c>
      <c r="M773" s="75" t="s">
        <v>633</v>
      </c>
      <c r="N773" s="75" t="s">
        <v>146</v>
      </c>
      <c r="O773" s="75"/>
      <c r="P773" s="74"/>
      <c r="Q773" s="1127"/>
      <c r="R773" s="1128"/>
      <c r="S773" s="1128"/>
      <c r="T773" s="1128"/>
      <c r="U773" s="1128"/>
      <c r="V773" s="1128"/>
      <c r="W773" s="74"/>
      <c r="X773" s="74"/>
      <c r="Y773" s="684" t="s">
        <v>494</v>
      </c>
      <c r="Z773" s="74">
        <v>353.3</v>
      </c>
    </row>
    <row r="774" spans="9:26">
      <c r="I774" s="133">
        <v>46066</v>
      </c>
      <c r="J774" s="134">
        <v>0.47013888888888888</v>
      </c>
      <c r="K774" s="135">
        <v>1.5</v>
      </c>
      <c r="L774" s="75">
        <v>1</v>
      </c>
      <c r="M774" s="75" t="s">
        <v>633</v>
      </c>
      <c r="N774" s="75" t="s">
        <v>146</v>
      </c>
      <c r="O774" s="75"/>
      <c r="P774" s="74"/>
      <c r="Q774" s="1127"/>
      <c r="R774" s="1128"/>
      <c r="S774" s="1128"/>
      <c r="T774" s="1128"/>
      <c r="U774" s="1128"/>
      <c r="V774" s="1128"/>
      <c r="W774" s="74"/>
      <c r="X774" s="74"/>
      <c r="Y774" s="684" t="s">
        <v>497</v>
      </c>
      <c r="Z774" s="74">
        <v>127.3</v>
      </c>
    </row>
    <row r="775" spans="9:26">
      <c r="I775" s="133">
        <v>46066</v>
      </c>
      <c r="J775" s="134">
        <v>0.48958333333333331</v>
      </c>
      <c r="K775" s="135">
        <v>1.85</v>
      </c>
      <c r="L775" s="75">
        <v>1</v>
      </c>
      <c r="M775" s="75" t="s">
        <v>633</v>
      </c>
      <c r="N775" s="75" t="s">
        <v>146</v>
      </c>
      <c r="O775" s="75"/>
      <c r="P775" s="74"/>
      <c r="Q775" s="1127"/>
      <c r="R775" s="1128"/>
      <c r="S775" s="1128"/>
      <c r="T775" s="1128"/>
      <c r="U775" s="1128"/>
      <c r="V775" s="1128"/>
      <c r="W775" s="74"/>
      <c r="X775" s="74"/>
      <c r="Y775" s="684">
        <v>45947</v>
      </c>
      <c r="Z775" s="74">
        <v>1402.1</v>
      </c>
    </row>
    <row r="776" spans="9:26">
      <c r="I776" s="133">
        <v>46066</v>
      </c>
      <c r="J776" s="134">
        <v>0.50694444444444442</v>
      </c>
      <c r="K776" s="135">
        <v>2.25</v>
      </c>
      <c r="L776" s="75">
        <v>1</v>
      </c>
      <c r="M776" s="75" t="s">
        <v>633</v>
      </c>
      <c r="N776" s="75" t="s">
        <v>494</v>
      </c>
      <c r="O776" s="75"/>
      <c r="P776" s="74"/>
      <c r="Q776" s="1127"/>
      <c r="R776" s="1128"/>
      <c r="S776" s="1128"/>
      <c r="T776" s="1128"/>
      <c r="U776" s="1128"/>
      <c r="V776" s="1128"/>
      <c r="W776" s="74"/>
      <c r="X776" s="74"/>
      <c r="Y776" s="684" t="s">
        <v>146</v>
      </c>
      <c r="Z776" s="74">
        <v>124.05</v>
      </c>
    </row>
    <row r="777" spans="9:26">
      <c r="I777" s="133">
        <v>46066</v>
      </c>
      <c r="J777" s="134">
        <v>0.5131944444444444</v>
      </c>
      <c r="K777" s="135">
        <v>1.85</v>
      </c>
      <c r="L777" s="75">
        <v>1</v>
      </c>
      <c r="M777" s="75" t="s">
        <v>633</v>
      </c>
      <c r="N777" s="75" t="s">
        <v>494</v>
      </c>
      <c r="O777" s="75"/>
      <c r="P777" s="74"/>
      <c r="Q777" s="1127"/>
      <c r="R777" s="1128"/>
      <c r="S777" s="1128"/>
      <c r="T777" s="1128"/>
      <c r="U777" s="1128"/>
      <c r="V777" s="1128"/>
      <c r="W777" s="74"/>
      <c r="X777" s="74"/>
      <c r="Y777" s="684" t="s">
        <v>494</v>
      </c>
      <c r="Z777" s="74">
        <v>388.3</v>
      </c>
    </row>
    <row r="778" spans="9:26">
      <c r="I778" s="133">
        <v>46066</v>
      </c>
      <c r="J778" s="134">
        <v>0.53402777777777777</v>
      </c>
      <c r="K778" s="135">
        <v>16.3</v>
      </c>
      <c r="L778" s="75">
        <v>1</v>
      </c>
      <c r="M778" s="75" t="s">
        <v>633</v>
      </c>
      <c r="N778" s="75" t="s">
        <v>494</v>
      </c>
      <c r="O778" s="75"/>
      <c r="P778" s="74"/>
      <c r="Q778" s="1127"/>
      <c r="R778" s="1128"/>
      <c r="S778" s="1128"/>
      <c r="T778" s="1128"/>
      <c r="U778" s="1128"/>
      <c r="V778" s="1128"/>
      <c r="W778" s="74"/>
      <c r="X778" s="74"/>
      <c r="Y778" s="684" t="s">
        <v>497</v>
      </c>
      <c r="Z778" s="74">
        <v>889.75</v>
      </c>
    </row>
    <row r="779" spans="9:26">
      <c r="I779" s="133">
        <v>46066</v>
      </c>
      <c r="J779" s="134">
        <v>0.53680555555555554</v>
      </c>
      <c r="K779" s="135">
        <v>17.350000000000001</v>
      </c>
      <c r="L779" s="75">
        <v>1</v>
      </c>
      <c r="M779" s="75" t="s">
        <v>633</v>
      </c>
      <c r="N779" s="75" t="s">
        <v>494</v>
      </c>
      <c r="O779" s="75"/>
      <c r="P779" s="74"/>
      <c r="Q779" s="1127"/>
      <c r="R779" s="1128"/>
      <c r="S779" s="1128"/>
      <c r="T779" s="1128"/>
      <c r="U779" s="1128"/>
      <c r="V779" s="1128"/>
      <c r="W779" s="74"/>
      <c r="X779" s="74"/>
      <c r="Y779" s="684">
        <v>45948</v>
      </c>
      <c r="Z779" s="74">
        <v>2601.1999999999998</v>
      </c>
    </row>
    <row r="780" spans="9:26">
      <c r="I780" s="133">
        <v>46066</v>
      </c>
      <c r="J780" s="134">
        <v>0.61388888888888893</v>
      </c>
      <c r="K780" s="135">
        <v>22.9</v>
      </c>
      <c r="L780" s="75">
        <v>1</v>
      </c>
      <c r="M780" s="75" t="s">
        <v>633</v>
      </c>
      <c r="N780" s="75" t="s">
        <v>494</v>
      </c>
      <c r="O780" s="75"/>
      <c r="P780" s="74"/>
      <c r="Q780" s="1127"/>
      <c r="R780" s="1128"/>
      <c r="S780" s="1128"/>
      <c r="T780" s="1128"/>
      <c r="U780" s="1128"/>
      <c r="V780" s="1128"/>
      <c r="W780" s="74"/>
      <c r="X780" s="74"/>
      <c r="Y780" s="684" t="s">
        <v>146</v>
      </c>
      <c r="Z780" s="74">
        <v>397.35</v>
      </c>
    </row>
    <row r="781" spans="9:26">
      <c r="I781" s="133">
        <v>46066</v>
      </c>
      <c r="J781" s="134">
        <v>0.62430555555555556</v>
      </c>
      <c r="K781" s="135">
        <v>1.7</v>
      </c>
      <c r="L781" s="75">
        <v>1</v>
      </c>
      <c r="M781" s="75" t="s">
        <v>633</v>
      </c>
      <c r="N781" s="75" t="s">
        <v>494</v>
      </c>
      <c r="O781" s="75"/>
      <c r="P781" s="74"/>
      <c r="Q781" s="1127"/>
      <c r="R781" s="1128"/>
      <c r="S781" s="1128"/>
      <c r="T781" s="1128"/>
      <c r="U781" s="1128"/>
      <c r="V781" s="1128"/>
      <c r="W781" s="74"/>
      <c r="X781" s="74"/>
      <c r="Y781" s="684" t="s">
        <v>494</v>
      </c>
      <c r="Z781" s="74">
        <v>761.25</v>
      </c>
    </row>
    <row r="782" spans="9:26">
      <c r="I782" s="133">
        <v>46066</v>
      </c>
      <c r="J782" s="134">
        <v>0.65486111111111112</v>
      </c>
      <c r="K782" s="135">
        <v>17.899999999999999</v>
      </c>
      <c r="L782" s="75">
        <v>1</v>
      </c>
      <c r="M782" s="75" t="s">
        <v>633</v>
      </c>
      <c r="N782" s="75" t="s">
        <v>494</v>
      </c>
      <c r="O782" s="75"/>
      <c r="P782" s="74"/>
      <c r="Q782" s="1127"/>
      <c r="R782" s="1128"/>
      <c r="S782" s="1128"/>
      <c r="T782" s="1128"/>
      <c r="U782" s="1128"/>
      <c r="V782" s="1128"/>
      <c r="W782" s="74"/>
      <c r="X782" s="74"/>
      <c r="Y782" s="684" t="s">
        <v>497</v>
      </c>
      <c r="Z782" s="74">
        <v>1442.6</v>
      </c>
    </row>
    <row r="783" spans="9:26">
      <c r="I783" s="133">
        <v>46067</v>
      </c>
      <c r="J783" s="134">
        <v>0.33888888888888891</v>
      </c>
      <c r="K783" s="135">
        <v>1.5</v>
      </c>
      <c r="L783" s="75">
        <v>1</v>
      </c>
      <c r="M783" s="75" t="s">
        <v>635</v>
      </c>
      <c r="N783" s="75" t="s">
        <v>146</v>
      </c>
      <c r="O783" s="75"/>
      <c r="P783" s="74"/>
      <c r="Q783" s="1127"/>
      <c r="R783" s="1128"/>
      <c r="S783" s="1128"/>
      <c r="T783" s="1128"/>
      <c r="U783" s="1128"/>
      <c r="V783" s="1128"/>
      <c r="W783" s="74"/>
      <c r="X783" s="74"/>
      <c r="Y783" s="684">
        <v>45949</v>
      </c>
      <c r="Z783" s="74">
        <v>2110.6</v>
      </c>
    </row>
    <row r="784" spans="9:26">
      <c r="I784" s="133">
        <v>46067</v>
      </c>
      <c r="J784" s="134">
        <v>0.34097222222222218</v>
      </c>
      <c r="K784" s="135">
        <v>1.5</v>
      </c>
      <c r="L784" s="75">
        <v>1</v>
      </c>
      <c r="M784" s="75" t="s">
        <v>635</v>
      </c>
      <c r="N784" s="75" t="s">
        <v>146</v>
      </c>
      <c r="O784" s="75"/>
      <c r="P784" s="74"/>
      <c r="Q784" s="1127"/>
      <c r="R784" s="1128"/>
      <c r="S784" s="1128"/>
      <c r="T784" s="1128"/>
      <c r="U784" s="1128"/>
      <c r="V784" s="1128"/>
      <c r="W784" s="74"/>
      <c r="X784" s="74"/>
      <c r="Y784" s="684" t="s">
        <v>146</v>
      </c>
      <c r="Z784" s="74">
        <v>292.89999999999998</v>
      </c>
    </row>
    <row r="785" spans="9:26">
      <c r="I785" s="133">
        <v>46067</v>
      </c>
      <c r="J785" s="134">
        <v>0.34722222222222221</v>
      </c>
      <c r="K785" s="135">
        <v>1.7</v>
      </c>
      <c r="L785" s="75">
        <v>1</v>
      </c>
      <c r="M785" s="75" t="s">
        <v>635</v>
      </c>
      <c r="N785" s="75" t="s">
        <v>146</v>
      </c>
      <c r="O785" s="75"/>
      <c r="P785" s="74"/>
      <c r="Q785" s="1127"/>
      <c r="R785" s="1128"/>
      <c r="S785" s="1128"/>
      <c r="T785" s="1128"/>
      <c r="U785" s="1128"/>
      <c r="V785" s="1128"/>
      <c r="W785" s="74"/>
      <c r="X785" s="74"/>
      <c r="Y785" s="684" t="s">
        <v>494</v>
      </c>
      <c r="Z785" s="74">
        <v>1459.35</v>
      </c>
    </row>
    <row r="786" spans="9:26">
      <c r="I786" s="133">
        <v>46067</v>
      </c>
      <c r="J786" s="134">
        <v>0.36458333333333331</v>
      </c>
      <c r="K786" s="135">
        <v>1.5</v>
      </c>
      <c r="L786" s="75">
        <v>1</v>
      </c>
      <c r="M786" s="75" t="s">
        <v>635</v>
      </c>
      <c r="N786" s="75" t="s">
        <v>146</v>
      </c>
      <c r="O786" s="75"/>
      <c r="P786" s="74"/>
      <c r="Q786" s="1127"/>
      <c r="R786" s="1128"/>
      <c r="S786" s="1128"/>
      <c r="T786" s="1128"/>
      <c r="U786" s="1128"/>
      <c r="V786" s="1128"/>
      <c r="W786" s="74"/>
      <c r="X786" s="74"/>
      <c r="Y786" s="684" t="s">
        <v>497</v>
      </c>
      <c r="Z786" s="74">
        <v>358.35</v>
      </c>
    </row>
    <row r="787" spans="9:26">
      <c r="I787" s="133">
        <v>46067</v>
      </c>
      <c r="J787" s="134">
        <v>0.37083333333333329</v>
      </c>
      <c r="K787" s="135">
        <v>6.55</v>
      </c>
      <c r="L787" s="75">
        <v>1</v>
      </c>
      <c r="M787" s="75" t="s">
        <v>635</v>
      </c>
      <c r="N787" s="75" t="s">
        <v>146</v>
      </c>
      <c r="O787" s="75"/>
      <c r="P787" s="74"/>
      <c r="Q787" s="1127"/>
      <c r="R787" s="1128"/>
      <c r="S787" s="1128"/>
      <c r="T787" s="1128"/>
      <c r="U787" s="1128"/>
      <c r="V787" s="1128"/>
      <c r="W787" s="74"/>
      <c r="X787" s="74"/>
      <c r="Y787" s="684">
        <v>45952</v>
      </c>
      <c r="Z787" s="74">
        <v>701.2</v>
      </c>
    </row>
    <row r="788" spans="9:26">
      <c r="I788" s="133">
        <v>46067</v>
      </c>
      <c r="J788" s="134">
        <v>0.37638888888888888</v>
      </c>
      <c r="K788" s="135">
        <v>1.4</v>
      </c>
      <c r="L788" s="75">
        <v>1</v>
      </c>
      <c r="M788" s="75" t="s">
        <v>635</v>
      </c>
      <c r="N788" s="75" t="s">
        <v>146</v>
      </c>
      <c r="O788" s="75"/>
      <c r="P788" s="74"/>
      <c r="Q788" s="1127"/>
      <c r="R788" s="1128"/>
      <c r="S788" s="1128"/>
      <c r="T788" s="1128"/>
      <c r="U788" s="1128"/>
      <c r="V788" s="1128"/>
      <c r="W788" s="74"/>
      <c r="X788" s="74"/>
      <c r="Y788" s="684" t="s">
        <v>146</v>
      </c>
      <c r="Z788" s="74">
        <v>230.05</v>
      </c>
    </row>
    <row r="789" spans="9:26">
      <c r="I789" s="133">
        <v>46067</v>
      </c>
      <c r="J789" s="134">
        <v>0.39027777777777778</v>
      </c>
      <c r="K789" s="135">
        <v>6.7</v>
      </c>
      <c r="L789" s="75">
        <v>1</v>
      </c>
      <c r="M789" s="75" t="s">
        <v>635</v>
      </c>
      <c r="N789" s="75" t="s">
        <v>146</v>
      </c>
      <c r="O789" s="75"/>
      <c r="P789" s="74"/>
      <c r="Q789" s="1127"/>
      <c r="R789" s="1128"/>
      <c r="S789" s="1128"/>
      <c r="T789" s="1128"/>
      <c r="U789" s="1128"/>
      <c r="V789" s="1128"/>
      <c r="W789" s="74"/>
      <c r="X789" s="74"/>
      <c r="Y789" s="684" t="s">
        <v>494</v>
      </c>
      <c r="Z789" s="74">
        <v>126.65</v>
      </c>
    </row>
    <row r="790" spans="9:26">
      <c r="I790" s="133">
        <v>46067</v>
      </c>
      <c r="J790" s="134">
        <v>0.39513888888888887</v>
      </c>
      <c r="K790" s="135">
        <v>2.4500000000000002</v>
      </c>
      <c r="L790" s="75">
        <v>1</v>
      </c>
      <c r="M790" s="75" t="s">
        <v>635</v>
      </c>
      <c r="N790" s="75" t="s">
        <v>146</v>
      </c>
      <c r="O790" s="75"/>
      <c r="P790" s="74"/>
      <c r="Q790" s="1127"/>
      <c r="R790" s="1128"/>
      <c r="S790" s="1128"/>
      <c r="T790" s="1128"/>
      <c r="U790" s="1128"/>
      <c r="V790" s="1128"/>
      <c r="W790" s="74"/>
      <c r="X790" s="74"/>
      <c r="Y790" s="684" t="s">
        <v>497</v>
      </c>
      <c r="Z790" s="74">
        <v>344.5</v>
      </c>
    </row>
    <row r="791" spans="9:26">
      <c r="I791" s="133">
        <v>46067</v>
      </c>
      <c r="J791" s="134">
        <v>0.39930555555555558</v>
      </c>
      <c r="K791" s="135">
        <v>3.2</v>
      </c>
      <c r="L791" s="75">
        <v>1</v>
      </c>
      <c r="M791" s="75" t="s">
        <v>635</v>
      </c>
      <c r="N791" s="75" t="s">
        <v>146</v>
      </c>
      <c r="O791" s="75"/>
      <c r="P791" s="74"/>
      <c r="Q791" s="1127"/>
      <c r="R791" s="1128"/>
      <c r="S791" s="1128"/>
      <c r="T791" s="1128"/>
      <c r="U791" s="1128"/>
      <c r="V791" s="1128"/>
      <c r="W791" s="74"/>
      <c r="X791" s="74"/>
      <c r="Y791" s="684">
        <v>45953</v>
      </c>
      <c r="Z791" s="74">
        <v>727.15</v>
      </c>
    </row>
    <row r="792" spans="9:26">
      <c r="I792" s="133">
        <v>46067</v>
      </c>
      <c r="J792" s="134">
        <v>0.41249999999999998</v>
      </c>
      <c r="K792" s="135">
        <v>3.2</v>
      </c>
      <c r="L792" s="75">
        <v>1</v>
      </c>
      <c r="M792" s="75" t="s">
        <v>635</v>
      </c>
      <c r="N792" s="75" t="s">
        <v>146</v>
      </c>
      <c r="O792" s="75"/>
      <c r="P792" s="74"/>
      <c r="Q792" s="1127"/>
      <c r="R792" s="1128"/>
      <c r="S792" s="1128"/>
      <c r="T792" s="1128"/>
      <c r="U792" s="1128"/>
      <c r="V792" s="1128"/>
      <c r="W792" s="74"/>
      <c r="X792" s="74"/>
      <c r="Y792" s="684" t="s">
        <v>146</v>
      </c>
      <c r="Z792" s="74">
        <v>144</v>
      </c>
    </row>
    <row r="793" spans="9:26">
      <c r="I793" s="133">
        <v>46067</v>
      </c>
      <c r="J793" s="134">
        <v>0.41319444444444442</v>
      </c>
      <c r="K793" s="135">
        <v>5.7</v>
      </c>
      <c r="L793" s="75">
        <v>1</v>
      </c>
      <c r="M793" s="75" t="s">
        <v>635</v>
      </c>
      <c r="N793" s="75" t="s">
        <v>146</v>
      </c>
      <c r="O793" s="75"/>
      <c r="P793" s="74"/>
      <c r="Q793" s="1127"/>
      <c r="R793" s="1128"/>
      <c r="S793" s="1128"/>
      <c r="T793" s="1128"/>
      <c r="U793" s="1128"/>
      <c r="V793" s="1128"/>
      <c r="W793" s="74"/>
      <c r="X793" s="74"/>
      <c r="Y793" s="684" t="s">
        <v>494</v>
      </c>
      <c r="Z793" s="74">
        <v>122.25</v>
      </c>
    </row>
    <row r="794" spans="9:26">
      <c r="I794" s="133">
        <v>46067</v>
      </c>
      <c r="J794" s="134">
        <v>0.41875000000000001</v>
      </c>
      <c r="K794" s="135">
        <v>3.4</v>
      </c>
      <c r="L794" s="75">
        <v>1</v>
      </c>
      <c r="M794" s="75" t="s">
        <v>635</v>
      </c>
      <c r="N794" s="75" t="s">
        <v>146</v>
      </c>
      <c r="O794" s="75"/>
      <c r="P794" s="74"/>
      <c r="Q794" s="1127"/>
      <c r="R794" s="1128"/>
      <c r="S794" s="1128"/>
      <c r="T794" s="1128"/>
      <c r="U794" s="1128"/>
      <c r="V794" s="1128"/>
      <c r="W794" s="74"/>
      <c r="X794" s="74"/>
      <c r="Y794" s="684" t="s">
        <v>497</v>
      </c>
      <c r="Z794" s="74">
        <v>460.9</v>
      </c>
    </row>
    <row r="795" spans="9:26">
      <c r="I795" s="133">
        <v>46067</v>
      </c>
      <c r="J795" s="134">
        <v>0.4284722222222222</v>
      </c>
      <c r="K795" s="135">
        <v>13.95</v>
      </c>
      <c r="L795" s="75">
        <v>3</v>
      </c>
      <c r="M795" s="75" t="s">
        <v>635</v>
      </c>
      <c r="N795" s="75" t="s">
        <v>146</v>
      </c>
      <c r="O795" s="75"/>
      <c r="P795" s="74"/>
      <c r="Q795" s="1127"/>
      <c r="R795" s="1128"/>
      <c r="S795" s="1128"/>
      <c r="T795" s="1128"/>
      <c r="U795" s="1128"/>
      <c r="V795" s="1128"/>
      <c r="W795" s="74"/>
      <c r="X795" s="74"/>
      <c r="Y795" s="684">
        <v>45954</v>
      </c>
      <c r="Z795" s="74">
        <v>1283.3499999999999</v>
      </c>
    </row>
    <row r="796" spans="9:26">
      <c r="I796" s="133">
        <v>46067</v>
      </c>
      <c r="J796" s="134">
        <v>0.45347222222222222</v>
      </c>
      <c r="K796" s="135">
        <v>1.4</v>
      </c>
      <c r="L796" s="75">
        <v>1</v>
      </c>
      <c r="M796" s="75" t="s">
        <v>635</v>
      </c>
      <c r="N796" s="75" t="s">
        <v>146</v>
      </c>
      <c r="O796" s="75"/>
      <c r="P796" s="74"/>
      <c r="Q796" s="1127"/>
      <c r="R796" s="1128"/>
      <c r="S796" s="1128"/>
      <c r="T796" s="1128"/>
      <c r="U796" s="1128"/>
      <c r="V796" s="1128"/>
      <c r="W796" s="74"/>
      <c r="X796" s="74"/>
      <c r="Y796" s="684" t="s">
        <v>146</v>
      </c>
      <c r="Z796" s="74">
        <v>72.150000000000006</v>
      </c>
    </row>
    <row r="797" spans="9:26">
      <c r="I797" s="133">
        <v>46067</v>
      </c>
      <c r="J797" s="134">
        <v>0.46388888888888891</v>
      </c>
      <c r="K797" s="135">
        <v>5.7</v>
      </c>
      <c r="L797" s="75">
        <v>1</v>
      </c>
      <c r="M797" s="75" t="s">
        <v>635</v>
      </c>
      <c r="N797" s="75" t="s">
        <v>146</v>
      </c>
      <c r="O797" s="75"/>
      <c r="P797" s="74"/>
      <c r="Q797" s="1127"/>
      <c r="R797" s="1128"/>
      <c r="S797" s="1128"/>
      <c r="T797" s="1128"/>
      <c r="U797" s="1128"/>
      <c r="V797" s="1128"/>
      <c r="W797" s="74"/>
      <c r="X797" s="74"/>
      <c r="Y797" s="684" t="s">
        <v>494</v>
      </c>
      <c r="Z797" s="74">
        <v>216.45</v>
      </c>
    </row>
    <row r="798" spans="9:26">
      <c r="I798" s="133">
        <v>46067</v>
      </c>
      <c r="J798" s="134">
        <v>0.46736111111111112</v>
      </c>
      <c r="K798" s="135">
        <v>5.75</v>
      </c>
      <c r="L798" s="75">
        <v>3</v>
      </c>
      <c r="M798" s="75" t="s">
        <v>635</v>
      </c>
      <c r="N798" s="75" t="s">
        <v>146</v>
      </c>
      <c r="O798" s="75"/>
      <c r="P798" s="74"/>
      <c r="Q798" s="1127"/>
      <c r="R798" s="1128"/>
      <c r="S798" s="1128"/>
      <c r="T798" s="1128"/>
      <c r="U798" s="1128"/>
      <c r="V798" s="1128"/>
      <c r="W798" s="74"/>
      <c r="X798" s="74"/>
      <c r="Y798" s="684" t="s">
        <v>497</v>
      </c>
      <c r="Z798" s="74">
        <v>994.75</v>
      </c>
    </row>
    <row r="799" spans="9:26">
      <c r="I799" s="133">
        <v>46067</v>
      </c>
      <c r="J799" s="134">
        <v>0.46944444444444439</v>
      </c>
      <c r="K799" s="135">
        <v>1.85</v>
      </c>
      <c r="L799" s="75">
        <v>1</v>
      </c>
      <c r="M799" s="75" t="s">
        <v>635</v>
      </c>
      <c r="N799" s="75" t="s">
        <v>146</v>
      </c>
      <c r="O799" s="75"/>
      <c r="P799" s="74"/>
      <c r="Q799" s="1127"/>
      <c r="R799" s="1128"/>
      <c r="S799" s="1128"/>
      <c r="T799" s="1128"/>
      <c r="U799" s="1128"/>
      <c r="V799" s="1128"/>
      <c r="W799" s="74"/>
      <c r="X799" s="74"/>
      <c r="Y799" s="684">
        <v>45955</v>
      </c>
      <c r="Z799" s="74">
        <v>1935.95</v>
      </c>
    </row>
    <row r="800" spans="9:26">
      <c r="I800" s="133">
        <v>46067</v>
      </c>
      <c r="J800" s="134">
        <v>0.48472222222222222</v>
      </c>
      <c r="K800" s="135">
        <v>6.55</v>
      </c>
      <c r="L800" s="75">
        <v>3</v>
      </c>
      <c r="M800" s="75" t="s">
        <v>635</v>
      </c>
      <c r="N800" s="75" t="s">
        <v>146</v>
      </c>
      <c r="O800" s="75"/>
      <c r="P800" s="74"/>
      <c r="Q800" s="1127"/>
      <c r="R800" s="1128"/>
      <c r="S800" s="1128"/>
      <c r="T800" s="1128"/>
      <c r="U800" s="1128"/>
      <c r="V800" s="1128"/>
      <c r="W800" s="74"/>
      <c r="X800" s="74"/>
      <c r="Y800" s="684" t="s">
        <v>146</v>
      </c>
      <c r="Z800" s="74">
        <v>127.65</v>
      </c>
    </row>
    <row r="801" spans="9:26">
      <c r="I801" s="133">
        <v>46067</v>
      </c>
      <c r="J801" s="134">
        <v>0.49791666666666667</v>
      </c>
      <c r="K801" s="135">
        <v>9.85</v>
      </c>
      <c r="L801" s="75">
        <v>2</v>
      </c>
      <c r="M801" s="75" t="s">
        <v>635</v>
      </c>
      <c r="N801" s="75" t="s">
        <v>146</v>
      </c>
      <c r="O801" s="75"/>
      <c r="P801" s="74"/>
      <c r="Q801" s="1127"/>
      <c r="R801" s="1128"/>
      <c r="S801" s="1128"/>
      <c r="T801" s="1128"/>
      <c r="U801" s="1128"/>
      <c r="V801" s="1128"/>
      <c r="W801" s="74"/>
      <c r="X801" s="74"/>
      <c r="Y801" s="684" t="s">
        <v>494</v>
      </c>
      <c r="Z801" s="74">
        <v>789.75</v>
      </c>
    </row>
    <row r="802" spans="9:26">
      <c r="I802" s="133">
        <v>46067</v>
      </c>
      <c r="J802" s="134">
        <v>0.50347222222222221</v>
      </c>
      <c r="K802" s="135">
        <v>1.5</v>
      </c>
      <c r="L802" s="75">
        <v>1</v>
      </c>
      <c r="M802" s="75" t="s">
        <v>635</v>
      </c>
      <c r="N802" s="75" t="s">
        <v>494</v>
      </c>
      <c r="O802" s="75"/>
      <c r="P802" s="74"/>
      <c r="Q802" s="1127"/>
      <c r="R802" s="1128"/>
      <c r="S802" s="1128"/>
      <c r="T802" s="1128"/>
      <c r="U802" s="1128"/>
      <c r="V802" s="1128"/>
      <c r="W802" s="74"/>
      <c r="X802" s="74"/>
      <c r="Y802" s="684" t="s">
        <v>497</v>
      </c>
      <c r="Z802" s="74">
        <v>1018.55</v>
      </c>
    </row>
    <row r="803" spans="9:26">
      <c r="I803" s="133">
        <v>46067</v>
      </c>
      <c r="J803" s="134">
        <v>0.51041666666666663</v>
      </c>
      <c r="K803" s="135">
        <v>6.4</v>
      </c>
      <c r="L803" s="75">
        <v>1</v>
      </c>
      <c r="M803" s="75" t="s">
        <v>635</v>
      </c>
      <c r="N803" s="75" t="s">
        <v>494</v>
      </c>
      <c r="O803" s="75"/>
      <c r="P803" s="74"/>
      <c r="Q803" s="1127"/>
      <c r="R803" s="1128"/>
      <c r="S803" s="1128"/>
      <c r="T803" s="1128"/>
      <c r="U803" s="1128"/>
      <c r="V803" s="1128"/>
      <c r="W803" s="74"/>
      <c r="X803" s="74"/>
      <c r="Y803" s="684">
        <v>45956</v>
      </c>
      <c r="Z803" s="74">
        <v>1635.55</v>
      </c>
    </row>
    <row r="804" spans="9:26">
      <c r="I804" s="133">
        <v>46067</v>
      </c>
      <c r="J804" s="134">
        <v>0.51180555555555551</v>
      </c>
      <c r="K804" s="135">
        <v>20.45</v>
      </c>
      <c r="L804" s="75">
        <v>3</v>
      </c>
      <c r="M804" s="75" t="s">
        <v>635</v>
      </c>
      <c r="N804" s="75" t="s">
        <v>494</v>
      </c>
      <c r="O804" s="75"/>
      <c r="P804" s="74"/>
      <c r="Q804" s="1127"/>
      <c r="R804" s="1128"/>
      <c r="S804" s="1128"/>
      <c r="T804" s="1128"/>
      <c r="U804" s="1128"/>
      <c r="V804" s="1128"/>
      <c r="W804" s="74"/>
      <c r="X804" s="74"/>
      <c r="Y804" s="684" t="s">
        <v>146</v>
      </c>
      <c r="Z804" s="74">
        <v>241.9</v>
      </c>
    </row>
    <row r="805" spans="9:26">
      <c r="I805" s="133">
        <v>46067</v>
      </c>
      <c r="J805" s="134">
        <v>0.52500000000000002</v>
      </c>
      <c r="K805" s="135">
        <v>1.75</v>
      </c>
      <c r="L805" s="75">
        <v>1</v>
      </c>
      <c r="M805" s="75" t="s">
        <v>635</v>
      </c>
      <c r="N805" s="75" t="s">
        <v>494</v>
      </c>
      <c r="O805" s="75"/>
      <c r="P805" s="74"/>
      <c r="Q805" s="1127"/>
      <c r="R805" s="1128"/>
      <c r="S805" s="1128"/>
      <c r="T805" s="1128"/>
      <c r="U805" s="1128"/>
      <c r="V805" s="1128"/>
      <c r="W805" s="74"/>
      <c r="X805" s="74"/>
      <c r="Y805" s="684" t="s">
        <v>494</v>
      </c>
      <c r="Z805" s="74">
        <v>1393.65</v>
      </c>
    </row>
    <row r="806" spans="9:26">
      <c r="I806" s="133">
        <v>46067</v>
      </c>
      <c r="J806" s="134">
        <v>0.52916666666666667</v>
      </c>
      <c r="K806" s="135">
        <v>1.7</v>
      </c>
      <c r="L806" s="75">
        <v>1</v>
      </c>
      <c r="M806" s="75" t="s">
        <v>635</v>
      </c>
      <c r="N806" s="75" t="s">
        <v>494</v>
      </c>
      <c r="O806" s="75"/>
      <c r="P806" s="74"/>
      <c r="Q806" s="1127"/>
      <c r="R806" s="1128"/>
      <c r="S806" s="1128"/>
      <c r="T806" s="1128"/>
      <c r="U806" s="1128"/>
      <c r="V806" s="1128"/>
      <c r="W806" s="74"/>
      <c r="X806" s="74"/>
      <c r="Y806" s="684" t="s">
        <v>497</v>
      </c>
      <c r="Z806" s="74">
        <v>0</v>
      </c>
    </row>
    <row r="807" spans="9:26">
      <c r="I807" s="133">
        <v>46067</v>
      </c>
      <c r="J807" s="134">
        <v>0.5395833333333333</v>
      </c>
      <c r="K807" s="135">
        <v>5.2</v>
      </c>
      <c r="L807" s="75">
        <v>3</v>
      </c>
      <c r="M807" s="75" t="s">
        <v>635</v>
      </c>
      <c r="N807" s="75" t="s">
        <v>494</v>
      </c>
      <c r="O807" s="75"/>
      <c r="P807" s="74"/>
      <c r="Q807" s="1127"/>
      <c r="R807" s="1128"/>
      <c r="S807" s="1128"/>
      <c r="T807" s="1128"/>
      <c r="U807" s="1128"/>
      <c r="V807" s="1128"/>
      <c r="W807" s="74"/>
      <c r="X807" s="74"/>
      <c r="Y807" s="684">
        <v>45959</v>
      </c>
      <c r="Z807" s="74">
        <v>1003.2</v>
      </c>
    </row>
    <row r="808" spans="9:26">
      <c r="I808" s="133">
        <v>46067</v>
      </c>
      <c r="J808" s="134">
        <v>0.5493055555555556</v>
      </c>
      <c r="K808" s="135">
        <v>17</v>
      </c>
      <c r="L808" s="75">
        <v>5</v>
      </c>
      <c r="M808" s="75" t="s">
        <v>635</v>
      </c>
      <c r="N808" s="75" t="s">
        <v>494</v>
      </c>
      <c r="O808" s="75"/>
      <c r="P808" s="74"/>
      <c r="Q808" s="1127"/>
      <c r="R808" s="1128"/>
      <c r="S808" s="1128"/>
      <c r="T808" s="1128"/>
      <c r="U808" s="1128"/>
      <c r="V808" s="1128"/>
      <c r="W808" s="74"/>
      <c r="X808" s="74"/>
      <c r="Y808" s="684" t="s">
        <v>146</v>
      </c>
      <c r="Z808" s="74">
        <v>242.95</v>
      </c>
    </row>
    <row r="809" spans="9:26">
      <c r="I809" s="133">
        <v>46067</v>
      </c>
      <c r="J809" s="134">
        <v>0.55555555555555558</v>
      </c>
      <c r="K809" s="135">
        <v>2.15</v>
      </c>
      <c r="L809" s="75">
        <v>1</v>
      </c>
      <c r="M809" s="75" t="s">
        <v>635</v>
      </c>
      <c r="N809" s="75" t="s">
        <v>494</v>
      </c>
      <c r="O809" s="75"/>
      <c r="P809" s="74"/>
      <c r="Q809" s="1127"/>
      <c r="R809" s="1128"/>
      <c r="S809" s="1128"/>
      <c r="T809" s="1128"/>
      <c r="U809" s="1128"/>
      <c r="V809" s="1128"/>
      <c r="W809" s="74"/>
      <c r="X809" s="74"/>
      <c r="Y809" s="684" t="s">
        <v>494</v>
      </c>
      <c r="Z809" s="74">
        <v>273.85000000000002</v>
      </c>
    </row>
    <row r="810" spans="9:26">
      <c r="I810" s="133">
        <v>46067</v>
      </c>
      <c r="J810" s="134">
        <v>0.57152777777777775</v>
      </c>
      <c r="K810" s="135">
        <v>2.95</v>
      </c>
      <c r="L810" s="75">
        <v>1</v>
      </c>
      <c r="M810" s="75" t="s">
        <v>635</v>
      </c>
      <c r="N810" s="75" t="s">
        <v>494</v>
      </c>
      <c r="O810" s="75"/>
      <c r="P810" s="74"/>
      <c r="Q810" s="1127"/>
      <c r="R810" s="1128"/>
      <c r="S810" s="1128"/>
      <c r="T810" s="1128"/>
      <c r="U810" s="1128"/>
      <c r="V810" s="1128"/>
      <c r="W810" s="74"/>
      <c r="X810" s="74"/>
      <c r="Y810" s="684" t="s">
        <v>497</v>
      </c>
      <c r="Z810" s="74">
        <v>486.4</v>
      </c>
    </row>
    <row r="811" spans="9:26">
      <c r="I811" s="133">
        <v>46067</v>
      </c>
      <c r="J811" s="134">
        <v>0.57777777777777772</v>
      </c>
      <c r="K811" s="135">
        <v>5.75</v>
      </c>
      <c r="L811" s="75">
        <v>2</v>
      </c>
      <c r="M811" s="75" t="s">
        <v>635</v>
      </c>
      <c r="N811" s="75" t="s">
        <v>494</v>
      </c>
      <c r="O811" s="75"/>
      <c r="P811" s="74"/>
      <c r="Q811" s="1127"/>
      <c r="R811" s="1128"/>
      <c r="S811" s="1128"/>
      <c r="T811" s="1128"/>
      <c r="U811" s="1128"/>
      <c r="V811" s="1128"/>
      <c r="W811" s="74"/>
      <c r="X811" s="74"/>
      <c r="Y811" s="684">
        <v>45960</v>
      </c>
      <c r="Z811" s="74">
        <v>1144.48</v>
      </c>
    </row>
    <row r="812" spans="9:26">
      <c r="I812" s="133">
        <v>46067</v>
      </c>
      <c r="J812" s="134">
        <v>0.57847222222222228</v>
      </c>
      <c r="K812" s="135">
        <v>11.3</v>
      </c>
      <c r="L812" s="75">
        <v>2</v>
      </c>
      <c r="M812" s="75" t="s">
        <v>635</v>
      </c>
      <c r="N812" s="75" t="s">
        <v>494</v>
      </c>
      <c r="O812" s="75"/>
      <c r="P812" s="74"/>
      <c r="Q812" s="1127"/>
      <c r="R812" s="1128"/>
      <c r="S812" s="1128"/>
      <c r="T812" s="1128"/>
      <c r="U812" s="1128"/>
      <c r="V812" s="1128"/>
      <c r="W812" s="74"/>
      <c r="X812" s="74"/>
      <c r="Y812" s="684" t="s">
        <v>146</v>
      </c>
      <c r="Z812" s="74">
        <v>141.15</v>
      </c>
    </row>
    <row r="813" spans="9:26">
      <c r="I813" s="133">
        <v>46067</v>
      </c>
      <c r="J813" s="134">
        <v>0.59513888888888888</v>
      </c>
      <c r="K813" s="135">
        <v>5.3</v>
      </c>
      <c r="L813" s="75">
        <v>2</v>
      </c>
      <c r="M813" s="75" t="s">
        <v>635</v>
      </c>
      <c r="N813" s="75" t="s">
        <v>494</v>
      </c>
      <c r="O813" s="75"/>
      <c r="P813" s="74"/>
      <c r="Q813" s="1127"/>
      <c r="R813" s="1128"/>
      <c r="S813" s="1128"/>
      <c r="T813" s="1128"/>
      <c r="U813" s="1128"/>
      <c r="V813" s="1128"/>
      <c r="W813" s="74"/>
      <c r="X813" s="74"/>
      <c r="Y813" s="684" t="s">
        <v>494</v>
      </c>
      <c r="Z813" s="74">
        <v>511.6</v>
      </c>
    </row>
    <row r="814" spans="9:26">
      <c r="I814" s="133">
        <v>46067</v>
      </c>
      <c r="J814" s="134">
        <v>0.60486111111111107</v>
      </c>
      <c r="K814" s="135">
        <v>25</v>
      </c>
      <c r="L814" s="75">
        <v>2</v>
      </c>
      <c r="M814" s="75" t="s">
        <v>635</v>
      </c>
      <c r="N814" s="75" t="s">
        <v>494</v>
      </c>
      <c r="O814" s="75"/>
      <c r="P814" s="74"/>
      <c r="Q814" s="1127"/>
      <c r="R814" s="1128"/>
      <c r="S814" s="1128"/>
      <c r="T814" s="1128"/>
      <c r="U814" s="1128"/>
      <c r="V814" s="1128"/>
      <c r="W814" s="74"/>
      <c r="X814" s="74"/>
      <c r="Y814" s="684" t="s">
        <v>497</v>
      </c>
      <c r="Z814" s="74">
        <v>491.73</v>
      </c>
    </row>
    <row r="815" spans="9:26">
      <c r="I815" s="133">
        <v>46067</v>
      </c>
      <c r="J815" s="134">
        <v>0.61111111111111116</v>
      </c>
      <c r="K815" s="135">
        <v>5.0999999999999996</v>
      </c>
      <c r="L815" s="75">
        <v>2</v>
      </c>
      <c r="M815" s="75" t="s">
        <v>635</v>
      </c>
      <c r="N815" s="75" t="s">
        <v>494</v>
      </c>
      <c r="O815" s="75"/>
      <c r="P815" s="74"/>
      <c r="Q815" s="1127"/>
      <c r="R815" s="1128"/>
      <c r="S815" s="1128"/>
      <c r="T815" s="1128"/>
      <c r="U815" s="1128"/>
      <c r="V815" s="1128"/>
      <c r="W815" s="74"/>
      <c r="X815" s="74"/>
      <c r="Y815" s="684">
        <v>45961</v>
      </c>
      <c r="Z815" s="74">
        <v>2162.4</v>
      </c>
    </row>
    <row r="816" spans="9:26">
      <c r="I816" s="133">
        <v>46067</v>
      </c>
      <c r="J816" s="134">
        <v>0.61111111111111116</v>
      </c>
      <c r="K816" s="135">
        <v>101.75</v>
      </c>
      <c r="L816" s="75">
        <v>4</v>
      </c>
      <c r="M816" s="75" t="s">
        <v>635</v>
      </c>
      <c r="N816" s="75" t="s">
        <v>494</v>
      </c>
      <c r="O816" s="75"/>
      <c r="P816" s="74"/>
      <c r="Q816" s="1127"/>
      <c r="R816" s="1128"/>
      <c r="S816" s="1128"/>
      <c r="T816" s="1128"/>
      <c r="U816" s="1128"/>
      <c r="V816" s="1128"/>
      <c r="W816" s="74"/>
      <c r="X816" s="74"/>
      <c r="Y816" s="684" t="s">
        <v>146</v>
      </c>
      <c r="Z816" s="74">
        <v>210.35</v>
      </c>
    </row>
    <row r="817" spans="9:26">
      <c r="I817" s="133">
        <v>46067</v>
      </c>
      <c r="J817" s="134">
        <v>0.61319444444444449</v>
      </c>
      <c r="K817" s="135">
        <v>12.45</v>
      </c>
      <c r="L817" s="75">
        <v>2</v>
      </c>
      <c r="M817" s="75" t="s">
        <v>635</v>
      </c>
      <c r="N817" s="75" t="s">
        <v>494</v>
      </c>
      <c r="O817" s="75"/>
      <c r="P817" s="74"/>
      <c r="Q817" s="1127"/>
      <c r="R817" s="1128"/>
      <c r="S817" s="1128"/>
      <c r="T817" s="1128"/>
      <c r="U817" s="1128"/>
      <c r="V817" s="1128"/>
      <c r="W817" s="74"/>
      <c r="X817" s="74"/>
      <c r="Y817" s="684" t="s">
        <v>494</v>
      </c>
      <c r="Z817" s="74">
        <v>473.15</v>
      </c>
    </row>
    <row r="818" spans="9:26">
      <c r="I818" s="133">
        <v>46067</v>
      </c>
      <c r="J818" s="134">
        <v>0.61597222222222225</v>
      </c>
      <c r="K818" s="135">
        <v>46.35</v>
      </c>
      <c r="L818" s="75">
        <v>2</v>
      </c>
      <c r="M818" s="75" t="s">
        <v>635</v>
      </c>
      <c r="N818" s="75" t="s">
        <v>494</v>
      </c>
      <c r="O818" s="75"/>
      <c r="P818" s="74"/>
      <c r="Q818" s="1127"/>
      <c r="R818" s="1128"/>
      <c r="S818" s="1128"/>
      <c r="T818" s="1128"/>
      <c r="U818" s="1128"/>
      <c r="V818" s="1128"/>
      <c r="W818" s="74"/>
      <c r="X818" s="74"/>
      <c r="Y818" s="684" t="s">
        <v>497</v>
      </c>
      <c r="Z818" s="74">
        <v>1478.9</v>
      </c>
    </row>
    <row r="819" spans="9:26">
      <c r="I819" s="133">
        <v>46067</v>
      </c>
      <c r="J819" s="134">
        <v>0.62083333333333335</v>
      </c>
      <c r="K819" s="135">
        <v>76.3</v>
      </c>
      <c r="L819" s="75">
        <v>3</v>
      </c>
      <c r="M819" s="75" t="s">
        <v>635</v>
      </c>
      <c r="N819" s="75" t="s">
        <v>494</v>
      </c>
      <c r="O819" s="75"/>
      <c r="P819" s="74"/>
      <c r="Q819" s="1127"/>
      <c r="R819" s="1128"/>
      <c r="S819" s="1128"/>
      <c r="T819" s="1128"/>
      <c r="U819" s="1128"/>
      <c r="V819" s="1128"/>
      <c r="W819" s="74"/>
      <c r="X819" s="74"/>
      <c r="Y819" s="684">
        <v>45962</v>
      </c>
      <c r="Z819" s="74">
        <v>2526.5</v>
      </c>
    </row>
    <row r="820" spans="9:26">
      <c r="I820" s="133">
        <v>46067</v>
      </c>
      <c r="J820" s="134">
        <v>0.65138888888888891</v>
      </c>
      <c r="K820" s="135">
        <v>47.55</v>
      </c>
      <c r="L820" s="75">
        <v>2</v>
      </c>
      <c r="M820" s="75" t="s">
        <v>635</v>
      </c>
      <c r="N820" s="75" t="s">
        <v>494</v>
      </c>
      <c r="O820" s="75"/>
      <c r="P820" s="74"/>
      <c r="Q820" s="1127"/>
      <c r="R820" s="1128"/>
      <c r="S820" s="1128"/>
      <c r="T820" s="1128"/>
      <c r="U820" s="1128"/>
      <c r="V820" s="1128"/>
      <c r="W820" s="74"/>
      <c r="X820" s="74"/>
      <c r="Y820" s="684" t="s">
        <v>146</v>
      </c>
      <c r="Z820" s="74">
        <v>271.5</v>
      </c>
    </row>
    <row r="821" spans="9:26">
      <c r="I821" s="133">
        <v>46067</v>
      </c>
      <c r="J821" s="134">
        <v>0.65694444444444444</v>
      </c>
      <c r="K821" s="135">
        <v>3.4</v>
      </c>
      <c r="L821" s="75">
        <v>2</v>
      </c>
      <c r="M821" s="75" t="s">
        <v>635</v>
      </c>
      <c r="N821" s="75" t="s">
        <v>494</v>
      </c>
      <c r="O821" s="75"/>
      <c r="P821" s="74"/>
      <c r="Q821" s="1127"/>
      <c r="R821" s="1128"/>
      <c r="S821" s="1128"/>
      <c r="T821" s="1128"/>
      <c r="U821" s="1128"/>
      <c r="V821" s="1128"/>
      <c r="W821" s="74"/>
      <c r="X821" s="74"/>
      <c r="Y821" s="684" t="s">
        <v>494</v>
      </c>
      <c r="Z821" s="74">
        <v>1043.05</v>
      </c>
    </row>
    <row r="822" spans="9:26">
      <c r="I822" s="133">
        <v>46067</v>
      </c>
      <c r="J822" s="134">
        <v>0.67638888888888893</v>
      </c>
      <c r="K822" s="135">
        <v>62.2</v>
      </c>
      <c r="L822" s="75">
        <v>2</v>
      </c>
      <c r="M822" s="75" t="s">
        <v>635</v>
      </c>
      <c r="N822" s="75" t="s">
        <v>494</v>
      </c>
      <c r="O822" s="75"/>
      <c r="P822" s="74"/>
      <c r="Q822" s="1127"/>
      <c r="R822" s="1128"/>
      <c r="S822" s="1128"/>
      <c r="T822" s="1128"/>
      <c r="U822" s="1128"/>
      <c r="V822" s="1128"/>
      <c r="W822" s="74"/>
      <c r="X822" s="74"/>
      <c r="Y822" s="684" t="s">
        <v>497</v>
      </c>
      <c r="Z822" s="74">
        <v>1211.95</v>
      </c>
    </row>
    <row r="823" spans="9:26">
      <c r="I823" s="133">
        <v>46068</v>
      </c>
      <c r="J823" s="134">
        <v>0.33888888888888891</v>
      </c>
      <c r="K823" s="135">
        <v>1.5</v>
      </c>
      <c r="L823" s="75">
        <v>1</v>
      </c>
      <c r="M823" s="75" t="s">
        <v>636</v>
      </c>
      <c r="N823" s="75" t="s">
        <v>146</v>
      </c>
      <c r="O823" s="75"/>
      <c r="P823" s="74"/>
      <c r="Q823" s="1127"/>
      <c r="R823" s="1128"/>
      <c r="S823" s="1128"/>
      <c r="T823" s="1128"/>
      <c r="U823" s="1128"/>
      <c r="V823" s="1128"/>
      <c r="W823" s="74"/>
      <c r="X823" s="74"/>
      <c r="Y823" s="684">
        <v>45963</v>
      </c>
      <c r="Z823" s="74">
        <v>1934.3</v>
      </c>
    </row>
    <row r="824" spans="9:26">
      <c r="I824" s="133">
        <v>46068</v>
      </c>
      <c r="J824" s="134">
        <v>0.34375</v>
      </c>
      <c r="K824" s="135">
        <v>4.2</v>
      </c>
      <c r="L824" s="75">
        <v>2</v>
      </c>
      <c r="M824" s="75" t="s">
        <v>636</v>
      </c>
      <c r="N824" s="75" t="s">
        <v>146</v>
      </c>
      <c r="O824" s="75"/>
      <c r="P824" s="74"/>
      <c r="Q824" s="1127"/>
      <c r="R824" s="1128"/>
      <c r="S824" s="1128"/>
      <c r="T824" s="1128"/>
      <c r="U824" s="1128"/>
      <c r="V824" s="1128"/>
      <c r="W824" s="74"/>
      <c r="X824" s="74"/>
      <c r="Y824" s="684" t="s">
        <v>146</v>
      </c>
      <c r="Z824" s="74">
        <v>213.95</v>
      </c>
    </row>
    <row r="825" spans="9:26">
      <c r="I825" s="133">
        <v>46068</v>
      </c>
      <c r="J825" s="134">
        <v>0.34444444444444439</v>
      </c>
      <c r="K825" s="135">
        <v>1.4</v>
      </c>
      <c r="L825" s="75">
        <v>1</v>
      </c>
      <c r="M825" s="75" t="s">
        <v>636</v>
      </c>
      <c r="N825" s="75" t="s">
        <v>146</v>
      </c>
      <c r="O825" s="75"/>
      <c r="P825" s="74"/>
      <c r="Q825" s="1127"/>
      <c r="R825" s="1128"/>
      <c r="S825" s="1128"/>
      <c r="T825" s="1128"/>
      <c r="U825" s="1128"/>
      <c r="V825" s="1128"/>
      <c r="W825" s="74"/>
      <c r="X825" s="74"/>
      <c r="Y825" s="684" t="s">
        <v>494</v>
      </c>
      <c r="Z825" s="74">
        <v>1720.35</v>
      </c>
    </row>
    <row r="826" spans="9:26">
      <c r="I826" s="133">
        <v>46068</v>
      </c>
      <c r="J826" s="134">
        <v>0.34444444444444439</v>
      </c>
      <c r="K826" s="135">
        <v>1.5</v>
      </c>
      <c r="L826" s="75">
        <v>1</v>
      </c>
      <c r="M826" s="75" t="s">
        <v>636</v>
      </c>
      <c r="N826" s="75" t="s">
        <v>146</v>
      </c>
      <c r="O826" s="75"/>
      <c r="P826" s="74"/>
      <c r="Q826" s="1127"/>
      <c r="R826" s="1128"/>
      <c r="S826" s="1128"/>
      <c r="T826" s="1128"/>
      <c r="U826" s="1128"/>
      <c r="V826" s="1128"/>
      <c r="W826" s="74"/>
      <c r="X826" s="74"/>
      <c r="Y826" s="684" t="s">
        <v>497</v>
      </c>
      <c r="Z826" s="74">
        <v>0</v>
      </c>
    </row>
    <row r="827" spans="9:26">
      <c r="I827" s="133">
        <v>46068</v>
      </c>
      <c r="J827" s="134">
        <v>0.35486111111111113</v>
      </c>
      <c r="K827" s="135">
        <v>9.4</v>
      </c>
      <c r="L827" s="75">
        <v>5</v>
      </c>
      <c r="M827" s="75" t="s">
        <v>636</v>
      </c>
      <c r="N827" s="75" t="s">
        <v>146</v>
      </c>
      <c r="O827" s="75"/>
      <c r="P827" s="74"/>
      <c r="Q827" s="1127"/>
      <c r="R827" s="1128"/>
      <c r="S827" s="1128"/>
      <c r="T827" s="1128"/>
      <c r="U827" s="1128"/>
      <c r="V827" s="1128"/>
      <c r="W827" s="74"/>
      <c r="X827" s="74"/>
      <c r="Y827" s="684">
        <v>45966</v>
      </c>
      <c r="Z827" s="74">
        <v>801</v>
      </c>
    </row>
    <row r="828" spans="9:26">
      <c r="I828" s="133">
        <v>46068</v>
      </c>
      <c r="J828" s="134">
        <v>0.3659722222222222</v>
      </c>
      <c r="K828" s="135">
        <v>1.5</v>
      </c>
      <c r="L828" s="75">
        <v>1</v>
      </c>
      <c r="M828" s="75" t="s">
        <v>636</v>
      </c>
      <c r="N828" s="75" t="s">
        <v>146</v>
      </c>
      <c r="O828" s="75"/>
      <c r="P828" s="74"/>
      <c r="Q828" s="1127"/>
      <c r="R828" s="1128"/>
      <c r="S828" s="1128"/>
      <c r="T828" s="1128"/>
      <c r="U828" s="1128"/>
      <c r="V828" s="1128"/>
      <c r="W828" s="74"/>
      <c r="X828" s="74"/>
      <c r="Y828" s="684" t="s">
        <v>146</v>
      </c>
      <c r="Z828" s="74">
        <v>225.7</v>
      </c>
    </row>
    <row r="829" spans="9:26">
      <c r="I829" s="133">
        <v>46068</v>
      </c>
      <c r="J829" s="134">
        <v>0.37638888888888888</v>
      </c>
      <c r="K829" s="135">
        <v>5.7</v>
      </c>
      <c r="L829" s="75">
        <v>1</v>
      </c>
      <c r="M829" s="75" t="s">
        <v>636</v>
      </c>
      <c r="N829" s="75" t="s">
        <v>146</v>
      </c>
      <c r="O829" s="75"/>
      <c r="P829" s="74"/>
      <c r="Q829" s="1127"/>
      <c r="R829" s="1128"/>
      <c r="S829" s="1128"/>
      <c r="T829" s="1128"/>
      <c r="U829" s="1128"/>
      <c r="V829" s="1128"/>
      <c r="W829" s="74"/>
      <c r="X829" s="74"/>
      <c r="Y829" s="684" t="s">
        <v>494</v>
      </c>
      <c r="Z829" s="74">
        <v>251.85</v>
      </c>
    </row>
    <row r="830" spans="9:26">
      <c r="I830" s="133">
        <v>46068</v>
      </c>
      <c r="J830" s="134">
        <v>0.37638888888888888</v>
      </c>
      <c r="K830" s="135">
        <v>4.7</v>
      </c>
      <c r="L830" s="75">
        <v>2</v>
      </c>
      <c r="M830" s="75" t="s">
        <v>636</v>
      </c>
      <c r="N830" s="75" t="s">
        <v>146</v>
      </c>
      <c r="O830" s="75"/>
      <c r="P830" s="74"/>
      <c r="Q830" s="1127"/>
      <c r="R830" s="1128"/>
      <c r="S830" s="1128"/>
      <c r="T830" s="1128"/>
      <c r="U830" s="1128"/>
      <c r="V830" s="1128"/>
      <c r="W830" s="74"/>
      <c r="X830" s="74"/>
      <c r="Y830" s="684" t="s">
        <v>497</v>
      </c>
      <c r="Z830" s="74">
        <v>323.45</v>
      </c>
    </row>
    <row r="831" spans="9:26">
      <c r="I831" s="133">
        <v>46068</v>
      </c>
      <c r="J831" s="134">
        <v>0.38958333333333328</v>
      </c>
      <c r="K831" s="135">
        <v>3.2</v>
      </c>
      <c r="L831" s="75">
        <v>1</v>
      </c>
      <c r="M831" s="75" t="s">
        <v>636</v>
      </c>
      <c r="N831" s="75" t="s">
        <v>146</v>
      </c>
      <c r="O831" s="75"/>
      <c r="P831" s="74"/>
      <c r="Q831" s="1127"/>
      <c r="R831" s="1128"/>
      <c r="S831" s="1128"/>
      <c r="T831" s="1128"/>
      <c r="U831" s="1128"/>
      <c r="V831" s="1128"/>
      <c r="W831" s="74"/>
      <c r="X831" s="74"/>
      <c r="Y831" s="684">
        <v>45967</v>
      </c>
      <c r="Z831" s="74">
        <v>461.1</v>
      </c>
    </row>
    <row r="832" spans="9:26">
      <c r="I832" s="133">
        <v>46068</v>
      </c>
      <c r="J832" s="134">
        <v>0.40416666666666667</v>
      </c>
      <c r="K832" s="135">
        <v>9.3000000000000007</v>
      </c>
      <c r="L832" s="75">
        <v>1</v>
      </c>
      <c r="M832" s="75" t="s">
        <v>636</v>
      </c>
      <c r="N832" s="75" t="s">
        <v>146</v>
      </c>
      <c r="O832" s="75"/>
      <c r="P832" s="74"/>
      <c r="Q832" s="1127"/>
      <c r="R832" s="1128"/>
      <c r="S832" s="1128"/>
      <c r="T832" s="1128"/>
      <c r="U832" s="1128"/>
      <c r="V832" s="1128"/>
      <c r="W832" s="74"/>
      <c r="X832" s="74"/>
      <c r="Y832" s="684" t="s">
        <v>146</v>
      </c>
      <c r="Z832" s="74">
        <v>114.9</v>
      </c>
    </row>
    <row r="833" spans="9:26">
      <c r="I833" s="133">
        <v>46068</v>
      </c>
      <c r="J833" s="134">
        <v>0.40694444444444439</v>
      </c>
      <c r="K833" s="135">
        <v>6.55</v>
      </c>
      <c r="L833" s="75">
        <v>1</v>
      </c>
      <c r="M833" s="75" t="s">
        <v>636</v>
      </c>
      <c r="N833" s="75" t="s">
        <v>146</v>
      </c>
      <c r="O833" s="75"/>
      <c r="P833" s="74"/>
      <c r="Q833" s="1127"/>
      <c r="R833" s="1128"/>
      <c r="S833" s="1128"/>
      <c r="T833" s="1128"/>
      <c r="U833" s="1128"/>
      <c r="V833" s="1128"/>
      <c r="W833" s="74"/>
      <c r="X833" s="74"/>
      <c r="Y833" s="684" t="s">
        <v>494</v>
      </c>
      <c r="Z833" s="74">
        <v>185.3</v>
      </c>
    </row>
    <row r="834" spans="9:26">
      <c r="I834" s="133">
        <v>46068</v>
      </c>
      <c r="J834" s="134">
        <v>0.40694444444444439</v>
      </c>
      <c r="K834" s="135">
        <v>6.7</v>
      </c>
      <c r="L834" s="75">
        <v>1</v>
      </c>
      <c r="M834" s="75" t="s">
        <v>636</v>
      </c>
      <c r="N834" s="75" t="s">
        <v>146</v>
      </c>
      <c r="O834" s="75"/>
      <c r="P834" s="74"/>
      <c r="Q834" s="1127"/>
      <c r="R834" s="1128"/>
      <c r="S834" s="1128"/>
      <c r="T834" s="1128"/>
      <c r="U834" s="1128"/>
      <c r="V834" s="1128"/>
      <c r="W834" s="74"/>
      <c r="X834" s="74"/>
      <c r="Y834" s="684" t="s">
        <v>497</v>
      </c>
      <c r="Z834" s="74">
        <v>160.9</v>
      </c>
    </row>
    <row r="835" spans="9:26">
      <c r="I835" s="133">
        <v>46068</v>
      </c>
      <c r="J835" s="134">
        <v>0.41319444444444442</v>
      </c>
      <c r="K835" s="135">
        <v>11.35</v>
      </c>
      <c r="L835" s="75">
        <v>2</v>
      </c>
      <c r="M835" s="75" t="s">
        <v>636</v>
      </c>
      <c r="N835" s="75" t="s">
        <v>146</v>
      </c>
      <c r="O835" s="75"/>
      <c r="P835" s="74"/>
      <c r="Q835" s="1127"/>
      <c r="R835" s="1128"/>
      <c r="S835" s="1128"/>
      <c r="T835" s="1128"/>
      <c r="U835" s="1128"/>
      <c r="V835" s="1128"/>
      <c r="W835" s="74"/>
      <c r="X835" s="74"/>
      <c r="Y835" s="684">
        <v>45968</v>
      </c>
      <c r="Z835" s="74">
        <v>1619.61</v>
      </c>
    </row>
    <row r="836" spans="9:26">
      <c r="I836" s="133">
        <v>46068</v>
      </c>
      <c r="J836" s="134">
        <v>0.41458333333333341</v>
      </c>
      <c r="K836" s="135">
        <v>14.2</v>
      </c>
      <c r="L836" s="75">
        <v>2</v>
      </c>
      <c r="M836" s="75" t="s">
        <v>636</v>
      </c>
      <c r="N836" s="75" t="s">
        <v>146</v>
      </c>
      <c r="O836" s="75"/>
      <c r="P836" s="74"/>
      <c r="Q836" s="1127"/>
      <c r="R836" s="1128"/>
      <c r="S836" s="1128"/>
      <c r="T836" s="1128"/>
      <c r="U836" s="1128"/>
      <c r="V836" s="1128"/>
      <c r="W836" s="74"/>
      <c r="X836" s="74"/>
      <c r="Y836" s="684" t="s">
        <v>146</v>
      </c>
      <c r="Z836" s="74">
        <v>93.05</v>
      </c>
    </row>
    <row r="837" spans="9:26">
      <c r="I837" s="133">
        <v>46068</v>
      </c>
      <c r="J837" s="134">
        <v>0.41736111111111113</v>
      </c>
      <c r="K837" s="135">
        <v>2.4500000000000002</v>
      </c>
      <c r="L837" s="75">
        <v>1</v>
      </c>
      <c r="M837" s="75" t="s">
        <v>636</v>
      </c>
      <c r="N837" s="75" t="s">
        <v>146</v>
      </c>
      <c r="O837" s="75"/>
      <c r="P837" s="74"/>
      <c r="Q837" s="1127"/>
      <c r="R837" s="1128"/>
      <c r="S837" s="1128"/>
      <c r="T837" s="1128"/>
      <c r="U837" s="1128"/>
      <c r="V837" s="1128"/>
      <c r="W837" s="74"/>
      <c r="X837" s="74"/>
      <c r="Y837" s="684" t="s">
        <v>494</v>
      </c>
      <c r="Z837" s="74">
        <v>541.79999999999995</v>
      </c>
    </row>
    <row r="838" spans="9:26">
      <c r="I838" s="133">
        <v>46068</v>
      </c>
      <c r="J838" s="134">
        <v>0.42222222222222222</v>
      </c>
      <c r="K838" s="135">
        <v>3.4</v>
      </c>
      <c r="L838" s="75">
        <v>2</v>
      </c>
      <c r="M838" s="75" t="s">
        <v>636</v>
      </c>
      <c r="N838" s="75" t="s">
        <v>146</v>
      </c>
      <c r="O838" s="75"/>
      <c r="P838" s="74"/>
      <c r="Q838" s="1127"/>
      <c r="R838" s="1128"/>
      <c r="S838" s="1128"/>
      <c r="T838" s="1128"/>
      <c r="U838" s="1128"/>
      <c r="V838" s="1128"/>
      <c r="W838" s="74"/>
      <c r="X838" s="74"/>
      <c r="Y838" s="684" t="s">
        <v>497</v>
      </c>
      <c r="Z838" s="74">
        <v>984.76</v>
      </c>
    </row>
    <row r="839" spans="9:26">
      <c r="I839" s="133">
        <v>46068</v>
      </c>
      <c r="J839" s="134">
        <v>0.4236111111111111</v>
      </c>
      <c r="K839" s="135">
        <v>8.9499999999999993</v>
      </c>
      <c r="L839" s="75">
        <v>3</v>
      </c>
      <c r="M839" s="75" t="s">
        <v>636</v>
      </c>
      <c r="N839" s="75" t="s">
        <v>146</v>
      </c>
      <c r="O839" s="75"/>
      <c r="P839" s="74"/>
      <c r="Q839" s="1127"/>
      <c r="R839" s="1128"/>
      <c r="S839" s="1128"/>
      <c r="T839" s="1128"/>
      <c r="U839" s="1128"/>
      <c r="V839" s="1128"/>
      <c r="W839" s="74"/>
      <c r="X839" s="74"/>
      <c r="Y839" s="684">
        <v>45969</v>
      </c>
      <c r="Z839" s="74">
        <v>2270.15</v>
      </c>
    </row>
    <row r="840" spans="9:26">
      <c r="I840" s="133">
        <v>46068</v>
      </c>
      <c r="J840" s="134">
        <v>0.43055555555555558</v>
      </c>
      <c r="K840" s="135">
        <v>3.25</v>
      </c>
      <c r="L840" s="75">
        <v>1</v>
      </c>
      <c r="M840" s="75" t="s">
        <v>636</v>
      </c>
      <c r="N840" s="75" t="s">
        <v>146</v>
      </c>
      <c r="O840" s="75"/>
      <c r="P840" s="74"/>
      <c r="Q840" s="1127"/>
      <c r="R840" s="1128"/>
      <c r="S840" s="1128"/>
      <c r="T840" s="1128"/>
      <c r="U840" s="1128"/>
      <c r="V840" s="1128"/>
      <c r="W840" s="74"/>
      <c r="X840" s="74"/>
      <c r="Y840" s="684" t="s">
        <v>146</v>
      </c>
      <c r="Z840" s="74">
        <v>213.15</v>
      </c>
    </row>
    <row r="841" spans="9:26">
      <c r="I841" s="133">
        <v>46068</v>
      </c>
      <c r="J841" s="134">
        <v>0.43333333333333329</v>
      </c>
      <c r="K841" s="135">
        <v>12.95</v>
      </c>
      <c r="L841" s="75">
        <v>3</v>
      </c>
      <c r="M841" s="75" t="s">
        <v>636</v>
      </c>
      <c r="N841" s="75" t="s">
        <v>146</v>
      </c>
      <c r="O841" s="75"/>
      <c r="P841" s="74"/>
      <c r="Q841" s="1127"/>
      <c r="R841" s="1128"/>
      <c r="S841" s="1128"/>
      <c r="T841" s="1128"/>
      <c r="U841" s="1128"/>
      <c r="V841" s="1128"/>
      <c r="W841" s="74"/>
      <c r="X841" s="74"/>
      <c r="Y841" s="684" t="s">
        <v>494</v>
      </c>
      <c r="Z841" s="74">
        <v>1103.75</v>
      </c>
    </row>
    <row r="842" spans="9:26">
      <c r="I842" s="133">
        <v>46068</v>
      </c>
      <c r="J842" s="134">
        <v>0.44027777777777782</v>
      </c>
      <c r="K842" s="135">
        <v>12.4</v>
      </c>
      <c r="L842" s="75">
        <v>1</v>
      </c>
      <c r="M842" s="75" t="s">
        <v>636</v>
      </c>
      <c r="N842" s="75" t="s">
        <v>146</v>
      </c>
      <c r="O842" s="75"/>
      <c r="P842" s="74"/>
      <c r="Q842" s="1127"/>
      <c r="R842" s="1128"/>
      <c r="S842" s="1128"/>
      <c r="T842" s="1128"/>
      <c r="U842" s="1128"/>
      <c r="V842" s="1128"/>
      <c r="W842" s="74"/>
      <c r="X842" s="74"/>
      <c r="Y842" s="684" t="s">
        <v>497</v>
      </c>
      <c r="Z842" s="74">
        <v>953.25</v>
      </c>
    </row>
    <row r="843" spans="9:26">
      <c r="I843" s="133">
        <v>46068</v>
      </c>
      <c r="J843" s="134">
        <v>0.45208333333333328</v>
      </c>
      <c r="K843" s="135">
        <v>3.4</v>
      </c>
      <c r="L843" s="75">
        <v>2</v>
      </c>
      <c r="M843" s="75" t="s">
        <v>636</v>
      </c>
      <c r="N843" s="75" t="s">
        <v>146</v>
      </c>
      <c r="O843" s="75"/>
      <c r="P843" s="74"/>
      <c r="Q843" s="1127"/>
      <c r="R843" s="1128"/>
      <c r="S843" s="1128"/>
      <c r="T843" s="1128"/>
      <c r="U843" s="1128"/>
      <c r="V843" s="1128"/>
      <c r="W843" s="74"/>
      <c r="X843" s="74"/>
      <c r="Y843" s="684">
        <v>45970</v>
      </c>
      <c r="Z843" s="74">
        <v>997.45</v>
      </c>
    </row>
    <row r="844" spans="9:26">
      <c r="I844" s="133">
        <v>46068</v>
      </c>
      <c r="J844" s="134">
        <v>0.45347222222222222</v>
      </c>
      <c r="K844" s="135">
        <v>4.95</v>
      </c>
      <c r="L844" s="75">
        <v>1</v>
      </c>
      <c r="M844" s="75" t="s">
        <v>636</v>
      </c>
      <c r="N844" s="75" t="s">
        <v>146</v>
      </c>
      <c r="O844" s="75"/>
      <c r="P844" s="74"/>
      <c r="Q844" s="1127"/>
      <c r="R844" s="1128"/>
      <c r="S844" s="1128"/>
      <c r="T844" s="1128"/>
      <c r="U844" s="1128"/>
      <c r="V844" s="1128"/>
      <c r="W844" s="74"/>
      <c r="X844" s="74"/>
      <c r="Y844" s="684" t="s">
        <v>146</v>
      </c>
      <c r="Z844" s="74">
        <v>127.2</v>
      </c>
    </row>
    <row r="845" spans="9:26">
      <c r="I845" s="133">
        <v>46068</v>
      </c>
      <c r="J845" s="134">
        <v>0.46319444444444452</v>
      </c>
      <c r="K845" s="135">
        <v>7.55</v>
      </c>
      <c r="L845" s="75">
        <v>1</v>
      </c>
      <c r="M845" s="75" t="s">
        <v>636</v>
      </c>
      <c r="N845" s="75" t="s">
        <v>146</v>
      </c>
      <c r="O845" s="75"/>
      <c r="P845" s="74"/>
      <c r="Q845" s="1127"/>
      <c r="R845" s="1128"/>
      <c r="S845" s="1128"/>
      <c r="T845" s="1128"/>
      <c r="U845" s="1128"/>
      <c r="V845" s="1128"/>
      <c r="W845" s="74"/>
      <c r="X845" s="74"/>
      <c r="Y845" s="684" t="s">
        <v>494</v>
      </c>
      <c r="Z845" s="74">
        <v>870.25</v>
      </c>
    </row>
    <row r="846" spans="9:26">
      <c r="I846" s="133">
        <v>46068</v>
      </c>
      <c r="J846" s="134">
        <v>0.48194444444444451</v>
      </c>
      <c r="K846" s="135">
        <v>4.6500000000000004</v>
      </c>
      <c r="L846" s="75">
        <v>2</v>
      </c>
      <c r="M846" s="75" t="s">
        <v>636</v>
      </c>
      <c r="N846" s="75" t="s">
        <v>146</v>
      </c>
      <c r="O846" s="75"/>
      <c r="P846" s="74"/>
      <c r="Q846" s="1127"/>
      <c r="R846" s="1128"/>
      <c r="S846" s="1128"/>
      <c r="T846" s="1128"/>
      <c r="U846" s="1128"/>
      <c r="V846" s="1128"/>
      <c r="W846" s="74"/>
      <c r="X846" s="74"/>
      <c r="Y846" s="684" t="s">
        <v>497</v>
      </c>
      <c r="Z846" s="74">
        <v>0</v>
      </c>
    </row>
    <row r="847" spans="9:26">
      <c r="I847" s="133">
        <v>46068</v>
      </c>
      <c r="J847" s="134">
        <v>0.49236111111111108</v>
      </c>
      <c r="K847" s="135">
        <v>5.2</v>
      </c>
      <c r="L847" s="75">
        <v>1</v>
      </c>
      <c r="M847" s="75" t="s">
        <v>636</v>
      </c>
      <c r="N847" s="75" t="s">
        <v>146</v>
      </c>
      <c r="O847" s="75"/>
      <c r="P847" s="74"/>
      <c r="Q847" s="1127"/>
      <c r="R847" s="1128"/>
      <c r="S847" s="1128"/>
      <c r="T847" s="1128"/>
      <c r="U847" s="1128"/>
      <c r="V847" s="1128"/>
      <c r="W847" s="74"/>
      <c r="X847" s="74"/>
      <c r="Y847" s="684">
        <v>45987</v>
      </c>
      <c r="Z847" s="74">
        <v>756.3</v>
      </c>
    </row>
    <row r="848" spans="9:26">
      <c r="I848" s="133">
        <v>46068</v>
      </c>
      <c r="J848" s="134">
        <v>0.50138888888888888</v>
      </c>
      <c r="K848" s="135">
        <v>1.5</v>
      </c>
      <c r="L848" s="75">
        <v>1</v>
      </c>
      <c r="M848" s="75" t="s">
        <v>636</v>
      </c>
      <c r="N848" s="75" t="s">
        <v>494</v>
      </c>
      <c r="O848" s="75"/>
      <c r="P848" s="74"/>
      <c r="Q848" s="1127"/>
      <c r="R848" s="1128"/>
      <c r="S848" s="1128"/>
      <c r="T848" s="1128"/>
      <c r="U848" s="1128"/>
      <c r="V848" s="1128"/>
      <c r="W848" s="74"/>
      <c r="X848" s="74"/>
      <c r="Y848" s="684" t="s">
        <v>146</v>
      </c>
      <c r="Z848" s="74">
        <v>182.2</v>
      </c>
    </row>
    <row r="849" spans="9:26">
      <c r="I849" s="133">
        <v>46068</v>
      </c>
      <c r="J849" s="134">
        <v>0.53402777777777777</v>
      </c>
      <c r="K849" s="135">
        <v>1.55</v>
      </c>
      <c r="L849" s="75">
        <v>1</v>
      </c>
      <c r="M849" s="75" t="s">
        <v>636</v>
      </c>
      <c r="N849" s="75" t="s">
        <v>494</v>
      </c>
      <c r="O849" s="75"/>
      <c r="P849" s="74"/>
      <c r="Q849" s="1127"/>
      <c r="R849" s="1128"/>
      <c r="S849" s="1128"/>
      <c r="T849" s="1128"/>
      <c r="U849" s="1128"/>
      <c r="V849" s="1128"/>
      <c r="W849" s="74"/>
      <c r="X849" s="74"/>
      <c r="Y849" s="684" t="s">
        <v>494</v>
      </c>
      <c r="Z849" s="74">
        <v>301.95</v>
      </c>
    </row>
    <row r="850" spans="9:26">
      <c r="I850" s="133">
        <v>46068</v>
      </c>
      <c r="J850" s="134">
        <v>0.54791666666666672</v>
      </c>
      <c r="K850" s="135">
        <v>11</v>
      </c>
      <c r="L850" s="75">
        <v>3</v>
      </c>
      <c r="M850" s="75" t="s">
        <v>636</v>
      </c>
      <c r="N850" s="75" t="s">
        <v>494</v>
      </c>
      <c r="O850" s="75"/>
      <c r="P850" s="74"/>
      <c r="Q850" s="1127"/>
      <c r="R850" s="1128"/>
      <c r="S850" s="1128"/>
      <c r="T850" s="1128"/>
      <c r="U850" s="1128"/>
      <c r="V850" s="1128"/>
      <c r="W850" s="74"/>
      <c r="X850" s="74"/>
      <c r="Y850" s="684" t="s">
        <v>497</v>
      </c>
      <c r="Z850" s="74">
        <v>272.14999999999998</v>
      </c>
    </row>
    <row r="851" spans="9:26">
      <c r="I851" s="133">
        <v>46068</v>
      </c>
      <c r="J851" s="134">
        <v>0.55069444444444449</v>
      </c>
      <c r="K851" s="135">
        <v>1.65</v>
      </c>
      <c r="L851" s="75">
        <v>1</v>
      </c>
      <c r="M851" s="75" t="s">
        <v>636</v>
      </c>
      <c r="N851" s="75" t="s">
        <v>494</v>
      </c>
      <c r="O851" s="75"/>
      <c r="P851" s="74"/>
      <c r="Q851" s="1127"/>
      <c r="R851" s="1128"/>
      <c r="S851" s="1128"/>
      <c r="T851" s="1128"/>
      <c r="U851" s="1128"/>
      <c r="V851" s="1128"/>
      <c r="W851" s="74"/>
      <c r="X851" s="74"/>
      <c r="Y851" s="684">
        <v>45988</v>
      </c>
      <c r="Z851" s="74">
        <v>822.3</v>
      </c>
    </row>
    <row r="852" spans="9:26">
      <c r="I852" s="133">
        <v>46068</v>
      </c>
      <c r="J852" s="134">
        <v>0.55763888888888891</v>
      </c>
      <c r="K852" s="135">
        <v>14.85</v>
      </c>
      <c r="L852" s="75">
        <v>2</v>
      </c>
      <c r="M852" s="75" t="s">
        <v>636</v>
      </c>
      <c r="N852" s="75" t="s">
        <v>494</v>
      </c>
      <c r="O852" s="75"/>
      <c r="P852" s="74"/>
      <c r="Q852" s="1127"/>
      <c r="R852" s="1128"/>
      <c r="S852" s="1128"/>
      <c r="T852" s="1128"/>
      <c r="U852" s="1128"/>
      <c r="V852" s="1128"/>
      <c r="W852" s="74"/>
      <c r="X852" s="74"/>
      <c r="Y852" s="684" t="s">
        <v>146</v>
      </c>
      <c r="Z852" s="74">
        <v>111.95</v>
      </c>
    </row>
    <row r="853" spans="9:26">
      <c r="I853" s="133">
        <v>46068</v>
      </c>
      <c r="J853" s="134">
        <v>0.56388888888888888</v>
      </c>
      <c r="K853" s="135">
        <v>2.15</v>
      </c>
      <c r="L853" s="75">
        <v>1</v>
      </c>
      <c r="M853" s="75" t="s">
        <v>636</v>
      </c>
      <c r="N853" s="75" t="s">
        <v>494</v>
      </c>
      <c r="O853" s="75"/>
      <c r="P853" s="74"/>
      <c r="Q853" s="1127"/>
      <c r="R853" s="1128"/>
      <c r="S853" s="1128"/>
      <c r="T853" s="1128"/>
      <c r="U853" s="1128"/>
      <c r="V853" s="1128"/>
      <c r="W853" s="74"/>
      <c r="X853" s="74"/>
      <c r="Y853" s="684" t="s">
        <v>494</v>
      </c>
      <c r="Z853" s="74">
        <v>326.75</v>
      </c>
    </row>
    <row r="854" spans="9:26">
      <c r="I854" s="133">
        <v>46068</v>
      </c>
      <c r="J854" s="134">
        <v>0.60624999999999996</v>
      </c>
      <c r="K854" s="135">
        <v>45.6</v>
      </c>
      <c r="L854" s="75">
        <v>2</v>
      </c>
      <c r="M854" s="75" t="s">
        <v>636</v>
      </c>
      <c r="N854" s="75" t="s">
        <v>494</v>
      </c>
      <c r="O854" s="75"/>
      <c r="P854" s="74"/>
      <c r="Q854" s="1127"/>
      <c r="R854" s="1128"/>
      <c r="S854" s="1128"/>
      <c r="T854" s="1128"/>
      <c r="U854" s="1128"/>
      <c r="V854" s="1128"/>
      <c r="W854" s="74"/>
      <c r="X854" s="74"/>
      <c r="Y854" s="684" t="s">
        <v>497</v>
      </c>
      <c r="Z854" s="74">
        <v>383.6</v>
      </c>
    </row>
    <row r="855" spans="9:26">
      <c r="I855" s="133">
        <v>46068</v>
      </c>
      <c r="J855" s="134">
        <v>0.6118055555555556</v>
      </c>
      <c r="K855" s="135">
        <v>26.5</v>
      </c>
      <c r="L855" s="75">
        <v>2</v>
      </c>
      <c r="M855" s="75" t="s">
        <v>636</v>
      </c>
      <c r="N855" s="75" t="s">
        <v>494</v>
      </c>
      <c r="O855" s="75"/>
      <c r="P855" s="74"/>
      <c r="Q855" s="1127"/>
      <c r="R855" s="1128"/>
      <c r="S855" s="1128"/>
      <c r="T855" s="1128"/>
      <c r="U855" s="1128"/>
      <c r="V855" s="1128"/>
      <c r="W855" s="74"/>
      <c r="X855" s="74"/>
      <c r="Y855" s="684">
        <v>45989</v>
      </c>
      <c r="Z855" s="74">
        <v>4679</v>
      </c>
    </row>
    <row r="856" spans="9:26">
      <c r="I856" s="133">
        <v>46068</v>
      </c>
      <c r="J856" s="134">
        <v>0.62083333333333335</v>
      </c>
      <c r="K856" s="135">
        <v>32.65</v>
      </c>
      <c r="L856" s="75">
        <v>3</v>
      </c>
      <c r="M856" s="75" t="s">
        <v>636</v>
      </c>
      <c r="N856" s="75" t="s">
        <v>494</v>
      </c>
      <c r="O856" s="75"/>
      <c r="P856" s="74"/>
      <c r="Q856" s="1127"/>
      <c r="R856" s="1128"/>
      <c r="S856" s="1128"/>
      <c r="T856" s="1128"/>
      <c r="U856" s="1128"/>
      <c r="V856" s="1128"/>
      <c r="W856" s="74"/>
      <c r="X856" s="74"/>
      <c r="Y856" s="684" t="s">
        <v>146</v>
      </c>
      <c r="Z856" s="74">
        <v>388.95</v>
      </c>
    </row>
    <row r="857" spans="9:26">
      <c r="I857" s="133">
        <v>46068</v>
      </c>
      <c r="J857" s="134">
        <v>0.66319444444444442</v>
      </c>
      <c r="K857" s="135">
        <v>36.549999999999997</v>
      </c>
      <c r="L857" s="75">
        <v>2</v>
      </c>
      <c r="M857" s="75" t="s">
        <v>636</v>
      </c>
      <c r="N857" s="75" t="s">
        <v>494</v>
      </c>
      <c r="O857" s="75"/>
      <c r="P857" s="74"/>
      <c r="Q857" s="1127"/>
      <c r="R857" s="1128"/>
      <c r="S857" s="1128"/>
      <c r="T857" s="1128"/>
      <c r="U857" s="1128"/>
      <c r="V857" s="1128"/>
      <c r="W857" s="74"/>
      <c r="X857" s="74"/>
      <c r="Y857" s="684" t="s">
        <v>494</v>
      </c>
      <c r="Z857" s="74">
        <v>1998.5</v>
      </c>
    </row>
    <row r="858" spans="9:26">
      <c r="I858" s="133">
        <v>46071</v>
      </c>
      <c r="J858" s="134">
        <v>0.29930555555555549</v>
      </c>
      <c r="K858" s="135">
        <v>3.95</v>
      </c>
      <c r="L858" s="75">
        <v>1</v>
      </c>
      <c r="M858" s="75" t="s">
        <v>637</v>
      </c>
      <c r="N858" s="75" t="s">
        <v>146</v>
      </c>
      <c r="O858" s="75"/>
      <c r="P858" s="74"/>
      <c r="Q858" s="1127"/>
      <c r="R858" s="1128"/>
      <c r="S858" s="1128"/>
      <c r="T858" s="1128"/>
      <c r="U858" s="1128"/>
      <c r="V858" s="1128"/>
      <c r="W858" s="74"/>
      <c r="X858" s="74"/>
      <c r="Y858" s="684" t="s">
        <v>497</v>
      </c>
      <c r="Z858" s="74">
        <v>2291.5500000000002</v>
      </c>
    </row>
    <row r="859" spans="9:26">
      <c r="I859" s="133">
        <v>46071</v>
      </c>
      <c r="J859" s="134">
        <v>0.30069444444444438</v>
      </c>
      <c r="K859" s="135">
        <v>6.55</v>
      </c>
      <c r="L859" s="75">
        <v>1</v>
      </c>
      <c r="M859" s="75" t="s">
        <v>637</v>
      </c>
      <c r="N859" s="75" t="s">
        <v>146</v>
      </c>
      <c r="O859" s="75"/>
      <c r="P859" s="74"/>
      <c r="Q859" s="1127"/>
      <c r="R859" s="1128"/>
      <c r="S859" s="1128"/>
      <c r="T859" s="1128"/>
      <c r="U859" s="1128"/>
      <c r="V859" s="1128"/>
      <c r="W859" s="74"/>
      <c r="X859" s="74"/>
      <c r="Y859" s="684">
        <v>45990</v>
      </c>
      <c r="Z859" s="74">
        <v>93</v>
      </c>
    </row>
    <row r="860" spans="9:26">
      <c r="I860" s="133">
        <v>46071</v>
      </c>
      <c r="J860" s="134">
        <v>0.33194444444444438</v>
      </c>
      <c r="K860" s="135">
        <v>6.5</v>
      </c>
      <c r="L860" s="75">
        <v>1</v>
      </c>
      <c r="M860" s="75" t="s">
        <v>637</v>
      </c>
      <c r="N860" s="75" t="s">
        <v>146</v>
      </c>
      <c r="O860" s="75"/>
      <c r="P860" s="74"/>
      <c r="Q860" s="1127"/>
      <c r="R860" s="1128"/>
      <c r="S860" s="1128"/>
      <c r="T860" s="1128"/>
      <c r="U860" s="1128"/>
      <c r="V860" s="1128"/>
      <c r="W860" s="74"/>
      <c r="X860" s="74"/>
      <c r="Y860" s="684" t="s">
        <v>146</v>
      </c>
      <c r="Z860" s="74">
        <v>93</v>
      </c>
    </row>
    <row r="861" spans="9:26">
      <c r="I861" s="133">
        <v>46071</v>
      </c>
      <c r="J861" s="134">
        <v>0.33958333333333329</v>
      </c>
      <c r="K861" s="135">
        <v>1.5</v>
      </c>
      <c r="L861" s="75">
        <v>1</v>
      </c>
      <c r="M861" s="75" t="s">
        <v>637</v>
      </c>
      <c r="N861" s="75" t="s">
        <v>146</v>
      </c>
      <c r="O861" s="75"/>
      <c r="P861" s="74"/>
      <c r="Q861" s="1127"/>
      <c r="R861" s="1128"/>
      <c r="S861" s="1128"/>
      <c r="T861" s="1128"/>
      <c r="U861" s="1128"/>
      <c r="V861" s="1128"/>
      <c r="W861" s="74"/>
      <c r="X861" s="74"/>
      <c r="Y861" s="684">
        <v>45991</v>
      </c>
      <c r="Z861" s="74">
        <v>1609.75</v>
      </c>
    </row>
    <row r="862" spans="9:26">
      <c r="I862" s="133">
        <v>46071</v>
      </c>
      <c r="J862" s="134">
        <v>0.39374999999999999</v>
      </c>
      <c r="K862" s="135">
        <v>3</v>
      </c>
      <c r="L862" s="75">
        <v>1</v>
      </c>
      <c r="M862" s="75" t="s">
        <v>637</v>
      </c>
      <c r="N862" s="75" t="s">
        <v>146</v>
      </c>
      <c r="O862" s="75"/>
      <c r="P862" s="74"/>
      <c r="Q862" s="1127"/>
      <c r="R862" s="1128"/>
      <c r="S862" s="1128"/>
      <c r="T862" s="1128"/>
      <c r="U862" s="1128"/>
      <c r="V862" s="1128"/>
      <c r="W862" s="74"/>
      <c r="X862" s="74"/>
      <c r="Y862" s="684" t="s">
        <v>146</v>
      </c>
      <c r="Z862" s="74">
        <v>81.75</v>
      </c>
    </row>
    <row r="863" spans="9:26">
      <c r="I863" s="133">
        <v>46071</v>
      </c>
      <c r="J863" s="134">
        <v>0.40208333333333329</v>
      </c>
      <c r="K863" s="135">
        <v>1.95</v>
      </c>
      <c r="L863" s="75">
        <v>1</v>
      </c>
      <c r="M863" s="75" t="s">
        <v>637</v>
      </c>
      <c r="N863" s="75" t="s">
        <v>146</v>
      </c>
      <c r="O863" s="75"/>
      <c r="P863" s="74"/>
      <c r="Q863" s="1127"/>
      <c r="R863" s="1128"/>
      <c r="S863" s="1128"/>
      <c r="T863" s="1128"/>
      <c r="U863" s="1128"/>
      <c r="V863" s="1128"/>
      <c r="W863" s="74"/>
      <c r="X863" s="74"/>
      <c r="Y863" s="684" t="s">
        <v>494</v>
      </c>
      <c r="Z863" s="74">
        <v>1528</v>
      </c>
    </row>
    <row r="864" spans="9:26">
      <c r="I864" s="133">
        <v>46071</v>
      </c>
      <c r="J864" s="134">
        <v>0.40555555555555561</v>
      </c>
      <c r="K864" s="135">
        <v>2.15</v>
      </c>
      <c r="L864" s="75">
        <v>1</v>
      </c>
      <c r="M864" s="75" t="s">
        <v>637</v>
      </c>
      <c r="N864" s="75" t="s">
        <v>146</v>
      </c>
      <c r="O864" s="75"/>
      <c r="P864" s="74"/>
      <c r="Q864" s="1127"/>
      <c r="R864" s="1128"/>
      <c r="S864" s="1128"/>
      <c r="T864" s="1128"/>
      <c r="U864" s="1128"/>
      <c r="V864" s="1128"/>
      <c r="W864" s="74"/>
      <c r="X864" s="74"/>
      <c r="Y864" s="684" t="s">
        <v>497</v>
      </c>
      <c r="Z864" s="74">
        <v>0</v>
      </c>
    </row>
    <row r="865" spans="9:26">
      <c r="I865" s="133">
        <v>46071</v>
      </c>
      <c r="J865" s="134">
        <v>0.40972222222222221</v>
      </c>
      <c r="K865" s="135">
        <v>2.8</v>
      </c>
      <c r="L865" s="75">
        <v>2</v>
      </c>
      <c r="M865" s="75" t="s">
        <v>637</v>
      </c>
      <c r="N865" s="75" t="s">
        <v>146</v>
      </c>
      <c r="O865" s="75"/>
      <c r="P865" s="74"/>
      <c r="Q865" s="1127"/>
      <c r="R865" s="1128"/>
      <c r="S865" s="1128"/>
      <c r="T865" s="1128"/>
      <c r="U865" s="1128"/>
      <c r="V865" s="1128"/>
      <c r="W865" s="74"/>
      <c r="X865" s="74"/>
      <c r="Y865" s="684">
        <v>45994</v>
      </c>
      <c r="Z865" s="74">
        <v>701.45</v>
      </c>
    </row>
    <row r="866" spans="9:26">
      <c r="I866" s="133">
        <v>46071</v>
      </c>
      <c r="J866" s="134">
        <v>0.4201388888888889</v>
      </c>
      <c r="K866" s="135">
        <v>1.5</v>
      </c>
      <c r="L866" s="75">
        <v>1</v>
      </c>
      <c r="M866" s="75" t="s">
        <v>637</v>
      </c>
      <c r="N866" s="75" t="s">
        <v>146</v>
      </c>
      <c r="O866" s="75"/>
      <c r="P866" s="74"/>
      <c r="Q866" s="1127"/>
      <c r="R866" s="1128"/>
      <c r="S866" s="1128"/>
      <c r="T866" s="1128"/>
      <c r="U866" s="1128"/>
      <c r="V866" s="1128"/>
      <c r="W866" s="74"/>
      <c r="X866" s="74"/>
      <c r="Y866" s="684" t="s">
        <v>146</v>
      </c>
      <c r="Z866" s="74">
        <v>115.65</v>
      </c>
    </row>
    <row r="867" spans="9:26">
      <c r="I867" s="133">
        <v>46071</v>
      </c>
      <c r="J867" s="134">
        <v>0.42083333333333328</v>
      </c>
      <c r="K867" s="135">
        <v>1.7</v>
      </c>
      <c r="L867" s="75">
        <v>1</v>
      </c>
      <c r="M867" s="75" t="s">
        <v>637</v>
      </c>
      <c r="N867" s="75" t="s">
        <v>146</v>
      </c>
      <c r="O867" s="75"/>
      <c r="P867" s="74"/>
      <c r="Q867" s="1127"/>
      <c r="R867" s="1128"/>
      <c r="S867" s="1128"/>
      <c r="T867" s="1128"/>
      <c r="U867" s="1128"/>
      <c r="V867" s="1128"/>
      <c r="W867" s="74"/>
      <c r="X867" s="74"/>
      <c r="Y867" s="684" t="s">
        <v>494</v>
      </c>
      <c r="Z867" s="74">
        <v>476.05</v>
      </c>
    </row>
    <row r="868" spans="9:26">
      <c r="I868" s="133">
        <v>46071</v>
      </c>
      <c r="J868" s="134">
        <v>0.44722222222222219</v>
      </c>
      <c r="K868" s="135">
        <v>1.4</v>
      </c>
      <c r="L868" s="75">
        <v>1</v>
      </c>
      <c r="M868" s="75" t="s">
        <v>637</v>
      </c>
      <c r="N868" s="75" t="s">
        <v>146</v>
      </c>
      <c r="O868" s="75"/>
      <c r="P868" s="74"/>
      <c r="Q868" s="1127"/>
      <c r="R868" s="1128"/>
      <c r="S868" s="1128"/>
      <c r="T868" s="1128"/>
      <c r="U868" s="1128"/>
      <c r="V868" s="1128"/>
      <c r="W868" s="74"/>
      <c r="X868" s="74"/>
      <c r="Y868" s="684" t="s">
        <v>497</v>
      </c>
      <c r="Z868" s="74">
        <v>109.75</v>
      </c>
    </row>
    <row r="869" spans="9:26">
      <c r="I869" s="133">
        <v>46071</v>
      </c>
      <c r="J869" s="134">
        <v>0.44930555555555562</v>
      </c>
      <c r="K869" s="135">
        <v>5.65</v>
      </c>
      <c r="L869" s="75">
        <v>2</v>
      </c>
      <c r="M869" s="75" t="s">
        <v>637</v>
      </c>
      <c r="N869" s="75" t="s">
        <v>146</v>
      </c>
      <c r="O869" s="75"/>
      <c r="P869" s="74"/>
      <c r="Q869" s="1127"/>
      <c r="R869" s="1128"/>
      <c r="S869" s="1128"/>
      <c r="T869" s="1128"/>
      <c r="U869" s="1128"/>
      <c r="V869" s="1128"/>
      <c r="W869" s="74"/>
      <c r="X869" s="74"/>
      <c r="Y869" s="684">
        <v>45995</v>
      </c>
      <c r="Z869" s="74">
        <v>730.35</v>
      </c>
    </row>
    <row r="870" spans="9:26">
      <c r="I870" s="133">
        <v>46071</v>
      </c>
      <c r="J870" s="134">
        <v>0.48055555555555562</v>
      </c>
      <c r="K870" s="135">
        <v>1.5</v>
      </c>
      <c r="L870" s="75">
        <v>1</v>
      </c>
      <c r="M870" s="75" t="s">
        <v>637</v>
      </c>
      <c r="N870" s="75" t="s">
        <v>146</v>
      </c>
      <c r="O870" s="75"/>
      <c r="P870" s="74"/>
      <c r="Q870" s="1127"/>
      <c r="R870" s="1128"/>
      <c r="S870" s="1128"/>
      <c r="T870" s="1128"/>
      <c r="U870" s="1128"/>
      <c r="V870" s="1128"/>
      <c r="W870" s="74"/>
      <c r="X870" s="74"/>
      <c r="Y870" s="684" t="s">
        <v>146</v>
      </c>
      <c r="Z870" s="74">
        <v>125.05</v>
      </c>
    </row>
    <row r="871" spans="9:26">
      <c r="I871" s="133">
        <v>46071</v>
      </c>
      <c r="J871" s="134">
        <v>0.48402777777777778</v>
      </c>
      <c r="K871" s="135">
        <v>3.4</v>
      </c>
      <c r="L871" s="75">
        <v>2</v>
      </c>
      <c r="M871" s="75" t="s">
        <v>637</v>
      </c>
      <c r="N871" s="75" t="s">
        <v>146</v>
      </c>
      <c r="O871" s="75"/>
      <c r="P871" s="74"/>
      <c r="Q871" s="1127"/>
      <c r="R871" s="1128"/>
      <c r="S871" s="1128"/>
      <c r="T871" s="1128"/>
      <c r="U871" s="1128"/>
      <c r="V871" s="1128"/>
      <c r="W871" s="74"/>
      <c r="X871" s="74"/>
      <c r="Y871" s="684" t="s">
        <v>494</v>
      </c>
      <c r="Z871" s="74">
        <v>400.1</v>
      </c>
    </row>
    <row r="872" spans="9:26">
      <c r="I872" s="133">
        <v>46071</v>
      </c>
      <c r="J872" s="134">
        <v>0.49236111111111108</v>
      </c>
      <c r="K872" s="135">
        <v>1.5</v>
      </c>
      <c r="L872" s="75">
        <v>1</v>
      </c>
      <c r="M872" s="75" t="s">
        <v>637</v>
      </c>
      <c r="N872" s="75" t="s">
        <v>146</v>
      </c>
      <c r="O872" s="75"/>
      <c r="P872" s="74"/>
      <c r="Q872" s="1127"/>
      <c r="R872" s="1128"/>
      <c r="S872" s="1128"/>
      <c r="T872" s="1128"/>
      <c r="U872" s="1128"/>
      <c r="V872" s="1128"/>
      <c r="W872" s="74"/>
      <c r="X872" s="74"/>
      <c r="Y872" s="684" t="s">
        <v>497</v>
      </c>
      <c r="Z872" s="74">
        <v>205.2</v>
      </c>
    </row>
    <row r="873" spans="9:26">
      <c r="I873" s="133">
        <v>46071</v>
      </c>
      <c r="J873" s="134">
        <v>0.49444444444444452</v>
      </c>
      <c r="K873" s="135">
        <v>1.4</v>
      </c>
      <c r="L873" s="75">
        <v>1</v>
      </c>
      <c r="M873" s="75" t="s">
        <v>637</v>
      </c>
      <c r="N873" s="75" t="s">
        <v>146</v>
      </c>
      <c r="O873" s="75"/>
      <c r="P873" s="74"/>
      <c r="Q873" s="1127"/>
      <c r="R873" s="1128"/>
      <c r="S873" s="1128"/>
      <c r="T873" s="1128"/>
      <c r="U873" s="1128"/>
      <c r="V873" s="1128"/>
      <c r="W873" s="74"/>
      <c r="X873" s="74"/>
      <c r="Y873" s="684">
        <v>45996</v>
      </c>
      <c r="Z873" s="74">
        <v>2246.4</v>
      </c>
    </row>
    <row r="874" spans="9:26">
      <c r="I874" s="133">
        <v>46071</v>
      </c>
      <c r="J874" s="134">
        <v>0.50277777777777777</v>
      </c>
      <c r="K874" s="135">
        <v>1.5</v>
      </c>
      <c r="L874" s="75">
        <v>1</v>
      </c>
      <c r="M874" s="75" t="s">
        <v>637</v>
      </c>
      <c r="N874" s="75" t="s">
        <v>494</v>
      </c>
      <c r="O874" s="75"/>
      <c r="P874" s="74"/>
      <c r="Q874" s="1127"/>
      <c r="R874" s="1128"/>
      <c r="S874" s="1128"/>
      <c r="T874" s="1128"/>
      <c r="U874" s="1128"/>
      <c r="V874" s="1128"/>
      <c r="W874" s="74"/>
      <c r="X874" s="74"/>
      <c r="Y874" s="684" t="s">
        <v>146</v>
      </c>
      <c r="Z874" s="74">
        <v>128.65</v>
      </c>
    </row>
    <row r="875" spans="9:26">
      <c r="I875" s="133">
        <v>46071</v>
      </c>
      <c r="J875" s="134">
        <v>0.53541666666666665</v>
      </c>
      <c r="K875" s="135">
        <v>1.7</v>
      </c>
      <c r="L875" s="75">
        <v>1</v>
      </c>
      <c r="M875" s="75" t="s">
        <v>637</v>
      </c>
      <c r="N875" s="75" t="s">
        <v>494</v>
      </c>
      <c r="O875" s="75"/>
      <c r="P875" s="74"/>
      <c r="Q875" s="1127"/>
      <c r="R875" s="1128"/>
      <c r="S875" s="1128"/>
      <c r="T875" s="1128"/>
      <c r="U875" s="1128"/>
      <c r="V875" s="1128"/>
      <c r="W875" s="74"/>
      <c r="X875" s="74"/>
      <c r="Y875" s="684" t="s">
        <v>494</v>
      </c>
      <c r="Z875" s="74">
        <v>711.85</v>
      </c>
    </row>
    <row r="876" spans="9:26">
      <c r="I876" s="133">
        <v>46071</v>
      </c>
      <c r="J876" s="134">
        <v>0.60972222222222228</v>
      </c>
      <c r="K876" s="135">
        <v>1.75</v>
      </c>
      <c r="L876" s="75">
        <v>1</v>
      </c>
      <c r="M876" s="75" t="s">
        <v>637</v>
      </c>
      <c r="N876" s="75" t="s">
        <v>494</v>
      </c>
      <c r="O876" s="75"/>
      <c r="P876" s="74"/>
      <c r="Q876" s="1127"/>
      <c r="R876" s="1128"/>
      <c r="S876" s="1128"/>
      <c r="T876" s="1128"/>
      <c r="U876" s="1128"/>
      <c r="V876" s="1128"/>
      <c r="W876" s="74"/>
      <c r="X876" s="74"/>
      <c r="Y876" s="684" t="s">
        <v>497</v>
      </c>
      <c r="Z876" s="74">
        <v>1405.9</v>
      </c>
    </row>
    <row r="877" spans="9:26">
      <c r="I877" s="133">
        <v>46071</v>
      </c>
      <c r="J877" s="134">
        <v>0.62013888888888891</v>
      </c>
      <c r="K877" s="135">
        <v>50.25</v>
      </c>
      <c r="L877" s="75">
        <v>2</v>
      </c>
      <c r="M877" s="75" t="s">
        <v>637</v>
      </c>
      <c r="N877" s="75" t="s">
        <v>494</v>
      </c>
      <c r="O877" s="75"/>
      <c r="P877" s="74"/>
      <c r="Q877" s="1127"/>
      <c r="R877" s="1128"/>
      <c r="S877" s="1128"/>
      <c r="T877" s="1128"/>
      <c r="U877" s="1128"/>
      <c r="V877" s="1128"/>
      <c r="W877" s="74"/>
      <c r="X877" s="74"/>
      <c r="Y877" s="684">
        <v>45997</v>
      </c>
      <c r="Z877" s="74">
        <v>5343.35</v>
      </c>
    </row>
    <row r="878" spans="9:26">
      <c r="I878" s="133">
        <v>46071</v>
      </c>
      <c r="J878" s="134">
        <v>0.63541666666666663</v>
      </c>
      <c r="K878" s="135">
        <v>52.25</v>
      </c>
      <c r="L878" s="75">
        <v>3</v>
      </c>
      <c r="M878" s="75" t="s">
        <v>637</v>
      </c>
      <c r="N878" s="75" t="s">
        <v>494</v>
      </c>
      <c r="O878" s="75"/>
      <c r="P878" s="74"/>
      <c r="Q878" s="1127"/>
      <c r="R878" s="1128"/>
      <c r="S878" s="1128"/>
      <c r="T878" s="1128"/>
      <c r="U878" s="1128"/>
      <c r="V878" s="1128"/>
      <c r="W878" s="74"/>
      <c r="X878" s="74"/>
      <c r="Y878" s="684" t="s">
        <v>146</v>
      </c>
      <c r="Z878" s="74">
        <v>278.95</v>
      </c>
    </row>
    <row r="879" spans="9:26">
      <c r="I879" s="133">
        <v>46071</v>
      </c>
      <c r="J879" s="134">
        <v>0.63958333333333328</v>
      </c>
      <c r="K879" s="135">
        <v>32.9</v>
      </c>
      <c r="L879" s="75">
        <v>2</v>
      </c>
      <c r="M879" s="75" t="s">
        <v>637</v>
      </c>
      <c r="N879" s="75" t="s">
        <v>494</v>
      </c>
      <c r="O879" s="75"/>
      <c r="P879" s="74"/>
      <c r="Q879" s="1127"/>
      <c r="R879" s="1128"/>
      <c r="S879" s="1128"/>
      <c r="T879" s="1128"/>
      <c r="U879" s="1128"/>
      <c r="V879" s="1128"/>
      <c r="W879" s="74"/>
      <c r="X879" s="74"/>
      <c r="Y879" s="684" t="s">
        <v>494</v>
      </c>
      <c r="Z879" s="74">
        <v>2638.15</v>
      </c>
    </row>
    <row r="880" spans="9:26">
      <c r="I880" s="133">
        <v>46071</v>
      </c>
      <c r="J880" s="134">
        <v>0.64375000000000004</v>
      </c>
      <c r="K880" s="135">
        <v>2.5499999999999998</v>
      </c>
      <c r="L880" s="75">
        <v>1</v>
      </c>
      <c r="M880" s="75" t="s">
        <v>637</v>
      </c>
      <c r="N880" s="75" t="s">
        <v>494</v>
      </c>
      <c r="O880" s="75"/>
      <c r="P880" s="74"/>
      <c r="Q880" s="1127"/>
      <c r="R880" s="1128"/>
      <c r="S880" s="1128"/>
      <c r="T880" s="1128"/>
      <c r="U880" s="1128"/>
      <c r="V880" s="1128"/>
      <c r="W880" s="74"/>
      <c r="X880" s="74"/>
      <c r="Y880" s="684" t="s">
        <v>497</v>
      </c>
      <c r="Z880" s="74">
        <v>2426.25</v>
      </c>
    </row>
    <row r="881" spans="9:26">
      <c r="I881" s="133">
        <v>46071</v>
      </c>
      <c r="J881" s="134">
        <v>0.66041666666666665</v>
      </c>
      <c r="K881" s="135">
        <v>53.25</v>
      </c>
      <c r="L881" s="75">
        <v>3</v>
      </c>
      <c r="M881" s="75" t="s">
        <v>637</v>
      </c>
      <c r="N881" s="75" t="s">
        <v>494</v>
      </c>
      <c r="O881" s="75"/>
      <c r="P881" s="74"/>
      <c r="Q881" s="1127"/>
      <c r="R881" s="1128"/>
      <c r="S881" s="1128"/>
      <c r="T881" s="1128"/>
      <c r="U881" s="1128"/>
      <c r="V881" s="1128"/>
      <c r="W881" s="74"/>
      <c r="X881" s="74"/>
      <c r="Y881" s="684">
        <v>45998</v>
      </c>
      <c r="Z881" s="74">
        <v>3320.2</v>
      </c>
    </row>
    <row r="882" spans="9:26">
      <c r="I882" s="133">
        <v>46071</v>
      </c>
      <c r="J882" s="134">
        <v>0.83611111111111114</v>
      </c>
      <c r="K882" s="135">
        <v>35.6</v>
      </c>
      <c r="L882" s="75">
        <v>2</v>
      </c>
      <c r="M882" s="75" t="s">
        <v>637</v>
      </c>
      <c r="N882" s="75" t="s">
        <v>497</v>
      </c>
      <c r="O882" s="75"/>
      <c r="P882" s="74"/>
      <c r="Q882" s="1127"/>
      <c r="R882" s="1128"/>
      <c r="S882" s="1128"/>
      <c r="T882" s="1128"/>
      <c r="U882" s="1128"/>
      <c r="V882" s="1128"/>
      <c r="W882" s="74"/>
      <c r="X882" s="74"/>
      <c r="Y882" s="684" t="s">
        <v>146</v>
      </c>
      <c r="Z882" s="74">
        <v>377.8</v>
      </c>
    </row>
    <row r="883" spans="9:26">
      <c r="I883" s="133">
        <v>46071</v>
      </c>
      <c r="J883" s="134">
        <v>0.84375</v>
      </c>
      <c r="K883" s="135">
        <v>3.7</v>
      </c>
      <c r="L883" s="75">
        <v>2</v>
      </c>
      <c r="M883" s="75" t="s">
        <v>637</v>
      </c>
      <c r="N883" s="75" t="s">
        <v>497</v>
      </c>
      <c r="O883" s="75"/>
      <c r="P883" s="74"/>
      <c r="Q883" s="1127"/>
      <c r="R883" s="1128"/>
      <c r="S883" s="1128"/>
      <c r="T883" s="1128"/>
      <c r="U883" s="1128"/>
      <c r="V883" s="1128"/>
      <c r="W883" s="74"/>
      <c r="X883" s="74"/>
      <c r="Y883" s="684" t="s">
        <v>494</v>
      </c>
      <c r="Z883" s="74">
        <v>2942.4</v>
      </c>
    </row>
    <row r="884" spans="9:26">
      <c r="I884" s="133">
        <v>46071</v>
      </c>
      <c r="J884" s="134">
        <v>0.8569444444444444</v>
      </c>
      <c r="K884" s="135">
        <v>5.3</v>
      </c>
      <c r="L884" s="75">
        <v>2</v>
      </c>
      <c r="M884" s="75" t="s">
        <v>637</v>
      </c>
      <c r="N884" s="75" t="s">
        <v>497</v>
      </c>
      <c r="O884" s="75"/>
      <c r="P884" s="74"/>
      <c r="Q884" s="1127"/>
      <c r="R884" s="1128"/>
      <c r="S884" s="1128"/>
      <c r="T884" s="1128"/>
      <c r="U884" s="1128"/>
      <c r="V884" s="1128"/>
      <c r="W884" s="74"/>
      <c r="X884" s="74"/>
      <c r="Y884" s="684" t="s">
        <v>497</v>
      </c>
      <c r="Z884" s="74">
        <v>0</v>
      </c>
    </row>
    <row r="885" spans="9:26">
      <c r="I885" s="133">
        <v>46072</v>
      </c>
      <c r="J885" s="134">
        <v>0.29722222222222222</v>
      </c>
      <c r="K885" s="135">
        <v>4.8</v>
      </c>
      <c r="L885" s="75">
        <v>2</v>
      </c>
      <c r="M885" s="75" t="s">
        <v>638</v>
      </c>
      <c r="N885" s="75" t="s">
        <v>146</v>
      </c>
      <c r="O885" s="75"/>
      <c r="P885" s="74"/>
      <c r="Q885" s="1127"/>
      <c r="R885" s="1128"/>
      <c r="S885" s="1128"/>
      <c r="T885" s="1128"/>
      <c r="U885" s="1128"/>
      <c r="V885" s="1128"/>
      <c r="W885" s="74"/>
      <c r="X885" s="74"/>
      <c r="Y885" s="684">
        <v>46001</v>
      </c>
      <c r="Z885" s="74">
        <v>689.35</v>
      </c>
    </row>
    <row r="886" spans="9:26">
      <c r="I886" s="133">
        <v>46072</v>
      </c>
      <c r="J886" s="134">
        <v>0.29930555555555549</v>
      </c>
      <c r="K886" s="135">
        <v>3.95</v>
      </c>
      <c r="L886" s="75">
        <v>1</v>
      </c>
      <c r="M886" s="75" t="s">
        <v>638</v>
      </c>
      <c r="N886" s="75" t="s">
        <v>146</v>
      </c>
      <c r="O886" s="75"/>
      <c r="P886" s="74"/>
      <c r="Q886" s="1127"/>
      <c r="R886" s="1128"/>
      <c r="S886" s="1128"/>
      <c r="T886" s="1128"/>
      <c r="U886" s="1128"/>
      <c r="V886" s="1128"/>
      <c r="W886" s="74"/>
      <c r="X886" s="74"/>
      <c r="Y886" s="684" t="s">
        <v>146</v>
      </c>
      <c r="Z886" s="74">
        <v>218</v>
      </c>
    </row>
    <row r="887" spans="9:26">
      <c r="I887" s="133">
        <v>46072</v>
      </c>
      <c r="J887" s="134">
        <v>0.35347222222222219</v>
      </c>
      <c r="K887" s="135">
        <v>1.5</v>
      </c>
      <c r="L887" s="75">
        <v>1</v>
      </c>
      <c r="M887" s="75" t="s">
        <v>638</v>
      </c>
      <c r="N887" s="75" t="s">
        <v>146</v>
      </c>
      <c r="O887" s="75"/>
      <c r="P887" s="74"/>
      <c r="Q887" s="1127"/>
      <c r="R887" s="1128"/>
      <c r="S887" s="1128"/>
      <c r="T887" s="1128"/>
      <c r="U887" s="1128"/>
      <c r="V887" s="1128"/>
      <c r="W887" s="74"/>
      <c r="X887" s="74"/>
      <c r="Y887" s="684" t="s">
        <v>494</v>
      </c>
      <c r="Z887" s="74">
        <v>281.7</v>
      </c>
    </row>
    <row r="888" spans="9:26">
      <c r="I888" s="133">
        <v>46072</v>
      </c>
      <c r="J888" s="134">
        <v>0.36944444444444452</v>
      </c>
      <c r="K888" s="135">
        <v>3.4</v>
      </c>
      <c r="L888" s="75">
        <v>2</v>
      </c>
      <c r="M888" s="75" t="s">
        <v>638</v>
      </c>
      <c r="N888" s="75" t="s">
        <v>146</v>
      </c>
      <c r="O888" s="75"/>
      <c r="P888" s="74"/>
      <c r="Q888" s="1127"/>
      <c r="R888" s="1128"/>
      <c r="S888" s="1128"/>
      <c r="T888" s="1128"/>
      <c r="U888" s="1128"/>
      <c r="V888" s="1128"/>
      <c r="W888" s="74"/>
      <c r="X888" s="74"/>
      <c r="Y888" s="684" t="s">
        <v>497</v>
      </c>
      <c r="Z888" s="74">
        <v>189.65</v>
      </c>
    </row>
    <row r="889" spans="9:26">
      <c r="I889" s="133">
        <v>46072</v>
      </c>
      <c r="J889" s="134">
        <v>0.38680555555555562</v>
      </c>
      <c r="K889" s="135">
        <v>3</v>
      </c>
      <c r="L889" s="75">
        <v>2</v>
      </c>
      <c r="M889" s="75" t="s">
        <v>638</v>
      </c>
      <c r="N889" s="75" t="s">
        <v>146</v>
      </c>
      <c r="O889" s="75"/>
      <c r="P889" s="74"/>
      <c r="Q889" s="1127"/>
      <c r="R889" s="1128"/>
      <c r="S889" s="1128"/>
      <c r="T889" s="1128"/>
      <c r="U889" s="1128"/>
      <c r="V889" s="1128"/>
      <c r="W889" s="74"/>
      <c r="X889" s="74"/>
      <c r="Y889" s="684">
        <v>46002</v>
      </c>
      <c r="Z889" s="74">
        <v>846.7</v>
      </c>
    </row>
    <row r="890" spans="9:26">
      <c r="I890" s="133">
        <v>46072</v>
      </c>
      <c r="J890" s="134">
        <v>0.39374999999999999</v>
      </c>
      <c r="K890" s="135">
        <v>1.4</v>
      </c>
      <c r="L890" s="75">
        <v>1</v>
      </c>
      <c r="M890" s="75" t="s">
        <v>638</v>
      </c>
      <c r="N890" s="75" t="s">
        <v>146</v>
      </c>
      <c r="O890" s="75"/>
      <c r="P890" s="74"/>
      <c r="Q890" s="1127"/>
      <c r="R890" s="1128"/>
      <c r="S890" s="1128"/>
      <c r="T890" s="1128"/>
      <c r="U890" s="1128"/>
      <c r="V890" s="1128"/>
      <c r="W890" s="74"/>
      <c r="X890" s="74"/>
      <c r="Y890" s="684" t="s">
        <v>146</v>
      </c>
      <c r="Z890" s="74">
        <v>121.15</v>
      </c>
    </row>
    <row r="891" spans="9:26">
      <c r="I891" s="133">
        <v>46072</v>
      </c>
      <c r="J891" s="134">
        <v>0.41041666666666671</v>
      </c>
      <c r="K891" s="135">
        <v>2.15</v>
      </c>
      <c r="L891" s="75">
        <v>1</v>
      </c>
      <c r="M891" s="75" t="s">
        <v>638</v>
      </c>
      <c r="N891" s="75" t="s">
        <v>146</v>
      </c>
      <c r="O891" s="75"/>
      <c r="P891" s="74"/>
      <c r="Q891" s="1127"/>
      <c r="R891" s="1128"/>
      <c r="S891" s="1128"/>
      <c r="T891" s="1128"/>
      <c r="U891" s="1128"/>
      <c r="V891" s="1128"/>
      <c r="W891" s="74"/>
      <c r="X891" s="74"/>
      <c r="Y891" s="684" t="s">
        <v>494</v>
      </c>
      <c r="Z891" s="74">
        <v>295.5</v>
      </c>
    </row>
    <row r="892" spans="9:26">
      <c r="I892" s="133">
        <v>46072</v>
      </c>
      <c r="J892" s="134">
        <v>0.41041666666666671</v>
      </c>
      <c r="K892" s="135">
        <v>2.4500000000000002</v>
      </c>
      <c r="L892" s="75">
        <v>1</v>
      </c>
      <c r="M892" s="75" t="s">
        <v>638</v>
      </c>
      <c r="N892" s="75" t="s">
        <v>146</v>
      </c>
      <c r="O892" s="75"/>
      <c r="P892" s="74"/>
      <c r="Q892" s="1127"/>
      <c r="R892" s="1128"/>
      <c r="S892" s="1128"/>
      <c r="T892" s="1128"/>
      <c r="U892" s="1128"/>
      <c r="V892" s="1128"/>
      <c r="W892" s="74"/>
      <c r="X892" s="74"/>
      <c r="Y892" s="684" t="s">
        <v>497</v>
      </c>
      <c r="Z892" s="74">
        <v>430.05</v>
      </c>
    </row>
    <row r="893" spans="9:26">
      <c r="I893" s="133">
        <v>46072</v>
      </c>
      <c r="J893" s="134">
        <v>0.41597222222222219</v>
      </c>
      <c r="K893" s="135">
        <v>4.2</v>
      </c>
      <c r="L893" s="75">
        <v>2</v>
      </c>
      <c r="M893" s="75" t="s">
        <v>638</v>
      </c>
      <c r="N893" s="75" t="s">
        <v>146</v>
      </c>
      <c r="O893" s="75"/>
      <c r="P893" s="74"/>
      <c r="Q893" s="1127"/>
      <c r="R893" s="1128"/>
      <c r="S893" s="1128"/>
      <c r="T893" s="1128"/>
      <c r="U893" s="1128"/>
      <c r="V893" s="1128"/>
      <c r="W893" s="74"/>
      <c r="X893" s="74"/>
      <c r="Y893" s="684">
        <v>46003</v>
      </c>
      <c r="Z893" s="74">
        <v>1521</v>
      </c>
    </row>
    <row r="894" spans="9:26">
      <c r="I894" s="133">
        <v>46072</v>
      </c>
      <c r="J894" s="134">
        <v>0.4236111111111111</v>
      </c>
      <c r="K894" s="135">
        <v>3.1</v>
      </c>
      <c r="L894" s="75">
        <v>1</v>
      </c>
      <c r="M894" s="75" t="s">
        <v>638</v>
      </c>
      <c r="N894" s="75" t="s">
        <v>146</v>
      </c>
      <c r="O894" s="75"/>
      <c r="P894" s="74"/>
      <c r="Q894" s="1127"/>
      <c r="R894" s="1128"/>
      <c r="S894" s="1128"/>
      <c r="T894" s="1128"/>
      <c r="U894" s="1128"/>
      <c r="V894" s="1128"/>
      <c r="W894" s="74"/>
      <c r="X894" s="74"/>
      <c r="Y894" s="684" t="s">
        <v>146</v>
      </c>
      <c r="Z894" s="74">
        <v>47.8</v>
      </c>
    </row>
    <row r="895" spans="9:26">
      <c r="I895" s="133">
        <v>46072</v>
      </c>
      <c r="J895" s="134">
        <v>0.4548611111111111</v>
      </c>
      <c r="K895" s="135">
        <v>3</v>
      </c>
      <c r="L895" s="75">
        <v>1</v>
      </c>
      <c r="M895" s="75" t="s">
        <v>638</v>
      </c>
      <c r="N895" s="75" t="s">
        <v>146</v>
      </c>
      <c r="O895" s="75"/>
      <c r="P895" s="74"/>
      <c r="Q895" s="1127"/>
      <c r="R895" s="1128"/>
      <c r="S895" s="1128"/>
      <c r="T895" s="1128"/>
      <c r="U895" s="1128"/>
      <c r="V895" s="1128"/>
      <c r="W895" s="74"/>
      <c r="X895" s="74"/>
      <c r="Y895" s="684" t="s">
        <v>494</v>
      </c>
      <c r="Z895" s="74">
        <v>426</v>
      </c>
    </row>
    <row r="896" spans="9:26">
      <c r="I896" s="133">
        <v>46072</v>
      </c>
      <c r="J896" s="134">
        <v>0.47499999999999998</v>
      </c>
      <c r="K896" s="135">
        <v>16.45</v>
      </c>
      <c r="L896" s="75">
        <v>2</v>
      </c>
      <c r="M896" s="75" t="s">
        <v>638</v>
      </c>
      <c r="N896" s="75" t="s">
        <v>146</v>
      </c>
      <c r="O896" s="75"/>
      <c r="P896" s="74"/>
      <c r="Q896" s="1127"/>
      <c r="R896" s="1128"/>
      <c r="S896" s="1128"/>
      <c r="T896" s="1128"/>
      <c r="U896" s="1128"/>
      <c r="V896" s="1128"/>
      <c r="W896" s="74"/>
      <c r="X896" s="74"/>
      <c r="Y896" s="684" t="s">
        <v>497</v>
      </c>
      <c r="Z896" s="74">
        <v>1047.2</v>
      </c>
    </row>
    <row r="897" spans="9:26">
      <c r="I897" s="133">
        <v>46072</v>
      </c>
      <c r="J897" s="134">
        <v>0.47916666666666669</v>
      </c>
      <c r="K897" s="135">
        <v>1.5</v>
      </c>
      <c r="L897" s="75">
        <v>1</v>
      </c>
      <c r="M897" s="75" t="s">
        <v>638</v>
      </c>
      <c r="N897" s="75" t="s">
        <v>146</v>
      </c>
      <c r="O897" s="75"/>
      <c r="P897" s="74"/>
      <c r="Q897" s="1127"/>
      <c r="R897" s="1128"/>
      <c r="S897" s="1128"/>
      <c r="T897" s="1128"/>
      <c r="U897" s="1128"/>
      <c r="V897" s="1128"/>
      <c r="W897" s="74"/>
      <c r="X897" s="74"/>
      <c r="Y897" s="684">
        <v>46004</v>
      </c>
      <c r="Z897" s="74">
        <v>2585.9</v>
      </c>
    </row>
    <row r="898" spans="9:26">
      <c r="I898" s="133">
        <v>46072</v>
      </c>
      <c r="J898" s="134">
        <v>0.49513888888888891</v>
      </c>
      <c r="K898" s="135">
        <v>2.95</v>
      </c>
      <c r="L898" s="75">
        <v>1</v>
      </c>
      <c r="M898" s="75" t="s">
        <v>638</v>
      </c>
      <c r="N898" s="75" t="s">
        <v>146</v>
      </c>
      <c r="O898" s="75"/>
      <c r="P898" s="74"/>
      <c r="Q898" s="1127"/>
      <c r="R898" s="1128"/>
      <c r="S898" s="1128"/>
      <c r="T898" s="1128"/>
      <c r="U898" s="1128"/>
      <c r="V898" s="1128"/>
      <c r="W898" s="74"/>
      <c r="X898" s="74"/>
      <c r="Y898" s="684" t="s">
        <v>146</v>
      </c>
      <c r="Z898" s="74">
        <v>154.65</v>
      </c>
    </row>
    <row r="899" spans="9:26">
      <c r="I899" s="133">
        <v>46072</v>
      </c>
      <c r="J899" s="134">
        <v>0.5083333333333333</v>
      </c>
      <c r="K899" s="135">
        <v>3.65</v>
      </c>
      <c r="L899" s="75">
        <v>2</v>
      </c>
      <c r="M899" s="75" t="s">
        <v>638</v>
      </c>
      <c r="N899" s="75" t="s">
        <v>494</v>
      </c>
      <c r="O899" s="75"/>
      <c r="P899" s="74"/>
      <c r="Q899" s="1127"/>
      <c r="R899" s="1128"/>
      <c r="S899" s="1128"/>
      <c r="T899" s="1128"/>
      <c r="U899" s="1128"/>
      <c r="V899" s="1128"/>
      <c r="W899" s="74"/>
      <c r="X899" s="74"/>
      <c r="Y899" s="684" t="s">
        <v>494</v>
      </c>
      <c r="Z899" s="74">
        <v>611.29999999999995</v>
      </c>
    </row>
    <row r="900" spans="9:26">
      <c r="I900" s="133">
        <v>46072</v>
      </c>
      <c r="J900" s="134">
        <v>0.51041666666666663</v>
      </c>
      <c r="K900" s="135">
        <v>6</v>
      </c>
      <c r="L900" s="75">
        <v>2</v>
      </c>
      <c r="M900" s="75" t="s">
        <v>638</v>
      </c>
      <c r="N900" s="75" t="s">
        <v>494</v>
      </c>
      <c r="O900" s="75"/>
      <c r="P900" s="74"/>
      <c r="Q900" s="1127"/>
      <c r="R900" s="1128"/>
      <c r="S900" s="1128"/>
      <c r="T900" s="1128"/>
      <c r="U900" s="1128"/>
      <c r="V900" s="1128"/>
      <c r="W900" s="74"/>
      <c r="X900" s="74"/>
      <c r="Y900" s="684" t="s">
        <v>497</v>
      </c>
      <c r="Z900" s="74">
        <v>1819.95</v>
      </c>
    </row>
    <row r="901" spans="9:26">
      <c r="I901" s="133">
        <v>46072</v>
      </c>
      <c r="J901" s="134">
        <v>0.55347222222222225</v>
      </c>
      <c r="K901" s="135">
        <v>10.1</v>
      </c>
      <c r="L901" s="75">
        <v>2</v>
      </c>
      <c r="M901" s="75" t="s">
        <v>638</v>
      </c>
      <c r="N901" s="75" t="s">
        <v>494</v>
      </c>
      <c r="O901" s="75"/>
      <c r="P901" s="74"/>
      <c r="Q901" s="1127"/>
      <c r="R901" s="1128"/>
      <c r="S901" s="1128"/>
      <c r="T901" s="1128"/>
      <c r="U901" s="1128"/>
      <c r="V901" s="1128"/>
      <c r="W901" s="74"/>
      <c r="X901" s="74"/>
      <c r="Y901" s="684">
        <v>46005</v>
      </c>
      <c r="Z901" s="74">
        <v>1285.5999999999999</v>
      </c>
    </row>
    <row r="902" spans="9:26">
      <c r="I902" s="133">
        <v>46072</v>
      </c>
      <c r="J902" s="134">
        <v>0.58333333333333337</v>
      </c>
      <c r="K902" s="135">
        <v>46.75</v>
      </c>
      <c r="L902" s="75">
        <v>2</v>
      </c>
      <c r="M902" s="75" t="s">
        <v>638</v>
      </c>
      <c r="N902" s="75" t="s">
        <v>494</v>
      </c>
      <c r="O902" s="75"/>
      <c r="P902" s="74"/>
      <c r="Q902" s="1127"/>
      <c r="R902" s="1128"/>
      <c r="S902" s="1128"/>
      <c r="T902" s="1128"/>
      <c r="U902" s="1128"/>
      <c r="V902" s="1128"/>
      <c r="W902" s="74"/>
      <c r="X902" s="74"/>
      <c r="Y902" s="684" t="s">
        <v>146</v>
      </c>
      <c r="Z902" s="74">
        <v>200.65</v>
      </c>
    </row>
    <row r="903" spans="9:26">
      <c r="I903" s="133">
        <v>46072</v>
      </c>
      <c r="J903" s="134">
        <v>0.58680555555555558</v>
      </c>
      <c r="K903" s="135">
        <v>18.95</v>
      </c>
      <c r="L903" s="75">
        <v>1</v>
      </c>
      <c r="M903" s="75" t="s">
        <v>638</v>
      </c>
      <c r="N903" s="75" t="s">
        <v>494</v>
      </c>
      <c r="O903" s="75"/>
      <c r="P903" s="74"/>
      <c r="Q903" s="1127"/>
      <c r="R903" s="1128"/>
      <c r="S903" s="1128"/>
      <c r="T903" s="1128"/>
      <c r="U903" s="1128"/>
      <c r="V903" s="1128"/>
      <c r="W903" s="74"/>
      <c r="X903" s="74"/>
      <c r="Y903" s="684" t="s">
        <v>494</v>
      </c>
      <c r="Z903" s="74">
        <v>1084.95</v>
      </c>
    </row>
    <row r="904" spans="9:26">
      <c r="I904" s="133">
        <v>46072</v>
      </c>
      <c r="J904" s="134">
        <v>0.61111111111111116</v>
      </c>
      <c r="K904" s="135">
        <v>38.35</v>
      </c>
      <c r="L904" s="75">
        <v>2</v>
      </c>
      <c r="M904" s="75" t="s">
        <v>638</v>
      </c>
      <c r="N904" s="75" t="s">
        <v>494</v>
      </c>
      <c r="O904" s="75"/>
      <c r="P904" s="74"/>
      <c r="Q904" s="1127"/>
      <c r="R904" s="1128"/>
      <c r="S904" s="1128"/>
      <c r="T904" s="1128"/>
      <c r="U904" s="1128"/>
      <c r="V904" s="1128"/>
      <c r="W904" s="74"/>
      <c r="X904" s="74"/>
      <c r="Y904" s="684" t="s">
        <v>497</v>
      </c>
      <c r="Z904" s="74">
        <v>0</v>
      </c>
    </row>
    <row r="905" spans="9:26">
      <c r="I905" s="133">
        <v>46072</v>
      </c>
      <c r="J905" s="134">
        <v>0.65763888888888888</v>
      </c>
      <c r="K905" s="135">
        <v>39.9</v>
      </c>
      <c r="L905" s="75">
        <v>2</v>
      </c>
      <c r="M905" s="75" t="s">
        <v>638</v>
      </c>
      <c r="N905" s="75" t="s">
        <v>494</v>
      </c>
      <c r="O905" s="75"/>
      <c r="P905" s="74"/>
      <c r="Q905" s="1127"/>
      <c r="R905" s="1128"/>
      <c r="S905" s="1128"/>
      <c r="T905" s="1128"/>
      <c r="U905" s="1128"/>
      <c r="V905" s="1128"/>
      <c r="W905" s="74"/>
      <c r="X905" s="74"/>
      <c r="Y905" s="684">
        <v>46008</v>
      </c>
      <c r="Z905" s="74">
        <v>657.65</v>
      </c>
    </row>
    <row r="906" spans="9:26">
      <c r="I906" s="133">
        <v>46072</v>
      </c>
      <c r="J906" s="134">
        <v>0.8979166666666667</v>
      </c>
      <c r="K906" s="135">
        <v>3.35</v>
      </c>
      <c r="L906" s="75">
        <v>2</v>
      </c>
      <c r="M906" s="75" t="s">
        <v>638</v>
      </c>
      <c r="N906" s="75" t="s">
        <v>497</v>
      </c>
      <c r="O906" s="75"/>
      <c r="P906" s="74"/>
      <c r="Q906" s="1127"/>
      <c r="R906" s="1128"/>
      <c r="S906" s="1128"/>
      <c r="T906" s="1128"/>
      <c r="U906" s="1128"/>
      <c r="V906" s="1128"/>
      <c r="W906" s="74"/>
      <c r="X906" s="74"/>
      <c r="Y906" s="684" t="s">
        <v>146</v>
      </c>
      <c r="Z906" s="74">
        <v>167.9</v>
      </c>
    </row>
    <row r="907" spans="9:26">
      <c r="I907" s="133">
        <v>46072</v>
      </c>
      <c r="J907" s="134">
        <v>0.92708333333333337</v>
      </c>
      <c r="K907" s="135">
        <v>36.6</v>
      </c>
      <c r="L907" s="75">
        <v>2</v>
      </c>
      <c r="M907" s="75" t="s">
        <v>638</v>
      </c>
      <c r="N907" s="75" t="s">
        <v>497</v>
      </c>
      <c r="O907" s="75"/>
      <c r="P907" s="74"/>
      <c r="Q907" s="1127"/>
      <c r="R907" s="1128"/>
      <c r="S907" s="1128"/>
      <c r="T907" s="1128"/>
      <c r="U907" s="1128"/>
      <c r="V907" s="1128"/>
      <c r="W907" s="74"/>
      <c r="X907" s="74"/>
      <c r="Y907" s="684" t="s">
        <v>494</v>
      </c>
      <c r="Z907" s="74">
        <v>386</v>
      </c>
    </row>
    <row r="908" spans="9:26">
      <c r="I908" s="133">
        <v>46073</v>
      </c>
      <c r="J908" s="134">
        <v>0.29583333333333328</v>
      </c>
      <c r="K908" s="135">
        <v>3.4</v>
      </c>
      <c r="L908" s="75">
        <v>1</v>
      </c>
      <c r="M908" s="75" t="s">
        <v>633</v>
      </c>
      <c r="N908" s="75" t="s">
        <v>146</v>
      </c>
      <c r="O908" s="75"/>
      <c r="P908" s="74"/>
      <c r="Q908" s="1127"/>
      <c r="R908" s="1128"/>
      <c r="S908" s="1128"/>
      <c r="T908" s="1128"/>
      <c r="U908" s="1128"/>
      <c r="V908" s="1128"/>
      <c r="W908" s="74"/>
      <c r="X908" s="74"/>
      <c r="Y908" s="684" t="s">
        <v>497</v>
      </c>
      <c r="Z908" s="74">
        <v>103.75</v>
      </c>
    </row>
    <row r="909" spans="9:26">
      <c r="I909" s="133">
        <v>46073</v>
      </c>
      <c r="J909" s="134">
        <v>0.30277777777777781</v>
      </c>
      <c r="K909" s="135">
        <v>3.95</v>
      </c>
      <c r="L909" s="75">
        <v>1</v>
      </c>
      <c r="M909" s="75" t="s">
        <v>633</v>
      </c>
      <c r="N909" s="75" t="s">
        <v>146</v>
      </c>
      <c r="O909" s="75"/>
      <c r="P909" s="74"/>
      <c r="Q909" s="1127"/>
      <c r="R909" s="1128"/>
      <c r="S909" s="1128"/>
      <c r="T909" s="1128"/>
      <c r="U909" s="1128"/>
      <c r="V909" s="1128"/>
      <c r="W909" s="74"/>
      <c r="X909" s="74"/>
      <c r="Y909" s="684">
        <v>46009</v>
      </c>
      <c r="Z909" s="74">
        <v>1029.75</v>
      </c>
    </row>
    <row r="910" spans="9:26">
      <c r="I910" s="133">
        <v>46073</v>
      </c>
      <c r="J910" s="134">
        <v>0.33888888888888891</v>
      </c>
      <c r="K910" s="135">
        <v>1.5</v>
      </c>
      <c r="L910" s="75">
        <v>1</v>
      </c>
      <c r="M910" s="75" t="s">
        <v>633</v>
      </c>
      <c r="N910" s="75" t="s">
        <v>146</v>
      </c>
      <c r="O910" s="75"/>
      <c r="P910" s="74"/>
      <c r="Q910" s="1127"/>
      <c r="R910" s="1128"/>
      <c r="S910" s="1128"/>
      <c r="T910" s="1128"/>
      <c r="U910" s="1128"/>
      <c r="V910" s="1128"/>
      <c r="W910" s="74"/>
      <c r="X910" s="74"/>
      <c r="Y910" s="684" t="s">
        <v>146</v>
      </c>
      <c r="Z910" s="74">
        <v>112.7</v>
      </c>
    </row>
    <row r="911" spans="9:26">
      <c r="I911" s="133">
        <v>46073</v>
      </c>
      <c r="J911" s="134">
        <v>0.34027777777777779</v>
      </c>
      <c r="K911" s="135">
        <v>3.4</v>
      </c>
      <c r="L911" s="75">
        <v>2</v>
      </c>
      <c r="M911" s="75" t="s">
        <v>633</v>
      </c>
      <c r="N911" s="75" t="s">
        <v>146</v>
      </c>
      <c r="O911" s="75"/>
      <c r="P911" s="74"/>
      <c r="Q911" s="1127"/>
      <c r="R911" s="1128"/>
      <c r="S911" s="1128"/>
      <c r="T911" s="1128"/>
      <c r="U911" s="1128"/>
      <c r="V911" s="1128"/>
      <c r="W911" s="74"/>
      <c r="X911" s="74"/>
      <c r="Y911" s="684" t="s">
        <v>494</v>
      </c>
      <c r="Z911" s="74">
        <v>470.4</v>
      </c>
    </row>
    <row r="912" spans="9:26">
      <c r="I912" s="133">
        <v>46073</v>
      </c>
      <c r="J912" s="134">
        <v>0.34722222222222221</v>
      </c>
      <c r="K912" s="135">
        <v>3</v>
      </c>
      <c r="L912" s="75">
        <v>1</v>
      </c>
      <c r="M912" s="75" t="s">
        <v>633</v>
      </c>
      <c r="N912" s="75" t="s">
        <v>146</v>
      </c>
      <c r="O912" s="75"/>
      <c r="P912" s="74"/>
      <c r="Q912" s="1127"/>
      <c r="R912" s="1128"/>
      <c r="S912" s="1128"/>
      <c r="T912" s="1128"/>
      <c r="U912" s="1128"/>
      <c r="V912" s="1128"/>
      <c r="W912" s="74"/>
      <c r="X912" s="74"/>
      <c r="Y912" s="684" t="s">
        <v>497</v>
      </c>
      <c r="Z912" s="74">
        <v>446.65</v>
      </c>
    </row>
    <row r="913" spans="9:26">
      <c r="I913" s="133">
        <v>46073</v>
      </c>
      <c r="J913" s="134">
        <v>0.37291666666666667</v>
      </c>
      <c r="K913" s="135">
        <v>1.5</v>
      </c>
      <c r="L913" s="75">
        <v>1</v>
      </c>
      <c r="M913" s="75" t="s">
        <v>633</v>
      </c>
      <c r="N913" s="75" t="s">
        <v>146</v>
      </c>
      <c r="O913" s="75"/>
      <c r="P913" s="74"/>
      <c r="Q913" s="1127"/>
      <c r="R913" s="1128"/>
      <c r="S913" s="1128"/>
      <c r="T913" s="1128"/>
      <c r="U913" s="1128"/>
      <c r="V913" s="1128"/>
      <c r="W913" s="74"/>
      <c r="X913" s="74"/>
      <c r="Y913" s="684">
        <v>46010</v>
      </c>
      <c r="Z913" s="74">
        <v>959.55</v>
      </c>
    </row>
    <row r="914" spans="9:26">
      <c r="I914" s="133">
        <v>46073</v>
      </c>
      <c r="J914" s="134">
        <v>0.38819444444444451</v>
      </c>
      <c r="K914" s="135">
        <v>1.7</v>
      </c>
      <c r="L914" s="75">
        <v>1</v>
      </c>
      <c r="M914" s="75" t="s">
        <v>633</v>
      </c>
      <c r="N914" s="75" t="s">
        <v>146</v>
      </c>
      <c r="O914" s="75"/>
      <c r="P914" s="74"/>
      <c r="Q914" s="1127"/>
      <c r="R914" s="1128"/>
      <c r="S914" s="1128"/>
      <c r="T914" s="1128"/>
      <c r="U914" s="1128"/>
      <c r="V914" s="1128"/>
      <c r="W914" s="74"/>
      <c r="X914" s="74"/>
      <c r="Y914" s="684" t="s">
        <v>146</v>
      </c>
      <c r="Z914" s="74">
        <v>88</v>
      </c>
    </row>
    <row r="915" spans="9:26">
      <c r="I915" s="133">
        <v>46073</v>
      </c>
      <c r="J915" s="134">
        <v>0.40555555555555561</v>
      </c>
      <c r="K915" s="135">
        <v>9.15</v>
      </c>
      <c r="L915" s="75">
        <v>2</v>
      </c>
      <c r="M915" s="75" t="s">
        <v>633</v>
      </c>
      <c r="N915" s="75" t="s">
        <v>146</v>
      </c>
      <c r="O915" s="75"/>
      <c r="P915" s="74"/>
      <c r="Q915" s="1127"/>
      <c r="R915" s="1128"/>
      <c r="S915" s="1128"/>
      <c r="T915" s="1128"/>
      <c r="U915" s="1128"/>
      <c r="V915" s="1128"/>
      <c r="W915" s="74"/>
      <c r="X915" s="74"/>
      <c r="Y915" s="684" t="s">
        <v>494</v>
      </c>
      <c r="Z915" s="74">
        <v>871.55</v>
      </c>
    </row>
    <row r="916" spans="9:26">
      <c r="I916" s="133">
        <v>46073</v>
      </c>
      <c r="J916" s="134">
        <v>0.41458333333333341</v>
      </c>
      <c r="K916" s="135">
        <v>9.4</v>
      </c>
      <c r="L916" s="75">
        <v>3</v>
      </c>
      <c r="M916" s="75" t="s">
        <v>633</v>
      </c>
      <c r="N916" s="75" t="s">
        <v>146</v>
      </c>
      <c r="O916" s="75"/>
      <c r="P916" s="74"/>
      <c r="Q916" s="1127"/>
      <c r="R916" s="1128"/>
      <c r="S916" s="1128"/>
      <c r="T916" s="1128"/>
      <c r="U916" s="1128"/>
      <c r="V916" s="1128"/>
      <c r="W916" s="74"/>
      <c r="X916" s="74"/>
      <c r="Y916" s="684" t="s">
        <v>497</v>
      </c>
      <c r="Z916" s="74">
        <v>0</v>
      </c>
    </row>
    <row r="917" spans="9:26">
      <c r="I917" s="133">
        <v>46073</v>
      </c>
      <c r="J917" s="134">
        <v>0.41597222222222219</v>
      </c>
      <c r="K917" s="135">
        <v>2.15</v>
      </c>
      <c r="L917" s="75">
        <v>1</v>
      </c>
      <c r="M917" s="75" t="s">
        <v>633</v>
      </c>
      <c r="N917" s="75" t="s">
        <v>146</v>
      </c>
      <c r="O917" s="75"/>
      <c r="P917" s="74"/>
      <c r="Q917" s="1127"/>
      <c r="R917" s="1128"/>
      <c r="S917" s="1128"/>
      <c r="T917" s="1128"/>
      <c r="U917" s="1128"/>
      <c r="V917" s="1128"/>
      <c r="W917" s="74"/>
      <c r="X917" s="74"/>
      <c r="Y917" s="684">
        <v>46011</v>
      </c>
      <c r="Z917" s="74">
        <v>0</v>
      </c>
    </row>
    <row r="918" spans="9:26">
      <c r="I918" s="133">
        <v>46073</v>
      </c>
      <c r="J918" s="134">
        <v>0.41666666666666669</v>
      </c>
      <c r="K918" s="135">
        <v>1.95</v>
      </c>
      <c r="L918" s="75">
        <v>1</v>
      </c>
      <c r="M918" s="75" t="s">
        <v>633</v>
      </c>
      <c r="N918" s="75" t="s">
        <v>146</v>
      </c>
      <c r="O918" s="75"/>
      <c r="P918" s="74"/>
      <c r="Q918" s="1127"/>
      <c r="R918" s="1128"/>
      <c r="S918" s="1128"/>
      <c r="T918" s="1128"/>
      <c r="U918" s="1128"/>
      <c r="V918" s="1128"/>
      <c r="W918" s="74"/>
      <c r="X918" s="74"/>
      <c r="Y918" s="684" t="s">
        <v>146</v>
      </c>
      <c r="Z918" s="74">
        <v>0</v>
      </c>
    </row>
    <row r="919" spans="9:26">
      <c r="I919" s="133">
        <v>46073</v>
      </c>
      <c r="J919" s="134">
        <v>0.44027777777777782</v>
      </c>
      <c r="K919" s="135">
        <v>1.5</v>
      </c>
      <c r="L919" s="75">
        <v>1</v>
      </c>
      <c r="M919" s="75" t="s">
        <v>633</v>
      </c>
      <c r="N919" s="75" t="s">
        <v>146</v>
      </c>
      <c r="O919" s="75"/>
      <c r="P919" s="74"/>
      <c r="Q919" s="1127"/>
      <c r="R919" s="1128"/>
      <c r="S919" s="1128"/>
      <c r="T919" s="1128"/>
      <c r="U919" s="1128"/>
      <c r="V919" s="1128"/>
      <c r="W919" s="74"/>
      <c r="X919" s="74"/>
      <c r="Y919" s="684" t="s">
        <v>494</v>
      </c>
      <c r="Z919" s="74">
        <v>0</v>
      </c>
    </row>
    <row r="920" spans="9:26">
      <c r="I920" s="133">
        <v>46073</v>
      </c>
      <c r="J920" s="134">
        <v>0.44097222222222221</v>
      </c>
      <c r="K920" s="135">
        <v>1.7</v>
      </c>
      <c r="L920" s="75">
        <v>1</v>
      </c>
      <c r="M920" s="75" t="s">
        <v>633</v>
      </c>
      <c r="N920" s="75" t="s">
        <v>146</v>
      </c>
      <c r="O920" s="75"/>
      <c r="P920" s="74"/>
      <c r="Q920" s="1127"/>
      <c r="R920" s="1128"/>
      <c r="S920" s="1128"/>
      <c r="T920" s="1128"/>
      <c r="U920" s="1128"/>
      <c r="V920" s="1128"/>
      <c r="W920" s="74"/>
      <c r="X920" s="74"/>
      <c r="Y920" s="684" t="s">
        <v>497</v>
      </c>
      <c r="Z920" s="74">
        <v>0</v>
      </c>
    </row>
    <row r="921" spans="9:26">
      <c r="I921" s="133">
        <v>46073</v>
      </c>
      <c r="J921" s="134">
        <v>0.44236111111111109</v>
      </c>
      <c r="K921" s="135">
        <v>1.5</v>
      </c>
      <c r="L921" s="75">
        <v>1</v>
      </c>
      <c r="M921" s="75" t="s">
        <v>633</v>
      </c>
      <c r="N921" s="75" t="s">
        <v>146</v>
      </c>
      <c r="O921" s="75"/>
      <c r="P921" s="74"/>
      <c r="Q921" s="1127"/>
      <c r="R921" s="1128"/>
      <c r="S921" s="1128"/>
      <c r="T921" s="1128"/>
      <c r="U921" s="1128"/>
      <c r="V921" s="1128"/>
      <c r="W921" s="74"/>
      <c r="X921" s="74"/>
      <c r="Y921" s="684">
        <v>46012</v>
      </c>
      <c r="Z921" s="74">
        <v>0</v>
      </c>
    </row>
    <row r="922" spans="9:26">
      <c r="I922" s="133">
        <v>46073</v>
      </c>
      <c r="J922" s="134">
        <v>0.46041666666666659</v>
      </c>
      <c r="K922" s="135">
        <v>1.4</v>
      </c>
      <c r="L922" s="75">
        <v>1</v>
      </c>
      <c r="M922" s="75" t="s">
        <v>633</v>
      </c>
      <c r="N922" s="75" t="s">
        <v>146</v>
      </c>
      <c r="O922" s="75"/>
      <c r="P922" s="74"/>
      <c r="Q922" s="1127"/>
      <c r="R922" s="1128"/>
      <c r="S922" s="1128"/>
      <c r="T922" s="1128"/>
      <c r="U922" s="1128"/>
      <c r="V922" s="1128"/>
      <c r="W922" s="74"/>
      <c r="X922" s="74"/>
      <c r="Y922" s="684" t="s">
        <v>146</v>
      </c>
      <c r="Z922" s="74">
        <v>0</v>
      </c>
    </row>
    <row r="923" spans="9:26">
      <c r="I923" s="133">
        <v>46073</v>
      </c>
      <c r="J923" s="134">
        <v>0.53472222222222221</v>
      </c>
      <c r="K923" s="135">
        <v>14.9</v>
      </c>
      <c r="L923" s="75">
        <v>1</v>
      </c>
      <c r="M923" s="75" t="s">
        <v>633</v>
      </c>
      <c r="N923" s="75" t="s">
        <v>494</v>
      </c>
      <c r="O923" s="75"/>
      <c r="P923" s="74"/>
      <c r="Q923" s="1127"/>
      <c r="R923" s="1128"/>
      <c r="S923" s="1128"/>
      <c r="T923" s="1128"/>
      <c r="U923" s="1128"/>
      <c r="V923" s="1128"/>
      <c r="W923" s="74"/>
      <c r="X923" s="74"/>
      <c r="Y923" s="684" t="s">
        <v>494</v>
      </c>
      <c r="Z923" s="74">
        <v>0</v>
      </c>
    </row>
    <row r="924" spans="9:26">
      <c r="I924" s="133">
        <v>46073</v>
      </c>
      <c r="J924" s="134">
        <v>0.54722222222222228</v>
      </c>
      <c r="K924" s="135">
        <v>3.95</v>
      </c>
      <c r="L924" s="75">
        <v>2</v>
      </c>
      <c r="M924" s="75" t="s">
        <v>633</v>
      </c>
      <c r="N924" s="75" t="s">
        <v>494</v>
      </c>
      <c r="O924" s="75"/>
      <c r="P924" s="74"/>
      <c r="Q924" s="1127"/>
      <c r="R924" s="1128"/>
      <c r="S924" s="1128"/>
      <c r="T924" s="1128"/>
      <c r="U924" s="1128"/>
      <c r="V924" s="1128"/>
      <c r="W924" s="74"/>
      <c r="X924" s="74"/>
      <c r="Y924" s="684" t="s">
        <v>497</v>
      </c>
      <c r="Z924" s="74">
        <v>0</v>
      </c>
    </row>
    <row r="925" spans="9:26">
      <c r="I925" s="133">
        <v>46073</v>
      </c>
      <c r="J925" s="134">
        <v>0.60555555555555551</v>
      </c>
      <c r="K925" s="135">
        <v>2.5</v>
      </c>
      <c r="L925" s="75">
        <v>1</v>
      </c>
      <c r="M925" s="75" t="s">
        <v>633</v>
      </c>
      <c r="N925" s="75" t="s">
        <v>494</v>
      </c>
      <c r="O925" s="75"/>
      <c r="P925" s="74"/>
      <c r="Q925" s="1127"/>
      <c r="R925" s="1128"/>
      <c r="S925" s="1128"/>
      <c r="T925" s="1128"/>
      <c r="U925" s="1128"/>
      <c r="V925" s="1128"/>
      <c r="W925" s="74"/>
      <c r="X925" s="74"/>
      <c r="Y925" s="684" t="s">
        <v>639</v>
      </c>
      <c r="Z925" s="74"/>
    </row>
    <row r="926" spans="9:26">
      <c r="I926" s="133">
        <v>46073</v>
      </c>
      <c r="J926" s="134">
        <v>0.60624999999999996</v>
      </c>
      <c r="K926" s="135">
        <v>6</v>
      </c>
      <c r="L926" s="75">
        <v>1</v>
      </c>
      <c r="M926" s="75" t="s">
        <v>633</v>
      </c>
      <c r="N926" s="75" t="s">
        <v>494</v>
      </c>
      <c r="O926" s="75"/>
      <c r="P926" s="74"/>
      <c r="Q926" s="1127"/>
      <c r="R926" s="1128"/>
      <c r="S926" s="1128"/>
      <c r="T926" s="1128"/>
      <c r="U926" s="1128"/>
      <c r="V926" s="1128"/>
      <c r="W926" s="74"/>
      <c r="X926" s="74"/>
      <c r="Y926" s="684" t="s">
        <v>639</v>
      </c>
      <c r="Z926" s="74"/>
    </row>
    <row r="927" spans="9:26">
      <c r="I927" s="133">
        <v>46073</v>
      </c>
      <c r="J927" s="134">
        <v>0.64652777777777781</v>
      </c>
      <c r="K927" s="135">
        <v>4.6500000000000004</v>
      </c>
      <c r="L927" s="75">
        <v>2</v>
      </c>
      <c r="M927" s="75" t="s">
        <v>633</v>
      </c>
      <c r="N927" s="75" t="s">
        <v>494</v>
      </c>
      <c r="O927" s="75"/>
      <c r="P927" s="74"/>
      <c r="Q927" s="1127"/>
      <c r="R927" s="1128"/>
      <c r="S927" s="1128"/>
      <c r="T927" s="1128"/>
      <c r="U927" s="1128"/>
      <c r="V927" s="1128"/>
      <c r="W927" s="74"/>
      <c r="X927" s="74"/>
      <c r="Y927" s="684" t="s">
        <v>640</v>
      </c>
      <c r="Z927" s="74">
        <v>360530.69</v>
      </c>
    </row>
    <row r="928" spans="9:26">
      <c r="I928" s="133">
        <v>46073</v>
      </c>
      <c r="J928" s="134">
        <v>0.6694444444444444</v>
      </c>
      <c r="K928" s="135">
        <v>3.2</v>
      </c>
      <c r="L928" s="75">
        <v>2</v>
      </c>
      <c r="M928" s="75" t="s">
        <v>633</v>
      </c>
      <c r="N928" s="75" t="s">
        <v>494</v>
      </c>
      <c r="O928" s="75"/>
      <c r="P928" s="74"/>
      <c r="Q928" s="1127"/>
      <c r="R928" s="1128"/>
      <c r="S928" s="1128"/>
      <c r="T928" s="1128"/>
      <c r="U928" s="1128"/>
      <c r="V928" s="1128"/>
      <c r="W928" s="74"/>
      <c r="X928" s="74"/>
      <c r="Y928" s="684"/>
      <c r="Z928" s="74"/>
    </row>
    <row r="929" spans="9:15">
      <c r="I929" s="133">
        <v>46073</v>
      </c>
      <c r="J929" s="134">
        <v>0.85416666666666663</v>
      </c>
      <c r="K929" s="135">
        <v>83.3</v>
      </c>
      <c r="L929" s="75">
        <v>4</v>
      </c>
      <c r="M929" s="75" t="s">
        <v>633</v>
      </c>
      <c r="N929" s="75" t="s">
        <v>497</v>
      </c>
      <c r="O929" s="75"/>
    </row>
    <row r="930" spans="9:15">
      <c r="I930" s="133">
        <v>46073</v>
      </c>
      <c r="J930" s="134">
        <v>0.86041666666666672</v>
      </c>
      <c r="K930" s="135">
        <v>5</v>
      </c>
      <c r="L930" s="75">
        <v>2</v>
      </c>
      <c r="M930" s="75" t="s">
        <v>633</v>
      </c>
      <c r="N930" s="75" t="s">
        <v>497</v>
      </c>
      <c r="O930" s="75"/>
    </row>
    <row r="931" spans="9:15">
      <c r="I931" s="133">
        <v>46073</v>
      </c>
      <c r="J931" s="134">
        <v>0.86597222222222225</v>
      </c>
      <c r="K931" s="135">
        <v>8.6</v>
      </c>
      <c r="L931" s="75">
        <v>1</v>
      </c>
      <c r="M931" s="75" t="s">
        <v>633</v>
      </c>
      <c r="N931" s="75" t="s">
        <v>497</v>
      </c>
      <c r="O931" s="75"/>
    </row>
    <row r="932" spans="9:15">
      <c r="I932" s="133">
        <v>46073</v>
      </c>
      <c r="J932" s="134">
        <v>0.88472222222222219</v>
      </c>
      <c r="K932" s="135">
        <v>52.05</v>
      </c>
      <c r="L932" s="75">
        <v>2</v>
      </c>
      <c r="M932" s="75" t="s">
        <v>633</v>
      </c>
      <c r="N932" s="75" t="s">
        <v>497</v>
      </c>
      <c r="O932" s="75"/>
    </row>
    <row r="933" spans="9:15">
      <c r="I933" s="133">
        <v>46073</v>
      </c>
      <c r="J933" s="134">
        <v>0.91111111111111109</v>
      </c>
      <c r="K933" s="135">
        <v>3.35</v>
      </c>
      <c r="L933" s="75">
        <v>2</v>
      </c>
      <c r="M933" s="75" t="s">
        <v>633</v>
      </c>
      <c r="N933" s="75" t="s">
        <v>497</v>
      </c>
      <c r="O933" s="75"/>
    </row>
    <row r="934" spans="9:15">
      <c r="I934" s="133">
        <v>46073</v>
      </c>
      <c r="J934" s="134">
        <v>0.92708333333333337</v>
      </c>
      <c r="K934" s="135">
        <v>33.6</v>
      </c>
      <c r="L934" s="75">
        <v>2</v>
      </c>
      <c r="M934" s="75" t="s">
        <v>633</v>
      </c>
      <c r="N934" s="75" t="s">
        <v>497</v>
      </c>
      <c r="O934" s="75"/>
    </row>
    <row r="935" spans="9:15">
      <c r="I935" s="133">
        <v>46073</v>
      </c>
      <c r="J935" s="134">
        <v>0.9506944444444444</v>
      </c>
      <c r="K935" s="135">
        <v>24.85</v>
      </c>
      <c r="L935" s="75">
        <v>2</v>
      </c>
      <c r="M935" s="75" t="s">
        <v>633</v>
      </c>
      <c r="N935" s="75" t="s">
        <v>497</v>
      </c>
      <c r="O935" s="75"/>
    </row>
    <row r="936" spans="9:15">
      <c r="I936" s="133">
        <v>46074</v>
      </c>
      <c r="J936" s="134">
        <v>0.34583333333333333</v>
      </c>
      <c r="K936" s="135">
        <v>1.5</v>
      </c>
      <c r="L936" s="75">
        <v>1</v>
      </c>
      <c r="M936" s="75" t="s">
        <v>635</v>
      </c>
      <c r="N936" s="75" t="s">
        <v>146</v>
      </c>
      <c r="O936" s="75"/>
    </row>
    <row r="937" spans="9:15">
      <c r="I937" s="133">
        <v>46074</v>
      </c>
      <c r="J937" s="134">
        <v>0.35</v>
      </c>
      <c r="K937" s="135">
        <v>21.35</v>
      </c>
      <c r="L937" s="75">
        <v>2</v>
      </c>
      <c r="M937" s="75" t="s">
        <v>635</v>
      </c>
      <c r="N937" s="75" t="s">
        <v>146</v>
      </c>
      <c r="O937" s="75"/>
    </row>
    <row r="938" spans="9:15">
      <c r="I938" s="133">
        <v>46074</v>
      </c>
      <c r="J938" s="134">
        <v>0.35069444444444442</v>
      </c>
      <c r="K938" s="135">
        <v>1.4</v>
      </c>
      <c r="L938" s="75">
        <v>1</v>
      </c>
      <c r="M938" s="75" t="s">
        <v>635</v>
      </c>
      <c r="N938" s="75" t="s">
        <v>146</v>
      </c>
      <c r="O938" s="75"/>
    </row>
    <row r="939" spans="9:15">
      <c r="I939" s="133">
        <v>46074</v>
      </c>
      <c r="J939" s="134">
        <v>0.36875000000000002</v>
      </c>
      <c r="K939" s="135">
        <v>7.9</v>
      </c>
      <c r="L939" s="75">
        <v>2</v>
      </c>
      <c r="M939" s="75" t="s">
        <v>635</v>
      </c>
      <c r="N939" s="75" t="s">
        <v>146</v>
      </c>
      <c r="O939" s="75"/>
    </row>
    <row r="940" spans="9:15">
      <c r="I940" s="133">
        <v>46074</v>
      </c>
      <c r="J940" s="134">
        <v>0.38750000000000001</v>
      </c>
      <c r="K940" s="135">
        <v>6.55</v>
      </c>
      <c r="L940" s="75">
        <v>1</v>
      </c>
      <c r="M940" s="75" t="s">
        <v>635</v>
      </c>
      <c r="N940" s="75" t="s">
        <v>146</v>
      </c>
      <c r="O940" s="75"/>
    </row>
    <row r="941" spans="9:15">
      <c r="I941" s="133">
        <v>46074</v>
      </c>
      <c r="J941" s="134">
        <v>0.38819444444444451</v>
      </c>
      <c r="K941" s="135">
        <v>14.75</v>
      </c>
      <c r="L941" s="75">
        <v>2</v>
      </c>
      <c r="M941" s="75" t="s">
        <v>635</v>
      </c>
      <c r="N941" s="75" t="s">
        <v>146</v>
      </c>
      <c r="O941" s="75"/>
    </row>
    <row r="942" spans="9:15">
      <c r="I942" s="133">
        <v>46074</v>
      </c>
      <c r="J942" s="134">
        <v>0.4</v>
      </c>
      <c r="K942" s="135">
        <v>3.15</v>
      </c>
      <c r="L942" s="75">
        <v>2</v>
      </c>
      <c r="M942" s="75" t="s">
        <v>635</v>
      </c>
      <c r="N942" s="75" t="s">
        <v>146</v>
      </c>
      <c r="O942" s="75"/>
    </row>
    <row r="943" spans="9:15">
      <c r="I943" s="133">
        <v>46074</v>
      </c>
      <c r="J943" s="134">
        <v>0.41249999999999998</v>
      </c>
      <c r="K943" s="135">
        <v>1.85</v>
      </c>
      <c r="L943" s="75">
        <v>1</v>
      </c>
      <c r="M943" s="75" t="s">
        <v>635</v>
      </c>
      <c r="N943" s="75" t="s">
        <v>146</v>
      </c>
      <c r="O943" s="75"/>
    </row>
    <row r="944" spans="9:15">
      <c r="I944" s="133">
        <v>46074</v>
      </c>
      <c r="J944" s="134">
        <v>0.41597222222222219</v>
      </c>
      <c r="K944" s="135">
        <v>2.4500000000000002</v>
      </c>
      <c r="L944" s="75">
        <v>1</v>
      </c>
      <c r="M944" s="75" t="s">
        <v>635</v>
      </c>
      <c r="N944" s="75" t="s">
        <v>146</v>
      </c>
      <c r="O944" s="75"/>
    </row>
    <row r="945" spans="9:15">
      <c r="I945" s="133">
        <v>46074</v>
      </c>
      <c r="J945" s="134">
        <v>0.43333333333333329</v>
      </c>
      <c r="K945" s="135">
        <v>3.95</v>
      </c>
      <c r="L945" s="75">
        <v>1</v>
      </c>
      <c r="M945" s="75" t="s">
        <v>635</v>
      </c>
      <c r="N945" s="75" t="s">
        <v>146</v>
      </c>
      <c r="O945" s="75"/>
    </row>
    <row r="946" spans="9:15">
      <c r="I946" s="133">
        <v>46074</v>
      </c>
      <c r="J946" s="134">
        <v>0.45208333333333328</v>
      </c>
      <c r="K946" s="135">
        <v>3.1</v>
      </c>
      <c r="L946" s="75">
        <v>1</v>
      </c>
      <c r="M946" s="75" t="s">
        <v>635</v>
      </c>
      <c r="N946" s="75" t="s">
        <v>146</v>
      </c>
      <c r="O946" s="75"/>
    </row>
    <row r="947" spans="9:15">
      <c r="I947" s="133">
        <v>46074</v>
      </c>
      <c r="J947" s="134">
        <v>0.45208333333333328</v>
      </c>
      <c r="K947" s="135">
        <v>3.3</v>
      </c>
      <c r="L947" s="75">
        <v>2</v>
      </c>
      <c r="M947" s="75" t="s">
        <v>635</v>
      </c>
      <c r="N947" s="75" t="s">
        <v>146</v>
      </c>
      <c r="O947" s="75"/>
    </row>
    <row r="948" spans="9:15">
      <c r="I948" s="133">
        <v>46074</v>
      </c>
      <c r="J948" s="134">
        <v>0.46250000000000002</v>
      </c>
      <c r="K948" s="135">
        <v>5.7</v>
      </c>
      <c r="L948" s="75">
        <v>1</v>
      </c>
      <c r="M948" s="75" t="s">
        <v>635</v>
      </c>
      <c r="N948" s="75" t="s">
        <v>146</v>
      </c>
      <c r="O948" s="75"/>
    </row>
    <row r="949" spans="9:15">
      <c r="I949" s="133">
        <v>46074</v>
      </c>
      <c r="J949" s="134">
        <v>0.46666666666666667</v>
      </c>
      <c r="K949" s="135">
        <v>19.850000000000001</v>
      </c>
      <c r="L949" s="75">
        <v>2</v>
      </c>
      <c r="M949" s="75" t="s">
        <v>635</v>
      </c>
      <c r="N949" s="75" t="s">
        <v>146</v>
      </c>
      <c r="O949" s="75"/>
    </row>
    <row r="950" spans="9:15">
      <c r="I950" s="133">
        <v>46074</v>
      </c>
      <c r="J950" s="134">
        <v>0.48749999999999999</v>
      </c>
      <c r="K950" s="135">
        <v>3</v>
      </c>
      <c r="L950" s="75">
        <v>2</v>
      </c>
      <c r="M950" s="75" t="s">
        <v>635</v>
      </c>
      <c r="N950" s="75" t="s">
        <v>146</v>
      </c>
      <c r="O950" s="75"/>
    </row>
    <row r="951" spans="9:15">
      <c r="I951" s="133">
        <v>46074</v>
      </c>
      <c r="J951" s="134">
        <v>0.49791666666666667</v>
      </c>
      <c r="K951" s="135">
        <v>5.6</v>
      </c>
      <c r="L951" s="75">
        <v>1</v>
      </c>
      <c r="M951" s="75" t="s">
        <v>635</v>
      </c>
      <c r="N951" s="75" t="s">
        <v>146</v>
      </c>
      <c r="O951" s="75"/>
    </row>
    <row r="952" spans="9:15">
      <c r="I952" s="133">
        <v>46074</v>
      </c>
      <c r="J952" s="134">
        <v>0.50208333333333333</v>
      </c>
      <c r="K952" s="135">
        <v>13.45</v>
      </c>
      <c r="L952" s="75">
        <v>3</v>
      </c>
      <c r="M952" s="75" t="s">
        <v>635</v>
      </c>
      <c r="N952" s="75" t="s">
        <v>494</v>
      </c>
      <c r="O952" s="75"/>
    </row>
    <row r="953" spans="9:15">
      <c r="I953" s="133">
        <v>46074</v>
      </c>
      <c r="J953" s="134">
        <v>0.52569444444444446</v>
      </c>
      <c r="K953" s="135">
        <v>3.3</v>
      </c>
      <c r="L953" s="75">
        <v>2</v>
      </c>
      <c r="M953" s="75" t="s">
        <v>635</v>
      </c>
      <c r="N953" s="75" t="s">
        <v>494</v>
      </c>
      <c r="O953" s="75"/>
    </row>
    <row r="954" spans="9:15">
      <c r="I954" s="133">
        <v>46074</v>
      </c>
      <c r="J954" s="134">
        <v>0.52986111111111112</v>
      </c>
      <c r="K954" s="135">
        <v>13</v>
      </c>
      <c r="L954" s="75">
        <v>1</v>
      </c>
      <c r="M954" s="75" t="s">
        <v>635</v>
      </c>
      <c r="N954" s="75" t="s">
        <v>494</v>
      </c>
      <c r="O954" s="75"/>
    </row>
    <row r="955" spans="9:15">
      <c r="I955" s="133">
        <v>46074</v>
      </c>
      <c r="J955" s="134">
        <v>0.5395833333333333</v>
      </c>
      <c r="K955" s="135">
        <v>1.55</v>
      </c>
      <c r="L955" s="75">
        <v>1</v>
      </c>
      <c r="M955" s="75" t="s">
        <v>635</v>
      </c>
      <c r="N955" s="75" t="s">
        <v>494</v>
      </c>
      <c r="O955" s="75"/>
    </row>
    <row r="956" spans="9:15">
      <c r="I956" s="133">
        <v>46074</v>
      </c>
      <c r="J956" s="134">
        <v>0.54236111111111107</v>
      </c>
      <c r="K956" s="135">
        <v>7</v>
      </c>
      <c r="L956" s="75">
        <v>2</v>
      </c>
      <c r="M956" s="75" t="s">
        <v>635</v>
      </c>
      <c r="N956" s="75" t="s">
        <v>494</v>
      </c>
      <c r="O956" s="75"/>
    </row>
    <row r="957" spans="9:15">
      <c r="I957" s="133">
        <v>46074</v>
      </c>
      <c r="J957" s="134">
        <v>0.55694444444444446</v>
      </c>
      <c r="K957" s="135">
        <v>2.5</v>
      </c>
      <c r="L957" s="75">
        <v>1</v>
      </c>
      <c r="M957" s="75" t="s">
        <v>635</v>
      </c>
      <c r="N957" s="75" t="s">
        <v>494</v>
      </c>
      <c r="O957" s="75"/>
    </row>
    <row r="958" spans="9:15">
      <c r="I958" s="133">
        <v>46074</v>
      </c>
      <c r="J958" s="134">
        <v>0.55972222222222223</v>
      </c>
      <c r="K958" s="135">
        <v>6.6</v>
      </c>
      <c r="L958" s="75">
        <v>3</v>
      </c>
      <c r="M958" s="75" t="s">
        <v>635</v>
      </c>
      <c r="N958" s="75" t="s">
        <v>494</v>
      </c>
      <c r="O958" s="75"/>
    </row>
    <row r="959" spans="9:15">
      <c r="I959" s="133">
        <v>46074</v>
      </c>
      <c r="J959" s="134">
        <v>0.58472222222222225</v>
      </c>
      <c r="K959" s="135">
        <v>15.05</v>
      </c>
      <c r="L959" s="75">
        <v>3</v>
      </c>
      <c r="M959" s="75" t="s">
        <v>635</v>
      </c>
      <c r="N959" s="75" t="s">
        <v>494</v>
      </c>
      <c r="O959" s="75"/>
    </row>
    <row r="960" spans="9:15">
      <c r="I960" s="133">
        <v>46074</v>
      </c>
      <c r="J960" s="134">
        <v>0.59097222222222223</v>
      </c>
      <c r="K960" s="135">
        <v>3.7</v>
      </c>
      <c r="L960" s="75">
        <v>1</v>
      </c>
      <c r="M960" s="75" t="s">
        <v>635</v>
      </c>
      <c r="N960" s="75" t="s">
        <v>494</v>
      </c>
      <c r="O960" s="75"/>
    </row>
    <row r="961" spans="9:15">
      <c r="I961" s="133">
        <v>46074</v>
      </c>
      <c r="J961" s="134">
        <v>0.60486111111111107</v>
      </c>
      <c r="K961" s="135">
        <v>1.65</v>
      </c>
      <c r="L961" s="75">
        <v>1</v>
      </c>
      <c r="M961" s="75" t="s">
        <v>635</v>
      </c>
      <c r="N961" s="75" t="s">
        <v>494</v>
      </c>
      <c r="O961" s="75"/>
    </row>
    <row r="962" spans="9:15">
      <c r="I962" s="133">
        <v>46074</v>
      </c>
      <c r="J962" s="134">
        <v>0.62638888888888888</v>
      </c>
      <c r="K962" s="135">
        <v>110.8</v>
      </c>
      <c r="L962" s="75">
        <v>4</v>
      </c>
      <c r="M962" s="75" t="s">
        <v>635</v>
      </c>
      <c r="N962" s="75" t="s">
        <v>494</v>
      </c>
      <c r="O962" s="75"/>
    </row>
    <row r="963" spans="9:15">
      <c r="I963" s="133">
        <v>46074</v>
      </c>
      <c r="J963" s="134">
        <v>0.64027777777777772</v>
      </c>
      <c r="K963" s="135">
        <v>57.85</v>
      </c>
      <c r="L963" s="75">
        <v>2</v>
      </c>
      <c r="M963" s="75" t="s">
        <v>635</v>
      </c>
      <c r="N963" s="75" t="s">
        <v>494</v>
      </c>
      <c r="O963" s="75"/>
    </row>
    <row r="964" spans="9:15">
      <c r="I964" s="133">
        <v>46074</v>
      </c>
      <c r="J964" s="134">
        <v>0.66666666666666663</v>
      </c>
      <c r="K964" s="135">
        <v>109.95</v>
      </c>
      <c r="L964" s="75">
        <v>5</v>
      </c>
      <c r="M964" s="75" t="s">
        <v>635</v>
      </c>
      <c r="N964" s="75" t="s">
        <v>494</v>
      </c>
      <c r="O964" s="75"/>
    </row>
    <row r="965" spans="9:15">
      <c r="I965" s="133">
        <v>46074</v>
      </c>
      <c r="J965" s="134">
        <v>0.66874999999999996</v>
      </c>
      <c r="K965" s="135">
        <v>78.45</v>
      </c>
      <c r="L965" s="75">
        <v>4</v>
      </c>
      <c r="M965" s="75" t="s">
        <v>635</v>
      </c>
      <c r="N965" s="75" t="s">
        <v>494</v>
      </c>
      <c r="O965" s="75"/>
    </row>
    <row r="966" spans="9:15">
      <c r="I966" s="133">
        <v>46074</v>
      </c>
      <c r="J966" s="134">
        <v>0.7</v>
      </c>
      <c r="K966" s="135">
        <v>49.65</v>
      </c>
      <c r="L966" s="75">
        <v>2</v>
      </c>
      <c r="M966" s="75" t="s">
        <v>635</v>
      </c>
      <c r="N966" s="75" t="s">
        <v>494</v>
      </c>
      <c r="O966" s="75"/>
    </row>
    <row r="967" spans="9:15">
      <c r="I967" s="133">
        <v>46074</v>
      </c>
      <c r="J967" s="134">
        <v>0.81666666666666665</v>
      </c>
      <c r="K967" s="135">
        <v>2.1</v>
      </c>
      <c r="L967" s="75">
        <v>1</v>
      </c>
      <c r="M967" s="75" t="s">
        <v>635</v>
      </c>
      <c r="N967" s="75" t="s">
        <v>497</v>
      </c>
      <c r="O967" s="75"/>
    </row>
    <row r="968" spans="9:15">
      <c r="I968" s="133">
        <v>46074</v>
      </c>
      <c r="J968" s="134">
        <v>0.83750000000000002</v>
      </c>
      <c r="K968" s="135">
        <v>38.700000000000003</v>
      </c>
      <c r="L968" s="75">
        <v>3</v>
      </c>
      <c r="M968" s="75" t="s">
        <v>635</v>
      </c>
      <c r="N968" s="75" t="s">
        <v>497</v>
      </c>
      <c r="O968" s="75"/>
    </row>
    <row r="969" spans="9:15">
      <c r="I969" s="133">
        <v>46074</v>
      </c>
      <c r="J969" s="134">
        <v>0.86250000000000004</v>
      </c>
      <c r="K969" s="135">
        <v>50.2</v>
      </c>
      <c r="L969" s="75">
        <v>2</v>
      </c>
      <c r="M969" s="75" t="s">
        <v>635</v>
      </c>
      <c r="N969" s="75" t="s">
        <v>497</v>
      </c>
      <c r="O969" s="75"/>
    </row>
    <row r="970" spans="9:15">
      <c r="I970" s="133">
        <v>46074</v>
      </c>
      <c r="J970" s="134">
        <v>0.88611111111111107</v>
      </c>
      <c r="K970" s="135">
        <v>30.85</v>
      </c>
      <c r="L970" s="75">
        <v>2</v>
      </c>
      <c r="M970" s="75" t="s">
        <v>635</v>
      </c>
      <c r="N970" s="75" t="s">
        <v>497</v>
      </c>
      <c r="O970" s="75"/>
    </row>
    <row r="971" spans="9:15">
      <c r="I971" s="133">
        <v>46074</v>
      </c>
      <c r="J971" s="134">
        <v>0.9555555555555556</v>
      </c>
      <c r="K971" s="135">
        <v>45.45</v>
      </c>
      <c r="L971" s="75">
        <v>2</v>
      </c>
      <c r="M971" s="75" t="s">
        <v>635</v>
      </c>
      <c r="N971" s="75" t="s">
        <v>497</v>
      </c>
      <c r="O971" s="75"/>
    </row>
    <row r="972" spans="9:15">
      <c r="I972" s="133">
        <v>46075</v>
      </c>
      <c r="J972" s="134">
        <v>0.33124999999999999</v>
      </c>
      <c r="K972" s="135">
        <v>1.5</v>
      </c>
      <c r="L972" s="75">
        <v>1</v>
      </c>
      <c r="M972" s="75" t="s">
        <v>636</v>
      </c>
      <c r="N972" s="75" t="s">
        <v>146</v>
      </c>
      <c r="O972" s="75"/>
    </row>
    <row r="973" spans="9:15">
      <c r="I973" s="133">
        <v>46075</v>
      </c>
      <c r="J973" s="134">
        <v>0.33124999999999999</v>
      </c>
      <c r="K973" s="135">
        <v>1.4</v>
      </c>
      <c r="L973" s="75">
        <v>1</v>
      </c>
      <c r="M973" s="75" t="s">
        <v>636</v>
      </c>
      <c r="N973" s="75" t="s">
        <v>146</v>
      </c>
      <c r="O973" s="75"/>
    </row>
    <row r="974" spans="9:15">
      <c r="I974" s="133">
        <v>46075</v>
      </c>
      <c r="J974" s="134">
        <v>0.36875000000000002</v>
      </c>
      <c r="K974" s="135">
        <v>2.2000000000000002</v>
      </c>
      <c r="L974" s="75">
        <v>1</v>
      </c>
      <c r="M974" s="75" t="s">
        <v>636</v>
      </c>
      <c r="N974" s="75" t="s">
        <v>146</v>
      </c>
      <c r="O974" s="75"/>
    </row>
    <row r="975" spans="9:15">
      <c r="I975" s="133">
        <v>46075</v>
      </c>
      <c r="J975" s="134">
        <v>0.37222222222222218</v>
      </c>
      <c r="K975" s="135">
        <v>3.2</v>
      </c>
      <c r="L975" s="75">
        <v>1</v>
      </c>
      <c r="M975" s="75" t="s">
        <v>636</v>
      </c>
      <c r="N975" s="75" t="s">
        <v>146</v>
      </c>
      <c r="O975" s="75"/>
    </row>
    <row r="976" spans="9:15">
      <c r="I976" s="133">
        <v>46075</v>
      </c>
      <c r="J976" s="134">
        <v>0.37291666666666667</v>
      </c>
      <c r="K976" s="135">
        <v>1.7</v>
      </c>
      <c r="L976" s="75">
        <v>1</v>
      </c>
      <c r="M976" s="75" t="s">
        <v>636</v>
      </c>
      <c r="N976" s="75" t="s">
        <v>146</v>
      </c>
      <c r="O976" s="75"/>
    </row>
    <row r="977" spans="9:15">
      <c r="I977" s="133">
        <v>46075</v>
      </c>
      <c r="J977" s="134">
        <v>0.37847222222222221</v>
      </c>
      <c r="K977" s="135">
        <v>6.55</v>
      </c>
      <c r="L977" s="75">
        <v>1</v>
      </c>
      <c r="M977" s="75" t="s">
        <v>636</v>
      </c>
      <c r="N977" s="75" t="s">
        <v>146</v>
      </c>
      <c r="O977" s="75"/>
    </row>
    <row r="978" spans="9:15">
      <c r="I978" s="133">
        <v>46075</v>
      </c>
      <c r="J978" s="134">
        <v>0.3888888888888889</v>
      </c>
      <c r="K978" s="135">
        <v>4.2</v>
      </c>
      <c r="L978" s="75">
        <v>2</v>
      </c>
      <c r="M978" s="75" t="s">
        <v>636</v>
      </c>
      <c r="N978" s="75" t="s">
        <v>146</v>
      </c>
      <c r="O978" s="75"/>
    </row>
    <row r="979" spans="9:15">
      <c r="I979" s="133">
        <v>46075</v>
      </c>
      <c r="J979" s="134">
        <v>0.40486111111111112</v>
      </c>
      <c r="K979" s="135">
        <v>1.7</v>
      </c>
      <c r="L979" s="75">
        <v>1</v>
      </c>
      <c r="M979" s="75" t="s">
        <v>636</v>
      </c>
      <c r="N979" s="75" t="s">
        <v>146</v>
      </c>
      <c r="O979" s="75"/>
    </row>
    <row r="980" spans="9:15">
      <c r="I980" s="133">
        <v>46075</v>
      </c>
      <c r="J980" s="134">
        <v>0.40972222222222221</v>
      </c>
      <c r="K980" s="135">
        <v>8.75</v>
      </c>
      <c r="L980" s="75">
        <v>1</v>
      </c>
      <c r="M980" s="75" t="s">
        <v>636</v>
      </c>
      <c r="N980" s="75" t="s">
        <v>146</v>
      </c>
      <c r="O980" s="75"/>
    </row>
    <row r="981" spans="9:15">
      <c r="I981" s="133">
        <v>46075</v>
      </c>
      <c r="J981" s="134">
        <v>0.41111111111111109</v>
      </c>
      <c r="K981" s="135">
        <v>2.25</v>
      </c>
      <c r="L981" s="75">
        <v>1</v>
      </c>
      <c r="M981" s="75" t="s">
        <v>636</v>
      </c>
      <c r="N981" s="75" t="s">
        <v>146</v>
      </c>
      <c r="O981" s="75"/>
    </row>
    <row r="982" spans="9:15">
      <c r="I982" s="133">
        <v>46075</v>
      </c>
      <c r="J982" s="134">
        <v>0.41319444444444442</v>
      </c>
      <c r="K982" s="135">
        <v>8.25</v>
      </c>
      <c r="L982" s="75">
        <v>2</v>
      </c>
      <c r="M982" s="75" t="s">
        <v>636</v>
      </c>
      <c r="N982" s="75" t="s">
        <v>146</v>
      </c>
      <c r="O982" s="75"/>
    </row>
    <row r="983" spans="9:15">
      <c r="I983" s="133">
        <v>46075</v>
      </c>
      <c r="J983" s="134">
        <v>0.41597222222222219</v>
      </c>
      <c r="K983" s="135">
        <v>15.85</v>
      </c>
      <c r="L983" s="75">
        <v>2</v>
      </c>
      <c r="M983" s="75" t="s">
        <v>636</v>
      </c>
      <c r="N983" s="75" t="s">
        <v>146</v>
      </c>
      <c r="O983" s="75"/>
    </row>
    <row r="984" spans="9:15">
      <c r="I984" s="133">
        <v>46075</v>
      </c>
      <c r="J984" s="134">
        <v>0.43611111111111112</v>
      </c>
      <c r="K984" s="135">
        <v>1.5</v>
      </c>
      <c r="L984" s="75">
        <v>1</v>
      </c>
      <c r="M984" s="75" t="s">
        <v>636</v>
      </c>
      <c r="N984" s="75" t="s">
        <v>146</v>
      </c>
      <c r="O984" s="75"/>
    </row>
    <row r="985" spans="9:15">
      <c r="I985" s="133">
        <v>46075</v>
      </c>
      <c r="J985" s="134">
        <v>0.45069444444444451</v>
      </c>
      <c r="K985" s="135">
        <v>31.35</v>
      </c>
      <c r="L985" s="75">
        <v>4</v>
      </c>
      <c r="M985" s="75" t="s">
        <v>636</v>
      </c>
      <c r="N985" s="75" t="s">
        <v>146</v>
      </c>
      <c r="O985" s="75"/>
    </row>
    <row r="986" spans="9:15">
      <c r="I986" s="133">
        <v>46075</v>
      </c>
      <c r="J986" s="134">
        <v>0.45416666666666672</v>
      </c>
      <c r="K986" s="135">
        <v>1.5</v>
      </c>
      <c r="L986" s="75">
        <v>1</v>
      </c>
      <c r="M986" s="75" t="s">
        <v>636</v>
      </c>
      <c r="N986" s="75" t="s">
        <v>146</v>
      </c>
      <c r="O986" s="75"/>
    </row>
    <row r="987" spans="9:15">
      <c r="I987" s="133">
        <v>46075</v>
      </c>
      <c r="J987" s="134">
        <v>0.46736111111111112</v>
      </c>
      <c r="K987" s="135">
        <v>12.75</v>
      </c>
      <c r="L987" s="75">
        <v>1</v>
      </c>
      <c r="M987" s="75" t="s">
        <v>636</v>
      </c>
      <c r="N987" s="75" t="s">
        <v>146</v>
      </c>
      <c r="O987" s="75"/>
    </row>
    <row r="988" spans="9:15">
      <c r="I988" s="133">
        <v>46075</v>
      </c>
      <c r="J988" s="134">
        <v>0.46805555555555561</v>
      </c>
      <c r="K988" s="135">
        <v>12.1</v>
      </c>
      <c r="L988" s="75">
        <v>1</v>
      </c>
      <c r="M988" s="75" t="s">
        <v>636</v>
      </c>
      <c r="N988" s="75" t="s">
        <v>146</v>
      </c>
      <c r="O988" s="75"/>
    </row>
    <row r="989" spans="9:15">
      <c r="I989" s="133">
        <v>46075</v>
      </c>
      <c r="J989" s="134">
        <v>0.49444444444444452</v>
      </c>
      <c r="K989" s="135">
        <v>11.75</v>
      </c>
      <c r="L989" s="75">
        <v>2</v>
      </c>
      <c r="M989" s="75" t="s">
        <v>636</v>
      </c>
      <c r="N989" s="75" t="s">
        <v>146</v>
      </c>
      <c r="O989" s="75"/>
    </row>
    <row r="990" spans="9:15">
      <c r="I990" s="133">
        <v>46075</v>
      </c>
      <c r="J990" s="134">
        <v>0.5</v>
      </c>
      <c r="K990" s="135">
        <v>3.45</v>
      </c>
      <c r="L990" s="75">
        <v>2</v>
      </c>
      <c r="M990" s="75" t="s">
        <v>636</v>
      </c>
      <c r="N990" s="75" t="s">
        <v>494</v>
      </c>
      <c r="O990" s="75"/>
    </row>
    <row r="991" spans="9:15">
      <c r="I991" s="133">
        <v>46075</v>
      </c>
      <c r="J991" s="134">
        <v>0.50902777777777775</v>
      </c>
      <c r="K991" s="135">
        <v>4.6500000000000004</v>
      </c>
      <c r="L991" s="75">
        <v>2</v>
      </c>
      <c r="M991" s="75" t="s">
        <v>636</v>
      </c>
      <c r="N991" s="75" t="s">
        <v>494</v>
      </c>
      <c r="O991" s="75"/>
    </row>
    <row r="992" spans="9:15">
      <c r="I992" s="133">
        <v>46075</v>
      </c>
      <c r="J992" s="134">
        <v>0.53402777777777777</v>
      </c>
      <c r="K992" s="135">
        <v>25.65</v>
      </c>
      <c r="L992" s="75">
        <v>4</v>
      </c>
      <c r="M992" s="75" t="s">
        <v>636</v>
      </c>
      <c r="N992" s="75" t="s">
        <v>494</v>
      </c>
      <c r="O992" s="75"/>
    </row>
    <row r="993" spans="9:26">
      <c r="I993" s="133">
        <v>46075</v>
      </c>
      <c r="J993" s="134">
        <v>0.54305555555555551</v>
      </c>
      <c r="K993" s="135">
        <v>11.95</v>
      </c>
      <c r="L993" s="75">
        <v>2</v>
      </c>
      <c r="M993" s="75" t="s">
        <v>636</v>
      </c>
      <c r="N993" s="75" t="s">
        <v>494</v>
      </c>
      <c r="O993" s="75"/>
      <c r="P993" s="74"/>
      <c r="Q993" s="1127"/>
      <c r="R993" s="1128"/>
      <c r="S993" s="1128"/>
      <c r="T993" s="1128"/>
      <c r="U993" s="1128"/>
      <c r="V993" s="1128"/>
      <c r="W993" s="74"/>
      <c r="X993" s="74"/>
      <c r="Y993" s="684"/>
      <c r="Z993" s="74"/>
    </row>
    <row r="994" spans="9:26">
      <c r="I994" s="133">
        <v>46075</v>
      </c>
      <c r="J994" s="134">
        <v>0.5805555555555556</v>
      </c>
      <c r="K994" s="135">
        <v>91.7</v>
      </c>
      <c r="L994" s="75">
        <v>2</v>
      </c>
      <c r="M994" s="75" t="s">
        <v>636</v>
      </c>
      <c r="N994" s="75" t="s">
        <v>494</v>
      </c>
      <c r="O994" s="75"/>
      <c r="P994" s="74"/>
      <c r="Q994" s="1127"/>
      <c r="R994" s="1128"/>
      <c r="S994" s="1128"/>
      <c r="T994" s="1128"/>
      <c r="U994" s="1128"/>
      <c r="V994" s="1128"/>
      <c r="W994" s="74"/>
      <c r="X994" s="74"/>
      <c r="Y994" s="684"/>
      <c r="Z994" s="74"/>
    </row>
    <row r="995" spans="9:26">
      <c r="I995" s="133">
        <v>46075</v>
      </c>
      <c r="J995" s="134">
        <v>0.61041666666666672</v>
      </c>
      <c r="K995" s="135">
        <v>7.95</v>
      </c>
      <c r="L995" s="75">
        <v>2</v>
      </c>
      <c r="M995" s="75" t="s">
        <v>636</v>
      </c>
      <c r="N995" s="75" t="s">
        <v>494</v>
      </c>
      <c r="O995" s="75"/>
      <c r="P995" s="74"/>
      <c r="Q995" s="1127"/>
      <c r="R995" s="1128"/>
      <c r="S995" s="1128"/>
      <c r="T995" s="1128"/>
      <c r="U995" s="1128"/>
      <c r="V995" s="1128"/>
      <c r="W995" s="74"/>
      <c r="X995" s="74"/>
      <c r="Y995" s="684"/>
      <c r="Z995" s="74"/>
    </row>
    <row r="996" spans="9:26">
      <c r="I996" s="133">
        <v>46075</v>
      </c>
      <c r="J996" s="134">
        <v>0.61388888888888893</v>
      </c>
      <c r="K996" s="135">
        <v>5.0999999999999996</v>
      </c>
      <c r="L996" s="75">
        <v>1</v>
      </c>
      <c r="M996" s="75" t="s">
        <v>636</v>
      </c>
      <c r="N996" s="75" t="s">
        <v>494</v>
      </c>
      <c r="O996" s="75"/>
      <c r="P996" s="74"/>
      <c r="Q996" s="1127"/>
      <c r="R996" s="1128"/>
      <c r="S996" s="1128"/>
      <c r="T996" s="1128"/>
      <c r="U996" s="1128"/>
      <c r="V996" s="1128"/>
      <c r="W996" s="74"/>
      <c r="X996" s="74"/>
      <c r="Y996" s="684"/>
      <c r="Z996" s="74"/>
    </row>
    <row r="997" spans="9:26">
      <c r="I997" s="133">
        <v>46075</v>
      </c>
      <c r="J997" s="134">
        <v>0.63680555555555551</v>
      </c>
      <c r="K997" s="135">
        <v>69.849999999999994</v>
      </c>
      <c r="L997" s="75">
        <v>1</v>
      </c>
      <c r="M997" s="75" t="s">
        <v>636</v>
      </c>
      <c r="N997" s="75" t="s">
        <v>494</v>
      </c>
      <c r="O997" s="75"/>
      <c r="P997" s="74"/>
      <c r="Q997" s="1127"/>
      <c r="R997" s="1128"/>
      <c r="S997" s="1128"/>
      <c r="T997" s="1128"/>
      <c r="U997" s="1128"/>
      <c r="V997" s="1128"/>
      <c r="W997" s="74"/>
      <c r="X997" s="74"/>
      <c r="Y997" s="684"/>
      <c r="Z997" s="74"/>
    </row>
    <row r="998" spans="9:26">
      <c r="I998" s="133">
        <v>46075</v>
      </c>
      <c r="J998" s="134">
        <v>0.64097222222222228</v>
      </c>
      <c r="K998" s="135">
        <v>162.35</v>
      </c>
      <c r="L998" s="75">
        <v>10</v>
      </c>
      <c r="M998" s="75" t="s">
        <v>636</v>
      </c>
      <c r="N998" s="75" t="s">
        <v>494</v>
      </c>
      <c r="O998" s="75"/>
      <c r="P998" s="74"/>
      <c r="Q998" s="1127"/>
      <c r="R998" s="1128"/>
      <c r="S998" s="1128"/>
      <c r="T998" s="1128"/>
      <c r="U998" s="1128"/>
      <c r="V998" s="1128"/>
      <c r="W998" s="74"/>
      <c r="X998" s="74"/>
      <c r="Y998" s="684"/>
      <c r="Z998" s="74"/>
    </row>
    <row r="999" spans="9:26">
      <c r="I999" s="133">
        <v>46075</v>
      </c>
      <c r="J999" s="134">
        <v>0.64930555555555558</v>
      </c>
      <c r="K999" s="135">
        <v>77.900000000000006</v>
      </c>
      <c r="L999" s="75">
        <v>2</v>
      </c>
      <c r="M999" s="75" t="s">
        <v>636</v>
      </c>
      <c r="N999" s="75" t="s">
        <v>494</v>
      </c>
      <c r="O999" s="75"/>
      <c r="P999" s="74"/>
      <c r="Q999" s="1127"/>
      <c r="R999" s="1128"/>
      <c r="S999" s="1128"/>
      <c r="T999" s="1128"/>
      <c r="U999" s="1128"/>
      <c r="V999" s="1128"/>
      <c r="W999" s="74"/>
      <c r="X999" s="74"/>
      <c r="Y999" s="684"/>
      <c r="Z999" s="74">
        <f>DATE(2026,4,25)</f>
        <v>46137</v>
      </c>
    </row>
    <row r="1000" spans="9:26">
      <c r="I1000" s="133">
        <v>46075</v>
      </c>
      <c r="J1000" s="134">
        <v>0.65763888888888888</v>
      </c>
      <c r="K1000" s="135">
        <v>57.1</v>
      </c>
      <c r="L1000" s="75">
        <v>2</v>
      </c>
      <c r="M1000" s="75" t="s">
        <v>636</v>
      </c>
      <c r="N1000" s="75" t="s">
        <v>494</v>
      </c>
      <c r="O1000" s="75"/>
      <c r="P1000" s="74"/>
      <c r="Q1000" s="1127"/>
      <c r="R1000" s="1128"/>
      <c r="S1000" s="1128"/>
      <c r="T1000" s="1128"/>
      <c r="U1000" s="1128"/>
      <c r="V1000" s="1128"/>
      <c r="W1000" s="74"/>
      <c r="X1000" s="74"/>
      <c r="Y1000" s="684"/>
      <c r="Z1000" s="74"/>
    </row>
    <row r="1001" spans="9:26">
      <c r="I1001" s="133">
        <v>46075</v>
      </c>
      <c r="J1001" s="134">
        <v>0.65902777777777777</v>
      </c>
      <c r="K1001" s="135">
        <v>70.7</v>
      </c>
      <c r="L1001" s="75">
        <v>2</v>
      </c>
      <c r="M1001" s="75" t="s">
        <v>636</v>
      </c>
      <c r="N1001" s="75" t="s">
        <v>494</v>
      </c>
      <c r="O1001" s="75"/>
      <c r="P1001" s="74"/>
      <c r="Q1001" s="1127"/>
      <c r="R1001" s="1128"/>
      <c r="S1001" s="1128"/>
      <c r="T1001" s="1128"/>
      <c r="U1001" s="1128"/>
      <c r="V1001" s="1128"/>
      <c r="W1001" s="74"/>
      <c r="X1001" s="74"/>
      <c r="Y1001" s="684"/>
      <c r="Z1001" s="74"/>
    </row>
    <row r="1002" spans="9:26">
      <c r="I1002" s="133">
        <v>46075</v>
      </c>
      <c r="J1002" s="134">
        <v>0.66319444444444442</v>
      </c>
      <c r="K1002" s="135">
        <v>3.5</v>
      </c>
      <c r="L1002" s="75">
        <v>1</v>
      </c>
      <c r="M1002" s="75" t="s">
        <v>636</v>
      </c>
      <c r="N1002" s="75" t="s">
        <v>494</v>
      </c>
      <c r="O1002" s="75"/>
      <c r="P1002" s="74"/>
      <c r="Q1002" s="1127"/>
      <c r="R1002" s="1128"/>
      <c r="S1002" s="1128"/>
      <c r="T1002" s="1128"/>
      <c r="U1002" s="1128"/>
      <c r="V1002" s="1128"/>
      <c r="W1002" s="74"/>
      <c r="X1002" s="74"/>
      <c r="Y1002" s="684"/>
      <c r="Z1002" s="74"/>
    </row>
    <row r="1003" spans="9:26">
      <c r="I1003" s="133">
        <v>46092</v>
      </c>
      <c r="J1003" s="134">
        <v>0.30069444444444438</v>
      </c>
      <c r="K1003" s="135">
        <v>4.8499999999999996</v>
      </c>
      <c r="L1003" s="75">
        <v>1</v>
      </c>
      <c r="M1003" s="75" t="s">
        <v>637</v>
      </c>
      <c r="N1003" s="75" t="s">
        <v>146</v>
      </c>
      <c r="O1003" s="75"/>
      <c r="P1003" s="74"/>
      <c r="Q1003" s="1127"/>
      <c r="R1003" s="1128"/>
      <c r="S1003" s="1128"/>
      <c r="T1003" s="1128"/>
      <c r="U1003" s="1128"/>
      <c r="V1003" s="1128"/>
      <c r="W1003" s="74"/>
      <c r="X1003" s="74"/>
      <c r="Y1003" s="684"/>
      <c r="Z1003" s="74"/>
    </row>
    <row r="1004" spans="9:26">
      <c r="I1004" s="133">
        <v>46092</v>
      </c>
      <c r="J1004" s="134">
        <v>0.31944444444444442</v>
      </c>
      <c r="K1004" s="135">
        <v>2.5</v>
      </c>
      <c r="L1004" s="75">
        <v>1</v>
      </c>
      <c r="M1004" s="75" t="s">
        <v>637</v>
      </c>
      <c r="N1004" s="75" t="s">
        <v>146</v>
      </c>
      <c r="O1004" s="75"/>
      <c r="P1004" s="74"/>
      <c r="Q1004" s="1127"/>
      <c r="R1004" s="1128"/>
      <c r="S1004" s="1128"/>
      <c r="T1004" s="1128"/>
      <c r="U1004" s="1128"/>
      <c r="V1004" s="1128"/>
      <c r="W1004" s="74"/>
      <c r="X1004" s="74"/>
      <c r="Y1004" s="684"/>
      <c r="Z1004" s="74"/>
    </row>
    <row r="1005" spans="9:26">
      <c r="I1005" s="133">
        <v>46092</v>
      </c>
      <c r="J1005" s="134">
        <v>0.32083333333333341</v>
      </c>
      <c r="K1005" s="135">
        <v>1.4</v>
      </c>
      <c r="L1005" s="75">
        <v>1</v>
      </c>
      <c r="M1005" s="75" t="s">
        <v>637</v>
      </c>
      <c r="N1005" s="75" t="s">
        <v>146</v>
      </c>
      <c r="O1005" s="75"/>
      <c r="P1005" s="74"/>
      <c r="Q1005" s="1127"/>
      <c r="R1005" s="1128"/>
      <c r="S1005" s="1128"/>
      <c r="T1005" s="1128"/>
      <c r="U1005" s="1128"/>
      <c r="V1005" s="1128"/>
      <c r="W1005" s="74"/>
      <c r="X1005" s="74"/>
      <c r="Y1005" s="684"/>
      <c r="Z1005" s="74"/>
    </row>
    <row r="1006" spans="9:26">
      <c r="I1006" s="133">
        <v>46092</v>
      </c>
      <c r="J1006" s="134">
        <v>0.32083333333333341</v>
      </c>
      <c r="K1006" s="135">
        <v>1.4</v>
      </c>
      <c r="L1006" s="75">
        <v>1</v>
      </c>
      <c r="M1006" s="75" t="s">
        <v>637</v>
      </c>
      <c r="N1006" s="75" t="s">
        <v>146</v>
      </c>
      <c r="O1006" s="75"/>
      <c r="P1006" s="74"/>
      <c r="Q1006" s="1127"/>
      <c r="R1006" s="1128"/>
      <c r="S1006" s="1128"/>
      <c r="T1006" s="1128"/>
      <c r="U1006" s="1128"/>
      <c r="V1006" s="1128"/>
      <c r="W1006" s="74"/>
      <c r="X1006" s="74"/>
      <c r="Y1006" s="684"/>
      <c r="Z1006" s="74"/>
    </row>
    <row r="1007" spans="9:26">
      <c r="I1007" s="133">
        <v>46092</v>
      </c>
      <c r="J1007" s="134">
        <v>0.3347222222222222</v>
      </c>
      <c r="K1007" s="135">
        <v>1.7</v>
      </c>
      <c r="L1007" s="75">
        <v>1</v>
      </c>
      <c r="M1007" s="75" t="s">
        <v>637</v>
      </c>
      <c r="N1007" s="75" t="s">
        <v>146</v>
      </c>
      <c r="O1007" s="75"/>
      <c r="P1007" s="74"/>
      <c r="Q1007" s="1127"/>
      <c r="R1007" s="1128"/>
      <c r="S1007" s="1128"/>
      <c r="T1007" s="1128"/>
      <c r="U1007" s="1128"/>
      <c r="V1007" s="1128"/>
      <c r="W1007" s="74"/>
      <c r="X1007" s="74"/>
      <c r="Y1007" s="684"/>
      <c r="Z1007" s="74"/>
    </row>
    <row r="1008" spans="9:26">
      <c r="I1008" s="133">
        <v>46092</v>
      </c>
      <c r="J1008" s="134">
        <v>0.33680555555555558</v>
      </c>
      <c r="K1008" s="135">
        <v>1.5</v>
      </c>
      <c r="L1008" s="75">
        <v>1</v>
      </c>
      <c r="M1008" s="75" t="s">
        <v>637</v>
      </c>
      <c r="N1008" s="75" t="s">
        <v>146</v>
      </c>
      <c r="O1008" s="75"/>
      <c r="P1008" s="74"/>
      <c r="Q1008" s="1127"/>
      <c r="R1008" s="1128"/>
      <c r="S1008" s="1128"/>
      <c r="T1008" s="1128"/>
      <c r="U1008" s="1128"/>
      <c r="V1008" s="1128"/>
      <c r="W1008" s="74"/>
      <c r="X1008" s="74"/>
      <c r="Y1008" s="684"/>
      <c r="Z1008" s="74"/>
    </row>
    <row r="1009" spans="9:15">
      <c r="I1009" s="133">
        <v>46092</v>
      </c>
      <c r="J1009" s="134">
        <v>0.39027777777777778</v>
      </c>
      <c r="K1009" s="135">
        <v>7.1</v>
      </c>
      <c r="L1009" s="75">
        <v>1</v>
      </c>
      <c r="M1009" s="75" t="s">
        <v>637</v>
      </c>
      <c r="N1009" s="75" t="s">
        <v>146</v>
      </c>
      <c r="O1009" s="75"/>
    </row>
    <row r="1010" spans="9:15">
      <c r="I1010" s="133">
        <v>46092</v>
      </c>
      <c r="J1010" s="134">
        <v>0.40555555555555561</v>
      </c>
      <c r="K1010" s="135">
        <v>2.15</v>
      </c>
      <c r="L1010" s="75">
        <v>1</v>
      </c>
      <c r="M1010" s="75" t="s">
        <v>637</v>
      </c>
      <c r="N1010" s="75" t="s">
        <v>146</v>
      </c>
      <c r="O1010" s="75"/>
    </row>
    <row r="1011" spans="9:15">
      <c r="I1011" s="133">
        <v>46092</v>
      </c>
      <c r="J1011" s="134">
        <v>0.41597222222222219</v>
      </c>
      <c r="K1011" s="135">
        <v>1.95</v>
      </c>
      <c r="L1011" s="75">
        <v>1</v>
      </c>
      <c r="M1011" s="75" t="s">
        <v>637</v>
      </c>
      <c r="N1011" s="75" t="s">
        <v>146</v>
      </c>
      <c r="O1011" s="75"/>
    </row>
    <row r="1012" spans="9:15">
      <c r="I1012" s="133">
        <v>46092</v>
      </c>
      <c r="J1012" s="134">
        <v>0.41736111111111113</v>
      </c>
      <c r="K1012" s="135">
        <v>1.7</v>
      </c>
      <c r="L1012" s="75">
        <v>1</v>
      </c>
      <c r="M1012" s="75" t="s">
        <v>637</v>
      </c>
      <c r="N1012" s="75" t="s">
        <v>146</v>
      </c>
      <c r="O1012" s="75"/>
    </row>
    <row r="1013" spans="9:15">
      <c r="I1013" s="133">
        <v>46092</v>
      </c>
      <c r="J1013" s="134">
        <v>0.41875000000000001</v>
      </c>
      <c r="K1013" s="135">
        <v>1.7</v>
      </c>
      <c r="L1013" s="75">
        <v>1</v>
      </c>
      <c r="M1013" s="75" t="s">
        <v>637</v>
      </c>
      <c r="N1013" s="75" t="s">
        <v>146</v>
      </c>
      <c r="O1013" s="75"/>
    </row>
    <row r="1014" spans="9:15">
      <c r="I1014" s="133">
        <v>46092</v>
      </c>
      <c r="J1014" s="134">
        <v>0.43472222222222218</v>
      </c>
      <c r="K1014" s="135">
        <v>3</v>
      </c>
      <c r="L1014" s="75">
        <v>2</v>
      </c>
      <c r="M1014" s="75" t="s">
        <v>637</v>
      </c>
      <c r="N1014" s="75" t="s">
        <v>146</v>
      </c>
      <c r="O1014" s="75"/>
    </row>
    <row r="1015" spans="9:15">
      <c r="I1015" s="133">
        <v>46092</v>
      </c>
      <c r="J1015" s="134">
        <v>0.44791666666666669</v>
      </c>
      <c r="K1015" s="135">
        <v>1.75</v>
      </c>
      <c r="L1015" s="75">
        <v>1</v>
      </c>
      <c r="M1015" s="75" t="s">
        <v>637</v>
      </c>
      <c r="N1015" s="75" t="s">
        <v>146</v>
      </c>
      <c r="O1015" s="75"/>
    </row>
    <row r="1016" spans="9:15">
      <c r="I1016" s="133">
        <v>46092</v>
      </c>
      <c r="J1016" s="134">
        <v>0.45833333333333331</v>
      </c>
      <c r="K1016" s="135">
        <v>11.65</v>
      </c>
      <c r="L1016" s="75">
        <v>1</v>
      </c>
      <c r="M1016" s="75" t="s">
        <v>637</v>
      </c>
      <c r="N1016" s="75" t="s">
        <v>146</v>
      </c>
      <c r="O1016" s="75"/>
    </row>
    <row r="1017" spans="9:15">
      <c r="I1017" s="133">
        <v>46092</v>
      </c>
      <c r="J1017" s="134">
        <v>0.46875</v>
      </c>
      <c r="K1017" s="135">
        <v>5.35</v>
      </c>
      <c r="L1017" s="75">
        <v>2</v>
      </c>
      <c r="M1017" s="75" t="s">
        <v>637</v>
      </c>
      <c r="N1017" s="75" t="s">
        <v>146</v>
      </c>
      <c r="O1017" s="75"/>
    </row>
    <row r="1018" spans="9:15">
      <c r="I1018" s="133">
        <v>46092</v>
      </c>
      <c r="J1018" s="134">
        <v>0.4909722222222222</v>
      </c>
      <c r="K1018" s="135">
        <v>1.85</v>
      </c>
      <c r="L1018" s="75">
        <v>1</v>
      </c>
      <c r="M1018" s="75" t="s">
        <v>637</v>
      </c>
      <c r="N1018" s="75" t="s">
        <v>146</v>
      </c>
      <c r="O1018" s="75"/>
    </row>
    <row r="1019" spans="9:15">
      <c r="I1019" s="133">
        <v>46092</v>
      </c>
      <c r="J1019" s="134">
        <v>0.50277777777777777</v>
      </c>
      <c r="K1019" s="135">
        <v>4.5</v>
      </c>
      <c r="L1019" s="75">
        <v>2</v>
      </c>
      <c r="M1019" s="75" t="s">
        <v>637</v>
      </c>
      <c r="N1019" s="75" t="s">
        <v>494</v>
      </c>
      <c r="O1019" s="75"/>
    </row>
    <row r="1020" spans="9:15">
      <c r="I1020" s="133">
        <v>46092</v>
      </c>
      <c r="J1020" s="134">
        <v>0.50347222222222221</v>
      </c>
      <c r="K1020" s="135">
        <v>1.7</v>
      </c>
      <c r="L1020" s="75">
        <v>1</v>
      </c>
      <c r="M1020" s="75" t="s">
        <v>637</v>
      </c>
      <c r="N1020" s="75" t="s">
        <v>494</v>
      </c>
      <c r="O1020" s="75"/>
    </row>
    <row r="1021" spans="9:15">
      <c r="I1021" s="133">
        <v>46092</v>
      </c>
      <c r="J1021" s="134">
        <v>0.5180555555555556</v>
      </c>
      <c r="K1021" s="135">
        <v>3.2</v>
      </c>
      <c r="L1021" s="75">
        <v>2</v>
      </c>
      <c r="M1021" s="75" t="s">
        <v>637</v>
      </c>
      <c r="N1021" s="75" t="s">
        <v>494</v>
      </c>
      <c r="O1021" s="75"/>
    </row>
    <row r="1022" spans="9:15">
      <c r="I1022" s="133">
        <v>46092</v>
      </c>
      <c r="J1022" s="134">
        <v>0.52361111111111114</v>
      </c>
      <c r="K1022" s="135">
        <v>1.4</v>
      </c>
      <c r="L1022" s="75">
        <v>1</v>
      </c>
      <c r="M1022" s="75" t="s">
        <v>637</v>
      </c>
      <c r="N1022" s="75" t="s">
        <v>494</v>
      </c>
      <c r="O1022" s="75"/>
    </row>
    <row r="1023" spans="9:15">
      <c r="I1023" s="133">
        <v>46092</v>
      </c>
      <c r="J1023" s="134">
        <v>0.62291666666666667</v>
      </c>
      <c r="K1023" s="135">
        <v>1.7</v>
      </c>
      <c r="L1023" s="75">
        <v>1</v>
      </c>
      <c r="M1023" s="75" t="s">
        <v>637</v>
      </c>
      <c r="N1023" s="75" t="s">
        <v>494</v>
      </c>
      <c r="O1023" s="75"/>
    </row>
    <row r="1024" spans="9:15">
      <c r="I1024" s="133">
        <v>46092</v>
      </c>
      <c r="J1024" s="134">
        <v>0.62430555555555556</v>
      </c>
      <c r="K1024" s="135">
        <v>8.0500000000000007</v>
      </c>
      <c r="L1024" s="75">
        <v>5</v>
      </c>
      <c r="M1024" s="75" t="s">
        <v>637</v>
      </c>
      <c r="N1024" s="75" t="s">
        <v>494</v>
      </c>
      <c r="O1024" s="75"/>
    </row>
    <row r="1025" spans="9:15">
      <c r="I1025" s="133">
        <v>46092</v>
      </c>
      <c r="J1025" s="134">
        <v>0.65763888888888888</v>
      </c>
      <c r="K1025" s="135">
        <v>27.75</v>
      </c>
      <c r="L1025" s="75">
        <v>3</v>
      </c>
      <c r="M1025" s="75" t="s">
        <v>637</v>
      </c>
      <c r="N1025" s="75" t="s">
        <v>494</v>
      </c>
      <c r="O1025" s="75"/>
    </row>
    <row r="1026" spans="9:15">
      <c r="I1026" s="133">
        <v>46092</v>
      </c>
      <c r="J1026" s="134">
        <v>0.6645833333333333</v>
      </c>
      <c r="K1026" s="135">
        <v>20.45</v>
      </c>
      <c r="L1026" s="75">
        <v>1</v>
      </c>
      <c r="M1026" s="75" t="s">
        <v>637</v>
      </c>
      <c r="N1026" s="75" t="s">
        <v>494</v>
      </c>
      <c r="O1026" s="75"/>
    </row>
    <row r="1027" spans="9:15">
      <c r="I1027" s="133">
        <v>46092</v>
      </c>
      <c r="J1027" s="134">
        <v>0.66874999999999996</v>
      </c>
      <c r="K1027" s="135">
        <v>50.85</v>
      </c>
      <c r="L1027" s="75">
        <v>3</v>
      </c>
      <c r="M1027" s="75" t="s">
        <v>637</v>
      </c>
      <c r="N1027" s="75" t="s">
        <v>494</v>
      </c>
      <c r="O1027" s="75"/>
    </row>
    <row r="1028" spans="9:15">
      <c r="I1028" s="133">
        <v>46092</v>
      </c>
      <c r="J1028" s="134">
        <v>0.82638888888888884</v>
      </c>
      <c r="K1028" s="135">
        <v>4.6500000000000004</v>
      </c>
      <c r="L1028" s="75">
        <v>2</v>
      </c>
      <c r="M1028" s="75" t="s">
        <v>637</v>
      </c>
      <c r="N1028" s="75" t="s">
        <v>497</v>
      </c>
      <c r="O1028" s="75"/>
    </row>
    <row r="1029" spans="9:15">
      <c r="I1029" s="133">
        <v>46092</v>
      </c>
      <c r="J1029" s="134">
        <v>0.90277777777777779</v>
      </c>
      <c r="K1029" s="135">
        <v>21.35</v>
      </c>
      <c r="L1029" s="75">
        <v>1</v>
      </c>
      <c r="M1029" s="75" t="s">
        <v>637</v>
      </c>
      <c r="N1029" s="75" t="s">
        <v>497</v>
      </c>
      <c r="O1029" s="75"/>
    </row>
    <row r="1030" spans="9:15">
      <c r="I1030" s="133">
        <v>46092</v>
      </c>
      <c r="J1030" s="134">
        <v>0.90833333333333333</v>
      </c>
      <c r="K1030" s="135">
        <v>24.4</v>
      </c>
      <c r="L1030" s="75">
        <v>1</v>
      </c>
      <c r="M1030" s="75" t="s">
        <v>637</v>
      </c>
      <c r="N1030" s="75" t="s">
        <v>497</v>
      </c>
      <c r="O1030" s="75"/>
    </row>
    <row r="1031" spans="9:15">
      <c r="I1031" s="133">
        <v>46092</v>
      </c>
      <c r="J1031" s="134">
        <v>0.90972222222222221</v>
      </c>
      <c r="K1031" s="135">
        <v>18.8</v>
      </c>
      <c r="L1031" s="75">
        <v>1</v>
      </c>
      <c r="M1031" s="75" t="s">
        <v>637</v>
      </c>
      <c r="N1031" s="75" t="s">
        <v>497</v>
      </c>
      <c r="O1031" s="75"/>
    </row>
    <row r="1032" spans="9:15">
      <c r="I1032" s="133">
        <v>46092</v>
      </c>
      <c r="J1032" s="134">
        <v>0.9194444444444444</v>
      </c>
      <c r="K1032" s="135">
        <v>29.25</v>
      </c>
      <c r="L1032" s="75">
        <v>2</v>
      </c>
      <c r="M1032" s="75" t="s">
        <v>637</v>
      </c>
      <c r="N1032" s="75" t="s">
        <v>497</v>
      </c>
      <c r="O1032" s="75"/>
    </row>
    <row r="1033" spans="9:15">
      <c r="I1033" s="133">
        <v>46093</v>
      </c>
      <c r="J1033" s="134">
        <v>0.29930555555555549</v>
      </c>
      <c r="K1033" s="135">
        <v>5.35</v>
      </c>
      <c r="L1033" s="75">
        <v>2</v>
      </c>
      <c r="M1033" s="75" t="s">
        <v>638</v>
      </c>
      <c r="N1033" s="75" t="s">
        <v>146</v>
      </c>
      <c r="O1033" s="75"/>
    </row>
    <row r="1034" spans="9:15">
      <c r="I1034" s="133">
        <v>46093</v>
      </c>
      <c r="J1034" s="134">
        <v>0.30763888888888891</v>
      </c>
      <c r="K1034" s="135">
        <v>5.6</v>
      </c>
      <c r="L1034" s="75">
        <v>1</v>
      </c>
      <c r="M1034" s="75" t="s">
        <v>638</v>
      </c>
      <c r="N1034" s="75" t="s">
        <v>146</v>
      </c>
      <c r="O1034" s="75"/>
    </row>
    <row r="1035" spans="9:15">
      <c r="I1035" s="133">
        <v>46093</v>
      </c>
      <c r="J1035" s="134">
        <v>0.31527777777777782</v>
      </c>
      <c r="K1035" s="135">
        <v>3.2</v>
      </c>
      <c r="L1035" s="75">
        <v>1</v>
      </c>
      <c r="M1035" s="75" t="s">
        <v>638</v>
      </c>
      <c r="N1035" s="75" t="s">
        <v>146</v>
      </c>
      <c r="O1035" s="75"/>
    </row>
    <row r="1036" spans="9:15">
      <c r="I1036" s="133">
        <v>46093</v>
      </c>
      <c r="J1036" s="134">
        <v>0.33680555555555558</v>
      </c>
      <c r="K1036" s="135">
        <v>1.5</v>
      </c>
      <c r="L1036" s="75">
        <v>1</v>
      </c>
      <c r="M1036" s="75" t="s">
        <v>638</v>
      </c>
      <c r="N1036" s="75" t="s">
        <v>146</v>
      </c>
      <c r="O1036" s="75"/>
    </row>
    <row r="1037" spans="9:15">
      <c r="I1037" s="133">
        <v>46093</v>
      </c>
      <c r="J1037" s="134">
        <v>0.36249999999999999</v>
      </c>
      <c r="K1037" s="135">
        <v>1.85</v>
      </c>
      <c r="L1037" s="75">
        <v>1</v>
      </c>
      <c r="M1037" s="75" t="s">
        <v>638</v>
      </c>
      <c r="N1037" s="75" t="s">
        <v>146</v>
      </c>
      <c r="O1037" s="75"/>
    </row>
    <row r="1038" spans="9:15">
      <c r="I1038" s="133">
        <v>46093</v>
      </c>
      <c r="J1038" s="134">
        <v>0.36666666666666659</v>
      </c>
      <c r="K1038" s="135">
        <v>3.2</v>
      </c>
      <c r="L1038" s="75">
        <v>1</v>
      </c>
      <c r="M1038" s="75" t="s">
        <v>638</v>
      </c>
      <c r="N1038" s="75" t="s">
        <v>146</v>
      </c>
      <c r="O1038" s="75"/>
    </row>
    <row r="1039" spans="9:15">
      <c r="I1039" s="133">
        <v>46093</v>
      </c>
      <c r="J1039" s="134">
        <v>0.40486111111111112</v>
      </c>
      <c r="K1039" s="135">
        <v>11.7</v>
      </c>
      <c r="L1039" s="75">
        <v>2</v>
      </c>
      <c r="M1039" s="75" t="s">
        <v>638</v>
      </c>
      <c r="N1039" s="75" t="s">
        <v>146</v>
      </c>
      <c r="O1039" s="75"/>
    </row>
    <row r="1040" spans="9:15">
      <c r="I1040" s="133">
        <v>46093</v>
      </c>
      <c r="J1040" s="134">
        <v>0.40972222222222221</v>
      </c>
      <c r="K1040" s="135">
        <v>3.85</v>
      </c>
      <c r="L1040" s="75">
        <v>2</v>
      </c>
      <c r="M1040" s="75" t="s">
        <v>638</v>
      </c>
      <c r="N1040" s="75" t="s">
        <v>146</v>
      </c>
      <c r="O1040" s="75"/>
    </row>
    <row r="1041" spans="9:15">
      <c r="I1041" s="133">
        <v>46093</v>
      </c>
      <c r="J1041" s="134">
        <v>0.42291666666666672</v>
      </c>
      <c r="K1041" s="135">
        <v>1.4</v>
      </c>
      <c r="L1041" s="75">
        <v>1</v>
      </c>
      <c r="M1041" s="75" t="s">
        <v>638</v>
      </c>
      <c r="N1041" s="75" t="s">
        <v>146</v>
      </c>
      <c r="O1041" s="75"/>
    </row>
    <row r="1042" spans="9:15">
      <c r="I1042" s="133">
        <v>46093</v>
      </c>
      <c r="J1042" s="134">
        <v>0.42569444444444438</v>
      </c>
      <c r="K1042" s="135">
        <v>1.7</v>
      </c>
      <c r="L1042" s="75">
        <v>1</v>
      </c>
      <c r="M1042" s="75" t="s">
        <v>638</v>
      </c>
      <c r="N1042" s="75" t="s">
        <v>146</v>
      </c>
      <c r="O1042" s="75"/>
    </row>
    <row r="1043" spans="9:15">
      <c r="I1043" s="133">
        <v>46093</v>
      </c>
      <c r="J1043" s="134">
        <v>0.43402777777777779</v>
      </c>
      <c r="K1043" s="135">
        <v>2.35</v>
      </c>
      <c r="L1043" s="75">
        <v>1</v>
      </c>
      <c r="M1043" s="75" t="s">
        <v>638</v>
      </c>
      <c r="N1043" s="75" t="s">
        <v>146</v>
      </c>
      <c r="O1043" s="75"/>
    </row>
    <row r="1044" spans="9:15">
      <c r="I1044" s="133">
        <v>46093</v>
      </c>
      <c r="J1044" s="134">
        <v>0.47986111111111113</v>
      </c>
      <c r="K1044" s="135">
        <v>3</v>
      </c>
      <c r="L1044" s="75">
        <v>2</v>
      </c>
      <c r="M1044" s="75" t="s">
        <v>638</v>
      </c>
      <c r="N1044" s="75" t="s">
        <v>146</v>
      </c>
      <c r="O1044" s="75"/>
    </row>
    <row r="1045" spans="9:15">
      <c r="I1045" s="133">
        <v>46093</v>
      </c>
      <c r="J1045" s="134">
        <v>0.50972222222222219</v>
      </c>
      <c r="K1045" s="135">
        <v>1.5</v>
      </c>
      <c r="L1045" s="75">
        <v>1</v>
      </c>
      <c r="M1045" s="75" t="s">
        <v>638</v>
      </c>
      <c r="N1045" s="75" t="s">
        <v>494</v>
      </c>
      <c r="O1045" s="75"/>
    </row>
    <row r="1046" spans="9:15">
      <c r="I1046" s="133">
        <v>46093</v>
      </c>
      <c r="J1046" s="134">
        <v>0.53749999999999998</v>
      </c>
      <c r="K1046" s="135">
        <v>5.05</v>
      </c>
      <c r="L1046" s="75">
        <v>1</v>
      </c>
      <c r="M1046" s="75" t="s">
        <v>638</v>
      </c>
      <c r="N1046" s="75" t="s">
        <v>494</v>
      </c>
      <c r="O1046" s="75"/>
    </row>
    <row r="1047" spans="9:15">
      <c r="I1047" s="133">
        <v>46093</v>
      </c>
      <c r="J1047" s="134">
        <v>0.60763888888888884</v>
      </c>
      <c r="K1047" s="135">
        <v>36.9</v>
      </c>
      <c r="L1047" s="75">
        <v>2</v>
      </c>
      <c r="M1047" s="75" t="s">
        <v>638</v>
      </c>
      <c r="N1047" s="75" t="s">
        <v>494</v>
      </c>
      <c r="O1047" s="75"/>
    </row>
    <row r="1048" spans="9:15">
      <c r="I1048" s="133">
        <v>46093</v>
      </c>
      <c r="J1048" s="134">
        <v>0.62847222222222221</v>
      </c>
      <c r="K1048" s="135">
        <v>2.65</v>
      </c>
      <c r="L1048" s="75">
        <v>1</v>
      </c>
      <c r="M1048" s="75" t="s">
        <v>638</v>
      </c>
      <c r="N1048" s="75" t="s">
        <v>494</v>
      </c>
      <c r="O1048" s="75"/>
    </row>
    <row r="1049" spans="9:15">
      <c r="I1049" s="133">
        <v>46093</v>
      </c>
      <c r="J1049" s="134">
        <v>0.84583333333333333</v>
      </c>
      <c r="K1049" s="135">
        <v>11.35</v>
      </c>
      <c r="L1049" s="75">
        <v>2</v>
      </c>
      <c r="M1049" s="75" t="s">
        <v>638</v>
      </c>
      <c r="N1049" s="75" t="s">
        <v>497</v>
      </c>
      <c r="O1049" s="75"/>
    </row>
    <row r="1050" spans="9:15">
      <c r="I1050" s="133">
        <v>46093</v>
      </c>
      <c r="J1050" s="134">
        <v>0.84722222222222221</v>
      </c>
      <c r="K1050" s="135">
        <v>2.65</v>
      </c>
      <c r="L1050" s="75">
        <v>1</v>
      </c>
      <c r="M1050" s="75" t="s">
        <v>638</v>
      </c>
      <c r="N1050" s="75" t="s">
        <v>497</v>
      </c>
      <c r="O1050" s="75"/>
    </row>
    <row r="1051" spans="9:15">
      <c r="I1051" s="133">
        <v>46093</v>
      </c>
      <c r="J1051" s="134">
        <v>0.89375000000000004</v>
      </c>
      <c r="K1051" s="135">
        <v>8.25</v>
      </c>
      <c r="L1051" s="75">
        <v>1</v>
      </c>
      <c r="M1051" s="75" t="s">
        <v>638</v>
      </c>
      <c r="N1051" s="75" t="s">
        <v>497</v>
      </c>
      <c r="O1051" s="75"/>
    </row>
    <row r="1052" spans="9:15">
      <c r="I1052" s="133">
        <v>46094</v>
      </c>
      <c r="J1052" s="134">
        <v>0.29375000000000001</v>
      </c>
      <c r="K1052" s="135">
        <v>3.4</v>
      </c>
      <c r="L1052" s="75">
        <v>1</v>
      </c>
      <c r="M1052" s="75" t="s">
        <v>633</v>
      </c>
      <c r="N1052" s="75" t="s">
        <v>146</v>
      </c>
      <c r="O1052" s="75"/>
    </row>
    <row r="1053" spans="9:15">
      <c r="I1053" s="133">
        <v>46094</v>
      </c>
      <c r="J1053" s="134">
        <v>0.30902777777777779</v>
      </c>
      <c r="K1053" s="135">
        <v>1.5</v>
      </c>
      <c r="L1053" s="75">
        <v>1</v>
      </c>
      <c r="M1053" s="75" t="s">
        <v>633</v>
      </c>
      <c r="N1053" s="75" t="s">
        <v>146</v>
      </c>
      <c r="O1053" s="75"/>
    </row>
    <row r="1054" spans="9:15">
      <c r="I1054" s="133">
        <v>46094</v>
      </c>
      <c r="J1054" s="134">
        <v>0.32569444444444451</v>
      </c>
      <c r="K1054" s="135">
        <v>1.4</v>
      </c>
      <c r="L1054" s="75">
        <v>1</v>
      </c>
      <c r="M1054" s="75" t="s">
        <v>633</v>
      </c>
      <c r="N1054" s="75" t="s">
        <v>146</v>
      </c>
      <c r="O1054" s="75"/>
    </row>
    <row r="1055" spans="9:15">
      <c r="I1055" s="133">
        <v>46094</v>
      </c>
      <c r="J1055" s="134">
        <v>0.33750000000000002</v>
      </c>
      <c r="K1055" s="135">
        <v>5.65</v>
      </c>
      <c r="L1055" s="75">
        <v>2</v>
      </c>
      <c r="M1055" s="75" t="s">
        <v>633</v>
      </c>
      <c r="N1055" s="75" t="s">
        <v>146</v>
      </c>
      <c r="O1055" s="75"/>
    </row>
    <row r="1056" spans="9:15">
      <c r="I1056" s="133">
        <v>46094</v>
      </c>
      <c r="J1056" s="134">
        <v>0.37013888888888891</v>
      </c>
      <c r="K1056" s="135">
        <v>1.7</v>
      </c>
      <c r="L1056" s="75">
        <v>1</v>
      </c>
      <c r="M1056" s="75" t="s">
        <v>633</v>
      </c>
      <c r="N1056" s="75" t="s">
        <v>146</v>
      </c>
      <c r="O1056" s="75"/>
    </row>
    <row r="1057" spans="9:15">
      <c r="I1057" s="133">
        <v>46094</v>
      </c>
      <c r="J1057" s="134">
        <v>0.38680555555555562</v>
      </c>
      <c r="K1057" s="135">
        <v>3.15</v>
      </c>
      <c r="L1057" s="75">
        <v>1</v>
      </c>
      <c r="M1057" s="75" t="s">
        <v>633</v>
      </c>
      <c r="N1057" s="75" t="s">
        <v>146</v>
      </c>
      <c r="O1057" s="75"/>
    </row>
    <row r="1058" spans="9:15">
      <c r="I1058" s="133">
        <v>46094</v>
      </c>
      <c r="J1058" s="134">
        <v>0.4</v>
      </c>
      <c r="K1058" s="135">
        <v>2.25</v>
      </c>
      <c r="L1058" s="75">
        <v>1</v>
      </c>
      <c r="M1058" s="75" t="s">
        <v>633</v>
      </c>
      <c r="N1058" s="75" t="s">
        <v>146</v>
      </c>
      <c r="O1058" s="75"/>
    </row>
    <row r="1059" spans="9:15">
      <c r="I1059" s="133">
        <v>46094</v>
      </c>
      <c r="J1059" s="134">
        <v>0.41458333333333341</v>
      </c>
      <c r="K1059" s="135">
        <v>3</v>
      </c>
      <c r="L1059" s="75">
        <v>2</v>
      </c>
      <c r="M1059" s="75" t="s">
        <v>633</v>
      </c>
      <c r="N1059" s="75" t="s">
        <v>146</v>
      </c>
      <c r="O1059" s="75"/>
    </row>
    <row r="1060" spans="9:15">
      <c r="I1060" s="133">
        <v>46094</v>
      </c>
      <c r="J1060" s="134">
        <v>0.43541666666666667</v>
      </c>
      <c r="K1060" s="135">
        <v>19.7</v>
      </c>
      <c r="L1060" s="75">
        <v>3</v>
      </c>
      <c r="M1060" s="75" t="s">
        <v>633</v>
      </c>
      <c r="N1060" s="75" t="s">
        <v>146</v>
      </c>
      <c r="O1060" s="75"/>
    </row>
    <row r="1061" spans="9:15">
      <c r="I1061" s="133">
        <v>46094</v>
      </c>
      <c r="J1061" s="134">
        <v>0.43958333333333333</v>
      </c>
      <c r="K1061" s="135">
        <v>1.4</v>
      </c>
      <c r="L1061" s="75">
        <v>1</v>
      </c>
      <c r="M1061" s="75" t="s">
        <v>633</v>
      </c>
      <c r="N1061" s="75" t="s">
        <v>146</v>
      </c>
      <c r="O1061" s="75"/>
    </row>
    <row r="1062" spans="9:15">
      <c r="I1062" s="133">
        <v>46094</v>
      </c>
      <c r="J1062" s="134">
        <v>0.46041666666666659</v>
      </c>
      <c r="K1062" s="135">
        <v>1.7</v>
      </c>
      <c r="L1062" s="75">
        <v>1</v>
      </c>
      <c r="M1062" s="75" t="s">
        <v>633</v>
      </c>
      <c r="N1062" s="75" t="s">
        <v>146</v>
      </c>
      <c r="O1062" s="75"/>
    </row>
    <row r="1063" spans="9:15">
      <c r="I1063" s="133">
        <v>46094</v>
      </c>
      <c r="J1063" s="134">
        <v>0.49722222222222218</v>
      </c>
      <c r="K1063" s="135">
        <v>31.7</v>
      </c>
      <c r="L1063" s="75">
        <v>2</v>
      </c>
      <c r="M1063" s="75" t="s">
        <v>633</v>
      </c>
      <c r="N1063" s="75" t="s">
        <v>146</v>
      </c>
      <c r="O1063" s="75"/>
    </row>
    <row r="1064" spans="9:15">
      <c r="I1064" s="133">
        <v>46094</v>
      </c>
      <c r="J1064" s="134">
        <v>0.52916666666666667</v>
      </c>
      <c r="K1064" s="135">
        <v>1.7</v>
      </c>
      <c r="L1064" s="75">
        <v>1</v>
      </c>
      <c r="M1064" s="75" t="s">
        <v>633</v>
      </c>
      <c r="N1064" s="75" t="s">
        <v>494</v>
      </c>
      <c r="O1064" s="75"/>
    </row>
    <row r="1065" spans="9:15">
      <c r="I1065" s="133">
        <v>46094</v>
      </c>
      <c r="J1065" s="134">
        <v>0.67291666666666672</v>
      </c>
      <c r="K1065" s="135">
        <v>1.7</v>
      </c>
      <c r="L1065" s="75">
        <v>1</v>
      </c>
      <c r="M1065" s="75" t="s">
        <v>633</v>
      </c>
      <c r="N1065" s="75" t="s">
        <v>494</v>
      </c>
      <c r="O1065" s="75"/>
    </row>
    <row r="1066" spans="9:15">
      <c r="I1066" s="133">
        <v>46094</v>
      </c>
      <c r="J1066" s="134">
        <v>0.67500000000000004</v>
      </c>
      <c r="K1066" s="135">
        <v>47.7</v>
      </c>
      <c r="L1066" s="75">
        <v>2</v>
      </c>
      <c r="M1066" s="75" t="s">
        <v>633</v>
      </c>
      <c r="N1066" s="75" t="s">
        <v>494</v>
      </c>
      <c r="O1066" s="75"/>
    </row>
    <row r="1067" spans="9:15">
      <c r="I1067" s="133">
        <v>46094</v>
      </c>
      <c r="J1067" s="134">
        <v>0.67708333333333337</v>
      </c>
      <c r="K1067" s="135">
        <v>47.75</v>
      </c>
      <c r="L1067" s="75">
        <v>3</v>
      </c>
      <c r="M1067" s="75" t="s">
        <v>633</v>
      </c>
      <c r="N1067" s="75" t="s">
        <v>494</v>
      </c>
      <c r="O1067" s="75"/>
    </row>
    <row r="1068" spans="9:15">
      <c r="I1068" s="133">
        <v>46095</v>
      </c>
      <c r="J1068" s="134">
        <v>0.33750000000000002</v>
      </c>
      <c r="K1068" s="135">
        <v>1.5</v>
      </c>
      <c r="L1068" s="75">
        <v>1</v>
      </c>
      <c r="M1068" s="75" t="s">
        <v>635</v>
      </c>
      <c r="N1068" s="75" t="s">
        <v>146</v>
      </c>
      <c r="O1068" s="75"/>
    </row>
    <row r="1069" spans="9:15">
      <c r="I1069" s="133">
        <v>46095</v>
      </c>
      <c r="J1069" s="134">
        <v>0.34652777777777782</v>
      </c>
      <c r="K1069" s="135">
        <v>1.5</v>
      </c>
      <c r="L1069" s="75">
        <v>1</v>
      </c>
      <c r="M1069" s="75" t="s">
        <v>635</v>
      </c>
      <c r="N1069" s="75" t="s">
        <v>146</v>
      </c>
      <c r="O1069" s="75"/>
    </row>
    <row r="1070" spans="9:15">
      <c r="I1070" s="133">
        <v>46095</v>
      </c>
      <c r="J1070" s="134">
        <v>0.38611111111111113</v>
      </c>
      <c r="K1070" s="135">
        <v>6.55</v>
      </c>
      <c r="L1070" s="75">
        <v>1</v>
      </c>
      <c r="M1070" s="75" t="s">
        <v>635</v>
      </c>
      <c r="N1070" s="75" t="s">
        <v>146</v>
      </c>
      <c r="O1070" s="75"/>
    </row>
    <row r="1071" spans="9:15">
      <c r="I1071" s="133">
        <v>46095</v>
      </c>
      <c r="J1071" s="134">
        <v>0.38680555555555562</v>
      </c>
      <c r="K1071" s="135">
        <v>6.2</v>
      </c>
      <c r="L1071" s="75">
        <v>1</v>
      </c>
      <c r="M1071" s="75" t="s">
        <v>635</v>
      </c>
      <c r="N1071" s="75" t="s">
        <v>146</v>
      </c>
      <c r="O1071" s="75"/>
    </row>
    <row r="1072" spans="9:15">
      <c r="I1072" s="133">
        <v>46095</v>
      </c>
      <c r="J1072" s="134">
        <v>0.38750000000000001</v>
      </c>
      <c r="K1072" s="135">
        <v>2.4500000000000002</v>
      </c>
      <c r="L1072" s="75">
        <v>1</v>
      </c>
      <c r="M1072" s="75" t="s">
        <v>635</v>
      </c>
      <c r="N1072" s="75" t="s">
        <v>146</v>
      </c>
      <c r="O1072" s="75"/>
    </row>
    <row r="1073" spans="9:15">
      <c r="I1073" s="133">
        <v>46095</v>
      </c>
      <c r="J1073" s="134">
        <v>0.39374999999999999</v>
      </c>
      <c r="K1073" s="135">
        <v>9.65</v>
      </c>
      <c r="L1073" s="75">
        <v>2</v>
      </c>
      <c r="M1073" s="75" t="s">
        <v>635</v>
      </c>
      <c r="N1073" s="75" t="s">
        <v>146</v>
      </c>
      <c r="O1073" s="75"/>
    </row>
    <row r="1074" spans="9:15">
      <c r="I1074" s="133">
        <v>46095</v>
      </c>
      <c r="J1074" s="134">
        <v>0.40208333333333329</v>
      </c>
      <c r="K1074" s="135">
        <v>5.45</v>
      </c>
      <c r="L1074" s="75">
        <v>1</v>
      </c>
      <c r="M1074" s="75" t="s">
        <v>635</v>
      </c>
      <c r="N1074" s="75" t="s">
        <v>146</v>
      </c>
      <c r="O1074" s="75"/>
    </row>
    <row r="1075" spans="9:15">
      <c r="I1075" s="133">
        <v>46095</v>
      </c>
      <c r="J1075" s="134">
        <v>0.40555555555555561</v>
      </c>
      <c r="K1075" s="135">
        <v>2.2000000000000002</v>
      </c>
      <c r="L1075" s="75">
        <v>1</v>
      </c>
      <c r="M1075" s="75" t="s">
        <v>635</v>
      </c>
      <c r="N1075" s="75" t="s">
        <v>146</v>
      </c>
      <c r="O1075" s="75"/>
    </row>
    <row r="1076" spans="9:15">
      <c r="I1076" s="133">
        <v>46095</v>
      </c>
      <c r="J1076" s="134">
        <v>0.40972222222222221</v>
      </c>
      <c r="K1076" s="135">
        <v>7.9</v>
      </c>
      <c r="L1076" s="75">
        <v>2</v>
      </c>
      <c r="M1076" s="75" t="s">
        <v>635</v>
      </c>
      <c r="N1076" s="75" t="s">
        <v>146</v>
      </c>
      <c r="O1076" s="75"/>
    </row>
    <row r="1077" spans="9:15">
      <c r="I1077" s="133">
        <v>46095</v>
      </c>
      <c r="J1077" s="134">
        <v>0.4201388888888889</v>
      </c>
      <c r="K1077" s="135">
        <v>5.7</v>
      </c>
      <c r="L1077" s="75">
        <v>1</v>
      </c>
      <c r="M1077" s="75" t="s">
        <v>635</v>
      </c>
      <c r="N1077" s="75" t="s">
        <v>146</v>
      </c>
      <c r="O1077" s="75"/>
    </row>
    <row r="1078" spans="9:15">
      <c r="I1078" s="133">
        <v>46095</v>
      </c>
      <c r="J1078" s="134">
        <v>0.42083333333333328</v>
      </c>
      <c r="K1078" s="135">
        <v>4.95</v>
      </c>
      <c r="L1078" s="75">
        <v>1</v>
      </c>
      <c r="M1078" s="75" t="s">
        <v>635</v>
      </c>
      <c r="N1078" s="75" t="s">
        <v>146</v>
      </c>
      <c r="O1078" s="75"/>
    </row>
    <row r="1079" spans="9:15">
      <c r="I1079" s="133">
        <v>46095</v>
      </c>
      <c r="J1079" s="134">
        <v>0.4375</v>
      </c>
      <c r="K1079" s="135">
        <v>1.4</v>
      </c>
      <c r="L1079" s="75">
        <v>1</v>
      </c>
      <c r="M1079" s="75" t="s">
        <v>635</v>
      </c>
      <c r="N1079" s="75" t="s">
        <v>146</v>
      </c>
      <c r="O1079" s="75"/>
    </row>
    <row r="1080" spans="9:15">
      <c r="I1080" s="133">
        <v>46095</v>
      </c>
      <c r="J1080" s="134">
        <v>0.45624999999999999</v>
      </c>
      <c r="K1080" s="135">
        <v>8.4</v>
      </c>
      <c r="L1080" s="75">
        <v>2</v>
      </c>
      <c r="M1080" s="75" t="s">
        <v>635</v>
      </c>
      <c r="N1080" s="75" t="s">
        <v>146</v>
      </c>
      <c r="O1080" s="75"/>
    </row>
    <row r="1081" spans="9:15">
      <c r="I1081" s="133">
        <v>46095</v>
      </c>
      <c r="J1081" s="134">
        <v>0.45694444444444438</v>
      </c>
      <c r="K1081" s="135">
        <v>4.3</v>
      </c>
      <c r="L1081" s="75">
        <v>1</v>
      </c>
      <c r="M1081" s="75" t="s">
        <v>635</v>
      </c>
      <c r="N1081" s="75" t="s">
        <v>146</v>
      </c>
      <c r="O1081" s="75"/>
    </row>
    <row r="1082" spans="9:15">
      <c r="I1082" s="133">
        <v>46095</v>
      </c>
      <c r="J1082" s="134">
        <v>0.47152777777777782</v>
      </c>
      <c r="K1082" s="135">
        <v>2.9</v>
      </c>
      <c r="L1082" s="75">
        <v>1</v>
      </c>
      <c r="M1082" s="75" t="s">
        <v>635</v>
      </c>
      <c r="N1082" s="75" t="s">
        <v>146</v>
      </c>
      <c r="O1082" s="75"/>
    </row>
    <row r="1083" spans="9:15">
      <c r="I1083" s="133">
        <v>46095</v>
      </c>
      <c r="J1083" s="134">
        <v>0.50138888888888888</v>
      </c>
      <c r="K1083" s="135">
        <v>3.1</v>
      </c>
      <c r="L1083" s="75">
        <v>2</v>
      </c>
      <c r="M1083" s="75" t="s">
        <v>635</v>
      </c>
      <c r="N1083" s="75" t="s">
        <v>494</v>
      </c>
      <c r="O1083" s="75"/>
    </row>
    <row r="1084" spans="9:15">
      <c r="I1084" s="133">
        <v>46095</v>
      </c>
      <c r="J1084" s="134">
        <v>0.50208333333333333</v>
      </c>
      <c r="K1084" s="135">
        <v>2.5</v>
      </c>
      <c r="L1084" s="75">
        <v>1</v>
      </c>
      <c r="M1084" s="75" t="s">
        <v>635</v>
      </c>
      <c r="N1084" s="75" t="s">
        <v>494</v>
      </c>
      <c r="O1084" s="75" t="s">
        <v>641</v>
      </c>
    </row>
    <row r="1085" spans="9:15">
      <c r="I1085" s="133">
        <v>46095</v>
      </c>
      <c r="J1085" s="134">
        <v>0.55069444444444449</v>
      </c>
      <c r="K1085" s="135">
        <v>1.65</v>
      </c>
      <c r="L1085" s="75">
        <v>1</v>
      </c>
      <c r="M1085" s="75" t="s">
        <v>635</v>
      </c>
      <c r="N1085" s="75" t="s">
        <v>494</v>
      </c>
      <c r="O1085" s="75"/>
    </row>
    <row r="1086" spans="9:15">
      <c r="I1086" s="133">
        <v>46095</v>
      </c>
      <c r="J1086" s="134">
        <v>0.5625</v>
      </c>
      <c r="K1086" s="135">
        <v>4.1500000000000004</v>
      </c>
      <c r="L1086" s="75">
        <v>2</v>
      </c>
      <c r="M1086" s="75" t="s">
        <v>635</v>
      </c>
      <c r="N1086" s="75" t="s">
        <v>494</v>
      </c>
      <c r="O1086" s="75"/>
    </row>
    <row r="1087" spans="9:15">
      <c r="I1087" s="133">
        <v>46095</v>
      </c>
      <c r="J1087" s="134">
        <v>0.58194444444444449</v>
      </c>
      <c r="K1087" s="135">
        <v>2.4500000000000002</v>
      </c>
      <c r="L1087" s="75">
        <v>1</v>
      </c>
      <c r="M1087" s="75" t="s">
        <v>635</v>
      </c>
      <c r="N1087" s="75" t="s">
        <v>494</v>
      </c>
      <c r="O1087" s="75"/>
    </row>
    <row r="1088" spans="9:15">
      <c r="I1088" s="133">
        <v>46095</v>
      </c>
      <c r="J1088" s="134">
        <v>0.6333333333333333</v>
      </c>
      <c r="K1088" s="135">
        <v>39.799999999999997</v>
      </c>
      <c r="L1088" s="75">
        <v>2</v>
      </c>
      <c r="M1088" s="75" t="s">
        <v>635</v>
      </c>
      <c r="N1088" s="75" t="s">
        <v>494</v>
      </c>
      <c r="O1088" s="75"/>
    </row>
    <row r="1089" spans="9:15">
      <c r="I1089" s="133">
        <v>46095</v>
      </c>
      <c r="J1089" s="134">
        <v>0.82430555555555551</v>
      </c>
      <c r="K1089" s="135">
        <v>2.5</v>
      </c>
      <c r="L1089" s="75">
        <v>1</v>
      </c>
      <c r="M1089" s="75" t="s">
        <v>635</v>
      </c>
      <c r="N1089" s="75" t="s">
        <v>497</v>
      </c>
      <c r="O1089" s="75"/>
    </row>
    <row r="1090" spans="9:15">
      <c r="I1090" s="133">
        <v>46095</v>
      </c>
      <c r="J1090" s="134">
        <v>0.84375</v>
      </c>
      <c r="K1090" s="135">
        <v>12.25</v>
      </c>
      <c r="L1090" s="75">
        <v>1</v>
      </c>
      <c r="M1090" s="75" t="s">
        <v>635</v>
      </c>
      <c r="N1090" s="75" t="s">
        <v>497</v>
      </c>
      <c r="O1090" s="75"/>
    </row>
    <row r="1091" spans="9:15">
      <c r="I1091" s="133">
        <v>46095</v>
      </c>
      <c r="J1091" s="134">
        <v>0.84652777777777777</v>
      </c>
      <c r="K1091" s="135">
        <v>2.5</v>
      </c>
      <c r="L1091" s="75">
        <v>1</v>
      </c>
      <c r="M1091" s="75" t="s">
        <v>635</v>
      </c>
      <c r="N1091" s="75" t="s">
        <v>497</v>
      </c>
      <c r="O1091" s="75"/>
    </row>
    <row r="1092" spans="9:15">
      <c r="I1092" s="133">
        <v>46095</v>
      </c>
      <c r="J1092" s="134">
        <v>0.85555555555555551</v>
      </c>
      <c r="K1092" s="135">
        <v>12.9</v>
      </c>
      <c r="L1092" s="75">
        <v>3</v>
      </c>
      <c r="M1092" s="75" t="s">
        <v>635</v>
      </c>
      <c r="N1092" s="75" t="s">
        <v>497</v>
      </c>
      <c r="O1092" s="75"/>
    </row>
    <row r="1093" spans="9:15">
      <c r="I1093" s="133">
        <v>46095</v>
      </c>
      <c r="J1093" s="134">
        <v>0.86527777777777781</v>
      </c>
      <c r="K1093" s="135">
        <v>5.3</v>
      </c>
      <c r="L1093" s="75">
        <v>2</v>
      </c>
      <c r="M1093" s="75" t="s">
        <v>635</v>
      </c>
      <c r="N1093" s="75" t="s">
        <v>497</v>
      </c>
      <c r="O1093" s="75"/>
    </row>
    <row r="1094" spans="9:15">
      <c r="I1094" s="133">
        <v>46095</v>
      </c>
      <c r="J1094" s="134">
        <v>0.88680555555555551</v>
      </c>
      <c r="K1094" s="135">
        <v>26</v>
      </c>
      <c r="L1094" s="75">
        <v>2</v>
      </c>
      <c r="M1094" s="75" t="s">
        <v>635</v>
      </c>
      <c r="N1094" s="75" t="s">
        <v>497</v>
      </c>
      <c r="O1094" s="75"/>
    </row>
    <row r="1095" spans="9:15">
      <c r="I1095" s="133">
        <v>46095</v>
      </c>
      <c r="J1095" s="134">
        <v>0.89027777777777772</v>
      </c>
      <c r="K1095" s="135">
        <v>36.799999999999997</v>
      </c>
      <c r="L1095" s="75">
        <v>2</v>
      </c>
      <c r="M1095" s="75" t="s">
        <v>635</v>
      </c>
      <c r="N1095" s="75" t="s">
        <v>497</v>
      </c>
      <c r="O1095" s="75"/>
    </row>
    <row r="1096" spans="9:15">
      <c r="I1096" s="133">
        <v>46095</v>
      </c>
      <c r="J1096" s="134">
        <v>0.90694444444444444</v>
      </c>
      <c r="K1096" s="135">
        <v>8.1999999999999993</v>
      </c>
      <c r="L1096" s="75">
        <v>5</v>
      </c>
      <c r="M1096" s="75" t="s">
        <v>635</v>
      </c>
      <c r="N1096" s="75" t="s">
        <v>497</v>
      </c>
      <c r="O1096" s="75"/>
    </row>
    <row r="1097" spans="9:15">
      <c r="I1097" s="133">
        <v>46095</v>
      </c>
      <c r="J1097" s="134">
        <v>0.92777777777777781</v>
      </c>
      <c r="K1097" s="135">
        <v>29.1</v>
      </c>
      <c r="L1097" s="75">
        <v>2</v>
      </c>
      <c r="M1097" s="75" t="s">
        <v>635</v>
      </c>
      <c r="N1097" s="75" t="s">
        <v>497</v>
      </c>
      <c r="O1097" s="75"/>
    </row>
    <row r="1098" spans="9:15">
      <c r="I1098" s="133">
        <v>46095</v>
      </c>
      <c r="J1098" s="134">
        <v>0.93263888888888891</v>
      </c>
      <c r="K1098" s="135">
        <v>73.55</v>
      </c>
      <c r="L1098" s="75">
        <v>2</v>
      </c>
      <c r="M1098" s="75" t="s">
        <v>635</v>
      </c>
      <c r="N1098" s="75" t="s">
        <v>497</v>
      </c>
      <c r="O1098" s="75"/>
    </row>
    <row r="1099" spans="9:15">
      <c r="I1099" s="133">
        <v>46095</v>
      </c>
      <c r="J1099" s="134">
        <v>0.94791666666666663</v>
      </c>
      <c r="K1099" s="135">
        <v>46.95</v>
      </c>
      <c r="L1099" s="75">
        <v>2</v>
      </c>
      <c r="M1099" s="75" t="s">
        <v>635</v>
      </c>
      <c r="N1099" s="75" t="s">
        <v>497</v>
      </c>
      <c r="O1099" s="75"/>
    </row>
    <row r="1100" spans="9:15">
      <c r="I1100" s="133">
        <v>46096</v>
      </c>
      <c r="J1100" s="134">
        <v>0.35138888888888892</v>
      </c>
      <c r="K1100" s="135">
        <v>1.5</v>
      </c>
      <c r="L1100" s="75">
        <v>1</v>
      </c>
      <c r="M1100" s="75" t="s">
        <v>636</v>
      </c>
      <c r="N1100" s="75" t="s">
        <v>146</v>
      </c>
      <c r="O1100" s="75"/>
    </row>
    <row r="1101" spans="9:15">
      <c r="I1101" s="133">
        <v>46096</v>
      </c>
      <c r="J1101" s="134">
        <v>0.36041666666666672</v>
      </c>
      <c r="K1101" s="135">
        <v>14.45</v>
      </c>
      <c r="L1101" s="75">
        <v>2</v>
      </c>
      <c r="M1101" s="75" t="s">
        <v>636</v>
      </c>
      <c r="N1101" s="75" t="s">
        <v>146</v>
      </c>
      <c r="O1101" s="75"/>
    </row>
    <row r="1102" spans="9:15">
      <c r="I1102" s="133">
        <v>46096</v>
      </c>
      <c r="J1102" s="134">
        <v>0.3659722222222222</v>
      </c>
      <c r="K1102" s="135">
        <v>2.4500000000000002</v>
      </c>
      <c r="L1102" s="75">
        <v>1</v>
      </c>
      <c r="M1102" s="75" t="s">
        <v>636</v>
      </c>
      <c r="N1102" s="75" t="s">
        <v>146</v>
      </c>
      <c r="O1102" s="75"/>
    </row>
    <row r="1103" spans="9:15">
      <c r="I1103" s="133">
        <v>46096</v>
      </c>
      <c r="J1103" s="134">
        <v>0.38472222222222219</v>
      </c>
      <c r="K1103" s="135">
        <v>6.55</v>
      </c>
      <c r="L1103" s="75">
        <v>1</v>
      </c>
      <c r="M1103" s="75" t="s">
        <v>636</v>
      </c>
      <c r="N1103" s="75" t="s">
        <v>146</v>
      </c>
      <c r="O1103" s="75"/>
    </row>
    <row r="1104" spans="9:15">
      <c r="I1104" s="133">
        <v>46096</v>
      </c>
      <c r="J1104" s="134">
        <v>0.39374999999999999</v>
      </c>
      <c r="K1104" s="135">
        <v>3.6</v>
      </c>
      <c r="L1104" s="75">
        <v>1</v>
      </c>
      <c r="M1104" s="75" t="s">
        <v>636</v>
      </c>
      <c r="N1104" s="75" t="s">
        <v>146</v>
      </c>
      <c r="O1104" s="75"/>
    </row>
    <row r="1105" spans="9:15">
      <c r="I1105" s="133">
        <v>46096</v>
      </c>
      <c r="J1105" s="134">
        <v>0.40416666666666667</v>
      </c>
      <c r="K1105" s="135">
        <v>2.25</v>
      </c>
      <c r="L1105" s="75">
        <v>1</v>
      </c>
      <c r="M1105" s="75" t="s">
        <v>636</v>
      </c>
      <c r="N1105" s="75" t="s">
        <v>146</v>
      </c>
      <c r="O1105" s="75"/>
    </row>
    <row r="1106" spans="9:15">
      <c r="I1106" s="133">
        <v>46096</v>
      </c>
      <c r="J1106" s="134">
        <v>0.40416666666666667</v>
      </c>
      <c r="K1106" s="135">
        <v>20.45</v>
      </c>
      <c r="L1106" s="75">
        <v>2</v>
      </c>
      <c r="M1106" s="75" t="s">
        <v>636</v>
      </c>
      <c r="N1106" s="75" t="s">
        <v>146</v>
      </c>
      <c r="O1106" s="75"/>
    </row>
    <row r="1107" spans="9:15">
      <c r="I1107" s="133">
        <v>46096</v>
      </c>
      <c r="J1107" s="134">
        <v>0.40486111111111112</v>
      </c>
      <c r="K1107" s="135">
        <v>9.6</v>
      </c>
      <c r="L1107" s="75">
        <v>2</v>
      </c>
      <c r="M1107" s="75" t="s">
        <v>636</v>
      </c>
      <c r="N1107" s="75" t="s">
        <v>146</v>
      </c>
      <c r="O1107" s="75"/>
    </row>
    <row r="1108" spans="9:15">
      <c r="I1108" s="133">
        <v>46096</v>
      </c>
      <c r="J1108" s="134">
        <v>0.40555555555555561</v>
      </c>
      <c r="K1108" s="135">
        <v>11.15</v>
      </c>
      <c r="L1108" s="75">
        <v>3</v>
      </c>
      <c r="M1108" s="75" t="s">
        <v>636</v>
      </c>
      <c r="N1108" s="75" t="s">
        <v>146</v>
      </c>
      <c r="O1108" s="75"/>
    </row>
    <row r="1109" spans="9:15">
      <c r="I1109" s="133">
        <v>46096</v>
      </c>
      <c r="J1109" s="134">
        <v>0.40763888888888888</v>
      </c>
      <c r="K1109" s="135">
        <v>4.95</v>
      </c>
      <c r="L1109" s="75">
        <v>1</v>
      </c>
      <c r="M1109" s="75" t="s">
        <v>636</v>
      </c>
      <c r="N1109" s="75" t="s">
        <v>146</v>
      </c>
      <c r="O1109" s="75"/>
    </row>
    <row r="1110" spans="9:15">
      <c r="I1110" s="133">
        <v>46096</v>
      </c>
      <c r="J1110" s="134">
        <v>0.4152777777777778</v>
      </c>
      <c r="K1110" s="135">
        <v>7.2</v>
      </c>
      <c r="L1110" s="75">
        <v>1</v>
      </c>
      <c r="M1110" s="75" t="s">
        <v>636</v>
      </c>
      <c r="N1110" s="75" t="s">
        <v>146</v>
      </c>
      <c r="O1110" s="75"/>
    </row>
    <row r="1111" spans="9:15">
      <c r="I1111" s="133">
        <v>46096</v>
      </c>
      <c r="J1111" s="134">
        <v>0.4201388888888889</v>
      </c>
      <c r="K1111" s="135">
        <v>4.95</v>
      </c>
      <c r="L1111" s="75">
        <v>2</v>
      </c>
      <c r="M1111" s="75" t="s">
        <v>636</v>
      </c>
      <c r="N1111" s="75" t="s">
        <v>146</v>
      </c>
      <c r="O1111" s="75"/>
    </row>
    <row r="1112" spans="9:15">
      <c r="I1112" s="133">
        <v>46096</v>
      </c>
      <c r="J1112" s="134">
        <v>0.43402777777777779</v>
      </c>
      <c r="K1112" s="135">
        <v>4.5999999999999996</v>
      </c>
      <c r="L1112" s="75">
        <v>2</v>
      </c>
      <c r="M1112" s="75" t="s">
        <v>636</v>
      </c>
      <c r="N1112" s="75" t="s">
        <v>146</v>
      </c>
      <c r="O1112" s="75"/>
    </row>
    <row r="1113" spans="9:15">
      <c r="I1113" s="133">
        <v>46096</v>
      </c>
      <c r="J1113" s="134">
        <v>0.44027777777777782</v>
      </c>
      <c r="K1113" s="135">
        <v>4.8499999999999996</v>
      </c>
      <c r="L1113" s="75">
        <v>2</v>
      </c>
      <c r="M1113" s="75" t="s">
        <v>636</v>
      </c>
      <c r="N1113" s="75" t="s">
        <v>146</v>
      </c>
      <c r="O1113" s="75"/>
    </row>
    <row r="1114" spans="9:15">
      <c r="I1114" s="133">
        <v>46096</v>
      </c>
      <c r="J1114" s="134">
        <v>0.44236111111111109</v>
      </c>
      <c r="K1114" s="135">
        <v>3.3</v>
      </c>
      <c r="L1114" s="75">
        <v>2</v>
      </c>
      <c r="M1114" s="75" t="s">
        <v>636</v>
      </c>
      <c r="N1114" s="75" t="s">
        <v>146</v>
      </c>
      <c r="O1114" s="75"/>
    </row>
    <row r="1115" spans="9:15">
      <c r="I1115" s="133">
        <v>46096</v>
      </c>
      <c r="J1115" s="134">
        <v>0.44444444444444442</v>
      </c>
      <c r="K1115" s="135">
        <v>7.55</v>
      </c>
      <c r="L1115" s="75">
        <v>2</v>
      </c>
      <c r="M1115" s="75" t="s">
        <v>636</v>
      </c>
      <c r="N1115" s="75" t="s">
        <v>146</v>
      </c>
      <c r="O1115" s="75"/>
    </row>
    <row r="1116" spans="9:15">
      <c r="I1116" s="133">
        <v>46096</v>
      </c>
      <c r="J1116" s="134">
        <v>0.44513888888888892</v>
      </c>
      <c r="K1116" s="135">
        <v>2.15</v>
      </c>
      <c r="L1116" s="75">
        <v>1</v>
      </c>
      <c r="M1116" s="75" t="s">
        <v>636</v>
      </c>
      <c r="N1116" s="75" t="s">
        <v>146</v>
      </c>
      <c r="O1116" s="75"/>
    </row>
    <row r="1117" spans="9:15">
      <c r="I1117" s="133">
        <v>46096</v>
      </c>
      <c r="J1117" s="134">
        <v>0.45833333333333331</v>
      </c>
      <c r="K1117" s="135">
        <v>1.7</v>
      </c>
      <c r="L1117" s="75">
        <v>1</v>
      </c>
      <c r="M1117" s="75" t="s">
        <v>636</v>
      </c>
      <c r="N1117" s="75" t="s">
        <v>146</v>
      </c>
      <c r="O1117" s="75"/>
    </row>
    <row r="1118" spans="9:15">
      <c r="I1118" s="133">
        <v>46096</v>
      </c>
      <c r="J1118" s="134">
        <v>0.45833333333333331</v>
      </c>
      <c r="K1118" s="135">
        <v>14.1</v>
      </c>
      <c r="L1118" s="75">
        <v>2</v>
      </c>
      <c r="M1118" s="75" t="s">
        <v>636</v>
      </c>
      <c r="N1118" s="75" t="s">
        <v>146</v>
      </c>
      <c r="O1118" s="75"/>
    </row>
    <row r="1119" spans="9:15">
      <c r="I1119" s="133">
        <v>46096</v>
      </c>
      <c r="J1119" s="134">
        <v>0.48680555555555549</v>
      </c>
      <c r="K1119" s="135">
        <v>3.4</v>
      </c>
      <c r="L1119" s="75">
        <v>2</v>
      </c>
      <c r="M1119" s="75" t="s">
        <v>636</v>
      </c>
      <c r="N1119" s="75" t="s">
        <v>146</v>
      </c>
      <c r="O1119" s="75"/>
    </row>
    <row r="1120" spans="9:15">
      <c r="I1120" s="133">
        <v>46096</v>
      </c>
      <c r="J1120" s="134">
        <v>0.49652777777777779</v>
      </c>
      <c r="K1120" s="135">
        <v>6.5</v>
      </c>
      <c r="L1120" s="75">
        <v>2</v>
      </c>
      <c r="M1120" s="75" t="s">
        <v>636</v>
      </c>
      <c r="N1120" s="75" t="s">
        <v>146</v>
      </c>
      <c r="O1120" s="75"/>
    </row>
    <row r="1121" spans="9:15">
      <c r="I1121" s="133">
        <v>46096</v>
      </c>
      <c r="J1121" s="134">
        <v>0.50208333333333333</v>
      </c>
      <c r="K1121" s="135">
        <v>1.95</v>
      </c>
      <c r="L1121" s="75">
        <v>1</v>
      </c>
      <c r="M1121" s="75" t="s">
        <v>636</v>
      </c>
      <c r="N1121" s="75" t="s">
        <v>494</v>
      </c>
      <c r="O1121" s="75"/>
    </row>
    <row r="1122" spans="9:15">
      <c r="I1122" s="133">
        <v>46096</v>
      </c>
      <c r="J1122" s="134">
        <v>0.3</v>
      </c>
      <c r="K1122" s="135">
        <v>12.85</v>
      </c>
      <c r="L1122" s="75">
        <v>2</v>
      </c>
      <c r="M1122" s="75" t="s">
        <v>636</v>
      </c>
      <c r="N1122" s="75" t="s">
        <v>497</v>
      </c>
      <c r="O1122" s="75"/>
    </row>
    <row r="1123" spans="9:15">
      <c r="I1123" s="133">
        <v>46099</v>
      </c>
      <c r="J1123" s="134">
        <v>0.32777777777777778</v>
      </c>
      <c r="K1123" s="135">
        <v>1.4</v>
      </c>
      <c r="L1123" s="75">
        <v>1</v>
      </c>
      <c r="M1123" s="75" t="s">
        <v>637</v>
      </c>
      <c r="N1123" s="75" t="s">
        <v>146</v>
      </c>
      <c r="O1123" s="75"/>
    </row>
    <row r="1124" spans="9:15">
      <c r="I1124" s="133">
        <v>46099</v>
      </c>
      <c r="J1124" s="134">
        <v>0.34305555555555561</v>
      </c>
      <c r="K1124" s="135">
        <v>4.1500000000000004</v>
      </c>
      <c r="L1124" s="75">
        <v>2</v>
      </c>
      <c r="M1124" s="75" t="s">
        <v>637</v>
      </c>
      <c r="N1124" s="75" t="s">
        <v>146</v>
      </c>
      <c r="O1124" s="75"/>
    </row>
    <row r="1125" spans="9:15">
      <c r="I1125" s="133">
        <v>46099</v>
      </c>
      <c r="J1125" s="134">
        <v>0.34583333333333333</v>
      </c>
      <c r="K1125" s="135">
        <v>1.5</v>
      </c>
      <c r="L1125" s="75">
        <v>1</v>
      </c>
      <c r="M1125" s="75" t="s">
        <v>637</v>
      </c>
      <c r="N1125" s="75" t="s">
        <v>146</v>
      </c>
      <c r="O1125" s="75"/>
    </row>
    <row r="1126" spans="9:15">
      <c r="I1126" s="133">
        <v>46099</v>
      </c>
      <c r="J1126" s="134">
        <v>0.34861111111111109</v>
      </c>
      <c r="K1126" s="135">
        <v>2.5499999999999998</v>
      </c>
      <c r="L1126" s="75">
        <v>1</v>
      </c>
      <c r="M1126" s="75" t="s">
        <v>637</v>
      </c>
      <c r="N1126" s="75" t="s">
        <v>146</v>
      </c>
      <c r="O1126" s="75"/>
    </row>
    <row r="1127" spans="9:15">
      <c r="I1127" s="133">
        <v>46099</v>
      </c>
      <c r="J1127" s="134">
        <v>0.36458333333333331</v>
      </c>
      <c r="K1127" s="135">
        <v>3.4</v>
      </c>
      <c r="L1127" s="75">
        <v>1</v>
      </c>
      <c r="M1127" s="75" t="s">
        <v>637</v>
      </c>
      <c r="N1127" s="75" t="s">
        <v>146</v>
      </c>
      <c r="O1127" s="75"/>
    </row>
    <row r="1128" spans="9:15">
      <c r="I1128" s="133">
        <v>46099</v>
      </c>
      <c r="J1128" s="134">
        <v>0.39513888888888887</v>
      </c>
      <c r="K1128" s="135">
        <v>3.2</v>
      </c>
      <c r="L1128" s="75">
        <v>1</v>
      </c>
      <c r="M1128" s="75" t="s">
        <v>637</v>
      </c>
      <c r="N1128" s="75" t="s">
        <v>146</v>
      </c>
      <c r="O1128" s="75"/>
    </row>
    <row r="1129" spans="9:15">
      <c r="I1129" s="133">
        <v>46099</v>
      </c>
      <c r="J1129" s="134">
        <v>0.40277777777777779</v>
      </c>
      <c r="K1129" s="135">
        <v>2.25</v>
      </c>
      <c r="L1129" s="75">
        <v>1</v>
      </c>
      <c r="M1129" s="75" t="s">
        <v>637</v>
      </c>
      <c r="N1129" s="75" t="s">
        <v>146</v>
      </c>
      <c r="O1129" s="75"/>
    </row>
    <row r="1130" spans="9:15">
      <c r="I1130" s="133">
        <v>46099</v>
      </c>
      <c r="J1130" s="134">
        <v>0.40694444444444439</v>
      </c>
      <c r="K1130" s="135">
        <v>3</v>
      </c>
      <c r="L1130" s="75">
        <v>2</v>
      </c>
      <c r="M1130" s="75" t="s">
        <v>637</v>
      </c>
      <c r="N1130" s="75" t="s">
        <v>146</v>
      </c>
      <c r="O1130" s="75"/>
    </row>
    <row r="1131" spans="9:15">
      <c r="I1131" s="133">
        <v>46099</v>
      </c>
      <c r="J1131" s="134">
        <v>0.41388888888888892</v>
      </c>
      <c r="K1131" s="135">
        <v>1.5</v>
      </c>
      <c r="L1131" s="75">
        <v>1</v>
      </c>
      <c r="M1131" s="75" t="s">
        <v>637</v>
      </c>
      <c r="N1131" s="75" t="s">
        <v>146</v>
      </c>
      <c r="O1131" s="75"/>
    </row>
    <row r="1132" spans="9:15">
      <c r="I1132" s="133">
        <v>46099</v>
      </c>
      <c r="J1132" s="134">
        <v>0.41597222222222219</v>
      </c>
      <c r="K1132" s="135">
        <v>1.7</v>
      </c>
      <c r="L1132" s="75">
        <v>1</v>
      </c>
      <c r="M1132" s="75" t="s">
        <v>637</v>
      </c>
      <c r="N1132" s="75" t="s">
        <v>146</v>
      </c>
      <c r="O1132" s="75"/>
    </row>
    <row r="1133" spans="9:15">
      <c r="I1133" s="133">
        <v>46099</v>
      </c>
      <c r="J1133" s="134">
        <v>0.41736111111111113</v>
      </c>
      <c r="K1133" s="135">
        <v>2.9</v>
      </c>
      <c r="L1133" s="75">
        <v>1</v>
      </c>
      <c r="M1133" s="75" t="s">
        <v>637</v>
      </c>
      <c r="N1133" s="75" t="s">
        <v>146</v>
      </c>
      <c r="O1133" s="75"/>
    </row>
    <row r="1134" spans="9:15">
      <c r="I1134" s="133">
        <v>46099</v>
      </c>
      <c r="J1134" s="134">
        <v>0.41944444444444451</v>
      </c>
      <c r="K1134" s="135">
        <v>1.7</v>
      </c>
      <c r="L1134" s="75">
        <v>1</v>
      </c>
      <c r="M1134" s="75" t="s">
        <v>637</v>
      </c>
      <c r="N1134" s="75" t="s">
        <v>146</v>
      </c>
      <c r="O1134" s="75"/>
    </row>
    <row r="1135" spans="9:15">
      <c r="I1135" s="133">
        <v>46099</v>
      </c>
      <c r="J1135" s="134">
        <v>0.42222222222222222</v>
      </c>
      <c r="K1135" s="135">
        <v>1.5</v>
      </c>
      <c r="L1135" s="75">
        <v>1</v>
      </c>
      <c r="M1135" s="75" t="s">
        <v>637</v>
      </c>
      <c r="N1135" s="75" t="s">
        <v>146</v>
      </c>
      <c r="O1135" s="75"/>
    </row>
    <row r="1136" spans="9:15">
      <c r="I1136" s="133">
        <v>46099</v>
      </c>
      <c r="J1136" s="134">
        <v>0.43888888888888888</v>
      </c>
      <c r="K1136" s="135">
        <v>1.4</v>
      </c>
      <c r="L1136" s="75">
        <v>1</v>
      </c>
      <c r="M1136" s="75" t="s">
        <v>637</v>
      </c>
      <c r="N1136" s="75" t="s">
        <v>146</v>
      </c>
      <c r="O1136" s="75"/>
    </row>
    <row r="1137" spans="9:15">
      <c r="I1137" s="133">
        <v>46099</v>
      </c>
      <c r="J1137" s="134">
        <v>0.44861111111111113</v>
      </c>
      <c r="K1137" s="135">
        <v>5.4</v>
      </c>
      <c r="L1137" s="75">
        <v>1</v>
      </c>
      <c r="M1137" s="75" t="s">
        <v>637</v>
      </c>
      <c r="N1137" s="75" t="s">
        <v>146</v>
      </c>
      <c r="O1137" s="75"/>
    </row>
    <row r="1138" spans="9:15">
      <c r="I1138" s="133">
        <v>46099</v>
      </c>
      <c r="J1138" s="134">
        <v>0.4513888888888889</v>
      </c>
      <c r="K1138" s="135">
        <v>8.25</v>
      </c>
      <c r="L1138" s="75">
        <v>1</v>
      </c>
      <c r="M1138" s="75" t="s">
        <v>637</v>
      </c>
      <c r="N1138" s="75" t="s">
        <v>146</v>
      </c>
      <c r="O1138" s="75"/>
    </row>
    <row r="1139" spans="9:15">
      <c r="I1139" s="133">
        <v>46099</v>
      </c>
      <c r="J1139" s="134">
        <v>0.46111111111111108</v>
      </c>
      <c r="K1139" s="135">
        <v>1.7</v>
      </c>
      <c r="L1139" s="75">
        <v>1</v>
      </c>
      <c r="M1139" s="75" t="s">
        <v>637</v>
      </c>
      <c r="N1139" s="75" t="s">
        <v>146</v>
      </c>
      <c r="O1139" s="75"/>
    </row>
    <row r="1140" spans="9:15">
      <c r="I1140" s="133">
        <v>46099</v>
      </c>
      <c r="J1140" s="134">
        <v>0.46458333333333329</v>
      </c>
      <c r="K1140" s="135">
        <v>8.9499999999999993</v>
      </c>
      <c r="L1140" s="75">
        <v>1</v>
      </c>
      <c r="M1140" s="75" t="s">
        <v>637</v>
      </c>
      <c r="N1140" s="75" t="s">
        <v>146</v>
      </c>
      <c r="O1140" s="75"/>
    </row>
    <row r="1141" spans="9:15">
      <c r="I1141" s="133">
        <v>46099</v>
      </c>
      <c r="J1141" s="134">
        <v>0.49375000000000002</v>
      </c>
      <c r="K1141" s="135">
        <v>1.75</v>
      </c>
      <c r="L1141" s="75">
        <v>1</v>
      </c>
      <c r="M1141" s="75" t="s">
        <v>637</v>
      </c>
      <c r="N1141" s="75" t="s">
        <v>146</v>
      </c>
      <c r="O1141" s="75"/>
    </row>
    <row r="1142" spans="9:15">
      <c r="I1142" s="133">
        <v>46099</v>
      </c>
      <c r="J1142" s="134">
        <v>0.51875000000000004</v>
      </c>
      <c r="K1142" s="135">
        <v>11</v>
      </c>
      <c r="L1142" s="75">
        <v>2</v>
      </c>
      <c r="M1142" s="75" t="s">
        <v>637</v>
      </c>
      <c r="N1142" s="75" t="s">
        <v>494</v>
      </c>
      <c r="O1142" s="75"/>
    </row>
    <row r="1143" spans="9:15">
      <c r="I1143" s="133">
        <v>46099</v>
      </c>
      <c r="J1143" s="134">
        <v>0.60763888888888884</v>
      </c>
      <c r="K1143" s="135">
        <v>24.6</v>
      </c>
      <c r="L1143" s="75">
        <v>2</v>
      </c>
      <c r="M1143" s="75" t="s">
        <v>637</v>
      </c>
      <c r="N1143" s="75" t="s">
        <v>494</v>
      </c>
      <c r="O1143" s="75"/>
    </row>
    <row r="1144" spans="9:15">
      <c r="I1144" s="133">
        <v>46099</v>
      </c>
      <c r="J1144" s="134">
        <v>0.61388888888888893</v>
      </c>
      <c r="K1144" s="135">
        <v>2.5499999999999998</v>
      </c>
      <c r="L1144" s="75">
        <v>1</v>
      </c>
      <c r="M1144" s="75" t="s">
        <v>637</v>
      </c>
      <c r="N1144" s="75" t="s">
        <v>494</v>
      </c>
      <c r="O1144" s="75"/>
    </row>
    <row r="1145" spans="9:15">
      <c r="I1145" s="133">
        <v>46099</v>
      </c>
      <c r="J1145" s="134">
        <v>0.62152777777777779</v>
      </c>
      <c r="K1145" s="135">
        <v>1.7</v>
      </c>
      <c r="L1145" s="75">
        <v>1</v>
      </c>
      <c r="M1145" s="75" t="s">
        <v>637</v>
      </c>
      <c r="N1145" s="75" t="s">
        <v>494</v>
      </c>
      <c r="O1145" s="75"/>
    </row>
    <row r="1146" spans="9:15">
      <c r="I1146" s="133">
        <v>46099</v>
      </c>
      <c r="J1146" s="134">
        <v>0.63472222222222219</v>
      </c>
      <c r="K1146" s="135">
        <v>1.7</v>
      </c>
      <c r="L1146" s="75">
        <v>1</v>
      </c>
      <c r="M1146" s="75" t="s">
        <v>637</v>
      </c>
      <c r="N1146" s="75" t="s">
        <v>494</v>
      </c>
      <c r="O1146" s="75"/>
    </row>
    <row r="1147" spans="9:15">
      <c r="I1147" s="133">
        <v>46099</v>
      </c>
      <c r="J1147" s="134">
        <v>0.66388888888888886</v>
      </c>
      <c r="K1147" s="135">
        <v>34.299999999999997</v>
      </c>
      <c r="L1147" s="75">
        <v>1</v>
      </c>
      <c r="M1147" s="75" t="s">
        <v>637</v>
      </c>
      <c r="N1147" s="75" t="s">
        <v>494</v>
      </c>
      <c r="O1147" s="75"/>
    </row>
    <row r="1148" spans="9:15">
      <c r="I1148" s="133">
        <v>46099</v>
      </c>
      <c r="J1148" s="134">
        <v>0.80277777777777781</v>
      </c>
      <c r="K1148" s="135">
        <v>5.15</v>
      </c>
      <c r="L1148" s="75">
        <v>3</v>
      </c>
      <c r="M1148" s="75" t="s">
        <v>637</v>
      </c>
      <c r="N1148" s="75" t="s">
        <v>497</v>
      </c>
      <c r="O1148" s="75"/>
    </row>
    <row r="1149" spans="9:15">
      <c r="I1149" s="133">
        <v>46099</v>
      </c>
      <c r="J1149" s="134">
        <v>0.87777777777777777</v>
      </c>
      <c r="K1149" s="135">
        <v>42.5</v>
      </c>
      <c r="L1149" s="75">
        <v>2</v>
      </c>
      <c r="M1149" s="75" t="s">
        <v>637</v>
      </c>
      <c r="N1149" s="75" t="s">
        <v>497</v>
      </c>
      <c r="O1149" s="75"/>
    </row>
    <row r="1150" spans="9:15">
      <c r="I1150" s="133">
        <v>46099</v>
      </c>
      <c r="J1150" s="134">
        <v>0.87847222222222221</v>
      </c>
      <c r="K1150" s="135">
        <v>6.75</v>
      </c>
      <c r="L1150" s="75">
        <v>3</v>
      </c>
      <c r="M1150" s="75" t="s">
        <v>637</v>
      </c>
      <c r="N1150" s="75" t="s">
        <v>497</v>
      </c>
      <c r="O1150" s="75"/>
    </row>
    <row r="1151" spans="9:15">
      <c r="I1151" s="133">
        <v>46099</v>
      </c>
      <c r="J1151" s="134">
        <v>0.89861111111111114</v>
      </c>
      <c r="K1151" s="135">
        <v>3.35</v>
      </c>
      <c r="L1151" s="75">
        <v>1</v>
      </c>
      <c r="M1151" s="75" t="s">
        <v>637</v>
      </c>
      <c r="N1151" s="75" t="s">
        <v>497</v>
      </c>
      <c r="O1151" s="75"/>
    </row>
    <row r="1152" spans="9:15">
      <c r="I1152" s="133">
        <v>46099</v>
      </c>
      <c r="J1152" s="134">
        <v>0.92847222222222225</v>
      </c>
      <c r="K1152" s="135">
        <v>50.8</v>
      </c>
      <c r="L1152" s="75">
        <v>2</v>
      </c>
      <c r="M1152" s="75" t="s">
        <v>637</v>
      </c>
      <c r="N1152" s="75" t="s">
        <v>497</v>
      </c>
      <c r="O1152" s="75"/>
    </row>
    <row r="1153" spans="9:15">
      <c r="I1153" s="133">
        <v>46099</v>
      </c>
      <c r="J1153" s="134">
        <v>0.5</v>
      </c>
      <c r="K1153" s="135">
        <v>38.5</v>
      </c>
      <c r="L1153" s="75">
        <v>2</v>
      </c>
      <c r="M1153" s="75" t="s">
        <v>637</v>
      </c>
      <c r="N1153" s="75" t="s">
        <v>497</v>
      </c>
      <c r="O1153" s="75"/>
    </row>
    <row r="1154" spans="9:15">
      <c r="I1154" s="133">
        <v>46100</v>
      </c>
      <c r="J1154" s="134">
        <v>0.29791666666666672</v>
      </c>
      <c r="K1154" s="135">
        <v>1.95</v>
      </c>
      <c r="L1154" s="75">
        <v>1</v>
      </c>
      <c r="M1154" s="75" t="s">
        <v>638</v>
      </c>
      <c r="N1154" s="75" t="s">
        <v>146</v>
      </c>
      <c r="O1154" s="75"/>
    </row>
    <row r="1155" spans="9:15">
      <c r="I1155" s="133">
        <v>46100</v>
      </c>
      <c r="J1155" s="134">
        <v>0.34305555555555561</v>
      </c>
      <c r="K1155" s="135">
        <v>1.5</v>
      </c>
      <c r="L1155" s="75">
        <v>1</v>
      </c>
      <c r="M1155" s="75" t="s">
        <v>638</v>
      </c>
      <c r="N1155" s="75" t="s">
        <v>146</v>
      </c>
      <c r="O1155" s="75"/>
    </row>
    <row r="1156" spans="9:15">
      <c r="I1156" s="133">
        <v>46100</v>
      </c>
      <c r="J1156" s="134">
        <v>0.35347222222222219</v>
      </c>
      <c r="K1156" s="135">
        <v>1.5</v>
      </c>
      <c r="L1156" s="75">
        <v>1</v>
      </c>
      <c r="M1156" s="75" t="s">
        <v>638</v>
      </c>
      <c r="N1156" s="75" t="s">
        <v>146</v>
      </c>
      <c r="O1156" s="75"/>
    </row>
    <row r="1157" spans="9:15">
      <c r="I1157" s="133">
        <v>46100</v>
      </c>
      <c r="J1157" s="134">
        <v>0.41597222222222219</v>
      </c>
      <c r="K1157" s="135">
        <v>1.7</v>
      </c>
      <c r="L1157" s="75">
        <v>1</v>
      </c>
      <c r="M1157" s="75" t="s">
        <v>638</v>
      </c>
      <c r="N1157" s="75" t="s">
        <v>146</v>
      </c>
      <c r="O1157" s="75"/>
    </row>
    <row r="1158" spans="9:15">
      <c r="I1158" s="133">
        <v>46100</v>
      </c>
      <c r="J1158" s="134">
        <v>0.41597222222222219</v>
      </c>
      <c r="K1158" s="135">
        <v>3.2</v>
      </c>
      <c r="L1158" s="75">
        <v>1</v>
      </c>
      <c r="M1158" s="75" t="s">
        <v>638</v>
      </c>
      <c r="N1158" s="75" t="s">
        <v>146</v>
      </c>
      <c r="O1158" s="75"/>
    </row>
    <row r="1159" spans="9:15">
      <c r="I1159" s="133">
        <v>46100</v>
      </c>
      <c r="J1159" s="134">
        <v>0.44513888888888892</v>
      </c>
      <c r="K1159" s="135">
        <v>10.6</v>
      </c>
      <c r="L1159" s="75">
        <v>1</v>
      </c>
      <c r="M1159" s="75" t="s">
        <v>638</v>
      </c>
      <c r="N1159" s="75" t="s">
        <v>146</v>
      </c>
      <c r="O1159" s="75"/>
    </row>
    <row r="1160" spans="9:15">
      <c r="I1160" s="133">
        <v>46100</v>
      </c>
      <c r="J1160" s="134">
        <v>0.44930555555555562</v>
      </c>
      <c r="K1160" s="135">
        <v>11.15</v>
      </c>
      <c r="L1160" s="75">
        <v>1</v>
      </c>
      <c r="M1160" s="75" t="s">
        <v>638</v>
      </c>
      <c r="N1160" s="75" t="s">
        <v>146</v>
      </c>
      <c r="O1160" s="75"/>
    </row>
    <row r="1161" spans="9:15">
      <c r="I1161" s="133">
        <v>46100</v>
      </c>
      <c r="J1161" s="134">
        <v>0.4597222222222222</v>
      </c>
      <c r="K1161" s="135">
        <v>3.95</v>
      </c>
      <c r="L1161" s="75">
        <v>1</v>
      </c>
      <c r="M1161" s="75" t="s">
        <v>638</v>
      </c>
      <c r="N1161" s="75" t="s">
        <v>146</v>
      </c>
      <c r="O1161" s="75"/>
    </row>
    <row r="1162" spans="9:15">
      <c r="I1162" s="133">
        <v>46100</v>
      </c>
      <c r="J1162" s="134">
        <v>0.47013888888888888</v>
      </c>
      <c r="K1162" s="135">
        <v>4.5999999999999996</v>
      </c>
      <c r="L1162" s="75">
        <v>1</v>
      </c>
      <c r="M1162" s="75" t="s">
        <v>638</v>
      </c>
      <c r="N1162" s="75" t="s">
        <v>146</v>
      </c>
      <c r="O1162" s="75"/>
    </row>
    <row r="1163" spans="9:15">
      <c r="I1163" s="133">
        <v>46100</v>
      </c>
      <c r="J1163" s="134">
        <v>0.48472222222222222</v>
      </c>
      <c r="K1163" s="135">
        <v>1.4</v>
      </c>
      <c r="L1163" s="75">
        <v>1</v>
      </c>
      <c r="M1163" s="75" t="s">
        <v>638</v>
      </c>
      <c r="N1163" s="75" t="s">
        <v>146</v>
      </c>
      <c r="O1163" s="75"/>
    </row>
    <row r="1164" spans="9:15">
      <c r="I1164" s="133">
        <v>46100</v>
      </c>
      <c r="J1164" s="134">
        <v>0.48819444444444438</v>
      </c>
      <c r="K1164" s="135">
        <v>3</v>
      </c>
      <c r="L1164" s="75">
        <v>1</v>
      </c>
      <c r="M1164" s="75" t="s">
        <v>638</v>
      </c>
      <c r="N1164" s="75" t="s">
        <v>146</v>
      </c>
      <c r="O1164" s="75"/>
    </row>
    <row r="1165" spans="9:15">
      <c r="I1165" s="133">
        <v>46100</v>
      </c>
      <c r="J1165" s="134">
        <v>0.49861111111111112</v>
      </c>
      <c r="K1165" s="135">
        <v>21.55</v>
      </c>
      <c r="L1165" s="75">
        <v>2</v>
      </c>
      <c r="M1165" s="75" t="s">
        <v>638</v>
      </c>
      <c r="N1165" s="75" t="s">
        <v>146</v>
      </c>
      <c r="O1165" s="75"/>
    </row>
    <row r="1166" spans="9:15">
      <c r="I1166" s="133">
        <v>46100</v>
      </c>
      <c r="J1166" s="134">
        <v>0.50347222222222221</v>
      </c>
      <c r="K1166" s="135">
        <v>3</v>
      </c>
      <c r="L1166" s="75">
        <v>1</v>
      </c>
      <c r="M1166" s="75" t="s">
        <v>638</v>
      </c>
      <c r="N1166" s="75" t="s">
        <v>494</v>
      </c>
      <c r="O1166" s="75"/>
    </row>
    <row r="1167" spans="9:15">
      <c r="I1167" s="133">
        <v>46100</v>
      </c>
      <c r="J1167" s="134">
        <v>0.51527777777777772</v>
      </c>
      <c r="K1167" s="135">
        <v>12.25</v>
      </c>
      <c r="L1167" s="75">
        <v>2</v>
      </c>
      <c r="M1167" s="75" t="s">
        <v>638</v>
      </c>
      <c r="N1167" s="75" t="s">
        <v>494</v>
      </c>
      <c r="O1167" s="75"/>
    </row>
    <row r="1168" spans="9:15">
      <c r="I1168" s="133">
        <v>46100</v>
      </c>
      <c r="J1168" s="134">
        <v>0.55000000000000004</v>
      </c>
      <c r="K1168" s="135">
        <v>2.5</v>
      </c>
      <c r="L1168" s="75">
        <v>1</v>
      </c>
      <c r="M1168" s="75" t="s">
        <v>638</v>
      </c>
      <c r="N1168" s="75" t="s">
        <v>494</v>
      </c>
      <c r="O1168" s="75"/>
    </row>
    <row r="1169" spans="9:15">
      <c r="I1169" s="133">
        <v>46100</v>
      </c>
      <c r="J1169" s="134">
        <v>0.55972222222222223</v>
      </c>
      <c r="K1169" s="135">
        <v>3.75</v>
      </c>
      <c r="L1169" s="75">
        <v>1</v>
      </c>
      <c r="M1169" s="75" t="s">
        <v>638</v>
      </c>
      <c r="N1169" s="75" t="s">
        <v>494</v>
      </c>
      <c r="O1169" s="75"/>
    </row>
    <row r="1170" spans="9:15">
      <c r="I1170" s="133">
        <v>46100</v>
      </c>
      <c r="J1170" s="134">
        <v>0.61041666666666672</v>
      </c>
      <c r="K1170" s="135">
        <v>45.95</v>
      </c>
      <c r="L1170" s="75">
        <v>2</v>
      </c>
      <c r="M1170" s="75" t="s">
        <v>638</v>
      </c>
      <c r="N1170" s="75" t="s">
        <v>494</v>
      </c>
      <c r="O1170" s="75"/>
    </row>
    <row r="1171" spans="9:15">
      <c r="I1171" s="133">
        <v>46100</v>
      </c>
      <c r="J1171" s="134">
        <v>0.62777777777777777</v>
      </c>
      <c r="K1171" s="135">
        <v>29.8</v>
      </c>
      <c r="L1171" s="75">
        <v>2</v>
      </c>
      <c r="M1171" s="75" t="s">
        <v>638</v>
      </c>
      <c r="N1171" s="75" t="s">
        <v>494</v>
      </c>
      <c r="O1171" s="75"/>
    </row>
    <row r="1172" spans="9:15">
      <c r="I1172" s="133">
        <v>46101</v>
      </c>
      <c r="J1172" s="134">
        <v>0.29791666666666672</v>
      </c>
      <c r="K1172" s="135">
        <v>3.4</v>
      </c>
      <c r="L1172" s="75">
        <v>1</v>
      </c>
      <c r="M1172" s="75" t="s">
        <v>633</v>
      </c>
      <c r="N1172" s="75" t="s">
        <v>146</v>
      </c>
      <c r="O1172" s="75"/>
    </row>
    <row r="1173" spans="9:15">
      <c r="I1173" s="133">
        <v>46101</v>
      </c>
      <c r="J1173" s="134">
        <v>0.30069444444444438</v>
      </c>
      <c r="K1173" s="135">
        <v>7.9</v>
      </c>
      <c r="L1173" s="75">
        <v>2</v>
      </c>
      <c r="M1173" s="75" t="s">
        <v>633</v>
      </c>
      <c r="N1173" s="75" t="s">
        <v>146</v>
      </c>
      <c r="O1173" s="75"/>
    </row>
    <row r="1174" spans="9:15">
      <c r="I1174" s="133">
        <v>46101</v>
      </c>
      <c r="J1174" s="134">
        <v>0.31388888888888888</v>
      </c>
      <c r="K1174" s="135">
        <v>3.2</v>
      </c>
      <c r="L1174" s="75">
        <v>1</v>
      </c>
      <c r="M1174" s="75" t="s">
        <v>633</v>
      </c>
      <c r="N1174" s="75" t="s">
        <v>146</v>
      </c>
      <c r="O1174" s="75"/>
    </row>
    <row r="1175" spans="9:15">
      <c r="I1175" s="133">
        <v>46101</v>
      </c>
      <c r="J1175" s="134">
        <v>0.33194444444444438</v>
      </c>
      <c r="K1175" s="135">
        <v>1.5</v>
      </c>
      <c r="L1175" s="75">
        <v>1</v>
      </c>
      <c r="M1175" s="75" t="s">
        <v>633</v>
      </c>
      <c r="N1175" s="75" t="s">
        <v>146</v>
      </c>
      <c r="O1175" s="75"/>
    </row>
    <row r="1176" spans="9:15">
      <c r="I1176" s="133">
        <v>46101</v>
      </c>
      <c r="J1176" s="134">
        <v>0.34027777777777779</v>
      </c>
      <c r="K1176" s="135">
        <v>3.4</v>
      </c>
      <c r="L1176" s="75">
        <v>2</v>
      </c>
      <c r="M1176" s="75" t="s">
        <v>633</v>
      </c>
      <c r="N1176" s="75" t="s">
        <v>146</v>
      </c>
      <c r="O1176" s="75"/>
    </row>
    <row r="1177" spans="9:15">
      <c r="I1177" s="133">
        <v>46101</v>
      </c>
      <c r="J1177" s="134">
        <v>0.37222222222222218</v>
      </c>
      <c r="K1177" s="135">
        <v>2.5499999999999998</v>
      </c>
      <c r="L1177" s="75">
        <v>1</v>
      </c>
      <c r="M1177" s="75" t="s">
        <v>633</v>
      </c>
      <c r="N1177" s="75" t="s">
        <v>146</v>
      </c>
      <c r="O1177" s="75"/>
    </row>
    <row r="1178" spans="9:15">
      <c r="I1178" s="133">
        <v>46101</v>
      </c>
      <c r="J1178" s="134">
        <v>0.37291666666666667</v>
      </c>
      <c r="K1178" s="135">
        <v>1.5</v>
      </c>
      <c r="L1178" s="75">
        <v>1</v>
      </c>
      <c r="M1178" s="75" t="s">
        <v>633</v>
      </c>
      <c r="N1178" s="75" t="s">
        <v>146</v>
      </c>
      <c r="O1178" s="75"/>
    </row>
    <row r="1179" spans="9:15">
      <c r="I1179" s="133">
        <v>46101</v>
      </c>
      <c r="J1179" s="134">
        <v>0.38472222222222219</v>
      </c>
      <c r="K1179" s="135">
        <v>1.5</v>
      </c>
      <c r="L1179" s="75">
        <v>1</v>
      </c>
      <c r="M1179" s="75" t="s">
        <v>633</v>
      </c>
      <c r="N1179" s="75" t="s">
        <v>146</v>
      </c>
      <c r="O1179" s="75"/>
    </row>
    <row r="1180" spans="9:15">
      <c r="I1180" s="133">
        <v>46101</v>
      </c>
      <c r="J1180" s="134">
        <v>0.38958333333333328</v>
      </c>
      <c r="K1180" s="135">
        <v>1.4</v>
      </c>
      <c r="L1180" s="75">
        <v>1</v>
      </c>
      <c r="M1180" s="75" t="s">
        <v>633</v>
      </c>
      <c r="N1180" s="75" t="s">
        <v>146</v>
      </c>
      <c r="O1180" s="75"/>
    </row>
    <row r="1181" spans="9:15">
      <c r="I1181" s="133">
        <v>46101</v>
      </c>
      <c r="J1181" s="134">
        <v>0.40208333333333329</v>
      </c>
      <c r="K1181" s="135">
        <v>2.15</v>
      </c>
      <c r="L1181" s="75">
        <v>1</v>
      </c>
      <c r="M1181" s="75" t="s">
        <v>633</v>
      </c>
      <c r="N1181" s="75" t="s">
        <v>146</v>
      </c>
      <c r="O1181" s="75"/>
    </row>
    <row r="1182" spans="9:15">
      <c r="I1182" s="133">
        <v>46101</v>
      </c>
      <c r="J1182" s="134">
        <v>0.43611111111111112</v>
      </c>
      <c r="K1182" s="135">
        <v>3</v>
      </c>
      <c r="L1182" s="75">
        <v>2</v>
      </c>
      <c r="M1182" s="75" t="s">
        <v>633</v>
      </c>
      <c r="N1182" s="75" t="s">
        <v>146</v>
      </c>
      <c r="O1182" s="75"/>
    </row>
    <row r="1183" spans="9:15">
      <c r="I1183" s="133">
        <v>46101</v>
      </c>
      <c r="J1183" s="134">
        <v>0.43611111111111112</v>
      </c>
      <c r="K1183" s="135">
        <v>1.5</v>
      </c>
      <c r="L1183" s="75">
        <v>1</v>
      </c>
      <c r="M1183" s="75" t="s">
        <v>633</v>
      </c>
      <c r="N1183" s="75" t="s">
        <v>146</v>
      </c>
      <c r="O1183" s="75"/>
    </row>
    <row r="1184" spans="9:15">
      <c r="I1184" s="133">
        <v>46101</v>
      </c>
      <c r="J1184" s="134">
        <v>0.44097222222222221</v>
      </c>
      <c r="K1184" s="135">
        <v>3.4</v>
      </c>
      <c r="L1184" s="75">
        <v>2</v>
      </c>
      <c r="M1184" s="75" t="s">
        <v>633</v>
      </c>
      <c r="N1184" s="75" t="s">
        <v>146</v>
      </c>
      <c r="O1184" s="75"/>
    </row>
    <row r="1185" spans="9:15">
      <c r="I1185" s="133">
        <v>46101</v>
      </c>
      <c r="J1185" s="134">
        <v>0.44861111111111113</v>
      </c>
      <c r="K1185" s="135">
        <v>15.4</v>
      </c>
      <c r="L1185" s="75">
        <v>2</v>
      </c>
      <c r="M1185" s="75" t="s">
        <v>633</v>
      </c>
      <c r="N1185" s="75" t="s">
        <v>146</v>
      </c>
      <c r="O1185" s="75"/>
    </row>
    <row r="1186" spans="9:15">
      <c r="I1186" s="133">
        <v>46101</v>
      </c>
      <c r="J1186" s="134">
        <v>0.4513888888888889</v>
      </c>
      <c r="K1186" s="135">
        <v>2.7</v>
      </c>
      <c r="L1186" s="75">
        <v>1</v>
      </c>
      <c r="M1186" s="75" t="s">
        <v>633</v>
      </c>
      <c r="N1186" s="75" t="s">
        <v>146</v>
      </c>
      <c r="O1186" s="75"/>
    </row>
    <row r="1187" spans="9:15">
      <c r="I1187" s="133">
        <v>46101</v>
      </c>
      <c r="J1187" s="134">
        <v>0.45763888888888887</v>
      </c>
      <c r="K1187" s="135">
        <v>1.85</v>
      </c>
      <c r="L1187" s="75">
        <v>1</v>
      </c>
      <c r="M1187" s="75" t="s">
        <v>633</v>
      </c>
      <c r="N1187" s="75" t="s">
        <v>146</v>
      </c>
      <c r="O1187" s="75"/>
    </row>
    <row r="1188" spans="9:15">
      <c r="I1188" s="133">
        <v>46101</v>
      </c>
      <c r="J1188" s="134">
        <v>0.46388888888888891</v>
      </c>
      <c r="K1188" s="135">
        <v>14.2</v>
      </c>
      <c r="L1188" s="75">
        <v>2</v>
      </c>
      <c r="M1188" s="75" t="s">
        <v>633</v>
      </c>
      <c r="N1188" s="75" t="s">
        <v>146</v>
      </c>
      <c r="O1188" s="75"/>
    </row>
    <row r="1189" spans="9:15">
      <c r="I1189" s="133">
        <v>46101</v>
      </c>
      <c r="J1189" s="134">
        <v>0.46388888888888891</v>
      </c>
      <c r="K1189" s="135">
        <v>14.2</v>
      </c>
      <c r="L1189" s="75">
        <v>2</v>
      </c>
      <c r="M1189" s="75" t="s">
        <v>633</v>
      </c>
      <c r="N1189" s="75" t="s">
        <v>146</v>
      </c>
      <c r="O1189" s="75"/>
    </row>
    <row r="1190" spans="9:15">
      <c r="I1190" s="133">
        <v>46101</v>
      </c>
      <c r="J1190" s="134">
        <v>0.47152777777777782</v>
      </c>
      <c r="K1190" s="135">
        <v>1.7</v>
      </c>
      <c r="L1190" s="75">
        <v>1</v>
      </c>
      <c r="M1190" s="75" t="s">
        <v>633</v>
      </c>
      <c r="N1190" s="75" t="s">
        <v>146</v>
      </c>
      <c r="O1190" s="75"/>
    </row>
    <row r="1191" spans="9:15">
      <c r="I1191" s="133">
        <v>46101</v>
      </c>
      <c r="J1191" s="134">
        <v>0.48125000000000001</v>
      </c>
      <c r="K1191" s="135">
        <v>3.95</v>
      </c>
      <c r="L1191" s="75">
        <v>1</v>
      </c>
      <c r="M1191" s="75" t="s">
        <v>633</v>
      </c>
      <c r="N1191" s="75" t="s">
        <v>146</v>
      </c>
      <c r="O1191" s="75"/>
    </row>
    <row r="1192" spans="9:15">
      <c r="I1192" s="133">
        <v>46101</v>
      </c>
      <c r="J1192" s="134">
        <v>0.49027777777777781</v>
      </c>
      <c r="K1192" s="135">
        <v>24.8</v>
      </c>
      <c r="L1192" s="75">
        <v>2</v>
      </c>
      <c r="M1192" s="75" t="s">
        <v>633</v>
      </c>
      <c r="N1192" s="75" t="s">
        <v>146</v>
      </c>
      <c r="O1192" s="75"/>
    </row>
    <row r="1193" spans="9:15">
      <c r="I1193" s="133">
        <v>46101</v>
      </c>
      <c r="J1193" s="134">
        <v>0.51597222222222228</v>
      </c>
      <c r="K1193" s="135">
        <v>3.35</v>
      </c>
      <c r="L1193" s="75">
        <v>1</v>
      </c>
      <c r="M1193" s="75" t="s">
        <v>633</v>
      </c>
      <c r="N1193" s="75" t="s">
        <v>494</v>
      </c>
      <c r="O1193" s="75"/>
    </row>
    <row r="1194" spans="9:15">
      <c r="I1194" s="133">
        <v>46101</v>
      </c>
      <c r="J1194" s="134">
        <v>0.51736111111111116</v>
      </c>
      <c r="K1194" s="135">
        <v>4.3</v>
      </c>
      <c r="L1194" s="75">
        <v>2</v>
      </c>
      <c r="M1194" s="75" t="s">
        <v>633</v>
      </c>
      <c r="N1194" s="75" t="s">
        <v>494</v>
      </c>
      <c r="O1194" s="75"/>
    </row>
    <row r="1195" spans="9:15">
      <c r="I1195" s="133">
        <v>46101</v>
      </c>
      <c r="J1195" s="134">
        <v>0.59375</v>
      </c>
      <c r="K1195" s="135">
        <v>2.5</v>
      </c>
      <c r="L1195" s="75">
        <v>1</v>
      </c>
      <c r="M1195" s="75" t="s">
        <v>633</v>
      </c>
      <c r="N1195" s="75" t="s">
        <v>494</v>
      </c>
      <c r="O1195" s="75"/>
    </row>
    <row r="1196" spans="9:15">
      <c r="I1196" s="133">
        <v>46101</v>
      </c>
      <c r="J1196" s="134">
        <v>0.59930555555555554</v>
      </c>
      <c r="K1196" s="135">
        <v>16.45</v>
      </c>
      <c r="L1196" s="75">
        <v>1</v>
      </c>
      <c r="M1196" s="75" t="s">
        <v>633</v>
      </c>
      <c r="N1196" s="75" t="s">
        <v>494</v>
      </c>
      <c r="O1196" s="75"/>
    </row>
    <row r="1197" spans="9:15">
      <c r="I1197" s="133">
        <v>46101</v>
      </c>
      <c r="J1197" s="134">
        <v>0.6</v>
      </c>
      <c r="K1197" s="135">
        <v>16.55</v>
      </c>
      <c r="L1197" s="75">
        <v>1</v>
      </c>
      <c r="M1197" s="75" t="s">
        <v>633</v>
      </c>
      <c r="N1197" s="75" t="s">
        <v>494</v>
      </c>
      <c r="O1197" s="75"/>
    </row>
    <row r="1198" spans="9:15">
      <c r="I1198" s="133">
        <v>46101</v>
      </c>
      <c r="J1198" s="134">
        <v>0.61388888888888893</v>
      </c>
      <c r="K1198" s="135">
        <v>69.75</v>
      </c>
      <c r="L1198" s="75">
        <v>4</v>
      </c>
      <c r="M1198" s="75" t="s">
        <v>633</v>
      </c>
      <c r="N1198" s="75" t="s">
        <v>494</v>
      </c>
      <c r="O1198" s="75"/>
    </row>
    <row r="1199" spans="9:15">
      <c r="I1199" s="133">
        <v>46101</v>
      </c>
      <c r="J1199" s="134">
        <v>0.62708333333333333</v>
      </c>
      <c r="K1199" s="135">
        <v>54.85</v>
      </c>
      <c r="L1199" s="75">
        <v>2</v>
      </c>
      <c r="M1199" s="75" t="s">
        <v>633</v>
      </c>
      <c r="N1199" s="75" t="s">
        <v>494</v>
      </c>
      <c r="O1199" s="75"/>
    </row>
    <row r="1200" spans="9:15">
      <c r="I1200" s="133">
        <v>46101</v>
      </c>
      <c r="J1200" s="134">
        <v>0.63472222222222219</v>
      </c>
      <c r="K1200" s="135">
        <v>13.15</v>
      </c>
      <c r="L1200" s="75">
        <v>1</v>
      </c>
      <c r="M1200" s="75" t="s">
        <v>633</v>
      </c>
      <c r="N1200" s="75" t="s">
        <v>494</v>
      </c>
      <c r="O1200" s="75"/>
    </row>
    <row r="1201" spans="9:15">
      <c r="I1201" s="133">
        <v>46101</v>
      </c>
      <c r="J1201" s="134">
        <v>0.63611111111111107</v>
      </c>
      <c r="K1201" s="135">
        <v>35.65</v>
      </c>
      <c r="L1201" s="75">
        <v>2</v>
      </c>
      <c r="M1201" s="75" t="s">
        <v>633</v>
      </c>
      <c r="N1201" s="75" t="s">
        <v>494</v>
      </c>
      <c r="O1201" s="75"/>
    </row>
    <row r="1202" spans="9:15">
      <c r="I1202" s="133">
        <v>46101</v>
      </c>
      <c r="J1202" s="134">
        <v>0.67152777777777772</v>
      </c>
      <c r="K1202" s="135">
        <v>38.75</v>
      </c>
      <c r="L1202" s="75">
        <v>2</v>
      </c>
      <c r="M1202" s="75" t="s">
        <v>633</v>
      </c>
      <c r="N1202" s="75" t="s">
        <v>494</v>
      </c>
      <c r="O1202" s="75"/>
    </row>
    <row r="1203" spans="9:15">
      <c r="I1203" s="133">
        <v>46101</v>
      </c>
      <c r="J1203" s="134">
        <v>0.84513888888888888</v>
      </c>
      <c r="K1203" s="135">
        <v>41.5</v>
      </c>
      <c r="L1203" s="75">
        <v>2</v>
      </c>
      <c r="M1203" s="75" t="s">
        <v>633</v>
      </c>
      <c r="N1203" s="75" t="s">
        <v>497</v>
      </c>
      <c r="O1203" s="75"/>
    </row>
    <row r="1204" spans="9:15">
      <c r="I1204" s="133">
        <v>46101</v>
      </c>
      <c r="J1204" s="134">
        <v>0.95208333333333328</v>
      </c>
      <c r="K1204" s="135">
        <v>38.5</v>
      </c>
      <c r="L1204" s="75">
        <v>2</v>
      </c>
      <c r="M1204" s="75" t="s">
        <v>633</v>
      </c>
      <c r="N1204" s="75" t="s">
        <v>497</v>
      </c>
      <c r="O1204" s="75"/>
    </row>
    <row r="1205" spans="9:15">
      <c r="I1205" s="133">
        <v>46101</v>
      </c>
      <c r="J1205" s="134">
        <v>0.96458333333333335</v>
      </c>
      <c r="K1205" s="135">
        <v>51.5</v>
      </c>
      <c r="L1205" s="75">
        <v>2</v>
      </c>
      <c r="M1205" s="75" t="s">
        <v>633</v>
      </c>
      <c r="N1205" s="75" t="s">
        <v>497</v>
      </c>
      <c r="O1205" s="75"/>
    </row>
    <row r="1206" spans="9:15">
      <c r="I1206" s="133">
        <v>46102</v>
      </c>
      <c r="J1206" s="134">
        <v>0.34583333333333333</v>
      </c>
      <c r="K1206" s="135">
        <v>1.5</v>
      </c>
      <c r="L1206" s="75">
        <v>1</v>
      </c>
      <c r="M1206" s="75" t="s">
        <v>635</v>
      </c>
      <c r="N1206" s="75" t="s">
        <v>146</v>
      </c>
      <c r="O1206" s="75"/>
    </row>
    <row r="1207" spans="9:15">
      <c r="I1207" s="133">
        <v>46102</v>
      </c>
      <c r="J1207" s="134">
        <v>0.34930555555555548</v>
      </c>
      <c r="K1207" s="135">
        <v>1.4</v>
      </c>
      <c r="L1207" s="75">
        <v>1</v>
      </c>
      <c r="M1207" s="75" t="s">
        <v>635</v>
      </c>
      <c r="N1207" s="75" t="s">
        <v>146</v>
      </c>
      <c r="O1207" s="75"/>
    </row>
    <row r="1208" spans="9:15">
      <c r="I1208" s="133">
        <v>46102</v>
      </c>
      <c r="J1208" s="134">
        <v>0.36458333333333331</v>
      </c>
      <c r="K1208" s="135">
        <v>2.5499999999999998</v>
      </c>
      <c r="L1208" s="75">
        <v>1</v>
      </c>
      <c r="M1208" s="75" t="s">
        <v>635</v>
      </c>
      <c r="N1208" s="75" t="s">
        <v>146</v>
      </c>
      <c r="O1208" s="75"/>
    </row>
    <row r="1209" spans="9:15">
      <c r="I1209" s="133">
        <v>46102</v>
      </c>
      <c r="J1209" s="134">
        <v>0.36527777777777781</v>
      </c>
      <c r="K1209" s="135">
        <v>7.9</v>
      </c>
      <c r="L1209" s="75">
        <v>2</v>
      </c>
      <c r="M1209" s="75" t="s">
        <v>635</v>
      </c>
      <c r="N1209" s="75" t="s">
        <v>146</v>
      </c>
      <c r="O1209" s="75"/>
    </row>
    <row r="1210" spans="9:15">
      <c r="I1210" s="133">
        <v>46102</v>
      </c>
      <c r="J1210" s="134">
        <v>0.37152777777777779</v>
      </c>
      <c r="K1210" s="135">
        <v>1.5</v>
      </c>
      <c r="L1210" s="75">
        <v>1</v>
      </c>
      <c r="M1210" s="75" t="s">
        <v>635</v>
      </c>
      <c r="N1210" s="75" t="s">
        <v>146</v>
      </c>
      <c r="O1210" s="75"/>
    </row>
    <row r="1211" spans="9:15">
      <c r="I1211" s="133">
        <v>46102</v>
      </c>
      <c r="J1211" s="134">
        <v>0.3840277777777778</v>
      </c>
      <c r="K1211" s="135">
        <v>2.4500000000000002</v>
      </c>
      <c r="L1211" s="75">
        <v>1</v>
      </c>
      <c r="M1211" s="75" t="s">
        <v>635</v>
      </c>
      <c r="N1211" s="75" t="s">
        <v>146</v>
      </c>
      <c r="O1211" s="75"/>
    </row>
    <row r="1212" spans="9:15">
      <c r="I1212" s="133">
        <v>46102</v>
      </c>
      <c r="J1212" s="134">
        <v>0.38819444444444451</v>
      </c>
      <c r="K1212" s="135">
        <v>1.4</v>
      </c>
      <c r="L1212" s="75">
        <v>1</v>
      </c>
      <c r="M1212" s="75" t="s">
        <v>635</v>
      </c>
      <c r="N1212" s="75" t="s">
        <v>146</v>
      </c>
      <c r="O1212" s="75"/>
    </row>
    <row r="1213" spans="9:15">
      <c r="I1213" s="133">
        <v>46102</v>
      </c>
      <c r="J1213" s="134">
        <v>0.39166666666666672</v>
      </c>
      <c r="K1213" s="135">
        <v>9.65</v>
      </c>
      <c r="L1213" s="75">
        <v>2</v>
      </c>
      <c r="M1213" s="75" t="s">
        <v>635</v>
      </c>
      <c r="N1213" s="75" t="s">
        <v>146</v>
      </c>
      <c r="O1213" s="75"/>
    </row>
    <row r="1214" spans="9:15">
      <c r="I1214" s="133">
        <v>46102</v>
      </c>
      <c r="J1214" s="134">
        <v>0.39513888888888887</v>
      </c>
      <c r="K1214" s="135">
        <v>1.4</v>
      </c>
      <c r="L1214" s="75">
        <v>1</v>
      </c>
      <c r="M1214" s="75" t="s">
        <v>635</v>
      </c>
      <c r="N1214" s="75" t="s">
        <v>146</v>
      </c>
      <c r="O1214" s="75"/>
    </row>
    <row r="1215" spans="9:15">
      <c r="I1215" s="133">
        <v>46102</v>
      </c>
      <c r="J1215" s="134">
        <v>0.39861111111111108</v>
      </c>
      <c r="K1215" s="135">
        <v>1.85</v>
      </c>
      <c r="L1215" s="75">
        <v>1</v>
      </c>
      <c r="M1215" s="75" t="s">
        <v>635</v>
      </c>
      <c r="N1215" s="75" t="s">
        <v>146</v>
      </c>
      <c r="O1215" s="75"/>
    </row>
    <row r="1216" spans="9:15">
      <c r="I1216" s="133">
        <v>46102</v>
      </c>
      <c r="J1216" s="134">
        <v>0.41180555555555548</v>
      </c>
      <c r="K1216" s="135">
        <v>4.8</v>
      </c>
      <c r="L1216" s="75">
        <v>1</v>
      </c>
      <c r="M1216" s="75" t="s">
        <v>635</v>
      </c>
      <c r="N1216" s="75" t="s">
        <v>146</v>
      </c>
      <c r="O1216" s="75"/>
    </row>
    <row r="1217" spans="9:15">
      <c r="I1217" s="133">
        <v>46102</v>
      </c>
      <c r="J1217" s="134">
        <v>0.4152777777777778</v>
      </c>
      <c r="K1217" s="135">
        <v>3.2</v>
      </c>
      <c r="L1217" s="75">
        <v>1</v>
      </c>
      <c r="M1217" s="75" t="s">
        <v>635</v>
      </c>
      <c r="N1217" s="75" t="s">
        <v>146</v>
      </c>
      <c r="O1217" s="75"/>
    </row>
    <row r="1218" spans="9:15">
      <c r="I1218" s="133">
        <v>46102</v>
      </c>
      <c r="J1218" s="134">
        <v>0.41597222222222219</v>
      </c>
      <c r="K1218" s="135">
        <v>1.7</v>
      </c>
      <c r="L1218" s="75">
        <v>1</v>
      </c>
      <c r="M1218" s="75" t="s">
        <v>635</v>
      </c>
      <c r="N1218" s="75" t="s">
        <v>146</v>
      </c>
      <c r="O1218" s="75"/>
    </row>
    <row r="1219" spans="9:15">
      <c r="I1219" s="133">
        <v>46102</v>
      </c>
      <c r="J1219" s="134">
        <v>0.42986111111111108</v>
      </c>
      <c r="K1219" s="135">
        <v>3.7</v>
      </c>
      <c r="L1219" s="75">
        <v>2</v>
      </c>
      <c r="M1219" s="75" t="s">
        <v>635</v>
      </c>
      <c r="N1219" s="75" t="s">
        <v>146</v>
      </c>
      <c r="O1219" s="75"/>
    </row>
    <row r="1220" spans="9:15">
      <c r="I1220" s="133">
        <v>46102</v>
      </c>
      <c r="J1220" s="134">
        <v>0.44374999999999998</v>
      </c>
      <c r="K1220" s="135">
        <v>1.7</v>
      </c>
      <c r="L1220" s="75">
        <v>1</v>
      </c>
      <c r="M1220" s="75" t="s">
        <v>635</v>
      </c>
      <c r="N1220" s="75" t="s">
        <v>146</v>
      </c>
      <c r="O1220" s="75"/>
    </row>
    <row r="1221" spans="9:15">
      <c r="I1221" s="133">
        <v>46102</v>
      </c>
      <c r="J1221" s="134">
        <v>0.45694444444444438</v>
      </c>
      <c r="K1221" s="135">
        <v>1.4</v>
      </c>
      <c r="L1221" s="75">
        <v>1</v>
      </c>
      <c r="M1221" s="75" t="s">
        <v>635</v>
      </c>
      <c r="N1221" s="75" t="s">
        <v>146</v>
      </c>
      <c r="O1221" s="75"/>
    </row>
    <row r="1222" spans="9:15">
      <c r="I1222" s="133">
        <v>46102</v>
      </c>
      <c r="J1222" s="134">
        <v>0.46458333333333329</v>
      </c>
      <c r="K1222" s="135">
        <v>1.7</v>
      </c>
      <c r="L1222" s="75">
        <v>1</v>
      </c>
      <c r="M1222" s="75" t="s">
        <v>635</v>
      </c>
      <c r="N1222" s="75" t="s">
        <v>146</v>
      </c>
      <c r="O1222" s="75"/>
    </row>
    <row r="1223" spans="9:15">
      <c r="I1223" s="133">
        <v>46102</v>
      </c>
      <c r="J1223" s="134">
        <v>0.47152777777777782</v>
      </c>
      <c r="K1223" s="135">
        <v>1.5</v>
      </c>
      <c r="L1223" s="75">
        <v>1</v>
      </c>
      <c r="M1223" s="75" t="s">
        <v>635</v>
      </c>
      <c r="N1223" s="75" t="s">
        <v>146</v>
      </c>
      <c r="O1223" s="75"/>
    </row>
    <row r="1224" spans="9:15">
      <c r="I1224" s="133">
        <v>46102</v>
      </c>
      <c r="J1224" s="134">
        <v>0.48333333333333328</v>
      </c>
      <c r="K1224" s="135">
        <v>1.75</v>
      </c>
      <c r="L1224" s="75">
        <v>1</v>
      </c>
      <c r="M1224" s="75" t="s">
        <v>635</v>
      </c>
      <c r="N1224" s="75" t="s">
        <v>146</v>
      </c>
      <c r="O1224" s="75"/>
    </row>
    <row r="1225" spans="9:15">
      <c r="I1225" s="133">
        <v>46102</v>
      </c>
      <c r="J1225" s="134">
        <v>0.49375000000000002</v>
      </c>
      <c r="K1225" s="135">
        <v>21.05</v>
      </c>
      <c r="L1225" s="75">
        <v>1</v>
      </c>
      <c r="M1225" s="75" t="s">
        <v>635</v>
      </c>
      <c r="N1225" s="75" t="s">
        <v>146</v>
      </c>
      <c r="O1225" s="75"/>
    </row>
    <row r="1226" spans="9:15">
      <c r="I1226" s="133">
        <v>46102</v>
      </c>
      <c r="J1226" s="134">
        <v>0.50486111111111109</v>
      </c>
      <c r="K1226" s="135">
        <v>1.5</v>
      </c>
      <c r="L1226" s="75">
        <v>1</v>
      </c>
      <c r="M1226" s="75" t="s">
        <v>635</v>
      </c>
      <c r="N1226" s="75" t="s">
        <v>494</v>
      </c>
      <c r="O1226" s="75"/>
    </row>
    <row r="1227" spans="9:15">
      <c r="I1227" s="133">
        <v>46102</v>
      </c>
      <c r="J1227" s="134">
        <v>0.52847222222222223</v>
      </c>
      <c r="K1227" s="135">
        <v>1.7</v>
      </c>
      <c r="L1227" s="75">
        <v>1</v>
      </c>
      <c r="M1227" s="75" t="s">
        <v>635</v>
      </c>
      <c r="N1227" s="75" t="s">
        <v>494</v>
      </c>
      <c r="O1227" s="75"/>
    </row>
    <row r="1228" spans="9:15">
      <c r="I1228" s="133">
        <v>46102</v>
      </c>
      <c r="J1228" s="134">
        <v>0.53819444444444442</v>
      </c>
      <c r="K1228" s="135">
        <v>8.15</v>
      </c>
      <c r="L1228" s="75">
        <v>1</v>
      </c>
      <c r="M1228" s="75" t="s">
        <v>635</v>
      </c>
      <c r="N1228" s="75" t="s">
        <v>494</v>
      </c>
      <c r="O1228" s="75"/>
    </row>
    <row r="1229" spans="9:15">
      <c r="I1229" s="133">
        <v>46102</v>
      </c>
      <c r="J1229" s="134">
        <v>0.5493055555555556</v>
      </c>
      <c r="K1229" s="135">
        <v>16.95</v>
      </c>
      <c r="L1229" s="75">
        <v>2</v>
      </c>
      <c r="M1229" s="75" t="s">
        <v>635</v>
      </c>
      <c r="N1229" s="75" t="s">
        <v>494</v>
      </c>
      <c r="O1229" s="75"/>
    </row>
    <row r="1230" spans="9:15">
      <c r="I1230" s="133">
        <v>46102</v>
      </c>
      <c r="J1230" s="134">
        <v>0.60069444444444442</v>
      </c>
      <c r="K1230" s="135">
        <v>56.5</v>
      </c>
      <c r="L1230" s="75">
        <v>2</v>
      </c>
      <c r="M1230" s="75" t="s">
        <v>635</v>
      </c>
      <c r="N1230" s="75" t="s">
        <v>494</v>
      </c>
      <c r="O1230" s="75"/>
    </row>
    <row r="1231" spans="9:15">
      <c r="I1231" s="133">
        <v>46102</v>
      </c>
      <c r="J1231" s="134">
        <v>0.6020833333333333</v>
      </c>
      <c r="K1231" s="135">
        <v>19.3</v>
      </c>
      <c r="L1231" s="75">
        <v>1</v>
      </c>
      <c r="M1231" s="75" t="s">
        <v>635</v>
      </c>
      <c r="N1231" s="75" t="s">
        <v>494</v>
      </c>
      <c r="O1231" s="75"/>
    </row>
    <row r="1232" spans="9:15">
      <c r="I1232" s="133">
        <v>46102</v>
      </c>
      <c r="J1232" s="134">
        <v>0.61250000000000004</v>
      </c>
      <c r="K1232" s="135">
        <v>86.35</v>
      </c>
      <c r="L1232" s="75">
        <v>3</v>
      </c>
      <c r="M1232" s="75" t="s">
        <v>635</v>
      </c>
      <c r="N1232" s="75" t="s">
        <v>494</v>
      </c>
      <c r="O1232" s="75"/>
    </row>
    <row r="1233" spans="9:15">
      <c r="I1233" s="133">
        <v>46102</v>
      </c>
      <c r="J1233" s="134">
        <v>0.8979166666666667</v>
      </c>
      <c r="K1233" s="135">
        <v>62.85</v>
      </c>
      <c r="L1233" s="75">
        <v>2</v>
      </c>
      <c r="M1233" s="75" t="s">
        <v>635</v>
      </c>
      <c r="N1233" s="75" t="s">
        <v>497</v>
      </c>
      <c r="O1233" s="75"/>
    </row>
    <row r="1234" spans="9:15">
      <c r="I1234" s="133">
        <v>46102</v>
      </c>
      <c r="J1234" s="134">
        <v>0.96388888888888891</v>
      </c>
      <c r="K1234" s="135">
        <v>14.35</v>
      </c>
      <c r="L1234" s="75">
        <v>1</v>
      </c>
      <c r="M1234" s="75" t="s">
        <v>635</v>
      </c>
      <c r="N1234" s="75" t="s">
        <v>497</v>
      </c>
      <c r="O1234" s="75"/>
    </row>
    <row r="1235" spans="9:15">
      <c r="I1235" s="133">
        <v>46103</v>
      </c>
      <c r="J1235" s="134">
        <v>0.35416666666666669</v>
      </c>
      <c r="K1235" s="135">
        <v>1.5</v>
      </c>
      <c r="L1235" s="75">
        <v>1</v>
      </c>
      <c r="M1235" s="75" t="s">
        <v>636</v>
      </c>
      <c r="N1235" s="75" t="s">
        <v>146</v>
      </c>
      <c r="O1235" s="75"/>
    </row>
    <row r="1236" spans="9:15">
      <c r="I1236" s="133">
        <v>46103</v>
      </c>
      <c r="J1236" s="134">
        <v>0.35902777777777778</v>
      </c>
      <c r="K1236" s="135">
        <v>11.45</v>
      </c>
      <c r="L1236" s="75">
        <v>1</v>
      </c>
      <c r="M1236" s="75" t="s">
        <v>636</v>
      </c>
      <c r="N1236" s="75" t="s">
        <v>146</v>
      </c>
      <c r="O1236" s="75"/>
    </row>
    <row r="1237" spans="9:15">
      <c r="I1237" s="133">
        <v>46103</v>
      </c>
      <c r="J1237" s="134">
        <v>0.3611111111111111</v>
      </c>
      <c r="K1237" s="135">
        <v>3.2</v>
      </c>
      <c r="L1237" s="75">
        <v>1</v>
      </c>
      <c r="M1237" s="75" t="s">
        <v>636</v>
      </c>
      <c r="N1237" s="75" t="s">
        <v>146</v>
      </c>
      <c r="O1237" s="75"/>
    </row>
    <row r="1238" spans="9:15">
      <c r="I1238" s="133">
        <v>46103</v>
      </c>
      <c r="J1238" s="134">
        <v>0.3840277777777778</v>
      </c>
      <c r="K1238" s="135">
        <v>6.85</v>
      </c>
      <c r="L1238" s="75">
        <v>1</v>
      </c>
      <c r="M1238" s="75" t="s">
        <v>636</v>
      </c>
      <c r="N1238" s="75" t="s">
        <v>146</v>
      </c>
      <c r="O1238" s="75"/>
    </row>
    <row r="1239" spans="9:15">
      <c r="I1239" s="133">
        <v>46103</v>
      </c>
      <c r="J1239" s="134">
        <v>0.39027777777777778</v>
      </c>
      <c r="K1239" s="135">
        <v>2.95</v>
      </c>
      <c r="L1239" s="75">
        <v>2</v>
      </c>
      <c r="M1239" s="75" t="s">
        <v>636</v>
      </c>
      <c r="N1239" s="75" t="s">
        <v>146</v>
      </c>
      <c r="O1239" s="75"/>
    </row>
    <row r="1240" spans="9:15">
      <c r="I1240" s="133">
        <v>46103</v>
      </c>
      <c r="J1240" s="134">
        <v>0.39444444444444438</v>
      </c>
      <c r="K1240" s="135">
        <v>3.4</v>
      </c>
      <c r="L1240" s="75">
        <v>1</v>
      </c>
      <c r="M1240" s="75" t="s">
        <v>636</v>
      </c>
      <c r="N1240" s="75" t="s">
        <v>146</v>
      </c>
      <c r="O1240" s="75"/>
    </row>
    <row r="1241" spans="9:15">
      <c r="I1241" s="133">
        <v>46103</v>
      </c>
      <c r="J1241" s="134">
        <v>0.40833333333333333</v>
      </c>
      <c r="K1241" s="135">
        <v>3</v>
      </c>
      <c r="L1241" s="75">
        <v>2</v>
      </c>
      <c r="M1241" s="75" t="s">
        <v>636</v>
      </c>
      <c r="N1241" s="75" t="s">
        <v>146</v>
      </c>
      <c r="O1241" s="75"/>
    </row>
    <row r="1242" spans="9:15">
      <c r="I1242" s="133">
        <v>46103</v>
      </c>
      <c r="J1242" s="134">
        <v>0.40972222222222221</v>
      </c>
      <c r="K1242" s="135">
        <v>3.2</v>
      </c>
      <c r="L1242" s="75">
        <v>1</v>
      </c>
      <c r="M1242" s="75" t="s">
        <v>636</v>
      </c>
      <c r="N1242" s="75" t="s">
        <v>146</v>
      </c>
      <c r="O1242" s="75"/>
    </row>
    <row r="1243" spans="9:15">
      <c r="I1243" s="133">
        <v>46103</v>
      </c>
      <c r="J1243" s="134">
        <v>0.41597222222222219</v>
      </c>
      <c r="K1243" s="135">
        <v>4.5999999999999996</v>
      </c>
      <c r="L1243" s="75">
        <v>2</v>
      </c>
      <c r="M1243" s="75" t="s">
        <v>636</v>
      </c>
      <c r="N1243" s="75" t="s">
        <v>146</v>
      </c>
      <c r="O1243" s="75"/>
    </row>
    <row r="1244" spans="9:15">
      <c r="I1244" s="133">
        <v>46103</v>
      </c>
      <c r="J1244" s="134">
        <v>0.43263888888888891</v>
      </c>
      <c r="K1244" s="135">
        <v>2.15</v>
      </c>
      <c r="L1244" s="75">
        <v>1</v>
      </c>
      <c r="M1244" s="75" t="s">
        <v>636</v>
      </c>
      <c r="N1244" s="75" t="s">
        <v>146</v>
      </c>
      <c r="O1244" s="75"/>
    </row>
    <row r="1245" spans="9:15">
      <c r="I1245" s="133">
        <v>46103</v>
      </c>
      <c r="J1245" s="134">
        <v>0.4597222222222222</v>
      </c>
      <c r="K1245" s="135">
        <v>4.8499999999999996</v>
      </c>
      <c r="L1245" s="75">
        <v>1</v>
      </c>
      <c r="M1245" s="75" t="s">
        <v>636</v>
      </c>
      <c r="N1245" s="75" t="s">
        <v>146</v>
      </c>
      <c r="O1245" s="75"/>
    </row>
    <row r="1246" spans="9:15">
      <c r="I1246" s="133">
        <v>46103</v>
      </c>
      <c r="J1246" s="134">
        <v>0.46250000000000002</v>
      </c>
      <c r="K1246" s="135">
        <v>6.4</v>
      </c>
      <c r="L1246" s="75">
        <v>1</v>
      </c>
      <c r="M1246" s="75" t="s">
        <v>636</v>
      </c>
      <c r="N1246" s="75" t="s">
        <v>146</v>
      </c>
      <c r="O1246" s="75"/>
    </row>
    <row r="1247" spans="9:15">
      <c r="I1247" s="133">
        <v>46103</v>
      </c>
      <c r="J1247" s="134">
        <v>0.46319444444444452</v>
      </c>
      <c r="K1247" s="135">
        <v>2.9</v>
      </c>
      <c r="L1247" s="75">
        <v>2</v>
      </c>
      <c r="M1247" s="75" t="s">
        <v>636</v>
      </c>
      <c r="N1247" s="75" t="s">
        <v>146</v>
      </c>
      <c r="O1247" s="75"/>
    </row>
    <row r="1248" spans="9:15">
      <c r="I1248" s="133">
        <v>46103</v>
      </c>
      <c r="J1248" s="134">
        <v>0.48680555555555549</v>
      </c>
      <c r="K1248" s="135">
        <v>5.9</v>
      </c>
      <c r="L1248" s="75">
        <v>3</v>
      </c>
      <c r="M1248" s="75" t="s">
        <v>636</v>
      </c>
      <c r="N1248" s="75" t="s">
        <v>146</v>
      </c>
      <c r="O1248" s="75"/>
    </row>
    <row r="1249" spans="9:15">
      <c r="I1249" s="133">
        <v>46103</v>
      </c>
      <c r="J1249" s="134">
        <v>0.48749999999999999</v>
      </c>
      <c r="K1249" s="135">
        <v>3</v>
      </c>
      <c r="L1249" s="75">
        <v>1</v>
      </c>
      <c r="M1249" s="75" t="s">
        <v>636</v>
      </c>
      <c r="N1249" s="75" t="s">
        <v>146</v>
      </c>
      <c r="O1249" s="75"/>
    </row>
    <row r="1250" spans="9:15">
      <c r="I1250" s="133">
        <v>46103</v>
      </c>
      <c r="J1250" s="134">
        <v>0.50277777777777777</v>
      </c>
      <c r="K1250" s="135">
        <v>1.5</v>
      </c>
      <c r="L1250" s="75">
        <v>2</v>
      </c>
      <c r="M1250" s="75" t="s">
        <v>636</v>
      </c>
      <c r="N1250" s="75" t="s">
        <v>494</v>
      </c>
      <c r="O1250" s="75"/>
    </row>
    <row r="1251" spans="9:15">
      <c r="I1251" s="133">
        <v>46103</v>
      </c>
      <c r="J1251" s="134">
        <v>0.51875000000000004</v>
      </c>
      <c r="K1251" s="135">
        <v>3.6</v>
      </c>
      <c r="L1251" s="75">
        <v>2</v>
      </c>
      <c r="M1251" s="75" t="s">
        <v>636</v>
      </c>
      <c r="N1251" s="75" t="s">
        <v>494</v>
      </c>
      <c r="O1251" s="75"/>
    </row>
    <row r="1252" spans="9:15">
      <c r="I1252" s="133">
        <v>46103</v>
      </c>
      <c r="J1252" s="134">
        <v>0.57847222222222228</v>
      </c>
      <c r="K1252" s="135">
        <v>16.75</v>
      </c>
      <c r="L1252" s="75">
        <v>4</v>
      </c>
      <c r="M1252" s="75" t="s">
        <v>636</v>
      </c>
      <c r="N1252" s="75" t="s">
        <v>494</v>
      </c>
      <c r="O1252" s="75"/>
    </row>
    <row r="1253" spans="9:15">
      <c r="I1253" s="133">
        <v>46103</v>
      </c>
      <c r="J1253" s="134">
        <v>0.58611111111111114</v>
      </c>
      <c r="K1253" s="135">
        <v>12.35</v>
      </c>
      <c r="L1253" s="75">
        <v>2</v>
      </c>
      <c r="M1253" s="75" t="s">
        <v>636</v>
      </c>
      <c r="N1253" s="75" t="s">
        <v>494</v>
      </c>
      <c r="O1253" s="75"/>
    </row>
    <row r="1254" spans="9:15">
      <c r="I1254" s="133">
        <v>46103</v>
      </c>
      <c r="J1254" s="134">
        <v>0.62152777777777779</v>
      </c>
      <c r="K1254" s="135">
        <v>12.1</v>
      </c>
      <c r="L1254" s="75">
        <v>2</v>
      </c>
      <c r="M1254" s="75" t="s">
        <v>636</v>
      </c>
      <c r="N1254" s="75" t="s">
        <v>494</v>
      </c>
      <c r="O1254" s="75"/>
    </row>
    <row r="1255" spans="9:15">
      <c r="I1255" s="133">
        <v>46103</v>
      </c>
      <c r="J1255" s="134">
        <v>0.62777777777777777</v>
      </c>
      <c r="K1255" s="135">
        <v>14.8</v>
      </c>
      <c r="L1255" s="75">
        <v>1</v>
      </c>
      <c r="M1255" s="75" t="s">
        <v>636</v>
      </c>
      <c r="N1255" s="75" t="s">
        <v>494</v>
      </c>
      <c r="O1255" s="75"/>
    </row>
    <row r="1256" spans="9:15">
      <c r="I1256" s="133">
        <v>46103</v>
      </c>
      <c r="J1256" s="134">
        <v>0.66180555555555554</v>
      </c>
      <c r="K1256" s="135">
        <v>34.6</v>
      </c>
      <c r="L1256" s="75">
        <v>2</v>
      </c>
      <c r="M1256" s="75" t="s">
        <v>636</v>
      </c>
      <c r="N1256" s="75" t="s">
        <v>494</v>
      </c>
      <c r="O1256" s="75"/>
    </row>
    <row r="1257" spans="9:15">
      <c r="I1257" s="133">
        <v>46106</v>
      </c>
      <c r="J1257" s="134">
        <v>0.30069444444444438</v>
      </c>
      <c r="K1257" s="135">
        <v>6.55</v>
      </c>
      <c r="L1257" s="75">
        <v>1</v>
      </c>
      <c r="M1257" s="75" t="s">
        <v>637</v>
      </c>
      <c r="N1257" s="75" t="s">
        <v>146</v>
      </c>
      <c r="O1257" s="75"/>
    </row>
    <row r="1258" spans="9:15">
      <c r="I1258" s="133">
        <v>46106</v>
      </c>
      <c r="J1258" s="134">
        <v>0.30694444444444452</v>
      </c>
      <c r="K1258" s="135">
        <v>3.3</v>
      </c>
      <c r="L1258" s="75">
        <v>2</v>
      </c>
      <c r="M1258" s="75" t="s">
        <v>637</v>
      </c>
      <c r="N1258" s="75" t="s">
        <v>146</v>
      </c>
      <c r="O1258" s="75"/>
    </row>
    <row r="1259" spans="9:15">
      <c r="I1259" s="133">
        <v>46106</v>
      </c>
      <c r="J1259" s="134">
        <v>0.32222222222222219</v>
      </c>
      <c r="K1259" s="135">
        <v>7.5</v>
      </c>
      <c r="L1259" s="75">
        <v>1</v>
      </c>
      <c r="M1259" s="75" t="s">
        <v>637</v>
      </c>
      <c r="N1259" s="75" t="s">
        <v>146</v>
      </c>
      <c r="O1259" s="75"/>
    </row>
    <row r="1260" spans="9:15">
      <c r="I1260" s="133">
        <v>46106</v>
      </c>
      <c r="J1260" s="134">
        <v>0.32708333333333328</v>
      </c>
      <c r="K1260" s="135">
        <v>3.5</v>
      </c>
      <c r="L1260" s="75">
        <v>1</v>
      </c>
      <c r="M1260" s="75" t="s">
        <v>637</v>
      </c>
      <c r="N1260" s="75" t="s">
        <v>146</v>
      </c>
      <c r="O1260" s="75"/>
    </row>
    <row r="1261" spans="9:15">
      <c r="I1261" s="133">
        <v>46106</v>
      </c>
      <c r="J1261" s="134">
        <v>0.32847222222222222</v>
      </c>
      <c r="K1261" s="135">
        <v>1.5</v>
      </c>
      <c r="L1261" s="75">
        <v>1</v>
      </c>
      <c r="M1261" s="75" t="s">
        <v>637</v>
      </c>
      <c r="N1261" s="75" t="s">
        <v>146</v>
      </c>
      <c r="O1261" s="75"/>
    </row>
    <row r="1262" spans="9:15">
      <c r="I1262" s="133">
        <v>46106</v>
      </c>
      <c r="J1262" s="134">
        <v>0.32916666666666672</v>
      </c>
      <c r="K1262" s="135">
        <v>1.85</v>
      </c>
      <c r="L1262" s="75">
        <v>1</v>
      </c>
      <c r="M1262" s="75" t="s">
        <v>637</v>
      </c>
      <c r="N1262" s="75" t="s">
        <v>146</v>
      </c>
      <c r="O1262" s="75"/>
    </row>
    <row r="1263" spans="9:15">
      <c r="I1263" s="133">
        <v>46106</v>
      </c>
      <c r="J1263" s="134">
        <v>0.33958333333333329</v>
      </c>
      <c r="K1263" s="135">
        <v>2.5499999999999998</v>
      </c>
      <c r="L1263" s="75">
        <v>1</v>
      </c>
      <c r="M1263" s="75" t="s">
        <v>637</v>
      </c>
      <c r="N1263" s="75" t="s">
        <v>146</v>
      </c>
      <c r="O1263" s="75"/>
    </row>
    <row r="1264" spans="9:15">
      <c r="I1264" s="133">
        <v>46106</v>
      </c>
      <c r="J1264" s="134">
        <v>0.34097222222222218</v>
      </c>
      <c r="K1264" s="135">
        <v>1.5</v>
      </c>
      <c r="L1264" s="75">
        <v>1</v>
      </c>
      <c r="M1264" s="75" t="s">
        <v>637</v>
      </c>
      <c r="N1264" s="75" t="s">
        <v>146</v>
      </c>
      <c r="O1264" s="75"/>
    </row>
    <row r="1265" spans="9:15">
      <c r="I1265" s="133">
        <v>46106</v>
      </c>
      <c r="J1265" s="134">
        <v>0.35</v>
      </c>
      <c r="K1265" s="135">
        <v>1.5</v>
      </c>
      <c r="L1265" s="75">
        <v>1</v>
      </c>
      <c r="M1265" s="75" t="s">
        <v>637</v>
      </c>
      <c r="N1265" s="75" t="s">
        <v>146</v>
      </c>
      <c r="O1265" s="75"/>
    </row>
    <row r="1266" spans="9:15">
      <c r="I1266" s="133">
        <v>46106</v>
      </c>
      <c r="J1266" s="134">
        <v>0.37638888888888888</v>
      </c>
      <c r="K1266" s="135">
        <v>1.85</v>
      </c>
      <c r="L1266" s="75">
        <v>1</v>
      </c>
      <c r="M1266" s="75" t="s">
        <v>637</v>
      </c>
      <c r="N1266" s="75" t="s">
        <v>146</v>
      </c>
      <c r="O1266" s="75"/>
    </row>
    <row r="1267" spans="9:15">
      <c r="I1267" s="133">
        <v>46106</v>
      </c>
      <c r="J1267" s="134">
        <v>0.3923611111111111</v>
      </c>
      <c r="K1267" s="135">
        <v>6.3</v>
      </c>
      <c r="L1267" s="75">
        <v>1</v>
      </c>
      <c r="M1267" s="75" t="s">
        <v>637</v>
      </c>
      <c r="N1267" s="75" t="s">
        <v>146</v>
      </c>
      <c r="O1267" s="75"/>
    </row>
    <row r="1268" spans="9:15">
      <c r="I1268" s="133">
        <v>46106</v>
      </c>
      <c r="J1268" s="134">
        <v>0.39513888888888887</v>
      </c>
      <c r="K1268" s="135">
        <v>2.15</v>
      </c>
      <c r="L1268" s="75">
        <v>1</v>
      </c>
      <c r="M1268" s="75" t="s">
        <v>637</v>
      </c>
      <c r="N1268" s="75" t="s">
        <v>146</v>
      </c>
      <c r="O1268" s="75"/>
    </row>
    <row r="1269" spans="9:15">
      <c r="I1269" s="133">
        <v>46106</v>
      </c>
      <c r="J1269" s="134">
        <v>0.40555555555555561</v>
      </c>
      <c r="K1269" s="135">
        <v>1.85</v>
      </c>
      <c r="L1269" s="75">
        <v>1</v>
      </c>
      <c r="M1269" s="75" t="s">
        <v>637</v>
      </c>
      <c r="N1269" s="75" t="s">
        <v>146</v>
      </c>
      <c r="O1269" s="75"/>
    </row>
    <row r="1270" spans="9:15">
      <c r="I1270" s="133">
        <v>46106</v>
      </c>
      <c r="J1270" s="134">
        <v>0.40625</v>
      </c>
      <c r="K1270" s="135">
        <v>2.8</v>
      </c>
      <c r="L1270" s="75">
        <v>2</v>
      </c>
      <c r="M1270" s="75" t="s">
        <v>637</v>
      </c>
      <c r="N1270" s="75" t="s">
        <v>146</v>
      </c>
      <c r="O1270" s="75"/>
    </row>
    <row r="1271" spans="9:15">
      <c r="I1271" s="133">
        <v>46106</v>
      </c>
      <c r="J1271" s="134">
        <v>0.40833333333333333</v>
      </c>
      <c r="K1271" s="135">
        <v>3.95</v>
      </c>
      <c r="L1271" s="75">
        <v>1</v>
      </c>
      <c r="M1271" s="75" t="s">
        <v>637</v>
      </c>
      <c r="N1271" s="75" t="s">
        <v>146</v>
      </c>
      <c r="O1271" s="75"/>
    </row>
    <row r="1272" spans="9:15">
      <c r="I1272" s="133">
        <v>46106</v>
      </c>
      <c r="J1272" s="134">
        <v>0.40972222222222221</v>
      </c>
      <c r="K1272" s="135">
        <v>1.7</v>
      </c>
      <c r="L1272" s="75">
        <v>1</v>
      </c>
      <c r="M1272" s="75" t="s">
        <v>637</v>
      </c>
      <c r="N1272" s="75" t="s">
        <v>146</v>
      </c>
      <c r="O1272" s="75"/>
    </row>
    <row r="1273" spans="9:15">
      <c r="I1273" s="133">
        <v>46106</v>
      </c>
      <c r="J1273" s="134">
        <v>0.41458333333333341</v>
      </c>
      <c r="K1273" s="135">
        <v>1.4</v>
      </c>
      <c r="L1273" s="75">
        <v>1</v>
      </c>
      <c r="M1273" s="75" t="s">
        <v>637</v>
      </c>
      <c r="N1273" s="75" t="s">
        <v>146</v>
      </c>
      <c r="O1273" s="75"/>
    </row>
    <row r="1274" spans="9:15">
      <c r="I1274" s="133">
        <v>46106</v>
      </c>
      <c r="J1274" s="134">
        <v>0.42499999999999999</v>
      </c>
      <c r="K1274" s="135">
        <v>1.95</v>
      </c>
      <c r="L1274" s="75">
        <v>1</v>
      </c>
      <c r="M1274" s="75" t="s">
        <v>637</v>
      </c>
      <c r="N1274" s="75" t="s">
        <v>146</v>
      </c>
      <c r="O1274" s="75"/>
    </row>
    <row r="1275" spans="9:15">
      <c r="I1275" s="133">
        <v>46106</v>
      </c>
      <c r="J1275" s="134">
        <v>0.42986111111111108</v>
      </c>
      <c r="K1275" s="135">
        <v>5.75</v>
      </c>
      <c r="L1275" s="75">
        <v>1</v>
      </c>
      <c r="M1275" s="75" t="s">
        <v>637</v>
      </c>
      <c r="N1275" s="75" t="s">
        <v>146</v>
      </c>
      <c r="O1275" s="75"/>
    </row>
    <row r="1276" spans="9:15">
      <c r="I1276" s="133">
        <v>46106</v>
      </c>
      <c r="J1276" s="134">
        <v>0.4548611111111111</v>
      </c>
      <c r="K1276" s="135">
        <v>1.7</v>
      </c>
      <c r="L1276" s="75">
        <v>1</v>
      </c>
      <c r="M1276" s="75" t="s">
        <v>637</v>
      </c>
      <c r="N1276" s="75" t="s">
        <v>146</v>
      </c>
      <c r="O1276" s="75"/>
    </row>
    <row r="1277" spans="9:15">
      <c r="I1277" s="133">
        <v>46106</v>
      </c>
      <c r="J1277" s="134">
        <v>0.47222222222222221</v>
      </c>
      <c r="K1277" s="135">
        <v>5.7</v>
      </c>
      <c r="L1277" s="75">
        <v>1</v>
      </c>
      <c r="M1277" s="75" t="s">
        <v>637</v>
      </c>
      <c r="N1277" s="75" t="s">
        <v>146</v>
      </c>
      <c r="O1277" s="75"/>
    </row>
    <row r="1278" spans="9:15">
      <c r="I1278" s="133">
        <v>46106</v>
      </c>
      <c r="J1278" s="134">
        <v>0.47916666666666669</v>
      </c>
      <c r="K1278" s="135">
        <v>1.65</v>
      </c>
      <c r="L1278" s="75">
        <v>1</v>
      </c>
      <c r="M1278" s="75" t="s">
        <v>637</v>
      </c>
      <c r="N1278" s="75" t="s">
        <v>146</v>
      </c>
      <c r="O1278" s="75"/>
    </row>
    <row r="1279" spans="9:15">
      <c r="I1279" s="133">
        <v>46106</v>
      </c>
      <c r="J1279" s="134">
        <v>0.48333333333333328</v>
      </c>
      <c r="K1279" s="135">
        <v>1.7</v>
      </c>
      <c r="L1279" s="75">
        <v>1</v>
      </c>
      <c r="M1279" s="75" t="s">
        <v>637</v>
      </c>
      <c r="N1279" s="75" t="s">
        <v>146</v>
      </c>
      <c r="O1279" s="75"/>
    </row>
    <row r="1280" spans="9:15">
      <c r="I1280" s="133">
        <v>46106</v>
      </c>
      <c r="J1280" s="134">
        <v>0.50555555555555554</v>
      </c>
      <c r="K1280" s="135">
        <v>6.75</v>
      </c>
      <c r="L1280" s="75">
        <v>3</v>
      </c>
      <c r="M1280" s="75" t="s">
        <v>637</v>
      </c>
      <c r="N1280" s="75" t="s">
        <v>494</v>
      </c>
      <c r="O1280" s="75"/>
    </row>
    <row r="1281" spans="9:15">
      <c r="I1281" s="133">
        <v>46106</v>
      </c>
      <c r="J1281" s="134">
        <v>0.50624999999999998</v>
      </c>
      <c r="K1281" s="135">
        <v>1.5</v>
      </c>
      <c r="L1281" s="75">
        <v>3</v>
      </c>
      <c r="M1281" s="75" t="s">
        <v>637</v>
      </c>
      <c r="N1281" s="75" t="s">
        <v>494</v>
      </c>
      <c r="O1281" s="75"/>
    </row>
    <row r="1282" spans="9:15">
      <c r="I1282" s="133">
        <v>46106</v>
      </c>
      <c r="J1282" s="134">
        <v>0.5180555555555556</v>
      </c>
      <c r="K1282" s="135">
        <v>32.4</v>
      </c>
      <c r="L1282" s="75">
        <v>2</v>
      </c>
      <c r="M1282" s="75" t="s">
        <v>637</v>
      </c>
      <c r="N1282" s="75" t="s">
        <v>494</v>
      </c>
      <c r="O1282" s="75"/>
    </row>
    <row r="1283" spans="9:15">
      <c r="I1283" s="133">
        <v>46106</v>
      </c>
      <c r="J1283" s="134">
        <v>0.52569444444444446</v>
      </c>
      <c r="K1283" s="135">
        <v>5.3</v>
      </c>
      <c r="L1283" s="75">
        <v>2</v>
      </c>
      <c r="M1283" s="75" t="s">
        <v>637</v>
      </c>
      <c r="N1283" s="75" t="s">
        <v>494</v>
      </c>
      <c r="O1283" s="75"/>
    </row>
    <row r="1284" spans="9:15">
      <c r="I1284" s="133">
        <v>46106</v>
      </c>
      <c r="J1284" s="134">
        <v>0.55763888888888891</v>
      </c>
      <c r="K1284" s="135">
        <v>2.5</v>
      </c>
      <c r="L1284" s="75">
        <v>1</v>
      </c>
      <c r="M1284" s="75" t="s">
        <v>637</v>
      </c>
      <c r="N1284" s="75" t="s">
        <v>494</v>
      </c>
      <c r="O1284" s="75"/>
    </row>
    <row r="1285" spans="9:15">
      <c r="I1285" s="133">
        <v>46106</v>
      </c>
      <c r="J1285" s="134">
        <v>0.57847222222222228</v>
      </c>
      <c r="K1285" s="135">
        <v>1.7</v>
      </c>
      <c r="L1285" s="75">
        <v>1</v>
      </c>
      <c r="M1285" s="75" t="s">
        <v>637</v>
      </c>
      <c r="N1285" s="75" t="s">
        <v>494</v>
      </c>
      <c r="O1285" s="75"/>
    </row>
    <row r="1286" spans="9:15">
      <c r="I1286" s="133">
        <v>46106</v>
      </c>
      <c r="J1286" s="134">
        <v>0.58125000000000004</v>
      </c>
      <c r="K1286" s="135">
        <v>5.3</v>
      </c>
      <c r="L1286" s="75">
        <v>2</v>
      </c>
      <c r="M1286" s="75" t="s">
        <v>637</v>
      </c>
      <c r="N1286" s="75" t="s">
        <v>494</v>
      </c>
      <c r="O1286" s="75"/>
    </row>
    <row r="1287" spans="9:15">
      <c r="I1287" s="133">
        <v>46106</v>
      </c>
      <c r="J1287" s="134">
        <v>0.59097222222222223</v>
      </c>
      <c r="K1287" s="135">
        <v>14.9</v>
      </c>
      <c r="L1287" s="75">
        <v>1</v>
      </c>
      <c r="M1287" s="75" t="s">
        <v>637</v>
      </c>
      <c r="N1287" s="75" t="s">
        <v>494</v>
      </c>
      <c r="O1287" s="75"/>
    </row>
    <row r="1288" spans="9:15">
      <c r="I1288" s="133">
        <v>46106</v>
      </c>
      <c r="J1288" s="134">
        <v>0.61527777777777781</v>
      </c>
      <c r="K1288" s="135">
        <v>8.0500000000000007</v>
      </c>
      <c r="L1288" s="75">
        <v>5</v>
      </c>
      <c r="M1288" s="75" t="s">
        <v>637</v>
      </c>
      <c r="N1288" s="75" t="s">
        <v>494</v>
      </c>
      <c r="O1288" s="75"/>
    </row>
    <row r="1289" spans="9:15">
      <c r="I1289" s="133">
        <v>46106</v>
      </c>
      <c r="J1289" s="134">
        <v>0.62083333333333335</v>
      </c>
      <c r="K1289" s="135">
        <v>3.4</v>
      </c>
      <c r="L1289" s="75">
        <v>2</v>
      </c>
      <c r="M1289" s="75" t="s">
        <v>637</v>
      </c>
      <c r="N1289" s="75" t="s">
        <v>494</v>
      </c>
      <c r="O1289" s="75"/>
    </row>
    <row r="1290" spans="9:15">
      <c r="I1290" s="133">
        <v>46106</v>
      </c>
      <c r="J1290" s="134">
        <v>0.62847222222222221</v>
      </c>
      <c r="K1290" s="135">
        <v>17.899999999999999</v>
      </c>
      <c r="L1290" s="75">
        <v>1</v>
      </c>
      <c r="M1290" s="75" t="s">
        <v>637</v>
      </c>
      <c r="N1290" s="75" t="s">
        <v>494</v>
      </c>
      <c r="O1290" s="75"/>
    </row>
    <row r="1291" spans="9:15">
      <c r="I1291" s="133">
        <v>46106</v>
      </c>
      <c r="J1291" s="134">
        <v>0.64375000000000004</v>
      </c>
      <c r="K1291" s="135">
        <v>1.7</v>
      </c>
      <c r="L1291" s="75">
        <v>1</v>
      </c>
      <c r="M1291" s="75" t="s">
        <v>637</v>
      </c>
      <c r="N1291" s="75" t="s">
        <v>494</v>
      </c>
      <c r="O1291" s="75"/>
    </row>
    <row r="1292" spans="9:15">
      <c r="I1292" s="133">
        <v>46106</v>
      </c>
      <c r="J1292" s="134">
        <v>0.66597222222222219</v>
      </c>
      <c r="K1292" s="135">
        <v>19.899999999999999</v>
      </c>
      <c r="L1292" s="75">
        <v>1</v>
      </c>
      <c r="M1292" s="75" t="s">
        <v>637</v>
      </c>
      <c r="N1292" s="75" t="s">
        <v>494</v>
      </c>
      <c r="O1292" s="75"/>
    </row>
    <row r="1293" spans="9:15">
      <c r="I1293" s="133">
        <v>46107</v>
      </c>
      <c r="J1293" s="134">
        <v>0.29305555555555562</v>
      </c>
      <c r="K1293" s="135">
        <v>3.4</v>
      </c>
      <c r="L1293" s="75">
        <v>1</v>
      </c>
      <c r="M1293" s="75" t="s">
        <v>638</v>
      </c>
      <c r="N1293" s="75" t="s">
        <v>146</v>
      </c>
      <c r="O1293" s="75"/>
    </row>
    <row r="1294" spans="9:15">
      <c r="I1294" s="133">
        <v>46107</v>
      </c>
      <c r="J1294" s="134">
        <v>0.30625000000000002</v>
      </c>
      <c r="K1294" s="135">
        <v>1.85</v>
      </c>
      <c r="L1294" s="75">
        <v>1</v>
      </c>
      <c r="M1294" s="75" t="s">
        <v>638</v>
      </c>
      <c r="N1294" s="75" t="s">
        <v>146</v>
      </c>
      <c r="O1294" s="75"/>
    </row>
    <row r="1295" spans="9:15">
      <c r="I1295" s="133">
        <v>46107</v>
      </c>
      <c r="J1295" s="134">
        <v>0.31111111111111112</v>
      </c>
      <c r="K1295" s="135">
        <v>3.3</v>
      </c>
      <c r="L1295" s="75">
        <v>2</v>
      </c>
      <c r="M1295" s="75" t="s">
        <v>638</v>
      </c>
      <c r="N1295" s="75" t="s">
        <v>146</v>
      </c>
      <c r="O1295" s="75"/>
    </row>
    <row r="1296" spans="9:15">
      <c r="I1296" s="133">
        <v>46107</v>
      </c>
      <c r="J1296" s="134">
        <v>0.33263888888888887</v>
      </c>
      <c r="K1296" s="135">
        <v>1.5</v>
      </c>
      <c r="L1296" s="75">
        <v>1</v>
      </c>
      <c r="M1296" s="75" t="s">
        <v>638</v>
      </c>
      <c r="N1296" s="75" t="s">
        <v>146</v>
      </c>
      <c r="O1296" s="75"/>
    </row>
    <row r="1297" spans="9:15">
      <c r="I1297" s="133">
        <v>46107</v>
      </c>
      <c r="J1297" s="134">
        <v>0.3347222222222222</v>
      </c>
      <c r="K1297" s="135">
        <v>3</v>
      </c>
      <c r="L1297" s="75">
        <v>1</v>
      </c>
      <c r="M1297" s="75" t="s">
        <v>638</v>
      </c>
      <c r="N1297" s="75" t="s">
        <v>146</v>
      </c>
      <c r="O1297" s="75"/>
    </row>
    <row r="1298" spans="9:15">
      <c r="I1298" s="133">
        <v>46107</v>
      </c>
      <c r="J1298" s="134">
        <v>0.35347222222222219</v>
      </c>
      <c r="K1298" s="135">
        <v>2.4500000000000002</v>
      </c>
      <c r="L1298" s="75">
        <v>1</v>
      </c>
      <c r="M1298" s="75" t="s">
        <v>638</v>
      </c>
      <c r="N1298" s="75" t="s">
        <v>146</v>
      </c>
      <c r="O1298" s="75"/>
    </row>
    <row r="1299" spans="9:15">
      <c r="I1299" s="133">
        <v>46107</v>
      </c>
      <c r="J1299" s="134">
        <v>0.37222222222222218</v>
      </c>
      <c r="K1299" s="135">
        <v>10.45</v>
      </c>
      <c r="L1299" s="75">
        <v>3</v>
      </c>
      <c r="M1299" s="75" t="s">
        <v>638</v>
      </c>
      <c r="N1299" s="75" t="s">
        <v>146</v>
      </c>
      <c r="O1299" s="75"/>
    </row>
    <row r="1300" spans="9:15">
      <c r="I1300" s="133">
        <v>46107</v>
      </c>
      <c r="J1300" s="134">
        <v>0.37638888888888888</v>
      </c>
      <c r="K1300" s="135">
        <v>3.15</v>
      </c>
      <c r="L1300" s="75">
        <v>1</v>
      </c>
      <c r="M1300" s="75" t="s">
        <v>638</v>
      </c>
      <c r="N1300" s="75" t="s">
        <v>146</v>
      </c>
      <c r="O1300" s="75"/>
    </row>
    <row r="1301" spans="9:15">
      <c r="I1301" s="133">
        <v>46107</v>
      </c>
      <c r="J1301" s="134">
        <v>0.38680555555555562</v>
      </c>
      <c r="K1301" s="135">
        <v>1.7</v>
      </c>
      <c r="L1301" s="75">
        <v>1</v>
      </c>
      <c r="M1301" s="75" t="s">
        <v>638</v>
      </c>
      <c r="N1301" s="75" t="s">
        <v>146</v>
      </c>
      <c r="O1301" s="75"/>
    </row>
    <row r="1302" spans="9:15">
      <c r="I1302" s="133">
        <v>46107</v>
      </c>
      <c r="J1302" s="134">
        <v>0.40972222222222221</v>
      </c>
      <c r="K1302" s="135">
        <v>3.95</v>
      </c>
      <c r="L1302" s="75">
        <v>1</v>
      </c>
      <c r="M1302" s="75" t="s">
        <v>638</v>
      </c>
      <c r="N1302" s="75" t="s">
        <v>146</v>
      </c>
      <c r="O1302" s="75"/>
    </row>
    <row r="1303" spans="9:15">
      <c r="I1303" s="133">
        <v>46107</v>
      </c>
      <c r="J1303" s="134">
        <v>0.41249999999999998</v>
      </c>
      <c r="K1303" s="135">
        <v>2.15</v>
      </c>
      <c r="L1303" s="75">
        <v>1</v>
      </c>
      <c r="M1303" s="75" t="s">
        <v>638</v>
      </c>
      <c r="N1303" s="75" t="s">
        <v>146</v>
      </c>
      <c r="O1303" s="75"/>
    </row>
    <row r="1304" spans="9:15">
      <c r="I1304" s="133">
        <v>46107</v>
      </c>
      <c r="J1304" s="134">
        <v>0.45</v>
      </c>
      <c r="K1304" s="135">
        <v>1.5</v>
      </c>
      <c r="L1304" s="75">
        <v>1</v>
      </c>
      <c r="M1304" s="75" t="s">
        <v>638</v>
      </c>
      <c r="N1304" s="75" t="s">
        <v>146</v>
      </c>
      <c r="O1304" s="75"/>
    </row>
    <row r="1305" spans="9:15">
      <c r="I1305" s="133">
        <v>46107</v>
      </c>
      <c r="J1305" s="134">
        <v>0.45</v>
      </c>
      <c r="K1305" s="135">
        <v>1.4</v>
      </c>
      <c r="L1305" s="75">
        <v>1</v>
      </c>
      <c r="M1305" s="75" t="s">
        <v>638</v>
      </c>
      <c r="N1305" s="75" t="s">
        <v>146</v>
      </c>
      <c r="O1305" s="75"/>
    </row>
    <row r="1306" spans="9:15">
      <c r="I1306" s="133">
        <v>46107</v>
      </c>
      <c r="J1306" s="134">
        <v>0.45347222222222222</v>
      </c>
      <c r="K1306" s="135">
        <v>13.15</v>
      </c>
      <c r="L1306" s="75">
        <v>1</v>
      </c>
      <c r="M1306" s="75" t="s">
        <v>638</v>
      </c>
      <c r="N1306" s="75" t="s">
        <v>146</v>
      </c>
      <c r="O1306" s="75"/>
    </row>
    <row r="1307" spans="9:15">
      <c r="I1307" s="133">
        <v>46107</v>
      </c>
      <c r="J1307" s="134">
        <v>0.45624999999999999</v>
      </c>
      <c r="K1307" s="135">
        <v>1.65</v>
      </c>
      <c r="L1307" s="75">
        <v>1</v>
      </c>
      <c r="M1307" s="75" t="s">
        <v>638</v>
      </c>
      <c r="N1307" s="75" t="s">
        <v>146</v>
      </c>
      <c r="O1307" s="75"/>
    </row>
    <row r="1308" spans="9:15">
      <c r="I1308" s="133">
        <v>46107</v>
      </c>
      <c r="J1308" s="134">
        <v>0.45694444444444438</v>
      </c>
      <c r="K1308" s="135">
        <v>1.5</v>
      </c>
      <c r="L1308" s="75">
        <v>1</v>
      </c>
      <c r="M1308" s="75" t="s">
        <v>638</v>
      </c>
      <c r="N1308" s="75" t="s">
        <v>146</v>
      </c>
      <c r="O1308" s="75"/>
    </row>
    <row r="1309" spans="9:15">
      <c r="I1309" s="133">
        <v>46107</v>
      </c>
      <c r="J1309" s="134">
        <v>0.46319444444444452</v>
      </c>
      <c r="K1309" s="135">
        <v>1.7</v>
      </c>
      <c r="L1309" s="75">
        <v>1</v>
      </c>
      <c r="M1309" s="75" t="s">
        <v>638</v>
      </c>
      <c r="N1309" s="75" t="s">
        <v>146</v>
      </c>
      <c r="O1309" s="75"/>
    </row>
    <row r="1310" spans="9:15">
      <c r="I1310" s="133">
        <v>46107</v>
      </c>
      <c r="J1310" s="134">
        <v>0.47013888888888888</v>
      </c>
      <c r="K1310" s="135">
        <v>2.8</v>
      </c>
      <c r="L1310" s="75">
        <v>2</v>
      </c>
      <c r="M1310" s="75" t="s">
        <v>638</v>
      </c>
      <c r="N1310" s="75" t="s">
        <v>146</v>
      </c>
      <c r="O1310" s="75"/>
    </row>
    <row r="1311" spans="9:15">
      <c r="I1311" s="133">
        <v>46107</v>
      </c>
      <c r="J1311" s="134">
        <v>0.48125000000000001</v>
      </c>
      <c r="K1311" s="135">
        <v>3.5</v>
      </c>
      <c r="L1311" s="75">
        <v>2</v>
      </c>
      <c r="M1311" s="75" t="s">
        <v>638</v>
      </c>
      <c r="N1311" s="75" t="s">
        <v>146</v>
      </c>
      <c r="O1311" s="75"/>
    </row>
    <row r="1312" spans="9:15">
      <c r="I1312" s="133">
        <v>46107</v>
      </c>
      <c r="J1312" s="134">
        <v>0.48402777777777778</v>
      </c>
      <c r="K1312" s="135">
        <v>1.5</v>
      </c>
      <c r="L1312" s="75">
        <v>1</v>
      </c>
      <c r="M1312" s="75" t="s">
        <v>638</v>
      </c>
      <c r="N1312" s="75" t="s">
        <v>146</v>
      </c>
      <c r="O1312" s="75"/>
    </row>
    <row r="1313" spans="9:15">
      <c r="I1313" s="133">
        <v>46107</v>
      </c>
      <c r="J1313" s="134">
        <v>0.50347222222222221</v>
      </c>
      <c r="K1313" s="135">
        <v>1.7</v>
      </c>
      <c r="L1313" s="75">
        <v>1</v>
      </c>
      <c r="M1313" s="75" t="s">
        <v>638</v>
      </c>
      <c r="N1313" s="75" t="s">
        <v>494</v>
      </c>
      <c r="O1313" s="75"/>
    </row>
    <row r="1314" spans="9:15">
      <c r="I1314" s="133">
        <v>46107</v>
      </c>
      <c r="J1314" s="134">
        <v>0.50347222222222221</v>
      </c>
      <c r="K1314" s="135">
        <v>1.5</v>
      </c>
      <c r="L1314" s="75">
        <v>1</v>
      </c>
      <c r="M1314" s="75" t="s">
        <v>638</v>
      </c>
      <c r="N1314" s="75" t="s">
        <v>494</v>
      </c>
      <c r="O1314" s="75"/>
    </row>
    <row r="1315" spans="9:15">
      <c r="I1315" s="133">
        <v>46107</v>
      </c>
      <c r="J1315" s="134">
        <v>0.50486111111111109</v>
      </c>
      <c r="K1315" s="135">
        <v>15.1</v>
      </c>
      <c r="L1315" s="75">
        <v>4</v>
      </c>
      <c r="M1315" s="75" t="s">
        <v>638</v>
      </c>
      <c r="N1315" s="75" t="s">
        <v>494</v>
      </c>
      <c r="O1315" s="75"/>
    </row>
    <row r="1316" spans="9:15">
      <c r="I1316" s="133">
        <v>46107</v>
      </c>
      <c r="J1316" s="134">
        <v>0.56458333333333333</v>
      </c>
      <c r="K1316" s="135">
        <v>10.45</v>
      </c>
      <c r="L1316" s="75">
        <v>2</v>
      </c>
      <c r="M1316" s="75" t="s">
        <v>638</v>
      </c>
      <c r="N1316" s="75" t="s">
        <v>494</v>
      </c>
      <c r="O1316" s="75"/>
    </row>
    <row r="1317" spans="9:15">
      <c r="I1317" s="133">
        <v>46107</v>
      </c>
      <c r="J1317" s="134">
        <v>0.62222222222222223</v>
      </c>
      <c r="K1317" s="135">
        <v>29.8</v>
      </c>
      <c r="L1317" s="75">
        <v>2</v>
      </c>
      <c r="M1317" s="75" t="s">
        <v>638</v>
      </c>
      <c r="N1317" s="75" t="s">
        <v>494</v>
      </c>
      <c r="O1317" s="75"/>
    </row>
    <row r="1318" spans="9:15">
      <c r="I1318" s="133">
        <v>46107</v>
      </c>
      <c r="J1318" s="134">
        <v>0.62361111111111112</v>
      </c>
      <c r="K1318" s="135">
        <v>1.7</v>
      </c>
      <c r="L1318" s="75">
        <v>1</v>
      </c>
      <c r="M1318" s="75" t="s">
        <v>638</v>
      </c>
      <c r="N1318" s="75" t="s">
        <v>494</v>
      </c>
      <c r="O1318" s="75"/>
    </row>
    <row r="1319" spans="9:15">
      <c r="I1319" s="133">
        <v>46107</v>
      </c>
      <c r="J1319" s="134">
        <v>0.63888888888888884</v>
      </c>
      <c r="K1319" s="135">
        <v>34.950000000000003</v>
      </c>
      <c r="L1319" s="75">
        <v>2</v>
      </c>
      <c r="M1319" s="75" t="s">
        <v>638</v>
      </c>
      <c r="N1319" s="75" t="s">
        <v>494</v>
      </c>
      <c r="O1319" s="75"/>
    </row>
    <row r="1320" spans="9:15">
      <c r="I1320" s="133">
        <v>46107</v>
      </c>
      <c r="J1320" s="134">
        <v>0.64444444444444449</v>
      </c>
      <c r="K1320" s="135">
        <v>2.5499999999999998</v>
      </c>
      <c r="L1320" s="75">
        <v>1</v>
      </c>
      <c r="M1320" s="75" t="s">
        <v>638</v>
      </c>
      <c r="N1320" s="75" t="s">
        <v>494</v>
      </c>
      <c r="O1320" s="75"/>
    </row>
    <row r="1321" spans="9:15">
      <c r="I1321" s="133">
        <v>46107</v>
      </c>
      <c r="J1321" s="134">
        <v>0.88680555555555551</v>
      </c>
      <c r="K1321" s="135">
        <v>73.25</v>
      </c>
      <c r="L1321" s="75">
        <v>3</v>
      </c>
      <c r="M1321" s="75" t="s">
        <v>638</v>
      </c>
      <c r="N1321" s="75" t="s">
        <v>497</v>
      </c>
      <c r="O1321" s="75"/>
    </row>
    <row r="1322" spans="9:15">
      <c r="I1322" s="133">
        <v>46107</v>
      </c>
      <c r="J1322" s="134">
        <v>0.91874999999999996</v>
      </c>
      <c r="K1322" s="135">
        <v>41.2</v>
      </c>
      <c r="L1322" s="75">
        <v>2</v>
      </c>
      <c r="M1322" s="75" t="s">
        <v>638</v>
      </c>
      <c r="N1322" s="75" t="s">
        <v>497</v>
      </c>
      <c r="O1322" s="75" t="s">
        <v>642</v>
      </c>
    </row>
    <row r="1323" spans="9:15">
      <c r="I1323" s="133">
        <v>46107</v>
      </c>
      <c r="J1323" s="134">
        <v>0.92152777777777772</v>
      </c>
      <c r="K1323" s="135">
        <v>50.65</v>
      </c>
      <c r="L1323" s="75">
        <v>2</v>
      </c>
      <c r="M1323" s="75" t="s">
        <v>638</v>
      </c>
      <c r="N1323" s="75" t="s">
        <v>497</v>
      </c>
      <c r="O1323" s="75"/>
    </row>
    <row r="1324" spans="9:15">
      <c r="I1324" s="133">
        <v>46108</v>
      </c>
      <c r="J1324" s="134">
        <v>0.29444444444444451</v>
      </c>
      <c r="K1324" s="135">
        <v>1.7</v>
      </c>
      <c r="L1324" s="75">
        <v>1</v>
      </c>
      <c r="M1324" s="75" t="s">
        <v>633</v>
      </c>
      <c r="N1324" s="75" t="s">
        <v>146</v>
      </c>
      <c r="O1324" s="75"/>
    </row>
    <row r="1325" spans="9:15">
      <c r="I1325" s="133">
        <v>46108</v>
      </c>
      <c r="J1325" s="134">
        <v>0.30972222222222218</v>
      </c>
      <c r="K1325" s="135">
        <v>3</v>
      </c>
      <c r="L1325" s="75">
        <v>1</v>
      </c>
      <c r="M1325" s="75" t="s">
        <v>633</v>
      </c>
      <c r="N1325" s="75" t="s">
        <v>146</v>
      </c>
      <c r="O1325" s="75"/>
    </row>
    <row r="1326" spans="9:15">
      <c r="I1326" s="133">
        <v>46108</v>
      </c>
      <c r="J1326" s="134">
        <v>0.32916666666666672</v>
      </c>
      <c r="K1326" s="135">
        <v>1.7</v>
      </c>
      <c r="L1326" s="75">
        <v>1</v>
      </c>
      <c r="M1326" s="75" t="s">
        <v>633</v>
      </c>
      <c r="N1326" s="75" t="s">
        <v>146</v>
      </c>
      <c r="O1326" s="75"/>
    </row>
    <row r="1327" spans="9:15">
      <c r="I1327" s="133">
        <v>46108</v>
      </c>
      <c r="J1327" s="134">
        <v>0.34166666666666667</v>
      </c>
      <c r="K1327" s="135">
        <v>6.65</v>
      </c>
      <c r="L1327" s="75">
        <v>2</v>
      </c>
      <c r="M1327" s="75" t="s">
        <v>633</v>
      </c>
      <c r="N1327" s="75" t="s">
        <v>146</v>
      </c>
      <c r="O1327" s="75"/>
    </row>
    <row r="1328" spans="9:15">
      <c r="I1328" s="133">
        <v>46108</v>
      </c>
      <c r="J1328" s="134">
        <v>0.34513888888888888</v>
      </c>
      <c r="K1328" s="135">
        <v>1.5</v>
      </c>
      <c r="L1328" s="75">
        <v>1</v>
      </c>
      <c r="M1328" s="75" t="s">
        <v>633</v>
      </c>
      <c r="N1328" s="75" t="s">
        <v>146</v>
      </c>
      <c r="O1328" s="75"/>
    </row>
    <row r="1329" spans="9:15">
      <c r="I1329" s="133">
        <v>46108</v>
      </c>
      <c r="J1329" s="134">
        <v>0.35486111111111113</v>
      </c>
      <c r="K1329" s="135">
        <v>3.95</v>
      </c>
      <c r="L1329" s="75">
        <v>1</v>
      </c>
      <c r="M1329" s="75" t="s">
        <v>633</v>
      </c>
      <c r="N1329" s="75" t="s">
        <v>146</v>
      </c>
      <c r="O1329" s="75"/>
    </row>
    <row r="1330" spans="9:15">
      <c r="I1330" s="133">
        <v>46108</v>
      </c>
      <c r="J1330" s="134">
        <v>0.35694444444444451</v>
      </c>
      <c r="K1330" s="135">
        <v>12.8</v>
      </c>
      <c r="L1330" s="75">
        <v>2</v>
      </c>
      <c r="M1330" s="75" t="s">
        <v>633</v>
      </c>
      <c r="N1330" s="75" t="s">
        <v>146</v>
      </c>
      <c r="O1330" s="75"/>
    </row>
    <row r="1331" spans="9:15">
      <c r="I1331" s="133">
        <v>46108</v>
      </c>
      <c r="J1331" s="134">
        <v>0.35902777777777778</v>
      </c>
      <c r="K1331" s="135">
        <v>1.85</v>
      </c>
      <c r="L1331" s="75">
        <v>1</v>
      </c>
      <c r="M1331" s="75" t="s">
        <v>633</v>
      </c>
      <c r="N1331" s="75" t="s">
        <v>146</v>
      </c>
      <c r="O1331" s="75"/>
    </row>
    <row r="1332" spans="9:15">
      <c r="I1332" s="133">
        <v>46108</v>
      </c>
      <c r="J1332" s="134">
        <v>0.36041666666666672</v>
      </c>
      <c r="K1332" s="135">
        <v>3.5</v>
      </c>
      <c r="L1332" s="75">
        <v>1</v>
      </c>
      <c r="M1332" s="75" t="s">
        <v>633</v>
      </c>
      <c r="N1332" s="75" t="s">
        <v>146</v>
      </c>
      <c r="O1332" s="75"/>
    </row>
    <row r="1333" spans="9:15">
      <c r="I1333" s="133">
        <v>46108</v>
      </c>
      <c r="J1333" s="134">
        <v>0.36319444444444438</v>
      </c>
      <c r="K1333" s="135">
        <v>1.5</v>
      </c>
      <c r="L1333" s="75">
        <v>1</v>
      </c>
      <c r="M1333" s="75" t="s">
        <v>633</v>
      </c>
      <c r="N1333" s="75" t="s">
        <v>146</v>
      </c>
      <c r="O1333" s="75"/>
    </row>
    <row r="1334" spans="9:15">
      <c r="I1334" s="133">
        <v>46108</v>
      </c>
      <c r="J1334" s="134">
        <v>0.375</v>
      </c>
      <c r="K1334" s="135">
        <v>4.95</v>
      </c>
      <c r="L1334" s="75">
        <v>2</v>
      </c>
      <c r="M1334" s="75" t="s">
        <v>633</v>
      </c>
      <c r="N1334" s="75" t="s">
        <v>146</v>
      </c>
      <c r="O1334" s="75"/>
    </row>
    <row r="1335" spans="9:15">
      <c r="I1335" s="133">
        <v>46108</v>
      </c>
      <c r="J1335" s="134">
        <v>0.39583333333333331</v>
      </c>
      <c r="K1335" s="135">
        <v>1.7</v>
      </c>
      <c r="L1335" s="75">
        <v>1</v>
      </c>
      <c r="M1335" s="75" t="s">
        <v>633</v>
      </c>
      <c r="N1335" s="75" t="s">
        <v>146</v>
      </c>
      <c r="O1335" s="75"/>
    </row>
    <row r="1336" spans="9:15">
      <c r="I1336" s="133">
        <v>46108</v>
      </c>
      <c r="J1336" s="134">
        <v>0.40694444444444439</v>
      </c>
      <c r="K1336" s="135">
        <v>1.5</v>
      </c>
      <c r="L1336" s="75">
        <v>1</v>
      </c>
      <c r="M1336" s="75" t="s">
        <v>633</v>
      </c>
      <c r="N1336" s="75" t="s">
        <v>146</v>
      </c>
      <c r="O1336" s="75"/>
    </row>
    <row r="1337" spans="9:15">
      <c r="I1337" s="133">
        <v>46108</v>
      </c>
      <c r="J1337" s="134">
        <v>0.42222222222222222</v>
      </c>
      <c r="K1337" s="135">
        <v>1.5</v>
      </c>
      <c r="L1337" s="75">
        <v>1</v>
      </c>
      <c r="M1337" s="75" t="s">
        <v>633</v>
      </c>
      <c r="N1337" s="75" t="s">
        <v>146</v>
      </c>
      <c r="O1337" s="75"/>
    </row>
    <row r="1338" spans="9:15">
      <c r="I1338" s="133">
        <v>46108</v>
      </c>
      <c r="J1338" s="134">
        <v>0.4236111111111111</v>
      </c>
      <c r="K1338" s="135">
        <v>11.4</v>
      </c>
      <c r="L1338" s="75">
        <v>2</v>
      </c>
      <c r="M1338" s="75" t="s">
        <v>633</v>
      </c>
      <c r="N1338" s="75" t="s">
        <v>146</v>
      </c>
      <c r="O1338" s="75"/>
    </row>
    <row r="1339" spans="9:15">
      <c r="I1339" s="133">
        <v>46108</v>
      </c>
      <c r="J1339" s="134">
        <v>0.44722222222222219</v>
      </c>
      <c r="K1339" s="135">
        <v>1.4</v>
      </c>
      <c r="L1339" s="75">
        <v>1</v>
      </c>
      <c r="M1339" s="75" t="s">
        <v>633</v>
      </c>
      <c r="N1339" s="75" t="s">
        <v>146</v>
      </c>
      <c r="O1339" s="75"/>
    </row>
    <row r="1340" spans="9:15">
      <c r="I1340" s="133">
        <v>46108</v>
      </c>
      <c r="J1340" s="134">
        <v>0.46180555555555558</v>
      </c>
      <c r="K1340" s="135">
        <v>1.5</v>
      </c>
      <c r="L1340" s="75">
        <v>1</v>
      </c>
      <c r="M1340" s="75" t="s">
        <v>633</v>
      </c>
      <c r="N1340" s="75" t="s">
        <v>146</v>
      </c>
      <c r="O1340" s="75"/>
    </row>
    <row r="1341" spans="9:15">
      <c r="I1341" s="133">
        <v>46108</v>
      </c>
      <c r="J1341" s="134">
        <v>0.47499999999999998</v>
      </c>
      <c r="K1341" s="135">
        <v>3.5</v>
      </c>
      <c r="L1341" s="75">
        <v>2</v>
      </c>
      <c r="M1341" s="75" t="s">
        <v>633</v>
      </c>
      <c r="N1341" s="75" t="s">
        <v>146</v>
      </c>
      <c r="O1341" s="75"/>
    </row>
    <row r="1342" spans="9:15">
      <c r="I1342" s="133">
        <v>46108</v>
      </c>
      <c r="J1342" s="134">
        <v>0.4826388888888889</v>
      </c>
      <c r="K1342" s="135">
        <v>17</v>
      </c>
      <c r="L1342" s="75">
        <v>2</v>
      </c>
      <c r="M1342" s="75" t="s">
        <v>633</v>
      </c>
      <c r="N1342" s="75" t="s">
        <v>146</v>
      </c>
      <c r="O1342" s="75"/>
    </row>
    <row r="1343" spans="9:15">
      <c r="I1343" s="133">
        <v>46108</v>
      </c>
      <c r="J1343" s="134">
        <v>0.48749999999999999</v>
      </c>
      <c r="K1343" s="135">
        <v>3</v>
      </c>
      <c r="L1343" s="75">
        <v>2</v>
      </c>
      <c r="M1343" s="75" t="s">
        <v>633</v>
      </c>
      <c r="N1343" s="75" t="s">
        <v>146</v>
      </c>
      <c r="O1343" s="75"/>
    </row>
    <row r="1344" spans="9:15">
      <c r="I1344" s="133">
        <v>46108</v>
      </c>
      <c r="J1344" s="134">
        <v>0.49027777777777781</v>
      </c>
      <c r="K1344" s="135">
        <v>1.7</v>
      </c>
      <c r="L1344" s="75">
        <v>1</v>
      </c>
      <c r="M1344" s="75" t="s">
        <v>633</v>
      </c>
      <c r="N1344" s="75" t="s">
        <v>146</v>
      </c>
      <c r="O1344" s="75"/>
    </row>
    <row r="1345" spans="9:15">
      <c r="I1345" s="133">
        <v>46108</v>
      </c>
      <c r="J1345" s="134">
        <v>0.49027777777777781</v>
      </c>
      <c r="K1345" s="135">
        <v>3</v>
      </c>
      <c r="L1345" s="75">
        <v>2</v>
      </c>
      <c r="M1345" s="75" t="s">
        <v>633</v>
      </c>
      <c r="N1345" s="75" t="s">
        <v>146</v>
      </c>
      <c r="O1345" s="75"/>
    </row>
    <row r="1346" spans="9:15">
      <c r="I1346" s="133">
        <v>46108</v>
      </c>
      <c r="J1346" s="134">
        <v>0.49791666666666667</v>
      </c>
      <c r="K1346" s="135">
        <v>5.65</v>
      </c>
      <c r="L1346" s="75">
        <v>2</v>
      </c>
      <c r="M1346" s="75" t="s">
        <v>633</v>
      </c>
      <c r="N1346" s="75" t="s">
        <v>146</v>
      </c>
      <c r="O1346" s="75"/>
    </row>
    <row r="1347" spans="9:15">
      <c r="I1347" s="133">
        <v>46108</v>
      </c>
      <c r="J1347" s="134">
        <v>0.50138888888888888</v>
      </c>
      <c r="K1347" s="135">
        <v>1.7</v>
      </c>
      <c r="L1347" s="75">
        <v>1</v>
      </c>
      <c r="M1347" s="75" t="s">
        <v>633</v>
      </c>
      <c r="N1347" s="75" t="s">
        <v>494</v>
      </c>
      <c r="O1347" s="75"/>
    </row>
    <row r="1348" spans="9:15">
      <c r="I1348" s="133">
        <v>46108</v>
      </c>
      <c r="J1348" s="134">
        <v>0.53194444444444444</v>
      </c>
      <c r="K1348" s="135">
        <v>19.100000000000001</v>
      </c>
      <c r="L1348" s="75">
        <v>2</v>
      </c>
      <c r="M1348" s="75" t="s">
        <v>633</v>
      </c>
      <c r="N1348" s="75" t="s">
        <v>494</v>
      </c>
      <c r="O1348" s="75"/>
    </row>
    <row r="1349" spans="9:15">
      <c r="I1349" s="133">
        <v>46108</v>
      </c>
      <c r="J1349" s="134">
        <v>0.6430555555555556</v>
      </c>
      <c r="K1349" s="135">
        <v>64.849999999999994</v>
      </c>
      <c r="L1349" s="75">
        <v>4</v>
      </c>
      <c r="M1349" s="75" t="s">
        <v>633</v>
      </c>
      <c r="N1349" s="75" t="s">
        <v>494</v>
      </c>
      <c r="O1349" s="75"/>
    </row>
    <row r="1350" spans="9:15">
      <c r="I1350" s="133">
        <v>46108</v>
      </c>
      <c r="J1350" s="134">
        <v>0.64513888888888893</v>
      </c>
      <c r="K1350" s="135">
        <v>15.9</v>
      </c>
      <c r="L1350" s="75">
        <v>1</v>
      </c>
      <c r="M1350" s="75" t="s">
        <v>633</v>
      </c>
      <c r="N1350" s="75" t="s">
        <v>494</v>
      </c>
      <c r="O1350" s="75"/>
    </row>
    <row r="1351" spans="9:15">
      <c r="I1351" s="133">
        <v>46108</v>
      </c>
      <c r="J1351" s="134">
        <v>0.66805555555555551</v>
      </c>
      <c r="K1351" s="135">
        <v>18.649999999999999</v>
      </c>
      <c r="L1351" s="75">
        <v>1</v>
      </c>
      <c r="M1351" s="75" t="s">
        <v>633</v>
      </c>
      <c r="N1351" s="75" t="s">
        <v>494</v>
      </c>
      <c r="O1351" s="75"/>
    </row>
    <row r="1352" spans="9:15">
      <c r="I1352" s="133">
        <v>46108</v>
      </c>
      <c r="J1352" s="134">
        <v>0.67708333333333337</v>
      </c>
      <c r="K1352" s="135">
        <v>3.2</v>
      </c>
      <c r="L1352" s="75">
        <v>2</v>
      </c>
      <c r="M1352" s="75" t="s">
        <v>633</v>
      </c>
      <c r="N1352" s="75" t="s">
        <v>494</v>
      </c>
      <c r="O1352" s="75"/>
    </row>
    <row r="1353" spans="9:15">
      <c r="I1353" s="133">
        <v>46109</v>
      </c>
      <c r="J1353" s="134">
        <v>0.33888888888888891</v>
      </c>
      <c r="K1353" s="135">
        <v>3.2</v>
      </c>
      <c r="L1353" s="75">
        <v>1</v>
      </c>
      <c r="M1353" s="75" t="s">
        <v>635</v>
      </c>
      <c r="N1353" s="75" t="s">
        <v>146</v>
      </c>
      <c r="O1353" s="75"/>
    </row>
    <row r="1354" spans="9:15">
      <c r="I1354" s="133">
        <v>46109</v>
      </c>
      <c r="J1354" s="134">
        <v>0.34375</v>
      </c>
      <c r="K1354" s="135">
        <v>1.5</v>
      </c>
      <c r="L1354" s="75">
        <v>1</v>
      </c>
      <c r="M1354" s="75" t="s">
        <v>635</v>
      </c>
      <c r="N1354" s="75" t="s">
        <v>146</v>
      </c>
      <c r="O1354" s="75"/>
    </row>
    <row r="1355" spans="9:15">
      <c r="I1355" s="133">
        <v>46109</v>
      </c>
      <c r="J1355" s="134">
        <v>0.35833333333333328</v>
      </c>
      <c r="K1355" s="135">
        <v>3</v>
      </c>
      <c r="L1355" s="75">
        <v>1</v>
      </c>
      <c r="M1355" s="75" t="s">
        <v>635</v>
      </c>
      <c r="N1355" s="75" t="s">
        <v>146</v>
      </c>
      <c r="O1355" s="75"/>
    </row>
    <row r="1356" spans="9:15">
      <c r="I1356" s="133">
        <v>46109</v>
      </c>
      <c r="J1356" s="134">
        <v>0.36388888888888887</v>
      </c>
      <c r="K1356" s="135">
        <v>2.5499999999999998</v>
      </c>
      <c r="L1356" s="75">
        <v>1</v>
      </c>
      <c r="M1356" s="75" t="s">
        <v>635</v>
      </c>
      <c r="N1356" s="75" t="s">
        <v>146</v>
      </c>
      <c r="O1356" s="75"/>
    </row>
    <row r="1357" spans="9:15">
      <c r="I1357" s="133">
        <v>46109</v>
      </c>
      <c r="J1357" s="134">
        <v>0.37430555555555561</v>
      </c>
      <c r="K1357" s="135">
        <v>2.4500000000000002</v>
      </c>
      <c r="L1357" s="75">
        <v>1</v>
      </c>
      <c r="M1357" s="75" t="s">
        <v>635</v>
      </c>
      <c r="N1357" s="75" t="s">
        <v>146</v>
      </c>
      <c r="O1357" s="75"/>
    </row>
    <row r="1358" spans="9:15">
      <c r="I1358" s="133">
        <v>46109</v>
      </c>
      <c r="J1358" s="134">
        <v>0.37638888888888888</v>
      </c>
      <c r="K1358" s="135">
        <v>2.5499999999999998</v>
      </c>
      <c r="L1358" s="75">
        <v>1</v>
      </c>
      <c r="M1358" s="75" t="s">
        <v>635</v>
      </c>
      <c r="N1358" s="75" t="s">
        <v>146</v>
      </c>
      <c r="O1358" s="75"/>
    </row>
    <row r="1359" spans="9:15">
      <c r="I1359" s="133">
        <v>46109</v>
      </c>
      <c r="J1359" s="134">
        <v>0.38263888888888892</v>
      </c>
      <c r="K1359" s="135">
        <v>15.45</v>
      </c>
      <c r="L1359" s="75">
        <v>2</v>
      </c>
      <c r="M1359" s="75" t="s">
        <v>635</v>
      </c>
      <c r="N1359" s="75" t="s">
        <v>146</v>
      </c>
      <c r="O1359" s="75"/>
    </row>
    <row r="1360" spans="9:15">
      <c r="I1360" s="133">
        <v>46109</v>
      </c>
      <c r="J1360" s="134">
        <v>0.38611111111111113</v>
      </c>
      <c r="K1360" s="135">
        <v>4.9000000000000004</v>
      </c>
      <c r="L1360" s="75">
        <v>2</v>
      </c>
      <c r="M1360" s="75" t="s">
        <v>635</v>
      </c>
      <c r="N1360" s="75" t="s">
        <v>146</v>
      </c>
      <c r="O1360" s="75"/>
    </row>
    <row r="1361" spans="9:15">
      <c r="I1361" s="133">
        <v>46109</v>
      </c>
      <c r="J1361" s="134">
        <v>0.42569444444444438</v>
      </c>
      <c r="K1361" s="135">
        <v>3.65</v>
      </c>
      <c r="L1361" s="75">
        <v>2</v>
      </c>
      <c r="M1361" s="75" t="s">
        <v>635</v>
      </c>
      <c r="N1361" s="75" t="s">
        <v>146</v>
      </c>
      <c r="O1361" s="75"/>
    </row>
    <row r="1362" spans="9:15">
      <c r="I1362" s="133">
        <v>46109</v>
      </c>
      <c r="J1362" s="134">
        <v>0.4513888888888889</v>
      </c>
      <c r="K1362" s="135">
        <v>1.4</v>
      </c>
      <c r="L1362" s="75">
        <v>1</v>
      </c>
      <c r="M1362" s="75" t="s">
        <v>635</v>
      </c>
      <c r="N1362" s="75" t="s">
        <v>146</v>
      </c>
      <c r="O1362" s="75"/>
    </row>
    <row r="1363" spans="9:15">
      <c r="I1363" s="133">
        <v>46109</v>
      </c>
      <c r="J1363" s="134">
        <v>0.46458333333333329</v>
      </c>
      <c r="K1363" s="135">
        <v>1.5</v>
      </c>
      <c r="L1363" s="75">
        <v>1</v>
      </c>
      <c r="M1363" s="75" t="s">
        <v>635</v>
      </c>
      <c r="N1363" s="75" t="s">
        <v>146</v>
      </c>
      <c r="O1363" s="75"/>
    </row>
    <row r="1364" spans="9:15">
      <c r="I1364" s="133">
        <v>46109</v>
      </c>
      <c r="J1364" s="134">
        <v>0.47708333333333341</v>
      </c>
      <c r="K1364" s="135">
        <v>1.4</v>
      </c>
      <c r="L1364" s="75">
        <v>1</v>
      </c>
      <c r="M1364" s="75" t="s">
        <v>635</v>
      </c>
      <c r="N1364" s="75" t="s">
        <v>146</v>
      </c>
      <c r="O1364" s="75"/>
    </row>
    <row r="1365" spans="9:15">
      <c r="I1365" s="133">
        <v>46109</v>
      </c>
      <c r="J1365" s="134">
        <v>0.47916666666666669</v>
      </c>
      <c r="K1365" s="135">
        <v>20.6</v>
      </c>
      <c r="L1365" s="75">
        <v>1</v>
      </c>
      <c r="M1365" s="75" t="s">
        <v>635</v>
      </c>
      <c r="N1365" s="75" t="s">
        <v>146</v>
      </c>
      <c r="O1365" s="75"/>
    </row>
    <row r="1366" spans="9:15">
      <c r="I1366" s="133">
        <v>46109</v>
      </c>
      <c r="J1366" s="134">
        <v>0.48958333333333331</v>
      </c>
      <c r="K1366" s="135">
        <v>1.7</v>
      </c>
      <c r="L1366" s="75">
        <v>1</v>
      </c>
      <c r="M1366" s="75" t="s">
        <v>635</v>
      </c>
      <c r="N1366" s="75" t="s">
        <v>146</v>
      </c>
      <c r="O1366" s="75"/>
    </row>
    <row r="1367" spans="9:15">
      <c r="I1367" s="133">
        <v>46109</v>
      </c>
      <c r="J1367" s="134">
        <v>0.49166666666666659</v>
      </c>
      <c r="K1367" s="135">
        <v>10.8</v>
      </c>
      <c r="L1367" s="75">
        <v>2</v>
      </c>
      <c r="M1367" s="75" t="s">
        <v>635</v>
      </c>
      <c r="N1367" s="75" t="s">
        <v>146</v>
      </c>
      <c r="O1367" s="75"/>
    </row>
    <row r="1368" spans="9:15">
      <c r="I1368" s="133">
        <v>46109</v>
      </c>
      <c r="J1368" s="134">
        <v>0.50486111111111109</v>
      </c>
      <c r="K1368" s="135">
        <v>1.94</v>
      </c>
      <c r="L1368" s="75">
        <v>1</v>
      </c>
      <c r="M1368" s="75" t="s">
        <v>635</v>
      </c>
      <c r="N1368" s="75" t="s">
        <v>494</v>
      </c>
      <c r="O1368" s="75"/>
    </row>
    <row r="1369" spans="9:15">
      <c r="I1369" s="133">
        <v>46109</v>
      </c>
      <c r="J1369" s="134">
        <v>0.56180555555555556</v>
      </c>
      <c r="K1369" s="135">
        <v>15.1</v>
      </c>
      <c r="L1369" s="75">
        <v>2</v>
      </c>
      <c r="M1369" s="75" t="s">
        <v>635</v>
      </c>
      <c r="N1369" s="75" t="s">
        <v>494</v>
      </c>
      <c r="O1369" s="75"/>
    </row>
    <row r="1370" spans="9:15">
      <c r="I1370" s="133">
        <v>46109</v>
      </c>
      <c r="J1370" s="134">
        <v>0.59305555555555556</v>
      </c>
      <c r="K1370" s="135">
        <v>48.6</v>
      </c>
      <c r="L1370" s="75">
        <v>2</v>
      </c>
      <c r="M1370" s="75" t="s">
        <v>635</v>
      </c>
      <c r="N1370" s="75" t="s">
        <v>494</v>
      </c>
      <c r="O1370" s="75"/>
    </row>
    <row r="1371" spans="9:15">
      <c r="I1371" s="133">
        <v>46109</v>
      </c>
      <c r="J1371" s="134">
        <v>0.66527777777777775</v>
      </c>
      <c r="K1371" s="135">
        <v>1.85</v>
      </c>
      <c r="L1371" s="75">
        <v>1</v>
      </c>
      <c r="M1371" s="75" t="s">
        <v>635</v>
      </c>
      <c r="N1371" s="75" t="s">
        <v>494</v>
      </c>
      <c r="O1371" s="75"/>
    </row>
    <row r="1372" spans="9:15">
      <c r="I1372" s="133">
        <v>46109</v>
      </c>
      <c r="J1372" s="134">
        <v>0.67083333333333328</v>
      </c>
      <c r="K1372" s="135">
        <v>52.7</v>
      </c>
      <c r="L1372" s="75">
        <v>3</v>
      </c>
      <c r="M1372" s="75" t="s">
        <v>635</v>
      </c>
      <c r="N1372" s="75" t="s">
        <v>494</v>
      </c>
      <c r="O1372" s="75"/>
    </row>
    <row r="1373" spans="9:15">
      <c r="I1373" s="133">
        <v>46109</v>
      </c>
      <c r="J1373" s="134">
        <v>0.8305555555555556</v>
      </c>
      <c r="K1373" s="135">
        <v>7.6</v>
      </c>
      <c r="L1373" s="75">
        <v>4</v>
      </c>
      <c r="M1373" s="75" t="s">
        <v>635</v>
      </c>
      <c r="N1373" s="75" t="s">
        <v>497</v>
      </c>
      <c r="O1373" s="75"/>
    </row>
    <row r="1374" spans="9:15">
      <c r="I1374" s="133">
        <v>46109</v>
      </c>
      <c r="J1374" s="134">
        <v>0.83888888888888891</v>
      </c>
      <c r="K1374" s="135">
        <v>7.45</v>
      </c>
      <c r="L1374" s="75">
        <v>3</v>
      </c>
      <c r="M1374" s="75" t="s">
        <v>635</v>
      </c>
      <c r="N1374" s="75" t="s">
        <v>497</v>
      </c>
      <c r="O1374" s="75"/>
    </row>
    <row r="1375" spans="9:15">
      <c r="I1375" s="133">
        <v>46109</v>
      </c>
      <c r="J1375" s="134">
        <v>0.85069444444444442</v>
      </c>
      <c r="K1375" s="135">
        <v>29.7</v>
      </c>
      <c r="L1375" s="75">
        <v>2</v>
      </c>
      <c r="M1375" s="75" t="s">
        <v>635</v>
      </c>
      <c r="N1375" s="75" t="s">
        <v>497</v>
      </c>
      <c r="O1375" s="75"/>
    </row>
    <row r="1376" spans="9:15">
      <c r="I1376" s="133">
        <v>46109</v>
      </c>
      <c r="J1376" s="134">
        <v>0.87569444444444444</v>
      </c>
      <c r="K1376" s="135">
        <v>38.450000000000003</v>
      </c>
      <c r="L1376" s="75">
        <v>5</v>
      </c>
      <c r="M1376" s="75" t="s">
        <v>635</v>
      </c>
      <c r="N1376" s="75" t="s">
        <v>497</v>
      </c>
      <c r="O1376" s="75"/>
    </row>
    <row r="1377" spans="9:15">
      <c r="I1377" s="133">
        <v>46109</v>
      </c>
      <c r="J1377" s="134">
        <v>0.98819444444444449</v>
      </c>
      <c r="K1377" s="135">
        <v>150.44999999999999</v>
      </c>
      <c r="L1377" s="75">
        <v>5</v>
      </c>
      <c r="M1377" s="75" t="s">
        <v>635</v>
      </c>
      <c r="N1377" s="75" t="s">
        <v>497</v>
      </c>
      <c r="O1377" s="75"/>
    </row>
    <row r="1378" spans="9:15">
      <c r="I1378" s="133">
        <v>46110</v>
      </c>
      <c r="J1378" s="134">
        <v>0.33888888888888891</v>
      </c>
      <c r="K1378" s="135">
        <v>4.8499999999999996</v>
      </c>
      <c r="L1378" s="75">
        <v>2</v>
      </c>
      <c r="M1378" s="75" t="s">
        <v>636</v>
      </c>
      <c r="N1378" s="75" t="s">
        <v>146</v>
      </c>
      <c r="O1378" s="75"/>
    </row>
    <row r="1379" spans="9:15">
      <c r="I1379" s="133">
        <v>46110</v>
      </c>
      <c r="J1379" s="134">
        <v>0.34444444444444439</v>
      </c>
      <c r="K1379" s="135">
        <v>2.5499999999999998</v>
      </c>
      <c r="L1379" s="75">
        <v>1</v>
      </c>
      <c r="M1379" s="75" t="s">
        <v>636</v>
      </c>
      <c r="N1379" s="75" t="s">
        <v>146</v>
      </c>
      <c r="O1379" s="75"/>
    </row>
    <row r="1380" spans="9:15">
      <c r="I1380" s="133">
        <v>46110</v>
      </c>
      <c r="J1380" s="134">
        <v>0.3576388888888889</v>
      </c>
      <c r="K1380" s="135">
        <v>1.5</v>
      </c>
      <c r="L1380" s="75">
        <v>1</v>
      </c>
      <c r="M1380" s="75" t="s">
        <v>636</v>
      </c>
      <c r="N1380" s="75" t="s">
        <v>146</v>
      </c>
      <c r="O1380" s="75"/>
    </row>
    <row r="1381" spans="9:15">
      <c r="I1381" s="133">
        <v>46110</v>
      </c>
      <c r="J1381" s="134">
        <v>0.41041666666666671</v>
      </c>
      <c r="K1381" s="135">
        <v>6.55</v>
      </c>
      <c r="L1381" s="75">
        <v>1</v>
      </c>
      <c r="M1381" s="75" t="s">
        <v>636</v>
      </c>
      <c r="N1381" s="75" t="s">
        <v>146</v>
      </c>
      <c r="O1381" s="75"/>
    </row>
    <row r="1382" spans="9:15">
      <c r="I1382" s="133">
        <v>46110</v>
      </c>
      <c r="J1382" s="134">
        <v>0.42916666666666659</v>
      </c>
      <c r="K1382" s="135">
        <v>1.5</v>
      </c>
      <c r="L1382" s="75">
        <v>1</v>
      </c>
      <c r="M1382" s="75" t="s">
        <v>636</v>
      </c>
      <c r="N1382" s="75" t="s">
        <v>146</v>
      </c>
      <c r="O1382" s="75"/>
    </row>
    <row r="1383" spans="9:15">
      <c r="I1383" s="133">
        <v>46110</v>
      </c>
      <c r="J1383" s="134">
        <v>0.42986111111111108</v>
      </c>
      <c r="K1383" s="135">
        <v>2.15</v>
      </c>
      <c r="L1383" s="75">
        <v>1</v>
      </c>
      <c r="M1383" s="75" t="s">
        <v>636</v>
      </c>
      <c r="N1383" s="75" t="s">
        <v>146</v>
      </c>
      <c r="O1383" s="75"/>
    </row>
    <row r="1384" spans="9:15">
      <c r="I1384" s="133">
        <v>46110</v>
      </c>
      <c r="J1384" s="134">
        <v>0.44097222222222221</v>
      </c>
      <c r="K1384" s="135">
        <v>4.95</v>
      </c>
      <c r="L1384" s="75">
        <v>1</v>
      </c>
      <c r="M1384" s="75" t="s">
        <v>636</v>
      </c>
      <c r="N1384" s="75" t="s">
        <v>146</v>
      </c>
      <c r="O1384" s="75"/>
    </row>
    <row r="1385" spans="9:15">
      <c r="I1385" s="133">
        <v>46110</v>
      </c>
      <c r="J1385" s="134">
        <v>0.44097222222222221</v>
      </c>
      <c r="K1385" s="135">
        <v>2.15</v>
      </c>
      <c r="L1385" s="75">
        <v>1</v>
      </c>
      <c r="M1385" s="75" t="s">
        <v>636</v>
      </c>
      <c r="N1385" s="75" t="s">
        <v>146</v>
      </c>
      <c r="O1385" s="75"/>
    </row>
    <row r="1386" spans="9:15">
      <c r="I1386" s="133">
        <v>46110</v>
      </c>
      <c r="J1386" s="134">
        <v>0.44444444444444442</v>
      </c>
      <c r="K1386" s="135">
        <v>8.5</v>
      </c>
      <c r="L1386" s="75">
        <v>2</v>
      </c>
      <c r="M1386" s="75" t="s">
        <v>636</v>
      </c>
      <c r="N1386" s="75" t="s">
        <v>146</v>
      </c>
      <c r="O1386" s="75"/>
    </row>
    <row r="1387" spans="9:15">
      <c r="I1387" s="133">
        <v>46110</v>
      </c>
      <c r="J1387" s="134">
        <v>0.44583333333333341</v>
      </c>
      <c r="K1387" s="135">
        <v>1.5</v>
      </c>
      <c r="L1387" s="75">
        <v>1</v>
      </c>
      <c r="M1387" s="75" t="s">
        <v>636</v>
      </c>
      <c r="N1387" s="75" t="s">
        <v>146</v>
      </c>
      <c r="O1387" s="75"/>
    </row>
    <row r="1388" spans="9:15">
      <c r="I1388" s="133">
        <v>46110</v>
      </c>
      <c r="J1388" s="134">
        <v>0.44583333333333341</v>
      </c>
      <c r="K1388" s="135">
        <v>9.9</v>
      </c>
      <c r="L1388" s="75">
        <v>2</v>
      </c>
      <c r="M1388" s="75" t="s">
        <v>636</v>
      </c>
      <c r="N1388" s="75" t="s">
        <v>146</v>
      </c>
      <c r="O1388" s="75"/>
    </row>
    <row r="1389" spans="9:15">
      <c r="I1389" s="133">
        <v>46110</v>
      </c>
      <c r="J1389" s="134">
        <v>0.45416666666666672</v>
      </c>
      <c r="K1389" s="135">
        <v>3.15</v>
      </c>
      <c r="L1389" s="75">
        <v>2</v>
      </c>
      <c r="M1389" s="75" t="s">
        <v>636</v>
      </c>
      <c r="N1389" s="75" t="s">
        <v>146</v>
      </c>
      <c r="O1389" s="75"/>
    </row>
    <row r="1390" spans="9:15">
      <c r="I1390" s="133">
        <v>46110</v>
      </c>
      <c r="J1390" s="134">
        <v>0.46111111111111108</v>
      </c>
      <c r="K1390" s="135">
        <v>11.55</v>
      </c>
      <c r="L1390" s="75">
        <v>2</v>
      </c>
      <c r="M1390" s="75" t="s">
        <v>636</v>
      </c>
      <c r="N1390" s="75" t="s">
        <v>146</v>
      </c>
      <c r="O1390" s="75"/>
    </row>
    <row r="1391" spans="9:15">
      <c r="I1391" s="133">
        <v>46110</v>
      </c>
      <c r="J1391" s="134">
        <v>0.48125000000000001</v>
      </c>
      <c r="K1391" s="135">
        <v>10.4</v>
      </c>
      <c r="L1391" s="75">
        <v>2</v>
      </c>
      <c r="M1391" s="75" t="s">
        <v>636</v>
      </c>
      <c r="N1391" s="75" t="s">
        <v>146</v>
      </c>
      <c r="O1391" s="75"/>
    </row>
    <row r="1392" spans="9:15">
      <c r="I1392" s="133">
        <v>46110</v>
      </c>
      <c r="J1392" s="134">
        <v>0.48333333333333328</v>
      </c>
      <c r="K1392" s="135">
        <v>5.4</v>
      </c>
      <c r="L1392" s="75">
        <v>1</v>
      </c>
      <c r="M1392" s="75" t="s">
        <v>636</v>
      </c>
      <c r="N1392" s="75" t="s">
        <v>146</v>
      </c>
      <c r="O1392" s="75"/>
    </row>
    <row r="1393" spans="9:15">
      <c r="I1393" s="133">
        <v>46110</v>
      </c>
      <c r="J1393" s="134">
        <v>0.50277777777777777</v>
      </c>
      <c r="K1393" s="135">
        <v>7.15</v>
      </c>
      <c r="L1393" s="75">
        <v>3</v>
      </c>
      <c r="M1393" s="75" t="s">
        <v>636</v>
      </c>
      <c r="N1393" s="75" t="s">
        <v>494</v>
      </c>
      <c r="O1393" s="75"/>
    </row>
    <row r="1394" spans="9:15">
      <c r="I1394" s="133">
        <v>46110</v>
      </c>
      <c r="J1394" s="134">
        <v>0.50555555555555554</v>
      </c>
      <c r="K1394" s="135">
        <v>1.95</v>
      </c>
      <c r="L1394" s="75">
        <v>1</v>
      </c>
      <c r="M1394" s="75" t="s">
        <v>636</v>
      </c>
      <c r="N1394" s="75" t="s">
        <v>494</v>
      </c>
      <c r="O1394" s="75"/>
    </row>
    <row r="1395" spans="9:15">
      <c r="I1395" s="133">
        <v>46110</v>
      </c>
      <c r="J1395" s="134">
        <v>0.54027777777777775</v>
      </c>
      <c r="K1395" s="135">
        <v>3.75</v>
      </c>
      <c r="L1395" s="75">
        <v>2</v>
      </c>
      <c r="M1395" s="75" t="s">
        <v>636</v>
      </c>
      <c r="N1395" s="75" t="s">
        <v>494</v>
      </c>
      <c r="O1395" s="75"/>
    </row>
    <row r="1396" spans="9:15">
      <c r="I1396" s="133">
        <v>46110</v>
      </c>
      <c r="J1396" s="134">
        <v>0.5493055555555556</v>
      </c>
      <c r="K1396" s="135">
        <v>3.65</v>
      </c>
      <c r="L1396" s="75">
        <v>2</v>
      </c>
      <c r="M1396" s="75" t="s">
        <v>636</v>
      </c>
      <c r="N1396" s="75" t="s">
        <v>494</v>
      </c>
      <c r="O1396" s="75"/>
    </row>
    <row r="1397" spans="9:15">
      <c r="I1397" s="133">
        <v>46110</v>
      </c>
      <c r="J1397" s="134">
        <v>0.55972222222222223</v>
      </c>
      <c r="K1397" s="135">
        <v>9.65</v>
      </c>
      <c r="L1397" s="75">
        <v>2</v>
      </c>
      <c r="M1397" s="75" t="s">
        <v>636</v>
      </c>
      <c r="N1397" s="75" t="s">
        <v>494</v>
      </c>
      <c r="O1397" s="75"/>
    </row>
    <row r="1398" spans="9:15">
      <c r="I1398" s="133">
        <v>46110</v>
      </c>
      <c r="J1398" s="134">
        <v>0.56874999999999998</v>
      </c>
      <c r="K1398" s="135">
        <v>10.85</v>
      </c>
      <c r="L1398" s="75">
        <v>2</v>
      </c>
      <c r="M1398" s="75" t="s">
        <v>636</v>
      </c>
      <c r="N1398" s="75" t="s">
        <v>494</v>
      </c>
      <c r="O1398" s="75"/>
    </row>
    <row r="1399" spans="9:15">
      <c r="I1399" s="133">
        <v>46110</v>
      </c>
      <c r="J1399" s="134">
        <v>0.57222222222222219</v>
      </c>
      <c r="K1399" s="135">
        <v>10.45</v>
      </c>
      <c r="L1399" s="75">
        <v>2</v>
      </c>
      <c r="M1399" s="75" t="s">
        <v>636</v>
      </c>
      <c r="N1399" s="75" t="s">
        <v>494</v>
      </c>
      <c r="O1399" s="75"/>
    </row>
    <row r="1400" spans="9:15">
      <c r="I1400" s="133">
        <v>46110</v>
      </c>
      <c r="J1400" s="134">
        <v>0.59583333333333333</v>
      </c>
      <c r="K1400" s="135">
        <v>22.85</v>
      </c>
      <c r="L1400" s="75">
        <v>2</v>
      </c>
      <c r="M1400" s="75" t="s">
        <v>636</v>
      </c>
      <c r="N1400" s="75" t="s">
        <v>494</v>
      </c>
      <c r="O1400" s="75"/>
    </row>
    <row r="1401" spans="9:15">
      <c r="I1401" s="133">
        <v>46110</v>
      </c>
      <c r="J1401" s="134">
        <v>0.59930555555555554</v>
      </c>
      <c r="K1401" s="135">
        <v>6.5</v>
      </c>
      <c r="L1401" s="75">
        <v>1</v>
      </c>
      <c r="M1401" s="75" t="s">
        <v>636</v>
      </c>
      <c r="N1401" s="75" t="s">
        <v>494</v>
      </c>
      <c r="O1401" s="75"/>
    </row>
    <row r="1402" spans="9:15">
      <c r="I1402" s="133">
        <v>46113</v>
      </c>
      <c r="J1402" s="134">
        <v>0.29444444444444451</v>
      </c>
      <c r="K1402" s="135">
        <v>1.7</v>
      </c>
      <c r="L1402" s="75">
        <v>1</v>
      </c>
      <c r="M1402" s="75" t="s">
        <v>637</v>
      </c>
      <c r="N1402" s="75" t="s">
        <v>146</v>
      </c>
      <c r="O1402" s="75"/>
    </row>
    <row r="1403" spans="9:15">
      <c r="I1403" s="133">
        <v>46113</v>
      </c>
      <c r="J1403" s="134">
        <v>0.30138888888888887</v>
      </c>
      <c r="K1403" s="135">
        <v>6.55</v>
      </c>
      <c r="L1403" s="75">
        <v>1</v>
      </c>
      <c r="M1403" s="75" t="s">
        <v>637</v>
      </c>
      <c r="N1403" s="75" t="s">
        <v>146</v>
      </c>
      <c r="O1403" s="75"/>
    </row>
    <row r="1404" spans="9:15">
      <c r="I1404" s="133">
        <v>46113</v>
      </c>
      <c r="J1404" s="134">
        <v>0.31458333333333333</v>
      </c>
      <c r="K1404" s="135">
        <v>3.7</v>
      </c>
      <c r="L1404" s="75">
        <v>1</v>
      </c>
      <c r="M1404" s="75" t="s">
        <v>637</v>
      </c>
      <c r="N1404" s="75" t="s">
        <v>146</v>
      </c>
      <c r="O1404" s="75"/>
    </row>
    <row r="1405" spans="9:15">
      <c r="I1405" s="133">
        <v>46113</v>
      </c>
      <c r="J1405" s="134">
        <v>0.33333333333333331</v>
      </c>
      <c r="K1405" s="135">
        <v>1.7</v>
      </c>
      <c r="L1405" s="75">
        <v>1</v>
      </c>
      <c r="M1405" s="75" t="s">
        <v>637</v>
      </c>
      <c r="N1405" s="75" t="s">
        <v>146</v>
      </c>
      <c r="O1405" s="75"/>
    </row>
    <row r="1406" spans="9:15">
      <c r="I1406" s="133">
        <v>46113</v>
      </c>
      <c r="J1406" s="134">
        <v>0.33750000000000002</v>
      </c>
      <c r="K1406" s="135">
        <v>7.5</v>
      </c>
      <c r="L1406" s="75">
        <v>1</v>
      </c>
      <c r="M1406" s="75" t="s">
        <v>637</v>
      </c>
      <c r="N1406" s="75" t="s">
        <v>146</v>
      </c>
      <c r="O1406" s="75"/>
    </row>
    <row r="1407" spans="9:15">
      <c r="I1407" s="133">
        <v>46113</v>
      </c>
      <c r="J1407" s="134">
        <v>0.33819444444444452</v>
      </c>
      <c r="K1407" s="135">
        <v>2.5499999999999998</v>
      </c>
      <c r="L1407" s="75">
        <v>1</v>
      </c>
      <c r="M1407" s="75" t="s">
        <v>637</v>
      </c>
      <c r="N1407" s="75" t="s">
        <v>146</v>
      </c>
      <c r="O1407" s="75"/>
    </row>
    <row r="1408" spans="9:15">
      <c r="I1408" s="133">
        <v>46113</v>
      </c>
      <c r="J1408" s="134">
        <v>0.34305555555555561</v>
      </c>
      <c r="K1408" s="135">
        <v>1.5</v>
      </c>
      <c r="L1408" s="75">
        <v>1</v>
      </c>
      <c r="M1408" s="75" t="s">
        <v>637</v>
      </c>
      <c r="N1408" s="75" t="s">
        <v>146</v>
      </c>
      <c r="O1408" s="75"/>
    </row>
    <row r="1409" spans="9:15">
      <c r="I1409" s="133">
        <v>46113</v>
      </c>
      <c r="J1409" s="134">
        <v>0.35208333333333341</v>
      </c>
      <c r="K1409" s="135">
        <v>1.4</v>
      </c>
      <c r="L1409" s="75">
        <v>1</v>
      </c>
      <c r="M1409" s="75" t="s">
        <v>637</v>
      </c>
      <c r="N1409" s="75" t="s">
        <v>146</v>
      </c>
      <c r="O1409" s="75"/>
    </row>
    <row r="1410" spans="9:15">
      <c r="I1410" s="133">
        <v>46113</v>
      </c>
      <c r="J1410" s="134">
        <v>0.3611111111111111</v>
      </c>
      <c r="K1410" s="135">
        <v>1.7</v>
      </c>
      <c r="L1410" s="75">
        <v>1</v>
      </c>
      <c r="M1410" s="75" t="s">
        <v>637</v>
      </c>
      <c r="N1410" s="75" t="s">
        <v>146</v>
      </c>
      <c r="O1410" s="75"/>
    </row>
    <row r="1411" spans="9:15">
      <c r="I1411" s="133">
        <v>46113</v>
      </c>
      <c r="J1411" s="134">
        <v>0.3840277777777778</v>
      </c>
      <c r="K1411" s="135">
        <v>1.55</v>
      </c>
      <c r="L1411" s="75">
        <v>1</v>
      </c>
      <c r="M1411" s="75" t="s">
        <v>637</v>
      </c>
      <c r="N1411" s="75" t="s">
        <v>146</v>
      </c>
      <c r="O1411" s="75"/>
    </row>
    <row r="1412" spans="9:15">
      <c r="I1412" s="133">
        <v>46113</v>
      </c>
      <c r="J1412" s="134">
        <v>0.38750000000000001</v>
      </c>
      <c r="K1412" s="135">
        <v>4.8</v>
      </c>
      <c r="L1412" s="75">
        <v>1</v>
      </c>
      <c r="M1412" s="75" t="s">
        <v>637</v>
      </c>
      <c r="N1412" s="75" t="s">
        <v>146</v>
      </c>
      <c r="O1412" s="75"/>
    </row>
    <row r="1413" spans="9:15">
      <c r="I1413" s="133">
        <v>46113</v>
      </c>
      <c r="J1413" s="134">
        <v>0.38819444444444451</v>
      </c>
      <c r="K1413" s="135">
        <v>2.9</v>
      </c>
      <c r="L1413" s="75">
        <v>2</v>
      </c>
      <c r="M1413" s="75" t="s">
        <v>637</v>
      </c>
      <c r="N1413" s="75" t="s">
        <v>146</v>
      </c>
      <c r="O1413" s="75"/>
    </row>
    <row r="1414" spans="9:15">
      <c r="I1414" s="133">
        <v>46113</v>
      </c>
      <c r="J1414" s="134">
        <v>0.40277777777777779</v>
      </c>
      <c r="K1414" s="135">
        <v>1.7</v>
      </c>
      <c r="L1414" s="75">
        <v>1</v>
      </c>
      <c r="M1414" s="75" t="s">
        <v>637</v>
      </c>
      <c r="N1414" s="75" t="s">
        <v>146</v>
      </c>
      <c r="O1414" s="75"/>
    </row>
    <row r="1415" spans="9:15">
      <c r="I1415" s="133">
        <v>46113</v>
      </c>
      <c r="J1415" s="134">
        <v>0.40486111111111112</v>
      </c>
      <c r="K1415" s="135">
        <v>2.15</v>
      </c>
      <c r="L1415" s="75">
        <v>1</v>
      </c>
      <c r="M1415" s="75" t="s">
        <v>637</v>
      </c>
      <c r="N1415" s="75" t="s">
        <v>146</v>
      </c>
      <c r="O1415" s="75"/>
    </row>
    <row r="1416" spans="9:15">
      <c r="I1416" s="133">
        <v>46113</v>
      </c>
      <c r="J1416" s="134">
        <v>0.40833333333333333</v>
      </c>
      <c r="K1416" s="135">
        <v>1.95</v>
      </c>
      <c r="L1416" s="75">
        <v>1</v>
      </c>
      <c r="M1416" s="75" t="s">
        <v>637</v>
      </c>
      <c r="N1416" s="75" t="s">
        <v>146</v>
      </c>
      <c r="O1416" s="75"/>
    </row>
    <row r="1417" spans="9:15">
      <c r="I1417" s="133">
        <v>46113</v>
      </c>
      <c r="J1417" s="134">
        <v>0.42499999999999999</v>
      </c>
      <c r="K1417" s="135">
        <v>9.4499999999999993</v>
      </c>
      <c r="L1417" s="75">
        <v>2</v>
      </c>
      <c r="M1417" s="75" t="s">
        <v>637</v>
      </c>
      <c r="N1417" s="75" t="s">
        <v>146</v>
      </c>
      <c r="O1417" s="75"/>
    </row>
    <row r="1418" spans="9:15">
      <c r="I1418" s="133">
        <v>46113</v>
      </c>
      <c r="J1418" s="134">
        <v>0.44027777777777782</v>
      </c>
      <c r="K1418" s="135">
        <v>2.95</v>
      </c>
      <c r="L1418" s="75">
        <v>1</v>
      </c>
      <c r="M1418" s="75" t="s">
        <v>637</v>
      </c>
      <c r="N1418" s="75" t="s">
        <v>146</v>
      </c>
      <c r="O1418" s="75"/>
    </row>
    <row r="1419" spans="9:15">
      <c r="I1419" s="133">
        <v>46113</v>
      </c>
      <c r="J1419" s="134">
        <v>0.44861111111111113</v>
      </c>
      <c r="K1419" s="135">
        <v>9.35</v>
      </c>
      <c r="L1419" s="75">
        <v>1</v>
      </c>
      <c r="M1419" s="75" t="s">
        <v>637</v>
      </c>
      <c r="N1419" s="75" t="s">
        <v>146</v>
      </c>
      <c r="O1419" s="75"/>
    </row>
    <row r="1420" spans="9:15">
      <c r="I1420" s="133">
        <v>46113</v>
      </c>
      <c r="J1420" s="134">
        <v>0.45</v>
      </c>
      <c r="K1420" s="135">
        <v>2.0499999999999998</v>
      </c>
      <c r="L1420" s="75">
        <v>1</v>
      </c>
      <c r="M1420" s="75" t="s">
        <v>637</v>
      </c>
      <c r="N1420" s="75" t="s">
        <v>146</v>
      </c>
      <c r="O1420" s="75"/>
    </row>
    <row r="1421" spans="9:15">
      <c r="I1421" s="133">
        <v>46113</v>
      </c>
      <c r="J1421" s="134">
        <v>0.4548611111111111</v>
      </c>
      <c r="K1421" s="135">
        <v>2.4500000000000002</v>
      </c>
      <c r="L1421" s="75">
        <v>1</v>
      </c>
      <c r="M1421" s="75" t="s">
        <v>637</v>
      </c>
      <c r="N1421" s="75" t="s">
        <v>146</v>
      </c>
      <c r="O1421" s="75"/>
    </row>
    <row r="1422" spans="9:15">
      <c r="I1422" s="133">
        <v>46113</v>
      </c>
      <c r="J1422" s="134">
        <v>0.46597222222222218</v>
      </c>
      <c r="K1422" s="135">
        <v>5.4</v>
      </c>
      <c r="L1422" s="75">
        <v>1</v>
      </c>
      <c r="M1422" s="75" t="s">
        <v>637</v>
      </c>
      <c r="N1422" s="75" t="s">
        <v>146</v>
      </c>
      <c r="O1422" s="75"/>
    </row>
    <row r="1423" spans="9:15">
      <c r="I1423" s="133">
        <v>46113</v>
      </c>
      <c r="J1423" s="134">
        <v>0.47569444444444442</v>
      </c>
      <c r="K1423" s="135">
        <v>1.5</v>
      </c>
      <c r="L1423" s="75">
        <v>1</v>
      </c>
      <c r="M1423" s="75" t="s">
        <v>637</v>
      </c>
      <c r="N1423" s="75" t="s">
        <v>146</v>
      </c>
      <c r="O1423" s="75"/>
    </row>
    <row r="1424" spans="9:15">
      <c r="I1424" s="133">
        <v>46113</v>
      </c>
      <c r="J1424" s="134">
        <v>0.4777777777777778</v>
      </c>
      <c r="K1424" s="135">
        <v>4.5999999999999996</v>
      </c>
      <c r="L1424" s="75">
        <v>1</v>
      </c>
      <c r="M1424" s="75" t="s">
        <v>637</v>
      </c>
      <c r="N1424" s="75" t="s">
        <v>146</v>
      </c>
      <c r="O1424" s="75"/>
    </row>
    <row r="1425" spans="9:15">
      <c r="I1425" s="133">
        <v>46113</v>
      </c>
      <c r="J1425" s="134">
        <v>0.51041666666666663</v>
      </c>
      <c r="K1425" s="135">
        <v>1.7</v>
      </c>
      <c r="L1425" s="75">
        <v>1</v>
      </c>
      <c r="M1425" s="75" t="s">
        <v>637</v>
      </c>
      <c r="N1425" s="75" t="s">
        <v>494</v>
      </c>
      <c r="O1425" s="75"/>
    </row>
    <row r="1426" spans="9:15">
      <c r="I1426" s="133">
        <v>46113</v>
      </c>
      <c r="J1426" s="134">
        <v>0.53194444444444444</v>
      </c>
      <c r="K1426" s="135">
        <v>2.5</v>
      </c>
      <c r="L1426" s="75">
        <v>1</v>
      </c>
      <c r="M1426" s="75" t="s">
        <v>637</v>
      </c>
      <c r="N1426" s="75" t="s">
        <v>494</v>
      </c>
      <c r="O1426" s="75"/>
    </row>
    <row r="1427" spans="9:15">
      <c r="I1427" s="133">
        <v>46113</v>
      </c>
      <c r="J1427" s="134">
        <v>0.55555555555555558</v>
      </c>
      <c r="K1427" s="135">
        <v>6.8</v>
      </c>
      <c r="L1427" s="75">
        <v>2</v>
      </c>
      <c r="M1427" s="75" t="s">
        <v>637</v>
      </c>
      <c r="N1427" s="75" t="s">
        <v>494</v>
      </c>
      <c r="O1427" s="75"/>
    </row>
    <row r="1428" spans="9:15">
      <c r="I1428" s="133">
        <v>46113</v>
      </c>
      <c r="J1428" s="134">
        <v>0.59236111111111112</v>
      </c>
      <c r="K1428" s="135">
        <v>3.4</v>
      </c>
      <c r="L1428" s="75">
        <v>2</v>
      </c>
      <c r="M1428" s="75" t="s">
        <v>637</v>
      </c>
      <c r="N1428" s="75" t="s">
        <v>494</v>
      </c>
      <c r="O1428" s="75"/>
    </row>
    <row r="1429" spans="9:15">
      <c r="I1429" s="133">
        <v>46113</v>
      </c>
      <c r="J1429" s="134">
        <v>0.60138888888888886</v>
      </c>
      <c r="K1429" s="135">
        <v>42.2</v>
      </c>
      <c r="L1429" s="75">
        <v>2</v>
      </c>
      <c r="M1429" s="75" t="s">
        <v>637</v>
      </c>
      <c r="N1429" s="75" t="s">
        <v>494</v>
      </c>
      <c r="O1429" s="75"/>
    </row>
    <row r="1430" spans="9:15">
      <c r="I1430" s="133">
        <v>46113</v>
      </c>
      <c r="J1430" s="134">
        <v>0.60555555555555551</v>
      </c>
      <c r="K1430" s="135">
        <v>46.8</v>
      </c>
      <c r="L1430" s="75">
        <v>2</v>
      </c>
      <c r="M1430" s="75" t="s">
        <v>637</v>
      </c>
      <c r="N1430" s="75" t="s">
        <v>494</v>
      </c>
      <c r="O1430" s="75"/>
    </row>
    <row r="1431" spans="9:15">
      <c r="I1431" s="133">
        <v>46113</v>
      </c>
      <c r="J1431" s="134">
        <v>0.61736111111111114</v>
      </c>
      <c r="K1431" s="135">
        <v>1.5</v>
      </c>
      <c r="L1431" s="75">
        <v>2</v>
      </c>
      <c r="M1431" s="75" t="s">
        <v>637</v>
      </c>
      <c r="N1431" s="75" t="s">
        <v>494</v>
      </c>
      <c r="O1431" s="75"/>
    </row>
    <row r="1432" spans="9:15">
      <c r="I1432" s="133">
        <v>46113</v>
      </c>
      <c r="J1432" s="134">
        <v>0.62291666666666667</v>
      </c>
      <c r="K1432" s="135">
        <v>34.950000000000003</v>
      </c>
      <c r="L1432" s="75">
        <v>2</v>
      </c>
      <c r="M1432" s="75" t="s">
        <v>637</v>
      </c>
      <c r="N1432" s="75" t="s">
        <v>494</v>
      </c>
      <c r="O1432" s="75"/>
    </row>
    <row r="1433" spans="9:15">
      <c r="I1433" s="133">
        <v>46113</v>
      </c>
      <c r="J1433" s="134">
        <v>0.62361111111111112</v>
      </c>
      <c r="K1433" s="135">
        <v>1.7</v>
      </c>
      <c r="L1433" s="75">
        <v>1</v>
      </c>
      <c r="M1433" s="75" t="s">
        <v>637</v>
      </c>
      <c r="N1433" s="75" t="s">
        <v>494</v>
      </c>
      <c r="O1433" s="75"/>
    </row>
    <row r="1434" spans="9:15">
      <c r="I1434" s="133">
        <v>46113</v>
      </c>
      <c r="J1434" s="134">
        <v>0.63472222222222219</v>
      </c>
      <c r="K1434" s="135">
        <v>33.799999999999997</v>
      </c>
      <c r="L1434" s="75">
        <v>2</v>
      </c>
      <c r="M1434" s="75" t="s">
        <v>637</v>
      </c>
      <c r="N1434" s="75" t="s">
        <v>494</v>
      </c>
      <c r="O1434" s="75"/>
    </row>
    <row r="1435" spans="9:15">
      <c r="I1435" s="133">
        <v>46113</v>
      </c>
      <c r="J1435" s="134">
        <v>0.64722222222222225</v>
      </c>
      <c r="K1435" s="135">
        <v>1.85</v>
      </c>
      <c r="L1435" s="75">
        <v>1</v>
      </c>
      <c r="M1435" s="75" t="s">
        <v>637</v>
      </c>
      <c r="N1435" s="75" t="s">
        <v>494</v>
      </c>
      <c r="O1435" s="75"/>
    </row>
    <row r="1436" spans="9:15">
      <c r="I1436" s="133">
        <v>46113</v>
      </c>
      <c r="J1436" s="134">
        <v>0.65138888888888891</v>
      </c>
      <c r="K1436" s="135">
        <v>18.55</v>
      </c>
      <c r="L1436" s="75">
        <v>2</v>
      </c>
      <c r="M1436" s="75" t="s">
        <v>637</v>
      </c>
      <c r="N1436" s="75" t="s">
        <v>494</v>
      </c>
      <c r="O1436" s="75"/>
    </row>
    <row r="1437" spans="9:15">
      <c r="I1437" s="133">
        <v>46113</v>
      </c>
      <c r="J1437" s="134">
        <v>0.85486111111111107</v>
      </c>
      <c r="K1437" s="135">
        <v>63.7</v>
      </c>
      <c r="L1437" s="75">
        <v>3</v>
      </c>
      <c r="M1437" s="75" t="s">
        <v>637</v>
      </c>
      <c r="N1437" s="75" t="s">
        <v>497</v>
      </c>
      <c r="O1437" s="75"/>
    </row>
    <row r="1438" spans="9:15">
      <c r="I1438" s="133">
        <v>46113</v>
      </c>
      <c r="J1438" s="134">
        <v>0.89652777777777781</v>
      </c>
      <c r="K1438" s="135">
        <v>5</v>
      </c>
      <c r="L1438" s="75">
        <v>2</v>
      </c>
      <c r="M1438" s="75" t="s">
        <v>637</v>
      </c>
      <c r="N1438" s="75" t="s">
        <v>497</v>
      </c>
      <c r="O1438" s="75"/>
    </row>
    <row r="1439" spans="9:15">
      <c r="I1439" s="133">
        <v>46113</v>
      </c>
      <c r="J1439" s="134">
        <v>0.8979166666666667</v>
      </c>
      <c r="K1439" s="135">
        <v>11</v>
      </c>
      <c r="L1439" s="75">
        <v>1</v>
      </c>
      <c r="M1439" s="75" t="s">
        <v>637</v>
      </c>
      <c r="N1439" s="75" t="s">
        <v>497</v>
      </c>
      <c r="O1439" s="75"/>
    </row>
    <row r="1440" spans="9:15">
      <c r="I1440" s="133">
        <v>46113</v>
      </c>
      <c r="J1440" s="134">
        <v>0.90555555555555556</v>
      </c>
      <c r="K1440" s="135">
        <v>5.6</v>
      </c>
      <c r="L1440" s="75">
        <v>4</v>
      </c>
      <c r="M1440" s="75" t="s">
        <v>637</v>
      </c>
      <c r="N1440" s="75" t="s">
        <v>497</v>
      </c>
      <c r="O1440" s="75"/>
    </row>
    <row r="1441" spans="9:15">
      <c r="I1441" s="133">
        <v>46113</v>
      </c>
      <c r="J1441" s="134">
        <v>0.91249999999999998</v>
      </c>
      <c r="K1441" s="135">
        <v>35.4</v>
      </c>
      <c r="L1441" s="75">
        <v>1</v>
      </c>
      <c r="M1441" s="75" t="s">
        <v>637</v>
      </c>
      <c r="N1441" s="75" t="s">
        <v>497</v>
      </c>
      <c r="O1441" s="75"/>
    </row>
    <row r="1442" spans="9:15">
      <c r="I1442" s="133">
        <v>46114</v>
      </c>
      <c r="J1442" s="134">
        <v>0.31111111111111112</v>
      </c>
      <c r="K1442" s="135">
        <v>3.45</v>
      </c>
      <c r="L1442" s="75">
        <v>1</v>
      </c>
      <c r="M1442" s="75" t="s">
        <v>638</v>
      </c>
      <c r="N1442" s="75" t="s">
        <v>146</v>
      </c>
      <c r="O1442" s="75"/>
    </row>
    <row r="1443" spans="9:15">
      <c r="I1443" s="133">
        <v>46114</v>
      </c>
      <c r="J1443" s="134">
        <v>0.33819444444444452</v>
      </c>
      <c r="K1443" s="135">
        <v>6.5</v>
      </c>
      <c r="L1443" s="75">
        <v>1</v>
      </c>
      <c r="M1443" s="75" t="s">
        <v>638</v>
      </c>
      <c r="N1443" s="75" t="s">
        <v>146</v>
      </c>
      <c r="O1443" s="75"/>
    </row>
    <row r="1444" spans="9:15">
      <c r="I1444" s="133">
        <v>46114</v>
      </c>
      <c r="J1444" s="134">
        <v>0.34236111111111112</v>
      </c>
      <c r="K1444" s="135">
        <v>1.4</v>
      </c>
      <c r="L1444" s="75">
        <v>1</v>
      </c>
      <c r="M1444" s="75" t="s">
        <v>638</v>
      </c>
      <c r="N1444" s="75" t="s">
        <v>146</v>
      </c>
      <c r="O1444" s="75"/>
    </row>
    <row r="1445" spans="9:15">
      <c r="I1445" s="133">
        <v>46114</v>
      </c>
      <c r="J1445" s="134">
        <v>0.35138888888888892</v>
      </c>
      <c r="K1445" s="135">
        <v>1.5</v>
      </c>
      <c r="L1445" s="75">
        <v>1</v>
      </c>
      <c r="M1445" s="75" t="s">
        <v>638</v>
      </c>
      <c r="N1445" s="75" t="s">
        <v>146</v>
      </c>
      <c r="O1445" s="75"/>
    </row>
    <row r="1446" spans="9:15">
      <c r="I1446" s="133">
        <v>46114</v>
      </c>
      <c r="J1446" s="134">
        <v>0.35694444444444451</v>
      </c>
      <c r="K1446" s="135">
        <v>1.55</v>
      </c>
      <c r="L1446" s="75">
        <v>1</v>
      </c>
      <c r="M1446" s="75" t="s">
        <v>638</v>
      </c>
      <c r="N1446" s="75" t="s">
        <v>146</v>
      </c>
      <c r="O1446" s="75"/>
    </row>
    <row r="1447" spans="9:15">
      <c r="I1447" s="133">
        <v>46114</v>
      </c>
      <c r="J1447" s="134">
        <v>0.3611111111111111</v>
      </c>
      <c r="K1447" s="135">
        <v>1.7</v>
      </c>
      <c r="L1447" s="75">
        <v>1</v>
      </c>
      <c r="M1447" s="75" t="s">
        <v>638</v>
      </c>
      <c r="N1447" s="75" t="s">
        <v>146</v>
      </c>
      <c r="O1447" s="75"/>
    </row>
    <row r="1448" spans="9:15">
      <c r="I1448" s="133">
        <v>46114</v>
      </c>
      <c r="J1448" s="134">
        <v>0.36944444444444452</v>
      </c>
      <c r="K1448" s="135">
        <v>9.3000000000000007</v>
      </c>
      <c r="L1448" s="75">
        <v>1</v>
      </c>
      <c r="M1448" s="75" t="s">
        <v>638</v>
      </c>
      <c r="N1448" s="75" t="s">
        <v>146</v>
      </c>
      <c r="O1448" s="75"/>
    </row>
    <row r="1449" spans="9:15">
      <c r="I1449" s="133">
        <v>46114</v>
      </c>
      <c r="J1449" s="134">
        <v>0.37013888888888891</v>
      </c>
      <c r="K1449" s="135">
        <v>9.6</v>
      </c>
      <c r="L1449" s="75">
        <v>3</v>
      </c>
      <c r="M1449" s="75" t="s">
        <v>638</v>
      </c>
      <c r="N1449" s="75" t="s">
        <v>146</v>
      </c>
      <c r="O1449" s="75"/>
    </row>
    <row r="1450" spans="9:15">
      <c r="I1450" s="133">
        <v>46114</v>
      </c>
      <c r="J1450" s="134">
        <v>0.40138888888888891</v>
      </c>
      <c r="K1450" s="135">
        <v>6.1</v>
      </c>
      <c r="L1450" s="75">
        <v>2</v>
      </c>
      <c r="M1450" s="75" t="s">
        <v>638</v>
      </c>
      <c r="N1450" s="75" t="s">
        <v>146</v>
      </c>
      <c r="O1450" s="75"/>
    </row>
    <row r="1451" spans="9:15">
      <c r="I1451" s="133">
        <v>46114</v>
      </c>
      <c r="J1451" s="134">
        <v>0.40763888888888888</v>
      </c>
      <c r="K1451" s="135">
        <v>1.85</v>
      </c>
      <c r="L1451" s="75">
        <v>1</v>
      </c>
      <c r="M1451" s="75" t="s">
        <v>638</v>
      </c>
      <c r="N1451" s="75" t="s">
        <v>146</v>
      </c>
      <c r="O1451" s="75"/>
    </row>
    <row r="1452" spans="9:15">
      <c r="I1452" s="133">
        <v>46114</v>
      </c>
      <c r="J1452" s="134">
        <v>0.41249999999999998</v>
      </c>
      <c r="K1452" s="135">
        <v>1.5</v>
      </c>
      <c r="L1452" s="75">
        <v>1</v>
      </c>
      <c r="M1452" s="75" t="s">
        <v>638</v>
      </c>
      <c r="N1452" s="75" t="s">
        <v>146</v>
      </c>
      <c r="O1452" s="75"/>
    </row>
    <row r="1453" spans="9:15">
      <c r="I1453" s="133">
        <v>46114</v>
      </c>
      <c r="J1453" s="134">
        <v>0.42708333333333331</v>
      </c>
      <c r="K1453" s="135">
        <v>1.5</v>
      </c>
      <c r="L1453" s="75">
        <v>1</v>
      </c>
      <c r="M1453" s="75" t="s">
        <v>638</v>
      </c>
      <c r="N1453" s="75" t="s">
        <v>146</v>
      </c>
      <c r="O1453" s="75"/>
    </row>
    <row r="1454" spans="9:15">
      <c r="I1454" s="133">
        <v>46114</v>
      </c>
      <c r="J1454" s="134">
        <v>0.4284722222222222</v>
      </c>
      <c r="K1454" s="135">
        <v>9.85</v>
      </c>
      <c r="L1454" s="75">
        <v>1</v>
      </c>
      <c r="M1454" s="75" t="s">
        <v>638</v>
      </c>
      <c r="N1454" s="75" t="s">
        <v>146</v>
      </c>
      <c r="O1454" s="75"/>
    </row>
    <row r="1455" spans="9:15">
      <c r="I1455" s="133">
        <v>46114</v>
      </c>
      <c r="J1455" s="134">
        <v>0.4513888888888889</v>
      </c>
      <c r="K1455" s="135">
        <v>3.5</v>
      </c>
      <c r="L1455" s="75">
        <v>2</v>
      </c>
      <c r="M1455" s="75" t="s">
        <v>638</v>
      </c>
      <c r="N1455" s="75" t="s">
        <v>146</v>
      </c>
      <c r="O1455" s="75"/>
    </row>
    <row r="1456" spans="9:15">
      <c r="I1456" s="133">
        <v>46114</v>
      </c>
      <c r="J1456" s="134">
        <v>0.46250000000000002</v>
      </c>
      <c r="K1456" s="135">
        <v>1.4</v>
      </c>
      <c r="L1456" s="75">
        <v>1</v>
      </c>
      <c r="M1456" s="75" t="s">
        <v>638</v>
      </c>
      <c r="N1456" s="75" t="s">
        <v>146</v>
      </c>
      <c r="O1456" s="75"/>
    </row>
    <row r="1457" spans="9:15">
      <c r="I1457" s="133">
        <v>46114</v>
      </c>
      <c r="J1457" s="134">
        <v>0.47222222222222221</v>
      </c>
      <c r="K1457" s="135">
        <v>1.4</v>
      </c>
      <c r="L1457" s="75">
        <v>1</v>
      </c>
      <c r="M1457" s="75" t="s">
        <v>638</v>
      </c>
      <c r="N1457" s="75" t="s">
        <v>146</v>
      </c>
      <c r="O1457" s="75"/>
    </row>
    <row r="1458" spans="9:15">
      <c r="I1458" s="133">
        <v>46114</v>
      </c>
      <c r="J1458" s="134">
        <v>0.49305555555555558</v>
      </c>
      <c r="K1458" s="135">
        <v>3</v>
      </c>
      <c r="L1458" s="75">
        <v>1</v>
      </c>
      <c r="M1458" s="75" t="s">
        <v>638</v>
      </c>
      <c r="N1458" s="75" t="s">
        <v>146</v>
      </c>
      <c r="O1458" s="75"/>
    </row>
    <row r="1459" spans="9:15">
      <c r="I1459" s="133">
        <v>46114</v>
      </c>
      <c r="J1459" s="134">
        <v>0.49513888888888891</v>
      </c>
      <c r="K1459" s="135">
        <v>20.350000000000001</v>
      </c>
      <c r="L1459" s="75">
        <v>3</v>
      </c>
      <c r="M1459" s="75" t="s">
        <v>638</v>
      </c>
      <c r="N1459" s="75" t="s">
        <v>146</v>
      </c>
      <c r="O1459" s="75"/>
    </row>
    <row r="1460" spans="9:15">
      <c r="I1460" s="133">
        <v>46114</v>
      </c>
      <c r="J1460" s="134">
        <v>0.50138888888888888</v>
      </c>
      <c r="K1460" s="135">
        <v>1.5</v>
      </c>
      <c r="L1460" s="75">
        <v>1</v>
      </c>
      <c r="M1460" s="75" t="s">
        <v>638</v>
      </c>
      <c r="N1460" s="75" t="s">
        <v>494</v>
      </c>
      <c r="O1460" s="75"/>
    </row>
    <row r="1461" spans="9:15">
      <c r="I1461" s="133">
        <v>46114</v>
      </c>
      <c r="J1461" s="134">
        <v>0.56319444444444444</v>
      </c>
      <c r="K1461" s="135">
        <v>12.5</v>
      </c>
      <c r="L1461" s="75">
        <v>4</v>
      </c>
      <c r="M1461" s="75" t="s">
        <v>638</v>
      </c>
      <c r="N1461" s="75" t="s">
        <v>494</v>
      </c>
      <c r="O1461" s="75"/>
    </row>
    <row r="1462" spans="9:15">
      <c r="I1462" s="133">
        <v>46114</v>
      </c>
      <c r="J1462" s="134">
        <v>0.79722222222222228</v>
      </c>
      <c r="K1462" s="135">
        <v>3.7</v>
      </c>
      <c r="L1462" s="75">
        <v>2</v>
      </c>
      <c r="M1462" s="75" t="s">
        <v>638</v>
      </c>
      <c r="N1462" s="75" t="s">
        <v>497</v>
      </c>
      <c r="O1462" s="75"/>
    </row>
    <row r="1463" spans="9:15">
      <c r="I1463" s="133">
        <v>46114</v>
      </c>
      <c r="J1463" s="907">
        <v>0.45597222222222222</v>
      </c>
      <c r="K1463" s="908">
        <v>5.4</v>
      </c>
      <c r="L1463" s="75">
        <v>1</v>
      </c>
      <c r="M1463" s="75" t="s">
        <v>638</v>
      </c>
      <c r="N1463" s="75" t="s">
        <v>146</v>
      </c>
      <c r="O1463" s="75"/>
    </row>
    <row r="1464" spans="9:15">
      <c r="I1464" s="133">
        <v>46115</v>
      </c>
      <c r="J1464" s="134">
        <v>0.33819444444444452</v>
      </c>
      <c r="K1464" s="135">
        <v>1.5</v>
      </c>
      <c r="L1464" s="75">
        <v>1</v>
      </c>
      <c r="M1464" s="75" t="s">
        <v>633</v>
      </c>
      <c r="N1464" s="75" t="s">
        <v>146</v>
      </c>
      <c r="O1464" s="75"/>
    </row>
    <row r="1465" spans="9:15">
      <c r="I1465" s="133">
        <v>46115</v>
      </c>
      <c r="J1465" s="134">
        <v>0.34791666666666671</v>
      </c>
      <c r="K1465" s="135">
        <v>1.7</v>
      </c>
      <c r="L1465" s="75">
        <v>1</v>
      </c>
      <c r="M1465" s="75" t="s">
        <v>633</v>
      </c>
      <c r="N1465" s="75" t="s">
        <v>146</v>
      </c>
      <c r="O1465" s="75"/>
    </row>
    <row r="1466" spans="9:15">
      <c r="I1466" s="133">
        <v>46115</v>
      </c>
      <c r="J1466" s="134">
        <v>0.35972222222222222</v>
      </c>
      <c r="K1466" s="135">
        <v>1.7</v>
      </c>
      <c r="L1466" s="75">
        <v>1</v>
      </c>
      <c r="M1466" s="75" t="s">
        <v>633</v>
      </c>
      <c r="N1466" s="75" t="s">
        <v>146</v>
      </c>
      <c r="O1466" s="75"/>
    </row>
    <row r="1467" spans="9:15">
      <c r="I1467" s="133">
        <v>46115</v>
      </c>
      <c r="J1467" s="134">
        <v>0.3659722222222222</v>
      </c>
      <c r="K1467" s="135">
        <v>8.8000000000000007</v>
      </c>
      <c r="L1467" s="75">
        <v>1</v>
      </c>
      <c r="M1467" s="75" t="s">
        <v>633</v>
      </c>
      <c r="N1467" s="75" t="s">
        <v>146</v>
      </c>
      <c r="O1467" s="75"/>
    </row>
    <row r="1468" spans="9:15">
      <c r="I1468" s="133">
        <v>46115</v>
      </c>
      <c r="J1468" s="134">
        <v>0.37986111111111109</v>
      </c>
      <c r="K1468" s="135">
        <v>1.7</v>
      </c>
      <c r="L1468" s="75">
        <v>1</v>
      </c>
      <c r="M1468" s="75" t="s">
        <v>633</v>
      </c>
      <c r="N1468" s="75" t="s">
        <v>146</v>
      </c>
      <c r="O1468" s="75"/>
    </row>
    <row r="1469" spans="9:15">
      <c r="I1469" s="133">
        <v>46115</v>
      </c>
      <c r="J1469" s="134">
        <v>0.40208333333333329</v>
      </c>
      <c r="K1469" s="135">
        <v>12.25</v>
      </c>
      <c r="L1469" s="75">
        <v>2</v>
      </c>
      <c r="M1469" s="75" t="s">
        <v>633</v>
      </c>
      <c r="N1469" s="75" t="s">
        <v>146</v>
      </c>
      <c r="O1469" s="75"/>
    </row>
    <row r="1470" spans="9:15">
      <c r="I1470" s="133">
        <v>46115</v>
      </c>
      <c r="J1470" s="134">
        <v>0.40972222222222221</v>
      </c>
      <c r="K1470" s="135">
        <v>23.7</v>
      </c>
      <c r="L1470" s="75">
        <v>3</v>
      </c>
      <c r="M1470" s="75" t="s">
        <v>633</v>
      </c>
      <c r="N1470" s="75" t="s">
        <v>146</v>
      </c>
      <c r="O1470" s="75"/>
    </row>
    <row r="1471" spans="9:15">
      <c r="I1471" s="133">
        <v>46115</v>
      </c>
      <c r="J1471" s="134">
        <v>0.41805555555555562</v>
      </c>
      <c r="K1471" s="135">
        <v>1.5</v>
      </c>
      <c r="L1471" s="75">
        <v>1</v>
      </c>
      <c r="M1471" s="75" t="s">
        <v>633</v>
      </c>
      <c r="N1471" s="75" t="s">
        <v>146</v>
      </c>
      <c r="O1471" s="75"/>
    </row>
    <row r="1472" spans="9:15">
      <c r="I1472" s="133">
        <v>46115</v>
      </c>
      <c r="J1472" s="134">
        <v>0.42777777777777781</v>
      </c>
      <c r="K1472" s="135">
        <v>1.5</v>
      </c>
      <c r="L1472" s="75">
        <v>1</v>
      </c>
      <c r="M1472" s="75" t="s">
        <v>633</v>
      </c>
      <c r="N1472" s="75" t="s">
        <v>146</v>
      </c>
      <c r="O1472" s="75"/>
    </row>
    <row r="1473" spans="9:15">
      <c r="I1473" s="133">
        <v>46115</v>
      </c>
      <c r="J1473" s="134">
        <v>0.45208333333333328</v>
      </c>
      <c r="K1473" s="135">
        <v>21.65</v>
      </c>
      <c r="L1473" s="75">
        <v>3</v>
      </c>
      <c r="M1473" s="75" t="s">
        <v>633</v>
      </c>
      <c r="N1473" s="75" t="s">
        <v>146</v>
      </c>
      <c r="O1473" s="75"/>
    </row>
    <row r="1474" spans="9:15">
      <c r="I1474" s="133">
        <v>46115</v>
      </c>
      <c r="J1474" s="134">
        <v>0.49861111111111112</v>
      </c>
      <c r="K1474" s="135">
        <v>3</v>
      </c>
      <c r="L1474" s="75">
        <v>2</v>
      </c>
      <c r="M1474" s="75" t="s">
        <v>633</v>
      </c>
      <c r="N1474" s="75" t="s">
        <v>146</v>
      </c>
      <c r="O1474" s="75"/>
    </row>
    <row r="1475" spans="9:15">
      <c r="I1475" s="133">
        <v>46115</v>
      </c>
      <c r="J1475" s="134">
        <v>0.49930555555555561</v>
      </c>
      <c r="K1475" s="135">
        <v>1.7</v>
      </c>
      <c r="L1475" s="75">
        <v>1</v>
      </c>
      <c r="M1475" s="75" t="s">
        <v>633</v>
      </c>
      <c r="N1475" s="75" t="s">
        <v>146</v>
      </c>
      <c r="O1475" s="75"/>
    </row>
    <row r="1476" spans="9:15">
      <c r="I1476" s="133">
        <v>46115</v>
      </c>
      <c r="J1476" s="134">
        <v>0.50555555555555554</v>
      </c>
      <c r="K1476" s="135">
        <v>6.5</v>
      </c>
      <c r="L1476" s="75">
        <v>1</v>
      </c>
      <c r="M1476" s="75" t="s">
        <v>633</v>
      </c>
      <c r="N1476" s="75" t="s">
        <v>494</v>
      </c>
      <c r="O1476" s="75"/>
    </row>
    <row r="1477" spans="9:15">
      <c r="I1477" s="133">
        <v>46115</v>
      </c>
      <c r="J1477" s="134">
        <v>0.52083333333333337</v>
      </c>
      <c r="K1477" s="135">
        <v>13.85</v>
      </c>
      <c r="L1477" s="75">
        <v>1</v>
      </c>
      <c r="M1477" s="75" t="s">
        <v>633</v>
      </c>
      <c r="N1477" s="75" t="s">
        <v>494</v>
      </c>
      <c r="O1477" s="75"/>
    </row>
    <row r="1478" spans="9:15">
      <c r="I1478" s="133">
        <v>46115</v>
      </c>
      <c r="J1478" s="134">
        <v>0.94513888888888886</v>
      </c>
      <c r="K1478" s="135">
        <v>46.3</v>
      </c>
      <c r="L1478" s="75">
        <v>2</v>
      </c>
      <c r="M1478" s="75" t="s">
        <v>633</v>
      </c>
      <c r="N1478" s="75" t="s">
        <v>497</v>
      </c>
      <c r="O1478" s="75"/>
    </row>
    <row r="1479" spans="9:15">
      <c r="I1479" s="870">
        <v>46115</v>
      </c>
      <c r="J1479" s="871">
        <v>0.82430555555555551</v>
      </c>
      <c r="K1479" s="873">
        <v>5.3</v>
      </c>
      <c r="L1479" s="872">
        <v>2</v>
      </c>
      <c r="M1479" s="872" t="s">
        <v>633</v>
      </c>
      <c r="N1479" s="872" t="s">
        <v>497</v>
      </c>
      <c r="O1479" s="75"/>
    </row>
    <row r="1480" spans="9:15">
      <c r="I1480" s="870">
        <v>46116</v>
      </c>
      <c r="J1480" s="871">
        <v>0.50138888888888888</v>
      </c>
      <c r="K1480" s="874">
        <v>1.95</v>
      </c>
      <c r="L1480" s="872">
        <v>1</v>
      </c>
      <c r="M1480" s="872" t="s">
        <v>635</v>
      </c>
      <c r="N1480" s="872" t="s">
        <v>146</v>
      </c>
      <c r="O1480" s="75"/>
    </row>
    <row r="1481" spans="9:15">
      <c r="I1481" s="870">
        <v>46116</v>
      </c>
      <c r="J1481" s="871">
        <v>0.47916666666666669</v>
      </c>
      <c r="K1481" s="874">
        <v>5.6</v>
      </c>
      <c r="L1481" s="872">
        <v>4</v>
      </c>
      <c r="M1481" s="872" t="s">
        <v>635</v>
      </c>
      <c r="N1481" s="872" t="s">
        <v>146</v>
      </c>
      <c r="O1481" s="75"/>
    </row>
    <row r="1482" spans="9:15">
      <c r="I1482" s="870">
        <v>46116</v>
      </c>
      <c r="J1482" s="871">
        <v>0.44930555555555562</v>
      </c>
      <c r="K1482" s="874">
        <v>21.15</v>
      </c>
      <c r="L1482" s="872">
        <v>3</v>
      </c>
      <c r="M1482" s="872" t="s">
        <v>635</v>
      </c>
      <c r="N1482" s="872" t="s">
        <v>146</v>
      </c>
      <c r="O1482" s="75"/>
    </row>
    <row r="1483" spans="9:15">
      <c r="I1483" s="870">
        <v>46116</v>
      </c>
      <c r="J1483" s="871">
        <v>0.4465277777777778</v>
      </c>
      <c r="K1483" s="874">
        <v>4.8</v>
      </c>
      <c r="L1483" s="872">
        <v>1</v>
      </c>
      <c r="M1483" s="872" t="s">
        <v>635</v>
      </c>
      <c r="N1483" s="872" t="s">
        <v>146</v>
      </c>
      <c r="O1483" s="75"/>
    </row>
    <row r="1484" spans="9:15">
      <c r="I1484" s="870">
        <v>46116</v>
      </c>
      <c r="J1484" s="871">
        <v>0.44513888888888892</v>
      </c>
      <c r="K1484" s="874">
        <v>16.899999999999999</v>
      </c>
      <c r="L1484" s="872">
        <v>2</v>
      </c>
      <c r="M1484" s="872" t="s">
        <v>635</v>
      </c>
      <c r="N1484" s="872" t="s">
        <v>146</v>
      </c>
      <c r="O1484" s="75"/>
    </row>
    <row r="1485" spans="9:15">
      <c r="I1485" s="870">
        <v>46116</v>
      </c>
      <c r="J1485" s="871">
        <v>0.43055555555555558</v>
      </c>
      <c r="K1485" s="874">
        <v>13.4</v>
      </c>
      <c r="L1485" s="872">
        <v>2</v>
      </c>
      <c r="M1485" s="872" t="s">
        <v>635</v>
      </c>
      <c r="N1485" s="872" t="s">
        <v>146</v>
      </c>
      <c r="O1485" s="75"/>
    </row>
    <row r="1486" spans="9:15">
      <c r="I1486" s="870">
        <v>46116</v>
      </c>
      <c r="J1486" s="871">
        <v>0.42986111111111108</v>
      </c>
      <c r="K1486" s="874">
        <v>5.8</v>
      </c>
      <c r="L1486" s="872">
        <v>2</v>
      </c>
      <c r="M1486" s="872" t="s">
        <v>635</v>
      </c>
      <c r="N1486" s="872" t="s">
        <v>146</v>
      </c>
      <c r="O1486" s="75"/>
    </row>
    <row r="1487" spans="9:15">
      <c r="I1487" s="870">
        <v>46116</v>
      </c>
      <c r="J1487" s="871">
        <v>0.42083333333333328</v>
      </c>
      <c r="K1487" s="874">
        <v>3.2</v>
      </c>
      <c r="L1487" s="872">
        <v>1</v>
      </c>
      <c r="M1487" s="872" t="s">
        <v>635</v>
      </c>
      <c r="N1487" s="872" t="s">
        <v>146</v>
      </c>
      <c r="O1487" s="75"/>
    </row>
    <row r="1488" spans="9:15">
      <c r="I1488" s="870">
        <v>46116</v>
      </c>
      <c r="J1488" s="871">
        <v>0.41458333333333341</v>
      </c>
      <c r="K1488" s="874">
        <v>1.7</v>
      </c>
      <c r="L1488" s="872">
        <v>1</v>
      </c>
      <c r="M1488" s="872" t="s">
        <v>635</v>
      </c>
      <c r="N1488" s="872" t="s">
        <v>146</v>
      </c>
      <c r="O1488" s="75"/>
    </row>
    <row r="1489" spans="9:15">
      <c r="I1489" s="870">
        <v>46116</v>
      </c>
      <c r="J1489" s="871">
        <v>0.39305555555555549</v>
      </c>
      <c r="K1489" s="874">
        <v>8.15</v>
      </c>
      <c r="L1489" s="872">
        <v>1</v>
      </c>
      <c r="M1489" s="872" t="s">
        <v>635</v>
      </c>
      <c r="N1489" s="872" t="s">
        <v>146</v>
      </c>
      <c r="O1489" s="75"/>
    </row>
    <row r="1490" spans="9:15">
      <c r="I1490" s="870">
        <v>46116</v>
      </c>
      <c r="J1490" s="871">
        <v>0.39166666666666672</v>
      </c>
      <c r="K1490" s="874">
        <v>11.4</v>
      </c>
      <c r="L1490" s="872">
        <v>2</v>
      </c>
      <c r="M1490" s="872" t="s">
        <v>635</v>
      </c>
      <c r="N1490" s="872" t="s">
        <v>146</v>
      </c>
      <c r="O1490" s="75"/>
    </row>
    <row r="1491" spans="9:15">
      <c r="I1491" s="870">
        <v>46116</v>
      </c>
      <c r="J1491" s="871">
        <v>0.38472222222222219</v>
      </c>
      <c r="K1491" s="874">
        <v>2.4500000000000002</v>
      </c>
      <c r="L1491" s="872">
        <v>1</v>
      </c>
      <c r="M1491" s="872" t="s">
        <v>635</v>
      </c>
      <c r="N1491" s="872" t="s">
        <v>146</v>
      </c>
      <c r="O1491" s="75"/>
    </row>
    <row r="1492" spans="9:15">
      <c r="I1492" s="870">
        <v>46116</v>
      </c>
      <c r="J1492" s="871">
        <v>0.36666666666666659</v>
      </c>
      <c r="K1492" s="874">
        <v>7.9</v>
      </c>
      <c r="L1492" s="872">
        <v>2</v>
      </c>
      <c r="M1492" s="872" t="s">
        <v>635</v>
      </c>
      <c r="N1492" s="872" t="s">
        <v>146</v>
      </c>
      <c r="O1492" s="75"/>
    </row>
    <row r="1493" spans="9:15">
      <c r="I1493" s="870">
        <v>46116</v>
      </c>
      <c r="J1493" s="871">
        <v>0.35486111111111113</v>
      </c>
      <c r="K1493" s="874">
        <v>2.5499999999999998</v>
      </c>
      <c r="L1493" s="872">
        <v>1</v>
      </c>
      <c r="M1493" s="872" t="s">
        <v>635</v>
      </c>
      <c r="N1493" s="872" t="s">
        <v>146</v>
      </c>
      <c r="O1493" s="75"/>
    </row>
    <row r="1494" spans="9:15">
      <c r="I1494" s="870">
        <v>46116</v>
      </c>
      <c r="J1494" s="871">
        <v>0.35069444444444442</v>
      </c>
      <c r="K1494" s="874">
        <v>1.4</v>
      </c>
      <c r="L1494" s="872">
        <v>1</v>
      </c>
      <c r="M1494" s="872" t="s">
        <v>635</v>
      </c>
      <c r="N1494" s="872" t="s">
        <v>146</v>
      </c>
      <c r="O1494" s="75"/>
    </row>
    <row r="1495" spans="9:15">
      <c r="I1495" s="870">
        <v>46116</v>
      </c>
      <c r="J1495" s="871">
        <v>0.33541666666666659</v>
      </c>
      <c r="K1495" s="874">
        <v>1.5</v>
      </c>
      <c r="L1495" s="872">
        <v>1</v>
      </c>
      <c r="M1495" s="872" t="s">
        <v>635</v>
      </c>
      <c r="N1495" s="872" t="s">
        <v>146</v>
      </c>
      <c r="O1495" s="75"/>
    </row>
    <row r="1496" spans="9:15">
      <c r="I1496" s="870">
        <v>46116</v>
      </c>
      <c r="J1496" s="871">
        <v>0.65208333333333335</v>
      </c>
      <c r="K1496" s="874">
        <v>61.65</v>
      </c>
      <c r="L1496" s="872">
        <v>2</v>
      </c>
      <c r="M1496" s="872" t="s">
        <v>635</v>
      </c>
      <c r="N1496" s="872" t="s">
        <v>494</v>
      </c>
      <c r="O1496" s="75"/>
    </row>
    <row r="1497" spans="9:15">
      <c r="I1497" s="870">
        <v>46116</v>
      </c>
      <c r="J1497" s="871">
        <v>0.65069444444444446</v>
      </c>
      <c r="K1497" s="874">
        <v>56.25</v>
      </c>
      <c r="L1497" s="872">
        <v>3</v>
      </c>
      <c r="M1497" s="872" t="s">
        <v>635</v>
      </c>
      <c r="N1497" s="872" t="s">
        <v>494</v>
      </c>
      <c r="O1497" s="75"/>
    </row>
    <row r="1498" spans="9:15">
      <c r="I1498" s="870">
        <v>46116</v>
      </c>
      <c r="J1498" s="871">
        <v>0.62291666666666667</v>
      </c>
      <c r="K1498" s="874">
        <v>39.799999999999997</v>
      </c>
      <c r="L1498" s="872">
        <v>2</v>
      </c>
      <c r="M1498" s="872" t="s">
        <v>635</v>
      </c>
      <c r="N1498" s="872" t="s">
        <v>494</v>
      </c>
      <c r="O1498" s="75"/>
    </row>
    <row r="1499" spans="9:15">
      <c r="I1499" s="870">
        <v>46116</v>
      </c>
      <c r="J1499" s="871">
        <v>0.59305555555555556</v>
      </c>
      <c r="K1499" s="874">
        <v>72.349999999999994</v>
      </c>
      <c r="L1499" s="872">
        <v>3</v>
      </c>
      <c r="M1499" s="872" t="s">
        <v>635</v>
      </c>
      <c r="N1499" s="872" t="s">
        <v>494</v>
      </c>
      <c r="O1499" s="75"/>
    </row>
    <row r="1500" spans="9:15">
      <c r="I1500" s="870">
        <v>46116</v>
      </c>
      <c r="J1500" s="871">
        <v>0.57638888888888884</v>
      </c>
      <c r="K1500" s="874">
        <v>2.5</v>
      </c>
      <c r="L1500" s="872">
        <v>1</v>
      </c>
      <c r="M1500" s="872" t="s">
        <v>635</v>
      </c>
      <c r="N1500" s="872" t="s">
        <v>494</v>
      </c>
      <c r="O1500" s="75"/>
    </row>
    <row r="1501" spans="9:15">
      <c r="I1501" s="870">
        <v>46116</v>
      </c>
      <c r="J1501" s="871">
        <v>0.57499999999999996</v>
      </c>
      <c r="K1501" s="874">
        <v>5.85</v>
      </c>
      <c r="L1501" s="872">
        <v>1</v>
      </c>
      <c r="M1501" s="872" t="s">
        <v>635</v>
      </c>
      <c r="N1501" s="872" t="s">
        <v>494</v>
      </c>
      <c r="O1501" s="75"/>
    </row>
    <row r="1502" spans="9:15">
      <c r="I1502" s="870">
        <v>46116</v>
      </c>
      <c r="J1502" s="871">
        <v>0.57499999999999996</v>
      </c>
      <c r="K1502" s="874">
        <v>13.95</v>
      </c>
      <c r="L1502" s="872">
        <v>3</v>
      </c>
      <c r="M1502" s="872" t="s">
        <v>635</v>
      </c>
      <c r="N1502" s="872" t="s">
        <v>494</v>
      </c>
      <c r="O1502" s="75"/>
    </row>
    <row r="1503" spans="9:15">
      <c r="I1503" s="870">
        <v>46116</v>
      </c>
      <c r="J1503" s="871">
        <v>0.56805555555555554</v>
      </c>
      <c r="K1503" s="874">
        <v>14.55</v>
      </c>
      <c r="L1503" s="872">
        <v>2</v>
      </c>
      <c r="M1503" s="872" t="s">
        <v>635</v>
      </c>
      <c r="N1503" s="872" t="s">
        <v>494</v>
      </c>
      <c r="O1503" s="75"/>
    </row>
    <row r="1504" spans="9:15">
      <c r="I1504" s="870">
        <v>46116</v>
      </c>
      <c r="J1504" s="871">
        <v>0.51458333333333328</v>
      </c>
      <c r="K1504" s="874">
        <v>70.95</v>
      </c>
      <c r="L1504" s="872">
        <v>1</v>
      </c>
      <c r="M1504" s="872" t="s">
        <v>635</v>
      </c>
      <c r="N1504" s="872" t="s">
        <v>494</v>
      </c>
      <c r="O1504" s="75"/>
    </row>
    <row r="1505" spans="9:15">
      <c r="I1505" s="870">
        <v>46116</v>
      </c>
      <c r="J1505" s="871">
        <v>0.5131944444444444</v>
      </c>
      <c r="K1505" s="874">
        <v>11.35</v>
      </c>
      <c r="L1505" s="872">
        <v>1</v>
      </c>
      <c r="M1505" s="872" t="s">
        <v>635</v>
      </c>
      <c r="N1505" s="872" t="s">
        <v>494</v>
      </c>
      <c r="O1505" s="75"/>
    </row>
    <row r="1506" spans="9:15">
      <c r="I1506" s="870">
        <v>46116</v>
      </c>
      <c r="J1506" s="871">
        <v>0.51180555555555551</v>
      </c>
      <c r="K1506" s="874">
        <v>2.65</v>
      </c>
      <c r="L1506" s="872">
        <v>1</v>
      </c>
      <c r="M1506" s="872" t="s">
        <v>635</v>
      </c>
      <c r="N1506" s="872" t="s">
        <v>494</v>
      </c>
      <c r="O1506" s="75"/>
    </row>
    <row r="1507" spans="9:15">
      <c r="I1507" s="870">
        <v>46116</v>
      </c>
      <c r="J1507" s="871">
        <v>0.51041666666666663</v>
      </c>
      <c r="K1507" s="874">
        <v>1.55</v>
      </c>
      <c r="L1507" s="872">
        <v>1</v>
      </c>
      <c r="M1507" s="872" t="s">
        <v>635</v>
      </c>
      <c r="N1507" s="872" t="s">
        <v>494</v>
      </c>
      <c r="O1507" s="75"/>
    </row>
    <row r="1508" spans="9:15">
      <c r="I1508" s="870">
        <v>46116</v>
      </c>
      <c r="J1508" s="871">
        <v>0.54339120370370375</v>
      </c>
      <c r="K1508" s="873">
        <v>3.4</v>
      </c>
      <c r="L1508" s="872">
        <v>1</v>
      </c>
      <c r="M1508" s="872" t="s">
        <v>643</v>
      </c>
      <c r="N1508" s="872" t="s">
        <v>494</v>
      </c>
      <c r="O1508" s="75"/>
    </row>
    <row r="1509" spans="9:15">
      <c r="I1509" s="870">
        <v>46117</v>
      </c>
      <c r="J1509" s="871">
        <v>0.38009259259259259</v>
      </c>
      <c r="K1509" s="873">
        <v>2.15</v>
      </c>
      <c r="L1509" s="872">
        <v>1</v>
      </c>
      <c r="M1509" s="872" t="s">
        <v>644</v>
      </c>
      <c r="N1509" s="872" t="s">
        <v>146</v>
      </c>
      <c r="O1509" s="75"/>
    </row>
    <row r="1510" spans="9:15">
      <c r="I1510" s="870">
        <v>46117</v>
      </c>
      <c r="J1510" s="871">
        <v>0.3845601851851852</v>
      </c>
      <c r="K1510" s="873">
        <v>4.3</v>
      </c>
      <c r="L1510" s="872">
        <v>1</v>
      </c>
      <c r="M1510" s="872" t="s">
        <v>636</v>
      </c>
      <c r="N1510" s="872" t="s">
        <v>146</v>
      </c>
      <c r="O1510" s="75"/>
    </row>
    <row r="1511" spans="9:15">
      <c r="I1511" s="870">
        <v>46117</v>
      </c>
      <c r="J1511" s="871">
        <v>0.46714120370370371</v>
      </c>
      <c r="K1511" s="873">
        <v>17.45</v>
      </c>
      <c r="L1511" s="872">
        <v>2</v>
      </c>
      <c r="M1511" s="872" t="s">
        <v>636</v>
      </c>
      <c r="N1511" s="872" t="s">
        <v>146</v>
      </c>
      <c r="O1511" s="75"/>
    </row>
    <row r="1512" spans="9:15">
      <c r="I1512" s="870">
        <v>46117</v>
      </c>
      <c r="J1512" s="871">
        <v>0.50215277777777778</v>
      </c>
      <c r="K1512" s="873">
        <v>38.85</v>
      </c>
      <c r="L1512" s="872">
        <v>5</v>
      </c>
      <c r="M1512" s="872" t="s">
        <v>636</v>
      </c>
      <c r="N1512" s="872" t="s">
        <v>494</v>
      </c>
      <c r="O1512" s="75"/>
    </row>
    <row r="1513" spans="9:15">
      <c r="I1513" s="870">
        <v>46117</v>
      </c>
      <c r="J1513" s="871">
        <v>0.6131712962962963</v>
      </c>
      <c r="K1513" s="873">
        <v>10</v>
      </c>
      <c r="L1513" s="872">
        <v>1</v>
      </c>
      <c r="M1513" s="872" t="s">
        <v>636</v>
      </c>
      <c r="N1513" s="872" t="s">
        <v>494</v>
      </c>
      <c r="O1513" s="75"/>
    </row>
    <row r="1514" spans="9:15">
      <c r="I1514" s="870">
        <v>46118</v>
      </c>
      <c r="J1514" s="871">
        <v>0.36625000000000002</v>
      </c>
      <c r="K1514" s="873">
        <v>4.8</v>
      </c>
      <c r="L1514" s="872">
        <v>1</v>
      </c>
      <c r="M1514" s="872" t="s">
        <v>645</v>
      </c>
      <c r="N1514" s="872" t="s">
        <v>146</v>
      </c>
      <c r="O1514" s="75"/>
    </row>
    <row r="1515" spans="9:15">
      <c r="I1515" s="870">
        <v>46118</v>
      </c>
      <c r="J1515" s="871">
        <v>0.42812499999999998</v>
      </c>
      <c r="K1515" s="873">
        <v>1.5</v>
      </c>
      <c r="L1515" s="872">
        <v>1</v>
      </c>
      <c r="M1515" s="872" t="s">
        <v>645</v>
      </c>
      <c r="N1515" s="872" t="s">
        <v>146</v>
      </c>
      <c r="O1515" s="75"/>
    </row>
    <row r="1516" spans="9:15">
      <c r="I1516" s="870">
        <v>46118</v>
      </c>
      <c r="J1516" s="871">
        <v>0.43805555555555548</v>
      </c>
      <c r="K1516" s="873">
        <v>13.85</v>
      </c>
      <c r="L1516" s="872">
        <v>1</v>
      </c>
      <c r="M1516" s="872" t="s">
        <v>645</v>
      </c>
      <c r="N1516" s="872" t="s">
        <v>146</v>
      </c>
      <c r="O1516" s="75"/>
    </row>
    <row r="1517" spans="9:15">
      <c r="I1517" s="870">
        <v>46118</v>
      </c>
      <c r="J1517" s="871">
        <v>0.54219907407407408</v>
      </c>
      <c r="K1517" s="873">
        <v>6.5</v>
      </c>
      <c r="L1517" s="872">
        <v>1</v>
      </c>
      <c r="M1517" s="872" t="s">
        <v>645</v>
      </c>
      <c r="N1517" s="872" t="s">
        <v>494</v>
      </c>
      <c r="O1517" s="75"/>
    </row>
    <row r="1518" spans="9:15">
      <c r="I1518" s="870">
        <v>46118</v>
      </c>
      <c r="J1518" s="871">
        <v>0.3991898148148148</v>
      </c>
      <c r="K1518" s="873">
        <v>2.5499999999999998</v>
      </c>
      <c r="L1518" s="872">
        <v>1</v>
      </c>
      <c r="M1518" s="872" t="s">
        <v>645</v>
      </c>
      <c r="N1518" s="872" t="s">
        <v>146</v>
      </c>
      <c r="O1518" s="75"/>
    </row>
    <row r="1519" spans="9:15">
      <c r="I1519" s="870">
        <v>46118</v>
      </c>
      <c r="J1519" s="871">
        <v>0.37847222222222221</v>
      </c>
      <c r="K1519" s="873">
        <v>7.9</v>
      </c>
      <c r="L1519" s="872">
        <v>2</v>
      </c>
      <c r="M1519" s="872" t="s">
        <v>645</v>
      </c>
      <c r="N1519" s="872" t="s">
        <v>146</v>
      </c>
      <c r="O1519" s="75"/>
    </row>
    <row r="1520" spans="9:15">
      <c r="I1520" s="870">
        <v>46118</v>
      </c>
      <c r="J1520" s="871">
        <v>0.38501157407407399</v>
      </c>
      <c r="K1520" s="873">
        <v>2.4500000000000002</v>
      </c>
      <c r="L1520" s="872">
        <v>1</v>
      </c>
      <c r="M1520" s="872" t="s">
        <v>645</v>
      </c>
      <c r="N1520" s="872" t="s">
        <v>146</v>
      </c>
      <c r="O1520" s="75"/>
    </row>
    <row r="1521" spans="9:15">
      <c r="I1521" s="870">
        <v>46118</v>
      </c>
      <c r="J1521" s="871">
        <v>0.3919097222222222</v>
      </c>
      <c r="K1521" s="873">
        <v>11.4</v>
      </c>
      <c r="L1521" s="872">
        <v>2</v>
      </c>
      <c r="M1521" s="872" t="s">
        <v>645</v>
      </c>
      <c r="N1521" s="872" t="s">
        <v>146</v>
      </c>
      <c r="O1521" s="75"/>
    </row>
    <row r="1522" spans="9:15">
      <c r="I1522" s="870">
        <v>46118</v>
      </c>
      <c r="J1522" s="871">
        <v>0.43486111111111109</v>
      </c>
      <c r="K1522" s="873">
        <v>8.15</v>
      </c>
      <c r="L1522" s="872">
        <v>1</v>
      </c>
      <c r="M1522" s="872" t="s">
        <v>645</v>
      </c>
      <c r="N1522" s="872" t="s">
        <v>146</v>
      </c>
      <c r="O1522" s="75"/>
    </row>
    <row r="1523" spans="9:15">
      <c r="I1523" s="870">
        <v>46118</v>
      </c>
      <c r="J1523" s="871">
        <v>0.44581018518518523</v>
      </c>
      <c r="K1523" s="873">
        <v>16.899999999999999</v>
      </c>
      <c r="L1523" s="872">
        <v>2</v>
      </c>
      <c r="M1523" s="872" t="s">
        <v>645</v>
      </c>
      <c r="N1523" s="872" t="s">
        <v>146</v>
      </c>
      <c r="O1523" s="75"/>
    </row>
    <row r="1524" spans="9:15">
      <c r="I1524" s="870">
        <v>46118</v>
      </c>
      <c r="J1524" s="871">
        <v>0.37306712962962962</v>
      </c>
      <c r="K1524" s="873">
        <v>1.7</v>
      </c>
      <c r="L1524" s="872">
        <v>1</v>
      </c>
      <c r="M1524" s="872" t="s">
        <v>645</v>
      </c>
      <c r="N1524" s="872" t="s">
        <v>146</v>
      </c>
      <c r="O1524" s="75"/>
    </row>
    <row r="1525" spans="9:15">
      <c r="I1525" s="870">
        <v>46118</v>
      </c>
      <c r="J1525" s="871">
        <v>0.41684027777777782</v>
      </c>
      <c r="K1525" s="873">
        <v>3.2</v>
      </c>
      <c r="L1525" s="872">
        <v>1</v>
      </c>
      <c r="M1525" s="872" t="s">
        <v>645</v>
      </c>
      <c r="N1525" s="872" t="s">
        <v>146</v>
      </c>
      <c r="O1525" s="75"/>
    </row>
    <row r="1526" spans="9:15">
      <c r="I1526" s="870">
        <v>46120</v>
      </c>
      <c r="J1526" s="871">
        <v>0.82222222222222219</v>
      </c>
      <c r="K1526" s="873">
        <v>7.55</v>
      </c>
      <c r="L1526" s="872">
        <v>1</v>
      </c>
      <c r="M1526" s="872" t="s">
        <v>637</v>
      </c>
      <c r="N1526" s="872" t="s">
        <v>497</v>
      </c>
      <c r="O1526" s="75"/>
    </row>
    <row r="1527" spans="9:15">
      <c r="I1527" s="870">
        <v>46120</v>
      </c>
      <c r="J1527" s="871">
        <v>0.91965277777777776</v>
      </c>
      <c r="K1527" s="873">
        <v>7.55</v>
      </c>
      <c r="L1527" s="872">
        <v>2</v>
      </c>
      <c r="M1527" s="872" t="s">
        <v>637</v>
      </c>
      <c r="N1527" s="872" t="s">
        <v>497</v>
      </c>
      <c r="O1527" s="75"/>
    </row>
    <row r="1528" spans="9:15">
      <c r="I1528" s="870">
        <v>46120</v>
      </c>
      <c r="J1528" s="871">
        <v>0.51039351851851855</v>
      </c>
      <c r="K1528" s="873">
        <v>1.85</v>
      </c>
      <c r="L1528" s="872">
        <v>1</v>
      </c>
      <c r="M1528" s="872" t="s">
        <v>646</v>
      </c>
      <c r="N1528" s="872" t="s">
        <v>494</v>
      </c>
      <c r="O1528" s="75"/>
    </row>
    <row r="1529" spans="9:15">
      <c r="I1529" s="870">
        <v>46120</v>
      </c>
      <c r="J1529" s="871">
        <v>0.62297453703703709</v>
      </c>
      <c r="K1529" s="873">
        <v>6.5</v>
      </c>
      <c r="L1529" s="872">
        <v>1</v>
      </c>
      <c r="M1529" s="872" t="s">
        <v>646</v>
      </c>
      <c r="N1529" s="872" t="s">
        <v>494</v>
      </c>
      <c r="O1529" s="75"/>
    </row>
    <row r="1530" spans="9:15">
      <c r="I1530" s="870">
        <v>46120</v>
      </c>
      <c r="J1530" s="871">
        <v>0.623</v>
      </c>
      <c r="K1530" s="873">
        <v>1.7</v>
      </c>
      <c r="L1530" s="872">
        <v>1</v>
      </c>
      <c r="M1530" s="872" t="s">
        <v>646</v>
      </c>
      <c r="N1530" s="872" t="s">
        <v>494</v>
      </c>
      <c r="O1530" s="75"/>
    </row>
    <row r="1531" spans="9:15">
      <c r="I1531" s="870">
        <v>46120</v>
      </c>
      <c r="J1531" s="871">
        <v>0.79362268518518519</v>
      </c>
      <c r="K1531" s="873">
        <v>-40</v>
      </c>
      <c r="L1531" s="872">
        <v>1</v>
      </c>
      <c r="M1531" s="872" t="s">
        <v>646</v>
      </c>
      <c r="N1531" s="872" t="s">
        <v>497</v>
      </c>
      <c r="O1531" s="75"/>
    </row>
    <row r="1532" spans="9:15">
      <c r="I1532" s="870">
        <v>46120</v>
      </c>
      <c r="J1532" s="871">
        <v>0.8271412037037037</v>
      </c>
      <c r="K1532" s="873">
        <v>29.65</v>
      </c>
      <c r="L1532" s="872">
        <v>6</v>
      </c>
      <c r="M1532" s="872" t="s">
        <v>646</v>
      </c>
      <c r="N1532" s="872" t="s">
        <v>497</v>
      </c>
      <c r="O1532" s="75"/>
    </row>
    <row r="1533" spans="9:15">
      <c r="I1533" s="870">
        <v>46120</v>
      </c>
      <c r="J1533" s="871">
        <v>0.83616898148148144</v>
      </c>
      <c r="K1533" s="873">
        <v>10</v>
      </c>
      <c r="L1533" s="872">
        <v>1</v>
      </c>
      <c r="M1533" s="872" t="s">
        <v>646</v>
      </c>
      <c r="N1533" s="872" t="s">
        <v>497</v>
      </c>
      <c r="O1533" s="75"/>
    </row>
    <row r="1534" spans="9:15">
      <c r="I1534" s="870">
        <v>46121</v>
      </c>
      <c r="J1534" s="871">
        <v>0.50931712962962961</v>
      </c>
      <c r="K1534" s="874">
        <v>1.7</v>
      </c>
      <c r="L1534" s="872">
        <v>1</v>
      </c>
      <c r="M1534" s="872" t="s">
        <v>638</v>
      </c>
      <c r="N1534" s="872" t="s">
        <v>494</v>
      </c>
      <c r="O1534" s="75"/>
    </row>
    <row r="1535" spans="9:15">
      <c r="I1535" s="870">
        <v>46121</v>
      </c>
      <c r="J1535" s="871">
        <v>0.82239583333333333</v>
      </c>
      <c r="K1535" s="873">
        <v>7.55</v>
      </c>
      <c r="L1535" s="872">
        <v>1</v>
      </c>
      <c r="M1535" s="872" t="s">
        <v>638</v>
      </c>
      <c r="N1535" s="872" t="s">
        <v>497</v>
      </c>
      <c r="O1535" s="75"/>
    </row>
    <row r="1536" spans="9:15">
      <c r="I1536" s="870">
        <v>46121</v>
      </c>
      <c r="J1536" s="871">
        <v>0.93631944444444448</v>
      </c>
      <c r="K1536" s="873">
        <v>55.45</v>
      </c>
      <c r="L1536" s="872">
        <v>2</v>
      </c>
      <c r="M1536" s="872" t="s">
        <v>638</v>
      </c>
      <c r="N1536" s="872" t="s">
        <v>497</v>
      </c>
      <c r="O1536" s="75"/>
    </row>
    <row r="1537" spans="9:15">
      <c r="I1537" s="870">
        <v>46121</v>
      </c>
      <c r="J1537" s="871">
        <v>0.84737268518518516</v>
      </c>
      <c r="K1537" s="873">
        <v>10</v>
      </c>
      <c r="L1537" s="872">
        <v>1</v>
      </c>
      <c r="M1537" s="872" t="s">
        <v>638</v>
      </c>
      <c r="N1537" s="872" t="s">
        <v>497</v>
      </c>
      <c r="O1537" s="75"/>
    </row>
    <row r="1538" spans="9:15">
      <c r="I1538" s="870">
        <v>46121</v>
      </c>
      <c r="J1538" s="871">
        <v>0.45245370370370369</v>
      </c>
      <c r="K1538" s="873">
        <v>21.65</v>
      </c>
      <c r="L1538" s="872">
        <v>3</v>
      </c>
      <c r="M1538" s="872" t="s">
        <v>638</v>
      </c>
      <c r="N1538" s="872" t="s">
        <v>146</v>
      </c>
      <c r="O1538" s="75"/>
    </row>
    <row r="1539" spans="9:15">
      <c r="I1539" s="870">
        <v>46121</v>
      </c>
      <c r="J1539" s="871">
        <v>0.66178240740740746</v>
      </c>
      <c r="K1539" s="873">
        <v>32.799999999999997</v>
      </c>
      <c r="L1539" s="872">
        <v>2</v>
      </c>
      <c r="M1539" s="872" t="s">
        <v>638</v>
      </c>
      <c r="N1539" s="872" t="s">
        <v>494</v>
      </c>
      <c r="O1539" s="75"/>
    </row>
    <row r="1540" spans="9:15">
      <c r="I1540" s="870">
        <v>46122</v>
      </c>
      <c r="J1540" s="871">
        <v>0.50413194444444442</v>
      </c>
      <c r="K1540" s="873">
        <v>1.7</v>
      </c>
      <c r="L1540" s="872">
        <v>1</v>
      </c>
      <c r="M1540" s="872" t="s">
        <v>633</v>
      </c>
      <c r="N1540" s="872" t="s">
        <v>494</v>
      </c>
      <c r="O1540" s="75"/>
    </row>
    <row r="1541" spans="9:15">
      <c r="I1541" s="870">
        <v>46122</v>
      </c>
      <c r="J1541" s="871">
        <v>0.50290509259259264</v>
      </c>
      <c r="K1541" s="873">
        <v>3.25</v>
      </c>
      <c r="L1541" s="872">
        <v>1</v>
      </c>
      <c r="M1541" s="872" t="s">
        <v>633</v>
      </c>
      <c r="N1541" s="872" t="s">
        <v>494</v>
      </c>
      <c r="O1541" s="75"/>
    </row>
    <row r="1542" spans="9:15">
      <c r="I1542" s="870">
        <v>46122</v>
      </c>
      <c r="J1542" s="871">
        <v>0.51093750000000004</v>
      </c>
      <c r="K1542" s="873">
        <v>1.65</v>
      </c>
      <c r="L1542" s="872">
        <v>1</v>
      </c>
      <c r="M1542" s="872" t="s">
        <v>633</v>
      </c>
      <c r="N1542" s="872" t="s">
        <v>494</v>
      </c>
      <c r="O1542" s="75"/>
    </row>
    <row r="1543" spans="9:15">
      <c r="I1543" s="870">
        <v>46122</v>
      </c>
      <c r="J1543" s="871">
        <v>0.51479166666666665</v>
      </c>
      <c r="K1543" s="873">
        <v>3.9</v>
      </c>
      <c r="L1543" s="872">
        <v>2</v>
      </c>
      <c r="M1543" s="872" t="s">
        <v>633</v>
      </c>
      <c r="N1543" s="872" t="s">
        <v>494</v>
      </c>
      <c r="O1543" s="75"/>
    </row>
    <row r="1544" spans="9:15">
      <c r="I1544" s="870">
        <v>46122</v>
      </c>
      <c r="J1544" s="871">
        <v>0.56261574074074072</v>
      </c>
      <c r="K1544" s="873">
        <v>2.8</v>
      </c>
      <c r="L1544" s="872">
        <v>1</v>
      </c>
      <c r="M1544" s="872" t="s">
        <v>633</v>
      </c>
      <c r="N1544" s="872" t="s">
        <v>494</v>
      </c>
      <c r="O1544" s="75"/>
    </row>
    <row r="1545" spans="9:15">
      <c r="I1545" s="870">
        <v>46122</v>
      </c>
      <c r="J1545" s="871">
        <v>0.62501157407407404</v>
      </c>
      <c r="K1545" s="873">
        <v>25.05</v>
      </c>
      <c r="L1545" s="872">
        <v>1</v>
      </c>
      <c r="M1545" s="872" t="s">
        <v>633</v>
      </c>
      <c r="N1545" s="872" t="s">
        <v>494</v>
      </c>
      <c r="O1545" s="75"/>
    </row>
    <row r="1546" spans="9:15">
      <c r="I1546" s="870">
        <v>46122</v>
      </c>
      <c r="J1546" s="871">
        <v>0.6565509259259259</v>
      </c>
      <c r="K1546" s="873">
        <v>49.8</v>
      </c>
      <c r="L1546" s="872">
        <v>2</v>
      </c>
      <c r="M1546" s="872" t="s">
        <v>633</v>
      </c>
      <c r="N1546" s="872" t="s">
        <v>494</v>
      </c>
      <c r="O1546" s="75"/>
    </row>
    <row r="1547" spans="9:15">
      <c r="I1547" s="870">
        <v>46122</v>
      </c>
      <c r="J1547" s="871">
        <v>0.80969907407407404</v>
      </c>
      <c r="K1547" s="873">
        <v>1.55</v>
      </c>
      <c r="L1547" s="872">
        <v>1</v>
      </c>
      <c r="M1547" s="872" t="s">
        <v>633</v>
      </c>
      <c r="N1547" s="872" t="s">
        <v>497</v>
      </c>
      <c r="O1547" s="75"/>
    </row>
    <row r="1548" spans="9:15">
      <c r="I1548" s="870">
        <v>46122</v>
      </c>
      <c r="J1548" s="871">
        <v>0.87107638888888894</v>
      </c>
      <c r="K1548" s="873">
        <v>1.65</v>
      </c>
      <c r="L1548" s="872">
        <v>1</v>
      </c>
      <c r="M1548" s="872" t="s">
        <v>633</v>
      </c>
      <c r="N1548" s="872" t="s">
        <v>497</v>
      </c>
      <c r="O1548" s="75"/>
    </row>
    <row r="1549" spans="9:15">
      <c r="I1549" s="870">
        <v>46123</v>
      </c>
      <c r="J1549" s="871">
        <v>0.33340277777777783</v>
      </c>
      <c r="K1549" s="873">
        <v>1.55</v>
      </c>
      <c r="L1549" s="872">
        <v>1</v>
      </c>
      <c r="M1549" s="872" t="s">
        <v>635</v>
      </c>
      <c r="N1549" s="872" t="s">
        <v>146</v>
      </c>
      <c r="O1549" s="75"/>
    </row>
    <row r="1550" spans="9:15">
      <c r="I1550" s="870">
        <v>46123</v>
      </c>
      <c r="J1550" s="871">
        <v>0.33543981481481477</v>
      </c>
      <c r="K1550" s="873">
        <v>1.4</v>
      </c>
      <c r="L1550" s="872">
        <v>1</v>
      </c>
      <c r="M1550" s="872" t="s">
        <v>635</v>
      </c>
      <c r="N1550" s="872" t="s">
        <v>146</v>
      </c>
      <c r="O1550" s="75"/>
    </row>
    <row r="1551" spans="9:15">
      <c r="I1551" s="870">
        <v>46123</v>
      </c>
      <c r="J1551" s="871">
        <v>0.33883101851851849</v>
      </c>
      <c r="K1551" s="873">
        <v>1.5</v>
      </c>
      <c r="L1551" s="872">
        <v>1</v>
      </c>
      <c r="M1551" s="872" t="s">
        <v>635</v>
      </c>
      <c r="N1551" s="872" t="s">
        <v>146</v>
      </c>
      <c r="O1551" s="75"/>
    </row>
    <row r="1552" spans="9:15">
      <c r="I1552" s="870">
        <v>46123</v>
      </c>
      <c r="J1552" s="871">
        <v>0.34454861111111112</v>
      </c>
      <c r="K1552" s="873">
        <v>3.75</v>
      </c>
      <c r="L1552" s="872">
        <v>1</v>
      </c>
      <c r="M1552" s="872" t="s">
        <v>635</v>
      </c>
      <c r="N1552" s="872" t="s">
        <v>146</v>
      </c>
      <c r="O1552" s="75"/>
    </row>
    <row r="1553" spans="9:15">
      <c r="I1553" s="870">
        <v>46123</v>
      </c>
      <c r="J1553" s="871">
        <v>0.36346064814814821</v>
      </c>
      <c r="K1553" s="873">
        <v>1.5</v>
      </c>
      <c r="L1553" s="872">
        <v>1</v>
      </c>
      <c r="M1553" s="872" t="s">
        <v>635</v>
      </c>
      <c r="N1553" s="872" t="s">
        <v>146</v>
      </c>
      <c r="O1553" s="75"/>
    </row>
    <row r="1554" spans="9:15">
      <c r="I1554" s="870">
        <v>46123</v>
      </c>
      <c r="J1554" s="871">
        <v>0.37835648148148149</v>
      </c>
      <c r="K1554" s="873">
        <v>6.4</v>
      </c>
      <c r="L1554" s="872">
        <v>2</v>
      </c>
      <c r="M1554" s="872" t="s">
        <v>635</v>
      </c>
      <c r="N1554" s="872" t="s">
        <v>146</v>
      </c>
      <c r="O1554" s="75"/>
    </row>
    <row r="1555" spans="9:15">
      <c r="I1555" s="870">
        <v>46123</v>
      </c>
      <c r="J1555" s="871">
        <v>0.38091435185185191</v>
      </c>
      <c r="K1555" s="873">
        <v>5.0999999999999996</v>
      </c>
      <c r="L1555" s="872">
        <v>1</v>
      </c>
      <c r="M1555" s="872" t="s">
        <v>635</v>
      </c>
      <c r="N1555" s="872" t="s">
        <v>146</v>
      </c>
      <c r="O1555" s="75"/>
    </row>
    <row r="1556" spans="9:15">
      <c r="I1556" s="870">
        <v>46123</v>
      </c>
      <c r="J1556" s="871">
        <v>0.39381944444444439</v>
      </c>
      <c r="K1556" s="873">
        <v>3.75</v>
      </c>
      <c r="L1556" s="872">
        <v>2</v>
      </c>
      <c r="M1556" s="872" t="s">
        <v>635</v>
      </c>
      <c r="N1556" s="872" t="s">
        <v>146</v>
      </c>
      <c r="O1556" s="75"/>
    </row>
    <row r="1557" spans="9:15">
      <c r="I1557" s="870">
        <v>46123</v>
      </c>
      <c r="J1557" s="871">
        <v>0.38980324074074069</v>
      </c>
      <c r="K1557" s="873">
        <v>6.55</v>
      </c>
      <c r="L1557" s="872">
        <v>1</v>
      </c>
      <c r="M1557" s="872" t="s">
        <v>635</v>
      </c>
      <c r="N1557" s="872" t="s">
        <v>146</v>
      </c>
      <c r="O1557" s="75"/>
    </row>
    <row r="1558" spans="9:15">
      <c r="I1558" s="870">
        <v>46123</v>
      </c>
      <c r="J1558" s="871">
        <v>0.38998842592592592</v>
      </c>
      <c r="K1558" s="873">
        <v>6.3</v>
      </c>
      <c r="L1558" s="872">
        <v>1</v>
      </c>
      <c r="M1558" s="872" t="s">
        <v>635</v>
      </c>
      <c r="N1558" s="872" t="s">
        <v>146</v>
      </c>
      <c r="O1558" s="75"/>
    </row>
    <row r="1559" spans="9:15">
      <c r="I1559" s="870">
        <v>46123</v>
      </c>
      <c r="J1559" s="871">
        <v>0.39829861111111109</v>
      </c>
      <c r="K1559" s="873">
        <v>18.25</v>
      </c>
      <c r="L1559" s="872">
        <v>1</v>
      </c>
      <c r="M1559" s="872" t="s">
        <v>635</v>
      </c>
      <c r="N1559" s="872" t="s">
        <v>146</v>
      </c>
      <c r="O1559" s="75"/>
    </row>
    <row r="1560" spans="9:15">
      <c r="I1560" s="870">
        <v>46123</v>
      </c>
      <c r="J1560" s="871">
        <v>0.41390046296296301</v>
      </c>
      <c r="K1560" s="873">
        <v>3.55</v>
      </c>
      <c r="L1560" s="872">
        <v>2</v>
      </c>
      <c r="M1560" s="872" t="s">
        <v>635</v>
      </c>
      <c r="N1560" s="872" t="s">
        <v>146</v>
      </c>
      <c r="O1560" s="75"/>
    </row>
    <row r="1561" spans="9:15">
      <c r="I1561" s="870">
        <v>46123</v>
      </c>
      <c r="J1561" s="871">
        <v>0.42712962962962958</v>
      </c>
      <c r="K1561" s="873">
        <v>12.25</v>
      </c>
      <c r="L1561" s="872">
        <v>2</v>
      </c>
      <c r="M1561" s="872" t="s">
        <v>635</v>
      </c>
      <c r="N1561" s="872" t="s">
        <v>146</v>
      </c>
      <c r="O1561" s="75"/>
    </row>
    <row r="1562" spans="9:15">
      <c r="I1562" s="870">
        <v>46123</v>
      </c>
      <c r="J1562" s="871">
        <v>0.43431712962962971</v>
      </c>
      <c r="K1562" s="873">
        <v>3.4</v>
      </c>
      <c r="L1562" s="872">
        <v>2</v>
      </c>
      <c r="M1562" s="872" t="s">
        <v>635</v>
      </c>
      <c r="N1562" s="872" t="s">
        <v>146</v>
      </c>
      <c r="O1562" s="75"/>
    </row>
    <row r="1563" spans="9:15">
      <c r="I1563" s="870">
        <v>46123</v>
      </c>
      <c r="J1563" s="871">
        <v>0.43851851851851847</v>
      </c>
      <c r="K1563" s="873">
        <v>3.1</v>
      </c>
      <c r="L1563" s="872">
        <v>2</v>
      </c>
      <c r="M1563" s="872" t="s">
        <v>635</v>
      </c>
      <c r="N1563" s="872" t="s">
        <v>146</v>
      </c>
      <c r="O1563" s="75"/>
    </row>
    <row r="1564" spans="9:15">
      <c r="I1564" s="870">
        <v>46123</v>
      </c>
      <c r="J1564" s="871">
        <v>0.4568402777777778</v>
      </c>
      <c r="K1564" s="873">
        <v>4.9000000000000004</v>
      </c>
      <c r="L1564" s="872">
        <v>2</v>
      </c>
      <c r="M1564" s="872" t="s">
        <v>635</v>
      </c>
      <c r="N1564" s="872" t="s">
        <v>146</v>
      </c>
      <c r="O1564" s="75"/>
    </row>
    <row r="1565" spans="9:15">
      <c r="I1565" s="870">
        <v>46123</v>
      </c>
      <c r="J1565" s="871">
        <v>0.47484953703703697</v>
      </c>
      <c r="K1565" s="873">
        <v>8.9</v>
      </c>
      <c r="L1565" s="872">
        <v>2</v>
      </c>
      <c r="M1565" s="872" t="s">
        <v>635</v>
      </c>
      <c r="N1565" s="872" t="s">
        <v>146</v>
      </c>
      <c r="O1565" s="75"/>
    </row>
    <row r="1566" spans="9:15">
      <c r="I1566" s="870">
        <v>46123</v>
      </c>
      <c r="J1566" s="871">
        <v>0.4924189814814815</v>
      </c>
      <c r="K1566" s="873">
        <v>2.8</v>
      </c>
      <c r="L1566" s="872">
        <v>2</v>
      </c>
      <c r="M1566" s="872" t="s">
        <v>635</v>
      </c>
      <c r="N1566" s="872" t="s">
        <v>146</v>
      </c>
      <c r="O1566" s="75"/>
    </row>
    <row r="1567" spans="9:15">
      <c r="I1567" s="870">
        <v>46123</v>
      </c>
      <c r="J1567" s="871">
        <v>0.49778935185185191</v>
      </c>
      <c r="K1567" s="873">
        <v>5</v>
      </c>
      <c r="L1567" s="872">
        <v>1</v>
      </c>
      <c r="M1567" s="872" t="s">
        <v>635</v>
      </c>
      <c r="N1567" s="872" t="s">
        <v>146</v>
      </c>
      <c r="O1567" s="75"/>
    </row>
    <row r="1568" spans="9:15">
      <c r="I1568" s="870">
        <v>46123</v>
      </c>
      <c r="J1568" s="871">
        <v>0.5006018518518518</v>
      </c>
      <c r="K1568" s="873">
        <v>18.75</v>
      </c>
      <c r="L1568" s="872">
        <v>2</v>
      </c>
      <c r="M1568" s="872" t="s">
        <v>635</v>
      </c>
      <c r="N1568" s="872" t="s">
        <v>146</v>
      </c>
      <c r="O1568" s="75"/>
    </row>
    <row r="1569" spans="9:15">
      <c r="I1569" s="870">
        <v>46123</v>
      </c>
      <c r="J1569" s="871">
        <v>0.50831018518518523</v>
      </c>
      <c r="K1569" s="873">
        <v>1.7</v>
      </c>
      <c r="L1569" s="872">
        <v>1</v>
      </c>
      <c r="M1569" s="872" t="s">
        <v>635</v>
      </c>
      <c r="N1569" s="872" t="s">
        <v>494</v>
      </c>
      <c r="O1569" s="75"/>
    </row>
    <row r="1570" spans="9:15">
      <c r="I1570" s="870">
        <v>46123</v>
      </c>
      <c r="J1570" s="871">
        <v>0.51606481481481481</v>
      </c>
      <c r="K1570" s="873">
        <v>11.4</v>
      </c>
      <c r="L1570" s="872">
        <v>3</v>
      </c>
      <c r="M1570" s="872" t="s">
        <v>635</v>
      </c>
      <c r="N1570" s="872" t="s">
        <v>494</v>
      </c>
      <c r="O1570" s="75"/>
    </row>
    <row r="1571" spans="9:15">
      <c r="I1571" s="870">
        <v>46123</v>
      </c>
      <c r="J1571" s="871">
        <v>0.52362268518518518</v>
      </c>
      <c r="K1571" s="873">
        <v>2.65</v>
      </c>
      <c r="L1571" s="872">
        <v>1</v>
      </c>
      <c r="M1571" s="872" t="s">
        <v>635</v>
      </c>
      <c r="N1571" s="872" t="s">
        <v>494</v>
      </c>
      <c r="O1571" s="75"/>
    </row>
    <row r="1572" spans="9:15">
      <c r="I1572" s="870">
        <v>46123</v>
      </c>
      <c r="J1572" s="871">
        <v>0.53355324074074073</v>
      </c>
      <c r="K1572" s="873">
        <v>2.65</v>
      </c>
      <c r="L1572" s="872">
        <v>1</v>
      </c>
      <c r="M1572" s="872" t="s">
        <v>635</v>
      </c>
      <c r="N1572" s="872" t="s">
        <v>494</v>
      </c>
      <c r="O1572" s="75"/>
    </row>
    <row r="1573" spans="9:15">
      <c r="I1573" s="870">
        <v>46123</v>
      </c>
      <c r="J1573" s="871">
        <v>0.53693287037037041</v>
      </c>
      <c r="K1573" s="873">
        <v>14.25</v>
      </c>
      <c r="L1573" s="872">
        <v>2</v>
      </c>
      <c r="M1573" s="872" t="s">
        <v>635</v>
      </c>
      <c r="N1573" s="872" t="s">
        <v>494</v>
      </c>
      <c r="O1573" s="75"/>
    </row>
    <row r="1574" spans="9:15">
      <c r="I1574" s="870">
        <v>46123</v>
      </c>
      <c r="J1574" s="871">
        <v>0.5471759259259259</v>
      </c>
      <c r="K1574" s="873">
        <v>23.6</v>
      </c>
      <c r="L1574" s="872">
        <v>4</v>
      </c>
      <c r="M1574" s="872" t="s">
        <v>635</v>
      </c>
      <c r="N1574" s="872" t="s">
        <v>494</v>
      </c>
      <c r="O1574" s="75"/>
    </row>
    <row r="1575" spans="9:15">
      <c r="I1575" s="870">
        <v>46123</v>
      </c>
      <c r="J1575" s="871">
        <v>0.57166666666666666</v>
      </c>
      <c r="K1575" s="873">
        <v>44.15</v>
      </c>
      <c r="L1575" s="872">
        <v>4</v>
      </c>
      <c r="M1575" s="872" t="s">
        <v>635</v>
      </c>
      <c r="N1575" s="872" t="s">
        <v>494</v>
      </c>
      <c r="O1575" s="75"/>
    </row>
    <row r="1576" spans="9:15">
      <c r="I1576" s="870">
        <v>46123</v>
      </c>
      <c r="J1576" s="871">
        <v>0.58178240740740739</v>
      </c>
      <c r="K1576" s="873">
        <v>45.7</v>
      </c>
      <c r="L1576" s="872">
        <v>3</v>
      </c>
      <c r="M1576" s="872" t="s">
        <v>635</v>
      </c>
      <c r="N1576" s="872" t="s">
        <v>494</v>
      </c>
      <c r="O1576" s="75"/>
    </row>
    <row r="1577" spans="9:15">
      <c r="I1577" s="870">
        <v>46123</v>
      </c>
      <c r="J1577" s="871">
        <v>0.58377314814814818</v>
      </c>
      <c r="K1577" s="873">
        <v>13.25</v>
      </c>
      <c r="L1577" s="872">
        <v>2</v>
      </c>
      <c r="M1577" s="872" t="s">
        <v>635</v>
      </c>
      <c r="N1577" s="872" t="s">
        <v>494</v>
      </c>
      <c r="O1577" s="75"/>
    </row>
    <row r="1578" spans="9:15">
      <c r="I1578" s="870">
        <v>46123</v>
      </c>
      <c r="J1578" s="871">
        <v>0.58530092592592597</v>
      </c>
      <c r="K1578" s="873">
        <v>33</v>
      </c>
      <c r="L1578" s="872">
        <v>2</v>
      </c>
      <c r="M1578" s="872" t="s">
        <v>635</v>
      </c>
      <c r="N1578" s="872" t="s">
        <v>494</v>
      </c>
      <c r="O1578" s="75"/>
    </row>
    <row r="1579" spans="9:15">
      <c r="I1579" s="870">
        <v>46123</v>
      </c>
      <c r="J1579" s="871">
        <v>0.63465277777777773</v>
      </c>
      <c r="K1579" s="873">
        <v>1.95</v>
      </c>
      <c r="L1579" s="872">
        <v>1</v>
      </c>
      <c r="M1579" s="872" t="s">
        <v>635</v>
      </c>
      <c r="N1579" s="872" t="s">
        <v>494</v>
      </c>
      <c r="O1579" s="75"/>
    </row>
    <row r="1580" spans="9:15">
      <c r="I1580" s="870">
        <v>46123</v>
      </c>
      <c r="J1580" s="871">
        <v>0.64640046296296294</v>
      </c>
      <c r="K1580" s="873">
        <v>22</v>
      </c>
      <c r="L1580" s="872">
        <v>1</v>
      </c>
      <c r="M1580" s="872" t="s">
        <v>635</v>
      </c>
      <c r="N1580" s="872" t="s">
        <v>494</v>
      </c>
      <c r="O1580" s="75"/>
    </row>
    <row r="1581" spans="9:15">
      <c r="I1581" s="870">
        <v>46123</v>
      </c>
      <c r="J1581" s="871">
        <v>0.6569328703703704</v>
      </c>
      <c r="K1581" s="873">
        <v>51.45</v>
      </c>
      <c r="L1581" s="872">
        <v>2</v>
      </c>
      <c r="M1581" s="872" t="s">
        <v>635</v>
      </c>
      <c r="N1581" s="872" t="s">
        <v>494</v>
      </c>
      <c r="O1581" s="75"/>
    </row>
    <row r="1582" spans="9:15">
      <c r="I1582" s="870">
        <v>46123</v>
      </c>
      <c r="J1582" s="871">
        <v>0.947662037037037</v>
      </c>
      <c r="K1582" s="873">
        <v>57.7</v>
      </c>
      <c r="L1582" s="872">
        <v>2</v>
      </c>
      <c r="M1582" s="872" t="s">
        <v>635</v>
      </c>
      <c r="N1582" s="872" t="s">
        <v>497</v>
      </c>
      <c r="O1582" s="75"/>
    </row>
    <row r="1583" spans="9:15">
      <c r="I1583" s="133">
        <v>46123</v>
      </c>
      <c r="J1583" s="134">
        <v>0.97703703703703704</v>
      </c>
      <c r="K1583" s="135">
        <v>45.4</v>
      </c>
      <c r="L1583" s="75">
        <v>2</v>
      </c>
      <c r="M1583" s="75" t="s">
        <v>635</v>
      </c>
      <c r="N1583" s="75" t="s">
        <v>497</v>
      </c>
      <c r="O1583" s="75"/>
    </row>
    <row r="1584" spans="9:15">
      <c r="I1584" s="133">
        <v>46123</v>
      </c>
      <c r="J1584" s="134">
        <v>0.95098379629629626</v>
      </c>
      <c r="K1584" s="135">
        <v>5.6</v>
      </c>
      <c r="L1584" s="75">
        <v>3</v>
      </c>
      <c r="M1584" s="75" t="s">
        <v>635</v>
      </c>
      <c r="N1584" s="75" t="s">
        <v>497</v>
      </c>
      <c r="O1584" s="75"/>
    </row>
    <row r="1585" spans="9:15">
      <c r="I1585" s="133">
        <v>46123</v>
      </c>
      <c r="J1585" s="134">
        <v>0.90267361111111111</v>
      </c>
      <c r="K1585" s="135">
        <v>29.95</v>
      </c>
      <c r="L1585" s="75">
        <v>2</v>
      </c>
      <c r="M1585" s="75" t="s">
        <v>635</v>
      </c>
      <c r="N1585" s="75" t="s">
        <v>497</v>
      </c>
      <c r="O1585" s="75"/>
    </row>
    <row r="1586" spans="9:15">
      <c r="I1586" s="133">
        <v>46123</v>
      </c>
      <c r="J1586" s="134">
        <v>0.91068287037037032</v>
      </c>
      <c r="K1586" s="135">
        <v>1.7</v>
      </c>
      <c r="L1586" s="75">
        <v>1</v>
      </c>
      <c r="M1586" s="75" t="s">
        <v>635</v>
      </c>
      <c r="N1586" s="75" t="s">
        <v>497</v>
      </c>
      <c r="O1586" s="75"/>
    </row>
    <row r="1587" spans="9:15">
      <c r="I1587" s="133">
        <v>46123</v>
      </c>
      <c r="J1587" s="134">
        <v>0.92083333333333328</v>
      </c>
      <c r="K1587" s="135">
        <v>60.05</v>
      </c>
      <c r="L1587" s="75">
        <v>3</v>
      </c>
      <c r="M1587" s="75" t="s">
        <v>635</v>
      </c>
      <c r="N1587" s="75" t="s">
        <v>497</v>
      </c>
      <c r="O1587" s="75"/>
    </row>
    <row r="1588" spans="9:15">
      <c r="I1588" s="133">
        <v>46123</v>
      </c>
      <c r="J1588" s="134">
        <v>0.89056712962962958</v>
      </c>
      <c r="K1588" s="135">
        <v>3.4</v>
      </c>
      <c r="L1588" s="75">
        <v>2</v>
      </c>
      <c r="M1588" s="75" t="s">
        <v>635</v>
      </c>
      <c r="N1588" s="75" t="s">
        <v>497</v>
      </c>
      <c r="O1588" s="75"/>
    </row>
    <row r="1589" spans="9:15">
      <c r="I1589" s="133">
        <v>46123</v>
      </c>
      <c r="J1589" s="134">
        <v>0.83203703703703702</v>
      </c>
      <c r="K1589" s="135">
        <v>34.799999999999997</v>
      </c>
      <c r="L1589" s="75">
        <v>2</v>
      </c>
      <c r="M1589" s="75" t="s">
        <v>635</v>
      </c>
      <c r="N1589" s="75" t="s">
        <v>497</v>
      </c>
      <c r="O1589" s="75"/>
    </row>
    <row r="1590" spans="9:15">
      <c r="I1590" s="133">
        <v>46123</v>
      </c>
      <c r="J1590" s="134">
        <v>0.86695601851851856</v>
      </c>
      <c r="K1590" s="135">
        <v>5</v>
      </c>
      <c r="L1590" s="75">
        <v>3</v>
      </c>
      <c r="M1590" s="75" t="s">
        <v>635</v>
      </c>
      <c r="N1590" s="75" t="s">
        <v>497</v>
      </c>
      <c r="O1590" s="75"/>
    </row>
    <row r="1591" spans="9:15">
      <c r="I1591" s="133">
        <v>46123</v>
      </c>
      <c r="J1591" s="134">
        <v>0.98934027777777778</v>
      </c>
      <c r="K1591" s="135">
        <v>57.7</v>
      </c>
      <c r="L1591" s="75">
        <v>2</v>
      </c>
      <c r="M1591" s="75" t="s">
        <v>635</v>
      </c>
      <c r="N1591" s="75" t="s">
        <v>497</v>
      </c>
      <c r="O1591" s="75"/>
    </row>
    <row r="1592" spans="9:15">
      <c r="I1592" s="133">
        <v>46124</v>
      </c>
      <c r="J1592" s="134">
        <v>0.33819444444444452</v>
      </c>
      <c r="K1592" s="135">
        <v>1.5</v>
      </c>
      <c r="L1592" s="75">
        <v>1</v>
      </c>
      <c r="M1592" s="75" t="s">
        <v>636</v>
      </c>
      <c r="N1592" s="75" t="s">
        <v>146</v>
      </c>
      <c r="O1592" s="75"/>
    </row>
    <row r="1593" spans="9:15">
      <c r="I1593" s="133">
        <v>46124</v>
      </c>
      <c r="J1593" s="134">
        <v>0.35138888888888892</v>
      </c>
      <c r="K1593" s="135">
        <v>2.5499999999999998</v>
      </c>
      <c r="L1593" s="75">
        <v>1</v>
      </c>
      <c r="M1593" s="75" t="s">
        <v>636</v>
      </c>
      <c r="N1593" s="75" t="s">
        <v>146</v>
      </c>
      <c r="O1593" s="75"/>
    </row>
    <row r="1594" spans="9:15">
      <c r="I1594" s="133">
        <v>46124</v>
      </c>
      <c r="J1594" s="134">
        <v>0.36979166666666669</v>
      </c>
      <c r="K1594" s="135">
        <v>4.7</v>
      </c>
      <c r="L1594" s="75">
        <v>1</v>
      </c>
      <c r="M1594" s="75" t="s">
        <v>636</v>
      </c>
      <c r="N1594" s="75" t="s">
        <v>146</v>
      </c>
      <c r="O1594" s="75"/>
    </row>
    <row r="1595" spans="9:15">
      <c r="I1595" s="133">
        <v>46124</v>
      </c>
      <c r="J1595" s="134">
        <v>0.38194444444444442</v>
      </c>
      <c r="K1595" s="135">
        <v>1.5</v>
      </c>
      <c r="L1595" s="75">
        <v>1</v>
      </c>
      <c r="M1595" s="75" t="s">
        <v>636</v>
      </c>
      <c r="N1595" s="75" t="s">
        <v>146</v>
      </c>
      <c r="O1595" s="75"/>
    </row>
    <row r="1596" spans="9:15">
      <c r="I1596" s="133">
        <v>46124</v>
      </c>
      <c r="J1596" s="134">
        <v>0.39340277777777782</v>
      </c>
      <c r="K1596" s="135">
        <v>6.55</v>
      </c>
      <c r="L1596" s="75">
        <v>1</v>
      </c>
      <c r="M1596" s="75" t="s">
        <v>636</v>
      </c>
      <c r="N1596" s="75" t="s">
        <v>146</v>
      </c>
      <c r="O1596" s="75"/>
    </row>
    <row r="1597" spans="9:15">
      <c r="I1597" s="133">
        <v>46124</v>
      </c>
      <c r="J1597" s="134">
        <v>0.41562500000000002</v>
      </c>
      <c r="K1597" s="135">
        <v>2.25</v>
      </c>
      <c r="L1597" s="75">
        <v>1</v>
      </c>
      <c r="M1597" s="75" t="s">
        <v>636</v>
      </c>
      <c r="N1597" s="75" t="s">
        <v>146</v>
      </c>
      <c r="O1597" s="75"/>
    </row>
    <row r="1598" spans="9:15">
      <c r="I1598" s="133">
        <v>46124</v>
      </c>
      <c r="J1598" s="134">
        <v>0.421875</v>
      </c>
      <c r="K1598" s="135">
        <v>1.85</v>
      </c>
      <c r="L1598" s="75">
        <v>1</v>
      </c>
      <c r="M1598" s="75" t="s">
        <v>636</v>
      </c>
      <c r="N1598" s="75" t="s">
        <v>146</v>
      </c>
      <c r="O1598" s="75"/>
    </row>
    <row r="1599" spans="9:15">
      <c r="I1599" s="133">
        <v>46124</v>
      </c>
      <c r="J1599" s="134">
        <v>0.4309027777777778</v>
      </c>
      <c r="K1599" s="135">
        <v>12.1</v>
      </c>
      <c r="L1599" s="75">
        <v>2</v>
      </c>
      <c r="M1599" s="75" t="s">
        <v>636</v>
      </c>
      <c r="N1599" s="75" t="s">
        <v>146</v>
      </c>
      <c r="O1599" s="75"/>
    </row>
    <row r="1600" spans="9:15">
      <c r="I1600" s="133">
        <v>46124</v>
      </c>
      <c r="J1600" s="134">
        <v>0.4357638888888889</v>
      </c>
      <c r="K1600" s="135">
        <v>7.7</v>
      </c>
      <c r="L1600" s="75">
        <v>2</v>
      </c>
      <c r="M1600" s="75" t="s">
        <v>636</v>
      </c>
      <c r="N1600" s="75" t="s">
        <v>146</v>
      </c>
      <c r="O1600" s="75"/>
    </row>
    <row r="1601" spans="9:15">
      <c r="I1601" s="133">
        <v>46124</v>
      </c>
      <c r="J1601" s="134">
        <v>0.45902777777777781</v>
      </c>
      <c r="K1601" s="135">
        <v>3</v>
      </c>
      <c r="L1601" s="75">
        <v>1</v>
      </c>
      <c r="M1601" s="75" t="s">
        <v>636</v>
      </c>
      <c r="N1601" s="75" t="s">
        <v>146</v>
      </c>
      <c r="O1601" s="75"/>
    </row>
    <row r="1602" spans="9:15">
      <c r="I1602" s="133">
        <v>46124</v>
      </c>
      <c r="J1602" s="134">
        <v>0.46180555555555558</v>
      </c>
      <c r="K1602" s="135">
        <v>13.1</v>
      </c>
      <c r="L1602" s="75">
        <v>3</v>
      </c>
      <c r="M1602" s="75" t="s">
        <v>636</v>
      </c>
      <c r="N1602" s="75" t="s">
        <v>146</v>
      </c>
      <c r="O1602" s="75"/>
    </row>
    <row r="1603" spans="9:15">
      <c r="I1603" s="133">
        <v>46124</v>
      </c>
      <c r="J1603" s="134">
        <v>0.47430555555555548</v>
      </c>
      <c r="K1603" s="135">
        <v>1.5</v>
      </c>
      <c r="L1603" s="75">
        <v>1</v>
      </c>
      <c r="M1603" s="75" t="s">
        <v>636</v>
      </c>
      <c r="N1603" s="75" t="s">
        <v>146</v>
      </c>
      <c r="O1603" s="75"/>
    </row>
    <row r="1604" spans="9:15">
      <c r="I1604" s="133">
        <v>46124</v>
      </c>
      <c r="J1604" s="134">
        <v>0.49652777777777779</v>
      </c>
      <c r="K1604" s="135">
        <v>1.4</v>
      </c>
      <c r="L1604" s="75">
        <v>1</v>
      </c>
      <c r="M1604" s="75" t="s">
        <v>636</v>
      </c>
      <c r="N1604" s="75" t="s">
        <v>146</v>
      </c>
      <c r="O1604" s="75"/>
    </row>
    <row r="1605" spans="9:15">
      <c r="I1605" s="133">
        <v>46124</v>
      </c>
      <c r="J1605" s="134">
        <v>0.49895833333333328</v>
      </c>
      <c r="K1605" s="135">
        <v>1.95</v>
      </c>
      <c r="L1605" s="75">
        <v>1</v>
      </c>
      <c r="M1605" s="75" t="s">
        <v>636</v>
      </c>
      <c r="N1605" s="75" t="s">
        <v>146</v>
      </c>
      <c r="O1605" s="75"/>
    </row>
    <row r="1606" spans="9:15">
      <c r="I1606" s="133">
        <v>46124</v>
      </c>
      <c r="J1606" s="134">
        <v>0.50069444444444444</v>
      </c>
      <c r="K1606" s="135">
        <v>3</v>
      </c>
      <c r="L1606" s="75">
        <v>2</v>
      </c>
      <c r="M1606" s="75" t="s">
        <v>636</v>
      </c>
      <c r="N1606" s="75" t="s">
        <v>146</v>
      </c>
      <c r="O1606" s="75"/>
    </row>
    <row r="1607" spans="9:15">
      <c r="I1607" s="133">
        <v>46124</v>
      </c>
      <c r="J1607" s="134">
        <v>0.51041666666666663</v>
      </c>
      <c r="K1607" s="135">
        <v>1.7</v>
      </c>
      <c r="L1607" s="75">
        <v>1</v>
      </c>
      <c r="M1607" s="75" t="s">
        <v>636</v>
      </c>
      <c r="N1607" s="75" t="s">
        <v>494</v>
      </c>
      <c r="O1607" s="75"/>
    </row>
    <row r="1608" spans="9:15">
      <c r="I1608" s="133">
        <v>46124</v>
      </c>
      <c r="J1608" s="134">
        <v>0.53194444444444444</v>
      </c>
      <c r="K1608" s="135">
        <v>6</v>
      </c>
      <c r="L1608" s="75">
        <v>2</v>
      </c>
      <c r="M1608" s="75" t="s">
        <v>636</v>
      </c>
      <c r="N1608" s="75" t="s">
        <v>494</v>
      </c>
      <c r="O1608" s="75"/>
    </row>
    <row r="1609" spans="9:15">
      <c r="I1609" s="133">
        <v>46124</v>
      </c>
      <c r="J1609" s="134">
        <v>0.55486111111111114</v>
      </c>
      <c r="K1609" s="135">
        <v>10.9</v>
      </c>
      <c r="L1609" s="75">
        <v>2</v>
      </c>
      <c r="M1609" s="75" t="s">
        <v>636</v>
      </c>
      <c r="N1609" s="75" t="s">
        <v>494</v>
      </c>
      <c r="O1609" s="75"/>
    </row>
    <row r="1610" spans="9:15">
      <c r="I1610" s="133">
        <v>46124</v>
      </c>
      <c r="J1610" s="134">
        <v>0.58680555555555558</v>
      </c>
      <c r="K1610" s="135">
        <v>10</v>
      </c>
      <c r="L1610" s="75">
        <v>1</v>
      </c>
      <c r="M1610" s="75" t="s">
        <v>636</v>
      </c>
      <c r="N1610" s="75" t="s">
        <v>494</v>
      </c>
      <c r="O1610" s="75"/>
    </row>
    <row r="1611" spans="9:15">
      <c r="I1611" s="133">
        <v>46124</v>
      </c>
      <c r="J1611" s="134">
        <v>0.58819444444444446</v>
      </c>
      <c r="K1611" s="135">
        <v>37.6</v>
      </c>
      <c r="L1611" s="75">
        <v>2</v>
      </c>
      <c r="M1611" s="75" t="s">
        <v>636</v>
      </c>
      <c r="N1611" s="75" t="s">
        <v>494</v>
      </c>
      <c r="O1611" s="75"/>
    </row>
    <row r="1612" spans="9:15">
      <c r="I1612" s="133">
        <v>46124</v>
      </c>
      <c r="J1612" s="134">
        <v>0.59722222222222221</v>
      </c>
      <c r="K1612" s="135">
        <v>77.25</v>
      </c>
      <c r="L1612" s="75">
        <v>4</v>
      </c>
      <c r="M1612" s="75" t="s">
        <v>636</v>
      </c>
      <c r="N1612" s="75" t="s">
        <v>494</v>
      </c>
      <c r="O1612" s="75"/>
    </row>
    <row r="1613" spans="9:15">
      <c r="I1613" s="133">
        <v>46124</v>
      </c>
      <c r="J1613" s="134">
        <v>0.84630787037037036</v>
      </c>
      <c r="K1613" s="135">
        <v>14.95</v>
      </c>
      <c r="L1613" s="75">
        <v>2</v>
      </c>
      <c r="M1613" s="75" t="s">
        <v>636</v>
      </c>
      <c r="N1613" s="75" t="s">
        <v>497</v>
      </c>
      <c r="O1613" s="75"/>
    </row>
    <row r="1614" spans="9:15">
      <c r="I1614" s="133">
        <v>46124</v>
      </c>
      <c r="J1614" s="134">
        <v>0.86128472222222219</v>
      </c>
      <c r="K1614" s="135">
        <v>25.2</v>
      </c>
      <c r="L1614" s="75">
        <v>2</v>
      </c>
      <c r="M1614" s="75" t="s">
        <v>636</v>
      </c>
      <c r="N1614" s="75" t="s">
        <v>497</v>
      </c>
      <c r="O1614" s="75"/>
    </row>
    <row r="1615" spans="9:15">
      <c r="I1615" s="133">
        <v>46124</v>
      </c>
      <c r="J1615" s="134">
        <v>0.90246527777777774</v>
      </c>
      <c r="K1615" s="135">
        <v>-10</v>
      </c>
      <c r="L1615" s="75">
        <v>1</v>
      </c>
      <c r="M1615" s="75" t="s">
        <v>636</v>
      </c>
      <c r="N1615" s="75" t="s">
        <v>497</v>
      </c>
      <c r="O1615" s="75"/>
    </row>
    <row r="1616" spans="9:15">
      <c r="I1616" s="133">
        <v>46124</v>
      </c>
      <c r="J1616" s="134">
        <v>0.56335648148148143</v>
      </c>
      <c r="K1616" s="135">
        <v>12.5</v>
      </c>
      <c r="L1616" s="75">
        <v>4</v>
      </c>
      <c r="M1616" s="75" t="s">
        <v>636</v>
      </c>
      <c r="N1616" s="75" t="s">
        <v>494</v>
      </c>
      <c r="O1616" s="75"/>
    </row>
    <row r="1617" spans="9:15">
      <c r="I1617" s="133">
        <v>46127</v>
      </c>
      <c r="J1617" s="134">
        <v>0.53836805555555556</v>
      </c>
      <c r="K1617" s="135">
        <v>1.75</v>
      </c>
      <c r="L1617" s="75">
        <v>1</v>
      </c>
      <c r="M1617" s="75" t="s">
        <v>647</v>
      </c>
      <c r="N1617" s="75" t="s">
        <v>494</v>
      </c>
      <c r="O1617" s="75"/>
    </row>
    <row r="1618" spans="9:15">
      <c r="I1618" s="133">
        <v>46127</v>
      </c>
      <c r="J1618" s="134">
        <v>0.54655092592592591</v>
      </c>
      <c r="K1618" s="135">
        <v>2.95</v>
      </c>
      <c r="L1618" s="75">
        <v>1</v>
      </c>
      <c r="M1618" s="75" t="s">
        <v>647</v>
      </c>
      <c r="N1618" s="75" t="s">
        <v>494</v>
      </c>
      <c r="O1618" s="75"/>
    </row>
    <row r="1619" spans="9:15">
      <c r="I1619" s="133">
        <v>46127</v>
      </c>
      <c r="J1619" s="134">
        <v>0.62317129629629631</v>
      </c>
      <c r="K1619" s="135">
        <v>6.5</v>
      </c>
      <c r="L1619" s="75">
        <v>4</v>
      </c>
      <c r="M1619" s="75" t="s">
        <v>647</v>
      </c>
      <c r="N1619" s="75" t="s">
        <v>494</v>
      </c>
      <c r="O1619" s="75"/>
    </row>
    <row r="1620" spans="9:15">
      <c r="I1620" s="133">
        <v>46127</v>
      </c>
      <c r="J1620" s="134">
        <v>0.62503472222222223</v>
      </c>
      <c r="K1620" s="135">
        <v>3.35</v>
      </c>
      <c r="L1620" s="75">
        <v>1</v>
      </c>
      <c r="M1620" s="75" t="s">
        <v>647</v>
      </c>
      <c r="N1620" s="75" t="s">
        <v>494</v>
      </c>
      <c r="O1620" s="75"/>
    </row>
    <row r="1621" spans="9:15">
      <c r="I1621" s="133">
        <v>46127</v>
      </c>
      <c r="J1621" s="134">
        <v>0.63070601851851849</v>
      </c>
      <c r="K1621" s="135">
        <v>25.4</v>
      </c>
      <c r="L1621" s="75">
        <v>2</v>
      </c>
      <c r="M1621" s="75" t="s">
        <v>647</v>
      </c>
      <c r="N1621" s="75" t="s">
        <v>494</v>
      </c>
      <c r="O1621" s="75"/>
    </row>
    <row r="1622" spans="9:15">
      <c r="I1622" s="133">
        <v>46127</v>
      </c>
      <c r="J1622" s="134">
        <v>0.64855324074074072</v>
      </c>
      <c r="K1622" s="135">
        <v>30.8</v>
      </c>
      <c r="L1622" s="75">
        <v>2</v>
      </c>
      <c r="M1622" s="75" t="s">
        <v>647</v>
      </c>
      <c r="N1622" s="75" t="s">
        <v>494</v>
      </c>
      <c r="O1622" s="75"/>
    </row>
    <row r="1623" spans="9:15">
      <c r="I1623" s="133">
        <v>46127</v>
      </c>
      <c r="J1623" s="134">
        <v>0.52259259259259261</v>
      </c>
      <c r="K1623" s="135">
        <v>11.45</v>
      </c>
      <c r="L1623" s="75">
        <v>2</v>
      </c>
      <c r="M1623" s="75" t="s">
        <v>647</v>
      </c>
      <c r="N1623" s="75" t="s">
        <v>494</v>
      </c>
      <c r="O1623" s="75"/>
    </row>
    <row r="1624" spans="9:15">
      <c r="I1624" s="133">
        <v>46127</v>
      </c>
      <c r="J1624" s="134">
        <v>0.53195601851851848</v>
      </c>
      <c r="K1624" s="135">
        <v>7.45</v>
      </c>
      <c r="L1624" s="75">
        <v>1</v>
      </c>
      <c r="M1624" s="75" t="s">
        <v>647</v>
      </c>
      <c r="N1624" s="75" t="s">
        <v>494</v>
      </c>
      <c r="O1624" s="75"/>
    </row>
    <row r="1625" spans="9:15">
      <c r="I1625" s="133">
        <v>46127</v>
      </c>
      <c r="J1625" s="134">
        <v>0.55082175925925925</v>
      </c>
      <c r="K1625" s="135">
        <v>4.0999999999999996</v>
      </c>
      <c r="L1625" s="75">
        <v>1</v>
      </c>
      <c r="M1625" s="75" t="s">
        <v>647</v>
      </c>
      <c r="N1625" s="75" t="s">
        <v>494</v>
      </c>
      <c r="O1625" s="75"/>
    </row>
    <row r="1626" spans="9:15">
      <c r="I1626" s="133">
        <v>46127</v>
      </c>
      <c r="J1626" s="134">
        <v>0.58001157407407411</v>
      </c>
      <c r="K1626" s="135">
        <v>32.75</v>
      </c>
      <c r="L1626" s="75">
        <v>2</v>
      </c>
      <c r="M1626" s="75" t="s">
        <v>647</v>
      </c>
      <c r="N1626" s="75" t="s">
        <v>494</v>
      </c>
      <c r="O1626" s="75"/>
    </row>
    <row r="1627" spans="9:15">
      <c r="I1627" s="133">
        <v>46127</v>
      </c>
      <c r="J1627" s="134">
        <v>0.63540509259259259</v>
      </c>
      <c r="K1627" s="135">
        <v>15.9</v>
      </c>
      <c r="L1627" s="75">
        <v>1</v>
      </c>
      <c r="M1627" s="75" t="s">
        <v>647</v>
      </c>
      <c r="N1627" s="75" t="s">
        <v>494</v>
      </c>
      <c r="O1627" s="75"/>
    </row>
    <row r="1628" spans="9:15">
      <c r="I1628" s="133">
        <v>46127</v>
      </c>
      <c r="J1628" s="134">
        <v>0.95894675925925921</v>
      </c>
      <c r="K1628" s="135">
        <v>35.25</v>
      </c>
      <c r="L1628" s="75">
        <v>2</v>
      </c>
      <c r="M1628" s="75" t="s">
        <v>647</v>
      </c>
      <c r="N1628" s="75" t="s">
        <v>497</v>
      </c>
      <c r="O1628" s="75"/>
    </row>
    <row r="1629" spans="9:15">
      <c r="I1629" s="133">
        <v>46127</v>
      </c>
      <c r="J1629" s="134">
        <v>0.84928240740740746</v>
      </c>
      <c r="K1629" s="135">
        <v>3.9</v>
      </c>
      <c r="L1629" s="75">
        <v>2</v>
      </c>
      <c r="M1629" s="75" t="s">
        <v>646</v>
      </c>
      <c r="N1629" s="75" t="s">
        <v>497</v>
      </c>
      <c r="O1629" s="75"/>
    </row>
    <row r="1630" spans="9:15">
      <c r="I1630" s="133">
        <v>46127</v>
      </c>
      <c r="J1630" s="134">
        <v>0.85250000000000004</v>
      </c>
      <c r="K1630" s="135">
        <v>81.599999999999994</v>
      </c>
      <c r="L1630" s="75">
        <v>4</v>
      </c>
      <c r="M1630" s="75" t="s">
        <v>646</v>
      </c>
      <c r="N1630" s="75" t="s">
        <v>497</v>
      </c>
      <c r="O1630" s="75"/>
    </row>
    <row r="1631" spans="9:15">
      <c r="I1631" s="133">
        <v>46127</v>
      </c>
      <c r="J1631" s="134">
        <v>0.87313657407407408</v>
      </c>
      <c r="K1631" s="135">
        <v>52.6</v>
      </c>
      <c r="L1631" s="75">
        <v>3</v>
      </c>
      <c r="M1631" s="75" t="s">
        <v>646</v>
      </c>
      <c r="N1631" s="75" t="s">
        <v>497</v>
      </c>
      <c r="O1631" s="75"/>
    </row>
    <row r="1632" spans="9:15">
      <c r="I1632" s="133">
        <v>46128</v>
      </c>
      <c r="J1632" s="134">
        <v>0.56888888888888889</v>
      </c>
      <c r="K1632" s="135">
        <v>10.7</v>
      </c>
      <c r="L1632" s="75">
        <v>2</v>
      </c>
      <c r="M1632" s="75" t="s">
        <v>638</v>
      </c>
      <c r="N1632" s="75" t="s">
        <v>494</v>
      </c>
      <c r="O1632" s="75"/>
    </row>
    <row r="1633" spans="9:15">
      <c r="I1633" s="133">
        <v>46128</v>
      </c>
      <c r="J1633" s="134">
        <v>0.61884259259259256</v>
      </c>
      <c r="K1633" s="135">
        <v>16.45</v>
      </c>
      <c r="L1633" s="75">
        <v>1</v>
      </c>
      <c r="M1633" s="75" t="s">
        <v>638</v>
      </c>
      <c r="N1633" s="75" t="s">
        <v>494</v>
      </c>
      <c r="O1633" s="75"/>
    </row>
    <row r="1634" spans="9:15">
      <c r="I1634" s="133">
        <v>46128</v>
      </c>
      <c r="J1634" s="134">
        <v>0.62266203703703704</v>
      </c>
      <c r="K1634" s="135">
        <v>17.55</v>
      </c>
      <c r="L1634" s="75">
        <v>5</v>
      </c>
      <c r="M1634" s="75" t="s">
        <v>638</v>
      </c>
      <c r="N1634" s="75" t="s">
        <v>494</v>
      </c>
      <c r="O1634" s="75"/>
    </row>
    <row r="1635" spans="9:15">
      <c r="I1635" s="133">
        <v>46129</v>
      </c>
      <c r="J1635" s="134">
        <v>0.83839120370370368</v>
      </c>
      <c r="K1635" s="135">
        <v>15.15</v>
      </c>
      <c r="L1635" s="75">
        <v>2</v>
      </c>
      <c r="M1635" s="75" t="s">
        <v>633</v>
      </c>
      <c r="N1635" s="75" t="s">
        <v>497</v>
      </c>
      <c r="O1635" s="75"/>
    </row>
    <row r="1636" spans="9:15">
      <c r="I1636" s="133">
        <v>46129</v>
      </c>
      <c r="J1636" s="134">
        <v>0.86356481481481484</v>
      </c>
      <c r="K1636" s="135">
        <v>11.7</v>
      </c>
      <c r="L1636" s="75">
        <v>4</v>
      </c>
      <c r="M1636" s="75" t="s">
        <v>633</v>
      </c>
      <c r="N1636" s="75" t="s">
        <v>497</v>
      </c>
      <c r="O1636" s="75"/>
    </row>
    <row r="1637" spans="9:15">
      <c r="I1637" s="133">
        <v>46129</v>
      </c>
      <c r="J1637" s="134">
        <v>0.86417824074074079</v>
      </c>
      <c r="K1637" s="135">
        <v>5.75</v>
      </c>
      <c r="L1637" s="75">
        <v>1</v>
      </c>
      <c r="M1637" s="75" t="s">
        <v>633</v>
      </c>
      <c r="N1637" s="75" t="s">
        <v>497</v>
      </c>
      <c r="O1637" s="75"/>
    </row>
    <row r="1638" spans="9:15">
      <c r="I1638" s="133">
        <v>46129</v>
      </c>
      <c r="J1638" s="134">
        <v>0.86631944444444442</v>
      </c>
      <c r="K1638" s="135">
        <v>15.4</v>
      </c>
      <c r="L1638" s="75">
        <v>3</v>
      </c>
      <c r="M1638" s="75" t="s">
        <v>633</v>
      </c>
      <c r="N1638" s="75" t="s">
        <v>497</v>
      </c>
      <c r="O1638" s="75"/>
    </row>
    <row r="1639" spans="9:15">
      <c r="I1639" s="133">
        <v>46129</v>
      </c>
      <c r="J1639" s="134">
        <v>0.92215277777777782</v>
      </c>
      <c r="K1639" s="135">
        <v>3.4</v>
      </c>
      <c r="L1639" s="75">
        <v>1</v>
      </c>
      <c r="M1639" s="75" t="s">
        <v>633</v>
      </c>
      <c r="N1639" s="75" t="s">
        <v>497</v>
      </c>
      <c r="O1639" s="75"/>
    </row>
    <row r="1640" spans="9:15">
      <c r="I1640" s="133">
        <v>46129</v>
      </c>
      <c r="J1640" s="134">
        <v>0.9380208333333333</v>
      </c>
      <c r="K1640" s="135">
        <v>62.2</v>
      </c>
      <c r="L1640" s="75">
        <v>4</v>
      </c>
      <c r="M1640" s="75" t="s">
        <v>633</v>
      </c>
      <c r="N1640" s="75" t="s">
        <v>497</v>
      </c>
      <c r="O1640" s="75"/>
    </row>
    <row r="1641" spans="9:15">
      <c r="I1641" s="133">
        <v>46129</v>
      </c>
      <c r="J1641" s="134">
        <v>0.51467592592592593</v>
      </c>
      <c r="K1641" s="135">
        <v>1.7</v>
      </c>
      <c r="L1641" s="75">
        <v>1</v>
      </c>
      <c r="M1641" s="75" t="s">
        <v>633</v>
      </c>
      <c r="N1641" s="75" t="s">
        <v>494</v>
      </c>
      <c r="O1641" s="75"/>
    </row>
    <row r="1642" spans="9:15">
      <c r="I1642" s="133">
        <v>46129</v>
      </c>
      <c r="J1642" s="134">
        <v>0.58673611111111112</v>
      </c>
      <c r="K1642" s="135">
        <v>1.5</v>
      </c>
      <c r="L1642" s="75">
        <v>1</v>
      </c>
      <c r="M1642" s="75" t="s">
        <v>633</v>
      </c>
      <c r="N1642" s="75" t="s">
        <v>494</v>
      </c>
      <c r="O1642" s="75"/>
    </row>
    <row r="1643" spans="9:15">
      <c r="I1643" s="133">
        <v>46129</v>
      </c>
      <c r="J1643" s="134">
        <v>0.61887731481481478</v>
      </c>
      <c r="K1643" s="135">
        <v>37.9</v>
      </c>
      <c r="L1643" s="75">
        <v>2</v>
      </c>
      <c r="M1643" s="75" t="s">
        <v>633</v>
      </c>
      <c r="N1643" s="75" t="s">
        <v>494</v>
      </c>
      <c r="O1643" s="75"/>
    </row>
    <row r="1644" spans="9:15">
      <c r="I1644" s="133">
        <v>46129</v>
      </c>
      <c r="J1644" s="134">
        <v>0.64274305555555555</v>
      </c>
      <c r="K1644" s="135">
        <v>16.55</v>
      </c>
      <c r="L1644" s="75">
        <v>1</v>
      </c>
      <c r="M1644" s="75" t="s">
        <v>633</v>
      </c>
      <c r="N1644" s="75" t="s">
        <v>494</v>
      </c>
      <c r="O1644" s="75"/>
    </row>
    <row r="1645" spans="9:15">
      <c r="I1645" s="133">
        <v>46130</v>
      </c>
      <c r="J1645" s="134">
        <v>0.88394675925925925</v>
      </c>
      <c r="K1645" s="135">
        <v>2.2000000000000002</v>
      </c>
      <c r="L1645" s="75">
        <v>1</v>
      </c>
      <c r="M1645" s="75" t="s">
        <v>643</v>
      </c>
      <c r="N1645" s="75" t="s">
        <v>497</v>
      </c>
      <c r="O1645" s="75"/>
    </row>
    <row r="1646" spans="9:15">
      <c r="I1646" s="133">
        <v>46130</v>
      </c>
      <c r="J1646" s="134">
        <v>0.88620370370370372</v>
      </c>
      <c r="K1646" s="135">
        <v>5.0999999999999996</v>
      </c>
      <c r="L1646" s="75">
        <v>3</v>
      </c>
      <c r="M1646" s="75" t="s">
        <v>643</v>
      </c>
      <c r="N1646" s="75" t="s">
        <v>497</v>
      </c>
      <c r="O1646" s="75"/>
    </row>
    <row r="1647" spans="9:15">
      <c r="I1647" s="133">
        <v>46130</v>
      </c>
      <c r="J1647" s="134">
        <v>0.90395833333333331</v>
      </c>
      <c r="K1647" s="135">
        <v>73.05</v>
      </c>
      <c r="L1647" s="75">
        <v>3</v>
      </c>
      <c r="M1647" s="75" t="s">
        <v>643</v>
      </c>
      <c r="N1647" s="75" t="s">
        <v>497</v>
      </c>
      <c r="O1647" s="75"/>
    </row>
    <row r="1648" spans="9:15">
      <c r="I1648" s="133">
        <v>46130</v>
      </c>
      <c r="J1648" s="134">
        <v>0.90628472222222223</v>
      </c>
      <c r="K1648" s="135">
        <v>38.4</v>
      </c>
      <c r="L1648" s="75">
        <v>2</v>
      </c>
      <c r="M1648" s="75" t="s">
        <v>643</v>
      </c>
      <c r="N1648" s="75" t="s">
        <v>497</v>
      </c>
      <c r="O1648" s="75"/>
    </row>
    <row r="1649" spans="9:15">
      <c r="I1649" s="133">
        <v>46130</v>
      </c>
      <c r="J1649" s="134">
        <v>0.98528935185185185</v>
      </c>
      <c r="K1649" s="135">
        <v>2.8</v>
      </c>
      <c r="L1649" s="75">
        <v>2</v>
      </c>
      <c r="M1649" s="75" t="s">
        <v>643</v>
      </c>
      <c r="N1649" s="75" t="s">
        <v>497</v>
      </c>
      <c r="O1649" s="75"/>
    </row>
    <row r="1650" spans="9:15">
      <c r="I1650" s="133">
        <v>46130</v>
      </c>
      <c r="J1650" s="134">
        <v>0.36554398148148148</v>
      </c>
      <c r="K1650" s="135">
        <v>7.9</v>
      </c>
      <c r="L1650" s="75">
        <v>2</v>
      </c>
      <c r="M1650" s="75" t="s">
        <v>635</v>
      </c>
      <c r="N1650" s="75" t="s">
        <v>146</v>
      </c>
      <c r="O1650" s="75"/>
    </row>
    <row r="1651" spans="9:15">
      <c r="I1651" s="133">
        <v>46130</v>
      </c>
      <c r="J1651" s="134">
        <v>0.38983796296296302</v>
      </c>
      <c r="K1651" s="135">
        <v>6.55</v>
      </c>
      <c r="L1651" s="75">
        <v>1</v>
      </c>
      <c r="M1651" s="75" t="s">
        <v>635</v>
      </c>
      <c r="N1651" s="75" t="s">
        <v>146</v>
      </c>
      <c r="O1651" s="75"/>
    </row>
    <row r="1652" spans="9:15">
      <c r="I1652" s="133">
        <v>46130</v>
      </c>
      <c r="J1652" s="134">
        <v>0.39751157407407411</v>
      </c>
      <c r="K1652" s="135">
        <v>2.2999999999999998</v>
      </c>
      <c r="L1652" s="75">
        <v>1</v>
      </c>
      <c r="M1652" s="75" t="s">
        <v>635</v>
      </c>
      <c r="N1652" s="75" t="s">
        <v>146</v>
      </c>
      <c r="O1652" s="75"/>
    </row>
    <row r="1653" spans="9:15">
      <c r="I1653" s="133">
        <v>46130</v>
      </c>
      <c r="J1653" s="134">
        <v>0.41173611111111108</v>
      </c>
      <c r="K1653" s="135">
        <v>1.65</v>
      </c>
      <c r="L1653" s="75">
        <v>1</v>
      </c>
      <c r="M1653" s="75" t="s">
        <v>635</v>
      </c>
      <c r="N1653" s="75" t="s">
        <v>146</v>
      </c>
      <c r="O1653" s="75"/>
    </row>
    <row r="1654" spans="9:15">
      <c r="I1654" s="133">
        <v>46130</v>
      </c>
      <c r="J1654" s="134">
        <v>0.44796296296296301</v>
      </c>
      <c r="K1654" s="135">
        <v>11.3</v>
      </c>
      <c r="L1654" s="75">
        <v>5</v>
      </c>
      <c r="M1654" s="75" t="s">
        <v>635</v>
      </c>
      <c r="N1654" s="75" t="s">
        <v>146</v>
      </c>
      <c r="O1654" s="75"/>
    </row>
    <row r="1655" spans="9:15">
      <c r="I1655" s="133">
        <v>46130</v>
      </c>
      <c r="J1655" s="134">
        <v>0.46464120370370371</v>
      </c>
      <c r="K1655" s="135">
        <v>1.4</v>
      </c>
      <c r="L1655" s="75">
        <v>1</v>
      </c>
      <c r="M1655" s="75" t="s">
        <v>635</v>
      </c>
      <c r="N1655" s="75" t="s">
        <v>146</v>
      </c>
      <c r="O1655" s="75"/>
    </row>
    <row r="1656" spans="9:15">
      <c r="I1656" s="133">
        <v>46130</v>
      </c>
      <c r="J1656" s="134">
        <v>0.39425925925925931</v>
      </c>
      <c r="K1656" s="135">
        <v>4.7</v>
      </c>
      <c r="L1656" s="75">
        <v>1</v>
      </c>
      <c r="M1656" s="75" t="s">
        <v>648</v>
      </c>
      <c r="N1656" s="75" t="s">
        <v>494</v>
      </c>
      <c r="O1656" s="75"/>
    </row>
    <row r="1657" spans="9:15">
      <c r="I1657" s="133">
        <v>46130</v>
      </c>
      <c r="J1657" s="134">
        <v>0.50629629629629624</v>
      </c>
      <c r="K1657" s="135">
        <v>3.7</v>
      </c>
      <c r="L1657" s="75">
        <v>1</v>
      </c>
      <c r="M1657" s="75" t="s">
        <v>648</v>
      </c>
      <c r="N1657" s="75" t="s">
        <v>494</v>
      </c>
      <c r="O1657" s="75"/>
    </row>
    <row r="1658" spans="9:15">
      <c r="I1658" s="133">
        <v>46130</v>
      </c>
      <c r="J1658" s="134">
        <v>0.51218750000000002</v>
      </c>
      <c r="K1658" s="135">
        <v>1.5</v>
      </c>
      <c r="L1658" s="75">
        <v>1</v>
      </c>
      <c r="M1658" s="75" t="s">
        <v>648</v>
      </c>
      <c r="N1658" s="75" t="s">
        <v>494</v>
      </c>
      <c r="O1658" s="75"/>
    </row>
    <row r="1659" spans="9:15">
      <c r="I1659" s="133">
        <v>46130</v>
      </c>
      <c r="J1659" s="134">
        <v>0.56349537037037034</v>
      </c>
      <c r="K1659" s="135">
        <v>9.8000000000000007</v>
      </c>
      <c r="L1659" s="75">
        <v>2</v>
      </c>
      <c r="M1659" s="75" t="s">
        <v>648</v>
      </c>
      <c r="N1659" s="75" t="s">
        <v>494</v>
      </c>
      <c r="O1659" s="75"/>
    </row>
    <row r="1660" spans="9:15">
      <c r="I1660" s="133">
        <v>46130</v>
      </c>
      <c r="J1660" s="134">
        <v>0.57200231481481478</v>
      </c>
      <c r="K1660" s="135">
        <v>38.799999999999997</v>
      </c>
      <c r="L1660" s="75">
        <v>2</v>
      </c>
      <c r="M1660" s="75" t="s">
        <v>648</v>
      </c>
      <c r="N1660" s="75" t="s">
        <v>494</v>
      </c>
      <c r="O1660" s="75"/>
    </row>
    <row r="1661" spans="9:15">
      <c r="I1661" s="133">
        <v>46130</v>
      </c>
      <c r="J1661" s="134">
        <v>0.58600694444444446</v>
      </c>
      <c r="K1661" s="135">
        <v>13.95</v>
      </c>
      <c r="L1661" s="75">
        <v>3</v>
      </c>
      <c r="M1661" s="75" t="s">
        <v>648</v>
      </c>
      <c r="N1661" s="75" t="s">
        <v>494</v>
      </c>
      <c r="O1661" s="75"/>
    </row>
    <row r="1662" spans="9:15">
      <c r="I1662" s="133">
        <v>46130</v>
      </c>
      <c r="J1662" s="134">
        <v>0.59319444444444447</v>
      </c>
      <c r="K1662" s="135">
        <v>14.6</v>
      </c>
      <c r="L1662" s="75">
        <v>2</v>
      </c>
      <c r="M1662" s="75" t="s">
        <v>648</v>
      </c>
      <c r="N1662" s="75" t="s">
        <v>494</v>
      </c>
      <c r="O1662" s="75"/>
    </row>
    <row r="1663" spans="9:15">
      <c r="I1663" s="133">
        <v>46130</v>
      </c>
      <c r="J1663" s="134">
        <v>0.64568287037037042</v>
      </c>
      <c r="K1663" s="135">
        <v>27.3</v>
      </c>
      <c r="L1663" s="75">
        <v>2</v>
      </c>
      <c r="M1663" s="75" t="s">
        <v>648</v>
      </c>
      <c r="N1663" s="75" t="s">
        <v>494</v>
      </c>
      <c r="O1663" s="75"/>
    </row>
    <row r="1664" spans="9:15">
      <c r="I1664" s="133">
        <v>46130</v>
      </c>
      <c r="J1664" s="134">
        <v>0.65534722222222219</v>
      </c>
      <c r="K1664" s="135">
        <v>169.25</v>
      </c>
      <c r="L1664" s="75">
        <v>4</v>
      </c>
      <c r="M1664" s="75" t="s">
        <v>648</v>
      </c>
      <c r="N1664" s="75" t="s">
        <v>494</v>
      </c>
      <c r="O1664" s="75"/>
    </row>
    <row r="1665" spans="9:15">
      <c r="I1665" s="133">
        <v>46131</v>
      </c>
      <c r="J1665" s="134">
        <v>0.93538194444444445</v>
      </c>
      <c r="K1665" s="135">
        <v>37.25</v>
      </c>
      <c r="L1665" s="75">
        <v>2</v>
      </c>
      <c r="M1665" s="75" t="s">
        <v>636</v>
      </c>
      <c r="N1665" s="75" t="s">
        <v>497</v>
      </c>
      <c r="O1665" s="75"/>
    </row>
    <row r="1666" spans="9:15">
      <c r="I1666" s="133">
        <v>46131</v>
      </c>
      <c r="J1666" s="134">
        <v>0.38377314814814822</v>
      </c>
      <c r="K1666" s="135">
        <v>6.2</v>
      </c>
      <c r="L1666" s="75">
        <v>1</v>
      </c>
      <c r="M1666" s="75" t="s">
        <v>644</v>
      </c>
      <c r="N1666" s="75" t="s">
        <v>146</v>
      </c>
      <c r="O1666" s="75"/>
    </row>
    <row r="1667" spans="9:15">
      <c r="I1667" s="133">
        <v>46131</v>
      </c>
      <c r="J1667" s="134">
        <v>0.38321759259259258</v>
      </c>
      <c r="K1667" s="135">
        <v>6.65</v>
      </c>
      <c r="L1667" s="75">
        <v>4</v>
      </c>
      <c r="M1667" s="75" t="s">
        <v>644</v>
      </c>
      <c r="N1667" s="75" t="s">
        <v>146</v>
      </c>
      <c r="O1667" s="75"/>
    </row>
    <row r="1668" spans="9:15">
      <c r="I1668" s="133">
        <v>46131</v>
      </c>
      <c r="J1668" s="134">
        <v>0.37783564814814807</v>
      </c>
      <c r="K1668" s="135">
        <v>5.45</v>
      </c>
      <c r="L1668" s="75">
        <v>2</v>
      </c>
      <c r="M1668" s="75" t="s">
        <v>644</v>
      </c>
      <c r="N1668" s="75" t="s">
        <v>146</v>
      </c>
      <c r="O1668" s="75"/>
    </row>
    <row r="1669" spans="9:15">
      <c r="I1669" s="133">
        <v>46131</v>
      </c>
      <c r="J1669" s="134">
        <v>0.37561342592592589</v>
      </c>
      <c r="K1669" s="135">
        <v>9.8000000000000007</v>
      </c>
      <c r="L1669" s="75">
        <v>5</v>
      </c>
      <c r="M1669" s="75" t="s">
        <v>644</v>
      </c>
      <c r="N1669" s="75" t="s">
        <v>146</v>
      </c>
      <c r="O1669" s="75"/>
    </row>
    <row r="1670" spans="9:15">
      <c r="I1670" s="133">
        <v>46131</v>
      </c>
      <c r="J1670" s="134">
        <v>0.3727314814814815</v>
      </c>
      <c r="K1670" s="135">
        <v>3.2</v>
      </c>
      <c r="L1670" s="75">
        <v>1</v>
      </c>
      <c r="M1670" s="75" t="s">
        <v>644</v>
      </c>
      <c r="N1670" s="75" t="s">
        <v>146</v>
      </c>
      <c r="O1670" s="75"/>
    </row>
    <row r="1671" spans="9:15">
      <c r="I1671" s="133">
        <v>46131</v>
      </c>
      <c r="J1671" s="134">
        <v>0.35975694444444439</v>
      </c>
      <c r="K1671" s="135">
        <v>1.7</v>
      </c>
      <c r="L1671" s="75">
        <v>1</v>
      </c>
      <c r="M1671" s="75" t="s">
        <v>644</v>
      </c>
      <c r="N1671" s="75" t="s">
        <v>146</v>
      </c>
      <c r="O1671" s="75"/>
    </row>
    <row r="1672" spans="9:15">
      <c r="I1672" s="133">
        <v>46131</v>
      </c>
      <c r="J1672" s="134">
        <v>0.34994212962962962</v>
      </c>
      <c r="K1672" s="135">
        <v>1.85</v>
      </c>
      <c r="L1672" s="75">
        <v>1</v>
      </c>
      <c r="M1672" s="75" t="s">
        <v>644</v>
      </c>
      <c r="N1672" s="75" t="s">
        <v>146</v>
      </c>
      <c r="O1672" s="75"/>
    </row>
    <row r="1673" spans="9:15">
      <c r="I1673" s="133">
        <v>46131</v>
      </c>
      <c r="J1673" s="134">
        <v>0.5006018518518518</v>
      </c>
      <c r="K1673" s="135">
        <v>1.5</v>
      </c>
      <c r="L1673" s="75">
        <v>1</v>
      </c>
      <c r="M1673" s="75" t="s">
        <v>636</v>
      </c>
      <c r="N1673" s="75" t="s">
        <v>494</v>
      </c>
      <c r="O1673" s="75"/>
    </row>
    <row r="1674" spans="9:15">
      <c r="I1674" s="133">
        <v>46131</v>
      </c>
      <c r="J1674" s="134">
        <v>0.50225694444444446</v>
      </c>
      <c r="K1674" s="135">
        <v>3</v>
      </c>
      <c r="L1674" s="75">
        <v>1</v>
      </c>
      <c r="M1674" s="75" t="s">
        <v>636</v>
      </c>
      <c r="N1674" s="75" t="s">
        <v>494</v>
      </c>
      <c r="O1674" s="75"/>
    </row>
    <row r="1675" spans="9:15">
      <c r="I1675" s="133">
        <v>46131</v>
      </c>
      <c r="J1675" s="134">
        <v>0.51018518518518519</v>
      </c>
      <c r="K1675" s="135">
        <v>1.5</v>
      </c>
      <c r="L1675" s="75">
        <v>1</v>
      </c>
      <c r="M1675" s="75" t="s">
        <v>636</v>
      </c>
      <c r="N1675" s="75" t="s">
        <v>494</v>
      </c>
      <c r="O1675" s="75"/>
    </row>
    <row r="1676" spans="9:15">
      <c r="I1676" s="133">
        <v>46131</v>
      </c>
      <c r="J1676" s="134">
        <v>0.51935185185185184</v>
      </c>
      <c r="K1676" s="135">
        <v>3.3</v>
      </c>
      <c r="L1676" s="75">
        <v>2</v>
      </c>
      <c r="M1676" s="75" t="s">
        <v>636</v>
      </c>
      <c r="N1676" s="75" t="s">
        <v>494</v>
      </c>
      <c r="O1676" s="75"/>
    </row>
    <row r="1677" spans="9:15">
      <c r="I1677" s="133">
        <v>46131</v>
      </c>
      <c r="J1677" s="134">
        <v>0.52835648148148151</v>
      </c>
      <c r="K1677" s="135">
        <v>24</v>
      </c>
      <c r="L1677" s="75">
        <v>1</v>
      </c>
      <c r="M1677" s="75" t="s">
        <v>636</v>
      </c>
      <c r="N1677" s="75" t="s">
        <v>494</v>
      </c>
      <c r="O1677" s="75"/>
    </row>
    <row r="1678" spans="9:15">
      <c r="I1678" s="133">
        <v>46131</v>
      </c>
      <c r="J1678" s="134">
        <v>0.57512731481481483</v>
      </c>
      <c r="K1678" s="135">
        <v>5.3</v>
      </c>
      <c r="L1678" s="75">
        <v>2</v>
      </c>
      <c r="M1678" s="75" t="s">
        <v>636</v>
      </c>
      <c r="N1678" s="75" t="s">
        <v>494</v>
      </c>
      <c r="O1678" s="75"/>
    </row>
    <row r="1679" spans="9:15">
      <c r="I1679" s="133">
        <v>46131</v>
      </c>
      <c r="J1679" s="134">
        <v>0.58461805555555557</v>
      </c>
      <c r="K1679" s="135">
        <v>5.3</v>
      </c>
      <c r="L1679" s="75">
        <v>2</v>
      </c>
      <c r="M1679" s="75" t="s">
        <v>636</v>
      </c>
      <c r="N1679" s="75" t="s">
        <v>494</v>
      </c>
      <c r="O1679" s="75"/>
    </row>
    <row r="1680" spans="9:15">
      <c r="I1680" s="133">
        <v>46131</v>
      </c>
      <c r="J1680" s="134">
        <v>0.59738425925925931</v>
      </c>
      <c r="K1680" s="135">
        <v>5.8</v>
      </c>
      <c r="L1680" s="75">
        <v>2</v>
      </c>
      <c r="M1680" s="75" t="s">
        <v>636</v>
      </c>
      <c r="N1680" s="75" t="s">
        <v>494</v>
      </c>
      <c r="O1680" s="75"/>
    </row>
    <row r="1681" spans="9:15">
      <c r="I1681" s="133">
        <v>46131</v>
      </c>
      <c r="J1681" s="134">
        <v>0.62590277777777781</v>
      </c>
      <c r="K1681" s="135">
        <v>44.25</v>
      </c>
      <c r="L1681" s="75">
        <v>2</v>
      </c>
      <c r="M1681" s="75" t="s">
        <v>636</v>
      </c>
      <c r="N1681" s="75" t="s">
        <v>494</v>
      </c>
      <c r="O1681" s="75"/>
    </row>
    <row r="1682" spans="9:15">
      <c r="I1682" s="133">
        <v>46131</v>
      </c>
      <c r="J1682" s="134">
        <v>0.64187499999999997</v>
      </c>
      <c r="K1682" s="135">
        <v>61.2</v>
      </c>
      <c r="L1682" s="75">
        <v>2</v>
      </c>
      <c r="M1682" s="75" t="s">
        <v>636</v>
      </c>
      <c r="N1682" s="75" t="s">
        <v>494</v>
      </c>
      <c r="O1682" s="75"/>
    </row>
    <row r="1683" spans="9:15">
      <c r="I1683" s="133">
        <v>46131</v>
      </c>
      <c r="J1683" s="134">
        <v>0.64369212962962963</v>
      </c>
      <c r="K1683" s="135">
        <v>145.19999999999999</v>
      </c>
      <c r="L1683" s="75">
        <v>6</v>
      </c>
      <c r="M1683" s="75" t="s">
        <v>636</v>
      </c>
      <c r="N1683" s="75" t="s">
        <v>494</v>
      </c>
      <c r="O1683" s="75"/>
    </row>
    <row r="1684" spans="9:15">
      <c r="I1684" s="133">
        <v>46131</v>
      </c>
      <c r="J1684" s="134">
        <v>0.64421296296296293</v>
      </c>
      <c r="K1684" s="135">
        <v>34.5</v>
      </c>
      <c r="L1684" s="75">
        <v>2</v>
      </c>
      <c r="M1684" s="75" t="s">
        <v>636</v>
      </c>
      <c r="N1684" s="75" t="s">
        <v>494</v>
      </c>
      <c r="O1684" s="75"/>
    </row>
    <row r="1685" spans="9:15">
      <c r="I1685" s="133">
        <v>46131</v>
      </c>
      <c r="J1685" s="134">
        <v>0.64879629629629632</v>
      </c>
      <c r="K1685" s="135">
        <v>54.05</v>
      </c>
      <c r="L1685" s="75">
        <v>2</v>
      </c>
      <c r="M1685" s="75" t="s">
        <v>636</v>
      </c>
      <c r="N1685" s="75" t="s">
        <v>494</v>
      </c>
      <c r="O1685" s="75"/>
    </row>
    <row r="1686" spans="9:15">
      <c r="I1686" s="133">
        <v>46131</v>
      </c>
      <c r="J1686" s="134">
        <v>0.6498842592592593</v>
      </c>
      <c r="K1686" s="135">
        <v>74.900000000000006</v>
      </c>
      <c r="L1686" s="75">
        <v>4</v>
      </c>
      <c r="M1686" s="75" t="s">
        <v>636</v>
      </c>
      <c r="N1686" s="75" t="s">
        <v>494</v>
      </c>
      <c r="O1686" s="75"/>
    </row>
    <row r="1687" spans="9:15">
      <c r="I1687" s="133">
        <v>46131</v>
      </c>
      <c r="J1687" s="134">
        <v>0.66833333333333333</v>
      </c>
      <c r="K1687" s="135">
        <v>40.799999999999997</v>
      </c>
      <c r="L1687" s="75">
        <v>2</v>
      </c>
      <c r="M1687" s="75" t="s">
        <v>636</v>
      </c>
      <c r="N1687" s="75" t="s">
        <v>494</v>
      </c>
      <c r="O1687" s="75"/>
    </row>
    <row r="1688" spans="9:15">
      <c r="I1688" s="133">
        <v>46120</v>
      </c>
      <c r="J1688" s="134">
        <v>0.87152777777777779</v>
      </c>
      <c r="K1688" s="135">
        <v>5</v>
      </c>
      <c r="L1688" s="75">
        <v>2</v>
      </c>
      <c r="M1688" s="75" t="s">
        <v>637</v>
      </c>
      <c r="N1688" s="75" t="s">
        <v>497</v>
      </c>
      <c r="O1688" s="75"/>
    </row>
    <row r="1689" spans="9:15">
      <c r="I1689" s="133">
        <v>46120</v>
      </c>
      <c r="J1689" s="134">
        <v>0.89930555555555558</v>
      </c>
      <c r="K1689" s="135">
        <v>23.45</v>
      </c>
      <c r="L1689" s="75">
        <v>2</v>
      </c>
      <c r="M1689" s="75" t="s">
        <v>637</v>
      </c>
      <c r="N1689" s="75" t="s">
        <v>497</v>
      </c>
      <c r="O1689" s="75"/>
    </row>
    <row r="1690" spans="9:15">
      <c r="I1690" s="133">
        <v>46128</v>
      </c>
      <c r="J1690" s="134">
        <v>0.88402777777777775</v>
      </c>
      <c r="K1690" s="135">
        <v>7</v>
      </c>
      <c r="L1690" s="75">
        <v>2</v>
      </c>
      <c r="M1690" s="75" t="s">
        <v>638</v>
      </c>
      <c r="N1690" s="75" t="s">
        <v>497</v>
      </c>
      <c r="O1690" s="75"/>
    </row>
    <row r="1691" spans="9:15">
      <c r="I1691" s="133">
        <v>46128</v>
      </c>
      <c r="J1691" s="134">
        <v>0.87708333333333333</v>
      </c>
      <c r="K1691" s="135">
        <v>57.6</v>
      </c>
      <c r="L1691" s="75">
        <v>3</v>
      </c>
      <c r="M1691" s="75" t="s">
        <v>638</v>
      </c>
      <c r="N1691" s="75" t="s">
        <v>497</v>
      </c>
      <c r="O1691" s="75"/>
    </row>
    <row r="1692" spans="9:15">
      <c r="I1692" s="133">
        <v>46134</v>
      </c>
      <c r="J1692" s="134">
        <v>0.51458333333333328</v>
      </c>
      <c r="K1692" s="135">
        <v>1.7</v>
      </c>
      <c r="L1692" s="75">
        <v>1</v>
      </c>
      <c r="M1692" s="75" t="s">
        <v>637</v>
      </c>
      <c r="N1692" s="75" t="s">
        <v>494</v>
      </c>
      <c r="O1692" s="75"/>
    </row>
    <row r="1693" spans="9:15">
      <c r="I1693" s="133">
        <v>46134</v>
      </c>
      <c r="J1693" s="134">
        <v>0.54236111111111107</v>
      </c>
      <c r="K1693" s="135">
        <v>1.85</v>
      </c>
      <c r="L1693" s="75">
        <v>1</v>
      </c>
      <c r="M1693" s="75" t="s">
        <v>637</v>
      </c>
      <c r="N1693" s="75" t="s">
        <v>494</v>
      </c>
      <c r="O1693" s="75"/>
    </row>
    <row r="1694" spans="9:15">
      <c r="I1694" s="133">
        <v>46134</v>
      </c>
      <c r="J1694" s="134">
        <v>0.54722222222222228</v>
      </c>
      <c r="K1694" s="135">
        <v>14.95</v>
      </c>
      <c r="L1694" s="75">
        <v>1</v>
      </c>
      <c r="M1694" s="75" t="s">
        <v>637</v>
      </c>
      <c r="N1694" s="75" t="s">
        <v>494</v>
      </c>
      <c r="O1694" s="75"/>
    </row>
    <row r="1695" spans="9:15">
      <c r="I1695" s="133">
        <v>46134</v>
      </c>
      <c r="J1695" s="134">
        <v>0.60277777777777775</v>
      </c>
      <c r="K1695" s="135">
        <v>3.9</v>
      </c>
      <c r="L1695" s="75">
        <v>1</v>
      </c>
      <c r="M1695" s="75" t="s">
        <v>637</v>
      </c>
      <c r="N1695" s="75" t="s">
        <v>494</v>
      </c>
      <c r="O1695" s="75"/>
    </row>
    <row r="1696" spans="9:15">
      <c r="I1696" s="133">
        <v>46134</v>
      </c>
      <c r="J1696" s="134">
        <v>0.6381944444444444</v>
      </c>
      <c r="K1696" s="135">
        <v>2.5</v>
      </c>
      <c r="L1696" s="75">
        <v>1</v>
      </c>
      <c r="M1696" s="75" t="s">
        <v>637</v>
      </c>
      <c r="N1696" s="75" t="s">
        <v>494</v>
      </c>
      <c r="O1696" s="75"/>
    </row>
    <row r="1697" spans="9:15">
      <c r="I1697" s="133">
        <v>46134</v>
      </c>
      <c r="J1697" s="134">
        <v>0.65347222222222223</v>
      </c>
      <c r="K1697" s="135">
        <v>4.5999999999999996</v>
      </c>
      <c r="L1697" s="75">
        <v>2</v>
      </c>
      <c r="M1697" s="75" t="s">
        <v>637</v>
      </c>
      <c r="N1697" s="75" t="s">
        <v>494</v>
      </c>
      <c r="O1697" s="75"/>
    </row>
    <row r="1698" spans="9:15">
      <c r="I1698" s="133">
        <v>46134</v>
      </c>
      <c r="J1698" s="134">
        <v>0.87596064814814811</v>
      </c>
      <c r="K1698" s="135">
        <v>22.85</v>
      </c>
      <c r="L1698" s="75">
        <v>2</v>
      </c>
      <c r="M1698" s="75" t="s">
        <v>637</v>
      </c>
      <c r="N1698" s="75" t="s">
        <v>497</v>
      </c>
      <c r="O1698" s="75"/>
    </row>
    <row r="1699" spans="9:15">
      <c r="I1699" s="133">
        <v>46134</v>
      </c>
      <c r="J1699" s="134">
        <v>0.89954861111111106</v>
      </c>
      <c r="K1699" s="135">
        <v>82.95</v>
      </c>
      <c r="L1699" s="75">
        <v>3</v>
      </c>
      <c r="M1699" s="75" t="s">
        <v>637</v>
      </c>
      <c r="N1699" s="75" t="s">
        <v>497</v>
      </c>
      <c r="O1699" s="75"/>
    </row>
    <row r="1700" spans="9:15">
      <c r="I1700" s="133">
        <v>46134</v>
      </c>
      <c r="J1700" s="134">
        <v>0.91093749999999996</v>
      </c>
      <c r="K1700" s="135">
        <v>12.45</v>
      </c>
      <c r="L1700" s="75">
        <v>2</v>
      </c>
      <c r="M1700" s="75" t="s">
        <v>637</v>
      </c>
      <c r="N1700" s="75" t="s">
        <v>497</v>
      </c>
      <c r="O1700" s="75"/>
    </row>
    <row r="1701" spans="9:15">
      <c r="I1701" s="133">
        <v>46135</v>
      </c>
      <c r="J1701" s="134">
        <v>0.37884259259259262</v>
      </c>
      <c r="K1701" s="135">
        <v>2.5499999999999998</v>
      </c>
      <c r="L1701" s="75">
        <v>1</v>
      </c>
      <c r="M1701" s="75" t="s">
        <v>638</v>
      </c>
      <c r="N1701" s="75" t="s">
        <v>146</v>
      </c>
      <c r="O1701" s="75"/>
    </row>
    <row r="1702" spans="9:15">
      <c r="I1702" s="133">
        <v>46135</v>
      </c>
      <c r="J1702" s="134">
        <v>0.38737268518518519</v>
      </c>
      <c r="K1702" s="135">
        <v>1.5</v>
      </c>
      <c r="L1702" s="75">
        <v>1</v>
      </c>
      <c r="M1702" s="75" t="s">
        <v>638</v>
      </c>
      <c r="N1702" s="75" t="s">
        <v>146</v>
      </c>
      <c r="O1702" s="75"/>
    </row>
    <row r="1703" spans="9:15">
      <c r="I1703" s="133">
        <v>46135</v>
      </c>
      <c r="J1703" s="134">
        <v>0.40945601851851848</v>
      </c>
      <c r="K1703" s="135">
        <v>3.2</v>
      </c>
      <c r="L1703" s="75">
        <v>1</v>
      </c>
      <c r="M1703" s="75" t="s">
        <v>638</v>
      </c>
      <c r="N1703" s="75" t="s">
        <v>146</v>
      </c>
      <c r="O1703" s="75"/>
    </row>
    <row r="1704" spans="9:15">
      <c r="I1704" s="133">
        <v>46135</v>
      </c>
      <c r="J1704" s="134">
        <v>0.42607638888888888</v>
      </c>
      <c r="K1704" s="135">
        <v>21.9</v>
      </c>
      <c r="L1704" s="75">
        <v>2</v>
      </c>
      <c r="M1704" s="75" t="s">
        <v>638</v>
      </c>
      <c r="N1704" s="75" t="s">
        <v>146</v>
      </c>
      <c r="O1704" s="75"/>
    </row>
    <row r="1705" spans="9:15">
      <c r="I1705" s="133">
        <v>46135</v>
      </c>
      <c r="J1705" s="134">
        <v>0.43026620370370372</v>
      </c>
      <c r="K1705" s="135">
        <v>6.95</v>
      </c>
      <c r="L1705" s="75">
        <v>1</v>
      </c>
      <c r="M1705" s="75" t="s">
        <v>638</v>
      </c>
      <c r="N1705" s="75" t="s">
        <v>146</v>
      </c>
      <c r="O1705" s="75"/>
    </row>
    <row r="1706" spans="9:15">
      <c r="I1706" s="133">
        <v>46135</v>
      </c>
      <c r="J1706" s="134">
        <v>0.44305555555555548</v>
      </c>
      <c r="K1706" s="135">
        <v>3.8</v>
      </c>
      <c r="L1706" s="75">
        <v>2</v>
      </c>
      <c r="M1706" s="75" t="s">
        <v>638</v>
      </c>
      <c r="N1706" s="75" t="s">
        <v>146</v>
      </c>
      <c r="O1706" s="75"/>
    </row>
    <row r="1707" spans="9:15">
      <c r="I1707" s="133">
        <v>46135</v>
      </c>
      <c r="J1707" s="134">
        <v>0.4541898148148148</v>
      </c>
      <c r="K1707" s="135">
        <v>2.0499999999999998</v>
      </c>
      <c r="L1707" s="75">
        <v>1</v>
      </c>
      <c r="M1707" s="75" t="s">
        <v>638</v>
      </c>
      <c r="N1707" s="75" t="s">
        <v>146</v>
      </c>
      <c r="O1707" s="75"/>
    </row>
    <row r="1708" spans="9:15">
      <c r="I1708" s="133">
        <v>46135</v>
      </c>
      <c r="J1708" s="134">
        <v>0.46041666666666659</v>
      </c>
      <c r="K1708" s="135">
        <v>4.5999999999999996</v>
      </c>
      <c r="L1708" s="75">
        <v>1</v>
      </c>
      <c r="M1708" s="75" t="s">
        <v>638</v>
      </c>
      <c r="N1708" s="75" t="s">
        <v>146</v>
      </c>
      <c r="O1708" s="75"/>
    </row>
    <row r="1709" spans="9:15">
      <c r="I1709" s="133">
        <v>46135</v>
      </c>
      <c r="J1709" s="134">
        <v>0.48576388888888888</v>
      </c>
      <c r="K1709" s="135">
        <v>15.75</v>
      </c>
      <c r="L1709" s="75">
        <v>3</v>
      </c>
      <c r="M1709" s="75" t="s">
        <v>638</v>
      </c>
      <c r="N1709" s="75" t="s">
        <v>146</v>
      </c>
      <c r="O1709" s="75"/>
    </row>
    <row r="1710" spans="9:15">
      <c r="I1710" s="133">
        <v>46135</v>
      </c>
      <c r="J1710" s="134">
        <v>0.49565972222222221</v>
      </c>
      <c r="K1710" s="135">
        <v>3.65</v>
      </c>
      <c r="L1710" s="75">
        <v>2</v>
      </c>
      <c r="M1710" s="75" t="s">
        <v>638</v>
      </c>
      <c r="N1710" s="75" t="s">
        <v>146</v>
      </c>
      <c r="O1710" s="75"/>
    </row>
    <row r="1711" spans="9:15">
      <c r="I1711" s="133">
        <v>46135</v>
      </c>
      <c r="J1711" s="134">
        <v>0.51745370370370369</v>
      </c>
      <c r="K1711" s="135">
        <v>1.7</v>
      </c>
      <c r="L1711" s="75">
        <v>1</v>
      </c>
      <c r="M1711" s="75" t="s">
        <v>638</v>
      </c>
      <c r="N1711" s="75" t="s">
        <v>494</v>
      </c>
      <c r="O1711" s="75"/>
    </row>
    <row r="1712" spans="9:15">
      <c r="I1712" s="133">
        <v>46135</v>
      </c>
      <c r="J1712" s="134">
        <v>0.53552083333333333</v>
      </c>
      <c r="K1712" s="135">
        <v>40.450000000000003</v>
      </c>
      <c r="L1712" s="75">
        <v>5</v>
      </c>
      <c r="M1712" s="75" t="s">
        <v>638</v>
      </c>
      <c r="N1712" s="75" t="s">
        <v>494</v>
      </c>
      <c r="O1712" s="75"/>
    </row>
    <row r="1713" spans="9:15">
      <c r="I1713" s="133">
        <v>46135</v>
      </c>
      <c r="J1713" s="134">
        <v>0.54146990740740741</v>
      </c>
      <c r="K1713" s="135">
        <v>5.2</v>
      </c>
      <c r="L1713" s="75">
        <v>1</v>
      </c>
      <c r="M1713" s="75" t="s">
        <v>638</v>
      </c>
      <c r="N1713" s="75" t="s">
        <v>494</v>
      </c>
      <c r="O1713" s="75"/>
    </row>
    <row r="1714" spans="9:15">
      <c r="I1714" s="133">
        <v>46135</v>
      </c>
      <c r="J1714" s="134">
        <v>0.54902777777777778</v>
      </c>
      <c r="K1714" s="135">
        <v>10.45</v>
      </c>
      <c r="L1714" s="75">
        <v>2</v>
      </c>
      <c r="M1714" s="75" t="s">
        <v>638</v>
      </c>
      <c r="N1714" s="75" t="s">
        <v>494</v>
      </c>
      <c r="O1714" s="75"/>
    </row>
    <row r="1715" spans="9:15">
      <c r="I1715" s="133">
        <v>46135</v>
      </c>
      <c r="J1715" s="134">
        <v>0.58856481481481482</v>
      </c>
      <c r="K1715" s="135">
        <v>77.5</v>
      </c>
      <c r="L1715" s="75">
        <v>3</v>
      </c>
      <c r="M1715" s="75" t="s">
        <v>638</v>
      </c>
      <c r="N1715" s="75" t="s">
        <v>494</v>
      </c>
      <c r="O1715" s="75"/>
    </row>
    <row r="1716" spans="9:15">
      <c r="I1716" s="133">
        <v>46135</v>
      </c>
      <c r="J1716" s="134">
        <v>0.59046296296296297</v>
      </c>
      <c r="K1716" s="135">
        <v>72.25</v>
      </c>
      <c r="L1716" s="75">
        <v>4</v>
      </c>
      <c r="M1716" s="75" t="s">
        <v>638</v>
      </c>
      <c r="N1716" s="75" t="s">
        <v>494</v>
      </c>
      <c r="O1716" s="75"/>
    </row>
    <row r="1717" spans="9:15">
      <c r="I1717" s="133">
        <v>46135</v>
      </c>
      <c r="J1717" s="134">
        <v>0.59217592592592594</v>
      </c>
      <c r="K1717" s="135">
        <v>13.9</v>
      </c>
      <c r="L1717" s="75">
        <v>2</v>
      </c>
      <c r="M1717" s="75" t="s">
        <v>638</v>
      </c>
      <c r="N1717" s="75" t="s">
        <v>494</v>
      </c>
      <c r="O1717" s="75"/>
    </row>
    <row r="1718" spans="9:15">
      <c r="I1718" s="133">
        <v>46135</v>
      </c>
      <c r="J1718" s="134">
        <v>0.60627314814814814</v>
      </c>
      <c r="K1718" s="135">
        <v>22.4</v>
      </c>
      <c r="L1718" s="75">
        <v>3</v>
      </c>
      <c r="M1718" s="75" t="s">
        <v>638</v>
      </c>
      <c r="N1718" s="75" t="s">
        <v>494</v>
      </c>
      <c r="O1718" s="75"/>
    </row>
    <row r="1719" spans="9:15">
      <c r="I1719" s="133">
        <v>46135</v>
      </c>
      <c r="J1719" s="134">
        <v>0.61493055555555554</v>
      </c>
      <c r="K1719" s="135">
        <v>44.35</v>
      </c>
      <c r="L1719" s="75">
        <v>2</v>
      </c>
      <c r="M1719" s="75" t="s">
        <v>638</v>
      </c>
      <c r="N1719" s="75" t="s">
        <v>494</v>
      </c>
      <c r="O1719" s="75"/>
    </row>
    <row r="1720" spans="9:15">
      <c r="I1720" s="133">
        <v>46135</v>
      </c>
      <c r="J1720" s="134">
        <v>0.64814814814814814</v>
      </c>
      <c r="K1720" s="135">
        <v>1.8</v>
      </c>
      <c r="L1720" s="75">
        <v>1</v>
      </c>
      <c r="M1720" s="75" t="s">
        <v>638</v>
      </c>
      <c r="N1720" s="75" t="s">
        <v>494</v>
      </c>
      <c r="O1720" s="75"/>
    </row>
    <row r="1721" spans="9:15">
      <c r="I1721" s="133">
        <v>46135</v>
      </c>
      <c r="J1721" s="134">
        <v>0.67403935185185182</v>
      </c>
      <c r="K1721" s="135">
        <v>5.7</v>
      </c>
      <c r="L1721" s="75">
        <v>3</v>
      </c>
      <c r="M1721" s="75" t="s">
        <v>638</v>
      </c>
      <c r="N1721" s="75" t="s">
        <v>494</v>
      </c>
      <c r="O1721" s="75"/>
    </row>
    <row r="1722" spans="9:15">
      <c r="I1722" s="133">
        <v>46136</v>
      </c>
      <c r="J1722" s="134">
        <v>0.82986111111111116</v>
      </c>
      <c r="K1722" s="135">
        <v>6.9</v>
      </c>
      <c r="L1722" s="75">
        <v>1</v>
      </c>
      <c r="M1722" s="75" t="s">
        <v>633</v>
      </c>
      <c r="N1722" s="75" t="s">
        <v>497</v>
      </c>
      <c r="O1722" s="75"/>
    </row>
    <row r="1723" spans="9:15">
      <c r="I1723" s="133">
        <v>46136</v>
      </c>
      <c r="J1723" s="134">
        <v>0.87986111111111109</v>
      </c>
      <c r="K1723" s="135">
        <v>33.549999999999997</v>
      </c>
      <c r="L1723" s="75">
        <v>5</v>
      </c>
      <c r="M1723" s="75" t="s">
        <v>633</v>
      </c>
      <c r="N1723" s="75" t="s">
        <v>497</v>
      </c>
      <c r="O1723" s="75"/>
    </row>
    <row r="1724" spans="9:15">
      <c r="I1724" s="133">
        <v>46136</v>
      </c>
      <c r="J1724" s="134">
        <v>0.88055555555555554</v>
      </c>
      <c r="K1724" s="135">
        <v>4.8499999999999996</v>
      </c>
      <c r="L1724" s="75">
        <v>2</v>
      </c>
      <c r="M1724" s="75" t="s">
        <v>633</v>
      </c>
      <c r="N1724" s="75" t="s">
        <v>497</v>
      </c>
      <c r="O1724" s="75"/>
    </row>
    <row r="1725" spans="9:15">
      <c r="I1725" s="133">
        <v>46136</v>
      </c>
      <c r="J1725" s="134">
        <v>0.90208333333333335</v>
      </c>
      <c r="K1725" s="135">
        <v>74.3</v>
      </c>
      <c r="L1725" s="75">
        <v>5</v>
      </c>
      <c r="M1725" s="75" t="s">
        <v>633</v>
      </c>
      <c r="N1725" s="75" t="s">
        <v>497</v>
      </c>
      <c r="O1725" s="75"/>
    </row>
    <row r="1726" spans="9:15">
      <c r="I1726" s="133">
        <v>46136</v>
      </c>
      <c r="J1726" s="134">
        <v>0.93333333333333335</v>
      </c>
      <c r="K1726" s="135">
        <v>64.900000000000006</v>
      </c>
      <c r="L1726" s="75">
        <v>2</v>
      </c>
      <c r="M1726" s="75" t="s">
        <v>633</v>
      </c>
      <c r="N1726" s="75" t="s">
        <v>497</v>
      </c>
      <c r="O1726" s="75"/>
    </row>
    <row r="1727" spans="9:15">
      <c r="I1727" s="133">
        <v>46136</v>
      </c>
      <c r="J1727" s="134">
        <v>0.93402777777777779</v>
      </c>
      <c r="K1727" s="135">
        <v>57.3</v>
      </c>
      <c r="L1727" s="75">
        <v>4</v>
      </c>
      <c r="M1727" s="75" t="s">
        <v>633</v>
      </c>
      <c r="N1727" s="75" t="s">
        <v>497</v>
      </c>
      <c r="O1727" s="75"/>
    </row>
    <row r="1728" spans="9:15">
      <c r="I1728" s="133">
        <v>46136</v>
      </c>
      <c r="J1728" s="134">
        <v>0.52152777777777781</v>
      </c>
      <c r="K1728" s="135">
        <v>17.95</v>
      </c>
      <c r="L1728" s="75">
        <v>4</v>
      </c>
      <c r="M1728" s="75" t="s">
        <v>633</v>
      </c>
      <c r="N1728" s="75" t="s">
        <v>494</v>
      </c>
      <c r="O1728" s="75"/>
    </row>
    <row r="1729" spans="9:15">
      <c r="I1729" s="133">
        <v>46136</v>
      </c>
      <c r="J1729" s="134">
        <v>0.56874999999999998</v>
      </c>
      <c r="K1729" s="135">
        <v>5.3</v>
      </c>
      <c r="L1729" s="75">
        <v>2</v>
      </c>
      <c r="M1729" s="75" t="s">
        <v>633</v>
      </c>
      <c r="N1729" s="75" t="s">
        <v>494</v>
      </c>
      <c r="O1729" s="75"/>
    </row>
    <row r="1730" spans="9:15">
      <c r="I1730" s="133">
        <v>46136</v>
      </c>
      <c r="J1730" s="134">
        <v>0.63124999999999998</v>
      </c>
      <c r="K1730" s="135">
        <v>16.75</v>
      </c>
      <c r="L1730" s="75">
        <v>1</v>
      </c>
      <c r="M1730" s="75" t="s">
        <v>633</v>
      </c>
      <c r="N1730" s="75" t="s">
        <v>494</v>
      </c>
      <c r="O1730" s="75"/>
    </row>
    <row r="1731" spans="9:15">
      <c r="I1731" s="133">
        <v>46136</v>
      </c>
      <c r="J1731" s="134">
        <v>0.66666666666666663</v>
      </c>
      <c r="K1731" s="135">
        <v>1.7</v>
      </c>
      <c r="L1731" s="75">
        <v>1</v>
      </c>
      <c r="M1731" s="75" t="s">
        <v>633</v>
      </c>
      <c r="N1731" s="75" t="s">
        <v>494</v>
      </c>
      <c r="O1731" s="75"/>
    </row>
    <row r="1732" spans="9:15">
      <c r="I1732" s="133">
        <v>46137</v>
      </c>
      <c r="J1732" s="134">
        <v>0.50555555555555554</v>
      </c>
      <c r="K1732" s="135">
        <v>1.5</v>
      </c>
      <c r="L1732" s="75">
        <v>1</v>
      </c>
      <c r="M1732" s="75" t="s">
        <v>635</v>
      </c>
      <c r="N1732" s="75" t="s">
        <v>494</v>
      </c>
      <c r="O1732" s="75"/>
    </row>
    <row r="1733" spans="9:15">
      <c r="I1733" s="133">
        <v>46137</v>
      </c>
      <c r="J1733" s="134">
        <v>0.51249999999999996</v>
      </c>
      <c r="K1733" s="135">
        <v>1.7</v>
      </c>
      <c r="L1733" s="75">
        <v>1</v>
      </c>
      <c r="M1733" s="75" t="s">
        <v>635</v>
      </c>
      <c r="N1733" s="75" t="s">
        <v>494</v>
      </c>
      <c r="O1733" s="75"/>
    </row>
    <row r="1734" spans="9:15">
      <c r="I1734" s="133">
        <v>46137</v>
      </c>
      <c r="J1734" s="134">
        <v>0.6</v>
      </c>
      <c r="K1734" s="135">
        <v>62.95</v>
      </c>
      <c r="L1734" s="75">
        <v>4</v>
      </c>
      <c r="M1734" s="75" t="s">
        <v>635</v>
      </c>
      <c r="N1734" s="75" t="s">
        <v>494</v>
      </c>
      <c r="O1734" s="75"/>
    </row>
    <row r="1735" spans="9:15">
      <c r="I1735" s="133">
        <v>46137</v>
      </c>
      <c r="J1735" s="134">
        <v>0.66319444444444442</v>
      </c>
      <c r="K1735" s="135">
        <v>32.85</v>
      </c>
      <c r="L1735" s="75">
        <v>0</v>
      </c>
      <c r="M1735" s="75" t="s">
        <v>635</v>
      </c>
      <c r="N1735" s="75" t="s">
        <v>494</v>
      </c>
      <c r="O1735" s="75"/>
    </row>
    <row r="1736" spans="9:15">
      <c r="I1736" s="133">
        <v>46137</v>
      </c>
      <c r="J1736" s="134">
        <v>0.34305555555555561</v>
      </c>
      <c r="K1736" s="135">
        <v>7.75</v>
      </c>
      <c r="L1736" s="75">
        <v>1</v>
      </c>
      <c r="M1736" s="75" t="s">
        <v>635</v>
      </c>
      <c r="N1736" s="75" t="s">
        <v>146</v>
      </c>
      <c r="O1736" s="75"/>
    </row>
    <row r="1737" spans="9:15">
      <c r="I1737" s="133">
        <v>46137</v>
      </c>
      <c r="J1737" s="134">
        <v>0.46180555555555558</v>
      </c>
      <c r="K1737" s="135">
        <v>5.4</v>
      </c>
      <c r="L1737" s="75">
        <v>1</v>
      </c>
      <c r="M1737" s="75" t="s">
        <v>635</v>
      </c>
      <c r="N1737" s="75" t="s">
        <v>146</v>
      </c>
      <c r="O1737" s="75"/>
    </row>
    <row r="1738" spans="9:15">
      <c r="I1738" s="133">
        <v>46137</v>
      </c>
      <c r="J1738" s="134">
        <v>0.47013888888888888</v>
      </c>
      <c r="K1738" s="135">
        <v>1.7</v>
      </c>
      <c r="L1738" s="75">
        <v>1</v>
      </c>
      <c r="M1738" s="75" t="s">
        <v>635</v>
      </c>
      <c r="N1738" s="75" t="s">
        <v>146</v>
      </c>
      <c r="O1738" s="75"/>
    </row>
    <row r="1739" spans="9:15">
      <c r="I1739" s="133">
        <v>46137</v>
      </c>
      <c r="J1739" s="134">
        <v>0.47569444444444442</v>
      </c>
      <c r="K1739" s="135">
        <v>2.0499999999999998</v>
      </c>
      <c r="L1739" s="75">
        <v>1</v>
      </c>
      <c r="M1739" s="75" t="s">
        <v>635</v>
      </c>
      <c r="N1739" s="75" t="s">
        <v>146</v>
      </c>
      <c r="O1739" s="75"/>
    </row>
    <row r="1740" spans="9:15">
      <c r="I1740" s="133">
        <v>46137</v>
      </c>
      <c r="J1740" s="134">
        <v>0.47708333333333341</v>
      </c>
      <c r="K1740" s="135">
        <v>13.9</v>
      </c>
      <c r="L1740" s="75">
        <v>2</v>
      </c>
      <c r="M1740" s="75" t="s">
        <v>635</v>
      </c>
      <c r="N1740" s="75" t="s">
        <v>146</v>
      </c>
      <c r="O1740" s="75"/>
    </row>
    <row r="1741" spans="9:15">
      <c r="I1741" s="133">
        <v>46137</v>
      </c>
      <c r="J1741" s="134">
        <v>0.48472222222222222</v>
      </c>
      <c r="K1741" s="135">
        <v>4.9000000000000004</v>
      </c>
      <c r="L1741" s="75">
        <v>2</v>
      </c>
      <c r="M1741" s="75" t="s">
        <v>635</v>
      </c>
      <c r="N1741" s="75" t="s">
        <v>146</v>
      </c>
      <c r="O1741" s="75"/>
    </row>
    <row r="1742" spans="9:15">
      <c r="I1742" s="133">
        <v>46137</v>
      </c>
      <c r="J1742" s="134">
        <v>0.45060185185185192</v>
      </c>
      <c r="K1742" s="135">
        <v>8.15</v>
      </c>
      <c r="L1742" s="75">
        <v>1</v>
      </c>
      <c r="M1742" s="75" t="s">
        <v>635</v>
      </c>
      <c r="N1742" s="75" t="s">
        <v>146</v>
      </c>
      <c r="O1742" s="75"/>
    </row>
    <row r="1743" spans="9:15">
      <c r="I1743" s="133">
        <v>46137</v>
      </c>
      <c r="J1743" s="134">
        <v>0.45118055555555547</v>
      </c>
      <c r="K1743" s="135">
        <v>3.45</v>
      </c>
      <c r="L1743" s="75">
        <v>1</v>
      </c>
      <c r="M1743" s="75" t="s">
        <v>635</v>
      </c>
      <c r="N1743" s="75" t="s">
        <v>146</v>
      </c>
      <c r="O1743" s="75"/>
    </row>
    <row r="1744" spans="9:15">
      <c r="I1744" s="133">
        <v>46137</v>
      </c>
      <c r="J1744" s="134">
        <v>0.45541666666666669</v>
      </c>
      <c r="K1744" s="135">
        <v>3.95</v>
      </c>
      <c r="L1744" s="75">
        <v>1</v>
      </c>
      <c r="M1744" s="75" t="s">
        <v>635</v>
      </c>
      <c r="N1744" s="75" t="s">
        <v>146</v>
      </c>
      <c r="O1744" s="75"/>
    </row>
    <row r="1745" spans="9:15">
      <c r="I1745" s="133">
        <v>46137</v>
      </c>
      <c r="J1745" s="134">
        <v>0.45892361111111107</v>
      </c>
      <c r="K1745" s="135">
        <v>2.7</v>
      </c>
      <c r="L1745" s="75">
        <v>1</v>
      </c>
      <c r="M1745" s="75" t="s">
        <v>635</v>
      </c>
      <c r="N1745" s="75" t="s">
        <v>146</v>
      </c>
      <c r="O1745" s="75"/>
    </row>
    <row r="1746" spans="9:15">
      <c r="I1746" s="133">
        <v>46137</v>
      </c>
      <c r="J1746" s="134">
        <v>0.46109953703703699</v>
      </c>
      <c r="K1746" s="135">
        <v>3.95</v>
      </c>
      <c r="L1746" s="75">
        <v>1</v>
      </c>
      <c r="M1746" s="75" t="s">
        <v>635</v>
      </c>
      <c r="N1746" s="75" t="s">
        <v>146</v>
      </c>
      <c r="O1746" s="75"/>
    </row>
    <row r="1747" spans="9:15">
      <c r="I1747" s="133">
        <v>46137</v>
      </c>
      <c r="J1747" s="134">
        <v>0.46232638888888888</v>
      </c>
      <c r="K1747" s="135">
        <v>5.4</v>
      </c>
      <c r="L1747" s="75">
        <v>1</v>
      </c>
      <c r="M1747" s="75" t="s">
        <v>635</v>
      </c>
      <c r="N1747" s="75" t="s">
        <v>146</v>
      </c>
      <c r="O1747" s="75"/>
    </row>
    <row r="1748" spans="9:15">
      <c r="I1748" s="133">
        <v>46137</v>
      </c>
      <c r="J1748" s="134">
        <v>0.33504629629629629</v>
      </c>
      <c r="K1748" s="135">
        <v>1.4</v>
      </c>
      <c r="L1748" s="75">
        <v>1</v>
      </c>
      <c r="M1748" s="75" t="s">
        <v>635</v>
      </c>
      <c r="N1748" s="75" t="s">
        <v>146</v>
      </c>
      <c r="O1748" s="75"/>
    </row>
    <row r="1749" spans="9:15">
      <c r="I1749" s="133">
        <v>46137</v>
      </c>
      <c r="J1749" s="134">
        <v>0.34462962962962962</v>
      </c>
      <c r="K1749" s="135">
        <v>1.7</v>
      </c>
      <c r="L1749" s="75">
        <v>1</v>
      </c>
      <c r="M1749" s="75" t="s">
        <v>635</v>
      </c>
      <c r="N1749" s="75" t="s">
        <v>146</v>
      </c>
      <c r="O1749" s="75"/>
    </row>
    <row r="1750" spans="9:15">
      <c r="I1750" s="133">
        <v>46137</v>
      </c>
      <c r="J1750" s="134">
        <v>0.3523263888888889</v>
      </c>
      <c r="K1750" s="135">
        <v>1.4</v>
      </c>
      <c r="L1750" s="75">
        <v>1</v>
      </c>
      <c r="M1750" s="75" t="s">
        <v>635</v>
      </c>
      <c r="N1750" s="75" t="s">
        <v>146</v>
      </c>
      <c r="O1750" s="75"/>
    </row>
    <row r="1751" spans="9:15">
      <c r="I1751" s="133">
        <v>46137</v>
      </c>
      <c r="J1751" s="134">
        <v>0.35541666666666671</v>
      </c>
      <c r="K1751" s="135">
        <v>1.4</v>
      </c>
      <c r="L1751" s="75">
        <v>1</v>
      </c>
      <c r="M1751" s="75" t="s">
        <v>635</v>
      </c>
      <c r="N1751" s="75" t="s">
        <v>146</v>
      </c>
      <c r="O1751" s="75"/>
    </row>
    <row r="1752" spans="9:15">
      <c r="I1752" s="133">
        <v>46137</v>
      </c>
      <c r="J1752" s="134">
        <v>0.3555787037037037</v>
      </c>
      <c r="K1752" s="135">
        <v>1.4</v>
      </c>
      <c r="L1752" s="75">
        <v>1</v>
      </c>
      <c r="M1752" s="75" t="s">
        <v>635</v>
      </c>
      <c r="N1752" s="75" t="s">
        <v>146</v>
      </c>
      <c r="O1752" s="75"/>
    </row>
    <row r="1753" spans="9:15">
      <c r="I1753" s="133">
        <v>46137</v>
      </c>
      <c r="J1753" s="134">
        <v>0.36484953703703699</v>
      </c>
      <c r="K1753" s="135">
        <v>1.5</v>
      </c>
      <c r="L1753" s="75">
        <v>1</v>
      </c>
      <c r="M1753" s="75" t="s">
        <v>635</v>
      </c>
      <c r="N1753" s="75" t="s">
        <v>146</v>
      </c>
      <c r="O1753" s="75"/>
    </row>
    <row r="1754" spans="9:15">
      <c r="I1754" s="133">
        <v>46137</v>
      </c>
      <c r="J1754" s="134">
        <v>0.37646990740740738</v>
      </c>
      <c r="K1754" s="135">
        <v>6.7</v>
      </c>
      <c r="L1754" s="75">
        <v>1</v>
      </c>
      <c r="M1754" s="75" t="s">
        <v>635</v>
      </c>
      <c r="N1754" s="75" t="s">
        <v>146</v>
      </c>
      <c r="O1754" s="75"/>
    </row>
    <row r="1755" spans="9:15">
      <c r="I1755" s="133">
        <v>46137</v>
      </c>
      <c r="J1755" s="134">
        <v>0.38146990740740738</v>
      </c>
      <c r="K1755" s="135">
        <v>2.2999999999999998</v>
      </c>
      <c r="L1755" s="75">
        <v>1</v>
      </c>
      <c r="M1755" s="75" t="s">
        <v>635</v>
      </c>
      <c r="N1755" s="75" t="s">
        <v>146</v>
      </c>
      <c r="O1755" s="75"/>
    </row>
    <row r="1756" spans="9:15">
      <c r="I1756" s="133">
        <v>46137</v>
      </c>
      <c r="J1756" s="134">
        <v>0.38975694444444442</v>
      </c>
      <c r="K1756" s="135">
        <v>2.4500000000000002</v>
      </c>
      <c r="L1756" s="75">
        <v>1</v>
      </c>
      <c r="M1756" s="75" t="s">
        <v>635</v>
      </c>
      <c r="N1756" s="75" t="s">
        <v>146</v>
      </c>
      <c r="O1756" s="75"/>
    </row>
    <row r="1757" spans="9:15">
      <c r="I1757" s="133">
        <v>46137</v>
      </c>
      <c r="J1757" s="134">
        <v>0.44662037037037039</v>
      </c>
      <c r="K1757" s="135">
        <v>15.65</v>
      </c>
      <c r="L1757" s="75">
        <v>3</v>
      </c>
      <c r="M1757" s="75" t="s">
        <v>635</v>
      </c>
      <c r="N1757" s="75" t="s">
        <v>146</v>
      </c>
      <c r="O1757" s="75"/>
    </row>
    <row r="1758" spans="9:15">
      <c r="I1758" s="133">
        <v>46137</v>
      </c>
      <c r="J1758" s="134">
        <v>0.66131944444444446</v>
      </c>
      <c r="K1758" s="135">
        <v>0</v>
      </c>
      <c r="L1758" s="75">
        <v>13</v>
      </c>
      <c r="M1758" s="75" t="s">
        <v>635</v>
      </c>
      <c r="N1758" s="75" t="s">
        <v>494</v>
      </c>
      <c r="O1758" s="75"/>
    </row>
    <row r="1759" spans="9:15">
      <c r="I1759" s="133">
        <v>46138</v>
      </c>
      <c r="J1759" s="134">
        <v>0.94097222222222221</v>
      </c>
      <c r="K1759" s="135">
        <v>30.1</v>
      </c>
      <c r="L1759" s="75">
        <v>2</v>
      </c>
      <c r="M1759" s="75" t="s">
        <v>636</v>
      </c>
      <c r="N1759" s="75" t="s">
        <v>497</v>
      </c>
      <c r="O1759" s="75"/>
    </row>
    <row r="1760" spans="9:15">
      <c r="I1760" s="133">
        <v>46138</v>
      </c>
      <c r="J1760" s="134">
        <v>0.8881944444444444</v>
      </c>
      <c r="K1760" s="135">
        <v>37.700000000000003</v>
      </c>
      <c r="L1760" s="75">
        <v>2</v>
      </c>
      <c r="M1760" s="75" t="s">
        <v>636</v>
      </c>
      <c r="N1760" s="75" t="s">
        <v>497</v>
      </c>
      <c r="O1760" s="75"/>
    </row>
    <row r="1761" spans="9:15">
      <c r="I1761" s="133">
        <v>46138</v>
      </c>
      <c r="J1761" s="134">
        <v>0.84027777777777779</v>
      </c>
      <c r="K1761" s="135">
        <v>5.6</v>
      </c>
      <c r="L1761" s="75">
        <v>2</v>
      </c>
      <c r="M1761" s="75" t="s">
        <v>636</v>
      </c>
      <c r="N1761" s="75" t="s">
        <v>497</v>
      </c>
      <c r="O1761" s="75"/>
    </row>
    <row r="1762" spans="9:15">
      <c r="I1762" s="133">
        <v>46138</v>
      </c>
      <c r="J1762" s="134">
        <v>0.84282407407407411</v>
      </c>
      <c r="K1762" s="135">
        <v>12.15</v>
      </c>
      <c r="L1762" s="75">
        <v>2</v>
      </c>
      <c r="M1762" s="75" t="s">
        <v>636</v>
      </c>
      <c r="N1762" s="75" t="s">
        <v>497</v>
      </c>
      <c r="O1762" s="75"/>
    </row>
    <row r="1763" spans="9:15">
      <c r="I1763" s="133">
        <v>46138</v>
      </c>
      <c r="J1763" s="134">
        <v>0.83078703703703705</v>
      </c>
      <c r="K1763" s="135">
        <v>2.15</v>
      </c>
      <c r="L1763" s="75">
        <v>1</v>
      </c>
      <c r="M1763" s="75" t="s">
        <v>636</v>
      </c>
      <c r="N1763" s="75" t="s">
        <v>497</v>
      </c>
      <c r="O1763" s="75"/>
    </row>
    <row r="1764" spans="9:15">
      <c r="I1764" s="133">
        <v>46141</v>
      </c>
      <c r="J1764" s="134">
        <v>0.6425925925925926</v>
      </c>
      <c r="K1764" s="135">
        <v>13.9</v>
      </c>
      <c r="L1764" s="75">
        <v>1</v>
      </c>
      <c r="M1764" s="75" t="s">
        <v>637</v>
      </c>
      <c r="N1764" s="75" t="s">
        <v>494</v>
      </c>
      <c r="O1764" s="75"/>
    </row>
    <row r="1765" spans="9:15">
      <c r="I1765" s="133">
        <v>46141</v>
      </c>
      <c r="J1765" s="134">
        <v>0.65069444444444446</v>
      </c>
      <c r="K1765" s="135">
        <v>2.2000000000000002</v>
      </c>
      <c r="L1765" s="75">
        <v>1</v>
      </c>
      <c r="M1765" s="75" t="s">
        <v>637</v>
      </c>
      <c r="N1765" s="75" t="s">
        <v>494</v>
      </c>
      <c r="O1765" s="75"/>
    </row>
    <row r="1766" spans="9:15">
      <c r="I1766" s="133">
        <v>46141</v>
      </c>
      <c r="J1766" s="134">
        <v>0.63888888888888884</v>
      </c>
      <c r="K1766" s="135">
        <v>21.65</v>
      </c>
      <c r="L1766" s="75">
        <v>2</v>
      </c>
      <c r="M1766" s="75" t="s">
        <v>637</v>
      </c>
      <c r="N1766" s="75" t="s">
        <v>494</v>
      </c>
      <c r="O1766" s="75"/>
    </row>
    <row r="1767" spans="9:15">
      <c r="I1767" s="133">
        <v>46141</v>
      </c>
      <c r="J1767" s="134">
        <v>0.63402777777777775</v>
      </c>
      <c r="K1767" s="135">
        <v>24.45</v>
      </c>
      <c r="L1767" s="75">
        <v>2</v>
      </c>
      <c r="M1767" s="75" t="s">
        <v>637</v>
      </c>
      <c r="N1767" s="75" t="s">
        <v>494</v>
      </c>
      <c r="O1767" s="75"/>
    </row>
    <row r="1768" spans="9:15">
      <c r="I1768" s="133">
        <v>46141</v>
      </c>
      <c r="J1768" s="134">
        <v>0.56284722222222228</v>
      </c>
      <c r="K1768" s="135">
        <v>33.75</v>
      </c>
      <c r="L1768" s="75">
        <v>2</v>
      </c>
      <c r="M1768" s="75" t="s">
        <v>637</v>
      </c>
      <c r="N1768" s="75" t="s">
        <v>494</v>
      </c>
      <c r="O1768" s="75"/>
    </row>
    <row r="1769" spans="9:15">
      <c r="I1769" s="133">
        <v>46141</v>
      </c>
      <c r="J1769" s="134">
        <v>0.54282407407407407</v>
      </c>
      <c r="K1769" s="135">
        <v>2.5</v>
      </c>
      <c r="L1769" s="75">
        <v>1</v>
      </c>
      <c r="M1769" s="75" t="s">
        <v>637</v>
      </c>
      <c r="N1769" s="75" t="s">
        <v>494</v>
      </c>
      <c r="O1769" s="75"/>
    </row>
    <row r="1770" spans="9:15">
      <c r="I1770" s="133">
        <v>46141</v>
      </c>
      <c r="J1770" s="134">
        <v>0.51736111111111116</v>
      </c>
      <c r="K1770" s="135">
        <v>1.7</v>
      </c>
      <c r="L1770" s="75">
        <v>1</v>
      </c>
      <c r="M1770" s="75" t="s">
        <v>637</v>
      </c>
      <c r="N1770" s="75" t="s">
        <v>494</v>
      </c>
      <c r="O1770" s="75"/>
    </row>
    <row r="1771" spans="9:15">
      <c r="I1771" s="133">
        <v>46141</v>
      </c>
      <c r="J1771" s="134">
        <v>0.52861111111111114</v>
      </c>
      <c r="K1771" s="135">
        <v>5</v>
      </c>
      <c r="L1771" s="75">
        <v>1</v>
      </c>
      <c r="M1771" s="75" t="s">
        <v>637</v>
      </c>
      <c r="N1771" s="75" t="s">
        <v>494</v>
      </c>
      <c r="O1771" s="75"/>
    </row>
    <row r="1772" spans="9:15">
      <c r="I1772" s="133">
        <v>46141</v>
      </c>
      <c r="J1772" s="134">
        <v>0.92175925925925928</v>
      </c>
      <c r="K1772" s="135">
        <v>41.9</v>
      </c>
      <c r="L1772" s="75">
        <v>2</v>
      </c>
      <c r="M1772" s="75" t="s">
        <v>637</v>
      </c>
      <c r="N1772" s="75" t="s">
        <v>497</v>
      </c>
      <c r="O1772" s="75"/>
    </row>
    <row r="1773" spans="9:15">
      <c r="I1773" s="133">
        <v>46141</v>
      </c>
      <c r="J1773" s="134">
        <v>0.90081018518518519</v>
      </c>
      <c r="K1773" s="135">
        <v>48.3</v>
      </c>
      <c r="L1773" s="75">
        <v>2</v>
      </c>
      <c r="M1773" s="75" t="s">
        <v>637</v>
      </c>
      <c r="N1773" s="75" t="s">
        <v>497</v>
      </c>
      <c r="O1773" s="75"/>
    </row>
    <row r="1774" spans="9:15">
      <c r="I1774" s="133">
        <v>46141</v>
      </c>
      <c r="J1774" s="134">
        <v>0.85416666666666663</v>
      </c>
      <c r="K1774" s="135">
        <v>5.3</v>
      </c>
      <c r="L1774" s="75">
        <v>2</v>
      </c>
      <c r="M1774" s="75" t="s">
        <v>637</v>
      </c>
      <c r="N1774" s="75" t="s">
        <v>497</v>
      </c>
      <c r="O1774" s="75"/>
    </row>
    <row r="1775" spans="9:15">
      <c r="I1775" s="133">
        <v>46142</v>
      </c>
      <c r="J1775" s="134">
        <v>0.52656250000000004</v>
      </c>
      <c r="K1775" s="135">
        <v>22.35</v>
      </c>
      <c r="L1775" s="75">
        <v>2</v>
      </c>
      <c r="M1775" s="75" t="s">
        <v>638</v>
      </c>
      <c r="N1775" s="75" t="s">
        <v>494</v>
      </c>
      <c r="O1775" s="75"/>
    </row>
    <row r="1776" spans="9:15">
      <c r="I1776" s="133">
        <v>46142</v>
      </c>
      <c r="J1776" s="134">
        <v>0.57090277777777776</v>
      </c>
      <c r="K1776" s="135">
        <v>19.2</v>
      </c>
      <c r="L1776" s="75">
        <v>2</v>
      </c>
      <c r="M1776" s="75" t="s">
        <v>638</v>
      </c>
      <c r="N1776" s="75" t="s">
        <v>494</v>
      </c>
      <c r="O1776" s="75"/>
    </row>
    <row r="1777" spans="9:15">
      <c r="I1777" s="133">
        <v>46142</v>
      </c>
      <c r="J1777" s="134">
        <v>0.58406250000000004</v>
      </c>
      <c r="K1777" s="135">
        <v>34.700000000000003</v>
      </c>
      <c r="L1777" s="75">
        <v>2</v>
      </c>
      <c r="M1777" s="75" t="s">
        <v>638</v>
      </c>
      <c r="N1777" s="75" t="s">
        <v>494</v>
      </c>
      <c r="O1777" s="75"/>
    </row>
    <row r="1778" spans="9:15">
      <c r="I1778" s="133">
        <v>46142</v>
      </c>
      <c r="J1778" s="134">
        <v>0.65586805555555561</v>
      </c>
      <c r="K1778" s="135">
        <v>54.05</v>
      </c>
      <c r="L1778" s="75">
        <v>4</v>
      </c>
      <c r="M1778" s="75" t="s">
        <v>638</v>
      </c>
      <c r="N1778" s="75" t="s">
        <v>494</v>
      </c>
      <c r="O1778" s="75"/>
    </row>
    <row r="1779" spans="9:15">
      <c r="I1779" s="133">
        <v>46142</v>
      </c>
      <c r="J1779" s="134">
        <v>0.86958333333333337</v>
      </c>
      <c r="K1779" s="135">
        <v>7.95</v>
      </c>
      <c r="L1779" s="75">
        <v>2</v>
      </c>
      <c r="M1779" s="75" t="s">
        <v>638</v>
      </c>
      <c r="N1779" s="75" t="s">
        <v>497</v>
      </c>
      <c r="O1779" s="75"/>
    </row>
    <row r="1780" spans="9:15">
      <c r="I1780" s="133">
        <v>46142</v>
      </c>
      <c r="J1780" s="134">
        <v>0.92380787037037038</v>
      </c>
      <c r="K1780" s="135">
        <v>51.2</v>
      </c>
      <c r="L1780" s="75">
        <v>2</v>
      </c>
      <c r="M1780" s="75" t="s">
        <v>638</v>
      </c>
      <c r="N1780" s="75" t="s">
        <v>497</v>
      </c>
      <c r="O1780" s="75"/>
    </row>
    <row r="1781" spans="9:15">
      <c r="I1781" s="133">
        <v>46142</v>
      </c>
      <c r="J1781" s="134">
        <v>0.9361342592592593</v>
      </c>
      <c r="K1781" s="135">
        <v>29.35</v>
      </c>
      <c r="L1781" s="75">
        <v>2</v>
      </c>
      <c r="M1781" s="75" t="s">
        <v>638</v>
      </c>
      <c r="N1781" s="75" t="s">
        <v>497</v>
      </c>
      <c r="O1781" s="75"/>
    </row>
    <row r="1782" spans="9:15">
      <c r="I1782" s="133">
        <v>46142</v>
      </c>
      <c r="J1782" s="134">
        <v>0.96347222222222217</v>
      </c>
      <c r="K1782" s="135">
        <v>57.25</v>
      </c>
      <c r="L1782" s="75">
        <v>2</v>
      </c>
      <c r="M1782" s="75" t="s">
        <v>638</v>
      </c>
      <c r="N1782" s="75" t="s">
        <v>497</v>
      </c>
      <c r="O1782" s="75"/>
    </row>
    <row r="1783" spans="9:15">
      <c r="I1783" s="133">
        <v>46143</v>
      </c>
      <c r="J1783" s="134">
        <v>0.33684027777777775</v>
      </c>
      <c r="K1783" s="135">
        <v>1.5</v>
      </c>
      <c r="L1783" s="75">
        <v>5</v>
      </c>
      <c r="M1783" s="75" t="s">
        <v>638</v>
      </c>
      <c r="N1783" s="75" t="s">
        <v>146</v>
      </c>
      <c r="O1783" s="75"/>
    </row>
    <row r="1784" spans="9:15">
      <c r="I1784" s="133">
        <v>46143</v>
      </c>
      <c r="J1784" s="134">
        <v>0.34135416666666668</v>
      </c>
      <c r="K1784" s="135">
        <v>1.4</v>
      </c>
      <c r="L1784" s="75">
        <v>1</v>
      </c>
      <c r="M1784" s="75" t="s">
        <v>638</v>
      </c>
      <c r="N1784" s="75" t="s">
        <v>146</v>
      </c>
      <c r="O1784" s="75"/>
    </row>
    <row r="1785" spans="9:15">
      <c r="I1785" s="133">
        <v>46143</v>
      </c>
      <c r="J1785" s="134">
        <v>0.33398148148148149</v>
      </c>
      <c r="K1785" s="135">
        <v>1.75</v>
      </c>
      <c r="L1785" s="75">
        <v>1</v>
      </c>
      <c r="M1785" s="75" t="s">
        <v>638</v>
      </c>
      <c r="N1785" s="75" t="s">
        <v>146</v>
      </c>
      <c r="O1785" s="75"/>
    </row>
    <row r="1786" spans="9:15">
      <c r="I1786" s="133">
        <v>46143</v>
      </c>
      <c r="J1786" s="134">
        <v>0.43606481481481479</v>
      </c>
      <c r="K1786" s="135">
        <v>1.5</v>
      </c>
      <c r="L1786" s="75">
        <v>1</v>
      </c>
      <c r="M1786" s="75" t="s">
        <v>638</v>
      </c>
      <c r="N1786" s="75" t="s">
        <v>146</v>
      </c>
      <c r="O1786" s="75"/>
    </row>
    <row r="1787" spans="9:15">
      <c r="I1787" s="133">
        <v>46143</v>
      </c>
      <c r="J1787" s="134">
        <v>0.43200231481481483</v>
      </c>
      <c r="K1787" s="135">
        <v>2.4500000000000002</v>
      </c>
      <c r="L1787" s="75">
        <v>1</v>
      </c>
      <c r="M1787" s="75" t="s">
        <v>638</v>
      </c>
      <c r="N1787" s="75" t="s">
        <v>146</v>
      </c>
      <c r="O1787" s="75"/>
    </row>
    <row r="1788" spans="9:15">
      <c r="I1788" s="133">
        <v>46143</v>
      </c>
      <c r="J1788" s="134">
        <v>0.34677083333333331</v>
      </c>
      <c r="K1788" s="135">
        <v>1.7</v>
      </c>
      <c r="L1788" s="75">
        <v>1</v>
      </c>
      <c r="M1788" s="75" t="s">
        <v>638</v>
      </c>
      <c r="N1788" s="75" t="s">
        <v>146</v>
      </c>
      <c r="O1788" s="75"/>
    </row>
    <row r="1789" spans="9:15">
      <c r="I1789" s="133">
        <v>46143</v>
      </c>
      <c r="J1789" s="134">
        <v>0.45901620370370372</v>
      </c>
      <c r="K1789" s="135">
        <v>5.6</v>
      </c>
      <c r="L1789" s="75">
        <v>2</v>
      </c>
      <c r="M1789" s="75" t="s">
        <v>638</v>
      </c>
      <c r="N1789" s="75" t="s">
        <v>146</v>
      </c>
      <c r="O1789" s="75"/>
    </row>
    <row r="1790" spans="9:15">
      <c r="I1790" s="133">
        <v>46143</v>
      </c>
      <c r="J1790" s="134">
        <v>0.45962962962962961</v>
      </c>
      <c r="K1790" s="135">
        <v>4.8</v>
      </c>
      <c r="L1790" s="75">
        <v>1</v>
      </c>
      <c r="M1790" s="75" t="s">
        <v>638</v>
      </c>
      <c r="N1790" s="75" t="s">
        <v>146</v>
      </c>
      <c r="O1790" s="75"/>
    </row>
    <row r="1791" spans="9:15">
      <c r="I1791" s="133">
        <v>46143</v>
      </c>
      <c r="J1791" s="134">
        <v>0.48370370370370369</v>
      </c>
      <c r="K1791" s="135">
        <v>6.55</v>
      </c>
      <c r="L1791" s="75">
        <v>1</v>
      </c>
      <c r="M1791" s="75" t="s">
        <v>638</v>
      </c>
      <c r="N1791" s="75" t="s">
        <v>146</v>
      </c>
      <c r="O1791" s="75"/>
    </row>
    <row r="1792" spans="9:15">
      <c r="I1792" s="133">
        <v>46143</v>
      </c>
      <c r="J1792" s="134">
        <v>0.4959837962962963</v>
      </c>
      <c r="K1792" s="135">
        <v>3</v>
      </c>
      <c r="L1792" s="75">
        <v>2</v>
      </c>
      <c r="M1792" s="75" t="s">
        <v>638</v>
      </c>
      <c r="N1792" s="75" t="s">
        <v>146</v>
      </c>
      <c r="O1792" s="75"/>
    </row>
    <row r="1793" spans="9:15">
      <c r="I1793" s="133">
        <v>46143</v>
      </c>
      <c r="J1793" s="134">
        <v>0.38594907407407408</v>
      </c>
      <c r="K1793" s="135">
        <v>6.55</v>
      </c>
      <c r="L1793" s="75">
        <v>1</v>
      </c>
      <c r="M1793" s="75" t="s">
        <v>638</v>
      </c>
      <c r="N1793" s="75" t="s">
        <v>146</v>
      </c>
      <c r="O1793" s="75"/>
    </row>
    <row r="1794" spans="9:15">
      <c r="I1794" s="133">
        <v>46143</v>
      </c>
      <c r="J1794" s="134">
        <v>0.38803240740740741</v>
      </c>
      <c r="K1794" s="135">
        <v>6.45</v>
      </c>
      <c r="L1794" s="75">
        <v>1</v>
      </c>
      <c r="M1794" s="75" t="s">
        <v>638</v>
      </c>
      <c r="N1794" s="75" t="s">
        <v>146</v>
      </c>
      <c r="O1794" s="75"/>
    </row>
    <row r="1795" spans="9:15">
      <c r="I1795" s="133">
        <v>46143</v>
      </c>
      <c r="J1795" s="134">
        <v>0.5896527777777778</v>
      </c>
      <c r="K1795" s="135">
        <v>20.75</v>
      </c>
      <c r="L1795" s="75">
        <v>3</v>
      </c>
      <c r="M1795" s="75" t="s">
        <v>638</v>
      </c>
      <c r="N1795" s="75" t="s">
        <v>494</v>
      </c>
      <c r="O1795" s="75"/>
    </row>
    <row r="1796" spans="9:15">
      <c r="I1796" s="133">
        <v>46143</v>
      </c>
      <c r="J1796" s="134">
        <v>0.82356481481481481</v>
      </c>
      <c r="K1796" s="135">
        <v>11.3</v>
      </c>
      <c r="L1796" s="75">
        <v>2</v>
      </c>
      <c r="M1796" s="75" t="s">
        <v>638</v>
      </c>
      <c r="N1796" s="75" t="s">
        <v>497</v>
      </c>
      <c r="O1796" s="75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237"/>
  <sheetViews>
    <sheetView showGridLines="0" zoomScale="150" zoomScaleNormal="75" workbookViewId="0">
      <pane ySplit="3" topLeftCell="A240" activePane="bottomLeft" state="frozen"/>
      <selection pane="bottomLeft" activeCell="F3" sqref="F1:F1048576"/>
    </sheetView>
  </sheetViews>
  <sheetFormatPr baseColWidth="10" defaultColWidth="14.5" defaultRowHeight="15" customHeight="1"/>
  <cols>
    <col min="1" max="1" width="13" customWidth="1"/>
    <col min="2" max="2" width="13.6640625" customWidth="1"/>
    <col min="3" max="5" width="13" customWidth="1"/>
    <col min="6" max="6" width="14" customWidth="1"/>
    <col min="7" max="8" width="13" customWidth="1"/>
    <col min="9" max="9" width="10" customWidth="1"/>
    <col min="10" max="11" width="14" customWidth="1"/>
    <col min="12" max="12" width="22" customWidth="1"/>
    <col min="13" max="15" width="8.6640625" customWidth="1"/>
    <col min="16" max="16" width="12.6640625" customWidth="1"/>
    <col min="17" max="17" width="11.83203125" customWidth="1"/>
    <col min="18" max="18" width="14.1640625" customWidth="1"/>
    <col min="19" max="19" width="8.6640625" customWidth="1"/>
    <col min="20" max="20" width="12.33203125" customWidth="1"/>
    <col min="21" max="26" width="8.6640625" customWidth="1"/>
  </cols>
  <sheetData>
    <row r="1" spans="1:26" ht="31.5" customHeight="1">
      <c r="A1" s="1168" t="s">
        <v>649</v>
      </c>
      <c r="B1" s="1140"/>
      <c r="C1" s="1140"/>
      <c r="D1" s="1140"/>
      <c r="E1" s="1140"/>
      <c r="F1" s="1140"/>
      <c r="G1" s="1140"/>
      <c r="H1" s="1140"/>
      <c r="I1" s="1140"/>
      <c r="J1" s="1140"/>
      <c r="K1" s="1140"/>
      <c r="L1" s="1140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684">
        <f>DATE(2026,4,19)</f>
        <v>46131</v>
      </c>
    </row>
    <row r="2" spans="1:26" ht="18" customHeight="1">
      <c r="A2" s="1205" t="s">
        <v>650</v>
      </c>
      <c r="B2" s="1140"/>
      <c r="C2" s="1140"/>
      <c r="D2" s="1140"/>
      <c r="E2" s="1140"/>
      <c r="F2" s="1140"/>
      <c r="G2" s="1140"/>
      <c r="H2" s="1140"/>
      <c r="I2" s="1140"/>
      <c r="J2" s="1140"/>
      <c r="K2" s="1140"/>
      <c r="L2" s="1140"/>
      <c r="M2" s="74"/>
      <c r="N2" s="74"/>
      <c r="O2" s="1175" t="s">
        <v>651</v>
      </c>
      <c r="P2" s="1140"/>
      <c r="Q2" s="1140"/>
      <c r="R2" s="1140"/>
      <c r="S2" s="1140"/>
      <c r="T2" s="1140"/>
      <c r="U2" s="1140"/>
      <c r="V2" s="1140"/>
      <c r="W2" s="1140"/>
      <c r="X2" s="1140"/>
      <c r="Y2" s="1140"/>
      <c r="Z2" s="1140"/>
    </row>
    <row r="3" spans="1:26" ht="21.75" customHeight="1">
      <c r="A3" s="61" t="s">
        <v>438</v>
      </c>
      <c r="B3" s="5" t="s">
        <v>489</v>
      </c>
      <c r="C3" s="5" t="s">
        <v>596</v>
      </c>
      <c r="D3" s="5" t="s">
        <v>597</v>
      </c>
      <c r="E3" s="5" t="s">
        <v>598</v>
      </c>
      <c r="F3" s="5" t="s">
        <v>652</v>
      </c>
      <c r="G3" s="5" t="s">
        <v>653</v>
      </c>
      <c r="H3" s="5" t="s">
        <v>654</v>
      </c>
      <c r="I3" s="5" t="s">
        <v>655</v>
      </c>
      <c r="J3" s="5" t="s">
        <v>230</v>
      </c>
      <c r="K3" s="68" t="s">
        <v>656</v>
      </c>
      <c r="L3" s="5" t="s">
        <v>657</v>
      </c>
      <c r="M3" s="74"/>
      <c r="N3" s="74"/>
      <c r="O3" s="2" t="s">
        <v>66</v>
      </c>
      <c r="P3" s="3" t="s">
        <v>69</v>
      </c>
      <c r="Q3" s="3" t="s">
        <v>68</v>
      </c>
      <c r="R3" s="3" t="s">
        <v>658</v>
      </c>
      <c r="S3" s="3" t="s">
        <v>655</v>
      </c>
      <c r="T3" s="3" t="s">
        <v>67</v>
      </c>
      <c r="U3" s="3" t="s">
        <v>659</v>
      </c>
      <c r="V3" s="3" t="s">
        <v>601</v>
      </c>
      <c r="W3" s="4" t="s">
        <v>660</v>
      </c>
      <c r="X3" s="145"/>
      <c r="Y3" s="145"/>
      <c r="Z3" s="658">
        <f>DATE(2026,4,23)</f>
        <v>46135</v>
      </c>
    </row>
    <row r="4" spans="1:26" ht="15" customHeight="1">
      <c r="A4" s="64">
        <v>46024</v>
      </c>
      <c r="B4" s="26" t="str">
        <f t="shared" ref="B4:B67" si="0">TEXT($A4,"ddd")</f>
        <v>vie</v>
      </c>
      <c r="C4" s="27">
        <f>SUMIFS('Detalle Turnos'!$E:$E,'Detalle Turnos'!$A:$A,$A4,'Detalle Turnos'!$B:$B,"Mañana")</f>
        <v>181.98000000000002</v>
      </c>
      <c r="D4" s="27">
        <f>SUMIFS('Detalle Turnos'!$E:$E,'Detalle Turnos'!$A:$A,$A4,'Detalle Turnos'!$B:$B,"Mediodia")</f>
        <v>702.65</v>
      </c>
      <c r="E4" s="27">
        <f>SUMIFS('Detalle Turnos'!$E:$E,'Detalle Turnos'!$A:$A,$A4,'Detalle Turnos'!$B:$B,"Noche")</f>
        <v>727.68</v>
      </c>
      <c r="F4" s="30">
        <f t="shared" ref="F4:F67" si="1">SUM(C4:E4)</f>
        <v>1612.31</v>
      </c>
      <c r="G4" s="27">
        <f>IFERROR(IF(ISNUMBER(MATCH($A4,'Eventos y Previsión'!$B$4:$B$24,0)),INDEX('Eventos y Previsión'!$F$4:$F$24,MATCH($A4,'Eventos y Previsión'!$B$4:$B$24,0)),AVERAGEIFS('Facturación 2025'!$F$4:$F$303,'Facturación 2025'!$B$4:$B$303,$B4)),0)</f>
        <v>1865.4067441860466</v>
      </c>
      <c r="H4" s="28">
        <f t="shared" ref="H4:H67" si="2">F4-G4</f>
        <v>-253.09674418604664</v>
      </c>
      <c r="I4" s="31">
        <f t="shared" ref="I4:I67" si="3">IFERROR(H4/G4,0)</f>
        <v>-0.13567911929925133</v>
      </c>
      <c r="J4" s="27">
        <f t="array" ref="J4">SUMPRODUCT(('Horarios Personal'!$A$5:$A$555=$A4)*IFERROR('Horarios Personal'!$L$5:$L$555*1,0))</f>
        <v>538.83249999999987</v>
      </c>
      <c r="K4" s="72">
        <f t="shared" ref="K4:K67" si="4">IFERROR(J4/F4,"")</f>
        <v>0.33419906841736385</v>
      </c>
      <c r="L4" s="29" t="str">
        <f t="array" ref="L4">IFERROR(INDEX('Eventos y Previsión'!$C$4:$C$24,SUMPRODUCT((LOWER('Eventos y Previsión'!$A$4:$A$24)=LOWER(TEXT($A4,"mmmm")))*(ISNUMBER(SEARCH(TEXT(DAY($A4),"00")&amp;"/"&amp;TEXT(MONTH($A4),"00"),'Eventos y Previsión'!$B$4:$B$24)))*ROW('Eventos y Previsión'!$A$4:$A$24))-ROW('Eventos y Previsión'!$A$3)),"")</f>
        <v/>
      </c>
      <c r="M4" s="74"/>
      <c r="N4" s="74"/>
      <c r="O4" s="573" t="s">
        <v>78</v>
      </c>
      <c r="P4" s="698">
        <f t="array" ref="P4">SUMPRODUCT(--(MONTH($A$4:$A$253+0)=1),$F$4:$F$253)</f>
        <v>26444.12</v>
      </c>
      <c r="Q4" s="44">
        <f t="array" ref="Q4">SUMPRODUCT((MONTH($A$4:$A$253)=1)*$G$4:$G$253)</f>
        <v>34897.104758366419</v>
      </c>
      <c r="R4" s="56">
        <f t="shared" ref="R4:R16" si="5">IFERROR(P4-Q4,"")</f>
        <v>-8452.9847583664196</v>
      </c>
      <c r="S4" s="580">
        <f t="shared" ref="S4:S16" si="6">IFERROR(R4/Q4,"")</f>
        <v>-0.24222596163482174</v>
      </c>
      <c r="T4" s="699">
        <v>24019.87</v>
      </c>
      <c r="U4" s="580">
        <f t="shared" ref="U4:U16" si="7">IFERROR((P4-T4)/T4,"")</f>
        <v>0.10092685763911295</v>
      </c>
      <c r="V4" s="582">
        <f t="array" ref="V4">SUMPRODUCT(--(MONTH($A$4:$A$253+0)=1),--($F$4:$F$253&lt;&gt;0))</f>
        <v>22</v>
      </c>
      <c r="W4" s="712">
        <f t="array" ref="W4">IFERROR(SUMPRODUCT(--(MONTH($A$4:$A$253+0)=1),$J$4:$J$253)/P4,"")</f>
        <v>0.40489502014058337</v>
      </c>
      <c r="X4" s="145"/>
      <c r="Y4" s="145"/>
      <c r="Z4" s="145" t="str">
        <f>TEXT(DATE(2026,4,23),"ddd")</f>
        <v>jue</v>
      </c>
    </row>
    <row r="5" spans="1:26" ht="15" customHeight="1">
      <c r="A5" s="66">
        <v>46025</v>
      </c>
      <c r="B5" s="50" t="str">
        <f t="shared" si="0"/>
        <v>sáb</v>
      </c>
      <c r="C5" s="44">
        <f>SUMIFS('Detalle Turnos'!$E:$E,'Detalle Turnos'!$A:$A,$A5,'Detalle Turnos'!$B:$B,"Mañana")</f>
        <v>180.19</v>
      </c>
      <c r="D5" s="44">
        <f>SUMIFS('Detalle Turnos'!$E:$E,'Detalle Turnos'!$A:$A,$A5,'Detalle Turnos'!$B:$B,"Mediodia")</f>
        <v>1059.47</v>
      </c>
      <c r="E5" s="44">
        <f>SUMIFS('Detalle Turnos'!$E:$E,'Detalle Turnos'!$A:$A,$A5,'Detalle Turnos'!$B:$B,"Noche")</f>
        <v>382.82</v>
      </c>
      <c r="F5" s="45">
        <f t="shared" si="1"/>
        <v>1622.48</v>
      </c>
      <c r="G5" s="27">
        <f>IFERROR(IF(ISNUMBER(MATCH($A5,'Eventos y Previsión'!$B$4:$B$24,0)),INDEX('Eventos y Previsión'!$F$4:$F$24,MATCH($A5,'Eventos y Previsión'!$B$4:$B$24,0)),AVERAGEIFS('Facturación 2025'!$F$4:$F$303,'Facturación 2025'!$B$4:$B$303,$B5)),0)</f>
        <v>2049.8245999999995</v>
      </c>
      <c r="H5" s="56">
        <f t="shared" si="2"/>
        <v>-427.34459999999945</v>
      </c>
      <c r="I5" s="51">
        <f t="shared" si="3"/>
        <v>-0.20847861812176494</v>
      </c>
      <c r="J5" s="27">
        <f t="array" ref="J5">SUMPRODUCT(('Horarios Personal'!$A$5:$A$555=$A5)*IFERROR('Horarios Personal'!$L$5:$L$555*1,0))</f>
        <v>557.53</v>
      </c>
      <c r="K5" s="71">
        <f t="shared" si="4"/>
        <v>0.34362827276761498</v>
      </c>
      <c r="L5" s="29" t="str">
        <f t="array" ref="L5">IFERROR(INDEX('Eventos y Previsión'!$C$4:$C$24,SUMPRODUCT((LOWER('Eventos y Previsión'!$A$4:$A$24)=LOWER(TEXT($A5,"mmmm")))*(ISNUMBER(SEARCH(TEXT(DAY($A5),"00")&amp;"/"&amp;TEXT(MONTH($A5),"00"),'Eventos y Previsión'!$B$4:$B$24)))*ROW('Eventos y Previsión'!$A$4:$A$24))-ROW('Eventos y Previsión'!$A$3)),"")</f>
        <v/>
      </c>
      <c r="M5" s="74"/>
      <c r="N5" s="74"/>
      <c r="O5" s="584" t="s">
        <v>80</v>
      </c>
      <c r="P5" s="703">
        <f t="array" ref="P5">SUMPRODUCT(--(MONTH($A$4:$A$253+0)=2),$F$4:$F$253)</f>
        <v>26991.510000000002</v>
      </c>
      <c r="Q5" s="44">
        <f t="array" ref="Q5">SUMPRODUCT((MONTH($A$4:$A$253)=2)*$G$4:$G$253)</f>
        <v>24926.467618774815</v>
      </c>
      <c r="R5" s="56">
        <f t="shared" si="5"/>
        <v>2065.0423812251865</v>
      </c>
      <c r="S5" s="580">
        <f t="shared" si="6"/>
        <v>8.284536793612024E-2</v>
      </c>
      <c r="T5" s="704">
        <v>26308.68</v>
      </c>
      <c r="U5" s="580">
        <f t="shared" si="7"/>
        <v>2.5954551881736437E-2</v>
      </c>
      <c r="V5" s="50">
        <f t="array" ref="V5">SUMPRODUCT(--(MONTH($A$4:$A$253+0)=2),--($F$4:$F$253&lt;&gt;0))</f>
        <v>16</v>
      </c>
      <c r="W5" s="712">
        <f t="array" ref="W5">IFERROR(SUMPRODUCT(--(MONTH($A$4:$A$253+0)=2),$J$4:$J$253)/P5,"")</f>
        <v>0.31217760695863261</v>
      </c>
      <c r="X5" s="145"/>
      <c r="Y5" s="145"/>
      <c r="Z5" s="145"/>
    </row>
    <row r="6" spans="1:26" ht="15" customHeight="1">
      <c r="A6" s="66">
        <v>46026</v>
      </c>
      <c r="B6" s="50" t="str">
        <f t="shared" si="0"/>
        <v>dom</v>
      </c>
      <c r="C6" s="44">
        <f>SUMIFS('Detalle Turnos'!$E:$E,'Detalle Turnos'!$A:$A,$A6,'Detalle Turnos'!$B:$B,"Mañana")</f>
        <v>105.80999999999999</v>
      </c>
      <c r="D6" s="44">
        <f>SUMIFS('Detalle Turnos'!$E:$E,'Detalle Turnos'!$A:$A,$A6,'Detalle Turnos'!$B:$B,"Mediodia")</f>
        <v>833.84</v>
      </c>
      <c r="E6" s="44">
        <f>SUMIFS('Detalle Turnos'!$E:$E,'Detalle Turnos'!$A:$A,$A6,'Detalle Turnos'!$B:$B,"Noche")</f>
        <v>0</v>
      </c>
      <c r="F6" s="45">
        <f t="shared" si="1"/>
        <v>939.65</v>
      </c>
      <c r="G6" s="27">
        <f>IFERROR(IF(ISNUMBER(MATCH($A6,'Eventos y Previsión'!$B$4:$B$24,0)),INDEX('Eventos y Previsión'!$F$4:$F$24,MATCH($A6,'Eventos y Previsión'!$B$4:$B$24,0)),AVERAGEIFS('Facturación 2025'!$F$4:$F$303,'Facturación 2025'!$B$4:$B$303,$B6)),0)</f>
        <v>1690.062558139535</v>
      </c>
      <c r="H6" s="56">
        <f t="shared" si="2"/>
        <v>-750.41255813953501</v>
      </c>
      <c r="I6" s="51">
        <f t="shared" si="3"/>
        <v>-0.44401466355518149</v>
      </c>
      <c r="J6" s="27">
        <f t="array" ref="J6">SUMPRODUCT(('Horarios Personal'!$A$5:$A$555=$A6)*IFERROR('Horarios Personal'!$L$5:$L$555*1,0))</f>
        <v>462.33250000000004</v>
      </c>
      <c r="K6" s="73">
        <f t="shared" si="4"/>
        <v>0.49202628638322787</v>
      </c>
      <c r="L6" s="29" t="str">
        <f t="array" ref="L6">IFERROR(INDEX('Eventos y Previsión'!$C$4:$C$24,SUMPRODUCT((LOWER('Eventos y Previsión'!$A$4:$A$24)=LOWER(TEXT($A6,"mmmm")))*(ISNUMBER(SEARCH(TEXT(DAY($A6),"00")&amp;"/"&amp;TEXT(MONTH($A6),"00"),'Eventos y Previsión'!$B$4:$B$24)))*ROW('Eventos y Previsión'!$A$4:$A$24))-ROW('Eventos y Previsión'!$A$3)),"")</f>
        <v/>
      </c>
      <c r="M6" s="74"/>
      <c r="N6" s="74"/>
      <c r="O6" s="573" t="s">
        <v>81</v>
      </c>
      <c r="P6" s="698">
        <f t="array" ref="P6">SUMPRODUCT(--(MONTH($A$4:$A$253+0)=3),$F$4:$F$253)</f>
        <v>20240.310000000001</v>
      </c>
      <c r="Q6" s="44">
        <f t="array" ref="Q6">SUMPRODUCT((MONTH($A$4:$A$253)=3)*$G$4:$G$253)</f>
        <v>23236.405060635279</v>
      </c>
      <c r="R6" s="56">
        <f t="shared" si="5"/>
        <v>-2996.0950606352781</v>
      </c>
      <c r="S6" s="580">
        <f t="shared" si="6"/>
        <v>-0.12893969840932723</v>
      </c>
      <c r="T6" s="699">
        <v>20665.45</v>
      </c>
      <c r="U6" s="580">
        <f t="shared" si="7"/>
        <v>-2.0572501445649594E-2</v>
      </c>
      <c r="V6" s="582">
        <f t="array" ref="V6">SUMPRODUCT(--(MONTH($A$4:$A$253+0)=3),--($F$4:$F$253&lt;&gt;0))</f>
        <v>15</v>
      </c>
      <c r="W6" s="712">
        <f t="array" ref="W6">IFERROR(SUMPRODUCT(--(MONTH($A$4:$A$253+0)=3),$J$4:$J$253)/P6,"")</f>
        <v>0.30739116643964443</v>
      </c>
      <c r="X6" s="145"/>
      <c r="Y6" s="145"/>
      <c r="Z6" s="145"/>
    </row>
    <row r="7" spans="1:26" ht="15" customHeight="1">
      <c r="A7" s="66">
        <v>46029</v>
      </c>
      <c r="B7" s="50" t="str">
        <f t="shared" si="0"/>
        <v>mié</v>
      </c>
      <c r="C7" s="44">
        <f>SUMIFS('Detalle Turnos'!$E:$E,'Detalle Turnos'!$A:$A,$A7,'Detalle Turnos'!$B:$B,"Mañana")</f>
        <v>97.4</v>
      </c>
      <c r="D7" s="44">
        <f>SUMIFS('Detalle Turnos'!$E:$E,'Detalle Turnos'!$A:$A,$A7,'Detalle Turnos'!$B:$B,"Mediodia")</f>
        <v>343.52</v>
      </c>
      <c r="E7" s="44">
        <f>SUMIFS('Detalle Turnos'!$E:$E,'Detalle Turnos'!$A:$A,$A7,'Detalle Turnos'!$B:$B,"Noche")</f>
        <v>159.97999999999999</v>
      </c>
      <c r="F7" s="45">
        <f t="shared" si="1"/>
        <v>600.9</v>
      </c>
      <c r="G7" s="27">
        <f>IFERROR(IF(ISNUMBER(MATCH($A7,'Eventos y Previsión'!$B$4:$B$24,0)),INDEX('Eventos y Previsión'!$F$4:$F$24,MATCH($A7,'Eventos y Previsión'!$B$4:$B$24,0)),AVERAGEIFS('Facturación 2025'!$F$4:$F$303,'Facturación 2025'!$B$4:$B$303,$B7)),0)</f>
        <v>1039.9519512195122</v>
      </c>
      <c r="H7" s="56">
        <f t="shared" si="2"/>
        <v>-439.05195121951226</v>
      </c>
      <c r="I7" s="51">
        <f t="shared" si="3"/>
        <v>-0.42218484296765124</v>
      </c>
      <c r="J7" s="27">
        <f t="array" ref="J7">SUMPRODUCT(('Horarios Personal'!$A$5:$A$555=$A7)*IFERROR('Horarios Personal'!$L$5:$L$555*1,0))</f>
        <v>444.96499999999997</v>
      </c>
      <c r="K7" s="69">
        <f t="shared" si="4"/>
        <v>0.74049758695290402</v>
      </c>
      <c r="L7" s="29" t="str">
        <f t="array" ref="L7">IFERROR(INDEX('Eventos y Previsión'!$C$4:$C$24,SUMPRODUCT((LOWER('Eventos y Previsión'!$A$4:$A$24)=LOWER(TEXT($A7,"mmmm")))*(ISNUMBER(SEARCH(TEXT(DAY($A7),"00")&amp;"/"&amp;TEXT(MONTH($A7),"00"),'Eventos y Previsión'!$B$4:$B$24)))*ROW('Eventos y Previsión'!$A$4:$A$24))-ROW('Eventos y Previsión'!$A$3)),"")</f>
        <v/>
      </c>
      <c r="M7" s="74"/>
      <c r="N7" s="74"/>
      <c r="O7" s="584" t="s">
        <v>82</v>
      </c>
      <c r="P7" s="703">
        <f t="array" ref="P7">SUMPRODUCT(--(MONTH($A$4:$A$253+0)=4),$F$4:$F$253)</f>
        <v>31581.436999999994</v>
      </c>
      <c r="Q7" s="44">
        <f t="array" ref="Q7">SUMPRODUCT((MONTH($A$4:$A$253)=4)*$G$4:$G$253)</f>
        <v>34572.000765399891</v>
      </c>
      <c r="R7" s="56">
        <f t="shared" si="5"/>
        <v>-2990.5637653998965</v>
      </c>
      <c r="S7" s="580">
        <f t="shared" si="6"/>
        <v>-8.6502478861243445E-2</v>
      </c>
      <c r="T7" s="704">
        <v>28882.83</v>
      </c>
      <c r="U7" s="588">
        <f t="shared" si="7"/>
        <v>9.3432914987900864E-2</v>
      </c>
      <c r="V7" s="50">
        <f t="array" ref="V7">SUMPRODUCT(--(MONTH($A$4:$A$253+0)=4),--($F$4:$F$253&lt;&gt;0))</f>
        <v>22</v>
      </c>
      <c r="W7" s="712">
        <f t="array" ref="W7">IFERROR(SUMPRODUCT(--(MONTH($A$4:$A$253+0)=4),$J$4:$J$253)/P7,"")</f>
        <v>0</v>
      </c>
      <c r="X7" s="145"/>
      <c r="Y7" s="145"/>
      <c r="Z7" s="145"/>
    </row>
    <row r="8" spans="1:26" ht="15" customHeight="1">
      <c r="A8" s="66">
        <v>46030</v>
      </c>
      <c r="B8" s="50" t="str">
        <f t="shared" si="0"/>
        <v>jue</v>
      </c>
      <c r="C8" s="44">
        <f>SUMIFS('Detalle Turnos'!$E:$E,'Detalle Turnos'!$A:$A,$A8,'Detalle Turnos'!$B:$B,"Mañana")</f>
        <v>80.309999999999988</v>
      </c>
      <c r="D8" s="44">
        <f>SUMIFS('Detalle Turnos'!$E:$E,'Detalle Turnos'!$A:$A,$A8,'Detalle Turnos'!$B:$B,"Mediodia")</f>
        <v>553.39</v>
      </c>
      <c r="E8" s="44">
        <f>SUMIFS('Detalle Turnos'!$E:$E,'Detalle Turnos'!$A:$A,$A8,'Detalle Turnos'!$B:$B,"Noche")</f>
        <v>39.629999999999995</v>
      </c>
      <c r="F8" s="45">
        <f t="shared" si="1"/>
        <v>673.32999999999993</v>
      </c>
      <c r="G8" s="27">
        <f>IFERROR(IF(ISNUMBER(MATCH($A8,'Eventos y Previsión'!$B$4:$B$24,0)),INDEX('Eventos y Previsión'!$F$4:$F$24,MATCH($A8,'Eventos y Previsión'!$B$4:$B$24,0)),AVERAGEIFS('Facturación 2025'!$F$4:$F$303,'Facturación 2025'!$B$4:$B$303,$B8)),0)</f>
        <v>1100.2225000000003</v>
      </c>
      <c r="H8" s="56">
        <f t="shared" si="2"/>
        <v>-426.89250000000038</v>
      </c>
      <c r="I8" s="51">
        <f t="shared" si="3"/>
        <v>-0.38800560795657268</v>
      </c>
      <c r="J8" s="27">
        <f t="array" ref="J8">SUMPRODUCT(('Horarios Personal'!$A$5:$A$555=$A8)*IFERROR('Horarios Personal'!$L$5:$L$555*1,0))</f>
        <v>501.59499999999997</v>
      </c>
      <c r="K8" s="69">
        <f t="shared" si="4"/>
        <v>0.74494675716216419</v>
      </c>
      <c r="L8" s="29" t="str">
        <f t="array" ref="L8">IFERROR(INDEX('Eventos y Previsión'!$C$4:$C$24,SUMPRODUCT((LOWER('Eventos y Previsión'!$A$4:$A$24)=LOWER(TEXT($A8,"mmmm")))*(ISNUMBER(SEARCH(TEXT(DAY($A8),"00")&amp;"/"&amp;TEXT(MONTH($A8),"00"),'Eventos y Previsión'!$B$4:$B$24)))*ROW('Eventos y Previsión'!$A$4:$A$24))-ROW('Eventos y Previsión'!$A$3)),"")</f>
        <v/>
      </c>
      <c r="M8" s="74"/>
      <c r="N8" s="74"/>
      <c r="O8" s="573" t="s">
        <v>84</v>
      </c>
      <c r="P8" s="698">
        <f t="array" ref="P8">SUMPRODUCT(--(MONTH($A$4:$A$253+0)=5),$F$4:$F$253)</f>
        <v>75.3</v>
      </c>
      <c r="Q8" s="44">
        <f t="array" ref="Q8">SUMPRODUCT((MONTH($A$4:$A$253)=5)*$G$4:$G$253)</f>
        <v>38331.69801418038</v>
      </c>
      <c r="R8" s="56">
        <f t="shared" si="5"/>
        <v>-38256.398014180377</v>
      </c>
      <c r="S8" s="580">
        <f t="shared" si="6"/>
        <v>-0.99803556837027818</v>
      </c>
      <c r="T8" s="699">
        <v>24854.73</v>
      </c>
      <c r="U8" s="578">
        <f t="shared" si="7"/>
        <v>-0.99697039557460498</v>
      </c>
      <c r="V8" s="582">
        <f t="array" ref="V8">SUMPRODUCT(--(MONTH($A$4:$A$253+0)=5),--($F$4:$F$253&lt;&gt;0))</f>
        <v>1</v>
      </c>
      <c r="W8" s="712">
        <f t="array" ref="W8">IFERROR(SUMPRODUCT(--(MONTH($A$4:$A$253+0)=5),$J$4:$J$253)/P8,"")</f>
        <v>0</v>
      </c>
      <c r="X8" s="145"/>
      <c r="Y8" s="145"/>
      <c r="Z8" s="145"/>
    </row>
    <row r="9" spans="1:26" ht="15" customHeight="1">
      <c r="A9" s="66">
        <v>46031</v>
      </c>
      <c r="B9" s="50" t="str">
        <f t="shared" si="0"/>
        <v>vie</v>
      </c>
      <c r="C9" s="44">
        <f>SUMIFS('Detalle Turnos'!$E:$E,'Detalle Turnos'!$A:$A,$A9,'Detalle Turnos'!$B:$B,"Mañana")</f>
        <v>123.26</v>
      </c>
      <c r="D9" s="44">
        <f>SUMIFS('Detalle Turnos'!$E:$E,'Detalle Turnos'!$A:$A,$A9,'Detalle Turnos'!$B:$B,"Mediodia")</f>
        <v>210.75</v>
      </c>
      <c r="E9" s="44">
        <f>SUMIFS('Detalle Turnos'!$E:$E,'Detalle Turnos'!$A:$A,$A9,'Detalle Turnos'!$B:$B,"Noche")</f>
        <v>652.09</v>
      </c>
      <c r="F9" s="45">
        <f t="shared" si="1"/>
        <v>986.1</v>
      </c>
      <c r="G9" s="27">
        <f>IFERROR(IF(ISNUMBER(MATCH($A9,'Eventos y Previsión'!$B$4:$B$24,0)),INDEX('Eventos y Previsión'!$F$4:$F$24,MATCH($A9,'Eventos y Previsión'!$B$4:$B$24,0)),AVERAGEIFS('Facturación 2025'!$F$4:$F$303,'Facturación 2025'!$B$4:$B$303,$B9)),0)</f>
        <v>1865.4067441860466</v>
      </c>
      <c r="H9" s="56">
        <f t="shared" si="2"/>
        <v>-879.30674418604656</v>
      </c>
      <c r="I9" s="51">
        <f t="shared" si="3"/>
        <v>-0.47137534316663154</v>
      </c>
      <c r="J9" s="27">
        <f t="array" ref="J9">SUMPRODUCT(('Horarios Personal'!$A$5:$A$555=$A9)*IFERROR('Horarios Personal'!$L$5:$L$555*1,0))</f>
        <v>430.1</v>
      </c>
      <c r="K9" s="69">
        <f t="shared" si="4"/>
        <v>0.43616266098772943</v>
      </c>
      <c r="L9" s="29" t="str">
        <f t="array" ref="L9">IFERROR(INDEX('Eventos y Previsión'!$C$4:$C$24,SUMPRODUCT((LOWER('Eventos y Previsión'!$A$4:$A$24)=LOWER(TEXT($A9,"mmmm")))*(ISNUMBER(SEARCH(TEXT(DAY($A9),"00")&amp;"/"&amp;TEXT(MONTH($A9),"00"),'Eventos y Previsión'!$B$4:$B$24)))*ROW('Eventos y Previsión'!$A$4:$A$24))-ROW('Eventos y Previsión'!$A$3)),"")</f>
        <v/>
      </c>
      <c r="M9" s="74"/>
      <c r="N9" s="74"/>
      <c r="O9" s="584" t="s">
        <v>86</v>
      </c>
      <c r="P9" s="703">
        <f t="array" ref="P9">SUMPRODUCT(--(MONTH($A$4:$A$253+0)=6),$F$4:$F$253)</f>
        <v>0</v>
      </c>
      <c r="Q9" s="44">
        <f t="array" ref="Q9">SUMPRODUCT((MONTH($A$4:$A$253)=6)*$G$4:$G$253)</f>
        <v>30981.873414180372</v>
      </c>
      <c r="R9" s="56">
        <f t="shared" si="5"/>
        <v>-30981.873414180372</v>
      </c>
      <c r="S9" s="580">
        <f t="shared" si="6"/>
        <v>-1</v>
      </c>
      <c r="T9" s="704">
        <v>34530.879999999997</v>
      </c>
      <c r="U9" s="51">
        <f t="shared" si="7"/>
        <v>-1</v>
      </c>
      <c r="V9" s="50">
        <f t="array" ref="V9">SUMPRODUCT(--(MONTH($A$4:$A$253+0)=6),--($F$4:$F$253&lt;&gt;0))</f>
        <v>0</v>
      </c>
      <c r="W9" s="712" t="str">
        <f t="array" ref="W9">IFERROR(SUMPRODUCT(--(MONTH($A$4:$A$253+0)=6),$J$4:$J$253)/P9,"")</f>
        <v/>
      </c>
      <c r="X9" s="145"/>
      <c r="Y9" s="145"/>
      <c r="Z9" s="145"/>
    </row>
    <row r="10" spans="1:26" ht="15" customHeight="1">
      <c r="A10" s="66">
        <v>46032</v>
      </c>
      <c r="B10" s="50" t="str">
        <f t="shared" si="0"/>
        <v>sáb</v>
      </c>
      <c r="C10" s="44">
        <f>SUMIFS('Detalle Turnos'!$E:$E,'Detalle Turnos'!$A:$A,$A10,'Detalle Turnos'!$B:$B,"Mañana")</f>
        <v>130.85000000000002</v>
      </c>
      <c r="D10" s="44">
        <f>SUMIFS('Detalle Turnos'!$E:$E,'Detalle Turnos'!$A:$A,$A10,'Detalle Turnos'!$B:$B,"Mediodia")</f>
        <v>1168.21</v>
      </c>
      <c r="E10" s="44">
        <f>SUMIFS('Detalle Turnos'!$E:$E,'Detalle Turnos'!$A:$A,$A10,'Detalle Turnos'!$B:$B,"Noche")</f>
        <v>1131.23</v>
      </c>
      <c r="F10" s="45">
        <f t="shared" si="1"/>
        <v>2430.29</v>
      </c>
      <c r="G10" s="27">
        <f>IFERROR(IF(ISNUMBER(MATCH($A10,'Eventos y Previsión'!$B$4:$B$24,0)),INDEX('Eventos y Previsión'!$F$4:$F$24,MATCH($A10,'Eventos y Previsión'!$B$4:$B$24,0)),AVERAGEIFS('Facturación 2025'!$F$4:$F$303,'Facturación 2025'!$B$4:$B$303,$B10)),0)</f>
        <v>2049.8245999999995</v>
      </c>
      <c r="H10" s="56">
        <f t="shared" si="2"/>
        <v>380.4654000000005</v>
      </c>
      <c r="I10" s="51">
        <f t="shared" si="3"/>
        <v>0.18560875891527528</v>
      </c>
      <c r="J10" s="27">
        <f t="array" ref="J10">SUMPRODUCT(('Horarios Personal'!$A$5:$A$555=$A10)*IFERROR('Horarios Personal'!$L$5:$L$555*1,0))</f>
        <v>606.98749999999995</v>
      </c>
      <c r="K10" s="69">
        <f t="shared" si="4"/>
        <v>0.24975928798620739</v>
      </c>
      <c r="L10" s="29" t="str">
        <f t="array" ref="L10">IFERROR(INDEX('Eventos y Previsión'!$C$4:$C$24,SUMPRODUCT((LOWER('Eventos y Previsión'!$A$4:$A$24)=LOWER(TEXT($A10,"mmmm")))*(ISNUMBER(SEARCH(TEXT(DAY($A10),"00")&amp;"/"&amp;TEXT(MONTH($A10),"00"),'Eventos y Previsión'!$B$4:$B$24)))*ROW('Eventos y Previsión'!$A$4:$A$24))-ROW('Eventos y Previsión'!$A$3)),"")</f>
        <v/>
      </c>
      <c r="M10" s="74"/>
      <c r="N10" s="74"/>
      <c r="O10" s="573" t="s">
        <v>87</v>
      </c>
      <c r="P10" s="698">
        <f t="array" ref="P10">SUMPRODUCT(--(MONTH($A$4:$A$253+0)=7),$F$4:$F$253)</f>
        <v>0</v>
      </c>
      <c r="Q10" s="44">
        <f t="array" ref="Q10">SUMPRODUCT((MONTH($A$4:$A$253)=7)*$G$4:$G$253)</f>
        <v>34737.630009585933</v>
      </c>
      <c r="R10" s="56">
        <f t="shared" si="5"/>
        <v>-34737.630009585933</v>
      </c>
      <c r="S10" s="580">
        <f t="shared" si="6"/>
        <v>-1</v>
      </c>
      <c r="T10" s="699">
        <v>44024.97</v>
      </c>
      <c r="U10" s="578">
        <f t="shared" si="7"/>
        <v>-1</v>
      </c>
      <c r="V10" s="582">
        <f t="array" ref="V10">SUMPRODUCT(--(MONTH($A$4:$A$253+0)=7),--($F$4:$F$253&lt;&gt;0))</f>
        <v>0</v>
      </c>
      <c r="W10" s="712" t="str">
        <f t="array" ref="W10">IFERROR(SUMPRODUCT(--(MONTH($A$4:$A$253+0)=7),$J$4:$J$253)/P10,"")</f>
        <v/>
      </c>
      <c r="X10" s="145"/>
      <c r="Y10" s="145"/>
      <c r="Z10" s="145"/>
    </row>
    <row r="11" spans="1:26" ht="15" customHeight="1">
      <c r="A11" s="66">
        <v>46033</v>
      </c>
      <c r="B11" s="50" t="str">
        <f t="shared" si="0"/>
        <v>dom</v>
      </c>
      <c r="C11" s="44">
        <f>SUMIFS('Detalle Turnos'!$E:$E,'Detalle Turnos'!$A:$A,$A11,'Detalle Turnos'!$B:$B,"Mañana")</f>
        <v>95.789999999999992</v>
      </c>
      <c r="D11" s="44">
        <f>SUMIFS('Detalle Turnos'!$E:$E,'Detalle Turnos'!$A:$A,$A11,'Detalle Turnos'!$B:$B,"Mediodia")</f>
        <v>758.85</v>
      </c>
      <c r="E11" s="44">
        <f>SUMIFS('Detalle Turnos'!$E:$E,'Detalle Turnos'!$A:$A,$A11,'Detalle Turnos'!$B:$B,"Noche")</f>
        <v>0</v>
      </c>
      <c r="F11" s="45">
        <f t="shared" si="1"/>
        <v>854.64</v>
      </c>
      <c r="G11" s="27">
        <f>IFERROR(IF(ISNUMBER(MATCH($A11,'Eventos y Previsión'!$B$4:$B$24,0)),INDEX('Eventos y Previsión'!$F$4:$F$24,MATCH($A11,'Eventos y Previsión'!$B$4:$B$24,0)),AVERAGEIFS('Facturación 2025'!$F$4:$F$303,'Facturación 2025'!$B$4:$B$303,$B11)),0)</f>
        <v>1690.062558139535</v>
      </c>
      <c r="H11" s="56">
        <f t="shared" si="2"/>
        <v>-835.422558139535</v>
      </c>
      <c r="I11" s="51">
        <f t="shared" si="3"/>
        <v>-0.49431457676879725</v>
      </c>
      <c r="J11" s="27">
        <f t="array" ref="J11">SUMPRODUCT(('Horarios Personal'!$A$5:$A$555=$A11)*IFERROR('Horarios Personal'!$L$5:$L$555*1,0))</f>
        <v>394.23750000000001</v>
      </c>
      <c r="K11" s="69">
        <f t="shared" si="4"/>
        <v>0.46129071889918566</v>
      </c>
      <c r="L11" s="29" t="str">
        <f t="array" ref="L11">IFERROR(INDEX('Eventos y Previsión'!$C$4:$C$24,SUMPRODUCT((LOWER('Eventos y Previsión'!$A$4:$A$24)=LOWER(TEXT($A11,"mmmm")))*(ISNUMBER(SEARCH(TEXT(DAY($A11),"00")&amp;"/"&amp;TEXT(MONTH($A11),"00"),'Eventos y Previsión'!$B$4:$B$24)))*ROW('Eventos y Previsión'!$A$4:$A$24))-ROW('Eventos y Previsión'!$A$3)),"")</f>
        <v/>
      </c>
      <c r="M11" s="74"/>
      <c r="N11" s="74"/>
      <c r="O11" s="584" t="s">
        <v>89</v>
      </c>
      <c r="P11" s="703">
        <f t="array" ref="P11">SUMPRODUCT(--(MONTH($A$4:$A$253+0)=8),$F$4:$F$253)</f>
        <v>0</v>
      </c>
      <c r="Q11" s="44">
        <f t="array" ref="Q11">SUMPRODUCT((MONTH($A$4:$A$253)=8)*$G$4:$G$253)</f>
        <v>34721.760572319909</v>
      </c>
      <c r="R11" s="56">
        <f t="shared" si="5"/>
        <v>-34721.760572319909</v>
      </c>
      <c r="S11" s="580">
        <f t="shared" si="6"/>
        <v>-1</v>
      </c>
      <c r="T11" s="704">
        <v>60080.85</v>
      </c>
      <c r="U11" s="51">
        <f t="shared" si="7"/>
        <v>-1</v>
      </c>
      <c r="V11" s="50">
        <f t="array" ref="V11">SUMPRODUCT(--(MONTH($A$4:$A$253+0)=8),--($F$4:$F$253&lt;&gt;0))</f>
        <v>0</v>
      </c>
      <c r="W11" s="712" t="str">
        <f t="array" ref="W11">IFERROR(SUMPRODUCT(--(MONTH($A$4:$A$253+0)=8),$J$4:$J$253)/P11,"")</f>
        <v/>
      </c>
      <c r="X11" s="145"/>
      <c r="Y11" s="145"/>
      <c r="Z11" s="145"/>
    </row>
    <row r="12" spans="1:26" ht="15" customHeight="1">
      <c r="A12" s="66">
        <v>46036</v>
      </c>
      <c r="B12" s="50" t="str">
        <f t="shared" si="0"/>
        <v>mié</v>
      </c>
      <c r="C12" s="44">
        <f>SUMIFS('Detalle Turnos'!$E:$E,'Detalle Turnos'!$A:$A,$A12,'Detalle Turnos'!$B:$B,"Mañana")</f>
        <v>218.07999999999998</v>
      </c>
      <c r="D12" s="44">
        <f>SUMIFS('Detalle Turnos'!$E:$E,'Detalle Turnos'!$A:$A,$A12,'Detalle Turnos'!$B:$B,"Mediodia")</f>
        <v>212.53000000000003</v>
      </c>
      <c r="E12" s="44">
        <f>SUMIFS('Detalle Turnos'!$E:$E,'Detalle Turnos'!$A:$A,$A12,'Detalle Turnos'!$B:$B,"Noche")</f>
        <v>103.28</v>
      </c>
      <c r="F12" s="45">
        <f t="shared" si="1"/>
        <v>533.89</v>
      </c>
      <c r="G12" s="27">
        <f>IFERROR(IF(ISNUMBER(MATCH($A12,'Eventos y Previsión'!$B$4:$B$24,0)),INDEX('Eventos y Previsión'!$F$4:$F$24,MATCH($A12,'Eventos y Previsión'!$B$4:$B$24,0)),AVERAGEIFS('Facturación 2025'!$F$4:$F$303,'Facturación 2025'!$B$4:$B$303,$B12)),0)</f>
        <v>1039.9519512195122</v>
      </c>
      <c r="H12" s="56">
        <f t="shared" si="2"/>
        <v>-506.06195121951225</v>
      </c>
      <c r="I12" s="51">
        <f t="shared" si="3"/>
        <v>-0.4866205122516214</v>
      </c>
      <c r="J12" s="27">
        <f t="array" ref="J12">SUMPRODUCT(('Horarios Personal'!$A$5:$A$555=$A12)*IFERROR('Horarios Personal'!$L$5:$L$555*1,0))</f>
        <v>342.44499999999994</v>
      </c>
      <c r="K12" s="69">
        <f t="shared" si="4"/>
        <v>0.64141489820000364</v>
      </c>
      <c r="L12" s="29" t="str">
        <f t="array" ref="L12">IFERROR(INDEX('Eventos y Previsión'!$C$4:$C$24,SUMPRODUCT((LOWER('Eventos y Previsión'!$A$4:$A$24)=LOWER(TEXT($A12,"mmmm")))*(ISNUMBER(SEARCH(TEXT(DAY($A12),"00")&amp;"/"&amp;TEXT(MONTH($A12),"00"),'Eventos y Previsión'!$B$4:$B$24)))*ROW('Eventos y Previsión'!$A$4:$A$24))-ROW('Eventos y Previsión'!$A$3)),"")</f>
        <v/>
      </c>
      <c r="M12" s="74"/>
      <c r="N12" s="74"/>
      <c r="O12" s="573" t="s">
        <v>91</v>
      </c>
      <c r="P12" s="698">
        <f t="array" ref="P12">SUMPRODUCT(--(MONTH($A$4:$A$253+0)=9),$F$4:$F$253)</f>
        <v>0</v>
      </c>
      <c r="Q12" s="44">
        <f t="array" ref="Q12">SUMPRODUCT((MONTH($A$4:$A$253)=9)*$G$4:$G$253)</f>
        <v>32021.825365399884</v>
      </c>
      <c r="R12" s="56">
        <f t="shared" si="5"/>
        <v>-32021.825365399884</v>
      </c>
      <c r="S12" s="580">
        <f t="shared" si="6"/>
        <v>-1</v>
      </c>
      <c r="T12" s="699">
        <v>30861.73</v>
      </c>
      <c r="U12" s="578">
        <f t="shared" si="7"/>
        <v>-1</v>
      </c>
      <c r="V12" s="582">
        <f t="array" ref="V12">SUMPRODUCT(--(MONTH($A$4:$A$253+0)=9),--($F$4:$F$253&lt;&gt;0))</f>
        <v>0</v>
      </c>
      <c r="W12" s="712" t="str">
        <f t="array" ref="W12">IFERROR(SUMPRODUCT(--(MONTH($A$4:$A$253+0)=9),$J$4:$J$253)/P12,"")</f>
        <v/>
      </c>
      <c r="X12" s="145"/>
      <c r="Y12" s="145"/>
      <c r="Z12" s="145"/>
    </row>
    <row r="13" spans="1:26" ht="15" customHeight="1">
      <c r="A13" s="66">
        <v>46037</v>
      </c>
      <c r="B13" s="50" t="str">
        <f t="shared" si="0"/>
        <v>jue</v>
      </c>
      <c r="C13" s="44">
        <f>SUMIFS('Detalle Turnos'!$E:$E,'Detalle Turnos'!$A:$A,$A13,'Detalle Turnos'!$B:$B,"Mañana")</f>
        <v>125.53999999999999</v>
      </c>
      <c r="D13" s="44">
        <f>SUMIFS('Detalle Turnos'!$E:$E,'Detalle Turnos'!$A:$A,$A13,'Detalle Turnos'!$B:$B,"Mediodia")</f>
        <v>469.56</v>
      </c>
      <c r="E13" s="44">
        <f>SUMIFS('Detalle Turnos'!$E:$E,'Detalle Turnos'!$A:$A,$A13,'Detalle Turnos'!$B:$B,"Noche")</f>
        <v>210.6</v>
      </c>
      <c r="F13" s="45">
        <f t="shared" si="1"/>
        <v>805.7</v>
      </c>
      <c r="G13" s="27">
        <f>IFERROR(IF(ISNUMBER(MATCH($A13,'Eventos y Previsión'!$B$4:$B$24,0)),INDEX('Eventos y Previsión'!$F$4:$F$24,MATCH($A13,'Eventos y Previsión'!$B$4:$B$24,0)),AVERAGEIFS('Facturación 2025'!$F$4:$F$303,'Facturación 2025'!$B$4:$B$303,$B13)),0)</f>
        <v>1100.2225000000003</v>
      </c>
      <c r="H13" s="56">
        <f t="shared" si="2"/>
        <v>-294.52250000000026</v>
      </c>
      <c r="I13" s="51">
        <f t="shared" si="3"/>
        <v>-0.26769358016219463</v>
      </c>
      <c r="J13" s="27">
        <f t="array" ref="J13">SUMPRODUCT(('Horarios Personal'!$A$5:$A$555=$A13)*IFERROR('Horarios Personal'!$L$5:$L$555*1,0))</f>
        <v>471.50999999999993</v>
      </c>
      <c r="K13" s="69">
        <f t="shared" si="4"/>
        <v>0.58521782301104619</v>
      </c>
      <c r="L13" s="29" t="str">
        <f t="array" ref="L13">IFERROR(INDEX('Eventos y Previsión'!$C$4:$C$24,SUMPRODUCT((LOWER('Eventos y Previsión'!$A$4:$A$24)=LOWER(TEXT($A13,"mmmm")))*(ISNUMBER(SEARCH(TEXT(DAY($A13),"00")&amp;"/"&amp;TEXT(MONTH($A13),"00"),'Eventos y Previsión'!$B$4:$B$24)))*ROW('Eventos y Previsión'!$A$4:$A$24))-ROW('Eventos y Previsión'!$A$3)),"")</f>
        <v/>
      </c>
      <c r="M13" s="74"/>
      <c r="N13" s="74"/>
      <c r="O13" s="584" t="s">
        <v>92</v>
      </c>
      <c r="P13" s="703">
        <f t="array" ref="P13">SUMPRODUCT(--(MONTH($A$4:$A$253+0)=10),$F$4:$F$253)</f>
        <v>0</v>
      </c>
      <c r="Q13" s="44">
        <f t="array" ref="Q13">SUMPRODUCT((MONTH($A$4:$A$253)=10)*$G$4:$G$253)</f>
        <v>35997.327258366422</v>
      </c>
      <c r="R13" s="56">
        <f t="shared" si="5"/>
        <v>-35997.327258366422</v>
      </c>
      <c r="S13" s="580">
        <f t="shared" si="6"/>
        <v>-1</v>
      </c>
      <c r="T13" s="704">
        <v>38013.47</v>
      </c>
      <c r="U13" s="51">
        <f t="shared" si="7"/>
        <v>-1</v>
      </c>
      <c r="V13" s="50">
        <f t="array" ref="V13">SUMPRODUCT(--(MONTH($A$4:$A$253+0)=10),--($F$4:$F$253&lt;&gt;0))</f>
        <v>0</v>
      </c>
      <c r="W13" s="712" t="str">
        <f t="array" ref="W13">IFERROR(SUMPRODUCT(--(MONTH($A$4:$A$253+0)=10),$J$4:$J$253)/P13,"")</f>
        <v/>
      </c>
      <c r="X13" s="145"/>
      <c r="Y13" s="145"/>
      <c r="Z13" s="145"/>
    </row>
    <row r="14" spans="1:26" ht="15" customHeight="1">
      <c r="A14" s="66">
        <v>46038</v>
      </c>
      <c r="B14" s="50" t="str">
        <f t="shared" si="0"/>
        <v>vie</v>
      </c>
      <c r="C14" s="44">
        <f>SUMIFS('Detalle Turnos'!$E:$E,'Detalle Turnos'!$A:$A,$A14,'Detalle Turnos'!$B:$B,"Mañana")</f>
        <v>107.89</v>
      </c>
      <c r="D14" s="44">
        <f>SUMIFS('Detalle Turnos'!$E:$E,'Detalle Turnos'!$A:$A,$A14,'Detalle Turnos'!$B:$B,"Mediodia")</f>
        <v>209.32</v>
      </c>
      <c r="E14" s="44">
        <f>SUMIFS('Detalle Turnos'!$E:$E,'Detalle Turnos'!$A:$A,$A14,'Detalle Turnos'!$B:$B,"Noche")</f>
        <v>933.73</v>
      </c>
      <c r="F14" s="45">
        <f t="shared" si="1"/>
        <v>1250.94</v>
      </c>
      <c r="G14" s="27">
        <f>IFERROR(IF(ISNUMBER(MATCH($A14,'Eventos y Previsión'!$B$4:$B$24,0)),INDEX('Eventos y Previsión'!$F$4:$F$24,MATCH($A14,'Eventos y Previsión'!$B$4:$B$24,0)),AVERAGEIFS('Facturación 2025'!$F$4:$F$303,'Facturación 2025'!$B$4:$B$303,$B14)),0)</f>
        <v>1865.4067441860466</v>
      </c>
      <c r="H14" s="56">
        <f t="shared" si="2"/>
        <v>-614.46674418604653</v>
      </c>
      <c r="I14" s="51">
        <f t="shared" si="3"/>
        <v>-0.32940094491518712</v>
      </c>
      <c r="J14" s="27">
        <f t="array" ref="J14">SUMPRODUCT(('Horarios Personal'!$A$5:$A$555=$A14)*IFERROR('Horarios Personal'!$L$5:$L$555*1,0))</f>
        <v>541.34249999999997</v>
      </c>
      <c r="K14" s="69">
        <f t="shared" si="4"/>
        <v>0.43274857307304904</v>
      </c>
      <c r="L14" s="29" t="str">
        <f t="array" ref="L14">IFERROR(INDEX('Eventos y Previsión'!$C$4:$C$24,SUMPRODUCT((LOWER('Eventos y Previsión'!$A$4:$A$24)=LOWER(TEXT($A14,"mmmm")))*(ISNUMBER(SEARCH(TEXT(DAY($A14),"00")&amp;"/"&amp;TEXT(MONTH($A14),"00"),'Eventos y Previsión'!$B$4:$B$24)))*ROW('Eventos y Previsión'!$A$4:$A$24))-ROW('Eventos y Previsión'!$A$3)),"")</f>
        <v/>
      </c>
      <c r="M14" s="74"/>
      <c r="N14" s="74"/>
      <c r="O14" s="573" t="s">
        <v>94</v>
      </c>
      <c r="P14" s="698">
        <f t="array" ref="P14">SUMPRODUCT(--(MONTH($A$4:$A$253+0)=11),$F$4:$F$253)</f>
        <v>0</v>
      </c>
      <c r="Q14" s="44">
        <f t="array" ref="Q14">SUMPRODUCT((MONTH($A$4:$A$253)=11)*$G$4:$G$253)</f>
        <v>32671.935972319909</v>
      </c>
      <c r="R14" s="56">
        <f t="shared" si="5"/>
        <v>-32671.935972319909</v>
      </c>
      <c r="S14" s="580">
        <f t="shared" si="6"/>
        <v>-1</v>
      </c>
      <c r="T14" s="699">
        <v>19490.39</v>
      </c>
      <c r="U14" s="578">
        <f t="shared" si="7"/>
        <v>-1</v>
      </c>
      <c r="V14" s="582">
        <f t="array" ref="V14">SUMPRODUCT(--(MONTH($A$4:$A$253+0)=11),--($F$4:$F$253&lt;&gt;0))</f>
        <v>0</v>
      </c>
      <c r="W14" s="712" t="str">
        <f t="array" ref="W14">IFERROR(SUMPRODUCT(--(MONTH($A$4:$A$253+0)=11),$J$4:$J$253)/P14,"")</f>
        <v/>
      </c>
      <c r="X14" s="145"/>
      <c r="Y14" s="145"/>
      <c r="Z14" s="145"/>
    </row>
    <row r="15" spans="1:26" ht="15" customHeight="1">
      <c r="A15" s="66">
        <v>46039</v>
      </c>
      <c r="B15" s="50" t="str">
        <f t="shared" si="0"/>
        <v>sáb</v>
      </c>
      <c r="C15" s="44">
        <f>SUMIFS('Detalle Turnos'!$E:$E,'Detalle Turnos'!$A:$A,$A15,'Detalle Turnos'!$B:$B,"Mañana")</f>
        <v>85.190000000000012</v>
      </c>
      <c r="D15" s="44">
        <f>SUMIFS('Detalle Turnos'!$E:$E,'Detalle Turnos'!$A:$A,$A15,'Detalle Turnos'!$B:$B,"Mediodia")</f>
        <v>460.75</v>
      </c>
      <c r="E15" s="44">
        <f>SUMIFS('Detalle Turnos'!$E:$E,'Detalle Turnos'!$A:$A,$A15,'Detalle Turnos'!$B:$B,"Noche")</f>
        <v>455.55</v>
      </c>
      <c r="F15" s="45">
        <f t="shared" si="1"/>
        <v>1001.49</v>
      </c>
      <c r="G15" s="27">
        <f>IFERROR(IF(ISNUMBER(MATCH($A15,'Eventos y Previsión'!$B$4:$B$24,0)),INDEX('Eventos y Previsión'!$F$4:$F$24,MATCH($A15,'Eventos y Previsión'!$B$4:$B$24,0)),AVERAGEIFS('Facturación 2025'!$F$4:$F$303,'Facturación 2025'!$B$4:$B$303,$B15)),0)</f>
        <v>2049.8245999999995</v>
      </c>
      <c r="H15" s="56">
        <f t="shared" si="2"/>
        <v>-1048.3345999999995</v>
      </c>
      <c r="I15" s="51">
        <f t="shared" si="3"/>
        <v>-0.51142648985674177</v>
      </c>
      <c r="J15" s="27">
        <f t="array" ref="J15">SUMPRODUCT(('Horarios Personal'!$A$5:$A$555=$A15)*IFERROR('Horarios Personal'!$L$5:$L$555*1,0))</f>
        <v>537.77750000000003</v>
      </c>
      <c r="K15" s="69">
        <f t="shared" si="4"/>
        <v>0.53697740366853386</v>
      </c>
      <c r="L15" s="29" t="str">
        <f t="array" ref="L15">IFERROR(INDEX('Eventos y Previsión'!$C$4:$C$24,SUMPRODUCT((LOWER('Eventos y Previsión'!$A$4:$A$24)=LOWER(TEXT($A15,"mmmm")))*(ISNUMBER(SEARCH(TEXT(DAY($A15),"00")&amp;"/"&amp;TEXT(MONTH($A15),"00"),'Eventos y Previsión'!$B$4:$B$24)))*ROW('Eventos y Previsión'!$A$4:$A$24))-ROW('Eventos y Previsión'!$A$3)),"")</f>
        <v/>
      </c>
      <c r="M15" s="74"/>
      <c r="N15" s="74"/>
      <c r="O15" s="584" t="s">
        <v>95</v>
      </c>
      <c r="P15" s="703">
        <f t="array" ref="P15">SUMPRODUCT(--(MONTH($A$4:$A$253+0)=12),$F$4:$F$253)</f>
        <v>0</v>
      </c>
      <c r="Q15" s="44">
        <f t="array" ref="Q15">SUMPRODUCT((MONTH($A$4:$A$253)=12)*$G$4:$G$253)</f>
        <v>33122.047865399887</v>
      </c>
      <c r="R15" s="56">
        <f t="shared" si="5"/>
        <v>-33122.047865399887</v>
      </c>
      <c r="S15" s="580">
        <f t="shared" si="6"/>
        <v>-1</v>
      </c>
      <c r="T15" s="704">
        <v>19796.599999999999</v>
      </c>
      <c r="U15" s="51">
        <f t="shared" si="7"/>
        <v>-1</v>
      </c>
      <c r="V15" s="50">
        <f t="array" ref="V15">SUMPRODUCT(--(MONTH($A$4:$A$253+0)=12),--($F$4:$F$253&lt;&gt;0))</f>
        <v>0</v>
      </c>
      <c r="W15" s="712" t="str">
        <f t="array" ref="W15">IFERROR(SUMPRODUCT(--(MONTH($A$4:$A$253+0)=12),$J$4:$J$253)/P15,"")</f>
        <v/>
      </c>
      <c r="X15" s="145"/>
      <c r="Y15" s="145"/>
      <c r="Z15" s="145"/>
    </row>
    <row r="16" spans="1:26" ht="15" customHeight="1">
      <c r="A16" s="66">
        <v>46040</v>
      </c>
      <c r="B16" s="50" t="str">
        <f t="shared" si="0"/>
        <v>dom</v>
      </c>
      <c r="C16" s="44">
        <f>SUMIFS('Detalle Turnos'!$E:$E,'Detalle Turnos'!$A:$A,$A16,'Detalle Turnos'!$B:$B,"Mañana")</f>
        <v>157.69999999999999</v>
      </c>
      <c r="D16" s="44">
        <f>SUMIFS('Detalle Turnos'!$E:$E,'Detalle Turnos'!$A:$A,$A16,'Detalle Turnos'!$B:$B,"Mediodia")</f>
        <v>965.87</v>
      </c>
      <c r="E16" s="44">
        <f>SUMIFS('Detalle Turnos'!$E:$E,'Detalle Turnos'!$A:$A,$A16,'Detalle Turnos'!$B:$B,"Noche")</f>
        <v>0</v>
      </c>
      <c r="F16" s="45">
        <f t="shared" si="1"/>
        <v>1123.57</v>
      </c>
      <c r="G16" s="27">
        <f>IFERROR(IF(ISNUMBER(MATCH($A16,'Eventos y Previsión'!$B$4:$B$24,0)),INDEX('Eventos y Previsión'!$F$4:$F$24,MATCH($A16,'Eventos y Previsión'!$B$4:$B$24,0)),AVERAGEIFS('Facturación 2025'!$F$4:$F$303,'Facturación 2025'!$B$4:$B$303,$B16)),0)</f>
        <v>1690.062558139535</v>
      </c>
      <c r="H16" s="56">
        <f t="shared" si="2"/>
        <v>-566.49255813953505</v>
      </c>
      <c r="I16" s="51">
        <f t="shared" si="3"/>
        <v>-0.33519028950215007</v>
      </c>
      <c r="J16" s="27">
        <f t="array" ref="J16">SUMPRODUCT(('Horarios Personal'!$A$5:$A$555=$A16)*IFERROR('Horarios Personal'!$L$5:$L$555*1,0))</f>
        <v>435.70750000000004</v>
      </c>
      <c r="K16" s="69">
        <f t="shared" si="4"/>
        <v>0.38778847779844611</v>
      </c>
      <c r="L16" s="29" t="str">
        <f t="array" ref="L16">IFERROR(INDEX('Eventos y Previsión'!$C$4:$C$24,SUMPRODUCT((LOWER('Eventos y Previsión'!$A$4:$A$24)=LOWER(TEXT($A16,"mmmm")))*(ISNUMBER(SEARCH(TEXT(DAY($A16),"00")&amp;"/"&amp;TEXT(MONTH($A16),"00"),'Eventos y Previsión'!$B$4:$B$24)))*ROW('Eventos y Previsión'!$A$4:$A$24))-ROW('Eventos y Previsión'!$A$3)),"")</f>
        <v/>
      </c>
      <c r="M16" s="74"/>
      <c r="N16" s="74"/>
      <c r="O16" s="706" t="s">
        <v>97</v>
      </c>
      <c r="P16" s="707">
        <f>SUM(P4:P15)</f>
        <v>105332.677</v>
      </c>
      <c r="Q16" s="707">
        <f>SUM(Q4:Q15)</f>
        <v>390218.07667492912</v>
      </c>
      <c r="R16" s="713">
        <f t="shared" si="5"/>
        <v>-284885.3996749291</v>
      </c>
      <c r="S16" s="714">
        <f t="shared" si="6"/>
        <v>-0.73006715143094891</v>
      </c>
      <c r="T16" s="707">
        <f>SUM(T4:T15)</f>
        <v>371530.44999999995</v>
      </c>
      <c r="U16" s="714">
        <f t="shared" si="7"/>
        <v>-0.71648978704168109</v>
      </c>
      <c r="V16" s="715">
        <f>SUM(V4:V15)</f>
        <v>76</v>
      </c>
      <c r="W16" s="716">
        <f>IFERROR(SUM(J4:J253)/P16,"")</f>
        <v>0.24071286064437533</v>
      </c>
      <c r="X16" s="145"/>
      <c r="Y16" s="145"/>
      <c r="Z16" s="145"/>
    </row>
    <row r="17" spans="1:12" ht="15" customHeight="1">
      <c r="A17" s="66">
        <v>46043</v>
      </c>
      <c r="B17" s="50" t="str">
        <f t="shared" si="0"/>
        <v>mié</v>
      </c>
      <c r="C17" s="44">
        <f>SUMIFS('Detalle Turnos'!$E:$E,'Detalle Turnos'!$A:$A,$A17,'Detalle Turnos'!$B:$B,"Mañana")</f>
        <v>201.31</v>
      </c>
      <c r="D17" s="44">
        <f>SUMIFS('Detalle Turnos'!$E:$E,'Detalle Turnos'!$A:$A,$A17,'Detalle Turnos'!$B:$B,"Mediodia")</f>
        <v>344.81</v>
      </c>
      <c r="E17" s="44">
        <f>SUMIFS('Detalle Turnos'!$E:$E,'Detalle Turnos'!$A:$A,$A17,'Detalle Turnos'!$B:$B,"Noche")</f>
        <v>208.73</v>
      </c>
      <c r="F17" s="45">
        <f t="shared" si="1"/>
        <v>754.85</v>
      </c>
      <c r="G17" s="27">
        <f>IFERROR(IF(ISNUMBER(MATCH($A17,'Eventos y Previsión'!$B$4:$B$24,0)),INDEX('Eventos y Previsión'!$F$4:$F$24,MATCH($A17,'Eventos y Previsión'!$B$4:$B$24,0)),AVERAGEIFS('Facturación 2025'!$F$4:$F$303,'Facturación 2025'!$B$4:$B$303,$B17)),0)</f>
        <v>1039.9519512195122</v>
      </c>
      <c r="H17" s="56">
        <f t="shared" si="2"/>
        <v>-285.10195121951222</v>
      </c>
      <c r="I17" s="51">
        <f t="shared" si="3"/>
        <v>-0.27414915745403812</v>
      </c>
      <c r="J17" s="27">
        <f t="array" ref="J17">SUMPRODUCT(('Horarios Personal'!$A$5:$A$555=$A17)*IFERROR('Horarios Personal'!$L$5:$L$555*1,0))</f>
        <v>424.14749999999992</v>
      </c>
      <c r="K17" s="69">
        <f t="shared" si="4"/>
        <v>0.56189640325892554</v>
      </c>
      <c r="L17" s="29" t="str">
        <f t="array" ref="L17">IFERROR(INDEX('Eventos y Previsión'!$C$4:$C$24,SUMPRODUCT((LOWER('Eventos y Previsión'!$A$4:$A$24)=LOWER(TEXT($A17,"mmmm")))*(ISNUMBER(SEARCH(TEXT(DAY($A17),"00")&amp;"/"&amp;TEXT(MONTH($A17),"00"),'Eventos y Previsión'!$B$4:$B$24)))*ROW('Eventos y Previsión'!$A$4:$A$24))-ROW('Eventos y Previsión'!$A$3)),"")</f>
        <v/>
      </c>
    </row>
    <row r="18" spans="1:12" ht="15" customHeight="1">
      <c r="A18" s="62">
        <v>46044</v>
      </c>
      <c r="B18" s="46" t="str">
        <f t="shared" si="0"/>
        <v>jue</v>
      </c>
      <c r="C18" s="47">
        <f>SUMIFS('Detalle Turnos'!$E:$E,'Detalle Turnos'!$A:$A,$A18,'Detalle Turnos'!$B:$B,"Mañana")</f>
        <v>150.95999999999998</v>
      </c>
      <c r="D18" s="47">
        <f>SUMIFS('Detalle Turnos'!$E:$E,'Detalle Turnos'!$A:$A,$A18,'Detalle Turnos'!$B:$B,"Mediodia")</f>
        <v>624.93999999999994</v>
      </c>
      <c r="E18" s="47">
        <f>SUMIFS('Detalle Turnos'!$E:$E,'Detalle Turnos'!$A:$A,$A18,'Detalle Turnos'!$B:$B,"Noche")</f>
        <v>92.68</v>
      </c>
      <c r="F18" s="48">
        <f t="shared" si="1"/>
        <v>868.57999999999993</v>
      </c>
      <c r="G18" s="27">
        <f>IFERROR(IF(ISNUMBER(MATCH($A18,'Eventos y Previsión'!$B$4:$B$24,0)),INDEX('Eventos y Previsión'!$F$4:$F$24,MATCH($A18,'Eventos y Previsión'!$B$4:$B$24,0)),AVERAGEIFS('Facturación 2025'!$F$4:$F$303,'Facturación 2025'!$B$4:$B$303,$B18)),0)</f>
        <v>1100.2225000000003</v>
      </c>
      <c r="H18" s="53">
        <f t="shared" si="2"/>
        <v>-231.64250000000038</v>
      </c>
      <c r="I18" s="49">
        <f t="shared" si="3"/>
        <v>-0.21054150410485181</v>
      </c>
      <c r="J18" s="27">
        <f t="array" ref="J18">SUMPRODUCT(('Horarios Personal'!$A$5:$A$555=$A18)*IFERROR('Horarios Personal'!$L$5:$L$555*1,0))</f>
        <v>439.21</v>
      </c>
      <c r="K18" s="69">
        <f t="shared" si="4"/>
        <v>0.50566441778535087</v>
      </c>
      <c r="L18" s="29" t="str">
        <f t="array" ref="L18">IFERROR(INDEX('Eventos y Previsión'!$C$4:$C$24,SUMPRODUCT((LOWER('Eventos y Previsión'!$A$4:$A$24)=LOWER(TEXT($A18,"mmmm")))*(ISNUMBER(SEARCH(TEXT(DAY($A18),"00")&amp;"/"&amp;TEXT(MONTH($A18),"00"),'Eventos y Previsión'!$B$4:$B$24)))*ROW('Eventos y Previsión'!$A$4:$A$24))-ROW('Eventos y Previsión'!$A$3)),"")</f>
        <v/>
      </c>
    </row>
    <row r="19" spans="1:12">
      <c r="A19" s="62">
        <v>46045</v>
      </c>
      <c r="B19" s="46" t="str">
        <f t="shared" si="0"/>
        <v>vie</v>
      </c>
      <c r="C19" s="47">
        <f>SUMIFS('Detalle Turnos'!$E:$E,'Detalle Turnos'!$A:$A,$A19,'Detalle Turnos'!$B:$B,"Mañana")</f>
        <v>137.44999999999999</v>
      </c>
      <c r="D19" s="47">
        <f>SUMIFS('Detalle Turnos'!$E:$E,'Detalle Turnos'!$A:$A,$A19,'Detalle Turnos'!$B:$B,"Mediodia")</f>
        <v>250.45000000000002</v>
      </c>
      <c r="E19" s="47">
        <f>SUMIFS('Detalle Turnos'!$E:$E,'Detalle Turnos'!$A:$A,$A19,'Detalle Turnos'!$B:$B,"Noche")</f>
        <v>812.96</v>
      </c>
      <c r="F19" s="48">
        <f t="shared" si="1"/>
        <v>1200.8600000000001</v>
      </c>
      <c r="G19" s="27">
        <f>IFERROR(IF(ISNUMBER(MATCH($A19,'Eventos y Previsión'!$B$4:$B$24,0)),INDEX('Eventos y Previsión'!$F$4:$F$24,MATCH($A19,'Eventos y Previsión'!$B$4:$B$24,0)),AVERAGEIFS('Facturación 2025'!$F$4:$F$303,'Facturación 2025'!$B$4:$B$303,$B19)),0)</f>
        <v>1865.4067441860466</v>
      </c>
      <c r="H19" s="53">
        <f t="shared" si="2"/>
        <v>-664.54674418604645</v>
      </c>
      <c r="I19" s="49">
        <f t="shared" si="3"/>
        <v>-0.35624763674584836</v>
      </c>
      <c r="J19" s="27">
        <f t="array" ref="J19">SUMPRODUCT(('Horarios Personal'!$A$5:$A$555=$A19)*IFERROR('Horarios Personal'!$L$5:$L$555*1,0))</f>
        <v>522.74499999999989</v>
      </c>
      <c r="K19" s="69">
        <f t="shared" si="4"/>
        <v>0.43530886198224594</v>
      </c>
      <c r="L19" s="29" t="str">
        <f t="array" ref="L19">IFERROR(INDEX('Eventos y Previsión'!$C$4:$C$24,SUMPRODUCT((LOWER('Eventos y Previsión'!$A$4:$A$24)=LOWER(TEXT($A19,"mmmm")))*(ISNUMBER(SEARCH(TEXT(DAY($A19),"00")&amp;"/"&amp;TEXT(MONTH($A19),"00"),'Eventos y Previsión'!$B$4:$B$24)))*ROW('Eventos y Previsión'!$A$4:$A$24))-ROW('Eventos y Previsión'!$A$3)),"")</f>
        <v/>
      </c>
    </row>
    <row r="20" spans="1:12">
      <c r="A20" s="62">
        <v>46046</v>
      </c>
      <c r="B20" s="46" t="str">
        <f t="shared" si="0"/>
        <v>sáb</v>
      </c>
      <c r="C20" s="47">
        <f>SUMIFS('Detalle Turnos'!$E:$E,'Detalle Turnos'!$A:$A,$A20,'Detalle Turnos'!$B:$B,"Mañana")</f>
        <v>233.58000000000004</v>
      </c>
      <c r="D20" s="47">
        <f>SUMIFS('Detalle Turnos'!$E:$E,'Detalle Turnos'!$A:$A,$A20,'Detalle Turnos'!$B:$B,"Mediodia")</f>
        <v>685.5</v>
      </c>
      <c r="E20" s="47">
        <f>SUMIFS('Detalle Turnos'!$E:$E,'Detalle Turnos'!$A:$A,$A20,'Detalle Turnos'!$B:$B,"Noche")</f>
        <v>668.82</v>
      </c>
      <c r="F20" s="48">
        <f t="shared" si="1"/>
        <v>1587.9</v>
      </c>
      <c r="G20" s="27">
        <f>IFERROR(IF(ISNUMBER(MATCH($A20,'Eventos y Previsión'!$B$4:$B$24,0)),INDEX('Eventos y Previsión'!$F$4:$F$24,MATCH($A20,'Eventos y Previsión'!$B$4:$B$24,0)),AVERAGEIFS('Facturación 2025'!$F$4:$F$303,'Facturación 2025'!$B$4:$B$303,$B20)),0)</f>
        <v>2049.8245999999995</v>
      </c>
      <c r="H20" s="53">
        <f t="shared" si="2"/>
        <v>-461.92459999999937</v>
      </c>
      <c r="I20" s="49">
        <f t="shared" si="3"/>
        <v>-0.22534835419576851</v>
      </c>
      <c r="J20" s="27">
        <f t="array" ref="J20">SUMPRODUCT(('Horarios Personal'!$A$5:$A$555=$A20)*IFERROR('Horarios Personal'!$L$5:$L$555*1,0))</f>
        <v>554.51</v>
      </c>
      <c r="K20" s="69">
        <f t="shared" si="4"/>
        <v>0.34920964796271803</v>
      </c>
      <c r="L20" s="29" t="str">
        <f t="array" ref="L20">IFERROR(INDEX('Eventos y Previsión'!$C$4:$C$24,SUMPRODUCT((LOWER('Eventos y Previsión'!$A$4:$A$24)=LOWER(TEXT($A20,"mmmm")))*(ISNUMBER(SEARCH(TEXT(DAY($A20),"00")&amp;"/"&amp;TEXT(MONTH($A20),"00"),'Eventos y Previsión'!$B$4:$B$24)))*ROW('Eventos y Previsión'!$A$4:$A$24))-ROW('Eventos y Previsión'!$A$3)),"")</f>
        <v/>
      </c>
    </row>
    <row r="21" spans="1:12" ht="19.5" customHeight="1">
      <c r="A21" s="62">
        <v>46047</v>
      </c>
      <c r="B21" s="46" t="str">
        <f t="shared" si="0"/>
        <v>dom</v>
      </c>
      <c r="C21" s="47">
        <f>SUMIFS('Detalle Turnos'!$E:$E,'Detalle Turnos'!$A:$A,$A21,'Detalle Turnos'!$B:$B,"Mañana")</f>
        <v>283.69</v>
      </c>
      <c r="D21" s="47">
        <f>SUMIFS('Detalle Turnos'!$E:$E,'Detalle Turnos'!$A:$A,$A21,'Detalle Turnos'!$B:$B,"Mediodia")</f>
        <v>1524.2900000000002</v>
      </c>
      <c r="E21" s="47">
        <f>SUMIFS('Detalle Turnos'!$E:$E,'Detalle Turnos'!$A:$A,$A21,'Detalle Turnos'!$B:$B,"Noche")</f>
        <v>0</v>
      </c>
      <c r="F21" s="48">
        <f t="shared" si="1"/>
        <v>1807.9800000000002</v>
      </c>
      <c r="G21" s="27">
        <f>IFERROR(IF(ISNUMBER(MATCH($A21,'Eventos y Previsión'!$B$4:$B$24,0)),INDEX('Eventos y Previsión'!$F$4:$F$24,MATCH($A21,'Eventos y Previsión'!$B$4:$B$24,0)),AVERAGEIFS('Facturación 2025'!$F$4:$F$303,'Facturación 2025'!$B$4:$B$303,$B21)),0)</f>
        <v>1690.062558139535</v>
      </c>
      <c r="H21" s="53">
        <f t="shared" si="2"/>
        <v>117.91744186046526</v>
      </c>
      <c r="I21" s="49">
        <f t="shared" si="3"/>
        <v>6.9771051546323737E-2</v>
      </c>
      <c r="J21" s="27">
        <f t="array" ref="J21">SUMPRODUCT(('Horarios Personal'!$A$5:$A$555=$A21)*IFERROR('Horarios Personal'!$L$5:$L$555*1,0))</f>
        <v>472.3775</v>
      </c>
      <c r="K21" s="69">
        <f t="shared" si="4"/>
        <v>0.26127363134547943</v>
      </c>
      <c r="L21" s="29" t="str">
        <f t="array" ref="L21">IFERROR(INDEX('Eventos y Previsión'!$C$4:$C$24,SUMPRODUCT((LOWER('Eventos y Previsión'!$A$4:$A$24)=LOWER(TEXT($A21,"mmmm")))*(ISNUMBER(SEARCH(TEXT(DAY($A21),"00")&amp;"/"&amp;TEXT(MONTH($A21),"00"),'Eventos y Previsión'!$B$4:$B$24)))*ROW('Eventos y Previsión'!$A$4:$A$24))-ROW('Eventos y Previsión'!$A$3)),"")</f>
        <v/>
      </c>
    </row>
    <row r="22" spans="1:12" ht="21.75" customHeight="1">
      <c r="A22" s="62">
        <v>46050</v>
      </c>
      <c r="B22" s="46" t="str">
        <f t="shared" si="0"/>
        <v>mié</v>
      </c>
      <c r="C22" s="47">
        <f>SUMIFS('Detalle Turnos'!$E:$E,'Detalle Turnos'!$A:$A,$A22,'Detalle Turnos'!$B:$B,"Mañana")</f>
        <v>161.13999999999999</v>
      </c>
      <c r="D22" s="47">
        <f>SUMIFS('Detalle Turnos'!$E:$E,'Detalle Turnos'!$A:$A,$A22,'Detalle Turnos'!$B:$B,"Mediodia")</f>
        <v>233.54000000000002</v>
      </c>
      <c r="E22" s="47">
        <f>SUMIFS('Detalle Turnos'!$E:$E,'Detalle Turnos'!$A:$A,$A22,'Detalle Turnos'!$B:$B,"Noche")</f>
        <v>125.41</v>
      </c>
      <c r="F22" s="48">
        <f t="shared" si="1"/>
        <v>520.09</v>
      </c>
      <c r="G22" s="27">
        <f>IFERROR(IF(ISNUMBER(MATCH($A22,'Eventos y Previsión'!$B$4:$B$24,0)),INDEX('Eventos y Previsión'!$F$4:$F$24,MATCH($A22,'Eventos y Previsión'!$B$4:$B$24,0)),AVERAGEIFS('Facturación 2025'!$F$4:$F$303,'Facturación 2025'!$B$4:$B$303,$B22)),0)</f>
        <v>1039.9519512195122</v>
      </c>
      <c r="H22" s="53">
        <f t="shared" si="2"/>
        <v>-519.86195121951221</v>
      </c>
      <c r="I22" s="49">
        <f t="shared" si="3"/>
        <v>-0.49989035609759641</v>
      </c>
      <c r="J22" s="27">
        <f t="array" ref="J22">SUMPRODUCT(('Horarios Personal'!$A$5:$A$555=$A22)*IFERROR('Horarios Personal'!$L$5:$L$555*1,0))</f>
        <v>458.65499999999992</v>
      </c>
      <c r="K22" s="69">
        <f t="shared" si="4"/>
        <v>0.88187621373223846</v>
      </c>
      <c r="L22" s="29" t="str">
        <f t="array" ref="L22">IFERROR(INDEX('Eventos y Previsión'!$C$4:$C$24,SUMPRODUCT((LOWER('Eventos y Previsión'!$A$4:$A$24)=LOWER(TEXT($A22,"mmmm")))*(ISNUMBER(SEARCH(TEXT(DAY($A22),"00")&amp;"/"&amp;TEXT(MONTH($A22),"00"),'Eventos y Previsión'!$B$4:$B$24)))*ROW('Eventos y Previsión'!$A$4:$A$24))-ROW('Eventos y Previsión'!$A$3)),"")</f>
        <v/>
      </c>
    </row>
    <row r="23" spans="1:12" ht="15" customHeight="1">
      <c r="A23" s="62">
        <v>46051</v>
      </c>
      <c r="B23" s="46" t="str">
        <f t="shared" si="0"/>
        <v>jue</v>
      </c>
      <c r="C23" s="47">
        <f>SUMIFS('Detalle Turnos'!$E:$E,'Detalle Turnos'!$A:$A,$A23,'Detalle Turnos'!$B:$B,"Mañana")</f>
        <v>186.89000000000001</v>
      </c>
      <c r="D23" s="47">
        <f>SUMIFS('Detalle Turnos'!$E:$E,'Detalle Turnos'!$A:$A,$A23,'Detalle Turnos'!$B:$B,"Mediodia")</f>
        <v>868.48</v>
      </c>
      <c r="E23" s="47">
        <f>SUMIFS('Detalle Turnos'!$E:$E,'Detalle Turnos'!$A:$A,$A23,'Detalle Turnos'!$B:$B,"Noche")</f>
        <v>289.95999999999998</v>
      </c>
      <c r="F23" s="48">
        <f t="shared" si="1"/>
        <v>1345.3300000000002</v>
      </c>
      <c r="G23" s="27">
        <f>IFERROR(IF(ISNUMBER(MATCH($A23,'Eventos y Previsión'!$B$4:$B$24,0)),INDEX('Eventos y Previsión'!$F$4:$F$24,MATCH($A23,'Eventos y Previsión'!$B$4:$B$24,0)),AVERAGEIFS('Facturación 2025'!$F$4:$F$303,'Facturación 2025'!$B$4:$B$303,$B23)),0)</f>
        <v>1100.2225000000003</v>
      </c>
      <c r="H23" s="53">
        <f t="shared" si="2"/>
        <v>245.10749999999985</v>
      </c>
      <c r="I23" s="49">
        <f t="shared" si="3"/>
        <v>0.2227799376944207</v>
      </c>
      <c r="J23" s="27">
        <f t="array" ref="J23">SUMPRODUCT(('Horarios Personal'!$A$5:$A$555=$A23)*IFERROR('Horarios Personal'!$L$5:$L$555*1,0))</f>
        <v>334.3125</v>
      </c>
      <c r="K23" s="69">
        <f t="shared" si="4"/>
        <v>0.24849850965934006</v>
      </c>
      <c r="L23" s="29" t="str">
        <f t="array" ref="L23">IFERROR(INDEX('Eventos y Previsión'!$C$4:$C$24,SUMPRODUCT((LOWER('Eventos y Previsión'!$A$4:$A$24)=LOWER(TEXT($A23,"mmmm")))*(ISNUMBER(SEARCH(TEXT(DAY($A23),"00")&amp;"/"&amp;TEXT(MONTH($A23),"00"),'Eventos y Previsión'!$B$4:$B$24)))*ROW('Eventos y Previsión'!$A$4:$A$24))-ROW('Eventos y Previsión'!$A$3)),"")</f>
        <v/>
      </c>
    </row>
    <row r="24" spans="1:12" ht="15" customHeight="1">
      <c r="A24" s="62">
        <v>46052</v>
      </c>
      <c r="B24" s="46" t="str">
        <f t="shared" si="0"/>
        <v>vie</v>
      </c>
      <c r="C24" s="47">
        <f>SUMIFS('Detalle Turnos'!$E:$E,'Detalle Turnos'!$A:$A,$A24,'Detalle Turnos'!$B:$B,"Mañana")</f>
        <v>109.96</v>
      </c>
      <c r="D24" s="47">
        <f>SUMIFS('Detalle Turnos'!$E:$E,'Detalle Turnos'!$A:$A,$A24,'Detalle Turnos'!$B:$B,"Mediodia")</f>
        <v>477.46</v>
      </c>
      <c r="E24" s="47">
        <f>SUMIFS('Detalle Turnos'!$E:$E,'Detalle Turnos'!$A:$A,$A24,'Detalle Turnos'!$B:$B,"Noche")</f>
        <v>1400.91</v>
      </c>
      <c r="F24" s="48">
        <f t="shared" si="1"/>
        <v>1988.33</v>
      </c>
      <c r="G24" s="27">
        <f>IFERROR(IF(ISNUMBER(MATCH($A24,'Eventos y Previsión'!$B$4:$B$24,0)),INDEX('Eventos y Previsión'!$F$4:$F$24,MATCH($A24,'Eventos y Previsión'!$B$4:$B$24,0)),AVERAGEIFS('Facturación 2025'!$F$4:$F$303,'Facturación 2025'!$B$4:$B$303,$B24)),0)</f>
        <v>1865.4067441860466</v>
      </c>
      <c r="H24" s="53">
        <f t="shared" si="2"/>
        <v>122.92325581395335</v>
      </c>
      <c r="I24" s="49">
        <f t="shared" si="3"/>
        <v>6.5896221398936666E-2</v>
      </c>
      <c r="J24" s="27">
        <f t="array" ref="J24">SUMPRODUCT(('Horarios Personal'!$A$5:$A$555=$A24)*IFERROR('Horarios Personal'!$L$5:$L$555*1,0))</f>
        <v>545.9375</v>
      </c>
      <c r="K24" s="69">
        <f t="shared" si="4"/>
        <v>0.27457087103247452</v>
      </c>
      <c r="L24" s="29" t="str">
        <f t="array" ref="L24">IFERROR(INDEX('Eventos y Previsión'!$C$4:$C$24,SUMPRODUCT((LOWER('Eventos y Previsión'!$A$4:$A$24)=LOWER(TEXT($A24,"mmmm")))*(ISNUMBER(SEARCH(TEXT(DAY($A24),"00")&amp;"/"&amp;TEXT(MONTH($A24),"00"),'Eventos y Previsión'!$B$4:$B$24)))*ROW('Eventos y Previsión'!$A$4:$A$24))-ROW('Eventos y Previsión'!$A$3)),"")</f>
        <v/>
      </c>
    </row>
    <row r="25" spans="1:12" ht="15" customHeight="1">
      <c r="A25" s="62">
        <v>46053</v>
      </c>
      <c r="B25" s="46" t="str">
        <f t="shared" si="0"/>
        <v>sáb</v>
      </c>
      <c r="C25" s="47">
        <f>SUMIFS('Detalle Turnos'!$E:$E,'Detalle Turnos'!$A:$A,$A25,'Detalle Turnos'!$B:$B,"Mañana")</f>
        <v>129.5</v>
      </c>
      <c r="D25" s="47">
        <f>SUMIFS('Detalle Turnos'!$E:$E,'Detalle Turnos'!$A:$A,$A25,'Detalle Turnos'!$B:$B,"Mediodia")</f>
        <v>1084.27</v>
      </c>
      <c r="E25" s="47">
        <f>SUMIFS('Detalle Turnos'!$E:$E,'Detalle Turnos'!$A:$A,$A25,'Detalle Turnos'!$B:$B,"Noche")</f>
        <v>721.14</v>
      </c>
      <c r="F25" s="48">
        <f t="shared" si="1"/>
        <v>1934.9099999999999</v>
      </c>
      <c r="G25" s="27">
        <f>IFERROR(IF(ISNUMBER(MATCH($A25,'Eventos y Previsión'!$B$4:$B$24,0)),INDEX('Eventos y Previsión'!$F$4:$F$24,MATCH($A25,'Eventos y Previsión'!$B$4:$B$24,0)),AVERAGEIFS('Facturación 2025'!$F$4:$F$303,'Facturación 2025'!$B$4:$B$303,$B25)),0)</f>
        <v>2049.8245999999995</v>
      </c>
      <c r="H25" s="53">
        <f t="shared" si="2"/>
        <v>-114.91459999999961</v>
      </c>
      <c r="I25" s="49">
        <f t="shared" si="3"/>
        <v>-5.606069904712805E-2</v>
      </c>
      <c r="J25" s="27">
        <f t="array" ref="J25">SUMPRODUCT(('Horarios Personal'!$A$5:$A$555=$A25)*IFERROR('Horarios Personal'!$L$5:$L$555*1,0))</f>
        <v>689.83500000000004</v>
      </c>
      <c r="K25" s="69">
        <f t="shared" si="4"/>
        <v>0.35652045831589069</v>
      </c>
      <c r="L25" s="29" t="str">
        <f t="array" ref="L25">IFERROR(INDEX('Eventos y Previsión'!$C$4:$C$24,SUMPRODUCT((LOWER('Eventos y Previsión'!$A$4:$A$24)=LOWER(TEXT($A25,"mmmm")))*(ISNUMBER(SEARCH(TEXT(DAY($A25),"00")&amp;"/"&amp;TEXT(MONTH($A25),"00"),'Eventos y Previsión'!$B$4:$B$24)))*ROW('Eventos y Previsión'!$A$4:$A$24))-ROW('Eventos y Previsión'!$A$3)),"")</f>
        <v/>
      </c>
    </row>
    <row r="26" spans="1:12" ht="15" customHeight="1">
      <c r="A26" s="62">
        <v>46054</v>
      </c>
      <c r="B26" s="46" t="str">
        <f t="shared" si="0"/>
        <v>dom</v>
      </c>
      <c r="C26" s="47">
        <f>SUMIFS('Detalle Turnos'!$E:$E,'Detalle Turnos'!$A:$A,$A26,'Detalle Turnos'!$B:$B,"Mañana")</f>
        <v>218.07</v>
      </c>
      <c r="D26" s="47">
        <f>SUMIFS('Detalle Turnos'!$E:$E,'Detalle Turnos'!$A:$A,$A26,'Detalle Turnos'!$B:$B,"Mediodia")</f>
        <v>875.83</v>
      </c>
      <c r="E26" s="47">
        <f>SUMIFS('Detalle Turnos'!$E:$E,'Detalle Turnos'!$A:$A,$A26,'Detalle Turnos'!$B:$B,"Noche")</f>
        <v>0</v>
      </c>
      <c r="F26" s="48">
        <f t="shared" si="1"/>
        <v>1093.9000000000001</v>
      </c>
      <c r="G26" s="27">
        <f>IFERROR(IF(ISNUMBER(MATCH($A26,'Eventos y Previsión'!$B$4:$B$24,0)),INDEX('Eventos y Previsión'!$F$4:$F$24,MATCH($A26,'Eventos y Previsión'!$B$4:$B$24,0)),AVERAGEIFS('Facturación 2025'!$F$4:$F$303,'Facturación 2025'!$B$4:$B$303,$B26)),0)</f>
        <v>1690.062558139535</v>
      </c>
      <c r="H26" s="53">
        <f t="shared" si="2"/>
        <v>-596.16255813953489</v>
      </c>
      <c r="I26" s="49">
        <f t="shared" si="3"/>
        <v>-0.35274585267175329</v>
      </c>
      <c r="J26" s="27">
        <f t="array" ref="J26">SUMPRODUCT(('Horarios Personal'!$A$5:$A$555=$A26)*IFERROR('Horarios Personal'!$L$5:$L$555*1,0))</f>
        <v>464.48250000000002</v>
      </c>
      <c r="K26" s="69">
        <f t="shared" si="4"/>
        <v>0.42461148185391717</v>
      </c>
      <c r="L26" s="29" t="str">
        <f t="array" ref="L26">IFERROR(INDEX('Eventos y Previsión'!$C$4:$C$24,SUMPRODUCT((LOWER('Eventos y Previsión'!$A$4:$A$24)=LOWER(TEXT($A26,"mmmm")))*(ISNUMBER(SEARCH(TEXT(DAY($A26),"00")&amp;"/"&amp;TEXT(MONTH($A26),"00"),'Eventos y Previsión'!$B$4:$B$24)))*ROW('Eventos y Previsión'!$A$4:$A$24))-ROW('Eventos y Previsión'!$A$3)),"")</f>
        <v/>
      </c>
    </row>
    <row r="27" spans="1:12" ht="15" customHeight="1">
      <c r="A27" s="62">
        <v>46057</v>
      </c>
      <c r="B27" s="46" t="str">
        <f t="shared" si="0"/>
        <v>mié</v>
      </c>
      <c r="C27" s="47">
        <f>SUMIFS('Detalle Turnos'!$E:$E,'Detalle Turnos'!$A:$A,$A27,'Detalle Turnos'!$B:$B,"Mañana")</f>
        <v>119.49000000000002</v>
      </c>
      <c r="D27" s="47">
        <f>SUMIFS('Detalle Turnos'!$E:$E,'Detalle Turnos'!$A:$A,$A27,'Detalle Turnos'!$B:$B,"Mediodia")</f>
        <v>244.93</v>
      </c>
      <c r="E27" s="47">
        <f>SUMIFS('Detalle Turnos'!$E:$E,'Detalle Turnos'!$A:$A,$A27,'Detalle Turnos'!$B:$B,"Noche")</f>
        <v>182.91</v>
      </c>
      <c r="F27" s="48">
        <f t="shared" si="1"/>
        <v>547.33000000000004</v>
      </c>
      <c r="G27" s="27">
        <f>IFERROR(IF(ISNUMBER(MATCH($A27,'Eventos y Previsión'!$B$4:$B$24,0)),INDEX('Eventos y Previsión'!$F$4:$F$24,MATCH($A27,'Eventos y Previsión'!$B$4:$B$24,0)),AVERAGEIFS('Facturación 2025'!$F$4:$F$303,'Facturación 2025'!$B$4:$B$303,$B27)),0)</f>
        <v>1039.9519512195122</v>
      </c>
      <c r="H27" s="53">
        <f t="shared" si="2"/>
        <v>-492.6219512195122</v>
      </c>
      <c r="I27" s="49">
        <f t="shared" si="3"/>
        <v>-0.4736968382451065</v>
      </c>
      <c r="J27" s="27">
        <f t="array" ref="J27">SUMPRODUCT(('Horarios Personal'!$A$5:$A$555=$A27)*IFERROR('Horarios Personal'!$L$5:$L$555*1,0))</f>
        <v>461.63499999999999</v>
      </c>
      <c r="K27" s="69">
        <f t="shared" si="4"/>
        <v>0.84343083697221044</v>
      </c>
      <c r="L27" s="29" t="str">
        <f t="array" ref="L27">IFERROR(INDEX('Eventos y Previsión'!$C$4:$C$24,SUMPRODUCT((LOWER('Eventos y Previsión'!$A$4:$A$24)=LOWER(TEXT($A27,"mmmm")))*(ISNUMBER(SEARCH(TEXT(DAY($A27),"00")&amp;"/"&amp;TEXT(MONTH($A27),"00"),'Eventos y Previsión'!$B$4:$B$24)))*ROW('Eventos y Previsión'!$A$4:$A$24))-ROW('Eventos y Previsión'!$A$3)),"")</f>
        <v/>
      </c>
    </row>
    <row r="28" spans="1:12" ht="15" customHeight="1">
      <c r="A28" s="62">
        <v>46058</v>
      </c>
      <c r="B28" s="46" t="str">
        <f t="shared" si="0"/>
        <v>jue</v>
      </c>
      <c r="C28" s="47">
        <f>SUMIFS('Detalle Turnos'!$E:$E,'Detalle Turnos'!$A:$A,$A28,'Detalle Turnos'!$B:$B,"Mañana")</f>
        <v>142.63999999999999</v>
      </c>
      <c r="D28" s="47">
        <f>SUMIFS('Detalle Turnos'!$E:$E,'Detalle Turnos'!$A:$A,$A28,'Detalle Turnos'!$B:$B,"Mediodia")</f>
        <v>373.61</v>
      </c>
      <c r="E28" s="47">
        <f>SUMIFS('Detalle Turnos'!$E:$E,'Detalle Turnos'!$A:$A,$A28,'Detalle Turnos'!$B:$B,"Noche")</f>
        <v>701.17000000000007</v>
      </c>
      <c r="F28" s="48">
        <f t="shared" si="1"/>
        <v>1217.42</v>
      </c>
      <c r="G28" s="27">
        <f>IFERROR(IF(ISNUMBER(MATCH($A28,'Eventos y Previsión'!$B$4:$B$24,0)),INDEX('Eventos y Previsión'!$F$4:$F$24,MATCH($A28,'Eventos y Previsión'!$B$4:$B$24,0)),AVERAGEIFS('Facturación 2025'!$F$4:$F$303,'Facturación 2025'!$B$4:$B$303,$B28)),0)</f>
        <v>1100.2225000000003</v>
      </c>
      <c r="H28" s="53">
        <f t="shared" si="2"/>
        <v>117.19749999999976</v>
      </c>
      <c r="I28" s="49">
        <f t="shared" si="3"/>
        <v>0.10652163539647638</v>
      </c>
      <c r="J28" s="27">
        <f t="array" ref="J28">SUMPRODUCT(('Horarios Personal'!$A$5:$A$555=$A28)*IFERROR('Horarios Personal'!$L$5:$L$555*1,0))</f>
        <v>492.08500000000004</v>
      </c>
      <c r="K28" s="69">
        <f t="shared" si="4"/>
        <v>0.40420315092572817</v>
      </c>
      <c r="L28" s="29" t="str">
        <f t="array" ref="L28">IFERROR(INDEX('Eventos y Previsión'!$C$4:$C$24,SUMPRODUCT((LOWER('Eventos y Previsión'!$A$4:$A$24)=LOWER(TEXT($A28,"mmmm")))*(ISNUMBER(SEARCH(TEXT(DAY($A28),"00")&amp;"/"&amp;TEXT(MONTH($A28),"00"),'Eventos y Previsión'!$B$4:$B$24)))*ROW('Eventos y Previsión'!$A$4:$A$24))-ROW('Eventos y Previsión'!$A$3)),"")</f>
        <v/>
      </c>
    </row>
    <row r="29" spans="1:12" ht="15" customHeight="1">
      <c r="A29" s="62">
        <v>46059</v>
      </c>
      <c r="B29" s="46" t="str">
        <f t="shared" si="0"/>
        <v>vie</v>
      </c>
      <c r="C29" s="47">
        <f>SUMIFS('Detalle Turnos'!$E:$E,'Detalle Turnos'!$A:$A,$A29,'Detalle Turnos'!$B:$B,"Mañana")</f>
        <v>126.59</v>
      </c>
      <c r="D29" s="47">
        <f>SUMIFS('Detalle Turnos'!$E:$E,'Detalle Turnos'!$A:$A,$A29,'Detalle Turnos'!$B:$B,"Mediodia")</f>
        <v>501.9</v>
      </c>
      <c r="E29" s="47">
        <f>SUMIFS('Detalle Turnos'!$E:$E,'Detalle Turnos'!$A:$A,$A29,'Detalle Turnos'!$B:$B,"Noche")</f>
        <v>1328.73</v>
      </c>
      <c r="F29" s="48">
        <f t="shared" si="1"/>
        <v>1957.22</v>
      </c>
      <c r="G29" s="27">
        <f>IFERROR(IF(ISNUMBER(MATCH($A29,'Eventos y Previsión'!$B$4:$B$24,0)),INDEX('Eventos y Previsión'!$F$4:$F$24,MATCH($A29,'Eventos y Previsión'!$B$4:$B$24,0)),AVERAGEIFS('Facturación 2025'!$F$4:$F$303,'Facturación 2025'!$B$4:$B$303,$B29)),0)</f>
        <v>1865.4067441860466</v>
      </c>
      <c r="H29" s="53">
        <f t="shared" si="2"/>
        <v>91.813255813953447</v>
      </c>
      <c r="I29" s="49">
        <f t="shared" si="3"/>
        <v>4.9218893466591029E-2</v>
      </c>
      <c r="J29" s="27">
        <f t="array" ref="J29">SUMPRODUCT(('Horarios Personal'!$A$5:$A$555=$A29)*IFERROR('Horarios Personal'!$L$5:$L$555*1,0))</f>
        <v>596.15750000000003</v>
      </c>
      <c r="K29" s="69">
        <f t="shared" si="4"/>
        <v>0.30459401600228897</v>
      </c>
      <c r="L29" s="29" t="str">
        <f t="array" ref="L29">IFERROR(INDEX('Eventos y Previsión'!$C$4:$C$24,SUMPRODUCT((LOWER('Eventos y Previsión'!$A$4:$A$24)=LOWER(TEXT($A29,"mmmm")))*(ISNUMBER(SEARCH(TEXT(DAY($A29),"00")&amp;"/"&amp;TEXT(MONTH($A29),"00"),'Eventos y Previsión'!$B$4:$B$24)))*ROW('Eventos y Previsión'!$A$4:$A$24))-ROW('Eventos y Previsión'!$A$3)),"")</f>
        <v/>
      </c>
    </row>
    <row r="30" spans="1:12" ht="15" customHeight="1">
      <c r="A30" s="62">
        <v>46060</v>
      </c>
      <c r="B30" s="46" t="str">
        <f t="shared" si="0"/>
        <v>sáb</v>
      </c>
      <c r="C30" s="47">
        <f>SUMIFS('Detalle Turnos'!$E:$E,'Detalle Turnos'!$A:$A,$A30,'Detalle Turnos'!$B:$B,"Mañana")</f>
        <v>266.87</v>
      </c>
      <c r="D30" s="47">
        <f>SUMIFS('Detalle Turnos'!$E:$E,'Detalle Turnos'!$A:$A,$A30,'Detalle Turnos'!$B:$B,"Mediodia")</f>
        <v>2389.8900000000003</v>
      </c>
      <c r="E30" s="47">
        <f>SUMIFS('Detalle Turnos'!$E:$E,'Detalle Turnos'!$A:$A,$A30,'Detalle Turnos'!$B:$B,"Noche")</f>
        <v>1250.82</v>
      </c>
      <c r="F30" s="48">
        <f t="shared" si="1"/>
        <v>3907.58</v>
      </c>
      <c r="G30" s="27">
        <f>IFERROR(IF(ISNUMBER(MATCH($A30,'Eventos y Previsión'!$B$4:$B$24,0)),INDEX('Eventos y Previsión'!$F$4:$F$24,MATCH($A30,'Eventos y Previsión'!$B$4:$B$24,0)),AVERAGEIFS('Facturación 2025'!$F$4:$F$303,'Facturación 2025'!$B$4:$B$303,$B30)),0)</f>
        <v>2049.8245999999995</v>
      </c>
      <c r="H30" s="53">
        <f t="shared" si="2"/>
        <v>1857.7554000000005</v>
      </c>
      <c r="I30" s="49">
        <f t="shared" si="3"/>
        <v>0.90629969022715451</v>
      </c>
      <c r="J30" s="27">
        <f t="array" ref="J30">SUMPRODUCT(('Horarios Personal'!$A$5:$A$555=$A30)*IFERROR('Horarios Personal'!$L$5:$L$555*1,0))</f>
        <v>718.8175</v>
      </c>
      <c r="K30" s="69">
        <f t="shared" si="4"/>
        <v>0.183954647121748</v>
      </c>
      <c r="L30" s="29" t="str">
        <f t="array" ref="L30">IFERROR(INDEX('Eventos y Previsión'!$C$4:$C$24,SUMPRODUCT((LOWER('Eventos y Previsión'!$A$4:$A$24)=LOWER(TEXT($A30,"mmmm")))*(ISNUMBER(SEARCH(TEXT(DAY($A30),"00")&amp;"/"&amp;TEXT(MONTH($A30),"00"),'Eventos y Previsión'!$B$4:$B$24)))*ROW('Eventos y Previsión'!$A$4:$A$24))-ROW('Eventos y Previsión'!$A$3)),"")</f>
        <v/>
      </c>
    </row>
    <row r="31" spans="1:12" ht="15" customHeight="1">
      <c r="A31" s="62">
        <v>46061</v>
      </c>
      <c r="B31" s="46" t="str">
        <f t="shared" si="0"/>
        <v>dom</v>
      </c>
      <c r="C31" s="47">
        <f>SUMIFS('Detalle Turnos'!$E:$E,'Detalle Turnos'!$A:$A,$A31,'Detalle Turnos'!$B:$B,"Mañana")</f>
        <v>289.88</v>
      </c>
      <c r="D31" s="47">
        <f>SUMIFS('Detalle Turnos'!$E:$E,'Detalle Turnos'!$A:$A,$A31,'Detalle Turnos'!$B:$B,"Mediodia")</f>
        <v>1830.82</v>
      </c>
      <c r="E31" s="47">
        <f>SUMIFS('Detalle Turnos'!$E:$E,'Detalle Turnos'!$A:$A,$A31,'Detalle Turnos'!$B:$B,"Noche")</f>
        <v>0</v>
      </c>
      <c r="F31" s="48">
        <f t="shared" si="1"/>
        <v>2120.6999999999998</v>
      </c>
      <c r="G31" s="27">
        <f>IFERROR(IF(ISNUMBER(MATCH($A31,'Eventos y Previsión'!$B$4:$B$24,0)),INDEX('Eventos y Previsión'!$F$4:$F$24,MATCH($A31,'Eventos y Previsión'!$B$4:$B$24,0)),AVERAGEIFS('Facturación 2025'!$F$4:$F$303,'Facturación 2025'!$B$4:$B$303,$B31)),0)</f>
        <v>1690.062558139535</v>
      </c>
      <c r="H31" s="53">
        <f t="shared" si="2"/>
        <v>430.63744186046483</v>
      </c>
      <c r="I31" s="49">
        <f t="shared" si="3"/>
        <v>0.25480562230460968</v>
      </c>
      <c r="J31" s="27">
        <f t="array" ref="J31">SUMPRODUCT(('Horarios Personal'!$A$5:$A$555=$A31)*IFERROR('Horarios Personal'!$L$5:$L$555*1,0))</f>
        <v>544.12249999999995</v>
      </c>
      <c r="K31" s="69">
        <f t="shared" si="4"/>
        <v>0.25657683783656338</v>
      </c>
      <c r="L31" s="29" t="str">
        <f t="array" ref="L31">IFERROR(INDEX('Eventos y Previsión'!$C$4:$C$24,SUMPRODUCT((LOWER('Eventos y Previsión'!$A$4:$A$24)=LOWER(TEXT($A31,"mmmm")))*(ISNUMBER(SEARCH(TEXT(DAY($A31),"00")&amp;"/"&amp;TEXT(MONTH($A31),"00"),'Eventos y Previsión'!$B$4:$B$24)))*ROW('Eventos y Previsión'!$A$4:$A$24))-ROW('Eventos y Previsión'!$A$3)),"")</f>
        <v/>
      </c>
    </row>
    <row r="32" spans="1:12" ht="15" customHeight="1">
      <c r="A32" s="62">
        <v>46064</v>
      </c>
      <c r="B32" s="46" t="str">
        <f t="shared" si="0"/>
        <v>mié</v>
      </c>
      <c r="C32" s="47">
        <f>SUMIFS('Detalle Turnos'!$E:$E,'Detalle Turnos'!$A:$A,$A32,'Detalle Turnos'!$B:$B,"Mañana")</f>
        <v>167.31</v>
      </c>
      <c r="D32" s="47">
        <f>SUMIFS('Detalle Turnos'!$E:$E,'Detalle Turnos'!$A:$A,$A32,'Detalle Turnos'!$B:$B,"Mediodia")</f>
        <v>358.44</v>
      </c>
      <c r="E32" s="47">
        <f>SUMIFS('Detalle Turnos'!$E:$E,'Detalle Turnos'!$A:$A,$A32,'Detalle Turnos'!$B:$B,"Noche")</f>
        <v>602.65</v>
      </c>
      <c r="F32" s="48">
        <f t="shared" si="1"/>
        <v>1128.4000000000001</v>
      </c>
      <c r="G32" s="27">
        <f>IFERROR(IF(ISNUMBER(MATCH($A32,'Eventos y Previsión'!$B$4:$B$24,0)),INDEX('Eventos y Previsión'!$F$4:$F$24,MATCH($A32,'Eventos y Previsión'!$B$4:$B$24,0)),AVERAGEIFS('Facturación 2025'!$F$4:$F$303,'Facturación 2025'!$B$4:$B$303,$B32)),0)</f>
        <v>1039.9519512195122</v>
      </c>
      <c r="H32" s="53">
        <f t="shared" si="2"/>
        <v>88.448048780487852</v>
      </c>
      <c r="I32" s="49">
        <f t="shared" si="3"/>
        <v>8.5050130130308599E-2</v>
      </c>
      <c r="J32" s="27">
        <f t="array" ref="J32">SUMPRODUCT(('Horarios Personal'!$A$5:$A$555=$A32)*IFERROR('Horarios Personal'!$L$5:$L$555*1,0))</f>
        <v>514.32999999999993</v>
      </c>
      <c r="K32" s="69">
        <f t="shared" si="4"/>
        <v>0.45580467919177586</v>
      </c>
      <c r="L32" s="29" t="str">
        <f t="array" ref="L32">IFERROR(INDEX('Eventos y Previsión'!$C$4:$C$24,SUMPRODUCT((LOWER('Eventos y Previsión'!$A$4:$A$24)=LOWER(TEXT($A32,"mmmm")))*(ISNUMBER(SEARCH(TEXT(DAY($A32),"00")&amp;"/"&amp;TEXT(MONTH($A32),"00"),'Eventos y Previsión'!$B$4:$B$24)))*ROW('Eventos y Previsión'!$A$4:$A$24))-ROW('Eventos y Previsión'!$A$3)),"")</f>
        <v/>
      </c>
    </row>
    <row r="33" spans="1:12" ht="15" customHeight="1">
      <c r="A33" s="62">
        <v>46065</v>
      </c>
      <c r="B33" s="46" t="str">
        <f t="shared" si="0"/>
        <v>jue</v>
      </c>
      <c r="C33" s="47">
        <f>SUMIFS('Detalle Turnos'!$E:$E,'Detalle Turnos'!$A:$A,$A33,'Detalle Turnos'!$B:$B,"Mañana")</f>
        <v>118.64000000000001</v>
      </c>
      <c r="D33" s="47">
        <f>SUMIFS('Detalle Turnos'!$E:$E,'Detalle Turnos'!$A:$A,$A33,'Detalle Turnos'!$B:$B,"Mediodia")</f>
        <v>206.56</v>
      </c>
      <c r="E33" s="47">
        <f>SUMIFS('Detalle Turnos'!$E:$E,'Detalle Turnos'!$A:$A,$A33,'Detalle Turnos'!$B:$B,"Noche")</f>
        <v>293.31</v>
      </c>
      <c r="F33" s="48">
        <f t="shared" si="1"/>
        <v>618.51</v>
      </c>
      <c r="G33" s="27">
        <f>IFERROR(IF(ISNUMBER(MATCH($A33,'Eventos y Previsión'!$B$4:$B$24,0)),INDEX('Eventos y Previsión'!$F$4:$F$24,MATCH($A33,'Eventos y Previsión'!$B$4:$B$24,0)),AVERAGEIFS('Facturación 2025'!$F$4:$F$303,'Facturación 2025'!$B$4:$B$303,$B33)),0)</f>
        <v>1100.2225000000003</v>
      </c>
      <c r="H33" s="53">
        <f t="shared" si="2"/>
        <v>-481.71250000000032</v>
      </c>
      <c r="I33" s="49">
        <f t="shared" si="3"/>
        <v>-0.43783189309435155</v>
      </c>
      <c r="J33" s="27">
        <f t="array" ref="J33">SUMPRODUCT(('Horarios Personal'!$A$5:$A$555=$A33)*IFERROR('Horarios Personal'!$L$5:$L$555*1,0))</f>
        <v>469.73</v>
      </c>
      <c r="K33" s="69">
        <f t="shared" si="4"/>
        <v>0.75945417212332866</v>
      </c>
      <c r="L33" s="29" t="str">
        <f t="array" ref="L33">IFERROR(INDEX('Eventos y Previsión'!$C$4:$C$24,SUMPRODUCT((LOWER('Eventos y Previsión'!$A$4:$A$24)=LOWER(TEXT($A33,"mmmm")))*(ISNUMBER(SEARCH(TEXT(DAY($A33),"00")&amp;"/"&amp;TEXT(MONTH($A33),"00"),'Eventos y Previsión'!$B$4:$B$24)))*ROW('Eventos y Previsión'!$A$4:$A$24))-ROW('Eventos y Previsión'!$A$3)),"")</f>
        <v/>
      </c>
    </row>
    <row r="34" spans="1:12" ht="15" customHeight="1">
      <c r="A34" s="62">
        <v>46066</v>
      </c>
      <c r="B34" s="46" t="str">
        <f t="shared" si="0"/>
        <v>vie</v>
      </c>
      <c r="C34" s="47">
        <f>SUMIFS('Detalle Turnos'!$E:$E,'Detalle Turnos'!$A:$A,$A34,'Detalle Turnos'!$B:$B,"Mañana")</f>
        <v>225.33</v>
      </c>
      <c r="D34" s="47">
        <f>SUMIFS('Detalle Turnos'!$E:$E,'Detalle Turnos'!$A:$A,$A34,'Detalle Turnos'!$B:$B,"Mediodia")</f>
        <v>378.39</v>
      </c>
      <c r="E34" s="47">
        <f>SUMIFS('Detalle Turnos'!$E:$E,'Detalle Turnos'!$A:$A,$A34,'Detalle Turnos'!$B:$B,"Noche")</f>
        <v>501.77</v>
      </c>
      <c r="F34" s="48">
        <f t="shared" si="1"/>
        <v>1105.49</v>
      </c>
      <c r="G34" s="27">
        <f>IFERROR(IF(ISNUMBER(MATCH($A34,'Eventos y Previsión'!$B$4:$B$24,0)),INDEX('Eventos y Previsión'!$F$4:$F$24,MATCH($A34,'Eventos y Previsión'!$B$4:$B$24,0)),AVERAGEIFS('Facturación 2025'!$F$4:$F$303,'Facturación 2025'!$B$4:$B$303,$B34)),0)</f>
        <v>1865.4067441860466</v>
      </c>
      <c r="H34" s="53">
        <f t="shared" si="2"/>
        <v>-759.91674418604657</v>
      </c>
      <c r="I34" s="49">
        <f t="shared" si="3"/>
        <v>-0.4073732158171377</v>
      </c>
      <c r="J34" s="27">
        <f t="array" ref="J34">SUMPRODUCT(('Horarios Personal'!$A$5:$A$555=$A34)*IFERROR('Horarios Personal'!$L$5:$L$555*1,0))</f>
        <v>529.95249999999999</v>
      </c>
      <c r="K34" s="69">
        <f t="shared" si="4"/>
        <v>0.47938244579326811</v>
      </c>
      <c r="L34" s="29" t="str">
        <f t="array" ref="L34">IFERROR(INDEX('Eventos y Previsión'!$C$4:$C$24,SUMPRODUCT((LOWER('Eventos y Previsión'!$A$4:$A$24)=LOWER(TEXT($A34,"mmmm")))*(ISNUMBER(SEARCH(TEXT(DAY($A34),"00")&amp;"/"&amp;TEXT(MONTH($A34),"00"),'Eventos y Previsión'!$B$4:$B$24)))*ROW('Eventos y Previsión'!$A$4:$A$24))-ROW('Eventos y Previsión'!$A$3)),"")</f>
        <v/>
      </c>
    </row>
    <row r="35" spans="1:12" ht="15" customHeight="1">
      <c r="A35" s="62">
        <v>46067</v>
      </c>
      <c r="B35" s="46" t="str">
        <f t="shared" si="0"/>
        <v>sáb</v>
      </c>
      <c r="C35" s="47">
        <f>SUMIFS('Detalle Turnos'!$E:$E,'Detalle Turnos'!$A:$A,$A35,'Detalle Turnos'!$B:$B,"Mañana")</f>
        <v>169.26</v>
      </c>
      <c r="D35" s="47">
        <f>SUMIFS('Detalle Turnos'!$E:$E,'Detalle Turnos'!$A:$A,$A35,'Detalle Turnos'!$B:$B,"Mediodia")</f>
        <v>1474.6399999999999</v>
      </c>
      <c r="E35" s="47">
        <f>SUMIFS('Detalle Turnos'!$E:$E,'Detalle Turnos'!$A:$A,$A35,'Detalle Turnos'!$B:$B,"Noche")</f>
        <v>1898.82</v>
      </c>
      <c r="F35" s="48">
        <f t="shared" si="1"/>
        <v>3542.72</v>
      </c>
      <c r="G35" s="27">
        <f>IFERROR(IF(ISNUMBER(MATCH($A35,'Eventos y Previsión'!$B$4:$B$24,0)),INDEX('Eventos y Previsión'!$F$4:$F$24,MATCH($A35,'Eventos y Previsión'!$B$4:$B$24,0)),AVERAGEIFS('Facturación 2025'!$F$4:$F$303,'Facturación 2025'!$B$4:$B$303,$B35)),0)</f>
        <v>2049.8245999999995</v>
      </c>
      <c r="H35" s="53">
        <f t="shared" si="2"/>
        <v>1492.8954000000003</v>
      </c>
      <c r="I35" s="49">
        <f t="shared" si="3"/>
        <v>0.72830397293505056</v>
      </c>
      <c r="J35" s="27">
        <f t="array" ref="J35">SUMPRODUCT(('Horarios Personal'!$A$5:$A$555=$A35)*IFERROR('Horarios Personal'!$L$5:$L$555*1,0))</f>
        <v>594.47</v>
      </c>
      <c r="K35" s="69">
        <f t="shared" si="4"/>
        <v>0.16780044711408185</v>
      </c>
      <c r="L35" s="29" t="str">
        <f t="array" ref="L35">IFERROR(INDEX('Eventos y Previsión'!$C$4:$C$24,SUMPRODUCT((LOWER('Eventos y Previsión'!$A$4:$A$24)=LOWER(TEXT($A35,"mmmm")))*(ISNUMBER(SEARCH(TEXT(DAY($A35),"00")&amp;"/"&amp;TEXT(MONTH($A35),"00"),'Eventos y Previsión'!$B$4:$B$24)))*ROW('Eventos y Previsión'!$A$4:$A$24))-ROW('Eventos y Previsión'!$A$3)),"")</f>
        <v>San Valentín</v>
      </c>
    </row>
    <row r="36" spans="1:12" ht="15.75" customHeight="1">
      <c r="A36" s="62">
        <v>46068</v>
      </c>
      <c r="B36" s="46" t="str">
        <f t="shared" si="0"/>
        <v>dom</v>
      </c>
      <c r="C36" s="47">
        <f>SUMIFS('Detalle Turnos'!$E:$E,'Detalle Turnos'!$A:$A,$A36,'Detalle Turnos'!$B:$B,"Mañana")</f>
        <v>216.71000000000004</v>
      </c>
      <c r="D36" s="47">
        <f>SUMIFS('Detalle Turnos'!$E:$E,'Detalle Turnos'!$A:$A,$A36,'Detalle Turnos'!$B:$B,"Mediodia")</f>
        <v>1342.64</v>
      </c>
      <c r="E36" s="47">
        <f>SUMIFS('Detalle Turnos'!$E:$E,'Detalle Turnos'!$A:$A,$A36,'Detalle Turnos'!$B:$B,"Noche")</f>
        <v>0</v>
      </c>
      <c r="F36" s="48">
        <f t="shared" si="1"/>
        <v>1559.3500000000001</v>
      </c>
      <c r="G36" s="47">
        <f>IFERROR(IF(ISNUMBER(MATCH($A36,'Eventos y Previsión'!$B$4:$B$24,0)),INDEX('Eventos y Previsión'!$F$4:$F$24,MATCH($A36,'Eventos y Previsión'!$B$4:$B$24,0)),AVERAGEIFS('Facturación 2025'!$F$4:$F$303,'Facturación 2025'!$B$4:$B$303,$B36)),0)</f>
        <v>1690.062558139535</v>
      </c>
      <c r="H36" s="53">
        <f t="shared" si="2"/>
        <v>-130.71255813953485</v>
      </c>
      <c r="I36" s="49">
        <f t="shared" si="3"/>
        <v>-7.7341846022212724E-2</v>
      </c>
      <c r="J36" s="27">
        <f t="array" ref="J36">SUMPRODUCT(('Horarios Personal'!$A$5:$A$555=$A36)*IFERROR('Horarios Personal'!$L$5:$L$555*1,0))</f>
        <v>499.6275</v>
      </c>
      <c r="K36" s="70">
        <f t="shared" si="4"/>
        <v>0.32040754160387336</v>
      </c>
      <c r="L36" s="58" t="str">
        <f t="array" ref="L36">IFERROR(INDEX('Eventos y Previsión'!$C$4:$C$24,SUMPRODUCT((LOWER('Eventos y Previsión'!$A$4:$A$24)=LOWER(TEXT($A36,"mmmm")))*(ISNUMBER(SEARCH(TEXT(DAY($A36),"00")&amp;"/"&amp;TEXT(MONTH($A36),"00"),'Eventos y Previsión'!$B$4:$B$24)))*ROW('Eventos y Previsión'!$A$4:$A$24))-ROW('Eventos y Previsión'!$A$3)),"")</f>
        <v/>
      </c>
    </row>
    <row r="37" spans="1:12" ht="15.75" customHeight="1">
      <c r="A37" s="62">
        <v>46071</v>
      </c>
      <c r="B37" s="46" t="str">
        <f t="shared" si="0"/>
        <v>mié</v>
      </c>
      <c r="C37" s="47">
        <f>SUMIFS('Detalle Turnos'!$E:$E,'Detalle Turnos'!$A:$A,$A37,'Detalle Turnos'!$B:$B,"Mañana")</f>
        <v>130.72</v>
      </c>
      <c r="D37" s="47">
        <f>SUMIFS('Detalle Turnos'!$E:$E,'Detalle Turnos'!$A:$A,$A37,'Detalle Turnos'!$B:$B,"Mediodia")</f>
        <v>399.24</v>
      </c>
      <c r="E37" s="47">
        <f>SUMIFS('Detalle Turnos'!$E:$E,'Detalle Turnos'!$A:$A,$A37,'Detalle Turnos'!$B:$B,"Noche")</f>
        <v>240.46</v>
      </c>
      <c r="F37" s="48">
        <f t="shared" si="1"/>
        <v>770.42000000000007</v>
      </c>
      <c r="G37" s="47">
        <f>IFERROR(IF(ISNUMBER(MATCH($A37,'Eventos y Previsión'!$B$4:$B$24,0)),INDEX('Eventos y Previsión'!$F$4:$F$24,MATCH($A37,'Eventos y Previsión'!$B$4:$B$24,0)),AVERAGEIFS('Facturación 2025'!$F$4:$F$303,'Facturación 2025'!$B$4:$B$303,$B37)),0)</f>
        <v>1039.9519512195122</v>
      </c>
      <c r="H37" s="53">
        <f t="shared" si="2"/>
        <v>-269.53195121951217</v>
      </c>
      <c r="I37" s="49">
        <f t="shared" si="3"/>
        <v>-0.25917731189738358</v>
      </c>
      <c r="J37" s="27">
        <f t="array" ref="J37">SUMPRODUCT(('Horarios Personal'!$A$5:$A$555=$A37)*IFERROR('Horarios Personal'!$L$5:$L$555*1,0))</f>
        <v>411.34999999999997</v>
      </c>
      <c r="K37" s="70">
        <f t="shared" si="4"/>
        <v>0.53392954492354805</v>
      </c>
      <c r="L37" s="58" t="str">
        <f t="array" ref="L37">IFERROR(INDEX('Eventos y Previsión'!$C$4:$C$24,SUMPRODUCT((LOWER('Eventos y Previsión'!$A$4:$A$24)=LOWER(TEXT($A37,"mmmm")))*(ISNUMBER(SEARCH(TEXT(DAY($A37),"00")&amp;"/"&amp;TEXT(MONTH($A37),"00"),'Eventos y Previsión'!$B$4:$B$24)))*ROW('Eventos y Previsión'!$A$4:$A$24))-ROW('Eventos y Previsión'!$A$3)),"")</f>
        <v/>
      </c>
    </row>
    <row r="38" spans="1:12" ht="15.75" customHeight="1">
      <c r="A38" s="62">
        <v>46072</v>
      </c>
      <c r="B38" s="46" t="str">
        <f t="shared" si="0"/>
        <v>jue</v>
      </c>
      <c r="C38" s="47">
        <f>SUMIFS('Detalle Turnos'!$E:$E,'Detalle Turnos'!$A:$A,$A38,'Detalle Turnos'!$B:$B,"Mañana")</f>
        <v>122.80999999999999</v>
      </c>
      <c r="D38" s="47">
        <f>SUMIFS('Detalle Turnos'!$E:$E,'Detalle Turnos'!$A:$A,$A38,'Detalle Turnos'!$B:$B,"Mediodia")</f>
        <v>572.43000000000006</v>
      </c>
      <c r="E38" s="47">
        <f>SUMIFS('Detalle Turnos'!$E:$E,'Detalle Turnos'!$A:$A,$A38,'Detalle Turnos'!$B:$B,"Noche")</f>
        <v>97.45</v>
      </c>
      <c r="F38" s="48">
        <f t="shared" si="1"/>
        <v>792.69</v>
      </c>
      <c r="G38" s="47">
        <f>IFERROR(IF(ISNUMBER(MATCH($A38,'Eventos y Previsión'!$B$4:$B$24,0)),INDEX('Eventos y Previsión'!$F$4:$F$24,MATCH($A38,'Eventos y Previsión'!$B$4:$B$24,0)),AVERAGEIFS('Facturación 2025'!$F$4:$F$303,'Facturación 2025'!$B$4:$B$303,$B38)),0)</f>
        <v>1100.2225000000003</v>
      </c>
      <c r="H38" s="53">
        <f t="shared" si="2"/>
        <v>-307.53250000000025</v>
      </c>
      <c r="I38" s="49">
        <f t="shared" si="3"/>
        <v>-0.27951846103856282</v>
      </c>
      <c r="J38" s="27">
        <f t="array" ref="J38">SUMPRODUCT(('Horarios Personal'!$A$5:$A$555=$A38)*IFERROR('Horarios Personal'!$L$5:$L$555*1,0))</f>
        <v>428.16999999999996</v>
      </c>
      <c r="K38" s="70">
        <f t="shared" si="4"/>
        <v>0.54014810329384744</v>
      </c>
      <c r="L38" s="58" t="str">
        <f t="array" ref="L38">IFERROR(INDEX('Eventos y Previsión'!$C$4:$C$24,SUMPRODUCT((LOWER('Eventos y Previsión'!$A$4:$A$24)=LOWER(TEXT($A38,"mmmm")))*(ISNUMBER(SEARCH(TEXT(DAY($A38),"00")&amp;"/"&amp;TEXT(MONTH($A38),"00"),'Eventos y Previsión'!$B$4:$B$24)))*ROW('Eventos y Previsión'!$A$4:$A$24))-ROW('Eventos y Previsión'!$A$3)),"")</f>
        <v/>
      </c>
    </row>
    <row r="39" spans="1:12" ht="15.75" customHeight="1">
      <c r="A39" s="62">
        <v>46073</v>
      </c>
      <c r="B39" s="46" t="str">
        <f t="shared" si="0"/>
        <v>vie</v>
      </c>
      <c r="C39" s="47">
        <f>SUMIFS('Detalle Turnos'!$E:$E,'Detalle Turnos'!$A:$A,$A39,'Detalle Turnos'!$B:$B,"Mañana")</f>
        <v>100.61</v>
      </c>
      <c r="D39" s="47">
        <f>SUMIFS('Detalle Turnos'!$E:$E,'Detalle Turnos'!$A:$A,$A39,'Detalle Turnos'!$B:$B,"Mediodia")</f>
        <v>355.25</v>
      </c>
      <c r="E39" s="47">
        <f>SUMIFS('Detalle Turnos'!$E:$E,'Detalle Turnos'!$A:$A,$A39,'Detalle Turnos'!$B:$B,"Noche")</f>
        <v>804.16</v>
      </c>
      <c r="F39" s="48">
        <f t="shared" si="1"/>
        <v>1260.02</v>
      </c>
      <c r="G39" s="47">
        <f>IFERROR(IF(ISNUMBER(MATCH($A39,'Eventos y Previsión'!$B$4:$B$24,0)),INDEX('Eventos y Previsión'!$F$4:$F$24,MATCH($A39,'Eventos y Previsión'!$B$4:$B$24,0)),AVERAGEIFS('Facturación 2025'!$F$4:$F$303,'Facturación 2025'!$B$4:$B$303,$B39)),0)</f>
        <v>1865.4067441860466</v>
      </c>
      <c r="H39" s="53">
        <f t="shared" si="2"/>
        <v>-605.3867441860466</v>
      </c>
      <c r="I39" s="49">
        <f t="shared" si="3"/>
        <v>-0.32453337379253533</v>
      </c>
      <c r="J39" s="27">
        <f t="array" ref="J39">SUMPRODUCT(('Horarios Personal'!$A$5:$A$555=$A39)*IFERROR('Horarios Personal'!$L$5:$L$555*1,0))</f>
        <v>493.65249999999997</v>
      </c>
      <c r="K39" s="70">
        <f t="shared" si="4"/>
        <v>0.39178147965905302</v>
      </c>
      <c r="L39" s="58" t="str">
        <f t="array" ref="L39">IFERROR(INDEX('Eventos y Previsión'!$C$4:$C$24,SUMPRODUCT((LOWER('Eventos y Previsión'!$A$4:$A$24)=LOWER(TEXT($A39,"mmmm")))*(ISNUMBER(SEARCH(TEXT(DAY($A39),"00")&amp;"/"&amp;TEXT(MONTH($A39),"00"),'Eventos y Previsión'!$B$4:$B$24)))*ROW('Eventos y Previsión'!$A$4:$A$24))-ROW('Eventos y Previsión'!$A$3)),"")</f>
        <v/>
      </c>
    </row>
    <row r="40" spans="1:12" ht="15.75" customHeight="1">
      <c r="A40" s="62">
        <v>46074</v>
      </c>
      <c r="B40" s="46" t="str">
        <f t="shared" si="0"/>
        <v>sáb</v>
      </c>
      <c r="C40" s="47">
        <f>SUMIFS('Detalle Turnos'!$E:$E,'Detalle Turnos'!$A:$A,$A40,'Detalle Turnos'!$B:$B,"Mañana")</f>
        <v>168.76</v>
      </c>
      <c r="D40" s="47">
        <f>SUMIFS('Detalle Turnos'!$E:$E,'Detalle Turnos'!$A:$A,$A40,'Detalle Turnos'!$B:$B,"Mediodia")</f>
        <v>1685.16</v>
      </c>
      <c r="E40" s="47">
        <f>SUMIFS('Detalle Turnos'!$E:$E,'Detalle Turnos'!$A:$A,$A40,'Detalle Turnos'!$B:$B,"Noche")</f>
        <v>1330.53</v>
      </c>
      <c r="F40" s="48">
        <f t="shared" si="1"/>
        <v>3184.45</v>
      </c>
      <c r="G40" s="47">
        <f>IFERROR(IF(ISNUMBER(MATCH($A40,'Eventos y Previsión'!$B$4:$B$24,0)),INDEX('Eventos y Previsión'!$F$4:$F$24,MATCH($A40,'Eventos y Previsión'!$B$4:$B$24,0)),AVERAGEIFS('Facturación 2025'!$F$4:$F$303,'Facturación 2025'!$B$4:$B$303,$B40)),0)</f>
        <v>2049.8245999999995</v>
      </c>
      <c r="H40" s="53">
        <f t="shared" si="2"/>
        <v>1134.6254000000004</v>
      </c>
      <c r="I40" s="49">
        <f t="shared" si="3"/>
        <v>0.55352316486005715</v>
      </c>
      <c r="J40" s="27">
        <f t="array" ref="J40">SUMPRODUCT(('Horarios Personal'!$A$5:$A$555=$A40)*IFERROR('Horarios Personal'!$L$5:$L$555*1,0))</f>
        <v>693.54250000000002</v>
      </c>
      <c r="K40" s="70">
        <f t="shared" si="4"/>
        <v>0.21779035626246293</v>
      </c>
      <c r="L40" s="58" t="str">
        <f t="array" ref="L40">IFERROR(INDEX('Eventos y Previsión'!$C$4:$C$24,SUMPRODUCT((LOWER('Eventos y Previsión'!$A$4:$A$24)=LOWER(TEXT($A40,"mmmm")))*(ISNUMBER(SEARCH(TEXT(DAY($A40),"00")&amp;"/"&amp;TEXT(MONTH($A40),"00"),'Eventos y Previsión'!$B$4:$B$24)))*ROW('Eventos y Previsión'!$A$4:$A$24))-ROW('Eventos y Previsión'!$A$3)),"")</f>
        <v/>
      </c>
    </row>
    <row r="41" spans="1:12" ht="15.75" customHeight="1">
      <c r="A41" s="62">
        <v>46075</v>
      </c>
      <c r="B41" s="46" t="str">
        <f t="shared" si="0"/>
        <v>dom</v>
      </c>
      <c r="C41" s="47">
        <f>SUMIFS('Detalle Turnos'!$E:$E,'Detalle Turnos'!$A:$A,$A41,'Detalle Turnos'!$B:$B,"Mañana")</f>
        <v>223.91</v>
      </c>
      <c r="D41" s="47">
        <f>SUMIFS('Detalle Turnos'!$E:$E,'Detalle Turnos'!$A:$A,$A41,'Detalle Turnos'!$B:$B,"Mediodia")</f>
        <v>1961.4</v>
      </c>
      <c r="E41" s="47">
        <f>SUMIFS('Detalle Turnos'!$E:$E,'Detalle Turnos'!$A:$A,$A41,'Detalle Turnos'!$B:$B,"Noche")</f>
        <v>0</v>
      </c>
      <c r="F41" s="48">
        <f t="shared" si="1"/>
        <v>2185.31</v>
      </c>
      <c r="G41" s="47">
        <f>IFERROR(IF(ISNUMBER(MATCH($A41,'Eventos y Previsión'!$B$4:$B$24,0)),INDEX('Eventos y Previsión'!$F$4:$F$24,MATCH($A41,'Eventos y Previsión'!$B$4:$B$24,0)),AVERAGEIFS('Facturación 2025'!$F$4:$F$303,'Facturación 2025'!$B$4:$B$303,$B41)),0)</f>
        <v>1690.062558139535</v>
      </c>
      <c r="H41" s="53">
        <f t="shared" si="2"/>
        <v>495.24744186046496</v>
      </c>
      <c r="I41" s="49">
        <f t="shared" si="3"/>
        <v>0.29303497641273485</v>
      </c>
      <c r="J41" s="27">
        <f t="array" ref="J41">SUMPRODUCT(('Horarios Personal'!$A$5:$A$555=$A41)*IFERROR('Horarios Personal'!$L$5:$L$555*1,0))</f>
        <v>514.02</v>
      </c>
      <c r="K41" s="70">
        <f t="shared" si="4"/>
        <v>0.2352160563032247</v>
      </c>
      <c r="L41" s="58" t="str">
        <f t="array" ref="L41">IFERROR(INDEX('Eventos y Previsión'!$C$4:$C$24,SUMPRODUCT((LOWER('Eventos y Previsión'!$A$4:$A$24)=LOWER(TEXT($A41,"mmmm")))*(ISNUMBER(SEARCH(TEXT(DAY($A41),"00")&amp;"/"&amp;TEXT(MONTH($A41),"00"),'Eventos y Previsión'!$B$4:$B$24)))*ROW('Eventos y Previsión'!$A$4:$A$24))-ROW('Eventos y Previsión'!$A$3)),"")</f>
        <v>Carnaval</v>
      </c>
    </row>
    <row r="42" spans="1:12" ht="15.75" customHeight="1">
      <c r="A42" s="62">
        <v>46092</v>
      </c>
      <c r="B42" s="46" t="str">
        <f t="shared" si="0"/>
        <v>mié</v>
      </c>
      <c r="C42" s="47">
        <f>SUMIFS('Detalle Turnos'!$E:$E,'Detalle Turnos'!$A:$A,$A42,'Detalle Turnos'!$B:$B,"Mañana")</f>
        <v>86.82</v>
      </c>
      <c r="D42" s="47">
        <f>SUMIFS('Detalle Turnos'!$E:$E,'Detalle Turnos'!$A:$A,$A42,'Detalle Turnos'!$B:$B,"Mediodia")</f>
        <v>297.83</v>
      </c>
      <c r="E42" s="47">
        <f>SUMIFS('Detalle Turnos'!$E:$E,'Detalle Turnos'!$A:$A,$A42,'Detalle Turnos'!$B:$B,"Noche")</f>
        <v>190.63</v>
      </c>
      <c r="F42" s="48">
        <f t="shared" si="1"/>
        <v>575.28</v>
      </c>
      <c r="G42" s="47">
        <f>IFERROR(IF(ISNUMBER(MATCH($A42,'Eventos y Previsión'!$B$4:$B$24,0)),INDEX('Eventos y Previsión'!$F$4:$F$24,MATCH($A42,'Eventos y Previsión'!$B$4:$B$24,0)),AVERAGEIFS('Facturación 2025'!$F$4:$F$303,'Facturación 2025'!$B$4:$B$303,$B42)),0)</f>
        <v>1039.9519512195122</v>
      </c>
      <c r="H42" s="53">
        <f t="shared" si="2"/>
        <v>-464.67195121951227</v>
      </c>
      <c r="I42" s="49">
        <f t="shared" si="3"/>
        <v>-0.44682059654257017</v>
      </c>
      <c r="J42" s="27">
        <f t="array" ref="J42">SUMPRODUCT(('Horarios Personal'!$A$5:$A$555=$A42)*IFERROR('Horarios Personal'!$L$5:$L$555*1,0))</f>
        <v>424.36</v>
      </c>
      <c r="K42" s="70">
        <f t="shared" si="4"/>
        <v>0.73765818384091231</v>
      </c>
      <c r="L42" s="58" t="str">
        <f t="array" ref="L42">IFERROR(INDEX('Eventos y Previsión'!$C$4:$C$24,SUMPRODUCT((LOWER('Eventos y Previsión'!$A$4:$A$24)=LOWER(TEXT($A42,"mmmm")))*(ISNUMBER(SEARCH(TEXT(DAY($A42),"00")&amp;"/"&amp;TEXT(MONTH($A42),"00"),'Eventos y Previsión'!$B$4:$B$24)))*ROW('Eventos y Previsión'!$A$4:$A$24))-ROW('Eventos y Previsión'!$A$3)),"")</f>
        <v/>
      </c>
    </row>
    <row r="43" spans="1:12" ht="15.75" customHeight="1">
      <c r="A43" s="62">
        <v>46093</v>
      </c>
      <c r="B43" s="46" t="str">
        <f t="shared" si="0"/>
        <v>jue</v>
      </c>
      <c r="C43" s="47">
        <f>SUMIFS('Detalle Turnos'!$E:$E,'Detalle Turnos'!$A:$A,$A43,'Detalle Turnos'!$B:$B,"Mañana")</f>
        <v>69.66</v>
      </c>
      <c r="D43" s="47">
        <f>SUMIFS('Detalle Turnos'!$E:$E,'Detalle Turnos'!$A:$A,$A43,'Detalle Turnos'!$B:$B,"Mediodia")</f>
        <v>329.1</v>
      </c>
      <c r="E43" s="47">
        <f>SUMIFS('Detalle Turnos'!$E:$E,'Detalle Turnos'!$A:$A,$A43,'Detalle Turnos'!$B:$B,"Noche")</f>
        <v>191.8</v>
      </c>
      <c r="F43" s="48">
        <f t="shared" si="1"/>
        <v>590.55999999999995</v>
      </c>
      <c r="G43" s="47">
        <f>IFERROR(IF(ISNUMBER(MATCH($A43,'Eventos y Previsión'!$B$4:$B$24,0)),INDEX('Eventos y Previsión'!$F$4:$F$24,MATCH($A43,'Eventos y Previsión'!$B$4:$B$24,0)),AVERAGEIFS('Facturación 2025'!$F$4:$F$303,'Facturación 2025'!$B$4:$B$303,$B43)),0)</f>
        <v>1100.2225000000003</v>
      </c>
      <c r="H43" s="53">
        <f t="shared" si="2"/>
        <v>-509.66250000000036</v>
      </c>
      <c r="I43" s="49">
        <f t="shared" si="3"/>
        <v>-0.46323584547671059</v>
      </c>
      <c r="J43" s="27">
        <f t="array" ref="J43">SUMPRODUCT(('Horarios Personal'!$A$5:$A$555=$A43)*IFERROR('Horarios Personal'!$L$5:$L$555*1,0))</f>
        <v>482.04749999999996</v>
      </c>
      <c r="K43" s="70">
        <f t="shared" si="4"/>
        <v>0.8162549105933351</v>
      </c>
      <c r="L43" s="58" t="str">
        <f t="array" ref="L43">IFERROR(INDEX('Eventos y Previsión'!$C$4:$C$24,SUMPRODUCT((LOWER('Eventos y Previsión'!$A$4:$A$24)=LOWER(TEXT($A43,"mmmm")))*(ISNUMBER(SEARCH(TEXT(DAY($A43),"00")&amp;"/"&amp;TEXT(MONTH($A43),"00"),'Eventos y Previsión'!$B$4:$B$24)))*ROW('Eventos y Previsión'!$A$4:$A$24))-ROW('Eventos y Previsión'!$A$3)),"")</f>
        <v/>
      </c>
    </row>
    <row r="44" spans="1:12" ht="15.75" customHeight="1">
      <c r="A44" s="62">
        <v>46094</v>
      </c>
      <c r="B44" s="46" t="str">
        <f t="shared" si="0"/>
        <v>vie</v>
      </c>
      <c r="C44" s="47">
        <f>SUMIFS('Detalle Turnos'!$E:$E,'Detalle Turnos'!$A:$A,$A44,'Detalle Turnos'!$B:$B,"Mañana")</f>
        <v>103.22999999999999</v>
      </c>
      <c r="D44" s="47">
        <f>SUMIFS('Detalle Turnos'!$E:$E,'Detalle Turnos'!$A:$A,$A44,'Detalle Turnos'!$B:$B,"Mediodia")</f>
        <v>427.49</v>
      </c>
      <c r="E44" s="47">
        <f>SUMIFS('Detalle Turnos'!$E:$E,'Detalle Turnos'!$A:$A,$A44,'Detalle Turnos'!$B:$B,"Noche")</f>
        <v>842.55</v>
      </c>
      <c r="F44" s="48">
        <f t="shared" si="1"/>
        <v>1373.27</v>
      </c>
      <c r="G44" s="47">
        <f>IFERROR(IF(ISNUMBER(MATCH($A44,'Eventos y Previsión'!$B$4:$B$24,0)),INDEX('Eventos y Previsión'!$F$4:$F$24,MATCH($A44,'Eventos y Previsión'!$B$4:$B$24,0)),AVERAGEIFS('Facturación 2025'!$F$4:$F$303,'Facturación 2025'!$B$4:$B$303,$B44)),0)</f>
        <v>1865.4067441860466</v>
      </c>
      <c r="H44" s="53">
        <f t="shared" si="2"/>
        <v>-492.1367441860466</v>
      </c>
      <c r="I44" s="49">
        <f t="shared" si="3"/>
        <v>-0.26382275378809461</v>
      </c>
      <c r="J44" s="27">
        <f t="array" ref="J44">SUMPRODUCT(('Horarios Personal'!$A$5:$A$555=$A44)*IFERROR('Horarios Personal'!$L$5:$L$555*1,0))</f>
        <v>578.2025000000001</v>
      </c>
      <c r="K44" s="70">
        <f t="shared" si="4"/>
        <v>0.42104065478747815</v>
      </c>
      <c r="L44" s="58" t="str">
        <f t="array" ref="L44">IFERROR(INDEX('Eventos y Previsión'!$C$4:$C$24,SUMPRODUCT((LOWER('Eventos y Previsión'!$A$4:$A$24)=LOWER(TEXT($A44,"mmmm")))*(ISNUMBER(SEARCH(TEXT(DAY($A44),"00")&amp;"/"&amp;TEXT(MONTH($A44),"00"),'Eventos y Previsión'!$B$4:$B$24)))*ROW('Eventos y Previsión'!$A$4:$A$24))-ROW('Eventos y Previsión'!$A$3)),"")</f>
        <v/>
      </c>
    </row>
    <row r="45" spans="1:12" ht="15.75" customHeight="1">
      <c r="A45" s="62">
        <v>46095</v>
      </c>
      <c r="B45" s="46" t="str">
        <f t="shared" si="0"/>
        <v>sáb</v>
      </c>
      <c r="C45" s="47">
        <f>SUMIFS('Detalle Turnos'!$E:$E,'Detalle Turnos'!$A:$A,$A45,'Detalle Turnos'!$B:$B,"Mañana")</f>
        <v>183.96</v>
      </c>
      <c r="D45" s="47">
        <f>SUMIFS('Detalle Turnos'!$E:$E,'Detalle Turnos'!$A:$A,$A45,'Detalle Turnos'!$B:$B,"Mediodia")</f>
        <v>884.15</v>
      </c>
      <c r="E45" s="47">
        <f>SUMIFS('Detalle Turnos'!$E:$E,'Detalle Turnos'!$A:$A,$A45,'Detalle Turnos'!$B:$B,"Noche")</f>
        <v>1143.82</v>
      </c>
      <c r="F45" s="48">
        <f t="shared" si="1"/>
        <v>2211.9299999999998</v>
      </c>
      <c r="G45" s="47">
        <f>IFERROR(IF(ISNUMBER(MATCH($A45,'Eventos y Previsión'!$B$4:$B$24,0)),INDEX('Eventos y Previsión'!$F$4:$F$24,MATCH($A45,'Eventos y Previsión'!$B$4:$B$24,0)),AVERAGEIFS('Facturación 2025'!$F$4:$F$303,'Facturación 2025'!$B$4:$B$303,$B45)),0)</f>
        <v>2049.8245999999995</v>
      </c>
      <c r="H45" s="53">
        <f t="shared" si="2"/>
        <v>162.10540000000037</v>
      </c>
      <c r="I45" s="49">
        <f t="shared" si="3"/>
        <v>7.908257125999972E-2</v>
      </c>
      <c r="J45" s="27">
        <f t="array" ref="J45">SUMPRODUCT(('Horarios Personal'!$A$5:$A$555=$A45)*IFERROR('Horarios Personal'!$L$5:$L$555*1,0))</f>
        <v>581.625</v>
      </c>
      <c r="K45" s="70">
        <f t="shared" si="4"/>
        <v>0.26294909875086464</v>
      </c>
      <c r="L45" s="58" t="str">
        <f t="array" ref="L45">IFERROR(INDEX('Eventos y Previsión'!$C$4:$C$24,SUMPRODUCT((LOWER('Eventos y Previsión'!$A$4:$A$24)=LOWER(TEXT($A45,"mmmm")))*(ISNUMBER(SEARCH(TEXT(DAY($A45),"00")&amp;"/"&amp;TEXT(MONTH($A45),"00"),'Eventos y Previsión'!$B$4:$B$24)))*ROW('Eventos y Previsión'!$A$4:$A$24))-ROW('Eventos y Previsión'!$A$3)),"")</f>
        <v/>
      </c>
    </row>
    <row r="46" spans="1:12" ht="15.75" customHeight="1">
      <c r="A46" s="62">
        <v>46096</v>
      </c>
      <c r="B46" s="46" t="str">
        <f t="shared" si="0"/>
        <v>dom</v>
      </c>
      <c r="C46" s="47">
        <f>SUMIFS('Detalle Turnos'!$E:$E,'Detalle Turnos'!$A:$A,$A46,'Detalle Turnos'!$B:$B,"Mañana")</f>
        <v>360.48</v>
      </c>
      <c r="D46" s="47">
        <f>SUMIFS('Detalle Turnos'!$E:$E,'Detalle Turnos'!$A:$A,$A46,'Detalle Turnos'!$B:$B,"Mediodia")</f>
        <v>2310</v>
      </c>
      <c r="E46" s="47">
        <f>SUMIFS('Detalle Turnos'!$E:$E,'Detalle Turnos'!$A:$A,$A46,'Detalle Turnos'!$B:$B,"Noche")</f>
        <v>12.85</v>
      </c>
      <c r="F46" s="48">
        <f t="shared" si="1"/>
        <v>2683.33</v>
      </c>
      <c r="G46" s="47">
        <f>IFERROR(IF(ISNUMBER(MATCH($A46,'Eventos y Previsión'!$B$4:$B$24,0)),INDEX('Eventos y Previsión'!$F$4:$F$24,MATCH($A46,'Eventos y Previsión'!$B$4:$B$24,0)),AVERAGEIFS('Facturación 2025'!$F$4:$F$303,'Facturación 2025'!$B$4:$B$303,$B46)),0)</f>
        <v>1690.062558139535</v>
      </c>
      <c r="H46" s="53">
        <f t="shared" si="2"/>
        <v>993.26744186046494</v>
      </c>
      <c r="I46" s="49">
        <f t="shared" si="3"/>
        <v>0.58771045904589458</v>
      </c>
      <c r="J46" s="27">
        <f t="array" ref="J46">SUMPRODUCT(('Horarios Personal'!$A$5:$A$555=$A46)*IFERROR('Horarios Personal'!$L$5:$L$555*1,0))</f>
        <v>495.99249999999995</v>
      </c>
      <c r="K46" s="70">
        <f t="shared" si="4"/>
        <v>0.18484215508342244</v>
      </c>
      <c r="L46" s="58" t="str">
        <f t="array" ref="L46">IFERROR(INDEX('Eventos y Previsión'!$C$4:$C$24,SUMPRODUCT((LOWER('Eventos y Previsión'!$A$4:$A$24)=LOWER(TEXT($A46,"mmmm")))*(ISNUMBER(SEARCH(TEXT(DAY($A46),"00")&amp;"/"&amp;TEXT(MONTH($A46),"00"),'Eventos y Previsión'!$B$4:$B$24)))*ROW('Eventos y Previsión'!$A$4:$A$24))-ROW('Eventos y Previsión'!$A$3)),"")</f>
        <v>Mercado Olla</v>
      </c>
    </row>
    <row r="47" spans="1:12" ht="15.75" customHeight="1">
      <c r="A47" s="62">
        <v>46099</v>
      </c>
      <c r="B47" s="46" t="str">
        <f t="shared" si="0"/>
        <v>mié</v>
      </c>
      <c r="C47" s="47">
        <f>SUMIFS('Detalle Turnos'!$E:$E,'Detalle Turnos'!$A:$A,$A47,'Detalle Turnos'!$B:$B,"Mañana")</f>
        <v>148.34</v>
      </c>
      <c r="D47" s="47">
        <f>SUMIFS('Detalle Turnos'!$E:$E,'Detalle Turnos'!$A:$A,$A47,'Detalle Turnos'!$B:$B,"Mediodia")</f>
        <v>587.4</v>
      </c>
      <c r="E47" s="47">
        <f>SUMIFS('Detalle Turnos'!$E:$E,'Detalle Turnos'!$A:$A,$A47,'Detalle Turnos'!$B:$B,"Noche")</f>
        <v>255.19</v>
      </c>
      <c r="F47" s="48">
        <f t="shared" si="1"/>
        <v>990.93000000000006</v>
      </c>
      <c r="G47" s="47">
        <f>IFERROR(IF(ISNUMBER(MATCH($A47,'Eventos y Previsión'!$B$4:$B$24,0)),INDEX('Eventos y Previsión'!$F$4:$F$24,MATCH($A47,'Eventos y Previsión'!$B$4:$B$24,0)),AVERAGEIFS('Facturación 2025'!$F$4:$F$303,'Facturación 2025'!$B$4:$B$303,$B47)),0)</f>
        <v>1039.9519512195122</v>
      </c>
      <c r="H47" s="53">
        <f t="shared" si="2"/>
        <v>-49.021951219512175</v>
      </c>
      <c r="I47" s="49">
        <f t="shared" si="3"/>
        <v>-4.7138669399125595E-2</v>
      </c>
      <c r="J47" s="27">
        <f t="array" ref="J47">SUMPRODUCT(('Horarios Personal'!$A$5:$A$555=$A47)*IFERROR('Horarios Personal'!$L$5:$L$555*1,0))</f>
        <v>425.40500000000003</v>
      </c>
      <c r="K47" s="70">
        <f t="shared" si="4"/>
        <v>0.42929873956788067</v>
      </c>
      <c r="L47" s="58" t="str">
        <f t="array" ref="L47">IFERROR(INDEX('Eventos y Previsión'!$C$4:$C$24,SUMPRODUCT((LOWER('Eventos y Previsión'!$A$4:$A$24)=LOWER(TEXT($A47,"mmmm")))*(ISNUMBER(SEARCH(TEXT(DAY($A47),"00")&amp;"/"&amp;TEXT(MONTH($A47),"00"),'Eventos y Previsión'!$B$4:$B$24)))*ROW('Eventos y Previsión'!$A$4:$A$24))-ROW('Eventos y Previsión'!$A$3)),"")</f>
        <v/>
      </c>
    </row>
    <row r="48" spans="1:12" ht="15.75" customHeight="1">
      <c r="A48" s="62">
        <v>46100</v>
      </c>
      <c r="B48" s="46" t="str">
        <f t="shared" si="0"/>
        <v>jue</v>
      </c>
      <c r="C48" s="47">
        <f>SUMIFS('Detalle Turnos'!$E:$E,'Detalle Turnos'!$A:$A,$A48,'Detalle Turnos'!$B:$B,"Mañana")</f>
        <v>87.190000000000012</v>
      </c>
      <c r="D48" s="47">
        <f>SUMIFS('Detalle Turnos'!$E:$E,'Detalle Turnos'!$A:$A,$A48,'Detalle Turnos'!$B:$B,"Mediodia")</f>
        <v>278.02</v>
      </c>
      <c r="E48" s="47">
        <f>SUMIFS('Detalle Turnos'!$E:$E,'Detalle Turnos'!$A:$A,$A48,'Detalle Turnos'!$B:$B,"Noche")</f>
        <v>268.18</v>
      </c>
      <c r="F48" s="48">
        <f t="shared" si="1"/>
        <v>633.39</v>
      </c>
      <c r="G48" s="47">
        <f>IFERROR(IF(ISNUMBER(MATCH($A48,'Eventos y Previsión'!$B$4:$B$24,0)),INDEX('Eventos y Previsión'!$F$4:$F$24,MATCH($A48,'Eventos y Previsión'!$B$4:$B$24,0)),AVERAGEIFS('Facturación 2025'!$F$4:$F$303,'Facturación 2025'!$B$4:$B$303,$B48)),0)</f>
        <v>1100.2225000000003</v>
      </c>
      <c r="H48" s="53">
        <f t="shared" si="2"/>
        <v>-466.83250000000032</v>
      </c>
      <c r="I48" s="49">
        <f t="shared" si="3"/>
        <v>-0.42430735601207953</v>
      </c>
      <c r="J48" s="27">
        <f t="array" ref="J48">SUMPRODUCT(('Horarios Personal'!$A$5:$A$555=$A48)*IFERROR('Horarios Personal'!$L$5:$L$555*1,0))</f>
        <v>402.84</v>
      </c>
      <c r="K48" s="70">
        <f t="shared" si="4"/>
        <v>0.63600625207218298</v>
      </c>
      <c r="L48" s="58" t="str">
        <f t="array" ref="L48">IFERROR(INDEX('Eventos y Previsión'!$C$4:$C$24,SUMPRODUCT((LOWER('Eventos y Previsión'!$A$4:$A$24)=LOWER(TEXT($A48,"mmmm")))*(ISNUMBER(SEARCH(TEXT(DAY($A48),"00")&amp;"/"&amp;TEXT(MONTH($A48),"00"),'Eventos y Previsión'!$B$4:$B$24)))*ROW('Eventos y Previsión'!$A$4:$A$24))-ROW('Eventos y Previsión'!$A$3)),"")</f>
        <v/>
      </c>
    </row>
    <row r="49" spans="1:12" ht="15.75" customHeight="1">
      <c r="A49" s="62">
        <v>46101</v>
      </c>
      <c r="B49" s="46" t="str">
        <f t="shared" si="0"/>
        <v>vie</v>
      </c>
      <c r="C49" s="47">
        <f>SUMIFS('Detalle Turnos'!$E:$E,'Detalle Turnos'!$A:$A,$A49,'Detalle Turnos'!$B:$B,"Mañana")</f>
        <v>152.66</v>
      </c>
      <c r="D49" s="47">
        <f>SUMIFS('Detalle Turnos'!$E:$E,'Detalle Turnos'!$A:$A,$A49,'Detalle Turnos'!$B:$B,"Mediodia")</f>
        <v>573.44000000000005</v>
      </c>
      <c r="E49" s="47">
        <f>SUMIFS('Detalle Turnos'!$E:$E,'Detalle Turnos'!$A:$A,$A49,'Detalle Turnos'!$B:$B,"Noche")</f>
        <v>893.64</v>
      </c>
      <c r="F49" s="48">
        <f t="shared" si="1"/>
        <v>1619.74</v>
      </c>
      <c r="G49" s="47">
        <f>IFERROR(IF(ISNUMBER(MATCH($A49,'Eventos y Previsión'!$B$4:$B$24,0)),INDEX('Eventos y Previsión'!$F$4:$F$24,MATCH($A49,'Eventos y Previsión'!$B$4:$B$24,0)),AVERAGEIFS('Facturación 2025'!$F$4:$F$303,'Facturación 2025'!$B$4:$B$303,$B49)),0)</f>
        <v>1865.4067441860466</v>
      </c>
      <c r="H49" s="53">
        <f t="shared" si="2"/>
        <v>-245.66674418604657</v>
      </c>
      <c r="I49" s="49">
        <f t="shared" si="3"/>
        <v>-0.13169607376606812</v>
      </c>
      <c r="J49" s="27">
        <f t="array" ref="J49">SUMPRODUCT(('Horarios Personal'!$A$5:$A$555=$A49)*IFERROR('Horarios Personal'!$L$5:$L$555*1,0))</f>
        <v>509.06749999999994</v>
      </c>
      <c r="K49" s="70">
        <f t="shared" si="4"/>
        <v>0.31428963907787666</v>
      </c>
      <c r="L49" s="58" t="str">
        <f t="array" ref="L49">IFERROR(INDEX('Eventos y Previsión'!$C$4:$C$24,SUMPRODUCT((LOWER('Eventos y Previsión'!$A$4:$A$24)=LOWER(TEXT($A49,"mmmm")))*(ISNUMBER(SEARCH(TEXT(DAY($A49),"00")&amp;"/"&amp;TEXT(MONTH($A49),"00"),'Eventos y Previsión'!$B$4:$B$24)))*ROW('Eventos y Previsión'!$A$4:$A$24))-ROW('Eventos y Previsión'!$A$3)),"")</f>
        <v/>
      </c>
    </row>
    <row r="50" spans="1:12" ht="15.75" customHeight="1">
      <c r="A50" s="62">
        <v>46102</v>
      </c>
      <c r="B50" s="46" t="str">
        <f t="shared" si="0"/>
        <v>sáb</v>
      </c>
      <c r="C50" s="47">
        <f>SUMIFS('Detalle Turnos'!$E:$E,'Detalle Turnos'!$A:$A,$A50,'Detalle Turnos'!$B:$B,"Mañana")</f>
        <v>158.51</v>
      </c>
      <c r="D50" s="47">
        <f>SUMIFS('Detalle Turnos'!$E:$E,'Detalle Turnos'!$A:$A,$A50,'Detalle Turnos'!$B:$B,"Mediodia")</f>
        <v>550.91</v>
      </c>
      <c r="E50" s="47">
        <f>SUMIFS('Detalle Turnos'!$E:$E,'Detalle Turnos'!$A:$A,$A50,'Detalle Turnos'!$B:$B,"Noche")</f>
        <v>1290.1600000000001</v>
      </c>
      <c r="F50" s="48">
        <f t="shared" si="1"/>
        <v>1999.58</v>
      </c>
      <c r="G50" s="47">
        <f>IFERROR(IF(ISNUMBER(MATCH($A50,'Eventos y Previsión'!$B$4:$B$24,0)),INDEX('Eventos y Previsión'!$F$4:$F$24,MATCH($A50,'Eventos y Previsión'!$B$4:$B$24,0)),AVERAGEIFS('Facturación 2025'!$F$4:$F$303,'Facturación 2025'!$B$4:$B$303,$B50)),0)</f>
        <v>2049.8245999999995</v>
      </c>
      <c r="H50" s="53">
        <f t="shared" si="2"/>
        <v>-50.244599999999537</v>
      </c>
      <c r="I50" s="49">
        <f t="shared" si="3"/>
        <v>-2.4511658217000395E-2</v>
      </c>
      <c r="J50" s="27">
        <f t="array" ref="J50">SUMPRODUCT(('Horarios Personal'!$A$5:$A$555=$A50)*IFERROR('Horarios Personal'!$L$5:$L$555*1,0))</f>
        <v>514.74749999999995</v>
      </c>
      <c r="K50" s="70">
        <f t="shared" si="4"/>
        <v>0.25742780984006641</v>
      </c>
      <c r="L50" s="58" t="str">
        <f t="array" ref="L50">IFERROR(INDEX('Eventos y Previsión'!$C$4:$C$24,SUMPRODUCT((LOWER('Eventos y Previsión'!$A$4:$A$24)=LOWER(TEXT($A50,"mmmm")))*(ISNUMBER(SEARCH(TEXT(DAY($A50),"00")&amp;"/"&amp;TEXT(MONTH($A50),"00"),'Eventos y Previsión'!$B$4:$B$24)))*ROW('Eventos y Previsión'!$A$4:$A$24))-ROW('Eventos y Previsión'!$A$3)),"")</f>
        <v/>
      </c>
    </row>
    <row r="51" spans="1:12" ht="15.75" customHeight="1">
      <c r="A51" s="62">
        <v>46103</v>
      </c>
      <c r="B51" s="46" t="str">
        <f t="shared" si="0"/>
        <v>dom</v>
      </c>
      <c r="C51" s="47">
        <f>SUMIFS('Detalle Turnos'!$E:$E,'Detalle Turnos'!$A:$A,$A51,'Detalle Turnos'!$B:$B,"Mañana")</f>
        <v>166.85</v>
      </c>
      <c r="D51" s="47">
        <f>SUMIFS('Detalle Turnos'!$E:$E,'Detalle Turnos'!$A:$A,$A51,'Detalle Turnos'!$B:$B,"Mediodia")</f>
        <v>542.11</v>
      </c>
      <c r="E51" s="47">
        <f>SUMIFS('Detalle Turnos'!$E:$E,'Detalle Turnos'!$A:$A,$A51,'Detalle Turnos'!$B:$B,"Noche")</f>
        <v>0</v>
      </c>
      <c r="F51" s="48">
        <f t="shared" si="1"/>
        <v>708.96</v>
      </c>
      <c r="G51" s="47">
        <f>IFERROR(IF(ISNUMBER(MATCH($A51,'Eventos y Previsión'!$B$4:$B$24,0)),INDEX('Eventos y Previsión'!$F$4:$F$24,MATCH($A51,'Eventos y Previsión'!$B$4:$B$24,0)),AVERAGEIFS('Facturación 2025'!$F$4:$F$303,'Facturación 2025'!$B$4:$B$303,$B51)),0)</f>
        <v>1690.062558139535</v>
      </c>
      <c r="H51" s="53">
        <f t="shared" si="2"/>
        <v>-981.10255813953495</v>
      </c>
      <c r="I51" s="49">
        <f t="shared" si="3"/>
        <v>-0.5805125694397717</v>
      </c>
      <c r="J51" s="27">
        <f t="array" ref="J51">SUMPRODUCT(('Horarios Personal'!$A$5:$A$555=$A51)*IFERROR('Horarios Personal'!$L$5:$L$555*1,0))</f>
        <v>406.98750000000001</v>
      </c>
      <c r="K51" s="70">
        <f t="shared" si="4"/>
        <v>0.57406271157752198</v>
      </c>
      <c r="L51" s="58" t="str">
        <f t="array" ref="L51">IFERROR(INDEX('Eventos y Previsión'!$C$4:$C$24,SUMPRODUCT((LOWER('Eventos y Previsión'!$A$4:$A$24)=LOWER(TEXT($A51,"mmmm")))*(ISNUMBER(SEARCH(TEXT(DAY($A51),"00")&amp;"/"&amp;TEXT(MONTH($A51),"00"),'Eventos y Previsión'!$B$4:$B$24)))*ROW('Eventos y Previsión'!$A$4:$A$24))-ROW('Eventos y Previsión'!$A$3)),"")</f>
        <v/>
      </c>
    </row>
    <row r="52" spans="1:12" ht="15.75" customHeight="1">
      <c r="A52" s="62">
        <v>46106</v>
      </c>
      <c r="B52" s="46" t="str">
        <f t="shared" si="0"/>
        <v>mié</v>
      </c>
      <c r="C52" s="47">
        <f>SUMIFS('Detalle Turnos'!$E:$E,'Detalle Turnos'!$A:$A,$A52,'Detalle Turnos'!$B:$B,"Mañana")</f>
        <v>169.38000000000002</v>
      </c>
      <c r="D52" s="47">
        <f>SUMIFS('Detalle Turnos'!$E:$E,'Detalle Turnos'!$A:$A,$A52,'Detalle Turnos'!$B:$B,"Mediodia")</f>
        <v>262.39</v>
      </c>
      <c r="E52" s="47">
        <f>SUMIFS('Detalle Turnos'!$E:$E,'Detalle Turnos'!$A:$A,$A52,'Detalle Turnos'!$B:$B,"Noche")</f>
        <v>339.68</v>
      </c>
      <c r="F52" s="48">
        <f t="shared" si="1"/>
        <v>771.45</v>
      </c>
      <c r="G52" s="47">
        <f>IFERROR(IF(ISNUMBER(MATCH($A52,'Eventos y Previsión'!$B$4:$B$24,0)),INDEX('Eventos y Previsión'!$F$4:$F$24,MATCH($A52,'Eventos y Previsión'!$B$4:$B$24,0)),AVERAGEIFS('Facturación 2025'!$F$4:$F$303,'Facturación 2025'!$B$4:$B$303,$B52)),0)</f>
        <v>1039.9519512195122</v>
      </c>
      <c r="H52" s="53">
        <f t="shared" si="2"/>
        <v>-268.50195121951219</v>
      </c>
      <c r="I52" s="49">
        <f t="shared" si="3"/>
        <v>-0.25818688152337244</v>
      </c>
      <c r="J52" s="27">
        <f t="array" ref="J52">SUMPRODUCT(('Horarios Personal'!$A$5:$A$555=$A52)*IFERROR('Horarios Personal'!$L$5:$L$555*1,0))</f>
        <v>427.28000000000003</v>
      </c>
      <c r="K52" s="70">
        <f t="shared" si="4"/>
        <v>0.55386609631213946</v>
      </c>
      <c r="L52" s="58" t="str">
        <f t="array" ref="L52">IFERROR(INDEX('Eventos y Previsión'!$C$4:$C$24,SUMPRODUCT((LOWER('Eventos y Previsión'!$A$4:$A$24)=LOWER(TEXT($A52,"mmmm")))*(ISNUMBER(SEARCH(TEXT(DAY($A52),"00")&amp;"/"&amp;TEXT(MONTH($A52),"00"),'Eventos y Previsión'!$B$4:$B$24)))*ROW('Eventos y Previsión'!$A$4:$A$24))-ROW('Eventos y Previsión'!$A$3)),"")</f>
        <v/>
      </c>
    </row>
    <row r="53" spans="1:12" ht="15.75" customHeight="1">
      <c r="A53" s="62">
        <v>46107</v>
      </c>
      <c r="B53" s="46" t="str">
        <f t="shared" si="0"/>
        <v>jue</v>
      </c>
      <c r="C53" s="47">
        <f>SUMIFS('Detalle Turnos'!$E:$E,'Detalle Turnos'!$A:$A,$A53,'Detalle Turnos'!$B:$B,"Mañana")</f>
        <v>99.37</v>
      </c>
      <c r="D53" s="47">
        <f>SUMIFS('Detalle Turnos'!$E:$E,'Detalle Turnos'!$A:$A,$A53,'Detalle Turnos'!$B:$B,"Mediodia")</f>
        <v>269.89</v>
      </c>
      <c r="E53" s="47">
        <f>SUMIFS('Detalle Turnos'!$E:$E,'Detalle Turnos'!$A:$A,$A53,'Detalle Turnos'!$B:$B,"Noche")</f>
        <v>419.24</v>
      </c>
      <c r="F53" s="48">
        <f t="shared" si="1"/>
        <v>788.5</v>
      </c>
      <c r="G53" s="47">
        <f>IFERROR(IF(ISNUMBER(MATCH($A53,'Eventos y Previsión'!$B$4:$B$24,0)),INDEX('Eventos y Previsión'!$F$4:$F$24,MATCH($A53,'Eventos y Previsión'!$B$4:$B$24,0)),AVERAGEIFS('Facturación 2025'!$F$4:$F$303,'Facturación 2025'!$B$4:$B$303,$B53)),0)</f>
        <v>1100.2225000000003</v>
      </c>
      <c r="H53" s="53">
        <f t="shared" si="2"/>
        <v>-311.72250000000031</v>
      </c>
      <c r="I53" s="49">
        <f t="shared" si="3"/>
        <v>-0.28332678162826175</v>
      </c>
      <c r="J53" s="27">
        <f t="array" ref="J53">SUMPRODUCT(('Horarios Personal'!$A$5:$A$555=$A53)*IFERROR('Horarios Personal'!$L$5:$L$555*1,0))</f>
        <v>374.11</v>
      </c>
      <c r="K53" s="70">
        <f t="shared" si="4"/>
        <v>0.47445783132530123</v>
      </c>
      <c r="L53" s="58" t="str">
        <f t="array" ref="L53">IFERROR(INDEX('Eventos y Previsión'!$C$4:$C$24,SUMPRODUCT((LOWER('Eventos y Previsión'!$A$4:$A$24)=LOWER(TEXT($A53,"mmmm")))*(ISNUMBER(SEARCH(TEXT(DAY($A53),"00")&amp;"/"&amp;TEXT(MONTH($A53),"00"),'Eventos y Previsión'!$B$4:$B$24)))*ROW('Eventos y Previsión'!$A$4:$A$24))-ROW('Eventos y Previsión'!$A$3)),"")</f>
        <v/>
      </c>
    </row>
    <row r="54" spans="1:12" ht="15.75" customHeight="1">
      <c r="A54" s="62">
        <v>46108</v>
      </c>
      <c r="B54" s="46" t="str">
        <f t="shared" si="0"/>
        <v>vie</v>
      </c>
      <c r="C54" s="47">
        <f>SUMIFS('Detalle Turnos'!$E:$E,'Detalle Turnos'!$A:$A,$A54,'Detalle Turnos'!$B:$B,"Mañana")</f>
        <v>109.91</v>
      </c>
      <c r="D54" s="47">
        <f>SUMIFS('Detalle Turnos'!$E:$E,'Detalle Turnos'!$A:$A,$A54,'Detalle Turnos'!$B:$B,"Mediodia")</f>
        <v>702.22</v>
      </c>
      <c r="E54" s="47">
        <f>SUMIFS('Detalle Turnos'!$E:$E,'Detalle Turnos'!$A:$A,$A54,'Detalle Turnos'!$B:$B,"Noche")</f>
        <v>1151</v>
      </c>
      <c r="F54" s="48">
        <f t="shared" si="1"/>
        <v>1963.13</v>
      </c>
      <c r="G54" s="47">
        <f>IFERROR(IF(ISNUMBER(MATCH($A54,'Eventos y Previsión'!$B$4:$B$24,0)),INDEX('Eventos y Previsión'!$F$4:$F$24,MATCH($A54,'Eventos y Previsión'!$B$4:$B$24,0)),AVERAGEIFS('Facturación 2025'!$F$4:$F$303,'Facturación 2025'!$B$4:$B$303,$B54)),0)</f>
        <v>1865.4067441860466</v>
      </c>
      <c r="H54" s="53">
        <f t="shared" si="2"/>
        <v>97.723255813953529</v>
      </c>
      <c r="I54" s="49">
        <f t="shared" si="3"/>
        <v>5.2387103305233405E-2</v>
      </c>
      <c r="J54" s="27">
        <f t="array" ref="J54">SUMPRODUCT(('Horarios Personal'!$A$5:$A$555=$A54)*IFERROR('Horarios Personal'!$L$5:$L$555*1,0))</f>
        <v>548.27750000000003</v>
      </c>
      <c r="K54" s="70">
        <f t="shared" si="4"/>
        <v>0.2792874134672691</v>
      </c>
      <c r="L54" s="58" t="str">
        <f t="array" ref="L54">IFERROR(INDEX('Eventos y Previsión'!$C$4:$C$24,SUMPRODUCT((LOWER('Eventos y Previsión'!$A$4:$A$24)=LOWER(TEXT($A54,"mmmm")))*(ISNUMBER(SEARCH(TEXT(DAY($A54),"00")&amp;"/"&amp;TEXT(MONTH($A54),"00"),'Eventos y Previsión'!$B$4:$B$24)))*ROW('Eventos y Previsión'!$A$4:$A$24))-ROW('Eventos y Previsión'!$A$3)),"")</f>
        <v/>
      </c>
    </row>
    <row r="55" spans="1:12" ht="15.75" customHeight="1">
      <c r="A55" s="62">
        <v>46109</v>
      </c>
      <c r="B55" s="46" t="str">
        <f t="shared" si="0"/>
        <v>sáb</v>
      </c>
      <c r="C55" s="47">
        <f>SUMIFS('Detalle Turnos'!$E:$E,'Detalle Turnos'!$A:$A,$A55,'Detalle Turnos'!$B:$B,"Mañana")</f>
        <v>149.47</v>
      </c>
      <c r="D55" s="47">
        <f>SUMIFS('Detalle Turnos'!$E:$E,'Detalle Turnos'!$A:$A,$A55,'Detalle Turnos'!$B:$B,"Mediodia")</f>
        <v>718.28</v>
      </c>
      <c r="E55" s="47">
        <f>SUMIFS('Detalle Turnos'!$E:$E,'Detalle Turnos'!$A:$A,$A55,'Detalle Turnos'!$B:$B,"Noche")</f>
        <v>944.88</v>
      </c>
      <c r="F55" s="48">
        <f t="shared" si="1"/>
        <v>1812.63</v>
      </c>
      <c r="G55" s="47">
        <f>IFERROR(IF(ISNUMBER(MATCH($A55,'Eventos y Previsión'!$B$4:$B$24,0)),INDEX('Eventos y Previsión'!$F$4:$F$24,MATCH($A55,'Eventos y Previsión'!$B$4:$B$24,0)),AVERAGEIFS('Facturación 2025'!$F$4:$F$303,'Facturación 2025'!$B$4:$B$303,$B55)),0)</f>
        <v>2049.8245999999995</v>
      </c>
      <c r="H55" s="53">
        <f t="shared" si="2"/>
        <v>-237.19459999999935</v>
      </c>
      <c r="I55" s="49">
        <f t="shared" si="3"/>
        <v>-0.11571458357949232</v>
      </c>
      <c r="J55" s="27">
        <f t="array" ref="J55">SUMPRODUCT(('Horarios Personal'!$A$5:$A$555=$A55)*IFERROR('Horarios Personal'!$L$5:$L$555*1,0))</f>
        <v>50.749999999999993</v>
      </c>
      <c r="K55" s="70">
        <f t="shared" si="4"/>
        <v>2.7997991868169449E-2</v>
      </c>
      <c r="L55" s="58" t="str">
        <f t="array" ref="L55">IFERROR(INDEX('Eventos y Previsión'!$C$4:$C$24,SUMPRODUCT((LOWER('Eventos y Previsión'!$A$4:$A$24)=LOWER(TEXT($A55,"mmmm")))*(ISNUMBER(SEARCH(TEXT(DAY($A55),"00")&amp;"/"&amp;TEXT(MONTH($A55),"00"),'Eventos y Previsión'!$B$4:$B$24)))*ROW('Eventos y Previsión'!$A$4:$A$24))-ROW('Eventos y Previsión'!$A$3)),"")</f>
        <v/>
      </c>
    </row>
    <row r="56" spans="1:12" ht="15.75" customHeight="1">
      <c r="A56" s="62">
        <v>46110</v>
      </c>
      <c r="B56" s="46" t="str">
        <f t="shared" si="0"/>
        <v>dom</v>
      </c>
      <c r="C56" s="47">
        <f>SUMIFS('Detalle Turnos'!$E:$E,'Detalle Turnos'!$A:$A,$A56,'Detalle Turnos'!$B:$B,"Mañana")</f>
        <v>175.69</v>
      </c>
      <c r="D56" s="47">
        <f>SUMIFS('Detalle Turnos'!$E:$E,'Detalle Turnos'!$A:$A,$A56,'Detalle Turnos'!$B:$B,"Mediodia")</f>
        <v>1341.94</v>
      </c>
      <c r="E56" s="47">
        <f>SUMIFS('Detalle Turnos'!$E:$E,'Detalle Turnos'!$A:$A,$A56,'Detalle Turnos'!$B:$B,"Noche")</f>
        <v>0</v>
      </c>
      <c r="F56" s="48">
        <f t="shared" si="1"/>
        <v>1517.63</v>
      </c>
      <c r="G56" s="47">
        <f>IFERROR(IF(ISNUMBER(MATCH($A56,'Eventos y Previsión'!$B$4:$B$24,0)),INDEX('Eventos y Previsión'!$F$4:$F$24,MATCH($A56,'Eventos y Previsión'!$B$4:$B$24,0)),AVERAGEIFS('Facturación 2025'!$F$4:$F$303,'Facturación 2025'!$B$4:$B$303,$B56)),0)</f>
        <v>1690.062558139535</v>
      </c>
      <c r="H56" s="53">
        <f t="shared" si="2"/>
        <v>-172.43255813953488</v>
      </c>
      <c r="I56" s="49">
        <f t="shared" si="3"/>
        <v>-0.10202732278108873</v>
      </c>
      <c r="J56" s="27">
        <f t="array" ref="J56">SUMPRODUCT(('Horarios Personal'!$A$5:$A$555=$A56)*IFERROR('Horarios Personal'!$L$5:$L$555*1,0))</f>
        <v>0</v>
      </c>
      <c r="K56" s="70">
        <f t="shared" si="4"/>
        <v>0</v>
      </c>
      <c r="L56" s="58" t="str">
        <f t="array" ref="L56">IFERROR(INDEX('Eventos y Previsión'!$C$4:$C$24,SUMPRODUCT((LOWER('Eventos y Previsión'!$A$4:$A$24)=LOWER(TEXT($A56,"mmmm")))*(ISNUMBER(SEARCH(TEXT(DAY($A56),"00")&amp;"/"&amp;TEXT(MONTH($A56),"00"),'Eventos y Previsión'!$B$4:$B$24)))*ROW('Eventos y Previsión'!$A$4:$A$24))-ROW('Eventos y Previsión'!$A$3)),"")</f>
        <v>Semana Santa</v>
      </c>
    </row>
    <row r="57" spans="1:12" ht="15.75" customHeight="1">
      <c r="A57" s="62">
        <v>46113</v>
      </c>
      <c r="B57" s="46" t="str">
        <f t="shared" si="0"/>
        <v>mié</v>
      </c>
      <c r="C57" s="47">
        <f>SUMIFS('Detalle Turnos'!$E:$E,'Detalle Turnos'!$A:$A,$A57,'Detalle Turnos'!$B:$B,"Mañana")</f>
        <v>176.55</v>
      </c>
      <c r="D57" s="47">
        <f>SUMIFS('Detalle Turnos'!$E:$E,'Detalle Turnos'!$A:$A,$A57,'Detalle Turnos'!$B:$B,"Mediodia")</f>
        <v>791.48</v>
      </c>
      <c r="E57" s="47">
        <f>SUMIFS('Detalle Turnos'!$E:$E,'Detalle Turnos'!$A:$A,$A57,'Detalle Turnos'!$B:$B,"Noche")</f>
        <v>508.02</v>
      </c>
      <c r="F57" s="48">
        <f t="shared" si="1"/>
        <v>1476.05</v>
      </c>
      <c r="G57" s="47">
        <f>IFERROR(IF(ISNUMBER(MATCH($A57,'Eventos y Previsión'!$B$4:$B$24,0)),INDEX('Eventos y Previsión'!$F$4:$F$24,MATCH($A57,'Eventos y Previsión'!$B$4:$B$24,0)),AVERAGEIFS('Facturación 2025'!$F$4:$F$303,'Facturación 2025'!$B$4:$B$303,$B57)),0)</f>
        <v>1039.9519512195122</v>
      </c>
      <c r="H57" s="53">
        <f t="shared" si="2"/>
        <v>436.09804878048772</v>
      </c>
      <c r="I57" s="49">
        <f t="shared" si="3"/>
        <v>0.41934442093126711</v>
      </c>
      <c r="J57" s="27">
        <f t="array" ref="J57">SUMPRODUCT(('Horarios Personal'!$A$5:$A$555=$A57)*IFERROR('Horarios Personal'!$L$5:$L$555*1,0))</f>
        <v>0</v>
      </c>
      <c r="K57" s="70">
        <f t="shared" si="4"/>
        <v>0</v>
      </c>
      <c r="L57" s="58" t="str">
        <f t="array" ref="L57">IFERROR(INDEX('Eventos y Previsión'!$C$4:$C$24,SUMPRODUCT((LOWER('Eventos y Previsión'!$A$4:$A$24)=LOWER(TEXT($A57,"mmmm")))*(ISNUMBER(SEARCH(TEXT(DAY($A57),"00")&amp;"/"&amp;TEXT(MONTH($A57),"00"),'Eventos y Previsión'!$B$4:$B$24)))*ROW('Eventos y Previsión'!$A$4:$A$24))-ROW('Eventos y Previsión'!$A$3)),"")</f>
        <v/>
      </c>
    </row>
    <row r="58" spans="1:12" ht="15.75" customHeight="1">
      <c r="A58" s="62">
        <v>46114</v>
      </c>
      <c r="B58" s="46" t="str">
        <f t="shared" si="0"/>
        <v>jue</v>
      </c>
      <c r="C58" s="47">
        <f>SUMIFS('Detalle Turnos'!$E:$E,'Detalle Turnos'!$A:$A,$A58,'Detalle Turnos'!$B:$B,"Mañana")</f>
        <v>158.62</v>
      </c>
      <c r="D58" s="47">
        <f>SUMIFS('Detalle Turnos'!$E:$E,'Detalle Turnos'!$A:$A,$A58,'Detalle Turnos'!$B:$B,"Mediodia")</f>
        <v>652.32000000000005</v>
      </c>
      <c r="E58" s="47">
        <f>SUMIFS('Detalle Turnos'!$E:$E,'Detalle Turnos'!$A:$A,$A58,'Detalle Turnos'!$B:$B,"Noche")</f>
        <v>688.16000000000008</v>
      </c>
      <c r="F58" s="48">
        <f t="shared" si="1"/>
        <v>1499.1000000000001</v>
      </c>
      <c r="G58" s="47">
        <f>IFERROR(IF(ISNUMBER(MATCH($A58,'Eventos y Previsión'!$B$4:$B$24,0)),INDEX('Eventos y Previsión'!$F$4:$F$24,MATCH($A58,'Eventos y Previsión'!$B$4:$B$24,0)),AVERAGEIFS('Facturación 2025'!$F$4:$F$303,'Facturación 2025'!$B$4:$B$303,$B58)),0)</f>
        <v>1100.2225000000003</v>
      </c>
      <c r="H58" s="53">
        <f t="shared" si="2"/>
        <v>398.87749999999983</v>
      </c>
      <c r="I58" s="49">
        <f t="shared" si="3"/>
        <v>0.36254257661518441</v>
      </c>
      <c r="J58" s="27">
        <f t="array" ref="J58">SUMPRODUCT(('Horarios Personal'!$A$5:$A$555=$A58)*IFERROR('Horarios Personal'!$L$5:$L$555*1,0))</f>
        <v>0</v>
      </c>
      <c r="K58" s="70">
        <f t="shared" si="4"/>
        <v>0</v>
      </c>
      <c r="L58" s="58" t="str">
        <f t="array" ref="L58">IFERROR(INDEX('Eventos y Previsión'!$C$4:$C$24,SUMPRODUCT((LOWER('Eventos y Previsión'!$A$4:$A$24)=LOWER(TEXT($A58,"mmmm")))*(ISNUMBER(SEARCH(TEXT(DAY($A58),"00")&amp;"/"&amp;TEXT(MONTH($A58),"00"),'Eventos y Previsión'!$B$4:$B$24)))*ROW('Eventos y Previsión'!$A$4:$A$24))-ROW('Eventos y Previsión'!$A$3)),"")</f>
        <v/>
      </c>
    </row>
    <row r="59" spans="1:12" ht="15.75" customHeight="1">
      <c r="A59" s="62">
        <v>46115</v>
      </c>
      <c r="B59" s="46" t="str">
        <f t="shared" si="0"/>
        <v>vie</v>
      </c>
      <c r="C59" s="47">
        <f>SUMIFS('Detalle Turnos'!$E:$E,'Detalle Turnos'!$A:$A,$A59,'Detalle Turnos'!$B:$B,"Mañana")</f>
        <v>114.7</v>
      </c>
      <c r="D59" s="47">
        <f>SUMIFS('Detalle Turnos'!$E:$E,'Detalle Turnos'!$A:$A,$A59,'Detalle Turnos'!$B:$B,"Mediodia")</f>
        <v>1117.1699999999998</v>
      </c>
      <c r="E59" s="47">
        <f>SUMIFS('Detalle Turnos'!$E:$E,'Detalle Turnos'!$A:$A,$A59,'Detalle Turnos'!$B:$B,"Noche")</f>
        <v>1141.56</v>
      </c>
      <c r="F59" s="48">
        <f t="shared" si="1"/>
        <v>2373.4299999999998</v>
      </c>
      <c r="G59" s="47">
        <f>IFERROR(IF(ISNUMBER(MATCH($A59,'Eventos y Previsión'!$B$4:$B$24,0)),INDEX('Eventos y Previsión'!$F$4:$F$24,MATCH($A59,'Eventos y Previsión'!$B$4:$B$24,0)),AVERAGEIFS('Facturación 2025'!$F$4:$F$303,'Facturación 2025'!$B$4:$B$303,$B59)),0)</f>
        <v>1865.4067441860466</v>
      </c>
      <c r="H59" s="53">
        <f t="shared" si="2"/>
        <v>508.02325581395326</v>
      </c>
      <c r="I59" s="49">
        <f t="shared" si="3"/>
        <v>0.27233913321977649</v>
      </c>
      <c r="J59" s="27">
        <f t="array" ref="J59">SUMPRODUCT(('Horarios Personal'!$A$5:$A$555=$A59)*IFERROR('Horarios Personal'!$L$5:$L$555*1,0))</f>
        <v>0</v>
      </c>
      <c r="K59" s="70">
        <f t="shared" si="4"/>
        <v>0</v>
      </c>
      <c r="L59" s="58" t="str">
        <f t="array" ref="L59">IFERROR(INDEX('Eventos y Previsión'!$C$4:$C$24,SUMPRODUCT((LOWER('Eventos y Previsión'!$A$4:$A$24)=LOWER(TEXT($A59,"mmmm")))*(ISNUMBER(SEARCH(TEXT(DAY($A59),"00")&amp;"/"&amp;TEXT(MONTH($A59),"00"),'Eventos y Previsión'!$B$4:$B$24)))*ROW('Eventos y Previsión'!$A$4:$A$24))-ROW('Eventos y Previsión'!$A$3)),"")</f>
        <v/>
      </c>
    </row>
    <row r="60" spans="1:12" ht="15.75" customHeight="1">
      <c r="A60" s="62">
        <v>46116</v>
      </c>
      <c r="B60" s="46" t="str">
        <f t="shared" si="0"/>
        <v>sáb</v>
      </c>
      <c r="C60" s="47">
        <f>SUMIFS('Detalle Turnos'!$E:$E,'Detalle Turnos'!$A:$A,$A60,'Detalle Turnos'!$B:$B,"Mañana")</f>
        <v>187.40000000000003</v>
      </c>
      <c r="D60" s="47">
        <f>SUMIFS('Detalle Turnos'!$E:$E,'Detalle Turnos'!$A:$A,$A60,'Detalle Turnos'!$B:$B,"Mediodia")</f>
        <v>1185.1199999999999</v>
      </c>
      <c r="E60" s="47">
        <f>SUMIFS('Detalle Turnos'!$E:$E,'Detalle Turnos'!$A:$A,$A60,'Detalle Turnos'!$B:$B,"Noche")</f>
        <v>528.59</v>
      </c>
      <c r="F60" s="48">
        <f t="shared" si="1"/>
        <v>1901.1100000000001</v>
      </c>
      <c r="G60" s="47">
        <f>IFERROR(IF(ISNUMBER(MATCH($A60,'Eventos y Previsión'!$B$4:$B$24,0)),INDEX('Eventos y Previsión'!$F$4:$F$24,MATCH($A60,'Eventos y Previsión'!$B$4:$B$24,0)),AVERAGEIFS('Facturación 2025'!$F$4:$F$303,'Facturación 2025'!$B$4:$B$303,$B60)),0)</f>
        <v>2049.8245999999995</v>
      </c>
      <c r="H60" s="53">
        <f t="shared" si="2"/>
        <v>-148.71459999999934</v>
      </c>
      <c r="I60" s="49">
        <f t="shared" si="3"/>
        <v>-7.2549914758560013E-2</v>
      </c>
      <c r="J60" s="27">
        <f t="array" ref="J60">SUMPRODUCT(('Horarios Personal'!$A$5:$A$555=$A60)*IFERROR('Horarios Personal'!$L$5:$L$555*1,0))</f>
        <v>0</v>
      </c>
      <c r="K60" s="70">
        <f t="shared" si="4"/>
        <v>0</v>
      </c>
      <c r="L60" s="58" t="str">
        <f t="array" ref="L60">IFERROR(INDEX('Eventos y Previsión'!$C$4:$C$24,SUMPRODUCT((LOWER('Eventos y Previsión'!$A$4:$A$24)=LOWER(TEXT($A60,"mmmm")))*(ISNUMBER(SEARCH(TEXT(DAY($A60),"00")&amp;"/"&amp;TEXT(MONTH($A60),"00"),'Eventos y Previsión'!$B$4:$B$24)))*ROW('Eventos y Previsión'!$A$4:$A$24))-ROW('Eventos y Previsión'!$A$3)),"")</f>
        <v/>
      </c>
    </row>
    <row r="61" spans="1:12" ht="15.75" customHeight="1">
      <c r="A61" s="66">
        <v>46117</v>
      </c>
      <c r="B61" s="50" t="str">
        <f t="shared" si="0"/>
        <v>dom</v>
      </c>
      <c r="C61" s="44">
        <f>SUMIFS('Detalle Turnos'!$E:$E,'Detalle Turnos'!$A:$A,$A61,'Detalle Turnos'!$B:$B,"Mañana")</f>
        <v>130.309</v>
      </c>
      <c r="D61" s="44">
        <f>SUMIFS('Detalle Turnos'!$E:$E,'Detalle Turnos'!$A:$A,$A61,'Detalle Turnos'!$B:$B,"Mediodia")</f>
        <v>1201.1229999999998</v>
      </c>
      <c r="E61" s="44">
        <f>SUMIFS('Detalle Turnos'!$E:$E,'Detalle Turnos'!$A:$A,$A61,'Detalle Turnos'!$B:$B,"Noche")</f>
        <v>775.41</v>
      </c>
      <c r="F61" s="45">
        <f t="shared" si="1"/>
        <v>2106.8419999999996</v>
      </c>
      <c r="G61" s="44">
        <f>IFERROR(IF(ISNUMBER(MATCH($A61,'Eventos y Previsión'!$B$4:$B$24,0)),INDEX('Eventos y Previsión'!$F$4:$F$24,MATCH($A61,'Eventos y Previsión'!$B$4:$B$24,0)),AVERAGEIFS('Facturación 2025'!$F$4:$F$303,'Facturación 2025'!$B$4:$B$303,$B61)),0)</f>
        <v>1690.062558139535</v>
      </c>
      <c r="H61" s="56">
        <f t="shared" si="2"/>
        <v>416.77944186046466</v>
      </c>
      <c r="I61" s="51">
        <f t="shared" si="3"/>
        <v>0.24660592582990915</v>
      </c>
      <c r="J61" s="44">
        <f t="array" ref="J61">SUMPRODUCT(('Horarios Personal'!$A$5:$A$555=$A61)*IFERROR('Horarios Personal'!$L$5:$L$555*1,0))</f>
        <v>0</v>
      </c>
      <c r="K61" s="70">
        <f t="shared" si="4"/>
        <v>0</v>
      </c>
      <c r="L61" s="67" t="str">
        <f t="array" ref="L61">IFERROR(INDEX('Eventos y Previsión'!$C$4:$C$24,SUMPRODUCT((LOWER('Eventos y Previsión'!$A$4:$A$24)=LOWER(TEXT($A61,"mmmm")))*(ISNUMBER(SEARCH(TEXT(DAY($A61),"00")&amp;"/"&amp;TEXT(MONTH($A61),"00"),'Eventos y Previsión'!$B$4:$B$24)))*ROW('Eventos y Previsión'!$A$4:$A$24))-ROW('Eventos y Previsión'!$A$3)),"")</f>
        <v/>
      </c>
    </row>
    <row r="62" spans="1:12" ht="15.75" customHeight="1">
      <c r="A62" s="62">
        <v>46120</v>
      </c>
      <c r="B62" s="46" t="str">
        <f t="shared" si="0"/>
        <v>mié</v>
      </c>
      <c r="C62" s="47">
        <f>SUMIFS('Detalle Turnos'!$E:$E,'Detalle Turnos'!$A:$A,$A62,'Detalle Turnos'!$B:$B,"Mañana")</f>
        <v>0</v>
      </c>
      <c r="D62" s="47">
        <f>SUMIFS('Detalle Turnos'!$E:$E,'Detalle Turnos'!$A:$A,$A62,'Detalle Turnos'!$B:$B,"Mediodia")</f>
        <v>224.82300000000001</v>
      </c>
      <c r="E62" s="47">
        <f>SUMIFS('Detalle Turnos'!$E:$E,'Detalle Turnos'!$A:$A,$A62,'Detalle Turnos'!$B:$B,"Noche")</f>
        <v>167.83600000000001</v>
      </c>
      <c r="F62" s="48">
        <f t="shared" si="1"/>
        <v>392.65899999999999</v>
      </c>
      <c r="G62" s="47">
        <f>IFERROR(IF(ISNUMBER(MATCH($A62,'Eventos y Previsión'!$B$4:$B$24,0)),INDEX('Eventos y Previsión'!$F$4:$F$24,MATCH($A62,'Eventos y Previsión'!$B$4:$B$24,0)),AVERAGEIFS('Facturación 2025'!$F$4:$F$303,'Facturación 2025'!$B$4:$B$303,$B62)),0)</f>
        <v>1039.9519512195122</v>
      </c>
      <c r="H62" s="53">
        <f t="shared" si="2"/>
        <v>-647.29295121951225</v>
      </c>
      <c r="I62" s="49">
        <f t="shared" si="3"/>
        <v>-0.62242582502052746</v>
      </c>
      <c r="J62" s="47">
        <f t="array" ref="J62">SUMPRODUCT(('Horarios Personal'!$A$5:$A$555=$A62)*IFERROR('Horarios Personal'!$L$5:$L$555*1,0))</f>
        <v>0</v>
      </c>
      <c r="K62" s="70">
        <f t="shared" si="4"/>
        <v>0</v>
      </c>
      <c r="L62" s="58" t="str">
        <f t="array" ref="L62">IFERROR(INDEX('Eventos y Previsión'!$C$4:$C$24,SUMPRODUCT((LOWER('Eventos y Previsión'!$A$4:$A$24)=LOWER(TEXT($A62,"mmmm")))*(ISNUMBER(SEARCH(TEXT(DAY($A62),"00")&amp;"/"&amp;TEXT(MONTH($A62),"00"),'Eventos y Previsión'!$B$4:$B$24)))*ROW('Eventos y Previsión'!$A$4:$A$24))-ROW('Eventos y Previsión'!$A$3)),"")</f>
        <v/>
      </c>
    </row>
    <row r="63" spans="1:12" ht="15.75" customHeight="1">
      <c r="A63" s="62">
        <v>46121</v>
      </c>
      <c r="B63" s="46" t="str">
        <f t="shared" si="0"/>
        <v>jue</v>
      </c>
      <c r="C63" s="47">
        <f>SUMIFS('Detalle Turnos'!$E:$E,'Detalle Turnos'!$A:$A,$A63,'Detalle Turnos'!$B:$B,"Mañana")</f>
        <v>21.65</v>
      </c>
      <c r="D63" s="47">
        <f>SUMIFS('Detalle Turnos'!$E:$E,'Detalle Turnos'!$A:$A,$A63,'Detalle Turnos'!$B:$B,"Mediodia")</f>
        <v>220.364</v>
      </c>
      <c r="E63" s="47">
        <f>SUMIFS('Detalle Turnos'!$E:$E,'Detalle Turnos'!$A:$A,$A63,'Detalle Turnos'!$B:$B,"Noche")</f>
        <v>388.04500000000002</v>
      </c>
      <c r="F63" s="48">
        <f t="shared" si="1"/>
        <v>630.05899999999997</v>
      </c>
      <c r="G63" s="47">
        <f>IFERROR(IF(ISNUMBER(MATCH($A63,'Eventos y Previsión'!$B$4:$B$24,0)),INDEX('Eventos y Previsión'!$F$4:$F$24,MATCH($A63,'Eventos y Previsión'!$B$4:$B$24,0)),AVERAGEIFS('Facturación 2025'!$F$4:$F$303,'Facturación 2025'!$B$4:$B$303,$B63)),0)</f>
        <v>1100.2225000000003</v>
      </c>
      <c r="H63" s="53">
        <f t="shared" si="2"/>
        <v>-470.16350000000034</v>
      </c>
      <c r="I63" s="49">
        <f t="shared" si="3"/>
        <v>-0.42733492543553708</v>
      </c>
      <c r="J63" s="47">
        <f t="array" ref="J63">SUMPRODUCT(('Horarios Personal'!$A$5:$A$555=$A63)*IFERROR('Horarios Personal'!$L$5:$L$555*1,0))</f>
        <v>0</v>
      </c>
      <c r="K63" s="70">
        <f t="shared" si="4"/>
        <v>0</v>
      </c>
      <c r="L63" s="58" t="str">
        <f t="array" ref="L63">IFERROR(INDEX('Eventos y Previsión'!$C$4:$C$24,SUMPRODUCT((LOWER('Eventos y Previsión'!$A$4:$A$24)=LOWER(TEXT($A63,"mmmm")))*(ISNUMBER(SEARCH(TEXT(DAY($A63),"00")&amp;"/"&amp;TEXT(MONTH($A63),"00"),'Eventos y Previsión'!$B$4:$B$24)))*ROW('Eventos y Previsión'!$A$4:$A$24))-ROW('Eventos y Previsión'!$A$3)),"")</f>
        <v/>
      </c>
    </row>
    <row r="64" spans="1:12" ht="15.75" customHeight="1">
      <c r="A64" s="62">
        <v>46122</v>
      </c>
      <c r="B64" s="46" t="str">
        <f t="shared" si="0"/>
        <v>vie</v>
      </c>
      <c r="C64" s="47">
        <f>SUMIFS('Detalle Turnos'!$E:$E,'Detalle Turnos'!$A:$A,$A64,'Detalle Turnos'!$B:$B,"Mañana")</f>
        <v>0</v>
      </c>
      <c r="D64" s="47">
        <f>SUMIFS('Detalle Turnos'!$E:$E,'Detalle Turnos'!$A:$A,$A64,'Detalle Turnos'!$B:$B,"Mediodia")</f>
        <v>314.19499999999999</v>
      </c>
      <c r="E64" s="47">
        <f>SUMIFS('Detalle Turnos'!$E:$E,'Detalle Turnos'!$A:$A,$A64,'Detalle Turnos'!$B:$B,"Noche")</f>
        <v>481.10899999999998</v>
      </c>
      <c r="F64" s="48">
        <f t="shared" si="1"/>
        <v>795.30399999999997</v>
      </c>
      <c r="G64" s="47">
        <f>IFERROR(IF(ISNUMBER(MATCH($A64,'Eventos y Previsión'!$B$4:$B$24,0)),INDEX('Eventos y Previsión'!$F$4:$F$24,MATCH($A64,'Eventos y Previsión'!$B$4:$B$24,0)),AVERAGEIFS('Facturación 2025'!$F$4:$F$303,'Facturación 2025'!$B$4:$B$303,$B64)),0)</f>
        <v>1865.4067441860466</v>
      </c>
      <c r="H64" s="53">
        <f t="shared" si="2"/>
        <v>-1070.1027441860465</v>
      </c>
      <c r="I64" s="49">
        <f t="shared" si="3"/>
        <v>-0.57365652157164049</v>
      </c>
      <c r="J64" s="47">
        <f t="array" ref="J64">SUMPRODUCT(('Horarios Personal'!$A$5:$A$555=$A64)*IFERROR('Horarios Personal'!$L$5:$L$555*1,0))</f>
        <v>0</v>
      </c>
      <c r="K64" s="70">
        <f t="shared" si="4"/>
        <v>0</v>
      </c>
      <c r="L64" s="58" t="str">
        <f t="array" ref="L64">IFERROR(INDEX('Eventos y Previsión'!$C$4:$C$24,SUMPRODUCT((LOWER('Eventos y Previsión'!$A$4:$A$24)=LOWER(TEXT($A64,"mmmm")))*(ISNUMBER(SEARCH(TEXT(DAY($A64),"00")&amp;"/"&amp;TEXT(MONTH($A64),"00"),'Eventos y Previsión'!$B$4:$B$24)))*ROW('Eventos y Previsión'!$A$4:$A$24))-ROW('Eventos y Previsión'!$A$3)),"")</f>
        <v/>
      </c>
    </row>
    <row r="65" spans="1:12" ht="15.75" customHeight="1">
      <c r="A65" s="62">
        <v>46123</v>
      </c>
      <c r="B65" s="46" t="str">
        <f t="shared" si="0"/>
        <v>sáb</v>
      </c>
      <c r="C65" s="47">
        <f>SUMIFS('Detalle Turnos'!$E:$E,'Detalle Turnos'!$A:$A,$A65,'Detalle Turnos'!$B:$B,"Mañana")</f>
        <v>203.97300000000001</v>
      </c>
      <c r="D65" s="47">
        <f>SUMIFS('Detalle Turnos'!$E:$E,'Detalle Turnos'!$A:$A,$A65,'Detalle Turnos'!$B:$B,"Mediodia")</f>
        <v>1040.068</v>
      </c>
      <c r="E65" s="47">
        <f>SUMIFS('Detalle Turnos'!$E:$E,'Detalle Turnos'!$A:$A,$A65,'Detalle Turnos'!$B:$B,"Noche")</f>
        <v>1249.2550000000001</v>
      </c>
      <c r="F65" s="48">
        <f t="shared" si="1"/>
        <v>2493.2960000000003</v>
      </c>
      <c r="G65" s="47">
        <f>IFERROR(IF(ISNUMBER(MATCH($A65,'Eventos y Previsión'!$B$4:$B$24,0)),INDEX('Eventos y Previsión'!$F$4:$F$24,MATCH($A65,'Eventos y Previsión'!$B$4:$B$24,0)),AVERAGEIFS('Facturación 2025'!$F$4:$F$303,'Facturación 2025'!$B$4:$B$303,$B65)),0)</f>
        <v>2049.8245999999995</v>
      </c>
      <c r="H65" s="53">
        <f t="shared" si="2"/>
        <v>443.47140000000081</v>
      </c>
      <c r="I65" s="49">
        <f t="shared" si="3"/>
        <v>0.21634602297191718</v>
      </c>
      <c r="J65" s="47">
        <f t="array" ref="J65">SUMPRODUCT(('Horarios Personal'!$A$5:$A$555=$A65)*IFERROR('Horarios Personal'!$L$5:$L$555*1,0))</f>
        <v>0</v>
      </c>
      <c r="K65" s="70">
        <f t="shared" si="4"/>
        <v>0</v>
      </c>
      <c r="L65" s="58" t="str">
        <f t="array" ref="L65">IFERROR(INDEX('Eventos y Previsión'!$C$4:$C$24,SUMPRODUCT((LOWER('Eventos y Previsión'!$A$4:$A$24)=LOWER(TEXT($A65,"mmmm")))*(ISNUMBER(SEARCH(TEXT(DAY($A65),"00")&amp;"/"&amp;TEXT(MONTH($A65),"00"),'Eventos y Previsión'!$B$4:$B$24)))*ROW('Eventos y Previsión'!$A$4:$A$24))-ROW('Eventos y Previsión'!$A$3)),"")</f>
        <v/>
      </c>
    </row>
    <row r="66" spans="1:12" ht="15.75" customHeight="1">
      <c r="A66" s="62">
        <v>46124</v>
      </c>
      <c r="B66" s="46" t="str">
        <f t="shared" si="0"/>
        <v>dom</v>
      </c>
      <c r="C66" s="47">
        <f>SUMIFS('Detalle Turnos'!$E:$E,'Detalle Turnos'!$A:$A,$A66,'Detalle Turnos'!$B:$B,"Mañana")</f>
        <v>187.87700000000001</v>
      </c>
      <c r="D66" s="47">
        <f>SUMIFS('Detalle Turnos'!$E:$E,'Detalle Turnos'!$A:$A,$A66,'Detalle Turnos'!$B:$B,"Mediodia")</f>
        <v>637.58600000000001</v>
      </c>
      <c r="E66" s="47">
        <f>SUMIFS('Detalle Turnos'!$E:$E,'Detalle Turnos'!$A:$A,$A66,'Detalle Turnos'!$B:$B,"Noche")</f>
        <v>91.194999999999993</v>
      </c>
      <c r="F66" s="48">
        <f t="shared" si="1"/>
        <v>916.6579999999999</v>
      </c>
      <c r="G66" s="47">
        <f>IFERROR(IF(ISNUMBER(MATCH($A66,'Eventos y Previsión'!$B$4:$B$24,0)),INDEX('Eventos y Previsión'!$F$4:$F$24,MATCH($A66,'Eventos y Previsión'!$B$4:$B$24,0)),AVERAGEIFS('Facturación 2025'!$F$4:$F$303,'Facturación 2025'!$B$4:$B$303,$B66)),0)</f>
        <v>1690.062558139535</v>
      </c>
      <c r="H66" s="53">
        <f t="shared" si="2"/>
        <v>-773.40455813953508</v>
      </c>
      <c r="I66" s="49">
        <f t="shared" si="3"/>
        <v>-0.45761889369995806</v>
      </c>
      <c r="J66" s="47">
        <f t="array" ref="J66">SUMPRODUCT(('Horarios Personal'!$A$5:$A$555=$A66)*IFERROR('Horarios Personal'!$L$5:$L$555*1,0))</f>
        <v>0</v>
      </c>
      <c r="K66" s="70">
        <f t="shared" si="4"/>
        <v>0</v>
      </c>
      <c r="L66" s="58" t="str">
        <f t="array" ref="L66">IFERROR(INDEX('Eventos y Previsión'!$C$4:$C$24,SUMPRODUCT((LOWER('Eventos y Previsión'!$A$4:$A$24)=LOWER(TEXT($A66,"mmmm")))*(ISNUMBER(SEARCH(TEXT(DAY($A66),"00")&amp;"/"&amp;TEXT(MONTH($A66),"00"),'Eventos y Previsión'!$B$4:$B$24)))*ROW('Eventos y Previsión'!$A$4:$A$24))-ROW('Eventos y Previsión'!$A$3)),"")</f>
        <v/>
      </c>
    </row>
    <row r="67" spans="1:12" ht="15.75" customHeight="1">
      <c r="A67" s="62">
        <v>46127</v>
      </c>
      <c r="B67" s="46" t="str">
        <f t="shared" si="0"/>
        <v>mié</v>
      </c>
      <c r="C67" s="47">
        <f>SUMIFS('Detalle Turnos'!$E:$E,'Detalle Turnos'!$A:$A,$A67,'Detalle Turnos'!$B:$B,"Mañana")</f>
        <v>0</v>
      </c>
      <c r="D67" s="47">
        <f>SUMIFS('Detalle Turnos'!$E:$E,'Detalle Turnos'!$A:$A,$A67,'Detalle Turnos'!$B:$B,"Mediodia")</f>
        <v>445.03600000000006</v>
      </c>
      <c r="E67" s="47">
        <f>SUMIFS('Detalle Turnos'!$E:$E,'Detalle Turnos'!$A:$A,$A67,'Detalle Turnos'!$B:$B,"Noche")</f>
        <v>360.44100000000003</v>
      </c>
      <c r="F67" s="48">
        <f t="shared" si="1"/>
        <v>805.47700000000009</v>
      </c>
      <c r="G67" s="47">
        <f>IFERROR(IF(ISNUMBER(MATCH($A67,'Eventos y Previsión'!$B$4:$B$24,0)),INDEX('Eventos y Previsión'!$F$4:$F$24,MATCH($A67,'Eventos y Previsión'!$B$4:$B$24,0)),AVERAGEIFS('Facturación 2025'!$F$4:$F$303,'Facturación 2025'!$B$4:$B$303,$B67)),0)</f>
        <v>1039.9519512195122</v>
      </c>
      <c r="H67" s="53">
        <f t="shared" si="2"/>
        <v>-234.47495121951215</v>
      </c>
      <c r="I67" s="49">
        <f t="shared" si="3"/>
        <v>-0.22546710061416997</v>
      </c>
      <c r="J67" s="47">
        <f t="array" ref="J67">SUMPRODUCT(('Horarios Personal'!$A$5:$A$555=$A67)*IFERROR('Horarios Personal'!$L$5:$L$555*1,0))</f>
        <v>0</v>
      </c>
      <c r="K67" s="70">
        <f t="shared" si="4"/>
        <v>0</v>
      </c>
      <c r="L67" s="58" t="str">
        <f t="array" ref="L67">IFERROR(INDEX('Eventos y Previsión'!$C$4:$C$24,SUMPRODUCT((LOWER('Eventos y Previsión'!$A$4:$A$24)=LOWER(TEXT($A67,"mmmm")))*(ISNUMBER(SEARCH(TEXT(DAY($A67),"00")&amp;"/"&amp;TEXT(MONTH($A67),"00"),'Eventos y Previsión'!$B$4:$B$24)))*ROW('Eventos y Previsión'!$A$4:$A$24))-ROW('Eventos y Previsión'!$A$3)),"")</f>
        <v/>
      </c>
    </row>
    <row r="68" spans="1:12" ht="15.75" customHeight="1">
      <c r="A68" s="62">
        <v>46128</v>
      </c>
      <c r="B68" s="46" t="str">
        <f t="shared" ref="B68:B131" si="8">TEXT($A68,"ddd")</f>
        <v>jue</v>
      </c>
      <c r="C68" s="47">
        <f>SUMIFS('Detalle Turnos'!$E:$E,'Detalle Turnos'!$A:$A,$A68,'Detalle Turnos'!$B:$B,"Mañana")</f>
        <v>0</v>
      </c>
      <c r="D68" s="47">
        <f>SUMIFS('Detalle Turnos'!$E:$E,'Detalle Turnos'!$A:$A,$A68,'Detalle Turnos'!$B:$B,"Mediodia")</f>
        <v>466.65499999999997</v>
      </c>
      <c r="E68" s="47">
        <f>SUMIFS('Detalle Turnos'!$E:$E,'Detalle Turnos'!$A:$A,$A68,'Detalle Turnos'!$B:$B,"Noche")</f>
        <v>467.64499999999998</v>
      </c>
      <c r="F68" s="48">
        <f t="shared" ref="F68:F131" si="9">SUM(C68:E68)</f>
        <v>934.3</v>
      </c>
      <c r="G68" s="47">
        <f>IFERROR(IF(ISNUMBER(MATCH($A68,'Eventos y Previsión'!$B$4:$B$24,0)),INDEX('Eventos y Previsión'!$F$4:$F$24,MATCH($A68,'Eventos y Previsión'!$B$4:$B$24,0)),AVERAGEIFS('Facturación 2025'!$F$4:$F$303,'Facturación 2025'!$B$4:$B$303,$B68)),0)</f>
        <v>1100.2225000000003</v>
      </c>
      <c r="H68" s="53">
        <f t="shared" ref="H68:H131" si="10">F68-G68</f>
        <v>-165.92250000000035</v>
      </c>
      <c r="I68" s="49">
        <f t="shared" ref="I68:I131" si="11">IFERROR(H68/G68,0)</f>
        <v>-0.15080813199148382</v>
      </c>
      <c r="J68" s="47">
        <f t="array" ref="J68">SUMPRODUCT(('Horarios Personal'!$A$5:$A$555=$A68)*IFERROR('Horarios Personal'!$L$5:$L$555*1,0))</f>
        <v>0</v>
      </c>
      <c r="K68" s="70">
        <f t="shared" ref="K68:K131" si="12">IFERROR(J68/F68,"")</f>
        <v>0</v>
      </c>
      <c r="L68" s="58" t="str">
        <f t="array" ref="L68">IFERROR(INDEX('Eventos y Previsión'!$C$4:$C$24,SUMPRODUCT((LOWER('Eventos y Previsión'!$A$4:$A$24)=LOWER(TEXT($A68,"mmmm")))*(ISNUMBER(SEARCH(TEXT(DAY($A68),"00")&amp;"/"&amp;TEXT(MONTH($A68),"00"),'Eventos y Previsión'!$B$4:$B$24)))*ROW('Eventos y Previsión'!$A$4:$A$24))-ROW('Eventos y Previsión'!$A$3)),"")</f>
        <v/>
      </c>
    </row>
    <row r="69" spans="1:12" ht="15.75" customHeight="1">
      <c r="A69" s="62">
        <v>46129</v>
      </c>
      <c r="B69" s="46" t="str">
        <f t="shared" si="8"/>
        <v>vie</v>
      </c>
      <c r="C69" s="47">
        <f>SUMIFS('Detalle Turnos'!$E:$E,'Detalle Turnos'!$A:$A,$A69,'Detalle Turnos'!$B:$B,"Mañana")</f>
        <v>0</v>
      </c>
      <c r="D69" s="47">
        <f>SUMIFS('Detalle Turnos'!$E:$E,'Detalle Turnos'!$A:$A,$A69,'Detalle Turnos'!$B:$B,"Mediodia")</f>
        <v>368.46799999999996</v>
      </c>
      <c r="E69" s="47">
        <f>SUMIFS('Detalle Turnos'!$E:$E,'Detalle Turnos'!$A:$A,$A69,'Detalle Turnos'!$B:$B,"Noche")</f>
        <v>998.00900000000001</v>
      </c>
      <c r="F69" s="48">
        <f t="shared" si="9"/>
        <v>1366.4769999999999</v>
      </c>
      <c r="G69" s="47">
        <f>IFERROR(IF(ISNUMBER(MATCH($A69,'Eventos y Previsión'!$B$4:$B$24,0)),INDEX('Eventos y Previsión'!$F$4:$F$24,MATCH($A69,'Eventos y Previsión'!$B$4:$B$24,0)),AVERAGEIFS('Facturación 2025'!$F$4:$F$303,'Facturación 2025'!$B$4:$B$303,$B69)),0)</f>
        <v>1865.4067441860466</v>
      </c>
      <c r="H69" s="53">
        <f t="shared" si="10"/>
        <v>-498.92974418604672</v>
      </c>
      <c r="I69" s="49">
        <f t="shared" si="11"/>
        <v>-0.26746431883613148</v>
      </c>
      <c r="J69" s="47">
        <f t="array" ref="J69">SUMPRODUCT(('Horarios Personal'!$A$5:$A$555=$A69)*IFERROR('Horarios Personal'!$L$5:$L$555*1,0))</f>
        <v>0</v>
      </c>
      <c r="K69" s="70">
        <f t="shared" si="12"/>
        <v>0</v>
      </c>
      <c r="L69" s="58" t="str">
        <f t="array" ref="L69">IFERROR(INDEX('Eventos y Previsión'!$C$4:$C$24,SUMPRODUCT((LOWER('Eventos y Previsión'!$A$4:$A$24)=LOWER(TEXT($A69,"mmmm")))*(ISNUMBER(SEARCH(TEXT(DAY($A69),"00")&amp;"/"&amp;TEXT(MONTH($A69),"00"),'Eventos y Previsión'!$B$4:$B$24)))*ROW('Eventos y Previsión'!$A$4:$A$24))-ROW('Eventos y Previsión'!$A$3)),"")</f>
        <v/>
      </c>
    </row>
    <row r="70" spans="1:12" ht="15.75" customHeight="1">
      <c r="A70" s="62">
        <v>46130</v>
      </c>
      <c r="B70" s="46" t="str">
        <f t="shared" si="8"/>
        <v>sáb</v>
      </c>
      <c r="C70" s="47">
        <f>SUMIFS('Detalle Turnos'!$E:$E,'Detalle Turnos'!$A:$A,$A70,'Detalle Turnos'!$B:$B,"Mañana")</f>
        <v>150.73599999999999</v>
      </c>
      <c r="D70" s="47">
        <f>SUMIFS('Detalle Turnos'!$E:$E,'Detalle Turnos'!$A:$A,$A70,'Detalle Turnos'!$B:$B,"Mediodia")</f>
        <v>891.69100000000003</v>
      </c>
      <c r="E70" s="47">
        <f>SUMIFS('Detalle Turnos'!$E:$E,'Detalle Turnos'!$A:$A,$A70,'Detalle Turnos'!$B:$B,"Noche")</f>
        <v>745.95899999999995</v>
      </c>
      <c r="F70" s="48">
        <f t="shared" si="9"/>
        <v>1788.386</v>
      </c>
      <c r="G70" s="47">
        <f>IFERROR(IF(ISNUMBER(MATCH($A70,'Eventos y Previsión'!$B$4:$B$24,0)),INDEX('Eventos y Previsión'!$F$4:$F$24,MATCH($A70,'Eventos y Previsión'!$B$4:$B$24,0)),AVERAGEIFS('Facturación 2025'!$F$4:$F$303,'Facturación 2025'!$B$4:$B$303,$B70)),0)</f>
        <v>2049.8245999999995</v>
      </c>
      <c r="H70" s="53">
        <f t="shared" si="10"/>
        <v>-261.4385999999995</v>
      </c>
      <c r="I70" s="49">
        <f t="shared" si="11"/>
        <v>-0.12754193700280481</v>
      </c>
      <c r="J70" s="47">
        <f t="array" ref="J70">SUMPRODUCT(('Horarios Personal'!$A$5:$A$555=$A70)*IFERROR('Horarios Personal'!$L$5:$L$555*1,0))</f>
        <v>0</v>
      </c>
      <c r="K70" s="70">
        <f t="shared" si="12"/>
        <v>0</v>
      </c>
      <c r="L70" s="58" t="str">
        <f t="array" ref="L70">IFERROR(INDEX('Eventos y Previsión'!$C$4:$C$24,SUMPRODUCT((LOWER('Eventos y Previsión'!$A$4:$A$24)=LOWER(TEXT($A70,"mmmm")))*(ISNUMBER(SEARCH(TEXT(DAY($A70),"00")&amp;"/"&amp;TEXT(MONTH($A70),"00"),'Eventos y Previsión'!$B$4:$B$24)))*ROW('Eventos y Previsión'!$A$4:$A$24))-ROW('Eventos y Previsión'!$A$3)),"")</f>
        <v/>
      </c>
    </row>
    <row r="71" spans="1:12" ht="15.75" customHeight="1">
      <c r="A71" s="62">
        <v>46131</v>
      </c>
      <c r="B71" s="46" t="str">
        <f t="shared" si="8"/>
        <v>dom</v>
      </c>
      <c r="C71" s="47">
        <f>SUMIFS('Detalle Turnos'!$E:$E,'Detalle Turnos'!$A:$A,$A71,'Detalle Turnos'!$B:$B,"Mañana")</f>
        <v>125.941</v>
      </c>
      <c r="D71" s="47">
        <f>SUMIFS('Detalle Turnos'!$E:$E,'Detalle Turnos'!$A:$A,$A71,'Detalle Turnos'!$B:$B,"Mediodia")</f>
        <v>1116.5550000000001</v>
      </c>
      <c r="E71" s="47">
        <f>SUMIFS('Detalle Turnos'!$E:$E,'Detalle Turnos'!$A:$A,$A71,'Detalle Turnos'!$B:$B,"Noche")</f>
        <v>363.52300000000002</v>
      </c>
      <c r="F71" s="48">
        <f t="shared" si="9"/>
        <v>1606.0190000000002</v>
      </c>
      <c r="G71" s="47">
        <f>IFERROR(IF(ISNUMBER(MATCH($A71,'Eventos y Previsión'!$B$4:$B$24,0)),INDEX('Eventos y Previsión'!$F$4:$F$24,MATCH($A71,'Eventos y Previsión'!$B$4:$B$24,0)),AVERAGEIFS('Facturación 2025'!$F$4:$F$303,'Facturación 2025'!$B$4:$B$303,$B71)),0)</f>
        <v>1690.062558139535</v>
      </c>
      <c r="H71" s="53">
        <f t="shared" si="10"/>
        <v>-84.043558139534753</v>
      </c>
      <c r="I71" s="49">
        <f t="shared" si="11"/>
        <v>-4.9728075292107585E-2</v>
      </c>
      <c r="J71" s="47">
        <f t="array" ref="J71">SUMPRODUCT(('Horarios Personal'!$A$5:$A$555=$A71)*IFERROR('Horarios Personal'!$L$5:$L$555*1,0))</f>
        <v>0</v>
      </c>
      <c r="K71" s="70">
        <f t="shared" si="12"/>
        <v>0</v>
      </c>
      <c r="L71" s="58" t="str">
        <f t="array" ref="L71">IFERROR(INDEX('Eventos y Previsión'!$C$4:$C$24,SUMPRODUCT((LOWER('Eventos y Previsión'!$A$4:$A$24)=LOWER(TEXT($A71,"mmmm")))*(ISNUMBER(SEARCH(TEXT(DAY($A71),"00")&amp;"/"&amp;TEXT(MONTH($A71),"00"),'Eventos y Previsión'!$B$4:$B$24)))*ROW('Eventos y Previsión'!$A$4:$A$24))-ROW('Eventos y Previsión'!$A$3)),"")</f>
        <v/>
      </c>
    </row>
    <row r="72" spans="1:12" ht="15.75" customHeight="1">
      <c r="A72" s="62">
        <v>46134</v>
      </c>
      <c r="B72" s="46" t="str">
        <f t="shared" si="8"/>
        <v>mié</v>
      </c>
      <c r="C72" s="47">
        <f>SUMIFS('Detalle Turnos'!$E:$E,'Detalle Turnos'!$A:$A,$A72,'Detalle Turnos'!$B:$B,"Mañana")</f>
        <v>0</v>
      </c>
      <c r="D72" s="47">
        <f>SUMIFS('Detalle Turnos'!$E:$E,'Detalle Turnos'!$A:$A,$A72,'Detalle Turnos'!$B:$B,"Mediodia")</f>
        <v>443.18</v>
      </c>
      <c r="E72" s="47">
        <f>SUMIFS('Detalle Turnos'!$E:$E,'Detalle Turnos'!$A:$A,$A72,'Detalle Turnos'!$B:$B,"Noche")</f>
        <v>247.3</v>
      </c>
      <c r="F72" s="48">
        <f t="shared" si="9"/>
        <v>690.48</v>
      </c>
      <c r="G72" s="47">
        <f>IFERROR(IF(ISNUMBER(MATCH($A72,'Eventos y Previsión'!$B$4:$B$24,0)),INDEX('Eventos y Previsión'!$F$4:$F$24,MATCH($A72,'Eventos y Previsión'!$B$4:$B$24,0)),AVERAGEIFS('Facturación 2025'!$F$4:$F$303,'Facturación 2025'!$B$4:$B$303,$B72)),0)</f>
        <v>1039.9519512195122</v>
      </c>
      <c r="H72" s="53">
        <f t="shared" si="10"/>
        <v>-349.47195121951222</v>
      </c>
      <c r="I72" s="49">
        <f t="shared" si="11"/>
        <v>-0.33604624791530002</v>
      </c>
      <c r="J72" s="47">
        <f t="array" ref="J72">SUMPRODUCT(('Horarios Personal'!$A$5:$A$555=$A72)*IFERROR('Horarios Personal'!$L$5:$L$555*1,0))</f>
        <v>0</v>
      </c>
      <c r="K72" s="70">
        <f t="shared" si="12"/>
        <v>0</v>
      </c>
      <c r="L72" s="58" t="str">
        <f t="array" ref="L72">IFERROR(INDEX('Eventos y Previsión'!$C$4:$C$24,SUMPRODUCT((LOWER('Eventos y Previsión'!$A$4:$A$24)=LOWER(TEXT($A72,"mmmm")))*(ISNUMBER(SEARCH(TEXT(DAY($A72),"00")&amp;"/"&amp;TEXT(MONTH($A72),"00"),'Eventos y Previsión'!$B$4:$B$24)))*ROW('Eventos y Previsión'!$A$4:$A$24))-ROW('Eventos y Previsión'!$A$3)),"")</f>
        <v/>
      </c>
    </row>
    <row r="73" spans="1:12" ht="15.75" customHeight="1">
      <c r="A73" s="62">
        <v>46135</v>
      </c>
      <c r="B73" s="46" t="str">
        <f t="shared" si="8"/>
        <v>jue</v>
      </c>
      <c r="C73" s="47">
        <f>SUMIFS('Detalle Turnos'!$E:$E,'Detalle Turnos'!$A:$A,$A73,'Detalle Turnos'!$B:$B,"Mañana")</f>
        <v>140.22</v>
      </c>
      <c r="D73" s="47">
        <f>SUMIFS('Detalle Turnos'!$E:$E,'Detalle Turnos'!$A:$A,$A73,'Detalle Turnos'!$B:$B,"Mediodia")</f>
        <v>1221.47</v>
      </c>
      <c r="E73" s="47">
        <f>SUMIFS('Detalle Turnos'!$E:$E,'Detalle Turnos'!$A:$A,$A73,'Detalle Turnos'!$B:$B,"Noche")</f>
        <v>1043.77</v>
      </c>
      <c r="F73" s="48">
        <f t="shared" si="9"/>
        <v>2405.46</v>
      </c>
      <c r="G73" s="47">
        <f>IFERROR(IF(ISNUMBER(MATCH($A73,'Eventos y Previsión'!$B$4:$B$24,0)),INDEX('Eventos y Previsión'!$F$4:$F$24,MATCH($A73,'Eventos y Previsión'!$B$4:$B$24,0)),AVERAGEIFS('Facturación 2025'!$F$4:$F$303,'Facturación 2025'!$B$4:$B$303,$B73)),0)</f>
        <v>2400</v>
      </c>
      <c r="H73" s="53">
        <f t="shared" si="10"/>
        <v>5.4600000000000364</v>
      </c>
      <c r="I73" s="49">
        <f t="shared" si="11"/>
        <v>2.2750000000000153E-3</v>
      </c>
      <c r="J73" s="47">
        <f t="array" ref="J73">SUMPRODUCT(('Horarios Personal'!$A$5:$A$555=$A73)*IFERROR('Horarios Personal'!$L$5:$L$555*1,0))</f>
        <v>0</v>
      </c>
      <c r="K73" s="70">
        <f t="shared" si="12"/>
        <v>0</v>
      </c>
      <c r="L73" s="58" t="s">
        <v>500</v>
      </c>
    </row>
    <row r="74" spans="1:12" ht="15.75" customHeight="1">
      <c r="A74" s="62">
        <v>46136</v>
      </c>
      <c r="B74" s="46" t="str">
        <f t="shared" si="8"/>
        <v>vie</v>
      </c>
      <c r="C74" s="47">
        <f>SUMIFS('Detalle Turnos'!$E:$E,'Detalle Turnos'!$A:$A,$A74,'Detalle Turnos'!$B:$B,"Mañana")</f>
        <v>0</v>
      </c>
      <c r="D74" s="47">
        <f>SUMIFS('Detalle Turnos'!$E:$E,'Detalle Turnos'!$A:$A,$A74,'Detalle Turnos'!$B:$B,"Mediodia")</f>
        <v>263.47000000000003</v>
      </c>
      <c r="E74" s="47">
        <f>SUMIFS('Detalle Turnos'!$E:$E,'Detalle Turnos'!$A:$A,$A74,'Detalle Turnos'!$B:$B,"Noche")</f>
        <v>1057.03</v>
      </c>
      <c r="F74" s="48">
        <f t="shared" si="9"/>
        <v>1320.5</v>
      </c>
      <c r="G74" s="47">
        <f>IFERROR(IF(ISNUMBER(MATCH($A74,'Eventos y Previsión'!$B$4:$B$24,0)),INDEX('Eventos y Previsión'!$F$4:$F$24,MATCH($A74,'Eventos y Previsión'!$B$4:$B$24,0)),AVERAGEIFS('Facturación 2025'!$F$4:$F$303,'Facturación 2025'!$B$4:$B$303,$B74)),0)</f>
        <v>1865.4067441860466</v>
      </c>
      <c r="H74" s="53">
        <f t="shared" si="10"/>
        <v>-544.90674418604658</v>
      </c>
      <c r="I74" s="49">
        <f t="shared" si="11"/>
        <v>-0.29211149036764728</v>
      </c>
      <c r="J74" s="47">
        <f t="array" ref="J74">SUMPRODUCT(('Horarios Personal'!$A$5:$A$555=$A74)*IFERROR('Horarios Personal'!$L$5:$L$555*1,0))</f>
        <v>0</v>
      </c>
      <c r="K74" s="70">
        <f t="shared" si="12"/>
        <v>0</v>
      </c>
      <c r="L74" s="58" t="str">
        <f t="array" ref="L74">IFERROR(INDEX('Eventos y Previsión'!$C$4:$C$24,SUMPRODUCT((LOWER('Eventos y Previsión'!$A$4:$A$24)=LOWER(TEXT($A74,"mmmm")))*(ISNUMBER(SEARCH(TEXT(DAY($A74),"00")&amp;"/"&amp;TEXT(MONTH($A74),"00"),'Eventos y Previsión'!$B$4:$B$24)))*ROW('Eventos y Previsión'!$A$4:$A$24))-ROW('Eventos y Previsión'!$A$3)),"")</f>
        <v/>
      </c>
    </row>
    <row r="75" spans="1:12" ht="15.75" customHeight="1">
      <c r="A75" s="62">
        <v>46137</v>
      </c>
      <c r="B75" s="46" t="str">
        <f t="shared" si="8"/>
        <v>sáb</v>
      </c>
      <c r="C75" s="47">
        <f>SUMIFS('Detalle Turnos'!$E:$E,'Detalle Turnos'!$A:$A,$A75,'Detalle Turnos'!$B:$B,"Mañana")</f>
        <v>164.06000000000003</v>
      </c>
      <c r="D75" s="47">
        <f>SUMIFS('Detalle Turnos'!$E:$E,'Detalle Turnos'!$A:$A,$A75,'Detalle Turnos'!$B:$B,"Mediodia")</f>
        <v>937.27</v>
      </c>
      <c r="E75" s="47">
        <f>SUMIFS('Detalle Turnos'!$E:$E,'Detalle Turnos'!$A:$A,$A75,'Detalle Turnos'!$B:$B,"Noche")</f>
        <v>740.77</v>
      </c>
      <c r="F75" s="48">
        <f t="shared" si="9"/>
        <v>1842.1</v>
      </c>
      <c r="G75" s="47">
        <f>IFERROR(IF(ISNUMBER(MATCH($A75,'Eventos y Previsión'!$B$4:$B$24,0)),INDEX('Eventos y Previsión'!$F$4:$F$24,MATCH($A75,'Eventos y Previsión'!$B$4:$B$24,0)),AVERAGEIFS('Facturación 2025'!$F$4:$F$303,'Facturación 2025'!$B$4:$B$303,$B75)),0)</f>
        <v>2200</v>
      </c>
      <c r="H75" s="53">
        <f t="shared" si="10"/>
        <v>-357.90000000000009</v>
      </c>
      <c r="I75" s="49">
        <f t="shared" si="11"/>
        <v>-0.16268181818181823</v>
      </c>
      <c r="J75" s="47">
        <f t="array" ref="J75">SUMPRODUCT(('Horarios Personal'!$A$5:$A$555=$A75)*IFERROR('Horarios Personal'!$L$5:$L$555*1,0))</f>
        <v>0</v>
      </c>
      <c r="K75" s="70">
        <f t="shared" si="12"/>
        <v>0</v>
      </c>
      <c r="L75" s="58" t="str">
        <f t="array" ref="L75">IFERROR(INDEX('Eventos y Previsión'!$C$4:$C$24,SUMPRODUCT((LOWER('Eventos y Previsión'!$A$4:$A$24)=LOWER(TEXT($A75,"mmmm")))*(ISNUMBER(SEARCH(TEXT(DAY($A75),"00")&amp;"/"&amp;TEXT(MONTH($A75),"00"),'Eventos y Previsión'!$B$4:$B$24)))*ROW('Eventos y Previsión'!$A$4:$A$24))-ROW('Eventos y Previsión'!$A$3)),"")</f>
        <v/>
      </c>
    </row>
    <row r="76" spans="1:12" ht="15.75" customHeight="1">
      <c r="A76" s="62">
        <v>46138</v>
      </c>
      <c r="B76" s="46" t="str">
        <f t="shared" si="8"/>
        <v>dom</v>
      </c>
      <c r="C76" s="47">
        <f>SUMIFS('Detalle Turnos'!$E:$E,'Detalle Turnos'!$A:$A,$A76,'Detalle Turnos'!$B:$B,"Mañana")</f>
        <v>85.86</v>
      </c>
      <c r="D76" s="47">
        <f>SUMIFS('Detalle Turnos'!$E:$E,'Detalle Turnos'!$A:$A,$A76,'Detalle Turnos'!$B:$B,"Mediodia")</f>
        <v>723.82</v>
      </c>
      <c r="E76" s="47">
        <f>SUMIFS('Detalle Turnos'!$E:$E,'Detalle Turnos'!$A:$A,$A76,'Detalle Turnos'!$B:$B,"Noche")</f>
        <v>246.43</v>
      </c>
      <c r="F76" s="48">
        <f t="shared" si="9"/>
        <v>1056.1100000000001</v>
      </c>
      <c r="G76" s="47">
        <f>IFERROR(IF(ISNUMBER(MATCH($A76,'Eventos y Previsión'!$B$4:$B$24,0)),INDEX('Eventos y Previsión'!$F$4:$F$24,MATCH($A76,'Eventos y Previsión'!$B$4:$B$24,0)),AVERAGEIFS('Facturación 2025'!$F$4:$F$303,'Facturación 2025'!$B$4:$B$303,$B76)),0)</f>
        <v>1690.062558139535</v>
      </c>
      <c r="H76" s="53">
        <f t="shared" si="10"/>
        <v>-633.95255813953486</v>
      </c>
      <c r="I76" s="49">
        <f t="shared" si="11"/>
        <v>-0.37510597172060089</v>
      </c>
      <c r="J76" s="47">
        <f t="array" ref="J76">SUMPRODUCT(('Horarios Personal'!$A$5:$A$555=$A76)*IFERROR('Horarios Personal'!$L$5:$L$555*1,0))</f>
        <v>0</v>
      </c>
      <c r="K76" s="70">
        <f t="shared" si="12"/>
        <v>0</v>
      </c>
      <c r="L76" s="58" t="str">
        <f t="array" ref="L76">IFERROR(INDEX('Eventos y Previsión'!$C$4:$C$24,SUMPRODUCT((LOWER('Eventos y Previsión'!$A$4:$A$24)=LOWER(TEXT($A76,"mmmm")))*(ISNUMBER(SEARCH(TEXT(DAY($A76),"00")&amp;"/"&amp;TEXT(MONTH($A76),"00"),'Eventos y Previsión'!$B$4:$B$24)))*ROW('Eventos y Previsión'!$A$4:$A$24))-ROW('Eventos y Previsión'!$A$3)),"")</f>
        <v>Joan Pera — Casino</v>
      </c>
    </row>
    <row r="77" spans="1:12" ht="15.75" customHeight="1">
      <c r="A77" s="62">
        <v>46141</v>
      </c>
      <c r="B77" s="46" t="str">
        <f t="shared" si="8"/>
        <v>mié</v>
      </c>
      <c r="C77" s="47">
        <f>SUMIFS('Detalle Turnos'!$E:$E,'Detalle Turnos'!$A:$A,$A77,'Detalle Turnos'!$B:$B,"Mañana")</f>
        <v>0</v>
      </c>
      <c r="D77" s="47">
        <f>SUMIFS('Detalle Turnos'!$E:$E,'Detalle Turnos'!$A:$A,$A77,'Detalle Turnos'!$B:$B,"Mediodia")</f>
        <v>888.66000000000008</v>
      </c>
      <c r="E77" s="47">
        <f>SUMIFS('Detalle Turnos'!$E:$E,'Detalle Turnos'!$A:$A,$A77,'Detalle Turnos'!$B:$B,"Noche")</f>
        <v>263.55</v>
      </c>
      <c r="F77" s="48">
        <f t="shared" si="9"/>
        <v>1152.21</v>
      </c>
      <c r="G77" s="47">
        <f>IFERROR(IF(ISNUMBER(MATCH($A77,'Eventos y Previsión'!$B$4:$B$24,0)),INDEX('Eventos y Previsión'!$F$4:$F$24,MATCH($A77,'Eventos y Previsión'!$B$4:$B$24,0)),AVERAGEIFS('Facturación 2025'!$F$4:$F$303,'Facturación 2025'!$B$4:$B$303,$B77)),0)</f>
        <v>1039.9519512195122</v>
      </c>
      <c r="H77" s="53">
        <f t="shared" si="10"/>
        <v>112.2580487804878</v>
      </c>
      <c r="I77" s="49">
        <f t="shared" si="11"/>
        <v>0.10794541867905247</v>
      </c>
      <c r="J77" s="47">
        <f t="array" ref="J77">SUMPRODUCT(('Horarios Personal'!$A$5:$A$555=$A77)*IFERROR('Horarios Personal'!$L$5:$L$555*1,0))</f>
        <v>0</v>
      </c>
      <c r="K77" s="70">
        <f t="shared" si="12"/>
        <v>0</v>
      </c>
      <c r="L77" s="58" t="str">
        <f t="array" ref="L77">IFERROR(INDEX('Eventos y Previsión'!$C$4:$C$24,SUMPRODUCT((LOWER('Eventos y Previsión'!$A$4:$A$24)=LOWER(TEXT($A77,"mmmm")))*(ISNUMBER(SEARCH(TEXT(DAY($A77),"00")&amp;"/"&amp;TEXT(MONTH($A77),"00"),'Eventos y Previsión'!$B$4:$B$24)))*ROW('Eventos y Previsión'!$A$4:$A$24))-ROW('Eventos y Previsión'!$A$3)),"")</f>
        <v/>
      </c>
    </row>
    <row r="78" spans="1:12" ht="15.75" customHeight="1">
      <c r="A78" s="62">
        <v>46142</v>
      </c>
      <c r="B78" s="46" t="str">
        <f t="shared" si="8"/>
        <v>jue</v>
      </c>
      <c r="C78" s="47">
        <f>SUMIFS('Detalle Turnos'!$E:$E,'Detalle Turnos'!$A:$A,$A78,'Detalle Turnos'!$B:$B,"Mañana")</f>
        <v>0</v>
      </c>
      <c r="D78" s="47">
        <f>SUMIFS('Detalle Turnos'!$E:$E,'Detalle Turnos'!$A:$A,$A78,'Detalle Turnos'!$B:$B,"Mediodia")</f>
        <v>954.0200000000001</v>
      </c>
      <c r="E78" s="47">
        <f>SUMIFS('Detalle Turnos'!$E:$E,'Detalle Turnos'!$A:$A,$A78,'Detalle Turnos'!$B:$B,"Noche")</f>
        <v>1075.3899999999999</v>
      </c>
      <c r="F78" s="48">
        <f t="shared" si="9"/>
        <v>2029.4099999999999</v>
      </c>
      <c r="G78" s="47">
        <f>IFERROR(IF(ISNUMBER(MATCH($A78,'Eventos y Previsión'!$B$4:$B$24,0)),INDEX('Eventos y Previsión'!$F$4:$F$24,MATCH($A78,'Eventos y Previsión'!$B$4:$B$24,0)),AVERAGEIFS('Facturación 2025'!$F$4:$F$303,'Facturación 2025'!$B$4:$B$303,$B78)),0)</f>
        <v>1100.2225000000003</v>
      </c>
      <c r="H78" s="53">
        <f t="shared" si="10"/>
        <v>929.18749999999955</v>
      </c>
      <c r="I78" s="49">
        <f t="shared" si="11"/>
        <v>0.8445450806541398</v>
      </c>
      <c r="J78" s="47">
        <f t="array" ref="J78">SUMPRODUCT(('Horarios Personal'!$A$5:$A$555=$A78)*IFERROR('Horarios Personal'!$L$5:$L$555*1,0))</f>
        <v>0</v>
      </c>
      <c r="K78" s="70">
        <f t="shared" si="12"/>
        <v>0</v>
      </c>
      <c r="L78" s="58" t="str">
        <f t="array" ref="L78">IFERROR(INDEX('Eventos y Previsión'!$C$4:$C$24,SUMPRODUCT((LOWER('Eventos y Previsión'!$A$4:$A$24)=LOWER(TEXT($A78,"mmmm")))*(ISNUMBER(SEARCH(TEXT(DAY($A78),"00")&amp;"/"&amp;TEXT(MONTH($A78),"00"),'Eventos y Previsión'!$B$4:$B$24)))*ROW('Eventos y Previsión'!$A$4:$A$24))-ROW('Eventos y Previsión'!$A$3)),"")</f>
        <v/>
      </c>
    </row>
    <row r="79" spans="1:12" ht="15.75" customHeight="1">
      <c r="A79" s="62">
        <v>46143</v>
      </c>
      <c r="B79" s="46" t="str">
        <f t="shared" si="8"/>
        <v>vie</v>
      </c>
      <c r="C79" s="47">
        <f>SUMIFS('Detalle Turnos'!$E:$E,'Detalle Turnos'!$A:$A,$A79,'Detalle Turnos'!$B:$B,"Mañana")</f>
        <v>43.25</v>
      </c>
      <c r="D79" s="47">
        <f>SUMIFS('Detalle Turnos'!$E:$E,'Detalle Turnos'!$A:$A,$A79,'Detalle Turnos'!$B:$B,"Mediodia")</f>
        <v>20.75</v>
      </c>
      <c r="E79" s="47">
        <f>SUMIFS('Detalle Turnos'!$E:$E,'Detalle Turnos'!$A:$A,$A79,'Detalle Turnos'!$B:$B,"Noche")</f>
        <v>11.3</v>
      </c>
      <c r="F79" s="48">
        <f t="shared" si="9"/>
        <v>75.3</v>
      </c>
      <c r="G79" s="47">
        <f>IFERROR(IF(ISNUMBER(MATCH($A79,'Eventos y Previsión'!$B$4:$B$24,0)),INDEX('Eventos y Previsión'!$F$4:$F$24,MATCH($A79,'Eventos y Previsión'!$B$4:$B$24,0)),AVERAGEIFS('Facturación 2025'!$F$4:$F$303,'Facturación 2025'!$B$4:$B$303,$B79)),0)</f>
        <v>2500</v>
      </c>
      <c r="H79" s="53">
        <f t="shared" si="10"/>
        <v>-2424.6999999999998</v>
      </c>
      <c r="I79" s="49">
        <f t="shared" si="11"/>
        <v>-0.96987999999999996</v>
      </c>
      <c r="J79" s="47">
        <f t="array" ref="J79">SUMPRODUCT(('Horarios Personal'!$A$5:$A$555=$A79)*IFERROR('Horarios Personal'!$L$5:$L$555*1,0))</f>
        <v>0</v>
      </c>
      <c r="K79" s="70">
        <f t="shared" si="12"/>
        <v>0</v>
      </c>
      <c r="L79" s="58" t="str">
        <f t="array" ref="L79">IFERROR(INDEX('Eventos y Previsión'!$C$4:$C$24,SUMPRODUCT((LOWER('Eventos y Previsión'!$A$4:$A$24)=LOWER(TEXT($A79,"mmmm")))*(ISNUMBER(SEARCH(TEXT(DAY($A79),"00")&amp;"/"&amp;TEXT(MONTH($A79),"00"),'Eventos y Previsión'!$B$4:$B$24)))*ROW('Eventos y Previsión'!$A$4:$A$24))-ROW('Eventos y Previsión'!$A$3)),"")</f>
        <v/>
      </c>
    </row>
    <row r="80" spans="1:12" ht="15.75" customHeight="1">
      <c r="A80" s="62">
        <v>46144</v>
      </c>
      <c r="B80" s="46" t="str">
        <f t="shared" si="8"/>
        <v>sáb</v>
      </c>
      <c r="C80" s="47">
        <f>SUMIFS('Detalle Turnos'!$E:$E,'Detalle Turnos'!$A:$A,$A80,'Detalle Turnos'!$B:$B,"Mañana")</f>
        <v>0</v>
      </c>
      <c r="D80" s="47">
        <f>SUMIFS('Detalle Turnos'!$E:$E,'Detalle Turnos'!$A:$A,$A80,'Detalle Turnos'!$B:$B,"Mediodia")</f>
        <v>0</v>
      </c>
      <c r="E80" s="47">
        <f>SUMIFS('Detalle Turnos'!$E:$E,'Detalle Turnos'!$A:$A,$A80,'Detalle Turnos'!$B:$B,"Noche")</f>
        <v>0</v>
      </c>
      <c r="F80" s="48">
        <f t="shared" si="9"/>
        <v>0</v>
      </c>
      <c r="G80" s="47">
        <f>IFERROR(IF(ISNUMBER(MATCH($A80,'Eventos y Previsión'!$B$4:$B$24,0)),INDEX('Eventos y Previsión'!$F$4:$F$24,MATCH($A80,'Eventos y Previsión'!$B$4:$B$24,0)),AVERAGEIFS('Facturación 2025'!$F$4:$F$303,'Facturación 2025'!$B$4:$B$303,$B80)),0)</f>
        <v>2049.8245999999995</v>
      </c>
      <c r="H80" s="53">
        <f t="shared" si="10"/>
        <v>-2049.8245999999995</v>
      </c>
      <c r="I80" s="49">
        <f t="shared" si="11"/>
        <v>-1</v>
      </c>
      <c r="J80" s="47">
        <f t="array" ref="J80">SUMPRODUCT(('Horarios Personal'!$A$5:$A$555=$A80)*IFERROR('Horarios Personal'!$L$5:$L$555*1,0))</f>
        <v>0</v>
      </c>
      <c r="K80" s="70" t="str">
        <f t="shared" si="12"/>
        <v/>
      </c>
      <c r="L80" s="58" t="str">
        <f t="array" ref="L80">IFERROR(INDEX('Eventos y Previsión'!$C$4:$C$24,SUMPRODUCT((LOWER('Eventos y Previsión'!$A$4:$A$24)=LOWER(TEXT($A80,"mmmm")))*(ISNUMBER(SEARCH(TEXT(DAY($A80),"00")&amp;"/"&amp;TEXT(MONTH($A80),"00"),'Eventos y Previsión'!$B$4:$B$24)))*ROW('Eventos y Previsión'!$A$4:$A$24))-ROW('Eventos y Previsión'!$A$3)),"")</f>
        <v/>
      </c>
    </row>
    <row r="81" spans="1:12" ht="15.75" customHeight="1">
      <c r="A81" s="62">
        <v>46145</v>
      </c>
      <c r="B81" s="46" t="str">
        <f t="shared" si="8"/>
        <v>dom</v>
      </c>
      <c r="C81" s="47">
        <f>SUMIFS('Detalle Turnos'!$E:$E,'Detalle Turnos'!$A:$A,$A81,'Detalle Turnos'!$B:$B,"Mañana")</f>
        <v>0</v>
      </c>
      <c r="D81" s="47">
        <f>SUMIFS('Detalle Turnos'!$E:$E,'Detalle Turnos'!$A:$A,$A81,'Detalle Turnos'!$B:$B,"Mediodia")</f>
        <v>0</v>
      </c>
      <c r="E81" s="47">
        <f>SUMIFS('Detalle Turnos'!$E:$E,'Detalle Turnos'!$A:$A,$A81,'Detalle Turnos'!$B:$B,"Noche")</f>
        <v>0</v>
      </c>
      <c r="F81" s="48">
        <f t="shared" si="9"/>
        <v>0</v>
      </c>
      <c r="G81" s="47">
        <f>IFERROR(IF(ISNUMBER(MATCH($A81,'Eventos y Previsión'!$B$4:$B$24,0)),INDEX('Eventos y Previsión'!$F$4:$F$24,MATCH($A81,'Eventos y Previsión'!$B$4:$B$24,0)),AVERAGEIFS('Facturación 2025'!$F$4:$F$303,'Facturación 2025'!$B$4:$B$303,$B81)),0)</f>
        <v>2800</v>
      </c>
      <c r="H81" s="53">
        <f t="shared" si="10"/>
        <v>-2800</v>
      </c>
      <c r="I81" s="49">
        <f t="shared" si="11"/>
        <v>-1</v>
      </c>
      <c r="J81" s="47">
        <f t="array" ref="J81">SUMPRODUCT(('Horarios Personal'!$A$5:$A$555=$A81)*IFERROR('Horarios Personal'!$L$5:$L$555*1,0))</f>
        <v>0</v>
      </c>
      <c r="K81" s="70" t="str">
        <f t="shared" si="12"/>
        <v/>
      </c>
      <c r="L81" s="58" t="str">
        <f t="array" ref="L81">IFERROR(INDEX('Eventos y Previsión'!$C$4:$C$24,SUMPRODUCT((LOWER('Eventos y Previsión'!$A$4:$A$24)=LOWER(TEXT($A81,"mmmm")))*(ISNUMBER(SEARCH(TEXT(DAY($A81),"00")&amp;"/"&amp;TEXT(MONTH($A81),"00"),'Eventos y Previsión'!$B$4:$B$24)))*ROW('Eventos y Previsión'!$A$4:$A$24))-ROW('Eventos y Previsión'!$A$3)),"")</f>
        <v/>
      </c>
    </row>
    <row r="82" spans="1:12" ht="15.75" customHeight="1">
      <c r="A82" s="62">
        <v>46148</v>
      </c>
      <c r="B82" s="46" t="str">
        <f t="shared" si="8"/>
        <v>mié</v>
      </c>
      <c r="C82" s="47">
        <f>SUMIFS('Detalle Turnos'!$E:$E,'Detalle Turnos'!$A:$A,$A82,'Detalle Turnos'!$B:$B,"Mañana")</f>
        <v>0</v>
      </c>
      <c r="D82" s="47">
        <f>SUMIFS('Detalle Turnos'!$E:$E,'Detalle Turnos'!$A:$A,$A82,'Detalle Turnos'!$B:$B,"Mediodia")</f>
        <v>0</v>
      </c>
      <c r="E82" s="47">
        <f>SUMIFS('Detalle Turnos'!$E:$E,'Detalle Turnos'!$A:$A,$A82,'Detalle Turnos'!$B:$B,"Noche")</f>
        <v>0</v>
      </c>
      <c r="F82" s="48">
        <f t="shared" si="9"/>
        <v>0</v>
      </c>
      <c r="G82" s="47">
        <f>IFERROR(IF(ISNUMBER(MATCH($A82,'Eventos y Previsión'!$B$4:$B$24,0)),INDEX('Eventos y Previsión'!$F$4:$F$24,MATCH($A82,'Eventos y Previsión'!$B$4:$B$24,0)),AVERAGEIFS('Facturación 2025'!$F$4:$F$303,'Facturación 2025'!$B$4:$B$303,$B82)),0)</f>
        <v>1039.9519512195122</v>
      </c>
      <c r="H82" s="53">
        <f t="shared" si="10"/>
        <v>-1039.9519512195122</v>
      </c>
      <c r="I82" s="49">
        <f t="shared" si="11"/>
        <v>-1</v>
      </c>
      <c r="J82" s="47">
        <f t="array" ref="J82">SUMPRODUCT(('Horarios Personal'!$A$5:$A$555=$A82)*IFERROR('Horarios Personal'!$L$5:$L$555*1,0))</f>
        <v>0</v>
      </c>
      <c r="K82" s="70" t="str">
        <f t="shared" si="12"/>
        <v/>
      </c>
      <c r="L82" s="58" t="str">
        <f t="array" ref="L82">IFERROR(INDEX('Eventos y Previsión'!$C$4:$C$24,SUMPRODUCT((LOWER('Eventos y Previsión'!$A$4:$A$24)=LOWER(TEXT($A82,"mmmm")))*(ISNUMBER(SEARCH(TEXT(DAY($A82),"00")&amp;"/"&amp;TEXT(MONTH($A82),"00"),'Eventos y Previsión'!$B$4:$B$24)))*ROW('Eventos y Previsión'!$A$4:$A$24))-ROW('Eventos y Previsión'!$A$3)),"")</f>
        <v/>
      </c>
    </row>
    <row r="83" spans="1:12" ht="15.75" customHeight="1">
      <c r="A83" s="62">
        <v>46149</v>
      </c>
      <c r="B83" s="46" t="str">
        <f t="shared" si="8"/>
        <v>jue</v>
      </c>
      <c r="C83" s="47">
        <f>SUMIFS('Detalle Turnos'!$E:$E,'Detalle Turnos'!$A:$A,$A83,'Detalle Turnos'!$B:$B,"Mañana")</f>
        <v>0</v>
      </c>
      <c r="D83" s="47">
        <f>SUMIFS('Detalle Turnos'!$E:$E,'Detalle Turnos'!$A:$A,$A83,'Detalle Turnos'!$B:$B,"Mediodia")</f>
        <v>0</v>
      </c>
      <c r="E83" s="47">
        <f>SUMIFS('Detalle Turnos'!$E:$E,'Detalle Turnos'!$A:$A,$A83,'Detalle Turnos'!$B:$B,"Noche")</f>
        <v>0</v>
      </c>
      <c r="F83" s="48">
        <f t="shared" si="9"/>
        <v>0</v>
      </c>
      <c r="G83" s="47">
        <f>IFERROR(IF(ISNUMBER(MATCH($A83,'Eventos y Previsión'!$B$4:$B$24,0)),INDEX('Eventos y Previsión'!$F$4:$F$24,MATCH($A83,'Eventos y Previsión'!$B$4:$B$24,0)),AVERAGEIFS('Facturación 2025'!$F$4:$F$303,'Facturación 2025'!$B$4:$B$303,$B83)),0)</f>
        <v>1100.2225000000003</v>
      </c>
      <c r="H83" s="53">
        <f t="shared" si="10"/>
        <v>-1100.2225000000003</v>
      </c>
      <c r="I83" s="49">
        <f t="shared" si="11"/>
        <v>-1</v>
      </c>
      <c r="J83" s="47">
        <f t="array" ref="J83">SUMPRODUCT(('Horarios Personal'!$A$5:$A$555=$A83)*IFERROR('Horarios Personal'!$L$5:$L$555*1,0))</f>
        <v>0</v>
      </c>
      <c r="K83" s="70" t="str">
        <f t="shared" si="12"/>
        <v/>
      </c>
      <c r="L83" s="58" t="str">
        <f t="array" ref="L83">IFERROR(INDEX('Eventos y Previsión'!$C$4:$C$24,SUMPRODUCT((LOWER('Eventos y Previsión'!$A$4:$A$24)=LOWER(TEXT($A83,"mmmm")))*(ISNUMBER(SEARCH(TEXT(DAY($A83),"00")&amp;"/"&amp;TEXT(MONTH($A83),"00"),'Eventos y Previsión'!$B$4:$B$24)))*ROW('Eventos y Previsión'!$A$4:$A$24))-ROW('Eventos y Previsión'!$A$3)),"")</f>
        <v/>
      </c>
    </row>
    <row r="84" spans="1:12" ht="15.75" customHeight="1">
      <c r="A84" s="62">
        <v>46150</v>
      </c>
      <c r="B84" s="46" t="str">
        <f t="shared" si="8"/>
        <v>vie</v>
      </c>
      <c r="C84" s="47">
        <f>SUMIFS('Detalle Turnos'!$E:$E,'Detalle Turnos'!$A:$A,$A84,'Detalle Turnos'!$B:$B,"Mañana")</f>
        <v>0</v>
      </c>
      <c r="D84" s="47">
        <f>SUMIFS('Detalle Turnos'!$E:$E,'Detalle Turnos'!$A:$A,$A84,'Detalle Turnos'!$B:$B,"Mediodia")</f>
        <v>0</v>
      </c>
      <c r="E84" s="47">
        <f>SUMIFS('Detalle Turnos'!$E:$E,'Detalle Turnos'!$A:$A,$A84,'Detalle Turnos'!$B:$B,"Noche")</f>
        <v>0</v>
      </c>
      <c r="F84" s="48">
        <f t="shared" si="9"/>
        <v>0</v>
      </c>
      <c r="G84" s="47">
        <f>IFERROR(IF(ISNUMBER(MATCH($A84,'Eventos y Previsión'!$B$4:$B$24,0)),INDEX('Eventos y Previsión'!$F$4:$F$24,MATCH($A84,'Eventos y Previsión'!$B$4:$B$24,0)),AVERAGEIFS('Facturación 2025'!$F$4:$F$303,'Facturación 2025'!$B$4:$B$303,$B84)),0)</f>
        <v>1865.4067441860466</v>
      </c>
      <c r="H84" s="53">
        <f t="shared" si="10"/>
        <v>-1865.4067441860466</v>
      </c>
      <c r="I84" s="49">
        <f t="shared" si="11"/>
        <v>-1</v>
      </c>
      <c r="J84" s="47">
        <f t="array" ref="J84">SUMPRODUCT(('Horarios Personal'!$A$5:$A$555=$A84)*IFERROR('Horarios Personal'!$L$5:$L$555*1,0))</f>
        <v>0</v>
      </c>
      <c r="K84" s="70" t="str">
        <f t="shared" si="12"/>
        <v/>
      </c>
      <c r="L84" s="58" t="str">
        <f t="array" ref="L84">IFERROR(INDEX('Eventos y Previsión'!$C$4:$C$24,SUMPRODUCT((LOWER('Eventos y Previsión'!$A$4:$A$24)=LOWER(TEXT($A84,"mmmm")))*(ISNUMBER(SEARCH(TEXT(DAY($A84),"00")&amp;"/"&amp;TEXT(MONTH($A84),"00"),'Eventos y Previsión'!$B$4:$B$24)))*ROW('Eventos y Previsión'!$A$4:$A$24))-ROW('Eventos y Previsión'!$A$3)),"")</f>
        <v/>
      </c>
    </row>
    <row r="85" spans="1:12" ht="15.75" customHeight="1">
      <c r="A85" s="62">
        <v>46151</v>
      </c>
      <c r="B85" s="46" t="str">
        <f t="shared" si="8"/>
        <v>sáb</v>
      </c>
      <c r="C85" s="47">
        <f>SUMIFS('Detalle Turnos'!$E:$E,'Detalle Turnos'!$A:$A,$A85,'Detalle Turnos'!$B:$B,"Mañana")</f>
        <v>0</v>
      </c>
      <c r="D85" s="47">
        <f>SUMIFS('Detalle Turnos'!$E:$E,'Detalle Turnos'!$A:$A,$A85,'Detalle Turnos'!$B:$B,"Mediodia")</f>
        <v>0</v>
      </c>
      <c r="E85" s="47">
        <f>SUMIFS('Detalle Turnos'!$E:$E,'Detalle Turnos'!$A:$A,$A85,'Detalle Turnos'!$B:$B,"Noche")</f>
        <v>0</v>
      </c>
      <c r="F85" s="48">
        <f t="shared" si="9"/>
        <v>0</v>
      </c>
      <c r="G85" s="47">
        <f>IFERROR(IF(ISNUMBER(MATCH($A85,'Eventos y Previsión'!$B$4:$B$24,0)),INDEX('Eventos y Previsión'!$F$4:$F$24,MATCH($A85,'Eventos y Previsión'!$B$4:$B$24,0)),AVERAGEIFS('Facturación 2025'!$F$4:$F$303,'Facturación 2025'!$B$4:$B$303,$B85)),0)</f>
        <v>2049.8245999999995</v>
      </c>
      <c r="H85" s="53">
        <f t="shared" si="10"/>
        <v>-2049.8245999999995</v>
      </c>
      <c r="I85" s="49">
        <f t="shared" si="11"/>
        <v>-1</v>
      </c>
      <c r="J85" s="47">
        <f t="array" ref="J85">SUMPRODUCT(('Horarios Personal'!$A$5:$A$555=$A85)*IFERROR('Horarios Personal'!$L$5:$L$555*1,0))</f>
        <v>0</v>
      </c>
      <c r="K85" s="70" t="str">
        <f t="shared" si="12"/>
        <v/>
      </c>
      <c r="L85" s="58" t="str">
        <f t="array" ref="L85">IFERROR(INDEX('Eventos y Previsión'!$C$4:$C$24,SUMPRODUCT((LOWER('Eventos y Previsión'!$A$4:$A$24)=LOWER(TEXT($A85,"mmmm")))*(ISNUMBER(SEARCH(TEXT(DAY($A85),"00")&amp;"/"&amp;TEXT(MONTH($A85),"00"),'Eventos y Previsión'!$B$4:$B$24)))*ROW('Eventos y Previsión'!$A$4:$A$24))-ROW('Eventos y Previsión'!$A$3)),"")</f>
        <v/>
      </c>
    </row>
    <row r="86" spans="1:12" ht="15.75" customHeight="1">
      <c r="A86" s="62">
        <v>46152</v>
      </c>
      <c r="B86" s="46" t="str">
        <f t="shared" si="8"/>
        <v>dom</v>
      </c>
      <c r="C86" s="47">
        <f>SUMIFS('Detalle Turnos'!$E:$E,'Detalle Turnos'!$A:$A,$A86,'Detalle Turnos'!$B:$B,"Mañana")</f>
        <v>0</v>
      </c>
      <c r="D86" s="47">
        <f>SUMIFS('Detalle Turnos'!$E:$E,'Detalle Turnos'!$A:$A,$A86,'Detalle Turnos'!$B:$B,"Mediodia")</f>
        <v>0</v>
      </c>
      <c r="E86" s="47">
        <f>SUMIFS('Detalle Turnos'!$E:$E,'Detalle Turnos'!$A:$A,$A86,'Detalle Turnos'!$B:$B,"Noche")</f>
        <v>0</v>
      </c>
      <c r="F86" s="48">
        <f t="shared" si="9"/>
        <v>0</v>
      </c>
      <c r="G86" s="47">
        <f>IFERROR(IF(ISNUMBER(MATCH($A86,'Eventos y Previsión'!$B$4:$B$24,0)),INDEX('Eventos y Previsión'!$F$4:$F$24,MATCH($A86,'Eventos y Previsión'!$B$4:$B$24,0)),AVERAGEIFS('Facturación 2025'!$F$4:$F$303,'Facturación 2025'!$B$4:$B$303,$B86)),0)</f>
        <v>1690.062558139535</v>
      </c>
      <c r="H86" s="53">
        <f t="shared" si="10"/>
        <v>-1690.062558139535</v>
      </c>
      <c r="I86" s="49">
        <f t="shared" si="11"/>
        <v>-1</v>
      </c>
      <c r="J86" s="47">
        <f t="array" ref="J86">SUMPRODUCT(('Horarios Personal'!$A$5:$A$555=$A86)*IFERROR('Horarios Personal'!$L$5:$L$555*1,0))</f>
        <v>0</v>
      </c>
      <c r="K86" s="70" t="str">
        <f t="shared" si="12"/>
        <v/>
      </c>
      <c r="L86" s="58" t="str">
        <f t="array" ref="L86">IFERROR(INDEX('Eventos y Previsión'!$C$4:$C$24,SUMPRODUCT((LOWER('Eventos y Previsión'!$A$4:$A$24)=LOWER(TEXT($A86,"mmmm")))*(ISNUMBER(SEARCH(TEXT(DAY($A86),"00")&amp;"/"&amp;TEXT(MONTH($A86),"00"),'Eventos y Previsión'!$B$4:$B$24)))*ROW('Eventos y Previsión'!$A$4:$A$24))-ROW('Eventos y Previsión'!$A$3)),"")</f>
        <v/>
      </c>
    </row>
    <row r="87" spans="1:12" ht="15.75" customHeight="1">
      <c r="A87" s="62">
        <v>46155</v>
      </c>
      <c r="B87" s="46" t="str">
        <f t="shared" si="8"/>
        <v>mié</v>
      </c>
      <c r="C87" s="47">
        <f>SUMIFS('Detalle Turnos'!$E:$E,'Detalle Turnos'!$A:$A,$A87,'Detalle Turnos'!$B:$B,"Mañana")</f>
        <v>0</v>
      </c>
      <c r="D87" s="47">
        <f>SUMIFS('Detalle Turnos'!$E:$E,'Detalle Turnos'!$A:$A,$A87,'Detalle Turnos'!$B:$B,"Mediodia")</f>
        <v>0</v>
      </c>
      <c r="E87" s="47">
        <f>SUMIFS('Detalle Turnos'!$E:$E,'Detalle Turnos'!$A:$A,$A87,'Detalle Turnos'!$B:$B,"Noche")</f>
        <v>0</v>
      </c>
      <c r="F87" s="48">
        <f t="shared" si="9"/>
        <v>0</v>
      </c>
      <c r="G87" s="47">
        <f>IFERROR(IF(ISNUMBER(MATCH($A87,'Eventos y Previsión'!$B$4:$B$24,0)),INDEX('Eventos y Previsión'!$F$4:$F$24,MATCH($A87,'Eventos y Previsión'!$B$4:$B$24,0)),AVERAGEIFS('Facturación 2025'!$F$4:$F$303,'Facturación 2025'!$B$4:$B$303,$B87)),0)</f>
        <v>1039.9519512195122</v>
      </c>
      <c r="H87" s="53">
        <f t="shared" si="10"/>
        <v>-1039.9519512195122</v>
      </c>
      <c r="I87" s="49">
        <f t="shared" si="11"/>
        <v>-1</v>
      </c>
      <c r="J87" s="47">
        <f t="array" ref="J87">SUMPRODUCT(('Horarios Personal'!$A$5:$A$555=$A87)*IFERROR('Horarios Personal'!$L$5:$L$555*1,0))</f>
        <v>0</v>
      </c>
      <c r="K87" s="70" t="str">
        <f t="shared" si="12"/>
        <v/>
      </c>
      <c r="L87" s="58" t="str">
        <f t="array" ref="L87">IFERROR(INDEX('Eventos y Previsión'!$C$4:$C$24,SUMPRODUCT((LOWER('Eventos y Previsión'!$A$4:$A$24)=LOWER(TEXT($A87,"mmmm")))*(ISNUMBER(SEARCH(TEXT(DAY($A87),"00")&amp;"/"&amp;TEXT(MONTH($A87),"00"),'Eventos y Previsión'!$B$4:$B$24)))*ROW('Eventos y Previsión'!$A$4:$A$24))-ROW('Eventos y Previsión'!$A$3)),"")</f>
        <v/>
      </c>
    </row>
    <row r="88" spans="1:12" ht="15.75" customHeight="1">
      <c r="A88" s="62">
        <v>46156</v>
      </c>
      <c r="B88" s="46" t="str">
        <f t="shared" si="8"/>
        <v>jue</v>
      </c>
      <c r="C88" s="47">
        <f>SUMIFS('Detalle Turnos'!$E:$E,'Detalle Turnos'!$A:$A,$A88,'Detalle Turnos'!$B:$B,"Mañana")</f>
        <v>0</v>
      </c>
      <c r="D88" s="47">
        <f>SUMIFS('Detalle Turnos'!$E:$E,'Detalle Turnos'!$A:$A,$A88,'Detalle Turnos'!$B:$B,"Mediodia")</f>
        <v>0</v>
      </c>
      <c r="E88" s="47">
        <f>SUMIFS('Detalle Turnos'!$E:$E,'Detalle Turnos'!$A:$A,$A88,'Detalle Turnos'!$B:$B,"Noche")</f>
        <v>0</v>
      </c>
      <c r="F88" s="48">
        <f t="shared" si="9"/>
        <v>0</v>
      </c>
      <c r="G88" s="47">
        <f>IFERROR(IF(ISNUMBER(MATCH($A88,'Eventos y Previsión'!$B$4:$B$24,0)),INDEX('Eventos y Previsión'!$F$4:$F$24,MATCH($A88,'Eventos y Previsión'!$B$4:$B$24,0)),AVERAGEIFS('Facturación 2025'!$F$4:$F$303,'Facturación 2025'!$B$4:$B$303,$B88)),0)</f>
        <v>1100.2225000000003</v>
      </c>
      <c r="H88" s="53">
        <f t="shared" si="10"/>
        <v>-1100.2225000000003</v>
      </c>
      <c r="I88" s="49">
        <f t="shared" si="11"/>
        <v>-1</v>
      </c>
      <c r="J88" s="47">
        <f t="array" ref="J88">SUMPRODUCT(('Horarios Personal'!$A$5:$A$555=$A88)*IFERROR('Horarios Personal'!$L$5:$L$555*1,0))</f>
        <v>0</v>
      </c>
      <c r="K88" s="70" t="str">
        <f t="shared" si="12"/>
        <v/>
      </c>
      <c r="L88" s="58" t="str">
        <f t="array" ref="L88">IFERROR(INDEX('Eventos y Previsión'!$C$4:$C$24,SUMPRODUCT((LOWER('Eventos y Previsión'!$A$4:$A$24)=LOWER(TEXT($A88,"mmmm")))*(ISNUMBER(SEARCH(TEXT(DAY($A88),"00")&amp;"/"&amp;TEXT(MONTH($A88),"00"),'Eventos y Previsión'!$B$4:$B$24)))*ROW('Eventos y Previsión'!$A$4:$A$24))-ROW('Eventos y Previsión'!$A$3)),"")</f>
        <v/>
      </c>
    </row>
    <row r="89" spans="1:12" ht="15.75" customHeight="1">
      <c r="A89" s="62">
        <v>46157</v>
      </c>
      <c r="B89" s="46" t="str">
        <f t="shared" si="8"/>
        <v>vie</v>
      </c>
      <c r="C89" s="47">
        <f>SUMIFS('Detalle Turnos'!$E:$E,'Detalle Turnos'!$A:$A,$A89,'Detalle Turnos'!$B:$B,"Mañana")</f>
        <v>0</v>
      </c>
      <c r="D89" s="47">
        <f>SUMIFS('Detalle Turnos'!$E:$E,'Detalle Turnos'!$A:$A,$A89,'Detalle Turnos'!$B:$B,"Mediodia")</f>
        <v>0</v>
      </c>
      <c r="E89" s="47">
        <f>SUMIFS('Detalle Turnos'!$E:$E,'Detalle Turnos'!$A:$A,$A89,'Detalle Turnos'!$B:$B,"Noche")</f>
        <v>0</v>
      </c>
      <c r="F89" s="48">
        <f t="shared" si="9"/>
        <v>0</v>
      </c>
      <c r="G89" s="47">
        <f>IFERROR(IF(ISNUMBER(MATCH($A89,'Eventos y Previsión'!$B$4:$B$24,0)),INDEX('Eventos y Previsión'!$F$4:$F$24,MATCH($A89,'Eventos y Previsión'!$B$4:$B$24,0)),AVERAGEIFS('Facturación 2025'!$F$4:$F$303,'Facturación 2025'!$B$4:$B$303,$B89)),0)</f>
        <v>1865.4067441860466</v>
      </c>
      <c r="H89" s="53">
        <f t="shared" si="10"/>
        <v>-1865.4067441860466</v>
      </c>
      <c r="I89" s="49">
        <f t="shared" si="11"/>
        <v>-1</v>
      </c>
      <c r="J89" s="47">
        <f t="array" ref="J89">SUMPRODUCT(('Horarios Personal'!$A$5:$A$555=$A89)*IFERROR('Horarios Personal'!$L$5:$L$555*1,0))</f>
        <v>0</v>
      </c>
      <c r="K89" s="70" t="str">
        <f t="shared" si="12"/>
        <v/>
      </c>
      <c r="L89" s="58" t="str">
        <f t="array" ref="L89">IFERROR(INDEX('Eventos y Previsión'!$C$4:$C$24,SUMPRODUCT((LOWER('Eventos y Previsión'!$A$4:$A$24)=LOWER(TEXT($A89,"mmmm")))*(ISNUMBER(SEARCH(TEXT(DAY($A89),"00")&amp;"/"&amp;TEXT(MONTH($A89),"00"),'Eventos y Previsión'!$B$4:$B$24)))*ROW('Eventos y Previsión'!$A$4:$A$24))-ROW('Eventos y Previsión'!$A$3)),"")</f>
        <v/>
      </c>
    </row>
    <row r="90" spans="1:12" ht="15.75" customHeight="1">
      <c r="A90" s="62">
        <v>46158</v>
      </c>
      <c r="B90" s="46" t="str">
        <f t="shared" si="8"/>
        <v>sáb</v>
      </c>
      <c r="C90" s="47">
        <f>SUMIFS('Detalle Turnos'!$E:$E,'Detalle Turnos'!$A:$A,$A90,'Detalle Turnos'!$B:$B,"Mañana")</f>
        <v>0</v>
      </c>
      <c r="D90" s="47">
        <f>SUMIFS('Detalle Turnos'!$E:$E,'Detalle Turnos'!$A:$A,$A90,'Detalle Turnos'!$B:$B,"Mediodia")</f>
        <v>0</v>
      </c>
      <c r="E90" s="47">
        <f>SUMIFS('Detalle Turnos'!$E:$E,'Detalle Turnos'!$A:$A,$A90,'Detalle Turnos'!$B:$B,"Noche")</f>
        <v>0</v>
      </c>
      <c r="F90" s="48">
        <f t="shared" si="9"/>
        <v>0</v>
      </c>
      <c r="G90" s="47">
        <f>IFERROR(IF(ISNUMBER(MATCH($A90,'Eventos y Previsión'!$B$4:$B$24,0)),INDEX('Eventos y Previsión'!$F$4:$F$24,MATCH($A90,'Eventos y Previsión'!$B$4:$B$24,0)),AVERAGEIFS('Facturación 2025'!$F$4:$F$303,'Facturación 2025'!$B$4:$B$303,$B90)),0)</f>
        <v>2049.8245999999995</v>
      </c>
      <c r="H90" s="53">
        <f t="shared" si="10"/>
        <v>-2049.8245999999995</v>
      </c>
      <c r="I90" s="49">
        <f t="shared" si="11"/>
        <v>-1</v>
      </c>
      <c r="J90" s="47">
        <f t="array" ref="J90">SUMPRODUCT(('Horarios Personal'!$A$5:$A$555=$A90)*IFERROR('Horarios Personal'!$L$5:$L$555*1,0))</f>
        <v>0</v>
      </c>
      <c r="K90" s="70" t="str">
        <f t="shared" si="12"/>
        <v/>
      </c>
      <c r="L90" s="58" t="str">
        <f t="array" ref="L90">IFERROR(INDEX('Eventos y Previsión'!$C$4:$C$24,SUMPRODUCT((LOWER('Eventos y Previsión'!$A$4:$A$24)=LOWER(TEXT($A90,"mmmm")))*(ISNUMBER(SEARCH(TEXT(DAY($A90),"00")&amp;"/"&amp;TEXT(MONTH($A90),"00"),'Eventos y Previsión'!$B$4:$B$24)))*ROW('Eventos y Previsión'!$A$4:$A$24))-ROW('Eventos y Previsión'!$A$3)),"")</f>
        <v/>
      </c>
    </row>
    <row r="91" spans="1:12" ht="15.75" customHeight="1">
      <c r="A91" s="62">
        <v>46159</v>
      </c>
      <c r="B91" s="46" t="str">
        <f t="shared" si="8"/>
        <v>dom</v>
      </c>
      <c r="C91" s="47">
        <f>SUMIFS('Detalle Turnos'!$E:$E,'Detalle Turnos'!$A:$A,$A91,'Detalle Turnos'!$B:$B,"Mañana")</f>
        <v>0</v>
      </c>
      <c r="D91" s="47">
        <f>SUMIFS('Detalle Turnos'!$E:$E,'Detalle Turnos'!$A:$A,$A91,'Detalle Turnos'!$B:$B,"Mediodia")</f>
        <v>0</v>
      </c>
      <c r="E91" s="47">
        <f>SUMIFS('Detalle Turnos'!$E:$E,'Detalle Turnos'!$A:$A,$A91,'Detalle Turnos'!$B:$B,"Noche")</f>
        <v>0</v>
      </c>
      <c r="F91" s="48">
        <f t="shared" si="9"/>
        <v>0</v>
      </c>
      <c r="G91" s="47">
        <f>IFERROR(IF(ISNUMBER(MATCH($A91,'Eventos y Previsión'!$B$4:$B$24,0)),INDEX('Eventos y Previsión'!$F$4:$F$24,MATCH($A91,'Eventos y Previsión'!$B$4:$B$24,0)),AVERAGEIFS('Facturación 2025'!$F$4:$F$303,'Facturación 2025'!$B$4:$B$303,$B91)),0)</f>
        <v>1690.062558139535</v>
      </c>
      <c r="H91" s="53">
        <f t="shared" si="10"/>
        <v>-1690.062558139535</v>
      </c>
      <c r="I91" s="49">
        <f t="shared" si="11"/>
        <v>-1</v>
      </c>
      <c r="J91" s="47">
        <f t="array" ref="J91">SUMPRODUCT(('Horarios Personal'!$A$5:$A$555=$A91)*IFERROR('Horarios Personal'!$L$5:$L$555*1,0))</f>
        <v>0</v>
      </c>
      <c r="K91" s="70" t="str">
        <f t="shared" si="12"/>
        <v/>
      </c>
      <c r="L91" s="58" t="str">
        <f t="array" ref="L91">IFERROR(INDEX('Eventos y Previsión'!$C$4:$C$24,SUMPRODUCT((LOWER('Eventos y Previsión'!$A$4:$A$24)=LOWER(TEXT($A91,"mmmm")))*(ISNUMBER(SEARCH(TEXT(DAY($A91),"00")&amp;"/"&amp;TEXT(MONTH($A91),"00"),'Eventos y Previsión'!$B$4:$B$24)))*ROW('Eventos y Previsión'!$A$4:$A$24))-ROW('Eventos y Previsión'!$A$3)),"")</f>
        <v/>
      </c>
    </row>
    <row r="92" spans="1:12" ht="15.75" customHeight="1">
      <c r="A92" s="62">
        <v>46162</v>
      </c>
      <c r="B92" s="46" t="str">
        <f t="shared" si="8"/>
        <v>mié</v>
      </c>
      <c r="C92" s="47">
        <f>SUMIFS('Detalle Turnos'!$E:$E,'Detalle Turnos'!$A:$A,$A92,'Detalle Turnos'!$B:$B,"Mañana")</f>
        <v>0</v>
      </c>
      <c r="D92" s="47">
        <f>SUMIFS('Detalle Turnos'!$E:$E,'Detalle Turnos'!$A:$A,$A92,'Detalle Turnos'!$B:$B,"Mediodia")</f>
        <v>0</v>
      </c>
      <c r="E92" s="47">
        <f>SUMIFS('Detalle Turnos'!$E:$E,'Detalle Turnos'!$A:$A,$A92,'Detalle Turnos'!$B:$B,"Noche")</f>
        <v>0</v>
      </c>
      <c r="F92" s="48">
        <f t="shared" si="9"/>
        <v>0</v>
      </c>
      <c r="G92" s="47">
        <f>IFERROR(IF(ISNUMBER(MATCH($A92,'Eventos y Previsión'!$B$4:$B$24,0)),INDEX('Eventos y Previsión'!$F$4:$F$24,MATCH($A92,'Eventos y Previsión'!$B$4:$B$24,0)),AVERAGEIFS('Facturación 2025'!$F$4:$F$303,'Facturación 2025'!$B$4:$B$303,$B92)),0)</f>
        <v>1039.9519512195122</v>
      </c>
      <c r="H92" s="53">
        <f t="shared" si="10"/>
        <v>-1039.9519512195122</v>
      </c>
      <c r="I92" s="49">
        <f t="shared" si="11"/>
        <v>-1</v>
      </c>
      <c r="J92" s="47">
        <f t="array" ref="J92">SUMPRODUCT(('Horarios Personal'!$A$5:$A$555=$A92)*IFERROR('Horarios Personal'!$L$5:$L$555*1,0))</f>
        <v>0</v>
      </c>
      <c r="K92" s="70" t="str">
        <f t="shared" si="12"/>
        <v/>
      </c>
      <c r="L92" s="58" t="str">
        <f t="array" ref="L92">IFERROR(INDEX('Eventos y Previsión'!$C$4:$C$24,SUMPRODUCT((LOWER('Eventos y Previsión'!$A$4:$A$24)=LOWER(TEXT($A92,"mmmm")))*(ISNUMBER(SEARCH(TEXT(DAY($A92),"00")&amp;"/"&amp;TEXT(MONTH($A92),"00"),'Eventos y Previsión'!$B$4:$B$24)))*ROW('Eventos y Previsión'!$A$4:$A$24))-ROW('Eventos y Previsión'!$A$3)),"")</f>
        <v/>
      </c>
    </row>
    <row r="93" spans="1:12" ht="15.75" customHeight="1">
      <c r="A93" s="62">
        <v>46163</v>
      </c>
      <c r="B93" s="46" t="str">
        <f t="shared" si="8"/>
        <v>jue</v>
      </c>
      <c r="C93" s="47">
        <f>SUMIFS('Detalle Turnos'!$E:$E,'Detalle Turnos'!$A:$A,$A93,'Detalle Turnos'!$B:$B,"Mañana")</f>
        <v>0</v>
      </c>
      <c r="D93" s="47">
        <f>SUMIFS('Detalle Turnos'!$E:$E,'Detalle Turnos'!$A:$A,$A93,'Detalle Turnos'!$B:$B,"Mediodia")</f>
        <v>0</v>
      </c>
      <c r="E93" s="47">
        <f>SUMIFS('Detalle Turnos'!$E:$E,'Detalle Turnos'!$A:$A,$A93,'Detalle Turnos'!$B:$B,"Noche")</f>
        <v>0</v>
      </c>
      <c r="F93" s="48">
        <f t="shared" si="9"/>
        <v>0</v>
      </c>
      <c r="G93" s="47">
        <f>IFERROR(IF(ISNUMBER(MATCH($A93,'Eventos y Previsión'!$B$4:$B$24,0)),INDEX('Eventos y Previsión'!$F$4:$F$24,MATCH($A93,'Eventos y Previsión'!$B$4:$B$24,0)),AVERAGEIFS('Facturación 2025'!$F$4:$F$303,'Facturación 2025'!$B$4:$B$303,$B93)),0)</f>
        <v>1100.2225000000003</v>
      </c>
      <c r="H93" s="53">
        <f t="shared" si="10"/>
        <v>-1100.2225000000003</v>
      </c>
      <c r="I93" s="49">
        <f t="shared" si="11"/>
        <v>-1</v>
      </c>
      <c r="J93" s="47">
        <f t="array" ref="J93">SUMPRODUCT(('Horarios Personal'!$A$5:$A$555=$A93)*IFERROR('Horarios Personal'!$L$5:$L$555*1,0))</f>
        <v>0</v>
      </c>
      <c r="K93" s="70" t="str">
        <f t="shared" si="12"/>
        <v/>
      </c>
      <c r="L93" s="58" t="str">
        <f t="array" ref="L93">IFERROR(INDEX('Eventos y Previsión'!$C$4:$C$24,SUMPRODUCT((LOWER('Eventos y Previsión'!$A$4:$A$24)=LOWER(TEXT($A93,"mmmm")))*(ISNUMBER(SEARCH(TEXT(DAY($A93),"00")&amp;"/"&amp;TEXT(MONTH($A93),"00"),'Eventos y Previsión'!$B$4:$B$24)))*ROW('Eventos y Previsión'!$A$4:$A$24))-ROW('Eventos y Previsión'!$A$3)),"")</f>
        <v/>
      </c>
    </row>
    <row r="94" spans="1:12" ht="15.75" customHeight="1">
      <c r="A94" s="62">
        <v>46164</v>
      </c>
      <c r="B94" s="46" t="str">
        <f t="shared" si="8"/>
        <v>vie</v>
      </c>
      <c r="C94" s="47">
        <f>SUMIFS('Detalle Turnos'!$E:$E,'Detalle Turnos'!$A:$A,$A94,'Detalle Turnos'!$B:$B,"Mañana")</f>
        <v>0</v>
      </c>
      <c r="D94" s="47">
        <f>SUMIFS('Detalle Turnos'!$E:$E,'Detalle Turnos'!$A:$A,$A94,'Detalle Turnos'!$B:$B,"Mediodia")</f>
        <v>0</v>
      </c>
      <c r="E94" s="47">
        <f>SUMIFS('Detalle Turnos'!$E:$E,'Detalle Turnos'!$A:$A,$A94,'Detalle Turnos'!$B:$B,"Noche")</f>
        <v>0</v>
      </c>
      <c r="F94" s="48">
        <f t="shared" si="9"/>
        <v>0</v>
      </c>
      <c r="G94" s="47">
        <f>IFERROR(IF(ISNUMBER(MATCH($A94,'Eventos y Previsión'!$B$4:$B$24,0)),INDEX('Eventos y Previsión'!$F$4:$F$24,MATCH($A94,'Eventos y Previsión'!$B$4:$B$24,0)),AVERAGEIFS('Facturación 2025'!$F$4:$F$303,'Facturación 2025'!$B$4:$B$303,$B94)),0)</f>
        <v>1865.4067441860466</v>
      </c>
      <c r="H94" s="53">
        <f t="shared" si="10"/>
        <v>-1865.4067441860466</v>
      </c>
      <c r="I94" s="49">
        <f t="shared" si="11"/>
        <v>-1</v>
      </c>
      <c r="J94" s="47">
        <f t="array" ref="J94">SUMPRODUCT(('Horarios Personal'!$A$5:$A$555=$A94)*IFERROR('Horarios Personal'!$L$5:$L$555*1,0))</f>
        <v>0</v>
      </c>
      <c r="K94" s="70" t="str">
        <f t="shared" si="12"/>
        <v/>
      </c>
      <c r="L94" s="58" t="str">
        <f t="array" ref="L94">IFERROR(INDEX('Eventos y Previsión'!$C$4:$C$24,SUMPRODUCT((LOWER('Eventos y Previsión'!$A$4:$A$24)=LOWER(TEXT($A94,"mmmm")))*(ISNUMBER(SEARCH(TEXT(DAY($A94),"00")&amp;"/"&amp;TEXT(MONTH($A94),"00"),'Eventos y Previsión'!$B$4:$B$24)))*ROW('Eventos y Previsión'!$A$4:$A$24))-ROW('Eventos y Previsión'!$A$3)),"")</f>
        <v/>
      </c>
    </row>
    <row r="95" spans="1:12" ht="15.75" customHeight="1">
      <c r="A95" s="62">
        <v>46165</v>
      </c>
      <c r="B95" s="46" t="str">
        <f t="shared" si="8"/>
        <v>sáb</v>
      </c>
      <c r="C95" s="47">
        <f>SUMIFS('Detalle Turnos'!$E:$E,'Detalle Turnos'!$A:$A,$A95,'Detalle Turnos'!$B:$B,"Mañana")</f>
        <v>0</v>
      </c>
      <c r="D95" s="47">
        <f>SUMIFS('Detalle Turnos'!$E:$E,'Detalle Turnos'!$A:$A,$A95,'Detalle Turnos'!$B:$B,"Mediodia")</f>
        <v>0</v>
      </c>
      <c r="E95" s="47">
        <f>SUMIFS('Detalle Turnos'!$E:$E,'Detalle Turnos'!$A:$A,$A95,'Detalle Turnos'!$B:$B,"Noche")</f>
        <v>0</v>
      </c>
      <c r="F95" s="48">
        <f t="shared" si="9"/>
        <v>0</v>
      </c>
      <c r="G95" s="47">
        <f>IFERROR(IF(ISNUMBER(MATCH($A95,'Eventos y Previsión'!$B$4:$B$24,0)),INDEX('Eventos y Previsión'!$F$4:$F$24,MATCH($A95,'Eventos y Previsión'!$B$4:$B$24,0)),AVERAGEIFS('Facturación 2025'!$F$4:$F$303,'Facturación 2025'!$B$4:$B$303,$B95)),0)</f>
        <v>2049.8245999999995</v>
      </c>
      <c r="H95" s="53">
        <f t="shared" si="10"/>
        <v>-2049.8245999999995</v>
      </c>
      <c r="I95" s="49">
        <f t="shared" si="11"/>
        <v>-1</v>
      </c>
      <c r="J95" s="47">
        <f t="array" ref="J95">SUMPRODUCT(('Horarios Personal'!$A$5:$A$555=$A95)*IFERROR('Horarios Personal'!$L$5:$L$555*1,0))</f>
        <v>0</v>
      </c>
      <c r="K95" s="70" t="str">
        <f t="shared" si="12"/>
        <v/>
      </c>
      <c r="L95" s="58" t="str">
        <f t="array" ref="L95">IFERROR(INDEX('Eventos y Previsión'!$C$4:$C$24,SUMPRODUCT((LOWER('Eventos y Previsión'!$A$4:$A$24)=LOWER(TEXT($A95,"mmmm")))*(ISNUMBER(SEARCH(TEXT(DAY($A95),"00")&amp;"/"&amp;TEXT(MONTH($A95),"00"),'Eventos y Previsión'!$B$4:$B$24)))*ROW('Eventos y Previsión'!$A$4:$A$24))-ROW('Eventos y Previsión'!$A$3)),"")</f>
        <v/>
      </c>
    </row>
    <row r="96" spans="1:12" ht="15.75" customHeight="1">
      <c r="A96" s="62">
        <v>46166</v>
      </c>
      <c r="B96" s="46" t="str">
        <f t="shared" si="8"/>
        <v>dom</v>
      </c>
      <c r="C96" s="47">
        <f>SUMIFS('Detalle Turnos'!$E:$E,'Detalle Turnos'!$A:$A,$A96,'Detalle Turnos'!$B:$B,"Mañana")</f>
        <v>0</v>
      </c>
      <c r="D96" s="47">
        <f>SUMIFS('Detalle Turnos'!$E:$E,'Detalle Turnos'!$A:$A,$A96,'Detalle Turnos'!$B:$B,"Mediodia")</f>
        <v>0</v>
      </c>
      <c r="E96" s="47">
        <f>SUMIFS('Detalle Turnos'!$E:$E,'Detalle Turnos'!$A:$A,$A96,'Detalle Turnos'!$B:$B,"Noche")</f>
        <v>0</v>
      </c>
      <c r="F96" s="48">
        <f t="shared" si="9"/>
        <v>0</v>
      </c>
      <c r="G96" s="47">
        <f>IFERROR(IF(ISNUMBER(MATCH($A96,'Eventos y Previsión'!$B$4:$B$24,0)),INDEX('Eventos y Previsión'!$F$4:$F$24,MATCH($A96,'Eventos y Previsión'!$B$4:$B$24,0)),AVERAGEIFS('Facturación 2025'!$F$4:$F$303,'Facturación 2025'!$B$4:$B$303,$B96)),0)</f>
        <v>1690.062558139535</v>
      </c>
      <c r="H96" s="53">
        <f t="shared" si="10"/>
        <v>-1690.062558139535</v>
      </c>
      <c r="I96" s="49">
        <f t="shared" si="11"/>
        <v>-1</v>
      </c>
      <c r="J96" s="47">
        <f t="array" ref="J96">SUMPRODUCT(('Horarios Personal'!$A$5:$A$555=$A96)*IFERROR('Horarios Personal'!$L$5:$L$555*1,0))</f>
        <v>0</v>
      </c>
      <c r="K96" s="70" t="str">
        <f t="shared" si="12"/>
        <v/>
      </c>
      <c r="L96" s="58" t="str">
        <f t="array" ref="L96">IFERROR(INDEX('Eventos y Previsión'!$C$4:$C$24,SUMPRODUCT((LOWER('Eventos y Previsión'!$A$4:$A$24)=LOWER(TEXT($A96,"mmmm")))*(ISNUMBER(SEARCH(TEXT(DAY($A96),"00")&amp;"/"&amp;TEXT(MONTH($A96),"00"),'Eventos y Previsión'!$B$4:$B$24)))*ROW('Eventos y Previsión'!$A$4:$A$24))-ROW('Eventos y Previsión'!$A$3)),"")</f>
        <v/>
      </c>
    </row>
    <row r="97" spans="1:12" ht="15.75" customHeight="1">
      <c r="A97" s="62">
        <v>46169</v>
      </c>
      <c r="B97" s="46" t="str">
        <f t="shared" si="8"/>
        <v>mié</v>
      </c>
      <c r="C97" s="47">
        <f>SUMIFS('Detalle Turnos'!$E:$E,'Detalle Turnos'!$A:$A,$A97,'Detalle Turnos'!$B:$B,"Mañana")</f>
        <v>0</v>
      </c>
      <c r="D97" s="47">
        <f>SUMIFS('Detalle Turnos'!$E:$E,'Detalle Turnos'!$A:$A,$A97,'Detalle Turnos'!$B:$B,"Mediodia")</f>
        <v>0</v>
      </c>
      <c r="E97" s="47">
        <f>SUMIFS('Detalle Turnos'!$E:$E,'Detalle Turnos'!$A:$A,$A97,'Detalle Turnos'!$B:$B,"Noche")</f>
        <v>0</v>
      </c>
      <c r="F97" s="48">
        <f t="shared" si="9"/>
        <v>0</v>
      </c>
      <c r="G97" s="47">
        <f>IFERROR(IF(ISNUMBER(MATCH($A97,'Eventos y Previsión'!$B$4:$B$24,0)),INDEX('Eventos y Previsión'!$F$4:$F$24,MATCH($A97,'Eventos y Previsión'!$B$4:$B$24,0)),AVERAGEIFS('Facturación 2025'!$F$4:$F$303,'Facturación 2025'!$B$4:$B$303,$B97)),0)</f>
        <v>1039.9519512195122</v>
      </c>
      <c r="H97" s="53">
        <f t="shared" si="10"/>
        <v>-1039.9519512195122</v>
      </c>
      <c r="I97" s="49">
        <f t="shared" si="11"/>
        <v>-1</v>
      </c>
      <c r="J97" s="47">
        <f t="array" ref="J97">SUMPRODUCT(('Horarios Personal'!$A$5:$A$555=$A97)*IFERROR('Horarios Personal'!$L$5:$L$555*1,0))</f>
        <v>0</v>
      </c>
      <c r="K97" s="70" t="str">
        <f t="shared" si="12"/>
        <v/>
      </c>
      <c r="L97" s="58" t="str">
        <f t="array" ref="L97">IFERROR(INDEX('Eventos y Previsión'!$C$4:$C$24,SUMPRODUCT((LOWER('Eventos y Previsión'!$A$4:$A$24)=LOWER(TEXT($A97,"mmmm")))*(ISNUMBER(SEARCH(TEXT(DAY($A97),"00")&amp;"/"&amp;TEXT(MONTH($A97),"00"),'Eventos y Previsión'!$B$4:$B$24)))*ROW('Eventos y Previsión'!$A$4:$A$24))-ROW('Eventos y Previsión'!$A$3)),"")</f>
        <v/>
      </c>
    </row>
    <row r="98" spans="1:12" ht="15.75" customHeight="1">
      <c r="A98" s="62">
        <v>46170</v>
      </c>
      <c r="B98" s="46" t="str">
        <f t="shared" si="8"/>
        <v>jue</v>
      </c>
      <c r="C98" s="47">
        <f>SUMIFS('Detalle Turnos'!$E:$E,'Detalle Turnos'!$A:$A,$A98,'Detalle Turnos'!$B:$B,"Mañana")</f>
        <v>0</v>
      </c>
      <c r="D98" s="47">
        <f>SUMIFS('Detalle Turnos'!$E:$E,'Detalle Turnos'!$A:$A,$A98,'Detalle Turnos'!$B:$B,"Mediodia")</f>
        <v>0</v>
      </c>
      <c r="E98" s="47">
        <f>SUMIFS('Detalle Turnos'!$E:$E,'Detalle Turnos'!$A:$A,$A98,'Detalle Turnos'!$B:$B,"Noche")</f>
        <v>0</v>
      </c>
      <c r="F98" s="48">
        <f t="shared" si="9"/>
        <v>0</v>
      </c>
      <c r="G98" s="47">
        <f>IFERROR(IF(ISNUMBER(MATCH($A98,'Eventos y Previsión'!$B$4:$B$24,0)),INDEX('Eventos y Previsión'!$F$4:$F$24,MATCH($A98,'Eventos y Previsión'!$B$4:$B$24,0)),AVERAGEIFS('Facturación 2025'!$F$4:$F$303,'Facturación 2025'!$B$4:$B$303,$B98)),0)</f>
        <v>1100.2225000000003</v>
      </c>
      <c r="H98" s="53">
        <f t="shared" si="10"/>
        <v>-1100.2225000000003</v>
      </c>
      <c r="I98" s="49">
        <f t="shared" si="11"/>
        <v>-1</v>
      </c>
      <c r="J98" s="47">
        <f t="array" ref="J98">SUMPRODUCT(('Horarios Personal'!$A$5:$A$555=$A98)*IFERROR('Horarios Personal'!$L$5:$L$555*1,0))</f>
        <v>0</v>
      </c>
      <c r="K98" s="70" t="str">
        <f t="shared" si="12"/>
        <v/>
      </c>
      <c r="L98" s="58" t="str">
        <f t="array" ref="L98">IFERROR(INDEX('Eventos y Previsión'!$C$4:$C$24,SUMPRODUCT((LOWER('Eventos y Previsión'!$A$4:$A$24)=LOWER(TEXT($A98,"mmmm")))*(ISNUMBER(SEARCH(TEXT(DAY($A98),"00")&amp;"/"&amp;TEXT(MONTH($A98),"00"),'Eventos y Previsión'!$B$4:$B$24)))*ROW('Eventos y Previsión'!$A$4:$A$24))-ROW('Eventos y Previsión'!$A$3)),"")</f>
        <v/>
      </c>
    </row>
    <row r="99" spans="1:12" ht="15.75" customHeight="1">
      <c r="A99" s="62">
        <v>46171</v>
      </c>
      <c r="B99" s="46" t="str">
        <f t="shared" si="8"/>
        <v>vie</v>
      </c>
      <c r="C99" s="47">
        <f>SUMIFS('Detalle Turnos'!$E:$E,'Detalle Turnos'!$A:$A,$A99,'Detalle Turnos'!$B:$B,"Mañana")</f>
        <v>0</v>
      </c>
      <c r="D99" s="47">
        <f>SUMIFS('Detalle Turnos'!$E:$E,'Detalle Turnos'!$A:$A,$A99,'Detalle Turnos'!$B:$B,"Mediodia")</f>
        <v>0</v>
      </c>
      <c r="E99" s="47">
        <f>SUMIFS('Detalle Turnos'!$E:$E,'Detalle Turnos'!$A:$A,$A99,'Detalle Turnos'!$B:$B,"Noche")</f>
        <v>0</v>
      </c>
      <c r="F99" s="48">
        <f t="shared" si="9"/>
        <v>0</v>
      </c>
      <c r="G99" s="47">
        <f>IFERROR(IF(ISNUMBER(MATCH($A99,'Eventos y Previsión'!$B$4:$B$24,0)),INDEX('Eventos y Previsión'!$F$4:$F$24,MATCH($A99,'Eventos y Previsión'!$B$4:$B$24,0)),AVERAGEIFS('Facturación 2025'!$F$4:$F$303,'Facturación 2025'!$B$4:$B$303,$B99)),0)</f>
        <v>1865.4067441860466</v>
      </c>
      <c r="H99" s="53">
        <f t="shared" si="10"/>
        <v>-1865.4067441860466</v>
      </c>
      <c r="I99" s="49">
        <f t="shared" si="11"/>
        <v>-1</v>
      </c>
      <c r="J99" s="47">
        <f t="array" ref="J99">SUMPRODUCT(('Horarios Personal'!$A$5:$A$555=$A99)*IFERROR('Horarios Personal'!$L$5:$L$555*1,0))</f>
        <v>0</v>
      </c>
      <c r="K99" s="70" t="str">
        <f t="shared" si="12"/>
        <v/>
      </c>
      <c r="L99" s="58" t="str">
        <f t="array" ref="L99">IFERROR(INDEX('Eventos y Previsión'!$C$4:$C$24,SUMPRODUCT((LOWER('Eventos y Previsión'!$A$4:$A$24)=LOWER(TEXT($A99,"mmmm")))*(ISNUMBER(SEARCH(TEXT(DAY($A99),"00")&amp;"/"&amp;TEXT(MONTH($A99),"00"),'Eventos y Previsión'!$B$4:$B$24)))*ROW('Eventos y Previsión'!$A$4:$A$24))-ROW('Eventos y Previsión'!$A$3)),"")</f>
        <v/>
      </c>
    </row>
    <row r="100" spans="1:12" ht="15.75" customHeight="1">
      <c r="A100" s="62">
        <v>46172</v>
      </c>
      <c r="B100" s="46" t="str">
        <f t="shared" si="8"/>
        <v>sáb</v>
      </c>
      <c r="C100" s="47">
        <f>SUMIFS('Detalle Turnos'!$E:$E,'Detalle Turnos'!$A:$A,$A100,'Detalle Turnos'!$B:$B,"Mañana")</f>
        <v>0</v>
      </c>
      <c r="D100" s="47">
        <f>SUMIFS('Detalle Turnos'!$E:$E,'Detalle Turnos'!$A:$A,$A100,'Detalle Turnos'!$B:$B,"Mediodia")</f>
        <v>0</v>
      </c>
      <c r="E100" s="47">
        <f>SUMIFS('Detalle Turnos'!$E:$E,'Detalle Turnos'!$A:$A,$A100,'Detalle Turnos'!$B:$B,"Noche")</f>
        <v>0</v>
      </c>
      <c r="F100" s="48">
        <f t="shared" si="9"/>
        <v>0</v>
      </c>
      <c r="G100" s="47">
        <f>IFERROR(IF(ISNUMBER(MATCH($A100,'Eventos y Previsión'!$B$4:$B$24,0)),INDEX('Eventos y Previsión'!$F$4:$F$24,MATCH($A100,'Eventos y Previsión'!$B$4:$B$24,0)),AVERAGEIFS('Facturación 2025'!$F$4:$F$303,'Facturación 2025'!$B$4:$B$303,$B100)),0)</f>
        <v>2049.8245999999995</v>
      </c>
      <c r="H100" s="53">
        <f t="shared" si="10"/>
        <v>-2049.8245999999995</v>
      </c>
      <c r="I100" s="49">
        <f t="shared" si="11"/>
        <v>-1</v>
      </c>
      <c r="J100" s="47">
        <f t="array" ref="J100">SUMPRODUCT(('Horarios Personal'!$A$5:$A$555=$A100)*IFERROR('Horarios Personal'!$L$5:$L$555*1,0))</f>
        <v>0</v>
      </c>
      <c r="K100" s="70" t="str">
        <f t="shared" si="12"/>
        <v/>
      </c>
      <c r="L100" s="58" t="str">
        <f t="array" ref="L100">IFERROR(INDEX('Eventos y Previsión'!$C$4:$C$24,SUMPRODUCT((LOWER('Eventos y Previsión'!$A$4:$A$24)=LOWER(TEXT($A100,"mmmm")))*(ISNUMBER(SEARCH(TEXT(DAY($A100),"00")&amp;"/"&amp;TEXT(MONTH($A100),"00"),'Eventos y Previsión'!$B$4:$B$24)))*ROW('Eventos y Previsión'!$A$4:$A$24))-ROW('Eventos y Previsión'!$A$3)),"")</f>
        <v/>
      </c>
    </row>
    <row r="101" spans="1:12" ht="15.75" customHeight="1">
      <c r="A101" s="62">
        <v>46173</v>
      </c>
      <c r="B101" s="46" t="str">
        <f t="shared" si="8"/>
        <v>dom</v>
      </c>
      <c r="C101" s="47">
        <f>SUMIFS('Detalle Turnos'!$E:$E,'Detalle Turnos'!$A:$A,$A101,'Detalle Turnos'!$B:$B,"Mañana")</f>
        <v>0</v>
      </c>
      <c r="D101" s="47">
        <f>SUMIFS('Detalle Turnos'!$E:$E,'Detalle Turnos'!$A:$A,$A101,'Detalle Turnos'!$B:$B,"Mediodia")</f>
        <v>0</v>
      </c>
      <c r="E101" s="47">
        <f>SUMIFS('Detalle Turnos'!$E:$E,'Detalle Turnos'!$A:$A,$A101,'Detalle Turnos'!$B:$B,"Noche")</f>
        <v>0</v>
      </c>
      <c r="F101" s="48">
        <f t="shared" si="9"/>
        <v>0</v>
      </c>
      <c r="G101" s="47">
        <f>IFERROR(IF(ISNUMBER(MATCH($A101,'Eventos y Previsión'!$B$4:$B$24,0)),INDEX('Eventos y Previsión'!$F$4:$F$24,MATCH($A101,'Eventos y Previsión'!$B$4:$B$24,0)),AVERAGEIFS('Facturación 2025'!$F$4:$F$303,'Facturación 2025'!$B$4:$B$303,$B101)),0)</f>
        <v>1690.062558139535</v>
      </c>
      <c r="H101" s="53">
        <f t="shared" si="10"/>
        <v>-1690.062558139535</v>
      </c>
      <c r="I101" s="49">
        <f t="shared" si="11"/>
        <v>-1</v>
      </c>
      <c r="J101" s="47">
        <f t="array" ref="J101">SUMPRODUCT(('Horarios Personal'!$A$5:$A$555=$A101)*IFERROR('Horarios Personal'!$L$5:$L$555*1,0))</f>
        <v>0</v>
      </c>
      <c r="K101" s="70" t="str">
        <f t="shared" si="12"/>
        <v/>
      </c>
      <c r="L101" s="58" t="str">
        <f t="array" ref="L101">IFERROR(INDEX('Eventos y Previsión'!$C$4:$C$24,SUMPRODUCT((LOWER('Eventos y Previsión'!$A$4:$A$24)=LOWER(TEXT($A101,"mmmm")))*(ISNUMBER(SEARCH(TEXT(DAY($A101),"00")&amp;"/"&amp;TEXT(MONTH($A101),"00"),'Eventos y Previsión'!$B$4:$B$24)))*ROW('Eventos y Previsión'!$A$4:$A$24))-ROW('Eventos y Previsión'!$A$3)),"")</f>
        <v/>
      </c>
    </row>
    <row r="102" spans="1:12" ht="15.75" customHeight="1">
      <c r="A102" s="62">
        <v>46176</v>
      </c>
      <c r="B102" s="46" t="str">
        <f t="shared" si="8"/>
        <v>mié</v>
      </c>
      <c r="C102" s="47">
        <f>SUMIFS('Detalle Turnos'!$E:$E,'Detalle Turnos'!$A:$A,$A102,'Detalle Turnos'!$B:$B,"Mañana")</f>
        <v>0</v>
      </c>
      <c r="D102" s="47">
        <f>SUMIFS('Detalle Turnos'!$E:$E,'Detalle Turnos'!$A:$A,$A102,'Detalle Turnos'!$B:$B,"Mediodia")</f>
        <v>0</v>
      </c>
      <c r="E102" s="47">
        <f>SUMIFS('Detalle Turnos'!$E:$E,'Detalle Turnos'!$A:$A,$A102,'Detalle Turnos'!$B:$B,"Noche")</f>
        <v>0</v>
      </c>
      <c r="F102" s="48">
        <f t="shared" si="9"/>
        <v>0</v>
      </c>
      <c r="G102" s="47">
        <f>IFERROR(IF(ISNUMBER(MATCH($A102,'Eventos y Previsión'!$B$4:$B$24,0)),INDEX('Eventos y Previsión'!$F$4:$F$24,MATCH($A102,'Eventos y Previsión'!$B$4:$B$24,0)),AVERAGEIFS('Facturación 2025'!$F$4:$F$303,'Facturación 2025'!$B$4:$B$303,$B102)),0)</f>
        <v>1039.9519512195122</v>
      </c>
      <c r="H102" s="53">
        <f t="shared" si="10"/>
        <v>-1039.9519512195122</v>
      </c>
      <c r="I102" s="49">
        <f t="shared" si="11"/>
        <v>-1</v>
      </c>
      <c r="J102" s="47">
        <f t="array" ref="J102">SUMPRODUCT(('Horarios Personal'!$A$5:$A$555=$A102)*IFERROR('Horarios Personal'!$L$5:$L$555*1,0))</f>
        <v>0</v>
      </c>
      <c r="K102" s="70" t="str">
        <f t="shared" si="12"/>
        <v/>
      </c>
      <c r="L102" s="58" t="str">
        <f t="array" ref="L102">IFERROR(INDEX('Eventos y Previsión'!$C$4:$C$24,SUMPRODUCT((LOWER('Eventos y Previsión'!$A$4:$A$24)=LOWER(TEXT($A102,"mmmm")))*(ISNUMBER(SEARCH(TEXT(DAY($A102),"00")&amp;"/"&amp;TEXT(MONTH($A102),"00"),'Eventos y Previsión'!$B$4:$B$24)))*ROW('Eventos y Previsión'!$A$4:$A$24))-ROW('Eventos y Previsión'!$A$3)),"")</f>
        <v/>
      </c>
    </row>
    <row r="103" spans="1:12" ht="15.75" customHeight="1">
      <c r="A103" s="62">
        <v>46177</v>
      </c>
      <c r="B103" s="46" t="str">
        <f t="shared" si="8"/>
        <v>jue</v>
      </c>
      <c r="C103" s="47">
        <f>SUMIFS('Detalle Turnos'!$E:$E,'Detalle Turnos'!$A:$A,$A103,'Detalle Turnos'!$B:$B,"Mañana")</f>
        <v>0</v>
      </c>
      <c r="D103" s="47">
        <f>SUMIFS('Detalle Turnos'!$E:$E,'Detalle Turnos'!$A:$A,$A103,'Detalle Turnos'!$B:$B,"Mediodia")</f>
        <v>0</v>
      </c>
      <c r="E103" s="47">
        <f>SUMIFS('Detalle Turnos'!$E:$E,'Detalle Turnos'!$A:$A,$A103,'Detalle Turnos'!$B:$B,"Noche")</f>
        <v>0</v>
      </c>
      <c r="F103" s="48">
        <f t="shared" si="9"/>
        <v>0</v>
      </c>
      <c r="G103" s="47">
        <f>IFERROR(IF(ISNUMBER(MATCH($A103,'Eventos y Previsión'!$B$4:$B$24,0)),INDEX('Eventos y Previsión'!$F$4:$F$24,MATCH($A103,'Eventos y Previsión'!$B$4:$B$24,0)),AVERAGEIFS('Facturación 2025'!$F$4:$F$303,'Facturación 2025'!$B$4:$B$303,$B103)),0)</f>
        <v>1100.2225000000003</v>
      </c>
      <c r="H103" s="53">
        <f t="shared" si="10"/>
        <v>-1100.2225000000003</v>
      </c>
      <c r="I103" s="49">
        <f t="shared" si="11"/>
        <v>-1</v>
      </c>
      <c r="J103" s="47">
        <f t="array" ref="J103">SUMPRODUCT(('Horarios Personal'!$A$5:$A$555=$A103)*IFERROR('Horarios Personal'!$L$5:$L$555*1,0))</f>
        <v>0</v>
      </c>
      <c r="K103" s="70" t="str">
        <f t="shared" si="12"/>
        <v/>
      </c>
      <c r="L103" s="58" t="str">
        <f t="array" ref="L103">IFERROR(INDEX('Eventos y Previsión'!$C$4:$C$24,SUMPRODUCT((LOWER('Eventos y Previsión'!$A$4:$A$24)=LOWER(TEXT($A103,"mmmm")))*(ISNUMBER(SEARCH(TEXT(DAY($A103),"00")&amp;"/"&amp;TEXT(MONTH($A103),"00"),'Eventos y Previsión'!$B$4:$B$24)))*ROW('Eventos y Previsión'!$A$4:$A$24))-ROW('Eventos y Previsión'!$A$3)),"")</f>
        <v/>
      </c>
    </row>
    <row r="104" spans="1:12" ht="15.75" customHeight="1">
      <c r="A104" s="62">
        <v>46178</v>
      </c>
      <c r="B104" s="46" t="str">
        <f t="shared" si="8"/>
        <v>vie</v>
      </c>
      <c r="C104" s="47">
        <f>SUMIFS('Detalle Turnos'!$E:$E,'Detalle Turnos'!$A:$A,$A104,'Detalle Turnos'!$B:$B,"Mañana")</f>
        <v>0</v>
      </c>
      <c r="D104" s="47">
        <f>SUMIFS('Detalle Turnos'!$E:$E,'Detalle Turnos'!$A:$A,$A104,'Detalle Turnos'!$B:$B,"Mediodia")</f>
        <v>0</v>
      </c>
      <c r="E104" s="47">
        <f>SUMIFS('Detalle Turnos'!$E:$E,'Detalle Turnos'!$A:$A,$A104,'Detalle Turnos'!$B:$B,"Noche")</f>
        <v>0</v>
      </c>
      <c r="F104" s="48">
        <f t="shared" si="9"/>
        <v>0</v>
      </c>
      <c r="G104" s="47">
        <f>IFERROR(IF(ISNUMBER(MATCH($A104,'Eventos y Previsión'!$B$4:$B$24,0)),INDEX('Eventos y Previsión'!$F$4:$F$24,MATCH($A104,'Eventos y Previsión'!$B$4:$B$24,0)),AVERAGEIFS('Facturación 2025'!$F$4:$F$303,'Facturación 2025'!$B$4:$B$303,$B104)),0)</f>
        <v>1865.4067441860466</v>
      </c>
      <c r="H104" s="53">
        <f t="shared" si="10"/>
        <v>-1865.4067441860466</v>
      </c>
      <c r="I104" s="49">
        <f t="shared" si="11"/>
        <v>-1</v>
      </c>
      <c r="J104" s="47">
        <f t="array" ref="J104">SUMPRODUCT(('Horarios Personal'!$A$5:$A$555=$A104)*IFERROR('Horarios Personal'!$L$5:$L$555*1,0))</f>
        <v>0</v>
      </c>
      <c r="K104" s="70" t="str">
        <f t="shared" si="12"/>
        <v/>
      </c>
      <c r="L104" s="58" t="str">
        <f t="array" ref="L104">IFERROR(INDEX('Eventos y Previsión'!$C$4:$C$24,SUMPRODUCT((LOWER('Eventos y Previsión'!$A$4:$A$24)=LOWER(TEXT($A104,"mmmm")))*(ISNUMBER(SEARCH(TEXT(DAY($A104),"00")&amp;"/"&amp;TEXT(MONTH($A104),"00"),'Eventos y Previsión'!$B$4:$B$24)))*ROW('Eventos y Previsión'!$A$4:$A$24))-ROW('Eventos y Previsión'!$A$3)),"")</f>
        <v/>
      </c>
    </row>
    <row r="105" spans="1:12" ht="15.75" customHeight="1">
      <c r="A105" s="62">
        <v>46179</v>
      </c>
      <c r="B105" s="46" t="str">
        <f t="shared" si="8"/>
        <v>sáb</v>
      </c>
      <c r="C105" s="47">
        <f>SUMIFS('Detalle Turnos'!$E:$E,'Detalle Turnos'!$A:$A,$A105,'Detalle Turnos'!$B:$B,"Mañana")</f>
        <v>0</v>
      </c>
      <c r="D105" s="47">
        <f>SUMIFS('Detalle Turnos'!$E:$E,'Detalle Turnos'!$A:$A,$A105,'Detalle Turnos'!$B:$B,"Mediodia")</f>
        <v>0</v>
      </c>
      <c r="E105" s="47">
        <f>SUMIFS('Detalle Turnos'!$E:$E,'Detalle Turnos'!$A:$A,$A105,'Detalle Turnos'!$B:$B,"Noche")</f>
        <v>0</v>
      </c>
      <c r="F105" s="48">
        <f t="shared" si="9"/>
        <v>0</v>
      </c>
      <c r="G105" s="47">
        <f>IFERROR(IF(ISNUMBER(MATCH($A105,'Eventos y Previsión'!$B$4:$B$24,0)),INDEX('Eventos y Previsión'!$F$4:$F$24,MATCH($A105,'Eventos y Previsión'!$B$4:$B$24,0)),AVERAGEIFS('Facturación 2025'!$F$4:$F$303,'Facturación 2025'!$B$4:$B$303,$B105)),0)</f>
        <v>2049.8245999999995</v>
      </c>
      <c r="H105" s="53">
        <f t="shared" si="10"/>
        <v>-2049.8245999999995</v>
      </c>
      <c r="I105" s="49">
        <f t="shared" si="11"/>
        <v>-1</v>
      </c>
      <c r="J105" s="47">
        <f t="array" ref="J105">SUMPRODUCT(('Horarios Personal'!$A$5:$A$555=$A105)*IFERROR('Horarios Personal'!$L$5:$L$555*1,0))</f>
        <v>0</v>
      </c>
      <c r="K105" s="70" t="str">
        <f t="shared" si="12"/>
        <v/>
      </c>
      <c r="L105" s="58" t="str">
        <f t="array" ref="L105">IFERROR(INDEX('Eventos y Previsión'!$C$4:$C$24,SUMPRODUCT((LOWER('Eventos y Previsión'!$A$4:$A$24)=LOWER(TEXT($A105,"mmmm")))*(ISNUMBER(SEARCH(TEXT(DAY($A105),"00")&amp;"/"&amp;TEXT(MONTH($A105),"00"),'Eventos y Previsión'!$B$4:$B$24)))*ROW('Eventos y Previsión'!$A$4:$A$24))-ROW('Eventos y Previsión'!$A$3)),"")</f>
        <v/>
      </c>
    </row>
    <row r="106" spans="1:12" ht="15.75" customHeight="1">
      <c r="A106" s="62">
        <v>46180</v>
      </c>
      <c r="B106" s="46" t="str">
        <f t="shared" si="8"/>
        <v>dom</v>
      </c>
      <c r="C106" s="47">
        <f>SUMIFS('Detalle Turnos'!$E:$E,'Detalle Turnos'!$A:$A,$A106,'Detalle Turnos'!$B:$B,"Mañana")</f>
        <v>0</v>
      </c>
      <c r="D106" s="47">
        <f>SUMIFS('Detalle Turnos'!$E:$E,'Detalle Turnos'!$A:$A,$A106,'Detalle Turnos'!$B:$B,"Mediodia")</f>
        <v>0</v>
      </c>
      <c r="E106" s="47">
        <f>SUMIFS('Detalle Turnos'!$E:$E,'Detalle Turnos'!$A:$A,$A106,'Detalle Turnos'!$B:$B,"Noche")</f>
        <v>0</v>
      </c>
      <c r="F106" s="48">
        <f t="shared" si="9"/>
        <v>0</v>
      </c>
      <c r="G106" s="47">
        <f>IFERROR(IF(ISNUMBER(MATCH($A106,'Eventos y Previsión'!$B$4:$B$24,0)),INDEX('Eventos y Previsión'!$F$4:$F$24,MATCH($A106,'Eventos y Previsión'!$B$4:$B$24,0)),AVERAGEIFS('Facturación 2025'!$F$4:$F$303,'Facturación 2025'!$B$4:$B$303,$B106)),0)</f>
        <v>1690.062558139535</v>
      </c>
      <c r="H106" s="53">
        <f t="shared" si="10"/>
        <v>-1690.062558139535</v>
      </c>
      <c r="I106" s="49">
        <f t="shared" si="11"/>
        <v>-1</v>
      </c>
      <c r="J106" s="47">
        <f t="array" ref="J106">SUMPRODUCT(('Horarios Personal'!$A$5:$A$555=$A106)*IFERROR('Horarios Personal'!$L$5:$L$555*1,0))</f>
        <v>0</v>
      </c>
      <c r="K106" s="70" t="str">
        <f t="shared" si="12"/>
        <v/>
      </c>
      <c r="L106" s="58" t="str">
        <f t="array" ref="L106">IFERROR(INDEX('Eventos y Previsión'!$C$4:$C$24,SUMPRODUCT((LOWER('Eventos y Previsión'!$A$4:$A$24)=LOWER(TEXT($A106,"mmmm")))*(ISNUMBER(SEARCH(TEXT(DAY($A106),"00")&amp;"/"&amp;TEXT(MONTH($A106),"00"),'Eventos y Previsión'!$B$4:$B$24)))*ROW('Eventos y Previsión'!$A$4:$A$24))-ROW('Eventos y Previsión'!$A$3)),"")</f>
        <v/>
      </c>
    </row>
    <row r="107" spans="1:12" ht="15.75" customHeight="1">
      <c r="A107" s="62">
        <v>46183</v>
      </c>
      <c r="B107" s="46" t="str">
        <f t="shared" si="8"/>
        <v>mié</v>
      </c>
      <c r="C107" s="47">
        <f>SUMIFS('Detalle Turnos'!$E:$E,'Detalle Turnos'!$A:$A,$A107,'Detalle Turnos'!$B:$B,"Mañana")</f>
        <v>0</v>
      </c>
      <c r="D107" s="47">
        <f>SUMIFS('Detalle Turnos'!$E:$E,'Detalle Turnos'!$A:$A,$A107,'Detalle Turnos'!$B:$B,"Mediodia")</f>
        <v>0</v>
      </c>
      <c r="E107" s="47">
        <f>SUMIFS('Detalle Turnos'!$E:$E,'Detalle Turnos'!$A:$A,$A107,'Detalle Turnos'!$B:$B,"Noche")</f>
        <v>0</v>
      </c>
      <c r="F107" s="48">
        <f t="shared" si="9"/>
        <v>0</v>
      </c>
      <c r="G107" s="47">
        <f>IFERROR(IF(ISNUMBER(MATCH($A107,'Eventos y Previsión'!$B$4:$B$24,0)),INDEX('Eventos y Previsión'!$F$4:$F$24,MATCH($A107,'Eventos y Previsión'!$B$4:$B$24,0)),AVERAGEIFS('Facturación 2025'!$F$4:$F$303,'Facturación 2025'!$B$4:$B$303,$B107)),0)</f>
        <v>1039.9519512195122</v>
      </c>
      <c r="H107" s="53">
        <f t="shared" si="10"/>
        <v>-1039.9519512195122</v>
      </c>
      <c r="I107" s="49">
        <f t="shared" si="11"/>
        <v>-1</v>
      </c>
      <c r="J107" s="47">
        <f t="array" ref="J107">SUMPRODUCT(('Horarios Personal'!$A$5:$A$555=$A107)*IFERROR('Horarios Personal'!$L$5:$L$555*1,0))</f>
        <v>0</v>
      </c>
      <c r="K107" s="70" t="str">
        <f t="shared" si="12"/>
        <v/>
      </c>
      <c r="L107" s="58" t="str">
        <f t="array" ref="L107">IFERROR(INDEX('Eventos y Previsión'!$C$4:$C$24,SUMPRODUCT((LOWER('Eventos y Previsión'!$A$4:$A$24)=LOWER(TEXT($A107,"mmmm")))*(ISNUMBER(SEARCH(TEXT(DAY($A107),"00")&amp;"/"&amp;TEXT(MONTH($A107),"00"),'Eventos y Previsión'!$B$4:$B$24)))*ROW('Eventos y Previsión'!$A$4:$A$24))-ROW('Eventos y Previsión'!$A$3)),"")</f>
        <v/>
      </c>
    </row>
    <row r="108" spans="1:12" ht="15.75" customHeight="1">
      <c r="A108" s="62">
        <v>46184</v>
      </c>
      <c r="B108" s="46" t="str">
        <f t="shared" si="8"/>
        <v>jue</v>
      </c>
      <c r="C108" s="47">
        <f>SUMIFS('Detalle Turnos'!$E:$E,'Detalle Turnos'!$A:$A,$A108,'Detalle Turnos'!$B:$B,"Mañana")</f>
        <v>0</v>
      </c>
      <c r="D108" s="47">
        <f>SUMIFS('Detalle Turnos'!$E:$E,'Detalle Turnos'!$A:$A,$A108,'Detalle Turnos'!$B:$B,"Mediodia")</f>
        <v>0</v>
      </c>
      <c r="E108" s="47">
        <f>SUMIFS('Detalle Turnos'!$E:$E,'Detalle Turnos'!$A:$A,$A108,'Detalle Turnos'!$B:$B,"Noche")</f>
        <v>0</v>
      </c>
      <c r="F108" s="48">
        <f t="shared" si="9"/>
        <v>0</v>
      </c>
      <c r="G108" s="47">
        <f>IFERROR(IF(ISNUMBER(MATCH($A108,'Eventos y Previsión'!$B$4:$B$24,0)),INDEX('Eventos y Previsión'!$F$4:$F$24,MATCH($A108,'Eventos y Previsión'!$B$4:$B$24,0)),AVERAGEIFS('Facturación 2025'!$F$4:$F$303,'Facturación 2025'!$B$4:$B$303,$B108)),0)</f>
        <v>1100.2225000000003</v>
      </c>
      <c r="H108" s="53">
        <f t="shared" si="10"/>
        <v>-1100.2225000000003</v>
      </c>
      <c r="I108" s="49">
        <f t="shared" si="11"/>
        <v>-1</v>
      </c>
      <c r="J108" s="47">
        <f t="array" ref="J108">SUMPRODUCT(('Horarios Personal'!$A$5:$A$555=$A108)*IFERROR('Horarios Personal'!$L$5:$L$555*1,0))</f>
        <v>0</v>
      </c>
      <c r="K108" s="70" t="str">
        <f t="shared" si="12"/>
        <v/>
      </c>
      <c r="L108" s="58" t="str">
        <f t="array" ref="L108">IFERROR(INDEX('Eventos y Previsión'!$C$4:$C$24,SUMPRODUCT((LOWER('Eventos y Previsión'!$A$4:$A$24)=LOWER(TEXT($A108,"mmmm")))*(ISNUMBER(SEARCH(TEXT(DAY($A108),"00")&amp;"/"&amp;TEXT(MONTH($A108),"00"),'Eventos y Previsión'!$B$4:$B$24)))*ROW('Eventos y Previsión'!$A$4:$A$24))-ROW('Eventos y Previsión'!$A$3)),"")</f>
        <v/>
      </c>
    </row>
    <row r="109" spans="1:12" ht="15.75" customHeight="1">
      <c r="A109" s="62">
        <v>46185</v>
      </c>
      <c r="B109" s="46" t="str">
        <f t="shared" si="8"/>
        <v>vie</v>
      </c>
      <c r="C109" s="47">
        <f>SUMIFS('Detalle Turnos'!$E:$E,'Detalle Turnos'!$A:$A,$A109,'Detalle Turnos'!$B:$B,"Mañana")</f>
        <v>0</v>
      </c>
      <c r="D109" s="47">
        <f>SUMIFS('Detalle Turnos'!$E:$E,'Detalle Turnos'!$A:$A,$A109,'Detalle Turnos'!$B:$B,"Mediodia")</f>
        <v>0</v>
      </c>
      <c r="E109" s="47">
        <f>SUMIFS('Detalle Turnos'!$E:$E,'Detalle Turnos'!$A:$A,$A109,'Detalle Turnos'!$B:$B,"Noche")</f>
        <v>0</v>
      </c>
      <c r="F109" s="48">
        <f t="shared" si="9"/>
        <v>0</v>
      </c>
      <c r="G109" s="47">
        <f>IFERROR(IF(ISNUMBER(MATCH($A109,'Eventos y Previsión'!$B$4:$B$24,0)),INDEX('Eventos y Previsión'!$F$4:$F$24,MATCH($A109,'Eventos y Previsión'!$B$4:$B$24,0)),AVERAGEIFS('Facturación 2025'!$F$4:$F$303,'Facturación 2025'!$B$4:$B$303,$B109)),0)</f>
        <v>1865.4067441860466</v>
      </c>
      <c r="H109" s="53">
        <f t="shared" si="10"/>
        <v>-1865.4067441860466</v>
      </c>
      <c r="I109" s="49">
        <f t="shared" si="11"/>
        <v>-1</v>
      </c>
      <c r="J109" s="47">
        <f t="array" ref="J109">SUMPRODUCT(('Horarios Personal'!$A$5:$A$555=$A109)*IFERROR('Horarios Personal'!$L$5:$L$555*1,0))</f>
        <v>0</v>
      </c>
      <c r="K109" s="70" t="str">
        <f t="shared" si="12"/>
        <v/>
      </c>
      <c r="L109" s="58" t="str">
        <f t="array" ref="L109">IFERROR(INDEX('Eventos y Previsión'!$C$4:$C$24,SUMPRODUCT((LOWER('Eventos y Previsión'!$A$4:$A$24)=LOWER(TEXT($A109,"mmmm")))*(ISNUMBER(SEARCH(TEXT(DAY($A109),"00")&amp;"/"&amp;TEXT(MONTH($A109),"00"),'Eventos y Previsión'!$B$4:$B$24)))*ROW('Eventos y Previsión'!$A$4:$A$24))-ROW('Eventos y Previsión'!$A$3)),"")</f>
        <v/>
      </c>
    </row>
    <row r="110" spans="1:12" ht="15.75" customHeight="1">
      <c r="A110" s="62">
        <v>46186</v>
      </c>
      <c r="B110" s="46" t="str">
        <f t="shared" si="8"/>
        <v>sáb</v>
      </c>
      <c r="C110" s="47">
        <f>SUMIFS('Detalle Turnos'!$E:$E,'Detalle Turnos'!$A:$A,$A110,'Detalle Turnos'!$B:$B,"Mañana")</f>
        <v>0</v>
      </c>
      <c r="D110" s="47">
        <f>SUMIFS('Detalle Turnos'!$E:$E,'Detalle Turnos'!$A:$A,$A110,'Detalle Turnos'!$B:$B,"Mediodia")</f>
        <v>0</v>
      </c>
      <c r="E110" s="47">
        <f>SUMIFS('Detalle Turnos'!$E:$E,'Detalle Turnos'!$A:$A,$A110,'Detalle Turnos'!$B:$B,"Noche")</f>
        <v>0</v>
      </c>
      <c r="F110" s="48">
        <f t="shared" si="9"/>
        <v>0</v>
      </c>
      <c r="G110" s="47">
        <f>IFERROR(IF(ISNUMBER(MATCH($A110,'Eventos y Previsión'!$B$4:$B$24,0)),INDEX('Eventos y Previsión'!$F$4:$F$24,MATCH($A110,'Eventos y Previsión'!$B$4:$B$24,0)),AVERAGEIFS('Facturación 2025'!$F$4:$F$303,'Facturación 2025'!$B$4:$B$303,$B110)),0)</f>
        <v>2049.8245999999995</v>
      </c>
      <c r="H110" s="53">
        <f t="shared" si="10"/>
        <v>-2049.8245999999995</v>
      </c>
      <c r="I110" s="49">
        <f t="shared" si="11"/>
        <v>-1</v>
      </c>
      <c r="J110" s="47">
        <f t="array" ref="J110">SUMPRODUCT(('Horarios Personal'!$A$5:$A$555=$A110)*IFERROR('Horarios Personal'!$L$5:$L$555*1,0))</f>
        <v>0</v>
      </c>
      <c r="K110" s="70" t="str">
        <f t="shared" si="12"/>
        <v/>
      </c>
      <c r="L110" s="58" t="str">
        <f t="array" ref="L110">IFERROR(INDEX('Eventos y Previsión'!$C$4:$C$24,SUMPRODUCT((LOWER('Eventos y Previsión'!$A$4:$A$24)=LOWER(TEXT($A110,"mmmm")))*(ISNUMBER(SEARCH(TEXT(DAY($A110),"00")&amp;"/"&amp;TEXT(MONTH($A110),"00"),'Eventos y Previsión'!$B$4:$B$24)))*ROW('Eventos y Previsión'!$A$4:$A$24))-ROW('Eventos y Previsión'!$A$3)),"")</f>
        <v/>
      </c>
    </row>
    <row r="111" spans="1:12" ht="15.75" customHeight="1">
      <c r="A111" s="62">
        <v>46187</v>
      </c>
      <c r="B111" s="46" t="str">
        <f t="shared" si="8"/>
        <v>dom</v>
      </c>
      <c r="C111" s="47">
        <f>SUMIFS('Detalle Turnos'!$E:$E,'Detalle Turnos'!$A:$A,$A111,'Detalle Turnos'!$B:$B,"Mañana")</f>
        <v>0</v>
      </c>
      <c r="D111" s="47">
        <f>SUMIFS('Detalle Turnos'!$E:$E,'Detalle Turnos'!$A:$A,$A111,'Detalle Turnos'!$B:$B,"Mediodia")</f>
        <v>0</v>
      </c>
      <c r="E111" s="47">
        <f>SUMIFS('Detalle Turnos'!$E:$E,'Detalle Turnos'!$A:$A,$A111,'Detalle Turnos'!$B:$B,"Noche")</f>
        <v>0</v>
      </c>
      <c r="F111" s="48">
        <f t="shared" si="9"/>
        <v>0</v>
      </c>
      <c r="G111" s="47">
        <f>IFERROR(IF(ISNUMBER(MATCH($A111,'Eventos y Previsión'!$B$4:$B$24,0)),INDEX('Eventos y Previsión'!$F$4:$F$24,MATCH($A111,'Eventos y Previsión'!$B$4:$B$24,0)),AVERAGEIFS('Facturación 2025'!$F$4:$F$303,'Facturación 2025'!$B$4:$B$303,$B111)),0)</f>
        <v>1690.062558139535</v>
      </c>
      <c r="H111" s="53">
        <f t="shared" si="10"/>
        <v>-1690.062558139535</v>
      </c>
      <c r="I111" s="49">
        <f t="shared" si="11"/>
        <v>-1</v>
      </c>
      <c r="J111" s="47">
        <f t="array" ref="J111">SUMPRODUCT(('Horarios Personal'!$A$5:$A$555=$A111)*IFERROR('Horarios Personal'!$L$5:$L$555*1,0))</f>
        <v>0</v>
      </c>
      <c r="K111" s="70" t="str">
        <f t="shared" si="12"/>
        <v/>
      </c>
      <c r="L111" s="58" t="str">
        <f t="array" ref="L111">IFERROR(INDEX('Eventos y Previsión'!$C$4:$C$24,SUMPRODUCT((LOWER('Eventos y Previsión'!$A$4:$A$24)=LOWER(TEXT($A111,"mmmm")))*(ISNUMBER(SEARCH(TEXT(DAY($A111),"00")&amp;"/"&amp;TEXT(MONTH($A111),"00"),'Eventos y Previsión'!$B$4:$B$24)))*ROW('Eventos y Previsión'!$A$4:$A$24))-ROW('Eventos y Previsión'!$A$3)),"")</f>
        <v/>
      </c>
    </row>
    <row r="112" spans="1:12" ht="15.75" customHeight="1">
      <c r="A112" s="62">
        <v>46190</v>
      </c>
      <c r="B112" s="46" t="str">
        <f t="shared" si="8"/>
        <v>mié</v>
      </c>
      <c r="C112" s="47">
        <f>SUMIFS('Detalle Turnos'!$E:$E,'Detalle Turnos'!$A:$A,$A112,'Detalle Turnos'!$B:$B,"Mañana")</f>
        <v>0</v>
      </c>
      <c r="D112" s="47">
        <f>SUMIFS('Detalle Turnos'!$E:$E,'Detalle Turnos'!$A:$A,$A112,'Detalle Turnos'!$B:$B,"Mediodia")</f>
        <v>0</v>
      </c>
      <c r="E112" s="47">
        <f>SUMIFS('Detalle Turnos'!$E:$E,'Detalle Turnos'!$A:$A,$A112,'Detalle Turnos'!$B:$B,"Noche")</f>
        <v>0</v>
      </c>
      <c r="F112" s="48">
        <f t="shared" si="9"/>
        <v>0</v>
      </c>
      <c r="G112" s="47">
        <f>IFERROR(IF(ISNUMBER(MATCH($A112,'Eventos y Previsión'!$B$4:$B$24,0)),INDEX('Eventos y Previsión'!$F$4:$F$24,MATCH($A112,'Eventos y Previsión'!$B$4:$B$24,0)),AVERAGEIFS('Facturación 2025'!$F$4:$F$303,'Facturación 2025'!$B$4:$B$303,$B112)),0)</f>
        <v>1039.9519512195122</v>
      </c>
      <c r="H112" s="53">
        <f t="shared" si="10"/>
        <v>-1039.9519512195122</v>
      </c>
      <c r="I112" s="49">
        <f t="shared" si="11"/>
        <v>-1</v>
      </c>
      <c r="J112" s="47">
        <f t="array" ref="J112">SUMPRODUCT(('Horarios Personal'!$A$5:$A$555=$A112)*IFERROR('Horarios Personal'!$L$5:$L$555*1,0))</f>
        <v>0</v>
      </c>
      <c r="K112" s="70" t="str">
        <f t="shared" si="12"/>
        <v/>
      </c>
      <c r="L112" s="58" t="str">
        <f t="array" ref="L112">IFERROR(INDEX('Eventos y Previsión'!$C$4:$C$24,SUMPRODUCT((LOWER('Eventos y Previsión'!$A$4:$A$24)=LOWER(TEXT($A112,"mmmm")))*(ISNUMBER(SEARCH(TEXT(DAY($A112),"00")&amp;"/"&amp;TEXT(MONTH($A112),"00"),'Eventos y Previsión'!$B$4:$B$24)))*ROW('Eventos y Previsión'!$A$4:$A$24))-ROW('Eventos y Previsión'!$A$3)),"")</f>
        <v/>
      </c>
    </row>
    <row r="113" spans="1:12" ht="15.75" customHeight="1">
      <c r="A113" s="62">
        <v>46191</v>
      </c>
      <c r="B113" s="46" t="str">
        <f t="shared" si="8"/>
        <v>jue</v>
      </c>
      <c r="C113" s="47">
        <f>SUMIFS('Detalle Turnos'!$E:$E,'Detalle Turnos'!$A:$A,$A113,'Detalle Turnos'!$B:$B,"Mañana")</f>
        <v>0</v>
      </c>
      <c r="D113" s="47">
        <f>SUMIFS('Detalle Turnos'!$E:$E,'Detalle Turnos'!$A:$A,$A113,'Detalle Turnos'!$B:$B,"Mediodia")</f>
        <v>0</v>
      </c>
      <c r="E113" s="47">
        <f>SUMIFS('Detalle Turnos'!$E:$E,'Detalle Turnos'!$A:$A,$A113,'Detalle Turnos'!$B:$B,"Noche")</f>
        <v>0</v>
      </c>
      <c r="F113" s="48">
        <f t="shared" si="9"/>
        <v>0</v>
      </c>
      <c r="G113" s="47">
        <f>IFERROR(IF(ISNUMBER(MATCH($A113,'Eventos y Previsión'!$B$4:$B$24,0)),INDEX('Eventos y Previsión'!$F$4:$F$24,MATCH($A113,'Eventos y Previsión'!$B$4:$B$24,0)),AVERAGEIFS('Facturación 2025'!$F$4:$F$303,'Facturación 2025'!$B$4:$B$303,$B113)),0)</f>
        <v>1100.2225000000003</v>
      </c>
      <c r="H113" s="53">
        <f t="shared" si="10"/>
        <v>-1100.2225000000003</v>
      </c>
      <c r="I113" s="49">
        <f t="shared" si="11"/>
        <v>-1</v>
      </c>
      <c r="J113" s="47">
        <f t="array" ref="J113">SUMPRODUCT(('Horarios Personal'!$A$5:$A$555=$A113)*IFERROR('Horarios Personal'!$L$5:$L$555*1,0))</f>
        <v>0</v>
      </c>
      <c r="K113" s="70" t="str">
        <f t="shared" si="12"/>
        <v/>
      </c>
      <c r="L113" s="58" t="str">
        <f t="array" ref="L113">IFERROR(INDEX('Eventos y Previsión'!$C$4:$C$24,SUMPRODUCT((LOWER('Eventos y Previsión'!$A$4:$A$24)=LOWER(TEXT($A113,"mmmm")))*(ISNUMBER(SEARCH(TEXT(DAY($A113),"00")&amp;"/"&amp;TEXT(MONTH($A113),"00"),'Eventos y Previsión'!$B$4:$B$24)))*ROW('Eventos y Previsión'!$A$4:$A$24))-ROW('Eventos y Previsión'!$A$3)),"")</f>
        <v/>
      </c>
    </row>
    <row r="114" spans="1:12" ht="15.75" customHeight="1">
      <c r="A114" s="62">
        <v>46192</v>
      </c>
      <c r="B114" s="46" t="str">
        <f t="shared" si="8"/>
        <v>vie</v>
      </c>
      <c r="C114" s="47">
        <f>SUMIFS('Detalle Turnos'!$E:$E,'Detalle Turnos'!$A:$A,$A114,'Detalle Turnos'!$B:$B,"Mañana")</f>
        <v>0</v>
      </c>
      <c r="D114" s="47">
        <f>SUMIFS('Detalle Turnos'!$E:$E,'Detalle Turnos'!$A:$A,$A114,'Detalle Turnos'!$B:$B,"Mediodia")</f>
        <v>0</v>
      </c>
      <c r="E114" s="47">
        <f>SUMIFS('Detalle Turnos'!$E:$E,'Detalle Turnos'!$A:$A,$A114,'Detalle Turnos'!$B:$B,"Noche")</f>
        <v>0</v>
      </c>
      <c r="F114" s="48">
        <f t="shared" si="9"/>
        <v>0</v>
      </c>
      <c r="G114" s="47">
        <f>IFERROR(IF(ISNUMBER(MATCH($A114,'Eventos y Previsión'!$B$4:$B$24,0)),INDEX('Eventos y Previsión'!$F$4:$F$24,MATCH($A114,'Eventos y Previsión'!$B$4:$B$24,0)),AVERAGEIFS('Facturación 2025'!$F$4:$F$303,'Facturación 2025'!$B$4:$B$303,$B114)),0)</f>
        <v>1865.4067441860466</v>
      </c>
      <c r="H114" s="53">
        <f t="shared" si="10"/>
        <v>-1865.4067441860466</v>
      </c>
      <c r="I114" s="49">
        <f t="shared" si="11"/>
        <v>-1</v>
      </c>
      <c r="J114" s="47">
        <f t="array" ref="J114">SUMPRODUCT(('Horarios Personal'!$A$5:$A$555=$A114)*IFERROR('Horarios Personal'!$L$5:$L$555*1,0))</f>
        <v>0</v>
      </c>
      <c r="K114" s="70" t="str">
        <f t="shared" si="12"/>
        <v/>
      </c>
      <c r="L114" s="58" t="str">
        <f t="array" ref="L114">IFERROR(INDEX('Eventos y Previsión'!$C$4:$C$24,SUMPRODUCT((LOWER('Eventos y Previsión'!$A$4:$A$24)=LOWER(TEXT($A114,"mmmm")))*(ISNUMBER(SEARCH(TEXT(DAY($A114),"00")&amp;"/"&amp;TEXT(MONTH($A114),"00"),'Eventos y Previsión'!$B$4:$B$24)))*ROW('Eventos y Previsión'!$A$4:$A$24))-ROW('Eventos y Previsión'!$A$3)),"")</f>
        <v/>
      </c>
    </row>
    <row r="115" spans="1:12" ht="15.75" customHeight="1">
      <c r="A115" s="62">
        <v>46193</v>
      </c>
      <c r="B115" s="46" t="str">
        <f t="shared" si="8"/>
        <v>sáb</v>
      </c>
      <c r="C115" s="47">
        <f>SUMIFS('Detalle Turnos'!$E:$E,'Detalle Turnos'!$A:$A,$A115,'Detalle Turnos'!$B:$B,"Mañana")</f>
        <v>0</v>
      </c>
      <c r="D115" s="47">
        <f>SUMIFS('Detalle Turnos'!$E:$E,'Detalle Turnos'!$A:$A,$A115,'Detalle Turnos'!$B:$B,"Mediodia")</f>
        <v>0</v>
      </c>
      <c r="E115" s="47">
        <f>SUMIFS('Detalle Turnos'!$E:$E,'Detalle Turnos'!$A:$A,$A115,'Detalle Turnos'!$B:$B,"Noche")</f>
        <v>0</v>
      </c>
      <c r="F115" s="48">
        <f t="shared" si="9"/>
        <v>0</v>
      </c>
      <c r="G115" s="47">
        <f>IFERROR(IF(ISNUMBER(MATCH($A115,'Eventos y Previsión'!$B$4:$B$24,0)),INDEX('Eventos y Previsión'!$F$4:$F$24,MATCH($A115,'Eventos y Previsión'!$B$4:$B$24,0)),AVERAGEIFS('Facturación 2025'!$F$4:$F$303,'Facturación 2025'!$B$4:$B$303,$B115)),0)</f>
        <v>2049.8245999999995</v>
      </c>
      <c r="H115" s="53">
        <f t="shared" si="10"/>
        <v>-2049.8245999999995</v>
      </c>
      <c r="I115" s="49">
        <f t="shared" si="11"/>
        <v>-1</v>
      </c>
      <c r="J115" s="47">
        <f t="array" ref="J115">SUMPRODUCT(('Horarios Personal'!$A$5:$A$555=$A115)*IFERROR('Horarios Personal'!$L$5:$L$555*1,0))</f>
        <v>0</v>
      </c>
      <c r="K115" s="70" t="str">
        <f t="shared" si="12"/>
        <v/>
      </c>
      <c r="L115" s="58" t="str">
        <f t="array" ref="L115">IFERROR(INDEX('Eventos y Previsión'!$C$4:$C$24,SUMPRODUCT((LOWER('Eventos y Previsión'!$A$4:$A$24)=LOWER(TEXT($A115,"mmmm")))*(ISNUMBER(SEARCH(TEXT(DAY($A115),"00")&amp;"/"&amp;TEXT(MONTH($A115),"00"),'Eventos y Previsión'!$B$4:$B$24)))*ROW('Eventos y Previsión'!$A$4:$A$24))-ROW('Eventos y Previsión'!$A$3)),"")</f>
        <v/>
      </c>
    </row>
    <row r="116" spans="1:12" ht="15.75" customHeight="1">
      <c r="A116" s="62">
        <v>46194</v>
      </c>
      <c r="B116" s="46" t="str">
        <f t="shared" si="8"/>
        <v>dom</v>
      </c>
      <c r="C116" s="47">
        <f>SUMIFS('Detalle Turnos'!$E:$E,'Detalle Turnos'!$A:$A,$A116,'Detalle Turnos'!$B:$B,"Mañana")</f>
        <v>0</v>
      </c>
      <c r="D116" s="47">
        <f>SUMIFS('Detalle Turnos'!$E:$E,'Detalle Turnos'!$A:$A,$A116,'Detalle Turnos'!$B:$B,"Mediodia")</f>
        <v>0</v>
      </c>
      <c r="E116" s="47">
        <f>SUMIFS('Detalle Turnos'!$E:$E,'Detalle Turnos'!$A:$A,$A116,'Detalle Turnos'!$B:$B,"Noche")</f>
        <v>0</v>
      </c>
      <c r="F116" s="48">
        <f t="shared" si="9"/>
        <v>0</v>
      </c>
      <c r="G116" s="47">
        <f>IFERROR(IF(ISNUMBER(MATCH($A116,'Eventos y Previsión'!$B$4:$B$24,0)),INDEX('Eventos y Previsión'!$F$4:$F$24,MATCH($A116,'Eventos y Previsión'!$B$4:$B$24,0)),AVERAGEIFS('Facturación 2025'!$F$4:$F$303,'Facturación 2025'!$B$4:$B$303,$B116)),0)</f>
        <v>1690.062558139535</v>
      </c>
      <c r="H116" s="53">
        <f t="shared" si="10"/>
        <v>-1690.062558139535</v>
      </c>
      <c r="I116" s="49">
        <f t="shared" si="11"/>
        <v>-1</v>
      </c>
      <c r="J116" s="47">
        <f t="array" ref="J116">SUMPRODUCT(('Horarios Personal'!$A$5:$A$555=$A116)*IFERROR('Horarios Personal'!$L$5:$L$555*1,0))</f>
        <v>0</v>
      </c>
      <c r="K116" s="70" t="str">
        <f t="shared" si="12"/>
        <v/>
      </c>
      <c r="L116" s="58" t="str">
        <f t="array" ref="L116">IFERROR(INDEX('Eventos y Previsión'!$C$4:$C$24,SUMPRODUCT((LOWER('Eventos y Previsión'!$A$4:$A$24)=LOWER(TEXT($A116,"mmmm")))*(ISNUMBER(SEARCH(TEXT(DAY($A116),"00")&amp;"/"&amp;TEXT(MONTH($A116),"00"),'Eventos y Previsión'!$B$4:$B$24)))*ROW('Eventos y Previsión'!$A$4:$A$24))-ROW('Eventos y Previsión'!$A$3)),"")</f>
        <v/>
      </c>
    </row>
    <row r="117" spans="1:12" ht="15.75" customHeight="1">
      <c r="A117" s="62">
        <v>46197</v>
      </c>
      <c r="B117" s="46" t="str">
        <f t="shared" si="8"/>
        <v>mié</v>
      </c>
      <c r="C117" s="47">
        <f>SUMIFS('Detalle Turnos'!$E:$E,'Detalle Turnos'!$A:$A,$A117,'Detalle Turnos'!$B:$B,"Mañana")</f>
        <v>0</v>
      </c>
      <c r="D117" s="47">
        <f>SUMIFS('Detalle Turnos'!$E:$E,'Detalle Turnos'!$A:$A,$A117,'Detalle Turnos'!$B:$B,"Mediodia")</f>
        <v>0</v>
      </c>
      <c r="E117" s="47">
        <f>SUMIFS('Detalle Turnos'!$E:$E,'Detalle Turnos'!$A:$A,$A117,'Detalle Turnos'!$B:$B,"Noche")</f>
        <v>0</v>
      </c>
      <c r="F117" s="48">
        <f t="shared" si="9"/>
        <v>0</v>
      </c>
      <c r="G117" s="47">
        <f>IFERROR(IF(ISNUMBER(MATCH($A117,'Eventos y Previsión'!$B$4:$B$24,0)),INDEX('Eventos y Previsión'!$F$4:$F$24,MATCH($A117,'Eventos y Previsión'!$B$4:$B$24,0)),AVERAGEIFS('Facturación 2025'!$F$4:$F$303,'Facturación 2025'!$B$4:$B$303,$B117)),0)</f>
        <v>1039.9519512195122</v>
      </c>
      <c r="H117" s="53">
        <f t="shared" si="10"/>
        <v>-1039.9519512195122</v>
      </c>
      <c r="I117" s="49">
        <f t="shared" si="11"/>
        <v>-1</v>
      </c>
      <c r="J117" s="47">
        <f t="array" ref="J117">SUMPRODUCT(('Horarios Personal'!$A$5:$A$555=$A117)*IFERROR('Horarios Personal'!$L$5:$L$555*1,0))</f>
        <v>0</v>
      </c>
      <c r="K117" s="70" t="str">
        <f t="shared" si="12"/>
        <v/>
      </c>
      <c r="L117" s="58" t="str">
        <f t="array" ref="L117">IFERROR(INDEX('Eventos y Previsión'!$C$4:$C$24,SUMPRODUCT((LOWER('Eventos y Previsión'!$A$4:$A$24)=LOWER(TEXT($A117,"mmmm")))*(ISNUMBER(SEARCH(TEXT(DAY($A117),"00")&amp;"/"&amp;TEXT(MONTH($A117),"00"),'Eventos y Previsión'!$B$4:$B$24)))*ROW('Eventos y Previsión'!$A$4:$A$24))-ROW('Eventos y Previsión'!$A$3)),"")</f>
        <v>San Juan / Caldeja't</v>
      </c>
    </row>
    <row r="118" spans="1:12" ht="15.75" customHeight="1">
      <c r="A118" s="62">
        <v>46198</v>
      </c>
      <c r="B118" s="46" t="str">
        <f t="shared" si="8"/>
        <v>jue</v>
      </c>
      <c r="C118" s="47">
        <f>SUMIFS('Detalle Turnos'!$E:$E,'Detalle Turnos'!$A:$A,$A118,'Detalle Turnos'!$B:$B,"Mañana")</f>
        <v>0</v>
      </c>
      <c r="D118" s="47">
        <f>SUMIFS('Detalle Turnos'!$E:$E,'Detalle Turnos'!$A:$A,$A118,'Detalle Turnos'!$B:$B,"Mediodia")</f>
        <v>0</v>
      </c>
      <c r="E118" s="47">
        <f>SUMIFS('Detalle Turnos'!$E:$E,'Detalle Turnos'!$A:$A,$A118,'Detalle Turnos'!$B:$B,"Noche")</f>
        <v>0</v>
      </c>
      <c r="F118" s="48">
        <f t="shared" si="9"/>
        <v>0</v>
      </c>
      <c r="G118" s="47">
        <f>IFERROR(IF(ISNUMBER(MATCH($A118,'Eventos y Previsión'!$B$4:$B$24,0)),INDEX('Eventos y Previsión'!$F$4:$F$24,MATCH($A118,'Eventos y Previsión'!$B$4:$B$24,0)),AVERAGEIFS('Facturación 2025'!$F$4:$F$303,'Facturación 2025'!$B$4:$B$303,$B118)),0)</f>
        <v>1100.2225000000003</v>
      </c>
      <c r="H118" s="53">
        <f t="shared" si="10"/>
        <v>-1100.2225000000003</v>
      </c>
      <c r="I118" s="49">
        <f t="shared" si="11"/>
        <v>-1</v>
      </c>
      <c r="J118" s="47">
        <f t="array" ref="J118">SUMPRODUCT(('Horarios Personal'!$A$5:$A$555=$A118)*IFERROR('Horarios Personal'!$L$5:$L$555*1,0))</f>
        <v>0</v>
      </c>
      <c r="K118" s="70" t="str">
        <f t="shared" si="12"/>
        <v/>
      </c>
      <c r="L118" s="58" t="str">
        <f t="array" ref="L118">IFERROR(INDEX('Eventos y Previsión'!$C$4:$C$24,SUMPRODUCT((LOWER('Eventos y Previsión'!$A$4:$A$24)=LOWER(TEXT($A118,"mmmm")))*(ISNUMBER(SEARCH(TEXT(DAY($A118),"00")&amp;"/"&amp;TEXT(MONTH($A118),"00"),'Eventos y Previsión'!$B$4:$B$24)))*ROW('Eventos y Previsión'!$A$4:$A$24))-ROW('Eventos y Previsión'!$A$3)),"")</f>
        <v/>
      </c>
    </row>
    <row r="119" spans="1:12" ht="15.75" customHeight="1">
      <c r="A119" s="62">
        <v>46199</v>
      </c>
      <c r="B119" s="46" t="str">
        <f t="shared" si="8"/>
        <v>vie</v>
      </c>
      <c r="C119" s="47">
        <f>SUMIFS('Detalle Turnos'!$E:$E,'Detalle Turnos'!$A:$A,$A119,'Detalle Turnos'!$B:$B,"Mañana")</f>
        <v>0</v>
      </c>
      <c r="D119" s="47">
        <f>SUMIFS('Detalle Turnos'!$E:$E,'Detalle Turnos'!$A:$A,$A119,'Detalle Turnos'!$B:$B,"Mediodia")</f>
        <v>0</v>
      </c>
      <c r="E119" s="47">
        <f>SUMIFS('Detalle Turnos'!$E:$E,'Detalle Turnos'!$A:$A,$A119,'Detalle Turnos'!$B:$B,"Noche")</f>
        <v>0</v>
      </c>
      <c r="F119" s="48">
        <f t="shared" si="9"/>
        <v>0</v>
      </c>
      <c r="G119" s="47">
        <f>IFERROR(IF(ISNUMBER(MATCH($A119,'Eventos y Previsión'!$B$4:$B$24,0)),INDEX('Eventos y Previsión'!$F$4:$F$24,MATCH($A119,'Eventos y Previsión'!$B$4:$B$24,0)),AVERAGEIFS('Facturación 2025'!$F$4:$F$303,'Facturación 2025'!$B$4:$B$303,$B119)),0)</f>
        <v>1865.4067441860466</v>
      </c>
      <c r="H119" s="53">
        <f t="shared" si="10"/>
        <v>-1865.4067441860466</v>
      </c>
      <c r="I119" s="49">
        <f t="shared" si="11"/>
        <v>-1</v>
      </c>
      <c r="J119" s="47">
        <f t="array" ref="J119">SUMPRODUCT(('Horarios Personal'!$A$5:$A$555=$A119)*IFERROR('Horarios Personal'!$L$5:$L$555*1,0))</f>
        <v>0</v>
      </c>
      <c r="K119" s="70" t="str">
        <f t="shared" si="12"/>
        <v/>
      </c>
      <c r="L119" s="58" t="str">
        <f t="array" ref="L119">IFERROR(INDEX('Eventos y Previsión'!$C$4:$C$24,SUMPRODUCT((LOWER('Eventos y Previsión'!$A$4:$A$24)=LOWER(TEXT($A119,"mmmm")))*(ISNUMBER(SEARCH(TEXT(DAY($A119),"00")&amp;"/"&amp;TEXT(MONTH($A119),"00"),'Eventos y Previsión'!$B$4:$B$24)))*ROW('Eventos y Previsión'!$A$4:$A$24))-ROW('Eventos y Previsión'!$A$3)),"")</f>
        <v/>
      </c>
    </row>
    <row r="120" spans="1:12" ht="15.75" customHeight="1">
      <c r="A120" s="62">
        <v>46200</v>
      </c>
      <c r="B120" s="46" t="str">
        <f t="shared" si="8"/>
        <v>sáb</v>
      </c>
      <c r="C120" s="47">
        <f>SUMIFS('Detalle Turnos'!$E:$E,'Detalle Turnos'!$A:$A,$A120,'Detalle Turnos'!$B:$B,"Mañana")</f>
        <v>0</v>
      </c>
      <c r="D120" s="47">
        <f>SUMIFS('Detalle Turnos'!$E:$E,'Detalle Turnos'!$A:$A,$A120,'Detalle Turnos'!$B:$B,"Mediodia")</f>
        <v>0</v>
      </c>
      <c r="E120" s="47">
        <f>SUMIFS('Detalle Turnos'!$E:$E,'Detalle Turnos'!$A:$A,$A120,'Detalle Turnos'!$B:$B,"Noche")</f>
        <v>0</v>
      </c>
      <c r="F120" s="48">
        <f t="shared" si="9"/>
        <v>0</v>
      </c>
      <c r="G120" s="47">
        <f>IFERROR(IF(ISNUMBER(MATCH($A120,'Eventos y Previsión'!$B$4:$B$24,0)),INDEX('Eventos y Previsión'!$F$4:$F$24,MATCH($A120,'Eventos y Previsión'!$B$4:$B$24,0)),AVERAGEIFS('Facturación 2025'!$F$4:$F$303,'Facturación 2025'!$B$4:$B$303,$B120)),0)</f>
        <v>2049.8245999999995</v>
      </c>
      <c r="H120" s="53">
        <f t="shared" si="10"/>
        <v>-2049.8245999999995</v>
      </c>
      <c r="I120" s="49">
        <f t="shared" si="11"/>
        <v>-1</v>
      </c>
      <c r="J120" s="47">
        <f t="array" ref="J120">SUMPRODUCT(('Horarios Personal'!$A$5:$A$555=$A120)*IFERROR('Horarios Personal'!$L$5:$L$555*1,0))</f>
        <v>0</v>
      </c>
      <c r="K120" s="70" t="str">
        <f t="shared" si="12"/>
        <v/>
      </c>
      <c r="L120" s="58" t="str">
        <f t="array" ref="L120">IFERROR(INDEX('Eventos y Previsión'!$C$4:$C$24,SUMPRODUCT((LOWER('Eventos y Previsión'!$A$4:$A$24)=LOWER(TEXT($A120,"mmmm")))*(ISNUMBER(SEARCH(TEXT(DAY($A120),"00")&amp;"/"&amp;TEXT(MONTH($A120),"00"),'Eventos y Previsión'!$B$4:$B$24)))*ROW('Eventos y Previsión'!$A$4:$A$24))-ROW('Eventos y Previsión'!$A$3)),"")</f>
        <v/>
      </c>
    </row>
    <row r="121" spans="1:12" ht="15.75" customHeight="1">
      <c r="A121" s="62">
        <v>46201</v>
      </c>
      <c r="B121" s="46" t="str">
        <f t="shared" si="8"/>
        <v>dom</v>
      </c>
      <c r="C121" s="47">
        <f>SUMIFS('Detalle Turnos'!$E:$E,'Detalle Turnos'!$A:$A,$A121,'Detalle Turnos'!$B:$B,"Mañana")</f>
        <v>0</v>
      </c>
      <c r="D121" s="47">
        <f>SUMIFS('Detalle Turnos'!$E:$E,'Detalle Turnos'!$A:$A,$A121,'Detalle Turnos'!$B:$B,"Mediodia")</f>
        <v>0</v>
      </c>
      <c r="E121" s="47">
        <f>SUMIFS('Detalle Turnos'!$E:$E,'Detalle Turnos'!$A:$A,$A121,'Detalle Turnos'!$B:$B,"Noche")</f>
        <v>0</v>
      </c>
      <c r="F121" s="48">
        <f t="shared" si="9"/>
        <v>0</v>
      </c>
      <c r="G121" s="47">
        <f>IFERROR(IF(ISNUMBER(MATCH($A121,'Eventos y Previsión'!$B$4:$B$24,0)),INDEX('Eventos y Previsión'!$F$4:$F$24,MATCH($A121,'Eventos y Previsión'!$B$4:$B$24,0)),AVERAGEIFS('Facturación 2025'!$F$4:$F$303,'Facturación 2025'!$B$4:$B$303,$B121)),0)</f>
        <v>1690.062558139535</v>
      </c>
      <c r="H121" s="53">
        <f t="shared" si="10"/>
        <v>-1690.062558139535</v>
      </c>
      <c r="I121" s="49">
        <f t="shared" si="11"/>
        <v>-1</v>
      </c>
      <c r="J121" s="47">
        <f t="array" ref="J121">SUMPRODUCT(('Horarios Personal'!$A$5:$A$555=$A121)*IFERROR('Horarios Personal'!$L$5:$L$555*1,0))</f>
        <v>0</v>
      </c>
      <c r="K121" s="70" t="str">
        <f t="shared" si="12"/>
        <v/>
      </c>
      <c r="L121" s="58" t="str">
        <f t="array" ref="L121">IFERROR(INDEX('Eventos y Previsión'!$C$4:$C$24,SUMPRODUCT((LOWER('Eventos y Previsión'!$A$4:$A$24)=LOWER(TEXT($A121,"mmmm")))*(ISNUMBER(SEARCH(TEXT(DAY($A121),"00")&amp;"/"&amp;TEXT(MONTH($A121),"00"),'Eventos y Previsión'!$B$4:$B$24)))*ROW('Eventos y Previsión'!$A$4:$A$24))-ROW('Eventos y Previsión'!$A$3)),"")</f>
        <v/>
      </c>
    </row>
    <row r="122" spans="1:12" ht="15.75" customHeight="1">
      <c r="A122" s="62">
        <v>46204</v>
      </c>
      <c r="B122" s="46" t="str">
        <f t="shared" si="8"/>
        <v>mié</v>
      </c>
      <c r="C122" s="47">
        <f>SUMIFS('Detalle Turnos'!$E:$E,'Detalle Turnos'!$A:$A,$A122,'Detalle Turnos'!$B:$B,"Mañana")</f>
        <v>0</v>
      </c>
      <c r="D122" s="47">
        <f>SUMIFS('Detalle Turnos'!$E:$E,'Detalle Turnos'!$A:$A,$A122,'Detalle Turnos'!$B:$B,"Mediodia")</f>
        <v>0</v>
      </c>
      <c r="E122" s="47">
        <f>SUMIFS('Detalle Turnos'!$E:$E,'Detalle Turnos'!$A:$A,$A122,'Detalle Turnos'!$B:$B,"Noche")</f>
        <v>0</v>
      </c>
      <c r="F122" s="48">
        <f t="shared" si="9"/>
        <v>0</v>
      </c>
      <c r="G122" s="47">
        <f>IFERROR(IF(ISNUMBER(MATCH($A122,'Eventos y Previsión'!$B$4:$B$24,0)),INDEX('Eventos y Previsión'!$F$4:$F$24,MATCH($A122,'Eventos y Previsión'!$B$4:$B$24,0)),AVERAGEIFS('Facturación 2025'!$F$4:$F$303,'Facturación 2025'!$B$4:$B$303,$B122)),0)</f>
        <v>1039.9519512195122</v>
      </c>
      <c r="H122" s="53">
        <f t="shared" si="10"/>
        <v>-1039.9519512195122</v>
      </c>
      <c r="I122" s="49">
        <f t="shared" si="11"/>
        <v>-1</v>
      </c>
      <c r="J122" s="47">
        <f t="array" ref="J122">SUMPRODUCT(('Horarios Personal'!$A$5:$A$555=$A122)*IFERROR('Horarios Personal'!$L$5:$L$555*1,0))</f>
        <v>0</v>
      </c>
      <c r="K122" s="70" t="str">
        <f t="shared" si="12"/>
        <v/>
      </c>
      <c r="L122" s="58" t="str">
        <f t="array" ref="L122">IFERROR(INDEX('Eventos y Previsión'!$C$4:$C$24,SUMPRODUCT((LOWER('Eventos y Previsión'!$A$4:$A$24)=LOWER(TEXT($A122,"mmmm")))*(ISNUMBER(SEARCH(TEXT(DAY($A122),"00")&amp;"/"&amp;TEXT(MONTH($A122),"00"),'Eventos y Previsión'!$B$4:$B$24)))*ROW('Eventos y Previsión'!$A$4:$A$24))-ROW('Eventos y Previsión'!$A$3)),"")</f>
        <v/>
      </c>
    </row>
    <row r="123" spans="1:12" ht="15.75" customHeight="1">
      <c r="A123" s="62">
        <v>46205</v>
      </c>
      <c r="B123" s="46" t="str">
        <f t="shared" si="8"/>
        <v>jue</v>
      </c>
      <c r="C123" s="47">
        <f>SUMIFS('Detalle Turnos'!$E:$E,'Detalle Turnos'!$A:$A,$A123,'Detalle Turnos'!$B:$B,"Mañana")</f>
        <v>0</v>
      </c>
      <c r="D123" s="47">
        <f>SUMIFS('Detalle Turnos'!$E:$E,'Detalle Turnos'!$A:$A,$A123,'Detalle Turnos'!$B:$B,"Mediodia")</f>
        <v>0</v>
      </c>
      <c r="E123" s="47">
        <f>SUMIFS('Detalle Turnos'!$E:$E,'Detalle Turnos'!$A:$A,$A123,'Detalle Turnos'!$B:$B,"Noche")</f>
        <v>0</v>
      </c>
      <c r="F123" s="48">
        <f t="shared" si="9"/>
        <v>0</v>
      </c>
      <c r="G123" s="47">
        <f>IFERROR(IF(ISNUMBER(MATCH($A123,'Eventos y Previsión'!$B$4:$B$24,0)),INDEX('Eventos y Previsión'!$F$4:$F$24,MATCH($A123,'Eventos y Previsión'!$B$4:$B$24,0)),AVERAGEIFS('Facturación 2025'!$F$4:$F$303,'Facturación 2025'!$B$4:$B$303,$B123)),0)</f>
        <v>1100.2225000000003</v>
      </c>
      <c r="H123" s="53">
        <f t="shared" si="10"/>
        <v>-1100.2225000000003</v>
      </c>
      <c r="I123" s="49">
        <f t="shared" si="11"/>
        <v>-1</v>
      </c>
      <c r="J123" s="47">
        <f t="array" ref="J123">SUMPRODUCT(('Horarios Personal'!$A$5:$A$555=$A123)*IFERROR('Horarios Personal'!$L$5:$L$555*1,0))</f>
        <v>0</v>
      </c>
      <c r="K123" s="70" t="str">
        <f t="shared" si="12"/>
        <v/>
      </c>
      <c r="L123" s="58" t="str">
        <f t="array" ref="L123">IFERROR(INDEX('Eventos y Previsión'!$C$4:$C$24,SUMPRODUCT((LOWER('Eventos y Previsión'!$A$4:$A$24)=LOWER(TEXT($A123,"mmmm")))*(ISNUMBER(SEARCH(TEXT(DAY($A123),"00")&amp;"/"&amp;TEXT(MONTH($A123),"00"),'Eventos y Previsión'!$B$4:$B$24)))*ROW('Eventos y Previsión'!$A$4:$A$24))-ROW('Eventos y Previsión'!$A$3)),"")</f>
        <v/>
      </c>
    </row>
    <row r="124" spans="1:12" ht="15.75" customHeight="1">
      <c r="A124" s="62">
        <v>46206</v>
      </c>
      <c r="B124" s="46" t="str">
        <f t="shared" si="8"/>
        <v>vie</v>
      </c>
      <c r="C124" s="47">
        <f>SUMIFS('Detalle Turnos'!$E:$E,'Detalle Turnos'!$A:$A,$A124,'Detalle Turnos'!$B:$B,"Mañana")</f>
        <v>0</v>
      </c>
      <c r="D124" s="47">
        <f>SUMIFS('Detalle Turnos'!$E:$E,'Detalle Turnos'!$A:$A,$A124,'Detalle Turnos'!$B:$B,"Mediodia")</f>
        <v>0</v>
      </c>
      <c r="E124" s="47">
        <f>SUMIFS('Detalle Turnos'!$E:$E,'Detalle Turnos'!$A:$A,$A124,'Detalle Turnos'!$B:$B,"Noche")</f>
        <v>0</v>
      </c>
      <c r="F124" s="48">
        <f t="shared" si="9"/>
        <v>0</v>
      </c>
      <c r="G124" s="47">
        <f>IFERROR(IF(ISNUMBER(MATCH($A124,'Eventos y Previsión'!$B$4:$B$24,0)),INDEX('Eventos y Previsión'!$F$4:$F$24,MATCH($A124,'Eventos y Previsión'!$B$4:$B$24,0)),AVERAGEIFS('Facturación 2025'!$F$4:$F$303,'Facturación 2025'!$B$4:$B$303,$B124)),0)</f>
        <v>1865.4067441860466</v>
      </c>
      <c r="H124" s="53">
        <f t="shared" si="10"/>
        <v>-1865.4067441860466</v>
      </c>
      <c r="I124" s="49">
        <f t="shared" si="11"/>
        <v>-1</v>
      </c>
      <c r="J124" s="47">
        <f t="array" ref="J124">SUMPRODUCT(('Horarios Personal'!$A$5:$A$555=$A124)*IFERROR('Horarios Personal'!$L$5:$L$555*1,0))</f>
        <v>0</v>
      </c>
      <c r="K124" s="70" t="str">
        <f t="shared" si="12"/>
        <v/>
      </c>
      <c r="L124" s="58" t="str">
        <f t="array" ref="L124">IFERROR(INDEX('Eventos y Previsión'!$C$4:$C$24,SUMPRODUCT((LOWER('Eventos y Previsión'!$A$4:$A$24)=LOWER(TEXT($A124,"mmmm")))*(ISNUMBER(SEARCH(TEXT(DAY($A124),"00")&amp;"/"&amp;TEXT(MONTH($A124),"00"),'Eventos y Previsión'!$B$4:$B$24)))*ROW('Eventos y Previsión'!$A$4:$A$24))-ROW('Eventos y Previsión'!$A$3)),"")</f>
        <v/>
      </c>
    </row>
    <row r="125" spans="1:12" ht="15.75" customHeight="1">
      <c r="A125" s="62">
        <v>46207</v>
      </c>
      <c r="B125" s="46" t="str">
        <f t="shared" si="8"/>
        <v>sáb</v>
      </c>
      <c r="C125" s="47">
        <f>SUMIFS('Detalle Turnos'!$E:$E,'Detalle Turnos'!$A:$A,$A125,'Detalle Turnos'!$B:$B,"Mañana")</f>
        <v>0</v>
      </c>
      <c r="D125" s="47">
        <f>SUMIFS('Detalle Turnos'!$E:$E,'Detalle Turnos'!$A:$A,$A125,'Detalle Turnos'!$B:$B,"Mediodia")</f>
        <v>0</v>
      </c>
      <c r="E125" s="47">
        <f>SUMIFS('Detalle Turnos'!$E:$E,'Detalle Turnos'!$A:$A,$A125,'Detalle Turnos'!$B:$B,"Noche")</f>
        <v>0</v>
      </c>
      <c r="F125" s="48">
        <f t="shared" si="9"/>
        <v>0</v>
      </c>
      <c r="G125" s="47">
        <f>IFERROR(IF(ISNUMBER(MATCH($A125,'Eventos y Previsión'!$B$4:$B$24,0)),INDEX('Eventos y Previsión'!$F$4:$F$24,MATCH($A125,'Eventos y Previsión'!$B$4:$B$24,0)),AVERAGEIFS('Facturación 2025'!$F$4:$F$303,'Facturación 2025'!$B$4:$B$303,$B125)),0)</f>
        <v>1800</v>
      </c>
      <c r="H125" s="53">
        <f t="shared" si="10"/>
        <v>-1800</v>
      </c>
      <c r="I125" s="49">
        <f t="shared" si="11"/>
        <v>-1</v>
      </c>
      <c r="J125" s="47">
        <f t="array" ref="J125">SUMPRODUCT(('Horarios Personal'!$A$5:$A$555=$A125)*IFERROR('Horarios Personal'!$L$5:$L$555*1,0))</f>
        <v>0</v>
      </c>
      <c r="K125" s="70" t="str">
        <f t="shared" si="12"/>
        <v/>
      </c>
      <c r="L125" s="58" t="str">
        <f t="array" ref="L125">IFERROR(INDEX('Eventos y Previsión'!$C$4:$C$24,SUMPRODUCT((LOWER('Eventos y Previsión'!$A$4:$A$24)=LOWER(TEXT($A125,"mmmm")))*(ISNUMBER(SEARCH(TEXT(DAY($A125),"00")&amp;"/"&amp;TEXT(MONTH($A125),"00"),'Eventos y Previsión'!$B$4:$B$24)))*ROW('Eventos y Previsión'!$A$4:$A$24))-ROW('Eventos y Previsión'!$A$3)),"")</f>
        <v/>
      </c>
    </row>
    <row r="126" spans="1:12" ht="15.75" customHeight="1">
      <c r="A126" s="62">
        <v>46208</v>
      </c>
      <c r="B126" s="46" t="str">
        <f t="shared" si="8"/>
        <v>dom</v>
      </c>
      <c r="C126" s="47">
        <f>SUMIFS('Detalle Turnos'!$E:$E,'Detalle Turnos'!$A:$A,$A126,'Detalle Turnos'!$B:$B,"Mañana")</f>
        <v>0</v>
      </c>
      <c r="D126" s="47">
        <f>SUMIFS('Detalle Turnos'!$E:$E,'Detalle Turnos'!$A:$A,$A126,'Detalle Turnos'!$B:$B,"Mediodia")</f>
        <v>0</v>
      </c>
      <c r="E126" s="47">
        <f>SUMIFS('Detalle Turnos'!$E:$E,'Detalle Turnos'!$A:$A,$A126,'Detalle Turnos'!$B:$B,"Noche")</f>
        <v>0</v>
      </c>
      <c r="F126" s="48">
        <f t="shared" si="9"/>
        <v>0</v>
      </c>
      <c r="G126" s="47">
        <f>IFERROR(IF(ISNUMBER(MATCH($A126,'Eventos y Previsión'!$B$4:$B$24,0)),INDEX('Eventos y Previsión'!$F$4:$F$24,MATCH($A126,'Eventos y Previsión'!$B$4:$B$24,0)),AVERAGEIFS('Facturación 2025'!$F$4:$F$303,'Facturación 2025'!$B$4:$B$303,$B126)),0)</f>
        <v>1690.062558139535</v>
      </c>
      <c r="H126" s="53">
        <f t="shared" si="10"/>
        <v>-1690.062558139535</v>
      </c>
      <c r="I126" s="49">
        <f t="shared" si="11"/>
        <v>-1</v>
      </c>
      <c r="J126" s="47">
        <f t="array" ref="J126">SUMPRODUCT(('Horarios Personal'!$A$5:$A$555=$A126)*IFERROR('Horarios Personal'!$L$5:$L$555*1,0))</f>
        <v>0</v>
      </c>
      <c r="K126" s="70" t="str">
        <f t="shared" si="12"/>
        <v/>
      </c>
      <c r="L126" s="58" t="str">
        <f t="array" ref="L126">IFERROR(INDEX('Eventos y Previsión'!$C$4:$C$24,SUMPRODUCT((LOWER('Eventos y Previsión'!$A$4:$A$24)=LOWER(TEXT($A126,"mmmm")))*(ISNUMBER(SEARCH(TEXT(DAY($A126),"00")&amp;"/"&amp;TEXT(MONTH($A126),"00"),'Eventos y Previsión'!$B$4:$B$24)))*ROW('Eventos y Previsión'!$A$4:$A$24))-ROW('Eventos y Previsión'!$A$3)),"")</f>
        <v/>
      </c>
    </row>
    <row r="127" spans="1:12" ht="15.75" customHeight="1">
      <c r="A127" s="62">
        <v>46211</v>
      </c>
      <c r="B127" s="46" t="str">
        <f t="shared" si="8"/>
        <v>mié</v>
      </c>
      <c r="C127" s="47">
        <f>SUMIFS('Detalle Turnos'!$E:$E,'Detalle Turnos'!$A:$A,$A127,'Detalle Turnos'!$B:$B,"Mañana")</f>
        <v>0</v>
      </c>
      <c r="D127" s="47">
        <f>SUMIFS('Detalle Turnos'!$E:$E,'Detalle Turnos'!$A:$A,$A127,'Detalle Turnos'!$B:$B,"Mediodia")</f>
        <v>0</v>
      </c>
      <c r="E127" s="47">
        <f>SUMIFS('Detalle Turnos'!$E:$E,'Detalle Turnos'!$A:$A,$A127,'Detalle Turnos'!$B:$B,"Noche")</f>
        <v>0</v>
      </c>
      <c r="F127" s="48">
        <f t="shared" si="9"/>
        <v>0</v>
      </c>
      <c r="G127" s="47">
        <f>IFERROR(IF(ISNUMBER(MATCH($A127,'Eventos y Previsión'!$B$4:$B$24,0)),INDEX('Eventos y Previsión'!$F$4:$F$24,MATCH($A127,'Eventos y Previsión'!$B$4:$B$24,0)),AVERAGEIFS('Facturación 2025'!$F$4:$F$303,'Facturación 2025'!$B$4:$B$303,$B127)),0)</f>
        <v>1039.9519512195122</v>
      </c>
      <c r="H127" s="53">
        <f t="shared" si="10"/>
        <v>-1039.9519512195122</v>
      </c>
      <c r="I127" s="49">
        <f t="shared" si="11"/>
        <v>-1</v>
      </c>
      <c r="J127" s="47">
        <f t="array" ref="J127">SUMPRODUCT(('Horarios Personal'!$A$5:$A$555=$A127)*IFERROR('Horarios Personal'!$L$5:$L$555*1,0))</f>
        <v>0</v>
      </c>
      <c r="K127" s="70" t="str">
        <f t="shared" si="12"/>
        <v/>
      </c>
      <c r="L127" s="58" t="str">
        <f t="array" ref="L127">IFERROR(INDEX('Eventos y Previsión'!$C$4:$C$24,SUMPRODUCT((LOWER('Eventos y Previsión'!$A$4:$A$24)=LOWER(TEXT($A127,"mmmm")))*(ISNUMBER(SEARCH(TEXT(DAY($A127),"00")&amp;"/"&amp;TEXT(MONTH($A127),"00"),'Eventos y Previsión'!$B$4:$B$24)))*ROW('Eventos y Previsión'!$A$4:$A$24))-ROW('Eventos y Previsión'!$A$3)),"")</f>
        <v/>
      </c>
    </row>
    <row r="128" spans="1:12" ht="15.75" customHeight="1">
      <c r="A128" s="62">
        <v>46212</v>
      </c>
      <c r="B128" s="46" t="str">
        <f t="shared" si="8"/>
        <v>jue</v>
      </c>
      <c r="C128" s="47">
        <f>SUMIFS('Detalle Turnos'!$E:$E,'Detalle Turnos'!$A:$A,$A128,'Detalle Turnos'!$B:$B,"Mañana")</f>
        <v>0</v>
      </c>
      <c r="D128" s="47">
        <f>SUMIFS('Detalle Turnos'!$E:$E,'Detalle Turnos'!$A:$A,$A128,'Detalle Turnos'!$B:$B,"Mediodia")</f>
        <v>0</v>
      </c>
      <c r="E128" s="47">
        <f>SUMIFS('Detalle Turnos'!$E:$E,'Detalle Turnos'!$A:$A,$A128,'Detalle Turnos'!$B:$B,"Noche")</f>
        <v>0</v>
      </c>
      <c r="F128" s="48">
        <f t="shared" si="9"/>
        <v>0</v>
      </c>
      <c r="G128" s="47">
        <f>IFERROR(IF(ISNUMBER(MATCH($A128,'Eventos y Previsión'!$B$4:$B$24,0)),INDEX('Eventos y Previsión'!$F$4:$F$24,MATCH($A128,'Eventos y Previsión'!$B$4:$B$24,0)),AVERAGEIFS('Facturación 2025'!$F$4:$F$303,'Facturación 2025'!$B$4:$B$303,$B128)),0)</f>
        <v>1100.2225000000003</v>
      </c>
      <c r="H128" s="53">
        <f t="shared" si="10"/>
        <v>-1100.2225000000003</v>
      </c>
      <c r="I128" s="49">
        <f t="shared" si="11"/>
        <v>-1</v>
      </c>
      <c r="J128" s="47">
        <f t="array" ref="J128">SUMPRODUCT(('Horarios Personal'!$A$5:$A$555=$A128)*IFERROR('Horarios Personal'!$L$5:$L$555*1,0))</f>
        <v>0</v>
      </c>
      <c r="K128" s="70" t="str">
        <f t="shared" si="12"/>
        <v/>
      </c>
      <c r="L128" s="58" t="str">
        <f t="array" ref="L128">IFERROR(INDEX('Eventos y Previsión'!$C$4:$C$24,SUMPRODUCT((LOWER('Eventos y Previsión'!$A$4:$A$24)=LOWER(TEXT($A128,"mmmm")))*(ISNUMBER(SEARCH(TEXT(DAY($A128),"00")&amp;"/"&amp;TEXT(MONTH($A128),"00"),'Eventos y Previsión'!$B$4:$B$24)))*ROW('Eventos y Previsión'!$A$4:$A$24))-ROW('Eventos y Previsión'!$A$3)),"")</f>
        <v/>
      </c>
    </row>
    <row r="129" spans="1:12" ht="15.75" customHeight="1">
      <c r="A129" s="62">
        <v>46213</v>
      </c>
      <c r="B129" s="46" t="str">
        <f t="shared" si="8"/>
        <v>vie</v>
      </c>
      <c r="C129" s="47">
        <f>SUMIFS('Detalle Turnos'!$E:$E,'Detalle Turnos'!$A:$A,$A129,'Detalle Turnos'!$B:$B,"Mañana")</f>
        <v>0</v>
      </c>
      <c r="D129" s="47">
        <f>SUMIFS('Detalle Turnos'!$E:$E,'Detalle Turnos'!$A:$A,$A129,'Detalle Turnos'!$B:$B,"Mediodia")</f>
        <v>0</v>
      </c>
      <c r="E129" s="47">
        <f>SUMIFS('Detalle Turnos'!$E:$E,'Detalle Turnos'!$A:$A,$A129,'Detalle Turnos'!$B:$B,"Noche")</f>
        <v>0</v>
      </c>
      <c r="F129" s="48">
        <f t="shared" si="9"/>
        <v>0</v>
      </c>
      <c r="G129" s="47">
        <f>IFERROR(IF(ISNUMBER(MATCH($A129,'Eventos y Previsión'!$B$4:$B$24,0)),INDEX('Eventos y Previsión'!$F$4:$F$24,MATCH($A129,'Eventos y Previsión'!$B$4:$B$24,0)),AVERAGEIFS('Facturación 2025'!$F$4:$F$303,'Facturación 2025'!$B$4:$B$303,$B129)),0)</f>
        <v>1865.4067441860466</v>
      </c>
      <c r="H129" s="53">
        <f t="shared" si="10"/>
        <v>-1865.4067441860466</v>
      </c>
      <c r="I129" s="49">
        <f t="shared" si="11"/>
        <v>-1</v>
      </c>
      <c r="J129" s="47">
        <f t="array" ref="J129">SUMPRODUCT(('Horarios Personal'!$A$5:$A$555=$A129)*IFERROR('Horarios Personal'!$L$5:$L$555*1,0))</f>
        <v>0</v>
      </c>
      <c r="K129" s="70" t="str">
        <f t="shared" si="12"/>
        <v/>
      </c>
      <c r="L129" s="58" t="str">
        <f t="array" ref="L129">IFERROR(INDEX('Eventos y Previsión'!$C$4:$C$24,SUMPRODUCT((LOWER('Eventos y Previsión'!$A$4:$A$24)=LOWER(TEXT($A129,"mmmm")))*(ISNUMBER(SEARCH(TEXT(DAY($A129),"00")&amp;"/"&amp;TEXT(MONTH($A129),"00"),'Eventos y Previsión'!$B$4:$B$24)))*ROW('Eventos y Previsión'!$A$4:$A$24))-ROW('Eventos y Previsión'!$A$3)),"")</f>
        <v/>
      </c>
    </row>
    <row r="130" spans="1:12" ht="15.75" customHeight="1">
      <c r="A130" s="62">
        <v>46214</v>
      </c>
      <c r="B130" s="46" t="str">
        <f t="shared" si="8"/>
        <v>sáb</v>
      </c>
      <c r="C130" s="47">
        <f>SUMIFS('Detalle Turnos'!$E:$E,'Detalle Turnos'!$A:$A,$A130,'Detalle Turnos'!$B:$B,"Mañana")</f>
        <v>0</v>
      </c>
      <c r="D130" s="47">
        <f>SUMIFS('Detalle Turnos'!$E:$E,'Detalle Turnos'!$A:$A,$A130,'Detalle Turnos'!$B:$B,"Mediodia")</f>
        <v>0</v>
      </c>
      <c r="E130" s="47">
        <f>SUMIFS('Detalle Turnos'!$E:$E,'Detalle Turnos'!$A:$A,$A130,'Detalle Turnos'!$B:$B,"Noche")</f>
        <v>0</v>
      </c>
      <c r="F130" s="48">
        <f t="shared" si="9"/>
        <v>0</v>
      </c>
      <c r="G130" s="47">
        <f>IFERROR(IF(ISNUMBER(MATCH($A130,'Eventos y Previsión'!$B$4:$B$24,0)),INDEX('Eventos y Previsión'!$F$4:$F$24,MATCH($A130,'Eventos y Previsión'!$B$4:$B$24,0)),AVERAGEIFS('Facturación 2025'!$F$4:$F$303,'Facturación 2025'!$B$4:$B$303,$B130)),0)</f>
        <v>2049.8245999999995</v>
      </c>
      <c r="H130" s="53">
        <f t="shared" si="10"/>
        <v>-2049.8245999999995</v>
      </c>
      <c r="I130" s="49">
        <f t="shared" si="11"/>
        <v>-1</v>
      </c>
      <c r="J130" s="47">
        <f t="array" ref="J130">SUMPRODUCT(('Horarios Personal'!$A$5:$A$555=$A130)*IFERROR('Horarios Personal'!$L$5:$L$555*1,0))</f>
        <v>0</v>
      </c>
      <c r="K130" s="70" t="str">
        <f t="shared" si="12"/>
        <v/>
      </c>
      <c r="L130" s="58" t="str">
        <f t="array" ref="L130">IFERROR(INDEX('Eventos y Previsión'!$C$4:$C$24,SUMPRODUCT((LOWER('Eventos y Previsión'!$A$4:$A$24)=LOWER(TEXT($A130,"mmmm")))*(ISNUMBER(SEARCH(TEXT(DAY($A130),"00")&amp;"/"&amp;TEXT(MONTH($A130),"00"),'Eventos y Previsión'!$B$4:$B$24)))*ROW('Eventos y Previsión'!$A$4:$A$24))-ROW('Eventos y Previsión'!$A$3)),"")</f>
        <v>Escaldàrium</v>
      </c>
    </row>
    <row r="131" spans="1:12" ht="15.75" customHeight="1">
      <c r="A131" s="62">
        <v>46215</v>
      </c>
      <c r="B131" s="46" t="str">
        <f t="shared" si="8"/>
        <v>dom</v>
      </c>
      <c r="C131" s="47">
        <f>SUMIFS('Detalle Turnos'!$E:$E,'Detalle Turnos'!$A:$A,$A131,'Detalle Turnos'!$B:$B,"Mañana")</f>
        <v>0</v>
      </c>
      <c r="D131" s="47">
        <f>SUMIFS('Detalle Turnos'!$E:$E,'Detalle Turnos'!$A:$A,$A131,'Detalle Turnos'!$B:$B,"Mediodia")</f>
        <v>0</v>
      </c>
      <c r="E131" s="47">
        <f>SUMIFS('Detalle Turnos'!$E:$E,'Detalle Turnos'!$A:$A,$A131,'Detalle Turnos'!$B:$B,"Noche")</f>
        <v>0</v>
      </c>
      <c r="F131" s="48">
        <f t="shared" si="9"/>
        <v>0</v>
      </c>
      <c r="G131" s="47">
        <f>IFERROR(IF(ISNUMBER(MATCH($A131,'Eventos y Previsión'!$B$4:$B$24,0)),INDEX('Eventos y Previsión'!$F$4:$F$24,MATCH($A131,'Eventos y Previsión'!$B$4:$B$24,0)),AVERAGEIFS('Facturación 2025'!$F$4:$F$303,'Facturación 2025'!$B$4:$B$303,$B131)),0)</f>
        <v>1690.062558139535</v>
      </c>
      <c r="H131" s="53">
        <f t="shared" si="10"/>
        <v>-1690.062558139535</v>
      </c>
      <c r="I131" s="49">
        <f t="shared" si="11"/>
        <v>-1</v>
      </c>
      <c r="J131" s="47">
        <f t="array" ref="J131">SUMPRODUCT(('Horarios Personal'!$A$5:$A$555=$A131)*IFERROR('Horarios Personal'!$L$5:$L$555*1,0))</f>
        <v>0</v>
      </c>
      <c r="K131" s="70" t="str">
        <f t="shared" si="12"/>
        <v/>
      </c>
      <c r="L131" s="58" t="str">
        <f t="array" ref="L131">IFERROR(INDEX('Eventos y Previsión'!$C$4:$C$24,SUMPRODUCT((LOWER('Eventos y Previsión'!$A$4:$A$24)=LOWER(TEXT($A131,"mmmm")))*(ISNUMBER(SEARCH(TEXT(DAY($A131),"00")&amp;"/"&amp;TEXT(MONTH($A131),"00"),'Eventos y Previsión'!$B$4:$B$24)))*ROW('Eventos y Previsión'!$A$4:$A$24))-ROW('Eventos y Previsión'!$A$3)),"")</f>
        <v/>
      </c>
    </row>
    <row r="132" spans="1:12" ht="15.75" customHeight="1">
      <c r="A132" s="62">
        <v>46218</v>
      </c>
      <c r="B132" s="46" t="str">
        <f t="shared" ref="B132:B195" si="13">TEXT($A132,"ddd")</f>
        <v>mié</v>
      </c>
      <c r="C132" s="47">
        <f>SUMIFS('Detalle Turnos'!$E:$E,'Detalle Turnos'!$A:$A,$A132,'Detalle Turnos'!$B:$B,"Mañana")</f>
        <v>0</v>
      </c>
      <c r="D132" s="47">
        <f>SUMIFS('Detalle Turnos'!$E:$E,'Detalle Turnos'!$A:$A,$A132,'Detalle Turnos'!$B:$B,"Mediodia")</f>
        <v>0</v>
      </c>
      <c r="E132" s="47">
        <f>SUMIFS('Detalle Turnos'!$E:$E,'Detalle Turnos'!$A:$A,$A132,'Detalle Turnos'!$B:$B,"Noche")</f>
        <v>0</v>
      </c>
      <c r="F132" s="48">
        <f t="shared" ref="F132:F195" si="14">SUM(C132:E132)</f>
        <v>0</v>
      </c>
      <c r="G132" s="47">
        <f>IFERROR(IF(ISNUMBER(MATCH($A132,'Eventos y Previsión'!$B$4:$B$24,0)),INDEX('Eventos y Previsión'!$F$4:$F$24,MATCH($A132,'Eventos y Previsión'!$B$4:$B$24,0)),AVERAGEIFS('Facturación 2025'!$F$4:$F$303,'Facturación 2025'!$B$4:$B$303,$B132)),0)</f>
        <v>1039.9519512195122</v>
      </c>
      <c r="H132" s="53">
        <f t="shared" ref="H132:H195" si="15">F132-G132</f>
        <v>-1039.9519512195122</v>
      </c>
      <c r="I132" s="49">
        <f t="shared" ref="I132:I195" si="16">IFERROR(H132/G132,0)</f>
        <v>-1</v>
      </c>
      <c r="J132" s="47">
        <f t="array" ref="J132">SUMPRODUCT(('Horarios Personal'!$A$5:$A$555=$A132)*IFERROR('Horarios Personal'!$L$5:$L$555*1,0))</f>
        <v>0</v>
      </c>
      <c r="K132" s="70" t="str">
        <f t="shared" ref="K132:K195" si="17">IFERROR(J132/F132,"")</f>
        <v/>
      </c>
      <c r="L132" s="58" t="str">
        <f t="array" ref="L132">IFERROR(INDEX('Eventos y Previsión'!$C$4:$C$24,SUMPRODUCT((LOWER('Eventos y Previsión'!$A$4:$A$24)=LOWER(TEXT($A132,"mmmm")))*(ISNUMBER(SEARCH(TEXT(DAY($A132),"00")&amp;"/"&amp;TEXT(MONTH($A132),"00"),'Eventos y Previsión'!$B$4:$B$24)))*ROW('Eventos y Previsión'!$A$4:$A$24))-ROW('Eventos y Previsión'!$A$3)),"")</f>
        <v/>
      </c>
    </row>
    <row r="133" spans="1:12" ht="15.75" customHeight="1">
      <c r="A133" s="62">
        <v>46219</v>
      </c>
      <c r="B133" s="46" t="str">
        <f t="shared" si="13"/>
        <v>jue</v>
      </c>
      <c r="C133" s="47">
        <f>SUMIFS('Detalle Turnos'!$E:$E,'Detalle Turnos'!$A:$A,$A133,'Detalle Turnos'!$B:$B,"Mañana")</f>
        <v>0</v>
      </c>
      <c r="D133" s="47">
        <f>SUMIFS('Detalle Turnos'!$E:$E,'Detalle Turnos'!$A:$A,$A133,'Detalle Turnos'!$B:$B,"Mediodia")</f>
        <v>0</v>
      </c>
      <c r="E133" s="47">
        <f>SUMIFS('Detalle Turnos'!$E:$E,'Detalle Turnos'!$A:$A,$A133,'Detalle Turnos'!$B:$B,"Noche")</f>
        <v>0</v>
      </c>
      <c r="F133" s="48">
        <f t="shared" si="14"/>
        <v>0</v>
      </c>
      <c r="G133" s="47">
        <f>IFERROR(IF(ISNUMBER(MATCH($A133,'Eventos y Previsión'!$B$4:$B$24,0)),INDEX('Eventos y Previsión'!$F$4:$F$24,MATCH($A133,'Eventos y Previsión'!$B$4:$B$24,0)),AVERAGEIFS('Facturación 2025'!$F$4:$F$303,'Facturación 2025'!$B$4:$B$303,$B133)),0)</f>
        <v>1100.2225000000003</v>
      </c>
      <c r="H133" s="53">
        <f t="shared" si="15"/>
        <v>-1100.2225000000003</v>
      </c>
      <c r="I133" s="49">
        <f t="shared" si="16"/>
        <v>-1</v>
      </c>
      <c r="J133" s="47">
        <f t="array" ref="J133">SUMPRODUCT(('Horarios Personal'!$A$5:$A$555=$A133)*IFERROR('Horarios Personal'!$L$5:$L$555*1,0))</f>
        <v>0</v>
      </c>
      <c r="K133" s="70" t="str">
        <f t="shared" si="17"/>
        <v/>
      </c>
      <c r="L133" s="58" t="str">
        <f t="array" ref="L133">IFERROR(INDEX('Eventos y Previsión'!$C$4:$C$24,SUMPRODUCT((LOWER('Eventos y Previsión'!$A$4:$A$24)=LOWER(TEXT($A133,"mmmm")))*(ISNUMBER(SEARCH(TEXT(DAY($A133),"00")&amp;"/"&amp;TEXT(MONTH($A133),"00"),'Eventos y Previsión'!$B$4:$B$24)))*ROW('Eventos y Previsión'!$A$4:$A$24))-ROW('Eventos y Previsión'!$A$3)),"")</f>
        <v/>
      </c>
    </row>
    <row r="134" spans="1:12" ht="15.75" customHeight="1">
      <c r="A134" s="62">
        <v>46220</v>
      </c>
      <c r="B134" s="46" t="str">
        <f t="shared" si="13"/>
        <v>vie</v>
      </c>
      <c r="C134" s="47">
        <f>SUMIFS('Detalle Turnos'!$E:$E,'Detalle Turnos'!$A:$A,$A134,'Detalle Turnos'!$B:$B,"Mañana")</f>
        <v>0</v>
      </c>
      <c r="D134" s="47">
        <f>SUMIFS('Detalle Turnos'!$E:$E,'Detalle Turnos'!$A:$A,$A134,'Detalle Turnos'!$B:$B,"Mediodia")</f>
        <v>0</v>
      </c>
      <c r="E134" s="47">
        <f>SUMIFS('Detalle Turnos'!$E:$E,'Detalle Turnos'!$A:$A,$A134,'Detalle Turnos'!$B:$B,"Noche")</f>
        <v>0</v>
      </c>
      <c r="F134" s="48">
        <f t="shared" si="14"/>
        <v>0</v>
      </c>
      <c r="G134" s="47">
        <f>IFERROR(IF(ISNUMBER(MATCH($A134,'Eventos y Previsión'!$B$4:$B$24,0)),INDEX('Eventos y Previsión'!$F$4:$F$24,MATCH($A134,'Eventos y Previsión'!$B$4:$B$24,0)),AVERAGEIFS('Facturación 2025'!$F$4:$F$303,'Facturación 2025'!$B$4:$B$303,$B134)),0)</f>
        <v>1865.4067441860466</v>
      </c>
      <c r="H134" s="53">
        <f t="shared" si="15"/>
        <v>-1865.4067441860466</v>
      </c>
      <c r="I134" s="49">
        <f t="shared" si="16"/>
        <v>-1</v>
      </c>
      <c r="J134" s="47">
        <f t="array" ref="J134">SUMPRODUCT(('Horarios Personal'!$A$5:$A$555=$A134)*IFERROR('Horarios Personal'!$L$5:$L$555*1,0))</f>
        <v>0</v>
      </c>
      <c r="K134" s="70" t="str">
        <f t="shared" si="17"/>
        <v/>
      </c>
      <c r="L134" s="58" t="str">
        <f t="array" ref="L134">IFERROR(INDEX('Eventos y Previsión'!$C$4:$C$24,SUMPRODUCT((LOWER('Eventos y Previsión'!$A$4:$A$24)=LOWER(TEXT($A134,"mmmm")))*(ISNUMBER(SEARCH(TEXT(DAY($A134),"00")&amp;"/"&amp;TEXT(MONTH($A134),"00"),'Eventos y Previsión'!$B$4:$B$24)))*ROW('Eventos y Previsión'!$A$4:$A$24))-ROW('Eventos y Previsión'!$A$3)),"")</f>
        <v/>
      </c>
    </row>
    <row r="135" spans="1:12" ht="15.75" customHeight="1">
      <c r="A135" s="62">
        <v>46221</v>
      </c>
      <c r="B135" s="46" t="str">
        <f t="shared" si="13"/>
        <v>sáb</v>
      </c>
      <c r="C135" s="47">
        <f>SUMIFS('Detalle Turnos'!$E:$E,'Detalle Turnos'!$A:$A,$A135,'Detalle Turnos'!$B:$B,"Mañana")</f>
        <v>0</v>
      </c>
      <c r="D135" s="47">
        <f>SUMIFS('Detalle Turnos'!$E:$E,'Detalle Turnos'!$A:$A,$A135,'Detalle Turnos'!$B:$B,"Mediodia")</f>
        <v>0</v>
      </c>
      <c r="E135" s="47">
        <f>SUMIFS('Detalle Turnos'!$E:$E,'Detalle Turnos'!$A:$A,$A135,'Detalle Turnos'!$B:$B,"Noche")</f>
        <v>0</v>
      </c>
      <c r="F135" s="48">
        <f t="shared" si="14"/>
        <v>0</v>
      </c>
      <c r="G135" s="47">
        <f>IFERROR(IF(ISNUMBER(MATCH($A135,'Eventos y Previsión'!$B$4:$B$24,0)),INDEX('Eventos y Previsión'!$F$4:$F$24,MATCH($A135,'Eventos y Previsión'!$B$4:$B$24,0)),AVERAGEIFS('Facturación 2025'!$F$4:$F$303,'Facturación 2025'!$B$4:$B$303,$B135)),0)</f>
        <v>2049.8245999999995</v>
      </c>
      <c r="H135" s="53">
        <f t="shared" si="15"/>
        <v>-2049.8245999999995</v>
      </c>
      <c r="I135" s="49">
        <f t="shared" si="16"/>
        <v>-1</v>
      </c>
      <c r="J135" s="47">
        <f t="array" ref="J135">SUMPRODUCT(('Horarios Personal'!$A$5:$A$555=$A135)*IFERROR('Horarios Personal'!$L$5:$L$555*1,0))</f>
        <v>0</v>
      </c>
      <c r="K135" s="70" t="str">
        <f t="shared" si="17"/>
        <v/>
      </c>
      <c r="L135" s="58" t="str">
        <f t="array" ref="L135">IFERROR(INDEX('Eventos y Previsión'!$C$4:$C$24,SUMPRODUCT((LOWER('Eventos y Previsión'!$A$4:$A$24)=LOWER(TEXT($A135,"mmmm")))*(ISNUMBER(SEARCH(TEXT(DAY($A135),"00")&amp;"/"&amp;TEXT(MONTH($A135),"00"),'Eventos y Previsión'!$B$4:$B$24)))*ROW('Eventos y Previsión'!$A$4:$A$24))-ROW('Eventos y Previsión'!$A$3)),"")</f>
        <v/>
      </c>
    </row>
    <row r="136" spans="1:12" ht="15.75" customHeight="1">
      <c r="A136" s="62">
        <v>46222</v>
      </c>
      <c r="B136" s="46" t="str">
        <f t="shared" si="13"/>
        <v>dom</v>
      </c>
      <c r="C136" s="47">
        <f>SUMIFS('Detalle Turnos'!$E:$E,'Detalle Turnos'!$A:$A,$A136,'Detalle Turnos'!$B:$B,"Mañana")</f>
        <v>0</v>
      </c>
      <c r="D136" s="47">
        <f>SUMIFS('Detalle Turnos'!$E:$E,'Detalle Turnos'!$A:$A,$A136,'Detalle Turnos'!$B:$B,"Mediodia")</f>
        <v>0</v>
      </c>
      <c r="E136" s="47">
        <f>SUMIFS('Detalle Turnos'!$E:$E,'Detalle Turnos'!$A:$A,$A136,'Detalle Turnos'!$B:$B,"Noche")</f>
        <v>0</v>
      </c>
      <c r="F136" s="48">
        <f t="shared" si="14"/>
        <v>0</v>
      </c>
      <c r="G136" s="47">
        <f>IFERROR(IF(ISNUMBER(MATCH($A136,'Eventos y Previsión'!$B$4:$B$24,0)),INDEX('Eventos y Previsión'!$F$4:$F$24,MATCH($A136,'Eventos y Previsión'!$B$4:$B$24,0)),AVERAGEIFS('Facturación 2025'!$F$4:$F$303,'Facturación 2025'!$B$4:$B$303,$B136)),0)</f>
        <v>1690.062558139535</v>
      </c>
      <c r="H136" s="53">
        <f t="shared" si="15"/>
        <v>-1690.062558139535</v>
      </c>
      <c r="I136" s="49">
        <f t="shared" si="16"/>
        <v>-1</v>
      </c>
      <c r="J136" s="47">
        <f t="array" ref="J136">SUMPRODUCT(('Horarios Personal'!$A$5:$A$555=$A136)*IFERROR('Horarios Personal'!$L$5:$L$555*1,0))</f>
        <v>0</v>
      </c>
      <c r="K136" s="70" t="str">
        <f t="shared" si="17"/>
        <v/>
      </c>
      <c r="L136" s="58" t="str">
        <f t="array" ref="L136">IFERROR(INDEX('Eventos y Previsión'!$C$4:$C$24,SUMPRODUCT((LOWER('Eventos y Previsión'!$A$4:$A$24)=LOWER(TEXT($A136,"mmmm")))*(ISNUMBER(SEARCH(TEXT(DAY($A136),"00")&amp;"/"&amp;TEXT(MONTH($A136),"00"),'Eventos y Previsión'!$B$4:$B$24)))*ROW('Eventos y Previsión'!$A$4:$A$24))-ROW('Eventos y Previsión'!$A$3)),"")</f>
        <v/>
      </c>
    </row>
    <row r="137" spans="1:12" ht="15.75" customHeight="1">
      <c r="A137" s="62">
        <v>46225</v>
      </c>
      <c r="B137" s="46" t="str">
        <f t="shared" si="13"/>
        <v>mié</v>
      </c>
      <c r="C137" s="47">
        <f>SUMIFS('Detalle Turnos'!$E:$E,'Detalle Turnos'!$A:$A,$A137,'Detalle Turnos'!$B:$B,"Mañana")</f>
        <v>0</v>
      </c>
      <c r="D137" s="47">
        <f>SUMIFS('Detalle Turnos'!$E:$E,'Detalle Turnos'!$A:$A,$A137,'Detalle Turnos'!$B:$B,"Mediodia")</f>
        <v>0</v>
      </c>
      <c r="E137" s="47">
        <f>SUMIFS('Detalle Turnos'!$E:$E,'Detalle Turnos'!$A:$A,$A137,'Detalle Turnos'!$B:$B,"Noche")</f>
        <v>0</v>
      </c>
      <c r="F137" s="48">
        <f t="shared" si="14"/>
        <v>0</v>
      </c>
      <c r="G137" s="47">
        <f>IFERROR(IF(ISNUMBER(MATCH($A137,'Eventos y Previsión'!$B$4:$B$24,0)),INDEX('Eventos y Previsión'!$F$4:$F$24,MATCH($A137,'Eventos y Previsión'!$B$4:$B$24,0)),AVERAGEIFS('Facturación 2025'!$F$4:$F$303,'Facturación 2025'!$B$4:$B$303,$B137)),0)</f>
        <v>1039.9519512195122</v>
      </c>
      <c r="H137" s="53">
        <f t="shared" si="15"/>
        <v>-1039.9519512195122</v>
      </c>
      <c r="I137" s="49">
        <f t="shared" si="16"/>
        <v>-1</v>
      </c>
      <c r="J137" s="47">
        <f t="array" ref="J137">SUMPRODUCT(('Horarios Personal'!$A$5:$A$555=$A137)*IFERROR('Horarios Personal'!$L$5:$L$555*1,0))</f>
        <v>0</v>
      </c>
      <c r="K137" s="70" t="str">
        <f t="shared" si="17"/>
        <v/>
      </c>
      <c r="L137" s="58" t="str">
        <f t="array" ref="L137">IFERROR(INDEX('Eventos y Previsión'!$C$4:$C$24,SUMPRODUCT((LOWER('Eventos y Previsión'!$A$4:$A$24)=LOWER(TEXT($A137,"mmmm")))*(ISNUMBER(SEARCH(TEXT(DAY($A137),"00")&amp;"/"&amp;TEXT(MONTH($A137),"00"),'Eventos y Previsión'!$B$4:$B$24)))*ROW('Eventos y Previsión'!$A$4:$A$24))-ROW('Eventos y Previsión'!$A$3)),"")</f>
        <v/>
      </c>
    </row>
    <row r="138" spans="1:12" ht="15.75" customHeight="1">
      <c r="A138" s="62">
        <v>46226</v>
      </c>
      <c r="B138" s="46" t="str">
        <f t="shared" si="13"/>
        <v>jue</v>
      </c>
      <c r="C138" s="47">
        <f>SUMIFS('Detalle Turnos'!$E:$E,'Detalle Turnos'!$A:$A,$A138,'Detalle Turnos'!$B:$B,"Mañana")</f>
        <v>0</v>
      </c>
      <c r="D138" s="47">
        <f>SUMIFS('Detalle Turnos'!$E:$E,'Detalle Turnos'!$A:$A,$A138,'Detalle Turnos'!$B:$B,"Mediodia")</f>
        <v>0</v>
      </c>
      <c r="E138" s="47">
        <f>SUMIFS('Detalle Turnos'!$E:$E,'Detalle Turnos'!$A:$A,$A138,'Detalle Turnos'!$B:$B,"Noche")</f>
        <v>0</v>
      </c>
      <c r="F138" s="48">
        <f t="shared" si="14"/>
        <v>0</v>
      </c>
      <c r="G138" s="47">
        <f>IFERROR(IF(ISNUMBER(MATCH($A138,'Eventos y Previsión'!$B$4:$B$24,0)),INDEX('Eventos y Previsión'!$F$4:$F$24,MATCH($A138,'Eventos y Previsión'!$B$4:$B$24,0)),AVERAGEIFS('Facturación 2025'!$F$4:$F$303,'Facturación 2025'!$B$4:$B$303,$B138)),0)</f>
        <v>1100.2225000000003</v>
      </c>
      <c r="H138" s="53">
        <f t="shared" si="15"/>
        <v>-1100.2225000000003</v>
      </c>
      <c r="I138" s="49">
        <f t="shared" si="16"/>
        <v>-1</v>
      </c>
      <c r="J138" s="47">
        <f t="array" ref="J138">SUMPRODUCT(('Horarios Personal'!$A$5:$A$555=$A138)*IFERROR('Horarios Personal'!$L$5:$L$555*1,0))</f>
        <v>0</v>
      </c>
      <c r="K138" s="70" t="str">
        <f t="shared" si="17"/>
        <v/>
      </c>
      <c r="L138" s="58" t="str">
        <f t="array" ref="L138">IFERROR(INDEX('Eventos y Previsión'!$C$4:$C$24,SUMPRODUCT((LOWER('Eventos y Previsión'!$A$4:$A$24)=LOWER(TEXT($A138,"mmmm")))*(ISNUMBER(SEARCH(TEXT(DAY($A138),"00")&amp;"/"&amp;TEXT(MONTH($A138),"00"),'Eventos y Previsión'!$B$4:$B$24)))*ROW('Eventos y Previsión'!$A$4:$A$24))-ROW('Eventos y Previsión'!$A$3)),"")</f>
        <v/>
      </c>
    </row>
    <row r="139" spans="1:12" ht="15.75" customHeight="1">
      <c r="A139" s="62">
        <v>46227</v>
      </c>
      <c r="B139" s="46" t="str">
        <f t="shared" si="13"/>
        <v>vie</v>
      </c>
      <c r="C139" s="47">
        <f>SUMIFS('Detalle Turnos'!$E:$E,'Detalle Turnos'!$A:$A,$A139,'Detalle Turnos'!$B:$B,"Mañana")</f>
        <v>0</v>
      </c>
      <c r="D139" s="47">
        <f>SUMIFS('Detalle Turnos'!$E:$E,'Detalle Turnos'!$A:$A,$A139,'Detalle Turnos'!$B:$B,"Mediodia")</f>
        <v>0</v>
      </c>
      <c r="E139" s="47">
        <f>SUMIFS('Detalle Turnos'!$E:$E,'Detalle Turnos'!$A:$A,$A139,'Detalle Turnos'!$B:$B,"Noche")</f>
        <v>0</v>
      </c>
      <c r="F139" s="48">
        <f t="shared" si="14"/>
        <v>0</v>
      </c>
      <c r="G139" s="47">
        <f>IFERROR(IF(ISNUMBER(MATCH($A139,'Eventos y Previsión'!$B$4:$B$24,0)),INDEX('Eventos y Previsión'!$F$4:$F$24,MATCH($A139,'Eventos y Previsión'!$B$4:$B$24,0)),AVERAGEIFS('Facturación 2025'!$F$4:$F$303,'Facturación 2025'!$B$4:$B$303,$B139)),0)</f>
        <v>1865.4067441860466</v>
      </c>
      <c r="H139" s="53">
        <f t="shared" si="15"/>
        <v>-1865.4067441860466</v>
      </c>
      <c r="I139" s="49">
        <f t="shared" si="16"/>
        <v>-1</v>
      </c>
      <c r="J139" s="47">
        <f t="array" ref="J139">SUMPRODUCT(('Horarios Personal'!$A$5:$A$555=$A139)*IFERROR('Horarios Personal'!$L$5:$L$555*1,0))</f>
        <v>0</v>
      </c>
      <c r="K139" s="70" t="str">
        <f t="shared" si="17"/>
        <v/>
      </c>
      <c r="L139" s="58" t="str">
        <f t="array" ref="L139">IFERROR(INDEX('Eventos y Previsión'!$C$4:$C$24,SUMPRODUCT((LOWER('Eventos y Previsión'!$A$4:$A$24)=LOWER(TEXT($A139,"mmmm")))*(ISNUMBER(SEARCH(TEXT(DAY($A139),"00")&amp;"/"&amp;TEXT(MONTH($A139),"00"),'Eventos y Previsión'!$B$4:$B$24)))*ROW('Eventos y Previsión'!$A$4:$A$24))-ROW('Eventos y Previsión'!$A$3)),"")</f>
        <v/>
      </c>
    </row>
    <row r="140" spans="1:12" ht="15.75" customHeight="1">
      <c r="A140" s="62">
        <v>46228</v>
      </c>
      <c r="B140" s="46" t="str">
        <f t="shared" si="13"/>
        <v>sáb</v>
      </c>
      <c r="C140" s="47">
        <f>SUMIFS('Detalle Turnos'!$E:$E,'Detalle Turnos'!$A:$A,$A140,'Detalle Turnos'!$B:$B,"Mañana")</f>
        <v>0</v>
      </c>
      <c r="D140" s="47">
        <f>SUMIFS('Detalle Turnos'!$E:$E,'Detalle Turnos'!$A:$A,$A140,'Detalle Turnos'!$B:$B,"Mediodia")</f>
        <v>0</v>
      </c>
      <c r="E140" s="47">
        <f>SUMIFS('Detalle Turnos'!$E:$E,'Detalle Turnos'!$A:$A,$A140,'Detalle Turnos'!$B:$B,"Noche")</f>
        <v>0</v>
      </c>
      <c r="F140" s="48">
        <f t="shared" si="14"/>
        <v>0</v>
      </c>
      <c r="G140" s="47">
        <f>IFERROR(IF(ISNUMBER(MATCH($A140,'Eventos y Previsión'!$B$4:$B$24,0)),INDEX('Eventos y Previsión'!$F$4:$F$24,MATCH($A140,'Eventos y Previsión'!$B$4:$B$24,0)),AVERAGEIFS('Facturación 2025'!$F$4:$F$303,'Facturación 2025'!$B$4:$B$303,$B140)),0)</f>
        <v>2049.8245999999995</v>
      </c>
      <c r="H140" s="53">
        <f t="shared" si="15"/>
        <v>-2049.8245999999995</v>
      </c>
      <c r="I140" s="49">
        <f t="shared" si="16"/>
        <v>-1</v>
      </c>
      <c r="J140" s="47">
        <f t="array" ref="J140">SUMPRODUCT(('Horarios Personal'!$A$5:$A$555=$A140)*IFERROR('Horarios Personal'!$L$5:$L$555*1,0))</f>
        <v>0</v>
      </c>
      <c r="K140" s="70" t="str">
        <f t="shared" si="17"/>
        <v/>
      </c>
      <c r="L140" s="58" t="str">
        <f t="array" ref="L140">IFERROR(INDEX('Eventos y Previsión'!$C$4:$C$24,SUMPRODUCT((LOWER('Eventos y Previsión'!$A$4:$A$24)=LOWER(TEXT($A140,"mmmm")))*(ISNUMBER(SEARCH(TEXT(DAY($A140),"00")&amp;"/"&amp;TEXT(MONTH($A140),"00"),'Eventos y Previsión'!$B$4:$B$24)))*ROW('Eventos y Previsión'!$A$4:$A$24))-ROW('Eventos y Previsión'!$A$3)),"")</f>
        <v/>
      </c>
    </row>
    <row r="141" spans="1:12" ht="15.75" customHeight="1">
      <c r="A141" s="62">
        <v>46229</v>
      </c>
      <c r="B141" s="46" t="str">
        <f t="shared" si="13"/>
        <v>dom</v>
      </c>
      <c r="C141" s="47">
        <f>SUMIFS('Detalle Turnos'!$E:$E,'Detalle Turnos'!$A:$A,$A141,'Detalle Turnos'!$B:$B,"Mañana")</f>
        <v>0</v>
      </c>
      <c r="D141" s="47">
        <f>SUMIFS('Detalle Turnos'!$E:$E,'Detalle Turnos'!$A:$A,$A141,'Detalle Turnos'!$B:$B,"Mediodia")</f>
        <v>0</v>
      </c>
      <c r="E141" s="47">
        <f>SUMIFS('Detalle Turnos'!$E:$E,'Detalle Turnos'!$A:$A,$A141,'Detalle Turnos'!$B:$B,"Noche")</f>
        <v>0</v>
      </c>
      <c r="F141" s="48">
        <f t="shared" si="14"/>
        <v>0</v>
      </c>
      <c r="G141" s="47">
        <f>IFERROR(IF(ISNUMBER(MATCH($A141,'Eventos y Previsión'!$B$4:$B$24,0)),INDEX('Eventos y Previsión'!$F$4:$F$24,MATCH($A141,'Eventos y Previsión'!$B$4:$B$24,0)),AVERAGEIFS('Facturación 2025'!$F$4:$F$303,'Facturación 2025'!$B$4:$B$303,$B141)),0)</f>
        <v>1690.062558139535</v>
      </c>
      <c r="H141" s="53">
        <f t="shared" si="15"/>
        <v>-1690.062558139535</v>
      </c>
      <c r="I141" s="49">
        <f t="shared" si="16"/>
        <v>-1</v>
      </c>
      <c r="J141" s="47">
        <f t="array" ref="J141">SUMPRODUCT(('Horarios Personal'!$A$5:$A$555=$A141)*IFERROR('Horarios Personal'!$L$5:$L$555*1,0))</f>
        <v>0</v>
      </c>
      <c r="K141" s="70" t="str">
        <f t="shared" si="17"/>
        <v/>
      </c>
      <c r="L141" s="58" t="str">
        <f t="array" ref="L141">IFERROR(INDEX('Eventos y Previsión'!$C$4:$C$24,SUMPRODUCT((LOWER('Eventos y Previsión'!$A$4:$A$24)=LOWER(TEXT($A141,"mmmm")))*(ISNUMBER(SEARCH(TEXT(DAY($A141),"00")&amp;"/"&amp;TEXT(MONTH($A141),"00"),'Eventos y Previsión'!$B$4:$B$24)))*ROW('Eventos y Previsión'!$A$4:$A$24))-ROW('Eventos y Previsión'!$A$3)),"")</f>
        <v/>
      </c>
    </row>
    <row r="142" spans="1:12" ht="15.75" customHeight="1">
      <c r="A142" s="62">
        <v>46232</v>
      </c>
      <c r="B142" s="46" t="str">
        <f t="shared" si="13"/>
        <v>mié</v>
      </c>
      <c r="C142" s="47">
        <f>SUMIFS('Detalle Turnos'!$E:$E,'Detalle Turnos'!$A:$A,$A142,'Detalle Turnos'!$B:$B,"Mañana")</f>
        <v>0</v>
      </c>
      <c r="D142" s="47">
        <f>SUMIFS('Detalle Turnos'!$E:$E,'Detalle Turnos'!$A:$A,$A142,'Detalle Turnos'!$B:$B,"Mediodia")</f>
        <v>0</v>
      </c>
      <c r="E142" s="47">
        <f>SUMIFS('Detalle Turnos'!$E:$E,'Detalle Turnos'!$A:$A,$A142,'Detalle Turnos'!$B:$B,"Noche")</f>
        <v>0</v>
      </c>
      <c r="F142" s="48">
        <f t="shared" si="14"/>
        <v>0</v>
      </c>
      <c r="G142" s="47">
        <f>IFERROR(IF(ISNUMBER(MATCH($A142,'Eventos y Previsión'!$B$4:$B$24,0)),INDEX('Eventos y Previsión'!$F$4:$F$24,MATCH($A142,'Eventos y Previsión'!$B$4:$B$24,0)),AVERAGEIFS('Facturación 2025'!$F$4:$F$303,'Facturación 2025'!$B$4:$B$303,$B142)),0)</f>
        <v>1039.9519512195122</v>
      </c>
      <c r="H142" s="53">
        <f t="shared" si="15"/>
        <v>-1039.9519512195122</v>
      </c>
      <c r="I142" s="49">
        <f t="shared" si="16"/>
        <v>-1</v>
      </c>
      <c r="J142" s="47">
        <f t="array" ref="J142">SUMPRODUCT(('Horarios Personal'!$A$5:$A$555=$A142)*IFERROR('Horarios Personal'!$L$5:$L$555*1,0))</f>
        <v>0</v>
      </c>
      <c r="K142" s="70" t="str">
        <f t="shared" si="17"/>
        <v/>
      </c>
      <c r="L142" s="58" t="str">
        <f t="array" ref="L142">IFERROR(INDEX('Eventos y Previsión'!$C$4:$C$24,SUMPRODUCT((LOWER('Eventos y Previsión'!$A$4:$A$24)=LOWER(TEXT($A142,"mmmm")))*(ISNUMBER(SEARCH(TEXT(DAY($A142),"00")&amp;"/"&amp;TEXT(MONTH($A142),"00"),'Eventos y Previsión'!$B$4:$B$24)))*ROW('Eventos y Previsión'!$A$4:$A$24))-ROW('Eventos y Previsión'!$A$3)),"")</f>
        <v/>
      </c>
    </row>
    <row r="143" spans="1:12" ht="15.75" customHeight="1">
      <c r="A143" s="62">
        <v>46233</v>
      </c>
      <c r="B143" s="46" t="str">
        <f t="shared" si="13"/>
        <v>jue</v>
      </c>
      <c r="C143" s="47">
        <f>SUMIFS('Detalle Turnos'!$E:$E,'Detalle Turnos'!$A:$A,$A143,'Detalle Turnos'!$B:$B,"Mañana")</f>
        <v>0</v>
      </c>
      <c r="D143" s="47">
        <f>SUMIFS('Detalle Turnos'!$E:$E,'Detalle Turnos'!$A:$A,$A143,'Detalle Turnos'!$B:$B,"Mediodia")</f>
        <v>0</v>
      </c>
      <c r="E143" s="47">
        <f>SUMIFS('Detalle Turnos'!$E:$E,'Detalle Turnos'!$A:$A,$A143,'Detalle Turnos'!$B:$B,"Noche")</f>
        <v>0</v>
      </c>
      <c r="F143" s="48">
        <f t="shared" si="14"/>
        <v>0</v>
      </c>
      <c r="G143" s="47">
        <f>IFERROR(IF(ISNUMBER(MATCH($A143,'Eventos y Previsión'!$B$4:$B$24,0)),INDEX('Eventos y Previsión'!$F$4:$F$24,MATCH($A143,'Eventos y Previsión'!$B$4:$B$24,0)),AVERAGEIFS('Facturación 2025'!$F$4:$F$303,'Facturación 2025'!$B$4:$B$303,$B143)),0)</f>
        <v>1100.2225000000003</v>
      </c>
      <c r="H143" s="53">
        <f t="shared" si="15"/>
        <v>-1100.2225000000003</v>
      </c>
      <c r="I143" s="49">
        <f t="shared" si="16"/>
        <v>-1</v>
      </c>
      <c r="J143" s="47">
        <f t="array" ref="J143">SUMPRODUCT(('Horarios Personal'!$A$5:$A$555=$A143)*IFERROR('Horarios Personal'!$L$5:$L$555*1,0))</f>
        <v>0</v>
      </c>
      <c r="K143" s="70" t="str">
        <f t="shared" si="17"/>
        <v/>
      </c>
      <c r="L143" s="58" t="str">
        <f t="array" ref="L143">IFERROR(INDEX('Eventos y Previsión'!$C$4:$C$24,SUMPRODUCT((LOWER('Eventos y Previsión'!$A$4:$A$24)=LOWER(TEXT($A143,"mmmm")))*(ISNUMBER(SEARCH(TEXT(DAY($A143),"00")&amp;"/"&amp;TEXT(MONTH($A143),"00"),'Eventos y Previsión'!$B$4:$B$24)))*ROW('Eventos y Previsión'!$A$4:$A$24))-ROW('Eventos y Previsión'!$A$3)),"")</f>
        <v/>
      </c>
    </row>
    <row r="144" spans="1:12" ht="15.75" customHeight="1">
      <c r="A144" s="62">
        <v>46234</v>
      </c>
      <c r="B144" s="46" t="str">
        <f t="shared" si="13"/>
        <v>vie</v>
      </c>
      <c r="C144" s="47">
        <f>SUMIFS('Detalle Turnos'!$E:$E,'Detalle Turnos'!$A:$A,$A144,'Detalle Turnos'!$B:$B,"Mañana")</f>
        <v>0</v>
      </c>
      <c r="D144" s="47">
        <f>SUMIFS('Detalle Turnos'!$E:$E,'Detalle Turnos'!$A:$A,$A144,'Detalle Turnos'!$B:$B,"Mediodia")</f>
        <v>0</v>
      </c>
      <c r="E144" s="47">
        <f>SUMIFS('Detalle Turnos'!$E:$E,'Detalle Turnos'!$A:$A,$A144,'Detalle Turnos'!$B:$B,"Noche")</f>
        <v>0</v>
      </c>
      <c r="F144" s="48">
        <f t="shared" si="14"/>
        <v>0</v>
      </c>
      <c r="G144" s="47">
        <f>IFERROR(IF(ISNUMBER(MATCH($A144,'Eventos y Previsión'!$B$4:$B$24,0)),INDEX('Eventos y Previsión'!$F$4:$F$24,MATCH($A144,'Eventos y Previsión'!$B$4:$B$24,0)),AVERAGEIFS('Facturación 2025'!$F$4:$F$303,'Facturación 2025'!$B$4:$B$303,$B144)),0)</f>
        <v>1865.4067441860466</v>
      </c>
      <c r="H144" s="53">
        <f t="shared" si="15"/>
        <v>-1865.4067441860466</v>
      </c>
      <c r="I144" s="49">
        <f t="shared" si="16"/>
        <v>-1</v>
      </c>
      <c r="J144" s="47">
        <f t="array" ref="J144">SUMPRODUCT(('Horarios Personal'!$A$5:$A$555=$A144)*IFERROR('Horarios Personal'!$L$5:$L$555*1,0))</f>
        <v>0</v>
      </c>
      <c r="K144" s="70" t="str">
        <f t="shared" si="17"/>
        <v/>
      </c>
      <c r="L144" s="58" t="str">
        <f t="array" ref="L144">IFERROR(INDEX('Eventos y Previsión'!$C$4:$C$24,SUMPRODUCT((LOWER('Eventos y Previsión'!$A$4:$A$24)=LOWER(TEXT($A144,"mmmm")))*(ISNUMBER(SEARCH(TEXT(DAY($A144),"00")&amp;"/"&amp;TEXT(MONTH($A144),"00"),'Eventos y Previsión'!$B$4:$B$24)))*ROW('Eventos y Previsión'!$A$4:$A$24))-ROW('Eventos y Previsión'!$A$3)),"")</f>
        <v/>
      </c>
    </row>
    <row r="145" spans="1:12" ht="15.75" customHeight="1">
      <c r="A145" s="62">
        <v>46235</v>
      </c>
      <c r="B145" s="46" t="str">
        <f t="shared" si="13"/>
        <v>sáb</v>
      </c>
      <c r="C145" s="47">
        <f>SUMIFS('Detalle Turnos'!$E:$E,'Detalle Turnos'!$A:$A,$A145,'Detalle Turnos'!$B:$B,"Mañana")</f>
        <v>0</v>
      </c>
      <c r="D145" s="47">
        <f>SUMIFS('Detalle Turnos'!$E:$E,'Detalle Turnos'!$A:$A,$A145,'Detalle Turnos'!$B:$B,"Mediodia")</f>
        <v>0</v>
      </c>
      <c r="E145" s="47">
        <f>SUMIFS('Detalle Turnos'!$E:$E,'Detalle Turnos'!$A:$A,$A145,'Detalle Turnos'!$B:$B,"Noche")</f>
        <v>0</v>
      </c>
      <c r="F145" s="48">
        <f t="shared" si="14"/>
        <v>0</v>
      </c>
      <c r="G145" s="47">
        <f>IFERROR(IF(ISNUMBER(MATCH($A145,'Eventos y Previsión'!$B$4:$B$24,0)),INDEX('Eventos y Previsión'!$F$4:$F$24,MATCH($A145,'Eventos y Previsión'!$B$4:$B$24,0)),AVERAGEIFS('Facturación 2025'!$F$4:$F$303,'Facturación 2025'!$B$4:$B$303,$B145)),0)</f>
        <v>2049.8245999999995</v>
      </c>
      <c r="H145" s="53">
        <f t="shared" si="15"/>
        <v>-2049.8245999999995</v>
      </c>
      <c r="I145" s="49">
        <f t="shared" si="16"/>
        <v>-1</v>
      </c>
      <c r="J145" s="47">
        <f t="array" ref="J145">SUMPRODUCT(('Horarios Personal'!$A$5:$A$555=$A145)*IFERROR('Horarios Personal'!$L$5:$L$555*1,0))</f>
        <v>0</v>
      </c>
      <c r="K145" s="70" t="str">
        <f t="shared" si="17"/>
        <v/>
      </c>
      <c r="L145" s="58" t="str">
        <f t="array" ref="L145">IFERROR(INDEX('Eventos y Previsión'!$C$4:$C$24,SUMPRODUCT((LOWER('Eventos y Previsión'!$A$4:$A$24)=LOWER(TEXT($A145,"mmmm")))*(ISNUMBER(SEARCH(TEXT(DAY($A145),"00")&amp;"/"&amp;TEXT(MONTH($A145),"00"),'Eventos y Previsión'!$B$4:$B$24)))*ROW('Eventos y Previsión'!$A$4:$A$24))-ROW('Eventos y Previsión'!$A$3)),"")</f>
        <v/>
      </c>
    </row>
    <row r="146" spans="1:12" ht="15.75" customHeight="1">
      <c r="A146" s="62">
        <v>46236</v>
      </c>
      <c r="B146" s="46" t="str">
        <f t="shared" si="13"/>
        <v>dom</v>
      </c>
      <c r="C146" s="47">
        <f>SUMIFS('Detalle Turnos'!$E:$E,'Detalle Turnos'!$A:$A,$A146,'Detalle Turnos'!$B:$B,"Mañana")</f>
        <v>0</v>
      </c>
      <c r="D146" s="47">
        <f>SUMIFS('Detalle Turnos'!$E:$E,'Detalle Turnos'!$A:$A,$A146,'Detalle Turnos'!$B:$B,"Mediodia")</f>
        <v>0</v>
      </c>
      <c r="E146" s="47">
        <f>SUMIFS('Detalle Turnos'!$E:$E,'Detalle Turnos'!$A:$A,$A146,'Detalle Turnos'!$B:$B,"Noche")</f>
        <v>0</v>
      </c>
      <c r="F146" s="48">
        <f t="shared" si="14"/>
        <v>0</v>
      </c>
      <c r="G146" s="47">
        <f>IFERROR(IF(ISNUMBER(MATCH($A146,'Eventos y Previsión'!$B$4:$B$24,0)),INDEX('Eventos y Previsión'!$F$4:$F$24,MATCH($A146,'Eventos y Previsión'!$B$4:$B$24,0)),AVERAGEIFS('Facturación 2025'!$F$4:$F$303,'Facturación 2025'!$B$4:$B$303,$B146)),0)</f>
        <v>1690.062558139535</v>
      </c>
      <c r="H146" s="53">
        <f t="shared" si="15"/>
        <v>-1690.062558139535</v>
      </c>
      <c r="I146" s="49">
        <f t="shared" si="16"/>
        <v>-1</v>
      </c>
      <c r="J146" s="47">
        <f t="array" ref="J146">SUMPRODUCT(('Horarios Personal'!$A$5:$A$555=$A146)*IFERROR('Horarios Personal'!$L$5:$L$555*1,0))</f>
        <v>0</v>
      </c>
      <c r="K146" s="70" t="str">
        <f t="shared" si="17"/>
        <v/>
      </c>
      <c r="L146" s="58" t="str">
        <f t="array" ref="L146">IFERROR(INDEX('Eventos y Previsión'!$C$4:$C$24,SUMPRODUCT((LOWER('Eventos y Previsión'!$A$4:$A$24)=LOWER(TEXT($A146,"mmmm")))*(ISNUMBER(SEARCH(TEXT(DAY($A146),"00")&amp;"/"&amp;TEXT(MONTH($A146),"00"),'Eventos y Previsión'!$B$4:$B$24)))*ROW('Eventos y Previsión'!$A$4:$A$24))-ROW('Eventos y Previsión'!$A$3)),"")</f>
        <v/>
      </c>
    </row>
    <row r="147" spans="1:12" ht="15.75" customHeight="1">
      <c r="A147" s="62">
        <v>46239</v>
      </c>
      <c r="B147" s="46" t="str">
        <f t="shared" si="13"/>
        <v>mié</v>
      </c>
      <c r="C147" s="47">
        <f>SUMIFS('Detalle Turnos'!$E:$E,'Detalle Turnos'!$A:$A,$A147,'Detalle Turnos'!$B:$B,"Mañana")</f>
        <v>0</v>
      </c>
      <c r="D147" s="47">
        <f>SUMIFS('Detalle Turnos'!$E:$E,'Detalle Turnos'!$A:$A,$A147,'Detalle Turnos'!$B:$B,"Mediodia")</f>
        <v>0</v>
      </c>
      <c r="E147" s="47">
        <f>SUMIFS('Detalle Turnos'!$E:$E,'Detalle Turnos'!$A:$A,$A147,'Detalle Turnos'!$B:$B,"Noche")</f>
        <v>0</v>
      </c>
      <c r="F147" s="48">
        <f t="shared" si="14"/>
        <v>0</v>
      </c>
      <c r="G147" s="47">
        <f>IFERROR(IF(ISNUMBER(MATCH($A147,'Eventos y Previsión'!$B$4:$B$24,0)),INDEX('Eventos y Previsión'!$F$4:$F$24,MATCH($A147,'Eventos y Previsión'!$B$4:$B$24,0)),AVERAGEIFS('Facturación 2025'!$F$4:$F$303,'Facturación 2025'!$B$4:$B$303,$B147)),0)</f>
        <v>1039.9519512195122</v>
      </c>
      <c r="H147" s="53">
        <f t="shared" si="15"/>
        <v>-1039.9519512195122</v>
      </c>
      <c r="I147" s="49">
        <f t="shared" si="16"/>
        <v>-1</v>
      </c>
      <c r="J147" s="47">
        <f t="array" ref="J147">SUMPRODUCT(('Horarios Personal'!$A$5:$A$555=$A147)*IFERROR('Horarios Personal'!$L$5:$L$555*1,0))</f>
        <v>0</v>
      </c>
      <c r="K147" s="70" t="str">
        <f t="shared" si="17"/>
        <v/>
      </c>
      <c r="L147" s="58" t="str">
        <f t="array" ref="L147">IFERROR(INDEX('Eventos y Previsión'!$C$4:$C$24,SUMPRODUCT((LOWER('Eventos y Previsión'!$A$4:$A$24)=LOWER(TEXT($A147,"mmmm")))*(ISNUMBER(SEARCH(TEXT(DAY($A147),"00")&amp;"/"&amp;TEXT(MONTH($A147),"00"),'Eventos y Previsión'!$B$4:$B$24)))*ROW('Eventos y Previsión'!$A$4:$A$24))-ROW('Eventos y Previsión'!$A$3)),"")</f>
        <v/>
      </c>
    </row>
    <row r="148" spans="1:12" ht="15.75" customHeight="1">
      <c r="A148" s="62">
        <v>46240</v>
      </c>
      <c r="B148" s="46" t="str">
        <f t="shared" si="13"/>
        <v>jue</v>
      </c>
      <c r="C148" s="47">
        <f>SUMIFS('Detalle Turnos'!$E:$E,'Detalle Turnos'!$A:$A,$A148,'Detalle Turnos'!$B:$B,"Mañana")</f>
        <v>0</v>
      </c>
      <c r="D148" s="47">
        <f>SUMIFS('Detalle Turnos'!$E:$E,'Detalle Turnos'!$A:$A,$A148,'Detalle Turnos'!$B:$B,"Mediodia")</f>
        <v>0</v>
      </c>
      <c r="E148" s="47">
        <f>SUMIFS('Detalle Turnos'!$E:$E,'Detalle Turnos'!$A:$A,$A148,'Detalle Turnos'!$B:$B,"Noche")</f>
        <v>0</v>
      </c>
      <c r="F148" s="48">
        <f t="shared" si="14"/>
        <v>0</v>
      </c>
      <c r="G148" s="47">
        <f>IFERROR(IF(ISNUMBER(MATCH($A148,'Eventos y Previsión'!$B$4:$B$24,0)),INDEX('Eventos y Previsión'!$F$4:$F$24,MATCH($A148,'Eventos y Previsión'!$B$4:$B$24,0)),AVERAGEIFS('Facturación 2025'!$F$4:$F$303,'Facturación 2025'!$B$4:$B$303,$B148)),0)</f>
        <v>1100.2225000000003</v>
      </c>
      <c r="H148" s="53">
        <f t="shared" si="15"/>
        <v>-1100.2225000000003</v>
      </c>
      <c r="I148" s="49">
        <f t="shared" si="16"/>
        <v>-1</v>
      </c>
      <c r="J148" s="47">
        <f t="array" ref="J148">SUMPRODUCT(('Horarios Personal'!$A$5:$A$555=$A148)*IFERROR('Horarios Personal'!$L$5:$L$555*1,0))</f>
        <v>0</v>
      </c>
      <c r="K148" s="70" t="str">
        <f t="shared" si="17"/>
        <v/>
      </c>
      <c r="L148" s="58" t="str">
        <f t="array" ref="L148">IFERROR(INDEX('Eventos y Previsión'!$C$4:$C$24,SUMPRODUCT((LOWER('Eventos y Previsión'!$A$4:$A$24)=LOWER(TEXT($A148,"mmmm")))*(ISNUMBER(SEARCH(TEXT(DAY($A148),"00")&amp;"/"&amp;TEXT(MONTH($A148),"00"),'Eventos y Previsión'!$B$4:$B$24)))*ROW('Eventos y Previsión'!$A$4:$A$24))-ROW('Eventos y Previsión'!$A$3)),"")</f>
        <v/>
      </c>
    </row>
    <row r="149" spans="1:12" ht="15.75" customHeight="1">
      <c r="A149" s="62">
        <v>46241</v>
      </c>
      <c r="B149" s="46" t="str">
        <f t="shared" si="13"/>
        <v>vie</v>
      </c>
      <c r="C149" s="47">
        <f>SUMIFS('Detalle Turnos'!$E:$E,'Detalle Turnos'!$A:$A,$A149,'Detalle Turnos'!$B:$B,"Mañana")</f>
        <v>0</v>
      </c>
      <c r="D149" s="47">
        <f>SUMIFS('Detalle Turnos'!$E:$E,'Detalle Turnos'!$A:$A,$A149,'Detalle Turnos'!$B:$B,"Mediodia")</f>
        <v>0</v>
      </c>
      <c r="E149" s="47">
        <f>SUMIFS('Detalle Turnos'!$E:$E,'Detalle Turnos'!$A:$A,$A149,'Detalle Turnos'!$B:$B,"Noche")</f>
        <v>0</v>
      </c>
      <c r="F149" s="48">
        <f t="shared" si="14"/>
        <v>0</v>
      </c>
      <c r="G149" s="47">
        <f>IFERROR(IF(ISNUMBER(MATCH($A149,'Eventos y Previsión'!$B$4:$B$24,0)),INDEX('Eventos y Previsión'!$F$4:$F$24,MATCH($A149,'Eventos y Previsión'!$B$4:$B$24,0)),AVERAGEIFS('Facturación 2025'!$F$4:$F$303,'Facturación 2025'!$B$4:$B$303,$B149)),0)</f>
        <v>1865.4067441860466</v>
      </c>
      <c r="H149" s="53">
        <f t="shared" si="15"/>
        <v>-1865.4067441860466</v>
      </c>
      <c r="I149" s="49">
        <f t="shared" si="16"/>
        <v>-1</v>
      </c>
      <c r="J149" s="47">
        <f t="array" ref="J149">SUMPRODUCT(('Horarios Personal'!$A$5:$A$555=$A149)*IFERROR('Horarios Personal'!$L$5:$L$555*1,0))</f>
        <v>0</v>
      </c>
      <c r="K149" s="70" t="str">
        <f t="shared" si="17"/>
        <v/>
      </c>
      <c r="L149" s="58" t="str">
        <f t="array" ref="L149">IFERROR(INDEX('Eventos y Previsión'!$C$4:$C$24,SUMPRODUCT((LOWER('Eventos y Previsión'!$A$4:$A$24)=LOWER(TEXT($A149,"mmmm")))*(ISNUMBER(SEARCH(TEXT(DAY($A149),"00")&amp;"/"&amp;TEXT(MONTH($A149),"00"),'Eventos y Previsión'!$B$4:$B$24)))*ROW('Eventos y Previsión'!$A$4:$A$24))-ROW('Eventos y Previsión'!$A$3)),"")</f>
        <v/>
      </c>
    </row>
    <row r="150" spans="1:12" ht="15.75" customHeight="1">
      <c r="A150" s="62">
        <v>46242</v>
      </c>
      <c r="B150" s="46" t="str">
        <f t="shared" si="13"/>
        <v>sáb</v>
      </c>
      <c r="C150" s="47">
        <f>SUMIFS('Detalle Turnos'!$E:$E,'Detalle Turnos'!$A:$A,$A150,'Detalle Turnos'!$B:$B,"Mañana")</f>
        <v>0</v>
      </c>
      <c r="D150" s="47">
        <f>SUMIFS('Detalle Turnos'!$E:$E,'Detalle Turnos'!$A:$A,$A150,'Detalle Turnos'!$B:$B,"Mediodia")</f>
        <v>0</v>
      </c>
      <c r="E150" s="47">
        <f>SUMIFS('Detalle Turnos'!$E:$E,'Detalle Turnos'!$A:$A,$A150,'Detalle Turnos'!$B:$B,"Noche")</f>
        <v>0</v>
      </c>
      <c r="F150" s="48">
        <f t="shared" si="14"/>
        <v>0</v>
      </c>
      <c r="G150" s="47">
        <f>IFERROR(IF(ISNUMBER(MATCH($A150,'Eventos y Previsión'!$B$4:$B$24,0)),INDEX('Eventos y Previsión'!$F$4:$F$24,MATCH($A150,'Eventos y Previsión'!$B$4:$B$24,0)),AVERAGEIFS('Facturación 2025'!$F$4:$F$303,'Facturación 2025'!$B$4:$B$303,$B150)),0)</f>
        <v>2049.8245999999995</v>
      </c>
      <c r="H150" s="53">
        <f t="shared" si="15"/>
        <v>-2049.8245999999995</v>
      </c>
      <c r="I150" s="49">
        <f t="shared" si="16"/>
        <v>-1</v>
      </c>
      <c r="J150" s="47">
        <f t="array" ref="J150">SUMPRODUCT(('Horarios Personal'!$A$5:$A$555=$A150)*IFERROR('Horarios Personal'!$L$5:$L$555*1,0))</f>
        <v>0</v>
      </c>
      <c r="K150" s="70" t="str">
        <f t="shared" si="17"/>
        <v/>
      </c>
      <c r="L150" s="58" t="str">
        <f t="array" ref="L150">IFERROR(INDEX('Eventos y Previsión'!$C$4:$C$24,SUMPRODUCT((LOWER('Eventos y Previsión'!$A$4:$A$24)=LOWER(TEXT($A150,"mmmm")))*(ISNUMBER(SEARCH(TEXT(DAY($A150),"00")&amp;"/"&amp;TEXT(MONTH($A150),"00"),'Eventos y Previsión'!$B$4:$B$24)))*ROW('Eventos y Previsión'!$A$4:$A$24))-ROW('Eventos y Previsión'!$A$3)),"")</f>
        <v/>
      </c>
    </row>
    <row r="151" spans="1:12" ht="15.75" customHeight="1">
      <c r="A151" s="62">
        <v>46243</v>
      </c>
      <c r="B151" s="46" t="str">
        <f t="shared" si="13"/>
        <v>dom</v>
      </c>
      <c r="C151" s="47">
        <f>SUMIFS('Detalle Turnos'!$E:$E,'Detalle Turnos'!$A:$A,$A151,'Detalle Turnos'!$B:$B,"Mañana")</f>
        <v>0</v>
      </c>
      <c r="D151" s="47">
        <f>SUMIFS('Detalle Turnos'!$E:$E,'Detalle Turnos'!$A:$A,$A151,'Detalle Turnos'!$B:$B,"Mediodia")</f>
        <v>0</v>
      </c>
      <c r="E151" s="47">
        <f>SUMIFS('Detalle Turnos'!$E:$E,'Detalle Turnos'!$A:$A,$A151,'Detalle Turnos'!$B:$B,"Noche")</f>
        <v>0</v>
      </c>
      <c r="F151" s="48">
        <f t="shared" si="14"/>
        <v>0</v>
      </c>
      <c r="G151" s="47">
        <f>IFERROR(IF(ISNUMBER(MATCH($A151,'Eventos y Previsión'!$B$4:$B$24,0)),INDEX('Eventos y Previsión'!$F$4:$F$24,MATCH($A151,'Eventos y Previsión'!$B$4:$B$24,0)),AVERAGEIFS('Facturación 2025'!$F$4:$F$303,'Facturación 2025'!$B$4:$B$303,$B151)),0)</f>
        <v>1690.062558139535</v>
      </c>
      <c r="H151" s="53">
        <f t="shared" si="15"/>
        <v>-1690.062558139535</v>
      </c>
      <c r="I151" s="49">
        <f t="shared" si="16"/>
        <v>-1</v>
      </c>
      <c r="J151" s="47">
        <f t="array" ref="J151">SUMPRODUCT(('Horarios Personal'!$A$5:$A$555=$A151)*IFERROR('Horarios Personal'!$L$5:$L$555*1,0))</f>
        <v>0</v>
      </c>
      <c r="K151" s="70" t="str">
        <f t="shared" si="17"/>
        <v/>
      </c>
      <c r="L151" s="58" t="str">
        <f t="array" ref="L151">IFERROR(INDEX('Eventos y Previsión'!$C$4:$C$24,SUMPRODUCT((LOWER('Eventos y Previsión'!$A$4:$A$24)=LOWER(TEXT($A151,"mmmm")))*(ISNUMBER(SEARCH(TEXT(DAY($A151),"00")&amp;"/"&amp;TEXT(MONTH($A151),"00"),'Eventos y Previsión'!$B$4:$B$24)))*ROW('Eventos y Previsión'!$A$4:$A$24))-ROW('Eventos y Previsión'!$A$3)),"")</f>
        <v/>
      </c>
    </row>
    <row r="152" spans="1:12" ht="15.75" customHeight="1">
      <c r="A152" s="62">
        <v>46246</v>
      </c>
      <c r="B152" s="46" t="str">
        <f t="shared" si="13"/>
        <v>mié</v>
      </c>
      <c r="C152" s="47">
        <f>SUMIFS('Detalle Turnos'!$E:$E,'Detalle Turnos'!$A:$A,$A152,'Detalle Turnos'!$B:$B,"Mañana")</f>
        <v>0</v>
      </c>
      <c r="D152" s="47">
        <f>SUMIFS('Detalle Turnos'!$E:$E,'Detalle Turnos'!$A:$A,$A152,'Detalle Turnos'!$B:$B,"Mediodia")</f>
        <v>0</v>
      </c>
      <c r="E152" s="47">
        <f>SUMIFS('Detalle Turnos'!$E:$E,'Detalle Turnos'!$A:$A,$A152,'Detalle Turnos'!$B:$B,"Noche")</f>
        <v>0</v>
      </c>
      <c r="F152" s="48">
        <f t="shared" si="14"/>
        <v>0</v>
      </c>
      <c r="G152" s="47">
        <f>IFERROR(IF(ISNUMBER(MATCH($A152,'Eventos y Previsión'!$B$4:$B$24,0)),INDEX('Eventos y Previsión'!$F$4:$F$24,MATCH($A152,'Eventos y Previsión'!$B$4:$B$24,0)),AVERAGEIFS('Facturación 2025'!$F$4:$F$303,'Facturación 2025'!$B$4:$B$303,$B152)),0)</f>
        <v>1039.9519512195122</v>
      </c>
      <c r="H152" s="53">
        <f t="shared" si="15"/>
        <v>-1039.9519512195122</v>
      </c>
      <c r="I152" s="49">
        <f t="shared" si="16"/>
        <v>-1</v>
      </c>
      <c r="J152" s="47">
        <f t="array" ref="J152">SUMPRODUCT(('Horarios Personal'!$A$5:$A$555=$A152)*IFERROR('Horarios Personal'!$L$5:$L$555*1,0))</f>
        <v>0</v>
      </c>
      <c r="K152" s="70" t="str">
        <f t="shared" si="17"/>
        <v/>
      </c>
      <c r="L152" s="58" t="str">
        <f t="array" ref="L152">IFERROR(INDEX('Eventos y Previsión'!$C$4:$C$24,SUMPRODUCT((LOWER('Eventos y Previsión'!$A$4:$A$24)=LOWER(TEXT($A152,"mmmm")))*(ISNUMBER(SEARCH(TEXT(DAY($A152),"00")&amp;"/"&amp;TEXT(MONTH($A152),"00"),'Eventos y Previsión'!$B$4:$B$24)))*ROW('Eventos y Previsión'!$A$4:$A$24))-ROW('Eventos y Previsión'!$A$3)),"")</f>
        <v/>
      </c>
    </row>
    <row r="153" spans="1:12" ht="15.75" customHeight="1">
      <c r="A153" s="62">
        <v>46247</v>
      </c>
      <c r="B153" s="46" t="str">
        <f t="shared" si="13"/>
        <v>jue</v>
      </c>
      <c r="C153" s="47">
        <f>SUMIFS('Detalle Turnos'!$E:$E,'Detalle Turnos'!$A:$A,$A153,'Detalle Turnos'!$B:$B,"Mañana")</f>
        <v>0</v>
      </c>
      <c r="D153" s="47">
        <f>SUMIFS('Detalle Turnos'!$E:$E,'Detalle Turnos'!$A:$A,$A153,'Detalle Turnos'!$B:$B,"Mediodia")</f>
        <v>0</v>
      </c>
      <c r="E153" s="47">
        <f>SUMIFS('Detalle Turnos'!$E:$E,'Detalle Turnos'!$A:$A,$A153,'Detalle Turnos'!$B:$B,"Noche")</f>
        <v>0</v>
      </c>
      <c r="F153" s="48">
        <f t="shared" si="14"/>
        <v>0</v>
      </c>
      <c r="G153" s="47">
        <f>IFERROR(IF(ISNUMBER(MATCH($A153,'Eventos y Previsión'!$B$4:$B$24,0)),INDEX('Eventos y Previsión'!$F$4:$F$24,MATCH($A153,'Eventos y Previsión'!$B$4:$B$24,0)),AVERAGEIFS('Facturación 2025'!$F$4:$F$303,'Facturación 2025'!$B$4:$B$303,$B153)),0)</f>
        <v>1100.2225000000003</v>
      </c>
      <c r="H153" s="53">
        <f t="shared" si="15"/>
        <v>-1100.2225000000003</v>
      </c>
      <c r="I153" s="49">
        <f t="shared" si="16"/>
        <v>-1</v>
      </c>
      <c r="J153" s="47">
        <f t="array" ref="J153">SUMPRODUCT(('Horarios Personal'!$A$5:$A$555=$A153)*IFERROR('Horarios Personal'!$L$5:$L$555*1,0))</f>
        <v>0</v>
      </c>
      <c r="K153" s="70" t="str">
        <f t="shared" si="17"/>
        <v/>
      </c>
      <c r="L153" s="58" t="str">
        <f t="array" ref="L153">IFERROR(INDEX('Eventos y Previsión'!$C$4:$C$24,SUMPRODUCT((LOWER('Eventos y Previsión'!$A$4:$A$24)=LOWER(TEXT($A153,"mmmm")))*(ISNUMBER(SEARCH(TEXT(DAY($A153),"00")&amp;"/"&amp;TEXT(MONTH($A153),"00"),'Eventos y Previsión'!$B$4:$B$24)))*ROW('Eventos y Previsión'!$A$4:$A$24))-ROW('Eventos y Previsión'!$A$3)),"")</f>
        <v/>
      </c>
    </row>
    <row r="154" spans="1:12" ht="15.75" customHeight="1">
      <c r="A154" s="62">
        <v>46248</v>
      </c>
      <c r="B154" s="46" t="str">
        <f t="shared" si="13"/>
        <v>vie</v>
      </c>
      <c r="C154" s="47">
        <f>SUMIFS('Detalle Turnos'!$E:$E,'Detalle Turnos'!$A:$A,$A154,'Detalle Turnos'!$B:$B,"Mañana")</f>
        <v>0</v>
      </c>
      <c r="D154" s="47">
        <f>SUMIFS('Detalle Turnos'!$E:$E,'Detalle Turnos'!$A:$A,$A154,'Detalle Turnos'!$B:$B,"Mediodia")</f>
        <v>0</v>
      </c>
      <c r="E154" s="47">
        <f>SUMIFS('Detalle Turnos'!$E:$E,'Detalle Turnos'!$A:$A,$A154,'Detalle Turnos'!$B:$B,"Noche")</f>
        <v>0</v>
      </c>
      <c r="F154" s="48">
        <f t="shared" si="14"/>
        <v>0</v>
      </c>
      <c r="G154" s="47">
        <f>IFERROR(IF(ISNUMBER(MATCH($A154,'Eventos y Previsión'!$B$4:$B$24,0)),INDEX('Eventos y Previsión'!$F$4:$F$24,MATCH($A154,'Eventos y Previsión'!$B$4:$B$24,0)),AVERAGEIFS('Facturación 2025'!$F$4:$F$303,'Facturación 2025'!$B$4:$B$303,$B154)),0)</f>
        <v>1865.4067441860466</v>
      </c>
      <c r="H154" s="53">
        <f t="shared" si="15"/>
        <v>-1865.4067441860466</v>
      </c>
      <c r="I154" s="49">
        <f t="shared" si="16"/>
        <v>-1</v>
      </c>
      <c r="J154" s="47">
        <f t="array" ref="J154">SUMPRODUCT(('Horarios Personal'!$A$5:$A$555=$A154)*IFERROR('Horarios Personal'!$L$5:$L$555*1,0))</f>
        <v>0</v>
      </c>
      <c r="K154" s="70" t="str">
        <f t="shared" si="17"/>
        <v/>
      </c>
      <c r="L154" s="58" t="str">
        <f t="array" ref="L154">IFERROR(INDEX('Eventos y Previsión'!$C$4:$C$24,SUMPRODUCT((LOWER('Eventos y Previsión'!$A$4:$A$24)=LOWER(TEXT($A154,"mmmm")))*(ISNUMBER(SEARCH(TEXT(DAY($A154),"00")&amp;"/"&amp;TEXT(MONTH($A154),"00"),'Eventos y Previsión'!$B$4:$B$24)))*ROW('Eventos y Previsión'!$A$4:$A$24))-ROW('Eventos y Previsión'!$A$3)),"")</f>
        <v/>
      </c>
    </row>
    <row r="155" spans="1:12" ht="15.75" customHeight="1">
      <c r="A155" s="62">
        <v>46249</v>
      </c>
      <c r="B155" s="46" t="str">
        <f t="shared" si="13"/>
        <v>sáb</v>
      </c>
      <c r="C155" s="47">
        <f>SUMIFS('Detalle Turnos'!$E:$E,'Detalle Turnos'!$A:$A,$A155,'Detalle Turnos'!$B:$B,"Mañana")</f>
        <v>0</v>
      </c>
      <c r="D155" s="47">
        <f>SUMIFS('Detalle Turnos'!$E:$E,'Detalle Turnos'!$A:$A,$A155,'Detalle Turnos'!$B:$B,"Mediodia")</f>
        <v>0</v>
      </c>
      <c r="E155" s="47">
        <f>SUMIFS('Detalle Turnos'!$E:$E,'Detalle Turnos'!$A:$A,$A155,'Detalle Turnos'!$B:$B,"Noche")</f>
        <v>0</v>
      </c>
      <c r="F155" s="48">
        <f t="shared" si="14"/>
        <v>0</v>
      </c>
      <c r="G155" s="47">
        <f>IFERROR(IF(ISNUMBER(MATCH($A155,'Eventos y Previsión'!$B$4:$B$24,0)),INDEX('Eventos y Previsión'!$F$4:$F$24,MATCH($A155,'Eventos y Previsión'!$B$4:$B$24,0)),AVERAGEIFS('Facturación 2025'!$F$4:$F$303,'Facturación 2025'!$B$4:$B$303,$B155)),0)</f>
        <v>2049.8245999999995</v>
      </c>
      <c r="H155" s="53">
        <f t="shared" si="15"/>
        <v>-2049.8245999999995</v>
      </c>
      <c r="I155" s="49">
        <f t="shared" si="16"/>
        <v>-1</v>
      </c>
      <c r="J155" s="47">
        <f t="array" ref="J155">SUMPRODUCT(('Horarios Personal'!$A$5:$A$555=$A155)*IFERROR('Horarios Personal'!$L$5:$L$555*1,0))</f>
        <v>0</v>
      </c>
      <c r="K155" s="70" t="str">
        <f t="shared" si="17"/>
        <v/>
      </c>
      <c r="L155" s="58" t="str">
        <f t="array" ref="L155">IFERROR(INDEX('Eventos y Previsión'!$C$4:$C$24,SUMPRODUCT((LOWER('Eventos y Previsión'!$A$4:$A$24)=LOWER(TEXT($A155,"mmmm")))*(ISNUMBER(SEARCH(TEXT(DAY($A155),"00")&amp;"/"&amp;TEXT(MONTH($A155),"00"),'Eventos y Previsión'!$B$4:$B$24)))*ROW('Eventos y Previsión'!$A$4:$A$24))-ROW('Eventos y Previsión'!$A$3)),"")</f>
        <v/>
      </c>
    </row>
    <row r="156" spans="1:12" ht="15.75" customHeight="1">
      <c r="A156" s="62">
        <v>46250</v>
      </c>
      <c r="B156" s="46" t="str">
        <f t="shared" si="13"/>
        <v>dom</v>
      </c>
      <c r="C156" s="47">
        <f>SUMIFS('Detalle Turnos'!$E:$E,'Detalle Turnos'!$A:$A,$A156,'Detalle Turnos'!$B:$B,"Mañana")</f>
        <v>0</v>
      </c>
      <c r="D156" s="47">
        <f>SUMIFS('Detalle Turnos'!$E:$E,'Detalle Turnos'!$A:$A,$A156,'Detalle Turnos'!$B:$B,"Mediodia")</f>
        <v>0</v>
      </c>
      <c r="E156" s="47">
        <f>SUMIFS('Detalle Turnos'!$E:$E,'Detalle Turnos'!$A:$A,$A156,'Detalle Turnos'!$B:$B,"Noche")</f>
        <v>0</v>
      </c>
      <c r="F156" s="48">
        <f t="shared" si="14"/>
        <v>0</v>
      </c>
      <c r="G156" s="47">
        <f>IFERROR(IF(ISNUMBER(MATCH($A156,'Eventos y Previsión'!$B$4:$B$24,0)),INDEX('Eventos y Previsión'!$F$4:$F$24,MATCH($A156,'Eventos y Previsión'!$B$4:$B$24,0)),AVERAGEIFS('Facturación 2025'!$F$4:$F$303,'Facturación 2025'!$B$4:$B$303,$B156)),0)</f>
        <v>1690.062558139535</v>
      </c>
      <c r="H156" s="53">
        <f t="shared" si="15"/>
        <v>-1690.062558139535</v>
      </c>
      <c r="I156" s="49">
        <f t="shared" si="16"/>
        <v>-1</v>
      </c>
      <c r="J156" s="47">
        <f t="array" ref="J156">SUMPRODUCT(('Horarios Personal'!$A$5:$A$555=$A156)*IFERROR('Horarios Personal'!$L$5:$L$555*1,0))</f>
        <v>0</v>
      </c>
      <c r="K156" s="70" t="str">
        <f t="shared" si="17"/>
        <v/>
      </c>
      <c r="L156" s="58" t="str">
        <f t="array" ref="L156">IFERROR(INDEX('Eventos y Previsión'!$C$4:$C$24,SUMPRODUCT((LOWER('Eventos y Previsión'!$A$4:$A$24)=LOWER(TEXT($A156,"mmmm")))*(ISNUMBER(SEARCH(TEXT(DAY($A156),"00")&amp;"/"&amp;TEXT(MONTH($A156),"00"),'Eventos y Previsión'!$B$4:$B$24)))*ROW('Eventos y Previsión'!$A$4:$A$24))-ROW('Eventos y Previsión'!$A$3)),"")</f>
        <v>Asunción pico</v>
      </c>
    </row>
    <row r="157" spans="1:12" ht="15.75" customHeight="1">
      <c r="A157" s="62">
        <v>46253</v>
      </c>
      <c r="B157" s="46" t="str">
        <f t="shared" si="13"/>
        <v>mié</v>
      </c>
      <c r="C157" s="47">
        <f>SUMIFS('Detalle Turnos'!$E:$E,'Detalle Turnos'!$A:$A,$A157,'Detalle Turnos'!$B:$B,"Mañana")</f>
        <v>0</v>
      </c>
      <c r="D157" s="47">
        <f>SUMIFS('Detalle Turnos'!$E:$E,'Detalle Turnos'!$A:$A,$A157,'Detalle Turnos'!$B:$B,"Mediodia")</f>
        <v>0</v>
      </c>
      <c r="E157" s="47">
        <f>SUMIFS('Detalle Turnos'!$E:$E,'Detalle Turnos'!$A:$A,$A157,'Detalle Turnos'!$B:$B,"Noche")</f>
        <v>0</v>
      </c>
      <c r="F157" s="48">
        <f t="shared" si="14"/>
        <v>0</v>
      </c>
      <c r="G157" s="47">
        <f>IFERROR(IF(ISNUMBER(MATCH($A157,'Eventos y Previsión'!$B$4:$B$24,0)),INDEX('Eventos y Previsión'!$F$4:$F$24,MATCH($A157,'Eventos y Previsión'!$B$4:$B$24,0)),AVERAGEIFS('Facturación 2025'!$F$4:$F$303,'Facturación 2025'!$B$4:$B$303,$B157)),0)</f>
        <v>1039.9519512195122</v>
      </c>
      <c r="H157" s="53">
        <f t="shared" si="15"/>
        <v>-1039.9519512195122</v>
      </c>
      <c r="I157" s="49">
        <f t="shared" si="16"/>
        <v>-1</v>
      </c>
      <c r="J157" s="47">
        <f t="array" ref="J157">SUMPRODUCT(('Horarios Personal'!$A$5:$A$555=$A157)*IFERROR('Horarios Personal'!$L$5:$L$555*1,0))</f>
        <v>0</v>
      </c>
      <c r="K157" s="70" t="str">
        <f t="shared" si="17"/>
        <v/>
      </c>
      <c r="L157" s="58" t="str">
        <f t="array" ref="L157">IFERROR(INDEX('Eventos y Previsión'!$C$4:$C$24,SUMPRODUCT((LOWER('Eventos y Previsión'!$A$4:$A$24)=LOWER(TEXT($A157,"mmmm")))*(ISNUMBER(SEARCH(TEXT(DAY($A157),"00")&amp;"/"&amp;TEXT(MONTH($A157),"00"),'Eventos y Previsión'!$B$4:$B$24)))*ROW('Eventos y Previsión'!$A$4:$A$24))-ROW('Eventos y Previsión'!$A$3)),"")</f>
        <v/>
      </c>
    </row>
    <row r="158" spans="1:12" ht="15.75" customHeight="1">
      <c r="A158" s="62">
        <v>46254</v>
      </c>
      <c r="B158" s="46" t="str">
        <f t="shared" si="13"/>
        <v>jue</v>
      </c>
      <c r="C158" s="47">
        <f>SUMIFS('Detalle Turnos'!$E:$E,'Detalle Turnos'!$A:$A,$A158,'Detalle Turnos'!$B:$B,"Mañana")</f>
        <v>0</v>
      </c>
      <c r="D158" s="47">
        <f>SUMIFS('Detalle Turnos'!$E:$E,'Detalle Turnos'!$A:$A,$A158,'Detalle Turnos'!$B:$B,"Mediodia")</f>
        <v>0</v>
      </c>
      <c r="E158" s="47">
        <f>SUMIFS('Detalle Turnos'!$E:$E,'Detalle Turnos'!$A:$A,$A158,'Detalle Turnos'!$B:$B,"Noche")</f>
        <v>0</v>
      </c>
      <c r="F158" s="48">
        <f t="shared" si="14"/>
        <v>0</v>
      </c>
      <c r="G158" s="47">
        <f>IFERROR(IF(ISNUMBER(MATCH($A158,'Eventos y Previsión'!$B$4:$B$24,0)),INDEX('Eventos y Previsión'!$F$4:$F$24,MATCH($A158,'Eventos y Previsión'!$B$4:$B$24,0)),AVERAGEIFS('Facturación 2025'!$F$4:$F$303,'Facturación 2025'!$B$4:$B$303,$B158)),0)</f>
        <v>1100.2225000000003</v>
      </c>
      <c r="H158" s="53">
        <f t="shared" si="15"/>
        <v>-1100.2225000000003</v>
      </c>
      <c r="I158" s="49">
        <f t="shared" si="16"/>
        <v>-1</v>
      </c>
      <c r="J158" s="47">
        <f t="array" ref="J158">SUMPRODUCT(('Horarios Personal'!$A$5:$A$555=$A158)*IFERROR('Horarios Personal'!$L$5:$L$555*1,0))</f>
        <v>0</v>
      </c>
      <c r="K158" s="70" t="str">
        <f t="shared" si="17"/>
        <v/>
      </c>
      <c r="L158" s="58" t="str">
        <f t="array" ref="L158">IFERROR(INDEX('Eventos y Previsión'!$C$4:$C$24,SUMPRODUCT((LOWER('Eventos y Previsión'!$A$4:$A$24)=LOWER(TEXT($A158,"mmmm")))*(ISNUMBER(SEARCH(TEXT(DAY($A158),"00")&amp;"/"&amp;TEXT(MONTH($A158),"00"),'Eventos y Previsión'!$B$4:$B$24)))*ROW('Eventos y Previsión'!$A$4:$A$24))-ROW('Eventos y Previsión'!$A$3)),"")</f>
        <v/>
      </c>
    </row>
    <row r="159" spans="1:12" ht="15.75" customHeight="1">
      <c r="A159" s="62">
        <v>46255</v>
      </c>
      <c r="B159" s="46" t="str">
        <f t="shared" si="13"/>
        <v>vie</v>
      </c>
      <c r="C159" s="47">
        <f>SUMIFS('Detalle Turnos'!$E:$E,'Detalle Turnos'!$A:$A,$A159,'Detalle Turnos'!$B:$B,"Mañana")</f>
        <v>0</v>
      </c>
      <c r="D159" s="47">
        <f>SUMIFS('Detalle Turnos'!$E:$E,'Detalle Turnos'!$A:$A,$A159,'Detalle Turnos'!$B:$B,"Mediodia")</f>
        <v>0</v>
      </c>
      <c r="E159" s="47">
        <f>SUMIFS('Detalle Turnos'!$E:$E,'Detalle Turnos'!$A:$A,$A159,'Detalle Turnos'!$B:$B,"Noche")</f>
        <v>0</v>
      </c>
      <c r="F159" s="48">
        <f t="shared" si="14"/>
        <v>0</v>
      </c>
      <c r="G159" s="47">
        <f>IFERROR(IF(ISNUMBER(MATCH($A159,'Eventos y Previsión'!$B$4:$B$24,0)),INDEX('Eventos y Previsión'!$F$4:$F$24,MATCH($A159,'Eventos y Previsión'!$B$4:$B$24,0)),AVERAGEIFS('Facturación 2025'!$F$4:$F$303,'Facturación 2025'!$B$4:$B$303,$B159)),0)</f>
        <v>1865.4067441860466</v>
      </c>
      <c r="H159" s="53">
        <f t="shared" si="15"/>
        <v>-1865.4067441860466</v>
      </c>
      <c r="I159" s="49">
        <f t="shared" si="16"/>
        <v>-1</v>
      </c>
      <c r="J159" s="47">
        <f t="array" ref="J159">SUMPRODUCT(('Horarios Personal'!$A$5:$A$555=$A159)*IFERROR('Horarios Personal'!$L$5:$L$555*1,0))</f>
        <v>0</v>
      </c>
      <c r="K159" s="70" t="str">
        <f t="shared" si="17"/>
        <v/>
      </c>
      <c r="L159" s="58" t="str">
        <f t="array" ref="L159">IFERROR(INDEX('Eventos y Previsión'!$C$4:$C$24,SUMPRODUCT((LOWER('Eventos y Previsión'!$A$4:$A$24)=LOWER(TEXT($A159,"mmmm")))*(ISNUMBER(SEARCH(TEXT(DAY($A159),"00")&amp;"/"&amp;TEXT(MONTH($A159),"00"),'Eventos y Previsión'!$B$4:$B$24)))*ROW('Eventos y Previsión'!$A$4:$A$24))-ROW('Eventos y Previsión'!$A$3)),"")</f>
        <v/>
      </c>
    </row>
    <row r="160" spans="1:12" ht="15.75" customHeight="1">
      <c r="A160" s="62">
        <v>46256</v>
      </c>
      <c r="B160" s="46" t="str">
        <f t="shared" si="13"/>
        <v>sáb</v>
      </c>
      <c r="C160" s="47">
        <f>SUMIFS('Detalle Turnos'!$E:$E,'Detalle Turnos'!$A:$A,$A160,'Detalle Turnos'!$B:$B,"Mañana")</f>
        <v>0</v>
      </c>
      <c r="D160" s="47">
        <f>SUMIFS('Detalle Turnos'!$E:$E,'Detalle Turnos'!$A:$A,$A160,'Detalle Turnos'!$B:$B,"Mediodia")</f>
        <v>0</v>
      </c>
      <c r="E160" s="47">
        <f>SUMIFS('Detalle Turnos'!$E:$E,'Detalle Turnos'!$A:$A,$A160,'Detalle Turnos'!$B:$B,"Noche")</f>
        <v>0</v>
      </c>
      <c r="F160" s="48">
        <f t="shared" si="14"/>
        <v>0</v>
      </c>
      <c r="G160" s="47">
        <f>IFERROR(IF(ISNUMBER(MATCH($A160,'Eventos y Previsión'!$B$4:$B$24,0)),INDEX('Eventos y Previsión'!$F$4:$F$24,MATCH($A160,'Eventos y Previsión'!$B$4:$B$24,0)),AVERAGEIFS('Facturación 2025'!$F$4:$F$303,'Facturación 2025'!$B$4:$B$303,$B160)),0)</f>
        <v>2049.8245999999995</v>
      </c>
      <c r="H160" s="53">
        <f t="shared" si="15"/>
        <v>-2049.8245999999995</v>
      </c>
      <c r="I160" s="49">
        <f t="shared" si="16"/>
        <v>-1</v>
      </c>
      <c r="J160" s="47">
        <f t="array" ref="J160">SUMPRODUCT(('Horarios Personal'!$A$5:$A$555=$A160)*IFERROR('Horarios Personal'!$L$5:$L$555*1,0))</f>
        <v>0</v>
      </c>
      <c r="K160" s="70" t="str">
        <f t="shared" si="17"/>
        <v/>
      </c>
      <c r="L160" s="58" t="str">
        <f t="array" ref="L160">IFERROR(INDEX('Eventos y Previsión'!$C$4:$C$24,SUMPRODUCT((LOWER('Eventos y Previsión'!$A$4:$A$24)=LOWER(TEXT($A160,"mmmm")))*(ISNUMBER(SEARCH(TEXT(DAY($A160),"00")&amp;"/"&amp;TEXT(MONTH($A160),"00"),'Eventos y Previsión'!$B$4:$B$24)))*ROW('Eventos y Previsión'!$A$4:$A$24))-ROW('Eventos y Previsión'!$A$3)),"")</f>
        <v/>
      </c>
    </row>
    <row r="161" spans="1:12" ht="15.75" customHeight="1">
      <c r="A161" s="62">
        <v>46257</v>
      </c>
      <c r="B161" s="46" t="str">
        <f t="shared" si="13"/>
        <v>dom</v>
      </c>
      <c r="C161" s="47">
        <f>SUMIFS('Detalle Turnos'!$E:$E,'Detalle Turnos'!$A:$A,$A161,'Detalle Turnos'!$B:$B,"Mañana")</f>
        <v>0</v>
      </c>
      <c r="D161" s="47">
        <f>SUMIFS('Detalle Turnos'!$E:$E,'Detalle Turnos'!$A:$A,$A161,'Detalle Turnos'!$B:$B,"Mediodia")</f>
        <v>0</v>
      </c>
      <c r="E161" s="47">
        <f>SUMIFS('Detalle Turnos'!$E:$E,'Detalle Turnos'!$A:$A,$A161,'Detalle Turnos'!$B:$B,"Noche")</f>
        <v>0</v>
      </c>
      <c r="F161" s="48">
        <f t="shared" si="14"/>
        <v>0</v>
      </c>
      <c r="G161" s="47">
        <f>IFERROR(IF(ISNUMBER(MATCH($A161,'Eventos y Previsión'!$B$4:$B$24,0)),INDEX('Eventos y Previsión'!$F$4:$F$24,MATCH($A161,'Eventos y Previsión'!$B$4:$B$24,0)),AVERAGEIFS('Facturación 2025'!$F$4:$F$303,'Facturación 2025'!$B$4:$B$303,$B161)),0)</f>
        <v>1690.062558139535</v>
      </c>
      <c r="H161" s="53">
        <f t="shared" si="15"/>
        <v>-1690.062558139535</v>
      </c>
      <c r="I161" s="49">
        <f t="shared" si="16"/>
        <v>-1</v>
      </c>
      <c r="J161" s="47">
        <f t="array" ref="J161">SUMPRODUCT(('Horarios Personal'!$A$5:$A$555=$A161)*IFERROR('Horarios Personal'!$L$5:$L$555*1,0))</f>
        <v>0</v>
      </c>
      <c r="K161" s="70" t="str">
        <f t="shared" si="17"/>
        <v/>
      </c>
      <c r="L161" s="58" t="str">
        <f t="array" ref="L161">IFERROR(INDEX('Eventos y Previsión'!$C$4:$C$24,SUMPRODUCT((LOWER('Eventos y Previsión'!$A$4:$A$24)=LOWER(TEXT($A161,"mmmm")))*(ISNUMBER(SEARCH(TEXT(DAY($A161),"00")&amp;"/"&amp;TEXT(MONTH($A161),"00"),'Eventos y Previsión'!$B$4:$B$24)))*ROW('Eventos y Previsión'!$A$4:$A$24))-ROW('Eventos y Previsión'!$A$3)),"")</f>
        <v/>
      </c>
    </row>
    <row r="162" spans="1:12" ht="15.75" customHeight="1">
      <c r="A162" s="62">
        <v>46260</v>
      </c>
      <c r="B162" s="46" t="str">
        <f t="shared" si="13"/>
        <v>mié</v>
      </c>
      <c r="C162" s="47">
        <f>SUMIFS('Detalle Turnos'!$E:$E,'Detalle Turnos'!$A:$A,$A162,'Detalle Turnos'!$B:$B,"Mañana")</f>
        <v>0</v>
      </c>
      <c r="D162" s="47">
        <f>SUMIFS('Detalle Turnos'!$E:$E,'Detalle Turnos'!$A:$A,$A162,'Detalle Turnos'!$B:$B,"Mediodia")</f>
        <v>0</v>
      </c>
      <c r="E162" s="47">
        <f>SUMIFS('Detalle Turnos'!$E:$E,'Detalle Turnos'!$A:$A,$A162,'Detalle Turnos'!$B:$B,"Noche")</f>
        <v>0</v>
      </c>
      <c r="F162" s="48">
        <f t="shared" si="14"/>
        <v>0</v>
      </c>
      <c r="G162" s="47">
        <f>IFERROR(IF(ISNUMBER(MATCH($A162,'Eventos y Previsión'!$B$4:$B$24,0)),INDEX('Eventos y Previsión'!$F$4:$F$24,MATCH($A162,'Eventos y Previsión'!$B$4:$B$24,0)),AVERAGEIFS('Facturación 2025'!$F$4:$F$303,'Facturación 2025'!$B$4:$B$303,$B162)),0)</f>
        <v>1039.9519512195122</v>
      </c>
      <c r="H162" s="53">
        <f t="shared" si="15"/>
        <v>-1039.9519512195122</v>
      </c>
      <c r="I162" s="49">
        <f t="shared" si="16"/>
        <v>-1</v>
      </c>
      <c r="J162" s="47">
        <f t="array" ref="J162">SUMPRODUCT(('Horarios Personal'!$A$5:$A$555=$A162)*IFERROR('Horarios Personal'!$L$5:$L$555*1,0))</f>
        <v>0</v>
      </c>
      <c r="K162" s="70" t="str">
        <f t="shared" si="17"/>
        <v/>
      </c>
      <c r="L162" s="58" t="str">
        <f t="array" ref="L162">IFERROR(INDEX('Eventos y Previsión'!$C$4:$C$24,SUMPRODUCT((LOWER('Eventos y Previsión'!$A$4:$A$24)=LOWER(TEXT($A162,"mmmm")))*(ISNUMBER(SEARCH(TEXT(DAY($A162),"00")&amp;"/"&amp;TEXT(MONTH($A162),"00"),'Eventos y Previsión'!$B$4:$B$24)))*ROW('Eventos y Previsión'!$A$4:$A$24))-ROW('Eventos y Previsión'!$A$3)),"")</f>
        <v/>
      </c>
    </row>
    <row r="163" spans="1:12" ht="15.75" customHeight="1">
      <c r="A163" s="62">
        <v>46261</v>
      </c>
      <c r="B163" s="46" t="str">
        <f t="shared" si="13"/>
        <v>jue</v>
      </c>
      <c r="C163" s="47">
        <f>SUMIFS('Detalle Turnos'!$E:$E,'Detalle Turnos'!$A:$A,$A163,'Detalle Turnos'!$B:$B,"Mañana")</f>
        <v>0</v>
      </c>
      <c r="D163" s="47">
        <f>SUMIFS('Detalle Turnos'!$E:$E,'Detalle Turnos'!$A:$A,$A163,'Detalle Turnos'!$B:$B,"Mediodia")</f>
        <v>0</v>
      </c>
      <c r="E163" s="47">
        <f>SUMIFS('Detalle Turnos'!$E:$E,'Detalle Turnos'!$A:$A,$A163,'Detalle Turnos'!$B:$B,"Noche")</f>
        <v>0</v>
      </c>
      <c r="F163" s="48">
        <f t="shared" si="14"/>
        <v>0</v>
      </c>
      <c r="G163" s="47">
        <f>IFERROR(IF(ISNUMBER(MATCH($A163,'Eventos y Previsión'!$B$4:$B$24,0)),INDEX('Eventos y Previsión'!$F$4:$F$24,MATCH($A163,'Eventos y Previsión'!$B$4:$B$24,0)),AVERAGEIFS('Facturación 2025'!$F$4:$F$303,'Facturación 2025'!$B$4:$B$303,$B163)),0)</f>
        <v>1100.2225000000003</v>
      </c>
      <c r="H163" s="53">
        <f t="shared" si="15"/>
        <v>-1100.2225000000003</v>
      </c>
      <c r="I163" s="49">
        <f t="shared" si="16"/>
        <v>-1</v>
      </c>
      <c r="J163" s="47">
        <f t="array" ref="J163">SUMPRODUCT(('Horarios Personal'!$A$5:$A$555=$A163)*IFERROR('Horarios Personal'!$L$5:$L$555*1,0))</f>
        <v>0</v>
      </c>
      <c r="K163" s="70" t="str">
        <f t="shared" si="17"/>
        <v/>
      </c>
      <c r="L163" s="58" t="str">
        <f t="array" ref="L163">IFERROR(INDEX('Eventos y Previsión'!$C$4:$C$24,SUMPRODUCT((LOWER('Eventos y Previsión'!$A$4:$A$24)=LOWER(TEXT($A163,"mmmm")))*(ISNUMBER(SEARCH(TEXT(DAY($A163),"00")&amp;"/"&amp;TEXT(MONTH($A163),"00"),'Eventos y Previsión'!$B$4:$B$24)))*ROW('Eventos y Previsión'!$A$4:$A$24))-ROW('Eventos y Previsión'!$A$3)),"")</f>
        <v/>
      </c>
    </row>
    <row r="164" spans="1:12" ht="15.75" customHeight="1">
      <c r="A164" s="62">
        <v>46262</v>
      </c>
      <c r="B164" s="46" t="str">
        <f t="shared" si="13"/>
        <v>vie</v>
      </c>
      <c r="C164" s="47">
        <f>SUMIFS('Detalle Turnos'!$E:$E,'Detalle Turnos'!$A:$A,$A164,'Detalle Turnos'!$B:$B,"Mañana")</f>
        <v>0</v>
      </c>
      <c r="D164" s="47">
        <f>SUMIFS('Detalle Turnos'!$E:$E,'Detalle Turnos'!$A:$A,$A164,'Detalle Turnos'!$B:$B,"Mediodia")</f>
        <v>0</v>
      </c>
      <c r="E164" s="47">
        <f>SUMIFS('Detalle Turnos'!$E:$E,'Detalle Turnos'!$A:$A,$A164,'Detalle Turnos'!$B:$B,"Noche")</f>
        <v>0</v>
      </c>
      <c r="F164" s="48">
        <f t="shared" si="14"/>
        <v>0</v>
      </c>
      <c r="G164" s="47">
        <f>IFERROR(IF(ISNUMBER(MATCH($A164,'Eventos y Previsión'!$B$4:$B$24,0)),INDEX('Eventos y Previsión'!$F$4:$F$24,MATCH($A164,'Eventos y Previsión'!$B$4:$B$24,0)),AVERAGEIFS('Facturación 2025'!$F$4:$F$303,'Facturación 2025'!$B$4:$B$303,$B164)),0)</f>
        <v>1865.4067441860466</v>
      </c>
      <c r="H164" s="53">
        <f t="shared" si="15"/>
        <v>-1865.4067441860466</v>
      </c>
      <c r="I164" s="49">
        <f t="shared" si="16"/>
        <v>-1</v>
      </c>
      <c r="J164" s="47">
        <f t="array" ref="J164">SUMPRODUCT(('Horarios Personal'!$A$5:$A$555=$A164)*IFERROR('Horarios Personal'!$L$5:$L$555*1,0))</f>
        <v>0</v>
      </c>
      <c r="K164" s="70" t="str">
        <f t="shared" si="17"/>
        <v/>
      </c>
      <c r="L164" s="58" t="str">
        <f t="array" ref="L164">IFERROR(INDEX('Eventos y Previsión'!$C$4:$C$24,SUMPRODUCT((LOWER('Eventos y Previsión'!$A$4:$A$24)=LOWER(TEXT($A164,"mmmm")))*(ISNUMBER(SEARCH(TEXT(DAY($A164),"00")&amp;"/"&amp;TEXT(MONTH($A164),"00"),'Eventos y Previsión'!$B$4:$B$24)))*ROW('Eventos y Previsión'!$A$4:$A$24))-ROW('Eventos y Previsión'!$A$3)),"")</f>
        <v/>
      </c>
    </row>
    <row r="165" spans="1:12" ht="15.75" customHeight="1">
      <c r="A165" s="62">
        <v>46263</v>
      </c>
      <c r="B165" s="46" t="str">
        <f t="shared" si="13"/>
        <v>sáb</v>
      </c>
      <c r="C165" s="47">
        <f>SUMIFS('Detalle Turnos'!$E:$E,'Detalle Turnos'!$A:$A,$A165,'Detalle Turnos'!$B:$B,"Mañana")</f>
        <v>0</v>
      </c>
      <c r="D165" s="47">
        <f>SUMIFS('Detalle Turnos'!$E:$E,'Detalle Turnos'!$A:$A,$A165,'Detalle Turnos'!$B:$B,"Mediodia")</f>
        <v>0</v>
      </c>
      <c r="E165" s="47">
        <f>SUMIFS('Detalle Turnos'!$E:$E,'Detalle Turnos'!$A:$A,$A165,'Detalle Turnos'!$B:$B,"Noche")</f>
        <v>0</v>
      </c>
      <c r="F165" s="48">
        <f t="shared" si="14"/>
        <v>0</v>
      </c>
      <c r="G165" s="47">
        <f>IFERROR(IF(ISNUMBER(MATCH($A165,'Eventos y Previsión'!$B$4:$B$24,0)),INDEX('Eventos y Previsión'!$F$4:$F$24,MATCH($A165,'Eventos y Previsión'!$B$4:$B$24,0)),AVERAGEIFS('Facturación 2025'!$F$4:$F$303,'Facturación 2025'!$B$4:$B$303,$B165)),0)</f>
        <v>2049.8245999999995</v>
      </c>
      <c r="H165" s="53">
        <f t="shared" si="15"/>
        <v>-2049.8245999999995</v>
      </c>
      <c r="I165" s="49">
        <f t="shared" si="16"/>
        <v>-1</v>
      </c>
      <c r="J165" s="47">
        <f t="array" ref="J165">SUMPRODUCT(('Horarios Personal'!$A$5:$A$555=$A165)*IFERROR('Horarios Personal'!$L$5:$L$555*1,0))</f>
        <v>0</v>
      </c>
      <c r="K165" s="70" t="str">
        <f t="shared" si="17"/>
        <v/>
      </c>
      <c r="L165" s="58" t="str">
        <f t="array" ref="L165">IFERROR(INDEX('Eventos y Previsión'!$C$4:$C$24,SUMPRODUCT((LOWER('Eventos y Previsión'!$A$4:$A$24)=LOWER(TEXT($A165,"mmmm")))*(ISNUMBER(SEARCH(TEXT(DAY($A165),"00")&amp;"/"&amp;TEXT(MONTH($A165),"00"),'Eventos y Previsión'!$B$4:$B$24)))*ROW('Eventos y Previsión'!$A$4:$A$24))-ROW('Eventos y Previsión'!$A$3)),"")</f>
        <v/>
      </c>
    </row>
    <row r="166" spans="1:12" ht="15.75" customHeight="1">
      <c r="A166" s="62">
        <v>46264</v>
      </c>
      <c r="B166" s="46" t="str">
        <f t="shared" si="13"/>
        <v>dom</v>
      </c>
      <c r="C166" s="47">
        <f>SUMIFS('Detalle Turnos'!$E:$E,'Detalle Turnos'!$A:$A,$A166,'Detalle Turnos'!$B:$B,"Mañana")</f>
        <v>0</v>
      </c>
      <c r="D166" s="47">
        <f>SUMIFS('Detalle Turnos'!$E:$E,'Detalle Turnos'!$A:$A,$A166,'Detalle Turnos'!$B:$B,"Mediodia")</f>
        <v>0</v>
      </c>
      <c r="E166" s="47">
        <f>SUMIFS('Detalle Turnos'!$E:$E,'Detalle Turnos'!$A:$A,$A166,'Detalle Turnos'!$B:$B,"Noche")</f>
        <v>0</v>
      </c>
      <c r="F166" s="48">
        <f t="shared" si="14"/>
        <v>0</v>
      </c>
      <c r="G166" s="47">
        <f>IFERROR(IF(ISNUMBER(MATCH($A166,'Eventos y Previsión'!$B$4:$B$24,0)),INDEX('Eventos y Previsión'!$F$4:$F$24,MATCH($A166,'Eventos y Previsión'!$B$4:$B$24,0)),AVERAGEIFS('Facturación 2025'!$F$4:$F$303,'Facturación 2025'!$B$4:$B$303,$B166)),0)</f>
        <v>1690.062558139535</v>
      </c>
      <c r="H166" s="53">
        <f t="shared" si="15"/>
        <v>-1690.062558139535</v>
      </c>
      <c r="I166" s="49">
        <f t="shared" si="16"/>
        <v>-1</v>
      </c>
      <c r="J166" s="47">
        <f t="array" ref="J166">SUMPRODUCT(('Horarios Personal'!$A$5:$A$555=$A166)*IFERROR('Horarios Personal'!$L$5:$L$555*1,0))</f>
        <v>0</v>
      </c>
      <c r="K166" s="70" t="str">
        <f t="shared" si="17"/>
        <v/>
      </c>
      <c r="L166" s="58" t="str">
        <f t="array" ref="L166">IFERROR(INDEX('Eventos y Previsión'!$C$4:$C$24,SUMPRODUCT((LOWER('Eventos y Previsión'!$A$4:$A$24)=LOWER(TEXT($A166,"mmmm")))*(ISNUMBER(SEARCH(TEXT(DAY($A166),"00")&amp;"/"&amp;TEXT(MONTH($A166),"00"),'Eventos y Previsión'!$B$4:$B$24)))*ROW('Eventos y Previsión'!$A$4:$A$24))-ROW('Eventos y Previsión'!$A$3)),"")</f>
        <v/>
      </c>
    </row>
    <row r="167" spans="1:12" ht="15.75" customHeight="1">
      <c r="A167" s="62">
        <v>46267</v>
      </c>
      <c r="B167" s="46" t="str">
        <f t="shared" si="13"/>
        <v>mié</v>
      </c>
      <c r="C167" s="47">
        <f>SUMIFS('Detalle Turnos'!$E:$E,'Detalle Turnos'!$A:$A,$A167,'Detalle Turnos'!$B:$B,"Mañana")</f>
        <v>0</v>
      </c>
      <c r="D167" s="47">
        <f>SUMIFS('Detalle Turnos'!$E:$E,'Detalle Turnos'!$A:$A,$A167,'Detalle Turnos'!$B:$B,"Mediodia")</f>
        <v>0</v>
      </c>
      <c r="E167" s="47">
        <f>SUMIFS('Detalle Turnos'!$E:$E,'Detalle Turnos'!$A:$A,$A167,'Detalle Turnos'!$B:$B,"Noche")</f>
        <v>0</v>
      </c>
      <c r="F167" s="48">
        <f t="shared" si="14"/>
        <v>0</v>
      </c>
      <c r="G167" s="47">
        <f>IFERROR(IF(ISNUMBER(MATCH($A167,'Eventos y Previsión'!$B$4:$B$24,0)),INDEX('Eventos y Previsión'!$F$4:$F$24,MATCH($A167,'Eventos y Previsión'!$B$4:$B$24,0)),AVERAGEIFS('Facturación 2025'!$F$4:$F$303,'Facturación 2025'!$B$4:$B$303,$B167)),0)</f>
        <v>1039.9519512195122</v>
      </c>
      <c r="H167" s="53">
        <f t="shared" si="15"/>
        <v>-1039.9519512195122</v>
      </c>
      <c r="I167" s="49">
        <f t="shared" si="16"/>
        <v>-1</v>
      </c>
      <c r="J167" s="47">
        <f t="array" ref="J167">SUMPRODUCT(('Horarios Personal'!$A$5:$A$555=$A167)*IFERROR('Horarios Personal'!$L$5:$L$555*1,0))</f>
        <v>0</v>
      </c>
      <c r="K167" s="70" t="str">
        <f t="shared" si="17"/>
        <v/>
      </c>
      <c r="L167" s="58" t="str">
        <f t="array" ref="L167">IFERROR(INDEX('Eventos y Previsión'!$C$4:$C$24,SUMPRODUCT((LOWER('Eventos y Previsión'!$A$4:$A$24)=LOWER(TEXT($A167,"mmmm")))*(ISNUMBER(SEARCH(TEXT(DAY($A167),"00")&amp;"/"&amp;TEXT(MONTH($A167),"00"),'Eventos y Previsión'!$B$4:$B$24)))*ROW('Eventos y Previsión'!$A$4:$A$24))-ROW('Eventos y Previsión'!$A$3)),"")</f>
        <v/>
      </c>
    </row>
    <row r="168" spans="1:12" ht="15.75" customHeight="1">
      <c r="A168" s="62">
        <v>46268</v>
      </c>
      <c r="B168" s="46" t="str">
        <f t="shared" si="13"/>
        <v>jue</v>
      </c>
      <c r="C168" s="47">
        <f>SUMIFS('Detalle Turnos'!$E:$E,'Detalle Turnos'!$A:$A,$A168,'Detalle Turnos'!$B:$B,"Mañana")</f>
        <v>0</v>
      </c>
      <c r="D168" s="47">
        <f>SUMIFS('Detalle Turnos'!$E:$E,'Detalle Turnos'!$A:$A,$A168,'Detalle Turnos'!$B:$B,"Mediodia")</f>
        <v>0</v>
      </c>
      <c r="E168" s="47">
        <f>SUMIFS('Detalle Turnos'!$E:$E,'Detalle Turnos'!$A:$A,$A168,'Detalle Turnos'!$B:$B,"Noche")</f>
        <v>0</v>
      </c>
      <c r="F168" s="48">
        <f t="shared" si="14"/>
        <v>0</v>
      </c>
      <c r="G168" s="47">
        <f>IFERROR(IF(ISNUMBER(MATCH($A168,'Eventos y Previsión'!$B$4:$B$24,0)),INDEX('Eventos y Previsión'!$F$4:$F$24,MATCH($A168,'Eventos y Previsión'!$B$4:$B$24,0)),AVERAGEIFS('Facturación 2025'!$F$4:$F$303,'Facturación 2025'!$B$4:$B$303,$B168)),0)</f>
        <v>1100.2225000000003</v>
      </c>
      <c r="H168" s="53">
        <f t="shared" si="15"/>
        <v>-1100.2225000000003</v>
      </c>
      <c r="I168" s="49">
        <f t="shared" si="16"/>
        <v>-1</v>
      </c>
      <c r="J168" s="47">
        <f t="array" ref="J168">SUMPRODUCT(('Horarios Personal'!$A$5:$A$555=$A168)*IFERROR('Horarios Personal'!$L$5:$L$555*1,0))</f>
        <v>0</v>
      </c>
      <c r="K168" s="70" t="str">
        <f t="shared" si="17"/>
        <v/>
      </c>
      <c r="L168" s="58" t="str">
        <f t="array" ref="L168">IFERROR(INDEX('Eventos y Previsión'!$C$4:$C$24,SUMPRODUCT((LOWER('Eventos y Previsión'!$A$4:$A$24)=LOWER(TEXT($A168,"mmmm")))*(ISNUMBER(SEARCH(TEXT(DAY($A168),"00")&amp;"/"&amp;TEXT(MONTH($A168),"00"),'Eventos y Previsión'!$B$4:$B$24)))*ROW('Eventos y Previsión'!$A$4:$A$24))-ROW('Eventos y Previsión'!$A$3)),"")</f>
        <v/>
      </c>
    </row>
    <row r="169" spans="1:12" ht="15.75" customHeight="1">
      <c r="A169" s="62">
        <v>46269</v>
      </c>
      <c r="B169" s="46" t="str">
        <f t="shared" si="13"/>
        <v>vie</v>
      </c>
      <c r="C169" s="47">
        <f>SUMIFS('Detalle Turnos'!$E:$E,'Detalle Turnos'!$A:$A,$A169,'Detalle Turnos'!$B:$B,"Mañana")</f>
        <v>0</v>
      </c>
      <c r="D169" s="47">
        <f>SUMIFS('Detalle Turnos'!$E:$E,'Detalle Turnos'!$A:$A,$A169,'Detalle Turnos'!$B:$B,"Mediodia")</f>
        <v>0</v>
      </c>
      <c r="E169" s="47">
        <f>SUMIFS('Detalle Turnos'!$E:$E,'Detalle Turnos'!$A:$A,$A169,'Detalle Turnos'!$B:$B,"Noche")</f>
        <v>0</v>
      </c>
      <c r="F169" s="48">
        <f t="shared" si="14"/>
        <v>0</v>
      </c>
      <c r="G169" s="47">
        <f>IFERROR(IF(ISNUMBER(MATCH($A169,'Eventos y Previsión'!$B$4:$B$24,0)),INDEX('Eventos y Previsión'!$F$4:$F$24,MATCH($A169,'Eventos y Previsión'!$B$4:$B$24,0)),AVERAGEIFS('Facturación 2025'!$F$4:$F$303,'Facturación 2025'!$B$4:$B$303,$B169)),0)</f>
        <v>1865.4067441860466</v>
      </c>
      <c r="H169" s="53">
        <f t="shared" si="15"/>
        <v>-1865.4067441860466</v>
      </c>
      <c r="I169" s="49">
        <f t="shared" si="16"/>
        <v>-1</v>
      </c>
      <c r="J169" s="47">
        <f t="array" ref="J169">SUMPRODUCT(('Horarios Personal'!$A$5:$A$555=$A169)*IFERROR('Horarios Personal'!$L$5:$L$555*1,0))</f>
        <v>0</v>
      </c>
      <c r="K169" s="70" t="str">
        <f t="shared" si="17"/>
        <v/>
      </c>
      <c r="L169" s="58" t="str">
        <f t="array" ref="L169">IFERROR(INDEX('Eventos y Previsión'!$C$4:$C$24,SUMPRODUCT((LOWER('Eventos y Previsión'!$A$4:$A$24)=LOWER(TEXT($A169,"mmmm")))*(ISNUMBER(SEARCH(TEXT(DAY($A169),"00")&amp;"/"&amp;TEXT(MONTH($A169),"00"),'Eventos y Previsión'!$B$4:$B$24)))*ROW('Eventos y Previsión'!$A$4:$A$24))-ROW('Eventos y Previsión'!$A$3)),"")</f>
        <v/>
      </c>
    </row>
    <row r="170" spans="1:12" ht="15.75" customHeight="1">
      <c r="A170" s="62">
        <v>46270</v>
      </c>
      <c r="B170" s="46" t="str">
        <f t="shared" si="13"/>
        <v>sáb</v>
      </c>
      <c r="C170" s="47">
        <f>SUMIFS('Detalle Turnos'!$E:$E,'Detalle Turnos'!$A:$A,$A170,'Detalle Turnos'!$B:$B,"Mañana")</f>
        <v>0</v>
      </c>
      <c r="D170" s="47">
        <f>SUMIFS('Detalle Turnos'!$E:$E,'Detalle Turnos'!$A:$A,$A170,'Detalle Turnos'!$B:$B,"Mediodia")</f>
        <v>0</v>
      </c>
      <c r="E170" s="47">
        <f>SUMIFS('Detalle Turnos'!$E:$E,'Detalle Turnos'!$A:$A,$A170,'Detalle Turnos'!$B:$B,"Noche")</f>
        <v>0</v>
      </c>
      <c r="F170" s="48">
        <f t="shared" si="14"/>
        <v>0</v>
      </c>
      <c r="G170" s="47">
        <f>IFERROR(IF(ISNUMBER(MATCH($A170,'Eventos y Previsión'!$B$4:$B$24,0)),INDEX('Eventos y Previsión'!$F$4:$F$24,MATCH($A170,'Eventos y Previsión'!$B$4:$B$24,0)),AVERAGEIFS('Facturación 2025'!$F$4:$F$303,'Facturación 2025'!$B$4:$B$303,$B170)),0)</f>
        <v>2049.8245999999995</v>
      </c>
      <c r="H170" s="53">
        <f t="shared" si="15"/>
        <v>-2049.8245999999995</v>
      </c>
      <c r="I170" s="49">
        <f t="shared" si="16"/>
        <v>-1</v>
      </c>
      <c r="J170" s="47">
        <f t="array" ref="J170">SUMPRODUCT(('Horarios Personal'!$A$5:$A$555=$A170)*IFERROR('Horarios Personal'!$L$5:$L$555*1,0))</f>
        <v>0</v>
      </c>
      <c r="K170" s="70" t="str">
        <f t="shared" si="17"/>
        <v/>
      </c>
      <c r="L170" s="58" t="str">
        <f t="array" ref="L170">IFERROR(INDEX('Eventos y Previsión'!$C$4:$C$24,SUMPRODUCT((LOWER('Eventos y Previsión'!$A$4:$A$24)=LOWER(TEXT($A170,"mmmm")))*(ISNUMBER(SEARCH(TEXT(DAY($A170),"00")&amp;"/"&amp;TEXT(MONTH($A170),"00"),'Eventos y Previsión'!$B$4:$B$24)))*ROW('Eventos y Previsión'!$A$4:$A$24))-ROW('Eventos y Previsión'!$A$3)),"")</f>
        <v/>
      </c>
    </row>
    <row r="171" spans="1:12" ht="15.75" customHeight="1">
      <c r="A171" s="62">
        <v>46271</v>
      </c>
      <c r="B171" s="46" t="str">
        <f t="shared" si="13"/>
        <v>dom</v>
      </c>
      <c r="C171" s="47">
        <f>SUMIFS('Detalle Turnos'!$E:$E,'Detalle Turnos'!$A:$A,$A171,'Detalle Turnos'!$B:$B,"Mañana")</f>
        <v>0</v>
      </c>
      <c r="D171" s="47">
        <f>SUMIFS('Detalle Turnos'!$E:$E,'Detalle Turnos'!$A:$A,$A171,'Detalle Turnos'!$B:$B,"Mediodia")</f>
        <v>0</v>
      </c>
      <c r="E171" s="47">
        <f>SUMIFS('Detalle Turnos'!$E:$E,'Detalle Turnos'!$A:$A,$A171,'Detalle Turnos'!$B:$B,"Noche")</f>
        <v>0</v>
      </c>
      <c r="F171" s="48">
        <f t="shared" si="14"/>
        <v>0</v>
      </c>
      <c r="G171" s="47">
        <f>IFERROR(IF(ISNUMBER(MATCH($A171,'Eventos y Previsión'!$B$4:$B$24,0)),INDEX('Eventos y Previsión'!$F$4:$F$24,MATCH($A171,'Eventos y Previsión'!$B$4:$B$24,0)),AVERAGEIFS('Facturación 2025'!$F$4:$F$303,'Facturación 2025'!$B$4:$B$303,$B171)),0)</f>
        <v>1690.062558139535</v>
      </c>
      <c r="H171" s="53">
        <f t="shared" si="15"/>
        <v>-1690.062558139535</v>
      </c>
      <c r="I171" s="49">
        <f t="shared" si="16"/>
        <v>-1</v>
      </c>
      <c r="J171" s="47">
        <f t="array" ref="J171">SUMPRODUCT(('Horarios Personal'!$A$5:$A$555=$A171)*IFERROR('Horarios Personal'!$L$5:$L$555*1,0))</f>
        <v>0</v>
      </c>
      <c r="K171" s="70" t="str">
        <f t="shared" si="17"/>
        <v/>
      </c>
      <c r="L171" s="58" t="str">
        <f t="array" ref="L171">IFERROR(INDEX('Eventos y Previsión'!$C$4:$C$24,SUMPRODUCT((LOWER('Eventos y Previsión'!$A$4:$A$24)=LOWER(TEXT($A171,"mmmm")))*(ISNUMBER(SEARCH(TEXT(DAY($A171),"00")&amp;"/"&amp;TEXT(MONTH($A171),"00"),'Eventos y Previsión'!$B$4:$B$24)))*ROW('Eventos y Previsión'!$A$4:$A$24))-ROW('Eventos y Previsión'!$A$3)),"")</f>
        <v/>
      </c>
    </row>
    <row r="172" spans="1:12" ht="15.75" customHeight="1">
      <c r="A172" s="62">
        <v>46274</v>
      </c>
      <c r="B172" s="46" t="str">
        <f t="shared" si="13"/>
        <v>mié</v>
      </c>
      <c r="C172" s="47">
        <f>SUMIFS('Detalle Turnos'!$E:$E,'Detalle Turnos'!$A:$A,$A172,'Detalle Turnos'!$B:$B,"Mañana")</f>
        <v>0</v>
      </c>
      <c r="D172" s="47">
        <f>SUMIFS('Detalle Turnos'!$E:$E,'Detalle Turnos'!$A:$A,$A172,'Detalle Turnos'!$B:$B,"Mediodia")</f>
        <v>0</v>
      </c>
      <c r="E172" s="47">
        <f>SUMIFS('Detalle Turnos'!$E:$E,'Detalle Turnos'!$A:$A,$A172,'Detalle Turnos'!$B:$B,"Noche")</f>
        <v>0</v>
      </c>
      <c r="F172" s="48">
        <f t="shared" si="14"/>
        <v>0</v>
      </c>
      <c r="G172" s="47">
        <f>IFERROR(IF(ISNUMBER(MATCH($A172,'Eventos y Previsión'!$B$4:$B$24,0)),INDEX('Eventos y Previsión'!$F$4:$F$24,MATCH($A172,'Eventos y Previsión'!$B$4:$B$24,0)),AVERAGEIFS('Facturación 2025'!$F$4:$F$303,'Facturación 2025'!$B$4:$B$303,$B172)),0)</f>
        <v>1039.9519512195122</v>
      </c>
      <c r="H172" s="53">
        <f t="shared" si="15"/>
        <v>-1039.9519512195122</v>
      </c>
      <c r="I172" s="49">
        <f t="shared" si="16"/>
        <v>-1</v>
      </c>
      <c r="J172" s="47">
        <f t="array" ref="J172">SUMPRODUCT(('Horarios Personal'!$A$5:$A$555=$A172)*IFERROR('Horarios Personal'!$L$5:$L$555*1,0))</f>
        <v>0</v>
      </c>
      <c r="K172" s="70" t="str">
        <f t="shared" si="17"/>
        <v/>
      </c>
      <c r="L172" s="58" t="str">
        <f t="array" ref="L172">IFERROR(INDEX('Eventos y Previsión'!$C$4:$C$24,SUMPRODUCT((LOWER('Eventos y Previsión'!$A$4:$A$24)=LOWER(TEXT($A172,"mmmm")))*(ISNUMBER(SEARCH(TEXT(DAY($A172),"00")&amp;"/"&amp;TEXT(MONTH($A172),"00"),'Eventos y Previsión'!$B$4:$B$24)))*ROW('Eventos y Previsión'!$A$4:$A$24))-ROW('Eventos y Previsión'!$A$3)),"")</f>
        <v/>
      </c>
    </row>
    <row r="173" spans="1:12" ht="15.75" customHeight="1">
      <c r="A173" s="62">
        <v>46275</v>
      </c>
      <c r="B173" s="46" t="str">
        <f t="shared" si="13"/>
        <v>jue</v>
      </c>
      <c r="C173" s="47">
        <f>SUMIFS('Detalle Turnos'!$E:$E,'Detalle Turnos'!$A:$A,$A173,'Detalle Turnos'!$B:$B,"Mañana")</f>
        <v>0</v>
      </c>
      <c r="D173" s="47">
        <f>SUMIFS('Detalle Turnos'!$E:$E,'Detalle Turnos'!$A:$A,$A173,'Detalle Turnos'!$B:$B,"Mediodia")</f>
        <v>0</v>
      </c>
      <c r="E173" s="47">
        <f>SUMIFS('Detalle Turnos'!$E:$E,'Detalle Turnos'!$A:$A,$A173,'Detalle Turnos'!$B:$B,"Noche")</f>
        <v>0</v>
      </c>
      <c r="F173" s="48">
        <f t="shared" si="14"/>
        <v>0</v>
      </c>
      <c r="G173" s="47">
        <f>IFERROR(IF(ISNUMBER(MATCH($A173,'Eventos y Previsión'!$B$4:$B$24,0)),INDEX('Eventos y Previsión'!$F$4:$F$24,MATCH($A173,'Eventos y Previsión'!$B$4:$B$24,0)),AVERAGEIFS('Facturación 2025'!$F$4:$F$303,'Facturación 2025'!$B$4:$B$303,$B173)),0)</f>
        <v>1100.2225000000003</v>
      </c>
      <c r="H173" s="53">
        <f t="shared" si="15"/>
        <v>-1100.2225000000003</v>
      </c>
      <c r="I173" s="49">
        <f t="shared" si="16"/>
        <v>-1</v>
      </c>
      <c r="J173" s="47">
        <f t="array" ref="J173">SUMPRODUCT(('Horarios Personal'!$A$5:$A$555=$A173)*IFERROR('Horarios Personal'!$L$5:$L$555*1,0))</f>
        <v>0</v>
      </c>
      <c r="K173" s="70" t="str">
        <f t="shared" si="17"/>
        <v/>
      </c>
      <c r="L173" s="58" t="str">
        <f t="array" ref="L173">IFERROR(INDEX('Eventos y Previsión'!$C$4:$C$24,SUMPRODUCT((LOWER('Eventos y Previsión'!$A$4:$A$24)=LOWER(TEXT($A173,"mmmm")))*(ISNUMBER(SEARCH(TEXT(DAY($A173),"00")&amp;"/"&amp;TEXT(MONTH($A173),"00"),'Eventos y Previsión'!$B$4:$B$24)))*ROW('Eventos y Previsión'!$A$4:$A$24))-ROW('Eventos y Previsión'!$A$3)),"")</f>
        <v/>
      </c>
    </row>
    <row r="174" spans="1:12" ht="15.75" customHeight="1">
      <c r="A174" s="62">
        <v>46276</v>
      </c>
      <c r="B174" s="46" t="str">
        <f t="shared" si="13"/>
        <v>vie</v>
      </c>
      <c r="C174" s="47">
        <f>SUMIFS('Detalle Turnos'!$E:$E,'Detalle Turnos'!$A:$A,$A174,'Detalle Turnos'!$B:$B,"Mañana")</f>
        <v>0</v>
      </c>
      <c r="D174" s="47">
        <f>SUMIFS('Detalle Turnos'!$E:$E,'Detalle Turnos'!$A:$A,$A174,'Detalle Turnos'!$B:$B,"Mediodia")</f>
        <v>0</v>
      </c>
      <c r="E174" s="47">
        <f>SUMIFS('Detalle Turnos'!$E:$E,'Detalle Turnos'!$A:$A,$A174,'Detalle Turnos'!$B:$B,"Noche")</f>
        <v>0</v>
      </c>
      <c r="F174" s="48">
        <f t="shared" si="14"/>
        <v>0</v>
      </c>
      <c r="G174" s="47">
        <f>IFERROR(IF(ISNUMBER(MATCH($A174,'Eventos y Previsión'!$B$4:$B$24,0)),INDEX('Eventos y Previsión'!$F$4:$F$24,MATCH($A174,'Eventos y Previsión'!$B$4:$B$24,0)),AVERAGEIFS('Facturación 2025'!$F$4:$F$303,'Facturación 2025'!$B$4:$B$303,$B174)),0)</f>
        <v>1865.4067441860466</v>
      </c>
      <c r="H174" s="53">
        <f t="shared" si="15"/>
        <v>-1865.4067441860466</v>
      </c>
      <c r="I174" s="49">
        <f t="shared" si="16"/>
        <v>-1</v>
      </c>
      <c r="J174" s="47">
        <f t="array" ref="J174">SUMPRODUCT(('Horarios Personal'!$A$5:$A$555=$A174)*IFERROR('Horarios Personal'!$L$5:$L$555*1,0))</f>
        <v>0</v>
      </c>
      <c r="K174" s="70" t="str">
        <f t="shared" si="17"/>
        <v/>
      </c>
      <c r="L174" s="58" t="str">
        <f t="array" ref="L174">IFERROR(INDEX('Eventos y Previsión'!$C$4:$C$24,SUMPRODUCT((LOWER('Eventos y Previsión'!$A$4:$A$24)=LOWER(TEXT($A174,"mmmm")))*(ISNUMBER(SEARCH(TEXT(DAY($A174),"00")&amp;"/"&amp;TEXT(MONTH($A174),"00"),'Eventos y Previsión'!$B$4:$B$24)))*ROW('Eventos y Previsión'!$A$4:$A$24))-ROW('Eventos y Previsión'!$A$3)),"")</f>
        <v/>
      </c>
    </row>
    <row r="175" spans="1:12" ht="15.75" customHeight="1">
      <c r="A175" s="62">
        <v>46277</v>
      </c>
      <c r="B175" s="46" t="str">
        <f t="shared" si="13"/>
        <v>sáb</v>
      </c>
      <c r="C175" s="47">
        <f>SUMIFS('Detalle Turnos'!$E:$E,'Detalle Turnos'!$A:$A,$A175,'Detalle Turnos'!$B:$B,"Mañana")</f>
        <v>0</v>
      </c>
      <c r="D175" s="47">
        <f>SUMIFS('Detalle Turnos'!$E:$E,'Detalle Turnos'!$A:$A,$A175,'Detalle Turnos'!$B:$B,"Mediodia")</f>
        <v>0</v>
      </c>
      <c r="E175" s="47">
        <f>SUMIFS('Detalle Turnos'!$E:$E,'Detalle Turnos'!$A:$A,$A175,'Detalle Turnos'!$B:$B,"Noche")</f>
        <v>0</v>
      </c>
      <c r="F175" s="48">
        <f t="shared" si="14"/>
        <v>0</v>
      </c>
      <c r="G175" s="47">
        <f>IFERROR(IF(ISNUMBER(MATCH($A175,'Eventos y Previsión'!$B$4:$B$24,0)),INDEX('Eventos y Previsión'!$F$4:$F$24,MATCH($A175,'Eventos y Previsión'!$B$4:$B$24,0)),AVERAGEIFS('Facturación 2025'!$F$4:$F$303,'Facturación 2025'!$B$4:$B$303,$B175)),0)</f>
        <v>2049.8245999999995</v>
      </c>
      <c r="H175" s="53">
        <f t="shared" si="15"/>
        <v>-2049.8245999999995</v>
      </c>
      <c r="I175" s="49">
        <f t="shared" si="16"/>
        <v>-1</v>
      </c>
      <c r="J175" s="47">
        <f t="array" ref="J175">SUMPRODUCT(('Horarios Personal'!$A$5:$A$555=$A175)*IFERROR('Horarios Personal'!$L$5:$L$555*1,0))</f>
        <v>0</v>
      </c>
      <c r="K175" s="70" t="str">
        <f t="shared" si="17"/>
        <v/>
      </c>
      <c r="L175" s="58" t="str">
        <f t="array" ref="L175">IFERROR(INDEX('Eventos y Previsión'!$C$4:$C$24,SUMPRODUCT((LOWER('Eventos y Previsión'!$A$4:$A$24)=LOWER(TEXT($A175,"mmmm")))*(ISNUMBER(SEARCH(TEXT(DAY($A175),"00")&amp;"/"&amp;TEXT(MONTH($A175),"00"),'Eventos y Previsión'!$B$4:$B$24)))*ROW('Eventos y Previsión'!$A$4:$A$24))-ROW('Eventos y Previsión'!$A$3)),"")</f>
        <v/>
      </c>
    </row>
    <row r="176" spans="1:12" ht="15.75" customHeight="1">
      <c r="A176" s="62">
        <v>46278</v>
      </c>
      <c r="B176" s="46" t="str">
        <f t="shared" si="13"/>
        <v>dom</v>
      </c>
      <c r="C176" s="47">
        <f>SUMIFS('Detalle Turnos'!$E:$E,'Detalle Turnos'!$A:$A,$A176,'Detalle Turnos'!$B:$B,"Mañana")</f>
        <v>0</v>
      </c>
      <c r="D176" s="47">
        <f>SUMIFS('Detalle Turnos'!$E:$E,'Detalle Turnos'!$A:$A,$A176,'Detalle Turnos'!$B:$B,"Mediodia")</f>
        <v>0</v>
      </c>
      <c r="E176" s="47">
        <f>SUMIFS('Detalle Turnos'!$E:$E,'Detalle Turnos'!$A:$A,$A176,'Detalle Turnos'!$B:$B,"Noche")</f>
        <v>0</v>
      </c>
      <c r="F176" s="48">
        <f t="shared" si="14"/>
        <v>0</v>
      </c>
      <c r="G176" s="47">
        <f>IFERROR(IF(ISNUMBER(MATCH($A176,'Eventos y Previsión'!$B$4:$B$24,0)),INDEX('Eventos y Previsión'!$F$4:$F$24,MATCH($A176,'Eventos y Previsión'!$B$4:$B$24,0)),AVERAGEIFS('Facturación 2025'!$F$4:$F$303,'Facturación 2025'!$B$4:$B$303,$B176)),0)</f>
        <v>1690.062558139535</v>
      </c>
      <c r="H176" s="53">
        <f t="shared" si="15"/>
        <v>-1690.062558139535</v>
      </c>
      <c r="I176" s="49">
        <f t="shared" si="16"/>
        <v>-1</v>
      </c>
      <c r="J176" s="47">
        <f t="array" ref="J176">SUMPRODUCT(('Horarios Personal'!$A$5:$A$555=$A176)*IFERROR('Horarios Personal'!$L$5:$L$555*1,0))</f>
        <v>0</v>
      </c>
      <c r="K176" s="70" t="str">
        <f t="shared" si="17"/>
        <v/>
      </c>
      <c r="L176" s="58" t="str">
        <f t="array" ref="L176">IFERROR(INDEX('Eventos y Previsión'!$C$4:$C$24,SUMPRODUCT((LOWER('Eventos y Previsión'!$A$4:$A$24)=LOWER(TEXT($A176,"mmmm")))*(ISNUMBER(SEARCH(TEXT(DAY($A176),"00")&amp;"/"&amp;TEXT(MONTH($A176),"00"),'Eventos y Previsión'!$B$4:$B$24)))*ROW('Eventos y Previsión'!$A$4:$A$24))-ROW('Eventos y Previsión'!$A$3)),"")</f>
        <v/>
      </c>
    </row>
    <row r="177" spans="1:12" ht="15.75" customHeight="1">
      <c r="A177" s="62">
        <v>46281</v>
      </c>
      <c r="B177" s="46" t="str">
        <f t="shared" si="13"/>
        <v>mié</v>
      </c>
      <c r="C177" s="47">
        <f>SUMIFS('Detalle Turnos'!$E:$E,'Detalle Turnos'!$A:$A,$A177,'Detalle Turnos'!$B:$B,"Mañana")</f>
        <v>0</v>
      </c>
      <c r="D177" s="47">
        <f>SUMIFS('Detalle Turnos'!$E:$E,'Detalle Turnos'!$A:$A,$A177,'Detalle Turnos'!$B:$B,"Mediodia")</f>
        <v>0</v>
      </c>
      <c r="E177" s="47">
        <f>SUMIFS('Detalle Turnos'!$E:$E,'Detalle Turnos'!$A:$A,$A177,'Detalle Turnos'!$B:$B,"Noche")</f>
        <v>0</v>
      </c>
      <c r="F177" s="48">
        <f t="shared" si="14"/>
        <v>0</v>
      </c>
      <c r="G177" s="47">
        <f>IFERROR(IF(ISNUMBER(MATCH($A177,'Eventos y Previsión'!$B$4:$B$24,0)),INDEX('Eventos y Previsión'!$F$4:$F$24,MATCH($A177,'Eventos y Previsión'!$B$4:$B$24,0)),AVERAGEIFS('Facturación 2025'!$F$4:$F$303,'Facturación 2025'!$B$4:$B$303,$B177)),0)</f>
        <v>1039.9519512195122</v>
      </c>
      <c r="H177" s="53">
        <f t="shared" si="15"/>
        <v>-1039.9519512195122</v>
      </c>
      <c r="I177" s="49">
        <f t="shared" si="16"/>
        <v>-1</v>
      </c>
      <c r="J177" s="47">
        <f t="array" ref="J177">SUMPRODUCT(('Horarios Personal'!$A$5:$A$555=$A177)*IFERROR('Horarios Personal'!$L$5:$L$555*1,0))</f>
        <v>0</v>
      </c>
      <c r="K177" s="70" t="str">
        <f t="shared" si="17"/>
        <v/>
      </c>
      <c r="L177" s="58" t="str">
        <f t="array" ref="L177">IFERROR(INDEX('Eventos y Previsión'!$C$4:$C$24,SUMPRODUCT((LOWER('Eventos y Previsión'!$A$4:$A$24)=LOWER(TEXT($A177,"mmmm")))*(ISNUMBER(SEARCH(TEXT(DAY($A177),"00")&amp;"/"&amp;TEXT(MONTH($A177),"00"),'Eventos y Previsión'!$B$4:$B$24)))*ROW('Eventos y Previsión'!$A$4:$A$24))-ROW('Eventos y Previsión'!$A$3)),"")</f>
        <v/>
      </c>
    </row>
    <row r="178" spans="1:12" ht="15.75" customHeight="1">
      <c r="A178" s="62">
        <v>46282</v>
      </c>
      <c r="B178" s="46" t="str">
        <f t="shared" si="13"/>
        <v>jue</v>
      </c>
      <c r="C178" s="47">
        <f>SUMIFS('Detalle Turnos'!$E:$E,'Detalle Turnos'!$A:$A,$A178,'Detalle Turnos'!$B:$B,"Mañana")</f>
        <v>0</v>
      </c>
      <c r="D178" s="47">
        <f>SUMIFS('Detalle Turnos'!$E:$E,'Detalle Turnos'!$A:$A,$A178,'Detalle Turnos'!$B:$B,"Mediodia")</f>
        <v>0</v>
      </c>
      <c r="E178" s="47">
        <f>SUMIFS('Detalle Turnos'!$E:$E,'Detalle Turnos'!$A:$A,$A178,'Detalle Turnos'!$B:$B,"Noche")</f>
        <v>0</v>
      </c>
      <c r="F178" s="48">
        <f t="shared" si="14"/>
        <v>0</v>
      </c>
      <c r="G178" s="47">
        <f>IFERROR(IF(ISNUMBER(MATCH($A178,'Eventos y Previsión'!$B$4:$B$24,0)),INDEX('Eventos y Previsión'!$F$4:$F$24,MATCH($A178,'Eventos y Previsión'!$B$4:$B$24,0)),AVERAGEIFS('Facturación 2025'!$F$4:$F$303,'Facturación 2025'!$B$4:$B$303,$B178)),0)</f>
        <v>1100.2225000000003</v>
      </c>
      <c r="H178" s="53">
        <f t="shared" si="15"/>
        <v>-1100.2225000000003</v>
      </c>
      <c r="I178" s="49">
        <f t="shared" si="16"/>
        <v>-1</v>
      </c>
      <c r="J178" s="47">
        <f t="array" ref="J178">SUMPRODUCT(('Horarios Personal'!$A$5:$A$555=$A178)*IFERROR('Horarios Personal'!$L$5:$L$555*1,0))</f>
        <v>0</v>
      </c>
      <c r="K178" s="70" t="str">
        <f t="shared" si="17"/>
        <v/>
      </c>
      <c r="L178" s="58" t="str">
        <f t="array" ref="L178">IFERROR(INDEX('Eventos y Previsión'!$C$4:$C$24,SUMPRODUCT((LOWER('Eventos y Previsión'!$A$4:$A$24)=LOWER(TEXT($A178,"mmmm")))*(ISNUMBER(SEARCH(TEXT(DAY($A178),"00")&amp;"/"&amp;TEXT(MONTH($A178),"00"),'Eventos y Previsión'!$B$4:$B$24)))*ROW('Eventos y Previsión'!$A$4:$A$24))-ROW('Eventos y Previsión'!$A$3)),"")</f>
        <v/>
      </c>
    </row>
    <row r="179" spans="1:12" ht="15.75" customHeight="1">
      <c r="A179" s="62">
        <v>46283</v>
      </c>
      <c r="B179" s="46" t="str">
        <f t="shared" si="13"/>
        <v>vie</v>
      </c>
      <c r="C179" s="47">
        <f>SUMIFS('Detalle Turnos'!$E:$E,'Detalle Turnos'!$A:$A,$A179,'Detalle Turnos'!$B:$B,"Mañana")</f>
        <v>0</v>
      </c>
      <c r="D179" s="47">
        <f>SUMIFS('Detalle Turnos'!$E:$E,'Detalle Turnos'!$A:$A,$A179,'Detalle Turnos'!$B:$B,"Mediodia")</f>
        <v>0</v>
      </c>
      <c r="E179" s="47">
        <f>SUMIFS('Detalle Turnos'!$E:$E,'Detalle Turnos'!$A:$A,$A179,'Detalle Turnos'!$B:$B,"Noche")</f>
        <v>0</v>
      </c>
      <c r="F179" s="48">
        <f t="shared" si="14"/>
        <v>0</v>
      </c>
      <c r="G179" s="47">
        <f>IFERROR(IF(ISNUMBER(MATCH($A179,'Eventos y Previsión'!$B$4:$B$24,0)),INDEX('Eventos y Previsión'!$F$4:$F$24,MATCH($A179,'Eventos y Previsión'!$B$4:$B$24,0)),AVERAGEIFS('Facturación 2025'!$F$4:$F$303,'Facturación 2025'!$B$4:$B$303,$B179)),0)</f>
        <v>1865.4067441860466</v>
      </c>
      <c r="H179" s="53">
        <f t="shared" si="15"/>
        <v>-1865.4067441860466</v>
      </c>
      <c r="I179" s="49">
        <f t="shared" si="16"/>
        <v>-1</v>
      </c>
      <c r="J179" s="47">
        <f t="array" ref="J179">SUMPRODUCT(('Horarios Personal'!$A$5:$A$555=$A179)*IFERROR('Horarios Personal'!$L$5:$L$555*1,0))</f>
        <v>0</v>
      </c>
      <c r="K179" s="70" t="str">
        <f t="shared" si="17"/>
        <v/>
      </c>
      <c r="L179" s="58" t="str">
        <f t="array" ref="L179">IFERROR(INDEX('Eventos y Previsión'!$C$4:$C$24,SUMPRODUCT((LOWER('Eventos y Previsión'!$A$4:$A$24)=LOWER(TEXT($A179,"mmmm")))*(ISNUMBER(SEARCH(TEXT(DAY($A179),"00")&amp;"/"&amp;TEXT(MONTH($A179),"00"),'Eventos y Previsión'!$B$4:$B$24)))*ROW('Eventos y Previsión'!$A$4:$A$24))-ROW('Eventos y Previsión'!$A$3)),"")</f>
        <v/>
      </c>
    </row>
    <row r="180" spans="1:12" ht="15.75" customHeight="1">
      <c r="A180" s="62">
        <v>46284</v>
      </c>
      <c r="B180" s="46" t="str">
        <f t="shared" si="13"/>
        <v>sáb</v>
      </c>
      <c r="C180" s="47">
        <f>SUMIFS('Detalle Turnos'!$E:$E,'Detalle Turnos'!$A:$A,$A180,'Detalle Turnos'!$B:$B,"Mañana")</f>
        <v>0</v>
      </c>
      <c r="D180" s="47">
        <f>SUMIFS('Detalle Turnos'!$E:$E,'Detalle Turnos'!$A:$A,$A180,'Detalle Turnos'!$B:$B,"Mediodia")</f>
        <v>0</v>
      </c>
      <c r="E180" s="47">
        <f>SUMIFS('Detalle Turnos'!$E:$E,'Detalle Turnos'!$A:$A,$A180,'Detalle Turnos'!$B:$B,"Noche")</f>
        <v>0</v>
      </c>
      <c r="F180" s="48">
        <f t="shared" si="14"/>
        <v>0</v>
      </c>
      <c r="G180" s="47">
        <f>IFERROR(IF(ISNUMBER(MATCH($A180,'Eventos y Previsión'!$B$4:$B$24,0)),INDEX('Eventos y Previsión'!$F$4:$F$24,MATCH($A180,'Eventos y Previsión'!$B$4:$B$24,0)),AVERAGEIFS('Facturación 2025'!$F$4:$F$303,'Facturación 2025'!$B$4:$B$303,$B180)),0)</f>
        <v>2049.8245999999995</v>
      </c>
      <c r="H180" s="53">
        <f t="shared" si="15"/>
        <v>-2049.8245999999995</v>
      </c>
      <c r="I180" s="49">
        <f t="shared" si="16"/>
        <v>-1</v>
      </c>
      <c r="J180" s="47">
        <f t="array" ref="J180">SUMPRODUCT(('Horarios Personal'!$A$5:$A$555=$A180)*IFERROR('Horarios Personal'!$L$5:$L$555*1,0))</f>
        <v>0</v>
      </c>
      <c r="K180" s="70" t="str">
        <f t="shared" si="17"/>
        <v/>
      </c>
      <c r="L180" s="58" t="str">
        <f t="array" ref="L180">IFERROR(INDEX('Eventos y Previsión'!$C$4:$C$24,SUMPRODUCT((LOWER('Eventos y Previsión'!$A$4:$A$24)=LOWER(TEXT($A180,"mmmm")))*(ISNUMBER(SEARCH(TEXT(DAY($A180),"00")&amp;"/"&amp;TEXT(MONTH($A180),"00"),'Eventos y Previsión'!$B$4:$B$24)))*ROW('Eventos y Previsión'!$A$4:$A$24))-ROW('Eventos y Previsión'!$A$3)),"")</f>
        <v/>
      </c>
    </row>
    <row r="181" spans="1:12" ht="15.75" customHeight="1">
      <c r="A181" s="62">
        <v>46285</v>
      </c>
      <c r="B181" s="46" t="str">
        <f t="shared" si="13"/>
        <v>dom</v>
      </c>
      <c r="C181" s="47">
        <f>SUMIFS('Detalle Turnos'!$E:$E,'Detalle Turnos'!$A:$A,$A181,'Detalle Turnos'!$B:$B,"Mañana")</f>
        <v>0</v>
      </c>
      <c r="D181" s="47">
        <f>SUMIFS('Detalle Turnos'!$E:$E,'Detalle Turnos'!$A:$A,$A181,'Detalle Turnos'!$B:$B,"Mediodia")</f>
        <v>0</v>
      </c>
      <c r="E181" s="47">
        <f>SUMIFS('Detalle Turnos'!$E:$E,'Detalle Turnos'!$A:$A,$A181,'Detalle Turnos'!$B:$B,"Noche")</f>
        <v>0</v>
      </c>
      <c r="F181" s="48">
        <f t="shared" si="14"/>
        <v>0</v>
      </c>
      <c r="G181" s="47">
        <f>IFERROR(IF(ISNUMBER(MATCH($A181,'Eventos y Previsión'!$B$4:$B$24,0)),INDEX('Eventos y Previsión'!$F$4:$F$24,MATCH($A181,'Eventos y Previsión'!$B$4:$B$24,0)),AVERAGEIFS('Facturación 2025'!$F$4:$F$303,'Facturación 2025'!$B$4:$B$303,$B181)),0)</f>
        <v>1690.062558139535</v>
      </c>
      <c r="H181" s="53">
        <f t="shared" si="15"/>
        <v>-1690.062558139535</v>
      </c>
      <c r="I181" s="49">
        <f t="shared" si="16"/>
        <v>-1</v>
      </c>
      <c r="J181" s="47">
        <f t="array" ref="J181">SUMPRODUCT(('Horarios Personal'!$A$5:$A$555=$A181)*IFERROR('Horarios Personal'!$L$5:$L$555*1,0))</f>
        <v>0</v>
      </c>
      <c r="K181" s="70" t="str">
        <f t="shared" si="17"/>
        <v/>
      </c>
      <c r="L181" s="58" t="str">
        <f t="array" ref="L181">IFERROR(INDEX('Eventos y Previsión'!$C$4:$C$24,SUMPRODUCT((LOWER('Eventos y Previsión'!$A$4:$A$24)=LOWER(TEXT($A181,"mmmm")))*(ISNUMBER(SEARCH(TEXT(DAY($A181),"00")&amp;"/"&amp;TEXT(MONTH($A181),"00"),'Eventos y Previsión'!$B$4:$B$24)))*ROW('Eventos y Previsión'!$A$4:$A$24))-ROW('Eventos y Previsión'!$A$3)),"")</f>
        <v/>
      </c>
    </row>
    <row r="182" spans="1:12" ht="15.75" customHeight="1">
      <c r="A182" s="62">
        <v>46288</v>
      </c>
      <c r="B182" s="46" t="str">
        <f t="shared" si="13"/>
        <v>mié</v>
      </c>
      <c r="C182" s="47">
        <f>SUMIFS('Detalle Turnos'!$E:$E,'Detalle Turnos'!$A:$A,$A182,'Detalle Turnos'!$B:$B,"Mañana")</f>
        <v>0</v>
      </c>
      <c r="D182" s="47">
        <f>SUMIFS('Detalle Turnos'!$E:$E,'Detalle Turnos'!$A:$A,$A182,'Detalle Turnos'!$B:$B,"Mediodia")</f>
        <v>0</v>
      </c>
      <c r="E182" s="47">
        <f>SUMIFS('Detalle Turnos'!$E:$E,'Detalle Turnos'!$A:$A,$A182,'Detalle Turnos'!$B:$B,"Noche")</f>
        <v>0</v>
      </c>
      <c r="F182" s="48">
        <f t="shared" si="14"/>
        <v>0</v>
      </c>
      <c r="G182" s="47">
        <f>IFERROR(IF(ISNUMBER(MATCH($A182,'Eventos y Previsión'!$B$4:$B$24,0)),INDEX('Eventos y Previsión'!$F$4:$F$24,MATCH($A182,'Eventos y Previsión'!$B$4:$B$24,0)),AVERAGEIFS('Facturación 2025'!$F$4:$F$303,'Facturación 2025'!$B$4:$B$303,$B182)),0)</f>
        <v>1039.9519512195122</v>
      </c>
      <c r="H182" s="53">
        <f t="shared" si="15"/>
        <v>-1039.9519512195122</v>
      </c>
      <c r="I182" s="49">
        <f t="shared" si="16"/>
        <v>-1</v>
      </c>
      <c r="J182" s="47">
        <f t="array" ref="J182">SUMPRODUCT(('Horarios Personal'!$A$5:$A$555=$A182)*IFERROR('Horarios Personal'!$L$5:$L$555*1,0))</f>
        <v>0</v>
      </c>
      <c r="K182" s="70" t="str">
        <f t="shared" si="17"/>
        <v/>
      </c>
      <c r="L182" s="58" t="str">
        <f t="array" ref="L182">IFERROR(INDEX('Eventos y Previsión'!$C$4:$C$24,SUMPRODUCT((LOWER('Eventos y Previsión'!$A$4:$A$24)=LOWER(TEXT($A182,"mmmm")))*(ISNUMBER(SEARCH(TEXT(DAY($A182),"00")&amp;"/"&amp;TEXT(MONTH($A182),"00"),'Eventos y Previsión'!$B$4:$B$24)))*ROW('Eventos y Previsión'!$A$4:$A$24))-ROW('Eventos y Previsión'!$A$3)),"")</f>
        <v/>
      </c>
    </row>
    <row r="183" spans="1:12" ht="15.75" customHeight="1">
      <c r="A183" s="62">
        <v>46289</v>
      </c>
      <c r="B183" s="46" t="str">
        <f t="shared" si="13"/>
        <v>jue</v>
      </c>
      <c r="C183" s="47">
        <f>SUMIFS('Detalle Turnos'!$E:$E,'Detalle Turnos'!$A:$A,$A183,'Detalle Turnos'!$B:$B,"Mañana")</f>
        <v>0</v>
      </c>
      <c r="D183" s="47">
        <f>SUMIFS('Detalle Turnos'!$E:$E,'Detalle Turnos'!$A:$A,$A183,'Detalle Turnos'!$B:$B,"Mediodia")</f>
        <v>0</v>
      </c>
      <c r="E183" s="47">
        <f>SUMIFS('Detalle Turnos'!$E:$E,'Detalle Turnos'!$A:$A,$A183,'Detalle Turnos'!$B:$B,"Noche")</f>
        <v>0</v>
      </c>
      <c r="F183" s="48">
        <f t="shared" si="14"/>
        <v>0</v>
      </c>
      <c r="G183" s="47">
        <f>IFERROR(IF(ISNUMBER(MATCH($A183,'Eventos y Previsión'!$B$4:$B$24,0)),INDEX('Eventos y Previsión'!$F$4:$F$24,MATCH($A183,'Eventos y Previsión'!$B$4:$B$24,0)),AVERAGEIFS('Facturación 2025'!$F$4:$F$303,'Facturación 2025'!$B$4:$B$303,$B183)),0)</f>
        <v>1100.2225000000003</v>
      </c>
      <c r="H183" s="53">
        <f t="shared" si="15"/>
        <v>-1100.2225000000003</v>
      </c>
      <c r="I183" s="49">
        <f t="shared" si="16"/>
        <v>-1</v>
      </c>
      <c r="J183" s="47">
        <f t="array" ref="J183">SUMPRODUCT(('Horarios Personal'!$A$5:$A$555=$A183)*IFERROR('Horarios Personal'!$L$5:$L$555*1,0))</f>
        <v>0</v>
      </c>
      <c r="K183" s="70" t="str">
        <f t="shared" si="17"/>
        <v/>
      </c>
      <c r="L183" s="58" t="str">
        <f t="array" ref="L183">IFERROR(INDEX('Eventos y Previsión'!$C$4:$C$24,SUMPRODUCT((LOWER('Eventos y Previsión'!$A$4:$A$24)=LOWER(TEXT($A183,"mmmm")))*(ISNUMBER(SEARCH(TEXT(DAY($A183),"00")&amp;"/"&amp;TEXT(MONTH($A183),"00"),'Eventos y Previsión'!$B$4:$B$24)))*ROW('Eventos y Previsión'!$A$4:$A$24))-ROW('Eventos y Previsión'!$A$3)),"")</f>
        <v/>
      </c>
    </row>
    <row r="184" spans="1:12" ht="15.75" customHeight="1">
      <c r="A184" s="62">
        <v>46290</v>
      </c>
      <c r="B184" s="46" t="str">
        <f t="shared" si="13"/>
        <v>vie</v>
      </c>
      <c r="C184" s="47">
        <f>SUMIFS('Detalle Turnos'!$E:$E,'Detalle Turnos'!$A:$A,$A184,'Detalle Turnos'!$B:$B,"Mañana")</f>
        <v>0</v>
      </c>
      <c r="D184" s="47">
        <f>SUMIFS('Detalle Turnos'!$E:$E,'Detalle Turnos'!$A:$A,$A184,'Detalle Turnos'!$B:$B,"Mediodia")</f>
        <v>0</v>
      </c>
      <c r="E184" s="47">
        <f>SUMIFS('Detalle Turnos'!$E:$E,'Detalle Turnos'!$A:$A,$A184,'Detalle Turnos'!$B:$B,"Noche")</f>
        <v>0</v>
      </c>
      <c r="F184" s="48">
        <f t="shared" si="14"/>
        <v>0</v>
      </c>
      <c r="G184" s="47">
        <f>IFERROR(IF(ISNUMBER(MATCH($A184,'Eventos y Previsión'!$B$4:$B$24,0)),INDEX('Eventos y Previsión'!$F$4:$F$24,MATCH($A184,'Eventos y Previsión'!$B$4:$B$24,0)),AVERAGEIFS('Facturación 2025'!$F$4:$F$303,'Facturación 2025'!$B$4:$B$303,$B184)),0)</f>
        <v>1865.4067441860466</v>
      </c>
      <c r="H184" s="53">
        <f t="shared" si="15"/>
        <v>-1865.4067441860466</v>
      </c>
      <c r="I184" s="49">
        <f t="shared" si="16"/>
        <v>-1</v>
      </c>
      <c r="J184" s="47">
        <f t="array" ref="J184">SUMPRODUCT(('Horarios Personal'!$A$5:$A$555=$A184)*IFERROR('Horarios Personal'!$L$5:$L$555*1,0))</f>
        <v>0</v>
      </c>
      <c r="K184" s="70" t="str">
        <f t="shared" si="17"/>
        <v/>
      </c>
      <c r="L184" s="58" t="str">
        <f t="array" ref="L184">IFERROR(INDEX('Eventos y Previsión'!$C$4:$C$24,SUMPRODUCT((LOWER('Eventos y Previsión'!$A$4:$A$24)=LOWER(TEXT($A184,"mmmm")))*(ISNUMBER(SEARCH(TEXT(DAY($A184),"00")&amp;"/"&amp;TEXT(MONTH($A184),"00"),'Eventos y Previsión'!$B$4:$B$24)))*ROW('Eventos y Previsión'!$A$4:$A$24))-ROW('Eventos y Previsión'!$A$3)),"")</f>
        <v/>
      </c>
    </row>
    <row r="185" spans="1:12" ht="15.75" customHeight="1">
      <c r="A185" s="62">
        <v>46291</v>
      </c>
      <c r="B185" s="46" t="str">
        <f t="shared" si="13"/>
        <v>sáb</v>
      </c>
      <c r="C185" s="47">
        <f>SUMIFS('Detalle Turnos'!$E:$E,'Detalle Turnos'!$A:$A,$A185,'Detalle Turnos'!$B:$B,"Mañana")</f>
        <v>0</v>
      </c>
      <c r="D185" s="47">
        <f>SUMIFS('Detalle Turnos'!$E:$E,'Detalle Turnos'!$A:$A,$A185,'Detalle Turnos'!$B:$B,"Mediodia")</f>
        <v>0</v>
      </c>
      <c r="E185" s="47">
        <f>SUMIFS('Detalle Turnos'!$E:$E,'Detalle Turnos'!$A:$A,$A185,'Detalle Turnos'!$B:$B,"Noche")</f>
        <v>0</v>
      </c>
      <c r="F185" s="48">
        <f t="shared" si="14"/>
        <v>0</v>
      </c>
      <c r="G185" s="47">
        <f>IFERROR(IF(ISNUMBER(MATCH($A185,'Eventos y Previsión'!$B$4:$B$24,0)),INDEX('Eventos y Previsión'!$F$4:$F$24,MATCH($A185,'Eventos y Previsión'!$B$4:$B$24,0)),AVERAGEIFS('Facturación 2025'!$F$4:$F$303,'Facturación 2025'!$B$4:$B$303,$B185)),0)</f>
        <v>2049.8245999999995</v>
      </c>
      <c r="H185" s="53">
        <f t="shared" si="15"/>
        <v>-2049.8245999999995</v>
      </c>
      <c r="I185" s="49">
        <f t="shared" si="16"/>
        <v>-1</v>
      </c>
      <c r="J185" s="47">
        <f t="array" ref="J185">SUMPRODUCT(('Horarios Personal'!$A$5:$A$555=$A185)*IFERROR('Horarios Personal'!$L$5:$L$555*1,0))</f>
        <v>0</v>
      </c>
      <c r="K185" s="70" t="str">
        <f t="shared" si="17"/>
        <v/>
      </c>
      <c r="L185" s="58" t="str">
        <f t="array" ref="L185">IFERROR(INDEX('Eventos y Previsión'!$C$4:$C$24,SUMPRODUCT((LOWER('Eventos y Previsión'!$A$4:$A$24)=LOWER(TEXT($A185,"mmmm")))*(ISNUMBER(SEARCH(TEXT(DAY($A185),"00")&amp;"/"&amp;TEXT(MONTH($A185),"00"),'Eventos y Previsión'!$B$4:$B$24)))*ROW('Eventos y Previsión'!$A$4:$A$24))-ROW('Eventos y Previsión'!$A$3)),"")</f>
        <v/>
      </c>
    </row>
    <row r="186" spans="1:12" ht="15.75" customHeight="1">
      <c r="A186" s="62">
        <v>46292</v>
      </c>
      <c r="B186" s="46" t="str">
        <f t="shared" si="13"/>
        <v>dom</v>
      </c>
      <c r="C186" s="47">
        <f>SUMIFS('Detalle Turnos'!$E:$E,'Detalle Turnos'!$A:$A,$A186,'Detalle Turnos'!$B:$B,"Mañana")</f>
        <v>0</v>
      </c>
      <c r="D186" s="47">
        <f>SUMIFS('Detalle Turnos'!$E:$E,'Detalle Turnos'!$A:$A,$A186,'Detalle Turnos'!$B:$B,"Mediodia")</f>
        <v>0</v>
      </c>
      <c r="E186" s="47">
        <f>SUMIFS('Detalle Turnos'!$E:$E,'Detalle Turnos'!$A:$A,$A186,'Detalle Turnos'!$B:$B,"Noche")</f>
        <v>0</v>
      </c>
      <c r="F186" s="48">
        <f t="shared" si="14"/>
        <v>0</v>
      </c>
      <c r="G186" s="47">
        <f>IFERROR(IF(ISNUMBER(MATCH($A186,'Eventos y Previsión'!$B$4:$B$24,0)),INDEX('Eventos y Previsión'!$F$4:$F$24,MATCH($A186,'Eventos y Previsión'!$B$4:$B$24,0)),AVERAGEIFS('Facturación 2025'!$F$4:$F$303,'Facturación 2025'!$B$4:$B$303,$B186)),0)</f>
        <v>1690.062558139535</v>
      </c>
      <c r="H186" s="53">
        <f t="shared" si="15"/>
        <v>-1690.062558139535</v>
      </c>
      <c r="I186" s="49">
        <f t="shared" si="16"/>
        <v>-1</v>
      </c>
      <c r="J186" s="47">
        <f t="array" ref="J186">SUMPRODUCT(('Horarios Personal'!$A$5:$A$555=$A186)*IFERROR('Horarios Personal'!$L$5:$L$555*1,0))</f>
        <v>0</v>
      </c>
      <c r="K186" s="70" t="str">
        <f t="shared" si="17"/>
        <v/>
      </c>
      <c r="L186" s="58" t="str">
        <f t="array" ref="L186">IFERROR(INDEX('Eventos y Previsión'!$C$4:$C$24,SUMPRODUCT((LOWER('Eventos y Previsión'!$A$4:$A$24)=LOWER(TEXT($A186,"mmmm")))*(ISNUMBER(SEARCH(TEXT(DAY($A186),"00")&amp;"/"&amp;TEXT(MONTH($A186),"00"),'Eventos y Previsión'!$B$4:$B$24)))*ROW('Eventos y Previsión'!$A$4:$A$24))-ROW('Eventos y Previsión'!$A$3)),"")</f>
        <v>MIAU</v>
      </c>
    </row>
    <row r="187" spans="1:12" ht="15.75" customHeight="1">
      <c r="A187" s="62">
        <v>46295</v>
      </c>
      <c r="B187" s="46" t="str">
        <f t="shared" si="13"/>
        <v>mié</v>
      </c>
      <c r="C187" s="47">
        <f>SUMIFS('Detalle Turnos'!$E:$E,'Detalle Turnos'!$A:$A,$A187,'Detalle Turnos'!$B:$B,"Mañana")</f>
        <v>0</v>
      </c>
      <c r="D187" s="47">
        <f>SUMIFS('Detalle Turnos'!$E:$E,'Detalle Turnos'!$A:$A,$A187,'Detalle Turnos'!$B:$B,"Mediodia")</f>
        <v>0</v>
      </c>
      <c r="E187" s="47">
        <f>SUMIFS('Detalle Turnos'!$E:$E,'Detalle Turnos'!$A:$A,$A187,'Detalle Turnos'!$B:$B,"Noche")</f>
        <v>0</v>
      </c>
      <c r="F187" s="48">
        <f t="shared" si="14"/>
        <v>0</v>
      </c>
      <c r="G187" s="47">
        <f>IFERROR(IF(ISNUMBER(MATCH($A187,'Eventos y Previsión'!$B$4:$B$24,0)),INDEX('Eventos y Previsión'!$F$4:$F$24,MATCH($A187,'Eventos y Previsión'!$B$4:$B$24,0)),AVERAGEIFS('Facturación 2025'!$F$4:$F$303,'Facturación 2025'!$B$4:$B$303,$B187)),0)</f>
        <v>1039.9519512195122</v>
      </c>
      <c r="H187" s="53">
        <f t="shared" si="15"/>
        <v>-1039.9519512195122</v>
      </c>
      <c r="I187" s="49">
        <f t="shared" si="16"/>
        <v>-1</v>
      </c>
      <c r="J187" s="47">
        <f t="array" ref="J187">SUMPRODUCT(('Horarios Personal'!$A$5:$A$555=$A187)*IFERROR('Horarios Personal'!$L$5:$L$555*1,0))</f>
        <v>0</v>
      </c>
      <c r="K187" s="70" t="str">
        <f t="shared" si="17"/>
        <v/>
      </c>
      <c r="L187" s="58" t="str">
        <f t="array" ref="L187">IFERROR(INDEX('Eventos y Previsión'!$C$4:$C$24,SUMPRODUCT((LOWER('Eventos y Previsión'!$A$4:$A$24)=LOWER(TEXT($A187,"mmmm")))*(ISNUMBER(SEARCH(TEXT(DAY($A187),"00")&amp;"/"&amp;TEXT(MONTH($A187),"00"),'Eventos y Previsión'!$B$4:$B$24)))*ROW('Eventos y Previsión'!$A$4:$A$24))-ROW('Eventos y Previsión'!$A$3)),"")</f>
        <v/>
      </c>
    </row>
    <row r="188" spans="1:12" ht="15.75" customHeight="1">
      <c r="A188" s="62">
        <v>46296</v>
      </c>
      <c r="B188" s="46" t="str">
        <f t="shared" si="13"/>
        <v>jue</v>
      </c>
      <c r="C188" s="47">
        <f>SUMIFS('Detalle Turnos'!$E:$E,'Detalle Turnos'!$A:$A,$A188,'Detalle Turnos'!$B:$B,"Mañana")</f>
        <v>0</v>
      </c>
      <c r="D188" s="47">
        <f>SUMIFS('Detalle Turnos'!$E:$E,'Detalle Turnos'!$A:$A,$A188,'Detalle Turnos'!$B:$B,"Mediodia")</f>
        <v>0</v>
      </c>
      <c r="E188" s="47">
        <f>SUMIFS('Detalle Turnos'!$E:$E,'Detalle Turnos'!$A:$A,$A188,'Detalle Turnos'!$B:$B,"Noche")</f>
        <v>0</v>
      </c>
      <c r="F188" s="48">
        <f t="shared" si="14"/>
        <v>0</v>
      </c>
      <c r="G188" s="47">
        <f>IFERROR(IF(ISNUMBER(MATCH($A188,'Eventos y Previsión'!$B$4:$B$24,0)),INDEX('Eventos y Previsión'!$F$4:$F$24,MATCH($A188,'Eventos y Previsión'!$B$4:$B$24,0)),AVERAGEIFS('Facturación 2025'!$F$4:$F$303,'Facturación 2025'!$B$4:$B$303,$B188)),0)</f>
        <v>1100.2225000000003</v>
      </c>
      <c r="H188" s="53">
        <f t="shared" si="15"/>
        <v>-1100.2225000000003</v>
      </c>
      <c r="I188" s="49">
        <f t="shared" si="16"/>
        <v>-1</v>
      </c>
      <c r="J188" s="47">
        <f t="array" ref="J188">SUMPRODUCT(('Horarios Personal'!$A$5:$A$555=$A188)*IFERROR('Horarios Personal'!$L$5:$L$555*1,0))</f>
        <v>0</v>
      </c>
      <c r="K188" s="70" t="str">
        <f t="shared" si="17"/>
        <v/>
      </c>
      <c r="L188" s="58" t="str">
        <f t="array" ref="L188">IFERROR(INDEX('Eventos y Previsión'!$C$4:$C$24,SUMPRODUCT((LOWER('Eventos y Previsión'!$A$4:$A$24)=LOWER(TEXT($A188,"mmmm")))*(ISNUMBER(SEARCH(TEXT(DAY($A188),"00")&amp;"/"&amp;TEXT(MONTH($A188),"00"),'Eventos y Previsión'!$B$4:$B$24)))*ROW('Eventos y Previsión'!$A$4:$A$24))-ROW('Eventos y Previsión'!$A$3)),"")</f>
        <v/>
      </c>
    </row>
    <row r="189" spans="1:12" ht="15.75" customHeight="1">
      <c r="A189" s="62">
        <v>46297</v>
      </c>
      <c r="B189" s="46" t="str">
        <f t="shared" si="13"/>
        <v>vie</v>
      </c>
      <c r="C189" s="47">
        <f>SUMIFS('Detalle Turnos'!$E:$E,'Detalle Turnos'!$A:$A,$A189,'Detalle Turnos'!$B:$B,"Mañana")</f>
        <v>0</v>
      </c>
      <c r="D189" s="47">
        <f>SUMIFS('Detalle Turnos'!$E:$E,'Detalle Turnos'!$A:$A,$A189,'Detalle Turnos'!$B:$B,"Mediodia")</f>
        <v>0</v>
      </c>
      <c r="E189" s="47">
        <f>SUMIFS('Detalle Turnos'!$E:$E,'Detalle Turnos'!$A:$A,$A189,'Detalle Turnos'!$B:$B,"Noche")</f>
        <v>0</v>
      </c>
      <c r="F189" s="48">
        <f t="shared" si="14"/>
        <v>0</v>
      </c>
      <c r="G189" s="47">
        <f>IFERROR(IF(ISNUMBER(MATCH($A189,'Eventos y Previsión'!$B$4:$B$24,0)),INDEX('Eventos y Previsión'!$F$4:$F$24,MATCH($A189,'Eventos y Previsión'!$B$4:$B$24,0)),AVERAGEIFS('Facturación 2025'!$F$4:$F$303,'Facturación 2025'!$B$4:$B$303,$B189)),0)</f>
        <v>1865.4067441860466</v>
      </c>
      <c r="H189" s="53">
        <f t="shared" si="15"/>
        <v>-1865.4067441860466</v>
      </c>
      <c r="I189" s="49">
        <f t="shared" si="16"/>
        <v>-1</v>
      </c>
      <c r="J189" s="47">
        <f t="array" ref="J189">SUMPRODUCT(('Horarios Personal'!$A$5:$A$555=$A189)*IFERROR('Horarios Personal'!$L$5:$L$555*1,0))</f>
        <v>0</v>
      </c>
      <c r="K189" s="70" t="str">
        <f t="shared" si="17"/>
        <v/>
      </c>
      <c r="L189" s="58" t="str">
        <f t="array" ref="L189">IFERROR(INDEX('Eventos y Previsión'!$C$4:$C$24,SUMPRODUCT((LOWER('Eventos y Previsión'!$A$4:$A$24)=LOWER(TEXT($A189,"mmmm")))*(ISNUMBER(SEARCH(TEXT(DAY($A189),"00")&amp;"/"&amp;TEXT(MONTH($A189),"00"),'Eventos y Previsión'!$B$4:$B$24)))*ROW('Eventos y Previsión'!$A$4:$A$24))-ROW('Eventos y Previsión'!$A$3)),"")</f>
        <v/>
      </c>
    </row>
    <row r="190" spans="1:12" ht="15.75" customHeight="1">
      <c r="A190" s="62">
        <v>46298</v>
      </c>
      <c r="B190" s="46" t="str">
        <f t="shared" si="13"/>
        <v>sáb</v>
      </c>
      <c r="C190" s="47">
        <f>SUMIFS('Detalle Turnos'!$E:$E,'Detalle Turnos'!$A:$A,$A190,'Detalle Turnos'!$B:$B,"Mañana")</f>
        <v>0</v>
      </c>
      <c r="D190" s="47">
        <f>SUMIFS('Detalle Turnos'!$E:$E,'Detalle Turnos'!$A:$A,$A190,'Detalle Turnos'!$B:$B,"Mediodia")</f>
        <v>0</v>
      </c>
      <c r="E190" s="47">
        <f>SUMIFS('Detalle Turnos'!$E:$E,'Detalle Turnos'!$A:$A,$A190,'Detalle Turnos'!$B:$B,"Noche")</f>
        <v>0</v>
      </c>
      <c r="F190" s="48">
        <f t="shared" si="14"/>
        <v>0</v>
      </c>
      <c r="G190" s="47">
        <f>IFERROR(IF(ISNUMBER(MATCH($A190,'Eventos y Previsión'!$B$4:$B$24,0)),INDEX('Eventos y Previsión'!$F$4:$F$24,MATCH($A190,'Eventos y Previsión'!$B$4:$B$24,0)),AVERAGEIFS('Facturación 2025'!$F$4:$F$303,'Facturación 2025'!$B$4:$B$303,$B190)),0)</f>
        <v>2049.8245999999995</v>
      </c>
      <c r="H190" s="53">
        <f t="shared" si="15"/>
        <v>-2049.8245999999995</v>
      </c>
      <c r="I190" s="49">
        <f t="shared" si="16"/>
        <v>-1</v>
      </c>
      <c r="J190" s="47">
        <f t="array" ref="J190">SUMPRODUCT(('Horarios Personal'!$A$5:$A$555=$A190)*IFERROR('Horarios Personal'!$L$5:$L$555*1,0))</f>
        <v>0</v>
      </c>
      <c r="K190" s="70" t="str">
        <f t="shared" si="17"/>
        <v/>
      </c>
      <c r="L190" s="58" t="str">
        <f t="array" ref="L190">IFERROR(INDEX('Eventos y Previsión'!$C$4:$C$24,SUMPRODUCT((LOWER('Eventos y Previsión'!$A$4:$A$24)=LOWER(TEXT($A190,"mmmm")))*(ISNUMBER(SEARCH(TEXT(DAY($A190),"00")&amp;"/"&amp;TEXT(MONTH($A190),"00"),'Eventos y Previsión'!$B$4:$B$24)))*ROW('Eventos y Previsión'!$A$4:$A$24))-ROW('Eventos y Previsión'!$A$3)),"")</f>
        <v/>
      </c>
    </row>
    <row r="191" spans="1:12" ht="15.75" customHeight="1">
      <c r="A191" s="62">
        <v>46299</v>
      </c>
      <c r="B191" s="46" t="str">
        <f t="shared" si="13"/>
        <v>dom</v>
      </c>
      <c r="C191" s="47">
        <f>SUMIFS('Detalle Turnos'!$E:$E,'Detalle Turnos'!$A:$A,$A191,'Detalle Turnos'!$B:$B,"Mañana")</f>
        <v>0</v>
      </c>
      <c r="D191" s="47">
        <f>SUMIFS('Detalle Turnos'!$E:$E,'Detalle Turnos'!$A:$A,$A191,'Detalle Turnos'!$B:$B,"Mediodia")</f>
        <v>0</v>
      </c>
      <c r="E191" s="47">
        <f>SUMIFS('Detalle Turnos'!$E:$E,'Detalle Turnos'!$A:$A,$A191,'Detalle Turnos'!$B:$B,"Noche")</f>
        <v>0</v>
      </c>
      <c r="F191" s="48">
        <f t="shared" si="14"/>
        <v>0</v>
      </c>
      <c r="G191" s="47">
        <f>IFERROR(IF(ISNUMBER(MATCH($A191,'Eventos y Previsión'!$B$4:$B$24,0)),INDEX('Eventos y Previsión'!$F$4:$F$24,MATCH($A191,'Eventos y Previsión'!$B$4:$B$24,0)),AVERAGEIFS('Facturación 2025'!$F$4:$F$303,'Facturación 2025'!$B$4:$B$303,$B191)),0)</f>
        <v>1690.062558139535</v>
      </c>
      <c r="H191" s="53">
        <f t="shared" si="15"/>
        <v>-1690.062558139535</v>
      </c>
      <c r="I191" s="49">
        <f t="shared" si="16"/>
        <v>-1</v>
      </c>
      <c r="J191" s="47">
        <f t="array" ref="J191">SUMPRODUCT(('Horarios Personal'!$A$5:$A$555=$A191)*IFERROR('Horarios Personal'!$L$5:$L$555*1,0))</f>
        <v>0</v>
      </c>
      <c r="K191" s="70" t="str">
        <f t="shared" si="17"/>
        <v/>
      </c>
      <c r="L191" s="58" t="str">
        <f t="array" ref="L191">IFERROR(INDEX('Eventos y Previsión'!$C$4:$C$24,SUMPRODUCT((LOWER('Eventos y Previsión'!$A$4:$A$24)=LOWER(TEXT($A191,"mmmm")))*(ISNUMBER(SEARCH(TEXT(DAY($A191),"00")&amp;"/"&amp;TEXT(MONTH($A191),"00"),'Eventos y Previsión'!$B$4:$B$24)))*ROW('Eventos y Previsión'!$A$4:$A$24))-ROW('Eventos y Previsión'!$A$3)),"")</f>
        <v/>
      </c>
    </row>
    <row r="192" spans="1:12" ht="15.75" customHeight="1">
      <c r="A192" s="62">
        <v>46302</v>
      </c>
      <c r="B192" s="46" t="str">
        <f t="shared" si="13"/>
        <v>mié</v>
      </c>
      <c r="C192" s="47">
        <f>SUMIFS('Detalle Turnos'!$E:$E,'Detalle Turnos'!$A:$A,$A192,'Detalle Turnos'!$B:$B,"Mañana")</f>
        <v>0</v>
      </c>
      <c r="D192" s="47">
        <f>SUMIFS('Detalle Turnos'!$E:$E,'Detalle Turnos'!$A:$A,$A192,'Detalle Turnos'!$B:$B,"Mediodia")</f>
        <v>0</v>
      </c>
      <c r="E192" s="47">
        <f>SUMIFS('Detalle Turnos'!$E:$E,'Detalle Turnos'!$A:$A,$A192,'Detalle Turnos'!$B:$B,"Noche")</f>
        <v>0</v>
      </c>
      <c r="F192" s="48">
        <f t="shared" si="14"/>
        <v>0</v>
      </c>
      <c r="G192" s="47">
        <f>IFERROR(IF(ISNUMBER(MATCH($A192,'Eventos y Previsión'!$B$4:$B$24,0)),INDEX('Eventos y Previsión'!$F$4:$F$24,MATCH($A192,'Eventos y Previsión'!$B$4:$B$24,0)),AVERAGEIFS('Facturación 2025'!$F$4:$F$303,'Facturación 2025'!$B$4:$B$303,$B192)),0)</f>
        <v>1039.9519512195122</v>
      </c>
      <c r="H192" s="53">
        <f t="shared" si="15"/>
        <v>-1039.9519512195122</v>
      </c>
      <c r="I192" s="49">
        <f t="shared" si="16"/>
        <v>-1</v>
      </c>
      <c r="J192" s="47">
        <f t="array" ref="J192">SUMPRODUCT(('Horarios Personal'!$A$5:$A$555=$A192)*IFERROR('Horarios Personal'!$L$5:$L$555*1,0))</f>
        <v>0</v>
      </c>
      <c r="K192" s="70" t="str">
        <f t="shared" si="17"/>
        <v/>
      </c>
      <c r="L192" s="58" t="str">
        <f t="array" ref="L192">IFERROR(INDEX('Eventos y Previsión'!$C$4:$C$24,SUMPRODUCT((LOWER('Eventos y Previsión'!$A$4:$A$24)=LOWER(TEXT($A192,"mmmm")))*(ISNUMBER(SEARCH(TEXT(DAY($A192),"00")&amp;"/"&amp;TEXT(MONTH($A192),"00"),'Eventos y Previsión'!$B$4:$B$24)))*ROW('Eventos y Previsión'!$A$4:$A$24))-ROW('Eventos y Previsión'!$A$3)),"")</f>
        <v/>
      </c>
    </row>
    <row r="193" spans="1:12" ht="15.75" customHeight="1">
      <c r="A193" s="62">
        <v>46303</v>
      </c>
      <c r="B193" s="46" t="str">
        <f t="shared" si="13"/>
        <v>jue</v>
      </c>
      <c r="C193" s="47">
        <f>SUMIFS('Detalle Turnos'!$E:$E,'Detalle Turnos'!$A:$A,$A193,'Detalle Turnos'!$B:$B,"Mañana")</f>
        <v>0</v>
      </c>
      <c r="D193" s="47">
        <f>SUMIFS('Detalle Turnos'!$E:$E,'Detalle Turnos'!$A:$A,$A193,'Detalle Turnos'!$B:$B,"Mediodia")</f>
        <v>0</v>
      </c>
      <c r="E193" s="47">
        <f>SUMIFS('Detalle Turnos'!$E:$E,'Detalle Turnos'!$A:$A,$A193,'Detalle Turnos'!$B:$B,"Noche")</f>
        <v>0</v>
      </c>
      <c r="F193" s="48">
        <f t="shared" si="14"/>
        <v>0</v>
      </c>
      <c r="G193" s="47">
        <f>IFERROR(IF(ISNUMBER(MATCH($A193,'Eventos y Previsión'!$B$4:$B$24,0)),INDEX('Eventos y Previsión'!$F$4:$F$24,MATCH($A193,'Eventos y Previsión'!$B$4:$B$24,0)),AVERAGEIFS('Facturación 2025'!$F$4:$F$303,'Facturación 2025'!$B$4:$B$303,$B193)),0)</f>
        <v>1100.2225000000003</v>
      </c>
      <c r="H193" s="53">
        <f t="shared" si="15"/>
        <v>-1100.2225000000003</v>
      </c>
      <c r="I193" s="49">
        <f t="shared" si="16"/>
        <v>-1</v>
      </c>
      <c r="J193" s="47">
        <f t="array" ref="J193">SUMPRODUCT(('Horarios Personal'!$A$5:$A$555=$A193)*IFERROR('Horarios Personal'!$L$5:$L$555*1,0))</f>
        <v>0</v>
      </c>
      <c r="K193" s="70" t="str">
        <f t="shared" si="17"/>
        <v/>
      </c>
      <c r="L193" s="58" t="str">
        <f t="array" ref="L193">IFERROR(INDEX('Eventos y Previsión'!$C$4:$C$24,SUMPRODUCT((LOWER('Eventos y Previsión'!$A$4:$A$24)=LOWER(TEXT($A193,"mmmm")))*(ISNUMBER(SEARCH(TEXT(DAY($A193),"00")&amp;"/"&amp;TEXT(MONTH($A193),"00"),'Eventos y Previsión'!$B$4:$B$24)))*ROW('Eventos y Previsión'!$A$4:$A$24))-ROW('Eventos y Previsión'!$A$3)),"")</f>
        <v/>
      </c>
    </row>
    <row r="194" spans="1:12" ht="15.75" customHeight="1">
      <c r="A194" s="62">
        <v>46304</v>
      </c>
      <c r="B194" s="46" t="str">
        <f t="shared" si="13"/>
        <v>vie</v>
      </c>
      <c r="C194" s="47">
        <f>SUMIFS('Detalle Turnos'!$E:$E,'Detalle Turnos'!$A:$A,$A194,'Detalle Turnos'!$B:$B,"Mañana")</f>
        <v>0</v>
      </c>
      <c r="D194" s="47">
        <f>SUMIFS('Detalle Turnos'!$E:$E,'Detalle Turnos'!$A:$A,$A194,'Detalle Turnos'!$B:$B,"Mediodia")</f>
        <v>0</v>
      </c>
      <c r="E194" s="47">
        <f>SUMIFS('Detalle Turnos'!$E:$E,'Detalle Turnos'!$A:$A,$A194,'Detalle Turnos'!$B:$B,"Noche")</f>
        <v>0</v>
      </c>
      <c r="F194" s="48">
        <f t="shared" si="14"/>
        <v>0</v>
      </c>
      <c r="G194" s="47">
        <f>IFERROR(IF(ISNUMBER(MATCH($A194,'Eventos y Previsión'!$B$4:$B$24,0)),INDEX('Eventos y Previsión'!$F$4:$F$24,MATCH($A194,'Eventos y Previsión'!$B$4:$B$24,0)),AVERAGEIFS('Facturación 2025'!$F$4:$F$303,'Facturación 2025'!$B$4:$B$303,$B194)),0)</f>
        <v>1865.4067441860466</v>
      </c>
      <c r="H194" s="53">
        <f t="shared" si="15"/>
        <v>-1865.4067441860466</v>
      </c>
      <c r="I194" s="49">
        <f t="shared" si="16"/>
        <v>-1</v>
      </c>
      <c r="J194" s="47">
        <f t="array" ref="J194">SUMPRODUCT(('Horarios Personal'!$A$5:$A$555=$A194)*IFERROR('Horarios Personal'!$L$5:$L$555*1,0))</f>
        <v>0</v>
      </c>
      <c r="K194" s="70" t="str">
        <f t="shared" si="17"/>
        <v/>
      </c>
      <c r="L194" s="58" t="str">
        <f t="array" ref="L194">IFERROR(INDEX('Eventos y Previsión'!$C$4:$C$24,SUMPRODUCT((LOWER('Eventos y Previsión'!$A$4:$A$24)=LOWER(TEXT($A194,"mmmm")))*(ISNUMBER(SEARCH(TEXT(DAY($A194),"00")&amp;"/"&amp;TEXT(MONTH($A194),"00"),'Eventos y Previsión'!$B$4:$B$24)))*ROW('Eventos y Previsión'!$A$4:$A$24))-ROW('Eventos y Previsión'!$A$3)),"")</f>
        <v/>
      </c>
    </row>
    <row r="195" spans="1:12" ht="15.75" customHeight="1">
      <c r="A195" s="62">
        <v>46305</v>
      </c>
      <c r="B195" s="46" t="str">
        <f t="shared" si="13"/>
        <v>sáb</v>
      </c>
      <c r="C195" s="47">
        <f>SUMIFS('Detalle Turnos'!$E:$E,'Detalle Turnos'!$A:$A,$A195,'Detalle Turnos'!$B:$B,"Mañana")</f>
        <v>0</v>
      </c>
      <c r="D195" s="47">
        <f>SUMIFS('Detalle Turnos'!$E:$E,'Detalle Turnos'!$A:$A,$A195,'Detalle Turnos'!$B:$B,"Mediodia")</f>
        <v>0</v>
      </c>
      <c r="E195" s="47">
        <f>SUMIFS('Detalle Turnos'!$E:$E,'Detalle Turnos'!$A:$A,$A195,'Detalle Turnos'!$B:$B,"Noche")</f>
        <v>0</v>
      </c>
      <c r="F195" s="48">
        <f t="shared" si="14"/>
        <v>0</v>
      </c>
      <c r="G195" s="47">
        <f>IFERROR(IF(ISNUMBER(MATCH($A195,'Eventos y Previsión'!$B$4:$B$24,0)),INDEX('Eventos y Previsión'!$F$4:$F$24,MATCH($A195,'Eventos y Previsión'!$B$4:$B$24,0)),AVERAGEIFS('Facturación 2025'!$F$4:$F$303,'Facturación 2025'!$B$4:$B$303,$B195)),0)</f>
        <v>2049.8245999999995</v>
      </c>
      <c r="H195" s="53">
        <f t="shared" si="15"/>
        <v>-2049.8245999999995</v>
      </c>
      <c r="I195" s="49">
        <f t="shared" si="16"/>
        <v>-1</v>
      </c>
      <c r="J195" s="47">
        <f t="array" ref="J195">SUMPRODUCT(('Horarios Personal'!$A$5:$A$555=$A195)*IFERROR('Horarios Personal'!$L$5:$L$555*1,0))</f>
        <v>0</v>
      </c>
      <c r="K195" s="70" t="str">
        <f t="shared" si="17"/>
        <v/>
      </c>
      <c r="L195" s="58" t="str">
        <f t="array" ref="L195">IFERROR(INDEX('Eventos y Previsión'!$C$4:$C$24,SUMPRODUCT((LOWER('Eventos y Previsión'!$A$4:$A$24)=LOWER(TEXT($A195,"mmmm")))*(ISNUMBER(SEARCH(TEXT(DAY($A195),"00")&amp;"/"&amp;TEXT(MONTH($A195),"00"),'Eventos y Previsión'!$B$4:$B$24)))*ROW('Eventos y Previsión'!$A$4:$A$24))-ROW('Eventos y Previsión'!$A$3)),"")</f>
        <v/>
      </c>
    </row>
    <row r="196" spans="1:12" ht="15.75" customHeight="1">
      <c r="A196" s="62">
        <v>46306</v>
      </c>
      <c r="B196" s="46" t="str">
        <f t="shared" ref="B196:B253" si="18">TEXT($A196,"ddd")</f>
        <v>dom</v>
      </c>
      <c r="C196" s="47">
        <f>SUMIFS('Detalle Turnos'!$E:$E,'Detalle Turnos'!$A:$A,$A196,'Detalle Turnos'!$B:$B,"Mañana")</f>
        <v>0</v>
      </c>
      <c r="D196" s="47">
        <f>SUMIFS('Detalle Turnos'!$E:$E,'Detalle Turnos'!$A:$A,$A196,'Detalle Turnos'!$B:$B,"Mediodia")</f>
        <v>0</v>
      </c>
      <c r="E196" s="47">
        <f>SUMIFS('Detalle Turnos'!$E:$E,'Detalle Turnos'!$A:$A,$A196,'Detalle Turnos'!$B:$B,"Noche")</f>
        <v>0</v>
      </c>
      <c r="F196" s="48">
        <f t="shared" ref="F196:F253" si="19">SUM(C196:E196)</f>
        <v>0</v>
      </c>
      <c r="G196" s="47">
        <f>IFERROR(IF(ISNUMBER(MATCH($A196,'Eventos y Previsión'!$B$4:$B$24,0)),INDEX('Eventos y Previsión'!$F$4:$F$24,MATCH($A196,'Eventos y Previsión'!$B$4:$B$24,0)),AVERAGEIFS('Facturación 2025'!$F$4:$F$303,'Facturación 2025'!$B$4:$B$303,$B196)),0)</f>
        <v>1690.062558139535</v>
      </c>
      <c r="H196" s="53">
        <f t="shared" ref="H196:H253" si="20">F196-G196</f>
        <v>-1690.062558139535</v>
      </c>
      <c r="I196" s="49">
        <f t="shared" ref="I196:I253" si="21">IFERROR(H196/G196,0)</f>
        <v>-1</v>
      </c>
      <c r="J196" s="47">
        <f t="array" ref="J196">SUMPRODUCT(('Horarios Personal'!$A$5:$A$555=$A196)*IFERROR('Horarios Personal'!$L$5:$L$555*1,0))</f>
        <v>0</v>
      </c>
      <c r="K196" s="70" t="str">
        <f t="shared" ref="K196:K253" si="22">IFERROR(J196/F196,"")</f>
        <v/>
      </c>
      <c r="L196" s="58" t="str">
        <f t="array" ref="L196">IFERROR(INDEX('Eventos y Previsión'!$C$4:$C$24,SUMPRODUCT((LOWER('Eventos y Previsión'!$A$4:$A$24)=LOWER(TEXT($A196,"mmmm")))*(ISNUMBER(SEARCH(TEXT(DAY($A196),"00")&amp;"/"&amp;TEXT(MONTH($A196),"00"),'Eventos y Previsión'!$B$4:$B$24)))*ROW('Eventos y Previsión'!$A$4:$A$24))-ROW('Eventos y Previsión'!$A$3)),"")</f>
        <v>Festa Major</v>
      </c>
    </row>
    <row r="197" spans="1:12" ht="15.75" customHeight="1">
      <c r="A197" s="62">
        <v>46309</v>
      </c>
      <c r="B197" s="46" t="str">
        <f t="shared" si="18"/>
        <v>mié</v>
      </c>
      <c r="C197" s="47">
        <f>SUMIFS('Detalle Turnos'!$E:$E,'Detalle Turnos'!$A:$A,$A197,'Detalle Turnos'!$B:$B,"Mañana")</f>
        <v>0</v>
      </c>
      <c r="D197" s="47">
        <f>SUMIFS('Detalle Turnos'!$E:$E,'Detalle Turnos'!$A:$A,$A197,'Detalle Turnos'!$B:$B,"Mediodia")</f>
        <v>0</v>
      </c>
      <c r="E197" s="47">
        <f>SUMIFS('Detalle Turnos'!$E:$E,'Detalle Turnos'!$A:$A,$A197,'Detalle Turnos'!$B:$B,"Noche")</f>
        <v>0</v>
      </c>
      <c r="F197" s="48">
        <f t="shared" si="19"/>
        <v>0</v>
      </c>
      <c r="G197" s="47">
        <f>IFERROR(IF(ISNUMBER(MATCH($A197,'Eventos y Previsión'!$B$4:$B$24,0)),INDEX('Eventos y Previsión'!$F$4:$F$24,MATCH($A197,'Eventos y Previsión'!$B$4:$B$24,0)),AVERAGEIFS('Facturación 2025'!$F$4:$F$303,'Facturación 2025'!$B$4:$B$303,$B197)),0)</f>
        <v>1039.9519512195122</v>
      </c>
      <c r="H197" s="53">
        <f t="shared" si="20"/>
        <v>-1039.9519512195122</v>
      </c>
      <c r="I197" s="49">
        <f t="shared" si="21"/>
        <v>-1</v>
      </c>
      <c r="J197" s="47">
        <f t="array" ref="J197">SUMPRODUCT(('Horarios Personal'!$A$5:$A$555=$A197)*IFERROR('Horarios Personal'!$L$5:$L$555*1,0))</f>
        <v>0</v>
      </c>
      <c r="K197" s="70" t="str">
        <f t="shared" si="22"/>
        <v/>
      </c>
      <c r="L197" s="58" t="str">
        <f t="array" ref="L197">IFERROR(INDEX('Eventos y Previsión'!$C$4:$C$24,SUMPRODUCT((LOWER('Eventos y Previsión'!$A$4:$A$24)=LOWER(TEXT($A197,"mmmm")))*(ISNUMBER(SEARCH(TEXT(DAY($A197),"00")&amp;"/"&amp;TEXT(MONTH($A197),"00"),'Eventos y Previsión'!$B$4:$B$24)))*ROW('Eventos y Previsión'!$A$4:$A$24))-ROW('Eventos y Previsión'!$A$3)),"")</f>
        <v/>
      </c>
    </row>
    <row r="198" spans="1:12" ht="15.75" customHeight="1">
      <c r="A198" s="62">
        <v>46310</v>
      </c>
      <c r="B198" s="46" t="str">
        <f t="shared" si="18"/>
        <v>jue</v>
      </c>
      <c r="C198" s="47">
        <f>SUMIFS('Detalle Turnos'!$E:$E,'Detalle Turnos'!$A:$A,$A198,'Detalle Turnos'!$B:$B,"Mañana")</f>
        <v>0</v>
      </c>
      <c r="D198" s="47">
        <f>SUMIFS('Detalle Turnos'!$E:$E,'Detalle Turnos'!$A:$A,$A198,'Detalle Turnos'!$B:$B,"Mediodia")</f>
        <v>0</v>
      </c>
      <c r="E198" s="47">
        <f>SUMIFS('Detalle Turnos'!$E:$E,'Detalle Turnos'!$A:$A,$A198,'Detalle Turnos'!$B:$B,"Noche")</f>
        <v>0</v>
      </c>
      <c r="F198" s="48">
        <f t="shared" si="19"/>
        <v>0</v>
      </c>
      <c r="G198" s="47">
        <f>IFERROR(IF(ISNUMBER(MATCH($A198,'Eventos y Previsión'!$B$4:$B$24,0)),INDEX('Eventos y Previsión'!$F$4:$F$24,MATCH($A198,'Eventos y Previsión'!$B$4:$B$24,0)),AVERAGEIFS('Facturación 2025'!$F$4:$F$303,'Facturación 2025'!$B$4:$B$303,$B198)),0)</f>
        <v>1100.2225000000003</v>
      </c>
      <c r="H198" s="53">
        <f t="shared" si="20"/>
        <v>-1100.2225000000003</v>
      </c>
      <c r="I198" s="49">
        <f t="shared" si="21"/>
        <v>-1</v>
      </c>
      <c r="J198" s="47">
        <f t="array" ref="J198">SUMPRODUCT(('Horarios Personal'!$A$5:$A$555=$A198)*IFERROR('Horarios Personal'!$L$5:$L$555*1,0))</f>
        <v>0</v>
      </c>
      <c r="K198" s="70" t="str">
        <f t="shared" si="22"/>
        <v/>
      </c>
      <c r="L198" s="58" t="str">
        <f t="array" ref="L198">IFERROR(INDEX('Eventos y Previsión'!$C$4:$C$24,SUMPRODUCT((LOWER('Eventos y Previsión'!$A$4:$A$24)=LOWER(TEXT($A198,"mmmm")))*(ISNUMBER(SEARCH(TEXT(DAY($A198),"00")&amp;"/"&amp;TEXT(MONTH($A198),"00"),'Eventos y Previsión'!$B$4:$B$24)))*ROW('Eventos y Previsión'!$A$4:$A$24))-ROW('Eventos y Previsión'!$A$3)),"")</f>
        <v/>
      </c>
    </row>
    <row r="199" spans="1:12" ht="15.75" customHeight="1">
      <c r="A199" s="62">
        <v>46311</v>
      </c>
      <c r="B199" s="46" t="str">
        <f t="shared" si="18"/>
        <v>vie</v>
      </c>
      <c r="C199" s="47">
        <f>SUMIFS('Detalle Turnos'!$E:$E,'Detalle Turnos'!$A:$A,$A199,'Detalle Turnos'!$B:$B,"Mañana")</f>
        <v>0</v>
      </c>
      <c r="D199" s="47">
        <f>SUMIFS('Detalle Turnos'!$E:$E,'Detalle Turnos'!$A:$A,$A199,'Detalle Turnos'!$B:$B,"Mediodia")</f>
        <v>0</v>
      </c>
      <c r="E199" s="47">
        <f>SUMIFS('Detalle Turnos'!$E:$E,'Detalle Turnos'!$A:$A,$A199,'Detalle Turnos'!$B:$B,"Noche")</f>
        <v>0</v>
      </c>
      <c r="F199" s="48">
        <f t="shared" si="19"/>
        <v>0</v>
      </c>
      <c r="G199" s="47">
        <f>IFERROR(IF(ISNUMBER(MATCH($A199,'Eventos y Previsión'!$B$4:$B$24,0)),INDEX('Eventos y Previsión'!$F$4:$F$24,MATCH($A199,'Eventos y Previsión'!$B$4:$B$24,0)),AVERAGEIFS('Facturación 2025'!$F$4:$F$303,'Facturación 2025'!$B$4:$B$303,$B199)),0)</f>
        <v>1865.4067441860466</v>
      </c>
      <c r="H199" s="53">
        <f t="shared" si="20"/>
        <v>-1865.4067441860466</v>
      </c>
      <c r="I199" s="49">
        <f t="shared" si="21"/>
        <v>-1</v>
      </c>
      <c r="J199" s="47">
        <f t="array" ref="J199">SUMPRODUCT(('Horarios Personal'!$A$5:$A$555=$A199)*IFERROR('Horarios Personal'!$L$5:$L$555*1,0))</f>
        <v>0</v>
      </c>
      <c r="K199" s="70" t="str">
        <f t="shared" si="22"/>
        <v/>
      </c>
      <c r="L199" s="58" t="str">
        <f t="array" ref="L199">IFERROR(INDEX('Eventos y Previsión'!$C$4:$C$24,SUMPRODUCT((LOWER('Eventos y Previsión'!$A$4:$A$24)=LOWER(TEXT($A199,"mmmm")))*(ISNUMBER(SEARCH(TEXT(DAY($A199),"00")&amp;"/"&amp;TEXT(MONTH($A199),"00"),'Eventos y Previsión'!$B$4:$B$24)))*ROW('Eventos y Previsión'!$A$4:$A$24))-ROW('Eventos y Previsión'!$A$3)),"")</f>
        <v/>
      </c>
    </row>
    <row r="200" spans="1:12" ht="15.75" customHeight="1">
      <c r="A200" s="62">
        <v>46312</v>
      </c>
      <c r="B200" s="46" t="str">
        <f t="shared" si="18"/>
        <v>sáb</v>
      </c>
      <c r="C200" s="47">
        <f>SUMIFS('Detalle Turnos'!$E:$E,'Detalle Turnos'!$A:$A,$A200,'Detalle Turnos'!$B:$B,"Mañana")</f>
        <v>0</v>
      </c>
      <c r="D200" s="47">
        <f>SUMIFS('Detalle Turnos'!$E:$E,'Detalle Turnos'!$A:$A,$A200,'Detalle Turnos'!$B:$B,"Mediodia")</f>
        <v>0</v>
      </c>
      <c r="E200" s="47">
        <f>SUMIFS('Detalle Turnos'!$E:$E,'Detalle Turnos'!$A:$A,$A200,'Detalle Turnos'!$B:$B,"Noche")</f>
        <v>0</v>
      </c>
      <c r="F200" s="48">
        <f t="shared" si="19"/>
        <v>0</v>
      </c>
      <c r="G200" s="47">
        <f>IFERROR(IF(ISNUMBER(MATCH($A200,'Eventos y Previsión'!$B$4:$B$24,0)),INDEX('Eventos y Previsión'!$F$4:$F$24,MATCH($A200,'Eventos y Previsión'!$B$4:$B$24,0)),AVERAGEIFS('Facturación 2025'!$F$4:$F$303,'Facturación 2025'!$B$4:$B$303,$B200)),0)</f>
        <v>2049.8245999999995</v>
      </c>
      <c r="H200" s="53">
        <f t="shared" si="20"/>
        <v>-2049.8245999999995</v>
      </c>
      <c r="I200" s="49">
        <f t="shared" si="21"/>
        <v>-1</v>
      </c>
      <c r="J200" s="47">
        <f t="array" ref="J200">SUMPRODUCT(('Horarios Personal'!$A$5:$A$555=$A200)*IFERROR('Horarios Personal'!$L$5:$L$555*1,0))</f>
        <v>0</v>
      </c>
      <c r="K200" s="70" t="str">
        <f t="shared" si="22"/>
        <v/>
      </c>
      <c r="L200" s="58" t="str">
        <f t="array" ref="L200">IFERROR(INDEX('Eventos y Previsión'!$C$4:$C$24,SUMPRODUCT((LOWER('Eventos y Previsión'!$A$4:$A$24)=LOWER(TEXT($A200,"mmmm")))*(ISNUMBER(SEARCH(TEXT(DAY($A200),"00")&amp;"/"&amp;TEXT(MONTH($A200),"00"),'Eventos y Previsión'!$B$4:$B$24)))*ROW('Eventos y Previsión'!$A$4:$A$24))-ROW('Eventos y Previsión'!$A$3)),"")</f>
        <v/>
      </c>
    </row>
    <row r="201" spans="1:12" ht="15.75" customHeight="1">
      <c r="A201" s="62">
        <v>46313</v>
      </c>
      <c r="B201" s="46" t="str">
        <f t="shared" si="18"/>
        <v>dom</v>
      </c>
      <c r="C201" s="47">
        <f>SUMIFS('Detalle Turnos'!$E:$E,'Detalle Turnos'!$A:$A,$A201,'Detalle Turnos'!$B:$B,"Mañana")</f>
        <v>0</v>
      </c>
      <c r="D201" s="47">
        <f>SUMIFS('Detalle Turnos'!$E:$E,'Detalle Turnos'!$A:$A,$A201,'Detalle Turnos'!$B:$B,"Mediodia")</f>
        <v>0</v>
      </c>
      <c r="E201" s="47">
        <f>SUMIFS('Detalle Turnos'!$E:$E,'Detalle Turnos'!$A:$A,$A201,'Detalle Turnos'!$B:$B,"Noche")</f>
        <v>0</v>
      </c>
      <c r="F201" s="48">
        <f t="shared" si="19"/>
        <v>0</v>
      </c>
      <c r="G201" s="47">
        <f>IFERROR(IF(ISNUMBER(MATCH($A201,'Eventos y Previsión'!$B$4:$B$24,0)),INDEX('Eventos y Previsión'!$F$4:$F$24,MATCH($A201,'Eventos y Previsión'!$B$4:$B$24,0)),AVERAGEIFS('Facturación 2025'!$F$4:$F$303,'Facturación 2025'!$B$4:$B$303,$B201)),0)</f>
        <v>1690.062558139535</v>
      </c>
      <c r="H201" s="53">
        <f t="shared" si="20"/>
        <v>-1690.062558139535</v>
      </c>
      <c r="I201" s="49">
        <f t="shared" si="21"/>
        <v>-1</v>
      </c>
      <c r="J201" s="47">
        <f t="array" ref="J201">SUMPRODUCT(('Horarios Personal'!$A$5:$A$555=$A201)*IFERROR('Horarios Personal'!$L$5:$L$555*1,0))</f>
        <v>0</v>
      </c>
      <c r="K201" s="70" t="str">
        <f t="shared" si="22"/>
        <v/>
      </c>
      <c r="L201" s="58" t="str">
        <f t="array" ref="L201">IFERROR(INDEX('Eventos y Previsión'!$C$4:$C$24,SUMPRODUCT((LOWER('Eventos y Previsión'!$A$4:$A$24)=LOWER(TEXT($A201,"mmmm")))*(ISNUMBER(SEARCH(TEXT(DAY($A201),"00")&amp;"/"&amp;TEXT(MONTH($A201),"00"),'Eventos y Previsión'!$B$4:$B$24)))*ROW('Eventos y Previsión'!$A$4:$A$24))-ROW('Eventos y Previsión'!$A$3)),"")</f>
        <v/>
      </c>
    </row>
    <row r="202" spans="1:12" ht="15.75" customHeight="1">
      <c r="A202" s="62">
        <v>46316</v>
      </c>
      <c r="B202" s="46" t="str">
        <f t="shared" si="18"/>
        <v>mié</v>
      </c>
      <c r="C202" s="47">
        <f>SUMIFS('Detalle Turnos'!$E:$E,'Detalle Turnos'!$A:$A,$A202,'Detalle Turnos'!$B:$B,"Mañana")</f>
        <v>0</v>
      </c>
      <c r="D202" s="47">
        <f>SUMIFS('Detalle Turnos'!$E:$E,'Detalle Turnos'!$A:$A,$A202,'Detalle Turnos'!$B:$B,"Mediodia")</f>
        <v>0</v>
      </c>
      <c r="E202" s="47">
        <f>SUMIFS('Detalle Turnos'!$E:$E,'Detalle Turnos'!$A:$A,$A202,'Detalle Turnos'!$B:$B,"Noche")</f>
        <v>0</v>
      </c>
      <c r="F202" s="48">
        <f t="shared" si="19"/>
        <v>0</v>
      </c>
      <c r="G202" s="47">
        <f>IFERROR(IF(ISNUMBER(MATCH($A202,'Eventos y Previsión'!$B$4:$B$24,0)),INDEX('Eventos y Previsión'!$F$4:$F$24,MATCH($A202,'Eventos y Previsión'!$B$4:$B$24,0)),AVERAGEIFS('Facturación 2025'!$F$4:$F$303,'Facturación 2025'!$B$4:$B$303,$B202)),0)</f>
        <v>1039.9519512195122</v>
      </c>
      <c r="H202" s="53">
        <f t="shared" si="20"/>
        <v>-1039.9519512195122</v>
      </c>
      <c r="I202" s="49">
        <f t="shared" si="21"/>
        <v>-1</v>
      </c>
      <c r="J202" s="47">
        <f t="array" ref="J202">SUMPRODUCT(('Horarios Personal'!$A$5:$A$555=$A202)*IFERROR('Horarios Personal'!$L$5:$L$555*1,0))</f>
        <v>0</v>
      </c>
      <c r="K202" s="70" t="str">
        <f t="shared" si="22"/>
        <v/>
      </c>
      <c r="L202" s="58" t="str">
        <f t="array" ref="L202">IFERROR(INDEX('Eventos y Previsión'!$C$4:$C$24,SUMPRODUCT((LOWER('Eventos y Previsión'!$A$4:$A$24)=LOWER(TEXT($A202,"mmmm")))*(ISNUMBER(SEARCH(TEXT(DAY($A202),"00")&amp;"/"&amp;TEXT(MONTH($A202),"00"),'Eventos y Previsión'!$B$4:$B$24)))*ROW('Eventos y Previsión'!$A$4:$A$24))-ROW('Eventos y Previsión'!$A$3)),"")</f>
        <v/>
      </c>
    </row>
    <row r="203" spans="1:12" ht="15.75" customHeight="1">
      <c r="A203" s="62">
        <v>46317</v>
      </c>
      <c r="B203" s="46" t="str">
        <f t="shared" si="18"/>
        <v>jue</v>
      </c>
      <c r="C203" s="47">
        <f>SUMIFS('Detalle Turnos'!$E:$E,'Detalle Turnos'!$A:$A,$A203,'Detalle Turnos'!$B:$B,"Mañana")</f>
        <v>0</v>
      </c>
      <c r="D203" s="47">
        <f>SUMIFS('Detalle Turnos'!$E:$E,'Detalle Turnos'!$A:$A,$A203,'Detalle Turnos'!$B:$B,"Mediodia")</f>
        <v>0</v>
      </c>
      <c r="E203" s="47">
        <f>SUMIFS('Detalle Turnos'!$E:$E,'Detalle Turnos'!$A:$A,$A203,'Detalle Turnos'!$B:$B,"Noche")</f>
        <v>0</v>
      </c>
      <c r="F203" s="48">
        <f t="shared" si="19"/>
        <v>0</v>
      </c>
      <c r="G203" s="47">
        <f>IFERROR(IF(ISNUMBER(MATCH($A203,'Eventos y Previsión'!$B$4:$B$24,0)),INDEX('Eventos y Previsión'!$F$4:$F$24,MATCH($A203,'Eventos y Previsión'!$B$4:$B$24,0)),AVERAGEIFS('Facturación 2025'!$F$4:$F$303,'Facturación 2025'!$B$4:$B$303,$B203)),0)</f>
        <v>1100.2225000000003</v>
      </c>
      <c r="H203" s="53">
        <f t="shared" si="20"/>
        <v>-1100.2225000000003</v>
      </c>
      <c r="I203" s="49">
        <f t="shared" si="21"/>
        <v>-1</v>
      </c>
      <c r="J203" s="47">
        <f t="array" ref="J203">SUMPRODUCT(('Horarios Personal'!$A$5:$A$555=$A203)*IFERROR('Horarios Personal'!$L$5:$L$555*1,0))</f>
        <v>0</v>
      </c>
      <c r="K203" s="70" t="str">
        <f t="shared" si="22"/>
        <v/>
      </c>
      <c r="L203" s="58" t="str">
        <f t="array" ref="L203">IFERROR(INDEX('Eventos y Previsión'!$C$4:$C$24,SUMPRODUCT((LOWER('Eventos y Previsión'!$A$4:$A$24)=LOWER(TEXT($A203,"mmmm")))*(ISNUMBER(SEARCH(TEXT(DAY($A203),"00")&amp;"/"&amp;TEXT(MONTH($A203),"00"),'Eventos y Previsión'!$B$4:$B$24)))*ROW('Eventos y Previsión'!$A$4:$A$24))-ROW('Eventos y Previsión'!$A$3)),"")</f>
        <v/>
      </c>
    </row>
    <row r="204" spans="1:12" ht="15.75" customHeight="1">
      <c r="A204" s="62">
        <v>46318</v>
      </c>
      <c r="B204" s="46" t="str">
        <f t="shared" si="18"/>
        <v>vie</v>
      </c>
      <c r="C204" s="47">
        <f>SUMIFS('Detalle Turnos'!$E:$E,'Detalle Turnos'!$A:$A,$A204,'Detalle Turnos'!$B:$B,"Mañana")</f>
        <v>0</v>
      </c>
      <c r="D204" s="47">
        <f>SUMIFS('Detalle Turnos'!$E:$E,'Detalle Turnos'!$A:$A,$A204,'Detalle Turnos'!$B:$B,"Mediodia")</f>
        <v>0</v>
      </c>
      <c r="E204" s="47">
        <f>SUMIFS('Detalle Turnos'!$E:$E,'Detalle Turnos'!$A:$A,$A204,'Detalle Turnos'!$B:$B,"Noche")</f>
        <v>0</v>
      </c>
      <c r="F204" s="48">
        <f t="shared" si="19"/>
        <v>0</v>
      </c>
      <c r="G204" s="47">
        <f>IFERROR(IF(ISNUMBER(MATCH($A204,'Eventos y Previsión'!$B$4:$B$24,0)),INDEX('Eventos y Previsión'!$F$4:$F$24,MATCH($A204,'Eventos y Previsión'!$B$4:$B$24,0)),AVERAGEIFS('Facturación 2025'!$F$4:$F$303,'Facturación 2025'!$B$4:$B$303,$B204)),0)</f>
        <v>1865.4067441860466</v>
      </c>
      <c r="H204" s="53">
        <f t="shared" si="20"/>
        <v>-1865.4067441860466</v>
      </c>
      <c r="I204" s="49">
        <f t="shared" si="21"/>
        <v>-1</v>
      </c>
      <c r="J204" s="47">
        <f t="array" ref="J204">SUMPRODUCT(('Horarios Personal'!$A$5:$A$555=$A204)*IFERROR('Horarios Personal'!$L$5:$L$555*1,0))</f>
        <v>0</v>
      </c>
      <c r="K204" s="70" t="str">
        <f t="shared" si="22"/>
        <v/>
      </c>
      <c r="L204" s="58" t="str">
        <f t="array" ref="L204">IFERROR(INDEX('Eventos y Previsión'!$C$4:$C$24,SUMPRODUCT((LOWER('Eventos y Previsión'!$A$4:$A$24)=LOWER(TEXT($A204,"mmmm")))*(ISNUMBER(SEARCH(TEXT(DAY($A204),"00")&amp;"/"&amp;TEXT(MONTH($A204),"00"),'Eventos y Previsión'!$B$4:$B$24)))*ROW('Eventos y Previsión'!$A$4:$A$24))-ROW('Eventos y Previsión'!$A$3)),"")</f>
        <v/>
      </c>
    </row>
    <row r="205" spans="1:12" ht="15.75" customHeight="1">
      <c r="A205" s="62">
        <v>46319</v>
      </c>
      <c r="B205" s="46" t="str">
        <f t="shared" si="18"/>
        <v>sáb</v>
      </c>
      <c r="C205" s="47">
        <f>SUMIFS('Detalle Turnos'!$E:$E,'Detalle Turnos'!$A:$A,$A205,'Detalle Turnos'!$B:$B,"Mañana")</f>
        <v>0</v>
      </c>
      <c r="D205" s="47">
        <f>SUMIFS('Detalle Turnos'!$E:$E,'Detalle Turnos'!$A:$A,$A205,'Detalle Turnos'!$B:$B,"Mediodia")</f>
        <v>0</v>
      </c>
      <c r="E205" s="47">
        <f>SUMIFS('Detalle Turnos'!$E:$E,'Detalle Turnos'!$A:$A,$A205,'Detalle Turnos'!$B:$B,"Noche")</f>
        <v>0</v>
      </c>
      <c r="F205" s="48">
        <f t="shared" si="19"/>
        <v>0</v>
      </c>
      <c r="G205" s="47">
        <f>IFERROR(IF(ISNUMBER(MATCH($A205,'Eventos y Previsión'!$B$4:$B$24,0)),INDEX('Eventos y Previsión'!$F$4:$F$24,MATCH($A205,'Eventos y Previsión'!$B$4:$B$24,0)),AVERAGEIFS('Facturación 2025'!$F$4:$F$303,'Facturación 2025'!$B$4:$B$303,$B205)),0)</f>
        <v>2049.8245999999995</v>
      </c>
      <c r="H205" s="53">
        <f t="shared" si="20"/>
        <v>-2049.8245999999995</v>
      </c>
      <c r="I205" s="49">
        <f t="shared" si="21"/>
        <v>-1</v>
      </c>
      <c r="J205" s="47">
        <f t="array" ref="J205">SUMPRODUCT(('Horarios Personal'!$A$5:$A$555=$A205)*IFERROR('Horarios Personal'!$L$5:$L$555*1,0))</f>
        <v>0</v>
      </c>
      <c r="K205" s="70" t="str">
        <f t="shared" si="22"/>
        <v/>
      </c>
      <c r="L205" s="58" t="str">
        <f t="array" ref="L205">IFERROR(INDEX('Eventos y Previsión'!$C$4:$C$24,SUMPRODUCT((LOWER('Eventos y Previsión'!$A$4:$A$24)=LOWER(TEXT($A205,"mmmm")))*(ISNUMBER(SEARCH(TEXT(DAY($A205),"00")&amp;"/"&amp;TEXT(MONTH($A205),"00"),'Eventos y Previsión'!$B$4:$B$24)))*ROW('Eventos y Previsión'!$A$4:$A$24))-ROW('Eventos y Previsión'!$A$3)),"")</f>
        <v/>
      </c>
    </row>
    <row r="206" spans="1:12" ht="15.75" customHeight="1">
      <c r="A206" s="62">
        <v>46320</v>
      </c>
      <c r="B206" s="46" t="str">
        <f t="shared" si="18"/>
        <v>dom</v>
      </c>
      <c r="C206" s="47">
        <f>SUMIFS('Detalle Turnos'!$E:$E,'Detalle Turnos'!$A:$A,$A206,'Detalle Turnos'!$B:$B,"Mañana")</f>
        <v>0</v>
      </c>
      <c r="D206" s="47">
        <f>SUMIFS('Detalle Turnos'!$E:$E,'Detalle Turnos'!$A:$A,$A206,'Detalle Turnos'!$B:$B,"Mediodia")</f>
        <v>0</v>
      </c>
      <c r="E206" s="47">
        <f>SUMIFS('Detalle Turnos'!$E:$E,'Detalle Turnos'!$A:$A,$A206,'Detalle Turnos'!$B:$B,"Noche")</f>
        <v>0</v>
      </c>
      <c r="F206" s="48">
        <f t="shared" si="19"/>
        <v>0</v>
      </c>
      <c r="G206" s="47">
        <f>IFERROR(IF(ISNUMBER(MATCH($A206,'Eventos y Previsión'!$B$4:$B$24,0)),INDEX('Eventos y Previsión'!$F$4:$F$24,MATCH($A206,'Eventos y Previsión'!$B$4:$B$24,0)),AVERAGEIFS('Facturación 2025'!$F$4:$F$303,'Facturación 2025'!$B$4:$B$303,$B206)),0)</f>
        <v>1690.062558139535</v>
      </c>
      <c r="H206" s="53">
        <f t="shared" si="20"/>
        <v>-1690.062558139535</v>
      </c>
      <c r="I206" s="49">
        <f t="shared" si="21"/>
        <v>-1</v>
      </c>
      <c r="J206" s="47">
        <f t="array" ref="J206">SUMPRODUCT(('Horarios Personal'!$A$5:$A$555=$A206)*IFERROR('Horarios Personal'!$L$5:$L$555*1,0))</f>
        <v>0</v>
      </c>
      <c r="K206" s="70" t="str">
        <f t="shared" si="22"/>
        <v/>
      </c>
      <c r="L206" s="58" t="str">
        <f t="array" ref="L206">IFERROR(INDEX('Eventos y Previsión'!$C$4:$C$24,SUMPRODUCT((LOWER('Eventos y Previsión'!$A$4:$A$24)=LOWER(TEXT($A206,"mmmm")))*(ISNUMBER(SEARCH(TEXT(DAY($A206),"00")&amp;"/"&amp;TEXT(MONTH($A206),"00"),'Eventos y Previsión'!$B$4:$B$24)))*ROW('Eventos y Previsión'!$A$4:$A$24))-ROW('Eventos y Previsión'!$A$3)),"")</f>
        <v/>
      </c>
    </row>
    <row r="207" spans="1:12" ht="15.75" customHeight="1">
      <c r="A207" s="62">
        <v>46323</v>
      </c>
      <c r="B207" s="46" t="str">
        <f t="shared" si="18"/>
        <v>mié</v>
      </c>
      <c r="C207" s="47">
        <f>SUMIFS('Detalle Turnos'!$E:$E,'Detalle Turnos'!$A:$A,$A207,'Detalle Turnos'!$B:$B,"Mañana")</f>
        <v>0</v>
      </c>
      <c r="D207" s="47">
        <f>SUMIFS('Detalle Turnos'!$E:$E,'Detalle Turnos'!$A:$A,$A207,'Detalle Turnos'!$B:$B,"Mediodia")</f>
        <v>0</v>
      </c>
      <c r="E207" s="47">
        <f>SUMIFS('Detalle Turnos'!$E:$E,'Detalle Turnos'!$A:$A,$A207,'Detalle Turnos'!$B:$B,"Noche")</f>
        <v>0</v>
      </c>
      <c r="F207" s="48">
        <f t="shared" si="19"/>
        <v>0</v>
      </c>
      <c r="G207" s="47">
        <f>IFERROR(IF(ISNUMBER(MATCH($A207,'Eventos y Previsión'!$B$4:$B$24,0)),INDEX('Eventos y Previsión'!$F$4:$F$24,MATCH($A207,'Eventos y Previsión'!$B$4:$B$24,0)),AVERAGEIFS('Facturación 2025'!$F$4:$F$303,'Facturación 2025'!$B$4:$B$303,$B207)),0)</f>
        <v>1039.9519512195122</v>
      </c>
      <c r="H207" s="53">
        <f t="shared" si="20"/>
        <v>-1039.9519512195122</v>
      </c>
      <c r="I207" s="49">
        <f t="shared" si="21"/>
        <v>-1</v>
      </c>
      <c r="J207" s="47">
        <f t="array" ref="J207">SUMPRODUCT(('Horarios Personal'!$A$5:$A$555=$A207)*IFERROR('Horarios Personal'!$L$5:$L$555*1,0))</f>
        <v>0</v>
      </c>
      <c r="K207" s="70" t="str">
        <f t="shared" si="22"/>
        <v/>
      </c>
      <c r="L207" s="58" t="str">
        <f t="array" ref="L207">IFERROR(INDEX('Eventos y Previsión'!$C$4:$C$24,SUMPRODUCT((LOWER('Eventos y Previsión'!$A$4:$A$24)=LOWER(TEXT($A207,"mmmm")))*(ISNUMBER(SEARCH(TEXT(DAY($A207),"00")&amp;"/"&amp;TEXT(MONTH($A207),"00"),'Eventos y Previsión'!$B$4:$B$24)))*ROW('Eventos y Previsión'!$A$4:$A$24))-ROW('Eventos y Previsión'!$A$3)),"")</f>
        <v/>
      </c>
    </row>
    <row r="208" spans="1:12" ht="15.75" customHeight="1">
      <c r="A208" s="62">
        <v>46324</v>
      </c>
      <c r="B208" s="46" t="str">
        <f t="shared" si="18"/>
        <v>jue</v>
      </c>
      <c r="C208" s="47">
        <f>SUMIFS('Detalle Turnos'!$E:$E,'Detalle Turnos'!$A:$A,$A208,'Detalle Turnos'!$B:$B,"Mañana")</f>
        <v>0</v>
      </c>
      <c r="D208" s="47">
        <f>SUMIFS('Detalle Turnos'!$E:$E,'Detalle Turnos'!$A:$A,$A208,'Detalle Turnos'!$B:$B,"Mediodia")</f>
        <v>0</v>
      </c>
      <c r="E208" s="47">
        <f>SUMIFS('Detalle Turnos'!$E:$E,'Detalle Turnos'!$A:$A,$A208,'Detalle Turnos'!$B:$B,"Noche")</f>
        <v>0</v>
      </c>
      <c r="F208" s="48">
        <f t="shared" si="19"/>
        <v>0</v>
      </c>
      <c r="G208" s="47">
        <f>IFERROR(IF(ISNUMBER(MATCH($A208,'Eventos y Previsión'!$B$4:$B$24,0)),INDEX('Eventos y Previsión'!$F$4:$F$24,MATCH($A208,'Eventos y Previsión'!$B$4:$B$24,0)),AVERAGEIFS('Facturación 2025'!$F$4:$F$303,'Facturación 2025'!$B$4:$B$303,$B208)),0)</f>
        <v>1100.2225000000003</v>
      </c>
      <c r="H208" s="53">
        <f t="shared" si="20"/>
        <v>-1100.2225000000003</v>
      </c>
      <c r="I208" s="49">
        <f t="shared" si="21"/>
        <v>-1</v>
      </c>
      <c r="J208" s="47">
        <f t="array" ref="J208">SUMPRODUCT(('Horarios Personal'!$A$5:$A$555=$A208)*IFERROR('Horarios Personal'!$L$5:$L$555*1,0))</f>
        <v>0</v>
      </c>
      <c r="K208" s="70" t="str">
        <f t="shared" si="22"/>
        <v/>
      </c>
      <c r="L208" s="58" t="str">
        <f t="array" ref="L208">IFERROR(INDEX('Eventos y Previsión'!$C$4:$C$24,SUMPRODUCT((LOWER('Eventos y Previsión'!$A$4:$A$24)=LOWER(TEXT($A208,"mmmm")))*(ISNUMBER(SEARCH(TEXT(DAY($A208),"00")&amp;"/"&amp;TEXT(MONTH($A208),"00"),'Eventos y Previsión'!$B$4:$B$24)))*ROW('Eventos y Previsión'!$A$4:$A$24))-ROW('Eventos y Previsión'!$A$3)),"")</f>
        <v/>
      </c>
    </row>
    <row r="209" spans="1:12" ht="15.75" customHeight="1">
      <c r="A209" s="62">
        <v>46325</v>
      </c>
      <c r="B209" s="46" t="str">
        <f t="shared" si="18"/>
        <v>vie</v>
      </c>
      <c r="C209" s="47">
        <f>SUMIFS('Detalle Turnos'!$E:$E,'Detalle Turnos'!$A:$A,$A209,'Detalle Turnos'!$B:$B,"Mañana")</f>
        <v>0</v>
      </c>
      <c r="D209" s="47">
        <f>SUMIFS('Detalle Turnos'!$E:$E,'Detalle Turnos'!$A:$A,$A209,'Detalle Turnos'!$B:$B,"Mediodia")</f>
        <v>0</v>
      </c>
      <c r="E209" s="47">
        <f>SUMIFS('Detalle Turnos'!$E:$E,'Detalle Turnos'!$A:$A,$A209,'Detalle Turnos'!$B:$B,"Noche")</f>
        <v>0</v>
      </c>
      <c r="F209" s="48">
        <f t="shared" si="19"/>
        <v>0</v>
      </c>
      <c r="G209" s="47">
        <f>IFERROR(IF(ISNUMBER(MATCH($A209,'Eventos y Previsión'!$B$4:$B$24,0)),INDEX('Eventos y Previsión'!$F$4:$F$24,MATCH($A209,'Eventos y Previsión'!$B$4:$B$24,0)),AVERAGEIFS('Facturación 2025'!$F$4:$F$303,'Facturación 2025'!$B$4:$B$303,$B209)),0)</f>
        <v>1865.4067441860466</v>
      </c>
      <c r="H209" s="53">
        <f t="shared" si="20"/>
        <v>-1865.4067441860466</v>
      </c>
      <c r="I209" s="49">
        <f t="shared" si="21"/>
        <v>-1</v>
      </c>
      <c r="J209" s="47">
        <f t="array" ref="J209">SUMPRODUCT(('Horarios Personal'!$A$5:$A$555=$A209)*IFERROR('Horarios Personal'!$L$5:$L$555*1,0))</f>
        <v>0</v>
      </c>
      <c r="K209" s="70" t="str">
        <f t="shared" si="22"/>
        <v/>
      </c>
      <c r="L209" s="58" t="str">
        <f t="array" ref="L209">IFERROR(INDEX('Eventos y Previsión'!$C$4:$C$24,SUMPRODUCT((LOWER('Eventos y Previsión'!$A$4:$A$24)=LOWER(TEXT($A209,"mmmm")))*(ISNUMBER(SEARCH(TEXT(DAY($A209),"00")&amp;"/"&amp;TEXT(MONTH($A209),"00"),'Eventos y Previsión'!$B$4:$B$24)))*ROW('Eventos y Previsión'!$A$4:$A$24))-ROW('Eventos y Previsión'!$A$3)),"")</f>
        <v/>
      </c>
    </row>
    <row r="210" spans="1:12" ht="15.75" customHeight="1">
      <c r="A210" s="62">
        <v>46326</v>
      </c>
      <c r="B210" s="46" t="str">
        <f t="shared" si="18"/>
        <v>sáb</v>
      </c>
      <c r="C210" s="47">
        <f>SUMIFS('Detalle Turnos'!$E:$E,'Detalle Turnos'!$A:$A,$A210,'Detalle Turnos'!$B:$B,"Mañana")</f>
        <v>0</v>
      </c>
      <c r="D210" s="47">
        <f>SUMIFS('Detalle Turnos'!$E:$E,'Detalle Turnos'!$A:$A,$A210,'Detalle Turnos'!$B:$B,"Mediodia")</f>
        <v>0</v>
      </c>
      <c r="E210" s="47">
        <f>SUMIFS('Detalle Turnos'!$E:$E,'Detalle Turnos'!$A:$A,$A210,'Detalle Turnos'!$B:$B,"Noche")</f>
        <v>0</v>
      </c>
      <c r="F210" s="48">
        <f t="shared" si="19"/>
        <v>0</v>
      </c>
      <c r="G210" s="47">
        <f>IFERROR(IF(ISNUMBER(MATCH($A210,'Eventos y Previsión'!$B$4:$B$24,0)),INDEX('Eventos y Previsión'!$F$4:$F$24,MATCH($A210,'Eventos y Previsión'!$B$4:$B$24,0)),AVERAGEIFS('Facturación 2025'!$F$4:$F$303,'Facturación 2025'!$B$4:$B$303,$B210)),0)</f>
        <v>2049.8245999999995</v>
      </c>
      <c r="H210" s="53">
        <f t="shared" si="20"/>
        <v>-2049.8245999999995</v>
      </c>
      <c r="I210" s="49">
        <f t="shared" si="21"/>
        <v>-1</v>
      </c>
      <c r="J210" s="47">
        <f t="array" ref="J210">SUMPRODUCT(('Horarios Personal'!$A$5:$A$555=$A210)*IFERROR('Horarios Personal'!$L$5:$L$555*1,0))</f>
        <v>0</v>
      </c>
      <c r="K210" s="70" t="str">
        <f t="shared" si="22"/>
        <v/>
      </c>
      <c r="L210" s="58" t="str">
        <f t="array" ref="L210">IFERROR(INDEX('Eventos y Previsión'!$C$4:$C$24,SUMPRODUCT((LOWER('Eventos y Previsión'!$A$4:$A$24)=LOWER(TEXT($A210,"mmmm")))*(ISNUMBER(SEARCH(TEXT(DAY($A210),"00")&amp;"/"&amp;TEXT(MONTH($A210),"00"),'Eventos y Previsión'!$B$4:$B$24)))*ROW('Eventos y Previsión'!$A$4:$A$24))-ROW('Eventos y Previsión'!$A$3)),"")</f>
        <v/>
      </c>
    </row>
    <row r="211" spans="1:12" ht="15.75" customHeight="1">
      <c r="A211" s="62">
        <v>46327</v>
      </c>
      <c r="B211" s="46" t="str">
        <f t="shared" si="18"/>
        <v>dom</v>
      </c>
      <c r="C211" s="47">
        <f>SUMIFS('Detalle Turnos'!$E:$E,'Detalle Turnos'!$A:$A,$A211,'Detalle Turnos'!$B:$B,"Mañana")</f>
        <v>0</v>
      </c>
      <c r="D211" s="47">
        <f>SUMIFS('Detalle Turnos'!$E:$E,'Detalle Turnos'!$A:$A,$A211,'Detalle Turnos'!$B:$B,"Mediodia")</f>
        <v>0</v>
      </c>
      <c r="E211" s="47">
        <f>SUMIFS('Detalle Turnos'!$E:$E,'Detalle Turnos'!$A:$A,$A211,'Detalle Turnos'!$B:$B,"Noche")</f>
        <v>0</v>
      </c>
      <c r="F211" s="48">
        <f t="shared" si="19"/>
        <v>0</v>
      </c>
      <c r="G211" s="47">
        <f>IFERROR(IF(ISNUMBER(MATCH($A211,'Eventos y Previsión'!$B$4:$B$24,0)),INDEX('Eventos y Previsión'!$F$4:$F$24,MATCH($A211,'Eventos y Previsión'!$B$4:$B$24,0)),AVERAGEIFS('Facturación 2025'!$F$4:$F$303,'Facturación 2025'!$B$4:$B$303,$B211)),0)</f>
        <v>1690.062558139535</v>
      </c>
      <c r="H211" s="53">
        <f t="shared" si="20"/>
        <v>-1690.062558139535</v>
      </c>
      <c r="I211" s="49">
        <f t="shared" si="21"/>
        <v>-1</v>
      </c>
      <c r="J211" s="47">
        <f t="array" ref="J211">SUMPRODUCT(('Horarios Personal'!$A$5:$A$555=$A211)*IFERROR('Horarios Personal'!$L$5:$L$555*1,0))</f>
        <v>0</v>
      </c>
      <c r="K211" s="70" t="str">
        <f t="shared" si="22"/>
        <v/>
      </c>
      <c r="L211" s="58" t="str">
        <f t="array" ref="L211">IFERROR(INDEX('Eventos y Previsión'!$C$4:$C$24,SUMPRODUCT((LOWER('Eventos y Previsión'!$A$4:$A$24)=LOWER(TEXT($A211,"mmmm")))*(ISNUMBER(SEARCH(TEXT(DAY($A211),"00")&amp;"/"&amp;TEXT(MONTH($A211),"00"),'Eventos y Previsión'!$B$4:$B$24)))*ROW('Eventos y Previsión'!$A$4:$A$24))-ROW('Eventos y Previsión'!$A$3)),"")</f>
        <v/>
      </c>
    </row>
    <row r="212" spans="1:12" ht="15.75" customHeight="1">
      <c r="A212" s="62">
        <v>46330</v>
      </c>
      <c r="B212" s="46" t="str">
        <f t="shared" si="18"/>
        <v>mié</v>
      </c>
      <c r="C212" s="47">
        <f>SUMIFS('Detalle Turnos'!$E:$E,'Detalle Turnos'!$A:$A,$A212,'Detalle Turnos'!$B:$B,"Mañana")</f>
        <v>0</v>
      </c>
      <c r="D212" s="47">
        <f>SUMIFS('Detalle Turnos'!$E:$E,'Detalle Turnos'!$A:$A,$A212,'Detalle Turnos'!$B:$B,"Mediodia")</f>
        <v>0</v>
      </c>
      <c r="E212" s="47">
        <f>SUMIFS('Detalle Turnos'!$E:$E,'Detalle Turnos'!$A:$A,$A212,'Detalle Turnos'!$B:$B,"Noche")</f>
        <v>0</v>
      </c>
      <c r="F212" s="48">
        <f t="shared" si="19"/>
        <v>0</v>
      </c>
      <c r="G212" s="47">
        <f>IFERROR(IF(ISNUMBER(MATCH($A212,'Eventos y Previsión'!$B$4:$B$24,0)),INDEX('Eventos y Previsión'!$F$4:$F$24,MATCH($A212,'Eventos y Previsión'!$B$4:$B$24,0)),AVERAGEIFS('Facturación 2025'!$F$4:$F$303,'Facturación 2025'!$B$4:$B$303,$B212)),0)</f>
        <v>1039.9519512195122</v>
      </c>
      <c r="H212" s="53">
        <f t="shared" si="20"/>
        <v>-1039.9519512195122</v>
      </c>
      <c r="I212" s="49">
        <f t="shared" si="21"/>
        <v>-1</v>
      </c>
      <c r="J212" s="47">
        <f t="array" ref="J212">SUMPRODUCT(('Horarios Personal'!$A$5:$A$555=$A212)*IFERROR('Horarios Personal'!$L$5:$L$555*1,0))</f>
        <v>0</v>
      </c>
      <c r="K212" s="70" t="str">
        <f t="shared" si="22"/>
        <v/>
      </c>
      <c r="L212" s="58" t="str">
        <f t="array" ref="L212">IFERROR(INDEX('Eventos y Previsión'!$C$4:$C$24,SUMPRODUCT((LOWER('Eventos y Previsión'!$A$4:$A$24)=LOWER(TEXT($A212,"mmmm")))*(ISNUMBER(SEARCH(TEXT(DAY($A212),"00")&amp;"/"&amp;TEXT(MONTH($A212),"00"),'Eventos y Previsión'!$B$4:$B$24)))*ROW('Eventos y Previsión'!$A$4:$A$24))-ROW('Eventos y Previsión'!$A$3)),"")</f>
        <v/>
      </c>
    </row>
    <row r="213" spans="1:12" ht="15.75" customHeight="1">
      <c r="A213" s="62">
        <v>46331</v>
      </c>
      <c r="B213" s="46" t="str">
        <f t="shared" si="18"/>
        <v>jue</v>
      </c>
      <c r="C213" s="47">
        <f>SUMIFS('Detalle Turnos'!$E:$E,'Detalle Turnos'!$A:$A,$A213,'Detalle Turnos'!$B:$B,"Mañana")</f>
        <v>0</v>
      </c>
      <c r="D213" s="47">
        <f>SUMIFS('Detalle Turnos'!$E:$E,'Detalle Turnos'!$A:$A,$A213,'Detalle Turnos'!$B:$B,"Mediodia")</f>
        <v>0</v>
      </c>
      <c r="E213" s="47">
        <f>SUMIFS('Detalle Turnos'!$E:$E,'Detalle Turnos'!$A:$A,$A213,'Detalle Turnos'!$B:$B,"Noche")</f>
        <v>0</v>
      </c>
      <c r="F213" s="48">
        <f t="shared" si="19"/>
        <v>0</v>
      </c>
      <c r="G213" s="47">
        <f>IFERROR(IF(ISNUMBER(MATCH($A213,'Eventos y Previsión'!$B$4:$B$24,0)),INDEX('Eventos y Previsión'!$F$4:$F$24,MATCH($A213,'Eventos y Previsión'!$B$4:$B$24,0)),AVERAGEIFS('Facturación 2025'!$F$4:$F$303,'Facturación 2025'!$B$4:$B$303,$B213)),0)</f>
        <v>1100.2225000000003</v>
      </c>
      <c r="H213" s="53">
        <f t="shared" si="20"/>
        <v>-1100.2225000000003</v>
      </c>
      <c r="I213" s="49">
        <f t="shared" si="21"/>
        <v>-1</v>
      </c>
      <c r="J213" s="47">
        <f t="array" ref="J213">SUMPRODUCT(('Horarios Personal'!$A$5:$A$555=$A213)*IFERROR('Horarios Personal'!$L$5:$L$555*1,0))</f>
        <v>0</v>
      </c>
      <c r="K213" s="70" t="str">
        <f t="shared" si="22"/>
        <v/>
      </c>
      <c r="L213" s="58" t="str">
        <f t="array" ref="L213">IFERROR(INDEX('Eventos y Previsión'!$C$4:$C$24,SUMPRODUCT((LOWER('Eventos y Previsión'!$A$4:$A$24)=LOWER(TEXT($A213,"mmmm")))*(ISNUMBER(SEARCH(TEXT(DAY($A213),"00")&amp;"/"&amp;TEXT(MONTH($A213),"00"),'Eventos y Previsión'!$B$4:$B$24)))*ROW('Eventos y Previsión'!$A$4:$A$24))-ROW('Eventos y Previsión'!$A$3)),"")</f>
        <v/>
      </c>
    </row>
    <row r="214" spans="1:12" ht="15.75" customHeight="1">
      <c r="A214" s="62">
        <v>46332</v>
      </c>
      <c r="B214" s="46" t="str">
        <f t="shared" si="18"/>
        <v>vie</v>
      </c>
      <c r="C214" s="47">
        <f>SUMIFS('Detalle Turnos'!$E:$E,'Detalle Turnos'!$A:$A,$A214,'Detalle Turnos'!$B:$B,"Mañana")</f>
        <v>0</v>
      </c>
      <c r="D214" s="47">
        <f>SUMIFS('Detalle Turnos'!$E:$E,'Detalle Turnos'!$A:$A,$A214,'Detalle Turnos'!$B:$B,"Mediodia")</f>
        <v>0</v>
      </c>
      <c r="E214" s="47">
        <f>SUMIFS('Detalle Turnos'!$E:$E,'Detalle Turnos'!$A:$A,$A214,'Detalle Turnos'!$B:$B,"Noche")</f>
        <v>0</v>
      </c>
      <c r="F214" s="48">
        <f t="shared" si="19"/>
        <v>0</v>
      </c>
      <c r="G214" s="47">
        <f>IFERROR(IF(ISNUMBER(MATCH($A214,'Eventos y Previsión'!$B$4:$B$24,0)),INDEX('Eventos y Previsión'!$F$4:$F$24,MATCH($A214,'Eventos y Previsión'!$B$4:$B$24,0)),AVERAGEIFS('Facturación 2025'!$F$4:$F$303,'Facturación 2025'!$B$4:$B$303,$B214)),0)</f>
        <v>1865.4067441860466</v>
      </c>
      <c r="H214" s="53">
        <f t="shared" si="20"/>
        <v>-1865.4067441860466</v>
      </c>
      <c r="I214" s="49">
        <f t="shared" si="21"/>
        <v>-1</v>
      </c>
      <c r="J214" s="47">
        <f t="array" ref="J214">SUMPRODUCT(('Horarios Personal'!$A$5:$A$555=$A214)*IFERROR('Horarios Personal'!$L$5:$L$555*1,0))</f>
        <v>0</v>
      </c>
      <c r="K214" s="70" t="str">
        <f t="shared" si="22"/>
        <v/>
      </c>
      <c r="L214" s="58" t="str">
        <f t="array" ref="L214">IFERROR(INDEX('Eventos y Previsión'!$C$4:$C$24,SUMPRODUCT((LOWER('Eventos y Previsión'!$A$4:$A$24)=LOWER(TEXT($A214,"mmmm")))*(ISNUMBER(SEARCH(TEXT(DAY($A214),"00")&amp;"/"&amp;TEXT(MONTH($A214),"00"),'Eventos y Previsión'!$B$4:$B$24)))*ROW('Eventos y Previsión'!$A$4:$A$24))-ROW('Eventos y Previsión'!$A$3)),"")</f>
        <v/>
      </c>
    </row>
    <row r="215" spans="1:12" ht="15.75" customHeight="1">
      <c r="A215" s="62">
        <v>46333</v>
      </c>
      <c r="B215" s="46" t="str">
        <f t="shared" si="18"/>
        <v>sáb</v>
      </c>
      <c r="C215" s="47">
        <f>SUMIFS('Detalle Turnos'!$E:$E,'Detalle Turnos'!$A:$A,$A215,'Detalle Turnos'!$B:$B,"Mañana")</f>
        <v>0</v>
      </c>
      <c r="D215" s="47">
        <f>SUMIFS('Detalle Turnos'!$E:$E,'Detalle Turnos'!$A:$A,$A215,'Detalle Turnos'!$B:$B,"Mediodia")</f>
        <v>0</v>
      </c>
      <c r="E215" s="47">
        <f>SUMIFS('Detalle Turnos'!$E:$E,'Detalle Turnos'!$A:$A,$A215,'Detalle Turnos'!$B:$B,"Noche")</f>
        <v>0</v>
      </c>
      <c r="F215" s="48">
        <f t="shared" si="19"/>
        <v>0</v>
      </c>
      <c r="G215" s="47">
        <f>IFERROR(IF(ISNUMBER(MATCH($A215,'Eventos y Previsión'!$B$4:$B$24,0)),INDEX('Eventos y Previsión'!$F$4:$F$24,MATCH($A215,'Eventos y Previsión'!$B$4:$B$24,0)),AVERAGEIFS('Facturación 2025'!$F$4:$F$303,'Facturación 2025'!$B$4:$B$303,$B215)),0)</f>
        <v>2049.8245999999995</v>
      </c>
      <c r="H215" s="53">
        <f t="shared" si="20"/>
        <v>-2049.8245999999995</v>
      </c>
      <c r="I215" s="49">
        <f t="shared" si="21"/>
        <v>-1</v>
      </c>
      <c r="J215" s="47">
        <f t="array" ref="J215">SUMPRODUCT(('Horarios Personal'!$A$5:$A$555=$A215)*IFERROR('Horarios Personal'!$L$5:$L$555*1,0))</f>
        <v>0</v>
      </c>
      <c r="K215" s="70" t="str">
        <f t="shared" si="22"/>
        <v/>
      </c>
      <c r="L215" s="58" t="str">
        <f t="array" ref="L215">IFERROR(INDEX('Eventos y Previsión'!$C$4:$C$24,SUMPRODUCT((LOWER('Eventos y Previsión'!$A$4:$A$24)=LOWER(TEXT($A215,"mmmm")))*(ISNUMBER(SEARCH(TEXT(DAY($A215),"00")&amp;"/"&amp;TEXT(MONTH($A215),"00"),'Eventos y Previsión'!$B$4:$B$24)))*ROW('Eventos y Previsión'!$A$4:$A$24))-ROW('Eventos y Previsión'!$A$3)),"")</f>
        <v/>
      </c>
    </row>
    <row r="216" spans="1:12" ht="15.75" customHeight="1">
      <c r="A216" s="62">
        <v>46334</v>
      </c>
      <c r="B216" s="46" t="str">
        <f t="shared" si="18"/>
        <v>dom</v>
      </c>
      <c r="C216" s="47">
        <f>SUMIFS('Detalle Turnos'!$E:$E,'Detalle Turnos'!$A:$A,$A216,'Detalle Turnos'!$B:$B,"Mañana")</f>
        <v>0</v>
      </c>
      <c r="D216" s="47">
        <f>SUMIFS('Detalle Turnos'!$E:$E,'Detalle Turnos'!$A:$A,$A216,'Detalle Turnos'!$B:$B,"Mediodia")</f>
        <v>0</v>
      </c>
      <c r="E216" s="47">
        <f>SUMIFS('Detalle Turnos'!$E:$E,'Detalle Turnos'!$A:$A,$A216,'Detalle Turnos'!$B:$B,"Noche")</f>
        <v>0</v>
      </c>
      <c r="F216" s="48">
        <f t="shared" si="19"/>
        <v>0</v>
      </c>
      <c r="G216" s="47">
        <f>IFERROR(IF(ISNUMBER(MATCH($A216,'Eventos y Previsión'!$B$4:$B$24,0)),INDEX('Eventos y Previsión'!$F$4:$F$24,MATCH($A216,'Eventos y Previsión'!$B$4:$B$24,0)),AVERAGEIFS('Facturación 2025'!$F$4:$F$303,'Facturación 2025'!$B$4:$B$303,$B216)),0)</f>
        <v>1690.062558139535</v>
      </c>
      <c r="H216" s="53">
        <f t="shared" si="20"/>
        <v>-1690.062558139535</v>
      </c>
      <c r="I216" s="49">
        <f t="shared" si="21"/>
        <v>-1</v>
      </c>
      <c r="J216" s="47">
        <f t="array" ref="J216">SUMPRODUCT(('Horarios Personal'!$A$5:$A$555=$A216)*IFERROR('Horarios Personal'!$L$5:$L$555*1,0))</f>
        <v>0</v>
      </c>
      <c r="K216" s="70" t="str">
        <f t="shared" si="22"/>
        <v/>
      </c>
      <c r="L216" s="58" t="str">
        <f t="array" ref="L216">IFERROR(INDEX('Eventos y Previsión'!$C$4:$C$24,SUMPRODUCT((LOWER('Eventos y Previsión'!$A$4:$A$24)=LOWER(TEXT($A216,"mmmm")))*(ISNUMBER(SEARCH(TEXT(DAY($A216),"00")&amp;"/"&amp;TEXT(MONTH($A216),"00"),'Eventos y Previsión'!$B$4:$B$24)))*ROW('Eventos y Previsión'!$A$4:$A$24))-ROW('Eventos y Previsión'!$A$3)),"")</f>
        <v/>
      </c>
    </row>
    <row r="217" spans="1:12" ht="15.75" customHeight="1">
      <c r="A217" s="62">
        <v>46337</v>
      </c>
      <c r="B217" s="46" t="str">
        <f t="shared" si="18"/>
        <v>mié</v>
      </c>
      <c r="C217" s="47">
        <f>SUMIFS('Detalle Turnos'!$E:$E,'Detalle Turnos'!$A:$A,$A217,'Detalle Turnos'!$B:$B,"Mañana")</f>
        <v>0</v>
      </c>
      <c r="D217" s="47">
        <f>SUMIFS('Detalle Turnos'!$E:$E,'Detalle Turnos'!$A:$A,$A217,'Detalle Turnos'!$B:$B,"Mediodia")</f>
        <v>0</v>
      </c>
      <c r="E217" s="47">
        <f>SUMIFS('Detalle Turnos'!$E:$E,'Detalle Turnos'!$A:$A,$A217,'Detalle Turnos'!$B:$B,"Noche")</f>
        <v>0</v>
      </c>
      <c r="F217" s="48">
        <f t="shared" si="19"/>
        <v>0</v>
      </c>
      <c r="G217" s="47">
        <f>IFERROR(IF(ISNUMBER(MATCH($A217,'Eventos y Previsión'!$B$4:$B$24,0)),INDEX('Eventos y Previsión'!$F$4:$F$24,MATCH($A217,'Eventos y Previsión'!$B$4:$B$24,0)),AVERAGEIFS('Facturación 2025'!$F$4:$F$303,'Facturación 2025'!$B$4:$B$303,$B217)),0)</f>
        <v>1039.9519512195122</v>
      </c>
      <c r="H217" s="53">
        <f t="shared" si="20"/>
        <v>-1039.9519512195122</v>
      </c>
      <c r="I217" s="49">
        <f t="shared" si="21"/>
        <v>-1</v>
      </c>
      <c r="J217" s="47">
        <f t="array" ref="J217">SUMPRODUCT(('Horarios Personal'!$A$5:$A$555=$A217)*IFERROR('Horarios Personal'!$L$5:$L$555*1,0))</f>
        <v>0</v>
      </c>
      <c r="K217" s="70" t="str">
        <f t="shared" si="22"/>
        <v/>
      </c>
      <c r="L217" s="58" t="str">
        <f t="array" ref="L217">IFERROR(INDEX('Eventos y Previsión'!$C$4:$C$24,SUMPRODUCT((LOWER('Eventos y Previsión'!$A$4:$A$24)=LOWER(TEXT($A217,"mmmm")))*(ISNUMBER(SEARCH(TEXT(DAY($A217),"00")&amp;"/"&amp;TEXT(MONTH($A217),"00"),'Eventos y Previsión'!$B$4:$B$24)))*ROW('Eventos y Previsión'!$A$4:$A$24))-ROW('Eventos y Previsión'!$A$3)),"")</f>
        <v/>
      </c>
    </row>
    <row r="218" spans="1:12" ht="15.75" customHeight="1">
      <c r="A218" s="62">
        <v>46338</v>
      </c>
      <c r="B218" s="46" t="str">
        <f t="shared" si="18"/>
        <v>jue</v>
      </c>
      <c r="C218" s="47">
        <f>SUMIFS('Detalle Turnos'!$E:$E,'Detalle Turnos'!$A:$A,$A218,'Detalle Turnos'!$B:$B,"Mañana")</f>
        <v>0</v>
      </c>
      <c r="D218" s="47">
        <f>SUMIFS('Detalle Turnos'!$E:$E,'Detalle Turnos'!$A:$A,$A218,'Detalle Turnos'!$B:$B,"Mediodia")</f>
        <v>0</v>
      </c>
      <c r="E218" s="47">
        <f>SUMIFS('Detalle Turnos'!$E:$E,'Detalle Turnos'!$A:$A,$A218,'Detalle Turnos'!$B:$B,"Noche")</f>
        <v>0</v>
      </c>
      <c r="F218" s="48">
        <f t="shared" si="19"/>
        <v>0</v>
      </c>
      <c r="G218" s="47">
        <f>IFERROR(IF(ISNUMBER(MATCH($A218,'Eventos y Previsión'!$B$4:$B$24,0)),INDEX('Eventos y Previsión'!$F$4:$F$24,MATCH($A218,'Eventos y Previsión'!$B$4:$B$24,0)),AVERAGEIFS('Facturación 2025'!$F$4:$F$303,'Facturación 2025'!$B$4:$B$303,$B218)),0)</f>
        <v>1100.2225000000003</v>
      </c>
      <c r="H218" s="53">
        <f t="shared" si="20"/>
        <v>-1100.2225000000003</v>
      </c>
      <c r="I218" s="49">
        <f t="shared" si="21"/>
        <v>-1</v>
      </c>
      <c r="J218" s="47">
        <f t="array" ref="J218">SUMPRODUCT(('Horarios Personal'!$A$5:$A$555=$A218)*IFERROR('Horarios Personal'!$L$5:$L$555*1,0))</f>
        <v>0</v>
      </c>
      <c r="K218" s="70" t="str">
        <f t="shared" si="22"/>
        <v/>
      </c>
      <c r="L218" s="58" t="str">
        <f t="array" ref="L218">IFERROR(INDEX('Eventos y Previsión'!$C$4:$C$24,SUMPRODUCT((LOWER('Eventos y Previsión'!$A$4:$A$24)=LOWER(TEXT($A218,"mmmm")))*(ISNUMBER(SEARCH(TEXT(DAY($A218),"00")&amp;"/"&amp;TEXT(MONTH($A218),"00"),'Eventos y Previsión'!$B$4:$B$24)))*ROW('Eventos y Previsión'!$A$4:$A$24))-ROW('Eventos y Previsión'!$A$3)),"")</f>
        <v/>
      </c>
    </row>
    <row r="219" spans="1:12" ht="15.75" customHeight="1">
      <c r="A219" s="62">
        <v>46339</v>
      </c>
      <c r="B219" s="46" t="str">
        <f t="shared" si="18"/>
        <v>vie</v>
      </c>
      <c r="C219" s="47">
        <f>SUMIFS('Detalle Turnos'!$E:$E,'Detalle Turnos'!$A:$A,$A219,'Detalle Turnos'!$B:$B,"Mañana")</f>
        <v>0</v>
      </c>
      <c r="D219" s="47">
        <f>SUMIFS('Detalle Turnos'!$E:$E,'Detalle Turnos'!$A:$A,$A219,'Detalle Turnos'!$B:$B,"Mediodia")</f>
        <v>0</v>
      </c>
      <c r="E219" s="47">
        <f>SUMIFS('Detalle Turnos'!$E:$E,'Detalle Turnos'!$A:$A,$A219,'Detalle Turnos'!$B:$B,"Noche")</f>
        <v>0</v>
      </c>
      <c r="F219" s="48">
        <f t="shared" si="19"/>
        <v>0</v>
      </c>
      <c r="G219" s="47">
        <f>IFERROR(IF(ISNUMBER(MATCH($A219,'Eventos y Previsión'!$B$4:$B$24,0)),INDEX('Eventos y Previsión'!$F$4:$F$24,MATCH($A219,'Eventos y Previsión'!$B$4:$B$24,0)),AVERAGEIFS('Facturación 2025'!$F$4:$F$303,'Facturación 2025'!$B$4:$B$303,$B219)),0)</f>
        <v>1865.4067441860466</v>
      </c>
      <c r="H219" s="53">
        <f t="shared" si="20"/>
        <v>-1865.4067441860466</v>
      </c>
      <c r="I219" s="49">
        <f t="shared" si="21"/>
        <v>-1</v>
      </c>
      <c r="J219" s="47">
        <f t="array" ref="J219">SUMPRODUCT(('Horarios Personal'!$A$5:$A$555=$A219)*IFERROR('Horarios Personal'!$L$5:$L$555*1,0))</f>
        <v>0</v>
      </c>
      <c r="K219" s="70" t="str">
        <f t="shared" si="22"/>
        <v/>
      </c>
      <c r="L219" s="58" t="str">
        <f t="array" ref="L219">IFERROR(INDEX('Eventos y Previsión'!$C$4:$C$24,SUMPRODUCT((LOWER('Eventos y Previsión'!$A$4:$A$24)=LOWER(TEXT($A219,"mmmm")))*(ISNUMBER(SEARCH(TEXT(DAY($A219),"00")&amp;"/"&amp;TEXT(MONTH($A219),"00"),'Eventos y Previsión'!$B$4:$B$24)))*ROW('Eventos y Previsión'!$A$4:$A$24))-ROW('Eventos y Previsión'!$A$3)),"")</f>
        <v/>
      </c>
    </row>
    <row r="220" spans="1:12" ht="15.75" customHeight="1">
      <c r="A220" s="62">
        <v>46340</v>
      </c>
      <c r="B220" s="46" t="str">
        <f t="shared" si="18"/>
        <v>sáb</v>
      </c>
      <c r="C220" s="47">
        <f>SUMIFS('Detalle Turnos'!$E:$E,'Detalle Turnos'!$A:$A,$A220,'Detalle Turnos'!$B:$B,"Mañana")</f>
        <v>0</v>
      </c>
      <c r="D220" s="47">
        <f>SUMIFS('Detalle Turnos'!$E:$E,'Detalle Turnos'!$A:$A,$A220,'Detalle Turnos'!$B:$B,"Mediodia")</f>
        <v>0</v>
      </c>
      <c r="E220" s="47">
        <f>SUMIFS('Detalle Turnos'!$E:$E,'Detalle Turnos'!$A:$A,$A220,'Detalle Turnos'!$B:$B,"Noche")</f>
        <v>0</v>
      </c>
      <c r="F220" s="48">
        <f t="shared" si="19"/>
        <v>0</v>
      </c>
      <c r="G220" s="47">
        <f>IFERROR(IF(ISNUMBER(MATCH($A220,'Eventos y Previsión'!$B$4:$B$24,0)),INDEX('Eventos y Previsión'!$F$4:$F$24,MATCH($A220,'Eventos y Previsión'!$B$4:$B$24,0)),AVERAGEIFS('Facturación 2025'!$F$4:$F$303,'Facturación 2025'!$B$4:$B$303,$B220)),0)</f>
        <v>2049.8245999999995</v>
      </c>
      <c r="H220" s="53">
        <f t="shared" si="20"/>
        <v>-2049.8245999999995</v>
      </c>
      <c r="I220" s="49">
        <f t="shared" si="21"/>
        <v>-1</v>
      </c>
      <c r="J220" s="47">
        <f t="array" ref="J220">SUMPRODUCT(('Horarios Personal'!$A$5:$A$555=$A220)*IFERROR('Horarios Personal'!$L$5:$L$555*1,0))</f>
        <v>0</v>
      </c>
      <c r="K220" s="70" t="str">
        <f t="shared" si="22"/>
        <v/>
      </c>
      <c r="L220" s="58" t="str">
        <f t="array" ref="L220">IFERROR(INDEX('Eventos y Previsión'!$C$4:$C$24,SUMPRODUCT((LOWER('Eventos y Previsión'!$A$4:$A$24)=LOWER(TEXT($A220,"mmmm")))*(ISNUMBER(SEARCH(TEXT(DAY($A220),"00")&amp;"/"&amp;TEXT(MONTH($A220),"00"),'Eventos y Previsión'!$B$4:$B$24)))*ROW('Eventos y Previsión'!$A$4:$A$24))-ROW('Eventos y Previsión'!$A$3)),"")</f>
        <v/>
      </c>
    </row>
    <row r="221" spans="1:12" ht="15.75" customHeight="1">
      <c r="A221" s="62">
        <v>46341</v>
      </c>
      <c r="B221" s="46" t="str">
        <f t="shared" si="18"/>
        <v>dom</v>
      </c>
      <c r="C221" s="47">
        <f>SUMIFS('Detalle Turnos'!$E:$E,'Detalle Turnos'!$A:$A,$A221,'Detalle Turnos'!$B:$B,"Mañana")</f>
        <v>0</v>
      </c>
      <c r="D221" s="47">
        <f>SUMIFS('Detalle Turnos'!$E:$E,'Detalle Turnos'!$A:$A,$A221,'Detalle Turnos'!$B:$B,"Mediodia")</f>
        <v>0</v>
      </c>
      <c r="E221" s="47">
        <f>SUMIFS('Detalle Turnos'!$E:$E,'Detalle Turnos'!$A:$A,$A221,'Detalle Turnos'!$B:$B,"Noche")</f>
        <v>0</v>
      </c>
      <c r="F221" s="48">
        <f t="shared" si="19"/>
        <v>0</v>
      </c>
      <c r="G221" s="47">
        <f>IFERROR(IF(ISNUMBER(MATCH($A221,'Eventos y Previsión'!$B$4:$B$24,0)),INDEX('Eventos y Previsión'!$F$4:$F$24,MATCH($A221,'Eventos y Previsión'!$B$4:$B$24,0)),AVERAGEIFS('Facturación 2025'!$F$4:$F$303,'Facturación 2025'!$B$4:$B$303,$B221)),0)</f>
        <v>1690.062558139535</v>
      </c>
      <c r="H221" s="53">
        <f t="shared" si="20"/>
        <v>-1690.062558139535</v>
      </c>
      <c r="I221" s="49">
        <f t="shared" si="21"/>
        <v>-1</v>
      </c>
      <c r="J221" s="47">
        <f t="array" ref="J221">SUMPRODUCT(('Horarios Personal'!$A$5:$A$555=$A221)*IFERROR('Horarios Personal'!$L$5:$L$555*1,0))</f>
        <v>0</v>
      </c>
      <c r="K221" s="70" t="str">
        <f t="shared" si="22"/>
        <v/>
      </c>
      <c r="L221" s="58" t="str">
        <f t="array" ref="L221">IFERROR(INDEX('Eventos y Previsión'!$C$4:$C$24,SUMPRODUCT((LOWER('Eventos y Previsión'!$A$4:$A$24)=LOWER(TEXT($A221,"mmmm")))*(ISNUMBER(SEARCH(TEXT(DAY($A221),"00")&amp;"/"&amp;TEXT(MONTH($A221),"00"),'Eventos y Previsión'!$B$4:$B$24)))*ROW('Eventos y Previsión'!$A$4:$A$24))-ROW('Eventos y Previsión'!$A$3)),"")</f>
        <v/>
      </c>
    </row>
    <row r="222" spans="1:12" ht="15.75" customHeight="1">
      <c r="A222" s="62">
        <v>46344</v>
      </c>
      <c r="B222" s="46" t="str">
        <f t="shared" si="18"/>
        <v>mié</v>
      </c>
      <c r="C222" s="47">
        <f>SUMIFS('Detalle Turnos'!$E:$E,'Detalle Turnos'!$A:$A,$A222,'Detalle Turnos'!$B:$B,"Mañana")</f>
        <v>0</v>
      </c>
      <c r="D222" s="47">
        <f>SUMIFS('Detalle Turnos'!$E:$E,'Detalle Turnos'!$A:$A,$A222,'Detalle Turnos'!$B:$B,"Mediodia")</f>
        <v>0</v>
      </c>
      <c r="E222" s="47">
        <f>SUMIFS('Detalle Turnos'!$E:$E,'Detalle Turnos'!$A:$A,$A222,'Detalle Turnos'!$B:$B,"Noche")</f>
        <v>0</v>
      </c>
      <c r="F222" s="48">
        <f t="shared" si="19"/>
        <v>0</v>
      </c>
      <c r="G222" s="47">
        <f>IFERROR(IF(ISNUMBER(MATCH($A222,'Eventos y Previsión'!$B$4:$B$24,0)),INDEX('Eventos y Previsión'!$F$4:$F$24,MATCH($A222,'Eventos y Previsión'!$B$4:$B$24,0)),AVERAGEIFS('Facturación 2025'!$F$4:$F$303,'Facturación 2025'!$B$4:$B$303,$B222)),0)</f>
        <v>1039.9519512195122</v>
      </c>
      <c r="H222" s="53">
        <f t="shared" si="20"/>
        <v>-1039.9519512195122</v>
      </c>
      <c r="I222" s="49">
        <f t="shared" si="21"/>
        <v>-1</v>
      </c>
      <c r="J222" s="47">
        <f t="array" ref="J222">SUMPRODUCT(('Horarios Personal'!$A$5:$A$555=$A222)*IFERROR('Horarios Personal'!$L$5:$L$555*1,0))</f>
        <v>0</v>
      </c>
      <c r="K222" s="70" t="str">
        <f t="shared" si="22"/>
        <v/>
      </c>
      <c r="L222" s="58" t="str">
        <f t="array" ref="L222">IFERROR(INDEX('Eventos y Previsión'!$C$4:$C$24,SUMPRODUCT((LOWER('Eventos y Previsión'!$A$4:$A$24)=LOWER(TEXT($A222,"mmmm")))*(ISNUMBER(SEARCH(TEXT(DAY($A222),"00")&amp;"/"&amp;TEXT(MONTH($A222),"00"),'Eventos y Previsión'!$B$4:$B$24)))*ROW('Eventos y Previsión'!$A$4:$A$24))-ROW('Eventos y Previsión'!$A$3)),"")</f>
        <v/>
      </c>
    </row>
    <row r="223" spans="1:12" ht="15.75" customHeight="1">
      <c r="A223" s="62">
        <v>46345</v>
      </c>
      <c r="B223" s="46" t="str">
        <f t="shared" si="18"/>
        <v>jue</v>
      </c>
      <c r="C223" s="47">
        <f>SUMIFS('Detalle Turnos'!$E:$E,'Detalle Turnos'!$A:$A,$A223,'Detalle Turnos'!$B:$B,"Mañana")</f>
        <v>0</v>
      </c>
      <c r="D223" s="47">
        <f>SUMIFS('Detalle Turnos'!$E:$E,'Detalle Turnos'!$A:$A,$A223,'Detalle Turnos'!$B:$B,"Mediodia")</f>
        <v>0</v>
      </c>
      <c r="E223" s="47">
        <f>SUMIFS('Detalle Turnos'!$E:$E,'Detalle Turnos'!$A:$A,$A223,'Detalle Turnos'!$B:$B,"Noche")</f>
        <v>0</v>
      </c>
      <c r="F223" s="48">
        <f t="shared" si="19"/>
        <v>0</v>
      </c>
      <c r="G223" s="47">
        <f>IFERROR(IF(ISNUMBER(MATCH($A223,'Eventos y Previsión'!$B$4:$B$24,0)),INDEX('Eventos y Previsión'!$F$4:$F$24,MATCH($A223,'Eventos y Previsión'!$B$4:$B$24,0)),AVERAGEIFS('Facturación 2025'!$F$4:$F$303,'Facturación 2025'!$B$4:$B$303,$B223)),0)</f>
        <v>1100.2225000000003</v>
      </c>
      <c r="H223" s="53">
        <f t="shared" si="20"/>
        <v>-1100.2225000000003</v>
      </c>
      <c r="I223" s="49">
        <f t="shared" si="21"/>
        <v>-1</v>
      </c>
      <c r="J223" s="47">
        <f t="array" ref="J223">SUMPRODUCT(('Horarios Personal'!$A$5:$A$555=$A223)*IFERROR('Horarios Personal'!$L$5:$L$555*1,0))</f>
        <v>0</v>
      </c>
      <c r="K223" s="70" t="str">
        <f t="shared" si="22"/>
        <v/>
      </c>
      <c r="L223" s="58" t="str">
        <f t="array" ref="L223">IFERROR(INDEX('Eventos y Previsión'!$C$4:$C$24,SUMPRODUCT((LOWER('Eventos y Previsión'!$A$4:$A$24)=LOWER(TEXT($A223,"mmmm")))*(ISNUMBER(SEARCH(TEXT(DAY($A223),"00")&amp;"/"&amp;TEXT(MONTH($A223),"00"),'Eventos y Previsión'!$B$4:$B$24)))*ROW('Eventos y Previsión'!$A$4:$A$24))-ROW('Eventos y Previsión'!$A$3)),"")</f>
        <v/>
      </c>
    </row>
    <row r="224" spans="1:12" ht="15.75" customHeight="1">
      <c r="A224" s="62">
        <v>46346</v>
      </c>
      <c r="B224" s="46" t="str">
        <f t="shared" si="18"/>
        <v>vie</v>
      </c>
      <c r="C224" s="47">
        <f>SUMIFS('Detalle Turnos'!$E:$E,'Detalle Turnos'!$A:$A,$A224,'Detalle Turnos'!$B:$B,"Mañana")</f>
        <v>0</v>
      </c>
      <c r="D224" s="47">
        <f>SUMIFS('Detalle Turnos'!$E:$E,'Detalle Turnos'!$A:$A,$A224,'Detalle Turnos'!$B:$B,"Mediodia")</f>
        <v>0</v>
      </c>
      <c r="E224" s="47">
        <f>SUMIFS('Detalle Turnos'!$E:$E,'Detalle Turnos'!$A:$A,$A224,'Detalle Turnos'!$B:$B,"Noche")</f>
        <v>0</v>
      </c>
      <c r="F224" s="48">
        <f t="shared" si="19"/>
        <v>0</v>
      </c>
      <c r="G224" s="47">
        <f>IFERROR(IF(ISNUMBER(MATCH($A224,'Eventos y Previsión'!$B$4:$B$24,0)),INDEX('Eventos y Previsión'!$F$4:$F$24,MATCH($A224,'Eventos y Previsión'!$B$4:$B$24,0)),AVERAGEIFS('Facturación 2025'!$F$4:$F$303,'Facturación 2025'!$B$4:$B$303,$B224)),0)</f>
        <v>1865.4067441860466</v>
      </c>
      <c r="H224" s="53">
        <f t="shared" si="20"/>
        <v>-1865.4067441860466</v>
      </c>
      <c r="I224" s="49">
        <f t="shared" si="21"/>
        <v>-1</v>
      </c>
      <c r="J224" s="47">
        <f t="array" ref="J224">SUMPRODUCT(('Horarios Personal'!$A$5:$A$555=$A224)*IFERROR('Horarios Personal'!$L$5:$L$555*1,0))</f>
        <v>0</v>
      </c>
      <c r="K224" s="70" t="str">
        <f t="shared" si="22"/>
        <v/>
      </c>
      <c r="L224" s="58" t="str">
        <f t="array" ref="L224">IFERROR(INDEX('Eventos y Previsión'!$C$4:$C$24,SUMPRODUCT((LOWER('Eventos y Previsión'!$A$4:$A$24)=LOWER(TEXT($A224,"mmmm")))*(ISNUMBER(SEARCH(TEXT(DAY($A224),"00")&amp;"/"&amp;TEXT(MONTH($A224),"00"),'Eventos y Previsión'!$B$4:$B$24)))*ROW('Eventos y Previsión'!$A$4:$A$24))-ROW('Eventos y Previsión'!$A$3)),"")</f>
        <v/>
      </c>
    </row>
    <row r="225" spans="1:12" ht="15.75" customHeight="1">
      <c r="A225" s="62">
        <v>46347</v>
      </c>
      <c r="B225" s="46" t="str">
        <f t="shared" si="18"/>
        <v>sáb</v>
      </c>
      <c r="C225" s="47">
        <f>SUMIFS('Detalle Turnos'!$E:$E,'Detalle Turnos'!$A:$A,$A225,'Detalle Turnos'!$B:$B,"Mañana")</f>
        <v>0</v>
      </c>
      <c r="D225" s="47">
        <f>SUMIFS('Detalle Turnos'!$E:$E,'Detalle Turnos'!$A:$A,$A225,'Detalle Turnos'!$B:$B,"Mediodia")</f>
        <v>0</v>
      </c>
      <c r="E225" s="47">
        <f>SUMIFS('Detalle Turnos'!$E:$E,'Detalle Turnos'!$A:$A,$A225,'Detalle Turnos'!$B:$B,"Noche")</f>
        <v>0</v>
      </c>
      <c r="F225" s="48">
        <f t="shared" si="19"/>
        <v>0</v>
      </c>
      <c r="G225" s="47">
        <f>IFERROR(IF(ISNUMBER(MATCH($A225,'Eventos y Previsión'!$B$4:$B$24,0)),INDEX('Eventos y Previsión'!$F$4:$F$24,MATCH($A225,'Eventos y Previsión'!$B$4:$B$24,0)),AVERAGEIFS('Facturación 2025'!$F$4:$F$303,'Facturación 2025'!$B$4:$B$303,$B225)),0)</f>
        <v>2049.8245999999995</v>
      </c>
      <c r="H225" s="53">
        <f t="shared" si="20"/>
        <v>-2049.8245999999995</v>
      </c>
      <c r="I225" s="49">
        <f t="shared" si="21"/>
        <v>-1</v>
      </c>
      <c r="J225" s="47">
        <f t="array" ref="J225">SUMPRODUCT(('Horarios Personal'!$A$5:$A$555=$A225)*IFERROR('Horarios Personal'!$L$5:$L$555*1,0))</f>
        <v>0</v>
      </c>
      <c r="K225" s="70" t="str">
        <f t="shared" si="22"/>
        <v/>
      </c>
      <c r="L225" s="58" t="str">
        <f t="array" ref="L225">IFERROR(INDEX('Eventos y Previsión'!$C$4:$C$24,SUMPRODUCT((LOWER('Eventos y Previsión'!$A$4:$A$24)=LOWER(TEXT($A225,"mmmm")))*(ISNUMBER(SEARCH(TEXT(DAY($A225),"00")&amp;"/"&amp;TEXT(MONTH($A225),"00"),'Eventos y Previsión'!$B$4:$B$24)))*ROW('Eventos y Previsión'!$A$4:$A$24))-ROW('Eventos y Previsión'!$A$3)),"")</f>
        <v/>
      </c>
    </row>
    <row r="226" spans="1:12" ht="15.75" customHeight="1">
      <c r="A226" s="62">
        <v>46348</v>
      </c>
      <c r="B226" s="46" t="str">
        <f t="shared" si="18"/>
        <v>dom</v>
      </c>
      <c r="C226" s="47">
        <f>SUMIFS('Detalle Turnos'!$E:$E,'Detalle Turnos'!$A:$A,$A226,'Detalle Turnos'!$B:$B,"Mañana")</f>
        <v>0</v>
      </c>
      <c r="D226" s="47">
        <f>SUMIFS('Detalle Turnos'!$E:$E,'Detalle Turnos'!$A:$A,$A226,'Detalle Turnos'!$B:$B,"Mediodia")</f>
        <v>0</v>
      </c>
      <c r="E226" s="47">
        <f>SUMIFS('Detalle Turnos'!$E:$E,'Detalle Turnos'!$A:$A,$A226,'Detalle Turnos'!$B:$B,"Noche")</f>
        <v>0</v>
      </c>
      <c r="F226" s="48">
        <f t="shared" si="19"/>
        <v>0</v>
      </c>
      <c r="G226" s="47">
        <f>IFERROR(IF(ISNUMBER(MATCH($A226,'Eventos y Previsión'!$B$4:$B$24,0)),INDEX('Eventos y Previsión'!$F$4:$F$24,MATCH($A226,'Eventos y Previsión'!$B$4:$B$24,0)),AVERAGEIFS('Facturación 2025'!$F$4:$F$303,'Facturación 2025'!$B$4:$B$303,$B226)),0)</f>
        <v>1690.062558139535</v>
      </c>
      <c r="H226" s="53">
        <f t="shared" si="20"/>
        <v>-1690.062558139535</v>
      </c>
      <c r="I226" s="49">
        <f t="shared" si="21"/>
        <v>-1</v>
      </c>
      <c r="J226" s="47">
        <f t="array" ref="J226">SUMPRODUCT(('Horarios Personal'!$A$5:$A$555=$A226)*IFERROR('Horarios Personal'!$L$5:$L$555*1,0))</f>
        <v>0</v>
      </c>
      <c r="K226" s="70" t="str">
        <f t="shared" si="22"/>
        <v/>
      </c>
      <c r="L226" s="58" t="str">
        <f t="array" ref="L226">IFERROR(INDEX('Eventos y Previsión'!$C$4:$C$24,SUMPRODUCT((LOWER('Eventos y Previsión'!$A$4:$A$24)=LOWER(TEXT($A226,"mmmm")))*(ISNUMBER(SEARCH(TEXT(DAY($A226),"00")&amp;"/"&amp;TEXT(MONTH($A226),"00"),'Eventos y Previsión'!$B$4:$B$24)))*ROW('Eventos y Previsión'!$A$4:$A$24))-ROW('Eventos y Previsión'!$A$3)),"")</f>
        <v/>
      </c>
    </row>
    <row r="227" spans="1:12" ht="15.75" customHeight="1">
      <c r="A227" s="62">
        <v>46351</v>
      </c>
      <c r="B227" s="46" t="str">
        <f t="shared" si="18"/>
        <v>mié</v>
      </c>
      <c r="C227" s="47">
        <f>SUMIFS('Detalle Turnos'!$E:$E,'Detalle Turnos'!$A:$A,$A227,'Detalle Turnos'!$B:$B,"Mañana")</f>
        <v>0</v>
      </c>
      <c r="D227" s="47">
        <f>SUMIFS('Detalle Turnos'!$E:$E,'Detalle Turnos'!$A:$A,$A227,'Detalle Turnos'!$B:$B,"Mediodia")</f>
        <v>0</v>
      </c>
      <c r="E227" s="47">
        <f>SUMIFS('Detalle Turnos'!$E:$E,'Detalle Turnos'!$A:$A,$A227,'Detalle Turnos'!$B:$B,"Noche")</f>
        <v>0</v>
      </c>
      <c r="F227" s="48">
        <f t="shared" si="19"/>
        <v>0</v>
      </c>
      <c r="G227" s="47">
        <f>IFERROR(IF(ISNUMBER(MATCH($A227,'Eventos y Previsión'!$B$4:$B$24,0)),INDEX('Eventos y Previsión'!$F$4:$F$24,MATCH($A227,'Eventos y Previsión'!$B$4:$B$24,0)),AVERAGEIFS('Facturación 2025'!$F$4:$F$303,'Facturación 2025'!$B$4:$B$303,$B227)),0)</f>
        <v>1039.9519512195122</v>
      </c>
      <c r="H227" s="53">
        <f t="shared" si="20"/>
        <v>-1039.9519512195122</v>
      </c>
      <c r="I227" s="49">
        <f t="shared" si="21"/>
        <v>-1</v>
      </c>
      <c r="J227" s="47">
        <f t="array" ref="J227">SUMPRODUCT(('Horarios Personal'!$A$5:$A$555=$A227)*IFERROR('Horarios Personal'!$L$5:$L$555*1,0))</f>
        <v>0</v>
      </c>
      <c r="K227" s="70" t="str">
        <f t="shared" si="22"/>
        <v/>
      </c>
      <c r="L227" s="58" t="str">
        <f t="array" ref="L227">IFERROR(INDEX('Eventos y Previsión'!$C$4:$C$24,SUMPRODUCT((LOWER('Eventos y Previsión'!$A$4:$A$24)=LOWER(TEXT($A227,"mmmm")))*(ISNUMBER(SEARCH(TEXT(DAY($A227),"00")&amp;"/"&amp;TEXT(MONTH($A227),"00"),'Eventos y Previsión'!$B$4:$B$24)))*ROW('Eventos y Previsión'!$A$4:$A$24))-ROW('Eventos y Previsión'!$A$3)),"")</f>
        <v/>
      </c>
    </row>
    <row r="228" spans="1:12" ht="15.75" customHeight="1">
      <c r="A228" s="62">
        <v>46352</v>
      </c>
      <c r="B228" s="46" t="str">
        <f t="shared" si="18"/>
        <v>jue</v>
      </c>
      <c r="C228" s="47">
        <f>SUMIFS('Detalle Turnos'!$E:$E,'Detalle Turnos'!$A:$A,$A228,'Detalle Turnos'!$B:$B,"Mañana")</f>
        <v>0</v>
      </c>
      <c r="D228" s="47">
        <f>SUMIFS('Detalle Turnos'!$E:$E,'Detalle Turnos'!$A:$A,$A228,'Detalle Turnos'!$B:$B,"Mediodia")</f>
        <v>0</v>
      </c>
      <c r="E228" s="47">
        <f>SUMIFS('Detalle Turnos'!$E:$E,'Detalle Turnos'!$A:$A,$A228,'Detalle Turnos'!$B:$B,"Noche")</f>
        <v>0</v>
      </c>
      <c r="F228" s="48">
        <f t="shared" si="19"/>
        <v>0</v>
      </c>
      <c r="G228" s="47">
        <f>IFERROR(IF(ISNUMBER(MATCH($A228,'Eventos y Previsión'!$B$4:$B$24,0)),INDEX('Eventos y Previsión'!$F$4:$F$24,MATCH($A228,'Eventos y Previsión'!$B$4:$B$24,0)),AVERAGEIFS('Facturación 2025'!$F$4:$F$303,'Facturación 2025'!$B$4:$B$303,$B228)),0)</f>
        <v>1100.2225000000003</v>
      </c>
      <c r="H228" s="53">
        <f t="shared" si="20"/>
        <v>-1100.2225000000003</v>
      </c>
      <c r="I228" s="49">
        <f t="shared" si="21"/>
        <v>-1</v>
      </c>
      <c r="J228" s="47">
        <f t="array" ref="J228">SUMPRODUCT(('Horarios Personal'!$A$5:$A$555=$A228)*IFERROR('Horarios Personal'!$L$5:$L$555*1,0))</f>
        <v>0</v>
      </c>
      <c r="K228" s="70" t="str">
        <f t="shared" si="22"/>
        <v/>
      </c>
      <c r="L228" s="58" t="str">
        <f t="array" ref="L228">IFERROR(INDEX('Eventos y Previsión'!$C$4:$C$24,SUMPRODUCT((LOWER('Eventos y Previsión'!$A$4:$A$24)=LOWER(TEXT($A228,"mmmm")))*(ISNUMBER(SEARCH(TEXT(DAY($A228),"00")&amp;"/"&amp;TEXT(MONTH($A228),"00"),'Eventos y Previsión'!$B$4:$B$24)))*ROW('Eventos y Previsión'!$A$4:$A$24))-ROW('Eventos y Previsión'!$A$3)),"")</f>
        <v/>
      </c>
    </row>
    <row r="229" spans="1:12" ht="15.75" customHeight="1">
      <c r="A229" s="62">
        <v>46353</v>
      </c>
      <c r="B229" s="46" t="str">
        <f t="shared" si="18"/>
        <v>vie</v>
      </c>
      <c r="C229" s="47">
        <f>SUMIFS('Detalle Turnos'!$E:$E,'Detalle Turnos'!$A:$A,$A229,'Detalle Turnos'!$B:$B,"Mañana")</f>
        <v>0</v>
      </c>
      <c r="D229" s="47">
        <f>SUMIFS('Detalle Turnos'!$E:$E,'Detalle Turnos'!$A:$A,$A229,'Detalle Turnos'!$B:$B,"Mediodia")</f>
        <v>0</v>
      </c>
      <c r="E229" s="47">
        <f>SUMIFS('Detalle Turnos'!$E:$E,'Detalle Turnos'!$A:$A,$A229,'Detalle Turnos'!$B:$B,"Noche")</f>
        <v>0</v>
      </c>
      <c r="F229" s="48">
        <f t="shared" si="19"/>
        <v>0</v>
      </c>
      <c r="G229" s="47">
        <f>IFERROR(IF(ISNUMBER(MATCH($A229,'Eventos y Previsión'!$B$4:$B$24,0)),INDEX('Eventos y Previsión'!$F$4:$F$24,MATCH($A229,'Eventos y Previsión'!$B$4:$B$24,0)),AVERAGEIFS('Facturación 2025'!$F$4:$F$303,'Facturación 2025'!$B$4:$B$303,$B229)),0)</f>
        <v>1865.4067441860466</v>
      </c>
      <c r="H229" s="53">
        <f t="shared" si="20"/>
        <v>-1865.4067441860466</v>
      </c>
      <c r="I229" s="49">
        <f t="shared" si="21"/>
        <v>-1</v>
      </c>
      <c r="J229" s="47">
        <f t="array" ref="J229">SUMPRODUCT(('Horarios Personal'!$A$5:$A$555=$A229)*IFERROR('Horarios Personal'!$L$5:$L$555*1,0))</f>
        <v>0</v>
      </c>
      <c r="K229" s="70" t="str">
        <f t="shared" si="22"/>
        <v/>
      </c>
      <c r="L229" s="58" t="str">
        <f t="array" ref="L229">IFERROR(INDEX('Eventos y Previsión'!$C$4:$C$24,SUMPRODUCT((LOWER('Eventos y Previsión'!$A$4:$A$24)=LOWER(TEXT($A229,"mmmm")))*(ISNUMBER(SEARCH(TEXT(DAY($A229),"00")&amp;"/"&amp;TEXT(MONTH($A229),"00"),'Eventos y Previsión'!$B$4:$B$24)))*ROW('Eventos y Previsión'!$A$4:$A$24))-ROW('Eventos y Previsión'!$A$3)),"")</f>
        <v/>
      </c>
    </row>
    <row r="230" spans="1:12" ht="15.75" customHeight="1">
      <c r="A230" s="62">
        <v>46354</v>
      </c>
      <c r="B230" s="46" t="str">
        <f t="shared" si="18"/>
        <v>sáb</v>
      </c>
      <c r="C230" s="47">
        <f>SUMIFS('Detalle Turnos'!$E:$E,'Detalle Turnos'!$A:$A,$A230,'Detalle Turnos'!$B:$B,"Mañana")</f>
        <v>0</v>
      </c>
      <c r="D230" s="47">
        <f>SUMIFS('Detalle Turnos'!$E:$E,'Detalle Turnos'!$A:$A,$A230,'Detalle Turnos'!$B:$B,"Mediodia")</f>
        <v>0</v>
      </c>
      <c r="E230" s="47">
        <f>SUMIFS('Detalle Turnos'!$E:$E,'Detalle Turnos'!$A:$A,$A230,'Detalle Turnos'!$B:$B,"Noche")</f>
        <v>0</v>
      </c>
      <c r="F230" s="48">
        <f t="shared" si="19"/>
        <v>0</v>
      </c>
      <c r="G230" s="47">
        <f>IFERROR(IF(ISNUMBER(MATCH($A230,'Eventos y Previsión'!$B$4:$B$24,0)),INDEX('Eventos y Previsión'!$F$4:$F$24,MATCH($A230,'Eventos y Previsión'!$B$4:$B$24,0)),AVERAGEIFS('Facturación 2025'!$F$4:$F$303,'Facturación 2025'!$B$4:$B$303,$B230)),0)</f>
        <v>2049.8245999999995</v>
      </c>
      <c r="H230" s="53">
        <f t="shared" si="20"/>
        <v>-2049.8245999999995</v>
      </c>
      <c r="I230" s="49">
        <f t="shared" si="21"/>
        <v>-1</v>
      </c>
      <c r="J230" s="47">
        <f t="array" ref="J230">SUMPRODUCT(('Horarios Personal'!$A$5:$A$555=$A230)*IFERROR('Horarios Personal'!$L$5:$L$555*1,0))</f>
        <v>0</v>
      </c>
      <c r="K230" s="70" t="str">
        <f t="shared" si="22"/>
        <v/>
      </c>
      <c r="L230" s="58" t="str">
        <f t="array" ref="L230">IFERROR(INDEX('Eventos y Previsión'!$C$4:$C$24,SUMPRODUCT((LOWER('Eventos y Previsión'!$A$4:$A$24)=LOWER(TEXT($A230,"mmmm")))*(ISNUMBER(SEARCH(TEXT(DAY($A230),"00")&amp;"/"&amp;TEXT(MONTH($A230),"00"),'Eventos y Previsión'!$B$4:$B$24)))*ROW('Eventos y Previsión'!$A$4:$A$24))-ROW('Eventos y Previsión'!$A$3)),"")</f>
        <v>Casino espectáculo</v>
      </c>
    </row>
    <row r="231" spans="1:12" ht="15.75" customHeight="1">
      <c r="A231" s="62">
        <v>46355</v>
      </c>
      <c r="B231" s="46" t="str">
        <f t="shared" si="18"/>
        <v>dom</v>
      </c>
      <c r="C231" s="47">
        <f>SUMIFS('Detalle Turnos'!$E:$E,'Detalle Turnos'!$A:$A,$A231,'Detalle Turnos'!$B:$B,"Mañana")</f>
        <v>0</v>
      </c>
      <c r="D231" s="47">
        <f>SUMIFS('Detalle Turnos'!$E:$E,'Detalle Turnos'!$A:$A,$A231,'Detalle Turnos'!$B:$B,"Mediodia")</f>
        <v>0</v>
      </c>
      <c r="E231" s="47">
        <f>SUMIFS('Detalle Turnos'!$E:$E,'Detalle Turnos'!$A:$A,$A231,'Detalle Turnos'!$B:$B,"Noche")</f>
        <v>0</v>
      </c>
      <c r="F231" s="48">
        <f t="shared" si="19"/>
        <v>0</v>
      </c>
      <c r="G231" s="47">
        <f>IFERROR(IF(ISNUMBER(MATCH($A231,'Eventos y Previsión'!$B$4:$B$24,0)),INDEX('Eventos y Previsión'!$F$4:$F$24,MATCH($A231,'Eventos y Previsión'!$B$4:$B$24,0)),AVERAGEIFS('Facturación 2025'!$F$4:$F$303,'Facturación 2025'!$B$4:$B$303,$B231)),0)</f>
        <v>1690.062558139535</v>
      </c>
      <c r="H231" s="53">
        <f t="shared" si="20"/>
        <v>-1690.062558139535</v>
      </c>
      <c r="I231" s="49">
        <f t="shared" si="21"/>
        <v>-1</v>
      </c>
      <c r="J231" s="47">
        <f t="array" ref="J231">SUMPRODUCT(('Horarios Personal'!$A$5:$A$555=$A231)*IFERROR('Horarios Personal'!$L$5:$L$555*1,0))</f>
        <v>0</v>
      </c>
      <c r="K231" s="70" t="str">
        <f t="shared" si="22"/>
        <v/>
      </c>
      <c r="L231" s="58" t="str">
        <f t="array" ref="L231">IFERROR(INDEX('Eventos y Previsión'!$C$4:$C$24,SUMPRODUCT((LOWER('Eventos y Previsión'!$A$4:$A$24)=LOWER(TEXT($A231,"mmmm")))*(ISNUMBER(SEARCH(TEXT(DAY($A231),"00")&amp;"/"&amp;TEXT(MONTH($A231),"00"),'Eventos y Previsión'!$B$4:$B$24)))*ROW('Eventos y Previsión'!$A$4:$A$24))-ROW('Eventos y Previsión'!$A$3)),"")</f>
        <v/>
      </c>
    </row>
    <row r="232" spans="1:12" ht="15.75" customHeight="1">
      <c r="A232" s="62">
        <v>46358</v>
      </c>
      <c r="B232" s="46" t="str">
        <f t="shared" si="18"/>
        <v>mié</v>
      </c>
      <c r="C232" s="47">
        <f>SUMIFS('Detalle Turnos'!$E:$E,'Detalle Turnos'!$A:$A,$A232,'Detalle Turnos'!$B:$B,"Mañana")</f>
        <v>0</v>
      </c>
      <c r="D232" s="47">
        <f>SUMIFS('Detalle Turnos'!$E:$E,'Detalle Turnos'!$A:$A,$A232,'Detalle Turnos'!$B:$B,"Mediodia")</f>
        <v>0</v>
      </c>
      <c r="E232" s="47">
        <f>SUMIFS('Detalle Turnos'!$E:$E,'Detalle Turnos'!$A:$A,$A232,'Detalle Turnos'!$B:$B,"Noche")</f>
        <v>0</v>
      </c>
      <c r="F232" s="48">
        <f t="shared" si="19"/>
        <v>0</v>
      </c>
      <c r="G232" s="47">
        <f>IFERROR(IF(ISNUMBER(MATCH($A232,'Eventos y Previsión'!$B$4:$B$24,0)),INDEX('Eventos y Previsión'!$F$4:$F$24,MATCH($A232,'Eventos y Previsión'!$B$4:$B$24,0)),AVERAGEIFS('Facturación 2025'!$F$4:$F$303,'Facturación 2025'!$B$4:$B$303,$B232)),0)</f>
        <v>1039.9519512195122</v>
      </c>
      <c r="H232" s="53">
        <f t="shared" si="20"/>
        <v>-1039.9519512195122</v>
      </c>
      <c r="I232" s="49">
        <f t="shared" si="21"/>
        <v>-1</v>
      </c>
      <c r="J232" s="47">
        <f t="array" ref="J232">SUMPRODUCT(('Horarios Personal'!$A$5:$A$555=$A232)*IFERROR('Horarios Personal'!$L$5:$L$555*1,0))</f>
        <v>0</v>
      </c>
      <c r="K232" s="70" t="str">
        <f t="shared" si="22"/>
        <v/>
      </c>
      <c r="L232" s="58" t="str">
        <f t="array" ref="L232">IFERROR(INDEX('Eventos y Previsión'!$C$4:$C$24,SUMPRODUCT((LOWER('Eventos y Previsión'!$A$4:$A$24)=LOWER(TEXT($A232,"mmmm")))*(ISNUMBER(SEARCH(TEXT(DAY($A232),"00")&amp;"/"&amp;TEXT(MONTH($A232),"00"),'Eventos y Previsión'!$B$4:$B$24)))*ROW('Eventos y Previsión'!$A$4:$A$24))-ROW('Eventos y Previsión'!$A$3)),"")</f>
        <v/>
      </c>
    </row>
    <row r="233" spans="1:12" ht="15.75" customHeight="1">
      <c r="A233" s="62">
        <v>46359</v>
      </c>
      <c r="B233" s="46" t="str">
        <f t="shared" si="18"/>
        <v>jue</v>
      </c>
      <c r="C233" s="47">
        <f>SUMIFS('Detalle Turnos'!$E:$E,'Detalle Turnos'!$A:$A,$A233,'Detalle Turnos'!$B:$B,"Mañana")</f>
        <v>0</v>
      </c>
      <c r="D233" s="47">
        <f>SUMIFS('Detalle Turnos'!$E:$E,'Detalle Turnos'!$A:$A,$A233,'Detalle Turnos'!$B:$B,"Mediodia")</f>
        <v>0</v>
      </c>
      <c r="E233" s="47">
        <f>SUMIFS('Detalle Turnos'!$E:$E,'Detalle Turnos'!$A:$A,$A233,'Detalle Turnos'!$B:$B,"Noche")</f>
        <v>0</v>
      </c>
      <c r="F233" s="48">
        <f t="shared" si="19"/>
        <v>0</v>
      </c>
      <c r="G233" s="47">
        <f>IFERROR(IF(ISNUMBER(MATCH($A233,'Eventos y Previsión'!$B$4:$B$24,0)),INDEX('Eventos y Previsión'!$F$4:$F$24,MATCH($A233,'Eventos y Previsión'!$B$4:$B$24,0)),AVERAGEIFS('Facturación 2025'!$F$4:$F$303,'Facturación 2025'!$B$4:$B$303,$B233)),0)</f>
        <v>1100.2225000000003</v>
      </c>
      <c r="H233" s="53">
        <f t="shared" si="20"/>
        <v>-1100.2225000000003</v>
      </c>
      <c r="I233" s="49">
        <f t="shared" si="21"/>
        <v>-1</v>
      </c>
      <c r="J233" s="47">
        <f t="array" ref="J233">SUMPRODUCT(('Horarios Personal'!$A$5:$A$555=$A233)*IFERROR('Horarios Personal'!$L$5:$L$555*1,0))</f>
        <v>0</v>
      </c>
      <c r="K233" s="70" t="str">
        <f t="shared" si="22"/>
        <v/>
      </c>
      <c r="L233" s="58" t="str">
        <f t="array" ref="L233">IFERROR(INDEX('Eventos y Previsión'!$C$4:$C$24,SUMPRODUCT((LOWER('Eventos y Previsión'!$A$4:$A$24)=LOWER(TEXT($A233,"mmmm")))*(ISNUMBER(SEARCH(TEXT(DAY($A233),"00")&amp;"/"&amp;TEXT(MONTH($A233),"00"),'Eventos y Previsión'!$B$4:$B$24)))*ROW('Eventos y Previsión'!$A$4:$A$24))-ROW('Eventos y Previsión'!$A$3)),"")</f>
        <v/>
      </c>
    </row>
    <row r="234" spans="1:12" ht="15.75" customHeight="1">
      <c r="A234" s="62">
        <v>46360</v>
      </c>
      <c r="B234" s="46" t="str">
        <f t="shared" si="18"/>
        <v>vie</v>
      </c>
      <c r="C234" s="47">
        <f>SUMIFS('Detalle Turnos'!$E:$E,'Detalle Turnos'!$A:$A,$A234,'Detalle Turnos'!$B:$B,"Mañana")</f>
        <v>0</v>
      </c>
      <c r="D234" s="47">
        <f>SUMIFS('Detalle Turnos'!$E:$E,'Detalle Turnos'!$A:$A,$A234,'Detalle Turnos'!$B:$B,"Mediodia")</f>
        <v>0</v>
      </c>
      <c r="E234" s="47">
        <f>SUMIFS('Detalle Turnos'!$E:$E,'Detalle Turnos'!$A:$A,$A234,'Detalle Turnos'!$B:$B,"Noche")</f>
        <v>0</v>
      </c>
      <c r="F234" s="48">
        <f t="shared" si="19"/>
        <v>0</v>
      </c>
      <c r="G234" s="47">
        <f>IFERROR(IF(ISNUMBER(MATCH($A234,'Eventos y Previsión'!$B$4:$B$24,0)),INDEX('Eventos y Previsión'!$F$4:$F$24,MATCH($A234,'Eventos y Previsión'!$B$4:$B$24,0)),AVERAGEIFS('Facturación 2025'!$F$4:$F$303,'Facturación 2025'!$B$4:$B$303,$B234)),0)</f>
        <v>1865.4067441860466</v>
      </c>
      <c r="H234" s="53">
        <f t="shared" si="20"/>
        <v>-1865.4067441860466</v>
      </c>
      <c r="I234" s="49">
        <f t="shared" si="21"/>
        <v>-1</v>
      </c>
      <c r="J234" s="47">
        <f t="array" ref="J234">SUMPRODUCT(('Horarios Personal'!$A$5:$A$555=$A234)*IFERROR('Horarios Personal'!$L$5:$L$555*1,0))</f>
        <v>0</v>
      </c>
      <c r="K234" s="70" t="str">
        <f t="shared" si="22"/>
        <v/>
      </c>
      <c r="L234" s="58" t="str">
        <f t="array" ref="L234">IFERROR(INDEX('Eventos y Previsión'!$C$4:$C$24,SUMPRODUCT((LOWER('Eventos y Previsión'!$A$4:$A$24)=LOWER(TEXT($A234,"mmmm")))*(ISNUMBER(SEARCH(TEXT(DAY($A234),"00")&amp;"/"&amp;TEXT(MONTH($A234),"00"),'Eventos y Previsión'!$B$4:$B$24)))*ROW('Eventos y Previsión'!$A$4:$A$24))-ROW('Eventos y Previsión'!$A$3)),"")</f>
        <v/>
      </c>
    </row>
    <row r="235" spans="1:12" ht="15.75" customHeight="1">
      <c r="A235" s="62">
        <v>46361</v>
      </c>
      <c r="B235" s="46" t="str">
        <f t="shared" si="18"/>
        <v>sáb</v>
      </c>
      <c r="C235" s="47">
        <f>SUMIFS('Detalle Turnos'!$E:$E,'Detalle Turnos'!$A:$A,$A235,'Detalle Turnos'!$B:$B,"Mañana")</f>
        <v>0</v>
      </c>
      <c r="D235" s="47">
        <f>SUMIFS('Detalle Turnos'!$E:$E,'Detalle Turnos'!$A:$A,$A235,'Detalle Turnos'!$B:$B,"Mediodia")</f>
        <v>0</v>
      </c>
      <c r="E235" s="47">
        <f>SUMIFS('Detalle Turnos'!$E:$E,'Detalle Turnos'!$A:$A,$A235,'Detalle Turnos'!$B:$B,"Noche")</f>
        <v>0</v>
      </c>
      <c r="F235" s="48">
        <f t="shared" si="19"/>
        <v>0</v>
      </c>
      <c r="G235" s="47">
        <f>IFERROR(IF(ISNUMBER(MATCH($A235,'Eventos y Previsión'!$B$4:$B$24,0)),INDEX('Eventos y Previsión'!$F$4:$F$24,MATCH($A235,'Eventos y Previsión'!$B$4:$B$24,0)),AVERAGEIFS('Facturación 2025'!$F$4:$F$303,'Facturación 2025'!$B$4:$B$303,$B235)),0)</f>
        <v>2049.8245999999995</v>
      </c>
      <c r="H235" s="53">
        <f t="shared" si="20"/>
        <v>-2049.8245999999995</v>
      </c>
      <c r="I235" s="49">
        <f t="shared" si="21"/>
        <v>-1</v>
      </c>
      <c r="J235" s="47">
        <f t="array" ref="J235">SUMPRODUCT(('Horarios Personal'!$A$5:$A$555=$A235)*IFERROR('Horarios Personal'!$L$5:$L$555*1,0))</f>
        <v>0</v>
      </c>
      <c r="K235" s="70" t="str">
        <f t="shared" si="22"/>
        <v/>
      </c>
      <c r="L235" s="58" t="str">
        <f t="array" ref="L235">IFERROR(INDEX('Eventos y Previsión'!$C$4:$C$24,SUMPRODUCT((LOWER('Eventos y Previsión'!$A$4:$A$24)=LOWER(TEXT($A235,"mmmm")))*(ISNUMBER(SEARCH(TEXT(DAY($A235),"00")&amp;"/"&amp;TEXT(MONTH($A235),"00"),'Eventos y Previsión'!$B$4:$B$24)))*ROW('Eventos y Previsión'!$A$4:$A$24))-ROW('Eventos y Previsión'!$A$3)),"")</f>
        <v/>
      </c>
    </row>
    <row r="236" spans="1:12" ht="15.75" customHeight="1">
      <c r="A236" s="62">
        <v>46362</v>
      </c>
      <c r="B236" s="46" t="str">
        <f t="shared" si="18"/>
        <v>dom</v>
      </c>
      <c r="C236" s="47">
        <f>SUMIFS('Detalle Turnos'!$E:$E,'Detalle Turnos'!$A:$A,$A236,'Detalle Turnos'!$B:$B,"Mañana")</f>
        <v>0</v>
      </c>
      <c r="D236" s="47">
        <f>SUMIFS('Detalle Turnos'!$E:$E,'Detalle Turnos'!$A:$A,$A236,'Detalle Turnos'!$B:$B,"Mediodia")</f>
        <v>0</v>
      </c>
      <c r="E236" s="47">
        <f>SUMIFS('Detalle Turnos'!$E:$E,'Detalle Turnos'!$A:$A,$A236,'Detalle Turnos'!$B:$B,"Noche")</f>
        <v>0</v>
      </c>
      <c r="F236" s="48">
        <f t="shared" si="19"/>
        <v>0</v>
      </c>
      <c r="G236" s="47">
        <f>IFERROR(IF(ISNUMBER(MATCH($A236,'Eventos y Previsión'!$B$4:$B$24,0)),INDEX('Eventos y Previsión'!$F$4:$F$24,MATCH($A236,'Eventos y Previsión'!$B$4:$B$24,0)),AVERAGEIFS('Facturación 2025'!$F$4:$F$303,'Facturación 2025'!$B$4:$B$303,$B236)),0)</f>
        <v>1690.062558139535</v>
      </c>
      <c r="H236" s="53">
        <f t="shared" si="20"/>
        <v>-1690.062558139535</v>
      </c>
      <c r="I236" s="49">
        <f t="shared" si="21"/>
        <v>-1</v>
      </c>
      <c r="J236" s="47">
        <f t="array" ref="J236">SUMPRODUCT(('Horarios Personal'!$A$5:$A$555=$A236)*IFERROR('Horarios Personal'!$L$5:$L$555*1,0))</f>
        <v>0</v>
      </c>
      <c r="K236" s="70" t="str">
        <f t="shared" si="22"/>
        <v/>
      </c>
      <c r="L236" s="58" t="str">
        <f t="array" ref="L236">IFERROR(INDEX('Eventos y Previsión'!$C$4:$C$24,SUMPRODUCT((LOWER('Eventos y Previsión'!$A$4:$A$24)=LOWER(TEXT($A236,"mmmm")))*(ISNUMBER(SEARCH(TEXT(DAY($A236),"00")&amp;"/"&amp;TEXT(MONTH($A236),"00"),'Eventos y Previsión'!$B$4:$B$24)))*ROW('Eventos y Previsión'!$A$4:$A$24))-ROW('Eventos y Previsión'!$A$3)),"")</f>
        <v/>
      </c>
    </row>
    <row r="237" spans="1:12" ht="15.75" customHeight="1">
      <c r="A237" s="62">
        <v>46365</v>
      </c>
      <c r="B237" s="46" t="str">
        <f t="shared" si="18"/>
        <v>mié</v>
      </c>
      <c r="C237" s="47">
        <f>SUMIFS('Detalle Turnos'!$E:$E,'Detalle Turnos'!$A:$A,$A237,'Detalle Turnos'!$B:$B,"Mañana")</f>
        <v>0</v>
      </c>
      <c r="D237" s="47">
        <f>SUMIFS('Detalle Turnos'!$E:$E,'Detalle Turnos'!$A:$A,$A237,'Detalle Turnos'!$B:$B,"Mediodia")</f>
        <v>0</v>
      </c>
      <c r="E237" s="47">
        <f>SUMIFS('Detalle Turnos'!$E:$E,'Detalle Turnos'!$A:$A,$A237,'Detalle Turnos'!$B:$B,"Noche")</f>
        <v>0</v>
      </c>
      <c r="F237" s="48">
        <f t="shared" si="19"/>
        <v>0</v>
      </c>
      <c r="G237" s="47">
        <f>IFERROR(IF(ISNUMBER(MATCH($A237,'Eventos y Previsión'!$B$4:$B$24,0)),INDEX('Eventos y Previsión'!$F$4:$F$24,MATCH($A237,'Eventos y Previsión'!$B$4:$B$24,0)),AVERAGEIFS('Facturación 2025'!$F$4:$F$303,'Facturación 2025'!$B$4:$B$303,$B237)),0)</f>
        <v>1039.9519512195122</v>
      </c>
      <c r="H237" s="53">
        <f t="shared" si="20"/>
        <v>-1039.9519512195122</v>
      </c>
      <c r="I237" s="49">
        <f t="shared" si="21"/>
        <v>-1</v>
      </c>
      <c r="J237" s="47">
        <f t="array" ref="J237">SUMPRODUCT(('Horarios Personal'!$A$5:$A$555=$A237)*IFERROR('Horarios Personal'!$L$5:$L$555*1,0))</f>
        <v>0</v>
      </c>
      <c r="K237" s="70" t="str">
        <f t="shared" si="22"/>
        <v/>
      </c>
      <c r="L237" s="58" t="str">
        <f t="array" ref="L237">IFERROR(INDEX('Eventos y Previsión'!$C$4:$C$24,SUMPRODUCT((LOWER('Eventos y Previsión'!$A$4:$A$24)=LOWER(TEXT($A237,"mmmm")))*(ISNUMBER(SEARCH(TEXT(DAY($A237),"00")&amp;"/"&amp;TEXT(MONTH($A237),"00"),'Eventos y Previsión'!$B$4:$B$24)))*ROW('Eventos y Previsión'!$A$4:$A$24))-ROW('Eventos y Previsión'!$A$3)),"")</f>
        <v/>
      </c>
    </row>
    <row r="238" spans="1:12" ht="15.75" customHeight="1">
      <c r="A238" s="62">
        <v>46366</v>
      </c>
      <c r="B238" s="46" t="str">
        <f t="shared" si="18"/>
        <v>jue</v>
      </c>
      <c r="C238" s="47">
        <f>SUMIFS('Detalle Turnos'!$E:$E,'Detalle Turnos'!$A:$A,$A238,'Detalle Turnos'!$B:$B,"Mañana")</f>
        <v>0</v>
      </c>
      <c r="D238" s="47">
        <f>SUMIFS('Detalle Turnos'!$E:$E,'Detalle Turnos'!$A:$A,$A238,'Detalle Turnos'!$B:$B,"Mediodia")</f>
        <v>0</v>
      </c>
      <c r="E238" s="47">
        <f>SUMIFS('Detalle Turnos'!$E:$E,'Detalle Turnos'!$A:$A,$A238,'Detalle Turnos'!$B:$B,"Noche")</f>
        <v>0</v>
      </c>
      <c r="F238" s="48">
        <f t="shared" si="19"/>
        <v>0</v>
      </c>
      <c r="G238" s="47">
        <f>IFERROR(IF(ISNUMBER(MATCH($A238,'Eventos y Previsión'!$B$4:$B$24,0)),INDEX('Eventos y Previsión'!$F$4:$F$24,MATCH($A238,'Eventos y Previsión'!$B$4:$B$24,0)),AVERAGEIFS('Facturación 2025'!$F$4:$F$303,'Facturación 2025'!$B$4:$B$303,$B238)),0)</f>
        <v>1100.2225000000003</v>
      </c>
      <c r="H238" s="53">
        <f t="shared" si="20"/>
        <v>-1100.2225000000003</v>
      </c>
      <c r="I238" s="49">
        <f t="shared" si="21"/>
        <v>-1</v>
      </c>
      <c r="J238" s="47">
        <f t="array" ref="J238">SUMPRODUCT(('Horarios Personal'!$A$5:$A$555=$A238)*IFERROR('Horarios Personal'!$L$5:$L$555*1,0))</f>
        <v>0</v>
      </c>
      <c r="K238" s="70" t="str">
        <f t="shared" si="22"/>
        <v/>
      </c>
      <c r="L238" s="58" t="str">
        <f t="array" ref="L238">IFERROR(INDEX('Eventos y Previsión'!$C$4:$C$24,SUMPRODUCT((LOWER('Eventos y Previsión'!$A$4:$A$24)=LOWER(TEXT($A238,"mmmm")))*(ISNUMBER(SEARCH(TEXT(DAY($A238),"00")&amp;"/"&amp;TEXT(MONTH($A238),"00"),'Eventos y Previsión'!$B$4:$B$24)))*ROW('Eventos y Previsión'!$A$4:$A$24))-ROW('Eventos y Previsión'!$A$3)),"")</f>
        <v/>
      </c>
    </row>
    <row r="239" spans="1:12" ht="15.75" customHeight="1">
      <c r="A239" s="62">
        <v>46367</v>
      </c>
      <c r="B239" s="46" t="str">
        <f t="shared" si="18"/>
        <v>vie</v>
      </c>
      <c r="C239" s="47">
        <f>SUMIFS('Detalle Turnos'!$E:$E,'Detalle Turnos'!$A:$A,$A239,'Detalle Turnos'!$B:$B,"Mañana")</f>
        <v>0</v>
      </c>
      <c r="D239" s="47">
        <f>SUMIFS('Detalle Turnos'!$E:$E,'Detalle Turnos'!$A:$A,$A239,'Detalle Turnos'!$B:$B,"Mediodia")</f>
        <v>0</v>
      </c>
      <c r="E239" s="47">
        <f>SUMIFS('Detalle Turnos'!$E:$E,'Detalle Turnos'!$A:$A,$A239,'Detalle Turnos'!$B:$B,"Noche")</f>
        <v>0</v>
      </c>
      <c r="F239" s="48">
        <f t="shared" si="19"/>
        <v>0</v>
      </c>
      <c r="G239" s="47">
        <f>IFERROR(IF(ISNUMBER(MATCH($A239,'Eventos y Previsión'!$B$4:$B$24,0)),INDEX('Eventos y Previsión'!$F$4:$F$24,MATCH($A239,'Eventos y Previsión'!$B$4:$B$24,0)),AVERAGEIFS('Facturación 2025'!$F$4:$F$303,'Facturación 2025'!$B$4:$B$303,$B239)),0)</f>
        <v>1865.4067441860466</v>
      </c>
      <c r="H239" s="53">
        <f t="shared" si="20"/>
        <v>-1865.4067441860466</v>
      </c>
      <c r="I239" s="49">
        <f t="shared" si="21"/>
        <v>-1</v>
      </c>
      <c r="J239" s="47">
        <f t="array" ref="J239">SUMPRODUCT(('Horarios Personal'!$A$5:$A$555=$A239)*IFERROR('Horarios Personal'!$L$5:$L$555*1,0))</f>
        <v>0</v>
      </c>
      <c r="K239" s="70" t="str">
        <f t="shared" si="22"/>
        <v/>
      </c>
      <c r="L239" s="58" t="str">
        <f t="array" ref="L239">IFERROR(INDEX('Eventos y Previsión'!$C$4:$C$24,SUMPRODUCT((LOWER('Eventos y Previsión'!$A$4:$A$24)=LOWER(TEXT($A239,"mmmm")))*(ISNUMBER(SEARCH(TEXT(DAY($A239),"00")&amp;"/"&amp;TEXT(MONTH($A239),"00"),'Eventos y Previsión'!$B$4:$B$24)))*ROW('Eventos y Previsión'!$A$4:$A$24))-ROW('Eventos y Previsión'!$A$3)),"")</f>
        <v/>
      </c>
    </row>
    <row r="240" spans="1:12" ht="15.75" customHeight="1">
      <c r="A240" s="62">
        <v>46368</v>
      </c>
      <c r="B240" s="46" t="str">
        <f t="shared" si="18"/>
        <v>sáb</v>
      </c>
      <c r="C240" s="47">
        <f>SUMIFS('Detalle Turnos'!$E:$E,'Detalle Turnos'!$A:$A,$A240,'Detalle Turnos'!$B:$B,"Mañana")</f>
        <v>0</v>
      </c>
      <c r="D240" s="47">
        <f>SUMIFS('Detalle Turnos'!$E:$E,'Detalle Turnos'!$A:$A,$A240,'Detalle Turnos'!$B:$B,"Mediodia")</f>
        <v>0</v>
      </c>
      <c r="E240" s="47">
        <f>SUMIFS('Detalle Turnos'!$E:$E,'Detalle Turnos'!$A:$A,$A240,'Detalle Turnos'!$B:$B,"Noche")</f>
        <v>0</v>
      </c>
      <c r="F240" s="48">
        <f t="shared" si="19"/>
        <v>0</v>
      </c>
      <c r="G240" s="47">
        <f>IFERROR(IF(ISNUMBER(MATCH($A240,'Eventos y Previsión'!$B$4:$B$24,0)),INDEX('Eventos y Previsión'!$F$4:$F$24,MATCH($A240,'Eventos y Previsión'!$B$4:$B$24,0)),AVERAGEIFS('Facturación 2025'!$F$4:$F$303,'Facturación 2025'!$B$4:$B$303,$B240)),0)</f>
        <v>2049.8245999999995</v>
      </c>
      <c r="H240" s="53">
        <f t="shared" si="20"/>
        <v>-2049.8245999999995</v>
      </c>
      <c r="I240" s="49">
        <f t="shared" si="21"/>
        <v>-1</v>
      </c>
      <c r="J240" s="47">
        <f t="array" ref="J240">SUMPRODUCT(('Horarios Personal'!$A$5:$A$555=$A240)*IFERROR('Horarios Personal'!$L$5:$L$555*1,0))</f>
        <v>0</v>
      </c>
      <c r="K240" s="70" t="str">
        <f t="shared" si="22"/>
        <v/>
      </c>
      <c r="L240" s="58" t="str">
        <f t="array" ref="L240">IFERROR(INDEX('Eventos y Previsión'!$C$4:$C$24,SUMPRODUCT((LOWER('Eventos y Previsión'!$A$4:$A$24)=LOWER(TEXT($A240,"mmmm")))*(ISNUMBER(SEARCH(TEXT(DAY($A240),"00")&amp;"/"&amp;TEXT(MONTH($A240),"00"),'Eventos y Previsión'!$B$4:$B$24)))*ROW('Eventos y Previsión'!$A$4:$A$24))-ROW('Eventos y Previsión'!$A$3)),"")</f>
        <v/>
      </c>
    </row>
    <row r="241" spans="1:12" ht="15.75" customHeight="1">
      <c r="A241" s="62">
        <v>46369</v>
      </c>
      <c r="B241" s="46" t="str">
        <f t="shared" si="18"/>
        <v>dom</v>
      </c>
      <c r="C241" s="47">
        <f>SUMIFS('Detalle Turnos'!$E:$E,'Detalle Turnos'!$A:$A,$A241,'Detalle Turnos'!$B:$B,"Mañana")</f>
        <v>0</v>
      </c>
      <c r="D241" s="47">
        <f>SUMIFS('Detalle Turnos'!$E:$E,'Detalle Turnos'!$A:$A,$A241,'Detalle Turnos'!$B:$B,"Mediodia")</f>
        <v>0</v>
      </c>
      <c r="E241" s="47">
        <f>SUMIFS('Detalle Turnos'!$E:$E,'Detalle Turnos'!$A:$A,$A241,'Detalle Turnos'!$B:$B,"Noche")</f>
        <v>0</v>
      </c>
      <c r="F241" s="48">
        <f t="shared" si="19"/>
        <v>0</v>
      </c>
      <c r="G241" s="47">
        <f>IFERROR(IF(ISNUMBER(MATCH($A241,'Eventos y Previsión'!$B$4:$B$24,0)),INDEX('Eventos y Previsión'!$F$4:$F$24,MATCH($A241,'Eventos y Previsión'!$B$4:$B$24,0)),AVERAGEIFS('Facturación 2025'!$F$4:$F$303,'Facturación 2025'!$B$4:$B$303,$B241)),0)</f>
        <v>1690.062558139535</v>
      </c>
      <c r="H241" s="53">
        <f t="shared" si="20"/>
        <v>-1690.062558139535</v>
      </c>
      <c r="I241" s="49">
        <f t="shared" si="21"/>
        <v>-1</v>
      </c>
      <c r="J241" s="47">
        <f t="array" ref="J241">SUMPRODUCT(('Horarios Personal'!$A$5:$A$555=$A241)*IFERROR('Horarios Personal'!$L$5:$L$555*1,0))</f>
        <v>0</v>
      </c>
      <c r="K241" s="70" t="str">
        <f t="shared" si="22"/>
        <v/>
      </c>
      <c r="L241" s="58" t="str">
        <f t="array" ref="L241">IFERROR(INDEX('Eventos y Previsión'!$C$4:$C$24,SUMPRODUCT((LOWER('Eventos y Previsión'!$A$4:$A$24)=LOWER(TEXT($A241,"mmmm")))*(ISNUMBER(SEARCH(TEXT(DAY($A241),"00")&amp;"/"&amp;TEXT(MONTH($A241),"00"),'Eventos y Previsión'!$B$4:$B$24)))*ROW('Eventos y Previsión'!$A$4:$A$24))-ROW('Eventos y Previsión'!$A$3)),"")</f>
        <v/>
      </c>
    </row>
    <row r="242" spans="1:12" ht="15.75" customHeight="1">
      <c r="A242" s="62">
        <v>46372</v>
      </c>
      <c r="B242" s="46" t="str">
        <f t="shared" si="18"/>
        <v>mié</v>
      </c>
      <c r="C242" s="47">
        <f>SUMIFS('Detalle Turnos'!$E:$E,'Detalle Turnos'!$A:$A,$A242,'Detalle Turnos'!$B:$B,"Mañana")</f>
        <v>0</v>
      </c>
      <c r="D242" s="47">
        <f>SUMIFS('Detalle Turnos'!$E:$E,'Detalle Turnos'!$A:$A,$A242,'Detalle Turnos'!$B:$B,"Mediodia")</f>
        <v>0</v>
      </c>
      <c r="E242" s="47">
        <f>SUMIFS('Detalle Turnos'!$E:$E,'Detalle Turnos'!$A:$A,$A242,'Detalle Turnos'!$B:$B,"Noche")</f>
        <v>0</v>
      </c>
      <c r="F242" s="48">
        <f t="shared" si="19"/>
        <v>0</v>
      </c>
      <c r="G242" s="47">
        <f>IFERROR(IF(ISNUMBER(MATCH($A242,'Eventos y Previsión'!$B$4:$B$24,0)),INDEX('Eventos y Previsión'!$F$4:$F$24,MATCH($A242,'Eventos y Previsión'!$B$4:$B$24,0)),AVERAGEIFS('Facturación 2025'!$F$4:$F$303,'Facturación 2025'!$B$4:$B$303,$B242)),0)</f>
        <v>1039.9519512195122</v>
      </c>
      <c r="H242" s="53">
        <f t="shared" si="20"/>
        <v>-1039.9519512195122</v>
      </c>
      <c r="I242" s="49">
        <f t="shared" si="21"/>
        <v>-1</v>
      </c>
      <c r="J242" s="47">
        <f t="array" ref="J242">SUMPRODUCT(('Horarios Personal'!$A$5:$A$555=$A242)*IFERROR('Horarios Personal'!$L$5:$L$555*1,0))</f>
        <v>0</v>
      </c>
      <c r="K242" s="70" t="str">
        <f t="shared" si="22"/>
        <v/>
      </c>
      <c r="L242" s="58" t="str">
        <f t="array" ref="L242">IFERROR(INDEX('Eventos y Previsión'!$C$4:$C$24,SUMPRODUCT((LOWER('Eventos y Previsión'!$A$4:$A$24)=LOWER(TEXT($A242,"mmmm")))*(ISNUMBER(SEARCH(TEXT(DAY($A242),"00")&amp;"/"&amp;TEXT(MONTH($A242),"00"),'Eventos y Previsión'!$B$4:$B$24)))*ROW('Eventos y Previsión'!$A$4:$A$24))-ROW('Eventos y Previsión'!$A$3)),"")</f>
        <v/>
      </c>
    </row>
    <row r="243" spans="1:12" ht="15.75" customHeight="1">
      <c r="A243" s="62">
        <v>46373</v>
      </c>
      <c r="B243" s="46" t="str">
        <f t="shared" si="18"/>
        <v>jue</v>
      </c>
      <c r="C243" s="47">
        <f>SUMIFS('Detalle Turnos'!$E:$E,'Detalle Turnos'!$A:$A,$A243,'Detalle Turnos'!$B:$B,"Mañana")</f>
        <v>0</v>
      </c>
      <c r="D243" s="47">
        <f>SUMIFS('Detalle Turnos'!$E:$E,'Detalle Turnos'!$A:$A,$A243,'Detalle Turnos'!$B:$B,"Mediodia")</f>
        <v>0</v>
      </c>
      <c r="E243" s="47">
        <f>SUMIFS('Detalle Turnos'!$E:$E,'Detalle Turnos'!$A:$A,$A243,'Detalle Turnos'!$B:$B,"Noche")</f>
        <v>0</v>
      </c>
      <c r="F243" s="48">
        <f t="shared" si="19"/>
        <v>0</v>
      </c>
      <c r="G243" s="47">
        <f>IFERROR(IF(ISNUMBER(MATCH($A243,'Eventos y Previsión'!$B$4:$B$24,0)),INDEX('Eventos y Previsión'!$F$4:$F$24,MATCH($A243,'Eventos y Previsión'!$B$4:$B$24,0)),AVERAGEIFS('Facturación 2025'!$F$4:$F$303,'Facturación 2025'!$B$4:$B$303,$B243)),0)</f>
        <v>1100.2225000000003</v>
      </c>
      <c r="H243" s="53">
        <f t="shared" si="20"/>
        <v>-1100.2225000000003</v>
      </c>
      <c r="I243" s="49">
        <f t="shared" si="21"/>
        <v>-1</v>
      </c>
      <c r="J243" s="47">
        <f t="array" ref="J243">SUMPRODUCT(('Horarios Personal'!$A$5:$A$555=$A243)*IFERROR('Horarios Personal'!$L$5:$L$555*1,0))</f>
        <v>0</v>
      </c>
      <c r="K243" s="70" t="str">
        <f t="shared" si="22"/>
        <v/>
      </c>
      <c r="L243" s="58" t="str">
        <f t="array" ref="L243">IFERROR(INDEX('Eventos y Previsión'!$C$4:$C$24,SUMPRODUCT((LOWER('Eventos y Previsión'!$A$4:$A$24)=LOWER(TEXT($A243,"mmmm")))*(ISNUMBER(SEARCH(TEXT(DAY($A243),"00")&amp;"/"&amp;TEXT(MONTH($A243),"00"),'Eventos y Previsión'!$B$4:$B$24)))*ROW('Eventos y Previsión'!$A$4:$A$24))-ROW('Eventos y Previsión'!$A$3)),"")</f>
        <v/>
      </c>
    </row>
    <row r="244" spans="1:12" ht="15.75" customHeight="1">
      <c r="A244" s="62">
        <v>46374</v>
      </c>
      <c r="B244" s="46" t="str">
        <f t="shared" si="18"/>
        <v>vie</v>
      </c>
      <c r="C244" s="47">
        <f>SUMIFS('Detalle Turnos'!$E:$E,'Detalle Turnos'!$A:$A,$A244,'Detalle Turnos'!$B:$B,"Mañana")</f>
        <v>0</v>
      </c>
      <c r="D244" s="47">
        <f>SUMIFS('Detalle Turnos'!$E:$E,'Detalle Turnos'!$A:$A,$A244,'Detalle Turnos'!$B:$B,"Mediodia")</f>
        <v>0</v>
      </c>
      <c r="E244" s="47">
        <f>SUMIFS('Detalle Turnos'!$E:$E,'Detalle Turnos'!$A:$A,$A244,'Detalle Turnos'!$B:$B,"Noche")</f>
        <v>0</v>
      </c>
      <c r="F244" s="48">
        <f t="shared" si="19"/>
        <v>0</v>
      </c>
      <c r="G244" s="47">
        <f>IFERROR(IF(ISNUMBER(MATCH($A244,'Eventos y Previsión'!$B$4:$B$24,0)),INDEX('Eventos y Previsión'!$F$4:$F$24,MATCH($A244,'Eventos y Previsión'!$B$4:$B$24,0)),AVERAGEIFS('Facturación 2025'!$F$4:$F$303,'Facturación 2025'!$B$4:$B$303,$B244)),0)</f>
        <v>1865.4067441860466</v>
      </c>
      <c r="H244" s="53">
        <f t="shared" si="20"/>
        <v>-1865.4067441860466</v>
      </c>
      <c r="I244" s="49">
        <f t="shared" si="21"/>
        <v>-1</v>
      </c>
      <c r="J244" s="47">
        <f t="array" ref="J244">SUMPRODUCT(('Horarios Personal'!$A$5:$A$555=$A244)*IFERROR('Horarios Personal'!$L$5:$L$555*1,0))</f>
        <v>0</v>
      </c>
      <c r="K244" s="70" t="str">
        <f t="shared" si="22"/>
        <v/>
      </c>
      <c r="L244" s="58" t="str">
        <f t="array" ref="L244">IFERROR(INDEX('Eventos y Previsión'!$C$4:$C$24,SUMPRODUCT((LOWER('Eventos y Previsión'!$A$4:$A$24)=LOWER(TEXT($A244,"mmmm")))*(ISNUMBER(SEARCH(TEXT(DAY($A244),"00")&amp;"/"&amp;TEXT(MONTH($A244),"00"),'Eventos y Previsión'!$B$4:$B$24)))*ROW('Eventos y Previsión'!$A$4:$A$24))-ROW('Eventos y Previsión'!$A$3)),"")</f>
        <v/>
      </c>
    </row>
    <row r="245" spans="1:12" ht="15.75" customHeight="1">
      <c r="A245" s="62">
        <v>46375</v>
      </c>
      <c r="B245" s="46" t="str">
        <f t="shared" si="18"/>
        <v>sáb</v>
      </c>
      <c r="C245" s="47">
        <f>SUMIFS('Detalle Turnos'!$E:$E,'Detalle Turnos'!$A:$A,$A245,'Detalle Turnos'!$B:$B,"Mañana")</f>
        <v>0</v>
      </c>
      <c r="D245" s="47">
        <f>SUMIFS('Detalle Turnos'!$E:$E,'Detalle Turnos'!$A:$A,$A245,'Detalle Turnos'!$B:$B,"Mediodia")</f>
        <v>0</v>
      </c>
      <c r="E245" s="47">
        <f>SUMIFS('Detalle Turnos'!$E:$E,'Detalle Turnos'!$A:$A,$A245,'Detalle Turnos'!$B:$B,"Noche")</f>
        <v>0</v>
      </c>
      <c r="F245" s="48">
        <f t="shared" si="19"/>
        <v>0</v>
      </c>
      <c r="G245" s="47">
        <f>IFERROR(IF(ISNUMBER(MATCH($A245,'Eventos y Previsión'!$B$4:$B$24,0)),INDEX('Eventos y Previsión'!$F$4:$F$24,MATCH($A245,'Eventos y Previsión'!$B$4:$B$24,0)),AVERAGEIFS('Facturación 2025'!$F$4:$F$303,'Facturación 2025'!$B$4:$B$303,$B245)),0)</f>
        <v>2049.8245999999995</v>
      </c>
      <c r="H245" s="53">
        <f t="shared" si="20"/>
        <v>-2049.8245999999995</v>
      </c>
      <c r="I245" s="49">
        <f t="shared" si="21"/>
        <v>-1</v>
      </c>
      <c r="J245" s="47">
        <f t="array" ref="J245">SUMPRODUCT(('Horarios Personal'!$A$5:$A$555=$A245)*IFERROR('Horarios Personal'!$L$5:$L$555*1,0))</f>
        <v>0</v>
      </c>
      <c r="K245" s="70" t="str">
        <f t="shared" si="22"/>
        <v/>
      </c>
      <c r="L245" s="58" t="str">
        <f t="array" ref="L245">IFERROR(INDEX('Eventos y Previsión'!$C$4:$C$24,SUMPRODUCT((LOWER('Eventos y Previsión'!$A$4:$A$24)=LOWER(TEXT($A245,"mmmm")))*(ISNUMBER(SEARCH(TEXT(DAY($A245),"00")&amp;"/"&amp;TEXT(MONTH($A245),"00"),'Eventos y Previsión'!$B$4:$B$24)))*ROW('Eventos y Previsión'!$A$4:$A$24))-ROW('Eventos y Previsión'!$A$3)),"")</f>
        <v/>
      </c>
    </row>
    <row r="246" spans="1:12" ht="15.75" customHeight="1">
      <c r="A246" s="62">
        <v>46376</v>
      </c>
      <c r="B246" s="46" t="str">
        <f t="shared" si="18"/>
        <v>dom</v>
      </c>
      <c r="C246" s="47">
        <f>SUMIFS('Detalle Turnos'!$E:$E,'Detalle Turnos'!$A:$A,$A246,'Detalle Turnos'!$B:$B,"Mañana")</f>
        <v>0</v>
      </c>
      <c r="D246" s="47">
        <f>SUMIFS('Detalle Turnos'!$E:$E,'Detalle Turnos'!$A:$A,$A246,'Detalle Turnos'!$B:$B,"Mediodia")</f>
        <v>0</v>
      </c>
      <c r="E246" s="47">
        <f>SUMIFS('Detalle Turnos'!$E:$E,'Detalle Turnos'!$A:$A,$A246,'Detalle Turnos'!$B:$B,"Noche")</f>
        <v>0</v>
      </c>
      <c r="F246" s="48">
        <f t="shared" si="19"/>
        <v>0</v>
      </c>
      <c r="G246" s="47">
        <f>IFERROR(IF(ISNUMBER(MATCH($A246,'Eventos y Previsión'!$B$4:$B$24,0)),INDEX('Eventos y Previsión'!$F$4:$F$24,MATCH($A246,'Eventos y Previsión'!$B$4:$B$24,0)),AVERAGEIFS('Facturación 2025'!$F$4:$F$303,'Facturación 2025'!$B$4:$B$303,$B246)),0)</f>
        <v>1690.062558139535</v>
      </c>
      <c r="H246" s="53">
        <f t="shared" si="20"/>
        <v>-1690.062558139535</v>
      </c>
      <c r="I246" s="49">
        <f t="shared" si="21"/>
        <v>-1</v>
      </c>
      <c r="J246" s="47">
        <f t="array" ref="J246">SUMPRODUCT(('Horarios Personal'!$A$5:$A$555=$A246)*IFERROR('Horarios Personal'!$L$5:$L$555*1,0))</f>
        <v>0</v>
      </c>
      <c r="K246" s="70" t="str">
        <f t="shared" si="22"/>
        <v/>
      </c>
      <c r="L246" s="58" t="str">
        <f t="array" ref="L246">IFERROR(INDEX('Eventos y Previsión'!$C$4:$C$24,SUMPRODUCT((LOWER('Eventos y Previsión'!$A$4:$A$24)=LOWER(TEXT($A246,"mmmm")))*(ISNUMBER(SEARCH(TEXT(DAY($A246),"00")&amp;"/"&amp;TEXT(MONTH($A246),"00"),'Eventos y Previsión'!$B$4:$B$24)))*ROW('Eventos y Previsión'!$A$4:$A$24))-ROW('Eventos y Previsión'!$A$3)),"")</f>
        <v/>
      </c>
    </row>
    <row r="247" spans="1:12" ht="15.75" customHeight="1">
      <c r="A247" s="62">
        <v>46379</v>
      </c>
      <c r="B247" s="46" t="str">
        <f t="shared" si="18"/>
        <v>mié</v>
      </c>
      <c r="C247" s="47">
        <f>SUMIFS('Detalle Turnos'!$E:$E,'Detalle Turnos'!$A:$A,$A247,'Detalle Turnos'!$B:$B,"Mañana")</f>
        <v>0</v>
      </c>
      <c r="D247" s="47">
        <f>SUMIFS('Detalle Turnos'!$E:$E,'Detalle Turnos'!$A:$A,$A247,'Detalle Turnos'!$B:$B,"Mediodia")</f>
        <v>0</v>
      </c>
      <c r="E247" s="47">
        <f>SUMIFS('Detalle Turnos'!$E:$E,'Detalle Turnos'!$A:$A,$A247,'Detalle Turnos'!$B:$B,"Noche")</f>
        <v>0</v>
      </c>
      <c r="F247" s="48">
        <f t="shared" si="19"/>
        <v>0</v>
      </c>
      <c r="G247" s="47">
        <f>IFERROR(IF(ISNUMBER(MATCH($A247,'Eventos y Previsión'!$B$4:$B$24,0)),INDEX('Eventos y Previsión'!$F$4:$F$24,MATCH($A247,'Eventos y Previsión'!$B$4:$B$24,0)),AVERAGEIFS('Facturación 2025'!$F$4:$F$303,'Facturación 2025'!$B$4:$B$303,$B247)),0)</f>
        <v>1039.9519512195122</v>
      </c>
      <c r="H247" s="53">
        <f t="shared" si="20"/>
        <v>-1039.9519512195122</v>
      </c>
      <c r="I247" s="49">
        <f t="shared" si="21"/>
        <v>-1</v>
      </c>
      <c r="J247" s="47">
        <f t="array" ref="J247">SUMPRODUCT(('Horarios Personal'!$A$5:$A$555=$A247)*IFERROR('Horarios Personal'!$L$5:$L$555*1,0))</f>
        <v>0</v>
      </c>
      <c r="K247" s="70" t="str">
        <f t="shared" si="22"/>
        <v/>
      </c>
      <c r="L247" s="58" t="str">
        <f t="array" ref="L247">IFERROR(INDEX('Eventos y Previsión'!$C$4:$C$24,SUMPRODUCT((LOWER('Eventos y Previsión'!$A$4:$A$24)=LOWER(TEXT($A247,"mmmm")))*(ISNUMBER(SEARCH(TEXT(DAY($A247),"00")&amp;"/"&amp;TEXT(MONTH($A247),"00"),'Eventos y Previsión'!$B$4:$B$24)))*ROW('Eventos y Previsión'!$A$4:$A$24))-ROW('Eventos y Previsión'!$A$3)),"")</f>
        <v/>
      </c>
    </row>
    <row r="248" spans="1:12" ht="15.75" customHeight="1">
      <c r="A248" s="62">
        <v>46380</v>
      </c>
      <c r="B248" s="46" t="str">
        <f t="shared" si="18"/>
        <v>jue</v>
      </c>
      <c r="C248" s="47">
        <f>SUMIFS('Detalle Turnos'!$E:$E,'Detalle Turnos'!$A:$A,$A248,'Detalle Turnos'!$B:$B,"Mañana")</f>
        <v>0</v>
      </c>
      <c r="D248" s="47">
        <f>SUMIFS('Detalle Turnos'!$E:$E,'Detalle Turnos'!$A:$A,$A248,'Detalle Turnos'!$B:$B,"Mediodia")</f>
        <v>0</v>
      </c>
      <c r="E248" s="47">
        <f>SUMIFS('Detalle Turnos'!$E:$E,'Detalle Turnos'!$A:$A,$A248,'Detalle Turnos'!$B:$B,"Noche")</f>
        <v>0</v>
      </c>
      <c r="F248" s="48">
        <f t="shared" si="19"/>
        <v>0</v>
      </c>
      <c r="G248" s="47">
        <f>IFERROR(IF(ISNUMBER(MATCH($A248,'Eventos y Previsión'!$B$4:$B$24,0)),INDEX('Eventos y Previsión'!$F$4:$F$24,MATCH($A248,'Eventos y Previsión'!$B$4:$B$24,0)),AVERAGEIFS('Facturación 2025'!$F$4:$F$303,'Facturación 2025'!$B$4:$B$303,$B248)),0)</f>
        <v>1100.2225000000003</v>
      </c>
      <c r="H248" s="53">
        <f t="shared" si="20"/>
        <v>-1100.2225000000003</v>
      </c>
      <c r="I248" s="49">
        <f t="shared" si="21"/>
        <v>-1</v>
      </c>
      <c r="J248" s="47">
        <f t="array" ref="J248">SUMPRODUCT(('Horarios Personal'!$A$5:$A$555=$A248)*IFERROR('Horarios Personal'!$L$5:$L$555*1,0))</f>
        <v>0</v>
      </c>
      <c r="K248" s="70" t="str">
        <f t="shared" si="22"/>
        <v/>
      </c>
      <c r="L248" s="58" t="str">
        <f t="array" ref="L248">IFERROR(INDEX('Eventos y Previsión'!$C$4:$C$24,SUMPRODUCT((LOWER('Eventos y Previsión'!$A$4:$A$24)=LOWER(TEXT($A248,"mmmm")))*(ISNUMBER(SEARCH(TEXT(DAY($A248),"00")&amp;"/"&amp;TEXT(MONTH($A248),"00"),'Eventos y Previsión'!$B$4:$B$24)))*ROW('Eventos y Previsión'!$A$4:$A$24))-ROW('Eventos y Previsión'!$A$3)),"")</f>
        <v/>
      </c>
    </row>
    <row r="249" spans="1:12" ht="15.75" customHeight="1">
      <c r="A249" s="62">
        <v>46381</v>
      </c>
      <c r="B249" s="46" t="str">
        <f t="shared" si="18"/>
        <v>vie</v>
      </c>
      <c r="C249" s="47">
        <f>SUMIFS('Detalle Turnos'!$E:$E,'Detalle Turnos'!$A:$A,$A249,'Detalle Turnos'!$B:$B,"Mañana")</f>
        <v>0</v>
      </c>
      <c r="D249" s="47">
        <f>SUMIFS('Detalle Turnos'!$E:$E,'Detalle Turnos'!$A:$A,$A249,'Detalle Turnos'!$B:$B,"Mediodia")</f>
        <v>0</v>
      </c>
      <c r="E249" s="47">
        <f>SUMIFS('Detalle Turnos'!$E:$E,'Detalle Turnos'!$A:$A,$A249,'Detalle Turnos'!$B:$B,"Noche")</f>
        <v>0</v>
      </c>
      <c r="F249" s="48">
        <f t="shared" si="19"/>
        <v>0</v>
      </c>
      <c r="G249" s="47">
        <f>IFERROR(IF(ISNUMBER(MATCH($A249,'Eventos y Previsión'!$B$4:$B$24,0)),INDEX('Eventos y Previsión'!$F$4:$F$24,MATCH($A249,'Eventos y Previsión'!$B$4:$B$24,0)),AVERAGEIFS('Facturación 2025'!$F$4:$F$303,'Facturación 2025'!$B$4:$B$303,$B249)),0)</f>
        <v>1865.4067441860466</v>
      </c>
      <c r="H249" s="53">
        <f t="shared" si="20"/>
        <v>-1865.4067441860466</v>
      </c>
      <c r="I249" s="49">
        <f t="shared" si="21"/>
        <v>-1</v>
      </c>
      <c r="J249" s="47">
        <f t="array" ref="J249">SUMPRODUCT(('Horarios Personal'!$A$5:$A$555=$A249)*IFERROR('Horarios Personal'!$L$5:$L$555*1,0))</f>
        <v>0</v>
      </c>
      <c r="K249" s="70" t="str">
        <f t="shared" si="22"/>
        <v/>
      </c>
      <c r="L249" s="58" t="str">
        <f t="array" ref="L249">IFERROR(INDEX('Eventos y Previsión'!$C$4:$C$24,SUMPRODUCT((LOWER('Eventos y Previsión'!$A$4:$A$24)=LOWER(TEXT($A249,"mmmm")))*(ISNUMBER(SEARCH(TEXT(DAY($A249),"00")&amp;"/"&amp;TEXT(MONTH($A249),"00"),'Eventos y Previsión'!$B$4:$B$24)))*ROW('Eventos y Previsión'!$A$4:$A$24))-ROW('Eventos y Previsión'!$A$3)),"")</f>
        <v/>
      </c>
    </row>
    <row r="250" spans="1:12" ht="15.75" customHeight="1">
      <c r="A250" s="62">
        <v>46382</v>
      </c>
      <c r="B250" s="46" t="str">
        <f t="shared" si="18"/>
        <v>sáb</v>
      </c>
      <c r="C250" s="47">
        <f>SUMIFS('Detalle Turnos'!$E:$E,'Detalle Turnos'!$A:$A,$A250,'Detalle Turnos'!$B:$B,"Mañana")</f>
        <v>0</v>
      </c>
      <c r="D250" s="47">
        <f>SUMIFS('Detalle Turnos'!$E:$E,'Detalle Turnos'!$A:$A,$A250,'Detalle Turnos'!$B:$B,"Mediodia")</f>
        <v>0</v>
      </c>
      <c r="E250" s="47">
        <f>SUMIFS('Detalle Turnos'!$E:$E,'Detalle Turnos'!$A:$A,$A250,'Detalle Turnos'!$B:$B,"Noche")</f>
        <v>0</v>
      </c>
      <c r="F250" s="48">
        <f t="shared" si="19"/>
        <v>0</v>
      </c>
      <c r="G250" s="47">
        <f>IFERROR(IF(ISNUMBER(MATCH($A250,'Eventos y Previsión'!$B$4:$B$24,0)),INDEX('Eventos y Previsión'!$F$4:$F$24,MATCH($A250,'Eventos y Previsión'!$B$4:$B$24,0)),AVERAGEIFS('Facturación 2025'!$F$4:$F$303,'Facturación 2025'!$B$4:$B$303,$B250)),0)</f>
        <v>2049.8245999999995</v>
      </c>
      <c r="H250" s="53">
        <f t="shared" si="20"/>
        <v>-2049.8245999999995</v>
      </c>
      <c r="I250" s="49">
        <f t="shared" si="21"/>
        <v>-1</v>
      </c>
      <c r="J250" s="47">
        <f t="array" ref="J250">SUMPRODUCT(('Horarios Personal'!$A$5:$A$555=$A250)*IFERROR('Horarios Personal'!$L$5:$L$555*1,0))</f>
        <v>0</v>
      </c>
      <c r="K250" s="70" t="str">
        <f t="shared" si="22"/>
        <v/>
      </c>
      <c r="L250" s="58" t="str">
        <f t="array" ref="L250">IFERROR(INDEX('Eventos y Previsión'!$C$4:$C$24,SUMPRODUCT((LOWER('Eventos y Previsión'!$A$4:$A$24)=LOWER(TEXT($A250,"mmmm")))*(ISNUMBER(SEARCH(TEXT(DAY($A250),"00")&amp;"/"&amp;TEXT(MONTH($A250),"00"),'Eventos y Previsión'!$B$4:$B$24)))*ROW('Eventos y Previsión'!$A$4:$A$24))-ROW('Eventos y Previsión'!$A$3)),"")</f>
        <v/>
      </c>
    </row>
    <row r="251" spans="1:12" ht="15.75" customHeight="1">
      <c r="A251" s="62">
        <v>46383</v>
      </c>
      <c r="B251" s="46" t="str">
        <f t="shared" si="18"/>
        <v>dom</v>
      </c>
      <c r="C251" s="47">
        <f>SUMIFS('Detalle Turnos'!$E:$E,'Detalle Turnos'!$A:$A,$A251,'Detalle Turnos'!$B:$B,"Mañana")</f>
        <v>0</v>
      </c>
      <c r="D251" s="47">
        <f>SUMIFS('Detalle Turnos'!$E:$E,'Detalle Turnos'!$A:$A,$A251,'Detalle Turnos'!$B:$B,"Mediodia")</f>
        <v>0</v>
      </c>
      <c r="E251" s="47">
        <f>SUMIFS('Detalle Turnos'!$E:$E,'Detalle Turnos'!$A:$A,$A251,'Detalle Turnos'!$B:$B,"Noche")</f>
        <v>0</v>
      </c>
      <c r="F251" s="48">
        <f t="shared" si="19"/>
        <v>0</v>
      </c>
      <c r="G251" s="47">
        <f>IFERROR(IF(ISNUMBER(MATCH($A251,'Eventos y Previsión'!$B$4:$B$24,0)),INDEX('Eventos y Previsión'!$F$4:$F$24,MATCH($A251,'Eventos y Previsión'!$B$4:$B$24,0)),AVERAGEIFS('Facturación 2025'!$F$4:$F$303,'Facturación 2025'!$B$4:$B$303,$B251)),0)</f>
        <v>1690.062558139535</v>
      </c>
      <c r="H251" s="53">
        <f t="shared" si="20"/>
        <v>-1690.062558139535</v>
      </c>
      <c r="I251" s="49">
        <f t="shared" si="21"/>
        <v>-1</v>
      </c>
      <c r="J251" s="47">
        <f t="array" ref="J251">SUMPRODUCT(('Horarios Personal'!$A$5:$A$555=$A251)*IFERROR('Horarios Personal'!$L$5:$L$555*1,0))</f>
        <v>0</v>
      </c>
      <c r="K251" s="70" t="str">
        <f t="shared" si="22"/>
        <v/>
      </c>
      <c r="L251" s="58" t="str">
        <f t="array" ref="L251">IFERROR(INDEX('Eventos y Previsión'!$C$4:$C$24,SUMPRODUCT((LOWER('Eventos y Previsión'!$A$4:$A$24)=LOWER(TEXT($A251,"mmmm")))*(ISNUMBER(SEARCH(TEXT(DAY($A251),"00")&amp;"/"&amp;TEXT(MONTH($A251),"00"),'Eventos y Previsión'!$B$4:$B$24)))*ROW('Eventos y Previsión'!$A$4:$A$24))-ROW('Eventos y Previsión'!$A$3)),"")</f>
        <v/>
      </c>
    </row>
    <row r="252" spans="1:12" ht="15.75" customHeight="1">
      <c r="A252" s="62">
        <v>46386</v>
      </c>
      <c r="B252" s="46" t="str">
        <f t="shared" si="18"/>
        <v>mié</v>
      </c>
      <c r="C252" s="47">
        <f>SUMIFS('Detalle Turnos'!$E:$E,'Detalle Turnos'!$A:$A,$A252,'Detalle Turnos'!$B:$B,"Mañana")</f>
        <v>0</v>
      </c>
      <c r="D252" s="47">
        <f>SUMIFS('Detalle Turnos'!$E:$E,'Detalle Turnos'!$A:$A,$A252,'Detalle Turnos'!$B:$B,"Mediodia")</f>
        <v>0</v>
      </c>
      <c r="E252" s="47">
        <f>SUMIFS('Detalle Turnos'!$E:$E,'Detalle Turnos'!$A:$A,$A252,'Detalle Turnos'!$B:$B,"Noche")</f>
        <v>0</v>
      </c>
      <c r="F252" s="48">
        <f t="shared" si="19"/>
        <v>0</v>
      </c>
      <c r="G252" s="47">
        <f>IFERROR(IF(ISNUMBER(MATCH($A252,'Eventos y Previsión'!$B$4:$B$24,0)),INDEX('Eventos y Previsión'!$F$4:$F$24,MATCH($A252,'Eventos y Previsión'!$B$4:$B$24,0)),AVERAGEIFS('Facturación 2025'!$F$4:$F$303,'Facturación 2025'!$B$4:$B$303,$B252)),0)</f>
        <v>1039.9519512195122</v>
      </c>
      <c r="H252" s="53">
        <f t="shared" si="20"/>
        <v>-1039.9519512195122</v>
      </c>
      <c r="I252" s="49">
        <f t="shared" si="21"/>
        <v>-1</v>
      </c>
      <c r="J252" s="47">
        <f t="array" ref="J252">SUMPRODUCT(('Horarios Personal'!$A$5:$A$555=$A252)*IFERROR('Horarios Personal'!$L$5:$L$555*1,0))</f>
        <v>0</v>
      </c>
      <c r="K252" s="70" t="str">
        <f t="shared" si="22"/>
        <v/>
      </c>
      <c r="L252" s="58" t="str">
        <f t="array" ref="L252">IFERROR(INDEX('Eventos y Previsión'!$C$4:$C$24,SUMPRODUCT((LOWER('Eventos y Previsión'!$A$4:$A$24)=LOWER(TEXT($A252,"mmmm")))*(ISNUMBER(SEARCH(TEXT(DAY($A252),"00")&amp;"/"&amp;TEXT(MONTH($A252),"00"),'Eventos y Previsión'!$B$4:$B$24)))*ROW('Eventos y Previsión'!$A$4:$A$24))-ROW('Eventos y Previsión'!$A$3)),"")</f>
        <v/>
      </c>
    </row>
    <row r="253" spans="1:12" ht="15.75" customHeight="1">
      <c r="A253" s="62">
        <v>46387</v>
      </c>
      <c r="B253" s="46" t="str">
        <f t="shared" si="18"/>
        <v>jue</v>
      </c>
      <c r="C253" s="47">
        <f>SUMIFS('Detalle Turnos'!$E:$E,'Detalle Turnos'!$A:$A,$A253,'Detalle Turnos'!$B:$B,"Mañana")</f>
        <v>0</v>
      </c>
      <c r="D253" s="47">
        <f>SUMIFS('Detalle Turnos'!$E:$E,'Detalle Turnos'!$A:$A,$A253,'Detalle Turnos'!$B:$B,"Mediodia")</f>
        <v>0</v>
      </c>
      <c r="E253" s="47">
        <f>SUMIFS('Detalle Turnos'!$E:$E,'Detalle Turnos'!$A:$A,$A253,'Detalle Turnos'!$B:$B,"Noche")</f>
        <v>0</v>
      </c>
      <c r="F253" s="48">
        <f t="shared" si="19"/>
        <v>0</v>
      </c>
      <c r="G253" s="47">
        <f>IFERROR(IF(ISNUMBER(MATCH($A253,'Eventos y Previsión'!$B$4:$B$24,0)),INDEX('Eventos y Previsión'!$F$4:$F$24,MATCH($A253,'Eventos y Previsión'!$B$4:$B$24,0)),AVERAGEIFS('Facturación 2025'!$F$4:$F$303,'Facturación 2025'!$B$4:$B$303,$B253)),0)</f>
        <v>1100.2225000000003</v>
      </c>
      <c r="H253" s="53">
        <f t="shared" si="20"/>
        <v>-1100.2225000000003</v>
      </c>
      <c r="I253" s="49">
        <f t="shared" si="21"/>
        <v>-1</v>
      </c>
      <c r="J253" s="47">
        <f t="array" ref="J253">SUMPRODUCT(('Horarios Personal'!$A$5:$A$555=$A253)*IFERROR('Horarios Personal'!$L$5:$L$555*1,0))</f>
        <v>0</v>
      </c>
      <c r="K253" s="70" t="str">
        <f t="shared" si="22"/>
        <v/>
      </c>
      <c r="L253" s="58" t="str">
        <f t="array" ref="L253">IFERROR(INDEX('Eventos y Previsión'!$C$4:$C$24,SUMPRODUCT((LOWER('Eventos y Previsión'!$A$4:$A$24)=LOWER(TEXT($A253,"mmmm")))*(ISNUMBER(SEARCH(TEXT(DAY($A253),"00")&amp;"/"&amp;TEXT(MONTH($A253),"00"),'Eventos y Previsión'!$B$4:$B$24)))*ROW('Eventos y Previsión'!$A$4:$A$24))-ROW('Eventos y Previsión'!$A$3)),"")</f>
        <v/>
      </c>
    </row>
    <row r="254" spans="1:12" ht="15.75" customHeight="1">
      <c r="A254" s="65"/>
      <c r="B254" s="46"/>
      <c r="C254" s="47"/>
      <c r="D254" s="47"/>
      <c r="E254" s="47"/>
      <c r="F254" s="48"/>
      <c r="G254" s="47"/>
      <c r="H254" s="53"/>
      <c r="I254" s="49"/>
      <c r="J254" s="47"/>
      <c r="K254" s="47"/>
      <c r="L254" s="60"/>
    </row>
    <row r="255" spans="1:12" ht="15.75" customHeight="1">
      <c r="A255" s="65"/>
      <c r="B255" s="46"/>
      <c r="C255" s="47"/>
      <c r="D255" s="47"/>
      <c r="E255" s="47"/>
      <c r="F255" s="48"/>
      <c r="G255" s="47"/>
      <c r="H255" s="53"/>
      <c r="I255" s="49"/>
      <c r="J255" s="47"/>
      <c r="K255" s="47"/>
      <c r="L255" s="60"/>
    </row>
    <row r="256" spans="1:12" ht="15.75" customHeight="1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</row>
    <row r="257" spans="1:12" ht="15.75" customHeight="1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</row>
    <row r="258" spans="1:12" ht="15.7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</row>
    <row r="259" spans="1:12" ht="15.7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</row>
    <row r="260" spans="1:12" ht="15.7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</row>
    <row r="261" spans="1:12" ht="15.7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</row>
    <row r="262" spans="1:12" ht="15.7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</row>
    <row r="263" spans="1:12" ht="15.7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</row>
    <row r="264" spans="1:12" ht="15.7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</row>
    <row r="265" spans="1:12" ht="15.7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</row>
    <row r="266" spans="1:12" ht="15.7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</row>
    <row r="267" spans="1:12" ht="15.7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</row>
    <row r="268" spans="1:12" ht="15.7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</row>
    <row r="269" spans="1:12" ht="15.7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</row>
    <row r="270" spans="1:12" ht="15.7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</row>
    <row r="271" spans="1:12" ht="15.7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</row>
    <row r="272" spans="1:12" ht="15.7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</row>
    <row r="273" spans="1:12" ht="15.75" customHeight="1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</row>
    <row r="274" spans="1:12" ht="15.75" customHeight="1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</row>
    <row r="275" spans="1:12" ht="15.75" customHeight="1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</row>
    <row r="276" spans="1:12" ht="15.75" customHeight="1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</row>
    <row r="277" spans="1:12" ht="15.75" customHeight="1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</row>
    <row r="278" spans="1:12" ht="15.75" customHeight="1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</row>
    <row r="279" spans="1:12" ht="15.75" customHeight="1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</row>
    <row r="280" spans="1:12" ht="15.75" customHeight="1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</row>
    <row r="281" spans="1:12" ht="15.75" customHeight="1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</row>
    <row r="282" spans="1:12" ht="15.75" customHeight="1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</row>
    <row r="283" spans="1:12" ht="15.75" customHeight="1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</row>
    <row r="284" spans="1:12" ht="15.75" customHeight="1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</row>
    <row r="285" spans="1:12" ht="15.75" customHeight="1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</row>
    <row r="286" spans="1:12" ht="15.75" customHeight="1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</row>
    <row r="287" spans="1:12" ht="15.75" customHeight="1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</row>
    <row r="288" spans="1:12" ht="15.75" customHeight="1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</row>
    <row r="289" spans="1:12" ht="15.75" customHeight="1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</row>
    <row r="290" spans="1:12" ht="15.75" customHeight="1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</row>
    <row r="291" spans="1:12" ht="15.75" customHeight="1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</row>
    <row r="292" spans="1:12" ht="15.75" customHeight="1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</row>
    <row r="293" spans="1:12" ht="15.75" customHeight="1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</row>
    <row r="294" spans="1:12" ht="15.75" customHeight="1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</row>
    <row r="295" spans="1:12" ht="15.75" customHeight="1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</row>
    <row r="296" spans="1:12" ht="15.75" customHeight="1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</row>
    <row r="297" spans="1:12" ht="15.75" customHeight="1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</row>
    <row r="298" spans="1:12" ht="15.75" customHeight="1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</row>
    <row r="299" spans="1:12" ht="15.75" customHeight="1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</row>
    <row r="300" spans="1:12" ht="15.75" customHeight="1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</row>
    <row r="301" spans="1:12" ht="15.75" customHeight="1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</row>
    <row r="302" spans="1:12" ht="15.75" customHeight="1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</row>
    <row r="303" spans="1:12" ht="15.75" customHeight="1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</row>
    <row r="304" spans="1:12" ht="15.75" customHeight="1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</row>
    <row r="305" spans="1:12" ht="15.75" customHeight="1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</row>
    <row r="306" spans="1:12" ht="15.75" customHeight="1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</row>
    <row r="307" spans="1:12" ht="15.75" customHeight="1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</row>
    <row r="308" spans="1:12" ht="15.75" customHeight="1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</row>
    <row r="309" spans="1:12" ht="15.75" customHeight="1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</row>
    <row r="310" spans="1:12" ht="15.75" customHeight="1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</row>
    <row r="311" spans="1:12" ht="15.75" customHeight="1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</row>
    <row r="312" spans="1:12" ht="15.75" customHeight="1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</row>
    <row r="313" spans="1:12" ht="15.75" customHeight="1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</row>
    <row r="314" spans="1:12" ht="15.75" customHeight="1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</row>
    <row r="315" spans="1:12" ht="15.75" customHeight="1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</row>
    <row r="316" spans="1:12" ht="15.75" customHeight="1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</row>
    <row r="317" spans="1:12" ht="15.75" customHeight="1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</row>
    <row r="318" spans="1:12" ht="15.75" customHeight="1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</row>
    <row r="319" spans="1:12" ht="15.75" customHeight="1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</row>
    <row r="320" spans="1:12" ht="15.75" customHeight="1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</row>
    <row r="321" spans="1:12" ht="15.75" customHeight="1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</row>
    <row r="322" spans="1:12" ht="15.75" customHeight="1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</row>
    <row r="323" spans="1:12" ht="15.75" customHeight="1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</row>
    <row r="324" spans="1:12" ht="15.75" customHeight="1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</row>
    <row r="325" spans="1:12" ht="15.75" customHeight="1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</row>
    <row r="326" spans="1:12" ht="15.75" customHeight="1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</row>
    <row r="327" spans="1:12" ht="15.75" customHeight="1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</row>
    <row r="328" spans="1:12" ht="15.75" customHeight="1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</row>
    <row r="329" spans="1:12" ht="15.75" customHeight="1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</row>
    <row r="330" spans="1:12" ht="15.75" customHeight="1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</row>
    <row r="331" spans="1:12" ht="15.75" customHeight="1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</row>
    <row r="332" spans="1:12" ht="15.75" customHeight="1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</row>
    <row r="333" spans="1:12" ht="15.75" customHeight="1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</row>
    <row r="334" spans="1:12" ht="15.75" customHeight="1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</row>
    <row r="335" spans="1:12" ht="15.75" customHeight="1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</row>
    <row r="336" spans="1:12" ht="15.75" customHeight="1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</row>
    <row r="337" spans="1:12" ht="15.75" customHeight="1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</row>
    <row r="338" spans="1:12" ht="15.75" customHeight="1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</row>
    <row r="339" spans="1:12" ht="15.75" customHeight="1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</row>
    <row r="340" spans="1:12" ht="15.75" customHeight="1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</row>
    <row r="341" spans="1:12" ht="15.75" customHeight="1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</row>
    <row r="342" spans="1:12" ht="15.75" customHeight="1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</row>
    <row r="343" spans="1:12" ht="15.75" customHeight="1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</row>
    <row r="344" spans="1:12" ht="15.75" customHeight="1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</row>
    <row r="345" spans="1:12" ht="15.75" customHeight="1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</row>
    <row r="346" spans="1:12" ht="15.75" customHeight="1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</row>
    <row r="347" spans="1:12" ht="15.75" customHeight="1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</row>
    <row r="348" spans="1:12" ht="15.75" customHeight="1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</row>
    <row r="349" spans="1:12" ht="15.75" customHeight="1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</row>
    <row r="350" spans="1:12" ht="15.75" customHeight="1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</row>
    <row r="351" spans="1:12" ht="15.75" customHeight="1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</row>
    <row r="352" spans="1:12" ht="15.75" customHeight="1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</row>
    <row r="353" spans="1:12" ht="15.75" customHeight="1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</row>
    <row r="354" spans="1:12" ht="15.75" customHeight="1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</row>
    <row r="355" spans="1:12" ht="15.75" customHeight="1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</row>
    <row r="356" spans="1:12" ht="15.75" customHeight="1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</row>
    <row r="357" spans="1:12" ht="15.75" customHeight="1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</row>
    <row r="358" spans="1:12" ht="15.75" customHeight="1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</row>
    <row r="359" spans="1:12" ht="15.75" customHeight="1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</row>
    <row r="360" spans="1:12" ht="15.75" customHeight="1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</row>
    <row r="361" spans="1:12" ht="15.75" customHeight="1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</row>
    <row r="362" spans="1:12" ht="15.75" customHeight="1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</row>
    <row r="363" spans="1:12" ht="15.75" customHeight="1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</row>
    <row r="364" spans="1:12" ht="15.75" customHeight="1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</row>
    <row r="365" spans="1:12" ht="15.75" customHeight="1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</row>
    <row r="366" spans="1:12" ht="15.75" customHeight="1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</row>
    <row r="367" spans="1:12" ht="15.75" customHeight="1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</row>
    <row r="368" spans="1:12" ht="15.75" customHeight="1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</row>
    <row r="369" spans="1:12" ht="15.75" customHeight="1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</row>
    <row r="370" spans="1:12" ht="15.75" customHeight="1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</row>
    <row r="371" spans="1:12" ht="15.75" customHeight="1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</row>
    <row r="372" spans="1:12" ht="15.75" customHeight="1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</row>
    <row r="373" spans="1:12" ht="15.75" customHeight="1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</row>
    <row r="374" spans="1:12" ht="15.75" customHeight="1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</row>
    <row r="375" spans="1:12" ht="15.75" customHeight="1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</row>
    <row r="376" spans="1:12" ht="15.75" customHeight="1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</row>
    <row r="377" spans="1:12" ht="15.75" customHeight="1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</row>
    <row r="378" spans="1:12" ht="15.75" customHeight="1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</row>
    <row r="379" spans="1:12" ht="15.75" customHeight="1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</row>
    <row r="380" spans="1:12" ht="15.75" customHeight="1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</row>
    <row r="381" spans="1:12" ht="15.75" customHeight="1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</row>
    <row r="382" spans="1:12" ht="15.75" customHeight="1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</row>
    <row r="383" spans="1:12" ht="15.75" customHeight="1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</row>
    <row r="384" spans="1:12" ht="15.75" customHeight="1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</row>
    <row r="385" spans="1:12" ht="15.75" customHeight="1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</row>
    <row r="386" spans="1:12" ht="15.75" customHeight="1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</row>
    <row r="387" spans="1:12" ht="15.75" customHeight="1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</row>
    <row r="388" spans="1:12" ht="15.75" customHeight="1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</row>
    <row r="389" spans="1:12" ht="15.75" customHeight="1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</row>
    <row r="390" spans="1:12" ht="15.75" customHeight="1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</row>
    <row r="391" spans="1:12" ht="15.75" customHeight="1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</row>
    <row r="392" spans="1:12" ht="15.75" customHeight="1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</row>
    <row r="393" spans="1:12" ht="15.75" customHeight="1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</row>
    <row r="394" spans="1:12" ht="15.75" customHeight="1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</row>
    <row r="395" spans="1:12" ht="15.75" customHeight="1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</row>
    <row r="396" spans="1:12" ht="15.75" customHeight="1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</row>
    <row r="397" spans="1:12" ht="15.75" customHeight="1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</row>
    <row r="398" spans="1:12" ht="15.75" customHeight="1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</row>
    <row r="399" spans="1:12" ht="15.75" customHeight="1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</row>
    <row r="400" spans="1:12" ht="15.75" customHeight="1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</row>
    <row r="401" spans="1:12" ht="15.75" customHeight="1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</row>
    <row r="402" spans="1:12" ht="15.75" customHeight="1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</row>
    <row r="403" spans="1:12" ht="15.75" customHeight="1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</row>
    <row r="404" spans="1:12" ht="15.75" customHeight="1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</row>
    <row r="405" spans="1:12" ht="15.75" customHeight="1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</row>
    <row r="406" spans="1:12" ht="15.75" customHeight="1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</row>
    <row r="407" spans="1:12" ht="15.75" customHeight="1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</row>
    <row r="408" spans="1:12" ht="15.75" customHeight="1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</row>
    <row r="409" spans="1:12" ht="15.75" customHeight="1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</row>
    <row r="410" spans="1:12" ht="15.75" customHeight="1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</row>
    <row r="411" spans="1:12" ht="15.75" customHeight="1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</row>
    <row r="412" spans="1:12" ht="15.75" customHeight="1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</row>
    <row r="413" spans="1:12" ht="15.75" customHeight="1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</row>
    <row r="414" spans="1:12" ht="15.75" customHeight="1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</row>
    <row r="415" spans="1:12" ht="15.75" customHeight="1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</row>
    <row r="416" spans="1:12" ht="15.75" customHeight="1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</row>
    <row r="417" spans="1:12" ht="15.75" customHeight="1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</row>
    <row r="418" spans="1:12" ht="15.75" customHeight="1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</row>
    <row r="419" spans="1:12" ht="15.75" customHeight="1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</row>
    <row r="420" spans="1:12" ht="15.75" customHeight="1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</row>
    <row r="421" spans="1:12" ht="15.75" customHeight="1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</row>
    <row r="422" spans="1:12" ht="15.75" customHeight="1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</row>
    <row r="423" spans="1:12" ht="15.75" customHeight="1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</row>
    <row r="424" spans="1:12" ht="15.75" customHeight="1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</row>
    <row r="425" spans="1:12" ht="15.75" customHeight="1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</row>
    <row r="426" spans="1:12" ht="15.75" customHeight="1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</row>
    <row r="427" spans="1:12" ht="15.75" customHeight="1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</row>
    <row r="428" spans="1:12" ht="15.75" customHeight="1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</row>
    <row r="429" spans="1:12" ht="15.75" customHeight="1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</row>
    <row r="430" spans="1:12" ht="15.75" customHeight="1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</row>
    <row r="431" spans="1:12" ht="15.75" customHeight="1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</row>
    <row r="432" spans="1:12" ht="15.75" customHeight="1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</row>
    <row r="433" spans="1:12" ht="15.75" customHeight="1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</row>
    <row r="434" spans="1:12" ht="15.75" customHeight="1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</row>
    <row r="435" spans="1:12" ht="15.75" customHeight="1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</row>
    <row r="436" spans="1:12" ht="15.75" customHeight="1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</row>
    <row r="437" spans="1:12" ht="15.75" customHeight="1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</row>
    <row r="438" spans="1:12" ht="15.75" customHeight="1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</row>
    <row r="439" spans="1:12" ht="15.75" customHeight="1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</row>
    <row r="440" spans="1:12" ht="15.75" customHeight="1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</row>
    <row r="441" spans="1:12" ht="15.75" customHeight="1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</row>
    <row r="442" spans="1:12" ht="15.75" customHeight="1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</row>
    <row r="443" spans="1:12" ht="15.75" customHeight="1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</row>
    <row r="444" spans="1:12" ht="15.75" customHeight="1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</row>
    <row r="445" spans="1:12" ht="15.75" customHeight="1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</row>
    <row r="446" spans="1:12" ht="15.75" customHeight="1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</row>
    <row r="447" spans="1:12" ht="15.75" customHeight="1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</row>
    <row r="448" spans="1:12" ht="15.75" customHeight="1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</row>
    <row r="449" spans="1:12" ht="15.75" customHeight="1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</row>
    <row r="450" spans="1:12" ht="15.75" customHeight="1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</row>
    <row r="451" spans="1:12" ht="15.75" customHeight="1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</row>
    <row r="452" spans="1:12" ht="15.75" customHeight="1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</row>
    <row r="453" spans="1:12" ht="15.75" customHeight="1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</row>
    <row r="454" spans="1:12" ht="15.75" customHeight="1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</row>
    <row r="455" spans="1:12" ht="15.75" customHeight="1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</row>
    <row r="456" spans="1:12" ht="15.75" customHeight="1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</row>
    <row r="457" spans="1:12" ht="15.75" customHeight="1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</row>
    <row r="458" spans="1:12" ht="15.75" customHeight="1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</row>
    <row r="459" spans="1:12" ht="15.75" customHeight="1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</row>
    <row r="460" spans="1:12" ht="15.75" customHeight="1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</row>
    <row r="461" spans="1:12" ht="15.75" customHeight="1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</row>
    <row r="462" spans="1:12" ht="15.75" customHeight="1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</row>
    <row r="463" spans="1:12" ht="15.75" customHeight="1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</row>
    <row r="464" spans="1:12" ht="15.75" customHeight="1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</row>
    <row r="465" spans="1:12" ht="15.75" customHeight="1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</row>
    <row r="466" spans="1:12" ht="15.75" customHeight="1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</row>
    <row r="467" spans="1:12" ht="15.75" customHeight="1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</row>
    <row r="468" spans="1:12" ht="15.75" customHeight="1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</row>
    <row r="469" spans="1:12" ht="15.75" customHeight="1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</row>
    <row r="470" spans="1:12" ht="15.75" customHeight="1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</row>
    <row r="471" spans="1:12" ht="15.75" customHeight="1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</row>
    <row r="472" spans="1:12" ht="15.75" customHeight="1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</row>
    <row r="473" spans="1:12" ht="15.75" customHeight="1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</row>
    <row r="474" spans="1:12" ht="15.75" customHeight="1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</row>
    <row r="475" spans="1:12" ht="15.75" customHeight="1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</row>
    <row r="476" spans="1:12" ht="15.75" customHeight="1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</row>
    <row r="477" spans="1:12" ht="15.75" customHeight="1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</row>
    <row r="478" spans="1:12" ht="15.75" customHeight="1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</row>
    <row r="479" spans="1:12" ht="15.75" customHeight="1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</row>
    <row r="480" spans="1:12" ht="15.75" customHeight="1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</row>
    <row r="481" spans="1:12" ht="15.75" customHeight="1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</row>
    <row r="482" spans="1:12" ht="15.75" customHeight="1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</row>
    <row r="483" spans="1:12" ht="15.75" customHeight="1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</row>
    <row r="484" spans="1:12" ht="15.75" customHeight="1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</row>
    <row r="485" spans="1:12" ht="15.75" customHeight="1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</row>
    <row r="486" spans="1:12" ht="15.75" customHeight="1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</row>
    <row r="487" spans="1:12" ht="15.75" customHeight="1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</row>
    <row r="488" spans="1:12" ht="15.75" customHeight="1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</row>
    <row r="489" spans="1:12" ht="15.75" customHeight="1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</row>
    <row r="490" spans="1:12" ht="15.75" customHeight="1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</row>
    <row r="491" spans="1:12" ht="15.75" customHeight="1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</row>
    <row r="492" spans="1:12" ht="15.75" customHeight="1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</row>
    <row r="493" spans="1:12" ht="15.75" customHeight="1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</row>
    <row r="494" spans="1:12" ht="15.75" customHeight="1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</row>
    <row r="495" spans="1:12" ht="15.75" customHeight="1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</row>
    <row r="496" spans="1:12" ht="15.75" customHeight="1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</row>
    <row r="497" spans="1:12" ht="15.75" customHeight="1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</row>
    <row r="498" spans="1:12" ht="15.75" customHeight="1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</row>
    <row r="499" spans="1:12" ht="15.75" customHeight="1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</row>
    <row r="500" spans="1:12" ht="15.75" customHeight="1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</row>
    <row r="501" spans="1:12" ht="15.75" customHeight="1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</row>
    <row r="502" spans="1:12" ht="15.75" customHeight="1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</row>
    <row r="503" spans="1:12" ht="15.75" customHeight="1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</row>
    <row r="504" spans="1:12" ht="15.75" customHeight="1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</row>
    <row r="505" spans="1:12" ht="15.75" customHeight="1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</row>
    <row r="506" spans="1:12" ht="15.75" customHeight="1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</row>
    <row r="507" spans="1:12" ht="15.75" customHeight="1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</row>
    <row r="508" spans="1:12" ht="15.75" customHeight="1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</row>
    <row r="509" spans="1:12" ht="15.75" customHeight="1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</row>
    <row r="510" spans="1:12" ht="15.75" customHeight="1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</row>
    <row r="511" spans="1:12" ht="15.75" customHeight="1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</row>
    <row r="512" spans="1:12" ht="15.75" customHeight="1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</row>
    <row r="513" spans="1:12" ht="15.75" customHeight="1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</row>
    <row r="514" spans="1:12" ht="15.75" customHeight="1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</row>
    <row r="515" spans="1:12" ht="15.75" customHeight="1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</row>
    <row r="516" spans="1:12" ht="15.75" customHeight="1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</row>
    <row r="517" spans="1:12" ht="15.75" customHeight="1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</row>
    <row r="518" spans="1:12" ht="15.75" customHeight="1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</row>
    <row r="519" spans="1:12" ht="15.75" customHeight="1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</row>
    <row r="520" spans="1:12" ht="15.75" customHeight="1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</row>
    <row r="521" spans="1:12" ht="15.75" customHeight="1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</row>
    <row r="522" spans="1:12" ht="15.75" customHeight="1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</row>
    <row r="523" spans="1:12" ht="15.75" customHeight="1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</row>
    <row r="524" spans="1:12" ht="15.75" customHeight="1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</row>
    <row r="525" spans="1:12" ht="15.75" customHeight="1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</row>
    <row r="526" spans="1:12" ht="15.75" customHeight="1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</row>
    <row r="527" spans="1:12" ht="15.75" customHeight="1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</row>
    <row r="528" spans="1:12" ht="15.75" customHeight="1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</row>
    <row r="529" spans="1:12" ht="15.75" customHeight="1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</row>
    <row r="530" spans="1:12" ht="15.75" customHeight="1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</row>
    <row r="531" spans="1:12" ht="15.75" customHeight="1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</row>
    <row r="532" spans="1:12" ht="15.75" customHeight="1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</row>
    <row r="533" spans="1:12" ht="15.75" customHeight="1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</row>
    <row r="534" spans="1:12" ht="15.75" customHeight="1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</row>
    <row r="535" spans="1:12" ht="15.75" customHeight="1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</row>
    <row r="536" spans="1:12" ht="15.75" customHeight="1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</row>
    <row r="537" spans="1:12" ht="15.75" customHeight="1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</row>
    <row r="538" spans="1:12" ht="15.75" customHeight="1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</row>
    <row r="539" spans="1:12" ht="15.75" customHeight="1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</row>
    <row r="540" spans="1:12" ht="15.75" customHeight="1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</row>
    <row r="541" spans="1:12" ht="15.75" customHeight="1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</row>
    <row r="542" spans="1:12" ht="15.75" customHeight="1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</row>
    <row r="543" spans="1:12" ht="15.75" customHeight="1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</row>
    <row r="544" spans="1:12" ht="15.75" customHeight="1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</row>
    <row r="545" spans="1:12" ht="15.75" customHeight="1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</row>
    <row r="546" spans="1:12" ht="15.75" customHeight="1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</row>
    <row r="547" spans="1:12" ht="15.75" customHeight="1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</row>
    <row r="548" spans="1:12" ht="15.75" customHeight="1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</row>
    <row r="549" spans="1:12" ht="15.75" customHeight="1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</row>
    <row r="550" spans="1:12" ht="15.75" customHeight="1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</row>
    <row r="551" spans="1:12" ht="15.75" customHeight="1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</row>
    <row r="552" spans="1:12" ht="15.75" customHeight="1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</row>
    <row r="553" spans="1:12" ht="15.75" customHeight="1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</row>
    <row r="554" spans="1:12" ht="15.75" customHeight="1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</row>
    <row r="555" spans="1:12" ht="15.75" customHeight="1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</row>
    <row r="556" spans="1:12" ht="15.75" customHeight="1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</row>
    <row r="557" spans="1:12" ht="15.75" customHeight="1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</row>
    <row r="558" spans="1:12" ht="15.75" customHeight="1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</row>
    <row r="559" spans="1:12" ht="15.75" customHeight="1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</row>
    <row r="560" spans="1:12" ht="15.75" customHeight="1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</row>
    <row r="561" spans="1:12" ht="15.75" customHeight="1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</row>
    <row r="562" spans="1:12" ht="15.75" customHeight="1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</row>
    <row r="563" spans="1:12" ht="15.75" customHeight="1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</row>
    <row r="564" spans="1:12" ht="15.75" customHeight="1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</row>
    <row r="565" spans="1:12" ht="15.75" customHeight="1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</row>
    <row r="566" spans="1:12" ht="15.75" customHeight="1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</row>
    <row r="567" spans="1:12" ht="15.75" customHeight="1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</row>
    <row r="568" spans="1:12" ht="15.75" customHeight="1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</row>
    <row r="569" spans="1:12" ht="15.75" customHeight="1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</row>
    <row r="570" spans="1:12" ht="15.75" customHeight="1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</row>
    <row r="571" spans="1:12" ht="15.75" customHeight="1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</row>
    <row r="572" spans="1:12" ht="15.75" customHeight="1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</row>
    <row r="573" spans="1:12" ht="15.75" customHeight="1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</row>
    <row r="574" spans="1:12" ht="15.75" customHeight="1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</row>
    <row r="575" spans="1:12" ht="15.75" customHeight="1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</row>
    <row r="576" spans="1:12" ht="15.75" customHeight="1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</row>
    <row r="577" spans="1:12" ht="15.75" customHeight="1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</row>
    <row r="578" spans="1:12" ht="15.75" customHeight="1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</row>
    <row r="579" spans="1:12" ht="15.75" customHeight="1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</row>
    <row r="580" spans="1:12" ht="15.75" customHeight="1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</row>
    <row r="581" spans="1:12" ht="15.75" customHeight="1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</row>
    <row r="582" spans="1:12" ht="15.75" customHeight="1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</row>
    <row r="583" spans="1:12" ht="15.75" customHeight="1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</row>
    <row r="584" spans="1:12" ht="15.75" customHeight="1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</row>
    <row r="585" spans="1:12" ht="15.75" customHeight="1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</row>
    <row r="586" spans="1:12" ht="15.75" customHeight="1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</row>
    <row r="587" spans="1:12" ht="15.75" customHeight="1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</row>
    <row r="588" spans="1:12" ht="15.75" customHeight="1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</row>
    <row r="589" spans="1:12" ht="15.75" customHeight="1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</row>
    <row r="590" spans="1:12" ht="15.75" customHeight="1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</row>
    <row r="591" spans="1:12" ht="15.75" customHeight="1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</row>
    <row r="592" spans="1:12" ht="15.75" customHeight="1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</row>
    <row r="593" spans="1:12" ht="15.75" customHeight="1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</row>
    <row r="594" spans="1:12" ht="15.75" customHeight="1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</row>
    <row r="595" spans="1:12" ht="15.75" customHeight="1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</row>
    <row r="596" spans="1:12" ht="15.75" customHeight="1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</row>
    <row r="597" spans="1:12" ht="15.75" customHeight="1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</row>
    <row r="598" spans="1:12" ht="15.75" customHeight="1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</row>
    <row r="599" spans="1:12" ht="15.75" customHeight="1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</row>
    <row r="600" spans="1:12" ht="15.75" customHeight="1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</row>
    <row r="601" spans="1:12" ht="15.75" customHeight="1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</row>
    <row r="602" spans="1:12" ht="15.75" customHeight="1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</row>
    <row r="603" spans="1:12" ht="15.75" customHeight="1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</row>
    <row r="604" spans="1:12" ht="15.75" customHeight="1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</row>
    <row r="605" spans="1:12" ht="15.75" customHeight="1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</row>
    <row r="606" spans="1:12" ht="15.75" customHeight="1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</row>
    <row r="607" spans="1:12" ht="15.75" customHeight="1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</row>
    <row r="608" spans="1:12" ht="15.75" customHeight="1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</row>
    <row r="609" spans="1:12" ht="15.75" customHeight="1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</row>
    <row r="610" spans="1:12" ht="15.75" customHeight="1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</row>
    <row r="611" spans="1:12" ht="15.75" customHeight="1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</row>
    <row r="612" spans="1:12" ht="15.75" customHeight="1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</row>
    <row r="613" spans="1:12" ht="15.75" customHeight="1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</row>
    <row r="614" spans="1:12" ht="15.75" customHeight="1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</row>
    <row r="615" spans="1:12" ht="15.75" customHeight="1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</row>
    <row r="616" spans="1:12" ht="15.75" customHeight="1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</row>
    <row r="617" spans="1:12" ht="15.75" customHeight="1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</row>
    <row r="618" spans="1:12" ht="15.75" customHeight="1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</row>
    <row r="619" spans="1:12" ht="15.75" customHeight="1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</row>
    <row r="620" spans="1:12" ht="15.75" customHeight="1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</row>
    <row r="621" spans="1:12" ht="15.75" customHeight="1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</row>
    <row r="622" spans="1:12" ht="15.75" customHeight="1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</row>
    <row r="623" spans="1:12" ht="15.75" customHeight="1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</row>
    <row r="624" spans="1:12" ht="15.75" customHeight="1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</row>
    <row r="625" spans="1:12" ht="15.75" customHeight="1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</row>
    <row r="626" spans="1:12" ht="15.75" customHeight="1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</row>
    <row r="627" spans="1:12" ht="15.75" customHeight="1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</row>
    <row r="628" spans="1:12" ht="15.75" customHeight="1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</row>
    <row r="629" spans="1:12" ht="15.75" customHeight="1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</row>
    <row r="630" spans="1:12" ht="15.75" customHeight="1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</row>
    <row r="631" spans="1:12" ht="15.75" customHeight="1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</row>
    <row r="632" spans="1:12" ht="15.75" customHeight="1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</row>
    <row r="633" spans="1:12" ht="15.75" customHeight="1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</row>
    <row r="634" spans="1:12" ht="15.75" customHeight="1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</row>
    <row r="635" spans="1:12" ht="15.75" customHeight="1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</row>
    <row r="636" spans="1:12" ht="15.75" customHeight="1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</row>
    <row r="637" spans="1:12" ht="15.75" customHeight="1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</row>
    <row r="638" spans="1:12" ht="15.75" customHeight="1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</row>
    <row r="639" spans="1:12" ht="15.75" customHeight="1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</row>
    <row r="640" spans="1:12" ht="15.75" customHeight="1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</row>
    <row r="641" spans="1:12" ht="15.75" customHeight="1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</row>
    <row r="642" spans="1:12" ht="15.75" customHeight="1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</row>
    <row r="643" spans="1:12" ht="15.75" customHeight="1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</row>
    <row r="644" spans="1:12" ht="15.75" customHeight="1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</row>
    <row r="645" spans="1:12" ht="15.75" customHeight="1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</row>
    <row r="646" spans="1:12" ht="15.75" customHeight="1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</row>
    <row r="647" spans="1:12" ht="15.75" customHeight="1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</row>
    <row r="648" spans="1:12" ht="15.75" customHeight="1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</row>
    <row r="649" spans="1:12" ht="15.75" customHeight="1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</row>
    <row r="650" spans="1:12" ht="15.75" customHeight="1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</row>
    <row r="651" spans="1:12" ht="15.75" customHeight="1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</row>
    <row r="652" spans="1:12" ht="15.75" customHeight="1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</row>
    <row r="653" spans="1:12" ht="15.75" customHeight="1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</row>
    <row r="654" spans="1:12" ht="15.75" customHeight="1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</row>
    <row r="655" spans="1:12" ht="15.75" customHeight="1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</row>
    <row r="656" spans="1:12" ht="15.75" customHeight="1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</row>
    <row r="657" spans="1:12" ht="15.75" customHeight="1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</row>
    <row r="658" spans="1:12" ht="15.75" customHeight="1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</row>
    <row r="659" spans="1:12" ht="15.75" customHeight="1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</row>
    <row r="660" spans="1:12" ht="15.75" customHeight="1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</row>
    <row r="661" spans="1:12" ht="15.75" customHeight="1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</row>
    <row r="662" spans="1:12" ht="15.75" customHeight="1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</row>
    <row r="663" spans="1:12" ht="15.75" customHeight="1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</row>
    <row r="664" spans="1:12" ht="15.75" customHeight="1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</row>
    <row r="665" spans="1:12" ht="15.75" customHeight="1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</row>
    <row r="666" spans="1:12" ht="15.75" customHeight="1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</row>
    <row r="667" spans="1:12" ht="15.75" customHeight="1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</row>
    <row r="668" spans="1:12" ht="15.75" customHeight="1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</row>
    <row r="669" spans="1:12" ht="15.75" customHeight="1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</row>
    <row r="670" spans="1:12" ht="15.75" customHeight="1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</row>
    <row r="671" spans="1:12" ht="15.75" customHeight="1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</row>
    <row r="672" spans="1:12" ht="15.75" customHeight="1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</row>
    <row r="673" spans="1:12" ht="15.75" customHeight="1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</row>
    <row r="674" spans="1:12" ht="15.75" customHeight="1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</row>
    <row r="675" spans="1:12" ht="15.75" customHeight="1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</row>
    <row r="676" spans="1:12" ht="15.75" customHeight="1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</row>
    <row r="677" spans="1:12" ht="15.75" customHeight="1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</row>
    <row r="678" spans="1:12" ht="15.75" customHeight="1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</row>
    <row r="679" spans="1:12" ht="15.75" customHeight="1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</row>
    <row r="680" spans="1:12" ht="15.75" customHeight="1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</row>
    <row r="681" spans="1:12" ht="15.75" customHeight="1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</row>
    <row r="682" spans="1:12" ht="15.75" customHeight="1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</row>
    <row r="683" spans="1:12" ht="15.75" customHeight="1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</row>
    <row r="684" spans="1:12" ht="15.75" customHeight="1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</row>
    <row r="685" spans="1:12" ht="15.75" customHeight="1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</row>
    <row r="686" spans="1:12" ht="15.75" customHeight="1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</row>
    <row r="687" spans="1:12" ht="15.75" customHeight="1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</row>
    <row r="688" spans="1:12" ht="15.75" customHeight="1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</row>
    <row r="689" spans="1:12" ht="15.75" customHeight="1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</row>
    <row r="690" spans="1:12" ht="15.75" customHeight="1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</row>
    <row r="691" spans="1:12" ht="15.75" customHeight="1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</row>
    <row r="692" spans="1:12" ht="15.75" customHeight="1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</row>
    <row r="693" spans="1:12" ht="15.75" customHeight="1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</row>
    <row r="694" spans="1:12" ht="15.75" customHeight="1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</row>
    <row r="695" spans="1:12" ht="15.75" customHeight="1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</row>
    <row r="696" spans="1:12" ht="15.75" customHeight="1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</row>
    <row r="697" spans="1:12" ht="15.75" customHeight="1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</row>
    <row r="698" spans="1:12" ht="15.75" customHeight="1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</row>
    <row r="699" spans="1:12" ht="15.75" customHeight="1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</row>
    <row r="700" spans="1:12" ht="15.75" customHeight="1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</row>
    <row r="701" spans="1:12" ht="15.75" customHeight="1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</row>
    <row r="702" spans="1:12" ht="15.75" customHeight="1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</row>
    <row r="703" spans="1:12" ht="15.75" customHeight="1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</row>
    <row r="704" spans="1:12" ht="15.75" customHeight="1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</row>
    <row r="705" spans="1:12" ht="15.75" customHeight="1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</row>
    <row r="706" spans="1:12" ht="15.75" customHeight="1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</row>
    <row r="707" spans="1:12" ht="15.75" customHeight="1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</row>
    <row r="708" spans="1:12" ht="15.75" customHeight="1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</row>
    <row r="709" spans="1:12" ht="15.75" customHeight="1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</row>
    <row r="710" spans="1:12" ht="15.75" customHeight="1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</row>
    <row r="711" spans="1:12" ht="15.75" customHeight="1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</row>
    <row r="712" spans="1:12" ht="15.75" customHeight="1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</row>
    <row r="713" spans="1:12" ht="15.75" customHeight="1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</row>
    <row r="714" spans="1:12" ht="15.75" customHeight="1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</row>
    <row r="715" spans="1:12" ht="15.75" customHeight="1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</row>
    <row r="716" spans="1:12" ht="15.75" customHeight="1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</row>
    <row r="717" spans="1:12" ht="15.75" customHeight="1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</row>
    <row r="718" spans="1:12" ht="15.75" customHeight="1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</row>
    <row r="719" spans="1:12" ht="15.75" customHeight="1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</row>
    <row r="720" spans="1:12" ht="15.75" customHeight="1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</row>
    <row r="721" spans="1:12" ht="15.75" customHeight="1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</row>
    <row r="722" spans="1:12" ht="15.75" customHeight="1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</row>
    <row r="723" spans="1:12" ht="15.75" customHeight="1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</row>
    <row r="724" spans="1:12" ht="15.75" customHeight="1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</row>
    <row r="725" spans="1:12" ht="15.75" customHeight="1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</row>
    <row r="726" spans="1:12" ht="15.75" customHeight="1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</row>
    <row r="727" spans="1:12" ht="15.75" customHeight="1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</row>
    <row r="728" spans="1:12" ht="15.75" customHeight="1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</row>
    <row r="729" spans="1:12" ht="15.75" customHeight="1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</row>
    <row r="730" spans="1:12" ht="15.75" customHeight="1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</row>
    <row r="731" spans="1:12" ht="15.75" customHeight="1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</row>
    <row r="732" spans="1:12" ht="15.75" customHeight="1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</row>
    <row r="733" spans="1:12" ht="15.75" customHeight="1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</row>
    <row r="734" spans="1:12" ht="15.75" customHeight="1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</row>
    <row r="735" spans="1:12" ht="15.75" customHeight="1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</row>
    <row r="736" spans="1:12" ht="15.75" customHeight="1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</row>
    <row r="737" spans="1:12" ht="15.75" customHeight="1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</row>
    <row r="738" spans="1:12" ht="15.75" customHeight="1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</row>
    <row r="739" spans="1:12" ht="15.75" customHeight="1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</row>
    <row r="740" spans="1:12" ht="15.75" customHeight="1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</row>
    <row r="741" spans="1:12" ht="15.75" customHeight="1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</row>
    <row r="742" spans="1:12" ht="15.75" customHeight="1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</row>
    <row r="743" spans="1:12" ht="15.75" customHeight="1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</row>
    <row r="744" spans="1:12" ht="15.75" customHeight="1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</row>
    <row r="745" spans="1:12" ht="15.75" customHeight="1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</row>
    <row r="746" spans="1:12" ht="15.75" customHeight="1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</row>
    <row r="747" spans="1:12" ht="15.75" customHeight="1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</row>
    <row r="748" spans="1:12" ht="15.75" customHeight="1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</row>
    <row r="749" spans="1:12" ht="15.75" customHeight="1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</row>
    <row r="750" spans="1:12" ht="15.75" customHeight="1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</row>
    <row r="751" spans="1:12" ht="15.75" customHeight="1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</row>
    <row r="752" spans="1:12" ht="15.75" customHeight="1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</row>
    <row r="753" spans="1:12" ht="15.75" customHeight="1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</row>
    <row r="754" spans="1:12" ht="15.75" customHeight="1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</row>
    <row r="755" spans="1:12" ht="15.75" customHeight="1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</row>
    <row r="756" spans="1:12" ht="15.75" customHeight="1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</row>
    <row r="757" spans="1:12" ht="15.75" customHeight="1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</row>
    <row r="758" spans="1:12" ht="15.75" customHeight="1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</row>
    <row r="759" spans="1:12" ht="15.75" customHeight="1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</row>
    <row r="760" spans="1:12" ht="15.75" customHeight="1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</row>
    <row r="761" spans="1:12" ht="15.75" customHeight="1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</row>
    <row r="762" spans="1:12" ht="15.75" customHeight="1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</row>
    <row r="763" spans="1:12" ht="15.75" customHeight="1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</row>
    <row r="764" spans="1:12" ht="15.75" customHeight="1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</row>
    <row r="765" spans="1:12" ht="15.75" customHeight="1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</row>
    <row r="766" spans="1:12" ht="15.75" customHeight="1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</row>
    <row r="767" spans="1:12" ht="15.75" customHeight="1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</row>
    <row r="768" spans="1:12" ht="15.75" customHeight="1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</row>
    <row r="769" spans="1:12" ht="15.75" customHeight="1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</row>
    <row r="770" spans="1:12" ht="15.75" customHeight="1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</row>
    <row r="771" spans="1:12" ht="15.75" customHeight="1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</row>
    <row r="772" spans="1:12" ht="15.75" customHeight="1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</row>
    <row r="773" spans="1:12" ht="15.75" customHeight="1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</row>
    <row r="774" spans="1:12" ht="15.75" customHeight="1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</row>
    <row r="775" spans="1:12" ht="15.75" customHeight="1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</row>
    <row r="776" spans="1:12" ht="15.75" customHeight="1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</row>
    <row r="777" spans="1:12" ht="15.75" customHeight="1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</row>
    <row r="778" spans="1:12" ht="15.75" customHeight="1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</row>
    <row r="779" spans="1:12" ht="15.75" customHeight="1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</row>
    <row r="780" spans="1:12" ht="15.75" customHeight="1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</row>
    <row r="781" spans="1:12" ht="15.75" customHeight="1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</row>
    <row r="782" spans="1:12" ht="15.75" customHeight="1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</row>
    <row r="783" spans="1:12" ht="15.75" customHeight="1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</row>
    <row r="784" spans="1:12" ht="15.75" customHeight="1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</row>
    <row r="785" spans="1:12" ht="15.75" customHeight="1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</row>
    <row r="786" spans="1:12" ht="15.75" customHeight="1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</row>
    <row r="787" spans="1:12" ht="15.75" customHeight="1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</row>
    <row r="788" spans="1:12" ht="15.75" customHeight="1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</row>
    <row r="789" spans="1:12" ht="15.75" customHeight="1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</row>
    <row r="790" spans="1:12" ht="15.75" customHeight="1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</row>
    <row r="791" spans="1:12" ht="15.75" customHeight="1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</row>
    <row r="792" spans="1:12" ht="15.75" customHeight="1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</row>
    <row r="793" spans="1:12" ht="15.75" customHeight="1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</row>
    <row r="794" spans="1:12" ht="15.75" customHeight="1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</row>
    <row r="795" spans="1:12" ht="15.75" customHeight="1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</row>
    <row r="796" spans="1:12" ht="15.75" customHeight="1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</row>
    <row r="797" spans="1:12" ht="15.75" customHeight="1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</row>
    <row r="798" spans="1:12" ht="15.75" customHeight="1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</row>
    <row r="799" spans="1:12" ht="15.75" customHeight="1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</row>
    <row r="800" spans="1:12" ht="15.75" customHeight="1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</row>
    <row r="801" spans="1:12" ht="15.75" customHeight="1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</row>
    <row r="802" spans="1:12" ht="15.75" customHeight="1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</row>
    <row r="803" spans="1:12" ht="15.75" customHeight="1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</row>
    <row r="804" spans="1:12" ht="15.75" customHeight="1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</row>
    <row r="805" spans="1:12" ht="15.75" customHeight="1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</row>
    <row r="806" spans="1:12" ht="15.75" customHeight="1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</row>
    <row r="807" spans="1:12" ht="15.75" customHeight="1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</row>
    <row r="808" spans="1:12" ht="15.75" customHeight="1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</row>
    <row r="809" spans="1:12" ht="15.75" customHeight="1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</row>
    <row r="810" spans="1:12" ht="15.75" customHeight="1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</row>
    <row r="811" spans="1:12" ht="15.75" customHeight="1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</row>
    <row r="812" spans="1:12" ht="15.75" customHeight="1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</row>
    <row r="813" spans="1:12" ht="15.75" customHeight="1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</row>
    <row r="814" spans="1:12" ht="15.75" customHeight="1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</row>
    <row r="815" spans="1:12" ht="15.75" customHeight="1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</row>
    <row r="816" spans="1:12" ht="15.75" customHeight="1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</row>
    <row r="817" spans="1:12" ht="15.75" customHeight="1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</row>
    <row r="818" spans="1:12" ht="15.75" customHeight="1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</row>
    <row r="819" spans="1:12" ht="15.75" customHeight="1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</row>
    <row r="820" spans="1:12" ht="15.75" customHeight="1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</row>
    <row r="821" spans="1:12" ht="15.75" customHeight="1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</row>
    <row r="822" spans="1:12" ht="15.75" customHeight="1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</row>
    <row r="823" spans="1:12" ht="15.75" customHeight="1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</row>
    <row r="824" spans="1:12" ht="15.75" customHeight="1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</row>
    <row r="825" spans="1:12" ht="15.75" customHeight="1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</row>
    <row r="826" spans="1:12" ht="15.75" customHeight="1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</row>
    <row r="827" spans="1:12" ht="15.75" customHeight="1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</row>
    <row r="828" spans="1:12" ht="15.75" customHeight="1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</row>
    <row r="829" spans="1:12" ht="15.75" customHeight="1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</row>
    <row r="830" spans="1:12" ht="15.75" customHeight="1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</row>
    <row r="831" spans="1:12" ht="15.75" customHeight="1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</row>
    <row r="832" spans="1:12" ht="15.75" customHeight="1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</row>
    <row r="833" spans="1:12" ht="15.75" customHeight="1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</row>
    <row r="834" spans="1:12" ht="15.75" customHeight="1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</row>
    <row r="835" spans="1:12" ht="15.75" customHeight="1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</row>
    <row r="836" spans="1:12" ht="15.75" customHeight="1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</row>
    <row r="837" spans="1:12" ht="15.75" customHeight="1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</row>
    <row r="838" spans="1:12" ht="15.75" customHeight="1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</row>
    <row r="839" spans="1:12" ht="15.75" customHeight="1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</row>
    <row r="840" spans="1:12" ht="15.75" customHeight="1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</row>
    <row r="841" spans="1:12" ht="15.75" customHeight="1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</row>
    <row r="842" spans="1:12" ht="15.75" customHeight="1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</row>
    <row r="843" spans="1:12" ht="15.75" customHeight="1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</row>
    <row r="844" spans="1:12" ht="15.75" customHeight="1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</row>
    <row r="845" spans="1:12" ht="15.75" customHeight="1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</row>
    <row r="846" spans="1:12" ht="15.75" customHeight="1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</row>
    <row r="847" spans="1:12" ht="15.75" customHeight="1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</row>
    <row r="848" spans="1:12" ht="15.75" customHeight="1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</row>
    <row r="849" spans="1:12" ht="15.75" customHeight="1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</row>
    <row r="850" spans="1:12" ht="15.75" customHeight="1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</row>
    <row r="851" spans="1:12" ht="15.75" customHeight="1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</row>
    <row r="852" spans="1:12" ht="15.75" customHeight="1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</row>
    <row r="853" spans="1:12" ht="15.75" customHeight="1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</row>
    <row r="854" spans="1:12" ht="15.75" customHeight="1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</row>
    <row r="855" spans="1:12" ht="15.75" customHeight="1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</row>
    <row r="856" spans="1:12" ht="15.75" customHeight="1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</row>
    <row r="857" spans="1:12" ht="15.75" customHeight="1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</row>
    <row r="858" spans="1:12" ht="15.75" customHeight="1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</row>
    <row r="859" spans="1:12" ht="15.75" customHeight="1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</row>
    <row r="860" spans="1:12" ht="15.75" customHeight="1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</row>
    <row r="861" spans="1:12" ht="15.75" customHeight="1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</row>
    <row r="862" spans="1:12" ht="15.75" customHeight="1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</row>
    <row r="863" spans="1:12" ht="15.75" customHeight="1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</row>
    <row r="864" spans="1:12" ht="15.75" customHeight="1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</row>
    <row r="865" spans="1:12" ht="15.75" customHeight="1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</row>
    <row r="866" spans="1:12" ht="15.75" customHeight="1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</row>
    <row r="867" spans="1:12" ht="15.75" customHeight="1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</row>
    <row r="868" spans="1:12" ht="15.75" customHeight="1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</row>
    <row r="869" spans="1:12" ht="15.75" customHeight="1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</row>
    <row r="870" spans="1:12" ht="15.75" customHeight="1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</row>
    <row r="871" spans="1:12" ht="15.75" customHeight="1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</row>
    <row r="872" spans="1:12" ht="15.75" customHeight="1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</row>
    <row r="873" spans="1:12" ht="15.75" customHeight="1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</row>
    <row r="874" spans="1:12" ht="15.75" customHeight="1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</row>
    <row r="875" spans="1:12" ht="15.75" customHeight="1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</row>
    <row r="876" spans="1:12" ht="15.75" customHeight="1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</row>
    <row r="877" spans="1:12" ht="15.75" customHeight="1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</row>
    <row r="878" spans="1:12" ht="15.75" customHeight="1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</row>
    <row r="879" spans="1:12" ht="15.75" customHeight="1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</row>
    <row r="880" spans="1:12" ht="15.75" customHeight="1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</row>
    <row r="881" spans="1:12" ht="15.75" customHeight="1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</row>
    <row r="882" spans="1:12" ht="15.75" customHeight="1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</row>
    <row r="883" spans="1:12" ht="15.75" customHeight="1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</row>
    <row r="884" spans="1:12" ht="15.75" customHeight="1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</row>
    <row r="885" spans="1:12" ht="15.75" customHeight="1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</row>
    <row r="886" spans="1:12" ht="15.75" customHeight="1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</row>
    <row r="887" spans="1:12" ht="15.75" customHeight="1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</row>
    <row r="888" spans="1:12" ht="15.75" customHeight="1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</row>
    <row r="889" spans="1:12" ht="15.75" customHeight="1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</row>
    <row r="890" spans="1:12" ht="15.75" customHeight="1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</row>
    <row r="891" spans="1:12" ht="15.75" customHeight="1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</row>
    <row r="892" spans="1:12" ht="15.75" customHeight="1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</row>
    <row r="893" spans="1:12" ht="15.75" customHeight="1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</row>
    <row r="894" spans="1:12" ht="15.75" customHeight="1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</row>
    <row r="895" spans="1:12" ht="15.75" customHeight="1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</row>
    <row r="896" spans="1:12" ht="15.75" customHeight="1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</row>
    <row r="897" spans="1:12" ht="15.75" customHeight="1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</row>
    <row r="898" spans="1:12" ht="15.75" customHeight="1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</row>
    <row r="899" spans="1:12" ht="15.75" customHeight="1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</row>
    <row r="900" spans="1:12" ht="15.75" customHeight="1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</row>
    <row r="901" spans="1:12" ht="15.75" customHeight="1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</row>
    <row r="902" spans="1:12" ht="15.75" customHeight="1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</row>
    <row r="903" spans="1:12" ht="15.75" customHeight="1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</row>
    <row r="904" spans="1:12" ht="15.75" customHeight="1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</row>
    <row r="905" spans="1:12" ht="15.75" customHeight="1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</row>
    <row r="906" spans="1:12" ht="15.75" customHeight="1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</row>
    <row r="907" spans="1:12" ht="15.75" customHeight="1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</row>
    <row r="908" spans="1:12" ht="15.75" customHeight="1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</row>
    <row r="909" spans="1:12" ht="15.75" customHeight="1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</row>
    <row r="910" spans="1:12" ht="15.75" customHeight="1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</row>
    <row r="911" spans="1:12" ht="15.75" customHeight="1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</row>
    <row r="912" spans="1:12" ht="15.75" customHeight="1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</row>
    <row r="913" spans="1:12" ht="15.75" customHeight="1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</row>
    <row r="914" spans="1:12" ht="15.75" customHeight="1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</row>
    <row r="915" spans="1:12" ht="15.75" customHeight="1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</row>
    <row r="916" spans="1:12" ht="15.75" customHeight="1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</row>
    <row r="917" spans="1:12" ht="15.75" customHeight="1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</row>
    <row r="918" spans="1:12" ht="15.75" customHeight="1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</row>
    <row r="919" spans="1:12" ht="15.75" customHeight="1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</row>
    <row r="920" spans="1:12" ht="15.75" customHeight="1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</row>
    <row r="921" spans="1:12" ht="15.75" customHeight="1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</row>
    <row r="922" spans="1:12" ht="15.75" customHeight="1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</row>
    <row r="923" spans="1:12" ht="15.75" customHeight="1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</row>
    <row r="924" spans="1:12" ht="15.75" customHeight="1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</row>
    <row r="925" spans="1:12" ht="15.75" customHeight="1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</row>
    <row r="926" spans="1:12" ht="15.75" customHeight="1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</row>
    <row r="927" spans="1:12" ht="15.75" customHeight="1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</row>
    <row r="928" spans="1:12" ht="15.75" customHeight="1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</row>
    <row r="929" spans="1:12" ht="15.75" customHeight="1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</row>
    <row r="930" spans="1:12" ht="15.75" customHeight="1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</row>
    <row r="931" spans="1:12" ht="15.75" customHeight="1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</row>
    <row r="932" spans="1:12" ht="15.75" customHeight="1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</row>
    <row r="933" spans="1:12" ht="15.75" customHeight="1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</row>
    <row r="934" spans="1:12" ht="15.75" customHeight="1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</row>
    <row r="935" spans="1:12" ht="15.75" customHeight="1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</row>
    <row r="936" spans="1:12" ht="15.75" customHeight="1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</row>
    <row r="937" spans="1:12" ht="15.75" customHeight="1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</row>
    <row r="938" spans="1:12" ht="15.75" customHeight="1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</row>
    <row r="939" spans="1:12" ht="15.75" customHeight="1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</row>
    <row r="940" spans="1:12" ht="15.75" customHeight="1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</row>
    <row r="941" spans="1:12" ht="15.75" customHeight="1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</row>
    <row r="942" spans="1:12" ht="15.75" customHeight="1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</row>
    <row r="943" spans="1:12" ht="15.75" customHeight="1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</row>
    <row r="944" spans="1:12" ht="15.75" customHeight="1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</row>
    <row r="945" spans="1:12" ht="15.75" customHeight="1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</row>
    <row r="946" spans="1:12" ht="15.75" customHeight="1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</row>
    <row r="947" spans="1:12" ht="15.75" customHeight="1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</row>
    <row r="948" spans="1:12" ht="15.75" customHeight="1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</row>
    <row r="949" spans="1:12" ht="15.75" customHeight="1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</row>
    <row r="950" spans="1:12" ht="15.75" customHeight="1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</row>
    <row r="951" spans="1:12" ht="15.75" customHeight="1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</row>
    <row r="952" spans="1:12" ht="15.75" customHeight="1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</row>
    <row r="953" spans="1:12" ht="15.75" customHeight="1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</row>
    <row r="954" spans="1:12" ht="15.75" customHeight="1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</row>
    <row r="955" spans="1:12" ht="15.75" customHeight="1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</row>
    <row r="956" spans="1:12" ht="15.75" customHeight="1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</row>
    <row r="957" spans="1:12" ht="15.75" customHeight="1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</row>
    <row r="958" spans="1:12" ht="15.75" customHeight="1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</row>
    <row r="959" spans="1:12" ht="15.75" customHeight="1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</row>
    <row r="960" spans="1:12" ht="15.75" customHeight="1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</row>
    <row r="961" spans="1:12" ht="15.75" customHeight="1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</row>
    <row r="962" spans="1:12" ht="15.75" customHeight="1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</row>
    <row r="963" spans="1:12" ht="15.75" customHeight="1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</row>
    <row r="964" spans="1:12" ht="15.75" customHeight="1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</row>
    <row r="965" spans="1:12" ht="15.75" customHeight="1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</row>
    <row r="966" spans="1:12" ht="15.75" customHeight="1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</row>
    <row r="967" spans="1:12" ht="15.75" customHeight="1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  <c r="L967" s="145"/>
    </row>
    <row r="968" spans="1:12" ht="15.75" customHeight="1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  <c r="L968" s="145"/>
    </row>
    <row r="969" spans="1:12" ht="15.75" customHeight="1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  <c r="L969" s="145"/>
    </row>
    <row r="970" spans="1:12" ht="15.75" customHeight="1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  <c r="L970" s="145"/>
    </row>
    <row r="971" spans="1:12" ht="15.75" customHeight="1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  <c r="K971" s="145"/>
      <c r="L971" s="145"/>
    </row>
    <row r="972" spans="1:12" ht="15.75" customHeight="1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  <c r="K972" s="145"/>
      <c r="L972" s="145"/>
    </row>
    <row r="973" spans="1:12" ht="15.75" customHeight="1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  <c r="K973" s="145"/>
      <c r="L973" s="145"/>
    </row>
    <row r="974" spans="1:12" ht="15.75" customHeight="1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  <c r="K974" s="145"/>
      <c r="L974" s="145"/>
    </row>
    <row r="975" spans="1:12" ht="15.75" customHeight="1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  <c r="K975" s="145"/>
      <c r="L975" s="145"/>
    </row>
    <row r="976" spans="1:12" ht="15.75" customHeight="1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  <c r="K976" s="145"/>
      <c r="L976" s="145"/>
    </row>
    <row r="977" spans="1:12" ht="15.75" customHeight="1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  <c r="K977" s="145"/>
      <c r="L977" s="145"/>
    </row>
    <row r="978" spans="1:12" ht="15.75" customHeight="1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  <c r="K978" s="145"/>
      <c r="L978" s="145"/>
    </row>
    <row r="979" spans="1:12" ht="15.75" customHeight="1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  <c r="K979" s="145"/>
      <c r="L979" s="145"/>
    </row>
    <row r="980" spans="1:12" ht="15.75" customHeight="1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  <c r="K980" s="145"/>
      <c r="L980" s="145"/>
    </row>
    <row r="981" spans="1:12" ht="15.75" customHeight="1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  <c r="K981" s="145"/>
      <c r="L981" s="145"/>
    </row>
    <row r="982" spans="1:12" ht="15.75" customHeight="1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  <c r="K982" s="145"/>
      <c r="L982" s="145"/>
    </row>
    <row r="983" spans="1:12" ht="15.75" customHeight="1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  <c r="L983" s="145"/>
    </row>
    <row r="984" spans="1:12" ht="15.75" customHeight="1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  <c r="K984" s="145"/>
      <c r="L984" s="145"/>
    </row>
    <row r="985" spans="1:12" ht="15.75" customHeight="1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  <c r="K985" s="145"/>
      <c r="L985" s="145"/>
    </row>
    <row r="986" spans="1:12" ht="15.75" customHeight="1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  <c r="K986" s="145"/>
      <c r="L986" s="145"/>
    </row>
    <row r="987" spans="1:12" ht="15.75" customHeight="1">
      <c r="A987" s="145"/>
      <c r="B987" s="145"/>
      <c r="C987" s="145"/>
      <c r="D987" s="145"/>
      <c r="E987" s="145"/>
      <c r="F987" s="145"/>
      <c r="G987" s="145"/>
      <c r="H987" s="145"/>
      <c r="I987" s="145"/>
      <c r="J987" s="145"/>
      <c r="K987" s="145"/>
      <c r="L987" s="145"/>
    </row>
    <row r="988" spans="1:12" ht="15.75" customHeight="1">
      <c r="A988" s="145"/>
      <c r="B988" s="145"/>
      <c r="C988" s="145"/>
      <c r="D988" s="145"/>
      <c r="E988" s="145"/>
      <c r="F988" s="145"/>
      <c r="G988" s="145"/>
      <c r="H988" s="145"/>
      <c r="I988" s="145"/>
      <c r="J988" s="145"/>
      <c r="K988" s="145"/>
      <c r="L988" s="145"/>
    </row>
    <row r="989" spans="1:12" ht="15.75" customHeight="1">
      <c r="A989" s="145"/>
      <c r="B989" s="145"/>
      <c r="C989" s="145"/>
      <c r="D989" s="145"/>
      <c r="E989" s="145"/>
      <c r="F989" s="145"/>
      <c r="G989" s="145"/>
      <c r="H989" s="145"/>
      <c r="I989" s="145"/>
      <c r="J989" s="145"/>
      <c r="K989" s="145"/>
      <c r="L989" s="145"/>
    </row>
    <row r="990" spans="1:12" ht="15.75" customHeight="1">
      <c r="A990" s="145"/>
      <c r="B990" s="145"/>
      <c r="C990" s="145"/>
      <c r="D990" s="145"/>
      <c r="E990" s="145"/>
      <c r="F990" s="145"/>
      <c r="G990" s="145"/>
      <c r="H990" s="145"/>
      <c r="I990" s="145"/>
      <c r="J990" s="145"/>
      <c r="K990" s="145"/>
      <c r="L990" s="145"/>
    </row>
    <row r="991" spans="1:12" ht="15.75" customHeight="1">
      <c r="A991" s="145"/>
      <c r="B991" s="145"/>
      <c r="C991" s="145"/>
      <c r="D991" s="145"/>
      <c r="E991" s="145"/>
      <c r="F991" s="145"/>
      <c r="G991" s="145"/>
      <c r="H991" s="145"/>
      <c r="I991" s="145"/>
      <c r="J991" s="145"/>
      <c r="K991" s="145"/>
      <c r="L991" s="145"/>
    </row>
    <row r="992" spans="1:12" ht="15.75" customHeight="1">
      <c r="A992" s="145"/>
      <c r="B992" s="145"/>
      <c r="C992" s="145"/>
      <c r="D992" s="145"/>
      <c r="E992" s="145"/>
      <c r="F992" s="145"/>
      <c r="G992" s="145"/>
      <c r="H992" s="145"/>
      <c r="I992" s="145"/>
      <c r="J992" s="145"/>
      <c r="K992" s="145"/>
      <c r="L992" s="145"/>
    </row>
    <row r="993" spans="1:12" ht="15.75" customHeight="1">
      <c r="A993" s="145"/>
      <c r="B993" s="145"/>
      <c r="C993" s="145"/>
      <c r="D993" s="145"/>
      <c r="E993" s="145"/>
      <c r="F993" s="145"/>
      <c r="G993" s="145"/>
      <c r="H993" s="145"/>
      <c r="I993" s="145"/>
      <c r="J993" s="145"/>
      <c r="K993" s="145"/>
      <c r="L993" s="145"/>
    </row>
    <row r="994" spans="1:12" ht="15.75" customHeight="1">
      <c r="A994" s="145"/>
      <c r="B994" s="145"/>
      <c r="C994" s="145"/>
      <c r="D994" s="145"/>
      <c r="E994" s="145"/>
      <c r="F994" s="145"/>
      <c r="G994" s="145"/>
      <c r="H994" s="145"/>
      <c r="I994" s="145"/>
      <c r="J994" s="145"/>
      <c r="K994" s="145"/>
      <c r="L994" s="145"/>
    </row>
    <row r="995" spans="1:12" ht="15.75" customHeight="1">
      <c r="A995" s="145"/>
      <c r="B995" s="145"/>
      <c r="C995" s="145"/>
      <c r="D995" s="145"/>
      <c r="E995" s="145"/>
      <c r="F995" s="145"/>
      <c r="G995" s="145"/>
      <c r="H995" s="145"/>
      <c r="I995" s="145"/>
      <c r="J995" s="145"/>
      <c r="K995" s="145"/>
      <c r="L995" s="145"/>
    </row>
    <row r="996" spans="1:12" ht="15.75" customHeight="1">
      <c r="A996" s="145"/>
      <c r="B996" s="145"/>
      <c r="C996" s="145"/>
      <c r="D996" s="145"/>
      <c r="E996" s="145"/>
      <c r="F996" s="145"/>
      <c r="G996" s="145"/>
      <c r="H996" s="145"/>
      <c r="I996" s="145"/>
      <c r="J996" s="145"/>
      <c r="K996" s="145"/>
      <c r="L996" s="145"/>
    </row>
    <row r="997" spans="1:12" ht="15.75" customHeight="1">
      <c r="A997" s="145"/>
      <c r="B997" s="145"/>
      <c r="C997" s="145"/>
      <c r="D997" s="145"/>
      <c r="E997" s="145"/>
      <c r="F997" s="145"/>
      <c r="G997" s="145"/>
      <c r="H997" s="145"/>
      <c r="I997" s="145"/>
      <c r="J997" s="145"/>
      <c r="K997" s="145"/>
      <c r="L997" s="145"/>
    </row>
    <row r="998" spans="1:12" ht="15.75" customHeight="1">
      <c r="A998" s="145"/>
      <c r="B998" s="145"/>
      <c r="C998" s="145"/>
      <c r="D998" s="145"/>
      <c r="E998" s="145"/>
      <c r="F998" s="145"/>
      <c r="G998" s="145"/>
      <c r="H998" s="145"/>
      <c r="I998" s="145"/>
      <c r="J998" s="145"/>
      <c r="K998" s="145"/>
      <c r="L998" s="145"/>
    </row>
    <row r="999" spans="1:12" ht="15.75" customHeight="1">
      <c r="A999" s="145"/>
      <c r="B999" s="145"/>
      <c r="C999" s="145"/>
      <c r="D999" s="145"/>
      <c r="E999" s="145"/>
      <c r="F999" s="145"/>
      <c r="G999" s="145"/>
      <c r="H999" s="145"/>
      <c r="I999" s="145"/>
      <c r="J999" s="145"/>
      <c r="K999" s="145"/>
      <c r="L999" s="145"/>
    </row>
    <row r="1000" spans="1:12" ht="15.75" customHeight="1">
      <c r="A1000" s="145"/>
      <c r="B1000" s="145"/>
      <c r="C1000" s="145"/>
      <c r="D1000" s="145"/>
      <c r="E1000" s="145"/>
      <c r="F1000" s="145"/>
      <c r="G1000" s="145"/>
      <c r="H1000" s="145"/>
      <c r="I1000" s="145"/>
      <c r="J1000" s="145"/>
      <c r="K1000" s="145"/>
      <c r="L1000" s="145"/>
    </row>
    <row r="1001" spans="1:12" ht="15.75" customHeight="1">
      <c r="A1001" s="145"/>
      <c r="B1001" s="145"/>
      <c r="C1001" s="145"/>
      <c r="D1001" s="145"/>
      <c r="E1001" s="145"/>
      <c r="F1001" s="145"/>
      <c r="G1001" s="145"/>
      <c r="H1001" s="145"/>
      <c r="I1001" s="145"/>
      <c r="J1001" s="145"/>
      <c r="K1001" s="145"/>
      <c r="L1001" s="145"/>
    </row>
    <row r="1002" spans="1:12" ht="15.75" customHeight="1">
      <c r="A1002" s="145"/>
      <c r="B1002" s="145"/>
      <c r="C1002" s="145"/>
      <c r="D1002" s="145"/>
      <c r="E1002" s="145"/>
      <c r="F1002" s="145"/>
      <c r="G1002" s="145"/>
      <c r="H1002" s="145"/>
      <c r="I1002" s="145"/>
      <c r="J1002" s="145"/>
      <c r="K1002" s="145"/>
      <c r="L1002" s="145"/>
    </row>
    <row r="1003" spans="1:12" ht="15.75" customHeight="1">
      <c r="A1003" s="145"/>
      <c r="B1003" s="145"/>
      <c r="C1003" s="145"/>
      <c r="D1003" s="145"/>
      <c r="E1003" s="145"/>
      <c r="F1003" s="145"/>
      <c r="G1003" s="145"/>
      <c r="H1003" s="145"/>
      <c r="I1003" s="145"/>
      <c r="J1003" s="145"/>
      <c r="K1003" s="145"/>
      <c r="L1003" s="145"/>
    </row>
    <row r="1004" spans="1:12" ht="15.75" customHeight="1">
      <c r="A1004" s="145"/>
      <c r="B1004" s="145"/>
      <c r="C1004" s="145"/>
      <c r="D1004" s="145"/>
      <c r="E1004" s="145"/>
      <c r="F1004" s="145"/>
      <c r="G1004" s="145"/>
      <c r="H1004" s="145"/>
      <c r="I1004" s="145"/>
      <c r="J1004" s="145"/>
      <c r="K1004" s="145"/>
      <c r="L1004" s="145"/>
    </row>
    <row r="1005" spans="1:12" ht="15.75" customHeight="1">
      <c r="A1005" s="145"/>
      <c r="B1005" s="145"/>
      <c r="C1005" s="145"/>
      <c r="D1005" s="145"/>
      <c r="E1005" s="145"/>
      <c r="F1005" s="145"/>
      <c r="G1005" s="145"/>
      <c r="H1005" s="145"/>
      <c r="I1005" s="145"/>
      <c r="J1005" s="145"/>
      <c r="K1005" s="145"/>
      <c r="L1005" s="145"/>
    </row>
    <row r="1006" spans="1:12" ht="15" customHeight="1">
      <c r="A1006" s="145"/>
      <c r="B1006" s="145"/>
      <c r="C1006" s="145"/>
      <c r="D1006" s="145"/>
      <c r="E1006" s="145"/>
      <c r="F1006" s="145"/>
      <c r="G1006" s="145"/>
      <c r="H1006" s="145"/>
      <c r="I1006" s="145"/>
      <c r="J1006" s="145"/>
      <c r="K1006" s="145"/>
      <c r="L1006" s="145"/>
    </row>
    <row r="1007" spans="1:12" ht="15" customHeight="1">
      <c r="A1007" s="145"/>
      <c r="B1007" s="145"/>
      <c r="C1007" s="145"/>
      <c r="D1007" s="145"/>
      <c r="E1007" s="145"/>
      <c r="F1007" s="145"/>
      <c r="G1007" s="145"/>
      <c r="H1007" s="145"/>
      <c r="I1007" s="145"/>
      <c r="J1007" s="145"/>
      <c r="K1007" s="145"/>
      <c r="L1007" s="145"/>
    </row>
    <row r="1008" spans="1:12" ht="15" customHeight="1">
      <c r="A1008" s="145"/>
      <c r="B1008" s="145"/>
      <c r="C1008" s="145"/>
      <c r="D1008" s="145"/>
      <c r="E1008" s="145"/>
      <c r="F1008" s="145"/>
      <c r="G1008" s="145"/>
      <c r="H1008" s="145"/>
      <c r="I1008" s="145"/>
      <c r="J1008" s="145"/>
      <c r="K1008" s="145"/>
      <c r="L1008" s="145"/>
    </row>
    <row r="1009" spans="1:12" ht="15" customHeight="1">
      <c r="A1009" s="145"/>
      <c r="B1009" s="145"/>
      <c r="C1009" s="145"/>
      <c r="D1009" s="145"/>
      <c r="E1009" s="145"/>
      <c r="F1009" s="145"/>
      <c r="G1009" s="145"/>
      <c r="H1009" s="145"/>
      <c r="I1009" s="145"/>
      <c r="J1009" s="145"/>
      <c r="K1009" s="145"/>
      <c r="L1009" s="145"/>
    </row>
    <row r="1010" spans="1:12" ht="15" customHeight="1">
      <c r="A1010" s="145"/>
      <c r="B1010" s="145"/>
      <c r="C1010" s="145"/>
      <c r="D1010" s="145"/>
      <c r="E1010" s="145"/>
      <c r="F1010" s="145"/>
      <c r="G1010" s="145"/>
      <c r="H1010" s="145"/>
      <c r="I1010" s="145"/>
      <c r="J1010" s="145"/>
      <c r="K1010" s="145"/>
      <c r="L1010" s="145"/>
    </row>
    <row r="1011" spans="1:12" ht="15" customHeight="1">
      <c r="A1011" s="145"/>
      <c r="B1011" s="145"/>
      <c r="C1011" s="145"/>
      <c r="D1011" s="145"/>
      <c r="E1011" s="145"/>
      <c r="F1011" s="145"/>
      <c r="G1011" s="145"/>
      <c r="H1011" s="145"/>
      <c r="I1011" s="145"/>
      <c r="J1011" s="145"/>
      <c r="K1011" s="145"/>
      <c r="L1011" s="145"/>
    </row>
    <row r="1012" spans="1:12" ht="15" customHeight="1">
      <c r="A1012" s="145"/>
      <c r="B1012" s="145"/>
      <c r="C1012" s="145"/>
      <c r="D1012" s="145"/>
      <c r="E1012" s="145"/>
      <c r="F1012" s="145"/>
      <c r="G1012" s="145"/>
      <c r="H1012" s="145"/>
      <c r="I1012" s="145"/>
      <c r="J1012" s="145"/>
      <c r="K1012" s="145"/>
      <c r="L1012" s="145"/>
    </row>
    <row r="1013" spans="1:12" ht="15" customHeight="1">
      <c r="A1013" s="145"/>
      <c r="B1013" s="145"/>
      <c r="C1013" s="145"/>
      <c r="D1013" s="145"/>
      <c r="E1013" s="145"/>
      <c r="F1013" s="145"/>
      <c r="G1013" s="145"/>
      <c r="H1013" s="145"/>
      <c r="I1013" s="145"/>
      <c r="J1013" s="145"/>
      <c r="K1013" s="145"/>
      <c r="L1013" s="145"/>
    </row>
    <row r="1014" spans="1:12" ht="15" customHeight="1">
      <c r="A1014" s="145"/>
      <c r="B1014" s="145"/>
      <c r="C1014" s="145"/>
      <c r="D1014" s="145"/>
      <c r="E1014" s="145"/>
      <c r="F1014" s="145"/>
      <c r="G1014" s="145"/>
      <c r="H1014" s="145"/>
      <c r="I1014" s="145"/>
      <c r="J1014" s="145"/>
      <c r="K1014" s="145"/>
      <c r="L1014" s="145"/>
    </row>
    <row r="1015" spans="1:12" ht="15" customHeight="1">
      <c r="A1015" s="145"/>
      <c r="B1015" s="145"/>
      <c r="C1015" s="145"/>
      <c r="D1015" s="145"/>
      <c r="E1015" s="145"/>
      <c r="F1015" s="145"/>
      <c r="G1015" s="145"/>
      <c r="H1015" s="145"/>
      <c r="I1015" s="145"/>
      <c r="J1015" s="145"/>
      <c r="K1015" s="145"/>
      <c r="L1015" s="145"/>
    </row>
    <row r="1016" spans="1:12" ht="15" customHeight="1">
      <c r="A1016" s="145"/>
      <c r="B1016" s="145"/>
      <c r="C1016" s="145"/>
      <c r="D1016" s="145"/>
      <c r="E1016" s="145"/>
      <c r="F1016" s="145"/>
      <c r="G1016" s="145"/>
      <c r="H1016" s="145"/>
      <c r="I1016" s="145"/>
      <c r="J1016" s="145"/>
      <c r="K1016" s="145"/>
      <c r="L1016" s="145"/>
    </row>
    <row r="1017" spans="1:12" ht="15" customHeight="1">
      <c r="A1017" s="145"/>
      <c r="B1017" s="145"/>
      <c r="C1017" s="145"/>
      <c r="D1017" s="145"/>
      <c r="E1017" s="145"/>
      <c r="F1017" s="145"/>
      <c r="G1017" s="145"/>
      <c r="H1017" s="145"/>
      <c r="I1017" s="145"/>
      <c r="J1017" s="145"/>
      <c r="K1017" s="145"/>
      <c r="L1017" s="145"/>
    </row>
    <row r="1018" spans="1:12" ht="15" customHeight="1">
      <c r="A1018" s="145"/>
      <c r="B1018" s="145"/>
      <c r="C1018" s="145"/>
      <c r="D1018" s="145"/>
      <c r="E1018" s="145"/>
      <c r="F1018" s="145"/>
      <c r="G1018" s="145"/>
      <c r="H1018" s="145"/>
      <c r="I1018" s="145"/>
      <c r="J1018" s="145"/>
      <c r="K1018" s="145"/>
      <c r="L1018" s="145"/>
    </row>
    <row r="1019" spans="1:12" ht="15" customHeight="1">
      <c r="A1019" s="145"/>
      <c r="B1019" s="145"/>
      <c r="C1019" s="145"/>
      <c r="D1019" s="145"/>
      <c r="E1019" s="145"/>
      <c r="F1019" s="145"/>
      <c r="G1019" s="145"/>
      <c r="H1019" s="145"/>
      <c r="I1019" s="145"/>
      <c r="J1019" s="145"/>
      <c r="K1019" s="145"/>
      <c r="L1019" s="145"/>
    </row>
    <row r="1020" spans="1:12" ht="15" customHeight="1">
      <c r="A1020" s="145"/>
      <c r="B1020" s="145"/>
      <c r="C1020" s="145"/>
      <c r="D1020" s="145"/>
      <c r="E1020" s="145"/>
      <c r="F1020" s="145"/>
      <c r="G1020" s="145"/>
      <c r="H1020" s="145"/>
      <c r="I1020" s="145"/>
      <c r="J1020" s="145"/>
      <c r="K1020" s="145"/>
      <c r="L1020" s="145"/>
    </row>
    <row r="1021" spans="1:12" ht="15" customHeight="1">
      <c r="A1021" s="145"/>
      <c r="B1021" s="145"/>
      <c r="C1021" s="145"/>
      <c r="D1021" s="145"/>
      <c r="E1021" s="145"/>
      <c r="F1021" s="145"/>
      <c r="G1021" s="145"/>
      <c r="H1021" s="145"/>
      <c r="I1021" s="145"/>
      <c r="J1021" s="145"/>
      <c r="K1021" s="145"/>
      <c r="L1021" s="145"/>
    </row>
    <row r="1022" spans="1:12" ht="15" customHeight="1">
      <c r="A1022" s="145"/>
      <c r="B1022" s="145"/>
      <c r="C1022" s="145"/>
      <c r="D1022" s="145"/>
      <c r="E1022" s="145"/>
      <c r="F1022" s="145"/>
      <c r="G1022" s="145"/>
      <c r="H1022" s="145"/>
      <c r="I1022" s="145"/>
      <c r="J1022" s="145"/>
      <c r="K1022" s="145"/>
      <c r="L1022" s="145"/>
    </row>
    <row r="1023" spans="1:12" ht="15" customHeight="1">
      <c r="A1023" s="145"/>
      <c r="B1023" s="145"/>
      <c r="C1023" s="145"/>
      <c r="D1023" s="145"/>
      <c r="E1023" s="145"/>
      <c r="F1023" s="145"/>
      <c r="G1023" s="145"/>
      <c r="H1023" s="145"/>
      <c r="I1023" s="145"/>
      <c r="J1023" s="145"/>
      <c r="K1023" s="145"/>
      <c r="L1023" s="145"/>
    </row>
    <row r="1024" spans="1:12" ht="15" customHeight="1">
      <c r="A1024" s="145"/>
      <c r="B1024" s="145"/>
      <c r="C1024" s="145"/>
      <c r="D1024" s="145"/>
      <c r="E1024" s="145"/>
      <c r="F1024" s="145"/>
      <c r="G1024" s="145"/>
      <c r="H1024" s="145"/>
      <c r="I1024" s="145"/>
      <c r="J1024" s="145"/>
      <c r="K1024" s="145"/>
      <c r="L1024" s="145"/>
    </row>
    <row r="1025" spans="1:12" ht="15" customHeight="1">
      <c r="A1025" s="145"/>
      <c r="B1025" s="145"/>
      <c r="C1025" s="145"/>
      <c r="D1025" s="145"/>
      <c r="E1025" s="145"/>
      <c r="F1025" s="145"/>
      <c r="G1025" s="145"/>
      <c r="H1025" s="145"/>
      <c r="I1025" s="145"/>
      <c r="J1025" s="145"/>
      <c r="K1025" s="145"/>
      <c r="L1025" s="145"/>
    </row>
    <row r="1026" spans="1:12" ht="15" customHeight="1">
      <c r="A1026" s="145"/>
      <c r="B1026" s="145"/>
      <c r="C1026" s="145"/>
      <c r="D1026" s="145"/>
      <c r="E1026" s="145"/>
      <c r="F1026" s="145"/>
      <c r="G1026" s="145"/>
      <c r="H1026" s="145"/>
      <c r="I1026" s="145"/>
      <c r="J1026" s="145"/>
      <c r="K1026" s="145"/>
      <c r="L1026" s="145"/>
    </row>
    <row r="1027" spans="1:12" ht="15" customHeight="1">
      <c r="A1027" s="145"/>
      <c r="B1027" s="145"/>
      <c r="C1027" s="145"/>
      <c r="D1027" s="145"/>
      <c r="E1027" s="145"/>
      <c r="F1027" s="145"/>
      <c r="G1027" s="145"/>
      <c r="H1027" s="145"/>
      <c r="I1027" s="145"/>
      <c r="J1027" s="145"/>
      <c r="K1027" s="145"/>
      <c r="L1027" s="145"/>
    </row>
    <row r="1028" spans="1:12" ht="15" customHeight="1">
      <c r="A1028" s="145"/>
      <c r="B1028" s="145"/>
      <c r="C1028" s="145"/>
      <c r="D1028" s="145"/>
      <c r="E1028" s="145"/>
      <c r="F1028" s="145"/>
      <c r="G1028" s="145"/>
      <c r="H1028" s="145"/>
      <c r="I1028" s="145"/>
      <c r="J1028" s="145"/>
      <c r="K1028" s="145"/>
      <c r="L1028" s="145"/>
    </row>
    <row r="1029" spans="1:12" ht="15" customHeight="1">
      <c r="A1029" s="145"/>
      <c r="B1029" s="145"/>
      <c r="C1029" s="145"/>
      <c r="D1029" s="145"/>
      <c r="E1029" s="145"/>
      <c r="F1029" s="145"/>
      <c r="G1029" s="145"/>
      <c r="H1029" s="145"/>
      <c r="I1029" s="145"/>
      <c r="J1029" s="145"/>
      <c r="K1029" s="145"/>
      <c r="L1029" s="145"/>
    </row>
    <row r="1030" spans="1:12" ht="15" customHeight="1">
      <c r="A1030" s="145"/>
      <c r="B1030" s="145"/>
      <c r="C1030" s="145"/>
      <c r="D1030" s="145"/>
      <c r="E1030" s="145"/>
      <c r="F1030" s="145"/>
      <c r="G1030" s="145"/>
      <c r="H1030" s="145"/>
      <c r="I1030" s="145"/>
      <c r="J1030" s="145"/>
      <c r="K1030" s="145"/>
      <c r="L1030" s="145"/>
    </row>
    <row r="1031" spans="1:12" ht="15" customHeight="1">
      <c r="A1031" s="145"/>
      <c r="B1031" s="145"/>
      <c r="C1031" s="145"/>
      <c r="D1031" s="145"/>
      <c r="E1031" s="145"/>
      <c r="F1031" s="145"/>
      <c r="G1031" s="145"/>
      <c r="H1031" s="145"/>
      <c r="I1031" s="145"/>
      <c r="J1031" s="145"/>
      <c r="K1031" s="145"/>
      <c r="L1031" s="145"/>
    </row>
    <row r="1032" spans="1:12" ht="15" customHeight="1">
      <c r="A1032" s="145"/>
      <c r="B1032" s="145"/>
      <c r="C1032" s="145"/>
      <c r="D1032" s="145"/>
      <c r="E1032" s="145"/>
      <c r="F1032" s="145"/>
      <c r="G1032" s="145"/>
      <c r="H1032" s="145"/>
      <c r="I1032" s="145"/>
      <c r="J1032" s="145"/>
      <c r="K1032" s="145"/>
      <c r="L1032" s="145"/>
    </row>
    <row r="1033" spans="1:12" ht="15" customHeight="1">
      <c r="A1033" s="145"/>
      <c r="B1033" s="145"/>
      <c r="C1033" s="145"/>
      <c r="D1033" s="145"/>
      <c r="E1033" s="145"/>
      <c r="F1033" s="145"/>
      <c r="G1033" s="145"/>
      <c r="H1033" s="145"/>
      <c r="I1033" s="145"/>
      <c r="J1033" s="145"/>
      <c r="K1033" s="145"/>
      <c r="L1033" s="145"/>
    </row>
    <row r="1034" spans="1:12" ht="15" customHeight="1">
      <c r="A1034" s="145"/>
      <c r="B1034" s="145"/>
      <c r="C1034" s="145"/>
      <c r="D1034" s="145"/>
      <c r="E1034" s="145"/>
      <c r="F1034" s="145"/>
      <c r="G1034" s="145"/>
      <c r="H1034" s="145"/>
      <c r="I1034" s="145"/>
      <c r="J1034" s="145"/>
      <c r="K1034" s="145"/>
      <c r="L1034" s="145"/>
    </row>
    <row r="1035" spans="1:12" ht="15" customHeight="1">
      <c r="A1035" s="145"/>
      <c r="B1035" s="145"/>
      <c r="C1035" s="145"/>
      <c r="D1035" s="145"/>
      <c r="E1035" s="145"/>
      <c r="F1035" s="145"/>
      <c r="G1035" s="145"/>
      <c r="H1035" s="145"/>
      <c r="I1035" s="145"/>
      <c r="J1035" s="145"/>
      <c r="K1035" s="145"/>
      <c r="L1035" s="145"/>
    </row>
    <row r="1036" spans="1:12" ht="15" customHeight="1">
      <c r="A1036" s="145"/>
      <c r="B1036" s="145"/>
      <c r="C1036" s="145"/>
      <c r="D1036" s="145"/>
      <c r="E1036" s="145"/>
      <c r="F1036" s="145"/>
      <c r="G1036" s="145"/>
      <c r="H1036" s="145"/>
      <c r="I1036" s="145"/>
      <c r="J1036" s="145"/>
      <c r="K1036" s="145"/>
      <c r="L1036" s="145"/>
    </row>
    <row r="1037" spans="1:12" ht="15" customHeight="1">
      <c r="A1037" s="145"/>
      <c r="B1037" s="145"/>
      <c r="C1037" s="145"/>
      <c r="D1037" s="145"/>
      <c r="E1037" s="145"/>
      <c r="F1037" s="145"/>
      <c r="G1037" s="145"/>
      <c r="H1037" s="145"/>
      <c r="I1037" s="145"/>
      <c r="J1037" s="145"/>
      <c r="K1037" s="145"/>
      <c r="L1037" s="145"/>
    </row>
    <row r="1038" spans="1:12" ht="15" customHeight="1">
      <c r="A1038" s="145"/>
      <c r="B1038" s="145"/>
      <c r="C1038" s="145"/>
      <c r="D1038" s="145"/>
      <c r="E1038" s="145"/>
      <c r="F1038" s="145"/>
      <c r="G1038" s="145"/>
      <c r="H1038" s="145"/>
      <c r="I1038" s="145"/>
      <c r="J1038" s="145"/>
      <c r="K1038" s="145"/>
      <c r="L1038" s="145"/>
    </row>
    <row r="1039" spans="1:12" ht="15" customHeight="1">
      <c r="A1039" s="145"/>
      <c r="B1039" s="145"/>
      <c r="C1039" s="145"/>
      <c r="D1039" s="145"/>
      <c r="E1039" s="145"/>
      <c r="F1039" s="145"/>
      <c r="G1039" s="145"/>
      <c r="H1039" s="145"/>
      <c r="I1039" s="145"/>
      <c r="J1039" s="145"/>
      <c r="K1039" s="145"/>
      <c r="L1039" s="145"/>
    </row>
    <row r="1040" spans="1:12" ht="15" customHeight="1">
      <c r="A1040" s="145"/>
      <c r="B1040" s="145"/>
      <c r="C1040" s="145"/>
      <c r="D1040" s="145"/>
      <c r="E1040" s="145"/>
      <c r="F1040" s="145"/>
      <c r="G1040" s="145"/>
      <c r="H1040" s="145"/>
      <c r="I1040" s="145"/>
      <c r="J1040" s="145"/>
      <c r="K1040" s="145"/>
      <c r="L1040" s="145"/>
    </row>
    <row r="1041" spans="1:12" ht="15" customHeight="1">
      <c r="A1041" s="145"/>
      <c r="B1041" s="145"/>
      <c r="C1041" s="145"/>
      <c r="D1041" s="145"/>
      <c r="E1041" s="145"/>
      <c r="F1041" s="145"/>
      <c r="G1041" s="145"/>
      <c r="H1041" s="145"/>
      <c r="I1041" s="145"/>
      <c r="J1041" s="145"/>
      <c r="K1041" s="145"/>
      <c r="L1041" s="145"/>
    </row>
    <row r="1042" spans="1:12" ht="15" customHeight="1">
      <c r="A1042" s="145"/>
      <c r="B1042" s="145"/>
      <c r="C1042" s="145"/>
      <c r="D1042" s="145"/>
      <c r="E1042" s="145"/>
      <c r="F1042" s="145"/>
      <c r="G1042" s="145"/>
      <c r="H1042" s="145"/>
      <c r="I1042" s="145"/>
      <c r="J1042" s="145"/>
      <c r="K1042" s="145"/>
      <c r="L1042" s="145"/>
    </row>
    <row r="1043" spans="1:12" ht="15" customHeight="1">
      <c r="A1043" s="145"/>
      <c r="B1043" s="145"/>
      <c r="C1043" s="145"/>
      <c r="D1043" s="145"/>
      <c r="E1043" s="145"/>
      <c r="F1043" s="145"/>
      <c r="G1043" s="145"/>
      <c r="H1043" s="145"/>
      <c r="I1043" s="145"/>
      <c r="J1043" s="145"/>
      <c r="K1043" s="145"/>
      <c r="L1043" s="145"/>
    </row>
    <row r="1044" spans="1:12" ht="15" customHeight="1">
      <c r="A1044" s="145"/>
      <c r="B1044" s="145"/>
      <c r="C1044" s="145"/>
      <c r="D1044" s="145"/>
      <c r="E1044" s="145"/>
      <c r="F1044" s="145"/>
      <c r="G1044" s="145"/>
      <c r="H1044" s="145"/>
      <c r="I1044" s="145"/>
      <c r="J1044" s="145"/>
      <c r="K1044" s="145"/>
      <c r="L1044" s="145"/>
    </row>
    <row r="1045" spans="1:12" ht="15" customHeight="1">
      <c r="A1045" s="145"/>
      <c r="B1045" s="145"/>
      <c r="C1045" s="145"/>
      <c r="D1045" s="145"/>
      <c r="E1045" s="145"/>
      <c r="F1045" s="145"/>
      <c r="G1045" s="145"/>
      <c r="H1045" s="145"/>
      <c r="I1045" s="145"/>
      <c r="J1045" s="145"/>
      <c r="K1045" s="145"/>
      <c r="L1045" s="145"/>
    </row>
    <row r="1046" spans="1:12" ht="15" customHeight="1">
      <c r="A1046" s="145"/>
      <c r="B1046" s="145"/>
      <c r="C1046" s="145"/>
      <c r="D1046" s="145"/>
      <c r="E1046" s="145"/>
      <c r="F1046" s="145"/>
      <c r="G1046" s="145"/>
      <c r="H1046" s="145"/>
      <c r="I1046" s="145"/>
      <c r="J1046" s="145"/>
      <c r="K1046" s="145"/>
      <c r="L1046" s="145"/>
    </row>
    <row r="1047" spans="1:12" ht="15" customHeight="1">
      <c r="A1047" s="145"/>
      <c r="B1047" s="145"/>
      <c r="C1047" s="145"/>
      <c r="D1047" s="145"/>
      <c r="E1047" s="145"/>
      <c r="F1047" s="145"/>
      <c r="G1047" s="145"/>
      <c r="H1047" s="145"/>
      <c r="I1047" s="145"/>
      <c r="J1047" s="145"/>
      <c r="K1047" s="145"/>
      <c r="L1047" s="145"/>
    </row>
    <row r="1048" spans="1:12" ht="15" customHeight="1">
      <c r="A1048" s="145"/>
      <c r="B1048" s="145"/>
      <c r="C1048" s="145"/>
      <c r="D1048" s="145"/>
      <c r="E1048" s="145"/>
      <c r="F1048" s="145"/>
      <c r="G1048" s="145"/>
      <c r="H1048" s="145"/>
      <c r="I1048" s="145"/>
      <c r="J1048" s="145"/>
      <c r="K1048" s="145"/>
      <c r="L1048" s="145"/>
    </row>
    <row r="1049" spans="1:12" ht="15" customHeight="1">
      <c r="A1049" s="145"/>
      <c r="B1049" s="145"/>
      <c r="C1049" s="145"/>
      <c r="D1049" s="145"/>
      <c r="E1049" s="145"/>
      <c r="F1049" s="145"/>
      <c r="G1049" s="145"/>
      <c r="H1049" s="145"/>
      <c r="I1049" s="145"/>
      <c r="J1049" s="145"/>
      <c r="K1049" s="145"/>
      <c r="L1049" s="145"/>
    </row>
    <row r="1050" spans="1:12" ht="15" customHeight="1">
      <c r="A1050" s="145"/>
      <c r="B1050" s="145"/>
      <c r="C1050" s="145"/>
      <c r="D1050" s="145"/>
      <c r="E1050" s="145"/>
      <c r="F1050" s="145"/>
      <c r="G1050" s="145"/>
      <c r="H1050" s="145"/>
      <c r="I1050" s="145"/>
      <c r="J1050" s="145"/>
      <c r="K1050" s="145"/>
      <c r="L1050" s="145"/>
    </row>
    <row r="1051" spans="1:12" ht="15" customHeight="1">
      <c r="A1051" s="145"/>
      <c r="B1051" s="145"/>
      <c r="C1051" s="145"/>
      <c r="D1051" s="145"/>
      <c r="E1051" s="145"/>
      <c r="F1051" s="145"/>
      <c r="G1051" s="145"/>
      <c r="H1051" s="145"/>
      <c r="I1051" s="145"/>
      <c r="J1051" s="145"/>
      <c r="K1051" s="145"/>
      <c r="L1051" s="145"/>
    </row>
    <row r="1052" spans="1:12" ht="15" customHeight="1">
      <c r="A1052" s="145"/>
      <c r="B1052" s="145"/>
      <c r="C1052" s="145"/>
      <c r="D1052" s="145"/>
      <c r="E1052" s="145"/>
      <c r="F1052" s="145"/>
      <c r="G1052" s="145"/>
      <c r="H1052" s="145"/>
      <c r="I1052" s="145"/>
      <c r="J1052" s="145"/>
      <c r="K1052" s="145"/>
      <c r="L1052" s="145"/>
    </row>
    <row r="1053" spans="1:12" ht="15" customHeight="1">
      <c r="A1053" s="145"/>
      <c r="B1053" s="145"/>
      <c r="C1053" s="145"/>
      <c r="D1053" s="145"/>
      <c r="E1053" s="145"/>
      <c r="F1053" s="145"/>
      <c r="G1053" s="145"/>
      <c r="H1053" s="145"/>
      <c r="I1053" s="145"/>
      <c r="J1053" s="145"/>
      <c r="K1053" s="145"/>
      <c r="L1053" s="145"/>
    </row>
    <row r="1054" spans="1:12" ht="15" customHeight="1">
      <c r="A1054" s="145"/>
      <c r="B1054" s="145"/>
      <c r="C1054" s="145"/>
      <c r="D1054" s="145"/>
      <c r="E1054" s="145"/>
      <c r="F1054" s="145"/>
      <c r="G1054" s="145"/>
      <c r="H1054" s="145"/>
      <c r="I1054" s="145"/>
      <c r="J1054" s="145"/>
      <c r="K1054" s="145"/>
      <c r="L1054" s="145"/>
    </row>
    <row r="1055" spans="1:12" ht="15" customHeight="1">
      <c r="A1055" s="145"/>
      <c r="B1055" s="145"/>
      <c r="C1055" s="145"/>
      <c r="D1055" s="145"/>
      <c r="E1055" s="145"/>
      <c r="F1055" s="145"/>
      <c r="G1055" s="145"/>
      <c r="H1055" s="145"/>
      <c r="I1055" s="145"/>
      <c r="J1055" s="145"/>
      <c r="K1055" s="145"/>
      <c r="L1055" s="145"/>
    </row>
    <row r="1056" spans="1:12" ht="15" customHeight="1">
      <c r="A1056" s="145"/>
      <c r="B1056" s="145"/>
      <c r="C1056" s="145"/>
      <c r="D1056" s="145"/>
      <c r="E1056" s="145"/>
      <c r="F1056" s="145"/>
      <c r="G1056" s="145"/>
      <c r="H1056" s="145"/>
      <c r="I1056" s="145"/>
      <c r="J1056" s="145"/>
      <c r="K1056" s="145"/>
      <c r="L1056" s="145"/>
    </row>
    <row r="1057" spans="1:12" ht="15" customHeight="1">
      <c r="A1057" s="145"/>
      <c r="B1057" s="145"/>
      <c r="C1057" s="145"/>
      <c r="D1057" s="145"/>
      <c r="E1057" s="145"/>
      <c r="F1057" s="145"/>
      <c r="G1057" s="145"/>
      <c r="H1057" s="145"/>
      <c r="I1057" s="145"/>
      <c r="J1057" s="145"/>
      <c r="K1057" s="145"/>
      <c r="L1057" s="145"/>
    </row>
    <row r="1058" spans="1:12" ht="15" customHeight="1">
      <c r="A1058" s="145"/>
      <c r="B1058" s="145"/>
      <c r="C1058" s="145"/>
      <c r="D1058" s="145"/>
      <c r="E1058" s="145"/>
      <c r="F1058" s="145"/>
      <c r="G1058" s="145"/>
      <c r="H1058" s="145"/>
      <c r="I1058" s="145"/>
      <c r="J1058" s="145"/>
      <c r="K1058" s="145"/>
      <c r="L1058" s="145"/>
    </row>
    <row r="1059" spans="1:12" ht="15" customHeight="1">
      <c r="A1059" s="145"/>
      <c r="B1059" s="145"/>
      <c r="C1059" s="145"/>
      <c r="D1059" s="145"/>
      <c r="E1059" s="145"/>
      <c r="F1059" s="145"/>
      <c r="G1059" s="145"/>
      <c r="H1059" s="145"/>
      <c r="I1059" s="145"/>
      <c r="J1059" s="145"/>
      <c r="K1059" s="145"/>
      <c r="L1059" s="145"/>
    </row>
    <row r="1060" spans="1:12" ht="15" customHeight="1">
      <c r="A1060" s="145"/>
      <c r="B1060" s="145"/>
      <c r="C1060" s="145"/>
      <c r="D1060" s="145"/>
      <c r="E1060" s="145"/>
      <c r="F1060" s="145"/>
      <c r="G1060" s="145"/>
      <c r="H1060" s="145"/>
      <c r="I1060" s="145"/>
      <c r="J1060" s="145"/>
      <c r="K1060" s="145"/>
      <c r="L1060" s="145"/>
    </row>
    <row r="1061" spans="1:12" ht="15" customHeight="1">
      <c r="A1061" s="145"/>
      <c r="B1061" s="145"/>
      <c r="C1061" s="145"/>
      <c r="D1061" s="145"/>
      <c r="E1061" s="145"/>
      <c r="F1061" s="145"/>
      <c r="G1061" s="145"/>
      <c r="H1061" s="145"/>
      <c r="I1061" s="145"/>
      <c r="J1061" s="145"/>
      <c r="K1061" s="145"/>
      <c r="L1061" s="145"/>
    </row>
    <row r="1062" spans="1:12" ht="15" customHeight="1">
      <c r="A1062" s="145"/>
      <c r="B1062" s="145"/>
      <c r="C1062" s="145"/>
      <c r="D1062" s="145"/>
      <c r="E1062" s="145"/>
      <c r="F1062" s="145"/>
      <c r="G1062" s="145"/>
      <c r="H1062" s="145"/>
      <c r="I1062" s="145"/>
      <c r="J1062" s="145"/>
      <c r="K1062" s="145"/>
      <c r="L1062" s="145"/>
    </row>
    <row r="1063" spans="1:12" ht="15" customHeight="1">
      <c r="A1063" s="145"/>
      <c r="B1063" s="145"/>
      <c r="C1063" s="145"/>
      <c r="D1063" s="145"/>
      <c r="E1063" s="145"/>
      <c r="F1063" s="145"/>
      <c r="G1063" s="145"/>
      <c r="H1063" s="145"/>
      <c r="I1063" s="145"/>
      <c r="J1063" s="145"/>
      <c r="K1063" s="145"/>
      <c r="L1063" s="145"/>
    </row>
    <row r="1064" spans="1:12" ht="15" customHeight="1">
      <c r="A1064" s="145"/>
      <c r="B1064" s="145"/>
      <c r="C1064" s="145"/>
      <c r="D1064" s="145"/>
      <c r="E1064" s="145"/>
      <c r="F1064" s="145"/>
      <c r="G1064" s="145"/>
      <c r="H1064" s="145"/>
      <c r="I1064" s="145"/>
      <c r="J1064" s="145"/>
      <c r="K1064" s="145"/>
      <c r="L1064" s="145"/>
    </row>
    <row r="1065" spans="1:12" ht="15" customHeight="1">
      <c r="A1065" s="145"/>
      <c r="B1065" s="145"/>
      <c r="C1065" s="145"/>
      <c r="D1065" s="145"/>
      <c r="E1065" s="145"/>
      <c r="F1065" s="145"/>
      <c r="G1065" s="145"/>
      <c r="H1065" s="145"/>
      <c r="I1065" s="145"/>
      <c r="J1065" s="145"/>
      <c r="K1065" s="145"/>
      <c r="L1065" s="145"/>
    </row>
    <row r="1066" spans="1:12" ht="15" customHeight="1">
      <c r="A1066" s="145"/>
      <c r="B1066" s="145"/>
      <c r="C1066" s="145"/>
      <c r="D1066" s="145"/>
      <c r="E1066" s="145"/>
      <c r="F1066" s="145"/>
      <c r="G1066" s="145"/>
      <c r="H1066" s="145"/>
      <c r="I1066" s="145"/>
      <c r="J1066" s="145"/>
      <c r="K1066" s="145"/>
      <c r="L1066" s="145"/>
    </row>
    <row r="1067" spans="1:12" ht="15" customHeight="1">
      <c r="A1067" s="145"/>
      <c r="B1067" s="145"/>
      <c r="C1067" s="145"/>
      <c r="D1067" s="145"/>
      <c r="E1067" s="145"/>
      <c r="F1067" s="145"/>
      <c r="G1067" s="145"/>
      <c r="H1067" s="145"/>
      <c r="I1067" s="145"/>
      <c r="J1067" s="145"/>
      <c r="K1067" s="145"/>
      <c r="L1067" s="145"/>
    </row>
    <row r="1068" spans="1:12" ht="15" customHeight="1">
      <c r="A1068" s="145"/>
      <c r="B1068" s="145"/>
      <c r="C1068" s="145"/>
      <c r="D1068" s="145"/>
      <c r="E1068" s="145"/>
      <c r="F1068" s="145"/>
      <c r="G1068" s="145"/>
      <c r="H1068" s="145"/>
      <c r="I1068" s="145"/>
      <c r="J1068" s="145"/>
      <c r="K1068" s="145"/>
      <c r="L1068" s="145"/>
    </row>
    <row r="1069" spans="1:12" ht="15" customHeight="1">
      <c r="A1069" s="145"/>
      <c r="B1069" s="145"/>
      <c r="C1069" s="145"/>
      <c r="D1069" s="145"/>
      <c r="E1069" s="145"/>
      <c r="F1069" s="145"/>
      <c r="G1069" s="145"/>
      <c r="H1069" s="145"/>
      <c r="I1069" s="145"/>
      <c r="J1069" s="145"/>
      <c r="K1069" s="145"/>
      <c r="L1069" s="145"/>
    </row>
    <row r="1070" spans="1:12" ht="15" customHeight="1">
      <c r="A1070" s="145"/>
      <c r="B1070" s="145"/>
      <c r="C1070" s="145"/>
      <c r="D1070" s="145"/>
      <c r="E1070" s="145"/>
      <c r="F1070" s="145"/>
      <c r="G1070" s="145"/>
      <c r="H1070" s="145"/>
      <c r="I1070" s="145"/>
      <c r="J1070" s="145"/>
      <c r="K1070" s="145"/>
      <c r="L1070" s="145"/>
    </row>
    <row r="1071" spans="1:12" ht="15" customHeight="1">
      <c r="A1071" s="145"/>
      <c r="B1071" s="145"/>
      <c r="C1071" s="145"/>
      <c r="D1071" s="145"/>
      <c r="E1071" s="145"/>
      <c r="F1071" s="145"/>
      <c r="G1071" s="145"/>
      <c r="H1071" s="145"/>
      <c r="I1071" s="145"/>
      <c r="J1071" s="145"/>
      <c r="K1071" s="145"/>
      <c r="L1071" s="145"/>
    </row>
    <row r="1072" spans="1:12" ht="15" customHeight="1">
      <c r="A1072" s="145"/>
      <c r="B1072" s="145"/>
      <c r="C1072" s="145"/>
      <c r="D1072" s="145"/>
      <c r="E1072" s="145"/>
      <c r="F1072" s="145"/>
      <c r="G1072" s="145"/>
      <c r="H1072" s="145"/>
      <c r="I1072" s="145"/>
      <c r="J1072" s="145"/>
      <c r="K1072" s="145"/>
      <c r="L1072" s="145"/>
    </row>
    <row r="1073" spans="1:12" ht="15" customHeight="1">
      <c r="A1073" s="145"/>
      <c r="B1073" s="145"/>
      <c r="C1073" s="145"/>
      <c r="D1073" s="145"/>
      <c r="E1073" s="145"/>
      <c r="F1073" s="145"/>
      <c r="G1073" s="145"/>
      <c r="H1073" s="145"/>
      <c r="I1073" s="145"/>
      <c r="J1073" s="145"/>
      <c r="K1073" s="145"/>
      <c r="L1073" s="145"/>
    </row>
    <row r="1074" spans="1:12" ht="15" customHeight="1">
      <c r="A1074" s="145"/>
      <c r="B1074" s="145"/>
      <c r="C1074" s="145"/>
      <c r="D1074" s="145"/>
      <c r="E1074" s="145"/>
      <c r="F1074" s="145"/>
      <c r="G1074" s="145"/>
      <c r="H1074" s="145"/>
      <c r="I1074" s="145"/>
      <c r="J1074" s="145"/>
      <c r="K1074" s="145"/>
      <c r="L1074" s="145"/>
    </row>
    <row r="1075" spans="1:12" ht="15" customHeight="1">
      <c r="A1075" s="145"/>
      <c r="B1075" s="145"/>
      <c r="C1075" s="145"/>
      <c r="D1075" s="145"/>
      <c r="E1075" s="145"/>
      <c r="F1075" s="145"/>
      <c r="G1075" s="145"/>
      <c r="H1075" s="145"/>
      <c r="I1075" s="145"/>
      <c r="J1075" s="145"/>
      <c r="K1075" s="145"/>
      <c r="L1075" s="145"/>
    </row>
    <row r="1076" spans="1:12" ht="15" customHeight="1">
      <c r="A1076" s="145"/>
      <c r="B1076" s="145"/>
      <c r="C1076" s="145"/>
      <c r="D1076" s="145"/>
      <c r="E1076" s="145"/>
      <c r="F1076" s="145"/>
      <c r="G1076" s="145"/>
      <c r="H1076" s="145"/>
      <c r="I1076" s="145"/>
      <c r="J1076" s="145"/>
      <c r="K1076" s="145"/>
      <c r="L1076" s="145"/>
    </row>
    <row r="1077" spans="1:12" ht="15" customHeight="1">
      <c r="A1077" s="145"/>
      <c r="B1077" s="145"/>
      <c r="C1077" s="145"/>
      <c r="D1077" s="145"/>
      <c r="E1077" s="145"/>
      <c r="F1077" s="145"/>
      <c r="G1077" s="145"/>
      <c r="H1077" s="145"/>
      <c r="I1077" s="145"/>
      <c r="J1077" s="145"/>
      <c r="K1077" s="145"/>
      <c r="L1077" s="145"/>
    </row>
    <row r="1078" spans="1:12" ht="15" customHeight="1">
      <c r="A1078" s="145"/>
      <c r="B1078" s="145"/>
      <c r="C1078" s="145"/>
      <c r="D1078" s="145"/>
      <c r="E1078" s="145"/>
      <c r="F1078" s="145"/>
      <c r="G1078" s="145"/>
      <c r="H1078" s="145"/>
      <c r="I1078" s="145"/>
      <c r="J1078" s="145"/>
      <c r="K1078" s="145"/>
      <c r="L1078" s="145"/>
    </row>
    <row r="1079" spans="1:12" ht="15" customHeight="1">
      <c r="A1079" s="145"/>
      <c r="B1079" s="145"/>
      <c r="C1079" s="145"/>
      <c r="D1079" s="145"/>
      <c r="E1079" s="145"/>
      <c r="F1079" s="145"/>
      <c r="G1079" s="145"/>
      <c r="H1079" s="145"/>
      <c r="I1079" s="145"/>
      <c r="J1079" s="145"/>
      <c r="K1079" s="145"/>
      <c r="L1079" s="145"/>
    </row>
    <row r="1080" spans="1:12" ht="15" customHeight="1">
      <c r="A1080" s="145"/>
      <c r="B1080" s="145"/>
      <c r="C1080" s="145"/>
      <c r="D1080" s="145"/>
      <c r="E1080" s="145"/>
      <c r="F1080" s="145"/>
      <c r="G1080" s="145"/>
      <c r="H1080" s="145"/>
      <c r="I1080" s="145"/>
      <c r="J1080" s="145"/>
      <c r="K1080" s="145"/>
      <c r="L1080" s="145"/>
    </row>
    <row r="1081" spans="1:12" ht="15" customHeight="1">
      <c r="A1081" s="145"/>
      <c r="B1081" s="145"/>
      <c r="C1081" s="145"/>
      <c r="D1081" s="145"/>
      <c r="E1081" s="145"/>
      <c r="F1081" s="145"/>
      <c r="G1081" s="145"/>
      <c r="H1081" s="145"/>
      <c r="I1081" s="145"/>
      <c r="J1081" s="145"/>
      <c r="K1081" s="145"/>
      <c r="L1081" s="145"/>
    </row>
    <row r="1082" spans="1:12" ht="15" customHeight="1">
      <c r="A1082" s="145"/>
      <c r="B1082" s="145"/>
      <c r="C1082" s="145"/>
      <c r="D1082" s="145"/>
      <c r="E1082" s="145"/>
      <c r="F1082" s="145"/>
      <c r="G1082" s="145"/>
      <c r="H1082" s="145"/>
      <c r="I1082" s="145"/>
      <c r="J1082" s="145"/>
      <c r="K1082" s="145"/>
      <c r="L1082" s="145"/>
    </row>
    <row r="1083" spans="1:12" ht="15" customHeight="1">
      <c r="A1083" s="145"/>
      <c r="B1083" s="145"/>
      <c r="C1083" s="145"/>
      <c r="D1083" s="145"/>
      <c r="E1083" s="145"/>
      <c r="F1083" s="145"/>
      <c r="G1083" s="145"/>
      <c r="H1083" s="145"/>
      <c r="I1083" s="145"/>
      <c r="J1083" s="145"/>
      <c r="K1083" s="145"/>
      <c r="L1083" s="145"/>
    </row>
    <row r="1084" spans="1:12" ht="15" customHeight="1">
      <c r="A1084" s="145"/>
      <c r="B1084" s="145"/>
      <c r="C1084" s="145"/>
      <c r="D1084" s="145"/>
      <c r="E1084" s="145"/>
      <c r="F1084" s="145"/>
      <c r="G1084" s="145"/>
      <c r="H1084" s="145"/>
      <c r="I1084" s="145"/>
      <c r="J1084" s="145"/>
      <c r="K1084" s="145"/>
      <c r="L1084" s="145"/>
    </row>
    <row r="1085" spans="1:12" ht="15" customHeight="1">
      <c r="A1085" s="145"/>
      <c r="B1085" s="145"/>
      <c r="C1085" s="145"/>
      <c r="D1085" s="145"/>
      <c r="E1085" s="145"/>
      <c r="F1085" s="145"/>
      <c r="G1085" s="145"/>
      <c r="H1085" s="145"/>
      <c r="I1085" s="145"/>
      <c r="J1085" s="145"/>
      <c r="K1085" s="145"/>
      <c r="L1085" s="145"/>
    </row>
    <row r="1086" spans="1:12" ht="15" customHeight="1">
      <c r="A1086" s="145"/>
      <c r="B1086" s="145"/>
      <c r="C1086" s="145"/>
      <c r="D1086" s="145"/>
      <c r="E1086" s="145"/>
      <c r="F1086" s="145"/>
      <c r="G1086" s="145"/>
      <c r="H1086" s="145"/>
      <c r="I1086" s="145"/>
      <c r="J1086" s="145"/>
      <c r="K1086" s="145"/>
      <c r="L1086" s="145"/>
    </row>
    <row r="1087" spans="1:12" ht="15" customHeight="1">
      <c r="A1087" s="145"/>
      <c r="B1087" s="145"/>
      <c r="C1087" s="145"/>
      <c r="D1087" s="145"/>
      <c r="E1087" s="145"/>
      <c r="F1087" s="145"/>
      <c r="G1087" s="145"/>
      <c r="H1087" s="145"/>
      <c r="I1087" s="145"/>
      <c r="J1087" s="145"/>
      <c r="K1087" s="145"/>
      <c r="L1087" s="145"/>
    </row>
    <row r="1088" spans="1:12" ht="15" customHeight="1">
      <c r="A1088" s="145"/>
      <c r="B1088" s="145"/>
      <c r="C1088" s="145"/>
      <c r="D1088" s="145"/>
      <c r="E1088" s="145"/>
      <c r="F1088" s="145"/>
      <c r="G1088" s="145"/>
      <c r="H1088" s="145"/>
      <c r="I1088" s="145"/>
      <c r="J1088" s="145"/>
      <c r="K1088" s="145"/>
      <c r="L1088" s="145"/>
    </row>
    <row r="1089" spans="1:12" ht="15" customHeight="1">
      <c r="A1089" s="145"/>
      <c r="B1089" s="145"/>
      <c r="C1089" s="145"/>
      <c r="D1089" s="145"/>
      <c r="E1089" s="145"/>
      <c r="F1089" s="145"/>
      <c r="G1089" s="145"/>
      <c r="H1089" s="145"/>
      <c r="I1089" s="145"/>
      <c r="J1089" s="145"/>
      <c r="K1089" s="145"/>
      <c r="L1089" s="145"/>
    </row>
    <row r="1090" spans="1:12" ht="15" customHeight="1">
      <c r="A1090" s="145"/>
      <c r="B1090" s="145"/>
      <c r="C1090" s="145"/>
      <c r="D1090" s="145"/>
      <c r="E1090" s="145"/>
      <c r="F1090" s="145"/>
      <c r="G1090" s="145"/>
      <c r="H1090" s="145"/>
      <c r="I1090" s="145"/>
      <c r="J1090" s="145"/>
      <c r="K1090" s="145"/>
      <c r="L1090" s="145"/>
    </row>
    <row r="1091" spans="1:12" ht="15" customHeight="1">
      <c r="A1091" s="145"/>
      <c r="B1091" s="145"/>
      <c r="C1091" s="145"/>
      <c r="D1091" s="145"/>
      <c r="E1091" s="145"/>
      <c r="F1091" s="145"/>
      <c r="G1091" s="145"/>
      <c r="H1091" s="145"/>
      <c r="I1091" s="145"/>
      <c r="J1091" s="145"/>
      <c r="K1091" s="145"/>
      <c r="L1091" s="145"/>
    </row>
    <row r="1092" spans="1:12" ht="15" customHeight="1">
      <c r="A1092" s="145"/>
      <c r="B1092" s="145"/>
      <c r="C1092" s="145"/>
      <c r="D1092" s="145"/>
      <c r="E1092" s="145"/>
      <c r="F1092" s="145"/>
      <c r="G1092" s="145"/>
      <c r="H1092" s="145"/>
      <c r="I1092" s="145"/>
      <c r="J1092" s="145"/>
      <c r="K1092" s="145"/>
      <c r="L1092" s="145"/>
    </row>
    <row r="1093" spans="1:12" ht="15" customHeight="1">
      <c r="A1093" s="145"/>
      <c r="B1093" s="145"/>
      <c r="C1093" s="145"/>
      <c r="D1093" s="145"/>
      <c r="E1093" s="145"/>
      <c r="F1093" s="145"/>
      <c r="G1093" s="145"/>
      <c r="H1093" s="145"/>
      <c r="I1093" s="145"/>
      <c r="J1093" s="145"/>
      <c r="K1093" s="145"/>
      <c r="L1093" s="145"/>
    </row>
    <row r="1094" spans="1:12" ht="15" customHeight="1">
      <c r="A1094" s="145"/>
      <c r="B1094" s="145"/>
      <c r="C1094" s="145"/>
      <c r="D1094" s="145"/>
      <c r="E1094" s="145"/>
      <c r="F1094" s="145"/>
      <c r="G1094" s="145"/>
      <c r="H1094" s="145"/>
      <c r="I1094" s="145"/>
      <c r="J1094" s="145"/>
      <c r="K1094" s="145"/>
      <c r="L1094" s="145"/>
    </row>
    <row r="1095" spans="1:12" ht="15" customHeight="1">
      <c r="A1095" s="145"/>
      <c r="B1095" s="145"/>
      <c r="C1095" s="145"/>
      <c r="D1095" s="145"/>
      <c r="E1095" s="145"/>
      <c r="F1095" s="145"/>
      <c r="G1095" s="145"/>
      <c r="H1095" s="145"/>
      <c r="I1095" s="145"/>
      <c r="J1095" s="145"/>
      <c r="K1095" s="145"/>
      <c r="L1095" s="145"/>
    </row>
    <row r="1096" spans="1:12" ht="15" customHeight="1">
      <c r="A1096" s="145"/>
      <c r="B1096" s="145"/>
      <c r="C1096" s="145"/>
      <c r="D1096" s="145"/>
      <c r="E1096" s="145"/>
      <c r="F1096" s="145"/>
      <c r="G1096" s="145"/>
      <c r="H1096" s="145"/>
      <c r="I1096" s="145"/>
      <c r="J1096" s="145"/>
      <c r="K1096" s="145"/>
      <c r="L1096" s="145"/>
    </row>
    <row r="1097" spans="1:12" ht="15" customHeight="1">
      <c r="A1097" s="145"/>
      <c r="B1097" s="145"/>
      <c r="C1097" s="145"/>
      <c r="D1097" s="145"/>
      <c r="E1097" s="145"/>
      <c r="F1097" s="145"/>
      <c r="G1097" s="145"/>
      <c r="H1097" s="145"/>
      <c r="I1097" s="145"/>
      <c r="J1097" s="145"/>
      <c r="K1097" s="145"/>
      <c r="L1097" s="145"/>
    </row>
    <row r="1098" spans="1:12" ht="15" customHeight="1">
      <c r="A1098" s="145"/>
      <c r="B1098" s="145"/>
      <c r="C1098" s="145"/>
      <c r="D1098" s="145"/>
      <c r="E1098" s="145"/>
      <c r="F1098" s="145"/>
      <c r="G1098" s="145"/>
      <c r="H1098" s="145"/>
      <c r="I1098" s="145"/>
      <c r="J1098" s="145"/>
      <c r="K1098" s="145"/>
      <c r="L1098" s="145"/>
    </row>
    <row r="1099" spans="1:12" ht="15" customHeight="1">
      <c r="A1099" s="145"/>
      <c r="B1099" s="145"/>
      <c r="C1099" s="145"/>
      <c r="D1099" s="145"/>
      <c r="E1099" s="145"/>
      <c r="F1099" s="145"/>
      <c r="G1099" s="145"/>
      <c r="H1099" s="145"/>
      <c r="I1099" s="145"/>
      <c r="J1099" s="145"/>
      <c r="K1099" s="145"/>
      <c r="L1099" s="145"/>
    </row>
    <row r="1100" spans="1:12" ht="15" customHeight="1">
      <c r="A1100" s="145"/>
      <c r="B1100" s="145"/>
      <c r="C1100" s="145"/>
      <c r="D1100" s="145"/>
      <c r="E1100" s="145"/>
      <c r="F1100" s="145"/>
      <c r="G1100" s="145"/>
      <c r="H1100" s="145"/>
      <c r="I1100" s="145"/>
      <c r="J1100" s="145"/>
      <c r="K1100" s="145"/>
      <c r="L1100" s="145"/>
    </row>
    <row r="1101" spans="1:12" ht="15" customHeight="1">
      <c r="A1101" s="145"/>
      <c r="B1101" s="145"/>
      <c r="C1101" s="145"/>
      <c r="D1101" s="145"/>
      <c r="E1101" s="145"/>
      <c r="F1101" s="145"/>
      <c r="G1101" s="145"/>
      <c r="H1101" s="145"/>
      <c r="I1101" s="145"/>
      <c r="J1101" s="145"/>
      <c r="K1101" s="145"/>
      <c r="L1101" s="145"/>
    </row>
    <row r="1102" spans="1:12" ht="15" customHeight="1">
      <c r="A1102" s="145"/>
      <c r="B1102" s="145"/>
      <c r="C1102" s="145"/>
      <c r="D1102" s="145"/>
      <c r="E1102" s="145"/>
      <c r="F1102" s="145"/>
      <c r="G1102" s="145"/>
      <c r="H1102" s="145"/>
      <c r="I1102" s="145"/>
      <c r="J1102" s="145"/>
      <c r="K1102" s="145"/>
      <c r="L1102" s="145"/>
    </row>
    <row r="1103" spans="1:12" ht="15" customHeight="1">
      <c r="A1103" s="145"/>
      <c r="B1103" s="145"/>
      <c r="C1103" s="145"/>
      <c r="D1103" s="145"/>
      <c r="E1103" s="145"/>
      <c r="F1103" s="145"/>
      <c r="G1103" s="145"/>
      <c r="H1103" s="145"/>
      <c r="I1103" s="145"/>
      <c r="J1103" s="145"/>
      <c r="K1103" s="145"/>
      <c r="L1103" s="145"/>
    </row>
    <row r="1104" spans="1:12" ht="15" customHeight="1">
      <c r="A1104" s="145"/>
      <c r="B1104" s="145"/>
      <c r="C1104" s="145"/>
      <c r="D1104" s="145"/>
      <c r="E1104" s="145"/>
      <c r="F1104" s="145"/>
      <c r="G1104" s="145"/>
      <c r="H1104" s="145"/>
      <c r="I1104" s="145"/>
      <c r="J1104" s="145"/>
      <c r="K1104" s="145"/>
      <c r="L1104" s="145"/>
    </row>
    <row r="1105" spans="1:12" ht="15" customHeight="1">
      <c r="A1105" s="145"/>
      <c r="B1105" s="145"/>
      <c r="C1105" s="145"/>
      <c r="D1105" s="145"/>
      <c r="E1105" s="145"/>
      <c r="F1105" s="145"/>
      <c r="G1105" s="145"/>
      <c r="H1105" s="145"/>
      <c r="I1105" s="145"/>
      <c r="J1105" s="145"/>
      <c r="K1105" s="145"/>
      <c r="L1105" s="145"/>
    </row>
    <row r="1106" spans="1:12" ht="15" customHeight="1">
      <c r="A1106" s="145"/>
      <c r="B1106" s="145"/>
      <c r="C1106" s="145"/>
      <c r="D1106" s="145"/>
      <c r="E1106" s="145"/>
      <c r="F1106" s="145"/>
      <c r="G1106" s="145"/>
      <c r="H1106" s="145"/>
      <c r="I1106" s="145"/>
      <c r="J1106" s="145"/>
      <c r="K1106" s="145"/>
      <c r="L1106" s="145"/>
    </row>
    <row r="1107" spans="1:12" ht="15" customHeight="1">
      <c r="A1107" s="145"/>
      <c r="B1107" s="145"/>
      <c r="C1107" s="145"/>
      <c r="D1107" s="145"/>
      <c r="E1107" s="145"/>
      <c r="F1107" s="145"/>
      <c r="G1107" s="145"/>
      <c r="H1107" s="145"/>
      <c r="I1107" s="145"/>
      <c r="J1107" s="145"/>
      <c r="K1107" s="145"/>
      <c r="L1107" s="145"/>
    </row>
    <row r="1108" spans="1:12" ht="15" customHeight="1">
      <c r="A1108" s="145"/>
      <c r="B1108" s="145"/>
      <c r="C1108" s="145"/>
      <c r="D1108" s="145"/>
      <c r="E1108" s="145"/>
      <c r="F1108" s="145"/>
      <c r="G1108" s="145"/>
      <c r="H1108" s="145"/>
      <c r="I1108" s="145"/>
      <c r="J1108" s="145"/>
      <c r="K1108" s="145"/>
      <c r="L1108" s="145"/>
    </row>
    <row r="1109" spans="1:12" ht="15" customHeight="1">
      <c r="A1109" s="145"/>
      <c r="B1109" s="145"/>
      <c r="C1109" s="145"/>
      <c r="D1109" s="145"/>
      <c r="E1109" s="145"/>
      <c r="F1109" s="145"/>
      <c r="G1109" s="145"/>
      <c r="H1109" s="145"/>
      <c r="I1109" s="145"/>
      <c r="J1109" s="145"/>
      <c r="K1109" s="145"/>
      <c r="L1109" s="145"/>
    </row>
    <row r="1110" spans="1:12" ht="15" customHeight="1">
      <c r="A1110" s="145"/>
      <c r="B1110" s="145"/>
      <c r="C1110" s="145"/>
      <c r="D1110" s="145"/>
      <c r="E1110" s="145"/>
      <c r="F1110" s="145"/>
      <c r="G1110" s="145"/>
      <c r="H1110" s="145"/>
      <c r="I1110" s="145"/>
      <c r="J1110" s="145"/>
      <c r="K1110" s="145"/>
      <c r="L1110" s="145"/>
    </row>
    <row r="1111" spans="1:12" ht="15" customHeight="1">
      <c r="A1111" s="145"/>
      <c r="B1111" s="145"/>
      <c r="C1111" s="145"/>
      <c r="D1111" s="145"/>
      <c r="E1111" s="145"/>
      <c r="F1111" s="145"/>
      <c r="G1111" s="145"/>
      <c r="H1111" s="145"/>
      <c r="I1111" s="145"/>
      <c r="J1111" s="145"/>
      <c r="K1111" s="145"/>
      <c r="L1111" s="145"/>
    </row>
    <row r="1112" spans="1:12" ht="15" customHeight="1">
      <c r="A1112" s="145"/>
      <c r="B1112" s="145"/>
      <c r="C1112" s="145"/>
      <c r="D1112" s="145"/>
      <c r="E1112" s="145"/>
      <c r="F1112" s="145"/>
      <c r="G1112" s="145"/>
      <c r="H1112" s="145"/>
      <c r="I1112" s="145"/>
      <c r="J1112" s="145"/>
      <c r="K1112" s="145"/>
      <c r="L1112" s="145"/>
    </row>
    <row r="1113" spans="1:12" ht="15" customHeight="1">
      <c r="A1113" s="145"/>
      <c r="B1113" s="145"/>
      <c r="C1113" s="145"/>
      <c r="D1113" s="145"/>
      <c r="E1113" s="145"/>
      <c r="F1113" s="145"/>
      <c r="G1113" s="145"/>
      <c r="H1113" s="145"/>
      <c r="I1113" s="145"/>
      <c r="J1113" s="145"/>
      <c r="K1113" s="145"/>
      <c r="L1113" s="145"/>
    </row>
    <row r="1114" spans="1:12" ht="15" customHeight="1">
      <c r="A1114" s="145"/>
      <c r="B1114" s="145"/>
      <c r="C1114" s="145"/>
      <c r="D1114" s="145"/>
      <c r="E1114" s="145"/>
      <c r="F1114" s="145"/>
      <c r="G1114" s="145"/>
      <c r="H1114" s="145"/>
      <c r="I1114" s="145"/>
      <c r="J1114" s="145"/>
      <c r="K1114" s="145"/>
      <c r="L1114" s="145"/>
    </row>
    <row r="1115" spans="1:12" ht="15" customHeight="1">
      <c r="A1115" s="145"/>
      <c r="B1115" s="145"/>
      <c r="C1115" s="145"/>
      <c r="D1115" s="145"/>
      <c r="E1115" s="145"/>
      <c r="F1115" s="145"/>
      <c r="G1115" s="145"/>
      <c r="H1115" s="145"/>
      <c r="I1115" s="145"/>
      <c r="J1115" s="145"/>
      <c r="K1115" s="145"/>
      <c r="L1115" s="145"/>
    </row>
    <row r="1116" spans="1:12" ht="15" customHeight="1">
      <c r="A1116" s="145"/>
      <c r="B1116" s="145"/>
      <c r="C1116" s="145"/>
      <c r="D1116" s="145"/>
      <c r="E1116" s="145"/>
      <c r="F1116" s="145"/>
      <c r="G1116" s="145"/>
      <c r="H1116" s="145"/>
      <c r="I1116" s="145"/>
      <c r="J1116" s="145"/>
      <c r="K1116" s="145"/>
      <c r="L1116" s="145"/>
    </row>
    <row r="1117" spans="1:12" ht="15" customHeight="1">
      <c r="A1117" s="145"/>
      <c r="B1117" s="145"/>
      <c r="C1117" s="145"/>
      <c r="D1117" s="145"/>
      <c r="E1117" s="145"/>
      <c r="F1117" s="145"/>
      <c r="G1117" s="145"/>
      <c r="H1117" s="145"/>
      <c r="I1117" s="145"/>
      <c r="J1117" s="145"/>
      <c r="K1117" s="145"/>
      <c r="L1117" s="145"/>
    </row>
    <row r="1118" spans="1:12" ht="15" customHeight="1">
      <c r="A1118" s="145"/>
      <c r="B1118" s="145"/>
      <c r="C1118" s="145"/>
      <c r="D1118" s="145"/>
      <c r="E1118" s="145"/>
      <c r="F1118" s="145"/>
      <c r="G1118" s="145"/>
      <c r="H1118" s="145"/>
      <c r="I1118" s="145"/>
      <c r="J1118" s="145"/>
      <c r="K1118" s="145"/>
      <c r="L1118" s="145"/>
    </row>
    <row r="1119" spans="1:12" ht="15" customHeight="1">
      <c r="A1119" s="145"/>
      <c r="B1119" s="145"/>
      <c r="C1119" s="145"/>
      <c r="D1119" s="145"/>
      <c r="E1119" s="145"/>
      <c r="F1119" s="145"/>
      <c r="G1119" s="145"/>
      <c r="H1119" s="145"/>
      <c r="I1119" s="145"/>
      <c r="J1119" s="145"/>
      <c r="K1119" s="145"/>
      <c r="L1119" s="145"/>
    </row>
    <row r="1120" spans="1:12" ht="15" customHeight="1">
      <c r="A1120" s="145"/>
      <c r="B1120" s="145"/>
      <c r="C1120" s="145"/>
      <c r="D1120" s="145"/>
      <c r="E1120" s="145"/>
      <c r="F1120" s="145"/>
      <c r="G1120" s="145"/>
      <c r="H1120" s="145"/>
      <c r="I1120" s="145"/>
      <c r="J1120" s="145"/>
      <c r="K1120" s="145"/>
      <c r="L1120" s="145"/>
    </row>
    <row r="1121" spans="1:12" ht="15" customHeight="1">
      <c r="A1121" s="145"/>
      <c r="B1121" s="145"/>
      <c r="C1121" s="145"/>
      <c r="D1121" s="145"/>
      <c r="E1121" s="145"/>
      <c r="F1121" s="145"/>
      <c r="G1121" s="145"/>
      <c r="H1121" s="145"/>
      <c r="I1121" s="145"/>
      <c r="J1121" s="145"/>
      <c r="K1121" s="145"/>
      <c r="L1121" s="145"/>
    </row>
    <row r="1122" spans="1:12" ht="15" customHeight="1">
      <c r="A1122" s="145"/>
      <c r="B1122" s="145"/>
      <c r="C1122" s="145"/>
      <c r="D1122" s="145"/>
      <c r="E1122" s="145"/>
      <c r="F1122" s="145"/>
      <c r="G1122" s="145"/>
      <c r="H1122" s="145"/>
      <c r="I1122" s="145"/>
      <c r="J1122" s="145"/>
      <c r="K1122" s="145"/>
      <c r="L1122" s="145"/>
    </row>
    <row r="1123" spans="1:12" ht="15" customHeight="1">
      <c r="A1123" s="145"/>
      <c r="B1123" s="145"/>
      <c r="C1123" s="145"/>
      <c r="D1123" s="145"/>
      <c r="E1123" s="145"/>
      <c r="F1123" s="145"/>
      <c r="G1123" s="145"/>
      <c r="H1123" s="145"/>
      <c r="I1123" s="145"/>
      <c r="J1123" s="145"/>
      <c r="K1123" s="145"/>
      <c r="L1123" s="145"/>
    </row>
    <row r="1124" spans="1:12" ht="15" customHeight="1">
      <c r="A1124" s="145"/>
      <c r="B1124" s="145"/>
      <c r="C1124" s="145"/>
      <c r="D1124" s="145"/>
      <c r="E1124" s="145"/>
      <c r="F1124" s="145"/>
      <c r="G1124" s="145"/>
      <c r="H1124" s="145"/>
      <c r="I1124" s="145"/>
      <c r="J1124" s="145"/>
      <c r="K1124" s="145"/>
      <c r="L1124" s="145"/>
    </row>
    <row r="1125" spans="1:12" ht="15" customHeight="1">
      <c r="A1125" s="145"/>
      <c r="B1125" s="145"/>
      <c r="C1125" s="145"/>
      <c r="D1125" s="145"/>
      <c r="E1125" s="145"/>
      <c r="F1125" s="145"/>
      <c r="G1125" s="145"/>
      <c r="H1125" s="145"/>
      <c r="I1125" s="145"/>
      <c r="J1125" s="145"/>
      <c r="K1125" s="145"/>
      <c r="L1125" s="145"/>
    </row>
    <row r="1126" spans="1:12" ht="15" customHeight="1">
      <c r="A1126" s="145"/>
      <c r="B1126" s="145"/>
      <c r="C1126" s="145"/>
      <c r="D1126" s="145"/>
      <c r="E1126" s="145"/>
      <c r="F1126" s="145"/>
      <c r="G1126" s="145"/>
      <c r="H1126" s="145"/>
      <c r="I1126" s="145"/>
      <c r="J1126" s="145"/>
      <c r="K1126" s="145"/>
      <c r="L1126" s="145"/>
    </row>
    <row r="1127" spans="1:12" ht="15" customHeight="1">
      <c r="A1127" s="145"/>
      <c r="B1127" s="145"/>
      <c r="C1127" s="145"/>
      <c r="D1127" s="145"/>
      <c r="E1127" s="145"/>
      <c r="F1127" s="145"/>
      <c r="G1127" s="145"/>
      <c r="H1127" s="145"/>
      <c r="I1127" s="145"/>
      <c r="J1127" s="145"/>
      <c r="K1127" s="145"/>
      <c r="L1127" s="145"/>
    </row>
    <row r="1128" spans="1:12" ht="15" customHeight="1">
      <c r="A1128" s="145"/>
      <c r="B1128" s="145"/>
      <c r="C1128" s="145"/>
      <c r="D1128" s="145"/>
      <c r="E1128" s="145"/>
      <c r="F1128" s="145"/>
      <c r="G1128" s="145"/>
      <c r="H1128" s="145"/>
      <c r="I1128" s="145"/>
      <c r="J1128" s="145"/>
      <c r="K1128" s="145"/>
      <c r="L1128" s="145"/>
    </row>
    <row r="1129" spans="1:12" ht="15" customHeight="1">
      <c r="A1129" s="145"/>
      <c r="B1129" s="145"/>
      <c r="C1129" s="145"/>
      <c r="D1129" s="145"/>
      <c r="E1129" s="145"/>
      <c r="F1129" s="145"/>
      <c r="G1129" s="145"/>
      <c r="H1129" s="145"/>
      <c r="I1129" s="145"/>
      <c r="J1129" s="145"/>
      <c r="K1129" s="145"/>
      <c r="L1129" s="145"/>
    </row>
    <row r="1130" spans="1:12" ht="15" customHeight="1">
      <c r="A1130" s="145"/>
      <c r="B1130" s="145"/>
      <c r="C1130" s="145"/>
      <c r="D1130" s="145"/>
      <c r="E1130" s="145"/>
      <c r="F1130" s="145"/>
      <c r="G1130" s="145"/>
      <c r="H1130" s="145"/>
      <c r="I1130" s="145"/>
      <c r="J1130" s="145"/>
      <c r="K1130" s="145"/>
      <c r="L1130" s="145"/>
    </row>
    <row r="1131" spans="1:12" ht="15" customHeight="1">
      <c r="A1131" s="145"/>
      <c r="B1131" s="145"/>
      <c r="C1131" s="145"/>
      <c r="D1131" s="145"/>
      <c r="E1131" s="145"/>
      <c r="F1131" s="145"/>
      <c r="G1131" s="145"/>
      <c r="H1131" s="145"/>
      <c r="I1131" s="145"/>
      <c r="J1131" s="145"/>
      <c r="K1131" s="145"/>
      <c r="L1131" s="145"/>
    </row>
    <row r="1132" spans="1:12" ht="15" customHeight="1">
      <c r="A1132" s="145"/>
      <c r="B1132" s="145"/>
      <c r="C1132" s="145"/>
      <c r="D1132" s="145"/>
      <c r="E1132" s="145"/>
      <c r="F1132" s="145"/>
      <c r="G1132" s="145"/>
      <c r="H1132" s="145"/>
      <c r="I1132" s="145"/>
      <c r="J1132" s="145"/>
      <c r="K1132" s="145"/>
      <c r="L1132" s="145"/>
    </row>
    <row r="1133" spans="1:12" ht="15" customHeight="1">
      <c r="A1133" s="145"/>
      <c r="B1133" s="145"/>
      <c r="C1133" s="145"/>
      <c r="D1133" s="145"/>
      <c r="E1133" s="145"/>
      <c r="F1133" s="145"/>
      <c r="G1133" s="145"/>
      <c r="H1133" s="145"/>
      <c r="I1133" s="145"/>
      <c r="J1133" s="145"/>
      <c r="K1133" s="145"/>
      <c r="L1133" s="145"/>
    </row>
    <row r="1134" spans="1:12" ht="15" customHeight="1">
      <c r="A1134" s="145"/>
      <c r="B1134" s="145"/>
      <c r="C1134" s="145"/>
      <c r="D1134" s="145"/>
      <c r="E1134" s="145"/>
      <c r="F1134" s="145"/>
      <c r="G1134" s="145"/>
      <c r="H1134" s="145"/>
      <c r="I1134" s="145"/>
      <c r="J1134" s="145"/>
      <c r="K1134" s="145"/>
      <c r="L1134" s="145"/>
    </row>
    <row r="1135" spans="1:12" ht="15" customHeight="1">
      <c r="A1135" s="145"/>
      <c r="B1135" s="145"/>
      <c r="C1135" s="145"/>
      <c r="D1135" s="145"/>
      <c r="E1135" s="145"/>
      <c r="F1135" s="145"/>
      <c r="G1135" s="145"/>
      <c r="H1135" s="145"/>
      <c r="I1135" s="145"/>
      <c r="J1135" s="145"/>
      <c r="K1135" s="145"/>
      <c r="L1135" s="145"/>
    </row>
    <row r="1136" spans="1:12" ht="15" customHeight="1">
      <c r="A1136" s="145"/>
      <c r="B1136" s="145"/>
      <c r="C1136" s="145"/>
      <c r="D1136" s="145"/>
      <c r="E1136" s="145"/>
      <c r="F1136" s="145"/>
      <c r="G1136" s="145"/>
      <c r="H1136" s="145"/>
      <c r="I1136" s="145"/>
      <c r="J1136" s="145"/>
      <c r="K1136" s="145"/>
      <c r="L1136" s="145"/>
    </row>
    <row r="1137" spans="1:12" ht="15" customHeight="1">
      <c r="A1137" s="145"/>
      <c r="B1137" s="145"/>
      <c r="C1137" s="145"/>
      <c r="D1137" s="145"/>
      <c r="E1137" s="145"/>
      <c r="F1137" s="145"/>
      <c r="G1137" s="145"/>
      <c r="H1137" s="145"/>
      <c r="I1137" s="145"/>
      <c r="J1137" s="145"/>
      <c r="K1137" s="145"/>
      <c r="L1137" s="145"/>
    </row>
    <row r="1138" spans="1:12" ht="15" customHeight="1">
      <c r="A1138" s="145"/>
      <c r="B1138" s="145"/>
      <c r="C1138" s="145"/>
      <c r="D1138" s="145"/>
      <c r="E1138" s="145"/>
      <c r="F1138" s="145"/>
      <c r="G1138" s="145"/>
      <c r="H1138" s="145"/>
      <c r="I1138" s="145"/>
      <c r="J1138" s="145"/>
      <c r="K1138" s="145"/>
      <c r="L1138" s="145"/>
    </row>
    <row r="1139" spans="1:12" ht="15" customHeight="1">
      <c r="A1139" s="145"/>
      <c r="B1139" s="145"/>
      <c r="C1139" s="145"/>
      <c r="D1139" s="145"/>
      <c r="E1139" s="145"/>
      <c r="F1139" s="145"/>
      <c r="G1139" s="145"/>
      <c r="H1139" s="145"/>
      <c r="I1139" s="145"/>
      <c r="J1139" s="145"/>
      <c r="K1139" s="145"/>
      <c r="L1139" s="145"/>
    </row>
    <row r="1140" spans="1:12" ht="15" customHeight="1">
      <c r="A1140" s="145"/>
      <c r="B1140" s="145"/>
      <c r="C1140" s="145"/>
      <c r="D1140" s="145"/>
      <c r="E1140" s="145"/>
      <c r="F1140" s="145"/>
      <c r="G1140" s="145"/>
      <c r="H1140" s="145"/>
      <c r="I1140" s="145"/>
      <c r="J1140" s="145"/>
      <c r="K1140" s="145"/>
      <c r="L1140" s="145"/>
    </row>
    <row r="1141" spans="1:12" ht="15" customHeight="1">
      <c r="A1141" s="145"/>
      <c r="B1141" s="145"/>
      <c r="C1141" s="145"/>
      <c r="D1141" s="145"/>
      <c r="E1141" s="145"/>
      <c r="F1141" s="145"/>
      <c r="G1141" s="145"/>
      <c r="H1141" s="145"/>
      <c r="I1141" s="145"/>
      <c r="J1141" s="145"/>
      <c r="K1141" s="145"/>
      <c r="L1141" s="145"/>
    </row>
    <row r="1142" spans="1:12" ht="15" customHeight="1">
      <c r="A1142" s="145"/>
      <c r="B1142" s="145"/>
      <c r="C1142" s="145"/>
      <c r="D1142" s="145"/>
      <c r="E1142" s="145"/>
      <c r="F1142" s="145"/>
      <c r="G1142" s="145"/>
      <c r="H1142" s="145"/>
      <c r="I1142" s="145"/>
      <c r="J1142" s="145"/>
      <c r="K1142" s="145"/>
      <c r="L1142" s="145"/>
    </row>
    <row r="1143" spans="1:12" ht="15" customHeight="1">
      <c r="A1143" s="145"/>
      <c r="B1143" s="145"/>
      <c r="C1143" s="145"/>
      <c r="D1143" s="145"/>
      <c r="E1143" s="145"/>
      <c r="F1143" s="145"/>
      <c r="G1143" s="145"/>
      <c r="H1143" s="145"/>
      <c r="I1143" s="145"/>
      <c r="J1143" s="145"/>
      <c r="K1143" s="145"/>
      <c r="L1143" s="145"/>
    </row>
    <row r="1144" spans="1:12" ht="15" customHeight="1">
      <c r="A1144" s="145"/>
      <c r="B1144" s="145"/>
      <c r="C1144" s="145"/>
      <c r="D1144" s="145"/>
      <c r="E1144" s="145"/>
      <c r="F1144" s="145"/>
      <c r="G1144" s="145"/>
      <c r="H1144" s="145"/>
      <c r="I1144" s="145"/>
      <c r="J1144" s="145"/>
      <c r="K1144" s="145"/>
      <c r="L1144" s="145"/>
    </row>
    <row r="1145" spans="1:12" ht="15" customHeight="1">
      <c r="A1145" s="145"/>
      <c r="B1145" s="145"/>
      <c r="C1145" s="145"/>
      <c r="D1145" s="145"/>
      <c r="E1145" s="145"/>
      <c r="F1145" s="145"/>
      <c r="G1145" s="145"/>
      <c r="H1145" s="145"/>
      <c r="I1145" s="145"/>
      <c r="J1145" s="145"/>
      <c r="K1145" s="145"/>
      <c r="L1145" s="145"/>
    </row>
    <row r="1146" spans="1:12" ht="15" customHeight="1">
      <c r="A1146" s="145"/>
      <c r="B1146" s="145"/>
      <c r="C1146" s="145"/>
      <c r="D1146" s="145"/>
      <c r="E1146" s="145"/>
      <c r="F1146" s="145"/>
      <c r="G1146" s="145"/>
      <c r="H1146" s="145"/>
      <c r="I1146" s="145"/>
      <c r="J1146" s="145"/>
      <c r="K1146" s="145"/>
      <c r="L1146" s="145"/>
    </row>
    <row r="1147" spans="1:12" ht="15" customHeight="1">
      <c r="A1147" s="145"/>
      <c r="B1147" s="145"/>
      <c r="C1147" s="145"/>
      <c r="D1147" s="145"/>
      <c r="E1147" s="145"/>
      <c r="F1147" s="145"/>
      <c r="G1147" s="145"/>
      <c r="H1147" s="145"/>
      <c r="I1147" s="145"/>
      <c r="J1147" s="145"/>
      <c r="K1147" s="145"/>
      <c r="L1147" s="145"/>
    </row>
    <row r="1148" spans="1:12" ht="15" customHeight="1">
      <c r="A1148" s="145"/>
      <c r="B1148" s="145"/>
      <c r="C1148" s="145"/>
      <c r="D1148" s="145"/>
      <c r="E1148" s="145"/>
      <c r="F1148" s="145"/>
      <c r="G1148" s="145"/>
      <c r="H1148" s="145"/>
      <c r="I1148" s="145"/>
      <c r="J1148" s="145"/>
      <c r="K1148" s="145"/>
      <c r="L1148" s="145"/>
    </row>
    <row r="1149" spans="1:12" ht="15" customHeight="1">
      <c r="A1149" s="145"/>
      <c r="B1149" s="145"/>
      <c r="C1149" s="145"/>
      <c r="D1149" s="145"/>
      <c r="E1149" s="145"/>
      <c r="F1149" s="145"/>
      <c r="G1149" s="145"/>
      <c r="H1149" s="145"/>
      <c r="I1149" s="145"/>
      <c r="J1149" s="145"/>
      <c r="K1149" s="145"/>
      <c r="L1149" s="145"/>
    </row>
    <row r="1150" spans="1:12" ht="15" customHeight="1">
      <c r="A1150" s="145"/>
      <c r="B1150" s="145"/>
      <c r="C1150" s="145"/>
      <c r="D1150" s="145"/>
      <c r="E1150" s="145"/>
      <c r="F1150" s="145"/>
      <c r="G1150" s="145"/>
      <c r="H1150" s="145"/>
      <c r="I1150" s="145"/>
      <c r="J1150" s="145"/>
      <c r="K1150" s="145"/>
      <c r="L1150" s="145"/>
    </row>
    <row r="1151" spans="1:12" ht="15" customHeight="1">
      <c r="A1151" s="145"/>
      <c r="B1151" s="145"/>
      <c r="C1151" s="145"/>
      <c r="D1151" s="145"/>
      <c r="E1151" s="145"/>
      <c r="F1151" s="145"/>
      <c r="G1151" s="145"/>
      <c r="H1151" s="145"/>
      <c r="I1151" s="145"/>
      <c r="J1151" s="145"/>
      <c r="K1151" s="145"/>
      <c r="L1151" s="145"/>
    </row>
    <row r="1152" spans="1:12" ht="15" customHeight="1">
      <c r="A1152" s="145"/>
      <c r="B1152" s="145"/>
      <c r="C1152" s="145"/>
      <c r="D1152" s="145"/>
      <c r="E1152" s="145"/>
      <c r="F1152" s="145"/>
      <c r="G1152" s="145"/>
      <c r="H1152" s="145"/>
      <c r="I1152" s="145"/>
      <c r="J1152" s="145"/>
      <c r="K1152" s="145"/>
      <c r="L1152" s="145"/>
    </row>
    <row r="1153" spans="1:12" ht="15" customHeight="1">
      <c r="A1153" s="145"/>
      <c r="B1153" s="145"/>
      <c r="C1153" s="145"/>
      <c r="D1153" s="145"/>
      <c r="E1153" s="145"/>
      <c r="F1153" s="145"/>
      <c r="G1153" s="145"/>
      <c r="H1153" s="145"/>
      <c r="I1153" s="145"/>
      <c r="J1153" s="145"/>
      <c r="K1153" s="145"/>
      <c r="L1153" s="145"/>
    </row>
    <row r="1154" spans="1:12" ht="15" customHeight="1">
      <c r="A1154" s="145"/>
      <c r="B1154" s="145"/>
      <c r="C1154" s="145"/>
      <c r="D1154" s="145"/>
      <c r="E1154" s="145"/>
      <c r="F1154" s="145"/>
      <c r="G1154" s="145"/>
      <c r="H1154" s="145"/>
      <c r="I1154" s="145"/>
      <c r="J1154" s="145"/>
      <c r="K1154" s="145"/>
      <c r="L1154" s="145"/>
    </row>
    <row r="1155" spans="1:12" ht="15" customHeight="1">
      <c r="A1155" s="145"/>
      <c r="B1155" s="145"/>
      <c r="C1155" s="145"/>
      <c r="D1155" s="145"/>
      <c r="E1155" s="145"/>
      <c r="F1155" s="145"/>
      <c r="G1155" s="145"/>
      <c r="H1155" s="145"/>
      <c r="I1155" s="145"/>
      <c r="J1155" s="145"/>
      <c r="K1155" s="145"/>
      <c r="L1155" s="145"/>
    </row>
    <row r="1156" spans="1:12" ht="15" customHeight="1">
      <c r="A1156" s="145"/>
      <c r="B1156" s="145"/>
      <c r="C1156" s="145"/>
      <c r="D1156" s="145"/>
      <c r="E1156" s="145"/>
      <c r="F1156" s="145"/>
      <c r="G1156" s="145"/>
      <c r="H1156" s="145"/>
      <c r="I1156" s="145"/>
      <c r="J1156" s="145"/>
      <c r="K1156" s="145"/>
      <c r="L1156" s="145"/>
    </row>
    <row r="1157" spans="1:12" ht="15" customHeight="1">
      <c r="A1157" s="145"/>
      <c r="B1157" s="145"/>
      <c r="C1157" s="145"/>
      <c r="D1157" s="145"/>
      <c r="E1157" s="145"/>
      <c r="F1157" s="145"/>
      <c r="G1157" s="145"/>
      <c r="H1157" s="145"/>
      <c r="I1157" s="145"/>
      <c r="J1157" s="145"/>
      <c r="K1157" s="145"/>
      <c r="L1157" s="145"/>
    </row>
    <row r="1158" spans="1:12" ht="15" customHeight="1">
      <c r="A1158" s="145"/>
      <c r="B1158" s="145"/>
      <c r="C1158" s="145"/>
      <c r="D1158" s="145"/>
      <c r="E1158" s="145"/>
      <c r="F1158" s="145"/>
      <c r="G1158" s="145"/>
      <c r="H1158" s="145"/>
      <c r="I1158" s="145"/>
      <c r="J1158" s="145"/>
      <c r="K1158" s="145"/>
      <c r="L1158" s="145"/>
    </row>
    <row r="1159" spans="1:12" ht="15" customHeight="1">
      <c r="A1159" s="145"/>
      <c r="B1159" s="145"/>
      <c r="C1159" s="145"/>
      <c r="D1159" s="145"/>
      <c r="E1159" s="145"/>
      <c r="F1159" s="145"/>
      <c r="G1159" s="145"/>
      <c r="H1159" s="145"/>
      <c r="I1159" s="145"/>
      <c r="J1159" s="145"/>
      <c r="K1159" s="145"/>
      <c r="L1159" s="145"/>
    </row>
    <row r="1160" spans="1:12" ht="15" customHeight="1">
      <c r="A1160" s="145"/>
      <c r="B1160" s="145"/>
      <c r="C1160" s="145"/>
      <c r="D1160" s="145"/>
      <c r="E1160" s="145"/>
      <c r="F1160" s="145"/>
      <c r="G1160" s="145"/>
      <c r="H1160" s="145"/>
      <c r="I1160" s="145"/>
      <c r="J1160" s="145"/>
      <c r="K1160" s="145"/>
      <c r="L1160" s="145"/>
    </row>
    <row r="1161" spans="1:12" ht="15" customHeight="1">
      <c r="A1161" s="145"/>
      <c r="B1161" s="145"/>
      <c r="C1161" s="145"/>
      <c r="D1161" s="145"/>
      <c r="E1161" s="145"/>
      <c r="F1161" s="145"/>
      <c r="G1161" s="145"/>
      <c r="H1161" s="145"/>
      <c r="I1161" s="145"/>
      <c r="J1161" s="145"/>
      <c r="K1161" s="145"/>
      <c r="L1161" s="145"/>
    </row>
    <row r="1162" spans="1:12" ht="15" customHeight="1">
      <c r="A1162" s="145"/>
      <c r="B1162" s="145"/>
      <c r="C1162" s="145"/>
      <c r="D1162" s="145"/>
      <c r="E1162" s="145"/>
      <c r="F1162" s="145"/>
      <c r="G1162" s="145"/>
      <c r="H1162" s="145"/>
      <c r="I1162" s="145"/>
      <c r="J1162" s="145"/>
      <c r="K1162" s="145"/>
      <c r="L1162" s="145"/>
    </row>
    <row r="1163" spans="1:12" ht="15" customHeight="1">
      <c r="A1163" s="145"/>
      <c r="B1163" s="145"/>
      <c r="C1163" s="145"/>
      <c r="D1163" s="145"/>
      <c r="E1163" s="145"/>
      <c r="F1163" s="145"/>
      <c r="G1163" s="145"/>
      <c r="H1163" s="145"/>
      <c r="I1163" s="145"/>
      <c r="J1163" s="145"/>
      <c r="K1163" s="145"/>
      <c r="L1163" s="145"/>
    </row>
    <row r="1164" spans="1:12" ht="15" customHeight="1">
      <c r="A1164" s="145"/>
      <c r="B1164" s="145"/>
      <c r="C1164" s="145"/>
      <c r="D1164" s="145"/>
      <c r="E1164" s="145"/>
      <c r="F1164" s="145"/>
      <c r="G1164" s="145"/>
      <c r="H1164" s="145"/>
      <c r="I1164" s="145"/>
      <c r="J1164" s="145"/>
      <c r="K1164" s="145"/>
      <c r="L1164" s="145"/>
    </row>
    <row r="1165" spans="1:12" ht="15" customHeight="1">
      <c r="A1165" s="145"/>
      <c r="B1165" s="145"/>
      <c r="C1165" s="145"/>
      <c r="D1165" s="145"/>
      <c r="E1165" s="145"/>
      <c r="F1165" s="145"/>
      <c r="G1165" s="145"/>
      <c r="H1165" s="145"/>
      <c r="I1165" s="145"/>
      <c r="J1165" s="145"/>
      <c r="K1165" s="145"/>
      <c r="L1165" s="145"/>
    </row>
    <row r="1166" spans="1:12" ht="15" customHeight="1">
      <c r="A1166" s="145"/>
      <c r="B1166" s="145"/>
      <c r="C1166" s="145"/>
      <c r="D1166" s="145"/>
      <c r="E1166" s="145"/>
      <c r="F1166" s="145"/>
      <c r="G1166" s="145"/>
      <c r="H1166" s="145"/>
      <c r="I1166" s="145"/>
      <c r="J1166" s="145"/>
      <c r="K1166" s="145"/>
      <c r="L1166" s="145"/>
    </row>
    <row r="1167" spans="1:12" ht="15" customHeight="1">
      <c r="A1167" s="145"/>
      <c r="B1167" s="145"/>
      <c r="C1167" s="145"/>
      <c r="D1167" s="145"/>
      <c r="E1167" s="145"/>
      <c r="F1167" s="145"/>
      <c r="G1167" s="145"/>
      <c r="H1167" s="145"/>
      <c r="I1167" s="145"/>
      <c r="J1167" s="145"/>
      <c r="K1167" s="145"/>
      <c r="L1167" s="145"/>
    </row>
    <row r="1168" spans="1:12" ht="15" customHeight="1">
      <c r="A1168" s="145"/>
      <c r="B1168" s="145"/>
      <c r="C1168" s="145"/>
      <c r="D1168" s="145"/>
      <c r="E1168" s="145"/>
      <c r="F1168" s="145"/>
      <c r="G1168" s="145"/>
      <c r="H1168" s="145"/>
      <c r="I1168" s="145"/>
      <c r="J1168" s="145"/>
      <c r="K1168" s="145"/>
      <c r="L1168" s="145"/>
    </row>
    <row r="1169" spans="1:12" ht="15" customHeight="1">
      <c r="A1169" s="145"/>
      <c r="B1169" s="145"/>
      <c r="C1169" s="145"/>
      <c r="D1169" s="145"/>
      <c r="E1169" s="145"/>
      <c r="F1169" s="145"/>
      <c r="G1169" s="145"/>
      <c r="H1169" s="145"/>
      <c r="I1169" s="145"/>
      <c r="J1169" s="145"/>
      <c r="K1169" s="145"/>
      <c r="L1169" s="145"/>
    </row>
    <row r="1170" spans="1:12" ht="15" customHeight="1">
      <c r="A1170" s="145"/>
      <c r="B1170" s="145"/>
      <c r="C1170" s="145"/>
      <c r="D1170" s="145"/>
      <c r="E1170" s="145"/>
      <c r="F1170" s="145"/>
      <c r="G1170" s="145"/>
      <c r="H1170" s="145"/>
      <c r="I1170" s="145"/>
      <c r="J1170" s="145"/>
      <c r="K1170" s="145"/>
      <c r="L1170" s="145"/>
    </row>
    <row r="1171" spans="1:12" ht="15" customHeight="1">
      <c r="A1171" s="145"/>
      <c r="B1171" s="145"/>
      <c r="C1171" s="145"/>
      <c r="D1171" s="145"/>
      <c r="E1171" s="145"/>
      <c r="F1171" s="145"/>
      <c r="G1171" s="145"/>
      <c r="H1171" s="145"/>
      <c r="I1171" s="145"/>
      <c r="J1171" s="145"/>
      <c r="K1171" s="145"/>
      <c r="L1171" s="145"/>
    </row>
    <row r="1172" spans="1:12" ht="15" customHeight="1">
      <c r="A1172" s="145"/>
      <c r="B1172" s="145"/>
      <c r="C1172" s="145"/>
      <c r="D1172" s="145"/>
      <c r="E1172" s="145"/>
      <c r="F1172" s="145"/>
      <c r="G1172" s="145"/>
      <c r="H1172" s="145"/>
      <c r="I1172" s="145"/>
      <c r="J1172" s="145"/>
      <c r="K1172" s="145"/>
      <c r="L1172" s="145"/>
    </row>
    <row r="1173" spans="1:12" ht="15" customHeight="1">
      <c r="A1173" s="145"/>
      <c r="B1173" s="145"/>
      <c r="C1173" s="145"/>
      <c r="D1173" s="145"/>
      <c r="E1173" s="145"/>
      <c r="F1173" s="145"/>
      <c r="G1173" s="145"/>
      <c r="H1173" s="145"/>
      <c r="I1173" s="145"/>
      <c r="J1173" s="145"/>
      <c r="K1173" s="145"/>
      <c r="L1173" s="145"/>
    </row>
    <row r="1174" spans="1:12" ht="15" customHeight="1">
      <c r="A1174" s="145"/>
      <c r="B1174" s="145"/>
      <c r="C1174" s="145"/>
      <c r="D1174" s="145"/>
      <c r="E1174" s="145"/>
      <c r="F1174" s="145"/>
      <c r="G1174" s="145"/>
      <c r="H1174" s="145"/>
      <c r="I1174" s="145"/>
      <c r="J1174" s="145"/>
      <c r="K1174" s="145"/>
      <c r="L1174" s="145"/>
    </row>
    <row r="1175" spans="1:12" ht="15" customHeight="1">
      <c r="A1175" s="145"/>
      <c r="B1175" s="145"/>
      <c r="C1175" s="145"/>
      <c r="D1175" s="145"/>
      <c r="E1175" s="145"/>
      <c r="F1175" s="145"/>
      <c r="G1175" s="145"/>
      <c r="H1175" s="145"/>
      <c r="I1175" s="145"/>
      <c r="J1175" s="145"/>
      <c r="K1175" s="145"/>
      <c r="L1175" s="145"/>
    </row>
    <row r="1176" spans="1:12" ht="15" customHeight="1">
      <c r="A1176" s="145"/>
      <c r="B1176" s="145"/>
      <c r="C1176" s="145"/>
      <c r="D1176" s="145"/>
      <c r="E1176" s="145"/>
      <c r="F1176" s="145"/>
      <c r="G1176" s="145"/>
      <c r="H1176" s="145"/>
      <c r="I1176" s="145"/>
      <c r="J1176" s="145"/>
      <c r="K1176" s="145"/>
      <c r="L1176" s="145"/>
    </row>
    <row r="1177" spans="1:12" ht="15" customHeight="1">
      <c r="A1177" s="145"/>
      <c r="B1177" s="145"/>
      <c r="C1177" s="145"/>
      <c r="D1177" s="145"/>
      <c r="E1177" s="145"/>
      <c r="F1177" s="145"/>
      <c r="G1177" s="145"/>
      <c r="H1177" s="145"/>
      <c r="I1177" s="145"/>
      <c r="J1177" s="145"/>
      <c r="K1177" s="145"/>
      <c r="L1177" s="145"/>
    </row>
    <row r="1178" spans="1:12" ht="15" customHeight="1">
      <c r="A1178" s="145"/>
      <c r="B1178" s="145"/>
      <c r="C1178" s="145"/>
      <c r="D1178" s="145"/>
      <c r="E1178" s="145"/>
      <c r="F1178" s="145"/>
      <c r="G1178" s="145"/>
      <c r="H1178" s="145"/>
      <c r="I1178" s="145"/>
      <c r="J1178" s="145"/>
      <c r="K1178" s="145"/>
      <c r="L1178" s="145"/>
    </row>
    <row r="1179" spans="1:12" ht="15" customHeight="1">
      <c r="A1179" s="145"/>
      <c r="B1179" s="145"/>
      <c r="C1179" s="145"/>
      <c r="D1179" s="145"/>
      <c r="E1179" s="145"/>
      <c r="F1179" s="145"/>
      <c r="G1179" s="145"/>
      <c r="H1179" s="145"/>
      <c r="I1179" s="145"/>
      <c r="J1179" s="145"/>
      <c r="K1179" s="145"/>
      <c r="L1179" s="145"/>
    </row>
    <row r="1180" spans="1:12" ht="15" customHeight="1">
      <c r="A1180" s="145"/>
      <c r="B1180" s="145"/>
      <c r="C1180" s="145"/>
      <c r="D1180" s="145"/>
      <c r="E1180" s="145"/>
      <c r="F1180" s="145"/>
      <c r="G1180" s="145"/>
      <c r="H1180" s="145"/>
      <c r="I1180" s="145"/>
      <c r="J1180" s="145"/>
      <c r="K1180" s="145"/>
      <c r="L1180" s="145"/>
    </row>
    <row r="1181" spans="1:12" ht="15" customHeight="1">
      <c r="A1181" s="145"/>
      <c r="B1181" s="145"/>
      <c r="C1181" s="145"/>
      <c r="D1181" s="145"/>
      <c r="E1181" s="145"/>
      <c r="F1181" s="145"/>
      <c r="G1181" s="145"/>
      <c r="H1181" s="145"/>
      <c r="I1181" s="145"/>
      <c r="J1181" s="145"/>
      <c r="K1181" s="145"/>
      <c r="L1181" s="145"/>
    </row>
    <row r="1182" spans="1:12" ht="15" customHeight="1">
      <c r="A1182" s="145"/>
      <c r="B1182" s="145"/>
      <c r="C1182" s="145"/>
      <c r="D1182" s="145"/>
      <c r="E1182" s="145"/>
      <c r="F1182" s="145"/>
      <c r="G1182" s="145"/>
      <c r="H1182" s="145"/>
      <c r="I1182" s="145"/>
      <c r="J1182" s="145"/>
      <c r="K1182" s="145"/>
      <c r="L1182" s="145"/>
    </row>
    <row r="1183" spans="1:12" ht="15" customHeight="1">
      <c r="A1183" s="145"/>
      <c r="B1183" s="145"/>
      <c r="C1183" s="145"/>
      <c r="D1183" s="145"/>
      <c r="E1183" s="145"/>
      <c r="F1183" s="145"/>
      <c r="G1183" s="145"/>
      <c r="H1183" s="145"/>
      <c r="I1183" s="145"/>
      <c r="J1183" s="145"/>
      <c r="K1183" s="145"/>
      <c r="L1183" s="145"/>
    </row>
    <row r="1184" spans="1:12" ht="15" customHeight="1">
      <c r="A1184" s="145"/>
      <c r="B1184" s="145"/>
      <c r="C1184" s="145"/>
      <c r="D1184" s="145"/>
      <c r="E1184" s="145"/>
      <c r="F1184" s="145"/>
      <c r="G1184" s="145"/>
      <c r="H1184" s="145"/>
      <c r="I1184" s="145"/>
      <c r="J1184" s="145"/>
      <c r="K1184" s="145"/>
      <c r="L1184" s="145"/>
    </row>
    <row r="1185" spans="1:12" ht="15" customHeight="1">
      <c r="A1185" s="145"/>
      <c r="B1185" s="145"/>
      <c r="C1185" s="145"/>
      <c r="D1185" s="145"/>
      <c r="E1185" s="145"/>
      <c r="F1185" s="145"/>
      <c r="G1185" s="145"/>
      <c r="H1185" s="145"/>
      <c r="I1185" s="145"/>
      <c r="J1185" s="145"/>
      <c r="K1185" s="145"/>
      <c r="L1185" s="145"/>
    </row>
    <row r="1186" spans="1:12" ht="15" customHeight="1">
      <c r="A1186" s="145"/>
      <c r="B1186" s="145"/>
      <c r="C1186" s="145"/>
      <c r="D1186" s="145"/>
      <c r="E1186" s="145"/>
      <c r="F1186" s="145"/>
      <c r="G1186" s="145"/>
      <c r="H1186" s="145"/>
      <c r="I1186" s="145"/>
      <c r="J1186" s="145"/>
      <c r="K1186" s="145"/>
      <c r="L1186" s="145"/>
    </row>
    <row r="1187" spans="1:12" ht="15" customHeight="1">
      <c r="A1187" s="145"/>
      <c r="B1187" s="145"/>
      <c r="C1187" s="145"/>
      <c r="D1187" s="145"/>
      <c r="E1187" s="145"/>
      <c r="F1187" s="145"/>
      <c r="G1187" s="145"/>
      <c r="H1187" s="145"/>
      <c r="I1187" s="145"/>
      <c r="J1187" s="145"/>
      <c r="K1187" s="145"/>
      <c r="L1187" s="145"/>
    </row>
    <row r="1188" spans="1:12" ht="15" customHeight="1">
      <c r="A1188" s="145"/>
      <c r="B1188" s="145"/>
      <c r="C1188" s="145"/>
      <c r="D1188" s="145"/>
      <c r="E1188" s="145"/>
      <c r="F1188" s="145"/>
      <c r="G1188" s="145"/>
      <c r="H1188" s="145"/>
      <c r="I1188" s="145"/>
      <c r="J1188" s="145"/>
      <c r="K1188" s="145"/>
      <c r="L1188" s="145"/>
    </row>
    <row r="1189" spans="1:12" ht="15" customHeight="1">
      <c r="A1189" s="145"/>
      <c r="B1189" s="145"/>
      <c r="C1189" s="145"/>
      <c r="D1189" s="145"/>
      <c r="E1189" s="145"/>
      <c r="F1189" s="145"/>
      <c r="G1189" s="145"/>
      <c r="H1189" s="145"/>
      <c r="I1189" s="145"/>
      <c r="J1189" s="145"/>
      <c r="K1189" s="145"/>
      <c r="L1189" s="145"/>
    </row>
    <row r="1190" spans="1:12" ht="15" customHeight="1">
      <c r="A1190" s="145"/>
      <c r="B1190" s="145"/>
      <c r="C1190" s="145"/>
      <c r="D1190" s="145"/>
      <c r="E1190" s="145"/>
      <c r="F1190" s="145"/>
      <c r="G1190" s="145"/>
      <c r="H1190" s="145"/>
      <c r="I1190" s="145"/>
      <c r="J1190" s="145"/>
      <c r="K1190" s="145"/>
      <c r="L1190" s="145"/>
    </row>
    <row r="1191" spans="1:12" ht="15" customHeight="1">
      <c r="A1191" s="145"/>
      <c r="B1191" s="145"/>
      <c r="C1191" s="145"/>
      <c r="D1191" s="145"/>
      <c r="E1191" s="145"/>
      <c r="F1191" s="145"/>
      <c r="G1191" s="145"/>
      <c r="H1191" s="145"/>
      <c r="I1191" s="145"/>
      <c r="J1191" s="145"/>
      <c r="K1191" s="145"/>
      <c r="L1191" s="145"/>
    </row>
    <row r="1192" spans="1:12" ht="15" customHeight="1">
      <c r="A1192" s="145"/>
      <c r="B1192" s="145"/>
      <c r="C1192" s="145"/>
      <c r="D1192" s="145"/>
      <c r="E1192" s="145"/>
      <c r="F1192" s="145"/>
      <c r="G1192" s="145"/>
      <c r="H1192" s="145"/>
      <c r="I1192" s="145"/>
      <c r="J1192" s="145"/>
      <c r="K1192" s="145"/>
      <c r="L1192" s="145"/>
    </row>
    <row r="1193" spans="1:12" ht="15" customHeight="1">
      <c r="A1193" s="145"/>
      <c r="B1193" s="145"/>
      <c r="C1193" s="145"/>
      <c r="D1193" s="145"/>
      <c r="E1193" s="145"/>
      <c r="F1193" s="145"/>
      <c r="G1193" s="145"/>
      <c r="H1193" s="145"/>
      <c r="I1193" s="145"/>
      <c r="J1193" s="145"/>
      <c r="K1193" s="145"/>
      <c r="L1193" s="145"/>
    </row>
    <row r="1194" spans="1:12" ht="15" customHeight="1">
      <c r="A1194" s="145"/>
      <c r="B1194" s="145"/>
      <c r="C1194" s="145"/>
      <c r="D1194" s="145"/>
      <c r="E1194" s="145"/>
      <c r="F1194" s="145"/>
      <c r="G1194" s="145"/>
      <c r="H1194" s="145"/>
      <c r="I1194" s="145"/>
      <c r="J1194" s="145"/>
      <c r="K1194" s="145"/>
      <c r="L1194" s="145"/>
    </row>
    <row r="1195" spans="1:12" ht="15" customHeight="1">
      <c r="A1195" s="145"/>
      <c r="B1195" s="145"/>
      <c r="C1195" s="145"/>
      <c r="D1195" s="145"/>
      <c r="E1195" s="145"/>
      <c r="F1195" s="145"/>
      <c r="G1195" s="145"/>
      <c r="H1195" s="145"/>
      <c r="I1195" s="145"/>
      <c r="J1195" s="145"/>
      <c r="K1195" s="145"/>
      <c r="L1195" s="145"/>
    </row>
    <row r="1196" spans="1:12" ht="15" customHeight="1">
      <c r="A1196" s="145"/>
      <c r="B1196" s="145"/>
      <c r="C1196" s="145"/>
      <c r="D1196" s="145"/>
      <c r="E1196" s="145"/>
      <c r="F1196" s="145"/>
      <c r="G1196" s="145"/>
      <c r="H1196" s="145"/>
      <c r="I1196" s="145"/>
      <c r="J1196" s="145"/>
      <c r="K1196" s="145"/>
      <c r="L1196" s="145"/>
    </row>
    <row r="1197" spans="1:12" ht="15" customHeight="1">
      <c r="A1197" s="145"/>
      <c r="B1197" s="145"/>
      <c r="C1197" s="145"/>
      <c r="D1197" s="145"/>
      <c r="E1197" s="145"/>
      <c r="F1197" s="145"/>
      <c r="G1197" s="145"/>
      <c r="H1197" s="145"/>
      <c r="I1197" s="145"/>
      <c r="J1197" s="145"/>
      <c r="K1197" s="145"/>
      <c r="L1197" s="145"/>
    </row>
    <row r="1198" spans="1:12" ht="15" customHeight="1">
      <c r="A1198" s="145"/>
      <c r="B1198" s="145"/>
      <c r="C1198" s="145"/>
      <c r="D1198" s="145"/>
      <c r="E1198" s="145"/>
      <c r="F1198" s="145"/>
      <c r="G1198" s="145"/>
      <c r="H1198" s="145"/>
      <c r="I1198" s="145"/>
      <c r="J1198" s="145"/>
      <c r="K1198" s="145"/>
      <c r="L1198" s="145"/>
    </row>
    <row r="1199" spans="1:12" ht="15" customHeight="1">
      <c r="A1199" s="145"/>
      <c r="B1199" s="145"/>
      <c r="C1199" s="145"/>
      <c r="D1199" s="145"/>
      <c r="E1199" s="145"/>
      <c r="F1199" s="145"/>
      <c r="G1199" s="145"/>
      <c r="H1199" s="145"/>
      <c r="I1199" s="145"/>
      <c r="J1199" s="145"/>
      <c r="K1199" s="145"/>
      <c r="L1199" s="145"/>
    </row>
    <row r="1200" spans="1:12" ht="15" customHeight="1">
      <c r="A1200" s="145"/>
      <c r="B1200" s="145"/>
      <c r="C1200" s="145"/>
      <c r="D1200" s="145"/>
      <c r="E1200" s="145"/>
      <c r="F1200" s="145"/>
      <c r="G1200" s="145"/>
      <c r="H1200" s="145"/>
      <c r="I1200" s="145"/>
      <c r="J1200" s="145"/>
      <c r="K1200" s="145"/>
      <c r="L1200" s="145"/>
    </row>
    <row r="1201" spans="1:12" ht="15" customHeight="1">
      <c r="A1201" s="145"/>
      <c r="B1201" s="145"/>
      <c r="C1201" s="145"/>
      <c r="D1201" s="145"/>
      <c r="E1201" s="145"/>
      <c r="F1201" s="145"/>
      <c r="G1201" s="145"/>
      <c r="H1201" s="145"/>
      <c r="I1201" s="145"/>
      <c r="J1201" s="145"/>
      <c r="K1201" s="145"/>
      <c r="L1201" s="145"/>
    </row>
    <row r="1202" spans="1:12" ht="15" customHeight="1">
      <c r="A1202" s="145"/>
      <c r="B1202" s="145"/>
      <c r="C1202" s="145"/>
      <c r="D1202" s="145"/>
      <c r="E1202" s="145"/>
      <c r="F1202" s="145"/>
      <c r="G1202" s="145"/>
      <c r="H1202" s="145"/>
      <c r="I1202" s="145"/>
      <c r="J1202" s="145"/>
      <c r="K1202" s="145"/>
      <c r="L1202" s="145"/>
    </row>
    <row r="1203" spans="1:12" ht="15" customHeight="1">
      <c r="A1203" s="145"/>
      <c r="B1203" s="145"/>
      <c r="C1203" s="145"/>
      <c r="D1203" s="145"/>
      <c r="E1203" s="145"/>
      <c r="F1203" s="145"/>
      <c r="G1203" s="145"/>
      <c r="H1203" s="145"/>
      <c r="I1203" s="145"/>
      <c r="J1203" s="145"/>
      <c r="K1203" s="145"/>
      <c r="L1203" s="145"/>
    </row>
    <row r="1204" spans="1:12" ht="15" customHeight="1">
      <c r="A1204" s="145"/>
      <c r="B1204" s="145"/>
      <c r="C1204" s="145"/>
      <c r="D1204" s="145"/>
      <c r="E1204" s="145"/>
      <c r="F1204" s="145"/>
      <c r="G1204" s="145"/>
      <c r="H1204" s="145"/>
      <c r="I1204" s="145"/>
      <c r="J1204" s="145"/>
      <c r="K1204" s="145"/>
      <c r="L1204" s="145"/>
    </row>
    <row r="1205" spans="1:12" ht="15" customHeight="1">
      <c r="A1205" s="145"/>
      <c r="B1205" s="145"/>
      <c r="C1205" s="145"/>
      <c r="D1205" s="145"/>
      <c r="E1205" s="145"/>
      <c r="F1205" s="145"/>
      <c r="G1205" s="145"/>
      <c r="H1205" s="145"/>
      <c r="I1205" s="145"/>
      <c r="J1205" s="145"/>
      <c r="K1205" s="145"/>
      <c r="L1205" s="145"/>
    </row>
    <row r="1206" spans="1:12" ht="15" customHeight="1">
      <c r="A1206" s="145"/>
      <c r="B1206" s="145"/>
      <c r="C1206" s="145"/>
      <c r="D1206" s="145"/>
      <c r="E1206" s="145"/>
      <c r="F1206" s="145"/>
      <c r="G1206" s="145"/>
      <c r="H1206" s="145"/>
      <c r="I1206" s="145"/>
      <c r="J1206" s="145"/>
      <c r="K1206" s="145"/>
      <c r="L1206" s="145"/>
    </row>
    <row r="1207" spans="1:12" ht="15" customHeight="1">
      <c r="A1207" s="145"/>
      <c r="B1207" s="145"/>
      <c r="C1207" s="145"/>
      <c r="D1207" s="145"/>
      <c r="E1207" s="145"/>
      <c r="F1207" s="145"/>
      <c r="G1207" s="145"/>
      <c r="H1207" s="145"/>
      <c r="I1207" s="145"/>
      <c r="J1207" s="145"/>
      <c r="K1207" s="145"/>
      <c r="L1207" s="145"/>
    </row>
    <row r="1208" spans="1:12" ht="15" customHeight="1">
      <c r="A1208" s="145"/>
      <c r="B1208" s="145"/>
      <c r="C1208" s="145"/>
      <c r="D1208" s="145"/>
      <c r="E1208" s="145"/>
      <c r="F1208" s="145"/>
      <c r="G1208" s="145"/>
      <c r="H1208" s="145"/>
      <c r="I1208" s="145"/>
      <c r="J1208" s="145"/>
      <c r="K1208" s="145"/>
      <c r="L1208" s="145"/>
    </row>
    <row r="1209" spans="1:12" ht="15" customHeight="1">
      <c r="A1209" s="145"/>
      <c r="B1209" s="145"/>
      <c r="C1209" s="145"/>
      <c r="D1209" s="145"/>
      <c r="E1209" s="145"/>
      <c r="F1209" s="145"/>
      <c r="G1209" s="145"/>
      <c r="H1209" s="145"/>
      <c r="I1209" s="145"/>
      <c r="J1209" s="145"/>
      <c r="K1209" s="145"/>
      <c r="L1209" s="145"/>
    </row>
    <row r="1210" spans="1:12" ht="15" customHeight="1">
      <c r="A1210" s="145"/>
      <c r="B1210" s="145"/>
      <c r="C1210" s="145"/>
      <c r="D1210" s="145"/>
      <c r="E1210" s="145"/>
      <c r="F1210" s="145"/>
      <c r="G1210" s="145"/>
      <c r="H1210" s="145"/>
      <c r="I1210" s="145"/>
      <c r="J1210" s="145"/>
      <c r="K1210" s="145"/>
      <c r="L1210" s="145"/>
    </row>
    <row r="1211" spans="1:12" ht="15" customHeight="1">
      <c r="A1211" s="145"/>
      <c r="B1211" s="145"/>
      <c r="C1211" s="145"/>
      <c r="D1211" s="145"/>
      <c r="E1211" s="145"/>
      <c r="F1211" s="145"/>
      <c r="G1211" s="145"/>
      <c r="H1211" s="145"/>
      <c r="I1211" s="145"/>
      <c r="J1211" s="145"/>
      <c r="K1211" s="145"/>
      <c r="L1211" s="145"/>
    </row>
    <row r="1212" spans="1:12" ht="15" customHeight="1">
      <c r="A1212" s="145"/>
      <c r="B1212" s="145"/>
      <c r="C1212" s="145"/>
      <c r="D1212" s="145"/>
      <c r="E1212" s="145"/>
      <c r="F1212" s="145"/>
      <c r="G1212" s="145"/>
      <c r="H1212" s="145"/>
      <c r="I1212" s="145"/>
      <c r="J1212" s="145"/>
      <c r="K1212" s="145"/>
      <c r="L1212" s="145"/>
    </row>
    <row r="1213" spans="1:12" ht="15" customHeight="1">
      <c r="A1213" s="145"/>
      <c r="B1213" s="145"/>
      <c r="C1213" s="145"/>
      <c r="D1213" s="145"/>
      <c r="E1213" s="145"/>
      <c r="F1213" s="145"/>
      <c r="G1213" s="145"/>
      <c r="H1213" s="145"/>
      <c r="I1213" s="145"/>
      <c r="J1213" s="145"/>
      <c r="K1213" s="145"/>
      <c r="L1213" s="145"/>
    </row>
    <row r="1214" spans="1:12" ht="15" customHeight="1">
      <c r="A1214" s="145"/>
      <c r="B1214" s="145"/>
      <c r="C1214" s="145"/>
      <c r="D1214" s="145"/>
      <c r="E1214" s="145"/>
      <c r="F1214" s="145"/>
      <c r="G1214" s="145"/>
      <c r="H1214" s="145"/>
      <c r="I1214" s="145"/>
      <c r="J1214" s="145"/>
      <c r="K1214" s="145"/>
      <c r="L1214" s="145"/>
    </row>
    <row r="1215" spans="1:12" ht="15" customHeight="1">
      <c r="A1215" s="145"/>
      <c r="B1215" s="145"/>
      <c r="C1215" s="145"/>
      <c r="D1215" s="145"/>
      <c r="E1215" s="145"/>
      <c r="F1215" s="145"/>
      <c r="G1215" s="145"/>
      <c r="H1215" s="145"/>
      <c r="I1215" s="145"/>
      <c r="J1215" s="145"/>
      <c r="K1215" s="145"/>
      <c r="L1215" s="145"/>
    </row>
    <row r="1216" spans="1:12" ht="15" customHeight="1">
      <c r="A1216" s="145"/>
      <c r="B1216" s="145"/>
      <c r="C1216" s="145"/>
      <c r="D1216" s="145"/>
      <c r="E1216" s="145"/>
      <c r="F1216" s="145"/>
      <c r="G1216" s="145"/>
      <c r="H1216" s="145"/>
      <c r="I1216" s="145"/>
      <c r="J1216" s="145"/>
      <c r="K1216" s="145"/>
      <c r="L1216" s="145"/>
    </row>
    <row r="1217" spans="1:12" ht="15" customHeight="1">
      <c r="A1217" s="145"/>
      <c r="B1217" s="145"/>
      <c r="C1217" s="145"/>
      <c r="D1217" s="145"/>
      <c r="E1217" s="145"/>
      <c r="F1217" s="145"/>
      <c r="G1217" s="145"/>
      <c r="H1217" s="145"/>
      <c r="I1217" s="145"/>
      <c r="J1217" s="145"/>
      <c r="K1217" s="145"/>
      <c r="L1217" s="145"/>
    </row>
    <row r="1218" spans="1:12" ht="15" customHeight="1">
      <c r="A1218" s="145"/>
      <c r="B1218" s="145"/>
      <c r="C1218" s="145"/>
      <c r="D1218" s="145"/>
      <c r="E1218" s="145"/>
      <c r="F1218" s="145"/>
      <c r="G1218" s="145"/>
      <c r="H1218" s="145"/>
      <c r="I1218" s="145"/>
      <c r="J1218" s="145"/>
      <c r="K1218" s="145"/>
      <c r="L1218" s="145"/>
    </row>
    <row r="1219" spans="1:12" ht="15" customHeight="1">
      <c r="A1219" s="145"/>
      <c r="B1219" s="145"/>
      <c r="C1219" s="145"/>
      <c r="D1219" s="145"/>
      <c r="E1219" s="145"/>
      <c r="F1219" s="145"/>
      <c r="G1219" s="145"/>
      <c r="H1219" s="145"/>
      <c r="I1219" s="145"/>
      <c r="J1219" s="145"/>
      <c r="K1219" s="145"/>
      <c r="L1219" s="145"/>
    </row>
    <row r="1220" spans="1:12" ht="15" customHeight="1">
      <c r="A1220" s="145"/>
      <c r="B1220" s="145"/>
      <c r="C1220" s="145"/>
      <c r="D1220" s="145"/>
      <c r="E1220" s="145"/>
      <c r="F1220" s="145"/>
      <c r="G1220" s="145"/>
      <c r="H1220" s="145"/>
      <c r="I1220" s="145"/>
      <c r="J1220" s="145"/>
      <c r="K1220" s="145"/>
      <c r="L1220" s="145"/>
    </row>
    <row r="1221" spans="1:12" ht="15" customHeight="1">
      <c r="A1221" s="145"/>
      <c r="B1221" s="145"/>
      <c r="C1221" s="145"/>
      <c r="D1221" s="145"/>
      <c r="E1221" s="145"/>
      <c r="F1221" s="145"/>
      <c r="G1221" s="145"/>
      <c r="H1221" s="145"/>
      <c r="I1221" s="145"/>
      <c r="J1221" s="145"/>
      <c r="K1221" s="145"/>
      <c r="L1221" s="145"/>
    </row>
    <row r="1222" spans="1:12" ht="15" customHeight="1">
      <c r="A1222" s="145"/>
      <c r="B1222" s="145"/>
      <c r="C1222" s="145"/>
      <c r="D1222" s="145"/>
      <c r="E1222" s="145"/>
      <c r="F1222" s="145"/>
      <c r="G1222" s="145"/>
      <c r="H1222" s="145"/>
      <c r="I1222" s="145"/>
      <c r="J1222" s="145"/>
      <c r="K1222" s="145"/>
      <c r="L1222" s="145"/>
    </row>
    <row r="1223" spans="1:12" ht="15" customHeight="1">
      <c r="A1223" s="145"/>
      <c r="B1223" s="145"/>
      <c r="C1223" s="145"/>
      <c r="D1223" s="145"/>
      <c r="E1223" s="145"/>
      <c r="F1223" s="145"/>
      <c r="G1223" s="145"/>
      <c r="H1223" s="145"/>
      <c r="I1223" s="145"/>
      <c r="J1223" s="145"/>
      <c r="K1223" s="145"/>
      <c r="L1223" s="145"/>
    </row>
    <row r="1224" spans="1:12" ht="15" customHeight="1">
      <c r="A1224" s="145"/>
      <c r="B1224" s="145"/>
      <c r="C1224" s="145"/>
      <c r="D1224" s="145"/>
      <c r="E1224" s="145"/>
      <c r="F1224" s="145"/>
      <c r="G1224" s="145"/>
      <c r="H1224" s="145"/>
      <c r="I1224" s="145"/>
      <c r="J1224" s="145"/>
      <c r="K1224" s="145"/>
      <c r="L1224" s="145"/>
    </row>
    <row r="1225" spans="1:12" ht="15" customHeight="1">
      <c r="A1225" s="145"/>
      <c r="B1225" s="145"/>
      <c r="C1225" s="145"/>
      <c r="D1225" s="145"/>
      <c r="E1225" s="145"/>
      <c r="F1225" s="145"/>
      <c r="G1225" s="145"/>
      <c r="H1225" s="145"/>
      <c r="I1225" s="145"/>
      <c r="J1225" s="145"/>
      <c r="K1225" s="145"/>
      <c r="L1225" s="145"/>
    </row>
    <row r="1226" spans="1:12" ht="15" customHeight="1">
      <c r="A1226" s="145"/>
      <c r="B1226" s="145"/>
      <c r="C1226" s="145"/>
      <c r="D1226" s="145"/>
      <c r="E1226" s="145"/>
      <c r="F1226" s="145"/>
      <c r="G1226" s="145"/>
      <c r="H1226" s="145"/>
      <c r="I1226" s="145"/>
      <c r="J1226" s="145"/>
      <c r="K1226" s="145"/>
      <c r="L1226" s="145"/>
    </row>
    <row r="1227" spans="1:12" ht="15" customHeight="1">
      <c r="A1227" s="145"/>
      <c r="B1227" s="145"/>
      <c r="C1227" s="145"/>
      <c r="D1227" s="145"/>
      <c r="E1227" s="145"/>
      <c r="F1227" s="145"/>
      <c r="G1227" s="145"/>
      <c r="H1227" s="145"/>
      <c r="I1227" s="145"/>
      <c r="J1227" s="145"/>
      <c r="K1227" s="145"/>
      <c r="L1227" s="145"/>
    </row>
    <row r="1228" spans="1:12" ht="15" customHeight="1">
      <c r="A1228" s="145"/>
      <c r="B1228" s="145"/>
      <c r="C1228" s="145"/>
      <c r="D1228" s="145"/>
      <c r="E1228" s="145"/>
      <c r="F1228" s="145"/>
      <c r="G1228" s="145"/>
      <c r="H1228" s="145"/>
      <c r="I1228" s="145"/>
      <c r="J1228" s="145"/>
      <c r="K1228" s="145"/>
      <c r="L1228" s="145"/>
    </row>
    <row r="1229" spans="1:12" ht="15" customHeight="1">
      <c r="A1229" s="145"/>
      <c r="B1229" s="145"/>
      <c r="C1229" s="145"/>
      <c r="D1229" s="145"/>
      <c r="E1229" s="145"/>
      <c r="F1229" s="145"/>
      <c r="G1229" s="145"/>
      <c r="H1229" s="145"/>
      <c r="I1229" s="145"/>
      <c r="J1229" s="145"/>
      <c r="K1229" s="145"/>
      <c r="L1229" s="145"/>
    </row>
    <row r="1230" spans="1:12" ht="15" customHeight="1">
      <c r="A1230" s="145"/>
      <c r="B1230" s="145"/>
      <c r="C1230" s="145"/>
      <c r="D1230" s="145"/>
      <c r="E1230" s="145"/>
      <c r="F1230" s="145"/>
      <c r="G1230" s="145"/>
      <c r="H1230" s="145"/>
      <c r="I1230" s="145"/>
      <c r="J1230" s="145"/>
      <c r="K1230" s="145"/>
      <c r="L1230" s="145"/>
    </row>
    <row r="1231" spans="1:12" ht="15" customHeight="1">
      <c r="A1231" s="145"/>
      <c r="B1231" s="145"/>
      <c r="C1231" s="145"/>
      <c r="D1231" s="145"/>
      <c r="E1231" s="145"/>
      <c r="F1231" s="145"/>
      <c r="G1231" s="145"/>
      <c r="H1231" s="145"/>
      <c r="I1231" s="145"/>
      <c r="J1231" s="145"/>
      <c r="K1231" s="145"/>
      <c r="L1231" s="145"/>
    </row>
    <row r="1232" spans="1:12" ht="15" customHeight="1">
      <c r="A1232" s="145"/>
      <c r="B1232" s="145"/>
      <c r="C1232" s="145"/>
      <c r="D1232" s="145"/>
      <c r="E1232" s="145"/>
      <c r="F1232" s="145"/>
      <c r="G1232" s="145"/>
      <c r="H1232" s="145"/>
      <c r="I1232" s="145"/>
      <c r="J1232" s="145"/>
      <c r="K1232" s="145"/>
      <c r="L1232" s="145"/>
    </row>
    <row r="1233" spans="1:12" ht="15" customHeight="1">
      <c r="A1233" s="145"/>
      <c r="B1233" s="145"/>
      <c r="C1233" s="145"/>
      <c r="D1233" s="145"/>
      <c r="E1233" s="145"/>
      <c r="F1233" s="145"/>
      <c r="G1233" s="145"/>
      <c r="H1233" s="145"/>
      <c r="I1233" s="145"/>
      <c r="J1233" s="145"/>
      <c r="K1233" s="145"/>
      <c r="L1233" s="145"/>
    </row>
    <row r="1234" spans="1:12" ht="15" customHeight="1">
      <c r="A1234" s="145"/>
      <c r="B1234" s="145"/>
      <c r="C1234" s="145"/>
      <c r="D1234" s="145"/>
      <c r="E1234" s="145"/>
      <c r="F1234" s="145"/>
      <c r="G1234" s="145"/>
      <c r="H1234" s="145"/>
      <c r="I1234" s="145"/>
      <c r="J1234" s="145"/>
      <c r="K1234" s="145"/>
      <c r="L1234" s="145"/>
    </row>
    <row r="1235" spans="1:12" ht="15" customHeight="1">
      <c r="A1235" s="145"/>
      <c r="B1235" s="145"/>
      <c r="C1235" s="145"/>
      <c r="D1235" s="145"/>
      <c r="E1235" s="145"/>
      <c r="F1235" s="145"/>
      <c r="G1235" s="145"/>
      <c r="H1235" s="145"/>
      <c r="I1235" s="145"/>
      <c r="J1235" s="145"/>
      <c r="K1235" s="145"/>
      <c r="L1235" s="145"/>
    </row>
    <row r="1236" spans="1:12" ht="15" customHeight="1">
      <c r="A1236" s="145"/>
      <c r="B1236" s="145"/>
      <c r="C1236" s="145"/>
      <c r="D1236" s="145"/>
      <c r="E1236" s="145"/>
      <c r="F1236" s="145"/>
      <c r="G1236" s="145"/>
      <c r="H1236" s="145"/>
      <c r="I1236" s="145"/>
      <c r="J1236" s="145"/>
      <c r="K1236" s="145"/>
      <c r="L1236" s="145"/>
    </row>
    <row r="1237" spans="1:12" ht="15" customHeight="1">
      <c r="A1237" s="145"/>
      <c r="B1237" s="145"/>
      <c r="C1237" s="145"/>
      <c r="D1237" s="145"/>
      <c r="E1237" s="145"/>
      <c r="F1237" s="145"/>
      <c r="G1237" s="145"/>
      <c r="H1237" s="145"/>
      <c r="I1237" s="145"/>
      <c r="J1237" s="145"/>
      <c r="K1237" s="145"/>
      <c r="L1237" s="145"/>
    </row>
  </sheetData>
  <mergeCells count="3">
    <mergeCell ref="O2:Z2"/>
    <mergeCell ref="A2:L2"/>
    <mergeCell ref="A1:L1"/>
  </mergeCells>
  <pageMargins left="0.75" right="0.75" top="1" bottom="1" header="0" footer="0"/>
  <pageSetup paperSize="9"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431"/>
  <sheetViews>
    <sheetView topLeftCell="A975" zoomScale="150" workbookViewId="0">
      <pane ySplit="1" topLeftCell="A1102" activePane="bottomLeft" state="frozen"/>
      <selection activeCell="A975" sqref="A975"/>
      <selection pane="bottomLeft" activeCell="K1278" sqref="K1278"/>
    </sheetView>
  </sheetViews>
  <sheetFormatPr baseColWidth="10" defaultColWidth="11.5" defaultRowHeight="15"/>
  <cols>
    <col min="1" max="1" width="11.83203125" style="74" customWidth="1"/>
    <col min="2" max="2" width="21.1640625" bestFit="1" customWidth="1"/>
    <col min="3" max="3" width="21.1640625" style="1245" customWidth="1"/>
    <col min="4" max="4" width="12.1640625" bestFit="1" customWidth="1"/>
    <col min="5" max="5" width="39.6640625" bestFit="1" customWidth="1"/>
    <col min="6" max="6" width="17" bestFit="1" customWidth="1"/>
    <col min="7" max="7" width="13.33203125" bestFit="1" customWidth="1"/>
    <col min="8" max="8" width="13" bestFit="1" customWidth="1"/>
    <col min="9" max="9" width="11.6640625" bestFit="1" customWidth="1"/>
    <col min="10" max="10" width="16.1640625" bestFit="1" customWidth="1"/>
    <col min="11" max="11" width="12.6640625" bestFit="1" customWidth="1"/>
    <col min="12" max="12" width="12.1640625" bestFit="1" customWidth="1"/>
  </cols>
  <sheetData>
    <row r="1" spans="1:12">
      <c r="A1" s="710" t="s">
        <v>661</v>
      </c>
      <c r="B1" s="1256" t="s">
        <v>662</v>
      </c>
      <c r="C1" s="1257" t="s">
        <v>452</v>
      </c>
      <c r="D1" s="932" t="s">
        <v>663</v>
      </c>
      <c r="E1" s="932" t="s">
        <v>240</v>
      </c>
      <c r="F1" s="932" t="s">
        <v>241</v>
      </c>
      <c r="G1" s="932" t="s">
        <v>664</v>
      </c>
      <c r="H1" s="932" t="s">
        <v>665</v>
      </c>
      <c r="I1" s="932" t="s">
        <v>666</v>
      </c>
      <c r="J1" s="932" t="s">
        <v>667</v>
      </c>
      <c r="K1" s="932" t="s">
        <v>627</v>
      </c>
      <c r="L1" s="932" t="s">
        <v>668</v>
      </c>
    </row>
    <row r="2" spans="1:12" hidden="1">
      <c r="A2" s="931">
        <v>1</v>
      </c>
      <c r="B2" s="1246">
        <v>46023</v>
      </c>
      <c r="C2" s="1248">
        <v>46026</v>
      </c>
      <c r="D2" s="933">
        <v>1</v>
      </c>
      <c r="E2" s="933" t="s">
        <v>248</v>
      </c>
      <c r="F2" s="933" t="s">
        <v>249</v>
      </c>
      <c r="G2" s="933">
        <v>45</v>
      </c>
      <c r="H2" s="933">
        <v>45</v>
      </c>
      <c r="I2" s="933" t="s">
        <v>670</v>
      </c>
      <c r="J2" s="934">
        <v>1.37575757575758</v>
      </c>
      <c r="K2" s="934">
        <v>61.909090909090899</v>
      </c>
      <c r="L2" s="938">
        <v>8.6538461538461497</v>
      </c>
    </row>
    <row r="3" spans="1:12" hidden="1">
      <c r="A3" s="931">
        <v>1</v>
      </c>
      <c r="B3" s="1247">
        <v>46023</v>
      </c>
      <c r="C3" s="1249">
        <v>46026</v>
      </c>
      <c r="D3" s="935">
        <v>2</v>
      </c>
      <c r="E3" s="935" t="s">
        <v>261</v>
      </c>
      <c r="F3" s="935" t="s">
        <v>256</v>
      </c>
      <c r="G3" s="935">
        <v>45</v>
      </c>
      <c r="H3" s="935">
        <v>45</v>
      </c>
      <c r="I3" s="935" t="s">
        <v>670</v>
      </c>
      <c r="J3" s="936">
        <v>2.1666666666666701</v>
      </c>
      <c r="K3" s="936">
        <v>97.5</v>
      </c>
      <c r="L3" s="939">
        <v>8.6538461538461497</v>
      </c>
    </row>
    <row r="4" spans="1:12" hidden="1">
      <c r="A4" s="931">
        <v>1</v>
      </c>
      <c r="B4" s="1246">
        <v>46023</v>
      </c>
      <c r="C4" s="1248">
        <v>46026</v>
      </c>
      <c r="D4" s="933">
        <v>3</v>
      </c>
      <c r="E4" s="933" t="s">
        <v>259</v>
      </c>
      <c r="F4" s="933" t="s">
        <v>249</v>
      </c>
      <c r="G4" s="933">
        <v>44</v>
      </c>
      <c r="H4" s="933">
        <v>44</v>
      </c>
      <c r="I4" s="933" t="s">
        <v>670</v>
      </c>
      <c r="J4" s="934">
        <v>1.4907024793388399</v>
      </c>
      <c r="K4" s="934">
        <v>65.590909090909093</v>
      </c>
      <c r="L4" s="938">
        <v>8.4615384615384599</v>
      </c>
    </row>
    <row r="5" spans="1:12" hidden="1">
      <c r="A5" s="931">
        <v>1</v>
      </c>
      <c r="B5" s="1247">
        <v>46023</v>
      </c>
      <c r="C5" s="1249">
        <v>46026</v>
      </c>
      <c r="D5" s="935">
        <v>4</v>
      </c>
      <c r="E5" s="935" t="s">
        <v>250</v>
      </c>
      <c r="F5" s="935" t="s">
        <v>251</v>
      </c>
      <c r="G5" s="935">
        <v>29</v>
      </c>
      <c r="H5" s="935">
        <v>29</v>
      </c>
      <c r="I5" s="935" t="s">
        <v>670</v>
      </c>
      <c r="J5" s="936">
        <v>1.6457680250783699</v>
      </c>
      <c r="K5" s="936">
        <v>47.727272727272698</v>
      </c>
      <c r="L5" s="939">
        <v>5.5769230769230802</v>
      </c>
    </row>
    <row r="6" spans="1:12" hidden="1">
      <c r="A6" s="931">
        <v>1</v>
      </c>
      <c r="B6" s="1246">
        <v>46023</v>
      </c>
      <c r="C6" s="1248">
        <v>46026</v>
      </c>
      <c r="D6" s="933">
        <v>5</v>
      </c>
      <c r="E6" s="933" t="s">
        <v>255</v>
      </c>
      <c r="F6" s="933" t="s">
        <v>256</v>
      </c>
      <c r="G6" s="933">
        <v>27</v>
      </c>
      <c r="H6" s="933">
        <v>27</v>
      </c>
      <c r="I6" s="933" t="s">
        <v>670</v>
      </c>
      <c r="J6" s="934">
        <v>5.0909090909090899</v>
      </c>
      <c r="K6" s="934">
        <v>137.45454545454501</v>
      </c>
      <c r="L6" s="938">
        <v>5.1923076923076898</v>
      </c>
    </row>
    <row r="7" spans="1:12" hidden="1">
      <c r="A7" s="931">
        <v>1</v>
      </c>
      <c r="B7" s="1247">
        <v>46023</v>
      </c>
      <c r="C7" s="1249">
        <v>46026</v>
      </c>
      <c r="D7" s="935">
        <v>6</v>
      </c>
      <c r="E7" s="935" t="s">
        <v>671</v>
      </c>
      <c r="F7" s="935" t="s">
        <v>276</v>
      </c>
      <c r="G7" s="935">
        <v>22</v>
      </c>
      <c r="H7" s="935">
        <v>22</v>
      </c>
      <c r="I7" s="935" t="s">
        <v>672</v>
      </c>
      <c r="J7" s="936">
        <v>2.7727272727272698</v>
      </c>
      <c r="K7" s="936">
        <v>61</v>
      </c>
      <c r="L7" s="939">
        <v>4.2307692307692299</v>
      </c>
    </row>
    <row r="8" spans="1:12" hidden="1">
      <c r="A8" s="931">
        <v>1</v>
      </c>
      <c r="B8" s="1246">
        <v>46023</v>
      </c>
      <c r="C8" s="1248">
        <v>46026</v>
      </c>
      <c r="D8" s="933">
        <v>7</v>
      </c>
      <c r="E8" s="933" t="s">
        <v>673</v>
      </c>
      <c r="F8" s="933" t="s">
        <v>251</v>
      </c>
      <c r="G8" s="933">
        <v>18</v>
      </c>
      <c r="H8" s="933">
        <v>18</v>
      </c>
      <c r="I8" s="933" t="s">
        <v>670</v>
      </c>
      <c r="J8" s="934">
        <v>2.3661616161616199</v>
      </c>
      <c r="K8" s="934">
        <v>42.590909090909101</v>
      </c>
      <c r="L8" s="938">
        <v>3.4615384615384599</v>
      </c>
    </row>
    <row r="9" spans="1:12" hidden="1">
      <c r="A9" s="931">
        <v>1</v>
      </c>
      <c r="B9" s="1247">
        <v>46023</v>
      </c>
      <c r="C9" s="1249">
        <v>46026</v>
      </c>
      <c r="D9" s="935">
        <v>8</v>
      </c>
      <c r="E9" s="935" t="s">
        <v>674</v>
      </c>
      <c r="F9" s="935" t="s">
        <v>275</v>
      </c>
      <c r="G9" s="935">
        <v>17</v>
      </c>
      <c r="H9" s="935">
        <v>17</v>
      </c>
      <c r="I9" s="935" t="s">
        <v>670</v>
      </c>
      <c r="J9" s="936">
        <v>4.9197860962566802</v>
      </c>
      <c r="K9" s="936">
        <v>83.636363636363598</v>
      </c>
      <c r="L9" s="939">
        <v>3.2692307692307701</v>
      </c>
    </row>
    <row r="10" spans="1:12" hidden="1">
      <c r="A10" s="931">
        <v>1</v>
      </c>
      <c r="B10" s="1246">
        <v>46023</v>
      </c>
      <c r="C10" s="1248">
        <v>46026</v>
      </c>
      <c r="D10" s="933">
        <v>9</v>
      </c>
      <c r="E10" s="933" t="s">
        <v>675</v>
      </c>
      <c r="F10" s="933" t="s">
        <v>256</v>
      </c>
      <c r="G10" s="933">
        <v>14</v>
      </c>
      <c r="H10" s="933">
        <v>14</v>
      </c>
      <c r="I10" s="933" t="s">
        <v>670</v>
      </c>
      <c r="J10" s="934">
        <v>4.7727272727272698</v>
      </c>
      <c r="K10" s="934">
        <v>66.818181818181799</v>
      </c>
      <c r="L10" s="938">
        <v>2.6923076923076898</v>
      </c>
    </row>
    <row r="11" spans="1:12" hidden="1">
      <c r="A11" s="931">
        <v>1</v>
      </c>
      <c r="B11" s="1247">
        <v>46023</v>
      </c>
      <c r="C11" s="1249">
        <v>46026</v>
      </c>
      <c r="D11" s="935">
        <v>10</v>
      </c>
      <c r="E11" s="935" t="s">
        <v>676</v>
      </c>
      <c r="F11" s="935" t="s">
        <v>253</v>
      </c>
      <c r="G11" s="935">
        <v>12</v>
      </c>
      <c r="H11" s="935">
        <v>12</v>
      </c>
      <c r="I11" s="935" t="s">
        <v>670</v>
      </c>
      <c r="J11" s="936">
        <v>2.6818181818181799</v>
      </c>
      <c r="K11" s="936">
        <v>32.181818181818201</v>
      </c>
      <c r="L11" s="939">
        <v>2.3076923076923102</v>
      </c>
    </row>
    <row r="12" spans="1:12" hidden="1">
      <c r="A12" s="931">
        <v>1</v>
      </c>
      <c r="B12" s="1246">
        <v>46023</v>
      </c>
      <c r="C12" s="1248">
        <v>46026</v>
      </c>
      <c r="D12" s="933">
        <v>11</v>
      </c>
      <c r="E12" s="933" t="s">
        <v>677</v>
      </c>
      <c r="F12" s="933" t="s">
        <v>249</v>
      </c>
      <c r="G12" s="933">
        <v>12</v>
      </c>
      <c r="H12" s="933">
        <v>12</v>
      </c>
      <c r="I12" s="933" t="s">
        <v>670</v>
      </c>
      <c r="J12" s="934">
        <v>1.48484848484849</v>
      </c>
      <c r="K12" s="934">
        <v>17.818181818181799</v>
      </c>
      <c r="L12" s="938">
        <v>2.3076923076923102</v>
      </c>
    </row>
    <row r="13" spans="1:12" hidden="1">
      <c r="A13" s="931">
        <v>1</v>
      </c>
      <c r="B13" s="1247">
        <v>46023</v>
      </c>
      <c r="C13" s="1249">
        <v>46026</v>
      </c>
      <c r="D13" s="935">
        <v>12</v>
      </c>
      <c r="E13" s="935" t="s">
        <v>678</v>
      </c>
      <c r="F13" s="935" t="s">
        <v>256</v>
      </c>
      <c r="G13" s="935">
        <v>12</v>
      </c>
      <c r="H13" s="935">
        <v>12</v>
      </c>
      <c r="I13" s="935" t="s">
        <v>670</v>
      </c>
      <c r="J13" s="936">
        <v>5.9090909090909101</v>
      </c>
      <c r="K13" s="936">
        <v>70.909090909090907</v>
      </c>
      <c r="L13" s="939">
        <v>2.3076923076923102</v>
      </c>
    </row>
    <row r="14" spans="1:12" hidden="1">
      <c r="A14" s="931">
        <v>1</v>
      </c>
      <c r="B14" s="1246">
        <v>46023</v>
      </c>
      <c r="C14" s="1248">
        <v>46026</v>
      </c>
      <c r="D14" s="933">
        <v>13</v>
      </c>
      <c r="E14" s="933" t="s">
        <v>679</v>
      </c>
      <c r="F14" s="933" t="s">
        <v>256</v>
      </c>
      <c r="G14" s="933">
        <v>11</v>
      </c>
      <c r="H14" s="933">
        <v>11</v>
      </c>
      <c r="I14" s="933" t="s">
        <v>670</v>
      </c>
      <c r="J14" s="934">
        <v>9.0454545454545396</v>
      </c>
      <c r="K14" s="934">
        <v>99.5</v>
      </c>
      <c r="L14" s="938">
        <v>2.1153846153846101</v>
      </c>
    </row>
    <row r="15" spans="1:12" hidden="1">
      <c r="A15" s="931">
        <v>1</v>
      </c>
      <c r="B15" s="1247">
        <v>46023</v>
      </c>
      <c r="C15" s="1249">
        <v>46026</v>
      </c>
      <c r="D15" s="935">
        <v>14</v>
      </c>
      <c r="E15" s="935" t="s">
        <v>680</v>
      </c>
      <c r="F15" s="935" t="s">
        <v>251</v>
      </c>
      <c r="G15" s="935">
        <v>11</v>
      </c>
      <c r="H15" s="935">
        <v>11</v>
      </c>
      <c r="I15" s="935" t="s">
        <v>670</v>
      </c>
      <c r="J15" s="936">
        <v>2.20247933884297</v>
      </c>
      <c r="K15" s="936">
        <v>24.227272727272702</v>
      </c>
      <c r="L15" s="939">
        <v>2.1153846153846101</v>
      </c>
    </row>
    <row r="16" spans="1:12" hidden="1">
      <c r="A16" s="931">
        <v>1</v>
      </c>
      <c r="B16" s="1246">
        <v>46023</v>
      </c>
      <c r="C16" s="1248">
        <v>46026</v>
      </c>
      <c r="D16" s="933">
        <v>15</v>
      </c>
      <c r="E16" s="933" t="s">
        <v>262</v>
      </c>
      <c r="F16" s="933" t="s">
        <v>256</v>
      </c>
      <c r="G16" s="933">
        <v>11</v>
      </c>
      <c r="H16" s="933">
        <v>11</v>
      </c>
      <c r="I16" s="933" t="s">
        <v>670</v>
      </c>
      <c r="J16" s="934">
        <v>10.818181818181801</v>
      </c>
      <c r="K16" s="934">
        <v>119</v>
      </c>
      <c r="L16" s="938">
        <v>2.1153846153846101</v>
      </c>
    </row>
    <row r="17" spans="1:12" hidden="1">
      <c r="A17" s="931">
        <v>1</v>
      </c>
      <c r="B17" s="1247">
        <v>46023</v>
      </c>
      <c r="C17" s="1249">
        <v>46026</v>
      </c>
      <c r="D17" s="935">
        <v>16</v>
      </c>
      <c r="E17" s="935" t="s">
        <v>681</v>
      </c>
      <c r="F17" s="935" t="s">
        <v>282</v>
      </c>
      <c r="G17" s="935">
        <v>10</v>
      </c>
      <c r="H17" s="935">
        <v>10</v>
      </c>
      <c r="I17" s="935" t="s">
        <v>672</v>
      </c>
      <c r="J17" s="936">
        <v>4.5454545454545497E-2</v>
      </c>
      <c r="K17" s="936">
        <v>0.45454545454545497</v>
      </c>
      <c r="L17" s="939">
        <v>1.92307692307692</v>
      </c>
    </row>
    <row r="18" spans="1:12" hidden="1">
      <c r="A18" s="931">
        <v>1</v>
      </c>
      <c r="B18" s="1246">
        <v>46023</v>
      </c>
      <c r="C18" s="1248">
        <v>46026</v>
      </c>
      <c r="D18" s="933">
        <v>17</v>
      </c>
      <c r="E18" s="933" t="s">
        <v>682</v>
      </c>
      <c r="F18" s="933" t="s">
        <v>275</v>
      </c>
      <c r="G18" s="933">
        <v>10</v>
      </c>
      <c r="H18" s="933">
        <v>10</v>
      </c>
      <c r="I18" s="933" t="s">
        <v>670</v>
      </c>
      <c r="J18" s="934">
        <v>5.3863636363636296</v>
      </c>
      <c r="K18" s="934">
        <v>53.863636363636402</v>
      </c>
      <c r="L18" s="938">
        <v>1.92307692307692</v>
      </c>
    </row>
    <row r="19" spans="1:12" hidden="1">
      <c r="A19" s="931">
        <v>1</v>
      </c>
      <c r="B19" s="1247">
        <v>46023</v>
      </c>
      <c r="C19" s="1249">
        <v>46026</v>
      </c>
      <c r="D19" s="935">
        <v>18</v>
      </c>
      <c r="E19" s="935" t="s">
        <v>683</v>
      </c>
      <c r="F19" s="935" t="s">
        <v>274</v>
      </c>
      <c r="G19" s="935">
        <v>9</v>
      </c>
      <c r="H19" s="935">
        <v>9</v>
      </c>
      <c r="I19" s="935" t="s">
        <v>670</v>
      </c>
      <c r="J19" s="936">
        <v>10.818181818181801</v>
      </c>
      <c r="K19" s="936">
        <v>97.363636363636303</v>
      </c>
      <c r="L19" s="939">
        <v>1.7307692307692299</v>
      </c>
    </row>
    <row r="20" spans="1:12" hidden="1">
      <c r="A20" s="931">
        <v>1</v>
      </c>
      <c r="B20" s="1246">
        <v>46023</v>
      </c>
      <c r="C20" s="1248">
        <v>46026</v>
      </c>
      <c r="D20" s="933">
        <v>19</v>
      </c>
      <c r="E20" s="933" t="s">
        <v>684</v>
      </c>
      <c r="F20" s="933" t="s">
        <v>323</v>
      </c>
      <c r="G20" s="933">
        <v>9</v>
      </c>
      <c r="H20" s="933">
        <v>9</v>
      </c>
      <c r="I20" s="933" t="s">
        <v>670</v>
      </c>
      <c r="J20" s="934">
        <v>8.9090909090909101</v>
      </c>
      <c r="K20" s="934">
        <v>80.181818181818201</v>
      </c>
      <c r="L20" s="938">
        <v>1.7307692307692299</v>
      </c>
    </row>
    <row r="21" spans="1:12" hidden="1">
      <c r="A21" s="931">
        <v>1</v>
      </c>
      <c r="B21" s="1247">
        <v>46023</v>
      </c>
      <c r="C21" s="1249">
        <v>46026</v>
      </c>
      <c r="D21" s="935">
        <v>20</v>
      </c>
      <c r="E21" s="935" t="s">
        <v>685</v>
      </c>
      <c r="F21" s="935" t="s">
        <v>256</v>
      </c>
      <c r="G21" s="935">
        <v>8</v>
      </c>
      <c r="H21" s="935">
        <v>8</v>
      </c>
      <c r="I21" s="935" t="s">
        <v>670</v>
      </c>
      <c r="J21" s="936">
        <v>8.1363636363636296</v>
      </c>
      <c r="K21" s="936">
        <v>65.090909090909093</v>
      </c>
      <c r="L21" s="939">
        <v>1.5384615384615401</v>
      </c>
    </row>
    <row r="22" spans="1:12" hidden="1">
      <c r="A22" s="931">
        <v>1</v>
      </c>
      <c r="B22" s="1246">
        <v>46023</v>
      </c>
      <c r="C22" s="1248">
        <v>46026</v>
      </c>
      <c r="D22" s="933">
        <v>21</v>
      </c>
      <c r="E22" s="933" t="s">
        <v>686</v>
      </c>
      <c r="F22" s="933" t="s">
        <v>274</v>
      </c>
      <c r="G22" s="933">
        <v>8</v>
      </c>
      <c r="H22" s="933">
        <v>8</v>
      </c>
      <c r="I22" s="933" t="s">
        <v>670</v>
      </c>
      <c r="J22" s="934">
        <v>13.6022727272727</v>
      </c>
      <c r="K22" s="934">
        <v>108.818181818182</v>
      </c>
      <c r="L22" s="938">
        <v>1.5384615384615401</v>
      </c>
    </row>
    <row r="23" spans="1:12" hidden="1">
      <c r="A23" s="931">
        <v>1</v>
      </c>
      <c r="B23" s="1247">
        <v>46023</v>
      </c>
      <c r="C23" s="1249">
        <v>46026</v>
      </c>
      <c r="D23" s="935">
        <v>22</v>
      </c>
      <c r="E23" s="935" t="s">
        <v>687</v>
      </c>
      <c r="F23" s="935" t="s">
        <v>253</v>
      </c>
      <c r="G23" s="935">
        <v>8</v>
      </c>
      <c r="H23" s="935">
        <v>8</v>
      </c>
      <c r="I23" s="935" t="s">
        <v>670</v>
      </c>
      <c r="J23" s="936">
        <v>2.75</v>
      </c>
      <c r="K23" s="936">
        <v>22</v>
      </c>
      <c r="L23" s="939">
        <v>1.5384615384615401</v>
      </c>
    </row>
    <row r="24" spans="1:12" hidden="1">
      <c r="A24" s="931">
        <v>1</v>
      </c>
      <c r="B24" s="1246">
        <v>46023</v>
      </c>
      <c r="C24" s="1248">
        <v>46026</v>
      </c>
      <c r="D24" s="933">
        <v>23</v>
      </c>
      <c r="E24" s="933" t="s">
        <v>688</v>
      </c>
      <c r="F24" s="933" t="s">
        <v>689</v>
      </c>
      <c r="G24" s="933">
        <v>6</v>
      </c>
      <c r="H24" s="933">
        <v>6</v>
      </c>
      <c r="I24" s="933" t="s">
        <v>670</v>
      </c>
      <c r="J24" s="934">
        <v>9.9090909090909101</v>
      </c>
      <c r="K24" s="934">
        <v>59.454545454545503</v>
      </c>
      <c r="L24" s="938">
        <v>1.15384615384615</v>
      </c>
    </row>
    <row r="25" spans="1:12" hidden="1">
      <c r="A25" s="931">
        <v>1</v>
      </c>
      <c r="B25" s="1247">
        <v>46023</v>
      </c>
      <c r="C25" s="1249">
        <v>46026</v>
      </c>
      <c r="D25" s="935">
        <v>24</v>
      </c>
      <c r="E25" s="935" t="s">
        <v>690</v>
      </c>
      <c r="F25" s="935" t="s">
        <v>275</v>
      </c>
      <c r="G25" s="935">
        <v>5</v>
      </c>
      <c r="H25" s="935">
        <v>5</v>
      </c>
      <c r="I25" s="935" t="s">
        <v>670</v>
      </c>
      <c r="J25" s="936">
        <v>5.9090909090909101</v>
      </c>
      <c r="K25" s="936">
        <v>29.545454545454501</v>
      </c>
      <c r="L25" s="939">
        <v>0.96153846153846201</v>
      </c>
    </row>
    <row r="26" spans="1:12" hidden="1">
      <c r="A26" s="931">
        <v>1</v>
      </c>
      <c r="B26" s="1246">
        <v>46023</v>
      </c>
      <c r="C26" s="1248">
        <v>46026</v>
      </c>
      <c r="D26" s="933">
        <v>25</v>
      </c>
      <c r="E26" s="933" t="s">
        <v>691</v>
      </c>
      <c r="F26" s="933" t="s">
        <v>251</v>
      </c>
      <c r="G26" s="933">
        <v>5</v>
      </c>
      <c r="H26" s="933">
        <v>5</v>
      </c>
      <c r="I26" s="933" t="s">
        <v>670</v>
      </c>
      <c r="J26" s="934">
        <v>2.4090909090909101</v>
      </c>
      <c r="K26" s="934">
        <v>12.045454545454501</v>
      </c>
      <c r="L26" s="938">
        <v>0.96153846153846201</v>
      </c>
    </row>
    <row r="27" spans="1:12" hidden="1">
      <c r="A27" s="931">
        <v>1</v>
      </c>
      <c r="B27" s="1247">
        <v>46023</v>
      </c>
      <c r="C27" s="1249">
        <v>46026</v>
      </c>
      <c r="D27" s="935">
        <v>26</v>
      </c>
      <c r="E27" s="935" t="s">
        <v>692</v>
      </c>
      <c r="F27" s="935" t="s">
        <v>693</v>
      </c>
      <c r="G27" s="935">
        <v>5</v>
      </c>
      <c r="H27" s="935">
        <v>5</v>
      </c>
      <c r="I27" s="935" t="s">
        <v>670</v>
      </c>
      <c r="J27" s="936">
        <v>0</v>
      </c>
      <c r="K27" s="936">
        <v>0</v>
      </c>
      <c r="L27" s="939">
        <v>0.96153846153846201</v>
      </c>
    </row>
    <row r="28" spans="1:12" hidden="1">
      <c r="A28" s="931">
        <v>1</v>
      </c>
      <c r="B28" s="1246">
        <v>46023</v>
      </c>
      <c r="C28" s="1248">
        <v>46026</v>
      </c>
      <c r="D28" s="933">
        <v>27</v>
      </c>
      <c r="E28" s="933" t="s">
        <v>694</v>
      </c>
      <c r="F28" s="933" t="s">
        <v>695</v>
      </c>
      <c r="G28" s="933">
        <v>4</v>
      </c>
      <c r="H28" s="933">
        <v>4</v>
      </c>
      <c r="I28" s="933" t="s">
        <v>670</v>
      </c>
      <c r="J28" s="934">
        <v>3.5909090909090899</v>
      </c>
      <c r="K28" s="934">
        <v>14.363636363636401</v>
      </c>
      <c r="L28" s="938">
        <v>0.76923076923076905</v>
      </c>
    </row>
    <row r="29" spans="1:12" hidden="1">
      <c r="A29" s="931">
        <v>1</v>
      </c>
      <c r="B29" s="1247">
        <v>46023</v>
      </c>
      <c r="C29" s="1249">
        <v>46026</v>
      </c>
      <c r="D29" s="935">
        <v>28</v>
      </c>
      <c r="E29" s="935" t="s">
        <v>696</v>
      </c>
      <c r="F29" s="935" t="s">
        <v>323</v>
      </c>
      <c r="G29" s="935">
        <v>4</v>
      </c>
      <c r="H29" s="935">
        <v>4</v>
      </c>
      <c r="I29" s="935" t="s">
        <v>670</v>
      </c>
      <c r="J29" s="936">
        <v>10.818181818181801</v>
      </c>
      <c r="K29" s="936">
        <v>43.272727272727302</v>
      </c>
      <c r="L29" s="939">
        <v>0.76923076923076905</v>
      </c>
    </row>
    <row r="30" spans="1:12" hidden="1">
      <c r="A30" s="931">
        <v>1</v>
      </c>
      <c r="B30" s="1246">
        <v>46023</v>
      </c>
      <c r="C30" s="1248">
        <v>46026</v>
      </c>
      <c r="D30" s="933">
        <v>29</v>
      </c>
      <c r="E30" s="933" t="s">
        <v>697</v>
      </c>
      <c r="F30" s="933" t="s">
        <v>256</v>
      </c>
      <c r="G30" s="933">
        <v>4</v>
      </c>
      <c r="H30" s="933">
        <v>4</v>
      </c>
      <c r="I30" s="933" t="s">
        <v>670</v>
      </c>
      <c r="J30" s="934">
        <v>9.8181818181818201</v>
      </c>
      <c r="K30" s="934">
        <v>39.272727272727302</v>
      </c>
      <c r="L30" s="938">
        <v>0.76923076923076905</v>
      </c>
    </row>
    <row r="31" spans="1:12" hidden="1">
      <c r="A31" s="931">
        <v>1</v>
      </c>
      <c r="B31" s="1247">
        <v>46023</v>
      </c>
      <c r="C31" s="1249">
        <v>46026</v>
      </c>
      <c r="D31" s="935">
        <v>30</v>
      </c>
      <c r="E31" s="935" t="s">
        <v>698</v>
      </c>
      <c r="F31" s="935" t="s">
        <v>249</v>
      </c>
      <c r="G31" s="935">
        <v>4</v>
      </c>
      <c r="H31" s="935">
        <v>4</v>
      </c>
      <c r="I31" s="935" t="s">
        <v>670</v>
      </c>
      <c r="J31" s="936">
        <v>2.3181818181818201</v>
      </c>
      <c r="K31" s="936">
        <v>9.2727272727272698</v>
      </c>
      <c r="L31" s="939">
        <v>0.76923076923076905</v>
      </c>
    </row>
    <row r="32" spans="1:12" hidden="1">
      <c r="A32" s="931">
        <v>1</v>
      </c>
      <c r="B32" s="1246">
        <v>46023</v>
      </c>
      <c r="C32" s="1248">
        <v>46026</v>
      </c>
      <c r="D32" s="933">
        <v>31</v>
      </c>
      <c r="E32" s="933" t="s">
        <v>699</v>
      </c>
      <c r="F32" s="933" t="s">
        <v>249</v>
      </c>
      <c r="G32" s="933">
        <v>4</v>
      </c>
      <c r="H32" s="933">
        <v>4</v>
      </c>
      <c r="I32" s="933" t="s">
        <v>670</v>
      </c>
      <c r="J32" s="934">
        <v>0</v>
      </c>
      <c r="K32" s="934">
        <v>0</v>
      </c>
      <c r="L32" s="938">
        <v>0.76923076923076905</v>
      </c>
    </row>
    <row r="33" spans="1:12" hidden="1">
      <c r="A33" s="931">
        <v>1</v>
      </c>
      <c r="B33" s="1247">
        <v>46023</v>
      </c>
      <c r="C33" s="1249">
        <v>46026</v>
      </c>
      <c r="D33" s="935">
        <v>32</v>
      </c>
      <c r="E33" s="935" t="s">
        <v>700</v>
      </c>
      <c r="F33" s="935" t="s">
        <v>274</v>
      </c>
      <c r="G33" s="935">
        <v>4</v>
      </c>
      <c r="H33" s="935">
        <v>4</v>
      </c>
      <c r="I33" s="935" t="s">
        <v>670</v>
      </c>
      <c r="J33" s="936">
        <v>6.75</v>
      </c>
      <c r="K33" s="936">
        <v>27</v>
      </c>
      <c r="L33" s="939">
        <v>0.76923076923076905</v>
      </c>
    </row>
    <row r="34" spans="1:12" hidden="1">
      <c r="A34" s="931">
        <v>1</v>
      </c>
      <c r="B34" s="1246">
        <v>46023</v>
      </c>
      <c r="C34" s="1248">
        <v>46026</v>
      </c>
      <c r="D34" s="933">
        <v>33</v>
      </c>
      <c r="E34" s="933" t="s">
        <v>701</v>
      </c>
      <c r="F34" s="933" t="s">
        <v>689</v>
      </c>
      <c r="G34" s="933">
        <v>4</v>
      </c>
      <c r="H34" s="933">
        <v>4</v>
      </c>
      <c r="I34" s="933" t="s">
        <v>670</v>
      </c>
      <c r="J34" s="934">
        <v>9.9090909090909101</v>
      </c>
      <c r="K34" s="934">
        <v>39.636363636363598</v>
      </c>
      <c r="L34" s="938">
        <v>0.76923076923076905</v>
      </c>
    </row>
    <row r="35" spans="1:12" hidden="1">
      <c r="A35" s="931">
        <v>1</v>
      </c>
      <c r="B35" s="1247">
        <v>46023</v>
      </c>
      <c r="C35" s="1249">
        <v>46026</v>
      </c>
      <c r="D35" s="935">
        <v>34</v>
      </c>
      <c r="E35" s="935" t="s">
        <v>702</v>
      </c>
      <c r="F35" s="935" t="s">
        <v>251</v>
      </c>
      <c r="G35" s="935">
        <v>4</v>
      </c>
      <c r="H35" s="935">
        <v>4</v>
      </c>
      <c r="I35" s="935" t="s">
        <v>670</v>
      </c>
      <c r="J35" s="936">
        <v>2.4772727272727302</v>
      </c>
      <c r="K35" s="936">
        <v>9.9090909090909101</v>
      </c>
      <c r="L35" s="939">
        <v>0.76923076923076905</v>
      </c>
    </row>
    <row r="36" spans="1:12" hidden="1">
      <c r="A36" s="931">
        <v>1</v>
      </c>
      <c r="B36" s="1246">
        <v>46023</v>
      </c>
      <c r="C36" s="1248">
        <v>46026</v>
      </c>
      <c r="D36" s="933">
        <v>35</v>
      </c>
      <c r="E36" s="933" t="s">
        <v>254</v>
      </c>
      <c r="F36" s="933" t="s">
        <v>254</v>
      </c>
      <c r="G36" s="933">
        <v>4</v>
      </c>
      <c r="H36" s="933">
        <v>4</v>
      </c>
      <c r="I36" s="933" t="s">
        <v>670</v>
      </c>
      <c r="J36" s="934">
        <v>13.545454545454501</v>
      </c>
      <c r="K36" s="934">
        <v>54.181818181818201</v>
      </c>
      <c r="L36" s="938">
        <v>0.76923076923076905</v>
      </c>
    </row>
    <row r="37" spans="1:12" hidden="1">
      <c r="A37" s="931">
        <v>1</v>
      </c>
      <c r="B37" s="1247">
        <v>46023</v>
      </c>
      <c r="C37" s="1249">
        <v>46026</v>
      </c>
      <c r="D37" s="935">
        <v>36</v>
      </c>
      <c r="E37" s="935" t="s">
        <v>703</v>
      </c>
      <c r="F37" s="935" t="s">
        <v>256</v>
      </c>
      <c r="G37" s="935">
        <v>4</v>
      </c>
      <c r="H37" s="935">
        <v>4</v>
      </c>
      <c r="I37" s="935" t="s">
        <v>670</v>
      </c>
      <c r="J37" s="936">
        <v>1.98863636363636</v>
      </c>
      <c r="K37" s="936">
        <v>7.9545454545454604</v>
      </c>
      <c r="L37" s="939">
        <v>0.76923076923076905</v>
      </c>
    </row>
    <row r="38" spans="1:12" hidden="1">
      <c r="A38" s="931">
        <v>1</v>
      </c>
      <c r="B38" s="1246">
        <v>46023</v>
      </c>
      <c r="C38" s="1248">
        <v>46026</v>
      </c>
      <c r="D38" s="933">
        <v>37</v>
      </c>
      <c r="E38" s="933" t="s">
        <v>704</v>
      </c>
      <c r="F38" s="933" t="s">
        <v>689</v>
      </c>
      <c r="G38" s="933">
        <v>4</v>
      </c>
      <c r="H38" s="933">
        <v>4</v>
      </c>
      <c r="I38" s="933" t="s">
        <v>670</v>
      </c>
      <c r="J38" s="934">
        <v>11.7272727272727</v>
      </c>
      <c r="K38" s="934">
        <v>46.909090909090899</v>
      </c>
      <c r="L38" s="938">
        <v>0.76923076923076905</v>
      </c>
    </row>
    <row r="39" spans="1:12" hidden="1">
      <c r="A39" s="931">
        <v>1</v>
      </c>
      <c r="B39" s="1247">
        <v>46023</v>
      </c>
      <c r="C39" s="1249">
        <v>46026</v>
      </c>
      <c r="D39" s="935">
        <v>38</v>
      </c>
      <c r="E39" s="935" t="s">
        <v>705</v>
      </c>
      <c r="F39" s="935" t="s">
        <v>274</v>
      </c>
      <c r="G39" s="935">
        <v>3</v>
      </c>
      <c r="H39" s="935">
        <v>3</v>
      </c>
      <c r="I39" s="935" t="s">
        <v>670</v>
      </c>
      <c r="J39" s="936">
        <v>9</v>
      </c>
      <c r="K39" s="936">
        <v>27</v>
      </c>
      <c r="L39" s="939">
        <v>0.57692307692307698</v>
      </c>
    </row>
    <row r="40" spans="1:12" hidden="1">
      <c r="A40" s="931">
        <v>1</v>
      </c>
      <c r="B40" s="1246">
        <v>46023</v>
      </c>
      <c r="C40" s="1248">
        <v>46026</v>
      </c>
      <c r="D40" s="933">
        <v>39</v>
      </c>
      <c r="E40" s="933" t="s">
        <v>706</v>
      </c>
      <c r="F40" s="933" t="s">
        <v>256</v>
      </c>
      <c r="G40" s="933">
        <v>3</v>
      </c>
      <c r="H40" s="933">
        <v>3</v>
      </c>
      <c r="I40" s="933" t="s">
        <v>670</v>
      </c>
      <c r="J40" s="934">
        <v>12.636363636363599</v>
      </c>
      <c r="K40" s="934">
        <v>37.909090909090899</v>
      </c>
      <c r="L40" s="938">
        <v>0.57692307692307698</v>
      </c>
    </row>
    <row r="41" spans="1:12" hidden="1">
      <c r="A41" s="931">
        <v>1</v>
      </c>
      <c r="B41" s="1247">
        <v>46023</v>
      </c>
      <c r="C41" s="1249">
        <v>46026</v>
      </c>
      <c r="D41" s="935">
        <v>40</v>
      </c>
      <c r="E41" s="935" t="s">
        <v>707</v>
      </c>
      <c r="F41" s="935" t="s">
        <v>256</v>
      </c>
      <c r="G41" s="935">
        <v>3</v>
      </c>
      <c r="H41" s="935">
        <v>3</v>
      </c>
      <c r="I41" s="935" t="s">
        <v>670</v>
      </c>
      <c r="J41" s="936">
        <v>8.4090909090909101</v>
      </c>
      <c r="K41" s="936">
        <v>25.227272727272702</v>
      </c>
      <c r="L41" s="939">
        <v>0.57692307692307698</v>
      </c>
    </row>
    <row r="42" spans="1:12" hidden="1">
      <c r="A42" s="931">
        <v>1</v>
      </c>
      <c r="B42" s="1246">
        <v>46023</v>
      </c>
      <c r="C42" s="1248">
        <v>46026</v>
      </c>
      <c r="D42" s="933">
        <v>41</v>
      </c>
      <c r="E42" s="933" t="s">
        <v>708</v>
      </c>
      <c r="F42" s="933" t="s">
        <v>251</v>
      </c>
      <c r="G42" s="933">
        <v>3</v>
      </c>
      <c r="H42" s="933">
        <v>3</v>
      </c>
      <c r="I42" s="933" t="s">
        <v>670</v>
      </c>
      <c r="J42" s="934">
        <v>1.77272727272727</v>
      </c>
      <c r="K42" s="934">
        <v>5.3181818181818201</v>
      </c>
      <c r="L42" s="938">
        <v>0.57692307692307698</v>
      </c>
    </row>
    <row r="43" spans="1:12" hidden="1">
      <c r="A43" s="931">
        <v>1</v>
      </c>
      <c r="B43" s="1247">
        <v>46023</v>
      </c>
      <c r="C43" s="1249">
        <v>46026</v>
      </c>
      <c r="D43" s="935">
        <v>42</v>
      </c>
      <c r="E43" s="935" t="s">
        <v>709</v>
      </c>
      <c r="F43" s="935" t="s">
        <v>276</v>
      </c>
      <c r="G43" s="935">
        <v>3</v>
      </c>
      <c r="H43" s="935">
        <v>3</v>
      </c>
      <c r="I43" s="935" t="s">
        <v>672</v>
      </c>
      <c r="J43" s="936">
        <v>3.2272727272727302</v>
      </c>
      <c r="K43" s="936">
        <v>9.6818181818181799</v>
      </c>
      <c r="L43" s="939">
        <v>0.57692307692307698</v>
      </c>
    </row>
    <row r="44" spans="1:12" hidden="1">
      <c r="A44" s="931">
        <v>1</v>
      </c>
      <c r="B44" s="1246">
        <v>46023</v>
      </c>
      <c r="C44" s="1248">
        <v>46026</v>
      </c>
      <c r="D44" s="933">
        <v>43</v>
      </c>
      <c r="E44" s="933" t="s">
        <v>710</v>
      </c>
      <c r="F44" s="933" t="s">
        <v>249</v>
      </c>
      <c r="G44" s="933">
        <v>2</v>
      </c>
      <c r="H44" s="933">
        <v>2</v>
      </c>
      <c r="I44" s="933" t="s">
        <v>670</v>
      </c>
      <c r="J44" s="934">
        <v>2.4090909090909101</v>
      </c>
      <c r="K44" s="934">
        <v>4.8181818181818201</v>
      </c>
      <c r="L44" s="938">
        <v>0.38461538461538503</v>
      </c>
    </row>
    <row r="45" spans="1:12" hidden="1">
      <c r="A45" s="931">
        <v>1</v>
      </c>
      <c r="B45" s="1247">
        <v>46023</v>
      </c>
      <c r="C45" s="1249">
        <v>46026</v>
      </c>
      <c r="D45" s="935">
        <v>44</v>
      </c>
      <c r="E45" s="935" t="s">
        <v>711</v>
      </c>
      <c r="F45" s="935" t="s">
        <v>251</v>
      </c>
      <c r="G45" s="935">
        <v>2</v>
      </c>
      <c r="H45" s="935">
        <v>2</v>
      </c>
      <c r="I45" s="935" t="s">
        <v>670</v>
      </c>
      <c r="J45" s="936">
        <v>0</v>
      </c>
      <c r="K45" s="936">
        <v>0</v>
      </c>
      <c r="L45" s="939">
        <v>0.38461538461538503</v>
      </c>
    </row>
    <row r="46" spans="1:12" hidden="1">
      <c r="A46" s="931">
        <v>1</v>
      </c>
      <c r="B46" s="1246">
        <v>46023</v>
      </c>
      <c r="C46" s="1248">
        <v>46026</v>
      </c>
      <c r="D46" s="933">
        <v>45</v>
      </c>
      <c r="E46" s="933" t="s">
        <v>712</v>
      </c>
      <c r="F46" s="933" t="s">
        <v>713</v>
      </c>
      <c r="G46" s="933">
        <v>2</v>
      </c>
      <c r="H46" s="933">
        <v>2</v>
      </c>
      <c r="I46" s="933" t="s">
        <v>670</v>
      </c>
      <c r="J46" s="934">
        <v>3.1818181818181799</v>
      </c>
      <c r="K46" s="934">
        <v>6.3636363636363598</v>
      </c>
      <c r="L46" s="938">
        <v>0.38461538461538503</v>
      </c>
    </row>
    <row r="47" spans="1:12" hidden="1">
      <c r="A47" s="931">
        <v>1</v>
      </c>
      <c r="B47" s="1247">
        <v>46023</v>
      </c>
      <c r="C47" s="1249">
        <v>46026</v>
      </c>
      <c r="D47" s="935">
        <v>46</v>
      </c>
      <c r="E47" s="935" t="s">
        <v>714</v>
      </c>
      <c r="F47" s="935" t="s">
        <v>251</v>
      </c>
      <c r="G47" s="935">
        <v>2</v>
      </c>
      <c r="H47" s="935">
        <v>2</v>
      </c>
      <c r="I47" s="935" t="s">
        <v>670</v>
      </c>
      <c r="J47" s="936">
        <v>0.70454545454545403</v>
      </c>
      <c r="K47" s="936">
        <v>1.4090909090909101</v>
      </c>
      <c r="L47" s="939">
        <v>0.38461538461538503</v>
      </c>
    </row>
    <row r="48" spans="1:12" hidden="1">
      <c r="A48" s="931">
        <v>1</v>
      </c>
      <c r="B48" s="1246">
        <v>46023</v>
      </c>
      <c r="C48" s="1248">
        <v>46026</v>
      </c>
      <c r="D48" s="933">
        <v>47</v>
      </c>
      <c r="E48" s="933" t="s">
        <v>715</v>
      </c>
      <c r="F48" s="933" t="s">
        <v>693</v>
      </c>
      <c r="G48" s="933">
        <v>2</v>
      </c>
      <c r="H48" s="933">
        <v>2</v>
      </c>
      <c r="I48" s="933" t="s">
        <v>670</v>
      </c>
      <c r="J48" s="934">
        <v>0</v>
      </c>
      <c r="K48" s="934">
        <v>0</v>
      </c>
      <c r="L48" s="938">
        <v>0.38461538461538503</v>
      </c>
    </row>
    <row r="49" spans="1:12" hidden="1">
      <c r="A49" s="931">
        <v>1</v>
      </c>
      <c r="B49" s="1247">
        <v>46023</v>
      </c>
      <c r="C49" s="1249">
        <v>46026</v>
      </c>
      <c r="D49" s="935">
        <v>48</v>
      </c>
      <c r="E49" s="935" t="s">
        <v>716</v>
      </c>
      <c r="F49" s="935" t="s">
        <v>251</v>
      </c>
      <c r="G49" s="935">
        <v>2</v>
      </c>
      <c r="H49" s="935">
        <v>2</v>
      </c>
      <c r="I49" s="935" t="s">
        <v>670</v>
      </c>
      <c r="J49" s="936">
        <v>0</v>
      </c>
      <c r="K49" s="936">
        <v>0</v>
      </c>
      <c r="L49" s="939">
        <v>0.38461538461538503</v>
      </c>
    </row>
    <row r="50" spans="1:12" hidden="1">
      <c r="A50" s="931">
        <v>1</v>
      </c>
      <c r="B50" s="1246">
        <v>46023</v>
      </c>
      <c r="C50" s="1248">
        <v>46026</v>
      </c>
      <c r="D50" s="933">
        <v>49</v>
      </c>
      <c r="E50" s="933" t="s">
        <v>717</v>
      </c>
      <c r="F50" s="933" t="s">
        <v>249</v>
      </c>
      <c r="G50" s="933">
        <v>2</v>
      </c>
      <c r="H50" s="933">
        <v>2</v>
      </c>
      <c r="I50" s="933" t="s">
        <v>670</v>
      </c>
      <c r="J50" s="934">
        <v>1.86363636363636</v>
      </c>
      <c r="K50" s="934">
        <v>3.7272727272727302</v>
      </c>
      <c r="L50" s="938">
        <v>0.38461538461538503</v>
      </c>
    </row>
    <row r="51" spans="1:12" hidden="1">
      <c r="A51" s="931">
        <v>1</v>
      </c>
      <c r="B51" s="1247">
        <v>46023</v>
      </c>
      <c r="C51" s="1249">
        <v>46026</v>
      </c>
      <c r="D51" s="935">
        <v>50</v>
      </c>
      <c r="E51" s="935" t="s">
        <v>718</v>
      </c>
      <c r="F51" s="935" t="s">
        <v>275</v>
      </c>
      <c r="G51" s="935">
        <v>2</v>
      </c>
      <c r="H51" s="935">
        <v>2</v>
      </c>
      <c r="I51" s="935" t="s">
        <v>672</v>
      </c>
      <c r="J51" s="936">
        <v>5.2272727272727302</v>
      </c>
      <c r="K51" s="936">
        <v>10.4545454545454</v>
      </c>
      <c r="L51" s="939">
        <v>0.38461538461538503</v>
      </c>
    </row>
    <row r="52" spans="1:12" hidden="1">
      <c r="A52" s="931">
        <v>1</v>
      </c>
      <c r="B52" s="1246">
        <v>46023</v>
      </c>
      <c r="C52" s="1248">
        <v>46026</v>
      </c>
      <c r="D52" s="933">
        <v>51</v>
      </c>
      <c r="E52" s="933" t="s">
        <v>719</v>
      </c>
      <c r="F52" s="933" t="s">
        <v>689</v>
      </c>
      <c r="G52" s="933">
        <v>2</v>
      </c>
      <c r="H52" s="933">
        <v>2</v>
      </c>
      <c r="I52" s="933" t="s">
        <v>670</v>
      </c>
      <c r="J52" s="934">
        <v>11.7272727272727</v>
      </c>
      <c r="K52" s="934">
        <v>23.4545454545454</v>
      </c>
      <c r="L52" s="938">
        <v>0.38461538461538503</v>
      </c>
    </row>
    <row r="53" spans="1:12" hidden="1">
      <c r="A53" s="931">
        <v>1</v>
      </c>
      <c r="B53" s="1247">
        <v>46023</v>
      </c>
      <c r="C53" s="1249">
        <v>46026</v>
      </c>
      <c r="D53" s="935">
        <v>52</v>
      </c>
      <c r="E53" s="935" t="s">
        <v>720</v>
      </c>
      <c r="F53" s="935" t="s">
        <v>251</v>
      </c>
      <c r="G53" s="935">
        <v>2</v>
      </c>
      <c r="H53" s="935">
        <v>2</v>
      </c>
      <c r="I53" s="935" t="s">
        <v>670</v>
      </c>
      <c r="J53" s="936">
        <v>2.4090909090909101</v>
      </c>
      <c r="K53" s="936">
        <v>4.8181818181818201</v>
      </c>
      <c r="L53" s="939">
        <v>0.38461538461538503</v>
      </c>
    </row>
    <row r="54" spans="1:12" hidden="1">
      <c r="A54" s="931">
        <v>1</v>
      </c>
      <c r="B54" s="1246">
        <v>46023</v>
      </c>
      <c r="C54" s="1248">
        <v>46026</v>
      </c>
      <c r="D54" s="933">
        <v>53</v>
      </c>
      <c r="E54" s="933" t="s">
        <v>721</v>
      </c>
      <c r="F54" s="933" t="s">
        <v>256</v>
      </c>
      <c r="G54" s="933">
        <v>2</v>
      </c>
      <c r="H54" s="933">
        <v>2</v>
      </c>
      <c r="I54" s="933" t="s">
        <v>670</v>
      </c>
      <c r="J54" s="934">
        <v>10.4545454545454</v>
      </c>
      <c r="K54" s="934">
        <v>20.909090909090899</v>
      </c>
      <c r="L54" s="938">
        <v>0.38461538461538503</v>
      </c>
    </row>
    <row r="55" spans="1:12" hidden="1">
      <c r="A55" s="931">
        <v>1</v>
      </c>
      <c r="B55" s="1247">
        <v>46023</v>
      </c>
      <c r="C55" s="1249">
        <v>46026</v>
      </c>
      <c r="D55" s="935">
        <v>54</v>
      </c>
      <c r="E55" s="935" t="s">
        <v>722</v>
      </c>
      <c r="F55" s="935" t="s">
        <v>251</v>
      </c>
      <c r="G55" s="935">
        <v>2</v>
      </c>
      <c r="H55" s="935">
        <v>2</v>
      </c>
      <c r="I55" s="935" t="s">
        <v>670</v>
      </c>
      <c r="J55" s="936">
        <v>2.4090909090909101</v>
      </c>
      <c r="K55" s="936">
        <v>4.8181818181818201</v>
      </c>
      <c r="L55" s="939">
        <v>0.38461538461538503</v>
      </c>
    </row>
    <row r="56" spans="1:12" hidden="1">
      <c r="A56" s="931">
        <v>1</v>
      </c>
      <c r="B56" s="1246">
        <v>46023</v>
      </c>
      <c r="C56" s="1248">
        <v>46026</v>
      </c>
      <c r="D56" s="933">
        <v>55</v>
      </c>
      <c r="E56" s="933" t="s">
        <v>723</v>
      </c>
      <c r="F56" s="933" t="s">
        <v>713</v>
      </c>
      <c r="G56" s="933">
        <v>2</v>
      </c>
      <c r="H56" s="933">
        <v>2</v>
      </c>
      <c r="I56" s="933" t="s">
        <v>670</v>
      </c>
      <c r="J56" s="934">
        <v>2.8181818181818201</v>
      </c>
      <c r="K56" s="934">
        <v>5.6363636363636402</v>
      </c>
      <c r="L56" s="938">
        <v>0.38461538461538503</v>
      </c>
    </row>
    <row r="57" spans="1:12" hidden="1">
      <c r="A57" s="931">
        <v>1</v>
      </c>
      <c r="B57" s="1247">
        <v>46023</v>
      </c>
      <c r="C57" s="1249">
        <v>46026</v>
      </c>
      <c r="D57" s="935">
        <v>56</v>
      </c>
      <c r="E57" s="935" t="s">
        <v>724</v>
      </c>
      <c r="F57" s="935" t="s">
        <v>725</v>
      </c>
      <c r="G57" s="935">
        <v>1</v>
      </c>
      <c r="H57" s="935">
        <v>1</v>
      </c>
      <c r="I57" s="935" t="s">
        <v>672</v>
      </c>
      <c r="J57" s="936">
        <v>2.7272727272727302</v>
      </c>
      <c r="K57" s="936">
        <v>2.7272727272727302</v>
      </c>
      <c r="L57" s="939">
        <v>0.19230769230769201</v>
      </c>
    </row>
    <row r="58" spans="1:12" hidden="1">
      <c r="A58" s="931">
        <v>1</v>
      </c>
      <c r="B58" s="1246">
        <v>46023</v>
      </c>
      <c r="C58" s="1248">
        <v>46026</v>
      </c>
      <c r="D58" s="933">
        <v>57</v>
      </c>
      <c r="E58" s="933" t="s">
        <v>726</v>
      </c>
      <c r="F58" s="933" t="s">
        <v>323</v>
      </c>
      <c r="G58" s="933">
        <v>1</v>
      </c>
      <c r="H58" s="933">
        <v>1</v>
      </c>
      <c r="I58" s="933" t="s">
        <v>670</v>
      </c>
      <c r="J58" s="934">
        <v>11.5</v>
      </c>
      <c r="K58" s="934">
        <v>11.5</v>
      </c>
      <c r="L58" s="938">
        <v>0.19230769230769201</v>
      </c>
    </row>
    <row r="59" spans="1:12" hidden="1">
      <c r="A59" s="931">
        <v>1</v>
      </c>
      <c r="B59" s="1247">
        <v>46023</v>
      </c>
      <c r="C59" s="1249">
        <v>46026</v>
      </c>
      <c r="D59" s="935">
        <v>58</v>
      </c>
      <c r="E59" s="935" t="s">
        <v>727</v>
      </c>
      <c r="F59" s="935" t="s">
        <v>275</v>
      </c>
      <c r="G59" s="935">
        <v>1</v>
      </c>
      <c r="H59" s="935">
        <v>1</v>
      </c>
      <c r="I59" s="935" t="s">
        <v>670</v>
      </c>
      <c r="J59" s="936">
        <v>0</v>
      </c>
      <c r="K59" s="936">
        <v>0</v>
      </c>
      <c r="L59" s="939">
        <v>0.19230769230769201</v>
      </c>
    </row>
    <row r="60" spans="1:12" hidden="1">
      <c r="A60" s="931">
        <v>1</v>
      </c>
      <c r="B60" s="1246">
        <v>46023</v>
      </c>
      <c r="C60" s="1248">
        <v>46026</v>
      </c>
      <c r="D60" s="933">
        <v>59</v>
      </c>
      <c r="E60" s="933" t="s">
        <v>728</v>
      </c>
      <c r="F60" s="933" t="s">
        <v>695</v>
      </c>
      <c r="G60" s="933">
        <v>1</v>
      </c>
      <c r="H60" s="933">
        <v>1</v>
      </c>
      <c r="I60" s="933" t="s">
        <v>670</v>
      </c>
      <c r="J60" s="934">
        <v>7.6363636363636402</v>
      </c>
      <c r="K60" s="934">
        <v>7.6363636363636402</v>
      </c>
      <c r="L60" s="938">
        <v>0.19230769230769201</v>
      </c>
    </row>
    <row r="61" spans="1:12" hidden="1">
      <c r="A61" s="931">
        <v>1</v>
      </c>
      <c r="B61" s="1247">
        <v>46023</v>
      </c>
      <c r="C61" s="1249">
        <v>46026</v>
      </c>
      <c r="D61" s="935">
        <v>60</v>
      </c>
      <c r="E61" s="935" t="s">
        <v>729</v>
      </c>
      <c r="F61" s="935" t="s">
        <v>730</v>
      </c>
      <c r="G61" s="935">
        <v>1</v>
      </c>
      <c r="H61" s="935">
        <v>1</v>
      </c>
      <c r="I61" s="935" t="s">
        <v>670</v>
      </c>
      <c r="J61" s="936">
        <v>10.7727272727273</v>
      </c>
      <c r="K61" s="936">
        <v>10.7727272727273</v>
      </c>
      <c r="L61" s="939">
        <v>0.19230769230769201</v>
      </c>
    </row>
    <row r="62" spans="1:12" hidden="1">
      <c r="A62" s="931">
        <v>1</v>
      </c>
      <c r="B62" s="1246">
        <v>46023</v>
      </c>
      <c r="C62" s="1248">
        <v>46026</v>
      </c>
      <c r="D62" s="933">
        <v>61</v>
      </c>
      <c r="E62" s="933" t="s">
        <v>731</v>
      </c>
      <c r="F62" s="933" t="s">
        <v>251</v>
      </c>
      <c r="G62" s="933">
        <v>1</v>
      </c>
      <c r="H62" s="933">
        <v>1</v>
      </c>
      <c r="I62" s="933" t="s">
        <v>670</v>
      </c>
      <c r="J62" s="934">
        <v>2.4090909090909101</v>
      </c>
      <c r="K62" s="934">
        <v>2.4090909090909101</v>
      </c>
      <c r="L62" s="938">
        <v>0.19230769230769201</v>
      </c>
    </row>
    <row r="63" spans="1:12" hidden="1">
      <c r="A63" s="931">
        <v>1</v>
      </c>
      <c r="B63" s="1247">
        <v>46023</v>
      </c>
      <c r="C63" s="1249">
        <v>46026</v>
      </c>
      <c r="D63" s="935">
        <v>62</v>
      </c>
      <c r="E63" s="935" t="s">
        <v>732</v>
      </c>
      <c r="F63" s="935" t="s">
        <v>695</v>
      </c>
      <c r="G63" s="935">
        <v>1</v>
      </c>
      <c r="H63" s="935">
        <v>1</v>
      </c>
      <c r="I63" s="935" t="s">
        <v>670</v>
      </c>
      <c r="J63" s="936">
        <v>8.0909090909090899</v>
      </c>
      <c r="K63" s="936">
        <v>8.0909090909090899</v>
      </c>
      <c r="L63" s="939">
        <v>0.19230769230769201</v>
      </c>
    </row>
    <row r="64" spans="1:12" hidden="1">
      <c r="A64" s="931">
        <v>1</v>
      </c>
      <c r="B64" s="1246">
        <v>46023</v>
      </c>
      <c r="C64" s="1248">
        <v>46026</v>
      </c>
      <c r="D64" s="933">
        <v>63</v>
      </c>
      <c r="E64" s="933" t="s">
        <v>733</v>
      </c>
      <c r="F64" s="933" t="s">
        <v>253</v>
      </c>
      <c r="G64" s="933">
        <v>1</v>
      </c>
      <c r="H64" s="933">
        <v>1</v>
      </c>
      <c r="I64" s="933" t="s">
        <v>670</v>
      </c>
      <c r="J64" s="934">
        <v>4.4090909090909101</v>
      </c>
      <c r="K64" s="934">
        <v>4.4090909090909101</v>
      </c>
      <c r="L64" s="938">
        <v>0.19230769230769201</v>
      </c>
    </row>
    <row r="65" spans="1:12" hidden="1">
      <c r="A65" s="931">
        <v>1</v>
      </c>
      <c r="B65" s="1247">
        <v>46023</v>
      </c>
      <c r="C65" s="1249">
        <v>46026</v>
      </c>
      <c r="D65" s="935">
        <v>64</v>
      </c>
      <c r="E65" s="935" t="s">
        <v>734</v>
      </c>
      <c r="F65" s="935" t="s">
        <v>695</v>
      </c>
      <c r="G65" s="935">
        <v>1</v>
      </c>
      <c r="H65" s="935">
        <v>1</v>
      </c>
      <c r="I65" s="935" t="s">
        <v>670</v>
      </c>
      <c r="J65" s="936">
        <v>18.090909090909101</v>
      </c>
      <c r="K65" s="936">
        <v>18.090909090909101</v>
      </c>
      <c r="L65" s="939">
        <v>0.19230769230769201</v>
      </c>
    </row>
    <row r="66" spans="1:12" hidden="1">
      <c r="A66" s="931">
        <v>1</v>
      </c>
      <c r="B66" s="1246">
        <v>46023</v>
      </c>
      <c r="C66" s="1248">
        <v>46026</v>
      </c>
      <c r="D66" s="933">
        <v>65</v>
      </c>
      <c r="E66" s="933" t="s">
        <v>735</v>
      </c>
      <c r="F66" s="933" t="s">
        <v>730</v>
      </c>
      <c r="G66" s="933">
        <v>1</v>
      </c>
      <c r="H66" s="933">
        <v>1</v>
      </c>
      <c r="I66" s="933" t="s">
        <v>670</v>
      </c>
      <c r="J66" s="934">
        <v>2.8181818181818201</v>
      </c>
      <c r="K66" s="934">
        <v>2.8181818181818201</v>
      </c>
      <c r="L66" s="938">
        <v>0.19230769230769201</v>
      </c>
    </row>
    <row r="67" spans="1:12" hidden="1">
      <c r="A67" s="931">
        <v>1</v>
      </c>
      <c r="B67" s="1247">
        <v>46023</v>
      </c>
      <c r="C67" s="1249">
        <v>46026</v>
      </c>
      <c r="D67" s="935">
        <v>66</v>
      </c>
      <c r="E67" s="935" t="s">
        <v>736</v>
      </c>
      <c r="F67" s="935" t="s">
        <v>251</v>
      </c>
      <c r="G67" s="935">
        <v>1</v>
      </c>
      <c r="H67" s="935">
        <v>1</v>
      </c>
      <c r="I67" s="935" t="s">
        <v>670</v>
      </c>
      <c r="J67" s="936">
        <v>2.1363636363636398</v>
      </c>
      <c r="K67" s="936">
        <v>2.1363636363636398</v>
      </c>
      <c r="L67" s="939">
        <v>0.19230769230769201</v>
      </c>
    </row>
    <row r="68" spans="1:12" hidden="1">
      <c r="A68" s="931">
        <v>1</v>
      </c>
      <c r="B68" s="1246">
        <v>46023</v>
      </c>
      <c r="C68" s="1248">
        <v>46026</v>
      </c>
      <c r="D68" s="933">
        <v>67</v>
      </c>
      <c r="E68" s="933" t="s">
        <v>737</v>
      </c>
      <c r="F68" s="933" t="s">
        <v>249</v>
      </c>
      <c r="G68" s="933">
        <v>1</v>
      </c>
      <c r="H68" s="933">
        <v>1</v>
      </c>
      <c r="I68" s="933" t="s">
        <v>670</v>
      </c>
      <c r="J68" s="934">
        <v>1.6818181818181801</v>
      </c>
      <c r="K68" s="934">
        <v>1.6818181818181801</v>
      </c>
      <c r="L68" s="938">
        <v>0.19230769230769201</v>
      </c>
    </row>
    <row r="69" spans="1:12" hidden="1">
      <c r="A69" s="931">
        <v>1</v>
      </c>
      <c r="B69" s="1247">
        <v>46023</v>
      </c>
      <c r="C69" s="1249">
        <v>46026</v>
      </c>
      <c r="D69" s="935">
        <v>68</v>
      </c>
      <c r="E69" s="935" t="s">
        <v>738</v>
      </c>
      <c r="F69" s="935" t="s">
        <v>256</v>
      </c>
      <c r="G69" s="935">
        <v>1</v>
      </c>
      <c r="H69" s="935">
        <v>1</v>
      </c>
      <c r="I69" s="935" t="s">
        <v>670</v>
      </c>
      <c r="J69" s="936">
        <v>6.8181818181818201</v>
      </c>
      <c r="K69" s="936">
        <v>6.8181818181818201</v>
      </c>
      <c r="L69" s="939">
        <v>0.19230769230769201</v>
      </c>
    </row>
    <row r="70" spans="1:12" hidden="1">
      <c r="A70" s="931">
        <v>1</v>
      </c>
      <c r="B70" s="1246">
        <v>46023</v>
      </c>
      <c r="C70" s="1248">
        <v>46026</v>
      </c>
      <c r="D70" s="933">
        <v>69</v>
      </c>
      <c r="E70" s="933" t="s">
        <v>739</v>
      </c>
      <c r="F70" s="933" t="s">
        <v>730</v>
      </c>
      <c r="G70" s="933">
        <v>1</v>
      </c>
      <c r="H70" s="933">
        <v>1</v>
      </c>
      <c r="I70" s="933" t="s">
        <v>670</v>
      </c>
      <c r="J70" s="934">
        <v>5.3181818181818201</v>
      </c>
      <c r="K70" s="934">
        <v>5.3181818181818201</v>
      </c>
      <c r="L70" s="938">
        <v>0.19230769230769201</v>
      </c>
    </row>
    <row r="71" spans="1:12" hidden="1">
      <c r="A71" s="931">
        <v>1</v>
      </c>
      <c r="B71" s="1247">
        <v>46023</v>
      </c>
      <c r="C71" s="1249">
        <v>46026</v>
      </c>
      <c r="D71" s="935">
        <v>70</v>
      </c>
      <c r="E71" s="935" t="s">
        <v>740</v>
      </c>
      <c r="F71" s="935" t="s">
        <v>264</v>
      </c>
      <c r="G71" s="935">
        <v>1</v>
      </c>
      <c r="H71" s="935">
        <v>1</v>
      </c>
      <c r="I71" s="935" t="s">
        <v>741</v>
      </c>
      <c r="J71" s="936">
        <v>2.7272727272727302</v>
      </c>
      <c r="K71" s="936">
        <v>2.7272727272727302</v>
      </c>
      <c r="L71" s="939">
        <v>0.19230769230769201</v>
      </c>
    </row>
    <row r="72" spans="1:12" hidden="1">
      <c r="A72" s="931">
        <v>1</v>
      </c>
      <c r="B72" s="1246">
        <v>46023</v>
      </c>
      <c r="C72" s="1248">
        <v>46026</v>
      </c>
      <c r="D72" s="933">
        <v>71</v>
      </c>
      <c r="E72" s="933" t="s">
        <v>742</v>
      </c>
      <c r="F72" s="933" t="s">
        <v>251</v>
      </c>
      <c r="G72" s="933">
        <v>1</v>
      </c>
      <c r="H72" s="933">
        <v>1</v>
      </c>
      <c r="I72" s="933" t="s">
        <v>670</v>
      </c>
      <c r="J72" s="934">
        <v>2.5</v>
      </c>
      <c r="K72" s="934">
        <v>2.5</v>
      </c>
      <c r="L72" s="938">
        <v>0.19230769230769201</v>
      </c>
    </row>
    <row r="73" spans="1:12" hidden="1">
      <c r="A73" s="931">
        <v>1</v>
      </c>
      <c r="B73" s="1247">
        <v>46023</v>
      </c>
      <c r="C73" s="1249">
        <v>46026</v>
      </c>
      <c r="D73" s="935">
        <v>72</v>
      </c>
      <c r="E73" s="935" t="s">
        <v>743</v>
      </c>
      <c r="F73" s="935" t="s">
        <v>251</v>
      </c>
      <c r="G73" s="935">
        <v>1</v>
      </c>
      <c r="H73" s="935">
        <v>1</v>
      </c>
      <c r="I73" s="935" t="s">
        <v>670</v>
      </c>
      <c r="J73" s="936">
        <v>2.5454545454545401</v>
      </c>
      <c r="K73" s="936">
        <v>2.5454545454545401</v>
      </c>
      <c r="L73" s="939">
        <v>0.19230769230769201</v>
      </c>
    </row>
    <row r="74" spans="1:12" hidden="1">
      <c r="A74" s="931">
        <v>1</v>
      </c>
      <c r="B74" s="1246">
        <v>46023</v>
      </c>
      <c r="C74" s="1248">
        <v>46026</v>
      </c>
      <c r="D74" s="933">
        <v>73</v>
      </c>
      <c r="E74" s="933" t="s">
        <v>744</v>
      </c>
      <c r="F74" s="933" t="s">
        <v>253</v>
      </c>
      <c r="G74" s="933">
        <v>1</v>
      </c>
      <c r="H74" s="933">
        <v>1</v>
      </c>
      <c r="I74" s="933" t="s">
        <v>670</v>
      </c>
      <c r="J74" s="934">
        <v>3.5454545454545401</v>
      </c>
      <c r="K74" s="934">
        <v>3.5454545454545401</v>
      </c>
      <c r="L74" s="938">
        <v>0.19230769230769201</v>
      </c>
    </row>
    <row r="75" spans="1:12" hidden="1">
      <c r="A75" s="931">
        <v>1</v>
      </c>
      <c r="B75" s="1247">
        <v>46023</v>
      </c>
      <c r="C75" s="1249">
        <v>46026</v>
      </c>
      <c r="D75" s="935">
        <v>74</v>
      </c>
      <c r="E75" s="935" t="s">
        <v>745</v>
      </c>
      <c r="F75" s="935" t="s">
        <v>275</v>
      </c>
      <c r="G75" s="935">
        <v>1</v>
      </c>
      <c r="H75" s="935">
        <v>1</v>
      </c>
      <c r="I75" s="935" t="s">
        <v>670</v>
      </c>
      <c r="J75" s="936">
        <v>4.7727272727272698</v>
      </c>
      <c r="K75" s="936">
        <v>4.7727272727272698</v>
      </c>
      <c r="L75" s="939">
        <v>0.19230769230769201</v>
      </c>
    </row>
    <row r="76" spans="1:12" hidden="1">
      <c r="A76" s="931">
        <v>1</v>
      </c>
      <c r="B76" s="1246">
        <v>46023</v>
      </c>
      <c r="C76" s="1248">
        <v>46026</v>
      </c>
      <c r="D76" s="933">
        <v>75</v>
      </c>
      <c r="E76" s="933" t="s">
        <v>746</v>
      </c>
      <c r="F76" s="933" t="s">
        <v>251</v>
      </c>
      <c r="G76" s="933">
        <v>1</v>
      </c>
      <c r="H76" s="933">
        <v>1</v>
      </c>
      <c r="I76" s="933" t="s">
        <v>670</v>
      </c>
      <c r="J76" s="934">
        <v>2.1363636363636398</v>
      </c>
      <c r="K76" s="934">
        <v>2.1363636363636398</v>
      </c>
      <c r="L76" s="938">
        <v>0.19230769230769201</v>
      </c>
    </row>
    <row r="77" spans="1:12" hidden="1">
      <c r="A77" s="931">
        <v>1</v>
      </c>
      <c r="B77" s="1247">
        <v>46023</v>
      </c>
      <c r="C77" s="1249">
        <v>46026</v>
      </c>
      <c r="D77" s="935">
        <v>76</v>
      </c>
      <c r="E77" s="935" t="s">
        <v>747</v>
      </c>
      <c r="F77" s="935" t="s">
        <v>256</v>
      </c>
      <c r="G77" s="935">
        <v>1</v>
      </c>
      <c r="H77" s="935">
        <v>1</v>
      </c>
      <c r="I77" s="935" t="s">
        <v>670</v>
      </c>
      <c r="J77" s="936">
        <v>7.7272727272727302</v>
      </c>
      <c r="K77" s="936">
        <v>7.7272727272727302</v>
      </c>
      <c r="L77" s="939">
        <v>0.19230769230769201</v>
      </c>
    </row>
    <row r="78" spans="1:12" hidden="1">
      <c r="A78" s="931">
        <v>1</v>
      </c>
      <c r="B78" s="1246">
        <v>46023</v>
      </c>
      <c r="C78" s="1248">
        <v>46026</v>
      </c>
      <c r="D78" s="933">
        <v>77</v>
      </c>
      <c r="E78" s="933" t="s">
        <v>748</v>
      </c>
      <c r="F78" s="933" t="s">
        <v>274</v>
      </c>
      <c r="G78" s="933">
        <v>1</v>
      </c>
      <c r="H78" s="933">
        <v>1</v>
      </c>
      <c r="I78" s="933" t="s">
        <v>670</v>
      </c>
      <c r="J78" s="934">
        <v>9</v>
      </c>
      <c r="K78" s="934">
        <v>9</v>
      </c>
      <c r="L78" s="938">
        <v>0.19230769230769201</v>
      </c>
    </row>
    <row r="79" spans="1:12" hidden="1">
      <c r="A79" s="931">
        <v>2</v>
      </c>
      <c r="B79" s="1246">
        <v>46027</v>
      </c>
      <c r="C79" s="1248">
        <v>46033</v>
      </c>
      <c r="D79" s="933">
        <v>1</v>
      </c>
      <c r="E79" s="933" t="s">
        <v>259</v>
      </c>
      <c r="F79" s="933" t="s">
        <v>249</v>
      </c>
      <c r="G79" s="933">
        <v>54</v>
      </c>
      <c r="H79" s="933">
        <v>54</v>
      </c>
      <c r="I79" s="933" t="s">
        <v>670</v>
      </c>
      <c r="J79" s="934">
        <v>1.3434343434343401</v>
      </c>
      <c r="K79" s="934">
        <v>72.545454545454604</v>
      </c>
      <c r="L79" s="938">
        <v>8.5714285714285694</v>
      </c>
    </row>
    <row r="80" spans="1:12" hidden="1">
      <c r="A80" s="931">
        <v>2</v>
      </c>
      <c r="B80" s="1247">
        <v>46027</v>
      </c>
      <c r="C80" s="1249">
        <v>46033</v>
      </c>
      <c r="D80" s="935">
        <v>2</v>
      </c>
      <c r="E80" s="935" t="s">
        <v>248</v>
      </c>
      <c r="F80" s="935" t="s">
        <v>249</v>
      </c>
      <c r="G80" s="935">
        <v>50</v>
      </c>
      <c r="H80" s="935">
        <v>50</v>
      </c>
      <c r="I80" s="935" t="s">
        <v>670</v>
      </c>
      <c r="J80" s="936">
        <v>1.35</v>
      </c>
      <c r="K80" s="936">
        <v>67.5</v>
      </c>
      <c r="L80" s="939">
        <v>7.9365079365079403</v>
      </c>
    </row>
    <row r="81" spans="1:12" hidden="1">
      <c r="A81" s="931">
        <v>2</v>
      </c>
      <c r="B81" s="1246">
        <v>46027</v>
      </c>
      <c r="C81" s="1248">
        <v>46033</v>
      </c>
      <c r="D81" s="933">
        <v>3</v>
      </c>
      <c r="E81" s="933" t="s">
        <v>261</v>
      </c>
      <c r="F81" s="933" t="s">
        <v>256</v>
      </c>
      <c r="G81" s="933">
        <v>46</v>
      </c>
      <c r="H81" s="933">
        <v>46</v>
      </c>
      <c r="I81" s="933" t="s">
        <v>670</v>
      </c>
      <c r="J81" s="934">
        <v>2.64130434782609</v>
      </c>
      <c r="K81" s="934">
        <v>121.5</v>
      </c>
      <c r="L81" s="938">
        <v>7.3015873015872996</v>
      </c>
    </row>
    <row r="82" spans="1:12" hidden="1">
      <c r="A82" s="931">
        <v>2</v>
      </c>
      <c r="B82" s="1247">
        <v>46027</v>
      </c>
      <c r="C82" s="1249">
        <v>46033</v>
      </c>
      <c r="D82" s="935">
        <v>4</v>
      </c>
      <c r="E82" s="935" t="s">
        <v>250</v>
      </c>
      <c r="F82" s="935" t="s">
        <v>251</v>
      </c>
      <c r="G82" s="935">
        <v>46</v>
      </c>
      <c r="H82" s="935">
        <v>46</v>
      </c>
      <c r="I82" s="935" t="s">
        <v>670</v>
      </c>
      <c r="J82" s="936">
        <v>1.5711462450592899</v>
      </c>
      <c r="K82" s="936">
        <v>72.272727272727295</v>
      </c>
      <c r="L82" s="939">
        <v>7.3015873015872996</v>
      </c>
    </row>
    <row r="83" spans="1:12" hidden="1">
      <c r="A83" s="931">
        <v>2</v>
      </c>
      <c r="B83" s="1246">
        <v>46027</v>
      </c>
      <c r="C83" s="1248">
        <v>46033</v>
      </c>
      <c r="D83" s="933">
        <v>5</v>
      </c>
      <c r="E83" s="933" t="s">
        <v>255</v>
      </c>
      <c r="F83" s="933" t="s">
        <v>256</v>
      </c>
      <c r="G83" s="933">
        <v>27</v>
      </c>
      <c r="H83" s="933">
        <v>27</v>
      </c>
      <c r="I83" s="933" t="s">
        <v>670</v>
      </c>
      <c r="J83" s="934">
        <v>5.1262626262626299</v>
      </c>
      <c r="K83" s="934">
        <v>138.40909090909099</v>
      </c>
      <c r="L83" s="938">
        <v>4.28571428571429</v>
      </c>
    </row>
    <row r="84" spans="1:12" hidden="1">
      <c r="A84" s="931">
        <v>2</v>
      </c>
      <c r="B84" s="1247">
        <v>46027</v>
      </c>
      <c r="C84" s="1249">
        <v>46033</v>
      </c>
      <c r="D84" s="935">
        <v>6</v>
      </c>
      <c r="E84" s="935" t="s">
        <v>254</v>
      </c>
      <c r="F84" s="935" t="s">
        <v>254</v>
      </c>
      <c r="G84" s="935">
        <v>22</v>
      </c>
      <c r="H84" s="935">
        <v>22</v>
      </c>
      <c r="I84" s="935" t="s">
        <v>670</v>
      </c>
      <c r="J84" s="936">
        <v>13.545454545454501</v>
      </c>
      <c r="K84" s="936">
        <v>298</v>
      </c>
      <c r="L84" s="939">
        <v>3.4920634920634899</v>
      </c>
    </row>
    <row r="85" spans="1:12" hidden="1">
      <c r="A85" s="931">
        <v>2</v>
      </c>
      <c r="B85" s="1246">
        <v>46027</v>
      </c>
      <c r="C85" s="1248">
        <v>46033</v>
      </c>
      <c r="D85" s="933">
        <v>7</v>
      </c>
      <c r="E85" s="933" t="s">
        <v>679</v>
      </c>
      <c r="F85" s="933" t="s">
        <v>256</v>
      </c>
      <c r="G85" s="933">
        <v>16</v>
      </c>
      <c r="H85" s="933">
        <v>16</v>
      </c>
      <c r="I85" s="933" t="s">
        <v>670</v>
      </c>
      <c r="J85" s="934">
        <v>8.4971590909090899</v>
      </c>
      <c r="K85" s="934">
        <v>135.95454545454501</v>
      </c>
      <c r="L85" s="938">
        <v>2.53968253968254</v>
      </c>
    </row>
    <row r="86" spans="1:12" hidden="1">
      <c r="A86" s="931">
        <v>2</v>
      </c>
      <c r="B86" s="1247">
        <v>46027</v>
      </c>
      <c r="C86" s="1249">
        <v>46033</v>
      </c>
      <c r="D86" s="935">
        <v>8</v>
      </c>
      <c r="E86" s="935" t="s">
        <v>675</v>
      </c>
      <c r="F86" s="935" t="s">
        <v>256</v>
      </c>
      <c r="G86" s="935">
        <v>16</v>
      </c>
      <c r="H86" s="935">
        <v>16</v>
      </c>
      <c r="I86" s="935" t="s">
        <v>670</v>
      </c>
      <c r="J86" s="936">
        <v>4.7982954545454497</v>
      </c>
      <c r="K86" s="936">
        <v>76.772727272727295</v>
      </c>
      <c r="L86" s="939">
        <v>2.53968253968254</v>
      </c>
    </row>
    <row r="87" spans="1:12" hidden="1">
      <c r="A87" s="931">
        <v>2</v>
      </c>
      <c r="B87" s="1246">
        <v>46027</v>
      </c>
      <c r="C87" s="1248">
        <v>46033</v>
      </c>
      <c r="D87" s="933">
        <v>9</v>
      </c>
      <c r="E87" s="933" t="s">
        <v>673</v>
      </c>
      <c r="F87" s="933" t="s">
        <v>251</v>
      </c>
      <c r="G87" s="933">
        <v>16</v>
      </c>
      <c r="H87" s="933">
        <v>16</v>
      </c>
      <c r="I87" s="933" t="s">
        <v>670</v>
      </c>
      <c r="J87" s="934">
        <v>2.2642045454545401</v>
      </c>
      <c r="K87" s="934">
        <v>36.227272727272698</v>
      </c>
      <c r="L87" s="938">
        <v>2.53968253968254</v>
      </c>
    </row>
    <row r="88" spans="1:12" hidden="1">
      <c r="A88" s="931">
        <v>2</v>
      </c>
      <c r="B88" s="1247">
        <v>46027</v>
      </c>
      <c r="C88" s="1249">
        <v>46033</v>
      </c>
      <c r="D88" s="935">
        <v>10</v>
      </c>
      <c r="E88" s="935" t="s">
        <v>674</v>
      </c>
      <c r="F88" s="935" t="s">
        <v>275</v>
      </c>
      <c r="G88" s="935">
        <v>16</v>
      </c>
      <c r="H88" s="935">
        <v>16</v>
      </c>
      <c r="I88" s="935" t="s">
        <v>670</v>
      </c>
      <c r="J88" s="936">
        <v>5.2272727272727302</v>
      </c>
      <c r="K88" s="936">
        <v>83.636363636363598</v>
      </c>
      <c r="L88" s="939">
        <v>2.53968253968254</v>
      </c>
    </row>
    <row r="89" spans="1:12" hidden="1">
      <c r="A89" s="931">
        <v>2</v>
      </c>
      <c r="B89" s="1246">
        <v>46027</v>
      </c>
      <c r="C89" s="1248">
        <v>46033</v>
      </c>
      <c r="D89" s="933">
        <v>11</v>
      </c>
      <c r="E89" s="933" t="s">
        <v>680</v>
      </c>
      <c r="F89" s="933" t="s">
        <v>251</v>
      </c>
      <c r="G89" s="933">
        <v>15</v>
      </c>
      <c r="H89" s="933">
        <v>15</v>
      </c>
      <c r="I89" s="933" t="s">
        <v>670</v>
      </c>
      <c r="J89" s="934">
        <v>2.4363636363636401</v>
      </c>
      <c r="K89" s="934">
        <v>36.545454545454497</v>
      </c>
      <c r="L89" s="938">
        <v>2.38095238095238</v>
      </c>
    </row>
    <row r="90" spans="1:12" hidden="1">
      <c r="A90" s="931">
        <v>2</v>
      </c>
      <c r="B90" s="1247">
        <v>46027</v>
      </c>
      <c r="C90" s="1249">
        <v>46033</v>
      </c>
      <c r="D90" s="935">
        <v>12</v>
      </c>
      <c r="E90" s="935" t="s">
        <v>262</v>
      </c>
      <c r="F90" s="935" t="s">
        <v>256</v>
      </c>
      <c r="G90" s="935">
        <v>15</v>
      </c>
      <c r="H90" s="935">
        <v>15</v>
      </c>
      <c r="I90" s="935" t="s">
        <v>670</v>
      </c>
      <c r="J90" s="936">
        <v>10.818181818181801</v>
      </c>
      <c r="K90" s="936">
        <v>162.272727272727</v>
      </c>
      <c r="L90" s="939">
        <v>2.38095238095238</v>
      </c>
    </row>
    <row r="91" spans="1:12" hidden="1">
      <c r="A91" s="931">
        <v>2</v>
      </c>
      <c r="B91" s="1246">
        <v>46027</v>
      </c>
      <c r="C91" s="1248">
        <v>46033</v>
      </c>
      <c r="D91" s="933">
        <v>13</v>
      </c>
      <c r="E91" s="933" t="s">
        <v>671</v>
      </c>
      <c r="F91" s="933" t="s">
        <v>276</v>
      </c>
      <c r="G91" s="933">
        <v>13</v>
      </c>
      <c r="H91" s="933">
        <v>13</v>
      </c>
      <c r="I91" s="933" t="s">
        <v>672</v>
      </c>
      <c r="J91" s="934">
        <v>2.93006993006993</v>
      </c>
      <c r="K91" s="934">
        <v>38.090909090909101</v>
      </c>
      <c r="L91" s="938">
        <v>2.0634920634920602</v>
      </c>
    </row>
    <row r="92" spans="1:12" hidden="1">
      <c r="A92" s="931">
        <v>2</v>
      </c>
      <c r="B92" s="1247">
        <v>46027</v>
      </c>
      <c r="C92" s="1249">
        <v>46033</v>
      </c>
      <c r="D92" s="935">
        <v>14</v>
      </c>
      <c r="E92" s="935" t="s">
        <v>727</v>
      </c>
      <c r="F92" s="935" t="s">
        <v>275</v>
      </c>
      <c r="G92" s="935">
        <v>13</v>
      </c>
      <c r="H92" s="935">
        <v>13</v>
      </c>
      <c r="I92" s="935" t="s">
        <v>670</v>
      </c>
      <c r="J92" s="936">
        <v>0</v>
      </c>
      <c r="K92" s="936">
        <v>0</v>
      </c>
      <c r="L92" s="939">
        <v>2.0634920634920602</v>
      </c>
    </row>
    <row r="93" spans="1:12" hidden="1">
      <c r="A93" s="931">
        <v>2</v>
      </c>
      <c r="B93" s="1246">
        <v>46027</v>
      </c>
      <c r="C93" s="1248">
        <v>46033</v>
      </c>
      <c r="D93" s="933">
        <v>15</v>
      </c>
      <c r="E93" s="933" t="s">
        <v>678</v>
      </c>
      <c r="F93" s="933" t="s">
        <v>256</v>
      </c>
      <c r="G93" s="933">
        <v>11</v>
      </c>
      <c r="H93" s="933">
        <v>11</v>
      </c>
      <c r="I93" s="933" t="s">
        <v>670</v>
      </c>
      <c r="J93" s="934">
        <v>5.9462809917355397</v>
      </c>
      <c r="K93" s="934">
        <v>65.409090909090907</v>
      </c>
      <c r="L93" s="938">
        <v>1.74603174603175</v>
      </c>
    </row>
    <row r="94" spans="1:12" hidden="1">
      <c r="A94" s="931">
        <v>2</v>
      </c>
      <c r="B94" s="1247">
        <v>46027</v>
      </c>
      <c r="C94" s="1249">
        <v>46033</v>
      </c>
      <c r="D94" s="935">
        <v>16</v>
      </c>
      <c r="E94" s="935" t="s">
        <v>697</v>
      </c>
      <c r="F94" s="935" t="s">
        <v>256</v>
      </c>
      <c r="G94" s="935">
        <v>11</v>
      </c>
      <c r="H94" s="935">
        <v>11</v>
      </c>
      <c r="I94" s="935" t="s">
        <v>670</v>
      </c>
      <c r="J94" s="936">
        <v>9.8181818181818201</v>
      </c>
      <c r="K94" s="936">
        <v>108</v>
      </c>
      <c r="L94" s="939">
        <v>1.74603174603175</v>
      </c>
    </row>
    <row r="95" spans="1:12" hidden="1">
      <c r="A95" s="931">
        <v>2</v>
      </c>
      <c r="B95" s="1246">
        <v>46027</v>
      </c>
      <c r="C95" s="1248">
        <v>46033</v>
      </c>
      <c r="D95" s="933">
        <v>17</v>
      </c>
      <c r="E95" s="933" t="s">
        <v>716</v>
      </c>
      <c r="F95" s="933" t="s">
        <v>251</v>
      </c>
      <c r="G95" s="933">
        <v>10</v>
      </c>
      <c r="H95" s="933">
        <v>10</v>
      </c>
      <c r="I95" s="933" t="s">
        <v>670</v>
      </c>
      <c r="J95" s="934">
        <v>0</v>
      </c>
      <c r="K95" s="934">
        <v>0</v>
      </c>
      <c r="L95" s="938">
        <v>1.5873015873015901</v>
      </c>
    </row>
    <row r="96" spans="1:12" hidden="1">
      <c r="A96" s="931">
        <v>2</v>
      </c>
      <c r="B96" s="1247">
        <v>46027</v>
      </c>
      <c r="C96" s="1249">
        <v>46033</v>
      </c>
      <c r="D96" s="935">
        <v>18</v>
      </c>
      <c r="E96" s="935" t="s">
        <v>677</v>
      </c>
      <c r="F96" s="935" t="s">
        <v>249</v>
      </c>
      <c r="G96" s="935">
        <v>9</v>
      </c>
      <c r="H96" s="935">
        <v>9</v>
      </c>
      <c r="I96" s="935" t="s">
        <v>670</v>
      </c>
      <c r="J96" s="936">
        <v>1.5757575757575799</v>
      </c>
      <c r="K96" s="936">
        <v>14.181818181818199</v>
      </c>
      <c r="L96" s="939">
        <v>1.4285714285714299</v>
      </c>
    </row>
    <row r="97" spans="1:12" hidden="1">
      <c r="A97" s="931">
        <v>2</v>
      </c>
      <c r="B97" s="1246">
        <v>46027</v>
      </c>
      <c r="C97" s="1248">
        <v>46033</v>
      </c>
      <c r="D97" s="933">
        <v>19</v>
      </c>
      <c r="E97" s="933" t="s">
        <v>682</v>
      </c>
      <c r="F97" s="933" t="s">
        <v>275</v>
      </c>
      <c r="G97" s="933">
        <v>9</v>
      </c>
      <c r="H97" s="933">
        <v>9</v>
      </c>
      <c r="I97" s="933" t="s">
        <v>670</v>
      </c>
      <c r="J97" s="934">
        <v>4.7474747474747501</v>
      </c>
      <c r="K97" s="934">
        <v>42.727272727272698</v>
      </c>
      <c r="L97" s="938">
        <v>1.4285714285714299</v>
      </c>
    </row>
    <row r="98" spans="1:12" hidden="1">
      <c r="A98" s="931">
        <v>2</v>
      </c>
      <c r="B98" s="1247">
        <v>46027</v>
      </c>
      <c r="C98" s="1249">
        <v>46033</v>
      </c>
      <c r="D98" s="935">
        <v>20</v>
      </c>
      <c r="E98" s="935" t="s">
        <v>738</v>
      </c>
      <c r="F98" s="935" t="s">
        <v>256</v>
      </c>
      <c r="G98" s="935">
        <v>9</v>
      </c>
      <c r="H98" s="935">
        <v>9</v>
      </c>
      <c r="I98" s="935" t="s">
        <v>670</v>
      </c>
      <c r="J98" s="936">
        <v>6.8181818181818201</v>
      </c>
      <c r="K98" s="936">
        <v>61.363636363636402</v>
      </c>
      <c r="L98" s="939">
        <v>1.4285714285714299</v>
      </c>
    </row>
    <row r="99" spans="1:12" hidden="1">
      <c r="A99" s="931">
        <v>2</v>
      </c>
      <c r="B99" s="1246">
        <v>46027</v>
      </c>
      <c r="C99" s="1248">
        <v>46033</v>
      </c>
      <c r="D99" s="933">
        <v>21</v>
      </c>
      <c r="E99" s="933" t="s">
        <v>687</v>
      </c>
      <c r="F99" s="933" t="s">
        <v>253</v>
      </c>
      <c r="G99" s="933">
        <v>9</v>
      </c>
      <c r="H99" s="933">
        <v>9</v>
      </c>
      <c r="I99" s="933" t="s">
        <v>670</v>
      </c>
      <c r="J99" s="934">
        <v>2.75757575757576</v>
      </c>
      <c r="K99" s="934">
        <v>24.818181818181799</v>
      </c>
      <c r="L99" s="938">
        <v>1.4285714285714299</v>
      </c>
    </row>
    <row r="100" spans="1:12" hidden="1">
      <c r="A100" s="931">
        <v>2</v>
      </c>
      <c r="B100" s="1247">
        <v>46027</v>
      </c>
      <c r="C100" s="1249">
        <v>46033</v>
      </c>
      <c r="D100" s="935">
        <v>22</v>
      </c>
      <c r="E100" s="935" t="s">
        <v>681</v>
      </c>
      <c r="F100" s="935" t="s">
        <v>282</v>
      </c>
      <c r="G100" s="935">
        <v>9</v>
      </c>
      <c r="H100" s="935">
        <v>9</v>
      </c>
      <c r="I100" s="935" t="s">
        <v>672</v>
      </c>
      <c r="J100" s="936">
        <v>4.5454545454545497E-2</v>
      </c>
      <c r="K100" s="936">
        <v>0.40909090909090901</v>
      </c>
      <c r="L100" s="939">
        <v>1.4285714285714299</v>
      </c>
    </row>
    <row r="101" spans="1:12" hidden="1">
      <c r="A101" s="931">
        <v>2</v>
      </c>
      <c r="B101" s="1246">
        <v>46027</v>
      </c>
      <c r="C101" s="1248">
        <v>46033</v>
      </c>
      <c r="D101" s="933">
        <v>23</v>
      </c>
      <c r="E101" s="933" t="s">
        <v>721</v>
      </c>
      <c r="F101" s="933" t="s">
        <v>256</v>
      </c>
      <c r="G101" s="933">
        <v>8</v>
      </c>
      <c r="H101" s="933">
        <v>8</v>
      </c>
      <c r="I101" s="933" t="s">
        <v>670</v>
      </c>
      <c r="J101" s="934">
        <v>10.4545454545454</v>
      </c>
      <c r="K101" s="934">
        <v>83.636363636363598</v>
      </c>
      <c r="L101" s="938">
        <v>1.26984126984127</v>
      </c>
    </row>
    <row r="102" spans="1:12" hidden="1">
      <c r="A102" s="931">
        <v>2</v>
      </c>
      <c r="B102" s="1247">
        <v>46027</v>
      </c>
      <c r="C102" s="1249">
        <v>46033</v>
      </c>
      <c r="D102" s="935">
        <v>24</v>
      </c>
      <c r="E102" s="935" t="s">
        <v>686</v>
      </c>
      <c r="F102" s="935" t="s">
        <v>274</v>
      </c>
      <c r="G102" s="935">
        <v>8</v>
      </c>
      <c r="H102" s="935">
        <v>8</v>
      </c>
      <c r="I102" s="935" t="s">
        <v>670</v>
      </c>
      <c r="J102" s="936">
        <v>13.573863636363599</v>
      </c>
      <c r="K102" s="936">
        <v>108.59090909090899</v>
      </c>
      <c r="L102" s="939">
        <v>1.26984126984127</v>
      </c>
    </row>
    <row r="103" spans="1:12" hidden="1">
      <c r="A103" s="931">
        <v>2</v>
      </c>
      <c r="B103" s="1246">
        <v>46027</v>
      </c>
      <c r="C103" s="1248">
        <v>46033</v>
      </c>
      <c r="D103" s="933">
        <v>25</v>
      </c>
      <c r="E103" s="933" t="s">
        <v>750</v>
      </c>
      <c r="F103" s="933" t="s">
        <v>323</v>
      </c>
      <c r="G103" s="933">
        <v>8</v>
      </c>
      <c r="H103" s="933">
        <v>8</v>
      </c>
      <c r="I103" s="933" t="s">
        <v>670</v>
      </c>
      <c r="J103" s="934">
        <v>0</v>
      </c>
      <c r="K103" s="934">
        <v>0</v>
      </c>
      <c r="L103" s="938">
        <v>1.26984126984127</v>
      </c>
    </row>
    <row r="104" spans="1:12" hidden="1">
      <c r="A104" s="931">
        <v>2</v>
      </c>
      <c r="B104" s="1247">
        <v>46027</v>
      </c>
      <c r="C104" s="1249">
        <v>46033</v>
      </c>
      <c r="D104" s="935">
        <v>26</v>
      </c>
      <c r="E104" s="935" t="s">
        <v>751</v>
      </c>
      <c r="F104" s="935" t="s">
        <v>256</v>
      </c>
      <c r="G104" s="935">
        <v>8</v>
      </c>
      <c r="H104" s="935">
        <v>8</v>
      </c>
      <c r="I104" s="935" t="s">
        <v>670</v>
      </c>
      <c r="J104" s="936">
        <v>7.2386363636363598</v>
      </c>
      <c r="K104" s="936">
        <v>57.909090909090899</v>
      </c>
      <c r="L104" s="939">
        <v>1.26984126984127</v>
      </c>
    </row>
    <row r="105" spans="1:12" hidden="1">
      <c r="A105" s="931">
        <v>2</v>
      </c>
      <c r="B105" s="1246">
        <v>46027</v>
      </c>
      <c r="C105" s="1248">
        <v>46033</v>
      </c>
      <c r="D105" s="933">
        <v>27</v>
      </c>
      <c r="E105" s="933" t="s">
        <v>685</v>
      </c>
      <c r="F105" s="933" t="s">
        <v>256</v>
      </c>
      <c r="G105" s="933">
        <v>7</v>
      </c>
      <c r="H105" s="933">
        <v>7</v>
      </c>
      <c r="I105" s="933" t="s">
        <v>670</v>
      </c>
      <c r="J105" s="934">
        <v>8.0909090909090899</v>
      </c>
      <c r="K105" s="934">
        <v>56.636363636363598</v>
      </c>
      <c r="L105" s="938">
        <v>1.1111111111111101</v>
      </c>
    </row>
    <row r="106" spans="1:12" hidden="1">
      <c r="A106" s="931">
        <v>2</v>
      </c>
      <c r="B106" s="1247">
        <v>46027</v>
      </c>
      <c r="C106" s="1249">
        <v>46033</v>
      </c>
      <c r="D106" s="935">
        <v>28</v>
      </c>
      <c r="E106" s="935" t="s">
        <v>703</v>
      </c>
      <c r="F106" s="935" t="s">
        <v>256</v>
      </c>
      <c r="G106" s="935">
        <v>7</v>
      </c>
      <c r="H106" s="935">
        <v>7</v>
      </c>
      <c r="I106" s="935" t="s">
        <v>670</v>
      </c>
      <c r="J106" s="936">
        <v>1.8831168831168801</v>
      </c>
      <c r="K106" s="936">
        <v>13.181818181818199</v>
      </c>
      <c r="L106" s="939">
        <v>1.1111111111111101</v>
      </c>
    </row>
    <row r="107" spans="1:12" hidden="1">
      <c r="A107" s="931">
        <v>2</v>
      </c>
      <c r="B107" s="1246">
        <v>46027</v>
      </c>
      <c r="C107" s="1248">
        <v>46033</v>
      </c>
      <c r="D107" s="933">
        <v>29</v>
      </c>
      <c r="E107" s="933" t="s">
        <v>698</v>
      </c>
      <c r="F107" s="933" t="s">
        <v>249</v>
      </c>
      <c r="G107" s="933">
        <v>7</v>
      </c>
      <c r="H107" s="933">
        <v>7</v>
      </c>
      <c r="I107" s="933" t="s">
        <v>670</v>
      </c>
      <c r="J107" s="934">
        <v>2.3181818181818201</v>
      </c>
      <c r="K107" s="934">
        <v>16.227272727272702</v>
      </c>
      <c r="L107" s="938">
        <v>1.1111111111111101</v>
      </c>
    </row>
    <row r="108" spans="1:12" hidden="1">
      <c r="A108" s="931">
        <v>2</v>
      </c>
      <c r="B108" s="1247">
        <v>46027</v>
      </c>
      <c r="C108" s="1249">
        <v>46033</v>
      </c>
      <c r="D108" s="935">
        <v>30</v>
      </c>
      <c r="E108" s="935" t="s">
        <v>676</v>
      </c>
      <c r="F108" s="935" t="s">
        <v>253</v>
      </c>
      <c r="G108" s="935">
        <v>7</v>
      </c>
      <c r="H108" s="935">
        <v>7</v>
      </c>
      <c r="I108" s="935" t="s">
        <v>670</v>
      </c>
      <c r="J108" s="936">
        <v>2.6818181818181799</v>
      </c>
      <c r="K108" s="936">
        <v>18.772727272727298</v>
      </c>
      <c r="L108" s="939">
        <v>1.1111111111111101</v>
      </c>
    </row>
    <row r="109" spans="1:12" hidden="1">
      <c r="A109" s="931">
        <v>2</v>
      </c>
      <c r="B109" s="1246">
        <v>46027</v>
      </c>
      <c r="C109" s="1248">
        <v>46033</v>
      </c>
      <c r="D109" s="933">
        <v>31</v>
      </c>
      <c r="E109" s="933" t="s">
        <v>700</v>
      </c>
      <c r="F109" s="933" t="s">
        <v>274</v>
      </c>
      <c r="G109" s="933">
        <v>7</v>
      </c>
      <c r="H109" s="933">
        <v>7</v>
      </c>
      <c r="I109" s="933" t="s">
        <v>670</v>
      </c>
      <c r="J109" s="934">
        <v>9.0129870129870095</v>
      </c>
      <c r="K109" s="934">
        <v>63.090909090909101</v>
      </c>
      <c r="L109" s="938">
        <v>1.1111111111111101</v>
      </c>
    </row>
    <row r="110" spans="1:12" hidden="1">
      <c r="A110" s="931">
        <v>2</v>
      </c>
      <c r="B110" s="1247">
        <v>46027</v>
      </c>
      <c r="C110" s="1249">
        <v>46033</v>
      </c>
      <c r="D110" s="935">
        <v>32</v>
      </c>
      <c r="E110" s="935" t="s">
        <v>701</v>
      </c>
      <c r="F110" s="935" t="s">
        <v>689</v>
      </c>
      <c r="G110" s="935">
        <v>7</v>
      </c>
      <c r="H110" s="935">
        <v>7</v>
      </c>
      <c r="I110" s="935" t="s">
        <v>670</v>
      </c>
      <c r="J110" s="936">
        <v>9.9090909090909101</v>
      </c>
      <c r="K110" s="936">
        <v>69.363636363636402</v>
      </c>
      <c r="L110" s="939">
        <v>1.1111111111111101</v>
      </c>
    </row>
    <row r="111" spans="1:12" hidden="1">
      <c r="A111" s="931">
        <v>2</v>
      </c>
      <c r="B111" s="1246">
        <v>46027</v>
      </c>
      <c r="C111" s="1248">
        <v>46033</v>
      </c>
      <c r="D111" s="933">
        <v>33</v>
      </c>
      <c r="E111" s="933" t="s">
        <v>691</v>
      </c>
      <c r="F111" s="933" t="s">
        <v>251</v>
      </c>
      <c r="G111" s="933">
        <v>6</v>
      </c>
      <c r="H111" s="933">
        <v>6</v>
      </c>
      <c r="I111" s="933" t="s">
        <v>670</v>
      </c>
      <c r="J111" s="934">
        <v>1.8257575757575799</v>
      </c>
      <c r="K111" s="934">
        <v>10.9545454545454</v>
      </c>
      <c r="L111" s="938">
        <v>0.952380952380952</v>
      </c>
    </row>
    <row r="112" spans="1:12" hidden="1">
      <c r="A112" s="931">
        <v>2</v>
      </c>
      <c r="B112" s="1247">
        <v>46027</v>
      </c>
      <c r="C112" s="1249">
        <v>46033</v>
      </c>
      <c r="D112" s="935">
        <v>34</v>
      </c>
      <c r="E112" s="935" t="s">
        <v>688</v>
      </c>
      <c r="F112" s="935" t="s">
        <v>689</v>
      </c>
      <c r="G112" s="935">
        <v>6</v>
      </c>
      <c r="H112" s="935">
        <v>6</v>
      </c>
      <c r="I112" s="935" t="s">
        <v>670</v>
      </c>
      <c r="J112" s="936">
        <v>9.9318181818181799</v>
      </c>
      <c r="K112" s="936">
        <v>59.590909090909101</v>
      </c>
      <c r="L112" s="939">
        <v>0.952380952380952</v>
      </c>
    </row>
    <row r="113" spans="1:12" hidden="1">
      <c r="A113" s="931">
        <v>2</v>
      </c>
      <c r="B113" s="1246">
        <v>46027</v>
      </c>
      <c r="C113" s="1248">
        <v>46033</v>
      </c>
      <c r="D113" s="933">
        <v>35</v>
      </c>
      <c r="E113" s="933" t="s">
        <v>711</v>
      </c>
      <c r="F113" s="933" t="s">
        <v>251</v>
      </c>
      <c r="G113" s="933">
        <v>6</v>
      </c>
      <c r="H113" s="933">
        <v>6</v>
      </c>
      <c r="I113" s="933" t="s">
        <v>670</v>
      </c>
      <c r="J113" s="934">
        <v>0</v>
      </c>
      <c r="K113" s="934">
        <v>0</v>
      </c>
      <c r="L113" s="938">
        <v>0.952380952380952</v>
      </c>
    </row>
    <row r="114" spans="1:12" hidden="1">
      <c r="A114" s="931">
        <v>2</v>
      </c>
      <c r="B114" s="1247">
        <v>46027</v>
      </c>
      <c r="C114" s="1249">
        <v>46033</v>
      </c>
      <c r="D114" s="935">
        <v>36</v>
      </c>
      <c r="E114" s="935" t="s">
        <v>696</v>
      </c>
      <c r="F114" s="935" t="s">
        <v>323</v>
      </c>
      <c r="G114" s="935">
        <v>6</v>
      </c>
      <c r="H114" s="935">
        <v>6</v>
      </c>
      <c r="I114" s="935" t="s">
        <v>670</v>
      </c>
      <c r="J114" s="936">
        <v>10.818181818181801</v>
      </c>
      <c r="K114" s="936">
        <v>64.909090909090907</v>
      </c>
      <c r="L114" s="939">
        <v>0.952380952380952</v>
      </c>
    </row>
    <row r="115" spans="1:12" hidden="1">
      <c r="A115" s="931">
        <v>2</v>
      </c>
      <c r="B115" s="1246">
        <v>46027</v>
      </c>
      <c r="C115" s="1248">
        <v>46033</v>
      </c>
      <c r="D115" s="933">
        <v>37</v>
      </c>
      <c r="E115" s="933" t="s">
        <v>684</v>
      </c>
      <c r="F115" s="933" t="s">
        <v>323</v>
      </c>
      <c r="G115" s="933">
        <v>5</v>
      </c>
      <c r="H115" s="933">
        <v>5</v>
      </c>
      <c r="I115" s="933" t="s">
        <v>670</v>
      </c>
      <c r="J115" s="934">
        <v>8.9090909090909101</v>
      </c>
      <c r="K115" s="934">
        <v>44.545454545454497</v>
      </c>
      <c r="L115" s="938">
        <v>0.79365079365079405</v>
      </c>
    </row>
    <row r="116" spans="1:12" hidden="1">
      <c r="A116" s="931">
        <v>2</v>
      </c>
      <c r="B116" s="1247">
        <v>46027</v>
      </c>
      <c r="C116" s="1249">
        <v>46033</v>
      </c>
      <c r="D116" s="935">
        <v>38</v>
      </c>
      <c r="E116" s="935" t="s">
        <v>737</v>
      </c>
      <c r="F116" s="935" t="s">
        <v>249</v>
      </c>
      <c r="G116" s="935">
        <v>5</v>
      </c>
      <c r="H116" s="935">
        <v>5</v>
      </c>
      <c r="I116" s="935" t="s">
        <v>670</v>
      </c>
      <c r="J116" s="936">
        <v>1.6272727272727301</v>
      </c>
      <c r="K116" s="936">
        <v>8.1363636363636296</v>
      </c>
      <c r="L116" s="939">
        <v>0.79365079365079405</v>
      </c>
    </row>
    <row r="117" spans="1:12" hidden="1">
      <c r="A117" s="931">
        <v>2</v>
      </c>
      <c r="B117" s="1246">
        <v>46027</v>
      </c>
      <c r="C117" s="1248">
        <v>46033</v>
      </c>
      <c r="D117" s="933">
        <v>39</v>
      </c>
      <c r="E117" s="933" t="s">
        <v>748</v>
      </c>
      <c r="F117" s="933" t="s">
        <v>274</v>
      </c>
      <c r="G117" s="933">
        <v>4</v>
      </c>
      <c r="H117" s="933">
        <v>4</v>
      </c>
      <c r="I117" s="933" t="s">
        <v>670</v>
      </c>
      <c r="J117" s="934">
        <v>9</v>
      </c>
      <c r="K117" s="934">
        <v>36</v>
      </c>
      <c r="L117" s="938">
        <v>0.634920634920635</v>
      </c>
    </row>
    <row r="118" spans="1:12" hidden="1">
      <c r="A118" s="931">
        <v>2</v>
      </c>
      <c r="B118" s="1247">
        <v>46027</v>
      </c>
      <c r="C118" s="1249">
        <v>46033</v>
      </c>
      <c r="D118" s="935">
        <v>40</v>
      </c>
      <c r="E118" s="935" t="s">
        <v>708</v>
      </c>
      <c r="F118" s="935" t="s">
        <v>251</v>
      </c>
      <c r="G118" s="935">
        <v>4</v>
      </c>
      <c r="H118" s="935">
        <v>4</v>
      </c>
      <c r="I118" s="935" t="s">
        <v>670</v>
      </c>
      <c r="J118" s="936">
        <v>1.77272727272727</v>
      </c>
      <c r="K118" s="936">
        <v>7.0909090909090899</v>
      </c>
      <c r="L118" s="939">
        <v>0.634920634920635</v>
      </c>
    </row>
    <row r="119" spans="1:12" hidden="1">
      <c r="A119" s="931">
        <v>2</v>
      </c>
      <c r="B119" s="1246">
        <v>46027</v>
      </c>
      <c r="C119" s="1248">
        <v>46033</v>
      </c>
      <c r="D119" s="933">
        <v>41</v>
      </c>
      <c r="E119" s="933" t="s">
        <v>694</v>
      </c>
      <c r="F119" s="933" t="s">
        <v>695</v>
      </c>
      <c r="G119" s="933">
        <v>4</v>
      </c>
      <c r="H119" s="933">
        <v>4</v>
      </c>
      <c r="I119" s="933" t="s">
        <v>670</v>
      </c>
      <c r="J119" s="934">
        <v>3.6136363636363602</v>
      </c>
      <c r="K119" s="934">
        <v>14.4545454545454</v>
      </c>
      <c r="L119" s="938">
        <v>0.634920634920635</v>
      </c>
    </row>
    <row r="120" spans="1:12" hidden="1">
      <c r="A120" s="931">
        <v>2</v>
      </c>
      <c r="B120" s="1247">
        <v>46027</v>
      </c>
      <c r="C120" s="1249">
        <v>46033</v>
      </c>
      <c r="D120" s="935">
        <v>42</v>
      </c>
      <c r="E120" s="935" t="s">
        <v>706</v>
      </c>
      <c r="F120" s="935" t="s">
        <v>256</v>
      </c>
      <c r="G120" s="935">
        <v>4</v>
      </c>
      <c r="H120" s="935">
        <v>4</v>
      </c>
      <c r="I120" s="935" t="s">
        <v>670</v>
      </c>
      <c r="J120" s="936">
        <v>12.636363636363599</v>
      </c>
      <c r="K120" s="936">
        <v>50.545454545454497</v>
      </c>
      <c r="L120" s="939">
        <v>0.634920634920635</v>
      </c>
    </row>
    <row r="121" spans="1:12" hidden="1">
      <c r="A121" s="931">
        <v>2</v>
      </c>
      <c r="B121" s="1246">
        <v>46027</v>
      </c>
      <c r="C121" s="1248">
        <v>46033</v>
      </c>
      <c r="D121" s="933">
        <v>43</v>
      </c>
      <c r="E121" s="933" t="s">
        <v>704</v>
      </c>
      <c r="F121" s="933" t="s">
        <v>689</v>
      </c>
      <c r="G121" s="933">
        <v>4</v>
      </c>
      <c r="H121" s="933">
        <v>4</v>
      </c>
      <c r="I121" s="933" t="s">
        <v>670</v>
      </c>
      <c r="J121" s="934">
        <v>11.7272727272727</v>
      </c>
      <c r="K121" s="934">
        <v>46.909090909090899</v>
      </c>
      <c r="L121" s="938">
        <v>0.634920634920635</v>
      </c>
    </row>
    <row r="122" spans="1:12" hidden="1">
      <c r="A122" s="931">
        <v>2</v>
      </c>
      <c r="B122" s="1247">
        <v>46027</v>
      </c>
      <c r="C122" s="1249">
        <v>46033</v>
      </c>
      <c r="D122" s="935">
        <v>44</v>
      </c>
      <c r="E122" s="935" t="s">
        <v>740</v>
      </c>
      <c r="F122" s="935" t="s">
        <v>264</v>
      </c>
      <c r="G122" s="935">
        <v>4</v>
      </c>
      <c r="H122" s="935">
        <v>4</v>
      </c>
      <c r="I122" s="935" t="s">
        <v>741</v>
      </c>
      <c r="J122" s="936">
        <v>2.6136363636363602</v>
      </c>
      <c r="K122" s="936">
        <v>10.4545454545454</v>
      </c>
      <c r="L122" s="939">
        <v>0.634920634920635</v>
      </c>
    </row>
    <row r="123" spans="1:12" hidden="1">
      <c r="A123" s="931">
        <v>2</v>
      </c>
      <c r="B123" s="1246">
        <v>46027</v>
      </c>
      <c r="C123" s="1248">
        <v>46033</v>
      </c>
      <c r="D123" s="933">
        <v>45</v>
      </c>
      <c r="E123" s="933" t="s">
        <v>707</v>
      </c>
      <c r="F123" s="933" t="s">
        <v>256</v>
      </c>
      <c r="G123" s="933">
        <v>4</v>
      </c>
      <c r="H123" s="933">
        <v>4</v>
      </c>
      <c r="I123" s="933" t="s">
        <v>670</v>
      </c>
      <c r="J123" s="934">
        <v>8.4431818181818201</v>
      </c>
      <c r="K123" s="934">
        <v>33.772727272727302</v>
      </c>
      <c r="L123" s="938">
        <v>0.634920634920635</v>
      </c>
    </row>
    <row r="124" spans="1:12" hidden="1">
      <c r="A124" s="931">
        <v>2</v>
      </c>
      <c r="B124" s="1247">
        <v>46027</v>
      </c>
      <c r="C124" s="1249">
        <v>46033</v>
      </c>
      <c r="D124" s="935">
        <v>46</v>
      </c>
      <c r="E124" s="935" t="s">
        <v>720</v>
      </c>
      <c r="F124" s="935" t="s">
        <v>251</v>
      </c>
      <c r="G124" s="935">
        <v>4</v>
      </c>
      <c r="H124" s="935">
        <v>4</v>
      </c>
      <c r="I124" s="935" t="s">
        <v>670</v>
      </c>
      <c r="J124" s="936">
        <v>2.4431818181818201</v>
      </c>
      <c r="K124" s="936">
        <v>9.7727272727272698</v>
      </c>
      <c r="L124" s="939">
        <v>0.634920634920635</v>
      </c>
    </row>
    <row r="125" spans="1:12" hidden="1">
      <c r="A125" s="931">
        <v>2</v>
      </c>
      <c r="B125" s="1246">
        <v>46027</v>
      </c>
      <c r="C125" s="1248">
        <v>46033</v>
      </c>
      <c r="D125" s="933">
        <v>47</v>
      </c>
      <c r="E125" s="933" t="s">
        <v>752</v>
      </c>
      <c r="F125" s="933" t="s">
        <v>264</v>
      </c>
      <c r="G125" s="933">
        <v>3</v>
      </c>
      <c r="H125" s="933">
        <v>3</v>
      </c>
      <c r="I125" s="933" t="s">
        <v>670</v>
      </c>
      <c r="J125" s="934">
        <v>1.5454545454545501</v>
      </c>
      <c r="K125" s="934">
        <v>4.6363636363636402</v>
      </c>
      <c r="L125" s="938">
        <v>0.476190476190476</v>
      </c>
    </row>
    <row r="126" spans="1:12" hidden="1">
      <c r="A126" s="931">
        <v>2</v>
      </c>
      <c r="B126" s="1247">
        <v>46027</v>
      </c>
      <c r="C126" s="1249">
        <v>46033</v>
      </c>
      <c r="D126" s="935">
        <v>48</v>
      </c>
      <c r="E126" s="935" t="s">
        <v>714</v>
      </c>
      <c r="F126" s="935" t="s">
        <v>251</v>
      </c>
      <c r="G126" s="935">
        <v>3</v>
      </c>
      <c r="H126" s="935">
        <v>3</v>
      </c>
      <c r="I126" s="935" t="s">
        <v>670</v>
      </c>
      <c r="J126" s="936">
        <v>1.5</v>
      </c>
      <c r="K126" s="936">
        <v>4.5</v>
      </c>
      <c r="L126" s="939">
        <v>0.476190476190476</v>
      </c>
    </row>
    <row r="127" spans="1:12" hidden="1">
      <c r="A127" s="931">
        <v>2</v>
      </c>
      <c r="B127" s="1246">
        <v>46027</v>
      </c>
      <c r="C127" s="1248">
        <v>46033</v>
      </c>
      <c r="D127" s="933">
        <v>49</v>
      </c>
      <c r="E127" s="933" t="s">
        <v>692</v>
      </c>
      <c r="F127" s="933" t="s">
        <v>693</v>
      </c>
      <c r="G127" s="933">
        <v>3</v>
      </c>
      <c r="H127" s="933">
        <v>3</v>
      </c>
      <c r="I127" s="933" t="s">
        <v>670</v>
      </c>
      <c r="J127" s="934">
        <v>0</v>
      </c>
      <c r="K127" s="934">
        <v>0</v>
      </c>
      <c r="L127" s="938">
        <v>0.476190476190476</v>
      </c>
    </row>
    <row r="128" spans="1:12" hidden="1">
      <c r="A128" s="931">
        <v>2</v>
      </c>
      <c r="B128" s="1247">
        <v>46027</v>
      </c>
      <c r="C128" s="1249">
        <v>46033</v>
      </c>
      <c r="D128" s="935">
        <v>50</v>
      </c>
      <c r="E128" s="935" t="s">
        <v>719</v>
      </c>
      <c r="F128" s="935" t="s">
        <v>689</v>
      </c>
      <c r="G128" s="935">
        <v>3</v>
      </c>
      <c r="H128" s="935">
        <v>3</v>
      </c>
      <c r="I128" s="935" t="s">
        <v>670</v>
      </c>
      <c r="J128" s="936">
        <v>11.7272727272727</v>
      </c>
      <c r="K128" s="936">
        <v>35.181818181818201</v>
      </c>
      <c r="L128" s="939">
        <v>0.476190476190476</v>
      </c>
    </row>
    <row r="129" spans="1:12" hidden="1">
      <c r="A129" s="931">
        <v>2</v>
      </c>
      <c r="B129" s="1246">
        <v>46027</v>
      </c>
      <c r="C129" s="1248">
        <v>46033</v>
      </c>
      <c r="D129" s="933">
        <v>51</v>
      </c>
      <c r="E129" s="933" t="s">
        <v>745</v>
      </c>
      <c r="F129" s="933" t="s">
        <v>275</v>
      </c>
      <c r="G129" s="933">
        <v>3</v>
      </c>
      <c r="H129" s="933">
        <v>3</v>
      </c>
      <c r="I129" s="933" t="s">
        <v>670</v>
      </c>
      <c r="J129" s="934">
        <v>4.7727272727272698</v>
      </c>
      <c r="K129" s="934">
        <v>14.318181818181801</v>
      </c>
      <c r="L129" s="938">
        <v>0.476190476190476</v>
      </c>
    </row>
    <row r="130" spans="1:12" hidden="1">
      <c r="A130" s="931">
        <v>2</v>
      </c>
      <c r="B130" s="1247">
        <v>46027</v>
      </c>
      <c r="C130" s="1249">
        <v>46033</v>
      </c>
      <c r="D130" s="935">
        <v>52</v>
      </c>
      <c r="E130" s="935" t="s">
        <v>710</v>
      </c>
      <c r="F130" s="935" t="s">
        <v>249</v>
      </c>
      <c r="G130" s="935">
        <v>3</v>
      </c>
      <c r="H130" s="935">
        <v>3</v>
      </c>
      <c r="I130" s="935" t="s">
        <v>670</v>
      </c>
      <c r="J130" s="936">
        <v>2.4090909090909101</v>
      </c>
      <c r="K130" s="936">
        <v>7.2272727272727302</v>
      </c>
      <c r="L130" s="939">
        <v>0.476190476190476</v>
      </c>
    </row>
    <row r="131" spans="1:12" hidden="1">
      <c r="A131" s="931">
        <v>2</v>
      </c>
      <c r="B131" s="1246">
        <v>46027</v>
      </c>
      <c r="C131" s="1248">
        <v>46033</v>
      </c>
      <c r="D131" s="933">
        <v>53</v>
      </c>
      <c r="E131" s="933" t="s">
        <v>702</v>
      </c>
      <c r="F131" s="933" t="s">
        <v>251</v>
      </c>
      <c r="G131" s="933">
        <v>2</v>
      </c>
      <c r="H131" s="933">
        <v>2</v>
      </c>
      <c r="I131" s="933" t="s">
        <v>670</v>
      </c>
      <c r="J131" s="934">
        <v>2.4090909090909101</v>
      </c>
      <c r="K131" s="934">
        <v>4.8181818181818201</v>
      </c>
      <c r="L131" s="938">
        <v>0.317460317460317</v>
      </c>
    </row>
    <row r="132" spans="1:12" hidden="1">
      <c r="A132" s="931">
        <v>2</v>
      </c>
      <c r="B132" s="1247">
        <v>46027</v>
      </c>
      <c r="C132" s="1249">
        <v>46033</v>
      </c>
      <c r="D132" s="935">
        <v>54</v>
      </c>
      <c r="E132" s="935" t="s">
        <v>699</v>
      </c>
      <c r="F132" s="935" t="s">
        <v>249</v>
      </c>
      <c r="G132" s="935">
        <v>2</v>
      </c>
      <c r="H132" s="935">
        <v>2</v>
      </c>
      <c r="I132" s="935" t="s">
        <v>670</v>
      </c>
      <c r="J132" s="936">
        <v>0</v>
      </c>
      <c r="K132" s="936">
        <v>0</v>
      </c>
      <c r="L132" s="939">
        <v>0.317460317460317</v>
      </c>
    </row>
    <row r="133" spans="1:12" hidden="1">
      <c r="A133" s="931">
        <v>2</v>
      </c>
      <c r="B133" s="1246">
        <v>46027</v>
      </c>
      <c r="C133" s="1248">
        <v>46033</v>
      </c>
      <c r="D133" s="933">
        <v>55</v>
      </c>
      <c r="E133" s="933" t="s">
        <v>715</v>
      </c>
      <c r="F133" s="933" t="s">
        <v>693</v>
      </c>
      <c r="G133" s="933">
        <v>2</v>
      </c>
      <c r="H133" s="933">
        <v>2</v>
      </c>
      <c r="I133" s="933" t="s">
        <v>670</v>
      </c>
      <c r="J133" s="934">
        <v>0</v>
      </c>
      <c r="K133" s="934">
        <v>0</v>
      </c>
      <c r="L133" s="938">
        <v>0.317460317460317</v>
      </c>
    </row>
    <row r="134" spans="1:12" hidden="1">
      <c r="A134" s="931">
        <v>2</v>
      </c>
      <c r="B134" s="1247">
        <v>46027</v>
      </c>
      <c r="C134" s="1249">
        <v>46033</v>
      </c>
      <c r="D134" s="935">
        <v>56</v>
      </c>
      <c r="E134" s="935" t="s">
        <v>683</v>
      </c>
      <c r="F134" s="935" t="s">
        <v>274</v>
      </c>
      <c r="G134" s="935">
        <v>2</v>
      </c>
      <c r="H134" s="935">
        <v>2</v>
      </c>
      <c r="I134" s="935" t="s">
        <v>670</v>
      </c>
      <c r="J134" s="936">
        <v>10.818181818181801</v>
      </c>
      <c r="K134" s="936">
        <v>21.636363636363601</v>
      </c>
      <c r="L134" s="939">
        <v>0.317460317460317</v>
      </c>
    </row>
    <row r="135" spans="1:12" hidden="1">
      <c r="A135" s="931">
        <v>2</v>
      </c>
      <c r="B135" s="1246">
        <v>46027</v>
      </c>
      <c r="C135" s="1248">
        <v>46033</v>
      </c>
      <c r="D135" s="933">
        <v>57</v>
      </c>
      <c r="E135" s="933" t="s">
        <v>753</v>
      </c>
      <c r="F135" s="933" t="s">
        <v>275</v>
      </c>
      <c r="G135" s="933">
        <v>2</v>
      </c>
      <c r="H135" s="933">
        <v>2</v>
      </c>
      <c r="I135" s="933" t="s">
        <v>670</v>
      </c>
      <c r="J135" s="934">
        <v>0</v>
      </c>
      <c r="K135" s="934">
        <v>0</v>
      </c>
      <c r="L135" s="938">
        <v>0.317460317460317</v>
      </c>
    </row>
    <row r="136" spans="1:12" hidden="1">
      <c r="A136" s="931">
        <v>2</v>
      </c>
      <c r="B136" s="1247">
        <v>46027</v>
      </c>
      <c r="C136" s="1249">
        <v>46033</v>
      </c>
      <c r="D136" s="935">
        <v>58</v>
      </c>
      <c r="E136" s="935" t="s">
        <v>709</v>
      </c>
      <c r="F136" s="935" t="s">
        <v>276</v>
      </c>
      <c r="G136" s="935">
        <v>2</v>
      </c>
      <c r="H136" s="935">
        <v>2</v>
      </c>
      <c r="I136" s="935" t="s">
        <v>672</v>
      </c>
      <c r="J136" s="936">
        <v>3.2272727272727302</v>
      </c>
      <c r="K136" s="936">
        <v>6.4545454545454497</v>
      </c>
      <c r="L136" s="939">
        <v>0.317460317460317</v>
      </c>
    </row>
    <row r="137" spans="1:12" hidden="1">
      <c r="A137" s="931">
        <v>2</v>
      </c>
      <c r="B137" s="1246">
        <v>46027</v>
      </c>
      <c r="C137" s="1248">
        <v>46033</v>
      </c>
      <c r="D137" s="933">
        <v>59</v>
      </c>
      <c r="E137" s="933" t="s">
        <v>690</v>
      </c>
      <c r="F137" s="933" t="s">
        <v>275</v>
      </c>
      <c r="G137" s="933">
        <v>2</v>
      </c>
      <c r="H137" s="933">
        <v>2</v>
      </c>
      <c r="I137" s="933" t="s">
        <v>670</v>
      </c>
      <c r="J137" s="934">
        <v>5.9090909090909101</v>
      </c>
      <c r="K137" s="934">
        <v>11.818181818181801</v>
      </c>
      <c r="L137" s="938">
        <v>0.317460317460317</v>
      </c>
    </row>
    <row r="138" spans="1:12" hidden="1">
      <c r="A138" s="931">
        <v>2</v>
      </c>
      <c r="B138" s="1247">
        <v>46027</v>
      </c>
      <c r="C138" s="1249">
        <v>46033</v>
      </c>
      <c r="D138" s="935">
        <v>60</v>
      </c>
      <c r="E138" s="935" t="s">
        <v>746</v>
      </c>
      <c r="F138" s="935" t="s">
        <v>251</v>
      </c>
      <c r="G138" s="935">
        <v>2</v>
      </c>
      <c r="H138" s="935">
        <v>2</v>
      </c>
      <c r="I138" s="935" t="s">
        <v>670</v>
      </c>
      <c r="J138" s="936">
        <v>2.1363636363636398</v>
      </c>
      <c r="K138" s="936">
        <v>4.2727272727272698</v>
      </c>
      <c r="L138" s="939">
        <v>0.317460317460317</v>
      </c>
    </row>
    <row r="139" spans="1:12" hidden="1">
      <c r="A139" s="931">
        <v>2</v>
      </c>
      <c r="B139" s="1246">
        <v>46027</v>
      </c>
      <c r="C139" s="1248">
        <v>46033</v>
      </c>
      <c r="D139" s="933">
        <v>61</v>
      </c>
      <c r="E139" s="933" t="s">
        <v>754</v>
      </c>
      <c r="F139" s="933" t="s">
        <v>713</v>
      </c>
      <c r="G139" s="933">
        <v>1</v>
      </c>
      <c r="H139" s="933">
        <v>1</v>
      </c>
      <c r="I139" s="933" t="s">
        <v>670</v>
      </c>
      <c r="J139" s="934">
        <v>3.6363636363636398</v>
      </c>
      <c r="K139" s="934">
        <v>3.6363636363636398</v>
      </c>
      <c r="L139" s="938">
        <v>0.158730158730159</v>
      </c>
    </row>
    <row r="140" spans="1:12" hidden="1">
      <c r="A140" s="931">
        <v>2</v>
      </c>
      <c r="B140" s="1247">
        <v>46027</v>
      </c>
      <c r="C140" s="1249">
        <v>46033</v>
      </c>
      <c r="D140" s="935">
        <v>62</v>
      </c>
      <c r="E140" s="935" t="s">
        <v>755</v>
      </c>
      <c r="F140" s="935" t="s">
        <v>251</v>
      </c>
      <c r="G140" s="935">
        <v>1</v>
      </c>
      <c r="H140" s="935">
        <v>1</v>
      </c>
      <c r="I140" s="935" t="s">
        <v>670</v>
      </c>
      <c r="J140" s="936">
        <v>2.4090909090909101</v>
      </c>
      <c r="K140" s="936">
        <v>2.4090909090909101</v>
      </c>
      <c r="L140" s="939">
        <v>0.158730158730159</v>
      </c>
    </row>
    <row r="141" spans="1:12" hidden="1">
      <c r="A141" s="931">
        <v>2</v>
      </c>
      <c r="B141" s="1246">
        <v>46027</v>
      </c>
      <c r="C141" s="1248">
        <v>46033</v>
      </c>
      <c r="D141" s="933">
        <v>63</v>
      </c>
      <c r="E141" s="933" t="s">
        <v>705</v>
      </c>
      <c r="F141" s="933" t="s">
        <v>274</v>
      </c>
      <c r="G141" s="933">
        <v>1</v>
      </c>
      <c r="H141" s="933">
        <v>1</v>
      </c>
      <c r="I141" s="933" t="s">
        <v>670</v>
      </c>
      <c r="J141" s="934">
        <v>8.8636363636363598</v>
      </c>
      <c r="K141" s="934">
        <v>8.8636363636363598</v>
      </c>
      <c r="L141" s="938">
        <v>0.158730158730159</v>
      </c>
    </row>
    <row r="142" spans="1:12" hidden="1">
      <c r="A142" s="931">
        <v>2</v>
      </c>
      <c r="B142" s="1247">
        <v>46027</v>
      </c>
      <c r="C142" s="1249">
        <v>46033</v>
      </c>
      <c r="D142" s="935">
        <v>64</v>
      </c>
      <c r="E142" s="935" t="s">
        <v>728</v>
      </c>
      <c r="F142" s="935" t="s">
        <v>695</v>
      </c>
      <c r="G142" s="935">
        <v>1</v>
      </c>
      <c r="H142" s="935">
        <v>1</v>
      </c>
      <c r="I142" s="935" t="s">
        <v>670</v>
      </c>
      <c r="J142" s="936">
        <v>7.6363636363636402</v>
      </c>
      <c r="K142" s="936">
        <v>7.6363636363636402</v>
      </c>
      <c r="L142" s="939">
        <v>0.158730158730159</v>
      </c>
    </row>
    <row r="143" spans="1:12" hidden="1">
      <c r="A143" s="931">
        <v>2</v>
      </c>
      <c r="B143" s="1246">
        <v>46027</v>
      </c>
      <c r="C143" s="1248">
        <v>46033</v>
      </c>
      <c r="D143" s="933">
        <v>65</v>
      </c>
      <c r="E143" s="933" t="s">
        <v>723</v>
      </c>
      <c r="F143" s="933" t="s">
        <v>713</v>
      </c>
      <c r="G143" s="933">
        <v>1</v>
      </c>
      <c r="H143" s="933">
        <v>1</v>
      </c>
      <c r="I143" s="933" t="s">
        <v>670</v>
      </c>
      <c r="J143" s="934">
        <v>2.8181818181818201</v>
      </c>
      <c r="K143" s="934">
        <v>2.8181818181818201</v>
      </c>
      <c r="L143" s="938">
        <v>0.158730158730159</v>
      </c>
    </row>
    <row r="144" spans="1:12" hidden="1">
      <c r="A144" s="931">
        <v>2</v>
      </c>
      <c r="B144" s="1247">
        <v>46027</v>
      </c>
      <c r="C144" s="1249">
        <v>46033</v>
      </c>
      <c r="D144" s="935">
        <v>66</v>
      </c>
      <c r="E144" s="935" t="s">
        <v>726</v>
      </c>
      <c r="F144" s="935" t="s">
        <v>323</v>
      </c>
      <c r="G144" s="935">
        <v>1</v>
      </c>
      <c r="H144" s="935">
        <v>1</v>
      </c>
      <c r="I144" s="935" t="s">
        <v>670</v>
      </c>
      <c r="J144" s="936">
        <v>11.5</v>
      </c>
      <c r="K144" s="936">
        <v>11.5</v>
      </c>
      <c r="L144" s="939">
        <v>0.158730158730159</v>
      </c>
    </row>
    <row r="145" spans="1:12" hidden="1">
      <c r="A145" s="931">
        <v>2</v>
      </c>
      <c r="B145" s="1246">
        <v>46027</v>
      </c>
      <c r="C145" s="1248">
        <v>46033</v>
      </c>
      <c r="D145" s="933">
        <v>67</v>
      </c>
      <c r="E145" s="933" t="s">
        <v>717</v>
      </c>
      <c r="F145" s="933" t="s">
        <v>249</v>
      </c>
      <c r="G145" s="933">
        <v>1</v>
      </c>
      <c r="H145" s="933">
        <v>1</v>
      </c>
      <c r="I145" s="933" t="s">
        <v>670</v>
      </c>
      <c r="J145" s="934">
        <v>1.86363636363636</v>
      </c>
      <c r="K145" s="934">
        <v>1.86363636363636</v>
      </c>
      <c r="L145" s="938">
        <v>0.158730158730159</v>
      </c>
    </row>
    <row r="146" spans="1:12" hidden="1">
      <c r="A146" s="931">
        <v>2</v>
      </c>
      <c r="B146" s="1247">
        <v>46027</v>
      </c>
      <c r="C146" s="1249">
        <v>46033</v>
      </c>
      <c r="D146" s="935">
        <v>68</v>
      </c>
      <c r="E146" s="935" t="s">
        <v>756</v>
      </c>
      <c r="F146" s="935" t="s">
        <v>251</v>
      </c>
      <c r="G146" s="935">
        <v>1</v>
      </c>
      <c r="H146" s="935">
        <v>1</v>
      </c>
      <c r="I146" s="935" t="s">
        <v>670</v>
      </c>
      <c r="J146" s="936">
        <v>2.1363636363636398</v>
      </c>
      <c r="K146" s="936">
        <v>2.1363636363636398</v>
      </c>
      <c r="L146" s="939">
        <v>0.158730158730159</v>
      </c>
    </row>
    <row r="147" spans="1:12" hidden="1">
      <c r="A147" s="931">
        <v>2</v>
      </c>
      <c r="B147" s="1246">
        <v>46027</v>
      </c>
      <c r="C147" s="1248">
        <v>46033</v>
      </c>
      <c r="D147" s="933">
        <v>69</v>
      </c>
      <c r="E147" s="933" t="s">
        <v>747</v>
      </c>
      <c r="F147" s="933" t="s">
        <v>256</v>
      </c>
      <c r="G147" s="933">
        <v>1</v>
      </c>
      <c r="H147" s="933">
        <v>1</v>
      </c>
      <c r="I147" s="933" t="s">
        <v>670</v>
      </c>
      <c r="J147" s="934">
        <v>7.7272727272727302</v>
      </c>
      <c r="K147" s="934">
        <v>7.7272727272727302</v>
      </c>
      <c r="L147" s="938">
        <v>0.158730158730159</v>
      </c>
    </row>
    <row r="148" spans="1:12" hidden="1">
      <c r="A148" s="931">
        <v>2</v>
      </c>
      <c r="B148" s="1247">
        <v>46027</v>
      </c>
      <c r="C148" s="1249">
        <v>46033</v>
      </c>
      <c r="D148" s="935">
        <v>70</v>
      </c>
      <c r="E148" s="935" t="s">
        <v>743</v>
      </c>
      <c r="F148" s="935" t="s">
        <v>251</v>
      </c>
      <c r="G148" s="935">
        <v>1</v>
      </c>
      <c r="H148" s="935">
        <v>1</v>
      </c>
      <c r="I148" s="935" t="s">
        <v>670</v>
      </c>
      <c r="J148" s="936">
        <v>2.4090909090909101</v>
      </c>
      <c r="K148" s="936">
        <v>2.4090909090909101</v>
      </c>
      <c r="L148" s="939">
        <v>0.158730158730159</v>
      </c>
    </row>
    <row r="149" spans="1:12" hidden="1">
      <c r="A149" s="931">
        <v>2</v>
      </c>
      <c r="B149" s="1246">
        <v>46027</v>
      </c>
      <c r="C149" s="1248">
        <v>46033</v>
      </c>
      <c r="D149" s="933">
        <v>71</v>
      </c>
      <c r="E149" s="933" t="s">
        <v>722</v>
      </c>
      <c r="F149" s="933" t="s">
        <v>251</v>
      </c>
      <c r="G149" s="933">
        <v>1</v>
      </c>
      <c r="H149" s="933">
        <v>1</v>
      </c>
      <c r="I149" s="933" t="s">
        <v>670</v>
      </c>
      <c r="J149" s="934">
        <v>2.4090909090909101</v>
      </c>
      <c r="K149" s="934">
        <v>2.4090909090909101</v>
      </c>
      <c r="L149" s="938">
        <v>0.158730158730159</v>
      </c>
    </row>
    <row r="150" spans="1:12" hidden="1">
      <c r="A150" s="931">
        <v>2</v>
      </c>
      <c r="B150" s="1247">
        <v>46027</v>
      </c>
      <c r="C150" s="1249">
        <v>46033</v>
      </c>
      <c r="D150" s="935">
        <v>72</v>
      </c>
      <c r="E150" s="935" t="s">
        <v>739</v>
      </c>
      <c r="F150" s="935" t="s">
        <v>730</v>
      </c>
      <c r="G150" s="935">
        <v>1</v>
      </c>
      <c r="H150" s="935">
        <v>1</v>
      </c>
      <c r="I150" s="935" t="s">
        <v>670</v>
      </c>
      <c r="J150" s="936">
        <v>5.3181818181818201</v>
      </c>
      <c r="K150" s="936">
        <v>5.3181818181818201</v>
      </c>
      <c r="L150" s="939">
        <v>0.158730158730159</v>
      </c>
    </row>
    <row r="151" spans="1:12" hidden="1">
      <c r="A151" s="931">
        <v>2</v>
      </c>
      <c r="B151" s="1246">
        <v>46027</v>
      </c>
      <c r="C151" s="1248">
        <v>46033</v>
      </c>
      <c r="D151" s="933">
        <v>73</v>
      </c>
      <c r="E151" s="933" t="s">
        <v>735</v>
      </c>
      <c r="F151" s="933" t="s">
        <v>730</v>
      </c>
      <c r="G151" s="933">
        <v>1</v>
      </c>
      <c r="H151" s="933">
        <v>1</v>
      </c>
      <c r="I151" s="933" t="s">
        <v>670</v>
      </c>
      <c r="J151" s="934">
        <v>2.8181818181818201</v>
      </c>
      <c r="K151" s="934">
        <v>2.8181818181818201</v>
      </c>
      <c r="L151" s="938">
        <v>0.158730158730159</v>
      </c>
    </row>
    <row r="152" spans="1:12" hidden="1">
      <c r="A152" s="931">
        <v>2</v>
      </c>
      <c r="B152" s="1247">
        <v>46027</v>
      </c>
      <c r="C152" s="1249">
        <v>46033</v>
      </c>
      <c r="D152" s="935">
        <v>74</v>
      </c>
      <c r="E152" s="935" t="s">
        <v>757</v>
      </c>
      <c r="F152" s="935" t="s">
        <v>251</v>
      </c>
      <c r="G152" s="935">
        <v>1</v>
      </c>
      <c r="H152" s="935">
        <v>1</v>
      </c>
      <c r="I152" s="935" t="s">
        <v>670</v>
      </c>
      <c r="J152" s="936">
        <v>2.6363636363636398</v>
      </c>
      <c r="K152" s="936">
        <v>2.6363636363636398</v>
      </c>
      <c r="L152" s="939">
        <v>0.158730158730159</v>
      </c>
    </row>
    <row r="153" spans="1:12" hidden="1">
      <c r="A153" s="931">
        <v>3</v>
      </c>
      <c r="B153" s="1246">
        <v>46034</v>
      </c>
      <c r="C153" s="1248">
        <v>46040</v>
      </c>
      <c r="D153" s="933">
        <v>1</v>
      </c>
      <c r="E153" s="933" t="s">
        <v>248</v>
      </c>
      <c r="F153" s="933" t="s">
        <v>249</v>
      </c>
      <c r="G153" s="933">
        <v>57</v>
      </c>
      <c r="H153" s="933">
        <v>57</v>
      </c>
      <c r="I153" s="933" t="s">
        <v>670</v>
      </c>
      <c r="J153" s="934">
        <v>1.4258373205741599</v>
      </c>
      <c r="K153" s="934">
        <v>81.272727272727295</v>
      </c>
      <c r="L153" s="938">
        <v>10.2702702702703</v>
      </c>
    </row>
    <row r="154" spans="1:12" hidden="1">
      <c r="A154" s="931">
        <v>3</v>
      </c>
      <c r="B154" s="1247">
        <v>46034</v>
      </c>
      <c r="C154" s="1249">
        <v>46040</v>
      </c>
      <c r="D154" s="935">
        <v>2</v>
      </c>
      <c r="E154" s="935" t="s">
        <v>259</v>
      </c>
      <c r="F154" s="935" t="s">
        <v>249</v>
      </c>
      <c r="G154" s="935">
        <v>40</v>
      </c>
      <c r="H154" s="935">
        <v>40</v>
      </c>
      <c r="I154" s="935" t="s">
        <v>670</v>
      </c>
      <c r="J154" s="936">
        <v>1.36022727272727</v>
      </c>
      <c r="K154" s="936">
        <v>54.409090909090899</v>
      </c>
      <c r="L154" s="939">
        <v>7.20720720720721</v>
      </c>
    </row>
    <row r="155" spans="1:12" hidden="1">
      <c r="A155" s="931">
        <v>3</v>
      </c>
      <c r="B155" s="1246">
        <v>46034</v>
      </c>
      <c r="C155" s="1248">
        <v>46040</v>
      </c>
      <c r="D155" s="933">
        <v>3</v>
      </c>
      <c r="E155" s="933" t="s">
        <v>261</v>
      </c>
      <c r="F155" s="933" t="s">
        <v>256</v>
      </c>
      <c r="G155" s="933">
        <v>38</v>
      </c>
      <c r="H155" s="933">
        <v>38</v>
      </c>
      <c r="I155" s="933" t="s">
        <v>670</v>
      </c>
      <c r="J155" s="934">
        <v>2.6052631578947398</v>
      </c>
      <c r="K155" s="934">
        <v>99</v>
      </c>
      <c r="L155" s="938">
        <v>6.8468468468468497</v>
      </c>
    </row>
    <row r="156" spans="1:12" hidden="1">
      <c r="A156" s="931">
        <v>3</v>
      </c>
      <c r="B156" s="1247">
        <v>46034</v>
      </c>
      <c r="C156" s="1249">
        <v>46040</v>
      </c>
      <c r="D156" s="935">
        <v>4</v>
      </c>
      <c r="E156" s="935" t="s">
        <v>255</v>
      </c>
      <c r="F156" s="935" t="s">
        <v>256</v>
      </c>
      <c r="G156" s="935">
        <v>31</v>
      </c>
      <c r="H156" s="935">
        <v>31</v>
      </c>
      <c r="I156" s="935" t="s">
        <v>670</v>
      </c>
      <c r="J156" s="936">
        <v>5.1129032258064502</v>
      </c>
      <c r="K156" s="936">
        <v>158.5</v>
      </c>
      <c r="L156" s="939">
        <v>5.5855855855855898</v>
      </c>
    </row>
    <row r="157" spans="1:12" hidden="1">
      <c r="A157" s="931">
        <v>3</v>
      </c>
      <c r="B157" s="1246">
        <v>46034</v>
      </c>
      <c r="C157" s="1248">
        <v>46040</v>
      </c>
      <c r="D157" s="933">
        <v>5</v>
      </c>
      <c r="E157" s="933" t="s">
        <v>254</v>
      </c>
      <c r="F157" s="933" t="s">
        <v>254</v>
      </c>
      <c r="G157" s="933">
        <v>29</v>
      </c>
      <c r="H157" s="933">
        <v>29</v>
      </c>
      <c r="I157" s="933" t="s">
        <v>670</v>
      </c>
      <c r="J157" s="934">
        <v>13.545454545454501</v>
      </c>
      <c r="K157" s="934">
        <v>392.81818181818198</v>
      </c>
      <c r="L157" s="938">
        <v>5.2252252252252296</v>
      </c>
    </row>
    <row r="158" spans="1:12" hidden="1">
      <c r="A158" s="931">
        <v>3</v>
      </c>
      <c r="B158" s="1247">
        <v>46034</v>
      </c>
      <c r="C158" s="1249">
        <v>46040</v>
      </c>
      <c r="D158" s="935">
        <v>6</v>
      </c>
      <c r="E158" s="935" t="s">
        <v>250</v>
      </c>
      <c r="F158" s="935" t="s">
        <v>251</v>
      </c>
      <c r="G158" s="935">
        <v>24</v>
      </c>
      <c r="H158" s="935">
        <v>24</v>
      </c>
      <c r="I158" s="935" t="s">
        <v>670</v>
      </c>
      <c r="J158" s="936">
        <v>1.63636363636364</v>
      </c>
      <c r="K158" s="936">
        <v>39.272727272727302</v>
      </c>
      <c r="L158" s="939">
        <v>4.3243243243243201</v>
      </c>
    </row>
    <row r="159" spans="1:12" hidden="1">
      <c r="A159" s="931">
        <v>3</v>
      </c>
      <c r="B159" s="1246">
        <v>46034</v>
      </c>
      <c r="C159" s="1248">
        <v>46040</v>
      </c>
      <c r="D159" s="933">
        <v>7</v>
      </c>
      <c r="E159" s="933" t="s">
        <v>671</v>
      </c>
      <c r="F159" s="933" t="s">
        <v>276</v>
      </c>
      <c r="G159" s="933">
        <v>20</v>
      </c>
      <c r="H159" s="933">
        <v>20</v>
      </c>
      <c r="I159" s="933" t="s">
        <v>672</v>
      </c>
      <c r="J159" s="934">
        <v>2.8636363636363602</v>
      </c>
      <c r="K159" s="934">
        <v>57.272727272727302</v>
      </c>
      <c r="L159" s="938">
        <v>3.6036036036036001</v>
      </c>
    </row>
    <row r="160" spans="1:12" hidden="1">
      <c r="A160" s="931">
        <v>3</v>
      </c>
      <c r="B160" s="1247">
        <v>46034</v>
      </c>
      <c r="C160" s="1249">
        <v>46040</v>
      </c>
      <c r="D160" s="935">
        <v>8</v>
      </c>
      <c r="E160" s="935" t="s">
        <v>673</v>
      </c>
      <c r="F160" s="935" t="s">
        <v>251</v>
      </c>
      <c r="G160" s="935">
        <v>20</v>
      </c>
      <c r="H160" s="935">
        <v>20</v>
      </c>
      <c r="I160" s="935" t="s">
        <v>670</v>
      </c>
      <c r="J160" s="936">
        <v>2.12954545454545</v>
      </c>
      <c r="K160" s="936">
        <v>42.590909090909101</v>
      </c>
      <c r="L160" s="939">
        <v>3.6036036036036001</v>
      </c>
    </row>
    <row r="161" spans="1:12" hidden="1">
      <c r="A161" s="931">
        <v>3</v>
      </c>
      <c r="B161" s="1246">
        <v>46034</v>
      </c>
      <c r="C161" s="1248">
        <v>46040</v>
      </c>
      <c r="D161" s="933">
        <v>9</v>
      </c>
      <c r="E161" s="933" t="s">
        <v>680</v>
      </c>
      <c r="F161" s="933" t="s">
        <v>251</v>
      </c>
      <c r="G161" s="933">
        <v>18</v>
      </c>
      <c r="H161" s="933">
        <v>18</v>
      </c>
      <c r="I161" s="933" t="s">
        <v>670</v>
      </c>
      <c r="J161" s="934">
        <v>2.4090909090909101</v>
      </c>
      <c r="K161" s="934">
        <v>43.363636363636402</v>
      </c>
      <c r="L161" s="938">
        <v>3.2432432432432399</v>
      </c>
    </row>
    <row r="162" spans="1:12" hidden="1">
      <c r="A162" s="931">
        <v>3</v>
      </c>
      <c r="B162" s="1247">
        <v>46034</v>
      </c>
      <c r="C162" s="1249">
        <v>46040</v>
      </c>
      <c r="D162" s="935">
        <v>10</v>
      </c>
      <c r="E162" s="935" t="s">
        <v>678</v>
      </c>
      <c r="F162" s="935" t="s">
        <v>256</v>
      </c>
      <c r="G162" s="935">
        <v>17</v>
      </c>
      <c r="H162" s="935">
        <v>17</v>
      </c>
      <c r="I162" s="935" t="s">
        <v>670</v>
      </c>
      <c r="J162" s="936">
        <v>5.9411764705882302</v>
      </c>
      <c r="K162" s="936">
        <v>101</v>
      </c>
      <c r="L162" s="939">
        <v>3.0630630630630602</v>
      </c>
    </row>
    <row r="163" spans="1:12" hidden="1">
      <c r="A163" s="931">
        <v>3</v>
      </c>
      <c r="B163" s="1246">
        <v>46034</v>
      </c>
      <c r="C163" s="1248">
        <v>46040</v>
      </c>
      <c r="D163" s="933">
        <v>11</v>
      </c>
      <c r="E163" s="933" t="s">
        <v>716</v>
      </c>
      <c r="F163" s="933" t="s">
        <v>251</v>
      </c>
      <c r="G163" s="933">
        <v>14</v>
      </c>
      <c r="H163" s="933">
        <v>14</v>
      </c>
      <c r="I163" s="933" t="s">
        <v>670</v>
      </c>
      <c r="J163" s="934">
        <v>0</v>
      </c>
      <c r="K163" s="934">
        <v>0</v>
      </c>
      <c r="L163" s="938">
        <v>2.5225225225225198</v>
      </c>
    </row>
    <row r="164" spans="1:12" hidden="1">
      <c r="A164" s="931">
        <v>3</v>
      </c>
      <c r="B164" s="1247">
        <v>46034</v>
      </c>
      <c r="C164" s="1249">
        <v>46040</v>
      </c>
      <c r="D164" s="935">
        <v>12</v>
      </c>
      <c r="E164" s="935" t="s">
        <v>262</v>
      </c>
      <c r="F164" s="935" t="s">
        <v>256</v>
      </c>
      <c r="G164" s="935">
        <v>14</v>
      </c>
      <c r="H164" s="935">
        <v>14</v>
      </c>
      <c r="I164" s="935" t="s">
        <v>670</v>
      </c>
      <c r="J164" s="936">
        <v>10.8019480519481</v>
      </c>
      <c r="K164" s="936">
        <v>151.227272727273</v>
      </c>
      <c r="L164" s="939">
        <v>2.5225225225225198</v>
      </c>
    </row>
    <row r="165" spans="1:12" hidden="1">
      <c r="A165" s="931">
        <v>3</v>
      </c>
      <c r="B165" s="1246">
        <v>46034</v>
      </c>
      <c r="C165" s="1248">
        <v>46040</v>
      </c>
      <c r="D165" s="933">
        <v>13</v>
      </c>
      <c r="E165" s="933" t="s">
        <v>675</v>
      </c>
      <c r="F165" s="933" t="s">
        <v>256</v>
      </c>
      <c r="G165" s="933">
        <v>12</v>
      </c>
      <c r="H165" s="933">
        <v>12</v>
      </c>
      <c r="I165" s="933" t="s">
        <v>670</v>
      </c>
      <c r="J165" s="934">
        <v>4.7727272727272698</v>
      </c>
      <c r="K165" s="934">
        <v>57.272727272727302</v>
      </c>
      <c r="L165" s="938">
        <v>2.1621621621621601</v>
      </c>
    </row>
    <row r="166" spans="1:12" hidden="1">
      <c r="A166" s="931">
        <v>3</v>
      </c>
      <c r="B166" s="1247">
        <v>46034</v>
      </c>
      <c r="C166" s="1249">
        <v>46040</v>
      </c>
      <c r="D166" s="935">
        <v>14</v>
      </c>
      <c r="E166" s="935" t="s">
        <v>698</v>
      </c>
      <c r="F166" s="935" t="s">
        <v>249</v>
      </c>
      <c r="G166" s="935">
        <v>11</v>
      </c>
      <c r="H166" s="935">
        <v>11</v>
      </c>
      <c r="I166" s="935" t="s">
        <v>670</v>
      </c>
      <c r="J166" s="936">
        <v>2.3181818181818201</v>
      </c>
      <c r="K166" s="936">
        <v>25.5</v>
      </c>
      <c r="L166" s="939">
        <v>1.9819819819819799</v>
      </c>
    </row>
    <row r="167" spans="1:12" hidden="1">
      <c r="A167" s="931">
        <v>3</v>
      </c>
      <c r="B167" s="1246">
        <v>46034</v>
      </c>
      <c r="C167" s="1248">
        <v>46040</v>
      </c>
      <c r="D167" s="933">
        <v>15</v>
      </c>
      <c r="E167" s="933" t="s">
        <v>679</v>
      </c>
      <c r="F167" s="933" t="s">
        <v>256</v>
      </c>
      <c r="G167" s="933">
        <v>11</v>
      </c>
      <c r="H167" s="933">
        <v>11</v>
      </c>
      <c r="I167" s="933" t="s">
        <v>670</v>
      </c>
      <c r="J167" s="934">
        <v>9.0454545454545396</v>
      </c>
      <c r="K167" s="934">
        <v>99.5</v>
      </c>
      <c r="L167" s="938">
        <v>1.9819819819819799</v>
      </c>
    </row>
    <row r="168" spans="1:12" hidden="1">
      <c r="A168" s="931">
        <v>3</v>
      </c>
      <c r="B168" s="1247">
        <v>46034</v>
      </c>
      <c r="C168" s="1249">
        <v>46040</v>
      </c>
      <c r="D168" s="935">
        <v>16</v>
      </c>
      <c r="E168" s="935" t="s">
        <v>686</v>
      </c>
      <c r="F168" s="935" t="s">
        <v>274</v>
      </c>
      <c r="G168" s="935">
        <v>10</v>
      </c>
      <c r="H168" s="935">
        <v>10</v>
      </c>
      <c r="I168" s="935" t="s">
        <v>670</v>
      </c>
      <c r="J168" s="936">
        <v>13.545454545454501</v>
      </c>
      <c r="K168" s="936">
        <v>135.45454545454501</v>
      </c>
      <c r="L168" s="939">
        <v>1.8018018018018001</v>
      </c>
    </row>
    <row r="169" spans="1:12" hidden="1">
      <c r="A169" s="931">
        <v>3</v>
      </c>
      <c r="B169" s="1246">
        <v>46034</v>
      </c>
      <c r="C169" s="1248">
        <v>46040</v>
      </c>
      <c r="D169" s="933">
        <v>17</v>
      </c>
      <c r="E169" s="933" t="s">
        <v>685</v>
      </c>
      <c r="F169" s="933" t="s">
        <v>256</v>
      </c>
      <c r="G169" s="933">
        <v>10</v>
      </c>
      <c r="H169" s="933">
        <v>10</v>
      </c>
      <c r="I169" s="933" t="s">
        <v>670</v>
      </c>
      <c r="J169" s="934">
        <v>8.0909090909090899</v>
      </c>
      <c r="K169" s="934">
        <v>80.909090909090907</v>
      </c>
      <c r="L169" s="938">
        <v>1.8018018018018001</v>
      </c>
    </row>
    <row r="170" spans="1:12" hidden="1">
      <c r="A170" s="931">
        <v>3</v>
      </c>
      <c r="B170" s="1247">
        <v>46034</v>
      </c>
      <c r="C170" s="1249">
        <v>46040</v>
      </c>
      <c r="D170" s="935">
        <v>18</v>
      </c>
      <c r="E170" s="935" t="s">
        <v>727</v>
      </c>
      <c r="F170" s="935" t="s">
        <v>275</v>
      </c>
      <c r="G170" s="935">
        <v>10</v>
      </c>
      <c r="H170" s="935">
        <v>10</v>
      </c>
      <c r="I170" s="935" t="s">
        <v>670</v>
      </c>
      <c r="J170" s="936">
        <v>0</v>
      </c>
      <c r="K170" s="936">
        <v>0</v>
      </c>
      <c r="L170" s="939">
        <v>1.8018018018018001</v>
      </c>
    </row>
    <row r="171" spans="1:12" hidden="1">
      <c r="A171" s="931">
        <v>3</v>
      </c>
      <c r="B171" s="1246">
        <v>46034</v>
      </c>
      <c r="C171" s="1248">
        <v>46040</v>
      </c>
      <c r="D171" s="933">
        <v>19</v>
      </c>
      <c r="E171" s="933" t="s">
        <v>681</v>
      </c>
      <c r="F171" s="933" t="s">
        <v>282</v>
      </c>
      <c r="G171" s="933">
        <v>9</v>
      </c>
      <c r="H171" s="933">
        <v>9</v>
      </c>
      <c r="I171" s="933" t="s">
        <v>672</v>
      </c>
      <c r="J171" s="934">
        <v>4.5454545454545497E-2</v>
      </c>
      <c r="K171" s="934">
        <v>0.40909090909090901</v>
      </c>
      <c r="L171" s="938">
        <v>1.6216216216216199</v>
      </c>
    </row>
    <row r="172" spans="1:12" hidden="1">
      <c r="A172" s="931">
        <v>3</v>
      </c>
      <c r="B172" s="1247">
        <v>46034</v>
      </c>
      <c r="C172" s="1249">
        <v>46040</v>
      </c>
      <c r="D172" s="935">
        <v>20</v>
      </c>
      <c r="E172" s="935" t="s">
        <v>674</v>
      </c>
      <c r="F172" s="935" t="s">
        <v>275</v>
      </c>
      <c r="G172" s="935">
        <v>9</v>
      </c>
      <c r="H172" s="935">
        <v>9</v>
      </c>
      <c r="I172" s="935" t="s">
        <v>670</v>
      </c>
      <c r="J172" s="936">
        <v>4.6464646464646497</v>
      </c>
      <c r="K172" s="936">
        <v>41.818181818181799</v>
      </c>
      <c r="L172" s="939">
        <v>1.6216216216216199</v>
      </c>
    </row>
    <row r="173" spans="1:12" hidden="1">
      <c r="A173" s="931">
        <v>3</v>
      </c>
      <c r="B173" s="1246">
        <v>46034</v>
      </c>
      <c r="C173" s="1248">
        <v>46040</v>
      </c>
      <c r="D173" s="933">
        <v>21</v>
      </c>
      <c r="E173" s="933" t="s">
        <v>738</v>
      </c>
      <c r="F173" s="933" t="s">
        <v>256</v>
      </c>
      <c r="G173" s="933">
        <v>8</v>
      </c>
      <c r="H173" s="933">
        <v>8</v>
      </c>
      <c r="I173" s="933" t="s">
        <v>670</v>
      </c>
      <c r="J173" s="934">
        <v>6.8181818181818201</v>
      </c>
      <c r="K173" s="934">
        <v>54.545454545454497</v>
      </c>
      <c r="L173" s="938">
        <v>1.44144144144144</v>
      </c>
    </row>
    <row r="174" spans="1:12" hidden="1">
      <c r="A174" s="931">
        <v>3</v>
      </c>
      <c r="B174" s="1247">
        <v>46034</v>
      </c>
      <c r="C174" s="1249">
        <v>46040</v>
      </c>
      <c r="D174" s="935">
        <v>22</v>
      </c>
      <c r="E174" s="935" t="s">
        <v>687</v>
      </c>
      <c r="F174" s="935" t="s">
        <v>253</v>
      </c>
      <c r="G174" s="935">
        <v>8</v>
      </c>
      <c r="H174" s="935">
        <v>8</v>
      </c>
      <c r="I174" s="935" t="s">
        <v>670</v>
      </c>
      <c r="J174" s="936">
        <v>2.7670454545454599</v>
      </c>
      <c r="K174" s="936">
        <v>22.136363636363601</v>
      </c>
      <c r="L174" s="939">
        <v>1.44144144144144</v>
      </c>
    </row>
    <row r="175" spans="1:12" hidden="1">
      <c r="A175" s="931">
        <v>3</v>
      </c>
      <c r="B175" s="1246">
        <v>46034</v>
      </c>
      <c r="C175" s="1248">
        <v>46040</v>
      </c>
      <c r="D175" s="933">
        <v>23</v>
      </c>
      <c r="E175" s="933" t="s">
        <v>706</v>
      </c>
      <c r="F175" s="933" t="s">
        <v>256</v>
      </c>
      <c r="G175" s="933">
        <v>7</v>
      </c>
      <c r="H175" s="933">
        <v>7</v>
      </c>
      <c r="I175" s="933" t="s">
        <v>670</v>
      </c>
      <c r="J175" s="934">
        <v>12.636363636363599</v>
      </c>
      <c r="K175" s="934">
        <v>88.454545454545496</v>
      </c>
      <c r="L175" s="938">
        <v>1.2612612612612599</v>
      </c>
    </row>
    <row r="176" spans="1:12" hidden="1">
      <c r="A176" s="931">
        <v>3</v>
      </c>
      <c r="B176" s="1247">
        <v>46034</v>
      </c>
      <c r="C176" s="1249">
        <v>46040</v>
      </c>
      <c r="D176" s="935">
        <v>24</v>
      </c>
      <c r="E176" s="935" t="s">
        <v>697</v>
      </c>
      <c r="F176" s="935" t="s">
        <v>256</v>
      </c>
      <c r="G176" s="935">
        <v>6</v>
      </c>
      <c r="H176" s="935">
        <v>6</v>
      </c>
      <c r="I176" s="935" t="s">
        <v>670</v>
      </c>
      <c r="J176" s="936">
        <v>9.6969696969697008</v>
      </c>
      <c r="K176" s="936">
        <v>58.181818181818201</v>
      </c>
      <c r="L176" s="939">
        <v>1.08108108108108</v>
      </c>
    </row>
    <row r="177" spans="1:12" hidden="1">
      <c r="A177" s="931">
        <v>3</v>
      </c>
      <c r="B177" s="1246">
        <v>46034</v>
      </c>
      <c r="C177" s="1248">
        <v>46040</v>
      </c>
      <c r="D177" s="933">
        <v>25</v>
      </c>
      <c r="E177" s="933" t="s">
        <v>740</v>
      </c>
      <c r="F177" s="933" t="s">
        <v>264</v>
      </c>
      <c r="G177" s="933">
        <v>5</v>
      </c>
      <c r="H177" s="933">
        <v>5</v>
      </c>
      <c r="I177" s="933" t="s">
        <v>741</v>
      </c>
      <c r="J177" s="934">
        <v>2.5</v>
      </c>
      <c r="K177" s="934">
        <v>12.5</v>
      </c>
      <c r="L177" s="938">
        <v>0.90090090090090102</v>
      </c>
    </row>
    <row r="178" spans="1:12" hidden="1">
      <c r="A178" s="931">
        <v>3</v>
      </c>
      <c r="B178" s="1247">
        <v>46034</v>
      </c>
      <c r="C178" s="1249">
        <v>46040</v>
      </c>
      <c r="D178" s="935">
        <v>26</v>
      </c>
      <c r="E178" s="935" t="s">
        <v>677</v>
      </c>
      <c r="F178" s="935" t="s">
        <v>249</v>
      </c>
      <c r="G178" s="935">
        <v>5</v>
      </c>
      <c r="H178" s="935">
        <v>5</v>
      </c>
      <c r="I178" s="935" t="s">
        <v>670</v>
      </c>
      <c r="J178" s="936">
        <v>1.77272727272727</v>
      </c>
      <c r="K178" s="936">
        <v>8.8636363636363598</v>
      </c>
      <c r="L178" s="939">
        <v>0.90090090090090102</v>
      </c>
    </row>
    <row r="179" spans="1:12" hidden="1">
      <c r="A179" s="931">
        <v>3</v>
      </c>
      <c r="B179" s="1246">
        <v>46034</v>
      </c>
      <c r="C179" s="1248">
        <v>46040</v>
      </c>
      <c r="D179" s="933">
        <v>27</v>
      </c>
      <c r="E179" s="933" t="s">
        <v>682</v>
      </c>
      <c r="F179" s="933" t="s">
        <v>275</v>
      </c>
      <c r="G179" s="933">
        <v>5</v>
      </c>
      <c r="H179" s="933">
        <v>5</v>
      </c>
      <c r="I179" s="933" t="s">
        <v>670</v>
      </c>
      <c r="J179" s="934">
        <v>4.8636363636363598</v>
      </c>
      <c r="K179" s="934">
        <v>24.318181818181799</v>
      </c>
      <c r="L179" s="938">
        <v>0.90090090090090102</v>
      </c>
    </row>
    <row r="180" spans="1:12" hidden="1">
      <c r="A180" s="931">
        <v>3</v>
      </c>
      <c r="B180" s="1247">
        <v>46034</v>
      </c>
      <c r="C180" s="1249">
        <v>46040</v>
      </c>
      <c r="D180" s="935">
        <v>28</v>
      </c>
      <c r="E180" s="935" t="s">
        <v>759</v>
      </c>
      <c r="F180" s="935" t="s">
        <v>256</v>
      </c>
      <c r="G180" s="935">
        <v>5</v>
      </c>
      <c r="H180" s="935">
        <v>5</v>
      </c>
      <c r="I180" s="935" t="s">
        <v>670</v>
      </c>
      <c r="J180" s="936">
        <v>7.7272727272727302</v>
      </c>
      <c r="K180" s="936">
        <v>38.636363636363598</v>
      </c>
      <c r="L180" s="939">
        <v>0.90090090090090102</v>
      </c>
    </row>
    <row r="181" spans="1:12" hidden="1">
      <c r="A181" s="931">
        <v>3</v>
      </c>
      <c r="B181" s="1246">
        <v>46034</v>
      </c>
      <c r="C181" s="1248">
        <v>46040</v>
      </c>
      <c r="D181" s="933">
        <v>29</v>
      </c>
      <c r="E181" s="933" t="s">
        <v>760</v>
      </c>
      <c r="F181" s="933" t="s">
        <v>253</v>
      </c>
      <c r="G181" s="933">
        <v>5</v>
      </c>
      <c r="H181" s="933">
        <v>5</v>
      </c>
      <c r="I181" s="933" t="s">
        <v>672</v>
      </c>
      <c r="J181" s="934">
        <v>0</v>
      </c>
      <c r="K181" s="934">
        <v>0</v>
      </c>
      <c r="L181" s="938">
        <v>0.90090090090090102</v>
      </c>
    </row>
    <row r="182" spans="1:12" hidden="1">
      <c r="A182" s="931">
        <v>3</v>
      </c>
      <c r="B182" s="1247">
        <v>46034</v>
      </c>
      <c r="C182" s="1249">
        <v>46040</v>
      </c>
      <c r="D182" s="935">
        <v>30</v>
      </c>
      <c r="E182" s="935" t="s">
        <v>723</v>
      </c>
      <c r="F182" s="935" t="s">
        <v>713</v>
      </c>
      <c r="G182" s="935">
        <v>4</v>
      </c>
      <c r="H182" s="935">
        <v>4</v>
      </c>
      <c r="I182" s="935" t="s">
        <v>670</v>
      </c>
      <c r="J182" s="936">
        <v>2.8181818181818201</v>
      </c>
      <c r="K182" s="936">
        <v>11.2727272727273</v>
      </c>
      <c r="L182" s="939">
        <v>0.72072072072072102</v>
      </c>
    </row>
    <row r="183" spans="1:12" hidden="1">
      <c r="A183" s="931">
        <v>3</v>
      </c>
      <c r="B183" s="1246">
        <v>46034</v>
      </c>
      <c r="C183" s="1248">
        <v>46040</v>
      </c>
      <c r="D183" s="933">
        <v>31</v>
      </c>
      <c r="E183" s="933" t="s">
        <v>676</v>
      </c>
      <c r="F183" s="933" t="s">
        <v>253</v>
      </c>
      <c r="G183" s="933">
        <v>4</v>
      </c>
      <c r="H183" s="933">
        <v>4</v>
      </c>
      <c r="I183" s="933" t="s">
        <v>670</v>
      </c>
      <c r="J183" s="934">
        <v>2.6818181818181799</v>
      </c>
      <c r="K183" s="934">
        <v>10.7272727272727</v>
      </c>
      <c r="L183" s="938">
        <v>0.72072072072072102</v>
      </c>
    </row>
    <row r="184" spans="1:12" hidden="1">
      <c r="A184" s="931">
        <v>3</v>
      </c>
      <c r="B184" s="1247">
        <v>46034</v>
      </c>
      <c r="C184" s="1249">
        <v>46040</v>
      </c>
      <c r="D184" s="935">
        <v>32</v>
      </c>
      <c r="E184" s="935" t="s">
        <v>694</v>
      </c>
      <c r="F184" s="935" t="s">
        <v>695</v>
      </c>
      <c r="G184" s="935">
        <v>4</v>
      </c>
      <c r="H184" s="935">
        <v>4</v>
      </c>
      <c r="I184" s="935" t="s">
        <v>670</v>
      </c>
      <c r="J184" s="936">
        <v>3.6136363636363602</v>
      </c>
      <c r="K184" s="936">
        <v>14.4545454545454</v>
      </c>
      <c r="L184" s="939">
        <v>0.72072072072072102</v>
      </c>
    </row>
    <row r="185" spans="1:12" hidden="1">
      <c r="A185" s="931">
        <v>3</v>
      </c>
      <c r="B185" s="1246">
        <v>46034</v>
      </c>
      <c r="C185" s="1248">
        <v>46040</v>
      </c>
      <c r="D185" s="933">
        <v>33</v>
      </c>
      <c r="E185" s="933" t="s">
        <v>684</v>
      </c>
      <c r="F185" s="933" t="s">
        <v>323</v>
      </c>
      <c r="G185" s="933">
        <v>4</v>
      </c>
      <c r="H185" s="933">
        <v>4</v>
      </c>
      <c r="I185" s="933" t="s">
        <v>670</v>
      </c>
      <c r="J185" s="934">
        <v>8.9090909090909101</v>
      </c>
      <c r="K185" s="934">
        <v>35.636363636363598</v>
      </c>
      <c r="L185" s="938">
        <v>0.72072072072072102</v>
      </c>
    </row>
    <row r="186" spans="1:12" hidden="1">
      <c r="A186" s="931">
        <v>3</v>
      </c>
      <c r="B186" s="1247">
        <v>46034</v>
      </c>
      <c r="C186" s="1249">
        <v>46040</v>
      </c>
      <c r="D186" s="935">
        <v>34</v>
      </c>
      <c r="E186" s="935" t="s">
        <v>700</v>
      </c>
      <c r="F186" s="935" t="s">
        <v>274</v>
      </c>
      <c r="G186" s="935">
        <v>4</v>
      </c>
      <c r="H186" s="935">
        <v>4</v>
      </c>
      <c r="I186" s="935" t="s">
        <v>670</v>
      </c>
      <c r="J186" s="936">
        <v>9</v>
      </c>
      <c r="K186" s="936">
        <v>36</v>
      </c>
      <c r="L186" s="939">
        <v>0.72072072072072102</v>
      </c>
    </row>
    <row r="187" spans="1:12" hidden="1">
      <c r="A187" s="931">
        <v>3</v>
      </c>
      <c r="B187" s="1246">
        <v>46034</v>
      </c>
      <c r="C187" s="1248">
        <v>46040</v>
      </c>
      <c r="D187" s="933">
        <v>35</v>
      </c>
      <c r="E187" s="933" t="s">
        <v>721</v>
      </c>
      <c r="F187" s="933" t="s">
        <v>256</v>
      </c>
      <c r="G187" s="933">
        <v>4</v>
      </c>
      <c r="H187" s="933">
        <v>4</v>
      </c>
      <c r="I187" s="933" t="s">
        <v>670</v>
      </c>
      <c r="J187" s="934">
        <v>10.4545454545454</v>
      </c>
      <c r="K187" s="934">
        <v>41.818181818181799</v>
      </c>
      <c r="L187" s="938">
        <v>0.72072072072072102</v>
      </c>
    </row>
    <row r="188" spans="1:12" hidden="1">
      <c r="A188" s="931">
        <v>3</v>
      </c>
      <c r="B188" s="1247">
        <v>46034</v>
      </c>
      <c r="C188" s="1249">
        <v>46040</v>
      </c>
      <c r="D188" s="935">
        <v>36</v>
      </c>
      <c r="E188" s="935" t="s">
        <v>742</v>
      </c>
      <c r="F188" s="935" t="s">
        <v>251</v>
      </c>
      <c r="G188" s="935">
        <v>4</v>
      </c>
      <c r="H188" s="935">
        <v>4</v>
      </c>
      <c r="I188" s="935" t="s">
        <v>670</v>
      </c>
      <c r="J188" s="936">
        <v>2.7272727272727302</v>
      </c>
      <c r="K188" s="936">
        <v>10.909090909090899</v>
      </c>
      <c r="L188" s="939">
        <v>0.72072072072072102</v>
      </c>
    </row>
    <row r="189" spans="1:12" hidden="1">
      <c r="A189" s="931">
        <v>3</v>
      </c>
      <c r="B189" s="1246">
        <v>46034</v>
      </c>
      <c r="C189" s="1248">
        <v>46040</v>
      </c>
      <c r="D189" s="933">
        <v>37</v>
      </c>
      <c r="E189" s="933" t="s">
        <v>731</v>
      </c>
      <c r="F189" s="933" t="s">
        <v>251</v>
      </c>
      <c r="G189" s="933">
        <v>4</v>
      </c>
      <c r="H189" s="933">
        <v>4</v>
      </c>
      <c r="I189" s="933" t="s">
        <v>670</v>
      </c>
      <c r="J189" s="934">
        <v>2.4090909090909101</v>
      </c>
      <c r="K189" s="934">
        <v>9.6363636363636296</v>
      </c>
      <c r="L189" s="938">
        <v>0.72072072072072102</v>
      </c>
    </row>
    <row r="190" spans="1:12" hidden="1">
      <c r="A190" s="931">
        <v>3</v>
      </c>
      <c r="B190" s="1247">
        <v>46034</v>
      </c>
      <c r="C190" s="1249">
        <v>46040</v>
      </c>
      <c r="D190" s="935">
        <v>38</v>
      </c>
      <c r="E190" s="935" t="s">
        <v>702</v>
      </c>
      <c r="F190" s="935" t="s">
        <v>251</v>
      </c>
      <c r="G190" s="935">
        <v>3</v>
      </c>
      <c r="H190" s="935">
        <v>3</v>
      </c>
      <c r="I190" s="935" t="s">
        <v>670</v>
      </c>
      <c r="J190" s="936">
        <v>2.4090909090909101</v>
      </c>
      <c r="K190" s="936">
        <v>7.2272727272727302</v>
      </c>
      <c r="L190" s="939">
        <v>0.54054054054054101</v>
      </c>
    </row>
    <row r="191" spans="1:12" hidden="1">
      <c r="A191" s="931">
        <v>3</v>
      </c>
      <c r="B191" s="1246">
        <v>46034</v>
      </c>
      <c r="C191" s="1248">
        <v>46040</v>
      </c>
      <c r="D191" s="933">
        <v>39</v>
      </c>
      <c r="E191" s="933" t="s">
        <v>745</v>
      </c>
      <c r="F191" s="933" t="s">
        <v>275</v>
      </c>
      <c r="G191" s="933">
        <v>3</v>
      </c>
      <c r="H191" s="933">
        <v>3</v>
      </c>
      <c r="I191" s="933" t="s">
        <v>670</v>
      </c>
      <c r="J191" s="934">
        <v>4.7727272727272698</v>
      </c>
      <c r="K191" s="934">
        <v>14.318181818181801</v>
      </c>
      <c r="L191" s="938">
        <v>0.54054054054054101</v>
      </c>
    </row>
    <row r="192" spans="1:12" hidden="1">
      <c r="A192" s="931">
        <v>3</v>
      </c>
      <c r="B192" s="1247">
        <v>46034</v>
      </c>
      <c r="C192" s="1249">
        <v>46040</v>
      </c>
      <c r="D192" s="935">
        <v>40</v>
      </c>
      <c r="E192" s="935" t="s">
        <v>703</v>
      </c>
      <c r="F192" s="935" t="s">
        <v>256</v>
      </c>
      <c r="G192" s="935">
        <v>3</v>
      </c>
      <c r="H192" s="935">
        <v>3</v>
      </c>
      <c r="I192" s="935" t="s">
        <v>670</v>
      </c>
      <c r="J192" s="936">
        <v>1.8181818181818199</v>
      </c>
      <c r="K192" s="936">
        <v>5.4545454545454497</v>
      </c>
      <c r="L192" s="939">
        <v>0.54054054054054101</v>
      </c>
    </row>
    <row r="193" spans="1:12" hidden="1">
      <c r="A193" s="931">
        <v>3</v>
      </c>
      <c r="B193" s="1246">
        <v>46034</v>
      </c>
      <c r="C193" s="1248">
        <v>46040</v>
      </c>
      <c r="D193" s="933">
        <v>41</v>
      </c>
      <c r="E193" s="933" t="s">
        <v>688</v>
      </c>
      <c r="F193" s="933" t="s">
        <v>689</v>
      </c>
      <c r="G193" s="933">
        <v>3</v>
      </c>
      <c r="H193" s="933">
        <v>3</v>
      </c>
      <c r="I193" s="933" t="s">
        <v>670</v>
      </c>
      <c r="J193" s="934">
        <v>9.9090909090909101</v>
      </c>
      <c r="K193" s="934">
        <v>29.727272727272702</v>
      </c>
      <c r="L193" s="938">
        <v>0.54054054054054101</v>
      </c>
    </row>
    <row r="194" spans="1:12" hidden="1">
      <c r="A194" s="931">
        <v>3</v>
      </c>
      <c r="B194" s="1247">
        <v>46034</v>
      </c>
      <c r="C194" s="1249">
        <v>46040</v>
      </c>
      <c r="D194" s="935">
        <v>42</v>
      </c>
      <c r="E194" s="935" t="s">
        <v>755</v>
      </c>
      <c r="F194" s="935" t="s">
        <v>251</v>
      </c>
      <c r="G194" s="935">
        <v>3</v>
      </c>
      <c r="H194" s="935">
        <v>3</v>
      </c>
      <c r="I194" s="935" t="s">
        <v>670</v>
      </c>
      <c r="J194" s="936">
        <v>1.9090909090909101</v>
      </c>
      <c r="K194" s="936">
        <v>5.7272727272727302</v>
      </c>
      <c r="L194" s="939">
        <v>0.54054054054054101</v>
      </c>
    </row>
    <row r="195" spans="1:12" hidden="1">
      <c r="A195" s="931">
        <v>3</v>
      </c>
      <c r="B195" s="1246">
        <v>46034</v>
      </c>
      <c r="C195" s="1248">
        <v>46040</v>
      </c>
      <c r="D195" s="933">
        <v>43</v>
      </c>
      <c r="E195" s="933" t="s">
        <v>708</v>
      </c>
      <c r="F195" s="933" t="s">
        <v>251</v>
      </c>
      <c r="G195" s="933">
        <v>3</v>
      </c>
      <c r="H195" s="933">
        <v>3</v>
      </c>
      <c r="I195" s="933" t="s">
        <v>670</v>
      </c>
      <c r="J195" s="934">
        <v>1.77272727272727</v>
      </c>
      <c r="K195" s="934">
        <v>5.3181818181818201</v>
      </c>
      <c r="L195" s="938">
        <v>0.54054054054054101</v>
      </c>
    </row>
    <row r="196" spans="1:12" hidden="1">
      <c r="A196" s="931">
        <v>3</v>
      </c>
      <c r="B196" s="1247">
        <v>46034</v>
      </c>
      <c r="C196" s="1249">
        <v>46040</v>
      </c>
      <c r="D196" s="935">
        <v>44</v>
      </c>
      <c r="E196" s="935" t="s">
        <v>743</v>
      </c>
      <c r="F196" s="935" t="s">
        <v>251</v>
      </c>
      <c r="G196" s="935">
        <v>3</v>
      </c>
      <c r="H196" s="935">
        <v>3</v>
      </c>
      <c r="I196" s="935" t="s">
        <v>670</v>
      </c>
      <c r="J196" s="936">
        <v>2.4090909090909101</v>
      </c>
      <c r="K196" s="936">
        <v>7.2272727272727302</v>
      </c>
      <c r="L196" s="939">
        <v>0.54054054054054101</v>
      </c>
    </row>
    <row r="197" spans="1:12" hidden="1">
      <c r="A197" s="931">
        <v>3</v>
      </c>
      <c r="B197" s="1246">
        <v>46034</v>
      </c>
      <c r="C197" s="1248">
        <v>46040</v>
      </c>
      <c r="D197" s="933">
        <v>45</v>
      </c>
      <c r="E197" s="933" t="s">
        <v>710</v>
      </c>
      <c r="F197" s="933" t="s">
        <v>249</v>
      </c>
      <c r="G197" s="933">
        <v>3</v>
      </c>
      <c r="H197" s="933">
        <v>3</v>
      </c>
      <c r="I197" s="933" t="s">
        <v>670</v>
      </c>
      <c r="J197" s="934">
        <v>2.4090909090909101</v>
      </c>
      <c r="K197" s="934">
        <v>7.2272727272727302</v>
      </c>
      <c r="L197" s="938">
        <v>0.54054054054054101</v>
      </c>
    </row>
    <row r="198" spans="1:12" hidden="1">
      <c r="A198" s="931">
        <v>3</v>
      </c>
      <c r="B198" s="1247">
        <v>46034</v>
      </c>
      <c r="C198" s="1249">
        <v>46040</v>
      </c>
      <c r="D198" s="935">
        <v>46</v>
      </c>
      <c r="E198" s="935" t="s">
        <v>752</v>
      </c>
      <c r="F198" s="935" t="s">
        <v>264</v>
      </c>
      <c r="G198" s="935">
        <v>3</v>
      </c>
      <c r="H198" s="935">
        <v>3</v>
      </c>
      <c r="I198" s="935" t="s">
        <v>670</v>
      </c>
      <c r="J198" s="936">
        <v>1.4545454545454499</v>
      </c>
      <c r="K198" s="936">
        <v>4.3636363636363598</v>
      </c>
      <c r="L198" s="939">
        <v>0.54054054054054101</v>
      </c>
    </row>
    <row r="199" spans="1:12" hidden="1">
      <c r="A199" s="931">
        <v>3</v>
      </c>
      <c r="B199" s="1246">
        <v>46034</v>
      </c>
      <c r="C199" s="1248">
        <v>46040</v>
      </c>
      <c r="D199" s="933">
        <v>47</v>
      </c>
      <c r="E199" s="933" t="s">
        <v>761</v>
      </c>
      <c r="F199" s="933" t="s">
        <v>730</v>
      </c>
      <c r="G199" s="933">
        <v>2</v>
      </c>
      <c r="H199" s="933">
        <v>2</v>
      </c>
      <c r="I199" s="933" t="s">
        <v>670</v>
      </c>
      <c r="J199" s="934">
        <v>2.8181818181818201</v>
      </c>
      <c r="K199" s="934">
        <v>5.6363636363636402</v>
      </c>
      <c r="L199" s="938">
        <v>0.36036036036036001</v>
      </c>
    </row>
    <row r="200" spans="1:12" hidden="1">
      <c r="A200" s="931">
        <v>3</v>
      </c>
      <c r="B200" s="1247">
        <v>46034</v>
      </c>
      <c r="C200" s="1249">
        <v>46040</v>
      </c>
      <c r="D200" s="935">
        <v>48</v>
      </c>
      <c r="E200" s="935" t="s">
        <v>762</v>
      </c>
      <c r="F200" s="935" t="s">
        <v>323</v>
      </c>
      <c r="G200" s="935">
        <v>2</v>
      </c>
      <c r="H200" s="935">
        <v>2</v>
      </c>
      <c r="I200" s="935" t="s">
        <v>670</v>
      </c>
      <c r="J200" s="936">
        <v>2.7272727272727302</v>
      </c>
      <c r="K200" s="936">
        <v>5.4545454545454497</v>
      </c>
      <c r="L200" s="939">
        <v>0.36036036036036001</v>
      </c>
    </row>
    <row r="201" spans="1:12" hidden="1">
      <c r="A201" s="931">
        <v>3</v>
      </c>
      <c r="B201" s="1246">
        <v>46034</v>
      </c>
      <c r="C201" s="1248">
        <v>46040</v>
      </c>
      <c r="D201" s="933">
        <v>49</v>
      </c>
      <c r="E201" s="933" t="s">
        <v>691</v>
      </c>
      <c r="F201" s="933" t="s">
        <v>251</v>
      </c>
      <c r="G201" s="933">
        <v>2</v>
      </c>
      <c r="H201" s="933">
        <v>2</v>
      </c>
      <c r="I201" s="933" t="s">
        <v>670</v>
      </c>
      <c r="J201" s="934">
        <v>1.2045454545454499</v>
      </c>
      <c r="K201" s="934">
        <v>2.4090909090909101</v>
      </c>
      <c r="L201" s="938">
        <v>0.36036036036036001</v>
      </c>
    </row>
    <row r="202" spans="1:12" hidden="1">
      <c r="A202" s="931">
        <v>3</v>
      </c>
      <c r="B202" s="1247">
        <v>46034</v>
      </c>
      <c r="C202" s="1249">
        <v>46040</v>
      </c>
      <c r="D202" s="935">
        <v>50</v>
      </c>
      <c r="E202" s="935" t="s">
        <v>690</v>
      </c>
      <c r="F202" s="935" t="s">
        <v>275</v>
      </c>
      <c r="G202" s="935">
        <v>2</v>
      </c>
      <c r="H202" s="935">
        <v>2</v>
      </c>
      <c r="I202" s="935" t="s">
        <v>670</v>
      </c>
      <c r="J202" s="936">
        <v>5.9090909090909101</v>
      </c>
      <c r="K202" s="936">
        <v>11.818181818181801</v>
      </c>
      <c r="L202" s="939">
        <v>0.36036036036036001</v>
      </c>
    </row>
    <row r="203" spans="1:12" hidden="1">
      <c r="A203" s="931">
        <v>3</v>
      </c>
      <c r="B203" s="1246">
        <v>46034</v>
      </c>
      <c r="C203" s="1248">
        <v>46040</v>
      </c>
      <c r="D203" s="933">
        <v>51</v>
      </c>
      <c r="E203" s="933" t="s">
        <v>719</v>
      </c>
      <c r="F203" s="933" t="s">
        <v>689</v>
      </c>
      <c r="G203" s="933">
        <v>2</v>
      </c>
      <c r="H203" s="933">
        <v>2</v>
      </c>
      <c r="I203" s="933" t="s">
        <v>670</v>
      </c>
      <c r="J203" s="934">
        <v>11.7272727272727</v>
      </c>
      <c r="K203" s="934">
        <v>23.4545454545454</v>
      </c>
      <c r="L203" s="938">
        <v>0.36036036036036001</v>
      </c>
    </row>
    <row r="204" spans="1:12" hidden="1">
      <c r="A204" s="931">
        <v>3</v>
      </c>
      <c r="B204" s="1247">
        <v>46034</v>
      </c>
      <c r="C204" s="1249">
        <v>46040</v>
      </c>
      <c r="D204" s="935">
        <v>52</v>
      </c>
      <c r="E204" s="935" t="s">
        <v>711</v>
      </c>
      <c r="F204" s="935" t="s">
        <v>251</v>
      </c>
      <c r="G204" s="935">
        <v>2</v>
      </c>
      <c r="H204" s="935">
        <v>2</v>
      </c>
      <c r="I204" s="935" t="s">
        <v>670</v>
      </c>
      <c r="J204" s="936">
        <v>0</v>
      </c>
      <c r="K204" s="936">
        <v>0</v>
      </c>
      <c r="L204" s="939">
        <v>0.36036036036036001</v>
      </c>
    </row>
    <row r="205" spans="1:12" hidden="1">
      <c r="A205" s="931">
        <v>3</v>
      </c>
      <c r="B205" s="1246">
        <v>46034</v>
      </c>
      <c r="C205" s="1248">
        <v>46040</v>
      </c>
      <c r="D205" s="933">
        <v>53</v>
      </c>
      <c r="E205" s="933" t="s">
        <v>701</v>
      </c>
      <c r="F205" s="933" t="s">
        <v>689</v>
      </c>
      <c r="G205" s="933">
        <v>2</v>
      </c>
      <c r="H205" s="933">
        <v>2</v>
      </c>
      <c r="I205" s="933" t="s">
        <v>670</v>
      </c>
      <c r="J205" s="934">
        <v>9.9090909090909101</v>
      </c>
      <c r="K205" s="934">
        <v>19.818181818181799</v>
      </c>
      <c r="L205" s="938">
        <v>0.36036036036036001</v>
      </c>
    </row>
    <row r="206" spans="1:12" hidden="1">
      <c r="A206" s="931">
        <v>3</v>
      </c>
      <c r="B206" s="1247">
        <v>46034</v>
      </c>
      <c r="C206" s="1249">
        <v>46040</v>
      </c>
      <c r="D206" s="935">
        <v>54</v>
      </c>
      <c r="E206" s="935" t="s">
        <v>763</v>
      </c>
      <c r="F206" s="935" t="s">
        <v>764</v>
      </c>
      <c r="G206" s="935">
        <v>2</v>
      </c>
      <c r="H206" s="935">
        <v>2</v>
      </c>
      <c r="I206" s="935" t="s">
        <v>670</v>
      </c>
      <c r="J206" s="936">
        <v>14.090909090909101</v>
      </c>
      <c r="K206" s="936">
        <v>28.181818181818201</v>
      </c>
      <c r="L206" s="939">
        <v>0.36036036036036001</v>
      </c>
    </row>
    <row r="207" spans="1:12" hidden="1">
      <c r="A207" s="931">
        <v>3</v>
      </c>
      <c r="B207" s="1246">
        <v>46034</v>
      </c>
      <c r="C207" s="1248">
        <v>46040</v>
      </c>
      <c r="D207" s="933">
        <v>55</v>
      </c>
      <c r="E207" s="933" t="s">
        <v>757</v>
      </c>
      <c r="F207" s="933" t="s">
        <v>251</v>
      </c>
      <c r="G207" s="933">
        <v>1</v>
      </c>
      <c r="H207" s="933">
        <v>1</v>
      </c>
      <c r="I207" s="933" t="s">
        <v>670</v>
      </c>
      <c r="J207" s="934">
        <v>2.5</v>
      </c>
      <c r="K207" s="934">
        <v>2.5</v>
      </c>
      <c r="L207" s="938">
        <v>0.18018018018018001</v>
      </c>
    </row>
    <row r="208" spans="1:12" hidden="1">
      <c r="A208" s="931">
        <v>3</v>
      </c>
      <c r="B208" s="1247">
        <v>46034</v>
      </c>
      <c r="C208" s="1249">
        <v>46040</v>
      </c>
      <c r="D208" s="935">
        <v>56</v>
      </c>
      <c r="E208" s="935" t="s">
        <v>765</v>
      </c>
      <c r="F208" s="935" t="s">
        <v>256</v>
      </c>
      <c r="G208" s="935">
        <v>1</v>
      </c>
      <c r="H208" s="935">
        <v>1</v>
      </c>
      <c r="I208" s="935" t="s">
        <v>670</v>
      </c>
      <c r="J208" s="936">
        <v>3.5</v>
      </c>
      <c r="K208" s="936">
        <v>3.5</v>
      </c>
      <c r="L208" s="939">
        <v>0.18018018018018001</v>
      </c>
    </row>
    <row r="209" spans="1:12" hidden="1">
      <c r="A209" s="931">
        <v>3</v>
      </c>
      <c r="B209" s="1246">
        <v>46034</v>
      </c>
      <c r="C209" s="1248">
        <v>46040</v>
      </c>
      <c r="D209" s="933">
        <v>57</v>
      </c>
      <c r="E209" s="933" t="s">
        <v>766</v>
      </c>
      <c r="F209" s="933" t="s">
        <v>253</v>
      </c>
      <c r="G209" s="933">
        <v>1</v>
      </c>
      <c r="H209" s="933">
        <v>1</v>
      </c>
      <c r="I209" s="933" t="s">
        <v>672</v>
      </c>
      <c r="J209" s="934">
        <v>0.90909090909090895</v>
      </c>
      <c r="K209" s="934">
        <v>0.90909090909090895</v>
      </c>
      <c r="L209" s="938">
        <v>0.18018018018018001</v>
      </c>
    </row>
    <row r="210" spans="1:12" hidden="1">
      <c r="A210" s="931">
        <v>3</v>
      </c>
      <c r="B210" s="1247">
        <v>46034</v>
      </c>
      <c r="C210" s="1249">
        <v>46040</v>
      </c>
      <c r="D210" s="935">
        <v>58</v>
      </c>
      <c r="E210" s="935" t="s">
        <v>714</v>
      </c>
      <c r="F210" s="935" t="s">
        <v>251</v>
      </c>
      <c r="G210" s="935">
        <v>1</v>
      </c>
      <c r="H210" s="935">
        <v>1</v>
      </c>
      <c r="I210" s="935" t="s">
        <v>670</v>
      </c>
      <c r="J210" s="936">
        <v>1.4090909090909101</v>
      </c>
      <c r="K210" s="936">
        <v>1.4090909090909101</v>
      </c>
      <c r="L210" s="939">
        <v>0.18018018018018001</v>
      </c>
    </row>
    <row r="211" spans="1:12" hidden="1">
      <c r="A211" s="931">
        <v>3</v>
      </c>
      <c r="B211" s="1246">
        <v>46034</v>
      </c>
      <c r="C211" s="1248">
        <v>46040</v>
      </c>
      <c r="D211" s="933">
        <v>59</v>
      </c>
      <c r="E211" s="933" t="s">
        <v>739</v>
      </c>
      <c r="F211" s="933" t="s">
        <v>730</v>
      </c>
      <c r="G211" s="933">
        <v>1</v>
      </c>
      <c r="H211" s="933">
        <v>1</v>
      </c>
      <c r="I211" s="933" t="s">
        <v>670</v>
      </c>
      <c r="J211" s="934">
        <v>5.3181818181818201</v>
      </c>
      <c r="K211" s="934">
        <v>5.3181818181818201</v>
      </c>
      <c r="L211" s="938">
        <v>0.18018018018018001</v>
      </c>
    </row>
    <row r="212" spans="1:12" hidden="1">
      <c r="A212" s="931">
        <v>3</v>
      </c>
      <c r="B212" s="1247">
        <v>46034</v>
      </c>
      <c r="C212" s="1249">
        <v>46040</v>
      </c>
      <c r="D212" s="935">
        <v>60</v>
      </c>
      <c r="E212" s="935" t="s">
        <v>751</v>
      </c>
      <c r="F212" s="935" t="s">
        <v>256</v>
      </c>
      <c r="G212" s="935">
        <v>1</v>
      </c>
      <c r="H212" s="935">
        <v>1</v>
      </c>
      <c r="I212" s="935" t="s">
        <v>670</v>
      </c>
      <c r="J212" s="936">
        <v>7.1818181818181799</v>
      </c>
      <c r="K212" s="936">
        <v>7.1818181818181799</v>
      </c>
      <c r="L212" s="939">
        <v>0.18018018018018001</v>
      </c>
    </row>
    <row r="213" spans="1:12" hidden="1">
      <c r="A213" s="931">
        <v>3</v>
      </c>
      <c r="B213" s="1246">
        <v>46034</v>
      </c>
      <c r="C213" s="1248">
        <v>46040</v>
      </c>
      <c r="D213" s="933">
        <v>61</v>
      </c>
      <c r="E213" s="933" t="s">
        <v>735</v>
      </c>
      <c r="F213" s="933" t="s">
        <v>730</v>
      </c>
      <c r="G213" s="933">
        <v>1</v>
      </c>
      <c r="H213" s="933">
        <v>1</v>
      </c>
      <c r="I213" s="933" t="s">
        <v>670</v>
      </c>
      <c r="J213" s="934">
        <v>2.8181818181818201</v>
      </c>
      <c r="K213" s="934">
        <v>2.8181818181818201</v>
      </c>
      <c r="L213" s="938">
        <v>0.18018018018018001</v>
      </c>
    </row>
    <row r="214" spans="1:12" hidden="1">
      <c r="A214" s="931">
        <v>3</v>
      </c>
      <c r="B214" s="1247">
        <v>46034</v>
      </c>
      <c r="C214" s="1249">
        <v>46040</v>
      </c>
      <c r="D214" s="935">
        <v>62</v>
      </c>
      <c r="E214" s="935" t="s">
        <v>707</v>
      </c>
      <c r="F214" s="935" t="s">
        <v>256</v>
      </c>
      <c r="G214" s="935">
        <v>1</v>
      </c>
      <c r="H214" s="935">
        <v>1</v>
      </c>
      <c r="I214" s="935" t="s">
        <v>670</v>
      </c>
      <c r="J214" s="936">
        <v>8.4090909090909101</v>
      </c>
      <c r="K214" s="936">
        <v>8.4090909090909101</v>
      </c>
      <c r="L214" s="939">
        <v>0.18018018018018001</v>
      </c>
    </row>
    <row r="215" spans="1:12" hidden="1">
      <c r="A215" s="931">
        <v>3</v>
      </c>
      <c r="B215" s="1246">
        <v>46034</v>
      </c>
      <c r="C215" s="1248">
        <v>46040</v>
      </c>
      <c r="D215" s="933">
        <v>63</v>
      </c>
      <c r="E215" s="933" t="s">
        <v>705</v>
      </c>
      <c r="F215" s="933" t="s">
        <v>274</v>
      </c>
      <c r="G215" s="933">
        <v>1</v>
      </c>
      <c r="H215" s="933">
        <v>1</v>
      </c>
      <c r="I215" s="933" t="s">
        <v>670</v>
      </c>
      <c r="J215" s="934">
        <v>9</v>
      </c>
      <c r="K215" s="934">
        <v>9</v>
      </c>
      <c r="L215" s="938">
        <v>0.18018018018018001</v>
      </c>
    </row>
    <row r="216" spans="1:12" hidden="1">
      <c r="A216" s="931">
        <v>3</v>
      </c>
      <c r="B216" s="1247">
        <v>46034</v>
      </c>
      <c r="C216" s="1249">
        <v>46040</v>
      </c>
      <c r="D216" s="935">
        <v>64</v>
      </c>
      <c r="E216" s="935" t="s">
        <v>753</v>
      </c>
      <c r="F216" s="935" t="s">
        <v>275</v>
      </c>
      <c r="G216" s="935">
        <v>1</v>
      </c>
      <c r="H216" s="935">
        <v>1</v>
      </c>
      <c r="I216" s="935" t="s">
        <v>670</v>
      </c>
      <c r="J216" s="936">
        <v>0</v>
      </c>
      <c r="K216" s="936">
        <v>0</v>
      </c>
      <c r="L216" s="939">
        <v>0.18018018018018001</v>
      </c>
    </row>
    <row r="217" spans="1:12" hidden="1">
      <c r="A217" s="931">
        <v>3</v>
      </c>
      <c r="B217" s="1246">
        <v>46034</v>
      </c>
      <c r="C217" s="1248">
        <v>46040</v>
      </c>
      <c r="D217" s="933">
        <v>65</v>
      </c>
      <c r="E217" s="933" t="s">
        <v>718</v>
      </c>
      <c r="F217" s="933" t="s">
        <v>275</v>
      </c>
      <c r="G217" s="933">
        <v>1</v>
      </c>
      <c r="H217" s="933">
        <v>1</v>
      </c>
      <c r="I217" s="933" t="s">
        <v>672</v>
      </c>
      <c r="J217" s="934">
        <v>5.2272727272727302</v>
      </c>
      <c r="K217" s="934">
        <v>5.2272727272727302</v>
      </c>
      <c r="L217" s="938">
        <v>0.18018018018018001</v>
      </c>
    </row>
    <row r="218" spans="1:12" hidden="1">
      <c r="A218" s="931">
        <v>3</v>
      </c>
      <c r="B218" s="1247">
        <v>46034</v>
      </c>
      <c r="C218" s="1249">
        <v>46040</v>
      </c>
      <c r="D218" s="935">
        <v>66</v>
      </c>
      <c r="E218" s="935" t="s">
        <v>712</v>
      </c>
      <c r="F218" s="935" t="s">
        <v>713</v>
      </c>
      <c r="G218" s="935">
        <v>1</v>
      </c>
      <c r="H218" s="935">
        <v>1</v>
      </c>
      <c r="I218" s="935" t="s">
        <v>670</v>
      </c>
      <c r="J218" s="936">
        <v>3.1818181818181799</v>
      </c>
      <c r="K218" s="936">
        <v>3.1818181818181799</v>
      </c>
      <c r="L218" s="939">
        <v>0.18018018018018001</v>
      </c>
    </row>
    <row r="219" spans="1:12" hidden="1">
      <c r="A219" s="931">
        <v>3</v>
      </c>
      <c r="B219" s="1246">
        <v>46034</v>
      </c>
      <c r="C219" s="1248">
        <v>46040</v>
      </c>
      <c r="D219" s="933">
        <v>67</v>
      </c>
      <c r="E219" s="933" t="s">
        <v>767</v>
      </c>
      <c r="F219" s="933" t="s">
        <v>251</v>
      </c>
      <c r="G219" s="933">
        <v>1</v>
      </c>
      <c r="H219" s="933">
        <v>1</v>
      </c>
      <c r="I219" s="933" t="s">
        <v>670</v>
      </c>
      <c r="J219" s="934">
        <v>2.4090909090909101</v>
      </c>
      <c r="K219" s="934">
        <v>2.4090909090909101</v>
      </c>
      <c r="L219" s="938">
        <v>0.18018018018018001</v>
      </c>
    </row>
    <row r="220" spans="1:12" hidden="1">
      <c r="A220" s="931">
        <v>3</v>
      </c>
      <c r="B220" s="1247">
        <v>46034</v>
      </c>
      <c r="C220" s="1249">
        <v>46040</v>
      </c>
      <c r="D220" s="935">
        <v>68</v>
      </c>
      <c r="E220" s="935" t="s">
        <v>722</v>
      </c>
      <c r="F220" s="935" t="s">
        <v>251</v>
      </c>
      <c r="G220" s="935">
        <v>1</v>
      </c>
      <c r="H220" s="935">
        <v>1</v>
      </c>
      <c r="I220" s="935" t="s">
        <v>670</v>
      </c>
      <c r="J220" s="936">
        <v>2.4090909090909101</v>
      </c>
      <c r="K220" s="936">
        <v>2.4090909090909101</v>
      </c>
      <c r="L220" s="939">
        <v>0.18018018018018001</v>
      </c>
    </row>
    <row r="221" spans="1:12" hidden="1">
      <c r="A221" s="931">
        <v>3</v>
      </c>
      <c r="B221" s="1246">
        <v>46034</v>
      </c>
      <c r="C221" s="1248">
        <v>46040</v>
      </c>
      <c r="D221" s="933">
        <v>69</v>
      </c>
      <c r="E221" s="933" t="s">
        <v>768</v>
      </c>
      <c r="F221" s="933" t="s">
        <v>275</v>
      </c>
      <c r="G221" s="933">
        <v>1</v>
      </c>
      <c r="H221" s="933">
        <v>1</v>
      </c>
      <c r="I221" s="933" t="s">
        <v>670</v>
      </c>
      <c r="J221" s="934">
        <v>4.0909090909090899</v>
      </c>
      <c r="K221" s="934">
        <v>4.0909090909090899</v>
      </c>
      <c r="L221" s="938">
        <v>0.18018018018018001</v>
      </c>
    </row>
    <row r="222" spans="1:12" hidden="1">
      <c r="A222" s="931">
        <v>3</v>
      </c>
      <c r="B222" s="1247">
        <v>46034</v>
      </c>
      <c r="C222" s="1249">
        <v>46040</v>
      </c>
      <c r="D222" s="935">
        <v>70</v>
      </c>
      <c r="E222" s="935" t="s">
        <v>734</v>
      </c>
      <c r="F222" s="935" t="s">
        <v>695</v>
      </c>
      <c r="G222" s="935">
        <v>1</v>
      </c>
      <c r="H222" s="935">
        <v>1</v>
      </c>
      <c r="I222" s="935" t="s">
        <v>670</v>
      </c>
      <c r="J222" s="936">
        <v>18.090909090909101</v>
      </c>
      <c r="K222" s="936">
        <v>18.090909090909101</v>
      </c>
      <c r="L222" s="939">
        <v>0.18018018018018001</v>
      </c>
    </row>
    <row r="223" spans="1:12" hidden="1">
      <c r="A223" s="931">
        <v>3</v>
      </c>
      <c r="B223" s="1246">
        <v>46034</v>
      </c>
      <c r="C223" s="1248">
        <v>46040</v>
      </c>
      <c r="D223" s="933">
        <v>71</v>
      </c>
      <c r="E223" s="933" t="s">
        <v>683</v>
      </c>
      <c r="F223" s="933" t="s">
        <v>274</v>
      </c>
      <c r="G223" s="933">
        <v>1</v>
      </c>
      <c r="H223" s="933">
        <v>1</v>
      </c>
      <c r="I223" s="933" t="s">
        <v>670</v>
      </c>
      <c r="J223" s="934">
        <v>10.818181818181801</v>
      </c>
      <c r="K223" s="934">
        <v>10.818181818181801</v>
      </c>
      <c r="L223" s="938">
        <v>0.18018018018018001</v>
      </c>
    </row>
    <row r="224" spans="1:12" hidden="1">
      <c r="A224" s="931">
        <v>3</v>
      </c>
      <c r="B224" s="1247">
        <v>46034</v>
      </c>
      <c r="C224" s="1249">
        <v>46040</v>
      </c>
      <c r="D224" s="935">
        <v>72</v>
      </c>
      <c r="E224" s="935" t="s">
        <v>737</v>
      </c>
      <c r="F224" s="935" t="s">
        <v>249</v>
      </c>
      <c r="G224" s="935">
        <v>1</v>
      </c>
      <c r="H224" s="935">
        <v>1</v>
      </c>
      <c r="I224" s="935" t="s">
        <v>670</v>
      </c>
      <c r="J224" s="936">
        <v>1.5454545454545401</v>
      </c>
      <c r="K224" s="936">
        <v>1.5454545454545401</v>
      </c>
      <c r="L224" s="939">
        <v>0.18018018018018001</v>
      </c>
    </row>
    <row r="225" spans="1:12" hidden="1">
      <c r="A225" s="931">
        <v>3</v>
      </c>
      <c r="B225" s="1246">
        <v>46034</v>
      </c>
      <c r="C225" s="1248">
        <v>46040</v>
      </c>
      <c r="D225" s="933">
        <v>73</v>
      </c>
      <c r="E225" s="933" t="s">
        <v>720</v>
      </c>
      <c r="F225" s="933" t="s">
        <v>251</v>
      </c>
      <c r="G225" s="933">
        <v>1</v>
      </c>
      <c r="H225" s="933">
        <v>1</v>
      </c>
      <c r="I225" s="933" t="s">
        <v>670</v>
      </c>
      <c r="J225" s="934">
        <v>2.5454545454545401</v>
      </c>
      <c r="K225" s="934">
        <v>2.5454545454545401</v>
      </c>
      <c r="L225" s="938">
        <v>0.18018018018018001</v>
      </c>
    </row>
    <row r="226" spans="1:12" hidden="1">
      <c r="A226" s="931">
        <v>3</v>
      </c>
      <c r="B226" s="1247">
        <v>46034</v>
      </c>
      <c r="C226" s="1249">
        <v>46040</v>
      </c>
      <c r="D226" s="935">
        <v>74</v>
      </c>
      <c r="E226" s="935" t="s">
        <v>709</v>
      </c>
      <c r="F226" s="935" t="s">
        <v>276</v>
      </c>
      <c r="G226" s="935">
        <v>1</v>
      </c>
      <c r="H226" s="935">
        <v>1</v>
      </c>
      <c r="I226" s="935" t="s">
        <v>672</v>
      </c>
      <c r="J226" s="936">
        <v>3.2272727272727302</v>
      </c>
      <c r="K226" s="936">
        <v>3.2272727272727302</v>
      </c>
      <c r="L226" s="939">
        <v>0.18018018018018001</v>
      </c>
    </row>
    <row r="227" spans="1:12" hidden="1">
      <c r="A227" s="931">
        <v>3</v>
      </c>
      <c r="B227" s="1246">
        <v>46034</v>
      </c>
      <c r="C227" s="1248">
        <v>46040</v>
      </c>
      <c r="D227" s="933">
        <v>75</v>
      </c>
      <c r="E227" s="933" t="s">
        <v>769</v>
      </c>
      <c r="F227" s="933" t="s">
        <v>730</v>
      </c>
      <c r="G227" s="933">
        <v>1</v>
      </c>
      <c r="H227" s="933">
        <v>1</v>
      </c>
      <c r="I227" s="933" t="s">
        <v>670</v>
      </c>
      <c r="J227" s="934">
        <v>4.9090909090909101</v>
      </c>
      <c r="K227" s="934">
        <v>4.9090909090909101</v>
      </c>
      <c r="L227" s="938">
        <v>0.18018018018018001</v>
      </c>
    </row>
    <row r="228" spans="1:12" hidden="1">
      <c r="A228" s="931">
        <v>3</v>
      </c>
      <c r="B228" s="1247">
        <v>46034</v>
      </c>
      <c r="C228" s="1249">
        <v>46040</v>
      </c>
      <c r="D228" s="935">
        <v>76</v>
      </c>
      <c r="E228" s="935" t="s">
        <v>692</v>
      </c>
      <c r="F228" s="935" t="s">
        <v>693</v>
      </c>
      <c r="G228" s="935">
        <v>1</v>
      </c>
      <c r="H228" s="935">
        <v>1</v>
      </c>
      <c r="I228" s="935" t="s">
        <v>670</v>
      </c>
      <c r="J228" s="936">
        <v>0</v>
      </c>
      <c r="K228" s="936">
        <v>0</v>
      </c>
      <c r="L228" s="939">
        <v>0.18018018018018001</v>
      </c>
    </row>
    <row r="229" spans="1:12" hidden="1">
      <c r="A229" s="931">
        <v>4</v>
      </c>
      <c r="B229" s="1247">
        <v>46041</v>
      </c>
      <c r="C229" s="1249">
        <v>46047</v>
      </c>
      <c r="D229" s="935">
        <v>1</v>
      </c>
      <c r="E229" s="935" t="s">
        <v>259</v>
      </c>
      <c r="F229" s="935" t="s">
        <v>249</v>
      </c>
      <c r="G229" s="935">
        <v>85</v>
      </c>
      <c r="H229" s="935">
        <v>85</v>
      </c>
      <c r="I229" s="935" t="s">
        <v>670</v>
      </c>
      <c r="J229" s="936">
        <v>1.26631016042781</v>
      </c>
      <c r="K229" s="936">
        <v>107.636363636364</v>
      </c>
      <c r="L229" s="939">
        <v>11.1256544502618</v>
      </c>
    </row>
    <row r="230" spans="1:12" hidden="1">
      <c r="A230" s="931">
        <v>4</v>
      </c>
      <c r="B230" s="1246">
        <v>46041</v>
      </c>
      <c r="C230" s="1248">
        <v>46047</v>
      </c>
      <c r="D230" s="933">
        <v>2</v>
      </c>
      <c r="E230" s="933" t="s">
        <v>248</v>
      </c>
      <c r="F230" s="933" t="s">
        <v>249</v>
      </c>
      <c r="G230" s="933">
        <v>64</v>
      </c>
      <c r="H230" s="933">
        <v>64</v>
      </c>
      <c r="I230" s="933" t="s">
        <v>670</v>
      </c>
      <c r="J230" s="934">
        <v>1.36789772727273</v>
      </c>
      <c r="K230" s="934">
        <v>87.545454545454504</v>
      </c>
      <c r="L230" s="938">
        <v>8.3769633507853403</v>
      </c>
    </row>
    <row r="231" spans="1:12" hidden="1">
      <c r="A231" s="931">
        <v>4</v>
      </c>
      <c r="B231" s="1247">
        <v>46041</v>
      </c>
      <c r="C231" s="1249">
        <v>46047</v>
      </c>
      <c r="D231" s="935">
        <v>3</v>
      </c>
      <c r="E231" s="935" t="s">
        <v>261</v>
      </c>
      <c r="F231" s="935" t="s">
        <v>256</v>
      </c>
      <c r="G231" s="935">
        <v>57</v>
      </c>
      <c r="H231" s="935">
        <v>57</v>
      </c>
      <c r="I231" s="935" t="s">
        <v>670</v>
      </c>
      <c r="J231" s="936">
        <v>2.77113237639553</v>
      </c>
      <c r="K231" s="936">
        <v>157.95454545454501</v>
      </c>
      <c r="L231" s="939">
        <v>7.4607329842931902</v>
      </c>
    </row>
    <row r="232" spans="1:12" hidden="1">
      <c r="A232" s="931">
        <v>4</v>
      </c>
      <c r="B232" s="1246">
        <v>46041</v>
      </c>
      <c r="C232" s="1248">
        <v>46047</v>
      </c>
      <c r="D232" s="933">
        <v>4</v>
      </c>
      <c r="E232" s="933" t="s">
        <v>255</v>
      </c>
      <c r="F232" s="933" t="s">
        <v>256</v>
      </c>
      <c r="G232" s="933">
        <v>44</v>
      </c>
      <c r="H232" s="933">
        <v>44</v>
      </c>
      <c r="I232" s="933" t="s">
        <v>670</v>
      </c>
      <c r="J232" s="934">
        <v>5.10330578512397</v>
      </c>
      <c r="K232" s="934">
        <v>224.54545454545499</v>
      </c>
      <c r="L232" s="938">
        <v>5.7591623036649198</v>
      </c>
    </row>
    <row r="233" spans="1:12" hidden="1">
      <c r="A233" s="931">
        <v>4</v>
      </c>
      <c r="B233" s="1247">
        <v>46041</v>
      </c>
      <c r="C233" s="1249">
        <v>46047</v>
      </c>
      <c r="D233" s="935">
        <v>5</v>
      </c>
      <c r="E233" s="935" t="s">
        <v>250</v>
      </c>
      <c r="F233" s="935" t="s">
        <v>251</v>
      </c>
      <c r="G233" s="935">
        <v>43</v>
      </c>
      <c r="H233" s="935">
        <v>43</v>
      </c>
      <c r="I233" s="935" t="s">
        <v>670</v>
      </c>
      <c r="J233" s="936">
        <v>1.63953488372093</v>
      </c>
      <c r="K233" s="936">
        <v>70.5</v>
      </c>
      <c r="L233" s="939">
        <v>5.6282722513088999</v>
      </c>
    </row>
    <row r="234" spans="1:12" hidden="1">
      <c r="A234" s="931">
        <v>4</v>
      </c>
      <c r="B234" s="1246">
        <v>46041</v>
      </c>
      <c r="C234" s="1248">
        <v>46047</v>
      </c>
      <c r="D234" s="933">
        <v>6</v>
      </c>
      <c r="E234" s="933" t="s">
        <v>262</v>
      </c>
      <c r="F234" s="933" t="s">
        <v>256</v>
      </c>
      <c r="G234" s="933">
        <v>24</v>
      </c>
      <c r="H234" s="933">
        <v>24</v>
      </c>
      <c r="I234" s="933" t="s">
        <v>670</v>
      </c>
      <c r="J234" s="934">
        <v>10.8087121212121</v>
      </c>
      <c r="K234" s="934">
        <v>259.40909090909099</v>
      </c>
      <c r="L234" s="938">
        <v>3.1413612565445002</v>
      </c>
    </row>
    <row r="235" spans="1:12" hidden="1">
      <c r="A235" s="931">
        <v>4</v>
      </c>
      <c r="B235" s="1247">
        <v>46041</v>
      </c>
      <c r="C235" s="1249">
        <v>46047</v>
      </c>
      <c r="D235" s="935">
        <v>7</v>
      </c>
      <c r="E235" s="935" t="s">
        <v>254</v>
      </c>
      <c r="F235" s="935" t="s">
        <v>254</v>
      </c>
      <c r="G235" s="935">
        <v>22</v>
      </c>
      <c r="H235" s="935">
        <v>22</v>
      </c>
      <c r="I235" s="935" t="s">
        <v>670</v>
      </c>
      <c r="J235" s="936">
        <v>13.545454545454501</v>
      </c>
      <c r="K235" s="936">
        <v>298</v>
      </c>
      <c r="L235" s="939">
        <v>2.8795811518324599</v>
      </c>
    </row>
    <row r="236" spans="1:12" hidden="1">
      <c r="A236" s="931">
        <v>4</v>
      </c>
      <c r="B236" s="1246">
        <v>46041</v>
      </c>
      <c r="C236" s="1248">
        <v>46047</v>
      </c>
      <c r="D236" s="933">
        <v>8</v>
      </c>
      <c r="E236" s="933" t="s">
        <v>676</v>
      </c>
      <c r="F236" s="933" t="s">
        <v>253</v>
      </c>
      <c r="G236" s="933">
        <v>21</v>
      </c>
      <c r="H236" s="933">
        <v>21</v>
      </c>
      <c r="I236" s="933" t="s">
        <v>670</v>
      </c>
      <c r="J236" s="934">
        <v>2.6818181818181799</v>
      </c>
      <c r="K236" s="934">
        <v>56.318181818181799</v>
      </c>
      <c r="L236" s="938">
        <v>2.74869109947644</v>
      </c>
    </row>
    <row r="237" spans="1:12" hidden="1">
      <c r="A237" s="931">
        <v>4</v>
      </c>
      <c r="B237" s="1247">
        <v>46041</v>
      </c>
      <c r="C237" s="1249">
        <v>46047</v>
      </c>
      <c r="D237" s="935">
        <v>9</v>
      </c>
      <c r="E237" s="935" t="s">
        <v>673</v>
      </c>
      <c r="F237" s="935" t="s">
        <v>251</v>
      </c>
      <c r="G237" s="935">
        <v>17</v>
      </c>
      <c r="H237" s="935">
        <v>17</v>
      </c>
      <c r="I237" s="935" t="s">
        <v>670</v>
      </c>
      <c r="J237" s="936">
        <v>1.8689839572192499</v>
      </c>
      <c r="K237" s="936">
        <v>31.772727272727298</v>
      </c>
      <c r="L237" s="939">
        <v>2.2251308900523599</v>
      </c>
    </row>
    <row r="238" spans="1:12" hidden="1">
      <c r="A238" s="931">
        <v>4</v>
      </c>
      <c r="B238" s="1246">
        <v>46041</v>
      </c>
      <c r="C238" s="1248">
        <v>46047</v>
      </c>
      <c r="D238" s="933">
        <v>10</v>
      </c>
      <c r="E238" s="933" t="s">
        <v>681</v>
      </c>
      <c r="F238" s="933" t="s">
        <v>282</v>
      </c>
      <c r="G238" s="933">
        <v>17</v>
      </c>
      <c r="H238" s="933">
        <v>17</v>
      </c>
      <c r="I238" s="933" t="s">
        <v>672</v>
      </c>
      <c r="J238" s="934">
        <v>4.54545454545454E-2</v>
      </c>
      <c r="K238" s="934">
        <v>0.77272727272727304</v>
      </c>
      <c r="L238" s="938">
        <v>2.2251308900523599</v>
      </c>
    </row>
    <row r="239" spans="1:12" hidden="1">
      <c r="A239" s="931">
        <v>4</v>
      </c>
      <c r="B239" s="1247">
        <v>46041</v>
      </c>
      <c r="C239" s="1249">
        <v>46047</v>
      </c>
      <c r="D239" s="935">
        <v>11</v>
      </c>
      <c r="E239" s="935" t="s">
        <v>679</v>
      </c>
      <c r="F239" s="935" t="s">
        <v>256</v>
      </c>
      <c r="G239" s="935">
        <v>16</v>
      </c>
      <c r="H239" s="935">
        <v>16</v>
      </c>
      <c r="I239" s="935" t="s">
        <v>670</v>
      </c>
      <c r="J239" s="936">
        <v>9.0454545454545396</v>
      </c>
      <c r="K239" s="936">
        <v>144.727272727273</v>
      </c>
      <c r="L239" s="939">
        <v>2.09424083769634</v>
      </c>
    </row>
    <row r="240" spans="1:12" hidden="1">
      <c r="A240" s="931">
        <v>4</v>
      </c>
      <c r="B240" s="1246">
        <v>46041</v>
      </c>
      <c r="C240" s="1248">
        <v>46047</v>
      </c>
      <c r="D240" s="933">
        <v>12</v>
      </c>
      <c r="E240" s="933" t="s">
        <v>680</v>
      </c>
      <c r="F240" s="933" t="s">
        <v>251</v>
      </c>
      <c r="G240" s="933">
        <v>16</v>
      </c>
      <c r="H240" s="933">
        <v>16</v>
      </c>
      <c r="I240" s="933" t="s">
        <v>670</v>
      </c>
      <c r="J240" s="934">
        <v>2.3863636363636398</v>
      </c>
      <c r="K240" s="934">
        <v>38.181818181818201</v>
      </c>
      <c r="L240" s="938">
        <v>2.09424083769634</v>
      </c>
    </row>
    <row r="241" spans="1:12" hidden="1">
      <c r="A241" s="931">
        <v>4</v>
      </c>
      <c r="B241" s="1247">
        <v>46041</v>
      </c>
      <c r="C241" s="1249">
        <v>46047</v>
      </c>
      <c r="D241" s="935">
        <v>13</v>
      </c>
      <c r="E241" s="935" t="s">
        <v>682</v>
      </c>
      <c r="F241" s="935" t="s">
        <v>275</v>
      </c>
      <c r="G241" s="935">
        <v>16</v>
      </c>
      <c r="H241" s="935">
        <v>16</v>
      </c>
      <c r="I241" s="935" t="s">
        <v>670</v>
      </c>
      <c r="J241" s="936">
        <v>5.5823863636363598</v>
      </c>
      <c r="K241" s="936">
        <v>89.318181818181799</v>
      </c>
      <c r="L241" s="939">
        <v>2.09424083769634</v>
      </c>
    </row>
    <row r="242" spans="1:12" hidden="1">
      <c r="A242" s="931">
        <v>4</v>
      </c>
      <c r="B242" s="1246">
        <v>46041</v>
      </c>
      <c r="C242" s="1248">
        <v>46047</v>
      </c>
      <c r="D242" s="933">
        <v>14</v>
      </c>
      <c r="E242" s="933" t="s">
        <v>677</v>
      </c>
      <c r="F242" s="933" t="s">
        <v>249</v>
      </c>
      <c r="G242" s="933">
        <v>14</v>
      </c>
      <c r="H242" s="933">
        <v>14</v>
      </c>
      <c r="I242" s="933" t="s">
        <v>670</v>
      </c>
      <c r="J242" s="934">
        <v>1.6461038961039001</v>
      </c>
      <c r="K242" s="934">
        <v>23.0454545454546</v>
      </c>
      <c r="L242" s="938">
        <v>1.8324607329842899</v>
      </c>
    </row>
    <row r="243" spans="1:12" hidden="1">
      <c r="A243" s="931">
        <v>4</v>
      </c>
      <c r="B243" s="1247">
        <v>46041</v>
      </c>
      <c r="C243" s="1249">
        <v>46047</v>
      </c>
      <c r="D243" s="935">
        <v>15</v>
      </c>
      <c r="E243" s="935" t="s">
        <v>671</v>
      </c>
      <c r="F243" s="935" t="s">
        <v>276</v>
      </c>
      <c r="G243" s="935">
        <v>14</v>
      </c>
      <c r="H243" s="935">
        <v>14</v>
      </c>
      <c r="I243" s="935" t="s">
        <v>672</v>
      </c>
      <c r="J243" s="936">
        <v>2.8701298701298699</v>
      </c>
      <c r="K243" s="936">
        <v>40.181818181818201</v>
      </c>
      <c r="L243" s="939">
        <v>1.8324607329842899</v>
      </c>
    </row>
    <row r="244" spans="1:12" hidden="1">
      <c r="A244" s="931">
        <v>4</v>
      </c>
      <c r="B244" s="1246">
        <v>46041</v>
      </c>
      <c r="C244" s="1248">
        <v>46047</v>
      </c>
      <c r="D244" s="933">
        <v>16</v>
      </c>
      <c r="E244" s="933" t="s">
        <v>675</v>
      </c>
      <c r="F244" s="933" t="s">
        <v>256</v>
      </c>
      <c r="G244" s="933">
        <v>14</v>
      </c>
      <c r="H244" s="933">
        <v>14</v>
      </c>
      <c r="I244" s="933" t="s">
        <v>670</v>
      </c>
      <c r="J244" s="934">
        <v>4.7922077922077904</v>
      </c>
      <c r="K244" s="934">
        <v>67.090909090909093</v>
      </c>
      <c r="L244" s="938">
        <v>1.8324607329842899</v>
      </c>
    </row>
    <row r="245" spans="1:12" hidden="1">
      <c r="A245" s="931">
        <v>4</v>
      </c>
      <c r="B245" s="1247">
        <v>46041</v>
      </c>
      <c r="C245" s="1249">
        <v>46047</v>
      </c>
      <c r="D245" s="935">
        <v>17</v>
      </c>
      <c r="E245" s="935" t="s">
        <v>687</v>
      </c>
      <c r="F245" s="935" t="s">
        <v>253</v>
      </c>
      <c r="G245" s="935">
        <v>13</v>
      </c>
      <c r="H245" s="935">
        <v>13</v>
      </c>
      <c r="I245" s="935" t="s">
        <v>670</v>
      </c>
      <c r="J245" s="936">
        <v>2.6923076923076898</v>
      </c>
      <c r="K245" s="936">
        <v>35</v>
      </c>
      <c r="L245" s="939">
        <v>1.70157068062827</v>
      </c>
    </row>
    <row r="246" spans="1:12" hidden="1">
      <c r="A246" s="931">
        <v>4</v>
      </c>
      <c r="B246" s="1246">
        <v>46041</v>
      </c>
      <c r="C246" s="1248">
        <v>46047</v>
      </c>
      <c r="D246" s="933">
        <v>18</v>
      </c>
      <c r="E246" s="933" t="s">
        <v>691</v>
      </c>
      <c r="F246" s="933" t="s">
        <v>251</v>
      </c>
      <c r="G246" s="933">
        <v>13</v>
      </c>
      <c r="H246" s="933">
        <v>13</v>
      </c>
      <c r="I246" s="933" t="s">
        <v>670</v>
      </c>
      <c r="J246" s="934">
        <v>2.3146853146853199</v>
      </c>
      <c r="K246" s="934">
        <v>30.090909090909101</v>
      </c>
      <c r="L246" s="938">
        <v>1.70157068062827</v>
      </c>
    </row>
    <row r="247" spans="1:12" hidden="1">
      <c r="A247" s="931">
        <v>4</v>
      </c>
      <c r="B247" s="1247">
        <v>46041</v>
      </c>
      <c r="C247" s="1249">
        <v>46047</v>
      </c>
      <c r="D247" s="935">
        <v>19</v>
      </c>
      <c r="E247" s="935" t="s">
        <v>698</v>
      </c>
      <c r="F247" s="935" t="s">
        <v>249</v>
      </c>
      <c r="G247" s="935">
        <v>11</v>
      </c>
      <c r="H247" s="935">
        <v>11</v>
      </c>
      <c r="I247" s="935" t="s">
        <v>670</v>
      </c>
      <c r="J247" s="936">
        <v>2.33057851239669</v>
      </c>
      <c r="K247" s="936">
        <v>25.636363636363601</v>
      </c>
      <c r="L247" s="939">
        <v>1.4397905759162299</v>
      </c>
    </row>
    <row r="248" spans="1:12" hidden="1">
      <c r="A248" s="931">
        <v>4</v>
      </c>
      <c r="B248" s="1246">
        <v>46041</v>
      </c>
      <c r="C248" s="1248">
        <v>46047</v>
      </c>
      <c r="D248" s="933">
        <v>20</v>
      </c>
      <c r="E248" s="933" t="s">
        <v>737</v>
      </c>
      <c r="F248" s="933" t="s">
        <v>249</v>
      </c>
      <c r="G248" s="933">
        <v>11</v>
      </c>
      <c r="H248" s="933">
        <v>11</v>
      </c>
      <c r="I248" s="933" t="s">
        <v>670</v>
      </c>
      <c r="J248" s="934">
        <v>1.1239669421487599</v>
      </c>
      <c r="K248" s="934">
        <v>12.363636363636401</v>
      </c>
      <c r="L248" s="938">
        <v>1.4397905759162299</v>
      </c>
    </row>
    <row r="249" spans="1:12" hidden="1">
      <c r="A249" s="931">
        <v>4</v>
      </c>
      <c r="B249" s="1247">
        <v>46041</v>
      </c>
      <c r="C249" s="1249">
        <v>46047</v>
      </c>
      <c r="D249" s="935">
        <v>21</v>
      </c>
      <c r="E249" s="935" t="s">
        <v>674</v>
      </c>
      <c r="F249" s="935" t="s">
        <v>275</v>
      </c>
      <c r="G249" s="935">
        <v>10</v>
      </c>
      <c r="H249" s="935">
        <v>10</v>
      </c>
      <c r="I249" s="935" t="s">
        <v>670</v>
      </c>
      <c r="J249" s="936">
        <v>5.25</v>
      </c>
      <c r="K249" s="936">
        <v>52.5</v>
      </c>
      <c r="L249" s="939">
        <v>1.30890052356021</v>
      </c>
    </row>
    <row r="250" spans="1:12" hidden="1">
      <c r="A250" s="931">
        <v>4</v>
      </c>
      <c r="B250" s="1246">
        <v>46041</v>
      </c>
      <c r="C250" s="1248">
        <v>46047</v>
      </c>
      <c r="D250" s="933">
        <v>22</v>
      </c>
      <c r="E250" s="933" t="s">
        <v>738</v>
      </c>
      <c r="F250" s="933" t="s">
        <v>256</v>
      </c>
      <c r="G250" s="933">
        <v>10</v>
      </c>
      <c r="H250" s="933">
        <v>10</v>
      </c>
      <c r="I250" s="933" t="s">
        <v>670</v>
      </c>
      <c r="J250" s="934">
        <v>6.8318181818181802</v>
      </c>
      <c r="K250" s="934">
        <v>68.318181818181799</v>
      </c>
      <c r="L250" s="938">
        <v>1.30890052356021</v>
      </c>
    </row>
    <row r="251" spans="1:12" hidden="1">
      <c r="A251" s="931">
        <v>4</v>
      </c>
      <c r="B251" s="1247">
        <v>46041</v>
      </c>
      <c r="C251" s="1249">
        <v>46047</v>
      </c>
      <c r="D251" s="935">
        <v>23</v>
      </c>
      <c r="E251" s="935" t="s">
        <v>678</v>
      </c>
      <c r="F251" s="935" t="s">
        <v>256</v>
      </c>
      <c r="G251" s="935">
        <v>10</v>
      </c>
      <c r="H251" s="935">
        <v>10</v>
      </c>
      <c r="I251" s="935" t="s">
        <v>670</v>
      </c>
      <c r="J251" s="936">
        <v>5.9227272727272702</v>
      </c>
      <c r="K251" s="936">
        <v>59.227272727272698</v>
      </c>
      <c r="L251" s="939">
        <v>1.30890052356021</v>
      </c>
    </row>
    <row r="252" spans="1:12" hidden="1">
      <c r="A252" s="931">
        <v>4</v>
      </c>
      <c r="B252" s="1246">
        <v>46041</v>
      </c>
      <c r="C252" s="1248">
        <v>46047</v>
      </c>
      <c r="D252" s="933">
        <v>24</v>
      </c>
      <c r="E252" s="933" t="s">
        <v>685</v>
      </c>
      <c r="F252" s="933" t="s">
        <v>256</v>
      </c>
      <c r="G252" s="933">
        <v>9</v>
      </c>
      <c r="H252" s="933">
        <v>9</v>
      </c>
      <c r="I252" s="933" t="s">
        <v>670</v>
      </c>
      <c r="J252" s="934">
        <v>8.1313131313131297</v>
      </c>
      <c r="K252" s="934">
        <v>73.181818181818201</v>
      </c>
      <c r="L252" s="938">
        <v>1.1780104712041899</v>
      </c>
    </row>
    <row r="253" spans="1:12" hidden="1">
      <c r="A253" s="931">
        <v>4</v>
      </c>
      <c r="B253" s="1247">
        <v>46041</v>
      </c>
      <c r="C253" s="1249">
        <v>46047</v>
      </c>
      <c r="D253" s="935">
        <v>25</v>
      </c>
      <c r="E253" s="935" t="s">
        <v>697</v>
      </c>
      <c r="F253" s="935" t="s">
        <v>256</v>
      </c>
      <c r="G253" s="935">
        <v>9</v>
      </c>
      <c r="H253" s="935">
        <v>9</v>
      </c>
      <c r="I253" s="935" t="s">
        <v>670</v>
      </c>
      <c r="J253" s="936">
        <v>9.8181818181818201</v>
      </c>
      <c r="K253" s="936">
        <v>88.363636363636402</v>
      </c>
      <c r="L253" s="939">
        <v>1.1780104712041899</v>
      </c>
    </row>
    <row r="254" spans="1:12" hidden="1">
      <c r="A254" s="931">
        <v>4</v>
      </c>
      <c r="B254" s="1246">
        <v>46041</v>
      </c>
      <c r="C254" s="1248">
        <v>46047</v>
      </c>
      <c r="D254" s="933">
        <v>26</v>
      </c>
      <c r="E254" s="933" t="s">
        <v>743</v>
      </c>
      <c r="F254" s="933" t="s">
        <v>251</v>
      </c>
      <c r="G254" s="933">
        <v>9</v>
      </c>
      <c r="H254" s="933">
        <v>9</v>
      </c>
      <c r="I254" s="933" t="s">
        <v>670</v>
      </c>
      <c r="J254" s="934">
        <v>2.4393939393939399</v>
      </c>
      <c r="K254" s="934">
        <v>21.9545454545454</v>
      </c>
      <c r="L254" s="938">
        <v>1.1780104712041899</v>
      </c>
    </row>
    <row r="255" spans="1:12" hidden="1">
      <c r="A255" s="931">
        <v>4</v>
      </c>
      <c r="B255" s="1247">
        <v>46041</v>
      </c>
      <c r="C255" s="1249">
        <v>46047</v>
      </c>
      <c r="D255" s="935">
        <v>27</v>
      </c>
      <c r="E255" s="935" t="s">
        <v>708</v>
      </c>
      <c r="F255" s="935" t="s">
        <v>251</v>
      </c>
      <c r="G255" s="935">
        <v>8</v>
      </c>
      <c r="H255" s="935">
        <v>8</v>
      </c>
      <c r="I255" s="935" t="s">
        <v>670</v>
      </c>
      <c r="J255" s="936">
        <v>1.78977272727273</v>
      </c>
      <c r="K255" s="936">
        <v>14.318181818181801</v>
      </c>
      <c r="L255" s="939">
        <v>1.04712041884817</v>
      </c>
    </row>
    <row r="256" spans="1:12" hidden="1">
      <c r="A256" s="931">
        <v>4</v>
      </c>
      <c r="B256" s="1246">
        <v>46041</v>
      </c>
      <c r="C256" s="1248">
        <v>46047</v>
      </c>
      <c r="D256" s="933">
        <v>28</v>
      </c>
      <c r="E256" s="933" t="s">
        <v>721</v>
      </c>
      <c r="F256" s="933" t="s">
        <v>256</v>
      </c>
      <c r="G256" s="933">
        <v>7</v>
      </c>
      <c r="H256" s="933">
        <v>7</v>
      </c>
      <c r="I256" s="933" t="s">
        <v>670</v>
      </c>
      <c r="J256" s="934">
        <v>10.474025974026</v>
      </c>
      <c r="K256" s="934">
        <v>73.318181818181799</v>
      </c>
      <c r="L256" s="938">
        <v>0.91623036649214695</v>
      </c>
    </row>
    <row r="257" spans="1:12" hidden="1">
      <c r="A257" s="931">
        <v>4</v>
      </c>
      <c r="B257" s="1247">
        <v>46041</v>
      </c>
      <c r="C257" s="1249">
        <v>46047</v>
      </c>
      <c r="D257" s="935">
        <v>29</v>
      </c>
      <c r="E257" s="935" t="s">
        <v>720</v>
      </c>
      <c r="F257" s="935" t="s">
        <v>251</v>
      </c>
      <c r="G257" s="935">
        <v>7</v>
      </c>
      <c r="H257" s="935">
        <v>7</v>
      </c>
      <c r="I257" s="935" t="s">
        <v>670</v>
      </c>
      <c r="J257" s="936">
        <v>2.4285714285714302</v>
      </c>
      <c r="K257" s="936">
        <v>17</v>
      </c>
      <c r="L257" s="939">
        <v>0.91623036649214695</v>
      </c>
    </row>
    <row r="258" spans="1:12" hidden="1">
      <c r="A258" s="931">
        <v>4</v>
      </c>
      <c r="B258" s="1246">
        <v>46041</v>
      </c>
      <c r="C258" s="1248">
        <v>46047</v>
      </c>
      <c r="D258" s="933">
        <v>30</v>
      </c>
      <c r="E258" s="933" t="s">
        <v>742</v>
      </c>
      <c r="F258" s="933" t="s">
        <v>251</v>
      </c>
      <c r="G258" s="933">
        <v>6</v>
      </c>
      <c r="H258" s="933">
        <v>6</v>
      </c>
      <c r="I258" s="933" t="s">
        <v>670</v>
      </c>
      <c r="J258" s="934">
        <v>2.7272727272727302</v>
      </c>
      <c r="K258" s="934">
        <v>16.363636363636399</v>
      </c>
      <c r="L258" s="938">
        <v>0.78534031413612604</v>
      </c>
    </row>
    <row r="259" spans="1:12" hidden="1">
      <c r="A259" s="931">
        <v>4</v>
      </c>
      <c r="B259" s="1247">
        <v>46041</v>
      </c>
      <c r="C259" s="1249">
        <v>46047</v>
      </c>
      <c r="D259" s="935">
        <v>31</v>
      </c>
      <c r="E259" s="935" t="s">
        <v>703</v>
      </c>
      <c r="F259" s="935" t="s">
        <v>256</v>
      </c>
      <c r="G259" s="935">
        <v>6</v>
      </c>
      <c r="H259" s="935">
        <v>6</v>
      </c>
      <c r="I259" s="935" t="s">
        <v>670</v>
      </c>
      <c r="J259" s="936">
        <v>1.85606060606061</v>
      </c>
      <c r="K259" s="936">
        <v>11.136363636363599</v>
      </c>
      <c r="L259" s="939">
        <v>0.78534031413612604</v>
      </c>
    </row>
    <row r="260" spans="1:12" hidden="1">
      <c r="A260" s="931">
        <v>4</v>
      </c>
      <c r="B260" s="1246">
        <v>46041</v>
      </c>
      <c r="C260" s="1248">
        <v>46047</v>
      </c>
      <c r="D260" s="933">
        <v>32</v>
      </c>
      <c r="E260" s="933" t="s">
        <v>723</v>
      </c>
      <c r="F260" s="933" t="s">
        <v>713</v>
      </c>
      <c r="G260" s="933">
        <v>6</v>
      </c>
      <c r="H260" s="933">
        <v>6</v>
      </c>
      <c r="I260" s="933" t="s">
        <v>670</v>
      </c>
      <c r="J260" s="934">
        <v>2.8181818181818201</v>
      </c>
      <c r="K260" s="934">
        <v>16.909090909090899</v>
      </c>
      <c r="L260" s="938">
        <v>0.78534031413612604</v>
      </c>
    </row>
    <row r="261" spans="1:12" hidden="1">
      <c r="A261" s="931">
        <v>4</v>
      </c>
      <c r="B261" s="1247">
        <v>46041</v>
      </c>
      <c r="C261" s="1249">
        <v>46047</v>
      </c>
      <c r="D261" s="935">
        <v>33</v>
      </c>
      <c r="E261" s="935" t="s">
        <v>727</v>
      </c>
      <c r="F261" s="935" t="s">
        <v>275</v>
      </c>
      <c r="G261" s="935">
        <v>6</v>
      </c>
      <c r="H261" s="935">
        <v>6</v>
      </c>
      <c r="I261" s="935" t="s">
        <v>670</v>
      </c>
      <c r="J261" s="936">
        <v>0</v>
      </c>
      <c r="K261" s="936">
        <v>0</v>
      </c>
      <c r="L261" s="939">
        <v>0.78534031413612604</v>
      </c>
    </row>
    <row r="262" spans="1:12" hidden="1">
      <c r="A262" s="931">
        <v>4</v>
      </c>
      <c r="B262" s="1246">
        <v>46041</v>
      </c>
      <c r="C262" s="1248">
        <v>46047</v>
      </c>
      <c r="D262" s="933">
        <v>34</v>
      </c>
      <c r="E262" s="933" t="s">
        <v>686</v>
      </c>
      <c r="F262" s="933" t="s">
        <v>274</v>
      </c>
      <c r="G262" s="933">
        <v>5</v>
      </c>
      <c r="H262" s="933">
        <v>5</v>
      </c>
      <c r="I262" s="933" t="s">
        <v>670</v>
      </c>
      <c r="J262" s="934">
        <v>13.545454545454501</v>
      </c>
      <c r="K262" s="934">
        <v>67.727272727272705</v>
      </c>
      <c r="L262" s="938">
        <v>0.65445026178010501</v>
      </c>
    </row>
    <row r="263" spans="1:12" hidden="1">
      <c r="A263" s="931">
        <v>4</v>
      </c>
      <c r="B263" s="1247">
        <v>46041</v>
      </c>
      <c r="C263" s="1249">
        <v>46047</v>
      </c>
      <c r="D263" s="935">
        <v>35</v>
      </c>
      <c r="E263" s="935" t="s">
        <v>755</v>
      </c>
      <c r="F263" s="935" t="s">
        <v>251</v>
      </c>
      <c r="G263" s="935">
        <v>5</v>
      </c>
      <c r="H263" s="935">
        <v>5</v>
      </c>
      <c r="I263" s="935" t="s">
        <v>670</v>
      </c>
      <c r="J263" s="936">
        <v>1.47272727272727</v>
      </c>
      <c r="K263" s="936">
        <v>7.3636363636363598</v>
      </c>
      <c r="L263" s="939">
        <v>0.65445026178010501</v>
      </c>
    </row>
    <row r="264" spans="1:12" hidden="1">
      <c r="A264" s="931">
        <v>4</v>
      </c>
      <c r="B264" s="1246">
        <v>46041</v>
      </c>
      <c r="C264" s="1248">
        <v>46047</v>
      </c>
      <c r="D264" s="933">
        <v>36</v>
      </c>
      <c r="E264" s="933" t="s">
        <v>688</v>
      </c>
      <c r="F264" s="933" t="s">
        <v>689</v>
      </c>
      <c r="G264" s="933">
        <v>5</v>
      </c>
      <c r="H264" s="933">
        <v>5</v>
      </c>
      <c r="I264" s="933" t="s">
        <v>670</v>
      </c>
      <c r="J264" s="934">
        <v>9.9090909090909101</v>
      </c>
      <c r="K264" s="934">
        <v>49.545454545454497</v>
      </c>
      <c r="L264" s="938">
        <v>0.65445026178010501</v>
      </c>
    </row>
    <row r="265" spans="1:12" hidden="1">
      <c r="A265" s="931">
        <v>4</v>
      </c>
      <c r="B265" s="1247">
        <v>46041</v>
      </c>
      <c r="C265" s="1249">
        <v>46047</v>
      </c>
      <c r="D265" s="935">
        <v>37</v>
      </c>
      <c r="E265" s="935" t="s">
        <v>760</v>
      </c>
      <c r="F265" s="935" t="s">
        <v>253</v>
      </c>
      <c r="G265" s="935">
        <v>5</v>
      </c>
      <c r="H265" s="935">
        <v>5</v>
      </c>
      <c r="I265" s="935" t="s">
        <v>672</v>
      </c>
      <c r="J265" s="936">
        <v>0</v>
      </c>
      <c r="K265" s="936">
        <v>0</v>
      </c>
      <c r="L265" s="939">
        <v>0.65445026178010501</v>
      </c>
    </row>
    <row r="266" spans="1:12" hidden="1">
      <c r="A266" s="931">
        <v>4</v>
      </c>
      <c r="B266" s="1246">
        <v>46041</v>
      </c>
      <c r="C266" s="1248">
        <v>46047</v>
      </c>
      <c r="D266" s="933">
        <v>38</v>
      </c>
      <c r="E266" s="933" t="s">
        <v>759</v>
      </c>
      <c r="F266" s="933" t="s">
        <v>256</v>
      </c>
      <c r="G266" s="933">
        <v>5</v>
      </c>
      <c r="H266" s="933">
        <v>5</v>
      </c>
      <c r="I266" s="933" t="s">
        <v>670</v>
      </c>
      <c r="J266" s="934">
        <v>7.7272727272727302</v>
      </c>
      <c r="K266" s="934">
        <v>38.636363636363598</v>
      </c>
      <c r="L266" s="938">
        <v>0.65445026178010501</v>
      </c>
    </row>
    <row r="267" spans="1:12" hidden="1">
      <c r="A267" s="931">
        <v>4</v>
      </c>
      <c r="B267" s="1247">
        <v>46041</v>
      </c>
      <c r="C267" s="1249">
        <v>46047</v>
      </c>
      <c r="D267" s="935">
        <v>39</v>
      </c>
      <c r="E267" s="935" t="s">
        <v>771</v>
      </c>
      <c r="F267" s="935" t="s">
        <v>323</v>
      </c>
      <c r="G267" s="935">
        <v>5</v>
      </c>
      <c r="H267" s="935">
        <v>5</v>
      </c>
      <c r="I267" s="935" t="s">
        <v>670</v>
      </c>
      <c r="J267" s="936">
        <v>0</v>
      </c>
      <c r="K267" s="936">
        <v>0</v>
      </c>
      <c r="L267" s="939">
        <v>0.65445026178010501</v>
      </c>
    </row>
    <row r="268" spans="1:12" hidden="1">
      <c r="A268" s="931">
        <v>4</v>
      </c>
      <c r="B268" s="1246">
        <v>46041</v>
      </c>
      <c r="C268" s="1248">
        <v>46047</v>
      </c>
      <c r="D268" s="933">
        <v>40</v>
      </c>
      <c r="E268" s="933" t="s">
        <v>716</v>
      </c>
      <c r="F268" s="933" t="s">
        <v>251</v>
      </c>
      <c r="G268" s="933">
        <v>4</v>
      </c>
      <c r="H268" s="933">
        <v>4</v>
      </c>
      <c r="I268" s="933" t="s">
        <v>670</v>
      </c>
      <c r="J268" s="934">
        <v>0</v>
      </c>
      <c r="K268" s="934">
        <v>0</v>
      </c>
      <c r="L268" s="938">
        <v>0.52356020942408399</v>
      </c>
    </row>
    <row r="269" spans="1:12" hidden="1">
      <c r="A269" s="931">
        <v>4</v>
      </c>
      <c r="B269" s="1247">
        <v>46041</v>
      </c>
      <c r="C269" s="1249">
        <v>46047</v>
      </c>
      <c r="D269" s="935">
        <v>41</v>
      </c>
      <c r="E269" s="935" t="s">
        <v>694</v>
      </c>
      <c r="F269" s="935" t="s">
        <v>695</v>
      </c>
      <c r="G269" s="935">
        <v>4</v>
      </c>
      <c r="H269" s="935">
        <v>4</v>
      </c>
      <c r="I269" s="935" t="s">
        <v>670</v>
      </c>
      <c r="J269" s="936">
        <v>3.6022727272727302</v>
      </c>
      <c r="K269" s="936">
        <v>14.409090909090899</v>
      </c>
      <c r="L269" s="939">
        <v>0.52356020942408399</v>
      </c>
    </row>
    <row r="270" spans="1:12" hidden="1">
      <c r="A270" s="931">
        <v>4</v>
      </c>
      <c r="B270" s="1246">
        <v>46041</v>
      </c>
      <c r="C270" s="1248">
        <v>46047</v>
      </c>
      <c r="D270" s="933">
        <v>42</v>
      </c>
      <c r="E270" s="933" t="s">
        <v>692</v>
      </c>
      <c r="F270" s="933" t="s">
        <v>693</v>
      </c>
      <c r="G270" s="933">
        <v>4</v>
      </c>
      <c r="H270" s="933">
        <v>4</v>
      </c>
      <c r="I270" s="933" t="s">
        <v>670</v>
      </c>
      <c r="J270" s="934">
        <v>0</v>
      </c>
      <c r="K270" s="934">
        <v>0</v>
      </c>
      <c r="L270" s="938">
        <v>0.52356020942408399</v>
      </c>
    </row>
    <row r="271" spans="1:12" hidden="1">
      <c r="A271" s="931">
        <v>4</v>
      </c>
      <c r="B271" s="1247">
        <v>46041</v>
      </c>
      <c r="C271" s="1249">
        <v>46047</v>
      </c>
      <c r="D271" s="935">
        <v>43</v>
      </c>
      <c r="E271" s="935" t="s">
        <v>696</v>
      </c>
      <c r="F271" s="935" t="s">
        <v>323</v>
      </c>
      <c r="G271" s="935">
        <v>4</v>
      </c>
      <c r="H271" s="935">
        <v>4</v>
      </c>
      <c r="I271" s="935" t="s">
        <v>670</v>
      </c>
      <c r="J271" s="936">
        <v>10.818181818181801</v>
      </c>
      <c r="K271" s="936">
        <v>43.272727272727302</v>
      </c>
      <c r="L271" s="939">
        <v>0.52356020942408399</v>
      </c>
    </row>
    <row r="272" spans="1:12" hidden="1">
      <c r="A272" s="931">
        <v>4</v>
      </c>
      <c r="B272" s="1246">
        <v>46041</v>
      </c>
      <c r="C272" s="1248">
        <v>46047</v>
      </c>
      <c r="D272" s="933">
        <v>44</v>
      </c>
      <c r="E272" s="933" t="s">
        <v>684</v>
      </c>
      <c r="F272" s="933" t="s">
        <v>323</v>
      </c>
      <c r="G272" s="933">
        <v>4</v>
      </c>
      <c r="H272" s="933">
        <v>4</v>
      </c>
      <c r="I272" s="933" t="s">
        <v>670</v>
      </c>
      <c r="J272" s="934">
        <v>8.9090909090909101</v>
      </c>
      <c r="K272" s="934">
        <v>35.636363636363598</v>
      </c>
      <c r="L272" s="938">
        <v>0.52356020942408399</v>
      </c>
    </row>
    <row r="273" spans="1:12" hidden="1">
      <c r="A273" s="931">
        <v>4</v>
      </c>
      <c r="B273" s="1247">
        <v>46041</v>
      </c>
      <c r="C273" s="1249">
        <v>46047</v>
      </c>
      <c r="D273" s="935">
        <v>45</v>
      </c>
      <c r="E273" s="935" t="s">
        <v>704</v>
      </c>
      <c r="F273" s="935" t="s">
        <v>689</v>
      </c>
      <c r="G273" s="935">
        <v>4</v>
      </c>
      <c r="H273" s="935">
        <v>4</v>
      </c>
      <c r="I273" s="935" t="s">
        <v>670</v>
      </c>
      <c r="J273" s="936">
        <v>11.7272727272727</v>
      </c>
      <c r="K273" s="936">
        <v>46.909090909090899</v>
      </c>
      <c r="L273" s="939">
        <v>0.52356020942408399</v>
      </c>
    </row>
    <row r="274" spans="1:12" hidden="1">
      <c r="A274" s="931">
        <v>4</v>
      </c>
      <c r="B274" s="1246">
        <v>46041</v>
      </c>
      <c r="C274" s="1248">
        <v>46047</v>
      </c>
      <c r="D274" s="933">
        <v>46</v>
      </c>
      <c r="E274" s="933" t="s">
        <v>700</v>
      </c>
      <c r="F274" s="933" t="s">
        <v>274</v>
      </c>
      <c r="G274" s="933">
        <v>4</v>
      </c>
      <c r="H274" s="933">
        <v>4</v>
      </c>
      <c r="I274" s="933" t="s">
        <v>670</v>
      </c>
      <c r="J274" s="934">
        <v>9.0227272727272698</v>
      </c>
      <c r="K274" s="934">
        <v>36.090909090909101</v>
      </c>
      <c r="L274" s="938">
        <v>0.52356020942408399</v>
      </c>
    </row>
    <row r="275" spans="1:12" hidden="1">
      <c r="A275" s="931">
        <v>4</v>
      </c>
      <c r="B275" s="1247">
        <v>46041</v>
      </c>
      <c r="C275" s="1249">
        <v>46047</v>
      </c>
      <c r="D275" s="935">
        <v>47</v>
      </c>
      <c r="E275" s="935" t="s">
        <v>769</v>
      </c>
      <c r="F275" s="935" t="s">
        <v>730</v>
      </c>
      <c r="G275" s="935">
        <v>4</v>
      </c>
      <c r="H275" s="935">
        <v>4</v>
      </c>
      <c r="I275" s="935" t="s">
        <v>670</v>
      </c>
      <c r="J275" s="936">
        <v>4.9090909090909101</v>
      </c>
      <c r="K275" s="936">
        <v>19.636363636363601</v>
      </c>
      <c r="L275" s="939">
        <v>0.52356020942408399</v>
      </c>
    </row>
    <row r="276" spans="1:12" hidden="1">
      <c r="A276" s="931">
        <v>4</v>
      </c>
      <c r="B276" s="1246">
        <v>46041</v>
      </c>
      <c r="C276" s="1248">
        <v>46047</v>
      </c>
      <c r="D276" s="933">
        <v>48</v>
      </c>
      <c r="E276" s="933" t="s">
        <v>748</v>
      </c>
      <c r="F276" s="933" t="s">
        <v>274</v>
      </c>
      <c r="G276" s="933">
        <v>4</v>
      </c>
      <c r="H276" s="933">
        <v>4</v>
      </c>
      <c r="I276" s="933" t="s">
        <v>670</v>
      </c>
      <c r="J276" s="934">
        <v>8.9659090909090899</v>
      </c>
      <c r="K276" s="934">
        <v>35.863636363636402</v>
      </c>
      <c r="L276" s="938">
        <v>0.52356020942408399</v>
      </c>
    </row>
    <row r="277" spans="1:12" hidden="1">
      <c r="A277" s="931">
        <v>4</v>
      </c>
      <c r="B277" s="1247">
        <v>46041</v>
      </c>
      <c r="C277" s="1249">
        <v>46047</v>
      </c>
      <c r="D277" s="935">
        <v>49</v>
      </c>
      <c r="E277" s="935" t="s">
        <v>711</v>
      </c>
      <c r="F277" s="935" t="s">
        <v>251</v>
      </c>
      <c r="G277" s="935">
        <v>4</v>
      </c>
      <c r="H277" s="935">
        <v>4</v>
      </c>
      <c r="I277" s="935" t="s">
        <v>670</v>
      </c>
      <c r="J277" s="936">
        <v>0</v>
      </c>
      <c r="K277" s="936">
        <v>0</v>
      </c>
      <c r="L277" s="939">
        <v>0.52356020942408399</v>
      </c>
    </row>
    <row r="278" spans="1:12" hidden="1">
      <c r="A278" s="931">
        <v>4</v>
      </c>
      <c r="B278" s="1246">
        <v>46041</v>
      </c>
      <c r="C278" s="1248">
        <v>46047</v>
      </c>
      <c r="D278" s="933">
        <v>50</v>
      </c>
      <c r="E278" s="933" t="s">
        <v>752</v>
      </c>
      <c r="F278" s="933" t="s">
        <v>264</v>
      </c>
      <c r="G278" s="933">
        <v>4</v>
      </c>
      <c r="H278" s="933">
        <v>4</v>
      </c>
      <c r="I278" s="933" t="s">
        <v>670</v>
      </c>
      <c r="J278" s="934">
        <v>1.48863636363636</v>
      </c>
      <c r="K278" s="934">
        <v>5.9545454545454604</v>
      </c>
      <c r="L278" s="938">
        <v>0.52356020942408399</v>
      </c>
    </row>
    <row r="279" spans="1:12" hidden="1">
      <c r="A279" s="931">
        <v>4</v>
      </c>
      <c r="B279" s="1247">
        <v>46041</v>
      </c>
      <c r="C279" s="1249">
        <v>46047</v>
      </c>
      <c r="D279" s="935">
        <v>51</v>
      </c>
      <c r="E279" s="935" t="s">
        <v>772</v>
      </c>
      <c r="F279" s="935" t="s">
        <v>730</v>
      </c>
      <c r="G279" s="935">
        <v>3</v>
      </c>
      <c r="H279" s="935">
        <v>3</v>
      </c>
      <c r="I279" s="935" t="s">
        <v>670</v>
      </c>
      <c r="J279" s="936">
        <v>2.9545454545454599</v>
      </c>
      <c r="K279" s="936">
        <v>8.8636363636363598</v>
      </c>
      <c r="L279" s="939">
        <v>0.39267015706806302</v>
      </c>
    </row>
    <row r="280" spans="1:12" hidden="1">
      <c r="A280" s="931">
        <v>4</v>
      </c>
      <c r="B280" s="1246">
        <v>46041</v>
      </c>
      <c r="C280" s="1248">
        <v>46047</v>
      </c>
      <c r="D280" s="933">
        <v>52</v>
      </c>
      <c r="E280" s="933" t="s">
        <v>706</v>
      </c>
      <c r="F280" s="933" t="s">
        <v>256</v>
      </c>
      <c r="G280" s="933">
        <v>3</v>
      </c>
      <c r="H280" s="933">
        <v>3</v>
      </c>
      <c r="I280" s="933" t="s">
        <v>670</v>
      </c>
      <c r="J280" s="934">
        <v>12.636363636363599</v>
      </c>
      <c r="K280" s="934">
        <v>37.909090909090899</v>
      </c>
      <c r="L280" s="938">
        <v>0.39267015706806302</v>
      </c>
    </row>
    <row r="281" spans="1:12" hidden="1">
      <c r="A281" s="931">
        <v>4</v>
      </c>
      <c r="B281" s="1247">
        <v>46041</v>
      </c>
      <c r="C281" s="1249">
        <v>46047</v>
      </c>
      <c r="D281" s="935">
        <v>53</v>
      </c>
      <c r="E281" s="935" t="s">
        <v>714</v>
      </c>
      <c r="F281" s="935" t="s">
        <v>251</v>
      </c>
      <c r="G281" s="935">
        <v>3</v>
      </c>
      <c r="H281" s="935">
        <v>3</v>
      </c>
      <c r="I281" s="935" t="s">
        <v>670</v>
      </c>
      <c r="J281" s="936">
        <v>0.939393939393939</v>
      </c>
      <c r="K281" s="936">
        <v>2.8181818181818201</v>
      </c>
      <c r="L281" s="939">
        <v>0.39267015706806302</v>
      </c>
    </row>
    <row r="282" spans="1:12" hidden="1">
      <c r="A282" s="931">
        <v>4</v>
      </c>
      <c r="B282" s="1246">
        <v>46041</v>
      </c>
      <c r="C282" s="1248">
        <v>46047</v>
      </c>
      <c r="D282" s="933">
        <v>54</v>
      </c>
      <c r="E282" s="933" t="s">
        <v>761</v>
      </c>
      <c r="F282" s="933" t="s">
        <v>730</v>
      </c>
      <c r="G282" s="933">
        <v>3</v>
      </c>
      <c r="H282" s="933">
        <v>3</v>
      </c>
      <c r="I282" s="933" t="s">
        <v>670</v>
      </c>
      <c r="J282" s="934">
        <v>2.8181818181818201</v>
      </c>
      <c r="K282" s="934">
        <v>8.4545454545454497</v>
      </c>
      <c r="L282" s="938">
        <v>0.39267015706806302</v>
      </c>
    </row>
    <row r="283" spans="1:12" hidden="1">
      <c r="A283" s="931">
        <v>4</v>
      </c>
      <c r="B283" s="1247">
        <v>46041</v>
      </c>
      <c r="C283" s="1249">
        <v>46047</v>
      </c>
      <c r="D283" s="935">
        <v>55</v>
      </c>
      <c r="E283" s="935" t="s">
        <v>722</v>
      </c>
      <c r="F283" s="935" t="s">
        <v>251</v>
      </c>
      <c r="G283" s="935">
        <v>3</v>
      </c>
      <c r="H283" s="935">
        <v>3</v>
      </c>
      <c r="I283" s="935" t="s">
        <v>670</v>
      </c>
      <c r="J283" s="936">
        <v>2.4545454545454501</v>
      </c>
      <c r="K283" s="936">
        <v>7.3636363636363598</v>
      </c>
      <c r="L283" s="939">
        <v>0.39267015706806302</v>
      </c>
    </row>
    <row r="284" spans="1:12" hidden="1">
      <c r="A284" s="931">
        <v>4</v>
      </c>
      <c r="B284" s="1246">
        <v>46041</v>
      </c>
      <c r="C284" s="1248">
        <v>46047</v>
      </c>
      <c r="D284" s="933">
        <v>56</v>
      </c>
      <c r="E284" s="933" t="s">
        <v>701</v>
      </c>
      <c r="F284" s="933" t="s">
        <v>689</v>
      </c>
      <c r="G284" s="933">
        <v>3</v>
      </c>
      <c r="H284" s="933">
        <v>3</v>
      </c>
      <c r="I284" s="933" t="s">
        <v>670</v>
      </c>
      <c r="J284" s="934">
        <v>9.9090909090909101</v>
      </c>
      <c r="K284" s="934">
        <v>29.727272727272702</v>
      </c>
      <c r="L284" s="938">
        <v>0.39267015706806302</v>
      </c>
    </row>
    <row r="285" spans="1:12" hidden="1">
      <c r="A285" s="931">
        <v>4</v>
      </c>
      <c r="B285" s="1247">
        <v>46041</v>
      </c>
      <c r="C285" s="1249">
        <v>46047</v>
      </c>
      <c r="D285" s="935">
        <v>57</v>
      </c>
      <c r="E285" s="935" t="s">
        <v>710</v>
      </c>
      <c r="F285" s="935" t="s">
        <v>249</v>
      </c>
      <c r="G285" s="935">
        <v>2</v>
      </c>
      <c r="H285" s="935">
        <v>2</v>
      </c>
      <c r="I285" s="935" t="s">
        <v>670</v>
      </c>
      <c r="J285" s="936">
        <v>2.4090909090909101</v>
      </c>
      <c r="K285" s="936">
        <v>4.8181818181818201</v>
      </c>
      <c r="L285" s="939">
        <v>0.26178010471204199</v>
      </c>
    </row>
    <row r="286" spans="1:12" hidden="1">
      <c r="A286" s="931">
        <v>4</v>
      </c>
      <c r="B286" s="1246">
        <v>46041</v>
      </c>
      <c r="C286" s="1248">
        <v>46047</v>
      </c>
      <c r="D286" s="933">
        <v>58</v>
      </c>
      <c r="E286" s="933" t="s">
        <v>683</v>
      </c>
      <c r="F286" s="933" t="s">
        <v>274</v>
      </c>
      <c r="G286" s="933">
        <v>2</v>
      </c>
      <c r="H286" s="933">
        <v>2</v>
      </c>
      <c r="I286" s="933" t="s">
        <v>670</v>
      </c>
      <c r="J286" s="934">
        <v>10.818181818181801</v>
      </c>
      <c r="K286" s="934">
        <v>21.636363636363601</v>
      </c>
      <c r="L286" s="938">
        <v>0.26178010471204199</v>
      </c>
    </row>
    <row r="287" spans="1:12" hidden="1">
      <c r="A287" s="931">
        <v>4</v>
      </c>
      <c r="B287" s="1247">
        <v>46041</v>
      </c>
      <c r="C287" s="1249">
        <v>46047</v>
      </c>
      <c r="D287" s="935">
        <v>59</v>
      </c>
      <c r="E287" s="935" t="s">
        <v>715</v>
      </c>
      <c r="F287" s="935" t="s">
        <v>693</v>
      </c>
      <c r="G287" s="935">
        <v>2</v>
      </c>
      <c r="H287" s="935">
        <v>2</v>
      </c>
      <c r="I287" s="935" t="s">
        <v>670</v>
      </c>
      <c r="J287" s="936">
        <v>0</v>
      </c>
      <c r="K287" s="936">
        <v>0</v>
      </c>
      <c r="L287" s="939">
        <v>0.26178010471204199</v>
      </c>
    </row>
    <row r="288" spans="1:12" hidden="1">
      <c r="A288" s="931">
        <v>4</v>
      </c>
      <c r="B288" s="1246">
        <v>46041</v>
      </c>
      <c r="C288" s="1248">
        <v>46047</v>
      </c>
      <c r="D288" s="933">
        <v>60</v>
      </c>
      <c r="E288" s="933" t="s">
        <v>773</v>
      </c>
      <c r="F288" s="933" t="s">
        <v>730</v>
      </c>
      <c r="G288" s="933">
        <v>2</v>
      </c>
      <c r="H288" s="933">
        <v>2</v>
      </c>
      <c r="I288" s="933" t="s">
        <v>670</v>
      </c>
      <c r="J288" s="934">
        <v>2.8181818181818201</v>
      </c>
      <c r="K288" s="934">
        <v>5.6363636363636402</v>
      </c>
      <c r="L288" s="938">
        <v>0.26178010471204199</v>
      </c>
    </row>
    <row r="289" spans="1:12" hidden="1">
      <c r="A289" s="931">
        <v>4</v>
      </c>
      <c r="B289" s="1247">
        <v>46041</v>
      </c>
      <c r="C289" s="1249">
        <v>46047</v>
      </c>
      <c r="D289" s="935">
        <v>61</v>
      </c>
      <c r="E289" s="935" t="s">
        <v>735</v>
      </c>
      <c r="F289" s="935" t="s">
        <v>730</v>
      </c>
      <c r="G289" s="935">
        <v>2</v>
      </c>
      <c r="H289" s="935">
        <v>2</v>
      </c>
      <c r="I289" s="935" t="s">
        <v>670</v>
      </c>
      <c r="J289" s="936">
        <v>2.8181818181818201</v>
      </c>
      <c r="K289" s="936">
        <v>5.6363636363636402</v>
      </c>
      <c r="L289" s="939">
        <v>0.26178010471204199</v>
      </c>
    </row>
    <row r="290" spans="1:12" hidden="1">
      <c r="A290" s="931">
        <v>4</v>
      </c>
      <c r="B290" s="1246">
        <v>46041</v>
      </c>
      <c r="C290" s="1248">
        <v>46047</v>
      </c>
      <c r="D290" s="933">
        <v>62</v>
      </c>
      <c r="E290" s="933" t="s">
        <v>707</v>
      </c>
      <c r="F290" s="933" t="s">
        <v>256</v>
      </c>
      <c r="G290" s="933">
        <v>2</v>
      </c>
      <c r="H290" s="933">
        <v>2</v>
      </c>
      <c r="I290" s="933" t="s">
        <v>670</v>
      </c>
      <c r="J290" s="934">
        <v>8.4090909090909101</v>
      </c>
      <c r="K290" s="934">
        <v>16.818181818181799</v>
      </c>
      <c r="L290" s="938">
        <v>0.26178010471204199</v>
      </c>
    </row>
    <row r="291" spans="1:12" hidden="1">
      <c r="A291" s="931">
        <v>4</v>
      </c>
      <c r="B291" s="1247">
        <v>46041</v>
      </c>
      <c r="C291" s="1249">
        <v>46047</v>
      </c>
      <c r="D291" s="935">
        <v>63</v>
      </c>
      <c r="E291" s="935" t="s">
        <v>740</v>
      </c>
      <c r="F291" s="935" t="s">
        <v>264</v>
      </c>
      <c r="G291" s="935">
        <v>2</v>
      </c>
      <c r="H291" s="935">
        <v>2</v>
      </c>
      <c r="I291" s="935" t="s">
        <v>741</v>
      </c>
      <c r="J291" s="936">
        <v>2.5</v>
      </c>
      <c r="K291" s="936">
        <v>5</v>
      </c>
      <c r="L291" s="939">
        <v>0.26178010471204199</v>
      </c>
    </row>
    <row r="292" spans="1:12" hidden="1">
      <c r="A292" s="931">
        <v>4</v>
      </c>
      <c r="B292" s="1246">
        <v>46041</v>
      </c>
      <c r="C292" s="1248">
        <v>46047</v>
      </c>
      <c r="D292" s="933">
        <v>64</v>
      </c>
      <c r="E292" s="933" t="s">
        <v>757</v>
      </c>
      <c r="F292" s="933" t="s">
        <v>251</v>
      </c>
      <c r="G292" s="933">
        <v>2</v>
      </c>
      <c r="H292" s="933">
        <v>2</v>
      </c>
      <c r="I292" s="933" t="s">
        <v>670</v>
      </c>
      <c r="J292" s="934">
        <v>2.5681818181818201</v>
      </c>
      <c r="K292" s="934">
        <v>5.1363636363636402</v>
      </c>
      <c r="L292" s="938">
        <v>0.26178010471204199</v>
      </c>
    </row>
    <row r="293" spans="1:12" hidden="1">
      <c r="A293" s="931">
        <v>4</v>
      </c>
      <c r="B293" s="1247">
        <v>46041</v>
      </c>
      <c r="C293" s="1249">
        <v>46047</v>
      </c>
      <c r="D293" s="935">
        <v>65</v>
      </c>
      <c r="E293" s="935" t="s">
        <v>734</v>
      </c>
      <c r="F293" s="935" t="s">
        <v>695</v>
      </c>
      <c r="G293" s="935">
        <v>1</v>
      </c>
      <c r="H293" s="935">
        <v>1</v>
      </c>
      <c r="I293" s="935" t="s">
        <v>670</v>
      </c>
      <c r="J293" s="936">
        <v>18.090909090909101</v>
      </c>
      <c r="K293" s="936">
        <v>18.090909090909101</v>
      </c>
      <c r="L293" s="939">
        <v>0.130890052356021</v>
      </c>
    </row>
    <row r="294" spans="1:12" hidden="1">
      <c r="A294" s="931">
        <v>4</v>
      </c>
      <c r="B294" s="1246">
        <v>46041</v>
      </c>
      <c r="C294" s="1248">
        <v>46047</v>
      </c>
      <c r="D294" s="933">
        <v>66</v>
      </c>
      <c r="E294" s="933" t="s">
        <v>746</v>
      </c>
      <c r="F294" s="933" t="s">
        <v>251</v>
      </c>
      <c r="G294" s="933">
        <v>1</v>
      </c>
      <c r="H294" s="933">
        <v>1</v>
      </c>
      <c r="I294" s="933" t="s">
        <v>670</v>
      </c>
      <c r="J294" s="934">
        <v>2.1363636363636398</v>
      </c>
      <c r="K294" s="934">
        <v>2.1363636363636398</v>
      </c>
      <c r="L294" s="938">
        <v>0.130890052356021</v>
      </c>
    </row>
    <row r="295" spans="1:12" hidden="1">
      <c r="A295" s="931">
        <v>4</v>
      </c>
      <c r="B295" s="1247">
        <v>46041</v>
      </c>
      <c r="C295" s="1249">
        <v>46047</v>
      </c>
      <c r="D295" s="935">
        <v>67</v>
      </c>
      <c r="E295" s="935" t="s">
        <v>768</v>
      </c>
      <c r="F295" s="935" t="s">
        <v>275</v>
      </c>
      <c r="G295" s="935">
        <v>1</v>
      </c>
      <c r="H295" s="935">
        <v>1</v>
      </c>
      <c r="I295" s="935" t="s">
        <v>670</v>
      </c>
      <c r="J295" s="936">
        <v>4.0909090909090899</v>
      </c>
      <c r="K295" s="936">
        <v>4.0909090909090899</v>
      </c>
      <c r="L295" s="939">
        <v>0.130890052356021</v>
      </c>
    </row>
    <row r="296" spans="1:12" hidden="1">
      <c r="A296" s="931">
        <v>4</v>
      </c>
      <c r="B296" s="1246">
        <v>46041</v>
      </c>
      <c r="C296" s="1248">
        <v>46047</v>
      </c>
      <c r="D296" s="933">
        <v>68</v>
      </c>
      <c r="E296" s="933" t="s">
        <v>774</v>
      </c>
      <c r="F296" s="933" t="s">
        <v>730</v>
      </c>
      <c r="G296" s="933">
        <v>1</v>
      </c>
      <c r="H296" s="933">
        <v>1</v>
      </c>
      <c r="I296" s="933" t="s">
        <v>670</v>
      </c>
      <c r="J296" s="934">
        <v>4.9090909090909101</v>
      </c>
      <c r="K296" s="934">
        <v>4.9090909090909101</v>
      </c>
      <c r="L296" s="938">
        <v>0.130890052356021</v>
      </c>
    </row>
    <row r="297" spans="1:12" hidden="1">
      <c r="A297" s="931">
        <v>4</v>
      </c>
      <c r="B297" s="1247">
        <v>46041</v>
      </c>
      <c r="C297" s="1249">
        <v>46047</v>
      </c>
      <c r="D297" s="935">
        <v>69</v>
      </c>
      <c r="E297" s="935" t="s">
        <v>705</v>
      </c>
      <c r="F297" s="935" t="s">
        <v>274</v>
      </c>
      <c r="G297" s="935">
        <v>1</v>
      </c>
      <c r="H297" s="935">
        <v>1</v>
      </c>
      <c r="I297" s="935" t="s">
        <v>670</v>
      </c>
      <c r="J297" s="936">
        <v>9</v>
      </c>
      <c r="K297" s="936">
        <v>9</v>
      </c>
      <c r="L297" s="939">
        <v>0.130890052356021</v>
      </c>
    </row>
    <row r="298" spans="1:12" hidden="1">
      <c r="A298" s="931">
        <v>4</v>
      </c>
      <c r="B298" s="1246">
        <v>46041</v>
      </c>
      <c r="C298" s="1248">
        <v>46047</v>
      </c>
      <c r="D298" s="933">
        <v>70</v>
      </c>
      <c r="E298" s="933" t="s">
        <v>747</v>
      </c>
      <c r="F298" s="933" t="s">
        <v>256</v>
      </c>
      <c r="G298" s="933">
        <v>1</v>
      </c>
      <c r="H298" s="933">
        <v>1</v>
      </c>
      <c r="I298" s="933" t="s">
        <v>670</v>
      </c>
      <c r="J298" s="934">
        <v>7.8636363636363598</v>
      </c>
      <c r="K298" s="934">
        <v>7.8636363636363598</v>
      </c>
      <c r="L298" s="938">
        <v>0.130890052356021</v>
      </c>
    </row>
    <row r="299" spans="1:12" hidden="1">
      <c r="A299" s="931">
        <v>4</v>
      </c>
      <c r="B299" s="1247">
        <v>46041</v>
      </c>
      <c r="C299" s="1249">
        <v>46047</v>
      </c>
      <c r="D299" s="935">
        <v>71</v>
      </c>
      <c r="E299" s="935" t="s">
        <v>753</v>
      </c>
      <c r="F299" s="935" t="s">
        <v>275</v>
      </c>
      <c r="G299" s="935">
        <v>1</v>
      </c>
      <c r="H299" s="935">
        <v>1</v>
      </c>
      <c r="I299" s="935" t="s">
        <v>670</v>
      </c>
      <c r="J299" s="936">
        <v>0</v>
      </c>
      <c r="K299" s="936">
        <v>0</v>
      </c>
      <c r="L299" s="939">
        <v>0.130890052356021</v>
      </c>
    </row>
    <row r="300" spans="1:12" hidden="1">
      <c r="A300" s="931">
        <v>4</v>
      </c>
      <c r="B300" s="1246">
        <v>46041</v>
      </c>
      <c r="C300" s="1248">
        <v>46047</v>
      </c>
      <c r="D300" s="933">
        <v>72</v>
      </c>
      <c r="E300" s="933" t="s">
        <v>775</v>
      </c>
      <c r="F300" s="933" t="s">
        <v>695</v>
      </c>
      <c r="G300" s="933">
        <v>1</v>
      </c>
      <c r="H300" s="933">
        <v>1</v>
      </c>
      <c r="I300" s="933" t="s">
        <v>670</v>
      </c>
      <c r="J300" s="934">
        <v>14.4545454545454</v>
      </c>
      <c r="K300" s="934">
        <v>14.4545454545454</v>
      </c>
      <c r="L300" s="938">
        <v>0.130890052356021</v>
      </c>
    </row>
    <row r="301" spans="1:12" hidden="1">
      <c r="A301" s="931">
        <v>4</v>
      </c>
      <c r="B301" s="1247">
        <v>46041</v>
      </c>
      <c r="C301" s="1249">
        <v>46047</v>
      </c>
      <c r="D301" s="935">
        <v>73</v>
      </c>
      <c r="E301" s="935" t="s">
        <v>776</v>
      </c>
      <c r="F301" s="935" t="s">
        <v>730</v>
      </c>
      <c r="G301" s="935">
        <v>1</v>
      </c>
      <c r="H301" s="935">
        <v>1</v>
      </c>
      <c r="I301" s="935" t="s">
        <v>670</v>
      </c>
      <c r="J301" s="936">
        <v>8.0909090909090899</v>
      </c>
      <c r="K301" s="936">
        <v>8.0909090909090899</v>
      </c>
      <c r="L301" s="939">
        <v>0.130890052356021</v>
      </c>
    </row>
    <row r="302" spans="1:12" hidden="1">
      <c r="A302" s="931">
        <v>4</v>
      </c>
      <c r="B302" s="1246">
        <v>46041</v>
      </c>
      <c r="C302" s="1248">
        <v>46047</v>
      </c>
      <c r="D302" s="933">
        <v>74</v>
      </c>
      <c r="E302" s="933" t="s">
        <v>745</v>
      </c>
      <c r="F302" s="933" t="s">
        <v>275</v>
      </c>
      <c r="G302" s="933">
        <v>1</v>
      </c>
      <c r="H302" s="933">
        <v>1</v>
      </c>
      <c r="I302" s="933" t="s">
        <v>670</v>
      </c>
      <c r="J302" s="934">
        <v>4.7727272727272698</v>
      </c>
      <c r="K302" s="934">
        <v>4.7727272727272698</v>
      </c>
      <c r="L302" s="938">
        <v>0.130890052356021</v>
      </c>
    </row>
    <row r="303" spans="1:12" hidden="1">
      <c r="A303" s="931">
        <v>4</v>
      </c>
      <c r="B303" s="1247">
        <v>46041</v>
      </c>
      <c r="C303" s="1249">
        <v>46047</v>
      </c>
      <c r="D303" s="935">
        <v>75</v>
      </c>
      <c r="E303" s="935" t="s">
        <v>756</v>
      </c>
      <c r="F303" s="935" t="s">
        <v>251</v>
      </c>
      <c r="G303" s="935">
        <v>1</v>
      </c>
      <c r="H303" s="935">
        <v>1</v>
      </c>
      <c r="I303" s="935" t="s">
        <v>670</v>
      </c>
      <c r="J303" s="936">
        <v>2.1363636363636398</v>
      </c>
      <c r="K303" s="936">
        <v>2.1363636363636398</v>
      </c>
      <c r="L303" s="939">
        <v>0.130890052356021</v>
      </c>
    </row>
    <row r="304" spans="1:12" hidden="1">
      <c r="A304" s="931">
        <v>4</v>
      </c>
      <c r="B304" s="1246">
        <v>46041</v>
      </c>
      <c r="C304" s="1248">
        <v>46047</v>
      </c>
      <c r="D304" s="933">
        <v>76</v>
      </c>
      <c r="E304" s="933" t="s">
        <v>729</v>
      </c>
      <c r="F304" s="933" t="s">
        <v>730</v>
      </c>
      <c r="G304" s="933">
        <v>1</v>
      </c>
      <c r="H304" s="933">
        <v>1</v>
      </c>
      <c r="I304" s="933" t="s">
        <v>670</v>
      </c>
      <c r="J304" s="934">
        <v>10.7727272727273</v>
      </c>
      <c r="K304" s="934">
        <v>10.7727272727273</v>
      </c>
      <c r="L304" s="938">
        <v>0.130890052356021</v>
      </c>
    </row>
    <row r="305" spans="1:12" hidden="1">
      <c r="A305" s="931">
        <v>4</v>
      </c>
      <c r="B305" s="1247">
        <v>46041</v>
      </c>
      <c r="C305" s="1249">
        <v>46047</v>
      </c>
      <c r="D305" s="935">
        <v>77</v>
      </c>
      <c r="E305" s="935" t="s">
        <v>699</v>
      </c>
      <c r="F305" s="935" t="s">
        <v>249</v>
      </c>
      <c r="G305" s="935">
        <v>1</v>
      </c>
      <c r="H305" s="935">
        <v>1</v>
      </c>
      <c r="I305" s="935" t="s">
        <v>670</v>
      </c>
      <c r="J305" s="936">
        <v>0</v>
      </c>
      <c r="K305" s="936">
        <v>0</v>
      </c>
      <c r="L305" s="939">
        <v>0.130890052356021</v>
      </c>
    </row>
    <row r="306" spans="1:12" hidden="1">
      <c r="A306" s="931">
        <v>4</v>
      </c>
      <c r="B306" s="1246">
        <v>46041</v>
      </c>
      <c r="C306" s="1248">
        <v>46047</v>
      </c>
      <c r="D306" s="933">
        <v>78</v>
      </c>
      <c r="E306" s="933" t="s">
        <v>719</v>
      </c>
      <c r="F306" s="933" t="s">
        <v>689</v>
      </c>
      <c r="G306" s="933">
        <v>1</v>
      </c>
      <c r="H306" s="933">
        <v>1</v>
      </c>
      <c r="I306" s="933" t="s">
        <v>670</v>
      </c>
      <c r="J306" s="934">
        <v>11.7272727272727</v>
      </c>
      <c r="K306" s="934">
        <v>11.7272727272727</v>
      </c>
      <c r="L306" s="938">
        <v>0.130890052356021</v>
      </c>
    </row>
    <row r="307" spans="1:12" hidden="1">
      <c r="A307" s="931">
        <v>4</v>
      </c>
      <c r="B307" s="1247">
        <v>46041</v>
      </c>
      <c r="C307" s="1249">
        <v>46047</v>
      </c>
      <c r="D307" s="935">
        <v>79</v>
      </c>
      <c r="E307" s="935" t="s">
        <v>702</v>
      </c>
      <c r="F307" s="935" t="s">
        <v>251</v>
      </c>
      <c r="G307" s="935">
        <v>1</v>
      </c>
      <c r="H307" s="935">
        <v>1</v>
      </c>
      <c r="I307" s="935" t="s">
        <v>670</v>
      </c>
      <c r="J307" s="936">
        <v>2.4090909090909101</v>
      </c>
      <c r="K307" s="936">
        <v>2.4090909090909101</v>
      </c>
      <c r="L307" s="939">
        <v>0.130890052356021</v>
      </c>
    </row>
    <row r="308" spans="1:12" hidden="1">
      <c r="A308" s="931">
        <v>4</v>
      </c>
      <c r="B308" s="1246">
        <v>46041</v>
      </c>
      <c r="C308" s="1248">
        <v>46047</v>
      </c>
      <c r="D308" s="933">
        <v>80</v>
      </c>
      <c r="E308" s="933" t="s">
        <v>777</v>
      </c>
      <c r="F308" s="933" t="s">
        <v>713</v>
      </c>
      <c r="G308" s="933">
        <v>1</v>
      </c>
      <c r="H308" s="933">
        <v>1</v>
      </c>
      <c r="I308" s="933" t="s">
        <v>670</v>
      </c>
      <c r="J308" s="934">
        <v>3.8636363636363602</v>
      </c>
      <c r="K308" s="934">
        <v>3.8636363636363602</v>
      </c>
      <c r="L308" s="938">
        <v>0.130890052356021</v>
      </c>
    </row>
    <row r="309" spans="1:12" hidden="1">
      <c r="A309" s="931">
        <v>4</v>
      </c>
      <c r="B309" s="1247">
        <v>46041</v>
      </c>
      <c r="C309" s="1249">
        <v>46047</v>
      </c>
      <c r="D309" s="935">
        <v>81</v>
      </c>
      <c r="E309" s="935" t="s">
        <v>717</v>
      </c>
      <c r="F309" s="935" t="s">
        <v>249</v>
      </c>
      <c r="G309" s="935">
        <v>1</v>
      </c>
      <c r="H309" s="935">
        <v>1</v>
      </c>
      <c r="I309" s="935" t="s">
        <v>670</v>
      </c>
      <c r="J309" s="936">
        <v>1.86363636363636</v>
      </c>
      <c r="K309" s="936">
        <v>1.86363636363636</v>
      </c>
      <c r="L309" s="939">
        <v>0.130890052356021</v>
      </c>
    </row>
    <row r="310" spans="1:12" hidden="1">
      <c r="A310" s="931">
        <v>4</v>
      </c>
      <c r="B310" s="1246">
        <v>46041</v>
      </c>
      <c r="C310" s="1248">
        <v>46047</v>
      </c>
      <c r="D310" s="933">
        <v>82</v>
      </c>
      <c r="E310" s="933" t="s">
        <v>726</v>
      </c>
      <c r="F310" s="933" t="s">
        <v>323</v>
      </c>
      <c r="G310" s="933">
        <v>1</v>
      </c>
      <c r="H310" s="933">
        <v>1</v>
      </c>
      <c r="I310" s="933" t="s">
        <v>670</v>
      </c>
      <c r="J310" s="934">
        <v>11.5</v>
      </c>
      <c r="K310" s="934">
        <v>11.5</v>
      </c>
      <c r="L310" s="938">
        <v>0.130890052356021</v>
      </c>
    </row>
    <row r="311" spans="1:12" hidden="1">
      <c r="A311" s="931">
        <v>4</v>
      </c>
      <c r="B311" s="1247">
        <v>46041</v>
      </c>
      <c r="C311" s="1249">
        <v>46047</v>
      </c>
      <c r="D311" s="935">
        <v>83</v>
      </c>
      <c r="E311" s="935" t="s">
        <v>690</v>
      </c>
      <c r="F311" s="935" t="s">
        <v>275</v>
      </c>
      <c r="G311" s="935">
        <v>1</v>
      </c>
      <c r="H311" s="935">
        <v>1</v>
      </c>
      <c r="I311" s="935" t="s">
        <v>670</v>
      </c>
      <c r="J311" s="936">
        <v>5.9090909090909101</v>
      </c>
      <c r="K311" s="936">
        <v>5.9090909090909101</v>
      </c>
      <c r="L311" s="939">
        <v>0.130890052356021</v>
      </c>
    </row>
    <row r="312" spans="1:12" hidden="1">
      <c r="A312" s="931">
        <v>4</v>
      </c>
      <c r="B312" s="1246">
        <v>46041</v>
      </c>
      <c r="C312" s="1248">
        <v>46047</v>
      </c>
      <c r="D312" s="933">
        <v>84</v>
      </c>
      <c r="E312" s="933" t="s">
        <v>778</v>
      </c>
      <c r="F312" s="933" t="s">
        <v>256</v>
      </c>
      <c r="G312" s="933">
        <v>1</v>
      </c>
      <c r="H312" s="933">
        <v>1</v>
      </c>
      <c r="I312" s="933" t="s">
        <v>670</v>
      </c>
      <c r="J312" s="934">
        <v>6.8181818181818201</v>
      </c>
      <c r="K312" s="934">
        <v>6.8181818181818201</v>
      </c>
      <c r="L312" s="938">
        <v>0.130890052356021</v>
      </c>
    </row>
    <row r="313" spans="1:12" hidden="1">
      <c r="A313" s="931">
        <v>4</v>
      </c>
      <c r="B313" s="1247">
        <v>46041</v>
      </c>
      <c r="C313" s="1249">
        <v>46047</v>
      </c>
      <c r="D313" s="935">
        <v>85</v>
      </c>
      <c r="E313" s="935" t="s">
        <v>731</v>
      </c>
      <c r="F313" s="935" t="s">
        <v>251</v>
      </c>
      <c r="G313" s="935">
        <v>1</v>
      </c>
      <c r="H313" s="935">
        <v>1</v>
      </c>
      <c r="I313" s="935" t="s">
        <v>670</v>
      </c>
      <c r="J313" s="936">
        <v>2.4090909090909101</v>
      </c>
      <c r="K313" s="936">
        <v>2.4090909090909101</v>
      </c>
      <c r="L313" s="939">
        <v>0.130890052356021</v>
      </c>
    </row>
    <row r="314" spans="1:12" hidden="1">
      <c r="A314" s="931">
        <v>5</v>
      </c>
      <c r="B314" s="1246">
        <v>46048</v>
      </c>
      <c r="C314" s="1248">
        <v>46054</v>
      </c>
      <c r="D314" s="933">
        <v>1</v>
      </c>
      <c r="E314" s="933" t="s">
        <v>248</v>
      </c>
      <c r="F314" s="933" t="s">
        <v>249</v>
      </c>
      <c r="G314" s="933">
        <v>89</v>
      </c>
      <c r="H314" s="933">
        <v>89</v>
      </c>
      <c r="I314" s="933" t="s">
        <v>670</v>
      </c>
      <c r="J314" s="934">
        <v>1.36639427987743</v>
      </c>
      <c r="K314" s="934">
        <v>121.60909090909099</v>
      </c>
      <c r="L314" s="938">
        <v>10.2771362586605</v>
      </c>
    </row>
    <row r="315" spans="1:12" hidden="1">
      <c r="A315" s="931">
        <v>5</v>
      </c>
      <c r="B315" s="1247">
        <v>46048</v>
      </c>
      <c r="C315" s="1249">
        <v>46054</v>
      </c>
      <c r="D315" s="935">
        <v>2</v>
      </c>
      <c r="E315" s="935" t="s">
        <v>259</v>
      </c>
      <c r="F315" s="935" t="s">
        <v>249</v>
      </c>
      <c r="G315" s="935">
        <v>84</v>
      </c>
      <c r="H315" s="935">
        <v>84</v>
      </c>
      <c r="I315" s="935" t="s">
        <v>670</v>
      </c>
      <c r="J315" s="936">
        <v>1.30573593073593</v>
      </c>
      <c r="K315" s="936">
        <v>109.681818181818</v>
      </c>
      <c r="L315" s="939">
        <v>9.6997690531177803</v>
      </c>
    </row>
    <row r="316" spans="1:12" hidden="1">
      <c r="A316" s="931">
        <v>5</v>
      </c>
      <c r="B316" s="1246">
        <v>46048</v>
      </c>
      <c r="C316" s="1248">
        <v>46054</v>
      </c>
      <c r="D316" s="933">
        <v>3</v>
      </c>
      <c r="E316" s="933" t="s">
        <v>261</v>
      </c>
      <c r="F316" s="933" t="s">
        <v>256</v>
      </c>
      <c r="G316" s="933">
        <v>61</v>
      </c>
      <c r="H316" s="933">
        <v>61</v>
      </c>
      <c r="I316" s="933" t="s">
        <v>670</v>
      </c>
      <c r="J316" s="934">
        <v>2.86661698956781</v>
      </c>
      <c r="K316" s="934">
        <v>174.863636363636</v>
      </c>
      <c r="L316" s="938">
        <v>7.0438799076212497</v>
      </c>
    </row>
    <row r="317" spans="1:12" hidden="1">
      <c r="A317" s="931">
        <v>5</v>
      </c>
      <c r="B317" s="1247">
        <v>46048</v>
      </c>
      <c r="C317" s="1249">
        <v>46054</v>
      </c>
      <c r="D317" s="935">
        <v>4</v>
      </c>
      <c r="E317" s="935" t="s">
        <v>250</v>
      </c>
      <c r="F317" s="935" t="s">
        <v>251</v>
      </c>
      <c r="G317" s="935">
        <v>52</v>
      </c>
      <c r="H317" s="935">
        <v>52</v>
      </c>
      <c r="I317" s="935" t="s">
        <v>670</v>
      </c>
      <c r="J317" s="936">
        <v>1.65472027972028</v>
      </c>
      <c r="K317" s="936">
        <v>86.045454545454504</v>
      </c>
      <c r="L317" s="939">
        <v>6.0046189376443397</v>
      </c>
    </row>
    <row r="318" spans="1:12" hidden="1">
      <c r="A318" s="931">
        <v>5</v>
      </c>
      <c r="B318" s="1246">
        <v>46048</v>
      </c>
      <c r="C318" s="1248">
        <v>46054</v>
      </c>
      <c r="D318" s="933">
        <v>5</v>
      </c>
      <c r="E318" s="933" t="s">
        <v>255</v>
      </c>
      <c r="F318" s="933" t="s">
        <v>256</v>
      </c>
      <c r="G318" s="933">
        <v>43</v>
      </c>
      <c r="H318" s="933">
        <v>43</v>
      </c>
      <c r="I318" s="933" t="s">
        <v>670</v>
      </c>
      <c r="J318" s="934">
        <v>5.1596194503171304</v>
      </c>
      <c r="K318" s="934">
        <v>221.863636363636</v>
      </c>
      <c r="L318" s="938">
        <v>4.9653579676674404</v>
      </c>
    </row>
    <row r="319" spans="1:12" hidden="1">
      <c r="A319" s="931">
        <v>5</v>
      </c>
      <c r="B319" s="1247">
        <v>46048</v>
      </c>
      <c r="C319" s="1249">
        <v>46054</v>
      </c>
      <c r="D319" s="935">
        <v>6</v>
      </c>
      <c r="E319" s="935" t="s">
        <v>254</v>
      </c>
      <c r="F319" s="935" t="s">
        <v>254</v>
      </c>
      <c r="G319" s="935">
        <v>31</v>
      </c>
      <c r="H319" s="935">
        <v>31</v>
      </c>
      <c r="I319" s="935" t="s">
        <v>670</v>
      </c>
      <c r="J319" s="936">
        <v>13.545454545454501</v>
      </c>
      <c r="K319" s="936">
        <v>419.90909090909099</v>
      </c>
      <c r="L319" s="939">
        <v>3.5796766743649</v>
      </c>
    </row>
    <row r="320" spans="1:12" hidden="1">
      <c r="A320" s="931">
        <v>5</v>
      </c>
      <c r="B320" s="1246">
        <v>46048</v>
      </c>
      <c r="C320" s="1248">
        <v>46054</v>
      </c>
      <c r="D320" s="933">
        <v>7</v>
      </c>
      <c r="E320" s="933" t="s">
        <v>262</v>
      </c>
      <c r="F320" s="933" t="s">
        <v>256</v>
      </c>
      <c r="G320" s="933">
        <v>29</v>
      </c>
      <c r="H320" s="933">
        <v>29</v>
      </c>
      <c r="I320" s="933" t="s">
        <v>670</v>
      </c>
      <c r="J320" s="934">
        <v>10.8808777429467</v>
      </c>
      <c r="K320" s="934">
        <v>315.54545454545502</v>
      </c>
      <c r="L320" s="938">
        <v>3.3487297921478101</v>
      </c>
    </row>
    <row r="321" spans="1:12" hidden="1">
      <c r="A321" s="931">
        <v>5</v>
      </c>
      <c r="B321" s="1247">
        <v>46048</v>
      </c>
      <c r="C321" s="1249">
        <v>46054</v>
      </c>
      <c r="D321" s="935">
        <v>8</v>
      </c>
      <c r="E321" s="935" t="s">
        <v>680</v>
      </c>
      <c r="F321" s="935" t="s">
        <v>251</v>
      </c>
      <c r="G321" s="935">
        <v>28</v>
      </c>
      <c r="H321" s="935">
        <v>28</v>
      </c>
      <c r="I321" s="935" t="s">
        <v>670</v>
      </c>
      <c r="J321" s="936">
        <v>2.36201298701299</v>
      </c>
      <c r="K321" s="936">
        <v>66.136363636363598</v>
      </c>
      <c r="L321" s="939">
        <v>3.2332563510392598</v>
      </c>
    </row>
    <row r="322" spans="1:12" hidden="1">
      <c r="A322" s="931">
        <v>5</v>
      </c>
      <c r="B322" s="1246">
        <v>46048</v>
      </c>
      <c r="C322" s="1248">
        <v>46054</v>
      </c>
      <c r="D322" s="933">
        <v>9</v>
      </c>
      <c r="E322" s="933" t="s">
        <v>678</v>
      </c>
      <c r="F322" s="933" t="s">
        <v>256</v>
      </c>
      <c r="G322" s="933">
        <v>20</v>
      </c>
      <c r="H322" s="933">
        <v>20</v>
      </c>
      <c r="I322" s="933" t="s">
        <v>670</v>
      </c>
      <c r="J322" s="934">
        <v>6.3295454545454497</v>
      </c>
      <c r="K322" s="934">
        <v>126.59090909090899</v>
      </c>
      <c r="L322" s="938">
        <v>2.3094688221709001</v>
      </c>
    </row>
    <row r="323" spans="1:12" hidden="1">
      <c r="A323" s="931">
        <v>5</v>
      </c>
      <c r="B323" s="1247">
        <v>46048</v>
      </c>
      <c r="C323" s="1249">
        <v>46054</v>
      </c>
      <c r="D323" s="935">
        <v>10</v>
      </c>
      <c r="E323" s="935" t="s">
        <v>681</v>
      </c>
      <c r="F323" s="935" t="s">
        <v>282</v>
      </c>
      <c r="G323" s="935">
        <v>19</v>
      </c>
      <c r="H323" s="935">
        <v>19</v>
      </c>
      <c r="I323" s="935" t="s">
        <v>672</v>
      </c>
      <c r="J323" s="936">
        <v>4.54545454545454E-2</v>
      </c>
      <c r="K323" s="936">
        <v>0.86363636363636298</v>
      </c>
      <c r="L323" s="939">
        <v>2.19399538106236</v>
      </c>
    </row>
    <row r="324" spans="1:12" hidden="1">
      <c r="A324" s="931">
        <v>5</v>
      </c>
      <c r="B324" s="1246">
        <v>46048</v>
      </c>
      <c r="C324" s="1248">
        <v>46054</v>
      </c>
      <c r="D324" s="933">
        <v>11</v>
      </c>
      <c r="E324" s="933" t="s">
        <v>673</v>
      </c>
      <c r="F324" s="933" t="s">
        <v>251</v>
      </c>
      <c r="G324" s="933">
        <v>19</v>
      </c>
      <c r="H324" s="933">
        <v>19</v>
      </c>
      <c r="I324" s="933" t="s">
        <v>670</v>
      </c>
      <c r="J324" s="934">
        <v>2.2703349282296599</v>
      </c>
      <c r="K324" s="934">
        <v>43.136363636363598</v>
      </c>
      <c r="L324" s="938">
        <v>2.19399538106236</v>
      </c>
    </row>
    <row r="325" spans="1:12" hidden="1">
      <c r="A325" s="931">
        <v>5</v>
      </c>
      <c r="B325" s="1247">
        <v>46048</v>
      </c>
      <c r="C325" s="1249">
        <v>46054</v>
      </c>
      <c r="D325" s="935">
        <v>12</v>
      </c>
      <c r="E325" s="935" t="s">
        <v>687</v>
      </c>
      <c r="F325" s="935" t="s">
        <v>253</v>
      </c>
      <c r="G325" s="935">
        <v>19</v>
      </c>
      <c r="H325" s="935">
        <v>19</v>
      </c>
      <c r="I325" s="935" t="s">
        <v>670</v>
      </c>
      <c r="J325" s="936">
        <v>2.7320574162679399</v>
      </c>
      <c r="K325" s="936">
        <v>51.909090909090899</v>
      </c>
      <c r="L325" s="939">
        <v>2.19399538106236</v>
      </c>
    </row>
    <row r="326" spans="1:12" hidden="1">
      <c r="A326" s="931">
        <v>5</v>
      </c>
      <c r="B326" s="1246">
        <v>46048</v>
      </c>
      <c r="C326" s="1248">
        <v>46054</v>
      </c>
      <c r="D326" s="933">
        <v>13</v>
      </c>
      <c r="E326" s="933" t="s">
        <v>679</v>
      </c>
      <c r="F326" s="933" t="s">
        <v>256</v>
      </c>
      <c r="G326" s="933">
        <v>17</v>
      </c>
      <c r="H326" s="933">
        <v>17</v>
      </c>
      <c r="I326" s="933" t="s">
        <v>670</v>
      </c>
      <c r="J326" s="934">
        <v>9.1443850267379698</v>
      </c>
      <c r="K326" s="934">
        <v>155.45454545454501</v>
      </c>
      <c r="L326" s="938">
        <v>1.9630484988452701</v>
      </c>
    </row>
    <row r="327" spans="1:12" hidden="1">
      <c r="A327" s="931">
        <v>5</v>
      </c>
      <c r="B327" s="1247">
        <v>46048</v>
      </c>
      <c r="C327" s="1249">
        <v>46054</v>
      </c>
      <c r="D327" s="935">
        <v>14</v>
      </c>
      <c r="E327" s="935" t="s">
        <v>738</v>
      </c>
      <c r="F327" s="935" t="s">
        <v>256</v>
      </c>
      <c r="G327" s="935">
        <v>14</v>
      </c>
      <c r="H327" s="935">
        <v>14</v>
      </c>
      <c r="I327" s="935" t="s">
        <v>670</v>
      </c>
      <c r="J327" s="936">
        <v>7.1980519480519503</v>
      </c>
      <c r="K327" s="936">
        <v>100.772727272727</v>
      </c>
      <c r="L327" s="939">
        <v>1.6166281755196299</v>
      </c>
    </row>
    <row r="328" spans="1:12" hidden="1">
      <c r="A328" s="931">
        <v>5</v>
      </c>
      <c r="B328" s="1246">
        <v>46048</v>
      </c>
      <c r="C328" s="1248">
        <v>46054</v>
      </c>
      <c r="D328" s="933">
        <v>15</v>
      </c>
      <c r="E328" s="933" t="s">
        <v>682</v>
      </c>
      <c r="F328" s="933" t="s">
        <v>275</v>
      </c>
      <c r="G328" s="933">
        <v>14</v>
      </c>
      <c r="H328" s="933">
        <v>14</v>
      </c>
      <c r="I328" s="933" t="s">
        <v>670</v>
      </c>
      <c r="J328" s="934">
        <v>5.1948051948051903</v>
      </c>
      <c r="K328" s="934">
        <v>72.727272727272705</v>
      </c>
      <c r="L328" s="938">
        <v>1.6166281755196299</v>
      </c>
    </row>
    <row r="329" spans="1:12" hidden="1">
      <c r="A329" s="931">
        <v>5</v>
      </c>
      <c r="B329" s="1247">
        <v>46048</v>
      </c>
      <c r="C329" s="1249">
        <v>46054</v>
      </c>
      <c r="D329" s="935">
        <v>16</v>
      </c>
      <c r="E329" s="935" t="s">
        <v>716</v>
      </c>
      <c r="F329" s="935" t="s">
        <v>251</v>
      </c>
      <c r="G329" s="935">
        <v>14</v>
      </c>
      <c r="H329" s="935">
        <v>14</v>
      </c>
      <c r="I329" s="935" t="s">
        <v>670</v>
      </c>
      <c r="J329" s="936">
        <v>0</v>
      </c>
      <c r="K329" s="936">
        <v>0</v>
      </c>
      <c r="L329" s="939">
        <v>1.6166281755196299</v>
      </c>
    </row>
    <row r="330" spans="1:12" hidden="1">
      <c r="A330" s="931">
        <v>5</v>
      </c>
      <c r="B330" s="1246">
        <v>46048</v>
      </c>
      <c r="C330" s="1248">
        <v>46054</v>
      </c>
      <c r="D330" s="933">
        <v>17</v>
      </c>
      <c r="E330" s="933" t="s">
        <v>698</v>
      </c>
      <c r="F330" s="933" t="s">
        <v>249</v>
      </c>
      <c r="G330" s="933">
        <v>12</v>
      </c>
      <c r="H330" s="933">
        <v>12</v>
      </c>
      <c r="I330" s="933" t="s">
        <v>670</v>
      </c>
      <c r="J330" s="934">
        <v>2.3181818181818201</v>
      </c>
      <c r="K330" s="934">
        <v>27.818181818181799</v>
      </c>
      <c r="L330" s="938">
        <v>1.38568129330254</v>
      </c>
    </row>
    <row r="331" spans="1:12" hidden="1">
      <c r="A331" s="931">
        <v>5</v>
      </c>
      <c r="B331" s="1247">
        <v>46048</v>
      </c>
      <c r="C331" s="1249">
        <v>46054</v>
      </c>
      <c r="D331" s="935">
        <v>18</v>
      </c>
      <c r="E331" s="935" t="s">
        <v>671</v>
      </c>
      <c r="F331" s="935" t="s">
        <v>276</v>
      </c>
      <c r="G331" s="935">
        <v>11</v>
      </c>
      <c r="H331" s="935">
        <v>11</v>
      </c>
      <c r="I331" s="935" t="s">
        <v>672</v>
      </c>
      <c r="J331" s="936">
        <v>2.89669421487603</v>
      </c>
      <c r="K331" s="936">
        <v>31.863636363636399</v>
      </c>
      <c r="L331" s="939">
        <v>1.2702078521939999</v>
      </c>
    </row>
    <row r="332" spans="1:12" hidden="1">
      <c r="A332" s="931">
        <v>5</v>
      </c>
      <c r="B332" s="1246">
        <v>46048</v>
      </c>
      <c r="C332" s="1248">
        <v>46054</v>
      </c>
      <c r="D332" s="933">
        <v>19</v>
      </c>
      <c r="E332" s="933" t="s">
        <v>674</v>
      </c>
      <c r="F332" s="933" t="s">
        <v>275</v>
      </c>
      <c r="G332" s="933">
        <v>11</v>
      </c>
      <c r="H332" s="933">
        <v>11</v>
      </c>
      <c r="I332" s="933" t="s">
        <v>670</v>
      </c>
      <c r="J332" s="934">
        <v>5.2685950413223104</v>
      </c>
      <c r="K332" s="934">
        <v>57.954545454545503</v>
      </c>
      <c r="L332" s="938">
        <v>1.2702078521939999</v>
      </c>
    </row>
    <row r="333" spans="1:12" hidden="1">
      <c r="A333" s="931">
        <v>5</v>
      </c>
      <c r="B333" s="1247">
        <v>46048</v>
      </c>
      <c r="C333" s="1249">
        <v>46054</v>
      </c>
      <c r="D333" s="935">
        <v>20</v>
      </c>
      <c r="E333" s="935" t="s">
        <v>707</v>
      </c>
      <c r="F333" s="935" t="s">
        <v>256</v>
      </c>
      <c r="G333" s="935">
        <v>11</v>
      </c>
      <c r="H333" s="935">
        <v>11</v>
      </c>
      <c r="I333" s="935" t="s">
        <v>670</v>
      </c>
      <c r="J333" s="936">
        <v>8.6776859504132204</v>
      </c>
      <c r="K333" s="936">
        <v>95.454545454545396</v>
      </c>
      <c r="L333" s="939">
        <v>1.2702078521939999</v>
      </c>
    </row>
    <row r="334" spans="1:12" hidden="1">
      <c r="A334" s="931">
        <v>5</v>
      </c>
      <c r="B334" s="1246">
        <v>46048</v>
      </c>
      <c r="C334" s="1248">
        <v>46054</v>
      </c>
      <c r="D334" s="933">
        <v>21</v>
      </c>
      <c r="E334" s="933" t="s">
        <v>676</v>
      </c>
      <c r="F334" s="933" t="s">
        <v>253</v>
      </c>
      <c r="G334" s="933">
        <v>11</v>
      </c>
      <c r="H334" s="933">
        <v>11</v>
      </c>
      <c r="I334" s="933" t="s">
        <v>670</v>
      </c>
      <c r="J334" s="934">
        <v>2.69421487603306</v>
      </c>
      <c r="K334" s="934">
        <v>29.636363636363601</v>
      </c>
      <c r="L334" s="938">
        <v>1.2702078521939999</v>
      </c>
    </row>
    <row r="335" spans="1:12" hidden="1">
      <c r="A335" s="931">
        <v>5</v>
      </c>
      <c r="B335" s="1247">
        <v>46048</v>
      </c>
      <c r="C335" s="1249">
        <v>46054</v>
      </c>
      <c r="D335" s="935">
        <v>22</v>
      </c>
      <c r="E335" s="935" t="s">
        <v>702</v>
      </c>
      <c r="F335" s="935" t="s">
        <v>251</v>
      </c>
      <c r="G335" s="935">
        <v>10</v>
      </c>
      <c r="H335" s="935">
        <v>10</v>
      </c>
      <c r="I335" s="935" t="s">
        <v>670</v>
      </c>
      <c r="J335" s="936">
        <v>2.4227272727272702</v>
      </c>
      <c r="K335" s="936">
        <v>24.227272727272702</v>
      </c>
      <c r="L335" s="939">
        <v>1.1547344110854501</v>
      </c>
    </row>
    <row r="336" spans="1:12" hidden="1">
      <c r="A336" s="931">
        <v>5</v>
      </c>
      <c r="B336" s="1246">
        <v>46048</v>
      </c>
      <c r="C336" s="1248">
        <v>46054</v>
      </c>
      <c r="D336" s="933">
        <v>23</v>
      </c>
      <c r="E336" s="933" t="s">
        <v>691</v>
      </c>
      <c r="F336" s="933" t="s">
        <v>251</v>
      </c>
      <c r="G336" s="933">
        <v>9</v>
      </c>
      <c r="H336" s="933">
        <v>9</v>
      </c>
      <c r="I336" s="933" t="s">
        <v>670</v>
      </c>
      <c r="J336" s="934">
        <v>2.4545454545454599</v>
      </c>
      <c r="K336" s="934">
        <v>22.090909090909101</v>
      </c>
      <c r="L336" s="938">
        <v>1.03926096997691</v>
      </c>
    </row>
    <row r="337" spans="1:12" hidden="1">
      <c r="A337" s="931">
        <v>5</v>
      </c>
      <c r="B337" s="1247">
        <v>46048</v>
      </c>
      <c r="C337" s="1249">
        <v>46054</v>
      </c>
      <c r="D337" s="935">
        <v>24</v>
      </c>
      <c r="E337" s="935" t="s">
        <v>704</v>
      </c>
      <c r="F337" s="935" t="s">
        <v>689</v>
      </c>
      <c r="G337" s="935">
        <v>9</v>
      </c>
      <c r="H337" s="935">
        <v>9</v>
      </c>
      <c r="I337" s="935" t="s">
        <v>670</v>
      </c>
      <c r="J337" s="936">
        <v>11.752525252525301</v>
      </c>
      <c r="K337" s="936">
        <v>105.772727272727</v>
      </c>
      <c r="L337" s="939">
        <v>1.03926096997691</v>
      </c>
    </row>
    <row r="338" spans="1:12" hidden="1">
      <c r="A338" s="931">
        <v>5</v>
      </c>
      <c r="B338" s="1246">
        <v>46048</v>
      </c>
      <c r="C338" s="1248">
        <v>46054</v>
      </c>
      <c r="D338" s="933">
        <v>25</v>
      </c>
      <c r="E338" s="933" t="s">
        <v>778</v>
      </c>
      <c r="F338" s="933" t="s">
        <v>256</v>
      </c>
      <c r="G338" s="933">
        <v>9</v>
      </c>
      <c r="H338" s="933">
        <v>9</v>
      </c>
      <c r="I338" s="933" t="s">
        <v>670</v>
      </c>
      <c r="J338" s="934">
        <v>6.8434343434343399</v>
      </c>
      <c r="K338" s="934">
        <v>61.590909090909101</v>
      </c>
      <c r="L338" s="938">
        <v>1.03926096997691</v>
      </c>
    </row>
    <row r="339" spans="1:12" hidden="1">
      <c r="A339" s="931">
        <v>5</v>
      </c>
      <c r="B339" s="1247">
        <v>46048</v>
      </c>
      <c r="C339" s="1249">
        <v>46054</v>
      </c>
      <c r="D339" s="935">
        <v>26</v>
      </c>
      <c r="E339" s="935" t="s">
        <v>697</v>
      </c>
      <c r="F339" s="935" t="s">
        <v>256</v>
      </c>
      <c r="G339" s="935">
        <v>9</v>
      </c>
      <c r="H339" s="935">
        <v>9</v>
      </c>
      <c r="I339" s="935" t="s">
        <v>670</v>
      </c>
      <c r="J339" s="936">
        <v>9.9090909090909101</v>
      </c>
      <c r="K339" s="936">
        <v>89.181818181818201</v>
      </c>
      <c r="L339" s="939">
        <v>1.03926096997691</v>
      </c>
    </row>
    <row r="340" spans="1:12" hidden="1">
      <c r="A340" s="931">
        <v>5</v>
      </c>
      <c r="B340" s="1246">
        <v>46048</v>
      </c>
      <c r="C340" s="1248">
        <v>46054</v>
      </c>
      <c r="D340" s="933">
        <v>27</v>
      </c>
      <c r="E340" s="933" t="s">
        <v>751</v>
      </c>
      <c r="F340" s="933" t="s">
        <v>256</v>
      </c>
      <c r="G340" s="933">
        <v>9</v>
      </c>
      <c r="H340" s="933">
        <v>9</v>
      </c>
      <c r="I340" s="933" t="s">
        <v>670</v>
      </c>
      <c r="J340" s="934">
        <v>7.1818181818181799</v>
      </c>
      <c r="K340" s="934">
        <v>64.636363636363598</v>
      </c>
      <c r="L340" s="938">
        <v>1.03926096997691</v>
      </c>
    </row>
    <row r="341" spans="1:12" hidden="1">
      <c r="A341" s="931">
        <v>5</v>
      </c>
      <c r="B341" s="1247">
        <v>46048</v>
      </c>
      <c r="C341" s="1249">
        <v>46054</v>
      </c>
      <c r="D341" s="935">
        <v>28</v>
      </c>
      <c r="E341" s="935" t="s">
        <v>701</v>
      </c>
      <c r="F341" s="935" t="s">
        <v>689</v>
      </c>
      <c r="G341" s="935">
        <v>9</v>
      </c>
      <c r="H341" s="935">
        <v>9</v>
      </c>
      <c r="I341" s="935" t="s">
        <v>670</v>
      </c>
      <c r="J341" s="936">
        <v>9.9343434343434307</v>
      </c>
      <c r="K341" s="936">
        <v>89.409090909090907</v>
      </c>
      <c r="L341" s="939">
        <v>1.03926096997691</v>
      </c>
    </row>
    <row r="342" spans="1:12" hidden="1">
      <c r="A342" s="931">
        <v>5</v>
      </c>
      <c r="B342" s="1246">
        <v>46048</v>
      </c>
      <c r="C342" s="1248">
        <v>46054</v>
      </c>
      <c r="D342" s="933">
        <v>29</v>
      </c>
      <c r="E342" s="933" t="s">
        <v>686</v>
      </c>
      <c r="F342" s="933" t="s">
        <v>274</v>
      </c>
      <c r="G342" s="933">
        <v>8</v>
      </c>
      <c r="H342" s="933">
        <v>8</v>
      </c>
      <c r="I342" s="933" t="s">
        <v>670</v>
      </c>
      <c r="J342" s="934">
        <v>13.636363636363599</v>
      </c>
      <c r="K342" s="934">
        <v>109.09090909090899</v>
      </c>
      <c r="L342" s="938">
        <v>0.92378752886836002</v>
      </c>
    </row>
    <row r="343" spans="1:12" hidden="1">
      <c r="A343" s="931">
        <v>5</v>
      </c>
      <c r="B343" s="1247">
        <v>46048</v>
      </c>
      <c r="C343" s="1249">
        <v>46054</v>
      </c>
      <c r="D343" s="935">
        <v>30</v>
      </c>
      <c r="E343" s="935" t="s">
        <v>675</v>
      </c>
      <c r="F343" s="935" t="s">
        <v>256</v>
      </c>
      <c r="G343" s="935">
        <v>8</v>
      </c>
      <c r="H343" s="935">
        <v>8</v>
      </c>
      <c r="I343" s="935" t="s">
        <v>670</v>
      </c>
      <c r="J343" s="936">
        <v>5</v>
      </c>
      <c r="K343" s="936">
        <v>40</v>
      </c>
      <c r="L343" s="939">
        <v>0.92378752886836002</v>
      </c>
    </row>
    <row r="344" spans="1:12" hidden="1">
      <c r="A344" s="931">
        <v>5</v>
      </c>
      <c r="B344" s="1246">
        <v>46048</v>
      </c>
      <c r="C344" s="1248">
        <v>46054</v>
      </c>
      <c r="D344" s="933">
        <v>31</v>
      </c>
      <c r="E344" s="933" t="s">
        <v>677</v>
      </c>
      <c r="F344" s="933" t="s">
        <v>249</v>
      </c>
      <c r="G344" s="933">
        <v>7</v>
      </c>
      <c r="H344" s="933">
        <v>7</v>
      </c>
      <c r="I344" s="933" t="s">
        <v>670</v>
      </c>
      <c r="J344" s="934">
        <v>1.77272727272727</v>
      </c>
      <c r="K344" s="934">
        <v>12.409090909090899</v>
      </c>
      <c r="L344" s="938">
        <v>0.80831408775981495</v>
      </c>
    </row>
    <row r="345" spans="1:12" hidden="1">
      <c r="A345" s="931">
        <v>5</v>
      </c>
      <c r="B345" s="1247">
        <v>46048</v>
      </c>
      <c r="C345" s="1249">
        <v>46054</v>
      </c>
      <c r="D345" s="935">
        <v>32</v>
      </c>
      <c r="E345" s="935" t="s">
        <v>694</v>
      </c>
      <c r="F345" s="935" t="s">
        <v>695</v>
      </c>
      <c r="G345" s="935">
        <v>7</v>
      </c>
      <c r="H345" s="935">
        <v>7</v>
      </c>
      <c r="I345" s="935" t="s">
        <v>670</v>
      </c>
      <c r="J345" s="936">
        <v>3.7012987012987</v>
      </c>
      <c r="K345" s="936">
        <v>25.909090909090899</v>
      </c>
      <c r="L345" s="939">
        <v>0.80831408775981495</v>
      </c>
    </row>
    <row r="346" spans="1:12" hidden="1">
      <c r="A346" s="931">
        <v>5</v>
      </c>
      <c r="B346" s="1246">
        <v>46048</v>
      </c>
      <c r="C346" s="1248">
        <v>46054</v>
      </c>
      <c r="D346" s="933">
        <v>33</v>
      </c>
      <c r="E346" s="933" t="s">
        <v>710</v>
      </c>
      <c r="F346" s="933" t="s">
        <v>249</v>
      </c>
      <c r="G346" s="933">
        <v>6</v>
      </c>
      <c r="H346" s="933">
        <v>6</v>
      </c>
      <c r="I346" s="933" t="s">
        <v>670</v>
      </c>
      <c r="J346" s="934">
        <v>2.4090909090909101</v>
      </c>
      <c r="K346" s="934">
        <v>14.4545454545454</v>
      </c>
      <c r="L346" s="938">
        <v>0.69284064665126999</v>
      </c>
    </row>
    <row r="347" spans="1:12" hidden="1">
      <c r="A347" s="931">
        <v>5</v>
      </c>
      <c r="B347" s="1247">
        <v>46048</v>
      </c>
      <c r="C347" s="1249">
        <v>46054</v>
      </c>
      <c r="D347" s="935">
        <v>34</v>
      </c>
      <c r="E347" s="935" t="s">
        <v>685</v>
      </c>
      <c r="F347" s="935" t="s">
        <v>256</v>
      </c>
      <c r="G347" s="935">
        <v>6</v>
      </c>
      <c r="H347" s="935">
        <v>6</v>
      </c>
      <c r="I347" s="935" t="s">
        <v>670</v>
      </c>
      <c r="J347" s="936">
        <v>8.2196969696969706</v>
      </c>
      <c r="K347" s="936">
        <v>49.318181818181799</v>
      </c>
      <c r="L347" s="939">
        <v>0.69284064665126999</v>
      </c>
    </row>
    <row r="348" spans="1:12" hidden="1">
      <c r="A348" s="931">
        <v>5</v>
      </c>
      <c r="B348" s="1246">
        <v>46048</v>
      </c>
      <c r="C348" s="1248">
        <v>46054</v>
      </c>
      <c r="D348" s="933">
        <v>35</v>
      </c>
      <c r="E348" s="933" t="s">
        <v>780</v>
      </c>
      <c r="F348" s="933" t="s">
        <v>268</v>
      </c>
      <c r="G348" s="933">
        <v>6</v>
      </c>
      <c r="H348" s="933">
        <v>6</v>
      </c>
      <c r="I348" s="933" t="s">
        <v>670</v>
      </c>
      <c r="J348" s="934">
        <v>1.36363636363636</v>
      </c>
      <c r="K348" s="934">
        <v>8.1818181818181799</v>
      </c>
      <c r="L348" s="938">
        <v>0.69284064665126999</v>
      </c>
    </row>
    <row r="349" spans="1:12" hidden="1">
      <c r="A349" s="931">
        <v>5</v>
      </c>
      <c r="B349" s="1247">
        <v>46048</v>
      </c>
      <c r="C349" s="1249">
        <v>46054</v>
      </c>
      <c r="D349" s="935">
        <v>36</v>
      </c>
      <c r="E349" s="935" t="s">
        <v>708</v>
      </c>
      <c r="F349" s="935" t="s">
        <v>251</v>
      </c>
      <c r="G349" s="935">
        <v>5</v>
      </c>
      <c r="H349" s="935">
        <v>5</v>
      </c>
      <c r="I349" s="935" t="s">
        <v>670</v>
      </c>
      <c r="J349" s="936">
        <v>1.8</v>
      </c>
      <c r="K349" s="936">
        <v>9</v>
      </c>
      <c r="L349" s="939">
        <v>0.57736720554272503</v>
      </c>
    </row>
    <row r="350" spans="1:12" hidden="1">
      <c r="A350" s="931">
        <v>5</v>
      </c>
      <c r="B350" s="1246">
        <v>46048</v>
      </c>
      <c r="C350" s="1248">
        <v>46054</v>
      </c>
      <c r="D350" s="933">
        <v>37</v>
      </c>
      <c r="E350" s="933" t="s">
        <v>683</v>
      </c>
      <c r="F350" s="933" t="s">
        <v>274</v>
      </c>
      <c r="G350" s="933">
        <v>5</v>
      </c>
      <c r="H350" s="933">
        <v>5</v>
      </c>
      <c r="I350" s="933" t="s">
        <v>670</v>
      </c>
      <c r="J350" s="934">
        <v>10.9545454545454</v>
      </c>
      <c r="K350" s="934">
        <v>54.772727272727302</v>
      </c>
      <c r="L350" s="938">
        <v>0.57736720554272503</v>
      </c>
    </row>
    <row r="351" spans="1:12" hidden="1">
      <c r="A351" s="931">
        <v>5</v>
      </c>
      <c r="B351" s="1247">
        <v>46048</v>
      </c>
      <c r="C351" s="1249">
        <v>46054</v>
      </c>
      <c r="D351" s="935">
        <v>38</v>
      </c>
      <c r="E351" s="935" t="s">
        <v>748</v>
      </c>
      <c r="F351" s="935" t="s">
        <v>274</v>
      </c>
      <c r="G351" s="935">
        <v>5</v>
      </c>
      <c r="H351" s="935">
        <v>5</v>
      </c>
      <c r="I351" s="935" t="s">
        <v>670</v>
      </c>
      <c r="J351" s="936">
        <v>9.0909090909090899</v>
      </c>
      <c r="K351" s="936">
        <v>45.454545454545503</v>
      </c>
      <c r="L351" s="939">
        <v>0.57736720554272503</v>
      </c>
    </row>
    <row r="352" spans="1:12" hidden="1">
      <c r="A352" s="931">
        <v>5</v>
      </c>
      <c r="B352" s="1246">
        <v>46048</v>
      </c>
      <c r="C352" s="1248">
        <v>46054</v>
      </c>
      <c r="D352" s="933">
        <v>39</v>
      </c>
      <c r="E352" s="933" t="s">
        <v>763</v>
      </c>
      <c r="F352" s="933" t="s">
        <v>764</v>
      </c>
      <c r="G352" s="933">
        <v>5</v>
      </c>
      <c r="H352" s="933">
        <v>5</v>
      </c>
      <c r="I352" s="933" t="s">
        <v>670</v>
      </c>
      <c r="J352" s="934">
        <v>10.5</v>
      </c>
      <c r="K352" s="934">
        <v>52.5</v>
      </c>
      <c r="L352" s="938">
        <v>0.57736720554272503</v>
      </c>
    </row>
    <row r="353" spans="1:12" hidden="1">
      <c r="A353" s="931">
        <v>5</v>
      </c>
      <c r="B353" s="1247">
        <v>46048</v>
      </c>
      <c r="C353" s="1249">
        <v>46054</v>
      </c>
      <c r="D353" s="935">
        <v>40</v>
      </c>
      <c r="E353" s="935" t="s">
        <v>752</v>
      </c>
      <c r="F353" s="935" t="s">
        <v>264</v>
      </c>
      <c r="G353" s="935">
        <v>5</v>
      </c>
      <c r="H353" s="935">
        <v>5</v>
      </c>
      <c r="I353" s="935" t="s">
        <v>670</v>
      </c>
      <c r="J353" s="936">
        <v>1.4818181818181799</v>
      </c>
      <c r="K353" s="936">
        <v>7.4090909090909101</v>
      </c>
      <c r="L353" s="939">
        <v>0.57736720554272503</v>
      </c>
    </row>
    <row r="354" spans="1:12" hidden="1">
      <c r="A354" s="931">
        <v>5</v>
      </c>
      <c r="B354" s="1246">
        <v>46048</v>
      </c>
      <c r="C354" s="1248">
        <v>46054</v>
      </c>
      <c r="D354" s="933">
        <v>41</v>
      </c>
      <c r="E354" s="933" t="s">
        <v>696</v>
      </c>
      <c r="F354" s="933" t="s">
        <v>323</v>
      </c>
      <c r="G354" s="933">
        <v>5</v>
      </c>
      <c r="H354" s="933">
        <v>5</v>
      </c>
      <c r="I354" s="933" t="s">
        <v>670</v>
      </c>
      <c r="J354" s="934">
        <v>10.909090909090899</v>
      </c>
      <c r="K354" s="934">
        <v>54.545454545454497</v>
      </c>
      <c r="L354" s="938">
        <v>0.57736720554272503</v>
      </c>
    </row>
    <row r="355" spans="1:12" hidden="1">
      <c r="A355" s="931">
        <v>5</v>
      </c>
      <c r="B355" s="1247">
        <v>46048</v>
      </c>
      <c r="C355" s="1249">
        <v>46054</v>
      </c>
      <c r="D355" s="935">
        <v>42</v>
      </c>
      <c r="E355" s="935" t="s">
        <v>703</v>
      </c>
      <c r="F355" s="935" t="s">
        <v>256</v>
      </c>
      <c r="G355" s="935">
        <v>5</v>
      </c>
      <c r="H355" s="935">
        <v>5</v>
      </c>
      <c r="I355" s="935" t="s">
        <v>670</v>
      </c>
      <c r="J355" s="936">
        <v>1.86363636363636</v>
      </c>
      <c r="K355" s="936">
        <v>9.3181818181818201</v>
      </c>
      <c r="L355" s="939">
        <v>0.57736720554272503</v>
      </c>
    </row>
    <row r="356" spans="1:12" hidden="1">
      <c r="A356" s="931">
        <v>5</v>
      </c>
      <c r="B356" s="1246">
        <v>46048</v>
      </c>
      <c r="C356" s="1248">
        <v>46054</v>
      </c>
      <c r="D356" s="933">
        <v>43</v>
      </c>
      <c r="E356" s="933" t="s">
        <v>781</v>
      </c>
      <c r="F356" s="933" t="s">
        <v>764</v>
      </c>
      <c r="G356" s="933">
        <v>5</v>
      </c>
      <c r="H356" s="933">
        <v>5</v>
      </c>
      <c r="I356" s="933" t="s">
        <v>670</v>
      </c>
      <c r="J356" s="934">
        <v>14.4545454545454</v>
      </c>
      <c r="K356" s="934">
        <v>72.272727272727295</v>
      </c>
      <c r="L356" s="938">
        <v>0.57736720554272503</v>
      </c>
    </row>
    <row r="357" spans="1:12" hidden="1">
      <c r="A357" s="931">
        <v>5</v>
      </c>
      <c r="B357" s="1247">
        <v>46048</v>
      </c>
      <c r="C357" s="1249">
        <v>46054</v>
      </c>
      <c r="D357" s="935">
        <v>44</v>
      </c>
      <c r="E357" s="935" t="s">
        <v>709</v>
      </c>
      <c r="F357" s="935" t="s">
        <v>276</v>
      </c>
      <c r="G357" s="935">
        <v>4</v>
      </c>
      <c r="H357" s="935">
        <v>4</v>
      </c>
      <c r="I357" s="935" t="s">
        <v>672</v>
      </c>
      <c r="J357" s="936">
        <v>3.2272727272727302</v>
      </c>
      <c r="K357" s="936">
        <v>12.909090909090899</v>
      </c>
      <c r="L357" s="939">
        <v>0.46189376443418001</v>
      </c>
    </row>
    <row r="358" spans="1:12" hidden="1">
      <c r="A358" s="931">
        <v>5</v>
      </c>
      <c r="B358" s="1246">
        <v>46048</v>
      </c>
      <c r="C358" s="1248">
        <v>46054</v>
      </c>
      <c r="D358" s="933">
        <v>45</v>
      </c>
      <c r="E358" s="933" t="s">
        <v>782</v>
      </c>
      <c r="F358" s="933" t="s">
        <v>323</v>
      </c>
      <c r="G358" s="933">
        <v>4</v>
      </c>
      <c r="H358" s="933">
        <v>4</v>
      </c>
      <c r="I358" s="933" t="s">
        <v>670</v>
      </c>
      <c r="J358" s="934">
        <v>0</v>
      </c>
      <c r="K358" s="934">
        <v>0</v>
      </c>
      <c r="L358" s="938">
        <v>0.46189376443418001</v>
      </c>
    </row>
    <row r="359" spans="1:12" hidden="1">
      <c r="A359" s="931">
        <v>5</v>
      </c>
      <c r="B359" s="1247">
        <v>46048</v>
      </c>
      <c r="C359" s="1249">
        <v>46054</v>
      </c>
      <c r="D359" s="935">
        <v>46</v>
      </c>
      <c r="E359" s="935" t="s">
        <v>721</v>
      </c>
      <c r="F359" s="935" t="s">
        <v>256</v>
      </c>
      <c r="G359" s="935">
        <v>4</v>
      </c>
      <c r="H359" s="935">
        <v>4</v>
      </c>
      <c r="I359" s="935" t="s">
        <v>670</v>
      </c>
      <c r="J359" s="936">
        <v>10.818181818181801</v>
      </c>
      <c r="K359" s="936">
        <v>43.272727272727302</v>
      </c>
      <c r="L359" s="939">
        <v>0.46189376443418001</v>
      </c>
    </row>
    <row r="360" spans="1:12" hidden="1">
      <c r="A360" s="931">
        <v>5</v>
      </c>
      <c r="B360" s="1246">
        <v>46048</v>
      </c>
      <c r="C360" s="1248">
        <v>46054</v>
      </c>
      <c r="D360" s="933">
        <v>47</v>
      </c>
      <c r="E360" s="933" t="s">
        <v>783</v>
      </c>
      <c r="F360" s="933" t="s">
        <v>764</v>
      </c>
      <c r="G360" s="933">
        <v>4</v>
      </c>
      <c r="H360" s="933">
        <v>4</v>
      </c>
      <c r="I360" s="933" t="s">
        <v>670</v>
      </c>
      <c r="J360" s="934">
        <v>9.2045454545454497</v>
      </c>
      <c r="K360" s="934">
        <v>36.818181818181799</v>
      </c>
      <c r="L360" s="938">
        <v>0.46189376443418001</v>
      </c>
    </row>
    <row r="361" spans="1:12" hidden="1">
      <c r="A361" s="931">
        <v>5</v>
      </c>
      <c r="B361" s="1247">
        <v>46048</v>
      </c>
      <c r="C361" s="1249">
        <v>46054</v>
      </c>
      <c r="D361" s="935">
        <v>48</v>
      </c>
      <c r="E361" s="935" t="s">
        <v>742</v>
      </c>
      <c r="F361" s="935" t="s">
        <v>251</v>
      </c>
      <c r="G361" s="935">
        <v>4</v>
      </c>
      <c r="H361" s="935">
        <v>4</v>
      </c>
      <c r="I361" s="935" t="s">
        <v>670</v>
      </c>
      <c r="J361" s="936">
        <v>2.6136363636363602</v>
      </c>
      <c r="K361" s="936">
        <v>10.4545454545454</v>
      </c>
      <c r="L361" s="939">
        <v>0.46189376443418001</v>
      </c>
    </row>
    <row r="362" spans="1:12" hidden="1">
      <c r="A362" s="931">
        <v>5</v>
      </c>
      <c r="B362" s="1246">
        <v>46048</v>
      </c>
      <c r="C362" s="1248">
        <v>46054</v>
      </c>
      <c r="D362" s="933">
        <v>49</v>
      </c>
      <c r="E362" s="933" t="s">
        <v>756</v>
      </c>
      <c r="F362" s="933" t="s">
        <v>251</v>
      </c>
      <c r="G362" s="933">
        <v>4</v>
      </c>
      <c r="H362" s="933">
        <v>4</v>
      </c>
      <c r="I362" s="933" t="s">
        <v>670</v>
      </c>
      <c r="J362" s="934">
        <v>2.1704545454545401</v>
      </c>
      <c r="K362" s="934">
        <v>8.6818181818181799</v>
      </c>
      <c r="L362" s="938">
        <v>0.46189376443418001</v>
      </c>
    </row>
    <row r="363" spans="1:12" hidden="1">
      <c r="A363" s="931">
        <v>5</v>
      </c>
      <c r="B363" s="1247">
        <v>46048</v>
      </c>
      <c r="C363" s="1249">
        <v>46054</v>
      </c>
      <c r="D363" s="935">
        <v>50</v>
      </c>
      <c r="E363" s="935" t="s">
        <v>760</v>
      </c>
      <c r="F363" s="935" t="s">
        <v>253</v>
      </c>
      <c r="G363" s="935">
        <v>4</v>
      </c>
      <c r="H363" s="935">
        <v>4</v>
      </c>
      <c r="I363" s="935" t="s">
        <v>672</v>
      </c>
      <c r="J363" s="936">
        <v>0</v>
      </c>
      <c r="K363" s="936">
        <v>0</v>
      </c>
      <c r="L363" s="939">
        <v>0.46189376443418001</v>
      </c>
    </row>
    <row r="364" spans="1:12" hidden="1">
      <c r="A364" s="931">
        <v>5</v>
      </c>
      <c r="B364" s="1246">
        <v>46048</v>
      </c>
      <c r="C364" s="1248">
        <v>46054</v>
      </c>
      <c r="D364" s="933">
        <v>51</v>
      </c>
      <c r="E364" s="933" t="s">
        <v>692</v>
      </c>
      <c r="F364" s="933" t="s">
        <v>693</v>
      </c>
      <c r="G364" s="933">
        <v>4</v>
      </c>
      <c r="H364" s="933">
        <v>4</v>
      </c>
      <c r="I364" s="933" t="s">
        <v>670</v>
      </c>
      <c r="J364" s="934">
        <v>0</v>
      </c>
      <c r="K364" s="934">
        <v>0</v>
      </c>
      <c r="L364" s="938">
        <v>0.46189376443418001</v>
      </c>
    </row>
    <row r="365" spans="1:12" hidden="1">
      <c r="A365" s="931">
        <v>5</v>
      </c>
      <c r="B365" s="1247">
        <v>46048</v>
      </c>
      <c r="C365" s="1249">
        <v>46054</v>
      </c>
      <c r="D365" s="935">
        <v>52</v>
      </c>
      <c r="E365" s="935" t="s">
        <v>772</v>
      </c>
      <c r="F365" s="935" t="s">
        <v>730</v>
      </c>
      <c r="G365" s="935">
        <v>4</v>
      </c>
      <c r="H365" s="935">
        <v>4</v>
      </c>
      <c r="I365" s="935" t="s">
        <v>670</v>
      </c>
      <c r="J365" s="936">
        <v>2.9545454545454501</v>
      </c>
      <c r="K365" s="936">
        <v>11.818181818181801</v>
      </c>
      <c r="L365" s="939">
        <v>0.46189376443418001</v>
      </c>
    </row>
    <row r="366" spans="1:12" hidden="1">
      <c r="A366" s="931">
        <v>5</v>
      </c>
      <c r="B366" s="1246">
        <v>46048</v>
      </c>
      <c r="C366" s="1248">
        <v>46054</v>
      </c>
      <c r="D366" s="933">
        <v>53</v>
      </c>
      <c r="E366" s="933" t="s">
        <v>755</v>
      </c>
      <c r="F366" s="933" t="s">
        <v>251</v>
      </c>
      <c r="G366" s="933">
        <v>3</v>
      </c>
      <c r="H366" s="933">
        <v>3</v>
      </c>
      <c r="I366" s="933" t="s">
        <v>670</v>
      </c>
      <c r="J366" s="934">
        <v>2.5</v>
      </c>
      <c r="K366" s="934">
        <v>7.5</v>
      </c>
      <c r="L366" s="938">
        <v>0.34642032332563499</v>
      </c>
    </row>
    <row r="367" spans="1:12" hidden="1">
      <c r="A367" s="931">
        <v>5</v>
      </c>
      <c r="B367" s="1247">
        <v>46048</v>
      </c>
      <c r="C367" s="1249">
        <v>46054</v>
      </c>
      <c r="D367" s="935">
        <v>54</v>
      </c>
      <c r="E367" s="935" t="s">
        <v>747</v>
      </c>
      <c r="F367" s="935" t="s">
        <v>256</v>
      </c>
      <c r="G367" s="935">
        <v>3</v>
      </c>
      <c r="H367" s="935">
        <v>3</v>
      </c>
      <c r="I367" s="935" t="s">
        <v>670</v>
      </c>
      <c r="J367" s="936">
        <v>7.7727272727272698</v>
      </c>
      <c r="K367" s="936">
        <v>23.318181818181799</v>
      </c>
      <c r="L367" s="939">
        <v>0.34642032332563499</v>
      </c>
    </row>
    <row r="368" spans="1:12" hidden="1">
      <c r="A368" s="931">
        <v>5</v>
      </c>
      <c r="B368" s="1246">
        <v>46048</v>
      </c>
      <c r="C368" s="1248">
        <v>46054</v>
      </c>
      <c r="D368" s="933">
        <v>55</v>
      </c>
      <c r="E368" s="933" t="s">
        <v>743</v>
      </c>
      <c r="F368" s="933" t="s">
        <v>251</v>
      </c>
      <c r="G368" s="933">
        <v>3</v>
      </c>
      <c r="H368" s="933">
        <v>3</v>
      </c>
      <c r="I368" s="933" t="s">
        <v>670</v>
      </c>
      <c r="J368" s="934">
        <v>1.9090909090909101</v>
      </c>
      <c r="K368" s="934">
        <v>5.7272727272727302</v>
      </c>
      <c r="L368" s="938">
        <v>0.34642032332563499</v>
      </c>
    </row>
    <row r="369" spans="1:12" hidden="1">
      <c r="A369" s="931">
        <v>5</v>
      </c>
      <c r="B369" s="1247">
        <v>46048</v>
      </c>
      <c r="C369" s="1249">
        <v>46054</v>
      </c>
      <c r="D369" s="935">
        <v>56</v>
      </c>
      <c r="E369" s="935" t="s">
        <v>688</v>
      </c>
      <c r="F369" s="935" t="s">
        <v>689</v>
      </c>
      <c r="G369" s="935">
        <v>3</v>
      </c>
      <c r="H369" s="935">
        <v>3</v>
      </c>
      <c r="I369" s="935" t="s">
        <v>670</v>
      </c>
      <c r="J369" s="936">
        <v>9.9090909090909101</v>
      </c>
      <c r="K369" s="936">
        <v>29.727272727272702</v>
      </c>
      <c r="L369" s="939">
        <v>0.34642032332563499</v>
      </c>
    </row>
    <row r="370" spans="1:12" hidden="1">
      <c r="A370" s="931">
        <v>5</v>
      </c>
      <c r="B370" s="1246">
        <v>46048</v>
      </c>
      <c r="C370" s="1248">
        <v>46054</v>
      </c>
      <c r="D370" s="933">
        <v>57</v>
      </c>
      <c r="E370" s="933" t="s">
        <v>733</v>
      </c>
      <c r="F370" s="933" t="s">
        <v>253</v>
      </c>
      <c r="G370" s="933">
        <v>3</v>
      </c>
      <c r="H370" s="933">
        <v>3</v>
      </c>
      <c r="I370" s="933" t="s">
        <v>670</v>
      </c>
      <c r="J370" s="934">
        <v>4.4090909090909101</v>
      </c>
      <c r="K370" s="934">
        <v>13.2272727272727</v>
      </c>
      <c r="L370" s="938">
        <v>0.34642032332563499</v>
      </c>
    </row>
    <row r="371" spans="1:12" hidden="1">
      <c r="A371" s="931">
        <v>5</v>
      </c>
      <c r="B371" s="1247">
        <v>46048</v>
      </c>
      <c r="C371" s="1249">
        <v>46054</v>
      </c>
      <c r="D371" s="935">
        <v>58</v>
      </c>
      <c r="E371" s="935" t="s">
        <v>723</v>
      </c>
      <c r="F371" s="935" t="s">
        <v>713</v>
      </c>
      <c r="G371" s="935">
        <v>3</v>
      </c>
      <c r="H371" s="935">
        <v>3</v>
      </c>
      <c r="I371" s="935" t="s">
        <v>670</v>
      </c>
      <c r="J371" s="936">
        <v>2.8181818181818201</v>
      </c>
      <c r="K371" s="936">
        <v>8.4545454545454497</v>
      </c>
      <c r="L371" s="939">
        <v>0.34642032332563499</v>
      </c>
    </row>
    <row r="372" spans="1:12" hidden="1">
      <c r="A372" s="931">
        <v>5</v>
      </c>
      <c r="B372" s="1246">
        <v>46048</v>
      </c>
      <c r="C372" s="1248">
        <v>46054</v>
      </c>
      <c r="D372" s="933">
        <v>59</v>
      </c>
      <c r="E372" s="933" t="s">
        <v>714</v>
      </c>
      <c r="F372" s="933" t="s">
        <v>251</v>
      </c>
      <c r="G372" s="933">
        <v>3</v>
      </c>
      <c r="H372" s="933">
        <v>3</v>
      </c>
      <c r="I372" s="933" t="s">
        <v>670</v>
      </c>
      <c r="J372" s="934">
        <v>0.939393939393939</v>
      </c>
      <c r="K372" s="934">
        <v>2.8181818181818201</v>
      </c>
      <c r="L372" s="938">
        <v>0.34642032332563499</v>
      </c>
    </row>
    <row r="373" spans="1:12" hidden="1">
      <c r="A373" s="931">
        <v>5</v>
      </c>
      <c r="B373" s="1247">
        <v>46048</v>
      </c>
      <c r="C373" s="1249">
        <v>46054</v>
      </c>
      <c r="D373" s="935">
        <v>60</v>
      </c>
      <c r="E373" s="935" t="s">
        <v>766</v>
      </c>
      <c r="F373" s="935" t="s">
        <v>253</v>
      </c>
      <c r="G373" s="935">
        <v>3</v>
      </c>
      <c r="H373" s="935">
        <v>3</v>
      </c>
      <c r="I373" s="935" t="s">
        <v>672</v>
      </c>
      <c r="J373" s="936">
        <v>0.90909090909090895</v>
      </c>
      <c r="K373" s="936">
        <v>2.7272727272727302</v>
      </c>
      <c r="L373" s="939">
        <v>0.34642032332563499</v>
      </c>
    </row>
    <row r="374" spans="1:12" hidden="1">
      <c r="A374" s="931">
        <v>5</v>
      </c>
      <c r="B374" s="1246">
        <v>46048</v>
      </c>
      <c r="C374" s="1248">
        <v>46054</v>
      </c>
      <c r="D374" s="933">
        <v>61</v>
      </c>
      <c r="E374" s="933" t="s">
        <v>711</v>
      </c>
      <c r="F374" s="933" t="s">
        <v>251</v>
      </c>
      <c r="G374" s="933">
        <v>3</v>
      </c>
      <c r="H374" s="933">
        <v>3</v>
      </c>
      <c r="I374" s="933" t="s">
        <v>670</v>
      </c>
      <c r="J374" s="934">
        <v>0</v>
      </c>
      <c r="K374" s="934">
        <v>0</v>
      </c>
      <c r="L374" s="938">
        <v>0.34642032332563499</v>
      </c>
    </row>
    <row r="375" spans="1:12" hidden="1">
      <c r="A375" s="931">
        <v>5</v>
      </c>
      <c r="B375" s="1247">
        <v>46048</v>
      </c>
      <c r="C375" s="1249">
        <v>46054</v>
      </c>
      <c r="D375" s="935">
        <v>62</v>
      </c>
      <c r="E375" s="935" t="s">
        <v>767</v>
      </c>
      <c r="F375" s="935" t="s">
        <v>251</v>
      </c>
      <c r="G375" s="935">
        <v>3</v>
      </c>
      <c r="H375" s="935">
        <v>3</v>
      </c>
      <c r="I375" s="935" t="s">
        <v>670</v>
      </c>
      <c r="J375" s="936">
        <v>2.5454545454545401</v>
      </c>
      <c r="K375" s="936">
        <v>7.6363636363636296</v>
      </c>
      <c r="L375" s="939">
        <v>0.34642032332563499</v>
      </c>
    </row>
    <row r="376" spans="1:12" hidden="1">
      <c r="A376" s="931">
        <v>5</v>
      </c>
      <c r="B376" s="1246">
        <v>46048</v>
      </c>
      <c r="C376" s="1248">
        <v>46054</v>
      </c>
      <c r="D376" s="933">
        <v>63</v>
      </c>
      <c r="E376" s="933" t="s">
        <v>728</v>
      </c>
      <c r="F376" s="933" t="s">
        <v>695</v>
      </c>
      <c r="G376" s="933">
        <v>2</v>
      </c>
      <c r="H376" s="933">
        <v>2</v>
      </c>
      <c r="I376" s="933" t="s">
        <v>670</v>
      </c>
      <c r="J376" s="934">
        <v>8.0909090909090899</v>
      </c>
      <c r="K376" s="934">
        <v>16.181818181818201</v>
      </c>
      <c r="L376" s="938">
        <v>0.23094688221709</v>
      </c>
    </row>
    <row r="377" spans="1:12" hidden="1">
      <c r="A377" s="931">
        <v>5</v>
      </c>
      <c r="B377" s="1247">
        <v>46048</v>
      </c>
      <c r="C377" s="1249">
        <v>46054</v>
      </c>
      <c r="D377" s="935">
        <v>64</v>
      </c>
      <c r="E377" s="935" t="s">
        <v>737</v>
      </c>
      <c r="F377" s="935" t="s">
        <v>249</v>
      </c>
      <c r="G377" s="935">
        <v>2</v>
      </c>
      <c r="H377" s="935">
        <v>2</v>
      </c>
      <c r="I377" s="935" t="s">
        <v>670</v>
      </c>
      <c r="J377" s="936">
        <v>0.77272727272727304</v>
      </c>
      <c r="K377" s="936">
        <v>1.5454545454545401</v>
      </c>
      <c r="L377" s="939">
        <v>0.23094688221709</v>
      </c>
    </row>
    <row r="378" spans="1:12" hidden="1">
      <c r="A378" s="931">
        <v>5</v>
      </c>
      <c r="B378" s="1246">
        <v>46048</v>
      </c>
      <c r="C378" s="1248">
        <v>46054</v>
      </c>
      <c r="D378" s="933">
        <v>65</v>
      </c>
      <c r="E378" s="933" t="s">
        <v>761</v>
      </c>
      <c r="F378" s="933" t="s">
        <v>730</v>
      </c>
      <c r="G378" s="933">
        <v>2</v>
      </c>
      <c r="H378" s="933">
        <v>2</v>
      </c>
      <c r="I378" s="933" t="s">
        <v>670</v>
      </c>
      <c r="J378" s="934">
        <v>2.8181818181818201</v>
      </c>
      <c r="K378" s="934">
        <v>5.6363636363636402</v>
      </c>
      <c r="L378" s="938">
        <v>0.23094688221709</v>
      </c>
    </row>
    <row r="379" spans="1:12" hidden="1">
      <c r="A379" s="931">
        <v>5</v>
      </c>
      <c r="B379" s="1247">
        <v>46048</v>
      </c>
      <c r="C379" s="1249">
        <v>46054</v>
      </c>
      <c r="D379" s="935">
        <v>66</v>
      </c>
      <c r="E379" s="935" t="s">
        <v>753</v>
      </c>
      <c r="F379" s="935" t="s">
        <v>275</v>
      </c>
      <c r="G379" s="935">
        <v>2</v>
      </c>
      <c r="H379" s="935">
        <v>2</v>
      </c>
      <c r="I379" s="935" t="s">
        <v>670</v>
      </c>
      <c r="J379" s="936">
        <v>0</v>
      </c>
      <c r="K379" s="936">
        <v>0</v>
      </c>
      <c r="L379" s="939">
        <v>0.23094688221709</v>
      </c>
    </row>
    <row r="380" spans="1:12" hidden="1">
      <c r="A380" s="931">
        <v>5</v>
      </c>
      <c r="B380" s="1246">
        <v>46048</v>
      </c>
      <c r="C380" s="1248">
        <v>46054</v>
      </c>
      <c r="D380" s="933">
        <v>67</v>
      </c>
      <c r="E380" s="933" t="s">
        <v>684</v>
      </c>
      <c r="F380" s="933" t="s">
        <v>323</v>
      </c>
      <c r="G380" s="933">
        <v>2</v>
      </c>
      <c r="H380" s="933">
        <v>2</v>
      </c>
      <c r="I380" s="933" t="s">
        <v>670</v>
      </c>
      <c r="J380" s="934">
        <v>9</v>
      </c>
      <c r="K380" s="934">
        <v>18</v>
      </c>
      <c r="L380" s="938">
        <v>0.23094688221709</v>
      </c>
    </row>
    <row r="381" spans="1:12" hidden="1">
      <c r="A381" s="931">
        <v>5</v>
      </c>
      <c r="B381" s="1247">
        <v>46048</v>
      </c>
      <c r="C381" s="1249">
        <v>46054</v>
      </c>
      <c r="D381" s="935">
        <v>68</v>
      </c>
      <c r="E381" s="935" t="s">
        <v>745</v>
      </c>
      <c r="F381" s="935" t="s">
        <v>275</v>
      </c>
      <c r="G381" s="935">
        <v>2</v>
      </c>
      <c r="H381" s="935">
        <v>2</v>
      </c>
      <c r="I381" s="935" t="s">
        <v>670</v>
      </c>
      <c r="J381" s="936">
        <v>4.7727272727272698</v>
      </c>
      <c r="K381" s="936">
        <v>9.5454545454545396</v>
      </c>
      <c r="L381" s="939">
        <v>0.23094688221709</v>
      </c>
    </row>
    <row r="382" spans="1:12" hidden="1">
      <c r="A382" s="931">
        <v>5</v>
      </c>
      <c r="B382" s="1246">
        <v>46048</v>
      </c>
      <c r="C382" s="1248">
        <v>46054</v>
      </c>
      <c r="D382" s="933">
        <v>69</v>
      </c>
      <c r="E382" s="933" t="s">
        <v>724</v>
      </c>
      <c r="F382" s="933" t="s">
        <v>725</v>
      </c>
      <c r="G382" s="933">
        <v>2</v>
      </c>
      <c r="H382" s="933">
        <v>2</v>
      </c>
      <c r="I382" s="933" t="s">
        <v>672</v>
      </c>
      <c r="J382" s="934">
        <v>2.5909090909090899</v>
      </c>
      <c r="K382" s="934">
        <v>5.1818181818181799</v>
      </c>
      <c r="L382" s="938">
        <v>0.23094688221709</v>
      </c>
    </row>
    <row r="383" spans="1:12" hidden="1">
      <c r="A383" s="931">
        <v>5</v>
      </c>
      <c r="B383" s="1247">
        <v>46048</v>
      </c>
      <c r="C383" s="1249">
        <v>46054</v>
      </c>
      <c r="D383" s="935">
        <v>70</v>
      </c>
      <c r="E383" s="935" t="s">
        <v>774</v>
      </c>
      <c r="F383" s="935" t="s">
        <v>730</v>
      </c>
      <c r="G383" s="935">
        <v>2</v>
      </c>
      <c r="H383" s="935">
        <v>2</v>
      </c>
      <c r="I383" s="935" t="s">
        <v>670</v>
      </c>
      <c r="J383" s="936">
        <v>4.9090909090909101</v>
      </c>
      <c r="K383" s="936">
        <v>9.8181818181818201</v>
      </c>
      <c r="L383" s="939">
        <v>0.23094688221709</v>
      </c>
    </row>
    <row r="384" spans="1:12" hidden="1">
      <c r="A384" s="931">
        <v>5</v>
      </c>
      <c r="B384" s="1246">
        <v>46048</v>
      </c>
      <c r="C384" s="1248">
        <v>46054</v>
      </c>
      <c r="D384" s="933">
        <v>71</v>
      </c>
      <c r="E384" s="933" t="s">
        <v>722</v>
      </c>
      <c r="F384" s="933" t="s">
        <v>251</v>
      </c>
      <c r="G384" s="933">
        <v>2</v>
      </c>
      <c r="H384" s="933">
        <v>2</v>
      </c>
      <c r="I384" s="933" t="s">
        <v>670</v>
      </c>
      <c r="J384" s="934">
        <v>2.4772727272727302</v>
      </c>
      <c r="K384" s="934">
        <v>4.9545454545454497</v>
      </c>
      <c r="L384" s="938">
        <v>0.23094688221709</v>
      </c>
    </row>
    <row r="385" spans="1:12" hidden="1">
      <c r="A385" s="931">
        <v>5</v>
      </c>
      <c r="B385" s="1247">
        <v>46048</v>
      </c>
      <c r="C385" s="1249">
        <v>46054</v>
      </c>
      <c r="D385" s="935">
        <v>72</v>
      </c>
      <c r="E385" s="935" t="s">
        <v>720</v>
      </c>
      <c r="F385" s="935" t="s">
        <v>251</v>
      </c>
      <c r="G385" s="935">
        <v>2</v>
      </c>
      <c r="H385" s="935">
        <v>2</v>
      </c>
      <c r="I385" s="935" t="s">
        <v>670</v>
      </c>
      <c r="J385" s="936">
        <v>2.4772727272727302</v>
      </c>
      <c r="K385" s="936">
        <v>4.9545454545454497</v>
      </c>
      <c r="L385" s="939">
        <v>0.23094688221709</v>
      </c>
    </row>
    <row r="386" spans="1:12" hidden="1">
      <c r="A386" s="931">
        <v>5</v>
      </c>
      <c r="B386" s="1246">
        <v>46048</v>
      </c>
      <c r="C386" s="1248">
        <v>46054</v>
      </c>
      <c r="D386" s="933">
        <v>73</v>
      </c>
      <c r="E386" s="933" t="s">
        <v>731</v>
      </c>
      <c r="F386" s="933" t="s">
        <v>251</v>
      </c>
      <c r="G386" s="933">
        <v>2</v>
      </c>
      <c r="H386" s="933">
        <v>2</v>
      </c>
      <c r="I386" s="933" t="s">
        <v>670</v>
      </c>
      <c r="J386" s="934">
        <v>2.4090909090909101</v>
      </c>
      <c r="K386" s="934">
        <v>4.8181818181818201</v>
      </c>
      <c r="L386" s="938">
        <v>0.23094688221709</v>
      </c>
    </row>
    <row r="387" spans="1:12" hidden="1">
      <c r="A387" s="931">
        <v>5</v>
      </c>
      <c r="B387" s="1247">
        <v>46048</v>
      </c>
      <c r="C387" s="1249">
        <v>46054</v>
      </c>
      <c r="D387" s="935">
        <v>74</v>
      </c>
      <c r="E387" s="935" t="s">
        <v>736</v>
      </c>
      <c r="F387" s="935" t="s">
        <v>251</v>
      </c>
      <c r="G387" s="935">
        <v>2</v>
      </c>
      <c r="H387" s="935">
        <v>2</v>
      </c>
      <c r="I387" s="935" t="s">
        <v>670</v>
      </c>
      <c r="J387" s="936">
        <v>2.1363636363636398</v>
      </c>
      <c r="K387" s="936">
        <v>4.2727272727272698</v>
      </c>
      <c r="L387" s="939">
        <v>0.23094688221709</v>
      </c>
    </row>
    <row r="388" spans="1:12" hidden="1">
      <c r="A388" s="931">
        <v>5</v>
      </c>
      <c r="B388" s="1246">
        <v>46048</v>
      </c>
      <c r="C388" s="1248">
        <v>46054</v>
      </c>
      <c r="D388" s="933">
        <v>75</v>
      </c>
      <c r="E388" s="933" t="s">
        <v>700</v>
      </c>
      <c r="F388" s="933" t="s">
        <v>274</v>
      </c>
      <c r="G388" s="933">
        <v>1</v>
      </c>
      <c r="H388" s="933">
        <v>1</v>
      </c>
      <c r="I388" s="933" t="s">
        <v>670</v>
      </c>
      <c r="J388" s="934">
        <v>9.0909090909090899</v>
      </c>
      <c r="K388" s="934">
        <v>9.0909090909090899</v>
      </c>
      <c r="L388" s="938">
        <v>0.115473441108545</v>
      </c>
    </row>
    <row r="389" spans="1:12" hidden="1">
      <c r="A389" s="931">
        <v>5</v>
      </c>
      <c r="B389" s="1247">
        <v>46048</v>
      </c>
      <c r="C389" s="1249">
        <v>46054</v>
      </c>
      <c r="D389" s="935">
        <v>76</v>
      </c>
      <c r="E389" s="935" t="s">
        <v>769</v>
      </c>
      <c r="F389" s="935" t="s">
        <v>730</v>
      </c>
      <c r="G389" s="935">
        <v>1</v>
      </c>
      <c r="H389" s="935">
        <v>1</v>
      </c>
      <c r="I389" s="935" t="s">
        <v>670</v>
      </c>
      <c r="J389" s="936">
        <v>4.9090909090909101</v>
      </c>
      <c r="K389" s="936">
        <v>4.9090909090909101</v>
      </c>
      <c r="L389" s="939">
        <v>0.115473441108545</v>
      </c>
    </row>
    <row r="390" spans="1:12" hidden="1">
      <c r="A390" s="931">
        <v>5</v>
      </c>
      <c r="B390" s="1246">
        <v>46048</v>
      </c>
      <c r="C390" s="1248">
        <v>46054</v>
      </c>
      <c r="D390" s="933">
        <v>77</v>
      </c>
      <c r="E390" s="933" t="s">
        <v>717</v>
      </c>
      <c r="F390" s="933" t="s">
        <v>249</v>
      </c>
      <c r="G390" s="933">
        <v>1</v>
      </c>
      <c r="H390" s="933">
        <v>1</v>
      </c>
      <c r="I390" s="933" t="s">
        <v>670</v>
      </c>
      <c r="J390" s="934">
        <v>2</v>
      </c>
      <c r="K390" s="934">
        <v>2</v>
      </c>
      <c r="L390" s="938">
        <v>0.115473441108545</v>
      </c>
    </row>
    <row r="391" spans="1:12" hidden="1">
      <c r="A391" s="931">
        <v>5</v>
      </c>
      <c r="B391" s="1247">
        <v>46048</v>
      </c>
      <c r="C391" s="1249">
        <v>46054</v>
      </c>
      <c r="D391" s="935">
        <v>78</v>
      </c>
      <c r="E391" s="935" t="s">
        <v>784</v>
      </c>
      <c r="F391" s="935" t="s">
        <v>764</v>
      </c>
      <c r="G391" s="935">
        <v>1</v>
      </c>
      <c r="H391" s="935">
        <v>1</v>
      </c>
      <c r="I391" s="935" t="s">
        <v>670</v>
      </c>
      <c r="J391" s="936">
        <v>13.181818181818199</v>
      </c>
      <c r="K391" s="936">
        <v>13.181818181818199</v>
      </c>
      <c r="L391" s="939">
        <v>0.115473441108545</v>
      </c>
    </row>
    <row r="392" spans="1:12" hidden="1">
      <c r="A392" s="931">
        <v>5</v>
      </c>
      <c r="B392" s="1246">
        <v>46048</v>
      </c>
      <c r="C392" s="1248">
        <v>46054</v>
      </c>
      <c r="D392" s="933">
        <v>79</v>
      </c>
      <c r="E392" s="933" t="s">
        <v>785</v>
      </c>
      <c r="F392" s="933" t="s">
        <v>275</v>
      </c>
      <c r="G392" s="933">
        <v>1</v>
      </c>
      <c r="H392" s="933">
        <v>1</v>
      </c>
      <c r="I392" s="933" t="s">
        <v>670</v>
      </c>
      <c r="J392" s="934">
        <v>1.27272727272727</v>
      </c>
      <c r="K392" s="934">
        <v>1.27272727272727</v>
      </c>
      <c r="L392" s="938">
        <v>0.115473441108545</v>
      </c>
    </row>
    <row r="393" spans="1:12" hidden="1">
      <c r="A393" s="931">
        <v>5</v>
      </c>
      <c r="B393" s="1247">
        <v>46048</v>
      </c>
      <c r="C393" s="1249">
        <v>46054</v>
      </c>
      <c r="D393" s="935">
        <v>80</v>
      </c>
      <c r="E393" s="935" t="s">
        <v>735</v>
      </c>
      <c r="F393" s="935" t="s">
        <v>730</v>
      </c>
      <c r="G393" s="935">
        <v>1</v>
      </c>
      <c r="H393" s="935">
        <v>1</v>
      </c>
      <c r="I393" s="935" t="s">
        <v>670</v>
      </c>
      <c r="J393" s="936">
        <v>2.8181818181818201</v>
      </c>
      <c r="K393" s="936">
        <v>2.8181818181818201</v>
      </c>
      <c r="L393" s="939">
        <v>0.115473441108545</v>
      </c>
    </row>
    <row r="394" spans="1:12" hidden="1">
      <c r="A394" s="931">
        <v>5</v>
      </c>
      <c r="B394" s="1246">
        <v>46048</v>
      </c>
      <c r="C394" s="1248">
        <v>46054</v>
      </c>
      <c r="D394" s="933">
        <v>81</v>
      </c>
      <c r="E394" s="933" t="s">
        <v>727</v>
      </c>
      <c r="F394" s="933" t="s">
        <v>275</v>
      </c>
      <c r="G394" s="933">
        <v>1</v>
      </c>
      <c r="H394" s="933">
        <v>1</v>
      </c>
      <c r="I394" s="933" t="s">
        <v>670</v>
      </c>
      <c r="J394" s="934">
        <v>0</v>
      </c>
      <c r="K394" s="934">
        <v>0</v>
      </c>
      <c r="L394" s="938">
        <v>0.115473441108545</v>
      </c>
    </row>
    <row r="395" spans="1:12" hidden="1">
      <c r="A395" s="931">
        <v>5</v>
      </c>
      <c r="B395" s="1247">
        <v>46048</v>
      </c>
      <c r="C395" s="1249">
        <v>46054</v>
      </c>
      <c r="D395" s="935">
        <v>82</v>
      </c>
      <c r="E395" s="935" t="s">
        <v>786</v>
      </c>
      <c r="F395" s="935" t="s">
        <v>249</v>
      </c>
      <c r="G395" s="935">
        <v>1</v>
      </c>
      <c r="H395" s="935">
        <v>1</v>
      </c>
      <c r="I395" s="935" t="s">
        <v>670</v>
      </c>
      <c r="J395" s="936">
        <v>0</v>
      </c>
      <c r="K395" s="936">
        <v>0</v>
      </c>
      <c r="L395" s="939">
        <v>0.115473441108545</v>
      </c>
    </row>
    <row r="396" spans="1:12" hidden="1">
      <c r="A396" s="931">
        <v>5</v>
      </c>
      <c r="B396" s="1246">
        <v>46048</v>
      </c>
      <c r="C396" s="1248">
        <v>46054</v>
      </c>
      <c r="D396" s="933">
        <v>83</v>
      </c>
      <c r="E396" s="933" t="s">
        <v>763</v>
      </c>
      <c r="F396" s="933" t="s">
        <v>764</v>
      </c>
      <c r="G396" s="933">
        <v>1</v>
      </c>
      <c r="H396" s="933">
        <v>1</v>
      </c>
      <c r="I396" s="933" t="s">
        <v>670</v>
      </c>
      <c r="J396" s="934">
        <v>14.4545454545454</v>
      </c>
      <c r="K396" s="934">
        <v>14.4545454545454</v>
      </c>
      <c r="L396" s="938">
        <v>0.115473441108545</v>
      </c>
    </row>
    <row r="397" spans="1:12" hidden="1">
      <c r="A397" s="931">
        <v>5</v>
      </c>
      <c r="B397" s="1247">
        <v>46048</v>
      </c>
      <c r="C397" s="1249">
        <v>46054</v>
      </c>
      <c r="D397" s="935">
        <v>84</v>
      </c>
      <c r="E397" s="935" t="s">
        <v>712</v>
      </c>
      <c r="F397" s="935" t="s">
        <v>713</v>
      </c>
      <c r="G397" s="935">
        <v>1</v>
      </c>
      <c r="H397" s="935">
        <v>1</v>
      </c>
      <c r="I397" s="935" t="s">
        <v>670</v>
      </c>
      <c r="J397" s="936">
        <v>3.1818181818181799</v>
      </c>
      <c r="K397" s="936">
        <v>3.1818181818181799</v>
      </c>
      <c r="L397" s="939">
        <v>0.115473441108545</v>
      </c>
    </row>
    <row r="398" spans="1:12" hidden="1">
      <c r="A398" s="931">
        <v>5</v>
      </c>
      <c r="B398" s="1246">
        <v>46048</v>
      </c>
      <c r="C398" s="1248">
        <v>46054</v>
      </c>
      <c r="D398" s="933">
        <v>85</v>
      </c>
      <c r="E398" s="933" t="s">
        <v>734</v>
      </c>
      <c r="F398" s="933" t="s">
        <v>695</v>
      </c>
      <c r="G398" s="933">
        <v>1</v>
      </c>
      <c r="H398" s="933">
        <v>1</v>
      </c>
      <c r="I398" s="933" t="s">
        <v>670</v>
      </c>
      <c r="J398" s="934">
        <v>18.181818181818201</v>
      </c>
      <c r="K398" s="934">
        <v>18.181818181818201</v>
      </c>
      <c r="L398" s="938">
        <v>0.115473441108545</v>
      </c>
    </row>
    <row r="399" spans="1:12" hidden="1">
      <c r="A399" s="931">
        <v>5</v>
      </c>
      <c r="B399" s="1247">
        <v>46048</v>
      </c>
      <c r="C399" s="1249">
        <v>46054</v>
      </c>
      <c r="D399" s="935">
        <v>86</v>
      </c>
      <c r="E399" s="935" t="s">
        <v>699</v>
      </c>
      <c r="F399" s="935" t="s">
        <v>249</v>
      </c>
      <c r="G399" s="935">
        <v>1</v>
      </c>
      <c r="H399" s="935">
        <v>1</v>
      </c>
      <c r="I399" s="935" t="s">
        <v>670</v>
      </c>
      <c r="J399" s="936">
        <v>0</v>
      </c>
      <c r="K399" s="936">
        <v>0</v>
      </c>
      <c r="L399" s="939">
        <v>0.115473441108545</v>
      </c>
    </row>
    <row r="400" spans="1:12" hidden="1">
      <c r="A400" s="931">
        <v>5</v>
      </c>
      <c r="B400" s="1246">
        <v>46048</v>
      </c>
      <c r="C400" s="1248">
        <v>46054</v>
      </c>
      <c r="D400" s="933">
        <v>87</v>
      </c>
      <c r="E400" s="933" t="s">
        <v>746</v>
      </c>
      <c r="F400" s="933" t="s">
        <v>251</v>
      </c>
      <c r="G400" s="933">
        <v>1</v>
      </c>
      <c r="H400" s="933">
        <v>1</v>
      </c>
      <c r="I400" s="933" t="s">
        <v>670</v>
      </c>
      <c r="J400" s="934">
        <v>2.1363636363636398</v>
      </c>
      <c r="K400" s="934">
        <v>2.1363636363636398</v>
      </c>
      <c r="L400" s="938">
        <v>0.115473441108545</v>
      </c>
    </row>
    <row r="401" spans="1:12" hidden="1">
      <c r="A401" s="931">
        <v>5</v>
      </c>
      <c r="B401" s="1247">
        <v>46048</v>
      </c>
      <c r="C401" s="1249">
        <v>46054</v>
      </c>
      <c r="D401" s="935">
        <v>88</v>
      </c>
      <c r="E401" s="935" t="s">
        <v>787</v>
      </c>
      <c r="F401" s="935" t="s">
        <v>713</v>
      </c>
      <c r="G401" s="935">
        <v>1</v>
      </c>
      <c r="H401" s="935">
        <v>1</v>
      </c>
      <c r="I401" s="935" t="s">
        <v>670</v>
      </c>
      <c r="J401" s="936">
        <v>4.3181818181818201</v>
      </c>
      <c r="K401" s="936">
        <v>4.3181818181818201</v>
      </c>
      <c r="L401" s="939">
        <v>0.115473441108545</v>
      </c>
    </row>
    <row r="402" spans="1:12" hidden="1">
      <c r="A402" s="931">
        <v>5</v>
      </c>
      <c r="B402" s="1246">
        <v>46048</v>
      </c>
      <c r="C402" s="1248">
        <v>46054</v>
      </c>
      <c r="D402" s="933">
        <v>89</v>
      </c>
      <c r="E402" s="933" t="s">
        <v>740</v>
      </c>
      <c r="F402" s="933" t="s">
        <v>264</v>
      </c>
      <c r="G402" s="933">
        <v>1</v>
      </c>
      <c r="H402" s="933">
        <v>1</v>
      </c>
      <c r="I402" s="933" t="s">
        <v>741</v>
      </c>
      <c r="J402" s="934">
        <v>2.5</v>
      </c>
      <c r="K402" s="934">
        <v>2.5</v>
      </c>
      <c r="L402" s="938">
        <v>0.115473441108545</v>
      </c>
    </row>
    <row r="403" spans="1:12" hidden="1">
      <c r="A403" s="931">
        <v>6</v>
      </c>
      <c r="B403" s="1247">
        <v>46055</v>
      </c>
      <c r="C403" s="1249">
        <v>46061</v>
      </c>
      <c r="D403" s="935">
        <v>1</v>
      </c>
      <c r="E403" s="935" t="s">
        <v>248</v>
      </c>
      <c r="F403" s="935" t="s">
        <v>249</v>
      </c>
      <c r="G403" s="935">
        <v>89</v>
      </c>
      <c r="H403" s="935">
        <v>89</v>
      </c>
      <c r="I403" s="935" t="s">
        <v>670</v>
      </c>
      <c r="J403" s="936">
        <v>1.36639427987743</v>
      </c>
      <c r="K403" s="936">
        <v>121.60909090909099</v>
      </c>
      <c r="L403" s="939">
        <v>10.2771362586605</v>
      </c>
    </row>
    <row r="404" spans="1:12" hidden="1">
      <c r="A404" s="931">
        <v>6</v>
      </c>
      <c r="B404" s="1246">
        <v>46055</v>
      </c>
      <c r="C404" s="1248">
        <v>46061</v>
      </c>
      <c r="D404" s="933">
        <v>2</v>
      </c>
      <c r="E404" s="933" t="s">
        <v>259</v>
      </c>
      <c r="F404" s="933" t="s">
        <v>249</v>
      </c>
      <c r="G404" s="933">
        <v>84</v>
      </c>
      <c r="H404" s="933">
        <v>84</v>
      </c>
      <c r="I404" s="933" t="s">
        <v>670</v>
      </c>
      <c r="J404" s="934">
        <v>1.30573593073593</v>
      </c>
      <c r="K404" s="934">
        <v>109.681818181818</v>
      </c>
      <c r="L404" s="938">
        <v>9.6997690531177803</v>
      </c>
    </row>
    <row r="405" spans="1:12" hidden="1">
      <c r="A405" s="931">
        <v>6</v>
      </c>
      <c r="B405" s="1247">
        <v>46055</v>
      </c>
      <c r="C405" s="1249">
        <v>46061</v>
      </c>
      <c r="D405" s="935">
        <v>3</v>
      </c>
      <c r="E405" s="935" t="s">
        <v>261</v>
      </c>
      <c r="F405" s="935" t="s">
        <v>256</v>
      </c>
      <c r="G405" s="935">
        <v>61</v>
      </c>
      <c r="H405" s="935">
        <v>61</v>
      </c>
      <c r="I405" s="935" t="s">
        <v>670</v>
      </c>
      <c r="J405" s="936">
        <v>2.86661698956781</v>
      </c>
      <c r="K405" s="936">
        <v>174.863636363636</v>
      </c>
      <c r="L405" s="939">
        <v>7.0438799076212497</v>
      </c>
    </row>
    <row r="406" spans="1:12" hidden="1">
      <c r="A406" s="931">
        <v>6</v>
      </c>
      <c r="B406" s="1246">
        <v>46055</v>
      </c>
      <c r="C406" s="1248">
        <v>46061</v>
      </c>
      <c r="D406" s="933">
        <v>4</v>
      </c>
      <c r="E406" s="933" t="s">
        <v>250</v>
      </c>
      <c r="F406" s="933" t="s">
        <v>251</v>
      </c>
      <c r="G406" s="933">
        <v>52</v>
      </c>
      <c r="H406" s="933">
        <v>52</v>
      </c>
      <c r="I406" s="933" t="s">
        <v>670</v>
      </c>
      <c r="J406" s="934">
        <v>1.65472027972028</v>
      </c>
      <c r="K406" s="934">
        <v>86.045454545454504</v>
      </c>
      <c r="L406" s="938">
        <v>6.0046189376443397</v>
      </c>
    </row>
    <row r="407" spans="1:12" hidden="1">
      <c r="A407" s="931">
        <v>6</v>
      </c>
      <c r="B407" s="1247">
        <v>46055</v>
      </c>
      <c r="C407" s="1249">
        <v>46061</v>
      </c>
      <c r="D407" s="935">
        <v>5</v>
      </c>
      <c r="E407" s="935" t="s">
        <v>255</v>
      </c>
      <c r="F407" s="935" t="s">
        <v>256</v>
      </c>
      <c r="G407" s="935">
        <v>43</v>
      </c>
      <c r="H407" s="935">
        <v>43</v>
      </c>
      <c r="I407" s="935" t="s">
        <v>670</v>
      </c>
      <c r="J407" s="936">
        <v>5.1596194503171304</v>
      </c>
      <c r="K407" s="936">
        <v>221.863636363636</v>
      </c>
      <c r="L407" s="939">
        <v>4.9653579676674404</v>
      </c>
    </row>
    <row r="408" spans="1:12" hidden="1">
      <c r="A408" s="931">
        <v>6</v>
      </c>
      <c r="B408" s="1246">
        <v>46055</v>
      </c>
      <c r="C408" s="1248">
        <v>46061</v>
      </c>
      <c r="D408" s="933">
        <v>6</v>
      </c>
      <c r="E408" s="933" t="s">
        <v>254</v>
      </c>
      <c r="F408" s="933" t="s">
        <v>254</v>
      </c>
      <c r="G408" s="933">
        <v>31</v>
      </c>
      <c r="H408" s="933">
        <v>31</v>
      </c>
      <c r="I408" s="933" t="s">
        <v>670</v>
      </c>
      <c r="J408" s="934">
        <v>13.545454545454501</v>
      </c>
      <c r="K408" s="934">
        <v>419.90909090909099</v>
      </c>
      <c r="L408" s="938">
        <v>3.5796766743649</v>
      </c>
    </row>
    <row r="409" spans="1:12" hidden="1">
      <c r="A409" s="931">
        <v>6</v>
      </c>
      <c r="B409" s="1247">
        <v>46055</v>
      </c>
      <c r="C409" s="1249">
        <v>46061</v>
      </c>
      <c r="D409" s="935">
        <v>7</v>
      </c>
      <c r="E409" s="935" t="s">
        <v>262</v>
      </c>
      <c r="F409" s="935" t="s">
        <v>256</v>
      </c>
      <c r="G409" s="935">
        <v>29</v>
      </c>
      <c r="H409" s="935">
        <v>29</v>
      </c>
      <c r="I409" s="935" t="s">
        <v>670</v>
      </c>
      <c r="J409" s="936">
        <v>10.8808777429467</v>
      </c>
      <c r="K409" s="936">
        <v>315.54545454545502</v>
      </c>
      <c r="L409" s="939">
        <v>3.3487297921478101</v>
      </c>
    </row>
    <row r="410" spans="1:12" hidden="1">
      <c r="A410" s="931">
        <v>6</v>
      </c>
      <c r="B410" s="1246">
        <v>46055</v>
      </c>
      <c r="C410" s="1248">
        <v>46061</v>
      </c>
      <c r="D410" s="933">
        <v>8</v>
      </c>
      <c r="E410" s="933" t="s">
        <v>680</v>
      </c>
      <c r="F410" s="933" t="s">
        <v>251</v>
      </c>
      <c r="G410" s="933">
        <v>28</v>
      </c>
      <c r="H410" s="933">
        <v>28</v>
      </c>
      <c r="I410" s="933" t="s">
        <v>670</v>
      </c>
      <c r="J410" s="934">
        <v>2.36201298701299</v>
      </c>
      <c r="K410" s="934">
        <v>66.136363636363598</v>
      </c>
      <c r="L410" s="938">
        <v>3.2332563510392598</v>
      </c>
    </row>
    <row r="411" spans="1:12" hidden="1">
      <c r="A411" s="931">
        <v>6</v>
      </c>
      <c r="B411" s="1247">
        <v>46055</v>
      </c>
      <c r="C411" s="1249">
        <v>46061</v>
      </c>
      <c r="D411" s="935">
        <v>9</v>
      </c>
      <c r="E411" s="935" t="s">
        <v>678</v>
      </c>
      <c r="F411" s="935" t="s">
        <v>256</v>
      </c>
      <c r="G411" s="935">
        <v>20</v>
      </c>
      <c r="H411" s="935">
        <v>20</v>
      </c>
      <c r="I411" s="935" t="s">
        <v>670</v>
      </c>
      <c r="J411" s="936">
        <v>6.3295454545454497</v>
      </c>
      <c r="K411" s="936">
        <v>126.59090909090899</v>
      </c>
      <c r="L411" s="939">
        <v>2.3094688221709001</v>
      </c>
    </row>
    <row r="412" spans="1:12" hidden="1">
      <c r="A412" s="931">
        <v>6</v>
      </c>
      <c r="B412" s="1246">
        <v>46055</v>
      </c>
      <c r="C412" s="1248">
        <v>46061</v>
      </c>
      <c r="D412" s="933">
        <v>10</v>
      </c>
      <c r="E412" s="933" t="s">
        <v>681</v>
      </c>
      <c r="F412" s="933" t="s">
        <v>282</v>
      </c>
      <c r="G412" s="933">
        <v>19</v>
      </c>
      <c r="H412" s="933">
        <v>19</v>
      </c>
      <c r="I412" s="933" t="s">
        <v>672</v>
      </c>
      <c r="J412" s="934">
        <v>4.54545454545454E-2</v>
      </c>
      <c r="K412" s="934">
        <v>0.86363636363636298</v>
      </c>
      <c r="L412" s="938">
        <v>2.19399538106236</v>
      </c>
    </row>
    <row r="413" spans="1:12" hidden="1">
      <c r="A413" s="931">
        <v>6</v>
      </c>
      <c r="B413" s="1247">
        <v>46055</v>
      </c>
      <c r="C413" s="1249">
        <v>46061</v>
      </c>
      <c r="D413" s="935">
        <v>11</v>
      </c>
      <c r="E413" s="935" t="s">
        <v>673</v>
      </c>
      <c r="F413" s="935" t="s">
        <v>251</v>
      </c>
      <c r="G413" s="935">
        <v>19</v>
      </c>
      <c r="H413" s="935">
        <v>19</v>
      </c>
      <c r="I413" s="935" t="s">
        <v>670</v>
      </c>
      <c r="J413" s="936">
        <v>2.2703349282296599</v>
      </c>
      <c r="K413" s="936">
        <v>43.136363636363598</v>
      </c>
      <c r="L413" s="939">
        <v>2.19399538106236</v>
      </c>
    </row>
    <row r="414" spans="1:12" hidden="1">
      <c r="A414" s="931">
        <v>6</v>
      </c>
      <c r="B414" s="1246">
        <v>46055</v>
      </c>
      <c r="C414" s="1248">
        <v>46061</v>
      </c>
      <c r="D414" s="933">
        <v>12</v>
      </c>
      <c r="E414" s="933" t="s">
        <v>687</v>
      </c>
      <c r="F414" s="933" t="s">
        <v>253</v>
      </c>
      <c r="G414" s="933">
        <v>19</v>
      </c>
      <c r="H414" s="933">
        <v>19</v>
      </c>
      <c r="I414" s="933" t="s">
        <v>670</v>
      </c>
      <c r="J414" s="934">
        <v>2.7320574162679399</v>
      </c>
      <c r="K414" s="934">
        <v>51.909090909090899</v>
      </c>
      <c r="L414" s="938">
        <v>2.19399538106236</v>
      </c>
    </row>
    <row r="415" spans="1:12" hidden="1">
      <c r="A415" s="931">
        <v>6</v>
      </c>
      <c r="B415" s="1247">
        <v>46055</v>
      </c>
      <c r="C415" s="1249">
        <v>46061</v>
      </c>
      <c r="D415" s="935">
        <v>13</v>
      </c>
      <c r="E415" s="935" t="s">
        <v>679</v>
      </c>
      <c r="F415" s="935" t="s">
        <v>256</v>
      </c>
      <c r="G415" s="935">
        <v>17</v>
      </c>
      <c r="H415" s="935">
        <v>17</v>
      </c>
      <c r="I415" s="935" t="s">
        <v>670</v>
      </c>
      <c r="J415" s="936">
        <v>9.1443850267379698</v>
      </c>
      <c r="K415" s="936">
        <v>155.45454545454501</v>
      </c>
      <c r="L415" s="939">
        <v>1.9630484988452701</v>
      </c>
    </row>
    <row r="416" spans="1:12" hidden="1">
      <c r="A416" s="931">
        <v>6</v>
      </c>
      <c r="B416" s="1246">
        <v>46055</v>
      </c>
      <c r="C416" s="1248">
        <v>46061</v>
      </c>
      <c r="D416" s="933">
        <v>14</v>
      </c>
      <c r="E416" s="933" t="s">
        <v>738</v>
      </c>
      <c r="F416" s="933" t="s">
        <v>256</v>
      </c>
      <c r="G416" s="933">
        <v>14</v>
      </c>
      <c r="H416" s="933">
        <v>14</v>
      </c>
      <c r="I416" s="933" t="s">
        <v>670</v>
      </c>
      <c r="J416" s="934">
        <v>7.1980519480519503</v>
      </c>
      <c r="K416" s="934">
        <v>100.772727272727</v>
      </c>
      <c r="L416" s="938">
        <v>1.6166281755196299</v>
      </c>
    </row>
    <row r="417" spans="1:12" hidden="1">
      <c r="A417" s="931">
        <v>6</v>
      </c>
      <c r="B417" s="1247">
        <v>46055</v>
      </c>
      <c r="C417" s="1249">
        <v>46061</v>
      </c>
      <c r="D417" s="935">
        <v>15</v>
      </c>
      <c r="E417" s="935" t="s">
        <v>682</v>
      </c>
      <c r="F417" s="935" t="s">
        <v>275</v>
      </c>
      <c r="G417" s="935">
        <v>14</v>
      </c>
      <c r="H417" s="935">
        <v>14</v>
      </c>
      <c r="I417" s="935" t="s">
        <v>670</v>
      </c>
      <c r="J417" s="936">
        <v>5.1948051948051903</v>
      </c>
      <c r="K417" s="936">
        <v>72.727272727272705</v>
      </c>
      <c r="L417" s="939">
        <v>1.6166281755196299</v>
      </c>
    </row>
    <row r="418" spans="1:12" hidden="1">
      <c r="A418" s="931">
        <v>6</v>
      </c>
      <c r="B418" s="1246">
        <v>46055</v>
      </c>
      <c r="C418" s="1248">
        <v>46061</v>
      </c>
      <c r="D418" s="933">
        <v>16</v>
      </c>
      <c r="E418" s="933" t="s">
        <v>716</v>
      </c>
      <c r="F418" s="933" t="s">
        <v>251</v>
      </c>
      <c r="G418" s="933">
        <v>14</v>
      </c>
      <c r="H418" s="933">
        <v>14</v>
      </c>
      <c r="I418" s="933" t="s">
        <v>670</v>
      </c>
      <c r="J418" s="934">
        <v>0</v>
      </c>
      <c r="K418" s="934">
        <v>0</v>
      </c>
      <c r="L418" s="938">
        <v>1.6166281755196299</v>
      </c>
    </row>
    <row r="419" spans="1:12" hidden="1">
      <c r="A419" s="931">
        <v>6</v>
      </c>
      <c r="B419" s="1247">
        <v>46055</v>
      </c>
      <c r="C419" s="1249">
        <v>46061</v>
      </c>
      <c r="D419" s="935">
        <v>17</v>
      </c>
      <c r="E419" s="935" t="s">
        <v>698</v>
      </c>
      <c r="F419" s="935" t="s">
        <v>249</v>
      </c>
      <c r="G419" s="935">
        <v>12</v>
      </c>
      <c r="H419" s="935">
        <v>12</v>
      </c>
      <c r="I419" s="935" t="s">
        <v>670</v>
      </c>
      <c r="J419" s="936">
        <v>2.3181818181818201</v>
      </c>
      <c r="K419" s="936">
        <v>27.818181818181799</v>
      </c>
      <c r="L419" s="939">
        <v>1.38568129330254</v>
      </c>
    </row>
    <row r="420" spans="1:12" hidden="1">
      <c r="A420" s="931">
        <v>6</v>
      </c>
      <c r="B420" s="1246">
        <v>46055</v>
      </c>
      <c r="C420" s="1248">
        <v>46061</v>
      </c>
      <c r="D420" s="933">
        <v>18</v>
      </c>
      <c r="E420" s="933" t="s">
        <v>671</v>
      </c>
      <c r="F420" s="933" t="s">
        <v>276</v>
      </c>
      <c r="G420" s="933">
        <v>11</v>
      </c>
      <c r="H420" s="933">
        <v>11</v>
      </c>
      <c r="I420" s="933" t="s">
        <v>672</v>
      </c>
      <c r="J420" s="934">
        <v>2.89669421487603</v>
      </c>
      <c r="K420" s="934">
        <v>31.863636363636399</v>
      </c>
      <c r="L420" s="938">
        <v>1.2702078521939999</v>
      </c>
    </row>
    <row r="421" spans="1:12" hidden="1">
      <c r="A421" s="931">
        <v>6</v>
      </c>
      <c r="B421" s="1247">
        <v>46055</v>
      </c>
      <c r="C421" s="1249">
        <v>46061</v>
      </c>
      <c r="D421" s="935">
        <v>19</v>
      </c>
      <c r="E421" s="935" t="s">
        <v>674</v>
      </c>
      <c r="F421" s="935" t="s">
        <v>275</v>
      </c>
      <c r="G421" s="935">
        <v>11</v>
      </c>
      <c r="H421" s="935">
        <v>11</v>
      </c>
      <c r="I421" s="935" t="s">
        <v>670</v>
      </c>
      <c r="J421" s="936">
        <v>5.2685950413223104</v>
      </c>
      <c r="K421" s="936">
        <v>57.954545454545503</v>
      </c>
      <c r="L421" s="939">
        <v>1.2702078521939999</v>
      </c>
    </row>
    <row r="422" spans="1:12" hidden="1">
      <c r="A422" s="931">
        <v>6</v>
      </c>
      <c r="B422" s="1246">
        <v>46055</v>
      </c>
      <c r="C422" s="1248">
        <v>46061</v>
      </c>
      <c r="D422" s="933">
        <v>20</v>
      </c>
      <c r="E422" s="933" t="s">
        <v>707</v>
      </c>
      <c r="F422" s="933" t="s">
        <v>256</v>
      </c>
      <c r="G422" s="933">
        <v>11</v>
      </c>
      <c r="H422" s="933">
        <v>11</v>
      </c>
      <c r="I422" s="933" t="s">
        <v>670</v>
      </c>
      <c r="J422" s="934">
        <v>8.6776859504132204</v>
      </c>
      <c r="K422" s="934">
        <v>95.454545454545396</v>
      </c>
      <c r="L422" s="938">
        <v>1.2702078521939999</v>
      </c>
    </row>
    <row r="423" spans="1:12" hidden="1">
      <c r="A423" s="931">
        <v>6</v>
      </c>
      <c r="B423" s="1247">
        <v>46055</v>
      </c>
      <c r="C423" s="1249">
        <v>46061</v>
      </c>
      <c r="D423" s="935">
        <v>21</v>
      </c>
      <c r="E423" s="935" t="s">
        <v>676</v>
      </c>
      <c r="F423" s="935" t="s">
        <v>253</v>
      </c>
      <c r="G423" s="935">
        <v>11</v>
      </c>
      <c r="H423" s="935">
        <v>11</v>
      </c>
      <c r="I423" s="935" t="s">
        <v>670</v>
      </c>
      <c r="J423" s="936">
        <v>2.69421487603306</v>
      </c>
      <c r="K423" s="936">
        <v>29.636363636363601</v>
      </c>
      <c r="L423" s="939">
        <v>1.2702078521939999</v>
      </c>
    </row>
    <row r="424" spans="1:12" hidden="1">
      <c r="A424" s="931">
        <v>6</v>
      </c>
      <c r="B424" s="1246">
        <v>46055</v>
      </c>
      <c r="C424" s="1248">
        <v>46061</v>
      </c>
      <c r="D424" s="933">
        <v>22</v>
      </c>
      <c r="E424" s="933" t="s">
        <v>702</v>
      </c>
      <c r="F424" s="933" t="s">
        <v>251</v>
      </c>
      <c r="G424" s="933">
        <v>10</v>
      </c>
      <c r="H424" s="933">
        <v>10</v>
      </c>
      <c r="I424" s="933" t="s">
        <v>670</v>
      </c>
      <c r="J424" s="934">
        <v>2.4227272727272702</v>
      </c>
      <c r="K424" s="934">
        <v>24.227272727272702</v>
      </c>
      <c r="L424" s="938">
        <v>1.1547344110854501</v>
      </c>
    </row>
    <row r="425" spans="1:12" hidden="1">
      <c r="A425" s="931">
        <v>6</v>
      </c>
      <c r="B425" s="1247">
        <v>46055</v>
      </c>
      <c r="C425" s="1249">
        <v>46061</v>
      </c>
      <c r="D425" s="935">
        <v>23</v>
      </c>
      <c r="E425" s="935" t="s">
        <v>691</v>
      </c>
      <c r="F425" s="935" t="s">
        <v>251</v>
      </c>
      <c r="G425" s="935">
        <v>9</v>
      </c>
      <c r="H425" s="935">
        <v>9</v>
      </c>
      <c r="I425" s="935" t="s">
        <v>670</v>
      </c>
      <c r="J425" s="936">
        <v>2.4545454545454599</v>
      </c>
      <c r="K425" s="936">
        <v>22.090909090909101</v>
      </c>
      <c r="L425" s="939">
        <v>1.03926096997691</v>
      </c>
    </row>
    <row r="426" spans="1:12" hidden="1">
      <c r="A426" s="931">
        <v>6</v>
      </c>
      <c r="B426" s="1246">
        <v>46055</v>
      </c>
      <c r="C426" s="1248">
        <v>46061</v>
      </c>
      <c r="D426" s="933">
        <v>24</v>
      </c>
      <c r="E426" s="933" t="s">
        <v>704</v>
      </c>
      <c r="F426" s="933" t="s">
        <v>689</v>
      </c>
      <c r="G426" s="933">
        <v>9</v>
      </c>
      <c r="H426" s="933">
        <v>9</v>
      </c>
      <c r="I426" s="933" t="s">
        <v>670</v>
      </c>
      <c r="J426" s="934">
        <v>11.752525252525301</v>
      </c>
      <c r="K426" s="934">
        <v>105.772727272727</v>
      </c>
      <c r="L426" s="938">
        <v>1.03926096997691</v>
      </c>
    </row>
    <row r="427" spans="1:12" hidden="1">
      <c r="A427" s="931">
        <v>6</v>
      </c>
      <c r="B427" s="1247">
        <v>46055</v>
      </c>
      <c r="C427" s="1249">
        <v>46061</v>
      </c>
      <c r="D427" s="935">
        <v>25</v>
      </c>
      <c r="E427" s="935" t="s">
        <v>778</v>
      </c>
      <c r="F427" s="935" t="s">
        <v>256</v>
      </c>
      <c r="G427" s="935">
        <v>9</v>
      </c>
      <c r="H427" s="935">
        <v>9</v>
      </c>
      <c r="I427" s="935" t="s">
        <v>670</v>
      </c>
      <c r="J427" s="936">
        <v>6.8434343434343399</v>
      </c>
      <c r="K427" s="936">
        <v>61.590909090909101</v>
      </c>
      <c r="L427" s="939">
        <v>1.03926096997691</v>
      </c>
    </row>
    <row r="428" spans="1:12" hidden="1">
      <c r="A428" s="931">
        <v>6</v>
      </c>
      <c r="B428" s="1246">
        <v>46055</v>
      </c>
      <c r="C428" s="1248">
        <v>46061</v>
      </c>
      <c r="D428" s="933">
        <v>26</v>
      </c>
      <c r="E428" s="933" t="s">
        <v>697</v>
      </c>
      <c r="F428" s="933" t="s">
        <v>256</v>
      </c>
      <c r="G428" s="933">
        <v>9</v>
      </c>
      <c r="H428" s="933">
        <v>9</v>
      </c>
      <c r="I428" s="933" t="s">
        <v>670</v>
      </c>
      <c r="J428" s="934">
        <v>9.9090909090909101</v>
      </c>
      <c r="K428" s="934">
        <v>89.181818181818201</v>
      </c>
      <c r="L428" s="938">
        <v>1.03926096997691</v>
      </c>
    </row>
    <row r="429" spans="1:12" hidden="1">
      <c r="A429" s="931">
        <v>6</v>
      </c>
      <c r="B429" s="1247">
        <v>46055</v>
      </c>
      <c r="C429" s="1249">
        <v>46061</v>
      </c>
      <c r="D429" s="935">
        <v>27</v>
      </c>
      <c r="E429" s="935" t="s">
        <v>751</v>
      </c>
      <c r="F429" s="935" t="s">
        <v>256</v>
      </c>
      <c r="G429" s="935">
        <v>9</v>
      </c>
      <c r="H429" s="935">
        <v>9</v>
      </c>
      <c r="I429" s="935" t="s">
        <v>670</v>
      </c>
      <c r="J429" s="936">
        <v>7.1818181818181799</v>
      </c>
      <c r="K429" s="936">
        <v>64.636363636363598</v>
      </c>
      <c r="L429" s="939">
        <v>1.03926096997691</v>
      </c>
    </row>
    <row r="430" spans="1:12" hidden="1">
      <c r="A430" s="931">
        <v>6</v>
      </c>
      <c r="B430" s="1246">
        <v>46055</v>
      </c>
      <c r="C430" s="1248">
        <v>46061</v>
      </c>
      <c r="D430" s="933">
        <v>28</v>
      </c>
      <c r="E430" s="933" t="s">
        <v>701</v>
      </c>
      <c r="F430" s="933" t="s">
        <v>689</v>
      </c>
      <c r="G430" s="933">
        <v>9</v>
      </c>
      <c r="H430" s="933">
        <v>9</v>
      </c>
      <c r="I430" s="933" t="s">
        <v>670</v>
      </c>
      <c r="J430" s="934">
        <v>9.9343434343434307</v>
      </c>
      <c r="K430" s="934">
        <v>89.409090909090907</v>
      </c>
      <c r="L430" s="938">
        <v>1.03926096997691</v>
      </c>
    </row>
    <row r="431" spans="1:12" hidden="1">
      <c r="A431" s="931">
        <v>6</v>
      </c>
      <c r="B431" s="1247">
        <v>46055</v>
      </c>
      <c r="C431" s="1249">
        <v>46061</v>
      </c>
      <c r="D431" s="935">
        <v>29</v>
      </c>
      <c r="E431" s="935" t="s">
        <v>686</v>
      </c>
      <c r="F431" s="935" t="s">
        <v>274</v>
      </c>
      <c r="G431" s="935">
        <v>8</v>
      </c>
      <c r="H431" s="935">
        <v>8</v>
      </c>
      <c r="I431" s="935" t="s">
        <v>670</v>
      </c>
      <c r="J431" s="936">
        <v>13.636363636363599</v>
      </c>
      <c r="K431" s="936">
        <v>109.09090909090899</v>
      </c>
      <c r="L431" s="939">
        <v>0.92378752886836002</v>
      </c>
    </row>
    <row r="432" spans="1:12" hidden="1">
      <c r="A432" s="931">
        <v>6</v>
      </c>
      <c r="B432" s="1246">
        <v>46055</v>
      </c>
      <c r="C432" s="1248">
        <v>46061</v>
      </c>
      <c r="D432" s="933">
        <v>30</v>
      </c>
      <c r="E432" s="933" t="s">
        <v>675</v>
      </c>
      <c r="F432" s="933" t="s">
        <v>256</v>
      </c>
      <c r="G432" s="933">
        <v>8</v>
      </c>
      <c r="H432" s="933">
        <v>8</v>
      </c>
      <c r="I432" s="933" t="s">
        <v>670</v>
      </c>
      <c r="J432" s="934">
        <v>5</v>
      </c>
      <c r="K432" s="934">
        <v>40</v>
      </c>
      <c r="L432" s="938">
        <v>0.92378752886836002</v>
      </c>
    </row>
    <row r="433" spans="1:12" hidden="1">
      <c r="A433" s="931">
        <v>6</v>
      </c>
      <c r="B433" s="1247">
        <v>46055</v>
      </c>
      <c r="C433" s="1249">
        <v>46061</v>
      </c>
      <c r="D433" s="935">
        <v>31</v>
      </c>
      <c r="E433" s="935" t="s">
        <v>677</v>
      </c>
      <c r="F433" s="935" t="s">
        <v>249</v>
      </c>
      <c r="G433" s="935">
        <v>7</v>
      </c>
      <c r="H433" s="935">
        <v>7</v>
      </c>
      <c r="I433" s="935" t="s">
        <v>670</v>
      </c>
      <c r="J433" s="936">
        <v>1.77272727272727</v>
      </c>
      <c r="K433" s="936">
        <v>12.409090909090899</v>
      </c>
      <c r="L433" s="939">
        <v>0.80831408775981495</v>
      </c>
    </row>
    <row r="434" spans="1:12" hidden="1">
      <c r="A434" s="931">
        <v>6</v>
      </c>
      <c r="B434" s="1246">
        <v>46055</v>
      </c>
      <c r="C434" s="1248">
        <v>46061</v>
      </c>
      <c r="D434" s="933">
        <v>32</v>
      </c>
      <c r="E434" s="933" t="s">
        <v>694</v>
      </c>
      <c r="F434" s="933" t="s">
        <v>695</v>
      </c>
      <c r="G434" s="933">
        <v>7</v>
      </c>
      <c r="H434" s="933">
        <v>7</v>
      </c>
      <c r="I434" s="933" t="s">
        <v>670</v>
      </c>
      <c r="J434" s="934">
        <v>3.7012987012987</v>
      </c>
      <c r="K434" s="934">
        <v>25.909090909090899</v>
      </c>
      <c r="L434" s="938">
        <v>0.80831408775981495</v>
      </c>
    </row>
    <row r="435" spans="1:12" hidden="1">
      <c r="A435" s="931">
        <v>6</v>
      </c>
      <c r="B435" s="1247">
        <v>46055</v>
      </c>
      <c r="C435" s="1249">
        <v>46061</v>
      </c>
      <c r="D435" s="935">
        <v>33</v>
      </c>
      <c r="E435" s="935" t="s">
        <v>710</v>
      </c>
      <c r="F435" s="935" t="s">
        <v>249</v>
      </c>
      <c r="G435" s="935">
        <v>6</v>
      </c>
      <c r="H435" s="935">
        <v>6</v>
      </c>
      <c r="I435" s="935" t="s">
        <v>670</v>
      </c>
      <c r="J435" s="936">
        <v>2.4090909090909101</v>
      </c>
      <c r="K435" s="936">
        <v>14.4545454545454</v>
      </c>
      <c r="L435" s="939">
        <v>0.69284064665126999</v>
      </c>
    </row>
    <row r="436" spans="1:12" hidden="1">
      <c r="A436" s="931">
        <v>6</v>
      </c>
      <c r="B436" s="1246">
        <v>46055</v>
      </c>
      <c r="C436" s="1248">
        <v>46061</v>
      </c>
      <c r="D436" s="933">
        <v>34</v>
      </c>
      <c r="E436" s="933" t="s">
        <v>685</v>
      </c>
      <c r="F436" s="933" t="s">
        <v>256</v>
      </c>
      <c r="G436" s="933">
        <v>6</v>
      </c>
      <c r="H436" s="933">
        <v>6</v>
      </c>
      <c r="I436" s="933" t="s">
        <v>670</v>
      </c>
      <c r="J436" s="934">
        <v>8.2196969696969706</v>
      </c>
      <c r="K436" s="934">
        <v>49.318181818181799</v>
      </c>
      <c r="L436" s="938">
        <v>0.69284064665126999</v>
      </c>
    </row>
    <row r="437" spans="1:12" hidden="1">
      <c r="A437" s="931">
        <v>6</v>
      </c>
      <c r="B437" s="1247">
        <v>46055</v>
      </c>
      <c r="C437" s="1249">
        <v>46061</v>
      </c>
      <c r="D437" s="935">
        <v>35</v>
      </c>
      <c r="E437" s="935" t="s">
        <v>780</v>
      </c>
      <c r="F437" s="935" t="s">
        <v>268</v>
      </c>
      <c r="G437" s="935">
        <v>6</v>
      </c>
      <c r="H437" s="935">
        <v>6</v>
      </c>
      <c r="I437" s="935" t="s">
        <v>670</v>
      </c>
      <c r="J437" s="936">
        <v>1.36363636363636</v>
      </c>
      <c r="K437" s="936">
        <v>8.1818181818181799</v>
      </c>
      <c r="L437" s="939">
        <v>0.69284064665126999</v>
      </c>
    </row>
    <row r="438" spans="1:12" hidden="1">
      <c r="A438" s="931">
        <v>6</v>
      </c>
      <c r="B438" s="1246">
        <v>46055</v>
      </c>
      <c r="C438" s="1248">
        <v>46061</v>
      </c>
      <c r="D438" s="933">
        <v>36</v>
      </c>
      <c r="E438" s="933" t="s">
        <v>708</v>
      </c>
      <c r="F438" s="933" t="s">
        <v>251</v>
      </c>
      <c r="G438" s="933">
        <v>5</v>
      </c>
      <c r="H438" s="933">
        <v>5</v>
      </c>
      <c r="I438" s="933" t="s">
        <v>670</v>
      </c>
      <c r="J438" s="934">
        <v>1.8</v>
      </c>
      <c r="K438" s="934">
        <v>9</v>
      </c>
      <c r="L438" s="938">
        <v>0.57736720554272503</v>
      </c>
    </row>
    <row r="439" spans="1:12" hidden="1">
      <c r="A439" s="931">
        <v>6</v>
      </c>
      <c r="B439" s="1247">
        <v>46055</v>
      </c>
      <c r="C439" s="1249">
        <v>46061</v>
      </c>
      <c r="D439" s="935">
        <v>37</v>
      </c>
      <c r="E439" s="935" t="s">
        <v>683</v>
      </c>
      <c r="F439" s="935" t="s">
        <v>274</v>
      </c>
      <c r="G439" s="935">
        <v>5</v>
      </c>
      <c r="H439" s="935">
        <v>5</v>
      </c>
      <c r="I439" s="935" t="s">
        <v>670</v>
      </c>
      <c r="J439" s="936">
        <v>10.9545454545454</v>
      </c>
      <c r="K439" s="936">
        <v>54.772727272727302</v>
      </c>
      <c r="L439" s="939">
        <v>0.57736720554272503</v>
      </c>
    </row>
    <row r="440" spans="1:12" hidden="1">
      <c r="A440" s="931">
        <v>6</v>
      </c>
      <c r="B440" s="1246">
        <v>46055</v>
      </c>
      <c r="C440" s="1248">
        <v>46061</v>
      </c>
      <c r="D440" s="933">
        <v>38</v>
      </c>
      <c r="E440" s="933" t="s">
        <v>748</v>
      </c>
      <c r="F440" s="933" t="s">
        <v>274</v>
      </c>
      <c r="G440" s="933">
        <v>5</v>
      </c>
      <c r="H440" s="933">
        <v>5</v>
      </c>
      <c r="I440" s="933" t="s">
        <v>670</v>
      </c>
      <c r="J440" s="934">
        <v>9.0909090909090899</v>
      </c>
      <c r="K440" s="934">
        <v>45.454545454545503</v>
      </c>
      <c r="L440" s="938">
        <v>0.57736720554272503</v>
      </c>
    </row>
    <row r="441" spans="1:12" hidden="1">
      <c r="A441" s="931">
        <v>6</v>
      </c>
      <c r="B441" s="1247">
        <v>46055</v>
      </c>
      <c r="C441" s="1249">
        <v>46061</v>
      </c>
      <c r="D441" s="935">
        <v>39</v>
      </c>
      <c r="E441" s="935" t="s">
        <v>763</v>
      </c>
      <c r="F441" s="935" t="s">
        <v>764</v>
      </c>
      <c r="G441" s="935">
        <v>5</v>
      </c>
      <c r="H441" s="935">
        <v>5</v>
      </c>
      <c r="I441" s="935" t="s">
        <v>670</v>
      </c>
      <c r="J441" s="936">
        <v>10.5</v>
      </c>
      <c r="K441" s="936">
        <v>52.5</v>
      </c>
      <c r="L441" s="939">
        <v>0.57736720554272503</v>
      </c>
    </row>
    <row r="442" spans="1:12" hidden="1">
      <c r="A442" s="931">
        <v>6</v>
      </c>
      <c r="B442" s="1246">
        <v>46055</v>
      </c>
      <c r="C442" s="1248">
        <v>46061</v>
      </c>
      <c r="D442" s="933">
        <v>40</v>
      </c>
      <c r="E442" s="933" t="s">
        <v>752</v>
      </c>
      <c r="F442" s="933" t="s">
        <v>264</v>
      </c>
      <c r="G442" s="933">
        <v>5</v>
      </c>
      <c r="H442" s="933">
        <v>5</v>
      </c>
      <c r="I442" s="933" t="s">
        <v>670</v>
      </c>
      <c r="J442" s="934">
        <v>1.4818181818181799</v>
      </c>
      <c r="K442" s="934">
        <v>7.4090909090909101</v>
      </c>
      <c r="L442" s="938">
        <v>0.57736720554272503</v>
      </c>
    </row>
    <row r="443" spans="1:12" hidden="1">
      <c r="A443" s="931">
        <v>6</v>
      </c>
      <c r="B443" s="1247">
        <v>46055</v>
      </c>
      <c r="C443" s="1249">
        <v>46061</v>
      </c>
      <c r="D443" s="935">
        <v>41</v>
      </c>
      <c r="E443" s="935" t="s">
        <v>696</v>
      </c>
      <c r="F443" s="935" t="s">
        <v>323</v>
      </c>
      <c r="G443" s="935">
        <v>5</v>
      </c>
      <c r="H443" s="935">
        <v>5</v>
      </c>
      <c r="I443" s="935" t="s">
        <v>670</v>
      </c>
      <c r="J443" s="936">
        <v>10.909090909090899</v>
      </c>
      <c r="K443" s="936">
        <v>54.545454545454497</v>
      </c>
      <c r="L443" s="939">
        <v>0.57736720554272503</v>
      </c>
    </row>
    <row r="444" spans="1:12" hidden="1">
      <c r="A444" s="931">
        <v>6</v>
      </c>
      <c r="B444" s="1246">
        <v>46055</v>
      </c>
      <c r="C444" s="1248">
        <v>46061</v>
      </c>
      <c r="D444" s="933">
        <v>42</v>
      </c>
      <c r="E444" s="933" t="s">
        <v>703</v>
      </c>
      <c r="F444" s="933" t="s">
        <v>256</v>
      </c>
      <c r="G444" s="933">
        <v>5</v>
      </c>
      <c r="H444" s="933">
        <v>5</v>
      </c>
      <c r="I444" s="933" t="s">
        <v>670</v>
      </c>
      <c r="J444" s="934">
        <v>1.86363636363636</v>
      </c>
      <c r="K444" s="934">
        <v>9.3181818181818201</v>
      </c>
      <c r="L444" s="938">
        <v>0.57736720554272503</v>
      </c>
    </row>
    <row r="445" spans="1:12" hidden="1">
      <c r="A445" s="931">
        <v>6</v>
      </c>
      <c r="B445" s="1247">
        <v>46055</v>
      </c>
      <c r="C445" s="1249">
        <v>46061</v>
      </c>
      <c r="D445" s="935">
        <v>43</v>
      </c>
      <c r="E445" s="935" t="s">
        <v>781</v>
      </c>
      <c r="F445" s="935" t="s">
        <v>764</v>
      </c>
      <c r="G445" s="935">
        <v>5</v>
      </c>
      <c r="H445" s="935">
        <v>5</v>
      </c>
      <c r="I445" s="935" t="s">
        <v>670</v>
      </c>
      <c r="J445" s="936">
        <v>14.4545454545454</v>
      </c>
      <c r="K445" s="936">
        <v>72.272727272727295</v>
      </c>
      <c r="L445" s="939">
        <v>0.57736720554272503</v>
      </c>
    </row>
    <row r="446" spans="1:12" hidden="1">
      <c r="A446" s="931">
        <v>6</v>
      </c>
      <c r="B446" s="1246">
        <v>46055</v>
      </c>
      <c r="C446" s="1248">
        <v>46061</v>
      </c>
      <c r="D446" s="933">
        <v>44</v>
      </c>
      <c r="E446" s="933" t="s">
        <v>709</v>
      </c>
      <c r="F446" s="933" t="s">
        <v>276</v>
      </c>
      <c r="G446" s="933">
        <v>4</v>
      </c>
      <c r="H446" s="933">
        <v>4</v>
      </c>
      <c r="I446" s="933" t="s">
        <v>672</v>
      </c>
      <c r="J446" s="934">
        <v>3.2272727272727302</v>
      </c>
      <c r="K446" s="934">
        <v>12.909090909090899</v>
      </c>
      <c r="L446" s="938">
        <v>0.46189376443418001</v>
      </c>
    </row>
    <row r="447" spans="1:12" hidden="1">
      <c r="A447" s="931">
        <v>6</v>
      </c>
      <c r="B447" s="1247">
        <v>46055</v>
      </c>
      <c r="C447" s="1249">
        <v>46061</v>
      </c>
      <c r="D447" s="935">
        <v>45</v>
      </c>
      <c r="E447" s="935" t="s">
        <v>782</v>
      </c>
      <c r="F447" s="935" t="s">
        <v>323</v>
      </c>
      <c r="G447" s="935">
        <v>4</v>
      </c>
      <c r="H447" s="935">
        <v>4</v>
      </c>
      <c r="I447" s="935" t="s">
        <v>670</v>
      </c>
      <c r="J447" s="936">
        <v>0</v>
      </c>
      <c r="K447" s="936">
        <v>0</v>
      </c>
      <c r="L447" s="939">
        <v>0.46189376443418001</v>
      </c>
    </row>
    <row r="448" spans="1:12" hidden="1">
      <c r="A448" s="931">
        <v>6</v>
      </c>
      <c r="B448" s="1246">
        <v>46055</v>
      </c>
      <c r="C448" s="1248">
        <v>46061</v>
      </c>
      <c r="D448" s="933">
        <v>46</v>
      </c>
      <c r="E448" s="933" t="s">
        <v>721</v>
      </c>
      <c r="F448" s="933" t="s">
        <v>256</v>
      </c>
      <c r="G448" s="933">
        <v>4</v>
      </c>
      <c r="H448" s="933">
        <v>4</v>
      </c>
      <c r="I448" s="933" t="s">
        <v>670</v>
      </c>
      <c r="J448" s="934">
        <v>10.818181818181801</v>
      </c>
      <c r="K448" s="934">
        <v>43.272727272727302</v>
      </c>
      <c r="L448" s="938">
        <v>0.46189376443418001</v>
      </c>
    </row>
    <row r="449" spans="1:12" hidden="1">
      <c r="A449" s="931">
        <v>6</v>
      </c>
      <c r="B449" s="1247">
        <v>46055</v>
      </c>
      <c r="C449" s="1249">
        <v>46061</v>
      </c>
      <c r="D449" s="935">
        <v>47</v>
      </c>
      <c r="E449" s="935" t="s">
        <v>783</v>
      </c>
      <c r="F449" s="935" t="s">
        <v>764</v>
      </c>
      <c r="G449" s="935">
        <v>4</v>
      </c>
      <c r="H449" s="935">
        <v>4</v>
      </c>
      <c r="I449" s="935" t="s">
        <v>670</v>
      </c>
      <c r="J449" s="936">
        <v>9.2045454545454497</v>
      </c>
      <c r="K449" s="936">
        <v>36.818181818181799</v>
      </c>
      <c r="L449" s="939">
        <v>0.46189376443418001</v>
      </c>
    </row>
    <row r="450" spans="1:12" hidden="1">
      <c r="A450" s="931">
        <v>6</v>
      </c>
      <c r="B450" s="1246">
        <v>46055</v>
      </c>
      <c r="C450" s="1248">
        <v>46061</v>
      </c>
      <c r="D450" s="933">
        <v>48</v>
      </c>
      <c r="E450" s="933" t="s">
        <v>742</v>
      </c>
      <c r="F450" s="933" t="s">
        <v>251</v>
      </c>
      <c r="G450" s="933">
        <v>4</v>
      </c>
      <c r="H450" s="933">
        <v>4</v>
      </c>
      <c r="I450" s="933" t="s">
        <v>670</v>
      </c>
      <c r="J450" s="934">
        <v>2.6136363636363602</v>
      </c>
      <c r="K450" s="934">
        <v>10.4545454545454</v>
      </c>
      <c r="L450" s="938">
        <v>0.46189376443418001</v>
      </c>
    </row>
    <row r="451" spans="1:12" hidden="1">
      <c r="A451" s="931">
        <v>6</v>
      </c>
      <c r="B451" s="1247">
        <v>46055</v>
      </c>
      <c r="C451" s="1249">
        <v>46061</v>
      </c>
      <c r="D451" s="935">
        <v>49</v>
      </c>
      <c r="E451" s="935" t="s">
        <v>756</v>
      </c>
      <c r="F451" s="935" t="s">
        <v>251</v>
      </c>
      <c r="G451" s="935">
        <v>4</v>
      </c>
      <c r="H451" s="935">
        <v>4</v>
      </c>
      <c r="I451" s="935" t="s">
        <v>670</v>
      </c>
      <c r="J451" s="936">
        <v>2.1704545454545401</v>
      </c>
      <c r="K451" s="936">
        <v>8.6818181818181799</v>
      </c>
      <c r="L451" s="939">
        <v>0.46189376443418001</v>
      </c>
    </row>
    <row r="452" spans="1:12" hidden="1">
      <c r="A452" s="931">
        <v>6</v>
      </c>
      <c r="B452" s="1246">
        <v>46055</v>
      </c>
      <c r="C452" s="1248">
        <v>46061</v>
      </c>
      <c r="D452" s="933">
        <v>50</v>
      </c>
      <c r="E452" s="933" t="s">
        <v>760</v>
      </c>
      <c r="F452" s="933" t="s">
        <v>253</v>
      </c>
      <c r="G452" s="933">
        <v>4</v>
      </c>
      <c r="H452" s="933">
        <v>4</v>
      </c>
      <c r="I452" s="933" t="s">
        <v>672</v>
      </c>
      <c r="J452" s="934">
        <v>0</v>
      </c>
      <c r="K452" s="934">
        <v>0</v>
      </c>
      <c r="L452" s="938">
        <v>0.46189376443418001</v>
      </c>
    </row>
    <row r="453" spans="1:12" hidden="1">
      <c r="A453" s="931">
        <v>6</v>
      </c>
      <c r="B453" s="1247">
        <v>46055</v>
      </c>
      <c r="C453" s="1249">
        <v>46061</v>
      </c>
      <c r="D453" s="935">
        <v>51</v>
      </c>
      <c r="E453" s="935" t="s">
        <v>692</v>
      </c>
      <c r="F453" s="935" t="s">
        <v>693</v>
      </c>
      <c r="G453" s="935">
        <v>4</v>
      </c>
      <c r="H453" s="935">
        <v>4</v>
      </c>
      <c r="I453" s="935" t="s">
        <v>670</v>
      </c>
      <c r="J453" s="936">
        <v>0</v>
      </c>
      <c r="K453" s="936">
        <v>0</v>
      </c>
      <c r="L453" s="939">
        <v>0.46189376443418001</v>
      </c>
    </row>
    <row r="454" spans="1:12" hidden="1">
      <c r="A454" s="931">
        <v>6</v>
      </c>
      <c r="B454" s="1246">
        <v>46055</v>
      </c>
      <c r="C454" s="1248">
        <v>46061</v>
      </c>
      <c r="D454" s="933">
        <v>52</v>
      </c>
      <c r="E454" s="933" t="s">
        <v>772</v>
      </c>
      <c r="F454" s="933" t="s">
        <v>730</v>
      </c>
      <c r="G454" s="933">
        <v>4</v>
      </c>
      <c r="H454" s="933">
        <v>4</v>
      </c>
      <c r="I454" s="933" t="s">
        <v>670</v>
      </c>
      <c r="J454" s="934">
        <v>2.9545454545454501</v>
      </c>
      <c r="K454" s="934">
        <v>11.818181818181801</v>
      </c>
      <c r="L454" s="938">
        <v>0.46189376443418001</v>
      </c>
    </row>
    <row r="455" spans="1:12" hidden="1">
      <c r="A455" s="931">
        <v>6</v>
      </c>
      <c r="B455" s="1247">
        <v>46055</v>
      </c>
      <c r="C455" s="1249">
        <v>46061</v>
      </c>
      <c r="D455" s="935">
        <v>53</v>
      </c>
      <c r="E455" s="935" t="s">
        <v>755</v>
      </c>
      <c r="F455" s="935" t="s">
        <v>251</v>
      </c>
      <c r="G455" s="935">
        <v>3</v>
      </c>
      <c r="H455" s="935">
        <v>3</v>
      </c>
      <c r="I455" s="935" t="s">
        <v>670</v>
      </c>
      <c r="J455" s="936">
        <v>2.5</v>
      </c>
      <c r="K455" s="936">
        <v>7.5</v>
      </c>
      <c r="L455" s="939">
        <v>0.34642032332563499</v>
      </c>
    </row>
    <row r="456" spans="1:12" hidden="1">
      <c r="A456" s="931">
        <v>6</v>
      </c>
      <c r="B456" s="1246">
        <v>46055</v>
      </c>
      <c r="C456" s="1248">
        <v>46061</v>
      </c>
      <c r="D456" s="933">
        <v>54</v>
      </c>
      <c r="E456" s="933" t="s">
        <v>747</v>
      </c>
      <c r="F456" s="933" t="s">
        <v>256</v>
      </c>
      <c r="G456" s="933">
        <v>3</v>
      </c>
      <c r="H456" s="933">
        <v>3</v>
      </c>
      <c r="I456" s="933" t="s">
        <v>670</v>
      </c>
      <c r="J456" s="934">
        <v>7.7727272727272698</v>
      </c>
      <c r="K456" s="934">
        <v>23.318181818181799</v>
      </c>
      <c r="L456" s="938">
        <v>0.34642032332563499</v>
      </c>
    </row>
    <row r="457" spans="1:12" hidden="1">
      <c r="A457" s="931">
        <v>6</v>
      </c>
      <c r="B457" s="1247">
        <v>46055</v>
      </c>
      <c r="C457" s="1249">
        <v>46061</v>
      </c>
      <c r="D457" s="935">
        <v>55</v>
      </c>
      <c r="E457" s="935" t="s">
        <v>743</v>
      </c>
      <c r="F457" s="935" t="s">
        <v>251</v>
      </c>
      <c r="G457" s="935">
        <v>3</v>
      </c>
      <c r="H457" s="935">
        <v>3</v>
      </c>
      <c r="I457" s="935" t="s">
        <v>670</v>
      </c>
      <c r="J457" s="936">
        <v>1.9090909090909101</v>
      </c>
      <c r="K457" s="936">
        <v>5.7272727272727302</v>
      </c>
      <c r="L457" s="939">
        <v>0.34642032332563499</v>
      </c>
    </row>
    <row r="458" spans="1:12" hidden="1">
      <c r="A458" s="931">
        <v>6</v>
      </c>
      <c r="B458" s="1246">
        <v>46055</v>
      </c>
      <c r="C458" s="1248">
        <v>46061</v>
      </c>
      <c r="D458" s="933">
        <v>56</v>
      </c>
      <c r="E458" s="933" t="s">
        <v>688</v>
      </c>
      <c r="F458" s="933" t="s">
        <v>689</v>
      </c>
      <c r="G458" s="933">
        <v>3</v>
      </c>
      <c r="H458" s="933">
        <v>3</v>
      </c>
      <c r="I458" s="933" t="s">
        <v>670</v>
      </c>
      <c r="J458" s="934">
        <v>9.9090909090909101</v>
      </c>
      <c r="K458" s="934">
        <v>29.727272727272702</v>
      </c>
      <c r="L458" s="938">
        <v>0.34642032332563499</v>
      </c>
    </row>
    <row r="459" spans="1:12" hidden="1">
      <c r="A459" s="931">
        <v>6</v>
      </c>
      <c r="B459" s="1247">
        <v>46055</v>
      </c>
      <c r="C459" s="1249">
        <v>46061</v>
      </c>
      <c r="D459" s="935">
        <v>57</v>
      </c>
      <c r="E459" s="935" t="s">
        <v>733</v>
      </c>
      <c r="F459" s="935" t="s">
        <v>253</v>
      </c>
      <c r="G459" s="935">
        <v>3</v>
      </c>
      <c r="H459" s="935">
        <v>3</v>
      </c>
      <c r="I459" s="935" t="s">
        <v>670</v>
      </c>
      <c r="J459" s="936">
        <v>4.4090909090909101</v>
      </c>
      <c r="K459" s="936">
        <v>13.2272727272727</v>
      </c>
      <c r="L459" s="939">
        <v>0.34642032332563499</v>
      </c>
    </row>
    <row r="460" spans="1:12" hidden="1">
      <c r="A460" s="931">
        <v>6</v>
      </c>
      <c r="B460" s="1246">
        <v>46055</v>
      </c>
      <c r="C460" s="1248">
        <v>46061</v>
      </c>
      <c r="D460" s="933">
        <v>58</v>
      </c>
      <c r="E460" s="933" t="s">
        <v>723</v>
      </c>
      <c r="F460" s="933" t="s">
        <v>713</v>
      </c>
      <c r="G460" s="933">
        <v>3</v>
      </c>
      <c r="H460" s="933">
        <v>3</v>
      </c>
      <c r="I460" s="933" t="s">
        <v>670</v>
      </c>
      <c r="J460" s="934">
        <v>2.8181818181818201</v>
      </c>
      <c r="K460" s="934">
        <v>8.4545454545454497</v>
      </c>
      <c r="L460" s="938">
        <v>0.34642032332563499</v>
      </c>
    </row>
    <row r="461" spans="1:12" hidden="1">
      <c r="A461" s="931">
        <v>6</v>
      </c>
      <c r="B461" s="1247">
        <v>46055</v>
      </c>
      <c r="C461" s="1249">
        <v>46061</v>
      </c>
      <c r="D461" s="935">
        <v>59</v>
      </c>
      <c r="E461" s="935" t="s">
        <v>714</v>
      </c>
      <c r="F461" s="935" t="s">
        <v>251</v>
      </c>
      <c r="G461" s="935">
        <v>3</v>
      </c>
      <c r="H461" s="935">
        <v>3</v>
      </c>
      <c r="I461" s="935" t="s">
        <v>670</v>
      </c>
      <c r="J461" s="936">
        <v>0.939393939393939</v>
      </c>
      <c r="K461" s="936">
        <v>2.8181818181818201</v>
      </c>
      <c r="L461" s="939">
        <v>0.34642032332563499</v>
      </c>
    </row>
    <row r="462" spans="1:12" hidden="1">
      <c r="A462" s="931">
        <v>6</v>
      </c>
      <c r="B462" s="1246">
        <v>46055</v>
      </c>
      <c r="C462" s="1248">
        <v>46061</v>
      </c>
      <c r="D462" s="933">
        <v>60</v>
      </c>
      <c r="E462" s="933" t="s">
        <v>766</v>
      </c>
      <c r="F462" s="933" t="s">
        <v>253</v>
      </c>
      <c r="G462" s="933">
        <v>3</v>
      </c>
      <c r="H462" s="933">
        <v>3</v>
      </c>
      <c r="I462" s="933" t="s">
        <v>672</v>
      </c>
      <c r="J462" s="934">
        <v>0.90909090909090895</v>
      </c>
      <c r="K462" s="934">
        <v>2.7272727272727302</v>
      </c>
      <c r="L462" s="938">
        <v>0.34642032332563499</v>
      </c>
    </row>
    <row r="463" spans="1:12" hidden="1">
      <c r="A463" s="931">
        <v>6</v>
      </c>
      <c r="B463" s="1247">
        <v>46055</v>
      </c>
      <c r="C463" s="1249">
        <v>46061</v>
      </c>
      <c r="D463" s="935">
        <v>61</v>
      </c>
      <c r="E463" s="935" t="s">
        <v>711</v>
      </c>
      <c r="F463" s="935" t="s">
        <v>251</v>
      </c>
      <c r="G463" s="935">
        <v>3</v>
      </c>
      <c r="H463" s="935">
        <v>3</v>
      </c>
      <c r="I463" s="935" t="s">
        <v>670</v>
      </c>
      <c r="J463" s="936">
        <v>0</v>
      </c>
      <c r="K463" s="936">
        <v>0</v>
      </c>
      <c r="L463" s="939">
        <v>0.34642032332563499</v>
      </c>
    </row>
    <row r="464" spans="1:12" hidden="1">
      <c r="A464" s="931">
        <v>6</v>
      </c>
      <c r="B464" s="1246">
        <v>46055</v>
      </c>
      <c r="C464" s="1248">
        <v>46061</v>
      </c>
      <c r="D464" s="933">
        <v>62</v>
      </c>
      <c r="E464" s="933" t="s">
        <v>767</v>
      </c>
      <c r="F464" s="933" t="s">
        <v>251</v>
      </c>
      <c r="G464" s="933">
        <v>3</v>
      </c>
      <c r="H464" s="933">
        <v>3</v>
      </c>
      <c r="I464" s="933" t="s">
        <v>670</v>
      </c>
      <c r="J464" s="934">
        <v>2.5454545454545401</v>
      </c>
      <c r="K464" s="934">
        <v>7.6363636363636296</v>
      </c>
      <c r="L464" s="938">
        <v>0.34642032332563499</v>
      </c>
    </row>
    <row r="465" spans="1:12" hidden="1">
      <c r="A465" s="931">
        <v>6</v>
      </c>
      <c r="B465" s="1247">
        <v>46055</v>
      </c>
      <c r="C465" s="1249">
        <v>46061</v>
      </c>
      <c r="D465" s="935">
        <v>63</v>
      </c>
      <c r="E465" s="935" t="s">
        <v>728</v>
      </c>
      <c r="F465" s="935" t="s">
        <v>695</v>
      </c>
      <c r="G465" s="935">
        <v>2</v>
      </c>
      <c r="H465" s="935">
        <v>2</v>
      </c>
      <c r="I465" s="935" t="s">
        <v>670</v>
      </c>
      <c r="J465" s="936">
        <v>8.0909090909090899</v>
      </c>
      <c r="K465" s="936">
        <v>16.181818181818201</v>
      </c>
      <c r="L465" s="939">
        <v>0.23094688221709</v>
      </c>
    </row>
    <row r="466" spans="1:12" hidden="1">
      <c r="A466" s="931">
        <v>6</v>
      </c>
      <c r="B466" s="1246">
        <v>46055</v>
      </c>
      <c r="C466" s="1248">
        <v>46061</v>
      </c>
      <c r="D466" s="933">
        <v>64</v>
      </c>
      <c r="E466" s="933" t="s">
        <v>737</v>
      </c>
      <c r="F466" s="933" t="s">
        <v>249</v>
      </c>
      <c r="G466" s="933">
        <v>2</v>
      </c>
      <c r="H466" s="933">
        <v>2</v>
      </c>
      <c r="I466" s="933" t="s">
        <v>670</v>
      </c>
      <c r="J466" s="934">
        <v>0.77272727272727304</v>
      </c>
      <c r="K466" s="934">
        <v>1.5454545454545401</v>
      </c>
      <c r="L466" s="938">
        <v>0.23094688221709</v>
      </c>
    </row>
    <row r="467" spans="1:12" hidden="1">
      <c r="A467" s="931">
        <v>6</v>
      </c>
      <c r="B467" s="1247">
        <v>46055</v>
      </c>
      <c r="C467" s="1249">
        <v>46061</v>
      </c>
      <c r="D467" s="935">
        <v>65</v>
      </c>
      <c r="E467" s="935" t="s">
        <v>761</v>
      </c>
      <c r="F467" s="935" t="s">
        <v>730</v>
      </c>
      <c r="G467" s="935">
        <v>2</v>
      </c>
      <c r="H467" s="935">
        <v>2</v>
      </c>
      <c r="I467" s="935" t="s">
        <v>670</v>
      </c>
      <c r="J467" s="936">
        <v>2.8181818181818201</v>
      </c>
      <c r="K467" s="936">
        <v>5.6363636363636402</v>
      </c>
      <c r="L467" s="939">
        <v>0.23094688221709</v>
      </c>
    </row>
    <row r="468" spans="1:12" hidden="1">
      <c r="A468" s="931">
        <v>6</v>
      </c>
      <c r="B468" s="1246">
        <v>46055</v>
      </c>
      <c r="C468" s="1248">
        <v>46061</v>
      </c>
      <c r="D468" s="933">
        <v>66</v>
      </c>
      <c r="E468" s="933" t="s">
        <v>753</v>
      </c>
      <c r="F468" s="933" t="s">
        <v>275</v>
      </c>
      <c r="G468" s="933">
        <v>2</v>
      </c>
      <c r="H468" s="933">
        <v>2</v>
      </c>
      <c r="I468" s="933" t="s">
        <v>670</v>
      </c>
      <c r="J468" s="934">
        <v>0</v>
      </c>
      <c r="K468" s="934">
        <v>0</v>
      </c>
      <c r="L468" s="938">
        <v>0.23094688221709</v>
      </c>
    </row>
    <row r="469" spans="1:12" hidden="1">
      <c r="A469" s="931">
        <v>6</v>
      </c>
      <c r="B469" s="1247">
        <v>46055</v>
      </c>
      <c r="C469" s="1249">
        <v>46061</v>
      </c>
      <c r="D469" s="935">
        <v>67</v>
      </c>
      <c r="E469" s="935" t="s">
        <v>684</v>
      </c>
      <c r="F469" s="935" t="s">
        <v>323</v>
      </c>
      <c r="G469" s="935">
        <v>2</v>
      </c>
      <c r="H469" s="935">
        <v>2</v>
      </c>
      <c r="I469" s="935" t="s">
        <v>670</v>
      </c>
      <c r="J469" s="936">
        <v>9</v>
      </c>
      <c r="K469" s="936">
        <v>18</v>
      </c>
      <c r="L469" s="939">
        <v>0.23094688221709</v>
      </c>
    </row>
    <row r="470" spans="1:12" hidden="1">
      <c r="A470" s="931">
        <v>6</v>
      </c>
      <c r="B470" s="1246">
        <v>46055</v>
      </c>
      <c r="C470" s="1248">
        <v>46061</v>
      </c>
      <c r="D470" s="933">
        <v>68</v>
      </c>
      <c r="E470" s="933" t="s">
        <v>745</v>
      </c>
      <c r="F470" s="933" t="s">
        <v>275</v>
      </c>
      <c r="G470" s="933">
        <v>2</v>
      </c>
      <c r="H470" s="933">
        <v>2</v>
      </c>
      <c r="I470" s="933" t="s">
        <v>670</v>
      </c>
      <c r="J470" s="934">
        <v>4.7727272727272698</v>
      </c>
      <c r="K470" s="934">
        <v>9.5454545454545396</v>
      </c>
      <c r="L470" s="938">
        <v>0.23094688221709</v>
      </c>
    </row>
    <row r="471" spans="1:12" hidden="1">
      <c r="A471" s="931">
        <v>6</v>
      </c>
      <c r="B471" s="1247">
        <v>46055</v>
      </c>
      <c r="C471" s="1249">
        <v>46061</v>
      </c>
      <c r="D471" s="935">
        <v>69</v>
      </c>
      <c r="E471" s="935" t="s">
        <v>724</v>
      </c>
      <c r="F471" s="935" t="s">
        <v>725</v>
      </c>
      <c r="G471" s="935">
        <v>2</v>
      </c>
      <c r="H471" s="935">
        <v>2</v>
      </c>
      <c r="I471" s="935" t="s">
        <v>672</v>
      </c>
      <c r="J471" s="936">
        <v>2.5909090909090899</v>
      </c>
      <c r="K471" s="936">
        <v>5.1818181818181799</v>
      </c>
      <c r="L471" s="939">
        <v>0.23094688221709</v>
      </c>
    </row>
    <row r="472" spans="1:12" hidden="1">
      <c r="A472" s="931">
        <v>6</v>
      </c>
      <c r="B472" s="1246">
        <v>46055</v>
      </c>
      <c r="C472" s="1248">
        <v>46061</v>
      </c>
      <c r="D472" s="933">
        <v>70</v>
      </c>
      <c r="E472" s="933" t="s">
        <v>774</v>
      </c>
      <c r="F472" s="933" t="s">
        <v>730</v>
      </c>
      <c r="G472" s="933">
        <v>2</v>
      </c>
      <c r="H472" s="933">
        <v>2</v>
      </c>
      <c r="I472" s="933" t="s">
        <v>670</v>
      </c>
      <c r="J472" s="934">
        <v>4.9090909090909101</v>
      </c>
      <c r="K472" s="934">
        <v>9.8181818181818201</v>
      </c>
      <c r="L472" s="938">
        <v>0.23094688221709</v>
      </c>
    </row>
    <row r="473" spans="1:12" hidden="1">
      <c r="A473" s="931">
        <v>6</v>
      </c>
      <c r="B473" s="1247">
        <v>46055</v>
      </c>
      <c r="C473" s="1249">
        <v>46061</v>
      </c>
      <c r="D473" s="935">
        <v>71</v>
      </c>
      <c r="E473" s="935" t="s">
        <v>722</v>
      </c>
      <c r="F473" s="935" t="s">
        <v>251</v>
      </c>
      <c r="G473" s="935">
        <v>2</v>
      </c>
      <c r="H473" s="935">
        <v>2</v>
      </c>
      <c r="I473" s="935" t="s">
        <v>670</v>
      </c>
      <c r="J473" s="936">
        <v>2.4772727272727302</v>
      </c>
      <c r="K473" s="936">
        <v>4.9545454545454497</v>
      </c>
      <c r="L473" s="939">
        <v>0.23094688221709</v>
      </c>
    </row>
    <row r="474" spans="1:12" hidden="1">
      <c r="A474" s="931">
        <v>6</v>
      </c>
      <c r="B474" s="1246">
        <v>46055</v>
      </c>
      <c r="C474" s="1248">
        <v>46061</v>
      </c>
      <c r="D474" s="933">
        <v>72</v>
      </c>
      <c r="E474" s="933" t="s">
        <v>720</v>
      </c>
      <c r="F474" s="933" t="s">
        <v>251</v>
      </c>
      <c r="G474" s="933">
        <v>2</v>
      </c>
      <c r="H474" s="933">
        <v>2</v>
      </c>
      <c r="I474" s="933" t="s">
        <v>670</v>
      </c>
      <c r="J474" s="934">
        <v>2.4772727272727302</v>
      </c>
      <c r="K474" s="934">
        <v>4.9545454545454497</v>
      </c>
      <c r="L474" s="938">
        <v>0.23094688221709</v>
      </c>
    </row>
    <row r="475" spans="1:12" hidden="1">
      <c r="A475" s="931">
        <v>6</v>
      </c>
      <c r="B475" s="1247">
        <v>46055</v>
      </c>
      <c r="C475" s="1249">
        <v>46061</v>
      </c>
      <c r="D475" s="935">
        <v>73</v>
      </c>
      <c r="E475" s="935" t="s">
        <v>731</v>
      </c>
      <c r="F475" s="935" t="s">
        <v>251</v>
      </c>
      <c r="G475" s="935">
        <v>2</v>
      </c>
      <c r="H475" s="935">
        <v>2</v>
      </c>
      <c r="I475" s="935" t="s">
        <v>670</v>
      </c>
      <c r="J475" s="936">
        <v>2.4090909090909101</v>
      </c>
      <c r="K475" s="936">
        <v>4.8181818181818201</v>
      </c>
      <c r="L475" s="939">
        <v>0.23094688221709</v>
      </c>
    </row>
    <row r="476" spans="1:12" hidden="1">
      <c r="A476" s="931">
        <v>6</v>
      </c>
      <c r="B476" s="1246">
        <v>46055</v>
      </c>
      <c r="C476" s="1248">
        <v>46061</v>
      </c>
      <c r="D476" s="933">
        <v>74</v>
      </c>
      <c r="E476" s="933" t="s">
        <v>736</v>
      </c>
      <c r="F476" s="933" t="s">
        <v>251</v>
      </c>
      <c r="G476" s="933">
        <v>2</v>
      </c>
      <c r="H476" s="933">
        <v>2</v>
      </c>
      <c r="I476" s="933" t="s">
        <v>670</v>
      </c>
      <c r="J476" s="934">
        <v>2.1363636363636398</v>
      </c>
      <c r="K476" s="934">
        <v>4.2727272727272698</v>
      </c>
      <c r="L476" s="938">
        <v>0.23094688221709</v>
      </c>
    </row>
    <row r="477" spans="1:12" hidden="1">
      <c r="A477" s="931">
        <v>6</v>
      </c>
      <c r="B477" s="1247">
        <v>46055</v>
      </c>
      <c r="C477" s="1249">
        <v>46061</v>
      </c>
      <c r="D477" s="935">
        <v>75</v>
      </c>
      <c r="E477" s="935" t="s">
        <v>700</v>
      </c>
      <c r="F477" s="935" t="s">
        <v>274</v>
      </c>
      <c r="G477" s="935">
        <v>1</v>
      </c>
      <c r="H477" s="935">
        <v>1</v>
      </c>
      <c r="I477" s="935" t="s">
        <v>670</v>
      </c>
      <c r="J477" s="936">
        <v>9.0909090909090899</v>
      </c>
      <c r="K477" s="936">
        <v>9.0909090909090899</v>
      </c>
      <c r="L477" s="939">
        <v>0.115473441108545</v>
      </c>
    </row>
    <row r="478" spans="1:12" hidden="1">
      <c r="A478" s="931">
        <v>6</v>
      </c>
      <c r="B478" s="1246">
        <v>46055</v>
      </c>
      <c r="C478" s="1248">
        <v>46061</v>
      </c>
      <c r="D478" s="933">
        <v>76</v>
      </c>
      <c r="E478" s="933" t="s">
        <v>769</v>
      </c>
      <c r="F478" s="933" t="s">
        <v>730</v>
      </c>
      <c r="G478" s="933">
        <v>1</v>
      </c>
      <c r="H478" s="933">
        <v>1</v>
      </c>
      <c r="I478" s="933" t="s">
        <v>670</v>
      </c>
      <c r="J478" s="934">
        <v>4.9090909090909101</v>
      </c>
      <c r="K478" s="934">
        <v>4.9090909090909101</v>
      </c>
      <c r="L478" s="938">
        <v>0.115473441108545</v>
      </c>
    </row>
    <row r="479" spans="1:12" hidden="1">
      <c r="A479" s="931">
        <v>6</v>
      </c>
      <c r="B479" s="1247">
        <v>46055</v>
      </c>
      <c r="C479" s="1249">
        <v>46061</v>
      </c>
      <c r="D479" s="935">
        <v>77</v>
      </c>
      <c r="E479" s="935" t="s">
        <v>717</v>
      </c>
      <c r="F479" s="935" t="s">
        <v>249</v>
      </c>
      <c r="G479" s="935">
        <v>1</v>
      </c>
      <c r="H479" s="935">
        <v>1</v>
      </c>
      <c r="I479" s="935" t="s">
        <v>670</v>
      </c>
      <c r="J479" s="936">
        <v>2</v>
      </c>
      <c r="K479" s="936">
        <v>2</v>
      </c>
      <c r="L479" s="939">
        <v>0.115473441108545</v>
      </c>
    </row>
    <row r="480" spans="1:12" hidden="1">
      <c r="A480" s="931">
        <v>6</v>
      </c>
      <c r="B480" s="1246">
        <v>46055</v>
      </c>
      <c r="C480" s="1248">
        <v>46061</v>
      </c>
      <c r="D480" s="933">
        <v>78</v>
      </c>
      <c r="E480" s="933" t="s">
        <v>784</v>
      </c>
      <c r="F480" s="933" t="s">
        <v>764</v>
      </c>
      <c r="G480" s="933">
        <v>1</v>
      </c>
      <c r="H480" s="933">
        <v>1</v>
      </c>
      <c r="I480" s="933" t="s">
        <v>670</v>
      </c>
      <c r="J480" s="934">
        <v>13.181818181818199</v>
      </c>
      <c r="K480" s="934">
        <v>13.181818181818199</v>
      </c>
      <c r="L480" s="938">
        <v>0.115473441108545</v>
      </c>
    </row>
    <row r="481" spans="1:12" hidden="1">
      <c r="A481" s="931">
        <v>6</v>
      </c>
      <c r="B481" s="1247">
        <v>46055</v>
      </c>
      <c r="C481" s="1249">
        <v>46061</v>
      </c>
      <c r="D481" s="935">
        <v>79</v>
      </c>
      <c r="E481" s="935" t="s">
        <v>785</v>
      </c>
      <c r="F481" s="935" t="s">
        <v>275</v>
      </c>
      <c r="G481" s="935">
        <v>1</v>
      </c>
      <c r="H481" s="935">
        <v>1</v>
      </c>
      <c r="I481" s="935" t="s">
        <v>670</v>
      </c>
      <c r="J481" s="936">
        <v>1.27272727272727</v>
      </c>
      <c r="K481" s="936">
        <v>1.27272727272727</v>
      </c>
      <c r="L481" s="939">
        <v>0.115473441108545</v>
      </c>
    </row>
    <row r="482" spans="1:12" hidden="1">
      <c r="A482" s="931">
        <v>6</v>
      </c>
      <c r="B482" s="1246">
        <v>46055</v>
      </c>
      <c r="C482" s="1248">
        <v>46061</v>
      </c>
      <c r="D482" s="933">
        <v>80</v>
      </c>
      <c r="E482" s="933" t="s">
        <v>735</v>
      </c>
      <c r="F482" s="933" t="s">
        <v>730</v>
      </c>
      <c r="G482" s="933">
        <v>1</v>
      </c>
      <c r="H482" s="933">
        <v>1</v>
      </c>
      <c r="I482" s="933" t="s">
        <v>670</v>
      </c>
      <c r="J482" s="934">
        <v>2.8181818181818201</v>
      </c>
      <c r="K482" s="934">
        <v>2.8181818181818201</v>
      </c>
      <c r="L482" s="938">
        <v>0.115473441108545</v>
      </c>
    </row>
    <row r="483" spans="1:12" hidden="1">
      <c r="A483" s="931">
        <v>6</v>
      </c>
      <c r="B483" s="1247">
        <v>46055</v>
      </c>
      <c r="C483" s="1249">
        <v>46061</v>
      </c>
      <c r="D483" s="935">
        <v>81</v>
      </c>
      <c r="E483" s="935" t="s">
        <v>727</v>
      </c>
      <c r="F483" s="935" t="s">
        <v>275</v>
      </c>
      <c r="G483" s="935">
        <v>1</v>
      </c>
      <c r="H483" s="935">
        <v>1</v>
      </c>
      <c r="I483" s="935" t="s">
        <v>670</v>
      </c>
      <c r="J483" s="936">
        <v>0</v>
      </c>
      <c r="K483" s="936">
        <v>0</v>
      </c>
      <c r="L483" s="939">
        <v>0.115473441108545</v>
      </c>
    </row>
    <row r="484" spans="1:12" hidden="1">
      <c r="A484" s="931">
        <v>6</v>
      </c>
      <c r="B484" s="1246">
        <v>46055</v>
      </c>
      <c r="C484" s="1248">
        <v>46061</v>
      </c>
      <c r="D484" s="933">
        <v>82</v>
      </c>
      <c r="E484" s="933" t="s">
        <v>786</v>
      </c>
      <c r="F484" s="933" t="s">
        <v>249</v>
      </c>
      <c r="G484" s="933">
        <v>1</v>
      </c>
      <c r="H484" s="933">
        <v>1</v>
      </c>
      <c r="I484" s="933" t="s">
        <v>670</v>
      </c>
      <c r="J484" s="934">
        <v>0</v>
      </c>
      <c r="K484" s="934">
        <v>0</v>
      </c>
      <c r="L484" s="938">
        <v>0.115473441108545</v>
      </c>
    </row>
    <row r="485" spans="1:12" hidden="1">
      <c r="A485" s="931">
        <v>6</v>
      </c>
      <c r="B485" s="1247">
        <v>46055</v>
      </c>
      <c r="C485" s="1249">
        <v>46061</v>
      </c>
      <c r="D485" s="935">
        <v>83</v>
      </c>
      <c r="E485" s="935" t="s">
        <v>763</v>
      </c>
      <c r="F485" s="935" t="s">
        <v>764</v>
      </c>
      <c r="G485" s="935">
        <v>1</v>
      </c>
      <c r="H485" s="935">
        <v>1</v>
      </c>
      <c r="I485" s="935" t="s">
        <v>670</v>
      </c>
      <c r="J485" s="936">
        <v>14.4545454545454</v>
      </c>
      <c r="K485" s="936">
        <v>14.4545454545454</v>
      </c>
      <c r="L485" s="939">
        <v>0.115473441108545</v>
      </c>
    </row>
    <row r="486" spans="1:12" hidden="1">
      <c r="A486" s="931">
        <v>6</v>
      </c>
      <c r="B486" s="1246">
        <v>46055</v>
      </c>
      <c r="C486" s="1248">
        <v>46061</v>
      </c>
      <c r="D486" s="933">
        <v>84</v>
      </c>
      <c r="E486" s="933" t="s">
        <v>712</v>
      </c>
      <c r="F486" s="933" t="s">
        <v>713</v>
      </c>
      <c r="G486" s="933">
        <v>1</v>
      </c>
      <c r="H486" s="933">
        <v>1</v>
      </c>
      <c r="I486" s="933" t="s">
        <v>670</v>
      </c>
      <c r="J486" s="934">
        <v>3.1818181818181799</v>
      </c>
      <c r="K486" s="934">
        <v>3.1818181818181799</v>
      </c>
      <c r="L486" s="938">
        <v>0.115473441108545</v>
      </c>
    </row>
    <row r="487" spans="1:12" hidden="1">
      <c r="A487" s="931">
        <v>6</v>
      </c>
      <c r="B487" s="1247">
        <v>46055</v>
      </c>
      <c r="C487" s="1249">
        <v>46061</v>
      </c>
      <c r="D487" s="935">
        <v>85</v>
      </c>
      <c r="E487" s="935" t="s">
        <v>734</v>
      </c>
      <c r="F487" s="935" t="s">
        <v>695</v>
      </c>
      <c r="G487" s="935">
        <v>1</v>
      </c>
      <c r="H487" s="935">
        <v>1</v>
      </c>
      <c r="I487" s="935" t="s">
        <v>670</v>
      </c>
      <c r="J487" s="936">
        <v>18.181818181818201</v>
      </c>
      <c r="K487" s="936">
        <v>18.181818181818201</v>
      </c>
      <c r="L487" s="939">
        <v>0.115473441108545</v>
      </c>
    </row>
    <row r="488" spans="1:12" hidden="1">
      <c r="A488" s="931">
        <v>6</v>
      </c>
      <c r="B488" s="1246">
        <v>46055</v>
      </c>
      <c r="C488" s="1248">
        <v>46061</v>
      </c>
      <c r="D488" s="933">
        <v>86</v>
      </c>
      <c r="E488" s="933" t="s">
        <v>699</v>
      </c>
      <c r="F488" s="933" t="s">
        <v>249</v>
      </c>
      <c r="G488" s="933">
        <v>1</v>
      </c>
      <c r="H488" s="933">
        <v>1</v>
      </c>
      <c r="I488" s="933" t="s">
        <v>670</v>
      </c>
      <c r="J488" s="934">
        <v>0</v>
      </c>
      <c r="K488" s="934">
        <v>0</v>
      </c>
      <c r="L488" s="938">
        <v>0.115473441108545</v>
      </c>
    </row>
    <row r="489" spans="1:12" hidden="1">
      <c r="A489" s="931">
        <v>6</v>
      </c>
      <c r="B489" s="1247">
        <v>46055</v>
      </c>
      <c r="C489" s="1249">
        <v>46061</v>
      </c>
      <c r="D489" s="935">
        <v>87</v>
      </c>
      <c r="E489" s="935" t="s">
        <v>746</v>
      </c>
      <c r="F489" s="935" t="s">
        <v>251</v>
      </c>
      <c r="G489" s="935">
        <v>1</v>
      </c>
      <c r="H489" s="935">
        <v>1</v>
      </c>
      <c r="I489" s="935" t="s">
        <v>670</v>
      </c>
      <c r="J489" s="936">
        <v>2.1363636363636398</v>
      </c>
      <c r="K489" s="936">
        <v>2.1363636363636398</v>
      </c>
      <c r="L489" s="939">
        <v>0.115473441108545</v>
      </c>
    </row>
    <row r="490" spans="1:12" hidden="1">
      <c r="A490" s="931">
        <v>6</v>
      </c>
      <c r="B490" s="1246">
        <v>46055</v>
      </c>
      <c r="C490" s="1248">
        <v>46061</v>
      </c>
      <c r="D490" s="933">
        <v>88</v>
      </c>
      <c r="E490" s="933" t="s">
        <v>787</v>
      </c>
      <c r="F490" s="933" t="s">
        <v>713</v>
      </c>
      <c r="G490" s="933">
        <v>1</v>
      </c>
      <c r="H490" s="933">
        <v>1</v>
      </c>
      <c r="I490" s="933" t="s">
        <v>670</v>
      </c>
      <c r="J490" s="934">
        <v>4.3181818181818201</v>
      </c>
      <c r="K490" s="934">
        <v>4.3181818181818201</v>
      </c>
      <c r="L490" s="938">
        <v>0.115473441108545</v>
      </c>
    </row>
    <row r="491" spans="1:12" hidden="1">
      <c r="A491" s="931">
        <v>6</v>
      </c>
      <c r="B491" s="1247">
        <v>46055</v>
      </c>
      <c r="C491" s="1249">
        <v>46061</v>
      </c>
      <c r="D491" s="935">
        <v>89</v>
      </c>
      <c r="E491" s="935" t="s">
        <v>740</v>
      </c>
      <c r="F491" s="935" t="s">
        <v>264</v>
      </c>
      <c r="G491" s="935">
        <v>1</v>
      </c>
      <c r="H491" s="935">
        <v>1</v>
      </c>
      <c r="I491" s="935" t="s">
        <v>741</v>
      </c>
      <c r="J491" s="936">
        <v>2.5</v>
      </c>
      <c r="K491" s="936">
        <v>2.5</v>
      </c>
      <c r="L491" s="939">
        <v>0.115473441108545</v>
      </c>
    </row>
    <row r="492" spans="1:12" hidden="1">
      <c r="A492" s="931">
        <v>7</v>
      </c>
      <c r="B492" s="1246">
        <v>46062</v>
      </c>
      <c r="C492" s="1248">
        <v>46068</v>
      </c>
      <c r="D492" s="933">
        <v>1</v>
      </c>
      <c r="E492" s="933" t="s">
        <v>259</v>
      </c>
      <c r="F492" s="933" t="s">
        <v>249</v>
      </c>
      <c r="G492" s="933">
        <v>84</v>
      </c>
      <c r="H492" s="933">
        <v>84</v>
      </c>
      <c r="I492" s="933" t="s">
        <v>670</v>
      </c>
      <c r="J492" s="934">
        <v>1.3160173160173201</v>
      </c>
      <c r="K492" s="934">
        <v>110.545454545455</v>
      </c>
      <c r="L492" s="938">
        <v>8.0305927342256194</v>
      </c>
    </row>
    <row r="493" spans="1:12" hidden="1">
      <c r="A493" s="931">
        <v>7</v>
      </c>
      <c r="B493" s="1247">
        <v>46062</v>
      </c>
      <c r="C493" s="1249">
        <v>46068</v>
      </c>
      <c r="D493" s="935">
        <v>2</v>
      </c>
      <c r="E493" s="935" t="s">
        <v>248</v>
      </c>
      <c r="F493" s="935" t="s">
        <v>249</v>
      </c>
      <c r="G493" s="935">
        <v>82</v>
      </c>
      <c r="H493" s="935">
        <v>82</v>
      </c>
      <c r="I493" s="935" t="s">
        <v>670</v>
      </c>
      <c r="J493" s="936">
        <v>1.3436807095343699</v>
      </c>
      <c r="K493" s="936">
        <v>110.181818181818</v>
      </c>
      <c r="L493" s="939">
        <v>7.8393881453154899</v>
      </c>
    </row>
    <row r="494" spans="1:12" hidden="1">
      <c r="A494" s="931">
        <v>7</v>
      </c>
      <c r="B494" s="1246">
        <v>46062</v>
      </c>
      <c r="C494" s="1248">
        <v>46068</v>
      </c>
      <c r="D494" s="933">
        <v>3</v>
      </c>
      <c r="E494" s="933" t="s">
        <v>790</v>
      </c>
      <c r="F494" s="933" t="s">
        <v>264</v>
      </c>
      <c r="G494" s="933">
        <v>72</v>
      </c>
      <c r="H494" s="933">
        <v>72</v>
      </c>
      <c r="I494" s="933" t="s">
        <v>670</v>
      </c>
      <c r="J494" s="934">
        <v>3.19444444444445</v>
      </c>
      <c r="K494" s="934">
        <v>230</v>
      </c>
      <c r="L494" s="938">
        <v>6.8833652007648203</v>
      </c>
    </row>
    <row r="495" spans="1:12" hidden="1">
      <c r="A495" s="931">
        <v>7</v>
      </c>
      <c r="B495" s="1247">
        <v>46062</v>
      </c>
      <c r="C495" s="1249">
        <v>46068</v>
      </c>
      <c r="D495" s="935">
        <v>4</v>
      </c>
      <c r="E495" s="935" t="s">
        <v>261</v>
      </c>
      <c r="F495" s="935" t="s">
        <v>256</v>
      </c>
      <c r="G495" s="935">
        <v>62</v>
      </c>
      <c r="H495" s="935">
        <v>62</v>
      </c>
      <c r="I495" s="935" t="s">
        <v>670</v>
      </c>
      <c r="J495" s="936">
        <v>3.0447214076246301</v>
      </c>
      <c r="K495" s="936">
        <v>188.772727272727</v>
      </c>
      <c r="L495" s="939">
        <v>5.9273422562141498</v>
      </c>
    </row>
    <row r="496" spans="1:12" hidden="1">
      <c r="A496" s="931">
        <v>7</v>
      </c>
      <c r="B496" s="1246">
        <v>46062</v>
      </c>
      <c r="C496" s="1248">
        <v>46068</v>
      </c>
      <c r="D496" s="933">
        <v>5</v>
      </c>
      <c r="E496" s="933" t="s">
        <v>255</v>
      </c>
      <c r="F496" s="933" t="s">
        <v>256</v>
      </c>
      <c r="G496" s="933">
        <v>51</v>
      </c>
      <c r="H496" s="933">
        <v>51</v>
      </c>
      <c r="I496" s="933" t="s">
        <v>670</v>
      </c>
      <c r="J496" s="934">
        <v>5.1354723707664904</v>
      </c>
      <c r="K496" s="934">
        <v>261.90909090909099</v>
      </c>
      <c r="L496" s="938">
        <v>4.8757170172084097</v>
      </c>
    </row>
    <row r="497" spans="1:12" hidden="1">
      <c r="A497" s="931">
        <v>7</v>
      </c>
      <c r="B497" s="1247">
        <v>46062</v>
      </c>
      <c r="C497" s="1249">
        <v>46068</v>
      </c>
      <c r="D497" s="935">
        <v>6</v>
      </c>
      <c r="E497" s="935" t="s">
        <v>250</v>
      </c>
      <c r="F497" s="935" t="s">
        <v>251</v>
      </c>
      <c r="G497" s="935">
        <v>44</v>
      </c>
      <c r="H497" s="935">
        <v>44</v>
      </c>
      <c r="I497" s="935" t="s">
        <v>670</v>
      </c>
      <c r="J497" s="936">
        <v>1.64152892561983</v>
      </c>
      <c r="K497" s="936">
        <v>72.227272727272705</v>
      </c>
      <c r="L497" s="939">
        <v>4.2065009560229401</v>
      </c>
    </row>
    <row r="498" spans="1:12" hidden="1">
      <c r="A498" s="931">
        <v>7</v>
      </c>
      <c r="B498" s="1246">
        <v>46062</v>
      </c>
      <c r="C498" s="1248">
        <v>46068</v>
      </c>
      <c r="D498" s="933">
        <v>7</v>
      </c>
      <c r="E498" s="933" t="s">
        <v>680</v>
      </c>
      <c r="F498" s="933" t="s">
        <v>251</v>
      </c>
      <c r="G498" s="933">
        <v>31</v>
      </c>
      <c r="H498" s="933">
        <v>31</v>
      </c>
      <c r="I498" s="933" t="s">
        <v>670</v>
      </c>
      <c r="J498" s="934">
        <v>2.3958944281524901</v>
      </c>
      <c r="K498" s="934">
        <v>74.272727272727295</v>
      </c>
      <c r="L498" s="938">
        <v>2.96367112810707</v>
      </c>
    </row>
    <row r="499" spans="1:12" hidden="1">
      <c r="A499" s="931">
        <v>7</v>
      </c>
      <c r="B499" s="1247">
        <v>46062</v>
      </c>
      <c r="C499" s="1249">
        <v>46068</v>
      </c>
      <c r="D499" s="935">
        <v>8</v>
      </c>
      <c r="E499" s="935" t="s">
        <v>791</v>
      </c>
      <c r="F499" s="935" t="s">
        <v>256</v>
      </c>
      <c r="G499" s="935">
        <v>29</v>
      </c>
      <c r="H499" s="935">
        <v>29</v>
      </c>
      <c r="I499" s="935" t="s">
        <v>670</v>
      </c>
      <c r="J499" s="936">
        <v>5.0078369905956102</v>
      </c>
      <c r="K499" s="936">
        <v>145.227272727273</v>
      </c>
      <c r="L499" s="939">
        <v>2.7724665391969401</v>
      </c>
    </row>
    <row r="500" spans="1:12" hidden="1">
      <c r="A500" s="931">
        <v>7</v>
      </c>
      <c r="B500" s="1246">
        <v>46062</v>
      </c>
      <c r="C500" s="1248">
        <v>46068</v>
      </c>
      <c r="D500" s="933">
        <v>9</v>
      </c>
      <c r="E500" s="933" t="s">
        <v>679</v>
      </c>
      <c r="F500" s="933" t="s">
        <v>256</v>
      </c>
      <c r="G500" s="933">
        <v>27</v>
      </c>
      <c r="H500" s="933">
        <v>27</v>
      </c>
      <c r="I500" s="933" t="s">
        <v>670</v>
      </c>
      <c r="J500" s="934">
        <v>9.1329966329966297</v>
      </c>
      <c r="K500" s="934">
        <v>246.59090909090901</v>
      </c>
      <c r="L500" s="938">
        <v>2.5812619502868102</v>
      </c>
    </row>
    <row r="501" spans="1:12" hidden="1">
      <c r="A501" s="931">
        <v>7</v>
      </c>
      <c r="B501" s="1247">
        <v>46062</v>
      </c>
      <c r="C501" s="1249">
        <v>46068</v>
      </c>
      <c r="D501" s="935">
        <v>10</v>
      </c>
      <c r="E501" s="935" t="s">
        <v>262</v>
      </c>
      <c r="F501" s="935" t="s">
        <v>256</v>
      </c>
      <c r="G501" s="935">
        <v>23</v>
      </c>
      <c r="H501" s="935">
        <v>23</v>
      </c>
      <c r="I501" s="935" t="s">
        <v>670</v>
      </c>
      <c r="J501" s="936">
        <v>10.828063241106699</v>
      </c>
      <c r="K501" s="936">
        <v>249.04545454545499</v>
      </c>
      <c r="L501" s="939">
        <v>2.1988527724665401</v>
      </c>
    </row>
    <row r="502" spans="1:12" hidden="1">
      <c r="A502" s="931">
        <v>7</v>
      </c>
      <c r="B502" s="1246">
        <v>46062</v>
      </c>
      <c r="C502" s="1248">
        <v>46068</v>
      </c>
      <c r="D502" s="933">
        <v>11</v>
      </c>
      <c r="E502" s="933" t="s">
        <v>675</v>
      </c>
      <c r="F502" s="933" t="s">
        <v>256</v>
      </c>
      <c r="G502" s="933">
        <v>20</v>
      </c>
      <c r="H502" s="933">
        <v>20</v>
      </c>
      <c r="I502" s="933" t="s">
        <v>670</v>
      </c>
      <c r="J502" s="934">
        <v>5.0227272727272698</v>
      </c>
      <c r="K502" s="934">
        <v>100.454545454545</v>
      </c>
      <c r="L502" s="938">
        <v>1.9120458891013401</v>
      </c>
    </row>
    <row r="503" spans="1:12" hidden="1">
      <c r="A503" s="931">
        <v>7</v>
      </c>
      <c r="B503" s="1247">
        <v>46062</v>
      </c>
      <c r="C503" s="1249">
        <v>46068</v>
      </c>
      <c r="D503" s="935">
        <v>12</v>
      </c>
      <c r="E503" s="935" t="s">
        <v>673</v>
      </c>
      <c r="F503" s="935" t="s">
        <v>251</v>
      </c>
      <c r="G503" s="935">
        <v>19</v>
      </c>
      <c r="H503" s="935">
        <v>19</v>
      </c>
      <c r="I503" s="935" t="s">
        <v>670</v>
      </c>
      <c r="J503" s="936">
        <v>2.3492822966507201</v>
      </c>
      <c r="K503" s="936">
        <v>44.636363636363598</v>
      </c>
      <c r="L503" s="939">
        <v>1.81644359464627</v>
      </c>
    </row>
    <row r="504" spans="1:12" hidden="1">
      <c r="A504" s="931">
        <v>7</v>
      </c>
      <c r="B504" s="1246">
        <v>46062</v>
      </c>
      <c r="C504" s="1248">
        <v>46068</v>
      </c>
      <c r="D504" s="933">
        <v>13</v>
      </c>
      <c r="E504" s="933" t="s">
        <v>678</v>
      </c>
      <c r="F504" s="933" t="s">
        <v>256</v>
      </c>
      <c r="G504" s="933">
        <v>17</v>
      </c>
      <c r="H504" s="933">
        <v>17</v>
      </c>
      <c r="I504" s="933" t="s">
        <v>670</v>
      </c>
      <c r="J504" s="934">
        <v>6.3128342245989302</v>
      </c>
      <c r="K504" s="934">
        <v>107.318181818182</v>
      </c>
      <c r="L504" s="938">
        <v>1.6252390057361401</v>
      </c>
    </row>
    <row r="505" spans="1:12" hidden="1">
      <c r="A505" s="931">
        <v>7</v>
      </c>
      <c r="B505" s="1247">
        <v>46062</v>
      </c>
      <c r="C505" s="1249">
        <v>46068</v>
      </c>
      <c r="D505" s="935">
        <v>14</v>
      </c>
      <c r="E505" s="935" t="s">
        <v>792</v>
      </c>
      <c r="F505" s="935" t="s">
        <v>256</v>
      </c>
      <c r="G505" s="935">
        <v>16</v>
      </c>
      <c r="H505" s="935">
        <v>16</v>
      </c>
      <c r="I505" s="935" t="s">
        <v>670</v>
      </c>
      <c r="J505" s="936">
        <v>12.681818181818199</v>
      </c>
      <c r="K505" s="936">
        <v>202.90909090909099</v>
      </c>
      <c r="L505" s="939">
        <v>1.52963671128107</v>
      </c>
    </row>
    <row r="506" spans="1:12" hidden="1">
      <c r="A506" s="931">
        <v>7</v>
      </c>
      <c r="B506" s="1246">
        <v>46062</v>
      </c>
      <c r="C506" s="1248">
        <v>46068</v>
      </c>
      <c r="D506" s="933">
        <v>15</v>
      </c>
      <c r="E506" s="933" t="s">
        <v>682</v>
      </c>
      <c r="F506" s="933" t="s">
        <v>275</v>
      </c>
      <c r="G506" s="933">
        <v>16</v>
      </c>
      <c r="H506" s="933">
        <v>16</v>
      </c>
      <c r="I506" s="933" t="s">
        <v>670</v>
      </c>
      <c r="J506" s="934">
        <v>5.5823863636363598</v>
      </c>
      <c r="K506" s="934">
        <v>89.318181818181799</v>
      </c>
      <c r="L506" s="938">
        <v>1.52963671128107</v>
      </c>
    </row>
    <row r="507" spans="1:12" hidden="1">
      <c r="A507" s="931">
        <v>7</v>
      </c>
      <c r="B507" s="1247">
        <v>46062</v>
      </c>
      <c r="C507" s="1249">
        <v>46068</v>
      </c>
      <c r="D507" s="935">
        <v>16</v>
      </c>
      <c r="E507" s="935" t="s">
        <v>681</v>
      </c>
      <c r="F507" s="935" t="s">
        <v>282</v>
      </c>
      <c r="G507" s="935">
        <v>16</v>
      </c>
      <c r="H507" s="935">
        <v>16</v>
      </c>
      <c r="I507" s="935" t="s">
        <v>672</v>
      </c>
      <c r="J507" s="936">
        <v>4.54545454545454E-2</v>
      </c>
      <c r="K507" s="936">
        <v>0.72727272727272696</v>
      </c>
      <c r="L507" s="939">
        <v>1.52963671128107</v>
      </c>
    </row>
    <row r="508" spans="1:12" hidden="1">
      <c r="A508" s="931">
        <v>7</v>
      </c>
      <c r="B508" s="1246">
        <v>46062</v>
      </c>
      <c r="C508" s="1248">
        <v>46068</v>
      </c>
      <c r="D508" s="933">
        <v>17</v>
      </c>
      <c r="E508" s="933" t="s">
        <v>707</v>
      </c>
      <c r="F508" s="933" t="s">
        <v>256</v>
      </c>
      <c r="G508" s="933">
        <v>15</v>
      </c>
      <c r="H508" s="933">
        <v>15</v>
      </c>
      <c r="I508" s="933" t="s">
        <v>670</v>
      </c>
      <c r="J508" s="934">
        <v>8.6818181818181799</v>
      </c>
      <c r="K508" s="934">
        <v>130.227272727273</v>
      </c>
      <c r="L508" s="938">
        <v>1.434034416826</v>
      </c>
    </row>
    <row r="509" spans="1:12" hidden="1">
      <c r="A509" s="931">
        <v>7</v>
      </c>
      <c r="B509" s="1247">
        <v>46062</v>
      </c>
      <c r="C509" s="1249">
        <v>46068</v>
      </c>
      <c r="D509" s="935">
        <v>18</v>
      </c>
      <c r="E509" s="935" t="s">
        <v>677</v>
      </c>
      <c r="F509" s="935" t="s">
        <v>249</v>
      </c>
      <c r="G509" s="935">
        <v>15</v>
      </c>
      <c r="H509" s="935">
        <v>15</v>
      </c>
      <c r="I509" s="935" t="s">
        <v>670</v>
      </c>
      <c r="J509" s="936">
        <v>1.67272727272727</v>
      </c>
      <c r="K509" s="936">
        <v>25.090909090909101</v>
      </c>
      <c r="L509" s="939">
        <v>1.434034416826</v>
      </c>
    </row>
    <row r="510" spans="1:12" hidden="1">
      <c r="A510" s="931">
        <v>7</v>
      </c>
      <c r="B510" s="1246">
        <v>46062</v>
      </c>
      <c r="C510" s="1248">
        <v>46068</v>
      </c>
      <c r="D510" s="933">
        <v>19</v>
      </c>
      <c r="E510" s="933" t="s">
        <v>674</v>
      </c>
      <c r="F510" s="933" t="s">
        <v>275</v>
      </c>
      <c r="G510" s="933">
        <v>15</v>
      </c>
      <c r="H510" s="933">
        <v>15</v>
      </c>
      <c r="I510" s="933" t="s">
        <v>670</v>
      </c>
      <c r="J510" s="934">
        <v>4.5303030303030303</v>
      </c>
      <c r="K510" s="934">
        <v>67.954545454545396</v>
      </c>
      <c r="L510" s="938">
        <v>1.434034416826</v>
      </c>
    </row>
    <row r="511" spans="1:12" hidden="1">
      <c r="A511" s="931">
        <v>7</v>
      </c>
      <c r="B511" s="1247">
        <v>46062</v>
      </c>
      <c r="C511" s="1249">
        <v>46068</v>
      </c>
      <c r="D511" s="935">
        <v>20</v>
      </c>
      <c r="E511" s="935" t="s">
        <v>254</v>
      </c>
      <c r="F511" s="935" t="s">
        <v>254</v>
      </c>
      <c r="G511" s="935">
        <v>15</v>
      </c>
      <c r="H511" s="935">
        <v>15</v>
      </c>
      <c r="I511" s="935" t="s">
        <v>670</v>
      </c>
      <c r="J511" s="936">
        <v>13.545454545454501</v>
      </c>
      <c r="K511" s="936">
        <v>203.18181818181799</v>
      </c>
      <c r="L511" s="939">
        <v>1.434034416826</v>
      </c>
    </row>
    <row r="512" spans="1:12" hidden="1">
      <c r="A512" s="931">
        <v>7</v>
      </c>
      <c r="B512" s="1246">
        <v>46062</v>
      </c>
      <c r="C512" s="1248">
        <v>46068</v>
      </c>
      <c r="D512" s="933">
        <v>21</v>
      </c>
      <c r="E512" s="933" t="s">
        <v>698</v>
      </c>
      <c r="F512" s="933" t="s">
        <v>249</v>
      </c>
      <c r="G512" s="933">
        <v>14</v>
      </c>
      <c r="H512" s="933">
        <v>14</v>
      </c>
      <c r="I512" s="933" t="s">
        <v>670</v>
      </c>
      <c r="J512" s="934">
        <v>2.3474025974026</v>
      </c>
      <c r="K512" s="934">
        <v>32.863636363636402</v>
      </c>
      <c r="L512" s="938">
        <v>1.3384321223709399</v>
      </c>
    </row>
    <row r="513" spans="1:12" hidden="1">
      <c r="A513" s="931">
        <v>7</v>
      </c>
      <c r="B513" s="1247">
        <v>46062</v>
      </c>
      <c r="C513" s="1249">
        <v>46068</v>
      </c>
      <c r="D513" s="935">
        <v>22</v>
      </c>
      <c r="E513" s="935" t="s">
        <v>676</v>
      </c>
      <c r="F513" s="935" t="s">
        <v>253</v>
      </c>
      <c r="G513" s="935">
        <v>14</v>
      </c>
      <c r="H513" s="935">
        <v>14</v>
      </c>
      <c r="I513" s="935" t="s">
        <v>670</v>
      </c>
      <c r="J513" s="936">
        <v>2.7012987012987</v>
      </c>
      <c r="K513" s="936">
        <v>37.818181818181799</v>
      </c>
      <c r="L513" s="939">
        <v>1.3384321223709399</v>
      </c>
    </row>
    <row r="514" spans="1:12" hidden="1">
      <c r="A514" s="931">
        <v>7</v>
      </c>
      <c r="B514" s="1246">
        <v>46062</v>
      </c>
      <c r="C514" s="1248">
        <v>46068</v>
      </c>
      <c r="D514" s="933">
        <v>23</v>
      </c>
      <c r="E514" s="933" t="s">
        <v>780</v>
      </c>
      <c r="F514" s="933" t="s">
        <v>268</v>
      </c>
      <c r="G514" s="933">
        <v>13</v>
      </c>
      <c r="H514" s="933">
        <v>13</v>
      </c>
      <c r="I514" s="933" t="s">
        <v>670</v>
      </c>
      <c r="J514" s="934">
        <v>1.36363636363636</v>
      </c>
      <c r="K514" s="934">
        <v>17.727272727272702</v>
      </c>
      <c r="L514" s="938">
        <v>1.24282982791587</v>
      </c>
    </row>
    <row r="515" spans="1:12" hidden="1">
      <c r="A515" s="931">
        <v>7</v>
      </c>
      <c r="B515" s="1247">
        <v>46062</v>
      </c>
      <c r="C515" s="1249">
        <v>46068</v>
      </c>
      <c r="D515" s="935">
        <v>24</v>
      </c>
      <c r="E515" s="935" t="s">
        <v>708</v>
      </c>
      <c r="F515" s="935" t="s">
        <v>251</v>
      </c>
      <c r="G515" s="935">
        <v>13</v>
      </c>
      <c r="H515" s="935">
        <v>13</v>
      </c>
      <c r="I515" s="935" t="s">
        <v>670</v>
      </c>
      <c r="J515" s="936">
        <v>1.86013986013986</v>
      </c>
      <c r="K515" s="936">
        <v>24.181818181818201</v>
      </c>
      <c r="L515" s="939">
        <v>1.24282982791587</v>
      </c>
    </row>
    <row r="516" spans="1:12" hidden="1">
      <c r="A516" s="931">
        <v>7</v>
      </c>
      <c r="B516" s="1246">
        <v>46062</v>
      </c>
      <c r="C516" s="1248">
        <v>46068</v>
      </c>
      <c r="D516" s="933">
        <v>25</v>
      </c>
      <c r="E516" s="933" t="s">
        <v>685</v>
      </c>
      <c r="F516" s="933" t="s">
        <v>256</v>
      </c>
      <c r="G516" s="933">
        <v>13</v>
      </c>
      <c r="H516" s="933">
        <v>13</v>
      </c>
      <c r="I516" s="933" t="s">
        <v>670</v>
      </c>
      <c r="J516" s="934">
        <v>8.1993006993007</v>
      </c>
      <c r="K516" s="934">
        <v>106.59090909090899</v>
      </c>
      <c r="L516" s="938">
        <v>1.24282982791587</v>
      </c>
    </row>
    <row r="517" spans="1:12" hidden="1">
      <c r="A517" s="931">
        <v>7</v>
      </c>
      <c r="B517" s="1247">
        <v>46062</v>
      </c>
      <c r="C517" s="1249">
        <v>46068</v>
      </c>
      <c r="D517" s="935">
        <v>26</v>
      </c>
      <c r="E517" s="935" t="s">
        <v>700</v>
      </c>
      <c r="F517" s="935" t="s">
        <v>274</v>
      </c>
      <c r="G517" s="935">
        <v>12</v>
      </c>
      <c r="H517" s="935">
        <v>12</v>
      </c>
      <c r="I517" s="935" t="s">
        <v>670</v>
      </c>
      <c r="J517" s="936">
        <v>9.1287878787878807</v>
      </c>
      <c r="K517" s="936">
        <v>109.545454545455</v>
      </c>
      <c r="L517" s="939">
        <v>1.1472275334608</v>
      </c>
    </row>
    <row r="518" spans="1:12" hidden="1">
      <c r="A518" s="931">
        <v>7</v>
      </c>
      <c r="B518" s="1246">
        <v>46062</v>
      </c>
      <c r="C518" s="1248">
        <v>46068</v>
      </c>
      <c r="D518" s="933">
        <v>27</v>
      </c>
      <c r="E518" s="933" t="s">
        <v>687</v>
      </c>
      <c r="F518" s="933" t="s">
        <v>253</v>
      </c>
      <c r="G518" s="933">
        <v>12</v>
      </c>
      <c r="H518" s="933">
        <v>12</v>
      </c>
      <c r="I518" s="933" t="s">
        <v>670</v>
      </c>
      <c r="J518" s="934">
        <v>2.7386363636363602</v>
      </c>
      <c r="K518" s="934">
        <v>32.863636363636402</v>
      </c>
      <c r="L518" s="938">
        <v>1.1472275334608</v>
      </c>
    </row>
    <row r="519" spans="1:12" hidden="1">
      <c r="A519" s="931">
        <v>7</v>
      </c>
      <c r="B519" s="1247">
        <v>46062</v>
      </c>
      <c r="C519" s="1249">
        <v>46068</v>
      </c>
      <c r="D519" s="935">
        <v>28</v>
      </c>
      <c r="E519" s="935" t="s">
        <v>793</v>
      </c>
      <c r="F519" s="935" t="s">
        <v>695</v>
      </c>
      <c r="G519" s="935">
        <v>11</v>
      </c>
      <c r="H519" s="935">
        <v>11</v>
      </c>
      <c r="I519" s="935" t="s">
        <v>670</v>
      </c>
      <c r="J519" s="936">
        <v>6.3595041322314003</v>
      </c>
      <c r="K519" s="936">
        <v>69.954545454545496</v>
      </c>
      <c r="L519" s="939">
        <v>1.0516252390057399</v>
      </c>
    </row>
    <row r="520" spans="1:12" hidden="1">
      <c r="A520" s="931">
        <v>7</v>
      </c>
      <c r="B520" s="1246">
        <v>46062</v>
      </c>
      <c r="C520" s="1248">
        <v>46068</v>
      </c>
      <c r="D520" s="933">
        <v>29</v>
      </c>
      <c r="E520" s="933" t="s">
        <v>697</v>
      </c>
      <c r="F520" s="933" t="s">
        <v>256</v>
      </c>
      <c r="G520" s="933">
        <v>11</v>
      </c>
      <c r="H520" s="933">
        <v>11</v>
      </c>
      <c r="I520" s="933" t="s">
        <v>670</v>
      </c>
      <c r="J520" s="934">
        <v>9.9090909090909101</v>
      </c>
      <c r="K520" s="934">
        <v>109</v>
      </c>
      <c r="L520" s="938">
        <v>1.0516252390057399</v>
      </c>
    </row>
    <row r="521" spans="1:12" hidden="1">
      <c r="A521" s="931">
        <v>7</v>
      </c>
      <c r="B521" s="1247">
        <v>46062</v>
      </c>
      <c r="C521" s="1249">
        <v>46068</v>
      </c>
      <c r="D521" s="935">
        <v>30</v>
      </c>
      <c r="E521" s="935" t="s">
        <v>738</v>
      </c>
      <c r="F521" s="935" t="s">
        <v>256</v>
      </c>
      <c r="G521" s="935">
        <v>11</v>
      </c>
      <c r="H521" s="935">
        <v>11</v>
      </c>
      <c r="I521" s="935" t="s">
        <v>670</v>
      </c>
      <c r="J521" s="936">
        <v>7.1818181818181799</v>
      </c>
      <c r="K521" s="936">
        <v>79</v>
      </c>
      <c r="L521" s="939">
        <v>1.0516252390057399</v>
      </c>
    </row>
    <row r="522" spans="1:12" hidden="1">
      <c r="A522" s="931">
        <v>7</v>
      </c>
      <c r="B522" s="1246">
        <v>46062</v>
      </c>
      <c r="C522" s="1248">
        <v>46068</v>
      </c>
      <c r="D522" s="933">
        <v>31</v>
      </c>
      <c r="E522" s="933" t="s">
        <v>704</v>
      </c>
      <c r="F522" s="933" t="s">
        <v>689</v>
      </c>
      <c r="G522" s="933">
        <v>10</v>
      </c>
      <c r="H522" s="933">
        <v>10</v>
      </c>
      <c r="I522" s="933" t="s">
        <v>670</v>
      </c>
      <c r="J522" s="934">
        <v>11.7727272727273</v>
      </c>
      <c r="K522" s="934">
        <v>117.727272727273</v>
      </c>
      <c r="L522" s="938">
        <v>0.95602294455066905</v>
      </c>
    </row>
    <row r="523" spans="1:12" hidden="1">
      <c r="A523" s="931">
        <v>7</v>
      </c>
      <c r="B523" s="1247">
        <v>46062</v>
      </c>
      <c r="C523" s="1249">
        <v>46068</v>
      </c>
      <c r="D523" s="935">
        <v>32</v>
      </c>
      <c r="E523" s="935" t="s">
        <v>703</v>
      </c>
      <c r="F523" s="935" t="s">
        <v>256</v>
      </c>
      <c r="G523" s="935">
        <v>9</v>
      </c>
      <c r="H523" s="935">
        <v>9</v>
      </c>
      <c r="I523" s="935" t="s">
        <v>670</v>
      </c>
      <c r="J523" s="936">
        <v>1.8434343434343401</v>
      </c>
      <c r="K523" s="936">
        <v>16.590909090909101</v>
      </c>
      <c r="L523" s="939">
        <v>0.86042065009560198</v>
      </c>
    </row>
    <row r="524" spans="1:12" hidden="1">
      <c r="A524" s="931">
        <v>7</v>
      </c>
      <c r="B524" s="1246">
        <v>46062</v>
      </c>
      <c r="C524" s="1248">
        <v>46068</v>
      </c>
      <c r="D524" s="933">
        <v>33</v>
      </c>
      <c r="E524" s="933" t="s">
        <v>683</v>
      </c>
      <c r="F524" s="933" t="s">
        <v>274</v>
      </c>
      <c r="G524" s="933">
        <v>9</v>
      </c>
      <c r="H524" s="933">
        <v>9</v>
      </c>
      <c r="I524" s="933" t="s">
        <v>670</v>
      </c>
      <c r="J524" s="934">
        <v>10.959595959595999</v>
      </c>
      <c r="K524" s="934">
        <v>98.636363636363598</v>
      </c>
      <c r="L524" s="938">
        <v>0.86042065009560198</v>
      </c>
    </row>
    <row r="525" spans="1:12" hidden="1">
      <c r="A525" s="931">
        <v>7</v>
      </c>
      <c r="B525" s="1247">
        <v>46062</v>
      </c>
      <c r="C525" s="1249">
        <v>46068</v>
      </c>
      <c r="D525" s="935">
        <v>34</v>
      </c>
      <c r="E525" s="935" t="s">
        <v>691</v>
      </c>
      <c r="F525" s="935" t="s">
        <v>251</v>
      </c>
      <c r="G525" s="935">
        <v>9</v>
      </c>
      <c r="H525" s="935">
        <v>9</v>
      </c>
      <c r="I525" s="935" t="s">
        <v>670</v>
      </c>
      <c r="J525" s="936">
        <v>2.0909090909090899</v>
      </c>
      <c r="K525" s="936">
        <v>18.818181818181799</v>
      </c>
      <c r="L525" s="939">
        <v>0.86042065009560198</v>
      </c>
    </row>
    <row r="526" spans="1:12" hidden="1">
      <c r="A526" s="931">
        <v>7</v>
      </c>
      <c r="B526" s="1246">
        <v>46062</v>
      </c>
      <c r="C526" s="1248">
        <v>46068</v>
      </c>
      <c r="D526" s="933">
        <v>35</v>
      </c>
      <c r="E526" s="933" t="s">
        <v>763</v>
      </c>
      <c r="F526" s="933" t="s">
        <v>764</v>
      </c>
      <c r="G526" s="933">
        <v>8</v>
      </c>
      <c r="H526" s="933">
        <v>8</v>
      </c>
      <c r="I526" s="933" t="s">
        <v>670</v>
      </c>
      <c r="J526" s="934">
        <v>10.482954545454501</v>
      </c>
      <c r="K526" s="934">
        <v>83.863636363636402</v>
      </c>
      <c r="L526" s="938">
        <v>0.76481835564053502</v>
      </c>
    </row>
    <row r="527" spans="1:12" hidden="1">
      <c r="A527" s="931">
        <v>7</v>
      </c>
      <c r="B527" s="1247">
        <v>46062</v>
      </c>
      <c r="C527" s="1249">
        <v>46068</v>
      </c>
      <c r="D527" s="935">
        <v>36</v>
      </c>
      <c r="E527" s="935" t="s">
        <v>706</v>
      </c>
      <c r="F527" s="935" t="s">
        <v>256</v>
      </c>
      <c r="G527" s="935">
        <v>8</v>
      </c>
      <c r="H527" s="935">
        <v>8</v>
      </c>
      <c r="I527" s="935" t="s">
        <v>670</v>
      </c>
      <c r="J527" s="936">
        <v>12.7272727272727</v>
      </c>
      <c r="K527" s="936">
        <v>101.818181818182</v>
      </c>
      <c r="L527" s="939">
        <v>0.76481835564053502</v>
      </c>
    </row>
    <row r="528" spans="1:12" hidden="1">
      <c r="A528" s="931">
        <v>7</v>
      </c>
      <c r="B528" s="1246">
        <v>46062</v>
      </c>
      <c r="C528" s="1248">
        <v>46068</v>
      </c>
      <c r="D528" s="933">
        <v>37</v>
      </c>
      <c r="E528" s="933" t="s">
        <v>794</v>
      </c>
      <c r="F528" s="933" t="s">
        <v>256</v>
      </c>
      <c r="G528" s="933">
        <v>7</v>
      </c>
      <c r="H528" s="933">
        <v>7</v>
      </c>
      <c r="I528" s="933" t="s">
        <v>670</v>
      </c>
      <c r="J528" s="934">
        <v>6.8506493506493502</v>
      </c>
      <c r="K528" s="934">
        <v>47.954545454545503</v>
      </c>
      <c r="L528" s="938">
        <v>0.66921606118546895</v>
      </c>
    </row>
    <row r="529" spans="1:12" hidden="1">
      <c r="A529" s="931">
        <v>7</v>
      </c>
      <c r="B529" s="1247">
        <v>46062</v>
      </c>
      <c r="C529" s="1249">
        <v>46068</v>
      </c>
      <c r="D529" s="935">
        <v>38</v>
      </c>
      <c r="E529" s="935" t="s">
        <v>742</v>
      </c>
      <c r="F529" s="935" t="s">
        <v>251</v>
      </c>
      <c r="G529" s="935">
        <v>7</v>
      </c>
      <c r="H529" s="935">
        <v>7</v>
      </c>
      <c r="I529" s="935" t="s">
        <v>670</v>
      </c>
      <c r="J529" s="936">
        <v>2.6623376623376598</v>
      </c>
      <c r="K529" s="936">
        <v>18.636363636363601</v>
      </c>
      <c r="L529" s="939">
        <v>0.66921606118546895</v>
      </c>
    </row>
    <row r="530" spans="1:12" hidden="1">
      <c r="A530" s="931">
        <v>7</v>
      </c>
      <c r="B530" s="1246">
        <v>46062</v>
      </c>
      <c r="C530" s="1248">
        <v>46068</v>
      </c>
      <c r="D530" s="933">
        <v>39</v>
      </c>
      <c r="E530" s="933" t="s">
        <v>688</v>
      </c>
      <c r="F530" s="933" t="s">
        <v>689</v>
      </c>
      <c r="G530" s="933">
        <v>7</v>
      </c>
      <c r="H530" s="933">
        <v>7</v>
      </c>
      <c r="I530" s="933" t="s">
        <v>670</v>
      </c>
      <c r="J530" s="934">
        <v>9.9090909090909101</v>
      </c>
      <c r="K530" s="934">
        <v>69.363636363636402</v>
      </c>
      <c r="L530" s="938">
        <v>0.66921606118546895</v>
      </c>
    </row>
    <row r="531" spans="1:12" hidden="1">
      <c r="A531" s="931">
        <v>7</v>
      </c>
      <c r="B531" s="1247">
        <v>46062</v>
      </c>
      <c r="C531" s="1249">
        <v>46068</v>
      </c>
      <c r="D531" s="935">
        <v>40</v>
      </c>
      <c r="E531" s="935" t="s">
        <v>684</v>
      </c>
      <c r="F531" s="935" t="s">
        <v>323</v>
      </c>
      <c r="G531" s="935">
        <v>7</v>
      </c>
      <c r="H531" s="935">
        <v>7</v>
      </c>
      <c r="I531" s="935" t="s">
        <v>670</v>
      </c>
      <c r="J531" s="936">
        <v>9</v>
      </c>
      <c r="K531" s="936">
        <v>63</v>
      </c>
      <c r="L531" s="939">
        <v>0.66921606118546895</v>
      </c>
    </row>
    <row r="532" spans="1:12" hidden="1">
      <c r="A532" s="931">
        <v>7</v>
      </c>
      <c r="B532" s="1246">
        <v>46062</v>
      </c>
      <c r="C532" s="1248">
        <v>46068</v>
      </c>
      <c r="D532" s="933">
        <v>41</v>
      </c>
      <c r="E532" s="933" t="s">
        <v>795</v>
      </c>
      <c r="F532" s="933" t="s">
        <v>254</v>
      </c>
      <c r="G532" s="933">
        <v>7</v>
      </c>
      <c r="H532" s="933">
        <v>7</v>
      </c>
      <c r="I532" s="933" t="s">
        <v>670</v>
      </c>
      <c r="J532" s="934">
        <v>0</v>
      </c>
      <c r="K532" s="934">
        <v>0</v>
      </c>
      <c r="L532" s="938">
        <v>0.66921606118546895</v>
      </c>
    </row>
    <row r="533" spans="1:12" hidden="1">
      <c r="A533" s="931">
        <v>7</v>
      </c>
      <c r="B533" s="1247">
        <v>46062</v>
      </c>
      <c r="C533" s="1249">
        <v>46068</v>
      </c>
      <c r="D533" s="935">
        <v>42</v>
      </c>
      <c r="E533" s="935" t="s">
        <v>781</v>
      </c>
      <c r="F533" s="935" t="s">
        <v>764</v>
      </c>
      <c r="G533" s="935">
        <v>7</v>
      </c>
      <c r="H533" s="935">
        <v>7</v>
      </c>
      <c r="I533" s="935" t="s">
        <v>670</v>
      </c>
      <c r="J533" s="936">
        <v>14.487012987012999</v>
      </c>
      <c r="K533" s="936">
        <v>101.40909090909101</v>
      </c>
      <c r="L533" s="939">
        <v>0.66921606118546895</v>
      </c>
    </row>
    <row r="534" spans="1:12" hidden="1">
      <c r="A534" s="931">
        <v>7</v>
      </c>
      <c r="B534" s="1246">
        <v>46062</v>
      </c>
      <c r="C534" s="1248">
        <v>46068</v>
      </c>
      <c r="D534" s="933">
        <v>43</v>
      </c>
      <c r="E534" s="933" t="s">
        <v>751</v>
      </c>
      <c r="F534" s="933" t="s">
        <v>256</v>
      </c>
      <c r="G534" s="933">
        <v>6</v>
      </c>
      <c r="H534" s="933">
        <v>6</v>
      </c>
      <c r="I534" s="933" t="s">
        <v>670</v>
      </c>
      <c r="J534" s="934">
        <v>7.1818181818181799</v>
      </c>
      <c r="K534" s="934">
        <v>43.090909090909101</v>
      </c>
      <c r="L534" s="938">
        <v>0.57361376673040199</v>
      </c>
    </row>
    <row r="535" spans="1:12" hidden="1">
      <c r="A535" s="931">
        <v>7</v>
      </c>
      <c r="B535" s="1247">
        <v>46062</v>
      </c>
      <c r="C535" s="1249">
        <v>46068</v>
      </c>
      <c r="D535" s="935">
        <v>44</v>
      </c>
      <c r="E535" s="935" t="s">
        <v>743</v>
      </c>
      <c r="F535" s="935" t="s">
        <v>251</v>
      </c>
      <c r="G535" s="935">
        <v>6</v>
      </c>
      <c r="H535" s="935">
        <v>6</v>
      </c>
      <c r="I535" s="935" t="s">
        <v>670</v>
      </c>
      <c r="J535" s="936">
        <v>2.4090909090909101</v>
      </c>
      <c r="K535" s="936">
        <v>14.4545454545454</v>
      </c>
      <c r="L535" s="939">
        <v>0.57361376673040199</v>
      </c>
    </row>
    <row r="536" spans="1:12" hidden="1">
      <c r="A536" s="931">
        <v>7</v>
      </c>
      <c r="B536" s="1246">
        <v>46062</v>
      </c>
      <c r="C536" s="1248">
        <v>46068</v>
      </c>
      <c r="D536" s="933">
        <v>45</v>
      </c>
      <c r="E536" s="933" t="s">
        <v>727</v>
      </c>
      <c r="F536" s="933" t="s">
        <v>275</v>
      </c>
      <c r="G536" s="933">
        <v>6</v>
      </c>
      <c r="H536" s="933">
        <v>6</v>
      </c>
      <c r="I536" s="933" t="s">
        <v>670</v>
      </c>
      <c r="J536" s="934">
        <v>0</v>
      </c>
      <c r="K536" s="934">
        <v>0</v>
      </c>
      <c r="L536" s="938">
        <v>0.57361376673040199</v>
      </c>
    </row>
    <row r="537" spans="1:12" hidden="1">
      <c r="A537" s="931">
        <v>7</v>
      </c>
      <c r="B537" s="1247">
        <v>46062</v>
      </c>
      <c r="C537" s="1249">
        <v>46068</v>
      </c>
      <c r="D537" s="935">
        <v>46</v>
      </c>
      <c r="E537" s="935" t="s">
        <v>720</v>
      </c>
      <c r="F537" s="935" t="s">
        <v>251</v>
      </c>
      <c r="G537" s="935">
        <v>5</v>
      </c>
      <c r="H537" s="935">
        <v>5</v>
      </c>
      <c r="I537" s="935" t="s">
        <v>670</v>
      </c>
      <c r="J537" s="936">
        <v>2.4636363636363598</v>
      </c>
      <c r="K537" s="936">
        <v>12.318181818181801</v>
      </c>
      <c r="L537" s="939">
        <v>0.47801147227533503</v>
      </c>
    </row>
    <row r="538" spans="1:12" hidden="1">
      <c r="A538" s="931">
        <v>7</v>
      </c>
      <c r="B538" s="1246">
        <v>46062</v>
      </c>
      <c r="C538" s="1248">
        <v>46068</v>
      </c>
      <c r="D538" s="933">
        <v>47</v>
      </c>
      <c r="E538" s="933" t="s">
        <v>796</v>
      </c>
      <c r="F538" s="933" t="s">
        <v>282</v>
      </c>
      <c r="G538" s="933">
        <v>5</v>
      </c>
      <c r="H538" s="933">
        <v>5</v>
      </c>
      <c r="I538" s="933" t="s">
        <v>670</v>
      </c>
      <c r="J538" s="934">
        <v>10.863636363636401</v>
      </c>
      <c r="K538" s="934">
        <v>54.318181818181799</v>
      </c>
      <c r="L538" s="938">
        <v>0.47801147227533503</v>
      </c>
    </row>
    <row r="539" spans="1:12" hidden="1">
      <c r="A539" s="931">
        <v>7</v>
      </c>
      <c r="B539" s="1247">
        <v>46062</v>
      </c>
      <c r="C539" s="1249">
        <v>46068</v>
      </c>
      <c r="D539" s="935">
        <v>48</v>
      </c>
      <c r="E539" s="935" t="s">
        <v>671</v>
      </c>
      <c r="F539" s="935" t="s">
        <v>276</v>
      </c>
      <c r="G539" s="935">
        <v>5</v>
      </c>
      <c r="H539" s="935">
        <v>5</v>
      </c>
      <c r="I539" s="935" t="s">
        <v>672</v>
      </c>
      <c r="J539" s="936">
        <v>2.9090909090909101</v>
      </c>
      <c r="K539" s="936">
        <v>14.545454545454501</v>
      </c>
      <c r="L539" s="939">
        <v>0.47801147227533503</v>
      </c>
    </row>
    <row r="540" spans="1:12" hidden="1">
      <c r="A540" s="931">
        <v>7</v>
      </c>
      <c r="B540" s="1246">
        <v>46062</v>
      </c>
      <c r="C540" s="1248">
        <v>46068</v>
      </c>
      <c r="D540" s="933">
        <v>49</v>
      </c>
      <c r="E540" s="933" t="s">
        <v>702</v>
      </c>
      <c r="F540" s="933" t="s">
        <v>251</v>
      </c>
      <c r="G540" s="933">
        <v>5</v>
      </c>
      <c r="H540" s="933">
        <v>5</v>
      </c>
      <c r="I540" s="933" t="s">
        <v>670</v>
      </c>
      <c r="J540" s="934">
        <v>2.4363636363636401</v>
      </c>
      <c r="K540" s="934">
        <v>12.181818181818199</v>
      </c>
      <c r="L540" s="938">
        <v>0.47801147227533503</v>
      </c>
    </row>
    <row r="541" spans="1:12" hidden="1">
      <c r="A541" s="931">
        <v>7</v>
      </c>
      <c r="B541" s="1247">
        <v>46062</v>
      </c>
      <c r="C541" s="1249">
        <v>46068</v>
      </c>
      <c r="D541" s="935">
        <v>50</v>
      </c>
      <c r="E541" s="935" t="s">
        <v>694</v>
      </c>
      <c r="F541" s="935" t="s">
        <v>695</v>
      </c>
      <c r="G541" s="935">
        <v>5</v>
      </c>
      <c r="H541" s="935">
        <v>5</v>
      </c>
      <c r="I541" s="935" t="s">
        <v>670</v>
      </c>
      <c r="J541" s="936">
        <v>3.7727272727272698</v>
      </c>
      <c r="K541" s="936">
        <v>18.863636363636399</v>
      </c>
      <c r="L541" s="939">
        <v>0.47801147227533503</v>
      </c>
    </row>
    <row r="542" spans="1:12" hidden="1">
      <c r="A542" s="931">
        <v>7</v>
      </c>
      <c r="B542" s="1246">
        <v>46062</v>
      </c>
      <c r="C542" s="1248">
        <v>46068</v>
      </c>
      <c r="D542" s="933">
        <v>51</v>
      </c>
      <c r="E542" s="933" t="s">
        <v>716</v>
      </c>
      <c r="F542" s="933" t="s">
        <v>251</v>
      </c>
      <c r="G542" s="933">
        <v>5</v>
      </c>
      <c r="H542" s="933">
        <v>5</v>
      </c>
      <c r="I542" s="933" t="s">
        <v>670</v>
      </c>
      <c r="J542" s="934">
        <v>0</v>
      </c>
      <c r="K542" s="934">
        <v>0</v>
      </c>
      <c r="L542" s="938">
        <v>0.47801147227533503</v>
      </c>
    </row>
    <row r="543" spans="1:12" hidden="1">
      <c r="A543" s="931">
        <v>7</v>
      </c>
      <c r="B543" s="1247">
        <v>46062</v>
      </c>
      <c r="C543" s="1249">
        <v>46068</v>
      </c>
      <c r="D543" s="935">
        <v>52</v>
      </c>
      <c r="E543" s="935" t="s">
        <v>755</v>
      </c>
      <c r="F543" s="935" t="s">
        <v>251</v>
      </c>
      <c r="G543" s="935">
        <v>4</v>
      </c>
      <c r="H543" s="935">
        <v>4</v>
      </c>
      <c r="I543" s="935" t="s">
        <v>670</v>
      </c>
      <c r="J543" s="936">
        <v>2.4431818181818201</v>
      </c>
      <c r="K543" s="936">
        <v>9.7727272727272698</v>
      </c>
      <c r="L543" s="939">
        <v>0.38240917782026801</v>
      </c>
    </row>
    <row r="544" spans="1:12" hidden="1">
      <c r="A544" s="931">
        <v>7</v>
      </c>
      <c r="B544" s="1246">
        <v>46062</v>
      </c>
      <c r="C544" s="1248">
        <v>46068</v>
      </c>
      <c r="D544" s="933">
        <v>53</v>
      </c>
      <c r="E544" s="933" t="s">
        <v>746</v>
      </c>
      <c r="F544" s="933" t="s">
        <v>251</v>
      </c>
      <c r="G544" s="933">
        <v>4</v>
      </c>
      <c r="H544" s="933">
        <v>4</v>
      </c>
      <c r="I544" s="933" t="s">
        <v>670</v>
      </c>
      <c r="J544" s="934">
        <v>2.1363636363636398</v>
      </c>
      <c r="K544" s="934">
        <v>8.5454545454545396</v>
      </c>
      <c r="L544" s="938">
        <v>0.38240917782026801</v>
      </c>
    </row>
    <row r="545" spans="1:12" hidden="1">
      <c r="A545" s="931">
        <v>7</v>
      </c>
      <c r="B545" s="1247">
        <v>46062</v>
      </c>
      <c r="C545" s="1249">
        <v>46068</v>
      </c>
      <c r="D545" s="935">
        <v>54</v>
      </c>
      <c r="E545" s="935" t="s">
        <v>792</v>
      </c>
      <c r="F545" s="935" t="s">
        <v>256</v>
      </c>
      <c r="G545" s="935">
        <v>4</v>
      </c>
      <c r="H545" s="935">
        <v>4</v>
      </c>
      <c r="I545" s="935" t="s">
        <v>670</v>
      </c>
      <c r="J545" s="936">
        <v>4.5454545454545396</v>
      </c>
      <c r="K545" s="936">
        <v>18.181818181818201</v>
      </c>
      <c r="L545" s="939">
        <v>0.38240917782026801</v>
      </c>
    </row>
    <row r="546" spans="1:12" hidden="1">
      <c r="A546" s="931">
        <v>7</v>
      </c>
      <c r="B546" s="1246">
        <v>46062</v>
      </c>
      <c r="C546" s="1248">
        <v>46068</v>
      </c>
      <c r="D546" s="933">
        <v>55</v>
      </c>
      <c r="E546" s="933" t="s">
        <v>756</v>
      </c>
      <c r="F546" s="933" t="s">
        <v>251</v>
      </c>
      <c r="G546" s="933">
        <v>4</v>
      </c>
      <c r="H546" s="933">
        <v>4</v>
      </c>
      <c r="I546" s="933" t="s">
        <v>670</v>
      </c>
      <c r="J546" s="934">
        <v>2.2045454545454599</v>
      </c>
      <c r="K546" s="934">
        <v>8.8181818181818201</v>
      </c>
      <c r="L546" s="938">
        <v>0.38240917782026801</v>
      </c>
    </row>
    <row r="547" spans="1:12" hidden="1">
      <c r="A547" s="931">
        <v>7</v>
      </c>
      <c r="B547" s="1247">
        <v>46062</v>
      </c>
      <c r="C547" s="1249">
        <v>46068</v>
      </c>
      <c r="D547" s="935">
        <v>56</v>
      </c>
      <c r="E547" s="935" t="s">
        <v>739</v>
      </c>
      <c r="F547" s="935" t="s">
        <v>730</v>
      </c>
      <c r="G547" s="935">
        <v>4</v>
      </c>
      <c r="H547" s="935">
        <v>4</v>
      </c>
      <c r="I547" s="935" t="s">
        <v>670</v>
      </c>
      <c r="J547" s="936">
        <v>4.9886363636363598</v>
      </c>
      <c r="K547" s="936">
        <v>19.9545454545454</v>
      </c>
      <c r="L547" s="939">
        <v>0.38240917782026801</v>
      </c>
    </row>
    <row r="548" spans="1:12" hidden="1">
      <c r="A548" s="931">
        <v>7</v>
      </c>
      <c r="B548" s="1246">
        <v>46062</v>
      </c>
      <c r="C548" s="1248">
        <v>46068</v>
      </c>
      <c r="D548" s="933">
        <v>57</v>
      </c>
      <c r="E548" s="933" t="s">
        <v>740</v>
      </c>
      <c r="F548" s="933" t="s">
        <v>264</v>
      </c>
      <c r="G548" s="933">
        <v>4</v>
      </c>
      <c r="H548" s="933">
        <v>4</v>
      </c>
      <c r="I548" s="933" t="s">
        <v>741</v>
      </c>
      <c r="J548" s="934">
        <v>2.5568181818181799</v>
      </c>
      <c r="K548" s="934">
        <v>10.2272727272727</v>
      </c>
      <c r="L548" s="938">
        <v>0.38240917782026801</v>
      </c>
    </row>
    <row r="549" spans="1:12" hidden="1">
      <c r="A549" s="931">
        <v>7</v>
      </c>
      <c r="B549" s="1247">
        <v>46062</v>
      </c>
      <c r="C549" s="1249">
        <v>46068</v>
      </c>
      <c r="D549" s="935">
        <v>58</v>
      </c>
      <c r="E549" s="935" t="s">
        <v>752</v>
      </c>
      <c r="F549" s="935" t="s">
        <v>264</v>
      </c>
      <c r="G549" s="935">
        <v>4</v>
      </c>
      <c r="H549" s="935">
        <v>4</v>
      </c>
      <c r="I549" s="935" t="s">
        <v>670</v>
      </c>
      <c r="J549" s="936">
        <v>1.5909090909090899</v>
      </c>
      <c r="K549" s="936">
        <v>6.3636363636363598</v>
      </c>
      <c r="L549" s="939">
        <v>0.38240917782026801</v>
      </c>
    </row>
    <row r="550" spans="1:12" hidden="1">
      <c r="A550" s="931">
        <v>7</v>
      </c>
      <c r="B550" s="1246">
        <v>46062</v>
      </c>
      <c r="C550" s="1248">
        <v>46068</v>
      </c>
      <c r="D550" s="933">
        <v>59</v>
      </c>
      <c r="E550" s="933" t="s">
        <v>797</v>
      </c>
      <c r="F550" s="933" t="s">
        <v>253</v>
      </c>
      <c r="G550" s="933">
        <v>4</v>
      </c>
      <c r="H550" s="933">
        <v>4</v>
      </c>
      <c r="I550" s="933" t="s">
        <v>670</v>
      </c>
      <c r="J550" s="934">
        <v>3.1818181818181799</v>
      </c>
      <c r="K550" s="934">
        <v>12.7272727272727</v>
      </c>
      <c r="L550" s="938">
        <v>0.38240917782026801</v>
      </c>
    </row>
    <row r="551" spans="1:12" hidden="1">
      <c r="A551" s="931">
        <v>7</v>
      </c>
      <c r="B551" s="1247">
        <v>46062</v>
      </c>
      <c r="C551" s="1249">
        <v>46068</v>
      </c>
      <c r="D551" s="935">
        <v>60</v>
      </c>
      <c r="E551" s="935" t="s">
        <v>715</v>
      </c>
      <c r="F551" s="935" t="s">
        <v>693</v>
      </c>
      <c r="G551" s="935">
        <v>4</v>
      </c>
      <c r="H551" s="935">
        <v>4</v>
      </c>
      <c r="I551" s="935" t="s">
        <v>670</v>
      </c>
      <c r="J551" s="936">
        <v>0</v>
      </c>
      <c r="K551" s="936">
        <v>0</v>
      </c>
      <c r="L551" s="939">
        <v>0.38240917782026801</v>
      </c>
    </row>
    <row r="552" spans="1:12" hidden="1">
      <c r="A552" s="931">
        <v>7</v>
      </c>
      <c r="B552" s="1246">
        <v>46062</v>
      </c>
      <c r="C552" s="1248">
        <v>46068</v>
      </c>
      <c r="D552" s="933">
        <v>61</v>
      </c>
      <c r="E552" s="933" t="s">
        <v>723</v>
      </c>
      <c r="F552" s="933" t="s">
        <v>713</v>
      </c>
      <c r="G552" s="933">
        <v>4</v>
      </c>
      <c r="H552" s="933">
        <v>4</v>
      </c>
      <c r="I552" s="933" t="s">
        <v>670</v>
      </c>
      <c r="J552" s="934">
        <v>2.8181818181818201</v>
      </c>
      <c r="K552" s="934">
        <v>11.2727272727273</v>
      </c>
      <c r="L552" s="938">
        <v>0.38240917782026801</v>
      </c>
    </row>
    <row r="553" spans="1:12" hidden="1">
      <c r="A553" s="931">
        <v>7</v>
      </c>
      <c r="B553" s="1247">
        <v>46062</v>
      </c>
      <c r="C553" s="1249">
        <v>46068</v>
      </c>
      <c r="D553" s="935">
        <v>62</v>
      </c>
      <c r="E553" s="935" t="s">
        <v>728</v>
      </c>
      <c r="F553" s="935" t="s">
        <v>695</v>
      </c>
      <c r="G553" s="935">
        <v>3</v>
      </c>
      <c r="H553" s="935">
        <v>3</v>
      </c>
      <c r="I553" s="935" t="s">
        <v>670</v>
      </c>
      <c r="J553" s="936">
        <v>8.2424242424242404</v>
      </c>
      <c r="K553" s="936">
        <v>24.727272727272702</v>
      </c>
      <c r="L553" s="939">
        <v>0.28680688336520099</v>
      </c>
    </row>
    <row r="554" spans="1:12" hidden="1">
      <c r="A554" s="931">
        <v>7</v>
      </c>
      <c r="B554" s="1246">
        <v>46062</v>
      </c>
      <c r="C554" s="1248">
        <v>46068</v>
      </c>
      <c r="D554" s="933">
        <v>63</v>
      </c>
      <c r="E554" s="933" t="s">
        <v>787</v>
      </c>
      <c r="F554" s="933" t="s">
        <v>713</v>
      </c>
      <c r="G554" s="933">
        <v>3</v>
      </c>
      <c r="H554" s="933">
        <v>3</v>
      </c>
      <c r="I554" s="933" t="s">
        <v>670</v>
      </c>
      <c r="J554" s="934">
        <v>4.3181818181818201</v>
      </c>
      <c r="K554" s="934">
        <v>12.9545454545454</v>
      </c>
      <c r="L554" s="938">
        <v>0.28680688336520099</v>
      </c>
    </row>
    <row r="555" spans="1:12" hidden="1">
      <c r="A555" s="931">
        <v>7</v>
      </c>
      <c r="B555" s="1247">
        <v>46062</v>
      </c>
      <c r="C555" s="1249">
        <v>46068</v>
      </c>
      <c r="D555" s="935">
        <v>64</v>
      </c>
      <c r="E555" s="935" t="s">
        <v>714</v>
      </c>
      <c r="F555" s="935" t="s">
        <v>251</v>
      </c>
      <c r="G555" s="935">
        <v>3</v>
      </c>
      <c r="H555" s="935">
        <v>3</v>
      </c>
      <c r="I555" s="935" t="s">
        <v>670</v>
      </c>
      <c r="J555" s="936">
        <v>0.939393939393939</v>
      </c>
      <c r="K555" s="936">
        <v>2.8181818181818201</v>
      </c>
      <c r="L555" s="939">
        <v>0.28680688336520099</v>
      </c>
    </row>
    <row r="556" spans="1:12" hidden="1">
      <c r="A556" s="931">
        <v>7</v>
      </c>
      <c r="B556" s="1246">
        <v>46062</v>
      </c>
      <c r="C556" s="1248">
        <v>46068</v>
      </c>
      <c r="D556" s="933">
        <v>65</v>
      </c>
      <c r="E556" s="933" t="s">
        <v>798</v>
      </c>
      <c r="F556" s="933" t="s">
        <v>713</v>
      </c>
      <c r="G556" s="933">
        <v>3</v>
      </c>
      <c r="H556" s="933">
        <v>3</v>
      </c>
      <c r="I556" s="933" t="s">
        <v>670</v>
      </c>
      <c r="J556" s="934">
        <v>5.4090909090909101</v>
      </c>
      <c r="K556" s="934">
        <v>16.227272727272702</v>
      </c>
      <c r="L556" s="938">
        <v>0.28680688336520099</v>
      </c>
    </row>
    <row r="557" spans="1:12" hidden="1">
      <c r="A557" s="931">
        <v>7</v>
      </c>
      <c r="B557" s="1247">
        <v>46062</v>
      </c>
      <c r="C557" s="1249">
        <v>46068</v>
      </c>
      <c r="D557" s="935">
        <v>66</v>
      </c>
      <c r="E557" s="935" t="s">
        <v>705</v>
      </c>
      <c r="F557" s="935" t="s">
        <v>274</v>
      </c>
      <c r="G557" s="935">
        <v>3</v>
      </c>
      <c r="H557" s="935">
        <v>3</v>
      </c>
      <c r="I557" s="935" t="s">
        <v>670</v>
      </c>
      <c r="J557" s="936">
        <v>9.1666666666666696</v>
      </c>
      <c r="K557" s="936">
        <v>27.5</v>
      </c>
      <c r="L557" s="939">
        <v>0.28680688336520099</v>
      </c>
    </row>
    <row r="558" spans="1:12" hidden="1">
      <c r="A558" s="931">
        <v>7</v>
      </c>
      <c r="B558" s="1246">
        <v>46062</v>
      </c>
      <c r="C558" s="1248">
        <v>46068</v>
      </c>
      <c r="D558" s="933">
        <v>67</v>
      </c>
      <c r="E558" s="933" t="s">
        <v>719</v>
      </c>
      <c r="F558" s="933" t="s">
        <v>689</v>
      </c>
      <c r="G558" s="933">
        <v>3</v>
      </c>
      <c r="H558" s="933">
        <v>3</v>
      </c>
      <c r="I558" s="933" t="s">
        <v>670</v>
      </c>
      <c r="J558" s="934">
        <v>11.7272727272727</v>
      </c>
      <c r="K558" s="934">
        <v>35.181818181818201</v>
      </c>
      <c r="L558" s="938">
        <v>0.28680688336520099</v>
      </c>
    </row>
    <row r="559" spans="1:12" hidden="1">
      <c r="A559" s="931">
        <v>7</v>
      </c>
      <c r="B559" s="1247">
        <v>46062</v>
      </c>
      <c r="C559" s="1249">
        <v>46068</v>
      </c>
      <c r="D559" s="935">
        <v>68</v>
      </c>
      <c r="E559" s="935" t="s">
        <v>775</v>
      </c>
      <c r="F559" s="935" t="s">
        <v>695</v>
      </c>
      <c r="G559" s="935">
        <v>3</v>
      </c>
      <c r="H559" s="935">
        <v>3</v>
      </c>
      <c r="I559" s="935" t="s">
        <v>670</v>
      </c>
      <c r="J559" s="936">
        <v>14.4545454545454</v>
      </c>
      <c r="K559" s="936">
        <v>43.363636363636402</v>
      </c>
      <c r="L559" s="939">
        <v>0.28680688336520099</v>
      </c>
    </row>
    <row r="560" spans="1:12" hidden="1">
      <c r="A560" s="931">
        <v>7</v>
      </c>
      <c r="B560" s="1246">
        <v>46062</v>
      </c>
      <c r="C560" s="1248">
        <v>46068</v>
      </c>
      <c r="D560" s="933">
        <v>69</v>
      </c>
      <c r="E560" s="933" t="s">
        <v>686</v>
      </c>
      <c r="F560" s="933" t="s">
        <v>274</v>
      </c>
      <c r="G560" s="933">
        <v>3</v>
      </c>
      <c r="H560" s="933">
        <v>3</v>
      </c>
      <c r="I560" s="933" t="s">
        <v>670</v>
      </c>
      <c r="J560" s="934">
        <v>13.636363636363599</v>
      </c>
      <c r="K560" s="934">
        <v>40.909090909090899</v>
      </c>
      <c r="L560" s="938">
        <v>0.28680688336520099</v>
      </c>
    </row>
    <row r="561" spans="1:12" hidden="1">
      <c r="A561" s="931">
        <v>7</v>
      </c>
      <c r="B561" s="1247">
        <v>46062</v>
      </c>
      <c r="C561" s="1249">
        <v>46068</v>
      </c>
      <c r="D561" s="935">
        <v>70</v>
      </c>
      <c r="E561" s="935" t="s">
        <v>783</v>
      </c>
      <c r="F561" s="935" t="s">
        <v>764</v>
      </c>
      <c r="G561" s="935">
        <v>3</v>
      </c>
      <c r="H561" s="935">
        <v>3</v>
      </c>
      <c r="I561" s="935" t="s">
        <v>670</v>
      </c>
      <c r="J561" s="936">
        <v>9.1666666666666696</v>
      </c>
      <c r="K561" s="936">
        <v>27.5</v>
      </c>
      <c r="L561" s="939">
        <v>0.28680688336520099</v>
      </c>
    </row>
    <row r="562" spans="1:12" hidden="1">
      <c r="A562" s="931">
        <v>7</v>
      </c>
      <c r="B562" s="1246">
        <v>46062</v>
      </c>
      <c r="C562" s="1248">
        <v>46068</v>
      </c>
      <c r="D562" s="933">
        <v>71</v>
      </c>
      <c r="E562" s="933" t="s">
        <v>735</v>
      </c>
      <c r="F562" s="933" t="s">
        <v>730</v>
      </c>
      <c r="G562" s="933">
        <v>2</v>
      </c>
      <c r="H562" s="933">
        <v>2</v>
      </c>
      <c r="I562" s="933" t="s">
        <v>670</v>
      </c>
      <c r="J562" s="934">
        <v>2.8181818181818201</v>
      </c>
      <c r="K562" s="934">
        <v>5.6363636363636402</v>
      </c>
      <c r="L562" s="938">
        <v>0.191204588910134</v>
      </c>
    </row>
    <row r="563" spans="1:12" hidden="1">
      <c r="A563" s="931">
        <v>7</v>
      </c>
      <c r="B563" s="1247">
        <v>46062</v>
      </c>
      <c r="C563" s="1249">
        <v>46068</v>
      </c>
      <c r="D563" s="935">
        <v>72</v>
      </c>
      <c r="E563" s="935" t="s">
        <v>784</v>
      </c>
      <c r="F563" s="935" t="s">
        <v>764</v>
      </c>
      <c r="G563" s="935">
        <v>2</v>
      </c>
      <c r="H563" s="935">
        <v>2</v>
      </c>
      <c r="I563" s="935" t="s">
        <v>670</v>
      </c>
      <c r="J563" s="936">
        <v>13.181818181818199</v>
      </c>
      <c r="K563" s="936">
        <v>26.363636363636399</v>
      </c>
      <c r="L563" s="939">
        <v>0.191204588910134</v>
      </c>
    </row>
    <row r="564" spans="1:12" hidden="1">
      <c r="A564" s="931">
        <v>7</v>
      </c>
      <c r="B564" s="1246">
        <v>46062</v>
      </c>
      <c r="C564" s="1248">
        <v>46068</v>
      </c>
      <c r="D564" s="933">
        <v>73</v>
      </c>
      <c r="E564" s="933" t="s">
        <v>699</v>
      </c>
      <c r="F564" s="933" t="s">
        <v>249</v>
      </c>
      <c r="G564" s="933">
        <v>2</v>
      </c>
      <c r="H564" s="933">
        <v>2</v>
      </c>
      <c r="I564" s="933" t="s">
        <v>670</v>
      </c>
      <c r="J564" s="934">
        <v>0</v>
      </c>
      <c r="K564" s="934">
        <v>0</v>
      </c>
      <c r="L564" s="938">
        <v>0.191204588910134</v>
      </c>
    </row>
    <row r="565" spans="1:12" hidden="1">
      <c r="A565" s="931">
        <v>7</v>
      </c>
      <c r="B565" s="1247">
        <v>46062</v>
      </c>
      <c r="C565" s="1249">
        <v>46068</v>
      </c>
      <c r="D565" s="935">
        <v>74</v>
      </c>
      <c r="E565" s="935" t="s">
        <v>799</v>
      </c>
      <c r="F565" s="935" t="s">
        <v>713</v>
      </c>
      <c r="G565" s="935">
        <v>2</v>
      </c>
      <c r="H565" s="935">
        <v>2</v>
      </c>
      <c r="I565" s="935" t="s">
        <v>670</v>
      </c>
      <c r="J565" s="936">
        <v>3.1818181818181799</v>
      </c>
      <c r="K565" s="936">
        <v>6.3636363636363598</v>
      </c>
      <c r="L565" s="939">
        <v>0.191204588910134</v>
      </c>
    </row>
    <row r="566" spans="1:12" hidden="1">
      <c r="A566" s="931">
        <v>7</v>
      </c>
      <c r="B566" s="1246">
        <v>46062</v>
      </c>
      <c r="C566" s="1248">
        <v>46068</v>
      </c>
      <c r="D566" s="933">
        <v>75</v>
      </c>
      <c r="E566" s="933" t="s">
        <v>696</v>
      </c>
      <c r="F566" s="933" t="s">
        <v>323</v>
      </c>
      <c r="G566" s="933">
        <v>2</v>
      </c>
      <c r="H566" s="933">
        <v>2</v>
      </c>
      <c r="I566" s="933" t="s">
        <v>670</v>
      </c>
      <c r="J566" s="934">
        <v>10.909090909090899</v>
      </c>
      <c r="K566" s="934">
        <v>21.818181818181799</v>
      </c>
      <c r="L566" s="938">
        <v>0.191204588910134</v>
      </c>
    </row>
    <row r="567" spans="1:12" hidden="1">
      <c r="A567" s="931">
        <v>7</v>
      </c>
      <c r="B567" s="1247">
        <v>46062</v>
      </c>
      <c r="C567" s="1249">
        <v>46068</v>
      </c>
      <c r="D567" s="935">
        <v>76</v>
      </c>
      <c r="E567" s="935" t="s">
        <v>692</v>
      </c>
      <c r="F567" s="935" t="s">
        <v>693</v>
      </c>
      <c r="G567" s="935">
        <v>2</v>
      </c>
      <c r="H567" s="935">
        <v>2</v>
      </c>
      <c r="I567" s="935" t="s">
        <v>670</v>
      </c>
      <c r="J567" s="936">
        <v>0</v>
      </c>
      <c r="K567" s="936">
        <v>0</v>
      </c>
      <c r="L567" s="939">
        <v>0.191204588910134</v>
      </c>
    </row>
    <row r="568" spans="1:12" hidden="1">
      <c r="A568" s="931">
        <v>7</v>
      </c>
      <c r="B568" s="1246">
        <v>46062</v>
      </c>
      <c r="C568" s="1248">
        <v>46068</v>
      </c>
      <c r="D568" s="933">
        <v>77</v>
      </c>
      <c r="E568" s="933" t="s">
        <v>711</v>
      </c>
      <c r="F568" s="933" t="s">
        <v>251</v>
      </c>
      <c r="G568" s="933">
        <v>2</v>
      </c>
      <c r="H568" s="933">
        <v>2</v>
      </c>
      <c r="I568" s="933" t="s">
        <v>670</v>
      </c>
      <c r="J568" s="934">
        <v>0</v>
      </c>
      <c r="K568" s="934">
        <v>0</v>
      </c>
      <c r="L568" s="938">
        <v>0.191204588910134</v>
      </c>
    </row>
    <row r="569" spans="1:12" hidden="1">
      <c r="A569" s="931">
        <v>7</v>
      </c>
      <c r="B569" s="1247">
        <v>46062</v>
      </c>
      <c r="C569" s="1249">
        <v>46068</v>
      </c>
      <c r="D569" s="935">
        <v>78</v>
      </c>
      <c r="E569" s="935" t="s">
        <v>710</v>
      </c>
      <c r="F569" s="935" t="s">
        <v>249</v>
      </c>
      <c r="G569" s="935">
        <v>2</v>
      </c>
      <c r="H569" s="935">
        <v>2</v>
      </c>
      <c r="I569" s="935" t="s">
        <v>670</v>
      </c>
      <c r="J569" s="936">
        <v>2.4772727272727302</v>
      </c>
      <c r="K569" s="936">
        <v>4.9545454545454497</v>
      </c>
      <c r="L569" s="939">
        <v>0.191204588910134</v>
      </c>
    </row>
    <row r="570" spans="1:12" hidden="1">
      <c r="A570" s="931">
        <v>7</v>
      </c>
      <c r="B570" s="1246">
        <v>46062</v>
      </c>
      <c r="C570" s="1248">
        <v>46068</v>
      </c>
      <c r="D570" s="933">
        <v>79</v>
      </c>
      <c r="E570" s="933" t="s">
        <v>772</v>
      </c>
      <c r="F570" s="933" t="s">
        <v>730</v>
      </c>
      <c r="G570" s="933">
        <v>1</v>
      </c>
      <c r="H570" s="933">
        <v>1</v>
      </c>
      <c r="I570" s="933" t="s">
        <v>670</v>
      </c>
      <c r="J570" s="934">
        <v>2.9545454545454501</v>
      </c>
      <c r="K570" s="934">
        <v>2.9545454545454501</v>
      </c>
      <c r="L570" s="938">
        <v>9.5602294455066905E-2</v>
      </c>
    </row>
    <row r="571" spans="1:12" hidden="1">
      <c r="A571" s="931">
        <v>7</v>
      </c>
      <c r="B571" s="1247">
        <v>46062</v>
      </c>
      <c r="C571" s="1249">
        <v>46068</v>
      </c>
      <c r="D571" s="935">
        <v>80</v>
      </c>
      <c r="E571" s="935" t="s">
        <v>767</v>
      </c>
      <c r="F571" s="935" t="s">
        <v>251</v>
      </c>
      <c r="G571" s="935">
        <v>1</v>
      </c>
      <c r="H571" s="935">
        <v>1</v>
      </c>
      <c r="I571" s="935" t="s">
        <v>670</v>
      </c>
      <c r="J571" s="936">
        <v>2.4090909090909101</v>
      </c>
      <c r="K571" s="936">
        <v>2.4090909090909101</v>
      </c>
      <c r="L571" s="939">
        <v>9.5602294455066905E-2</v>
      </c>
    </row>
    <row r="572" spans="1:12" hidden="1">
      <c r="A572" s="931">
        <v>7</v>
      </c>
      <c r="B572" s="1246">
        <v>46062</v>
      </c>
      <c r="C572" s="1248">
        <v>46068</v>
      </c>
      <c r="D572" s="933">
        <v>81</v>
      </c>
      <c r="E572" s="933" t="s">
        <v>737</v>
      </c>
      <c r="F572" s="933" t="s">
        <v>249</v>
      </c>
      <c r="G572" s="933">
        <v>1</v>
      </c>
      <c r="H572" s="933">
        <v>1</v>
      </c>
      <c r="I572" s="933" t="s">
        <v>670</v>
      </c>
      <c r="J572" s="934">
        <v>1.5454545454545401</v>
      </c>
      <c r="K572" s="934">
        <v>1.5454545454545401</v>
      </c>
      <c r="L572" s="938">
        <v>9.5602294455066905E-2</v>
      </c>
    </row>
    <row r="573" spans="1:12" hidden="1">
      <c r="A573" s="931">
        <v>7</v>
      </c>
      <c r="B573" s="1247">
        <v>46062</v>
      </c>
      <c r="C573" s="1249">
        <v>46068</v>
      </c>
      <c r="D573" s="935">
        <v>82</v>
      </c>
      <c r="E573" s="935" t="s">
        <v>765</v>
      </c>
      <c r="F573" s="935" t="s">
        <v>256</v>
      </c>
      <c r="G573" s="935">
        <v>1</v>
      </c>
      <c r="H573" s="935">
        <v>1</v>
      </c>
      <c r="I573" s="935" t="s">
        <v>670</v>
      </c>
      <c r="J573" s="936">
        <v>3.5</v>
      </c>
      <c r="K573" s="936">
        <v>3.5</v>
      </c>
      <c r="L573" s="939">
        <v>9.5602294455066905E-2</v>
      </c>
    </row>
    <row r="574" spans="1:12" hidden="1">
      <c r="A574" s="931">
        <v>7</v>
      </c>
      <c r="B574" s="1246">
        <v>46062</v>
      </c>
      <c r="C574" s="1248">
        <v>46068</v>
      </c>
      <c r="D574" s="933">
        <v>83</v>
      </c>
      <c r="E574" s="933" t="s">
        <v>717</v>
      </c>
      <c r="F574" s="933" t="s">
        <v>249</v>
      </c>
      <c r="G574" s="933">
        <v>1</v>
      </c>
      <c r="H574" s="933">
        <v>1</v>
      </c>
      <c r="I574" s="933" t="s">
        <v>670</v>
      </c>
      <c r="J574" s="934">
        <v>2</v>
      </c>
      <c r="K574" s="934">
        <v>2</v>
      </c>
      <c r="L574" s="938">
        <v>9.5602294455066905E-2</v>
      </c>
    </row>
    <row r="575" spans="1:12" hidden="1">
      <c r="A575" s="931">
        <v>7</v>
      </c>
      <c r="B575" s="1247">
        <v>46062</v>
      </c>
      <c r="C575" s="1249">
        <v>46068</v>
      </c>
      <c r="D575" s="935">
        <v>84</v>
      </c>
      <c r="E575" s="935" t="s">
        <v>800</v>
      </c>
      <c r="F575" s="935" t="s">
        <v>268</v>
      </c>
      <c r="G575" s="935">
        <v>1</v>
      </c>
      <c r="H575" s="935">
        <v>1</v>
      </c>
      <c r="I575" s="935" t="s">
        <v>670</v>
      </c>
      <c r="J575" s="936">
        <v>2.6363636363636398</v>
      </c>
      <c r="K575" s="936">
        <v>2.6363636363636398</v>
      </c>
      <c r="L575" s="939">
        <v>9.5602294455066905E-2</v>
      </c>
    </row>
    <row r="576" spans="1:12" hidden="1">
      <c r="A576" s="931">
        <v>7</v>
      </c>
      <c r="B576" s="1246">
        <v>46062</v>
      </c>
      <c r="C576" s="1248">
        <v>46068</v>
      </c>
      <c r="D576" s="933">
        <v>85</v>
      </c>
      <c r="E576" s="933" t="s">
        <v>712</v>
      </c>
      <c r="F576" s="933" t="s">
        <v>713</v>
      </c>
      <c r="G576" s="933">
        <v>1</v>
      </c>
      <c r="H576" s="933">
        <v>1</v>
      </c>
      <c r="I576" s="933" t="s">
        <v>670</v>
      </c>
      <c r="J576" s="934">
        <v>3.1818181818181799</v>
      </c>
      <c r="K576" s="934">
        <v>3.1818181818181799</v>
      </c>
      <c r="L576" s="938">
        <v>9.5602294455066905E-2</v>
      </c>
    </row>
    <row r="577" spans="1:12" hidden="1">
      <c r="A577" s="931">
        <v>7</v>
      </c>
      <c r="B577" s="1247">
        <v>46062</v>
      </c>
      <c r="C577" s="1249">
        <v>46068</v>
      </c>
      <c r="D577" s="935">
        <v>86</v>
      </c>
      <c r="E577" s="935" t="s">
        <v>766</v>
      </c>
      <c r="F577" s="935" t="s">
        <v>253</v>
      </c>
      <c r="G577" s="935">
        <v>1</v>
      </c>
      <c r="H577" s="935">
        <v>1</v>
      </c>
      <c r="I577" s="935" t="s">
        <v>672</v>
      </c>
      <c r="J577" s="936">
        <v>0.90909090909090895</v>
      </c>
      <c r="K577" s="936">
        <v>0.90909090909090895</v>
      </c>
      <c r="L577" s="939">
        <v>9.5602294455066905E-2</v>
      </c>
    </row>
    <row r="578" spans="1:12" hidden="1">
      <c r="A578" s="931">
        <v>7</v>
      </c>
      <c r="B578" s="1246">
        <v>46062</v>
      </c>
      <c r="C578" s="1248">
        <v>46068</v>
      </c>
      <c r="D578" s="933">
        <v>87</v>
      </c>
      <c r="E578" s="933" t="s">
        <v>801</v>
      </c>
      <c r="F578" s="933" t="s">
        <v>713</v>
      </c>
      <c r="G578" s="933">
        <v>1</v>
      </c>
      <c r="H578" s="933">
        <v>1</v>
      </c>
      <c r="I578" s="933" t="s">
        <v>670</v>
      </c>
      <c r="J578" s="934">
        <v>4.4090909090909101</v>
      </c>
      <c r="K578" s="934">
        <v>4.4090909090909101</v>
      </c>
      <c r="L578" s="938">
        <v>9.5602294455066905E-2</v>
      </c>
    </row>
    <row r="579" spans="1:12" hidden="1">
      <c r="A579" s="931">
        <v>7</v>
      </c>
      <c r="B579" s="1247">
        <v>46062</v>
      </c>
      <c r="C579" s="1249">
        <v>46068</v>
      </c>
      <c r="D579" s="935">
        <v>88</v>
      </c>
      <c r="E579" s="935" t="s">
        <v>736</v>
      </c>
      <c r="F579" s="935" t="s">
        <v>251</v>
      </c>
      <c r="G579" s="935">
        <v>1</v>
      </c>
      <c r="H579" s="935">
        <v>1</v>
      </c>
      <c r="I579" s="935" t="s">
        <v>670</v>
      </c>
      <c r="J579" s="936">
        <v>2.2272727272727302</v>
      </c>
      <c r="K579" s="936">
        <v>2.2272727272727302</v>
      </c>
      <c r="L579" s="939">
        <v>9.5602294455066905E-2</v>
      </c>
    </row>
    <row r="580" spans="1:12" hidden="1">
      <c r="A580" s="931">
        <v>7</v>
      </c>
      <c r="B580" s="1246">
        <v>46062</v>
      </c>
      <c r="C580" s="1248">
        <v>46068</v>
      </c>
      <c r="D580" s="933">
        <v>89</v>
      </c>
      <c r="E580" s="933" t="s">
        <v>754</v>
      </c>
      <c r="F580" s="933" t="s">
        <v>713</v>
      </c>
      <c r="G580" s="933">
        <v>1</v>
      </c>
      <c r="H580" s="933">
        <v>1</v>
      </c>
      <c r="I580" s="933" t="s">
        <v>670</v>
      </c>
      <c r="J580" s="934">
        <v>3.8636363636363602</v>
      </c>
      <c r="K580" s="934">
        <v>3.8636363636363602</v>
      </c>
      <c r="L580" s="938">
        <v>9.5602294455066905E-2</v>
      </c>
    </row>
    <row r="581" spans="1:12" hidden="1">
      <c r="A581" s="931">
        <v>7</v>
      </c>
      <c r="B581" s="1247">
        <v>46062</v>
      </c>
      <c r="C581" s="1249">
        <v>46068</v>
      </c>
      <c r="D581" s="935">
        <v>90</v>
      </c>
      <c r="E581" s="935" t="s">
        <v>722</v>
      </c>
      <c r="F581" s="935" t="s">
        <v>251</v>
      </c>
      <c r="G581" s="935">
        <v>1</v>
      </c>
      <c r="H581" s="935">
        <v>1</v>
      </c>
      <c r="I581" s="935" t="s">
        <v>670</v>
      </c>
      <c r="J581" s="936">
        <v>2.4090909090909101</v>
      </c>
      <c r="K581" s="936">
        <v>2.4090909090909101</v>
      </c>
      <c r="L581" s="939">
        <v>9.5602294455066905E-2</v>
      </c>
    </row>
    <row r="582" spans="1:12" hidden="1">
      <c r="A582" s="931">
        <v>7</v>
      </c>
      <c r="B582" s="1246">
        <v>46062</v>
      </c>
      <c r="C582" s="1248">
        <v>46068</v>
      </c>
      <c r="D582" s="933">
        <v>91</v>
      </c>
      <c r="E582" s="933" t="s">
        <v>802</v>
      </c>
      <c r="F582" s="933" t="s">
        <v>713</v>
      </c>
      <c r="G582" s="933">
        <v>1</v>
      </c>
      <c r="H582" s="933">
        <v>1</v>
      </c>
      <c r="I582" s="933" t="s">
        <v>670</v>
      </c>
      <c r="J582" s="934">
        <v>4.1818181818181799</v>
      </c>
      <c r="K582" s="934">
        <v>4.1818181818181799</v>
      </c>
      <c r="L582" s="938">
        <v>9.5602294455066905E-2</v>
      </c>
    </row>
    <row r="583" spans="1:12" hidden="1">
      <c r="A583" s="931">
        <v>7</v>
      </c>
      <c r="B583" s="1247">
        <v>46062</v>
      </c>
      <c r="C583" s="1249">
        <v>46068</v>
      </c>
      <c r="D583" s="935">
        <v>92</v>
      </c>
      <c r="E583" s="935" t="s">
        <v>761</v>
      </c>
      <c r="F583" s="935" t="s">
        <v>730</v>
      </c>
      <c r="G583" s="935">
        <v>1</v>
      </c>
      <c r="H583" s="935">
        <v>1</v>
      </c>
      <c r="I583" s="935" t="s">
        <v>670</v>
      </c>
      <c r="J583" s="936">
        <v>2.8181818181818201</v>
      </c>
      <c r="K583" s="936">
        <v>2.8181818181818201</v>
      </c>
      <c r="L583" s="939">
        <v>9.5602294455066905E-2</v>
      </c>
    </row>
    <row r="584" spans="1:12" hidden="1">
      <c r="A584" s="931">
        <v>7</v>
      </c>
      <c r="B584" s="1246">
        <v>46062</v>
      </c>
      <c r="C584" s="1248">
        <v>46068</v>
      </c>
      <c r="D584" s="933">
        <v>93</v>
      </c>
      <c r="E584" s="933" t="s">
        <v>731</v>
      </c>
      <c r="F584" s="933" t="s">
        <v>251</v>
      </c>
      <c r="G584" s="933">
        <v>1</v>
      </c>
      <c r="H584" s="933">
        <v>1</v>
      </c>
      <c r="I584" s="933" t="s">
        <v>670</v>
      </c>
      <c r="J584" s="934">
        <v>2.4090909090909101</v>
      </c>
      <c r="K584" s="934">
        <v>2.4090909090909101</v>
      </c>
      <c r="L584" s="938">
        <v>9.5602294455066905E-2</v>
      </c>
    </row>
    <row r="585" spans="1:12" hidden="1">
      <c r="A585" s="931">
        <v>7</v>
      </c>
      <c r="B585" s="1247">
        <v>46062</v>
      </c>
      <c r="C585" s="1249">
        <v>46068</v>
      </c>
      <c r="D585" s="935">
        <v>94</v>
      </c>
      <c r="E585" s="935" t="s">
        <v>726</v>
      </c>
      <c r="F585" s="935" t="s">
        <v>323</v>
      </c>
      <c r="G585" s="935">
        <v>1</v>
      </c>
      <c r="H585" s="935">
        <v>1</v>
      </c>
      <c r="I585" s="935" t="s">
        <v>670</v>
      </c>
      <c r="J585" s="936">
        <v>11.5</v>
      </c>
      <c r="K585" s="936">
        <v>11.5</v>
      </c>
      <c r="L585" s="939">
        <v>9.5602294455066905E-2</v>
      </c>
    </row>
    <row r="586" spans="1:12" hidden="1">
      <c r="A586" s="931">
        <v>7</v>
      </c>
      <c r="B586" s="1246">
        <v>46062</v>
      </c>
      <c r="C586" s="1248">
        <v>46068</v>
      </c>
      <c r="D586" s="933">
        <v>95</v>
      </c>
      <c r="E586" s="933" t="s">
        <v>709</v>
      </c>
      <c r="F586" s="933" t="s">
        <v>276</v>
      </c>
      <c r="G586" s="933">
        <v>1</v>
      </c>
      <c r="H586" s="933">
        <v>1</v>
      </c>
      <c r="I586" s="933" t="s">
        <v>672</v>
      </c>
      <c r="J586" s="934">
        <v>3.2272727272727302</v>
      </c>
      <c r="K586" s="934">
        <v>3.2272727272727302</v>
      </c>
      <c r="L586" s="938">
        <v>9.5602294455066905E-2</v>
      </c>
    </row>
    <row r="587" spans="1:12" hidden="1">
      <c r="A587" s="931">
        <v>7</v>
      </c>
      <c r="B587" s="1247">
        <v>46062</v>
      </c>
      <c r="C587" s="1249">
        <v>46068</v>
      </c>
      <c r="D587" s="935">
        <v>96</v>
      </c>
      <c r="E587" s="935" t="s">
        <v>734</v>
      </c>
      <c r="F587" s="935" t="s">
        <v>695</v>
      </c>
      <c r="G587" s="935">
        <v>1</v>
      </c>
      <c r="H587" s="935">
        <v>1</v>
      </c>
      <c r="I587" s="935" t="s">
        <v>670</v>
      </c>
      <c r="J587" s="936">
        <v>18.181818181818201</v>
      </c>
      <c r="K587" s="936">
        <v>18.181818181818201</v>
      </c>
      <c r="L587" s="939">
        <v>9.5602294455066905E-2</v>
      </c>
    </row>
    <row r="588" spans="1:12" hidden="1">
      <c r="A588" s="931">
        <v>7</v>
      </c>
      <c r="B588" s="1246">
        <v>46062</v>
      </c>
      <c r="C588" s="1248">
        <v>46068</v>
      </c>
      <c r="D588" s="933">
        <v>97</v>
      </c>
      <c r="E588" s="933" t="s">
        <v>745</v>
      </c>
      <c r="F588" s="933" t="s">
        <v>275</v>
      </c>
      <c r="G588" s="933">
        <v>1</v>
      </c>
      <c r="H588" s="933">
        <v>1</v>
      </c>
      <c r="I588" s="933" t="s">
        <v>670</v>
      </c>
      <c r="J588" s="934">
        <v>4.7727272727272698</v>
      </c>
      <c r="K588" s="934">
        <v>4.7727272727272698</v>
      </c>
      <c r="L588" s="938">
        <v>9.5602294455066905E-2</v>
      </c>
    </row>
    <row r="589" spans="1:12" hidden="1">
      <c r="A589" s="931">
        <v>7</v>
      </c>
      <c r="B589" s="1247">
        <v>46062</v>
      </c>
      <c r="C589" s="1249">
        <v>46068</v>
      </c>
      <c r="D589" s="935">
        <v>98</v>
      </c>
      <c r="E589" s="935" t="s">
        <v>701</v>
      </c>
      <c r="F589" s="935" t="s">
        <v>689</v>
      </c>
      <c r="G589" s="935">
        <v>1</v>
      </c>
      <c r="H589" s="935">
        <v>1</v>
      </c>
      <c r="I589" s="935" t="s">
        <v>670</v>
      </c>
      <c r="J589" s="936">
        <v>9.9090909090909101</v>
      </c>
      <c r="K589" s="936">
        <v>9.9090909090909101</v>
      </c>
      <c r="L589" s="939">
        <v>9.5602294455066905E-2</v>
      </c>
    </row>
    <row r="590" spans="1:12" hidden="1">
      <c r="A590" s="931">
        <v>7</v>
      </c>
      <c r="B590" s="1246">
        <v>46062</v>
      </c>
      <c r="C590" s="1248">
        <v>46068</v>
      </c>
      <c r="D590" s="933">
        <v>99</v>
      </c>
      <c r="E590" s="933" t="s">
        <v>718</v>
      </c>
      <c r="F590" s="933" t="s">
        <v>275</v>
      </c>
      <c r="G590" s="933">
        <v>1</v>
      </c>
      <c r="H590" s="933">
        <v>1</v>
      </c>
      <c r="I590" s="933" t="s">
        <v>672</v>
      </c>
      <c r="J590" s="934">
        <v>5.2272727272727302</v>
      </c>
      <c r="K590" s="934">
        <v>5.2272727272727302</v>
      </c>
      <c r="L590" s="938">
        <v>9.5602294455066905E-2</v>
      </c>
    </row>
    <row r="591" spans="1:12" hidden="1">
      <c r="A591" s="931">
        <v>7</v>
      </c>
      <c r="B591" s="1247">
        <v>46062</v>
      </c>
      <c r="C591" s="1249">
        <v>46068</v>
      </c>
      <c r="D591" s="935">
        <v>100</v>
      </c>
      <c r="E591" s="935" t="s">
        <v>803</v>
      </c>
      <c r="F591" s="935" t="s">
        <v>764</v>
      </c>
      <c r="G591" s="935">
        <v>1</v>
      </c>
      <c r="H591" s="935">
        <v>1</v>
      </c>
      <c r="I591" s="935" t="s">
        <v>670</v>
      </c>
      <c r="J591" s="936">
        <v>9.0909090909090899</v>
      </c>
      <c r="K591" s="936">
        <v>9.0909090909090899</v>
      </c>
      <c r="L591" s="939">
        <v>9.5602294455066905E-2</v>
      </c>
    </row>
    <row r="592" spans="1:12" hidden="1">
      <c r="A592" s="931">
        <v>7</v>
      </c>
      <c r="B592" s="1246">
        <v>46062</v>
      </c>
      <c r="C592" s="1248">
        <v>46068</v>
      </c>
      <c r="D592" s="933">
        <v>101</v>
      </c>
      <c r="E592" s="933" t="s">
        <v>804</v>
      </c>
      <c r="F592" s="933" t="s">
        <v>253</v>
      </c>
      <c r="G592" s="933">
        <v>1</v>
      </c>
      <c r="H592" s="933">
        <v>1</v>
      </c>
      <c r="I592" s="933" t="s">
        <v>670</v>
      </c>
      <c r="J592" s="934">
        <v>2.6818181818181799</v>
      </c>
      <c r="K592" s="934">
        <v>2.6818181818181799</v>
      </c>
      <c r="L592" s="938">
        <v>9.5602294455066905E-2</v>
      </c>
    </row>
    <row r="593" spans="1:12" hidden="1">
      <c r="A593" s="931">
        <v>7</v>
      </c>
      <c r="B593" s="1247">
        <v>46062</v>
      </c>
      <c r="C593" s="1249">
        <v>46068</v>
      </c>
      <c r="D593" s="935">
        <v>102</v>
      </c>
      <c r="E593" s="935" t="s">
        <v>786</v>
      </c>
      <c r="F593" s="935" t="s">
        <v>249</v>
      </c>
      <c r="G593" s="935">
        <v>1</v>
      </c>
      <c r="H593" s="935">
        <v>1</v>
      </c>
      <c r="I593" s="935" t="s">
        <v>670</v>
      </c>
      <c r="J593" s="936">
        <v>0</v>
      </c>
      <c r="K593" s="936">
        <v>0</v>
      </c>
      <c r="L593" s="939">
        <v>9.5602294455066905E-2</v>
      </c>
    </row>
    <row r="594" spans="1:12" hidden="1">
      <c r="A594" s="931">
        <v>7</v>
      </c>
      <c r="B594" s="1246">
        <v>46062</v>
      </c>
      <c r="C594" s="1248">
        <v>46068</v>
      </c>
      <c r="D594" s="933">
        <v>103</v>
      </c>
      <c r="E594" s="933" t="s">
        <v>757</v>
      </c>
      <c r="F594" s="933" t="s">
        <v>251</v>
      </c>
      <c r="G594" s="933">
        <v>1</v>
      </c>
      <c r="H594" s="933">
        <v>1</v>
      </c>
      <c r="I594" s="933" t="s">
        <v>670</v>
      </c>
      <c r="J594" s="934">
        <v>2.5</v>
      </c>
      <c r="K594" s="934">
        <v>2.5</v>
      </c>
      <c r="L594" s="938">
        <v>9.5602294455066905E-2</v>
      </c>
    </row>
    <row r="595" spans="1:12" hidden="1">
      <c r="A595" s="931">
        <v>7</v>
      </c>
      <c r="B595" s="1247">
        <v>46062</v>
      </c>
      <c r="C595" s="1249">
        <v>46068</v>
      </c>
      <c r="D595" s="935">
        <v>104</v>
      </c>
      <c r="E595" s="935" t="s">
        <v>747</v>
      </c>
      <c r="F595" s="935" t="s">
        <v>256</v>
      </c>
      <c r="G595" s="935">
        <v>1</v>
      </c>
      <c r="H595" s="935">
        <v>1</v>
      </c>
      <c r="I595" s="935" t="s">
        <v>670</v>
      </c>
      <c r="J595" s="936">
        <v>7.7272727272727302</v>
      </c>
      <c r="K595" s="936">
        <v>7.7272727272727302</v>
      </c>
      <c r="L595" s="939">
        <v>9.5602294455066905E-2</v>
      </c>
    </row>
    <row r="596" spans="1:12" hidden="1">
      <c r="A596" s="931">
        <v>7</v>
      </c>
      <c r="B596" s="1246">
        <v>46062</v>
      </c>
      <c r="C596" s="1248">
        <v>46068</v>
      </c>
      <c r="D596" s="933">
        <v>105</v>
      </c>
      <c r="E596" s="933" t="s">
        <v>690</v>
      </c>
      <c r="F596" s="933" t="s">
        <v>275</v>
      </c>
      <c r="G596" s="933">
        <v>1</v>
      </c>
      <c r="H596" s="933">
        <v>1</v>
      </c>
      <c r="I596" s="933" t="s">
        <v>670</v>
      </c>
      <c r="J596" s="934">
        <v>5.9090909090909101</v>
      </c>
      <c r="K596" s="934">
        <v>5.9090909090909101</v>
      </c>
      <c r="L596" s="938">
        <v>9.5602294455066905E-2</v>
      </c>
    </row>
    <row r="597" spans="1:12" hidden="1">
      <c r="A597" s="931">
        <v>8</v>
      </c>
      <c r="B597" s="1247">
        <v>46069</v>
      </c>
      <c r="C597" s="1249">
        <v>46075</v>
      </c>
      <c r="D597" s="935">
        <v>1</v>
      </c>
      <c r="E597" s="935" t="s">
        <v>259</v>
      </c>
      <c r="F597" s="935" t="s">
        <v>249</v>
      </c>
      <c r="G597" s="935">
        <v>74</v>
      </c>
      <c r="H597" s="935">
        <v>74</v>
      </c>
      <c r="I597" s="935" t="s">
        <v>670</v>
      </c>
      <c r="J597" s="936">
        <v>1.3230958230958201</v>
      </c>
      <c r="K597" s="936">
        <v>97.909090909090907</v>
      </c>
      <c r="L597" s="939">
        <v>7.4446680080482901</v>
      </c>
    </row>
    <row r="598" spans="1:12" hidden="1">
      <c r="A598" s="931">
        <v>8</v>
      </c>
      <c r="B598" s="1246">
        <v>46069</v>
      </c>
      <c r="C598" s="1248">
        <v>46075</v>
      </c>
      <c r="D598" s="933">
        <v>2</v>
      </c>
      <c r="E598" s="933" t="s">
        <v>790</v>
      </c>
      <c r="F598" s="933" t="s">
        <v>264</v>
      </c>
      <c r="G598" s="933">
        <v>71</v>
      </c>
      <c r="H598" s="933">
        <v>71</v>
      </c>
      <c r="I598" s="933" t="s">
        <v>670</v>
      </c>
      <c r="J598" s="934">
        <v>3.2330345710627402</v>
      </c>
      <c r="K598" s="934">
        <v>229.54545454545499</v>
      </c>
      <c r="L598" s="938">
        <v>7.1428571428571397</v>
      </c>
    </row>
    <row r="599" spans="1:12" hidden="1">
      <c r="A599" s="931">
        <v>8</v>
      </c>
      <c r="B599" s="1247">
        <v>46069</v>
      </c>
      <c r="C599" s="1249">
        <v>46075</v>
      </c>
      <c r="D599" s="935">
        <v>3</v>
      </c>
      <c r="E599" s="935" t="s">
        <v>248</v>
      </c>
      <c r="F599" s="935" t="s">
        <v>249</v>
      </c>
      <c r="G599" s="935">
        <v>70</v>
      </c>
      <c r="H599" s="935">
        <v>70</v>
      </c>
      <c r="I599" s="935" t="s">
        <v>670</v>
      </c>
      <c r="J599" s="936">
        <v>1.4415584415584399</v>
      </c>
      <c r="K599" s="936">
        <v>100.90909090909101</v>
      </c>
      <c r="L599" s="939">
        <v>7.0422535211267601</v>
      </c>
    </row>
    <row r="600" spans="1:12" hidden="1">
      <c r="A600" s="931">
        <v>8</v>
      </c>
      <c r="B600" s="1246">
        <v>46069</v>
      </c>
      <c r="C600" s="1248">
        <v>46075</v>
      </c>
      <c r="D600" s="933">
        <v>4</v>
      </c>
      <c r="E600" s="933" t="s">
        <v>250</v>
      </c>
      <c r="F600" s="933" t="s">
        <v>251</v>
      </c>
      <c r="G600" s="933">
        <v>70</v>
      </c>
      <c r="H600" s="933">
        <v>70</v>
      </c>
      <c r="I600" s="933" t="s">
        <v>670</v>
      </c>
      <c r="J600" s="934">
        <v>1.68831168831169</v>
      </c>
      <c r="K600" s="934">
        <v>118.181818181818</v>
      </c>
      <c r="L600" s="938">
        <v>7.0422535211267601</v>
      </c>
    </row>
    <row r="601" spans="1:12" hidden="1">
      <c r="A601" s="931">
        <v>8</v>
      </c>
      <c r="B601" s="1247">
        <v>46069</v>
      </c>
      <c r="C601" s="1249">
        <v>46075</v>
      </c>
      <c r="D601" s="935">
        <v>5</v>
      </c>
      <c r="E601" s="935" t="s">
        <v>261</v>
      </c>
      <c r="F601" s="935" t="s">
        <v>256</v>
      </c>
      <c r="G601" s="935">
        <v>62</v>
      </c>
      <c r="H601" s="935">
        <v>62</v>
      </c>
      <c r="I601" s="935" t="s">
        <v>670</v>
      </c>
      <c r="J601" s="936">
        <v>2.7565982404692102</v>
      </c>
      <c r="K601" s="936">
        <v>170.90909090909099</v>
      </c>
      <c r="L601" s="939">
        <v>6.2374245472837</v>
      </c>
    </row>
    <row r="602" spans="1:12" hidden="1">
      <c r="A602" s="931">
        <v>8</v>
      </c>
      <c r="B602" s="1246">
        <v>46069</v>
      </c>
      <c r="C602" s="1248">
        <v>46075</v>
      </c>
      <c r="D602" s="933">
        <v>6</v>
      </c>
      <c r="E602" s="933" t="s">
        <v>255</v>
      </c>
      <c r="F602" s="933" t="s">
        <v>256</v>
      </c>
      <c r="G602" s="933">
        <v>55</v>
      </c>
      <c r="H602" s="933">
        <v>55</v>
      </c>
      <c r="I602" s="933" t="s">
        <v>670</v>
      </c>
      <c r="J602" s="934">
        <v>5.1735537190082601</v>
      </c>
      <c r="K602" s="934">
        <v>284.54545454545399</v>
      </c>
      <c r="L602" s="938">
        <v>5.5331991951710302</v>
      </c>
    </row>
    <row r="603" spans="1:12" hidden="1">
      <c r="A603" s="931">
        <v>8</v>
      </c>
      <c r="B603" s="1247">
        <v>46069</v>
      </c>
      <c r="C603" s="1249">
        <v>46075</v>
      </c>
      <c r="D603" s="935">
        <v>7</v>
      </c>
      <c r="E603" s="935" t="s">
        <v>680</v>
      </c>
      <c r="F603" s="935" t="s">
        <v>251</v>
      </c>
      <c r="G603" s="935">
        <v>46</v>
      </c>
      <c r="H603" s="935">
        <v>46</v>
      </c>
      <c r="I603" s="935" t="s">
        <v>670</v>
      </c>
      <c r="J603" s="936">
        <v>2.39723320158103</v>
      </c>
      <c r="K603" s="936">
        <v>110.272727272727</v>
      </c>
      <c r="L603" s="939">
        <v>4.6277665995975896</v>
      </c>
    </row>
    <row r="604" spans="1:12" hidden="1">
      <c r="A604" s="931">
        <v>8</v>
      </c>
      <c r="B604" s="1246">
        <v>46069</v>
      </c>
      <c r="C604" s="1248">
        <v>46075</v>
      </c>
      <c r="D604" s="933">
        <v>8</v>
      </c>
      <c r="E604" s="933" t="s">
        <v>679</v>
      </c>
      <c r="F604" s="933" t="s">
        <v>256</v>
      </c>
      <c r="G604" s="933">
        <v>26</v>
      </c>
      <c r="H604" s="933">
        <v>26</v>
      </c>
      <c r="I604" s="933" t="s">
        <v>670</v>
      </c>
      <c r="J604" s="934">
        <v>9.1171328671328702</v>
      </c>
      <c r="K604" s="934">
        <v>237.04545454545499</v>
      </c>
      <c r="L604" s="938">
        <v>2.6156941649899399</v>
      </c>
    </row>
    <row r="605" spans="1:12" hidden="1">
      <c r="A605" s="931">
        <v>8</v>
      </c>
      <c r="B605" s="1247">
        <v>46069</v>
      </c>
      <c r="C605" s="1249">
        <v>46075</v>
      </c>
      <c r="D605" s="935">
        <v>9</v>
      </c>
      <c r="E605" s="935" t="s">
        <v>262</v>
      </c>
      <c r="F605" s="935" t="s">
        <v>256</v>
      </c>
      <c r="G605" s="935">
        <v>26</v>
      </c>
      <c r="H605" s="935">
        <v>26</v>
      </c>
      <c r="I605" s="935" t="s">
        <v>670</v>
      </c>
      <c r="J605" s="936">
        <v>10.8793706293706</v>
      </c>
      <c r="K605" s="936">
        <v>282.86363636363598</v>
      </c>
      <c r="L605" s="939">
        <v>2.6156941649899399</v>
      </c>
    </row>
    <row r="606" spans="1:12">
      <c r="A606" s="931">
        <v>8</v>
      </c>
      <c r="B606" s="1246">
        <v>46069</v>
      </c>
      <c r="C606" s="1248">
        <v>46075</v>
      </c>
      <c r="D606" s="933">
        <v>10</v>
      </c>
      <c r="E606" s="933" t="s">
        <v>806</v>
      </c>
      <c r="F606" s="933" t="s">
        <v>256</v>
      </c>
      <c r="G606" s="933">
        <v>23</v>
      </c>
      <c r="H606" s="933">
        <v>23</v>
      </c>
      <c r="I606" s="933" t="s">
        <v>670</v>
      </c>
      <c r="J606" s="934">
        <v>-5.33596837944664E-2</v>
      </c>
      <c r="K606" s="934">
        <v>-1.22727272727273</v>
      </c>
      <c r="L606" s="938">
        <v>2.3138832997987899</v>
      </c>
    </row>
    <row r="607" spans="1:12" hidden="1">
      <c r="A607" s="931">
        <v>8</v>
      </c>
      <c r="B607" s="1247">
        <v>46069</v>
      </c>
      <c r="C607" s="1249">
        <v>46075</v>
      </c>
      <c r="D607" s="935">
        <v>11</v>
      </c>
      <c r="E607" s="935" t="s">
        <v>791</v>
      </c>
      <c r="F607" s="935" t="s">
        <v>256</v>
      </c>
      <c r="G607" s="935">
        <v>23</v>
      </c>
      <c r="H607" s="935">
        <v>23</v>
      </c>
      <c r="I607" s="935" t="s">
        <v>670</v>
      </c>
      <c r="J607" s="936">
        <v>5.0790513833992099</v>
      </c>
      <c r="K607" s="936">
        <v>116.818181818182</v>
      </c>
      <c r="L607" s="939">
        <v>2.3138832997987899</v>
      </c>
    </row>
    <row r="608" spans="1:12" hidden="1">
      <c r="A608" s="931">
        <v>8</v>
      </c>
      <c r="B608" s="1246">
        <v>46069</v>
      </c>
      <c r="C608" s="1248">
        <v>46075</v>
      </c>
      <c r="D608" s="933">
        <v>12</v>
      </c>
      <c r="E608" s="933" t="s">
        <v>673</v>
      </c>
      <c r="F608" s="933" t="s">
        <v>251</v>
      </c>
      <c r="G608" s="933">
        <v>20</v>
      </c>
      <c r="H608" s="933">
        <v>20</v>
      </c>
      <c r="I608" s="933" t="s">
        <v>670</v>
      </c>
      <c r="J608" s="934">
        <v>2.4249999999999998</v>
      </c>
      <c r="K608" s="934">
        <v>48.5</v>
      </c>
      <c r="L608" s="938">
        <v>2.0120724346076502</v>
      </c>
    </row>
    <row r="609" spans="1:12" hidden="1">
      <c r="A609" s="931">
        <v>8</v>
      </c>
      <c r="B609" s="1247">
        <v>46069</v>
      </c>
      <c r="C609" s="1249">
        <v>46075</v>
      </c>
      <c r="D609" s="935">
        <v>13</v>
      </c>
      <c r="E609" s="935" t="s">
        <v>678</v>
      </c>
      <c r="F609" s="935" t="s">
        <v>256</v>
      </c>
      <c r="G609" s="935">
        <v>20</v>
      </c>
      <c r="H609" s="935">
        <v>20</v>
      </c>
      <c r="I609" s="935" t="s">
        <v>670</v>
      </c>
      <c r="J609" s="936">
        <v>6.375</v>
      </c>
      <c r="K609" s="936">
        <v>127.5</v>
      </c>
      <c r="L609" s="939">
        <v>2.0120724346076502</v>
      </c>
    </row>
    <row r="610" spans="1:12" hidden="1">
      <c r="A610" s="931">
        <v>8</v>
      </c>
      <c r="B610" s="1246">
        <v>46069</v>
      </c>
      <c r="C610" s="1248">
        <v>46075</v>
      </c>
      <c r="D610" s="933">
        <v>14</v>
      </c>
      <c r="E610" s="933" t="s">
        <v>254</v>
      </c>
      <c r="F610" s="933" t="s">
        <v>254</v>
      </c>
      <c r="G610" s="933">
        <v>16</v>
      </c>
      <c r="H610" s="933">
        <v>16</v>
      </c>
      <c r="I610" s="933" t="s">
        <v>670</v>
      </c>
      <c r="J610" s="934">
        <v>13.545454545454501</v>
      </c>
      <c r="K610" s="934">
        <v>216.727272727273</v>
      </c>
      <c r="L610" s="938">
        <v>1.6096579476861199</v>
      </c>
    </row>
    <row r="611" spans="1:12" hidden="1">
      <c r="A611" s="931">
        <v>8</v>
      </c>
      <c r="B611" s="1247">
        <v>46069</v>
      </c>
      <c r="C611" s="1249">
        <v>46075</v>
      </c>
      <c r="D611" s="935">
        <v>15</v>
      </c>
      <c r="E611" s="935" t="s">
        <v>792</v>
      </c>
      <c r="F611" s="935" t="s">
        <v>256</v>
      </c>
      <c r="G611" s="935">
        <v>15</v>
      </c>
      <c r="H611" s="935">
        <v>15</v>
      </c>
      <c r="I611" s="935" t="s">
        <v>670</v>
      </c>
      <c r="J611" s="936">
        <v>12.696969696969701</v>
      </c>
      <c r="K611" s="936">
        <v>190.45454545454501</v>
      </c>
      <c r="L611" s="939">
        <v>1.5090543259557301</v>
      </c>
    </row>
    <row r="612" spans="1:12" hidden="1">
      <c r="A612" s="931">
        <v>8</v>
      </c>
      <c r="B612" s="1246">
        <v>46069</v>
      </c>
      <c r="C612" s="1248">
        <v>46075</v>
      </c>
      <c r="D612" s="933">
        <v>16</v>
      </c>
      <c r="E612" s="933" t="s">
        <v>681</v>
      </c>
      <c r="F612" s="933" t="s">
        <v>282</v>
      </c>
      <c r="G612" s="933">
        <v>15</v>
      </c>
      <c r="H612" s="933">
        <v>15</v>
      </c>
      <c r="I612" s="933" t="s">
        <v>672</v>
      </c>
      <c r="J612" s="934">
        <v>4.54545454545454E-2</v>
      </c>
      <c r="K612" s="934">
        <v>0.68181818181818199</v>
      </c>
      <c r="L612" s="938">
        <v>1.5090543259557301</v>
      </c>
    </row>
    <row r="613" spans="1:12" hidden="1">
      <c r="A613" s="931">
        <v>8</v>
      </c>
      <c r="B613" s="1247">
        <v>46069</v>
      </c>
      <c r="C613" s="1249">
        <v>46075</v>
      </c>
      <c r="D613" s="935">
        <v>17</v>
      </c>
      <c r="E613" s="935" t="s">
        <v>698</v>
      </c>
      <c r="F613" s="935" t="s">
        <v>249</v>
      </c>
      <c r="G613" s="935">
        <v>14</v>
      </c>
      <c r="H613" s="935">
        <v>14</v>
      </c>
      <c r="I613" s="935" t="s">
        <v>670</v>
      </c>
      <c r="J613" s="936">
        <v>2.3474025974026</v>
      </c>
      <c r="K613" s="936">
        <v>32.863636363636402</v>
      </c>
      <c r="L613" s="939">
        <v>1.40845070422535</v>
      </c>
    </row>
    <row r="614" spans="1:12" hidden="1">
      <c r="A614" s="931">
        <v>8</v>
      </c>
      <c r="B614" s="1246">
        <v>46069</v>
      </c>
      <c r="C614" s="1248">
        <v>46075</v>
      </c>
      <c r="D614" s="933">
        <v>18</v>
      </c>
      <c r="E614" s="933" t="s">
        <v>686</v>
      </c>
      <c r="F614" s="933" t="s">
        <v>274</v>
      </c>
      <c r="G614" s="933">
        <v>13</v>
      </c>
      <c r="H614" s="933">
        <v>13</v>
      </c>
      <c r="I614" s="933" t="s">
        <v>670</v>
      </c>
      <c r="J614" s="934">
        <v>13.6713286713287</v>
      </c>
      <c r="K614" s="934">
        <v>177.727272727273</v>
      </c>
      <c r="L614" s="938">
        <v>1.3078470824949699</v>
      </c>
    </row>
    <row r="615" spans="1:12" hidden="1">
      <c r="A615" s="931">
        <v>8</v>
      </c>
      <c r="B615" s="1247">
        <v>46069</v>
      </c>
      <c r="C615" s="1249">
        <v>46075</v>
      </c>
      <c r="D615" s="935">
        <v>19</v>
      </c>
      <c r="E615" s="935" t="s">
        <v>707</v>
      </c>
      <c r="F615" s="935" t="s">
        <v>256</v>
      </c>
      <c r="G615" s="935">
        <v>12</v>
      </c>
      <c r="H615" s="935">
        <v>12</v>
      </c>
      <c r="I615" s="935" t="s">
        <v>670</v>
      </c>
      <c r="J615" s="936">
        <v>8.6553030303030294</v>
      </c>
      <c r="K615" s="936">
        <v>103.863636363636</v>
      </c>
      <c r="L615" s="939">
        <v>1.2072434607645901</v>
      </c>
    </row>
    <row r="616" spans="1:12" hidden="1">
      <c r="A616" s="931">
        <v>8</v>
      </c>
      <c r="B616" s="1246">
        <v>46069</v>
      </c>
      <c r="C616" s="1248">
        <v>46075</v>
      </c>
      <c r="D616" s="933">
        <v>20</v>
      </c>
      <c r="E616" s="933" t="s">
        <v>682</v>
      </c>
      <c r="F616" s="933" t="s">
        <v>275</v>
      </c>
      <c r="G616" s="933">
        <v>12</v>
      </c>
      <c r="H616" s="933">
        <v>12</v>
      </c>
      <c r="I616" s="933" t="s">
        <v>670</v>
      </c>
      <c r="J616" s="934">
        <v>5.9280303030303001</v>
      </c>
      <c r="K616" s="934">
        <v>71.136363636363598</v>
      </c>
      <c r="L616" s="938">
        <v>1.2072434607645901</v>
      </c>
    </row>
    <row r="617" spans="1:12" hidden="1">
      <c r="A617" s="931">
        <v>8</v>
      </c>
      <c r="B617" s="1247">
        <v>46069</v>
      </c>
      <c r="C617" s="1249">
        <v>46075</v>
      </c>
      <c r="D617" s="935">
        <v>21</v>
      </c>
      <c r="E617" s="935" t="s">
        <v>738</v>
      </c>
      <c r="F617" s="935" t="s">
        <v>256</v>
      </c>
      <c r="G617" s="935">
        <v>11</v>
      </c>
      <c r="H617" s="935">
        <v>11</v>
      </c>
      <c r="I617" s="935" t="s">
        <v>670</v>
      </c>
      <c r="J617" s="936">
        <v>7.2024793388429798</v>
      </c>
      <c r="K617" s="936">
        <v>79.227272727272705</v>
      </c>
      <c r="L617" s="939">
        <v>1.1066398390342</v>
      </c>
    </row>
    <row r="618" spans="1:12" hidden="1">
      <c r="A618" s="931">
        <v>8</v>
      </c>
      <c r="B618" s="1246">
        <v>46069</v>
      </c>
      <c r="C618" s="1248">
        <v>46075</v>
      </c>
      <c r="D618" s="933">
        <v>22</v>
      </c>
      <c r="E618" s="933" t="s">
        <v>780</v>
      </c>
      <c r="F618" s="933" t="s">
        <v>268</v>
      </c>
      <c r="G618" s="933">
        <v>11</v>
      </c>
      <c r="H618" s="933">
        <v>11</v>
      </c>
      <c r="I618" s="933" t="s">
        <v>670</v>
      </c>
      <c r="J618" s="934">
        <v>1.36363636363636</v>
      </c>
      <c r="K618" s="934">
        <v>15</v>
      </c>
      <c r="L618" s="938">
        <v>1.1066398390342</v>
      </c>
    </row>
    <row r="619" spans="1:12" hidden="1">
      <c r="A619" s="931">
        <v>8</v>
      </c>
      <c r="B619" s="1247">
        <v>46069</v>
      </c>
      <c r="C619" s="1249">
        <v>46075</v>
      </c>
      <c r="D619" s="935">
        <v>23</v>
      </c>
      <c r="E619" s="935" t="s">
        <v>697</v>
      </c>
      <c r="F619" s="935" t="s">
        <v>256</v>
      </c>
      <c r="G619" s="935">
        <v>10</v>
      </c>
      <c r="H619" s="935">
        <v>10</v>
      </c>
      <c r="I619" s="935" t="s">
        <v>670</v>
      </c>
      <c r="J619" s="936">
        <v>9.9090909090909101</v>
      </c>
      <c r="K619" s="936">
        <v>99.090909090909093</v>
      </c>
      <c r="L619" s="939">
        <v>1.00603621730382</v>
      </c>
    </row>
    <row r="620" spans="1:12" hidden="1">
      <c r="A620" s="931">
        <v>8</v>
      </c>
      <c r="B620" s="1246">
        <v>46069</v>
      </c>
      <c r="C620" s="1248">
        <v>46075</v>
      </c>
      <c r="D620" s="933">
        <v>24</v>
      </c>
      <c r="E620" s="933" t="s">
        <v>704</v>
      </c>
      <c r="F620" s="933" t="s">
        <v>689</v>
      </c>
      <c r="G620" s="933">
        <v>9</v>
      </c>
      <c r="H620" s="933">
        <v>9</v>
      </c>
      <c r="I620" s="933" t="s">
        <v>670</v>
      </c>
      <c r="J620" s="934">
        <v>11.752525252525301</v>
      </c>
      <c r="K620" s="934">
        <v>105.772727272727</v>
      </c>
      <c r="L620" s="938">
        <v>0.90543259557344102</v>
      </c>
    </row>
    <row r="621" spans="1:12" hidden="1">
      <c r="A621" s="931">
        <v>8</v>
      </c>
      <c r="B621" s="1247">
        <v>46069</v>
      </c>
      <c r="C621" s="1249">
        <v>46075</v>
      </c>
      <c r="D621" s="935">
        <v>25</v>
      </c>
      <c r="E621" s="935" t="s">
        <v>794</v>
      </c>
      <c r="F621" s="935" t="s">
        <v>256</v>
      </c>
      <c r="G621" s="935">
        <v>9</v>
      </c>
      <c r="H621" s="935">
        <v>9</v>
      </c>
      <c r="I621" s="935" t="s">
        <v>670</v>
      </c>
      <c r="J621" s="936">
        <v>6.8434343434343399</v>
      </c>
      <c r="K621" s="936">
        <v>61.590909090909101</v>
      </c>
      <c r="L621" s="939">
        <v>0.90543259557344102</v>
      </c>
    </row>
    <row r="622" spans="1:12" hidden="1">
      <c r="A622" s="931">
        <v>8</v>
      </c>
      <c r="B622" s="1246">
        <v>46069</v>
      </c>
      <c r="C622" s="1248">
        <v>46075</v>
      </c>
      <c r="D622" s="933">
        <v>26</v>
      </c>
      <c r="E622" s="933" t="s">
        <v>781</v>
      </c>
      <c r="F622" s="933" t="s">
        <v>764</v>
      </c>
      <c r="G622" s="933">
        <v>9</v>
      </c>
      <c r="H622" s="933">
        <v>9</v>
      </c>
      <c r="I622" s="933" t="s">
        <v>670</v>
      </c>
      <c r="J622" s="934">
        <v>14.5050505050505</v>
      </c>
      <c r="K622" s="934">
        <v>130.54545454545499</v>
      </c>
      <c r="L622" s="938">
        <v>0.90543259557344102</v>
      </c>
    </row>
    <row r="623" spans="1:12" hidden="1">
      <c r="A623" s="931">
        <v>8</v>
      </c>
      <c r="B623" s="1247">
        <v>46069</v>
      </c>
      <c r="C623" s="1249">
        <v>46075</v>
      </c>
      <c r="D623" s="935">
        <v>27</v>
      </c>
      <c r="E623" s="935" t="s">
        <v>671</v>
      </c>
      <c r="F623" s="935" t="s">
        <v>276</v>
      </c>
      <c r="G623" s="935">
        <v>9</v>
      </c>
      <c r="H623" s="935">
        <v>9</v>
      </c>
      <c r="I623" s="935" t="s">
        <v>672</v>
      </c>
      <c r="J623" s="936">
        <v>2.8989898989899001</v>
      </c>
      <c r="K623" s="936">
        <v>26.090909090909101</v>
      </c>
      <c r="L623" s="939">
        <v>0.90543259557344102</v>
      </c>
    </row>
    <row r="624" spans="1:12" hidden="1">
      <c r="A624" s="931">
        <v>8</v>
      </c>
      <c r="B624" s="1246">
        <v>46069</v>
      </c>
      <c r="C624" s="1248">
        <v>46075</v>
      </c>
      <c r="D624" s="933">
        <v>28</v>
      </c>
      <c r="E624" s="933" t="s">
        <v>676</v>
      </c>
      <c r="F624" s="933" t="s">
        <v>253</v>
      </c>
      <c r="G624" s="933">
        <v>9</v>
      </c>
      <c r="H624" s="933">
        <v>9</v>
      </c>
      <c r="I624" s="933" t="s">
        <v>670</v>
      </c>
      <c r="J624" s="934">
        <v>2.7121212121212102</v>
      </c>
      <c r="K624" s="934">
        <v>24.409090909090899</v>
      </c>
      <c r="L624" s="938">
        <v>0.90543259557344102</v>
      </c>
    </row>
    <row r="625" spans="1:12" hidden="1">
      <c r="A625" s="931">
        <v>8</v>
      </c>
      <c r="B625" s="1247">
        <v>46069</v>
      </c>
      <c r="C625" s="1249">
        <v>46075</v>
      </c>
      <c r="D625" s="935">
        <v>29</v>
      </c>
      <c r="E625" s="935" t="s">
        <v>716</v>
      </c>
      <c r="F625" s="935" t="s">
        <v>251</v>
      </c>
      <c r="G625" s="935">
        <v>8</v>
      </c>
      <c r="H625" s="935">
        <v>8</v>
      </c>
      <c r="I625" s="935" t="s">
        <v>670</v>
      </c>
      <c r="J625" s="936">
        <v>0</v>
      </c>
      <c r="K625" s="936">
        <v>0</v>
      </c>
      <c r="L625" s="939">
        <v>0.80482897384305796</v>
      </c>
    </row>
    <row r="626" spans="1:12" hidden="1">
      <c r="A626" s="931">
        <v>8</v>
      </c>
      <c r="B626" s="1246">
        <v>46069</v>
      </c>
      <c r="C626" s="1248">
        <v>46075</v>
      </c>
      <c r="D626" s="933">
        <v>30</v>
      </c>
      <c r="E626" s="933" t="s">
        <v>694</v>
      </c>
      <c r="F626" s="933" t="s">
        <v>695</v>
      </c>
      <c r="G626" s="933">
        <v>8</v>
      </c>
      <c r="H626" s="933">
        <v>8</v>
      </c>
      <c r="I626" s="933" t="s">
        <v>670</v>
      </c>
      <c r="J626" s="934">
        <v>3.75</v>
      </c>
      <c r="K626" s="934">
        <v>30</v>
      </c>
      <c r="L626" s="938">
        <v>0.80482897384305796</v>
      </c>
    </row>
    <row r="627" spans="1:12" hidden="1">
      <c r="A627" s="931">
        <v>8</v>
      </c>
      <c r="B627" s="1247">
        <v>46069</v>
      </c>
      <c r="C627" s="1249">
        <v>46075</v>
      </c>
      <c r="D627" s="935">
        <v>31</v>
      </c>
      <c r="E627" s="935" t="s">
        <v>705</v>
      </c>
      <c r="F627" s="935" t="s">
        <v>274</v>
      </c>
      <c r="G627" s="935">
        <v>7</v>
      </c>
      <c r="H627" s="935">
        <v>7</v>
      </c>
      <c r="I627" s="935" t="s">
        <v>670</v>
      </c>
      <c r="J627" s="936">
        <v>9.1558441558441608</v>
      </c>
      <c r="K627" s="936">
        <v>64.090909090909093</v>
      </c>
      <c r="L627" s="939">
        <v>0.70422535211267601</v>
      </c>
    </row>
    <row r="628" spans="1:12" hidden="1">
      <c r="A628" s="931">
        <v>8</v>
      </c>
      <c r="B628" s="1246">
        <v>46069</v>
      </c>
      <c r="C628" s="1248">
        <v>46075</v>
      </c>
      <c r="D628" s="933">
        <v>32</v>
      </c>
      <c r="E628" s="933" t="s">
        <v>683</v>
      </c>
      <c r="F628" s="933" t="s">
        <v>274</v>
      </c>
      <c r="G628" s="933">
        <v>7</v>
      </c>
      <c r="H628" s="933">
        <v>7</v>
      </c>
      <c r="I628" s="933" t="s">
        <v>670</v>
      </c>
      <c r="J628" s="934">
        <v>10.974025974026</v>
      </c>
      <c r="K628" s="934">
        <v>76.818181818181799</v>
      </c>
      <c r="L628" s="938">
        <v>0.70422535211267601</v>
      </c>
    </row>
    <row r="629" spans="1:12" hidden="1">
      <c r="A629" s="931">
        <v>8</v>
      </c>
      <c r="B629" s="1247">
        <v>46069</v>
      </c>
      <c r="C629" s="1249">
        <v>46075</v>
      </c>
      <c r="D629" s="935">
        <v>33</v>
      </c>
      <c r="E629" s="935" t="s">
        <v>674</v>
      </c>
      <c r="F629" s="935" t="s">
        <v>275</v>
      </c>
      <c r="G629" s="935">
        <v>7</v>
      </c>
      <c r="H629" s="935">
        <v>7</v>
      </c>
      <c r="I629" s="935" t="s">
        <v>670</v>
      </c>
      <c r="J629" s="936">
        <v>4.5454545454545396</v>
      </c>
      <c r="K629" s="936">
        <v>31.818181818181799</v>
      </c>
      <c r="L629" s="939">
        <v>0.70422535211267601</v>
      </c>
    </row>
    <row r="630" spans="1:12" hidden="1">
      <c r="A630" s="931">
        <v>8</v>
      </c>
      <c r="B630" s="1246">
        <v>46069</v>
      </c>
      <c r="C630" s="1248">
        <v>46075</v>
      </c>
      <c r="D630" s="933">
        <v>34</v>
      </c>
      <c r="E630" s="933" t="s">
        <v>688</v>
      </c>
      <c r="F630" s="933" t="s">
        <v>689</v>
      </c>
      <c r="G630" s="933">
        <v>7</v>
      </c>
      <c r="H630" s="933">
        <v>7</v>
      </c>
      <c r="I630" s="933" t="s">
        <v>670</v>
      </c>
      <c r="J630" s="934">
        <v>9.9740259740259702</v>
      </c>
      <c r="K630" s="934">
        <v>69.818181818181799</v>
      </c>
      <c r="L630" s="938">
        <v>0.70422535211267601</v>
      </c>
    </row>
    <row r="631" spans="1:12" hidden="1">
      <c r="A631" s="931">
        <v>8</v>
      </c>
      <c r="B631" s="1247">
        <v>46069</v>
      </c>
      <c r="C631" s="1249">
        <v>46075</v>
      </c>
      <c r="D631" s="935">
        <v>35</v>
      </c>
      <c r="E631" s="935" t="s">
        <v>684</v>
      </c>
      <c r="F631" s="935" t="s">
        <v>323</v>
      </c>
      <c r="G631" s="935">
        <v>7</v>
      </c>
      <c r="H631" s="935">
        <v>7</v>
      </c>
      <c r="I631" s="935" t="s">
        <v>670</v>
      </c>
      <c r="J631" s="936">
        <v>9.0324675324675301</v>
      </c>
      <c r="K631" s="936">
        <v>63.227272727272698</v>
      </c>
      <c r="L631" s="939">
        <v>0.70422535211267601</v>
      </c>
    </row>
    <row r="632" spans="1:12" hidden="1">
      <c r="A632" s="931">
        <v>8</v>
      </c>
      <c r="B632" s="1246">
        <v>46069</v>
      </c>
      <c r="C632" s="1248">
        <v>46075</v>
      </c>
      <c r="D632" s="933">
        <v>36</v>
      </c>
      <c r="E632" s="933" t="s">
        <v>708</v>
      </c>
      <c r="F632" s="933" t="s">
        <v>251</v>
      </c>
      <c r="G632" s="933">
        <v>7</v>
      </c>
      <c r="H632" s="933">
        <v>7</v>
      </c>
      <c r="I632" s="933" t="s">
        <v>670</v>
      </c>
      <c r="J632" s="934">
        <v>1.77272727272727</v>
      </c>
      <c r="K632" s="934">
        <v>12.409090909090899</v>
      </c>
      <c r="L632" s="938">
        <v>0.70422535211267601</v>
      </c>
    </row>
    <row r="633" spans="1:12" hidden="1">
      <c r="A633" s="931">
        <v>8</v>
      </c>
      <c r="B633" s="1247">
        <v>46069</v>
      </c>
      <c r="C633" s="1249">
        <v>46075</v>
      </c>
      <c r="D633" s="935">
        <v>37</v>
      </c>
      <c r="E633" s="935" t="s">
        <v>807</v>
      </c>
      <c r="F633" s="935" t="s">
        <v>253</v>
      </c>
      <c r="G633" s="935">
        <v>6</v>
      </c>
      <c r="H633" s="935">
        <v>6</v>
      </c>
      <c r="I633" s="935" t="s">
        <v>670</v>
      </c>
      <c r="J633" s="936">
        <v>2.75</v>
      </c>
      <c r="K633" s="936">
        <v>16.5</v>
      </c>
      <c r="L633" s="939">
        <v>0.60362173038229405</v>
      </c>
    </row>
    <row r="634" spans="1:12" hidden="1">
      <c r="A634" s="931">
        <v>8</v>
      </c>
      <c r="B634" s="1246">
        <v>46069</v>
      </c>
      <c r="C634" s="1248">
        <v>46075</v>
      </c>
      <c r="D634" s="933">
        <v>38</v>
      </c>
      <c r="E634" s="933" t="s">
        <v>720</v>
      </c>
      <c r="F634" s="933" t="s">
        <v>251</v>
      </c>
      <c r="G634" s="933">
        <v>6</v>
      </c>
      <c r="H634" s="933">
        <v>6</v>
      </c>
      <c r="I634" s="933" t="s">
        <v>670</v>
      </c>
      <c r="J634" s="934">
        <v>2.5</v>
      </c>
      <c r="K634" s="934">
        <v>15</v>
      </c>
      <c r="L634" s="938">
        <v>0.60362173038229405</v>
      </c>
    </row>
    <row r="635" spans="1:12" hidden="1">
      <c r="A635" s="931">
        <v>8</v>
      </c>
      <c r="B635" s="1247">
        <v>46069</v>
      </c>
      <c r="C635" s="1249">
        <v>46075</v>
      </c>
      <c r="D635" s="935">
        <v>39</v>
      </c>
      <c r="E635" s="935" t="s">
        <v>796</v>
      </c>
      <c r="F635" s="935" t="s">
        <v>282</v>
      </c>
      <c r="G635" s="935">
        <v>6</v>
      </c>
      <c r="H635" s="935">
        <v>6</v>
      </c>
      <c r="I635" s="935" t="s">
        <v>670</v>
      </c>
      <c r="J635" s="936">
        <v>10.8560606060606</v>
      </c>
      <c r="K635" s="936">
        <v>65.136363636363598</v>
      </c>
      <c r="L635" s="939">
        <v>0.60362173038229405</v>
      </c>
    </row>
    <row r="636" spans="1:12" hidden="1">
      <c r="A636" s="931">
        <v>8</v>
      </c>
      <c r="B636" s="1246">
        <v>46069</v>
      </c>
      <c r="C636" s="1248">
        <v>46075</v>
      </c>
      <c r="D636" s="933">
        <v>40</v>
      </c>
      <c r="E636" s="933" t="s">
        <v>685</v>
      </c>
      <c r="F636" s="933" t="s">
        <v>256</v>
      </c>
      <c r="G636" s="933">
        <v>6</v>
      </c>
      <c r="H636" s="933">
        <v>6</v>
      </c>
      <c r="I636" s="933" t="s">
        <v>670</v>
      </c>
      <c r="J636" s="934">
        <v>8.2196969696969706</v>
      </c>
      <c r="K636" s="934">
        <v>49.318181818181799</v>
      </c>
      <c r="L636" s="938">
        <v>0.60362173038229405</v>
      </c>
    </row>
    <row r="637" spans="1:12" hidden="1">
      <c r="A637" s="931">
        <v>8</v>
      </c>
      <c r="B637" s="1247">
        <v>46069</v>
      </c>
      <c r="C637" s="1249">
        <v>46075</v>
      </c>
      <c r="D637" s="935">
        <v>41</v>
      </c>
      <c r="E637" s="935" t="s">
        <v>761</v>
      </c>
      <c r="F637" s="935" t="s">
        <v>730</v>
      </c>
      <c r="G637" s="935">
        <v>6</v>
      </c>
      <c r="H637" s="935">
        <v>6</v>
      </c>
      <c r="I637" s="935" t="s">
        <v>670</v>
      </c>
      <c r="J637" s="936">
        <v>2.8181818181818201</v>
      </c>
      <c r="K637" s="936">
        <v>16.909090909090899</v>
      </c>
      <c r="L637" s="939">
        <v>0.60362173038229405</v>
      </c>
    </row>
    <row r="638" spans="1:12" hidden="1">
      <c r="A638" s="931">
        <v>8</v>
      </c>
      <c r="B638" s="1246">
        <v>46069</v>
      </c>
      <c r="C638" s="1248">
        <v>46075</v>
      </c>
      <c r="D638" s="933">
        <v>42</v>
      </c>
      <c r="E638" s="933" t="s">
        <v>701</v>
      </c>
      <c r="F638" s="933" t="s">
        <v>689</v>
      </c>
      <c r="G638" s="933">
        <v>6</v>
      </c>
      <c r="H638" s="933">
        <v>6</v>
      </c>
      <c r="I638" s="933" t="s">
        <v>670</v>
      </c>
      <c r="J638" s="934">
        <v>9.9469696969697008</v>
      </c>
      <c r="K638" s="934">
        <v>59.681818181818201</v>
      </c>
      <c r="L638" s="938">
        <v>0.60362173038229405</v>
      </c>
    </row>
    <row r="639" spans="1:12" hidden="1">
      <c r="A639" s="931">
        <v>8</v>
      </c>
      <c r="B639" s="1247">
        <v>46069</v>
      </c>
      <c r="C639" s="1249">
        <v>46075</v>
      </c>
      <c r="D639" s="935">
        <v>43</v>
      </c>
      <c r="E639" s="935" t="s">
        <v>675</v>
      </c>
      <c r="F639" s="935" t="s">
        <v>256</v>
      </c>
      <c r="G639" s="935">
        <v>6</v>
      </c>
      <c r="H639" s="935">
        <v>6</v>
      </c>
      <c r="I639" s="935" t="s">
        <v>670</v>
      </c>
      <c r="J639" s="936">
        <v>5.0378787878787898</v>
      </c>
      <c r="K639" s="936">
        <v>30.227272727272702</v>
      </c>
      <c r="L639" s="939">
        <v>0.60362173038229405</v>
      </c>
    </row>
    <row r="640" spans="1:12" hidden="1">
      <c r="A640" s="931">
        <v>8</v>
      </c>
      <c r="B640" s="1246">
        <v>46069</v>
      </c>
      <c r="C640" s="1248">
        <v>46075</v>
      </c>
      <c r="D640" s="933">
        <v>44</v>
      </c>
      <c r="E640" s="933" t="s">
        <v>687</v>
      </c>
      <c r="F640" s="933" t="s">
        <v>253</v>
      </c>
      <c r="G640" s="933">
        <v>5</v>
      </c>
      <c r="H640" s="933">
        <v>5</v>
      </c>
      <c r="I640" s="933" t="s">
        <v>670</v>
      </c>
      <c r="J640" s="934">
        <v>2.7909090909090901</v>
      </c>
      <c r="K640" s="934">
        <v>13.954545454545499</v>
      </c>
      <c r="L640" s="938">
        <v>0.50301810865191099</v>
      </c>
    </row>
    <row r="641" spans="1:12" hidden="1">
      <c r="A641" s="931">
        <v>8</v>
      </c>
      <c r="B641" s="1247">
        <v>46069</v>
      </c>
      <c r="C641" s="1249">
        <v>46075</v>
      </c>
      <c r="D641" s="935">
        <v>45</v>
      </c>
      <c r="E641" s="935" t="s">
        <v>748</v>
      </c>
      <c r="F641" s="935" t="s">
        <v>274</v>
      </c>
      <c r="G641" s="935">
        <v>5</v>
      </c>
      <c r="H641" s="935">
        <v>5</v>
      </c>
      <c r="I641" s="935" t="s">
        <v>670</v>
      </c>
      <c r="J641" s="936">
        <v>9.0909090909090899</v>
      </c>
      <c r="K641" s="936">
        <v>45.454545454545503</v>
      </c>
      <c r="L641" s="939">
        <v>0.50301810865191099</v>
      </c>
    </row>
    <row r="642" spans="1:12" hidden="1">
      <c r="A642" s="931">
        <v>8</v>
      </c>
      <c r="B642" s="1246">
        <v>46069</v>
      </c>
      <c r="C642" s="1248">
        <v>46075</v>
      </c>
      <c r="D642" s="933">
        <v>46</v>
      </c>
      <c r="E642" s="933" t="s">
        <v>710</v>
      </c>
      <c r="F642" s="933" t="s">
        <v>249</v>
      </c>
      <c r="G642" s="933">
        <v>5</v>
      </c>
      <c r="H642" s="933">
        <v>5</v>
      </c>
      <c r="I642" s="933" t="s">
        <v>670</v>
      </c>
      <c r="J642" s="934">
        <v>2.4363636363636401</v>
      </c>
      <c r="K642" s="934">
        <v>12.181818181818199</v>
      </c>
      <c r="L642" s="938">
        <v>0.50301810865191099</v>
      </c>
    </row>
    <row r="643" spans="1:12" hidden="1">
      <c r="A643" s="931">
        <v>8</v>
      </c>
      <c r="B643" s="1247">
        <v>46069</v>
      </c>
      <c r="C643" s="1249">
        <v>46075</v>
      </c>
      <c r="D643" s="935">
        <v>47</v>
      </c>
      <c r="E643" s="935" t="s">
        <v>740</v>
      </c>
      <c r="F643" s="935" t="s">
        <v>264</v>
      </c>
      <c r="G643" s="935">
        <v>5</v>
      </c>
      <c r="H643" s="935">
        <v>5</v>
      </c>
      <c r="I643" s="935" t="s">
        <v>741</v>
      </c>
      <c r="J643" s="936">
        <v>2.5</v>
      </c>
      <c r="K643" s="936">
        <v>12.5</v>
      </c>
      <c r="L643" s="939">
        <v>0.50301810865191099</v>
      </c>
    </row>
    <row r="644" spans="1:12" hidden="1">
      <c r="A644" s="931">
        <v>8</v>
      </c>
      <c r="B644" s="1246">
        <v>46069</v>
      </c>
      <c r="C644" s="1248">
        <v>46075</v>
      </c>
      <c r="D644" s="933">
        <v>48</v>
      </c>
      <c r="E644" s="933" t="s">
        <v>722</v>
      </c>
      <c r="F644" s="933" t="s">
        <v>251</v>
      </c>
      <c r="G644" s="933">
        <v>5</v>
      </c>
      <c r="H644" s="933">
        <v>5</v>
      </c>
      <c r="I644" s="933" t="s">
        <v>670</v>
      </c>
      <c r="J644" s="934">
        <v>2.4909090909090899</v>
      </c>
      <c r="K644" s="934">
        <v>12.4545454545454</v>
      </c>
      <c r="L644" s="938">
        <v>0.50301810865191099</v>
      </c>
    </row>
    <row r="645" spans="1:12" hidden="1">
      <c r="A645" s="931">
        <v>8</v>
      </c>
      <c r="B645" s="1247">
        <v>46069</v>
      </c>
      <c r="C645" s="1249">
        <v>46075</v>
      </c>
      <c r="D645" s="935">
        <v>49</v>
      </c>
      <c r="E645" s="935" t="s">
        <v>702</v>
      </c>
      <c r="F645" s="935" t="s">
        <v>251</v>
      </c>
      <c r="G645" s="935">
        <v>5</v>
      </c>
      <c r="H645" s="935">
        <v>5</v>
      </c>
      <c r="I645" s="935" t="s">
        <v>670</v>
      </c>
      <c r="J645" s="936">
        <v>2.4636363636363598</v>
      </c>
      <c r="K645" s="936">
        <v>12.318181818181801</v>
      </c>
      <c r="L645" s="939">
        <v>0.50301810865191099</v>
      </c>
    </row>
    <row r="646" spans="1:12" hidden="1">
      <c r="A646" s="931">
        <v>8</v>
      </c>
      <c r="B646" s="1246">
        <v>46069</v>
      </c>
      <c r="C646" s="1248">
        <v>46075</v>
      </c>
      <c r="D646" s="933">
        <v>50</v>
      </c>
      <c r="E646" s="933" t="s">
        <v>677</v>
      </c>
      <c r="F646" s="933" t="s">
        <v>249</v>
      </c>
      <c r="G646" s="933">
        <v>5</v>
      </c>
      <c r="H646" s="933">
        <v>5</v>
      </c>
      <c r="I646" s="933" t="s">
        <v>670</v>
      </c>
      <c r="J646" s="934">
        <v>1.77272727272727</v>
      </c>
      <c r="K646" s="934">
        <v>8.8636363636363598</v>
      </c>
      <c r="L646" s="938">
        <v>0.50301810865191099</v>
      </c>
    </row>
    <row r="647" spans="1:12" hidden="1">
      <c r="A647" s="931">
        <v>8</v>
      </c>
      <c r="B647" s="1247">
        <v>46069</v>
      </c>
      <c r="C647" s="1249">
        <v>46075</v>
      </c>
      <c r="D647" s="935">
        <v>51</v>
      </c>
      <c r="E647" s="935" t="s">
        <v>700</v>
      </c>
      <c r="F647" s="935" t="s">
        <v>274</v>
      </c>
      <c r="G647" s="935">
        <v>4</v>
      </c>
      <c r="H647" s="935">
        <v>4</v>
      </c>
      <c r="I647" s="935" t="s">
        <v>670</v>
      </c>
      <c r="J647" s="936">
        <v>9.2045454545454497</v>
      </c>
      <c r="K647" s="936">
        <v>36.818181818181799</v>
      </c>
      <c r="L647" s="939">
        <v>0.40241448692152898</v>
      </c>
    </row>
    <row r="648" spans="1:12" hidden="1">
      <c r="A648" s="931">
        <v>8</v>
      </c>
      <c r="B648" s="1246">
        <v>46069</v>
      </c>
      <c r="C648" s="1248">
        <v>46075</v>
      </c>
      <c r="D648" s="933">
        <v>52</v>
      </c>
      <c r="E648" s="933" t="s">
        <v>696</v>
      </c>
      <c r="F648" s="933" t="s">
        <v>323</v>
      </c>
      <c r="G648" s="933">
        <v>4</v>
      </c>
      <c r="H648" s="933">
        <v>4</v>
      </c>
      <c r="I648" s="933" t="s">
        <v>670</v>
      </c>
      <c r="J648" s="934">
        <v>10.909090909090899</v>
      </c>
      <c r="K648" s="934">
        <v>43.636363636363598</v>
      </c>
      <c r="L648" s="938">
        <v>0.40241448692152898</v>
      </c>
    </row>
    <row r="649" spans="1:12" hidden="1">
      <c r="A649" s="931">
        <v>8</v>
      </c>
      <c r="B649" s="1247">
        <v>46069</v>
      </c>
      <c r="C649" s="1249">
        <v>46075</v>
      </c>
      <c r="D649" s="935">
        <v>53</v>
      </c>
      <c r="E649" s="935" t="s">
        <v>703</v>
      </c>
      <c r="F649" s="935" t="s">
        <v>256</v>
      </c>
      <c r="G649" s="935">
        <v>4</v>
      </c>
      <c r="H649" s="935">
        <v>4</v>
      </c>
      <c r="I649" s="935" t="s">
        <v>670</v>
      </c>
      <c r="J649" s="936">
        <v>1.875</v>
      </c>
      <c r="K649" s="936">
        <v>7.5</v>
      </c>
      <c r="L649" s="939">
        <v>0.40241448692152898</v>
      </c>
    </row>
    <row r="650" spans="1:12" hidden="1">
      <c r="A650" s="931">
        <v>8</v>
      </c>
      <c r="B650" s="1246">
        <v>46069</v>
      </c>
      <c r="C650" s="1248">
        <v>46075</v>
      </c>
      <c r="D650" s="933">
        <v>54</v>
      </c>
      <c r="E650" s="933" t="s">
        <v>691</v>
      </c>
      <c r="F650" s="933" t="s">
        <v>251</v>
      </c>
      <c r="G650" s="933">
        <v>4</v>
      </c>
      <c r="H650" s="933">
        <v>4</v>
      </c>
      <c r="I650" s="933" t="s">
        <v>670</v>
      </c>
      <c r="J650" s="934">
        <v>2.4090909090909101</v>
      </c>
      <c r="K650" s="934">
        <v>9.6363636363636296</v>
      </c>
      <c r="L650" s="938">
        <v>0.40241448692152898</v>
      </c>
    </row>
    <row r="651" spans="1:12" hidden="1">
      <c r="A651" s="931">
        <v>8</v>
      </c>
      <c r="B651" s="1247">
        <v>46069</v>
      </c>
      <c r="C651" s="1249">
        <v>46075</v>
      </c>
      <c r="D651" s="935">
        <v>55</v>
      </c>
      <c r="E651" s="935" t="s">
        <v>723</v>
      </c>
      <c r="F651" s="935" t="s">
        <v>713</v>
      </c>
      <c r="G651" s="935">
        <v>4</v>
      </c>
      <c r="H651" s="935">
        <v>4</v>
      </c>
      <c r="I651" s="935" t="s">
        <v>670</v>
      </c>
      <c r="J651" s="936">
        <v>2.8181818181818201</v>
      </c>
      <c r="K651" s="936">
        <v>11.2727272727273</v>
      </c>
      <c r="L651" s="939">
        <v>0.40241448692152898</v>
      </c>
    </row>
    <row r="652" spans="1:12" hidden="1">
      <c r="A652" s="931">
        <v>8</v>
      </c>
      <c r="B652" s="1246">
        <v>46069</v>
      </c>
      <c r="C652" s="1248">
        <v>46075</v>
      </c>
      <c r="D652" s="933">
        <v>56</v>
      </c>
      <c r="E652" s="933" t="s">
        <v>808</v>
      </c>
      <c r="F652" s="933" t="s">
        <v>268</v>
      </c>
      <c r="G652" s="933">
        <v>4</v>
      </c>
      <c r="H652" s="933">
        <v>4</v>
      </c>
      <c r="I652" s="933" t="s">
        <v>670</v>
      </c>
      <c r="J652" s="934">
        <v>0.59090909090909105</v>
      </c>
      <c r="K652" s="934">
        <v>2.3636363636363602</v>
      </c>
      <c r="L652" s="938">
        <v>0.40241448692152898</v>
      </c>
    </row>
    <row r="653" spans="1:12" hidden="1">
      <c r="A653" s="931">
        <v>8</v>
      </c>
      <c r="B653" s="1247">
        <v>46069</v>
      </c>
      <c r="C653" s="1249">
        <v>46075</v>
      </c>
      <c r="D653" s="935">
        <v>57</v>
      </c>
      <c r="E653" s="935" t="s">
        <v>743</v>
      </c>
      <c r="F653" s="935" t="s">
        <v>251</v>
      </c>
      <c r="G653" s="935">
        <v>4</v>
      </c>
      <c r="H653" s="935">
        <v>4</v>
      </c>
      <c r="I653" s="935" t="s">
        <v>670</v>
      </c>
      <c r="J653" s="936">
        <v>2.4431818181818201</v>
      </c>
      <c r="K653" s="936">
        <v>9.7727272727272698</v>
      </c>
      <c r="L653" s="939">
        <v>0.40241448692152898</v>
      </c>
    </row>
    <row r="654" spans="1:12" hidden="1">
      <c r="A654" s="931">
        <v>8</v>
      </c>
      <c r="B654" s="1246">
        <v>46069</v>
      </c>
      <c r="C654" s="1248">
        <v>46075</v>
      </c>
      <c r="D654" s="933">
        <v>58</v>
      </c>
      <c r="E654" s="933" t="s">
        <v>801</v>
      </c>
      <c r="F654" s="933" t="s">
        <v>713</v>
      </c>
      <c r="G654" s="933">
        <v>3</v>
      </c>
      <c r="H654" s="933">
        <v>3</v>
      </c>
      <c r="I654" s="933" t="s">
        <v>670</v>
      </c>
      <c r="J654" s="934">
        <v>4.4090909090909101</v>
      </c>
      <c r="K654" s="934">
        <v>13.2272727272727</v>
      </c>
      <c r="L654" s="938">
        <v>0.30181086519114703</v>
      </c>
    </row>
    <row r="655" spans="1:12" hidden="1">
      <c r="A655" s="931">
        <v>8</v>
      </c>
      <c r="B655" s="1247">
        <v>46069</v>
      </c>
      <c r="C655" s="1249">
        <v>46075</v>
      </c>
      <c r="D655" s="935">
        <v>59</v>
      </c>
      <c r="E655" s="935" t="s">
        <v>742</v>
      </c>
      <c r="F655" s="935" t="s">
        <v>251</v>
      </c>
      <c r="G655" s="935">
        <v>3</v>
      </c>
      <c r="H655" s="935">
        <v>3</v>
      </c>
      <c r="I655" s="935" t="s">
        <v>670</v>
      </c>
      <c r="J655" s="936">
        <v>2.5</v>
      </c>
      <c r="K655" s="936">
        <v>7.5</v>
      </c>
      <c r="L655" s="939">
        <v>0.30181086519114703</v>
      </c>
    </row>
    <row r="656" spans="1:12" hidden="1">
      <c r="A656" s="931">
        <v>8</v>
      </c>
      <c r="B656" s="1246">
        <v>46069</v>
      </c>
      <c r="C656" s="1248">
        <v>46075</v>
      </c>
      <c r="D656" s="933">
        <v>60</v>
      </c>
      <c r="E656" s="933" t="s">
        <v>714</v>
      </c>
      <c r="F656" s="933" t="s">
        <v>251</v>
      </c>
      <c r="G656" s="933">
        <v>3</v>
      </c>
      <c r="H656" s="933">
        <v>3</v>
      </c>
      <c r="I656" s="933" t="s">
        <v>670</v>
      </c>
      <c r="J656" s="934">
        <v>0.939393939393939</v>
      </c>
      <c r="K656" s="934">
        <v>2.8181818181818201</v>
      </c>
      <c r="L656" s="938">
        <v>0.30181086519114703</v>
      </c>
    </row>
    <row r="657" spans="1:12" hidden="1">
      <c r="A657" s="931">
        <v>8</v>
      </c>
      <c r="B657" s="1247">
        <v>46069</v>
      </c>
      <c r="C657" s="1249">
        <v>46075</v>
      </c>
      <c r="D657" s="935">
        <v>61</v>
      </c>
      <c r="E657" s="935" t="s">
        <v>798</v>
      </c>
      <c r="F657" s="935" t="s">
        <v>713</v>
      </c>
      <c r="G657" s="935">
        <v>3</v>
      </c>
      <c r="H657" s="935">
        <v>3</v>
      </c>
      <c r="I657" s="935" t="s">
        <v>670</v>
      </c>
      <c r="J657" s="936">
        <v>5.4090909090909101</v>
      </c>
      <c r="K657" s="936">
        <v>16.227272727272702</v>
      </c>
      <c r="L657" s="939">
        <v>0.30181086519114703</v>
      </c>
    </row>
    <row r="658" spans="1:12" hidden="1">
      <c r="A658" s="931">
        <v>8</v>
      </c>
      <c r="B658" s="1246">
        <v>46069</v>
      </c>
      <c r="C658" s="1248">
        <v>46075</v>
      </c>
      <c r="D658" s="933">
        <v>62</v>
      </c>
      <c r="E658" s="933" t="s">
        <v>751</v>
      </c>
      <c r="F658" s="933" t="s">
        <v>256</v>
      </c>
      <c r="G658" s="933">
        <v>3</v>
      </c>
      <c r="H658" s="933">
        <v>3</v>
      </c>
      <c r="I658" s="933" t="s">
        <v>670</v>
      </c>
      <c r="J658" s="934">
        <v>7.1818181818181799</v>
      </c>
      <c r="K658" s="934">
        <v>21.5454545454546</v>
      </c>
      <c r="L658" s="938">
        <v>0.30181086519114703</v>
      </c>
    </row>
    <row r="659" spans="1:12" hidden="1">
      <c r="A659" s="931">
        <v>8</v>
      </c>
      <c r="B659" s="1247">
        <v>46069</v>
      </c>
      <c r="C659" s="1249">
        <v>46075</v>
      </c>
      <c r="D659" s="935">
        <v>63</v>
      </c>
      <c r="E659" s="935" t="s">
        <v>766</v>
      </c>
      <c r="F659" s="935" t="s">
        <v>253</v>
      </c>
      <c r="G659" s="935">
        <v>3</v>
      </c>
      <c r="H659" s="935">
        <v>3</v>
      </c>
      <c r="I659" s="935" t="s">
        <v>672</v>
      </c>
      <c r="J659" s="936">
        <v>0.90909090909090895</v>
      </c>
      <c r="K659" s="936">
        <v>2.7272727272727302</v>
      </c>
      <c r="L659" s="939">
        <v>0.30181086519114703</v>
      </c>
    </row>
    <row r="660" spans="1:12" hidden="1">
      <c r="A660" s="931">
        <v>8</v>
      </c>
      <c r="B660" s="1246">
        <v>46069</v>
      </c>
      <c r="C660" s="1248">
        <v>46075</v>
      </c>
      <c r="D660" s="933">
        <v>64</v>
      </c>
      <c r="E660" s="933" t="s">
        <v>797</v>
      </c>
      <c r="F660" s="933" t="s">
        <v>253</v>
      </c>
      <c r="G660" s="933">
        <v>3</v>
      </c>
      <c r="H660" s="933">
        <v>3</v>
      </c>
      <c r="I660" s="933" t="s">
        <v>670</v>
      </c>
      <c r="J660" s="934">
        <v>3.1818181818181799</v>
      </c>
      <c r="K660" s="934">
        <v>9.5454545454545396</v>
      </c>
      <c r="L660" s="938">
        <v>0.30181086519114703</v>
      </c>
    </row>
    <row r="661" spans="1:12" hidden="1">
      <c r="A661" s="931">
        <v>8</v>
      </c>
      <c r="B661" s="1247">
        <v>46069</v>
      </c>
      <c r="C661" s="1249">
        <v>46075</v>
      </c>
      <c r="D661" s="935">
        <v>65</v>
      </c>
      <c r="E661" s="935" t="s">
        <v>706</v>
      </c>
      <c r="F661" s="935" t="s">
        <v>256</v>
      </c>
      <c r="G661" s="935">
        <v>3</v>
      </c>
      <c r="H661" s="935">
        <v>3</v>
      </c>
      <c r="I661" s="935" t="s">
        <v>670</v>
      </c>
      <c r="J661" s="936">
        <v>12.7272727272727</v>
      </c>
      <c r="K661" s="936">
        <v>38.181818181818201</v>
      </c>
      <c r="L661" s="939">
        <v>0.30181086519114703</v>
      </c>
    </row>
    <row r="662" spans="1:12" hidden="1">
      <c r="A662" s="931">
        <v>8</v>
      </c>
      <c r="B662" s="1246">
        <v>46069</v>
      </c>
      <c r="C662" s="1248">
        <v>46075</v>
      </c>
      <c r="D662" s="933">
        <v>66</v>
      </c>
      <c r="E662" s="933" t="s">
        <v>715</v>
      </c>
      <c r="F662" s="933" t="s">
        <v>693</v>
      </c>
      <c r="G662" s="933">
        <v>3</v>
      </c>
      <c r="H662" s="933">
        <v>3</v>
      </c>
      <c r="I662" s="933" t="s">
        <v>670</v>
      </c>
      <c r="J662" s="934">
        <v>0</v>
      </c>
      <c r="K662" s="934">
        <v>0</v>
      </c>
      <c r="L662" s="938">
        <v>0.30181086519114703</v>
      </c>
    </row>
    <row r="663" spans="1:12" hidden="1">
      <c r="A663" s="931">
        <v>8</v>
      </c>
      <c r="B663" s="1247">
        <v>46069</v>
      </c>
      <c r="C663" s="1249">
        <v>46075</v>
      </c>
      <c r="D663" s="935">
        <v>67</v>
      </c>
      <c r="E663" s="935" t="s">
        <v>767</v>
      </c>
      <c r="F663" s="935" t="s">
        <v>251</v>
      </c>
      <c r="G663" s="935">
        <v>2</v>
      </c>
      <c r="H663" s="935">
        <v>2</v>
      </c>
      <c r="I663" s="935" t="s">
        <v>670</v>
      </c>
      <c r="J663" s="936">
        <v>2.4090909090909101</v>
      </c>
      <c r="K663" s="936">
        <v>4.8181818181818201</v>
      </c>
      <c r="L663" s="939">
        <v>0.20120724346076499</v>
      </c>
    </row>
    <row r="664" spans="1:12" hidden="1">
      <c r="A664" s="931">
        <v>8</v>
      </c>
      <c r="B664" s="1246">
        <v>46069</v>
      </c>
      <c r="C664" s="1248">
        <v>46075</v>
      </c>
      <c r="D664" s="933">
        <v>68</v>
      </c>
      <c r="E664" s="933" t="s">
        <v>762</v>
      </c>
      <c r="F664" s="933" t="s">
        <v>323</v>
      </c>
      <c r="G664" s="933">
        <v>2</v>
      </c>
      <c r="H664" s="933">
        <v>2</v>
      </c>
      <c r="I664" s="933" t="s">
        <v>670</v>
      </c>
      <c r="J664" s="934">
        <v>2.7272727272727302</v>
      </c>
      <c r="K664" s="934">
        <v>5.4545454545454497</v>
      </c>
      <c r="L664" s="938">
        <v>0.20120724346076499</v>
      </c>
    </row>
    <row r="665" spans="1:12" hidden="1">
      <c r="A665" s="931">
        <v>8</v>
      </c>
      <c r="B665" s="1247">
        <v>46069</v>
      </c>
      <c r="C665" s="1249">
        <v>46075</v>
      </c>
      <c r="D665" s="935">
        <v>69</v>
      </c>
      <c r="E665" s="935" t="s">
        <v>809</v>
      </c>
      <c r="F665" s="935" t="s">
        <v>323</v>
      </c>
      <c r="G665" s="935">
        <v>2</v>
      </c>
      <c r="H665" s="935">
        <v>2</v>
      </c>
      <c r="I665" s="935" t="s">
        <v>670</v>
      </c>
      <c r="J665" s="936">
        <v>0</v>
      </c>
      <c r="K665" s="936">
        <v>0</v>
      </c>
      <c r="L665" s="939">
        <v>0.20120724346076499</v>
      </c>
    </row>
    <row r="666" spans="1:12" hidden="1">
      <c r="A666" s="931">
        <v>8</v>
      </c>
      <c r="B666" s="1246">
        <v>46069</v>
      </c>
      <c r="C666" s="1248">
        <v>46075</v>
      </c>
      <c r="D666" s="933">
        <v>70</v>
      </c>
      <c r="E666" s="933" t="s">
        <v>737</v>
      </c>
      <c r="F666" s="933" t="s">
        <v>249</v>
      </c>
      <c r="G666" s="933">
        <v>2</v>
      </c>
      <c r="H666" s="933">
        <v>2</v>
      </c>
      <c r="I666" s="933" t="s">
        <v>670</v>
      </c>
      <c r="J666" s="934">
        <v>1.61363636363636</v>
      </c>
      <c r="K666" s="934">
        <v>3.2272727272727302</v>
      </c>
      <c r="L666" s="938">
        <v>0.20120724346076499</v>
      </c>
    </row>
    <row r="667" spans="1:12" hidden="1">
      <c r="A667" s="931">
        <v>8</v>
      </c>
      <c r="B667" s="1247">
        <v>46069</v>
      </c>
      <c r="C667" s="1249">
        <v>46075</v>
      </c>
      <c r="D667" s="935">
        <v>71</v>
      </c>
      <c r="E667" s="935" t="s">
        <v>752</v>
      </c>
      <c r="F667" s="935" t="s">
        <v>264</v>
      </c>
      <c r="G667" s="935">
        <v>2</v>
      </c>
      <c r="H667" s="935">
        <v>2</v>
      </c>
      <c r="I667" s="935" t="s">
        <v>670</v>
      </c>
      <c r="J667" s="936">
        <v>1.4545454545454599</v>
      </c>
      <c r="K667" s="936">
        <v>2.9090909090909101</v>
      </c>
      <c r="L667" s="939">
        <v>0.20120724346076499</v>
      </c>
    </row>
    <row r="668" spans="1:12" hidden="1">
      <c r="A668" s="931">
        <v>8</v>
      </c>
      <c r="B668" s="1246">
        <v>46069</v>
      </c>
      <c r="C668" s="1248">
        <v>46075</v>
      </c>
      <c r="D668" s="933">
        <v>72</v>
      </c>
      <c r="E668" s="933" t="s">
        <v>745</v>
      </c>
      <c r="F668" s="933" t="s">
        <v>275</v>
      </c>
      <c r="G668" s="933">
        <v>2</v>
      </c>
      <c r="H668" s="933">
        <v>2</v>
      </c>
      <c r="I668" s="933" t="s">
        <v>670</v>
      </c>
      <c r="J668" s="934">
        <v>4.8863636363636402</v>
      </c>
      <c r="K668" s="934">
        <v>9.7727272727272698</v>
      </c>
      <c r="L668" s="938">
        <v>0.20120724346076499</v>
      </c>
    </row>
    <row r="669" spans="1:12" hidden="1">
      <c r="A669" s="931">
        <v>8</v>
      </c>
      <c r="B669" s="1247">
        <v>46069</v>
      </c>
      <c r="C669" s="1249">
        <v>46075</v>
      </c>
      <c r="D669" s="935">
        <v>73</v>
      </c>
      <c r="E669" s="935" t="s">
        <v>755</v>
      </c>
      <c r="F669" s="935" t="s">
        <v>251</v>
      </c>
      <c r="G669" s="935">
        <v>2</v>
      </c>
      <c r="H669" s="935">
        <v>2</v>
      </c>
      <c r="I669" s="935" t="s">
        <v>670</v>
      </c>
      <c r="J669" s="936">
        <v>2.4772727272727302</v>
      </c>
      <c r="K669" s="936">
        <v>4.9545454545454497</v>
      </c>
      <c r="L669" s="939">
        <v>0.20120724346076499</v>
      </c>
    </row>
    <row r="670" spans="1:12" hidden="1">
      <c r="A670" s="931">
        <v>8</v>
      </c>
      <c r="B670" s="1246">
        <v>46069</v>
      </c>
      <c r="C670" s="1248">
        <v>46075</v>
      </c>
      <c r="D670" s="933">
        <v>74</v>
      </c>
      <c r="E670" s="933" t="s">
        <v>773</v>
      </c>
      <c r="F670" s="933" t="s">
        <v>730</v>
      </c>
      <c r="G670" s="933">
        <v>2</v>
      </c>
      <c r="H670" s="933">
        <v>2</v>
      </c>
      <c r="I670" s="933" t="s">
        <v>670</v>
      </c>
      <c r="J670" s="934">
        <v>2.8181818181818201</v>
      </c>
      <c r="K670" s="934">
        <v>5.6363636363636402</v>
      </c>
      <c r="L670" s="938">
        <v>0.20120724346076499</v>
      </c>
    </row>
    <row r="671" spans="1:12" hidden="1">
      <c r="A671" s="931">
        <v>8</v>
      </c>
      <c r="B671" s="1247">
        <v>46069</v>
      </c>
      <c r="C671" s="1249">
        <v>46075</v>
      </c>
      <c r="D671" s="935">
        <v>75</v>
      </c>
      <c r="E671" s="935" t="s">
        <v>769</v>
      </c>
      <c r="F671" s="935" t="s">
        <v>730</v>
      </c>
      <c r="G671" s="935">
        <v>2</v>
      </c>
      <c r="H671" s="935">
        <v>2</v>
      </c>
      <c r="I671" s="935" t="s">
        <v>670</v>
      </c>
      <c r="J671" s="936">
        <v>4.9090909090909101</v>
      </c>
      <c r="K671" s="936">
        <v>9.8181818181818201</v>
      </c>
      <c r="L671" s="939">
        <v>0.20120724346076499</v>
      </c>
    </row>
    <row r="672" spans="1:12" hidden="1">
      <c r="A672" s="931">
        <v>8</v>
      </c>
      <c r="B672" s="1246">
        <v>46069</v>
      </c>
      <c r="C672" s="1248">
        <v>46075</v>
      </c>
      <c r="D672" s="933">
        <v>76</v>
      </c>
      <c r="E672" s="933" t="s">
        <v>763</v>
      </c>
      <c r="F672" s="933" t="s">
        <v>764</v>
      </c>
      <c r="G672" s="933">
        <v>2</v>
      </c>
      <c r="H672" s="933">
        <v>2</v>
      </c>
      <c r="I672" s="933" t="s">
        <v>670</v>
      </c>
      <c r="J672" s="934">
        <v>10.4545454545454</v>
      </c>
      <c r="K672" s="934">
        <v>20.909090909090899</v>
      </c>
      <c r="L672" s="938">
        <v>0.20120724346076499</v>
      </c>
    </row>
    <row r="673" spans="1:12" hidden="1">
      <c r="A673" s="931">
        <v>8</v>
      </c>
      <c r="B673" s="1247">
        <v>46069</v>
      </c>
      <c r="C673" s="1249">
        <v>46075</v>
      </c>
      <c r="D673" s="935">
        <v>77</v>
      </c>
      <c r="E673" s="935" t="s">
        <v>711</v>
      </c>
      <c r="F673" s="935" t="s">
        <v>251</v>
      </c>
      <c r="G673" s="935">
        <v>2</v>
      </c>
      <c r="H673" s="935">
        <v>2</v>
      </c>
      <c r="I673" s="935" t="s">
        <v>670</v>
      </c>
      <c r="J673" s="936">
        <v>0</v>
      </c>
      <c r="K673" s="936">
        <v>0</v>
      </c>
      <c r="L673" s="939">
        <v>0.20120724346076499</v>
      </c>
    </row>
    <row r="674" spans="1:12" hidden="1">
      <c r="A674" s="931">
        <v>8</v>
      </c>
      <c r="B674" s="1246">
        <v>46069</v>
      </c>
      <c r="C674" s="1248">
        <v>46075</v>
      </c>
      <c r="D674" s="933">
        <v>78</v>
      </c>
      <c r="E674" s="933" t="s">
        <v>728</v>
      </c>
      <c r="F674" s="933" t="s">
        <v>695</v>
      </c>
      <c r="G674" s="933">
        <v>1</v>
      </c>
      <c r="H674" s="933">
        <v>1</v>
      </c>
      <c r="I674" s="933" t="s">
        <v>670</v>
      </c>
      <c r="J674" s="934">
        <v>8.0909090909090899</v>
      </c>
      <c r="K674" s="934">
        <v>8.0909090909090899</v>
      </c>
      <c r="L674" s="938">
        <v>0.100603621730382</v>
      </c>
    </row>
    <row r="675" spans="1:12" hidden="1">
      <c r="A675" s="931">
        <v>8</v>
      </c>
      <c r="B675" s="1247">
        <v>46069</v>
      </c>
      <c r="C675" s="1249">
        <v>46075</v>
      </c>
      <c r="D675" s="935">
        <v>79</v>
      </c>
      <c r="E675" s="935" t="s">
        <v>772</v>
      </c>
      <c r="F675" s="935" t="s">
        <v>730</v>
      </c>
      <c r="G675" s="935">
        <v>1</v>
      </c>
      <c r="H675" s="935">
        <v>1</v>
      </c>
      <c r="I675" s="935" t="s">
        <v>670</v>
      </c>
      <c r="J675" s="936">
        <v>2.9545454545454501</v>
      </c>
      <c r="K675" s="936">
        <v>2.9545454545454501</v>
      </c>
      <c r="L675" s="939">
        <v>0.100603621730382</v>
      </c>
    </row>
    <row r="676" spans="1:12" hidden="1">
      <c r="A676" s="931">
        <v>8</v>
      </c>
      <c r="B676" s="1246">
        <v>46069</v>
      </c>
      <c r="C676" s="1248">
        <v>46075</v>
      </c>
      <c r="D676" s="933">
        <v>80</v>
      </c>
      <c r="E676" s="933" t="s">
        <v>731</v>
      </c>
      <c r="F676" s="933" t="s">
        <v>251</v>
      </c>
      <c r="G676" s="933">
        <v>1</v>
      </c>
      <c r="H676" s="933">
        <v>1</v>
      </c>
      <c r="I676" s="933" t="s">
        <v>670</v>
      </c>
      <c r="J676" s="934">
        <v>2.4090909090909101</v>
      </c>
      <c r="K676" s="934">
        <v>2.4090909090909101</v>
      </c>
      <c r="L676" s="938">
        <v>0.100603621730382</v>
      </c>
    </row>
    <row r="677" spans="1:12" hidden="1">
      <c r="A677" s="931">
        <v>8</v>
      </c>
      <c r="B677" s="1247">
        <v>46069</v>
      </c>
      <c r="C677" s="1249">
        <v>46075</v>
      </c>
      <c r="D677" s="935">
        <v>81</v>
      </c>
      <c r="E677" s="935" t="s">
        <v>727</v>
      </c>
      <c r="F677" s="935" t="s">
        <v>275</v>
      </c>
      <c r="G677" s="935">
        <v>1</v>
      </c>
      <c r="H677" s="935">
        <v>1</v>
      </c>
      <c r="I677" s="935" t="s">
        <v>670</v>
      </c>
      <c r="J677" s="936">
        <v>0</v>
      </c>
      <c r="K677" s="936">
        <v>0</v>
      </c>
      <c r="L677" s="939">
        <v>0.100603621730382</v>
      </c>
    </row>
    <row r="678" spans="1:12" hidden="1">
      <c r="A678" s="931">
        <v>8</v>
      </c>
      <c r="B678" s="1246">
        <v>46069</v>
      </c>
      <c r="C678" s="1248">
        <v>46075</v>
      </c>
      <c r="D678" s="933">
        <v>82</v>
      </c>
      <c r="E678" s="933" t="s">
        <v>744</v>
      </c>
      <c r="F678" s="933" t="s">
        <v>253</v>
      </c>
      <c r="G678" s="933">
        <v>1</v>
      </c>
      <c r="H678" s="933">
        <v>1</v>
      </c>
      <c r="I678" s="933" t="s">
        <v>670</v>
      </c>
      <c r="J678" s="934">
        <v>3.5454545454545401</v>
      </c>
      <c r="K678" s="934">
        <v>3.5454545454545401</v>
      </c>
      <c r="L678" s="938">
        <v>0.100603621730382</v>
      </c>
    </row>
    <row r="679" spans="1:12" hidden="1">
      <c r="A679" s="931">
        <v>8</v>
      </c>
      <c r="B679" s="1247">
        <v>46069</v>
      </c>
      <c r="C679" s="1249">
        <v>46075</v>
      </c>
      <c r="D679" s="935">
        <v>83</v>
      </c>
      <c r="E679" s="935" t="s">
        <v>739</v>
      </c>
      <c r="F679" s="935" t="s">
        <v>730</v>
      </c>
      <c r="G679" s="935">
        <v>1</v>
      </c>
      <c r="H679" s="935">
        <v>1</v>
      </c>
      <c r="I679" s="935" t="s">
        <v>670</v>
      </c>
      <c r="J679" s="936">
        <v>5.3181818181818201</v>
      </c>
      <c r="K679" s="936">
        <v>5.3181818181818201</v>
      </c>
      <c r="L679" s="939">
        <v>0.100603621730382</v>
      </c>
    </row>
    <row r="680" spans="1:12" hidden="1">
      <c r="A680" s="931">
        <v>8</v>
      </c>
      <c r="B680" s="1246">
        <v>46069</v>
      </c>
      <c r="C680" s="1248">
        <v>46075</v>
      </c>
      <c r="D680" s="933">
        <v>84</v>
      </c>
      <c r="E680" s="933" t="s">
        <v>802</v>
      </c>
      <c r="F680" s="933" t="s">
        <v>713</v>
      </c>
      <c r="G680" s="933">
        <v>1</v>
      </c>
      <c r="H680" s="933">
        <v>1</v>
      </c>
      <c r="I680" s="933" t="s">
        <v>670</v>
      </c>
      <c r="J680" s="934">
        <v>4.1818181818181799</v>
      </c>
      <c r="K680" s="934">
        <v>4.1818181818181799</v>
      </c>
      <c r="L680" s="938">
        <v>0.100603621730382</v>
      </c>
    </row>
    <row r="681" spans="1:12" hidden="1">
      <c r="A681" s="931">
        <v>8</v>
      </c>
      <c r="B681" s="1247">
        <v>46069</v>
      </c>
      <c r="C681" s="1249">
        <v>46075</v>
      </c>
      <c r="D681" s="935">
        <v>85</v>
      </c>
      <c r="E681" s="935" t="s">
        <v>765</v>
      </c>
      <c r="F681" s="935" t="s">
        <v>256</v>
      </c>
      <c r="G681" s="935">
        <v>1</v>
      </c>
      <c r="H681" s="935">
        <v>1</v>
      </c>
      <c r="I681" s="935" t="s">
        <v>670</v>
      </c>
      <c r="J681" s="936">
        <v>3.7272727272727302</v>
      </c>
      <c r="K681" s="936">
        <v>3.7272727272727302</v>
      </c>
      <c r="L681" s="939">
        <v>0.100603621730382</v>
      </c>
    </row>
    <row r="682" spans="1:12" hidden="1">
      <c r="A682" s="931">
        <v>8</v>
      </c>
      <c r="B682" s="1246">
        <v>46069</v>
      </c>
      <c r="C682" s="1248">
        <v>46075</v>
      </c>
      <c r="D682" s="933">
        <v>86</v>
      </c>
      <c r="E682" s="933" t="s">
        <v>709</v>
      </c>
      <c r="F682" s="933" t="s">
        <v>276</v>
      </c>
      <c r="G682" s="933">
        <v>1</v>
      </c>
      <c r="H682" s="933">
        <v>1</v>
      </c>
      <c r="I682" s="933" t="s">
        <v>672</v>
      </c>
      <c r="J682" s="934">
        <v>3.2272727272727302</v>
      </c>
      <c r="K682" s="934">
        <v>3.2272727272727302</v>
      </c>
      <c r="L682" s="938">
        <v>0.100603621730382</v>
      </c>
    </row>
    <row r="683" spans="1:12" hidden="1">
      <c r="A683" s="931">
        <v>8</v>
      </c>
      <c r="B683" s="1247">
        <v>46069</v>
      </c>
      <c r="C683" s="1249">
        <v>46075</v>
      </c>
      <c r="D683" s="935">
        <v>87</v>
      </c>
      <c r="E683" s="935" t="s">
        <v>756</v>
      </c>
      <c r="F683" s="935" t="s">
        <v>251</v>
      </c>
      <c r="G683" s="935">
        <v>1</v>
      </c>
      <c r="H683" s="935">
        <v>1</v>
      </c>
      <c r="I683" s="935" t="s">
        <v>670</v>
      </c>
      <c r="J683" s="936">
        <v>2.2727272727272698</v>
      </c>
      <c r="K683" s="936">
        <v>2.2727272727272698</v>
      </c>
      <c r="L683" s="939">
        <v>0.100603621730382</v>
      </c>
    </row>
    <row r="684" spans="1:12" hidden="1">
      <c r="A684" s="931">
        <v>8</v>
      </c>
      <c r="B684" s="1246">
        <v>46069</v>
      </c>
      <c r="C684" s="1248">
        <v>46075</v>
      </c>
      <c r="D684" s="933">
        <v>88</v>
      </c>
      <c r="E684" s="933" t="s">
        <v>690</v>
      </c>
      <c r="F684" s="933" t="s">
        <v>275</v>
      </c>
      <c r="G684" s="933">
        <v>1</v>
      </c>
      <c r="H684" s="933">
        <v>1</v>
      </c>
      <c r="I684" s="933" t="s">
        <v>670</v>
      </c>
      <c r="J684" s="934">
        <v>6.1363636363636402</v>
      </c>
      <c r="K684" s="934">
        <v>6.1363636363636402</v>
      </c>
      <c r="L684" s="938">
        <v>0.100603621730382</v>
      </c>
    </row>
    <row r="685" spans="1:12" hidden="1">
      <c r="A685" s="931">
        <v>8</v>
      </c>
      <c r="B685" s="1247">
        <v>46069</v>
      </c>
      <c r="C685" s="1249">
        <v>46075</v>
      </c>
      <c r="D685" s="935">
        <v>89</v>
      </c>
      <c r="E685" s="935" t="s">
        <v>753</v>
      </c>
      <c r="F685" s="935" t="s">
        <v>275</v>
      </c>
      <c r="G685" s="935">
        <v>1</v>
      </c>
      <c r="H685" s="935">
        <v>1</v>
      </c>
      <c r="I685" s="935" t="s">
        <v>670</v>
      </c>
      <c r="J685" s="936">
        <v>5.4545454545454497</v>
      </c>
      <c r="K685" s="936">
        <v>5.4545454545454497</v>
      </c>
      <c r="L685" s="939">
        <v>0.100603621730382</v>
      </c>
    </row>
    <row r="686" spans="1:12" hidden="1">
      <c r="A686" s="931">
        <v>8</v>
      </c>
      <c r="B686" s="1246">
        <v>46069</v>
      </c>
      <c r="C686" s="1248">
        <v>46075</v>
      </c>
      <c r="D686" s="933">
        <v>90</v>
      </c>
      <c r="E686" s="933" t="s">
        <v>757</v>
      </c>
      <c r="F686" s="933" t="s">
        <v>251</v>
      </c>
      <c r="G686" s="933">
        <v>1</v>
      </c>
      <c r="H686" s="933">
        <v>1</v>
      </c>
      <c r="I686" s="933" t="s">
        <v>670</v>
      </c>
      <c r="J686" s="934">
        <v>2.6363636363636398</v>
      </c>
      <c r="K686" s="934">
        <v>2.6363636363636398</v>
      </c>
      <c r="L686" s="938">
        <v>0.100603621730382</v>
      </c>
    </row>
    <row r="687" spans="1:12" hidden="1">
      <c r="A687" s="931">
        <v>8</v>
      </c>
      <c r="B687" s="1247">
        <v>46069</v>
      </c>
      <c r="C687" s="1249">
        <v>46075</v>
      </c>
      <c r="D687" s="935">
        <v>91</v>
      </c>
      <c r="E687" s="935" t="s">
        <v>810</v>
      </c>
      <c r="F687" s="935" t="s">
        <v>713</v>
      </c>
      <c r="G687" s="935">
        <v>1</v>
      </c>
      <c r="H687" s="935">
        <v>1</v>
      </c>
      <c r="I687" s="935" t="s">
        <v>670</v>
      </c>
      <c r="J687" s="936">
        <v>3.1818181818181799</v>
      </c>
      <c r="K687" s="936">
        <v>3.1818181818181799</v>
      </c>
      <c r="L687" s="939">
        <v>0.100603621730382</v>
      </c>
    </row>
    <row r="688" spans="1:12" hidden="1">
      <c r="A688" s="931">
        <v>8</v>
      </c>
      <c r="B688" s="1246">
        <v>46069</v>
      </c>
      <c r="C688" s="1248">
        <v>46075</v>
      </c>
      <c r="D688" s="933">
        <v>92</v>
      </c>
      <c r="E688" s="933" t="s">
        <v>784</v>
      </c>
      <c r="F688" s="933" t="s">
        <v>764</v>
      </c>
      <c r="G688" s="933">
        <v>1</v>
      </c>
      <c r="H688" s="933">
        <v>1</v>
      </c>
      <c r="I688" s="933" t="s">
        <v>670</v>
      </c>
      <c r="J688" s="934">
        <v>13.181818181818199</v>
      </c>
      <c r="K688" s="934">
        <v>13.181818181818199</v>
      </c>
      <c r="L688" s="938">
        <v>0.100603621730382</v>
      </c>
    </row>
    <row r="689" spans="1:12" hidden="1">
      <c r="A689" s="931">
        <v>8</v>
      </c>
      <c r="B689" s="1247">
        <v>46069</v>
      </c>
      <c r="C689" s="1249">
        <v>46075</v>
      </c>
      <c r="D689" s="935">
        <v>93</v>
      </c>
      <c r="E689" s="935" t="s">
        <v>811</v>
      </c>
      <c r="F689" s="935" t="s">
        <v>275</v>
      </c>
      <c r="G689" s="935">
        <v>1</v>
      </c>
      <c r="H689" s="935">
        <v>1</v>
      </c>
      <c r="I689" s="935" t="s">
        <v>670</v>
      </c>
      <c r="J689" s="936">
        <v>4.0909090909090899</v>
      </c>
      <c r="K689" s="936">
        <v>4.0909090909090899</v>
      </c>
      <c r="L689" s="939">
        <v>0.100603621730382</v>
      </c>
    </row>
    <row r="690" spans="1:12" hidden="1">
      <c r="A690" s="931">
        <v>8</v>
      </c>
      <c r="B690" s="1246">
        <v>46069</v>
      </c>
      <c r="C690" s="1248">
        <v>46075</v>
      </c>
      <c r="D690" s="933">
        <v>94</v>
      </c>
      <c r="E690" s="933" t="s">
        <v>812</v>
      </c>
      <c r="F690" s="933" t="s">
        <v>274</v>
      </c>
      <c r="G690" s="933">
        <v>1</v>
      </c>
      <c r="H690" s="933">
        <v>1</v>
      </c>
      <c r="I690" s="933" t="s">
        <v>670</v>
      </c>
      <c r="J690" s="934">
        <v>11.7272727272727</v>
      </c>
      <c r="K690" s="934">
        <v>11.7272727272727</v>
      </c>
      <c r="L690" s="938">
        <v>0.100603621730382</v>
      </c>
    </row>
    <row r="691" spans="1:12" hidden="1">
      <c r="A691" s="931">
        <v>8</v>
      </c>
      <c r="B691" s="1247">
        <v>46069</v>
      </c>
      <c r="C691" s="1249">
        <v>46075</v>
      </c>
      <c r="D691" s="935">
        <v>95</v>
      </c>
      <c r="E691" s="935" t="s">
        <v>799</v>
      </c>
      <c r="F691" s="935" t="s">
        <v>713</v>
      </c>
      <c r="G691" s="935">
        <v>1</v>
      </c>
      <c r="H691" s="935">
        <v>1</v>
      </c>
      <c r="I691" s="935" t="s">
        <v>670</v>
      </c>
      <c r="J691" s="936">
        <v>3.1818181818181799</v>
      </c>
      <c r="K691" s="936">
        <v>3.1818181818181799</v>
      </c>
      <c r="L691" s="939">
        <v>0.100603621730382</v>
      </c>
    </row>
    <row r="692" spans="1:12" hidden="1">
      <c r="A692" s="931">
        <v>8</v>
      </c>
      <c r="B692" s="1246">
        <v>46069</v>
      </c>
      <c r="C692" s="1248">
        <v>46075</v>
      </c>
      <c r="D692" s="933">
        <v>96</v>
      </c>
      <c r="E692" s="933" t="s">
        <v>804</v>
      </c>
      <c r="F692" s="933" t="s">
        <v>253</v>
      </c>
      <c r="G692" s="933">
        <v>1</v>
      </c>
      <c r="H692" s="933">
        <v>1</v>
      </c>
      <c r="I692" s="933" t="s">
        <v>670</v>
      </c>
      <c r="J692" s="934">
        <v>2.6818181818181799</v>
      </c>
      <c r="K692" s="934">
        <v>2.6818181818181799</v>
      </c>
      <c r="L692" s="938">
        <v>0.100603621730382</v>
      </c>
    </row>
    <row r="693" spans="1:12" hidden="1">
      <c r="A693" s="931">
        <v>8</v>
      </c>
      <c r="B693" s="1247">
        <v>46069</v>
      </c>
      <c r="C693" s="1249">
        <v>46075</v>
      </c>
      <c r="D693" s="935">
        <v>97</v>
      </c>
      <c r="E693" s="935" t="s">
        <v>690</v>
      </c>
      <c r="F693" s="935" t="s">
        <v>275</v>
      </c>
      <c r="G693" s="935">
        <v>1</v>
      </c>
      <c r="H693" s="935">
        <v>1</v>
      </c>
      <c r="I693" s="935" t="s">
        <v>670</v>
      </c>
      <c r="J693" s="936">
        <v>2.7272727272727302</v>
      </c>
      <c r="K693" s="936">
        <v>2.7272727272727302</v>
      </c>
      <c r="L693" s="939">
        <v>0.100603621730382</v>
      </c>
    </row>
    <row r="694" spans="1:12" hidden="1">
      <c r="A694" s="931">
        <v>8</v>
      </c>
      <c r="B694" s="1246">
        <v>46069</v>
      </c>
      <c r="C694" s="1248">
        <v>46075</v>
      </c>
      <c r="D694" s="933">
        <v>98</v>
      </c>
      <c r="E694" s="933" t="s">
        <v>692</v>
      </c>
      <c r="F694" s="933" t="s">
        <v>693</v>
      </c>
      <c r="G694" s="933">
        <v>1</v>
      </c>
      <c r="H694" s="933">
        <v>1</v>
      </c>
      <c r="I694" s="933" t="s">
        <v>670</v>
      </c>
      <c r="J694" s="934">
        <v>0</v>
      </c>
      <c r="K694" s="934">
        <v>0</v>
      </c>
      <c r="L694" s="938">
        <v>0.100603621730382</v>
      </c>
    </row>
    <row r="695" spans="1:12" hidden="1">
      <c r="A695" s="931">
        <v>8</v>
      </c>
      <c r="B695" s="1247">
        <v>46069</v>
      </c>
      <c r="C695" s="1249">
        <v>46075</v>
      </c>
      <c r="D695" s="935">
        <v>99</v>
      </c>
      <c r="E695" s="935" t="s">
        <v>746</v>
      </c>
      <c r="F695" s="935" t="s">
        <v>251</v>
      </c>
      <c r="G695" s="935">
        <v>1</v>
      </c>
      <c r="H695" s="935">
        <v>1</v>
      </c>
      <c r="I695" s="935" t="s">
        <v>670</v>
      </c>
      <c r="J695" s="936">
        <v>2.2727272727272698</v>
      </c>
      <c r="K695" s="936">
        <v>2.2727272727272698</v>
      </c>
      <c r="L695" s="939">
        <v>0.100603621730382</v>
      </c>
    </row>
    <row r="696" spans="1:12" hidden="1">
      <c r="A696" s="931">
        <v>11</v>
      </c>
      <c r="B696" s="1247">
        <v>46090</v>
      </c>
      <c r="C696" s="1249">
        <v>46096</v>
      </c>
      <c r="D696" s="935">
        <v>1</v>
      </c>
      <c r="E696" s="935" t="s">
        <v>259</v>
      </c>
      <c r="F696" s="935" t="s">
        <v>249</v>
      </c>
      <c r="G696" s="935">
        <v>81</v>
      </c>
      <c r="H696" s="935">
        <v>81</v>
      </c>
      <c r="I696" s="935" t="s">
        <v>670</v>
      </c>
      <c r="J696" s="936">
        <v>1.3058361391694699</v>
      </c>
      <c r="K696" s="936">
        <v>105.772727272727</v>
      </c>
      <c r="L696" s="939">
        <v>7.3972602739726003</v>
      </c>
    </row>
    <row r="697" spans="1:12" hidden="1">
      <c r="A697" s="931">
        <v>11</v>
      </c>
      <c r="B697" s="1246">
        <v>46090</v>
      </c>
      <c r="C697" s="1248">
        <v>46096</v>
      </c>
      <c r="D697" s="933">
        <v>2</v>
      </c>
      <c r="E697" s="933" t="s">
        <v>248</v>
      </c>
      <c r="F697" s="933" t="s">
        <v>249</v>
      </c>
      <c r="G697" s="933">
        <v>73</v>
      </c>
      <c r="H697" s="933">
        <v>73</v>
      </c>
      <c r="I697" s="933" t="s">
        <v>670</v>
      </c>
      <c r="J697" s="934">
        <v>1.3580323785803201</v>
      </c>
      <c r="K697" s="934">
        <v>99.136363636363598</v>
      </c>
      <c r="L697" s="938">
        <v>6.6666666666666696</v>
      </c>
    </row>
    <row r="698" spans="1:12" hidden="1">
      <c r="A698" s="931">
        <v>11</v>
      </c>
      <c r="B698" s="1247">
        <v>46090</v>
      </c>
      <c r="C698" s="1249">
        <v>46096</v>
      </c>
      <c r="D698" s="935">
        <v>3</v>
      </c>
      <c r="E698" s="935" t="s">
        <v>255</v>
      </c>
      <c r="F698" s="935" t="s">
        <v>256</v>
      </c>
      <c r="G698" s="935">
        <v>70</v>
      </c>
      <c r="H698" s="935">
        <v>70</v>
      </c>
      <c r="I698" s="935" t="s">
        <v>670</v>
      </c>
      <c r="J698" s="936">
        <v>5.1818181818181799</v>
      </c>
      <c r="K698" s="936">
        <v>362.72727272727201</v>
      </c>
      <c r="L698" s="939">
        <v>6.3926940639269398</v>
      </c>
    </row>
    <row r="699" spans="1:12" hidden="1">
      <c r="A699" s="931">
        <v>11</v>
      </c>
      <c r="B699" s="1246">
        <v>46090</v>
      </c>
      <c r="C699" s="1248">
        <v>46096</v>
      </c>
      <c r="D699" s="933">
        <v>4</v>
      </c>
      <c r="E699" s="933" t="s">
        <v>250</v>
      </c>
      <c r="F699" s="933" t="s">
        <v>251</v>
      </c>
      <c r="G699" s="933">
        <v>61</v>
      </c>
      <c r="H699" s="933">
        <v>61</v>
      </c>
      <c r="I699" s="933" t="s">
        <v>670</v>
      </c>
      <c r="J699" s="934">
        <v>1.6661698956780899</v>
      </c>
      <c r="K699" s="934">
        <v>101.636363636364</v>
      </c>
      <c r="L699" s="938">
        <v>5.5707762557077602</v>
      </c>
    </row>
    <row r="700" spans="1:12" hidden="1">
      <c r="A700" s="931">
        <v>11</v>
      </c>
      <c r="B700" s="1247">
        <v>46090</v>
      </c>
      <c r="C700" s="1249">
        <v>46096</v>
      </c>
      <c r="D700" s="935">
        <v>5</v>
      </c>
      <c r="E700" s="935" t="s">
        <v>261</v>
      </c>
      <c r="F700" s="935" t="s">
        <v>256</v>
      </c>
      <c r="G700" s="935">
        <v>57</v>
      </c>
      <c r="H700" s="935">
        <v>57</v>
      </c>
      <c r="I700" s="935" t="s">
        <v>670</v>
      </c>
      <c r="J700" s="936">
        <v>2.9673046251993598</v>
      </c>
      <c r="K700" s="936">
        <v>169.136363636364</v>
      </c>
      <c r="L700" s="939">
        <v>5.2054794520547896</v>
      </c>
    </row>
    <row r="701" spans="1:12" hidden="1">
      <c r="A701" s="931">
        <v>11</v>
      </c>
      <c r="B701" s="1246">
        <v>46090</v>
      </c>
      <c r="C701" s="1248">
        <v>46096</v>
      </c>
      <c r="D701" s="933">
        <v>6</v>
      </c>
      <c r="E701" s="933" t="s">
        <v>790</v>
      </c>
      <c r="F701" s="933" t="s">
        <v>264</v>
      </c>
      <c r="G701" s="933">
        <v>56</v>
      </c>
      <c r="H701" s="933">
        <v>56</v>
      </c>
      <c r="I701" s="933" t="s">
        <v>670</v>
      </c>
      <c r="J701" s="934">
        <v>3.2183441558441599</v>
      </c>
      <c r="K701" s="934">
        <v>180.227272727273</v>
      </c>
      <c r="L701" s="938">
        <v>5.1141552511415496</v>
      </c>
    </row>
    <row r="702" spans="1:12" hidden="1">
      <c r="A702" s="931">
        <v>11</v>
      </c>
      <c r="B702" s="1247">
        <v>46090</v>
      </c>
      <c r="C702" s="1249">
        <v>46096</v>
      </c>
      <c r="D702" s="935">
        <v>7</v>
      </c>
      <c r="E702" s="935" t="s">
        <v>673</v>
      </c>
      <c r="F702" s="935" t="s">
        <v>251</v>
      </c>
      <c r="G702" s="935">
        <v>38</v>
      </c>
      <c r="H702" s="935">
        <v>38</v>
      </c>
      <c r="I702" s="935" t="s">
        <v>670</v>
      </c>
      <c r="J702" s="936">
        <v>2.3935406698564599</v>
      </c>
      <c r="K702" s="936">
        <v>90.954545454545396</v>
      </c>
      <c r="L702" s="939">
        <v>3.4703196347032002</v>
      </c>
    </row>
    <row r="703" spans="1:12" hidden="1">
      <c r="A703" s="931">
        <v>11</v>
      </c>
      <c r="B703" s="1246">
        <v>46090</v>
      </c>
      <c r="C703" s="1248">
        <v>46096</v>
      </c>
      <c r="D703" s="933">
        <v>8</v>
      </c>
      <c r="E703" s="933" t="s">
        <v>262</v>
      </c>
      <c r="F703" s="933" t="s">
        <v>256</v>
      </c>
      <c r="G703" s="933">
        <v>30</v>
      </c>
      <c r="H703" s="933">
        <v>30</v>
      </c>
      <c r="I703" s="933" t="s">
        <v>670</v>
      </c>
      <c r="J703" s="934">
        <v>10.8712121212121</v>
      </c>
      <c r="K703" s="934">
        <v>326.13636363636402</v>
      </c>
      <c r="L703" s="938">
        <v>2.7397260273972601</v>
      </c>
    </row>
    <row r="704" spans="1:12" hidden="1">
      <c r="A704" s="931">
        <v>11</v>
      </c>
      <c r="B704" s="1247">
        <v>46090</v>
      </c>
      <c r="C704" s="1249">
        <v>46096</v>
      </c>
      <c r="D704" s="935">
        <v>9</v>
      </c>
      <c r="E704" s="935" t="s">
        <v>680</v>
      </c>
      <c r="F704" s="935" t="s">
        <v>251</v>
      </c>
      <c r="G704" s="935">
        <v>29</v>
      </c>
      <c r="H704" s="935">
        <v>29</v>
      </c>
      <c r="I704" s="935" t="s">
        <v>670</v>
      </c>
      <c r="J704" s="936">
        <v>2.44200626959248</v>
      </c>
      <c r="K704" s="936">
        <v>70.818181818181799</v>
      </c>
      <c r="L704" s="939">
        <v>2.6484018264840201</v>
      </c>
    </row>
    <row r="705" spans="1:12" hidden="1">
      <c r="A705" s="931">
        <v>11</v>
      </c>
      <c r="B705" s="1246">
        <v>46090</v>
      </c>
      <c r="C705" s="1248">
        <v>46096</v>
      </c>
      <c r="D705" s="933">
        <v>10</v>
      </c>
      <c r="E705" s="933" t="s">
        <v>254</v>
      </c>
      <c r="F705" s="933" t="s">
        <v>254</v>
      </c>
      <c r="G705" s="933">
        <v>24</v>
      </c>
      <c r="H705" s="933">
        <v>24</v>
      </c>
      <c r="I705" s="933" t="s">
        <v>670</v>
      </c>
      <c r="J705" s="934">
        <v>13.545454545454501</v>
      </c>
      <c r="K705" s="934">
        <v>325.09090909090901</v>
      </c>
      <c r="L705" s="938">
        <v>2.1917808219178099</v>
      </c>
    </row>
    <row r="706" spans="1:12" hidden="1">
      <c r="A706" s="931">
        <v>11</v>
      </c>
      <c r="B706" s="1247">
        <v>46090</v>
      </c>
      <c r="C706" s="1249">
        <v>46096</v>
      </c>
      <c r="D706" s="935">
        <v>11</v>
      </c>
      <c r="E706" s="935" t="s">
        <v>679</v>
      </c>
      <c r="F706" s="935" t="s">
        <v>256</v>
      </c>
      <c r="G706" s="935">
        <v>22</v>
      </c>
      <c r="H706" s="935">
        <v>22</v>
      </c>
      <c r="I706" s="935" t="s">
        <v>670</v>
      </c>
      <c r="J706" s="936">
        <v>9.1322314049586808</v>
      </c>
      <c r="K706" s="936">
        <v>200.90909090909099</v>
      </c>
      <c r="L706" s="939">
        <v>2.0091324200913201</v>
      </c>
    </row>
    <row r="707" spans="1:12">
      <c r="A707" s="931">
        <v>11</v>
      </c>
      <c r="B707" s="1246">
        <v>46090</v>
      </c>
      <c r="C707" s="1248">
        <v>46096</v>
      </c>
      <c r="D707" s="933">
        <v>12</v>
      </c>
      <c r="E707" s="933" t="s">
        <v>806</v>
      </c>
      <c r="F707" s="933" t="s">
        <v>256</v>
      </c>
      <c r="G707" s="933">
        <v>21</v>
      </c>
      <c r="H707" s="933">
        <v>21</v>
      </c>
      <c r="I707" s="933" t="s">
        <v>670</v>
      </c>
      <c r="J707" s="934">
        <v>-0.14935064935064901</v>
      </c>
      <c r="K707" s="934">
        <v>-3.13636363636363</v>
      </c>
      <c r="L707" s="938">
        <v>1.9178082191780801</v>
      </c>
    </row>
    <row r="708" spans="1:12" hidden="1">
      <c r="A708" s="931">
        <v>11</v>
      </c>
      <c r="B708" s="1247">
        <v>46090</v>
      </c>
      <c r="C708" s="1249">
        <v>46096</v>
      </c>
      <c r="D708" s="935">
        <v>13</v>
      </c>
      <c r="E708" s="935" t="s">
        <v>791</v>
      </c>
      <c r="F708" s="935" t="s">
        <v>256</v>
      </c>
      <c r="G708" s="935">
        <v>21</v>
      </c>
      <c r="H708" s="935">
        <v>21</v>
      </c>
      <c r="I708" s="935" t="s">
        <v>670</v>
      </c>
      <c r="J708" s="936">
        <v>5.0324675324675301</v>
      </c>
      <c r="K708" s="936">
        <v>105.681818181818</v>
      </c>
      <c r="L708" s="939">
        <v>1.9178082191780801</v>
      </c>
    </row>
    <row r="709" spans="1:12" hidden="1">
      <c r="A709" s="931">
        <v>11</v>
      </c>
      <c r="B709" s="1246">
        <v>46090</v>
      </c>
      <c r="C709" s="1248">
        <v>46096</v>
      </c>
      <c r="D709" s="933">
        <v>14</v>
      </c>
      <c r="E709" s="933" t="s">
        <v>686</v>
      </c>
      <c r="F709" s="933" t="s">
        <v>274</v>
      </c>
      <c r="G709" s="933">
        <v>19</v>
      </c>
      <c r="H709" s="933">
        <v>19</v>
      </c>
      <c r="I709" s="933" t="s">
        <v>670</v>
      </c>
      <c r="J709" s="934">
        <v>13.6602870813397</v>
      </c>
      <c r="K709" s="934">
        <v>259.54545454545502</v>
      </c>
      <c r="L709" s="938">
        <v>1.7351598173516001</v>
      </c>
    </row>
    <row r="710" spans="1:12" hidden="1">
      <c r="A710" s="931">
        <v>11</v>
      </c>
      <c r="B710" s="1247">
        <v>46090</v>
      </c>
      <c r="C710" s="1249">
        <v>46096</v>
      </c>
      <c r="D710" s="935">
        <v>15</v>
      </c>
      <c r="E710" s="935" t="s">
        <v>682</v>
      </c>
      <c r="F710" s="935" t="s">
        <v>275</v>
      </c>
      <c r="G710" s="935">
        <v>18</v>
      </c>
      <c r="H710" s="935">
        <v>18</v>
      </c>
      <c r="I710" s="935" t="s">
        <v>670</v>
      </c>
      <c r="J710" s="936">
        <v>5.0757575757575699</v>
      </c>
      <c r="K710" s="936">
        <v>91.363636363636303</v>
      </c>
      <c r="L710" s="939">
        <v>1.6438356164383601</v>
      </c>
    </row>
    <row r="711" spans="1:12" hidden="1">
      <c r="A711" s="931">
        <v>11</v>
      </c>
      <c r="B711" s="1246">
        <v>46090</v>
      </c>
      <c r="C711" s="1248">
        <v>46096</v>
      </c>
      <c r="D711" s="933">
        <v>16</v>
      </c>
      <c r="E711" s="933" t="s">
        <v>681</v>
      </c>
      <c r="F711" s="933" t="s">
        <v>282</v>
      </c>
      <c r="G711" s="933">
        <v>17</v>
      </c>
      <c r="H711" s="933">
        <v>17</v>
      </c>
      <c r="I711" s="933" t="s">
        <v>672</v>
      </c>
      <c r="J711" s="934">
        <v>4.5454545454545497E-2</v>
      </c>
      <c r="K711" s="934">
        <v>0.77272727272727304</v>
      </c>
      <c r="L711" s="938">
        <v>1.5525114155251101</v>
      </c>
    </row>
    <row r="712" spans="1:12" hidden="1">
      <c r="A712" s="931">
        <v>11</v>
      </c>
      <c r="B712" s="1247">
        <v>46090</v>
      </c>
      <c r="C712" s="1249">
        <v>46096</v>
      </c>
      <c r="D712" s="935">
        <v>17</v>
      </c>
      <c r="E712" s="935" t="s">
        <v>780</v>
      </c>
      <c r="F712" s="935" t="s">
        <v>268</v>
      </c>
      <c r="G712" s="935">
        <v>17</v>
      </c>
      <c r="H712" s="935">
        <v>17</v>
      </c>
      <c r="I712" s="935" t="s">
        <v>670</v>
      </c>
      <c r="J712" s="936">
        <v>1.36363636363636</v>
      </c>
      <c r="K712" s="936">
        <v>23.181818181818201</v>
      </c>
      <c r="L712" s="939">
        <v>1.5525114155251101</v>
      </c>
    </row>
    <row r="713" spans="1:12" hidden="1">
      <c r="A713" s="931">
        <v>11</v>
      </c>
      <c r="B713" s="1246">
        <v>46090</v>
      </c>
      <c r="C713" s="1248">
        <v>46096</v>
      </c>
      <c r="D713" s="933">
        <v>18</v>
      </c>
      <c r="E713" s="933" t="s">
        <v>678</v>
      </c>
      <c r="F713" s="933" t="s">
        <v>256</v>
      </c>
      <c r="G713" s="933">
        <v>16</v>
      </c>
      <c r="H713" s="933">
        <v>16</v>
      </c>
      <c r="I713" s="933" t="s">
        <v>670</v>
      </c>
      <c r="J713" s="934">
        <v>6.3579545454545396</v>
      </c>
      <c r="K713" s="934">
        <v>101.727272727273</v>
      </c>
      <c r="L713" s="938">
        <v>1.4611872146118701</v>
      </c>
    </row>
    <row r="714" spans="1:12" hidden="1">
      <c r="A714" s="931">
        <v>11</v>
      </c>
      <c r="B714" s="1247">
        <v>46090</v>
      </c>
      <c r="C714" s="1249">
        <v>46096</v>
      </c>
      <c r="D714" s="935">
        <v>19</v>
      </c>
      <c r="E714" s="935" t="s">
        <v>708</v>
      </c>
      <c r="F714" s="935" t="s">
        <v>251</v>
      </c>
      <c r="G714" s="935">
        <v>15</v>
      </c>
      <c r="H714" s="935">
        <v>15</v>
      </c>
      <c r="I714" s="935" t="s">
        <v>670</v>
      </c>
      <c r="J714" s="936">
        <v>1.84848484848485</v>
      </c>
      <c r="K714" s="936">
        <v>27.727272727272702</v>
      </c>
      <c r="L714" s="939">
        <v>1.3698630136986301</v>
      </c>
    </row>
    <row r="715" spans="1:12" hidden="1">
      <c r="A715" s="931">
        <v>11</v>
      </c>
      <c r="B715" s="1246">
        <v>46090</v>
      </c>
      <c r="C715" s="1248">
        <v>46096</v>
      </c>
      <c r="D715" s="933">
        <v>20</v>
      </c>
      <c r="E715" s="933" t="s">
        <v>792</v>
      </c>
      <c r="F715" s="933" t="s">
        <v>256</v>
      </c>
      <c r="G715" s="933">
        <v>15</v>
      </c>
      <c r="H715" s="933">
        <v>15</v>
      </c>
      <c r="I715" s="933" t="s">
        <v>670</v>
      </c>
      <c r="J715" s="934">
        <v>12.696969696969701</v>
      </c>
      <c r="K715" s="934">
        <v>190.45454545454501</v>
      </c>
      <c r="L715" s="938">
        <v>1.3698630136986301</v>
      </c>
    </row>
    <row r="716" spans="1:12" hidden="1">
      <c r="A716" s="931">
        <v>11</v>
      </c>
      <c r="B716" s="1247">
        <v>46090</v>
      </c>
      <c r="C716" s="1249">
        <v>46096</v>
      </c>
      <c r="D716" s="935">
        <v>21</v>
      </c>
      <c r="E716" s="935" t="s">
        <v>674</v>
      </c>
      <c r="F716" s="935" t="s">
        <v>275</v>
      </c>
      <c r="G716" s="935">
        <v>14</v>
      </c>
      <c r="H716" s="935">
        <v>14</v>
      </c>
      <c r="I716" s="935" t="s">
        <v>670</v>
      </c>
      <c r="J716" s="936">
        <v>5.27597402597402</v>
      </c>
      <c r="K716" s="936">
        <v>73.863636363636303</v>
      </c>
      <c r="L716" s="939">
        <v>1.2785388127853901</v>
      </c>
    </row>
    <row r="717" spans="1:12" hidden="1">
      <c r="A717" s="931">
        <v>11</v>
      </c>
      <c r="B717" s="1246">
        <v>46090</v>
      </c>
      <c r="C717" s="1248">
        <v>46096</v>
      </c>
      <c r="D717" s="933">
        <v>22</v>
      </c>
      <c r="E717" s="933" t="s">
        <v>698</v>
      </c>
      <c r="F717" s="933" t="s">
        <v>249</v>
      </c>
      <c r="G717" s="933">
        <v>13</v>
      </c>
      <c r="H717" s="933">
        <v>13</v>
      </c>
      <c r="I717" s="933" t="s">
        <v>670</v>
      </c>
      <c r="J717" s="934">
        <v>2.3181818181818201</v>
      </c>
      <c r="K717" s="934">
        <v>30.136363636363601</v>
      </c>
      <c r="L717" s="938">
        <v>1.18721461187215</v>
      </c>
    </row>
    <row r="718" spans="1:12" hidden="1">
      <c r="A718" s="931">
        <v>11</v>
      </c>
      <c r="B718" s="1247">
        <v>46090</v>
      </c>
      <c r="C718" s="1249">
        <v>46096</v>
      </c>
      <c r="D718" s="935">
        <v>23</v>
      </c>
      <c r="E718" s="935" t="s">
        <v>700</v>
      </c>
      <c r="F718" s="935" t="s">
        <v>274</v>
      </c>
      <c r="G718" s="935">
        <v>13</v>
      </c>
      <c r="H718" s="935">
        <v>13</v>
      </c>
      <c r="I718" s="935" t="s">
        <v>670</v>
      </c>
      <c r="J718" s="936">
        <v>9.1433566433566398</v>
      </c>
      <c r="K718" s="936">
        <v>118.863636363636</v>
      </c>
      <c r="L718" s="939">
        <v>1.18721461187215</v>
      </c>
    </row>
    <row r="719" spans="1:12" hidden="1">
      <c r="A719" s="931">
        <v>11</v>
      </c>
      <c r="B719" s="1246">
        <v>46090</v>
      </c>
      <c r="C719" s="1248">
        <v>46096</v>
      </c>
      <c r="D719" s="933">
        <v>24</v>
      </c>
      <c r="E719" s="933" t="s">
        <v>716</v>
      </c>
      <c r="F719" s="933" t="s">
        <v>251</v>
      </c>
      <c r="G719" s="933">
        <v>12</v>
      </c>
      <c r="H719" s="933">
        <v>12</v>
      </c>
      <c r="I719" s="933" t="s">
        <v>670</v>
      </c>
      <c r="J719" s="934">
        <v>0</v>
      </c>
      <c r="K719" s="934">
        <v>0</v>
      </c>
      <c r="L719" s="938">
        <v>1.0958904109589001</v>
      </c>
    </row>
    <row r="720" spans="1:12" hidden="1">
      <c r="A720" s="931">
        <v>11</v>
      </c>
      <c r="B720" s="1247">
        <v>46090</v>
      </c>
      <c r="C720" s="1249">
        <v>46096</v>
      </c>
      <c r="D720" s="935">
        <v>25</v>
      </c>
      <c r="E720" s="935" t="s">
        <v>796</v>
      </c>
      <c r="F720" s="935" t="s">
        <v>282</v>
      </c>
      <c r="G720" s="935">
        <v>11</v>
      </c>
      <c r="H720" s="935">
        <v>11</v>
      </c>
      <c r="I720" s="935" t="s">
        <v>670</v>
      </c>
      <c r="J720" s="936">
        <v>10.900826446281</v>
      </c>
      <c r="K720" s="936">
        <v>119.90909090909101</v>
      </c>
      <c r="L720" s="939">
        <v>1.00456621004566</v>
      </c>
    </row>
    <row r="721" spans="1:12" hidden="1">
      <c r="A721" s="931">
        <v>11</v>
      </c>
      <c r="B721" s="1246">
        <v>46090</v>
      </c>
      <c r="C721" s="1248">
        <v>46096</v>
      </c>
      <c r="D721" s="933">
        <v>26</v>
      </c>
      <c r="E721" s="933" t="s">
        <v>794</v>
      </c>
      <c r="F721" s="933" t="s">
        <v>256</v>
      </c>
      <c r="G721" s="933">
        <v>11</v>
      </c>
      <c r="H721" s="933">
        <v>11</v>
      </c>
      <c r="I721" s="933" t="s">
        <v>670</v>
      </c>
      <c r="J721" s="934">
        <v>6.8595041322314003</v>
      </c>
      <c r="K721" s="934">
        <v>75.454545454545496</v>
      </c>
      <c r="L721" s="938">
        <v>1.00456621004566</v>
      </c>
    </row>
    <row r="722" spans="1:12" hidden="1">
      <c r="A722" s="931">
        <v>11</v>
      </c>
      <c r="B722" s="1247">
        <v>46090</v>
      </c>
      <c r="C722" s="1249">
        <v>46096</v>
      </c>
      <c r="D722" s="935">
        <v>27</v>
      </c>
      <c r="E722" s="935" t="s">
        <v>797</v>
      </c>
      <c r="F722" s="935" t="s">
        <v>253</v>
      </c>
      <c r="G722" s="935">
        <v>11</v>
      </c>
      <c r="H722" s="935">
        <v>11</v>
      </c>
      <c r="I722" s="935" t="s">
        <v>670</v>
      </c>
      <c r="J722" s="936">
        <v>3.2314049586776901</v>
      </c>
      <c r="K722" s="936">
        <v>35.545454545454497</v>
      </c>
      <c r="L722" s="939">
        <v>1.00456621004566</v>
      </c>
    </row>
    <row r="723" spans="1:12" hidden="1">
      <c r="A723" s="931">
        <v>11</v>
      </c>
      <c r="B723" s="1246">
        <v>46090</v>
      </c>
      <c r="C723" s="1248">
        <v>46096</v>
      </c>
      <c r="D723" s="933">
        <v>28</v>
      </c>
      <c r="E723" s="933" t="s">
        <v>714</v>
      </c>
      <c r="F723" s="933" t="s">
        <v>251</v>
      </c>
      <c r="G723" s="933">
        <v>10</v>
      </c>
      <c r="H723" s="933">
        <v>10</v>
      </c>
      <c r="I723" s="933" t="s">
        <v>670</v>
      </c>
      <c r="J723" s="934">
        <v>1.1272727272727301</v>
      </c>
      <c r="K723" s="934">
        <v>11.2727272727273</v>
      </c>
      <c r="L723" s="938">
        <v>0.91324200913242004</v>
      </c>
    </row>
    <row r="724" spans="1:12" hidden="1">
      <c r="A724" s="931">
        <v>11</v>
      </c>
      <c r="B724" s="1247">
        <v>46090</v>
      </c>
      <c r="C724" s="1249">
        <v>46096</v>
      </c>
      <c r="D724" s="935">
        <v>29</v>
      </c>
      <c r="E724" s="935" t="s">
        <v>751</v>
      </c>
      <c r="F724" s="935" t="s">
        <v>256</v>
      </c>
      <c r="G724" s="935">
        <v>10</v>
      </c>
      <c r="H724" s="935">
        <v>10</v>
      </c>
      <c r="I724" s="935" t="s">
        <v>670</v>
      </c>
      <c r="J724" s="936">
        <v>5.8136363636363599</v>
      </c>
      <c r="K724" s="936">
        <v>58.136363636363598</v>
      </c>
      <c r="L724" s="939">
        <v>0.91324200913242004</v>
      </c>
    </row>
    <row r="725" spans="1:12" hidden="1">
      <c r="A725" s="931">
        <v>11</v>
      </c>
      <c r="B725" s="1246">
        <v>46090</v>
      </c>
      <c r="C725" s="1248">
        <v>46096</v>
      </c>
      <c r="D725" s="933">
        <v>30</v>
      </c>
      <c r="E725" s="933" t="s">
        <v>707</v>
      </c>
      <c r="F725" s="933" t="s">
        <v>256</v>
      </c>
      <c r="G725" s="933">
        <v>10</v>
      </c>
      <c r="H725" s="933">
        <v>10</v>
      </c>
      <c r="I725" s="933" t="s">
        <v>670</v>
      </c>
      <c r="J725" s="934">
        <v>8.7272727272727302</v>
      </c>
      <c r="K725" s="934">
        <v>87.272727272727295</v>
      </c>
      <c r="L725" s="938">
        <v>0.91324200913242004</v>
      </c>
    </row>
    <row r="726" spans="1:12" hidden="1">
      <c r="A726" s="931">
        <v>11</v>
      </c>
      <c r="B726" s="1247">
        <v>46090</v>
      </c>
      <c r="C726" s="1249">
        <v>46096</v>
      </c>
      <c r="D726" s="935">
        <v>31</v>
      </c>
      <c r="E726" s="935" t="s">
        <v>671</v>
      </c>
      <c r="F726" s="935" t="s">
        <v>276</v>
      </c>
      <c r="G726" s="935">
        <v>10</v>
      </c>
      <c r="H726" s="935">
        <v>10</v>
      </c>
      <c r="I726" s="935" t="s">
        <v>672</v>
      </c>
      <c r="J726" s="936">
        <v>2.8863636363636398</v>
      </c>
      <c r="K726" s="936">
        <v>28.863636363636399</v>
      </c>
      <c r="L726" s="939">
        <v>0.91324200913242004</v>
      </c>
    </row>
    <row r="727" spans="1:12" hidden="1">
      <c r="A727" s="931">
        <v>11</v>
      </c>
      <c r="B727" s="1246">
        <v>46090</v>
      </c>
      <c r="C727" s="1248">
        <v>46096</v>
      </c>
      <c r="D727" s="933">
        <v>32</v>
      </c>
      <c r="E727" s="933" t="s">
        <v>795</v>
      </c>
      <c r="F727" s="933" t="s">
        <v>254</v>
      </c>
      <c r="G727" s="933">
        <v>9</v>
      </c>
      <c r="H727" s="933">
        <v>9</v>
      </c>
      <c r="I727" s="933" t="s">
        <v>670</v>
      </c>
      <c r="J727" s="934">
        <v>0.20202020202020199</v>
      </c>
      <c r="K727" s="934">
        <v>1.8181818181818199</v>
      </c>
      <c r="L727" s="938">
        <v>0.82191780821917804</v>
      </c>
    </row>
    <row r="728" spans="1:12" hidden="1">
      <c r="A728" s="931">
        <v>11</v>
      </c>
      <c r="B728" s="1247">
        <v>46090</v>
      </c>
      <c r="C728" s="1249">
        <v>46096</v>
      </c>
      <c r="D728" s="935">
        <v>33</v>
      </c>
      <c r="E728" s="935" t="s">
        <v>691</v>
      </c>
      <c r="F728" s="935" t="s">
        <v>251</v>
      </c>
      <c r="G728" s="935">
        <v>9</v>
      </c>
      <c r="H728" s="935">
        <v>9</v>
      </c>
      <c r="I728" s="935" t="s">
        <v>670</v>
      </c>
      <c r="J728" s="936">
        <v>2.2878787878787898</v>
      </c>
      <c r="K728" s="936">
        <v>20.590909090909101</v>
      </c>
      <c r="L728" s="939">
        <v>0.82191780821917804</v>
      </c>
    </row>
    <row r="729" spans="1:12" hidden="1">
      <c r="A729" s="931">
        <v>11</v>
      </c>
      <c r="B729" s="1246">
        <v>46090</v>
      </c>
      <c r="C729" s="1248">
        <v>46096</v>
      </c>
      <c r="D729" s="933">
        <v>34</v>
      </c>
      <c r="E729" s="933" t="s">
        <v>683</v>
      </c>
      <c r="F729" s="933" t="s">
        <v>274</v>
      </c>
      <c r="G729" s="933">
        <v>9</v>
      </c>
      <c r="H729" s="933">
        <v>9</v>
      </c>
      <c r="I729" s="933" t="s">
        <v>670</v>
      </c>
      <c r="J729" s="934">
        <v>10.959595959595999</v>
      </c>
      <c r="K729" s="934">
        <v>98.636363636363598</v>
      </c>
      <c r="L729" s="938">
        <v>0.82191780821917804</v>
      </c>
    </row>
    <row r="730" spans="1:12" hidden="1">
      <c r="A730" s="931">
        <v>11</v>
      </c>
      <c r="B730" s="1247">
        <v>46090</v>
      </c>
      <c r="C730" s="1249">
        <v>46096</v>
      </c>
      <c r="D730" s="935">
        <v>35</v>
      </c>
      <c r="E730" s="935" t="s">
        <v>702</v>
      </c>
      <c r="F730" s="935" t="s">
        <v>251</v>
      </c>
      <c r="G730" s="935">
        <v>9</v>
      </c>
      <c r="H730" s="935">
        <v>9</v>
      </c>
      <c r="I730" s="935" t="s">
        <v>670</v>
      </c>
      <c r="J730" s="936">
        <v>2.4545454545454501</v>
      </c>
      <c r="K730" s="936">
        <v>22.090909090909101</v>
      </c>
      <c r="L730" s="939">
        <v>0.82191780821917804</v>
      </c>
    </row>
    <row r="731" spans="1:12" hidden="1">
      <c r="A731" s="931">
        <v>11</v>
      </c>
      <c r="B731" s="1246">
        <v>46090</v>
      </c>
      <c r="C731" s="1248">
        <v>46096</v>
      </c>
      <c r="D731" s="933">
        <v>36</v>
      </c>
      <c r="E731" s="933" t="s">
        <v>743</v>
      </c>
      <c r="F731" s="933" t="s">
        <v>251</v>
      </c>
      <c r="G731" s="933">
        <v>7</v>
      </c>
      <c r="H731" s="933">
        <v>7</v>
      </c>
      <c r="I731" s="933" t="s">
        <v>670</v>
      </c>
      <c r="J731" s="934">
        <v>2.4285714285714302</v>
      </c>
      <c r="K731" s="934">
        <v>17</v>
      </c>
      <c r="L731" s="938">
        <v>0.63926940639269403</v>
      </c>
    </row>
    <row r="732" spans="1:12" hidden="1">
      <c r="A732" s="931">
        <v>11</v>
      </c>
      <c r="B732" s="1247">
        <v>46090</v>
      </c>
      <c r="C732" s="1249">
        <v>46096</v>
      </c>
      <c r="D732" s="935">
        <v>37</v>
      </c>
      <c r="E732" s="935" t="s">
        <v>731</v>
      </c>
      <c r="F732" s="935" t="s">
        <v>251</v>
      </c>
      <c r="G732" s="935">
        <v>7</v>
      </c>
      <c r="H732" s="935">
        <v>7</v>
      </c>
      <c r="I732" s="935" t="s">
        <v>670</v>
      </c>
      <c r="J732" s="936">
        <v>2.48701298701299</v>
      </c>
      <c r="K732" s="936">
        <v>17.409090909090899</v>
      </c>
      <c r="L732" s="939">
        <v>0.63926940639269403</v>
      </c>
    </row>
    <row r="733" spans="1:12" hidden="1">
      <c r="A733" s="931">
        <v>11</v>
      </c>
      <c r="B733" s="1246">
        <v>46090</v>
      </c>
      <c r="C733" s="1248">
        <v>46096</v>
      </c>
      <c r="D733" s="933">
        <v>38</v>
      </c>
      <c r="E733" s="933" t="s">
        <v>752</v>
      </c>
      <c r="F733" s="933" t="s">
        <v>264</v>
      </c>
      <c r="G733" s="933">
        <v>7</v>
      </c>
      <c r="H733" s="933">
        <v>7</v>
      </c>
      <c r="I733" s="933" t="s">
        <v>670</v>
      </c>
      <c r="J733" s="934">
        <v>1.5324675324675301</v>
      </c>
      <c r="K733" s="934">
        <v>10.7272727272727</v>
      </c>
      <c r="L733" s="938">
        <v>0.63926940639269403</v>
      </c>
    </row>
    <row r="734" spans="1:12" hidden="1">
      <c r="A734" s="931">
        <v>11</v>
      </c>
      <c r="B734" s="1247">
        <v>46090</v>
      </c>
      <c r="C734" s="1249">
        <v>46096</v>
      </c>
      <c r="D734" s="935">
        <v>39</v>
      </c>
      <c r="E734" s="935" t="s">
        <v>738</v>
      </c>
      <c r="F734" s="935" t="s">
        <v>256</v>
      </c>
      <c r="G734" s="935">
        <v>7</v>
      </c>
      <c r="H734" s="935">
        <v>7</v>
      </c>
      <c r="I734" s="935" t="s">
        <v>670</v>
      </c>
      <c r="J734" s="936">
        <v>7.2792207792207799</v>
      </c>
      <c r="K734" s="936">
        <v>50.954545454545503</v>
      </c>
      <c r="L734" s="939">
        <v>0.63926940639269403</v>
      </c>
    </row>
    <row r="735" spans="1:12" hidden="1">
      <c r="A735" s="931">
        <v>11</v>
      </c>
      <c r="B735" s="1246">
        <v>46090</v>
      </c>
      <c r="C735" s="1248">
        <v>46096</v>
      </c>
      <c r="D735" s="933">
        <v>40</v>
      </c>
      <c r="E735" s="933" t="s">
        <v>676</v>
      </c>
      <c r="F735" s="933" t="s">
        <v>253</v>
      </c>
      <c r="G735" s="933">
        <v>7</v>
      </c>
      <c r="H735" s="933">
        <v>7</v>
      </c>
      <c r="I735" s="933" t="s">
        <v>670</v>
      </c>
      <c r="J735" s="934">
        <v>2.7012987012987</v>
      </c>
      <c r="K735" s="934">
        <v>18.909090909090899</v>
      </c>
      <c r="L735" s="938">
        <v>0.63926940639269403</v>
      </c>
    </row>
    <row r="736" spans="1:12" hidden="1">
      <c r="A736" s="931">
        <v>11</v>
      </c>
      <c r="B736" s="1247">
        <v>46090</v>
      </c>
      <c r="C736" s="1249">
        <v>46096</v>
      </c>
      <c r="D736" s="935">
        <v>41</v>
      </c>
      <c r="E736" s="935" t="s">
        <v>727</v>
      </c>
      <c r="F736" s="935" t="s">
        <v>275</v>
      </c>
      <c r="G736" s="935">
        <v>7</v>
      </c>
      <c r="H736" s="935">
        <v>7</v>
      </c>
      <c r="I736" s="935" t="s">
        <v>670</v>
      </c>
      <c r="J736" s="936">
        <v>0</v>
      </c>
      <c r="K736" s="936">
        <v>0</v>
      </c>
      <c r="L736" s="939">
        <v>0.63926940639269403</v>
      </c>
    </row>
    <row r="737" spans="1:12" hidden="1">
      <c r="A737" s="931">
        <v>11</v>
      </c>
      <c r="B737" s="1246">
        <v>46090</v>
      </c>
      <c r="C737" s="1248">
        <v>46096</v>
      </c>
      <c r="D737" s="933">
        <v>42</v>
      </c>
      <c r="E737" s="933" t="s">
        <v>742</v>
      </c>
      <c r="F737" s="933" t="s">
        <v>251</v>
      </c>
      <c r="G737" s="933">
        <v>6</v>
      </c>
      <c r="H737" s="933">
        <v>6</v>
      </c>
      <c r="I737" s="933" t="s">
        <v>670</v>
      </c>
      <c r="J737" s="934">
        <v>2.7272727272727302</v>
      </c>
      <c r="K737" s="934">
        <v>16.363636363636399</v>
      </c>
      <c r="L737" s="938">
        <v>0.54794520547945202</v>
      </c>
    </row>
    <row r="738" spans="1:12" hidden="1">
      <c r="A738" s="931">
        <v>11</v>
      </c>
      <c r="B738" s="1247">
        <v>46090</v>
      </c>
      <c r="C738" s="1249">
        <v>46096</v>
      </c>
      <c r="D738" s="935">
        <v>43</v>
      </c>
      <c r="E738" s="935" t="s">
        <v>804</v>
      </c>
      <c r="F738" s="935" t="s">
        <v>253</v>
      </c>
      <c r="G738" s="935">
        <v>6</v>
      </c>
      <c r="H738" s="935">
        <v>6</v>
      </c>
      <c r="I738" s="935" t="s">
        <v>670</v>
      </c>
      <c r="J738" s="936">
        <v>2.7045454545454599</v>
      </c>
      <c r="K738" s="936">
        <v>16.227272727272702</v>
      </c>
      <c r="L738" s="939">
        <v>0.54794520547945202</v>
      </c>
    </row>
    <row r="739" spans="1:12" hidden="1">
      <c r="A739" s="931">
        <v>11</v>
      </c>
      <c r="B739" s="1246">
        <v>46090</v>
      </c>
      <c r="C739" s="1248">
        <v>46096</v>
      </c>
      <c r="D739" s="933">
        <v>44</v>
      </c>
      <c r="E739" s="933" t="s">
        <v>677</v>
      </c>
      <c r="F739" s="933" t="s">
        <v>249</v>
      </c>
      <c r="G739" s="933">
        <v>6</v>
      </c>
      <c r="H739" s="933">
        <v>6</v>
      </c>
      <c r="I739" s="933" t="s">
        <v>670</v>
      </c>
      <c r="J739" s="934">
        <v>1.77272727272727</v>
      </c>
      <c r="K739" s="934">
        <v>10.636363636363599</v>
      </c>
      <c r="L739" s="938">
        <v>0.54794520547945202</v>
      </c>
    </row>
    <row r="740" spans="1:12" hidden="1">
      <c r="A740" s="931">
        <v>11</v>
      </c>
      <c r="B740" s="1247">
        <v>46090</v>
      </c>
      <c r="C740" s="1249">
        <v>46096</v>
      </c>
      <c r="D740" s="935">
        <v>45</v>
      </c>
      <c r="E740" s="935" t="s">
        <v>755</v>
      </c>
      <c r="F740" s="935" t="s">
        <v>251</v>
      </c>
      <c r="G740" s="935">
        <v>5</v>
      </c>
      <c r="H740" s="935">
        <v>5</v>
      </c>
      <c r="I740" s="935" t="s">
        <v>670</v>
      </c>
      <c r="J740" s="936">
        <v>2.4636363636363598</v>
      </c>
      <c r="K740" s="936">
        <v>12.318181818181801</v>
      </c>
      <c r="L740" s="939">
        <v>0.45662100456621002</v>
      </c>
    </row>
    <row r="741" spans="1:12" hidden="1">
      <c r="A741" s="931">
        <v>11</v>
      </c>
      <c r="B741" s="1246">
        <v>46090</v>
      </c>
      <c r="C741" s="1248">
        <v>46096</v>
      </c>
      <c r="D741" s="933">
        <v>46</v>
      </c>
      <c r="E741" s="933" t="s">
        <v>688</v>
      </c>
      <c r="F741" s="933" t="s">
        <v>689</v>
      </c>
      <c r="G741" s="933">
        <v>5</v>
      </c>
      <c r="H741" s="933">
        <v>5</v>
      </c>
      <c r="I741" s="933" t="s">
        <v>670</v>
      </c>
      <c r="J741" s="934">
        <v>9.9090909090909101</v>
      </c>
      <c r="K741" s="934">
        <v>49.545454545454497</v>
      </c>
      <c r="L741" s="938">
        <v>0.45662100456621002</v>
      </c>
    </row>
    <row r="742" spans="1:12" hidden="1">
      <c r="A742" s="931">
        <v>11</v>
      </c>
      <c r="B742" s="1247">
        <v>46090</v>
      </c>
      <c r="C742" s="1249">
        <v>46096</v>
      </c>
      <c r="D742" s="935">
        <v>47</v>
      </c>
      <c r="E742" s="935" t="s">
        <v>737</v>
      </c>
      <c r="F742" s="935" t="s">
        <v>249</v>
      </c>
      <c r="G742" s="935">
        <v>5</v>
      </c>
      <c r="H742" s="935">
        <v>5</v>
      </c>
      <c r="I742" s="935" t="s">
        <v>670</v>
      </c>
      <c r="J742" s="936">
        <v>1.5454545454545401</v>
      </c>
      <c r="K742" s="936">
        <v>7.7272727272727302</v>
      </c>
      <c r="L742" s="939">
        <v>0.45662100456621002</v>
      </c>
    </row>
    <row r="743" spans="1:12" hidden="1">
      <c r="A743" s="931">
        <v>11</v>
      </c>
      <c r="B743" s="1246">
        <v>46090</v>
      </c>
      <c r="C743" s="1248">
        <v>46096</v>
      </c>
      <c r="D743" s="933">
        <v>48</v>
      </c>
      <c r="E743" s="933" t="s">
        <v>687</v>
      </c>
      <c r="F743" s="933" t="s">
        <v>253</v>
      </c>
      <c r="G743" s="933">
        <v>5</v>
      </c>
      <c r="H743" s="933">
        <v>5</v>
      </c>
      <c r="I743" s="933" t="s">
        <v>670</v>
      </c>
      <c r="J743" s="934">
        <v>2.7090909090909099</v>
      </c>
      <c r="K743" s="934">
        <v>13.545454545454501</v>
      </c>
      <c r="L743" s="938">
        <v>0.45662100456621002</v>
      </c>
    </row>
    <row r="744" spans="1:12" hidden="1">
      <c r="A744" s="931">
        <v>11</v>
      </c>
      <c r="B744" s="1247">
        <v>46090</v>
      </c>
      <c r="C744" s="1249">
        <v>46096</v>
      </c>
      <c r="D744" s="935">
        <v>49</v>
      </c>
      <c r="E744" s="935" t="s">
        <v>808</v>
      </c>
      <c r="F744" s="935" t="s">
        <v>268</v>
      </c>
      <c r="G744" s="935">
        <v>5</v>
      </c>
      <c r="H744" s="935">
        <v>5</v>
      </c>
      <c r="I744" s="935" t="s">
        <v>670</v>
      </c>
      <c r="J744" s="936">
        <v>0.59090909090909105</v>
      </c>
      <c r="K744" s="936">
        <v>2.9545454545454501</v>
      </c>
      <c r="L744" s="939">
        <v>0.45662100456621002</v>
      </c>
    </row>
    <row r="745" spans="1:12" hidden="1">
      <c r="A745" s="931">
        <v>11</v>
      </c>
      <c r="B745" s="1246">
        <v>46090</v>
      </c>
      <c r="C745" s="1248">
        <v>46096</v>
      </c>
      <c r="D745" s="933">
        <v>50</v>
      </c>
      <c r="E745" s="933" t="s">
        <v>757</v>
      </c>
      <c r="F745" s="933" t="s">
        <v>251</v>
      </c>
      <c r="G745" s="933">
        <v>5</v>
      </c>
      <c r="H745" s="933">
        <v>5</v>
      </c>
      <c r="I745" s="933" t="s">
        <v>670</v>
      </c>
      <c r="J745" s="934">
        <v>2.6090909090909098</v>
      </c>
      <c r="K745" s="934">
        <v>13.045454545454501</v>
      </c>
      <c r="L745" s="938">
        <v>0.45662100456621002</v>
      </c>
    </row>
    <row r="746" spans="1:12" hidden="1">
      <c r="A746" s="931">
        <v>11</v>
      </c>
      <c r="B746" s="1247">
        <v>46090</v>
      </c>
      <c r="C746" s="1249">
        <v>46096</v>
      </c>
      <c r="D746" s="935">
        <v>51</v>
      </c>
      <c r="E746" s="935" t="s">
        <v>675</v>
      </c>
      <c r="F746" s="935" t="s">
        <v>256</v>
      </c>
      <c r="G746" s="935">
        <v>5</v>
      </c>
      <c r="H746" s="935">
        <v>5</v>
      </c>
      <c r="I746" s="935" t="s">
        <v>670</v>
      </c>
      <c r="J746" s="936">
        <v>5</v>
      </c>
      <c r="K746" s="936">
        <v>25</v>
      </c>
      <c r="L746" s="939">
        <v>0.45662100456621002</v>
      </c>
    </row>
    <row r="747" spans="1:12" hidden="1">
      <c r="A747" s="931">
        <v>11</v>
      </c>
      <c r="B747" s="1246">
        <v>46090</v>
      </c>
      <c r="C747" s="1248">
        <v>46096</v>
      </c>
      <c r="D747" s="933">
        <v>52</v>
      </c>
      <c r="E747" s="933" t="s">
        <v>685</v>
      </c>
      <c r="F747" s="933" t="s">
        <v>256</v>
      </c>
      <c r="G747" s="933">
        <v>5</v>
      </c>
      <c r="H747" s="933">
        <v>5</v>
      </c>
      <c r="I747" s="933" t="s">
        <v>670</v>
      </c>
      <c r="J747" s="934">
        <v>8.2272727272727302</v>
      </c>
      <c r="K747" s="934">
        <v>41.136363636363598</v>
      </c>
      <c r="L747" s="938">
        <v>0.45662100456621002</v>
      </c>
    </row>
    <row r="748" spans="1:12" hidden="1">
      <c r="A748" s="931">
        <v>11</v>
      </c>
      <c r="B748" s="1247">
        <v>46090</v>
      </c>
      <c r="C748" s="1249">
        <v>46096</v>
      </c>
      <c r="D748" s="935">
        <v>53</v>
      </c>
      <c r="E748" s="935" t="s">
        <v>745</v>
      </c>
      <c r="F748" s="935" t="s">
        <v>275</v>
      </c>
      <c r="G748" s="935">
        <v>5</v>
      </c>
      <c r="H748" s="935">
        <v>5</v>
      </c>
      <c r="I748" s="935" t="s">
        <v>670</v>
      </c>
      <c r="J748" s="936">
        <v>4.8181818181818201</v>
      </c>
      <c r="K748" s="936">
        <v>24.090909090909101</v>
      </c>
      <c r="L748" s="939">
        <v>0.45662100456621002</v>
      </c>
    </row>
    <row r="749" spans="1:12" hidden="1">
      <c r="A749" s="931">
        <v>11</v>
      </c>
      <c r="B749" s="1246">
        <v>46090</v>
      </c>
      <c r="C749" s="1248">
        <v>46096</v>
      </c>
      <c r="D749" s="933">
        <v>54</v>
      </c>
      <c r="E749" s="933" t="s">
        <v>814</v>
      </c>
      <c r="F749" s="933" t="s">
        <v>815</v>
      </c>
      <c r="G749" s="933">
        <v>5</v>
      </c>
      <c r="H749" s="933">
        <v>5</v>
      </c>
      <c r="I749" s="933" t="s">
        <v>670</v>
      </c>
      <c r="J749" s="934">
        <v>4.9090909090909101</v>
      </c>
      <c r="K749" s="934">
        <v>24.5454545454546</v>
      </c>
      <c r="L749" s="938">
        <v>0.45662100456621002</v>
      </c>
    </row>
    <row r="750" spans="1:12" hidden="1">
      <c r="A750" s="931">
        <v>11</v>
      </c>
      <c r="B750" s="1247">
        <v>46090</v>
      </c>
      <c r="C750" s="1249">
        <v>46096</v>
      </c>
      <c r="D750" s="935">
        <v>55</v>
      </c>
      <c r="E750" s="935" t="s">
        <v>816</v>
      </c>
      <c r="F750" s="935" t="s">
        <v>256</v>
      </c>
      <c r="G750" s="935">
        <v>5</v>
      </c>
      <c r="H750" s="935">
        <v>5</v>
      </c>
      <c r="I750" s="935" t="s">
        <v>670</v>
      </c>
      <c r="J750" s="936">
        <v>2.7272727272727302</v>
      </c>
      <c r="K750" s="936">
        <v>13.636363636363599</v>
      </c>
      <c r="L750" s="939">
        <v>0.45662100456621002</v>
      </c>
    </row>
    <row r="751" spans="1:12" hidden="1">
      <c r="A751" s="931">
        <v>11</v>
      </c>
      <c r="B751" s="1246">
        <v>46090</v>
      </c>
      <c r="C751" s="1248">
        <v>46096</v>
      </c>
      <c r="D751" s="933">
        <v>56</v>
      </c>
      <c r="E751" s="933" t="s">
        <v>761</v>
      </c>
      <c r="F751" s="933" t="s">
        <v>730</v>
      </c>
      <c r="G751" s="933">
        <v>5</v>
      </c>
      <c r="H751" s="933">
        <v>5</v>
      </c>
      <c r="I751" s="933" t="s">
        <v>670</v>
      </c>
      <c r="J751" s="934">
        <v>2.8181818181818201</v>
      </c>
      <c r="K751" s="934">
        <v>14.090909090909101</v>
      </c>
      <c r="L751" s="938">
        <v>0.45662100456621002</v>
      </c>
    </row>
    <row r="752" spans="1:12" hidden="1">
      <c r="A752" s="931">
        <v>11</v>
      </c>
      <c r="B752" s="1247">
        <v>46090</v>
      </c>
      <c r="C752" s="1249">
        <v>46096</v>
      </c>
      <c r="D752" s="935">
        <v>57</v>
      </c>
      <c r="E752" s="935" t="s">
        <v>701</v>
      </c>
      <c r="F752" s="935" t="s">
        <v>689</v>
      </c>
      <c r="G752" s="935">
        <v>5</v>
      </c>
      <c r="H752" s="935">
        <v>5</v>
      </c>
      <c r="I752" s="935" t="s">
        <v>670</v>
      </c>
      <c r="J752" s="936">
        <v>9.9090909090909101</v>
      </c>
      <c r="K752" s="936">
        <v>49.545454545454497</v>
      </c>
      <c r="L752" s="939">
        <v>0.45662100456621002</v>
      </c>
    </row>
    <row r="753" spans="1:12" hidden="1">
      <c r="A753" s="931">
        <v>11</v>
      </c>
      <c r="B753" s="1246">
        <v>46090</v>
      </c>
      <c r="C753" s="1248">
        <v>46096</v>
      </c>
      <c r="D753" s="933">
        <v>58</v>
      </c>
      <c r="E753" s="933" t="s">
        <v>792</v>
      </c>
      <c r="F753" s="933" t="s">
        <v>256</v>
      </c>
      <c r="G753" s="933">
        <v>5</v>
      </c>
      <c r="H753" s="933">
        <v>5</v>
      </c>
      <c r="I753" s="933" t="s">
        <v>670</v>
      </c>
      <c r="J753" s="934">
        <v>2.7272727272727302</v>
      </c>
      <c r="K753" s="934">
        <v>13.636363636363599</v>
      </c>
      <c r="L753" s="938">
        <v>0.45662100456621002</v>
      </c>
    </row>
    <row r="754" spans="1:12" hidden="1">
      <c r="A754" s="931">
        <v>11</v>
      </c>
      <c r="B754" s="1247">
        <v>46090</v>
      </c>
      <c r="C754" s="1249">
        <v>46096</v>
      </c>
      <c r="D754" s="935">
        <v>59</v>
      </c>
      <c r="E754" s="935" t="s">
        <v>694</v>
      </c>
      <c r="F754" s="935" t="s">
        <v>695</v>
      </c>
      <c r="G754" s="935">
        <v>5</v>
      </c>
      <c r="H754" s="935">
        <v>5</v>
      </c>
      <c r="I754" s="935" t="s">
        <v>670</v>
      </c>
      <c r="J754" s="936">
        <v>3.7272727272727302</v>
      </c>
      <c r="K754" s="936">
        <v>18.636363636363601</v>
      </c>
      <c r="L754" s="939">
        <v>0.45662100456621002</v>
      </c>
    </row>
    <row r="755" spans="1:12" hidden="1">
      <c r="A755" s="931">
        <v>11</v>
      </c>
      <c r="B755" s="1246">
        <v>46090</v>
      </c>
      <c r="C755" s="1248">
        <v>46096</v>
      </c>
      <c r="D755" s="933">
        <v>60</v>
      </c>
      <c r="E755" s="933" t="s">
        <v>704</v>
      </c>
      <c r="F755" s="933" t="s">
        <v>689</v>
      </c>
      <c r="G755" s="933">
        <v>4</v>
      </c>
      <c r="H755" s="933">
        <v>4</v>
      </c>
      <c r="I755" s="933" t="s">
        <v>670</v>
      </c>
      <c r="J755" s="934">
        <v>11.784090909090899</v>
      </c>
      <c r="K755" s="934">
        <v>47.136363636363598</v>
      </c>
      <c r="L755" s="938">
        <v>0.36529680365296802</v>
      </c>
    </row>
    <row r="756" spans="1:12" hidden="1">
      <c r="A756" s="931">
        <v>11</v>
      </c>
      <c r="B756" s="1247">
        <v>46090</v>
      </c>
      <c r="C756" s="1249">
        <v>46096</v>
      </c>
      <c r="D756" s="935">
        <v>61</v>
      </c>
      <c r="E756" s="935" t="s">
        <v>711</v>
      </c>
      <c r="F756" s="935" t="s">
        <v>251</v>
      </c>
      <c r="G756" s="935">
        <v>4</v>
      </c>
      <c r="H756" s="935">
        <v>4</v>
      </c>
      <c r="I756" s="935" t="s">
        <v>670</v>
      </c>
      <c r="J756" s="936">
        <v>0</v>
      </c>
      <c r="K756" s="936">
        <v>0</v>
      </c>
      <c r="L756" s="939">
        <v>0.36529680365296802</v>
      </c>
    </row>
    <row r="757" spans="1:12" hidden="1">
      <c r="A757" s="931">
        <v>11</v>
      </c>
      <c r="B757" s="1246">
        <v>46090</v>
      </c>
      <c r="C757" s="1248">
        <v>46096</v>
      </c>
      <c r="D757" s="933">
        <v>62</v>
      </c>
      <c r="E757" s="933" t="s">
        <v>802</v>
      </c>
      <c r="F757" s="933" t="s">
        <v>713</v>
      </c>
      <c r="G757" s="933">
        <v>4</v>
      </c>
      <c r="H757" s="933">
        <v>4</v>
      </c>
      <c r="I757" s="933" t="s">
        <v>670</v>
      </c>
      <c r="J757" s="934">
        <v>4.1818181818181799</v>
      </c>
      <c r="K757" s="934">
        <v>16.727272727272702</v>
      </c>
      <c r="L757" s="938">
        <v>0.36529680365296802</v>
      </c>
    </row>
    <row r="758" spans="1:12" hidden="1">
      <c r="A758" s="931">
        <v>11</v>
      </c>
      <c r="B758" s="1247">
        <v>46090</v>
      </c>
      <c r="C758" s="1249">
        <v>46096</v>
      </c>
      <c r="D758" s="935">
        <v>63</v>
      </c>
      <c r="E758" s="935" t="s">
        <v>710</v>
      </c>
      <c r="F758" s="935" t="s">
        <v>249</v>
      </c>
      <c r="G758" s="935">
        <v>4</v>
      </c>
      <c r="H758" s="935">
        <v>4</v>
      </c>
      <c r="I758" s="935" t="s">
        <v>670</v>
      </c>
      <c r="J758" s="936">
        <v>2.4090909090909101</v>
      </c>
      <c r="K758" s="936">
        <v>9.6363636363636296</v>
      </c>
      <c r="L758" s="939">
        <v>0.36529680365296802</v>
      </c>
    </row>
    <row r="759" spans="1:12" hidden="1">
      <c r="A759" s="931">
        <v>11</v>
      </c>
      <c r="B759" s="1246">
        <v>46090</v>
      </c>
      <c r="C759" s="1248">
        <v>46096</v>
      </c>
      <c r="D759" s="933">
        <v>64</v>
      </c>
      <c r="E759" s="933" t="s">
        <v>817</v>
      </c>
      <c r="F759" s="933" t="s">
        <v>713</v>
      </c>
      <c r="G759" s="933">
        <v>4</v>
      </c>
      <c r="H759" s="933">
        <v>4</v>
      </c>
      <c r="I759" s="933" t="s">
        <v>670</v>
      </c>
      <c r="J759" s="934">
        <v>4.4545454545454497</v>
      </c>
      <c r="K759" s="934">
        <v>17.818181818181799</v>
      </c>
      <c r="L759" s="938">
        <v>0.36529680365296802</v>
      </c>
    </row>
    <row r="760" spans="1:12" hidden="1">
      <c r="A760" s="931">
        <v>11</v>
      </c>
      <c r="B760" s="1247">
        <v>46090</v>
      </c>
      <c r="C760" s="1249">
        <v>46096</v>
      </c>
      <c r="D760" s="935">
        <v>65</v>
      </c>
      <c r="E760" s="935" t="s">
        <v>697</v>
      </c>
      <c r="F760" s="935" t="s">
        <v>256</v>
      </c>
      <c r="G760" s="935">
        <v>4</v>
      </c>
      <c r="H760" s="935">
        <v>4</v>
      </c>
      <c r="I760" s="935" t="s">
        <v>670</v>
      </c>
      <c r="J760" s="936">
        <v>9.9090909090909101</v>
      </c>
      <c r="K760" s="936">
        <v>39.636363636363598</v>
      </c>
      <c r="L760" s="939">
        <v>0.36529680365296802</v>
      </c>
    </row>
    <row r="761" spans="1:12" hidden="1">
      <c r="A761" s="931">
        <v>11</v>
      </c>
      <c r="B761" s="1246">
        <v>46090</v>
      </c>
      <c r="C761" s="1248">
        <v>46096</v>
      </c>
      <c r="D761" s="933">
        <v>66</v>
      </c>
      <c r="E761" s="933" t="s">
        <v>735</v>
      </c>
      <c r="F761" s="933" t="s">
        <v>730</v>
      </c>
      <c r="G761" s="933">
        <v>4</v>
      </c>
      <c r="H761" s="933">
        <v>4</v>
      </c>
      <c r="I761" s="933" t="s">
        <v>670</v>
      </c>
      <c r="J761" s="934">
        <v>2.8181818181818201</v>
      </c>
      <c r="K761" s="934">
        <v>11.2727272727273</v>
      </c>
      <c r="L761" s="938">
        <v>0.36529680365296802</v>
      </c>
    </row>
    <row r="762" spans="1:12" hidden="1">
      <c r="A762" s="931">
        <v>11</v>
      </c>
      <c r="B762" s="1247">
        <v>46090</v>
      </c>
      <c r="C762" s="1249">
        <v>46096</v>
      </c>
      <c r="D762" s="935">
        <v>67</v>
      </c>
      <c r="E762" s="935" t="s">
        <v>766</v>
      </c>
      <c r="F762" s="935" t="s">
        <v>253</v>
      </c>
      <c r="G762" s="935">
        <v>4</v>
      </c>
      <c r="H762" s="935">
        <v>4</v>
      </c>
      <c r="I762" s="935" t="s">
        <v>672</v>
      </c>
      <c r="J762" s="936">
        <v>1.5909090909090899</v>
      </c>
      <c r="K762" s="936">
        <v>6.3636363636363598</v>
      </c>
      <c r="L762" s="939">
        <v>0.36529680365296802</v>
      </c>
    </row>
    <row r="763" spans="1:12" hidden="1">
      <c r="A763" s="931">
        <v>11</v>
      </c>
      <c r="B763" s="1246">
        <v>46090</v>
      </c>
      <c r="C763" s="1248">
        <v>46096</v>
      </c>
      <c r="D763" s="933">
        <v>68</v>
      </c>
      <c r="E763" s="933" t="s">
        <v>740</v>
      </c>
      <c r="F763" s="933" t="s">
        <v>264</v>
      </c>
      <c r="G763" s="933">
        <v>3</v>
      </c>
      <c r="H763" s="933">
        <v>3</v>
      </c>
      <c r="I763" s="933" t="s">
        <v>741</v>
      </c>
      <c r="J763" s="934">
        <v>2.5757575757575801</v>
      </c>
      <c r="K763" s="934">
        <v>7.7272727272727302</v>
      </c>
      <c r="L763" s="938">
        <v>0.27397260273972601</v>
      </c>
    </row>
    <row r="764" spans="1:12" hidden="1">
      <c r="A764" s="931">
        <v>11</v>
      </c>
      <c r="B764" s="1247">
        <v>46090</v>
      </c>
      <c r="C764" s="1249">
        <v>46096</v>
      </c>
      <c r="D764" s="935">
        <v>69</v>
      </c>
      <c r="E764" s="935" t="s">
        <v>722</v>
      </c>
      <c r="F764" s="935" t="s">
        <v>251</v>
      </c>
      <c r="G764" s="935">
        <v>3</v>
      </c>
      <c r="H764" s="935">
        <v>3</v>
      </c>
      <c r="I764" s="935" t="s">
        <v>670</v>
      </c>
      <c r="J764" s="936">
        <v>2.4090909090909101</v>
      </c>
      <c r="K764" s="936">
        <v>7.2272727272727302</v>
      </c>
      <c r="L764" s="939">
        <v>0.27397260273972601</v>
      </c>
    </row>
    <row r="765" spans="1:12" hidden="1">
      <c r="A765" s="931">
        <v>11</v>
      </c>
      <c r="B765" s="1246">
        <v>46090</v>
      </c>
      <c r="C765" s="1248">
        <v>46096</v>
      </c>
      <c r="D765" s="933">
        <v>70</v>
      </c>
      <c r="E765" s="933" t="s">
        <v>734</v>
      </c>
      <c r="F765" s="933" t="s">
        <v>695</v>
      </c>
      <c r="G765" s="933">
        <v>3</v>
      </c>
      <c r="H765" s="933">
        <v>3</v>
      </c>
      <c r="I765" s="933" t="s">
        <v>670</v>
      </c>
      <c r="J765" s="934">
        <v>18.2575757575758</v>
      </c>
      <c r="K765" s="934">
        <v>54.772727272727302</v>
      </c>
      <c r="L765" s="938">
        <v>0.27397260273972601</v>
      </c>
    </row>
    <row r="766" spans="1:12" hidden="1">
      <c r="A766" s="931">
        <v>11</v>
      </c>
      <c r="B766" s="1247">
        <v>46090</v>
      </c>
      <c r="C766" s="1249">
        <v>46096</v>
      </c>
      <c r="D766" s="935">
        <v>71</v>
      </c>
      <c r="E766" s="935" t="s">
        <v>696</v>
      </c>
      <c r="F766" s="935" t="s">
        <v>323</v>
      </c>
      <c r="G766" s="935">
        <v>3</v>
      </c>
      <c r="H766" s="935">
        <v>3</v>
      </c>
      <c r="I766" s="935" t="s">
        <v>670</v>
      </c>
      <c r="J766" s="936">
        <v>10.9848484848485</v>
      </c>
      <c r="K766" s="936">
        <v>32.954545454545503</v>
      </c>
      <c r="L766" s="939">
        <v>0.27397260273972601</v>
      </c>
    </row>
    <row r="767" spans="1:12" hidden="1">
      <c r="A767" s="931">
        <v>11</v>
      </c>
      <c r="B767" s="1246">
        <v>46090</v>
      </c>
      <c r="C767" s="1248">
        <v>46096</v>
      </c>
      <c r="D767" s="933">
        <v>72</v>
      </c>
      <c r="E767" s="933" t="s">
        <v>723</v>
      </c>
      <c r="F767" s="933" t="s">
        <v>713</v>
      </c>
      <c r="G767" s="933">
        <v>3</v>
      </c>
      <c r="H767" s="933">
        <v>3</v>
      </c>
      <c r="I767" s="933" t="s">
        <v>670</v>
      </c>
      <c r="J767" s="934">
        <v>2.8181818181818201</v>
      </c>
      <c r="K767" s="934">
        <v>8.4545454545454497</v>
      </c>
      <c r="L767" s="938">
        <v>0.27397260273972601</v>
      </c>
    </row>
    <row r="768" spans="1:12" hidden="1">
      <c r="A768" s="931">
        <v>11</v>
      </c>
      <c r="B768" s="1247">
        <v>46090</v>
      </c>
      <c r="C768" s="1249">
        <v>46096</v>
      </c>
      <c r="D768" s="935">
        <v>73</v>
      </c>
      <c r="E768" s="935" t="s">
        <v>703</v>
      </c>
      <c r="F768" s="935" t="s">
        <v>256</v>
      </c>
      <c r="G768" s="935">
        <v>3</v>
      </c>
      <c r="H768" s="935">
        <v>3</v>
      </c>
      <c r="I768" s="935" t="s">
        <v>670</v>
      </c>
      <c r="J768" s="936">
        <v>1.8181818181818199</v>
      </c>
      <c r="K768" s="936">
        <v>5.4545454545454497</v>
      </c>
      <c r="L768" s="939">
        <v>0.27397260273972601</v>
      </c>
    </row>
    <row r="769" spans="1:12" hidden="1">
      <c r="A769" s="931">
        <v>11</v>
      </c>
      <c r="B769" s="1246">
        <v>46090</v>
      </c>
      <c r="C769" s="1248">
        <v>46096</v>
      </c>
      <c r="D769" s="933">
        <v>74</v>
      </c>
      <c r="E769" s="933" t="s">
        <v>798</v>
      </c>
      <c r="F769" s="933" t="s">
        <v>713</v>
      </c>
      <c r="G769" s="933">
        <v>3</v>
      </c>
      <c r="H769" s="933">
        <v>3</v>
      </c>
      <c r="I769" s="933" t="s">
        <v>670</v>
      </c>
      <c r="J769" s="934">
        <v>5.4090909090909101</v>
      </c>
      <c r="K769" s="934">
        <v>16.227272727272702</v>
      </c>
      <c r="L769" s="938">
        <v>0.27397260273972601</v>
      </c>
    </row>
    <row r="770" spans="1:12" hidden="1">
      <c r="A770" s="931">
        <v>11</v>
      </c>
      <c r="B770" s="1247">
        <v>46090</v>
      </c>
      <c r="C770" s="1249">
        <v>46096</v>
      </c>
      <c r="D770" s="935">
        <v>75</v>
      </c>
      <c r="E770" s="935" t="s">
        <v>690</v>
      </c>
      <c r="F770" s="935" t="s">
        <v>275</v>
      </c>
      <c r="G770" s="935">
        <v>3</v>
      </c>
      <c r="H770" s="935">
        <v>3</v>
      </c>
      <c r="I770" s="935" t="s">
        <v>670</v>
      </c>
      <c r="J770" s="936">
        <v>5.98484848484848</v>
      </c>
      <c r="K770" s="936">
        <v>17.9545454545454</v>
      </c>
      <c r="L770" s="939">
        <v>0.27397260273972601</v>
      </c>
    </row>
    <row r="771" spans="1:12" hidden="1">
      <c r="A771" s="931">
        <v>11</v>
      </c>
      <c r="B771" s="1246">
        <v>46090</v>
      </c>
      <c r="C771" s="1248">
        <v>46096</v>
      </c>
      <c r="D771" s="933">
        <v>76</v>
      </c>
      <c r="E771" s="933" t="s">
        <v>760</v>
      </c>
      <c r="F771" s="933" t="s">
        <v>253</v>
      </c>
      <c r="G771" s="933">
        <v>3</v>
      </c>
      <c r="H771" s="933">
        <v>3</v>
      </c>
      <c r="I771" s="933" t="s">
        <v>672</v>
      </c>
      <c r="J771" s="934">
        <v>0</v>
      </c>
      <c r="K771" s="934">
        <v>0</v>
      </c>
      <c r="L771" s="938">
        <v>0.27397260273972601</v>
      </c>
    </row>
    <row r="772" spans="1:12" hidden="1">
      <c r="A772" s="931">
        <v>11</v>
      </c>
      <c r="B772" s="1247">
        <v>46090</v>
      </c>
      <c r="C772" s="1249">
        <v>46096</v>
      </c>
      <c r="D772" s="935">
        <v>77</v>
      </c>
      <c r="E772" s="935" t="s">
        <v>748</v>
      </c>
      <c r="F772" s="935" t="s">
        <v>274</v>
      </c>
      <c r="G772" s="935">
        <v>3</v>
      </c>
      <c r="H772" s="935">
        <v>3</v>
      </c>
      <c r="I772" s="935" t="s">
        <v>670</v>
      </c>
      <c r="J772" s="936">
        <v>9.0909090909090899</v>
      </c>
      <c r="K772" s="936">
        <v>27.272727272727298</v>
      </c>
      <c r="L772" s="939">
        <v>0.27397260273972601</v>
      </c>
    </row>
    <row r="773" spans="1:12" hidden="1">
      <c r="A773" s="931">
        <v>11</v>
      </c>
      <c r="B773" s="1246">
        <v>46090</v>
      </c>
      <c r="C773" s="1248">
        <v>46096</v>
      </c>
      <c r="D773" s="933">
        <v>78</v>
      </c>
      <c r="E773" s="933" t="s">
        <v>720</v>
      </c>
      <c r="F773" s="933" t="s">
        <v>251</v>
      </c>
      <c r="G773" s="933">
        <v>3</v>
      </c>
      <c r="H773" s="933">
        <v>3</v>
      </c>
      <c r="I773" s="933" t="s">
        <v>670</v>
      </c>
      <c r="J773" s="934">
        <v>2.4090909090909101</v>
      </c>
      <c r="K773" s="934">
        <v>7.2272727272727302</v>
      </c>
      <c r="L773" s="938">
        <v>0.27397260273972601</v>
      </c>
    </row>
    <row r="774" spans="1:12" hidden="1">
      <c r="A774" s="931">
        <v>11</v>
      </c>
      <c r="B774" s="1247">
        <v>46090</v>
      </c>
      <c r="C774" s="1249">
        <v>46096</v>
      </c>
      <c r="D774" s="935">
        <v>79</v>
      </c>
      <c r="E774" s="935" t="s">
        <v>705</v>
      </c>
      <c r="F774" s="935" t="s">
        <v>274</v>
      </c>
      <c r="G774" s="935">
        <v>3</v>
      </c>
      <c r="H774" s="935">
        <v>3</v>
      </c>
      <c r="I774" s="935" t="s">
        <v>670</v>
      </c>
      <c r="J774" s="936">
        <v>9.1666666666666696</v>
      </c>
      <c r="K774" s="936">
        <v>27.5</v>
      </c>
      <c r="L774" s="939">
        <v>0.27397260273972601</v>
      </c>
    </row>
    <row r="775" spans="1:12" hidden="1">
      <c r="A775" s="931">
        <v>11</v>
      </c>
      <c r="B775" s="1246">
        <v>46090</v>
      </c>
      <c r="C775" s="1248">
        <v>46096</v>
      </c>
      <c r="D775" s="933">
        <v>80</v>
      </c>
      <c r="E775" s="933" t="s">
        <v>747</v>
      </c>
      <c r="F775" s="933" t="s">
        <v>256</v>
      </c>
      <c r="G775" s="933">
        <v>2</v>
      </c>
      <c r="H775" s="933">
        <v>2</v>
      </c>
      <c r="I775" s="933" t="s">
        <v>670</v>
      </c>
      <c r="J775" s="934">
        <v>7.7954545454545396</v>
      </c>
      <c r="K775" s="934">
        <v>15.590909090909101</v>
      </c>
      <c r="L775" s="938">
        <v>0.18264840182648401</v>
      </c>
    </row>
    <row r="776" spans="1:12" hidden="1">
      <c r="A776" s="931">
        <v>11</v>
      </c>
      <c r="B776" s="1247">
        <v>46090</v>
      </c>
      <c r="C776" s="1249">
        <v>46096</v>
      </c>
      <c r="D776" s="935">
        <v>81</v>
      </c>
      <c r="E776" s="935" t="s">
        <v>736</v>
      </c>
      <c r="F776" s="935" t="s">
        <v>251</v>
      </c>
      <c r="G776" s="935">
        <v>2</v>
      </c>
      <c r="H776" s="935">
        <v>2</v>
      </c>
      <c r="I776" s="935" t="s">
        <v>670</v>
      </c>
      <c r="J776" s="936">
        <v>2.1136363636363602</v>
      </c>
      <c r="K776" s="936">
        <v>4.2272727272727302</v>
      </c>
      <c r="L776" s="939">
        <v>0.18264840182648401</v>
      </c>
    </row>
    <row r="777" spans="1:12" hidden="1">
      <c r="A777" s="931">
        <v>11</v>
      </c>
      <c r="B777" s="1246">
        <v>46090</v>
      </c>
      <c r="C777" s="1248">
        <v>46096</v>
      </c>
      <c r="D777" s="933">
        <v>82</v>
      </c>
      <c r="E777" s="933" t="s">
        <v>767</v>
      </c>
      <c r="F777" s="933" t="s">
        <v>251</v>
      </c>
      <c r="G777" s="933">
        <v>2</v>
      </c>
      <c r="H777" s="933">
        <v>2</v>
      </c>
      <c r="I777" s="933" t="s">
        <v>670</v>
      </c>
      <c r="J777" s="934">
        <v>2.5227272727272698</v>
      </c>
      <c r="K777" s="934">
        <v>5.0454545454545396</v>
      </c>
      <c r="L777" s="938">
        <v>0.18264840182648401</v>
      </c>
    </row>
    <row r="778" spans="1:12" hidden="1">
      <c r="A778" s="931">
        <v>11</v>
      </c>
      <c r="B778" s="1247">
        <v>46090</v>
      </c>
      <c r="C778" s="1249">
        <v>46096</v>
      </c>
      <c r="D778" s="935">
        <v>83</v>
      </c>
      <c r="E778" s="935" t="s">
        <v>786</v>
      </c>
      <c r="F778" s="935" t="s">
        <v>249</v>
      </c>
      <c r="G778" s="935">
        <v>2</v>
      </c>
      <c r="H778" s="935">
        <v>2</v>
      </c>
      <c r="I778" s="935" t="s">
        <v>670</v>
      </c>
      <c r="J778" s="936">
        <v>1.6590909090909101</v>
      </c>
      <c r="K778" s="936">
        <v>3.3181818181818201</v>
      </c>
      <c r="L778" s="939">
        <v>0.18264840182648401</v>
      </c>
    </row>
    <row r="779" spans="1:12" hidden="1">
      <c r="A779" s="931">
        <v>11</v>
      </c>
      <c r="B779" s="1246">
        <v>46090</v>
      </c>
      <c r="C779" s="1248">
        <v>46096</v>
      </c>
      <c r="D779" s="933">
        <v>84</v>
      </c>
      <c r="E779" s="933" t="s">
        <v>706</v>
      </c>
      <c r="F779" s="933" t="s">
        <v>256</v>
      </c>
      <c r="G779" s="933">
        <v>2</v>
      </c>
      <c r="H779" s="933">
        <v>2</v>
      </c>
      <c r="I779" s="933" t="s">
        <v>670</v>
      </c>
      <c r="J779" s="934">
        <v>12.7272727272727</v>
      </c>
      <c r="K779" s="934">
        <v>25.4545454545454</v>
      </c>
      <c r="L779" s="938">
        <v>0.18264840182648401</v>
      </c>
    </row>
    <row r="780" spans="1:12" hidden="1">
      <c r="A780" s="931">
        <v>11</v>
      </c>
      <c r="B780" s="1247">
        <v>46090</v>
      </c>
      <c r="C780" s="1249">
        <v>46096</v>
      </c>
      <c r="D780" s="935">
        <v>85</v>
      </c>
      <c r="E780" s="935" t="s">
        <v>699</v>
      </c>
      <c r="F780" s="935" t="s">
        <v>249</v>
      </c>
      <c r="G780" s="935">
        <v>2</v>
      </c>
      <c r="H780" s="935">
        <v>2</v>
      </c>
      <c r="I780" s="935" t="s">
        <v>670</v>
      </c>
      <c r="J780" s="936">
        <v>0</v>
      </c>
      <c r="K780" s="936">
        <v>0</v>
      </c>
      <c r="L780" s="939">
        <v>0.18264840182648401</v>
      </c>
    </row>
    <row r="781" spans="1:12" hidden="1">
      <c r="A781" s="931">
        <v>11</v>
      </c>
      <c r="B781" s="1246">
        <v>46090</v>
      </c>
      <c r="C781" s="1248">
        <v>46096</v>
      </c>
      <c r="D781" s="933">
        <v>86</v>
      </c>
      <c r="E781" s="933" t="s">
        <v>684</v>
      </c>
      <c r="F781" s="933" t="s">
        <v>323</v>
      </c>
      <c r="G781" s="933">
        <v>2</v>
      </c>
      <c r="H781" s="933">
        <v>2</v>
      </c>
      <c r="I781" s="933" t="s">
        <v>670</v>
      </c>
      <c r="J781" s="934">
        <v>9</v>
      </c>
      <c r="K781" s="934">
        <v>18</v>
      </c>
      <c r="L781" s="938">
        <v>0.18264840182648401</v>
      </c>
    </row>
    <row r="782" spans="1:12" hidden="1">
      <c r="A782" s="931">
        <v>11</v>
      </c>
      <c r="B782" s="1247">
        <v>46090</v>
      </c>
      <c r="C782" s="1249">
        <v>46096</v>
      </c>
      <c r="D782" s="935">
        <v>87</v>
      </c>
      <c r="E782" s="935" t="s">
        <v>746</v>
      </c>
      <c r="F782" s="935" t="s">
        <v>251</v>
      </c>
      <c r="G782" s="935">
        <v>2</v>
      </c>
      <c r="H782" s="935">
        <v>2</v>
      </c>
      <c r="I782" s="935" t="s">
        <v>670</v>
      </c>
      <c r="J782" s="936">
        <v>2.2727272727272698</v>
      </c>
      <c r="K782" s="936">
        <v>4.5454545454545396</v>
      </c>
      <c r="L782" s="939">
        <v>0.18264840182648401</v>
      </c>
    </row>
    <row r="783" spans="1:12" hidden="1">
      <c r="A783" s="931">
        <v>11</v>
      </c>
      <c r="B783" s="1246">
        <v>46090</v>
      </c>
      <c r="C783" s="1248">
        <v>46096</v>
      </c>
      <c r="D783" s="933">
        <v>88</v>
      </c>
      <c r="E783" s="933" t="s">
        <v>807</v>
      </c>
      <c r="F783" s="933" t="s">
        <v>253</v>
      </c>
      <c r="G783" s="933">
        <v>2</v>
      </c>
      <c r="H783" s="933">
        <v>2</v>
      </c>
      <c r="I783" s="933" t="s">
        <v>670</v>
      </c>
      <c r="J783" s="934">
        <v>2.6818181818181799</v>
      </c>
      <c r="K783" s="934">
        <v>5.3636363636363598</v>
      </c>
      <c r="L783" s="938">
        <v>0.18264840182648401</v>
      </c>
    </row>
    <row r="784" spans="1:12" hidden="1">
      <c r="A784" s="931">
        <v>11</v>
      </c>
      <c r="B784" s="1247">
        <v>46090</v>
      </c>
      <c r="C784" s="1249">
        <v>46096</v>
      </c>
      <c r="D784" s="935">
        <v>89</v>
      </c>
      <c r="E784" s="935" t="s">
        <v>715</v>
      </c>
      <c r="F784" s="935" t="s">
        <v>693</v>
      </c>
      <c r="G784" s="935">
        <v>1</v>
      </c>
      <c r="H784" s="935">
        <v>1</v>
      </c>
      <c r="I784" s="935" t="s">
        <v>670</v>
      </c>
      <c r="J784" s="936">
        <v>0</v>
      </c>
      <c r="K784" s="936">
        <v>0</v>
      </c>
      <c r="L784" s="939">
        <v>9.1324200913242004E-2</v>
      </c>
    </row>
    <row r="785" spans="1:12" hidden="1">
      <c r="A785" s="931">
        <v>11</v>
      </c>
      <c r="B785" s="1246">
        <v>46090</v>
      </c>
      <c r="C785" s="1248">
        <v>46096</v>
      </c>
      <c r="D785" s="933">
        <v>90</v>
      </c>
      <c r="E785" s="933" t="s">
        <v>811</v>
      </c>
      <c r="F785" s="933" t="s">
        <v>275</v>
      </c>
      <c r="G785" s="933">
        <v>1</v>
      </c>
      <c r="H785" s="933">
        <v>1</v>
      </c>
      <c r="I785" s="933" t="s">
        <v>670</v>
      </c>
      <c r="J785" s="934">
        <v>4.3181818181818201</v>
      </c>
      <c r="K785" s="934">
        <v>4.3181818181818201</v>
      </c>
      <c r="L785" s="938">
        <v>9.1324200913242004E-2</v>
      </c>
    </row>
    <row r="786" spans="1:12" hidden="1">
      <c r="A786" s="931">
        <v>11</v>
      </c>
      <c r="B786" s="1247">
        <v>46090</v>
      </c>
      <c r="C786" s="1249">
        <v>46096</v>
      </c>
      <c r="D786" s="935">
        <v>91</v>
      </c>
      <c r="E786" s="935" t="s">
        <v>818</v>
      </c>
      <c r="F786" s="935" t="s">
        <v>713</v>
      </c>
      <c r="G786" s="935">
        <v>1</v>
      </c>
      <c r="H786" s="935">
        <v>1</v>
      </c>
      <c r="I786" s="935" t="s">
        <v>670</v>
      </c>
      <c r="J786" s="936">
        <v>4.4545454545454497</v>
      </c>
      <c r="K786" s="936">
        <v>4.4545454545454497</v>
      </c>
      <c r="L786" s="939">
        <v>9.1324200913242004E-2</v>
      </c>
    </row>
    <row r="787" spans="1:12" hidden="1">
      <c r="A787" s="931">
        <v>11</v>
      </c>
      <c r="B787" s="1246">
        <v>46090</v>
      </c>
      <c r="C787" s="1248">
        <v>46096</v>
      </c>
      <c r="D787" s="933">
        <v>92</v>
      </c>
      <c r="E787" s="933" t="s">
        <v>762</v>
      </c>
      <c r="F787" s="933" t="s">
        <v>323</v>
      </c>
      <c r="G787" s="933">
        <v>1</v>
      </c>
      <c r="H787" s="933">
        <v>1</v>
      </c>
      <c r="I787" s="933" t="s">
        <v>670</v>
      </c>
      <c r="J787" s="934">
        <v>2.7272727272727302</v>
      </c>
      <c r="K787" s="934">
        <v>2.7272727272727302</v>
      </c>
      <c r="L787" s="938">
        <v>9.1324200913242004E-2</v>
      </c>
    </row>
    <row r="788" spans="1:12" hidden="1">
      <c r="A788" s="931">
        <v>11</v>
      </c>
      <c r="B788" s="1247">
        <v>46090</v>
      </c>
      <c r="C788" s="1249">
        <v>46096</v>
      </c>
      <c r="D788" s="935">
        <v>93</v>
      </c>
      <c r="E788" s="935" t="s">
        <v>819</v>
      </c>
      <c r="F788" s="935" t="s">
        <v>820</v>
      </c>
      <c r="G788" s="935">
        <v>1</v>
      </c>
      <c r="H788" s="935">
        <v>1</v>
      </c>
      <c r="I788" s="935" t="s">
        <v>670</v>
      </c>
      <c r="J788" s="936">
        <v>7.9090909090909101</v>
      </c>
      <c r="K788" s="936">
        <v>7.9090909090909101</v>
      </c>
      <c r="L788" s="939">
        <v>9.1324200913242004E-2</v>
      </c>
    </row>
    <row r="789" spans="1:12" hidden="1">
      <c r="A789" s="931">
        <v>11</v>
      </c>
      <c r="B789" s="1246">
        <v>46090</v>
      </c>
      <c r="C789" s="1248">
        <v>46096</v>
      </c>
      <c r="D789" s="933">
        <v>94</v>
      </c>
      <c r="E789" s="933" t="s">
        <v>821</v>
      </c>
      <c r="F789" s="933" t="s">
        <v>730</v>
      </c>
      <c r="G789" s="933">
        <v>1</v>
      </c>
      <c r="H789" s="933">
        <v>1</v>
      </c>
      <c r="I789" s="933" t="s">
        <v>670</v>
      </c>
      <c r="J789" s="934">
        <v>4.4090909090909101</v>
      </c>
      <c r="K789" s="934">
        <v>4.4090909090909101</v>
      </c>
      <c r="L789" s="938">
        <v>9.1324200913242004E-2</v>
      </c>
    </row>
    <row r="790" spans="1:12" hidden="1">
      <c r="A790" s="931">
        <v>11</v>
      </c>
      <c r="B790" s="1247">
        <v>46090</v>
      </c>
      <c r="C790" s="1249">
        <v>46096</v>
      </c>
      <c r="D790" s="935">
        <v>95</v>
      </c>
      <c r="E790" s="935" t="s">
        <v>728</v>
      </c>
      <c r="F790" s="935" t="s">
        <v>695</v>
      </c>
      <c r="G790" s="935">
        <v>1</v>
      </c>
      <c r="H790" s="935">
        <v>1</v>
      </c>
      <c r="I790" s="935" t="s">
        <v>670</v>
      </c>
      <c r="J790" s="936">
        <v>8.3181818181818201</v>
      </c>
      <c r="K790" s="936">
        <v>8.3181818181818201</v>
      </c>
      <c r="L790" s="939">
        <v>9.1324200913242004E-2</v>
      </c>
    </row>
    <row r="791" spans="1:12" hidden="1">
      <c r="A791" s="931">
        <v>11</v>
      </c>
      <c r="B791" s="1246">
        <v>46090</v>
      </c>
      <c r="C791" s="1248">
        <v>46096</v>
      </c>
      <c r="D791" s="933">
        <v>96</v>
      </c>
      <c r="E791" s="933" t="s">
        <v>799</v>
      </c>
      <c r="F791" s="933" t="s">
        <v>713</v>
      </c>
      <c r="G791" s="933">
        <v>1</v>
      </c>
      <c r="H791" s="933">
        <v>1</v>
      </c>
      <c r="I791" s="933" t="s">
        <v>670</v>
      </c>
      <c r="J791" s="934">
        <v>3.1818181818181799</v>
      </c>
      <c r="K791" s="934">
        <v>3.1818181818181799</v>
      </c>
      <c r="L791" s="938">
        <v>9.1324200913242004E-2</v>
      </c>
    </row>
    <row r="792" spans="1:12" hidden="1">
      <c r="A792" s="931">
        <v>11</v>
      </c>
      <c r="B792" s="1247">
        <v>46090</v>
      </c>
      <c r="C792" s="1249">
        <v>46096</v>
      </c>
      <c r="D792" s="935">
        <v>97</v>
      </c>
      <c r="E792" s="935" t="s">
        <v>692</v>
      </c>
      <c r="F792" s="935" t="s">
        <v>693</v>
      </c>
      <c r="G792" s="935">
        <v>1</v>
      </c>
      <c r="H792" s="935">
        <v>1</v>
      </c>
      <c r="I792" s="935" t="s">
        <v>670</v>
      </c>
      <c r="J792" s="936">
        <v>0</v>
      </c>
      <c r="K792" s="936">
        <v>0</v>
      </c>
      <c r="L792" s="939">
        <v>9.1324200913242004E-2</v>
      </c>
    </row>
    <row r="793" spans="1:12" hidden="1">
      <c r="A793" s="931">
        <v>11</v>
      </c>
      <c r="B793" s="1246">
        <v>46090</v>
      </c>
      <c r="C793" s="1248">
        <v>46096</v>
      </c>
      <c r="D793" s="933">
        <v>98</v>
      </c>
      <c r="E793" s="933" t="s">
        <v>822</v>
      </c>
      <c r="F793" s="933" t="s">
        <v>256</v>
      </c>
      <c r="G793" s="933">
        <v>1</v>
      </c>
      <c r="H793" s="933">
        <v>1</v>
      </c>
      <c r="I793" s="933" t="s">
        <v>670</v>
      </c>
      <c r="J793" s="934">
        <v>5.3636363636363598</v>
      </c>
      <c r="K793" s="934">
        <v>5.3636363636363598</v>
      </c>
      <c r="L793" s="938">
        <v>9.1324200913242004E-2</v>
      </c>
    </row>
    <row r="794" spans="1:12" hidden="1">
      <c r="A794" s="931">
        <v>11</v>
      </c>
      <c r="B794" s="1247">
        <v>46090</v>
      </c>
      <c r="C794" s="1249">
        <v>46096</v>
      </c>
      <c r="D794" s="935">
        <v>99</v>
      </c>
      <c r="E794" s="935" t="s">
        <v>823</v>
      </c>
      <c r="F794" s="935" t="s">
        <v>253</v>
      </c>
      <c r="G794" s="935">
        <v>1</v>
      </c>
      <c r="H794" s="935">
        <v>1</v>
      </c>
      <c r="I794" s="935" t="s">
        <v>670</v>
      </c>
      <c r="J794" s="936">
        <v>10.7272727272727</v>
      </c>
      <c r="K794" s="936">
        <v>10.7272727272727</v>
      </c>
      <c r="L794" s="939">
        <v>9.1324200913242004E-2</v>
      </c>
    </row>
    <row r="795" spans="1:12" hidden="1">
      <c r="A795" s="931">
        <v>11</v>
      </c>
      <c r="B795" s="1246">
        <v>46090</v>
      </c>
      <c r="C795" s="1248">
        <v>46096</v>
      </c>
      <c r="D795" s="933">
        <v>100</v>
      </c>
      <c r="E795" s="933" t="s">
        <v>784</v>
      </c>
      <c r="F795" s="933" t="s">
        <v>764</v>
      </c>
      <c r="G795" s="933">
        <v>1</v>
      </c>
      <c r="H795" s="933">
        <v>1</v>
      </c>
      <c r="I795" s="933" t="s">
        <v>670</v>
      </c>
      <c r="J795" s="934">
        <v>13.181818181818199</v>
      </c>
      <c r="K795" s="934">
        <v>13.181818181818199</v>
      </c>
      <c r="L795" s="938">
        <v>9.1324200913242004E-2</v>
      </c>
    </row>
    <row r="796" spans="1:12" hidden="1">
      <c r="A796" s="931">
        <v>11</v>
      </c>
      <c r="B796" s="1247">
        <v>46090</v>
      </c>
      <c r="C796" s="1249">
        <v>46096</v>
      </c>
      <c r="D796" s="935">
        <v>101</v>
      </c>
      <c r="E796" s="935" t="s">
        <v>773</v>
      </c>
      <c r="F796" s="935" t="s">
        <v>730</v>
      </c>
      <c r="G796" s="935">
        <v>1</v>
      </c>
      <c r="H796" s="935">
        <v>1</v>
      </c>
      <c r="I796" s="935" t="s">
        <v>670</v>
      </c>
      <c r="J796" s="936">
        <v>2.8181818181818201</v>
      </c>
      <c r="K796" s="936">
        <v>2.8181818181818201</v>
      </c>
      <c r="L796" s="939">
        <v>9.1324200913242004E-2</v>
      </c>
    </row>
    <row r="797" spans="1:12" hidden="1">
      <c r="A797" s="931">
        <v>12</v>
      </c>
      <c r="B797" s="1246">
        <v>46097</v>
      </c>
      <c r="C797" s="1248">
        <v>46103</v>
      </c>
      <c r="D797" s="933">
        <v>1</v>
      </c>
      <c r="E797" s="933" t="s">
        <v>248</v>
      </c>
      <c r="F797" s="933" t="s">
        <v>249</v>
      </c>
      <c r="G797" s="933">
        <v>61</v>
      </c>
      <c r="H797" s="933">
        <v>61</v>
      </c>
      <c r="I797" s="933" t="s">
        <v>670</v>
      </c>
      <c r="J797" s="934">
        <v>1.34575260804769</v>
      </c>
      <c r="K797" s="934">
        <v>82.090909090909093</v>
      </c>
      <c r="L797" s="938">
        <v>7.9634464751958198</v>
      </c>
    </row>
    <row r="798" spans="1:12" hidden="1">
      <c r="A798" s="931">
        <v>12</v>
      </c>
      <c r="B798" s="1247">
        <v>46097</v>
      </c>
      <c r="C798" s="1249">
        <v>46103</v>
      </c>
      <c r="D798" s="935">
        <v>2</v>
      </c>
      <c r="E798" s="935" t="s">
        <v>259</v>
      </c>
      <c r="F798" s="935" t="s">
        <v>249</v>
      </c>
      <c r="G798" s="935">
        <v>59</v>
      </c>
      <c r="H798" s="935">
        <v>59</v>
      </c>
      <c r="I798" s="935" t="s">
        <v>670</v>
      </c>
      <c r="J798" s="936">
        <v>1.3097072419106299</v>
      </c>
      <c r="K798" s="936">
        <v>77.272727272727295</v>
      </c>
      <c r="L798" s="939">
        <v>7.7023498694516999</v>
      </c>
    </row>
    <row r="799" spans="1:12" hidden="1">
      <c r="A799" s="931">
        <v>12</v>
      </c>
      <c r="B799" s="1246">
        <v>46097</v>
      </c>
      <c r="C799" s="1248">
        <v>46103</v>
      </c>
      <c r="D799" s="933">
        <v>3</v>
      </c>
      <c r="E799" s="933" t="s">
        <v>261</v>
      </c>
      <c r="F799" s="933" t="s">
        <v>256</v>
      </c>
      <c r="G799" s="933">
        <v>40</v>
      </c>
      <c r="H799" s="933">
        <v>40</v>
      </c>
      <c r="I799" s="933" t="s">
        <v>670</v>
      </c>
      <c r="J799" s="934">
        <v>2.1693181818181801</v>
      </c>
      <c r="K799" s="934">
        <v>86.772727272727295</v>
      </c>
      <c r="L799" s="938">
        <v>5.2219321148825104</v>
      </c>
    </row>
    <row r="800" spans="1:12" hidden="1">
      <c r="A800" s="931">
        <v>12</v>
      </c>
      <c r="B800" s="1247">
        <v>46097</v>
      </c>
      <c r="C800" s="1249">
        <v>46103</v>
      </c>
      <c r="D800" s="935">
        <v>4</v>
      </c>
      <c r="E800" s="935" t="s">
        <v>790</v>
      </c>
      <c r="F800" s="935" t="s">
        <v>264</v>
      </c>
      <c r="G800" s="935">
        <v>40</v>
      </c>
      <c r="H800" s="935">
        <v>40</v>
      </c>
      <c r="I800" s="935" t="s">
        <v>670</v>
      </c>
      <c r="J800" s="936">
        <v>3.2159090909090899</v>
      </c>
      <c r="K800" s="936">
        <v>128.636363636364</v>
      </c>
      <c r="L800" s="939">
        <v>5.2219321148825104</v>
      </c>
    </row>
    <row r="801" spans="1:12" hidden="1">
      <c r="A801" s="931">
        <v>12</v>
      </c>
      <c r="B801" s="1246">
        <v>46097</v>
      </c>
      <c r="C801" s="1248">
        <v>46103</v>
      </c>
      <c r="D801" s="933">
        <v>5</v>
      </c>
      <c r="E801" s="933" t="s">
        <v>250</v>
      </c>
      <c r="F801" s="933" t="s">
        <v>251</v>
      </c>
      <c r="G801" s="933">
        <v>34</v>
      </c>
      <c r="H801" s="933">
        <v>34</v>
      </c>
      <c r="I801" s="933" t="s">
        <v>670</v>
      </c>
      <c r="J801" s="934">
        <v>1.64973262032086</v>
      </c>
      <c r="K801" s="934">
        <v>56.090909090909101</v>
      </c>
      <c r="L801" s="938">
        <v>4.4386422976501301</v>
      </c>
    </row>
    <row r="802" spans="1:12" hidden="1">
      <c r="A802" s="931">
        <v>12</v>
      </c>
      <c r="B802" s="1247">
        <v>46097</v>
      </c>
      <c r="C802" s="1249">
        <v>46103</v>
      </c>
      <c r="D802" s="935">
        <v>6</v>
      </c>
      <c r="E802" s="935" t="s">
        <v>255</v>
      </c>
      <c r="F802" s="935" t="s">
        <v>256</v>
      </c>
      <c r="G802" s="935">
        <v>31</v>
      </c>
      <c r="H802" s="935">
        <v>31</v>
      </c>
      <c r="I802" s="935" t="s">
        <v>670</v>
      </c>
      <c r="J802" s="936">
        <v>5.14956011730205</v>
      </c>
      <c r="K802" s="936">
        <v>159.636363636364</v>
      </c>
      <c r="L802" s="939">
        <v>4.0469973890339404</v>
      </c>
    </row>
    <row r="803" spans="1:12" hidden="1">
      <c r="A803" s="931">
        <v>12</v>
      </c>
      <c r="B803" s="1246">
        <v>46097</v>
      </c>
      <c r="C803" s="1248">
        <v>46103</v>
      </c>
      <c r="D803" s="933">
        <v>7</v>
      </c>
      <c r="E803" s="933" t="s">
        <v>254</v>
      </c>
      <c r="F803" s="933" t="s">
        <v>254</v>
      </c>
      <c r="G803" s="933">
        <v>26</v>
      </c>
      <c r="H803" s="933">
        <v>26</v>
      </c>
      <c r="I803" s="933" t="s">
        <v>670</v>
      </c>
      <c r="J803" s="934">
        <v>13.545454545454501</v>
      </c>
      <c r="K803" s="934">
        <v>352.18181818181802</v>
      </c>
      <c r="L803" s="938">
        <v>3.3942558746736302</v>
      </c>
    </row>
    <row r="804" spans="1:12" hidden="1">
      <c r="A804" s="931">
        <v>12</v>
      </c>
      <c r="B804" s="1247">
        <v>46097</v>
      </c>
      <c r="C804" s="1249">
        <v>46103</v>
      </c>
      <c r="D804" s="935">
        <v>8</v>
      </c>
      <c r="E804" s="935" t="s">
        <v>673</v>
      </c>
      <c r="F804" s="935" t="s">
        <v>251</v>
      </c>
      <c r="G804" s="935">
        <v>23</v>
      </c>
      <c r="H804" s="935">
        <v>23</v>
      </c>
      <c r="I804" s="935" t="s">
        <v>670</v>
      </c>
      <c r="J804" s="936">
        <v>2.2944664031620499</v>
      </c>
      <c r="K804" s="936">
        <v>52.772727272727302</v>
      </c>
      <c r="L804" s="939">
        <v>3.00261096605744</v>
      </c>
    </row>
    <row r="805" spans="1:12" hidden="1">
      <c r="A805" s="931">
        <v>12</v>
      </c>
      <c r="B805" s="1246">
        <v>46097</v>
      </c>
      <c r="C805" s="1248">
        <v>46103</v>
      </c>
      <c r="D805" s="933">
        <v>9</v>
      </c>
      <c r="E805" s="933" t="s">
        <v>262</v>
      </c>
      <c r="F805" s="933" t="s">
        <v>256</v>
      </c>
      <c r="G805" s="933">
        <v>22</v>
      </c>
      <c r="H805" s="933">
        <v>22</v>
      </c>
      <c r="I805" s="933" t="s">
        <v>670</v>
      </c>
      <c r="J805" s="934">
        <v>10.880165289256199</v>
      </c>
      <c r="K805" s="934">
        <v>239.363636363636</v>
      </c>
      <c r="L805" s="938">
        <v>2.8720626631853801</v>
      </c>
    </row>
    <row r="806" spans="1:12">
      <c r="A806" s="931">
        <v>12</v>
      </c>
      <c r="B806" s="1247">
        <v>46097</v>
      </c>
      <c r="C806" s="1249">
        <v>46103</v>
      </c>
      <c r="D806" s="935">
        <v>10</v>
      </c>
      <c r="E806" s="935" t="s">
        <v>806</v>
      </c>
      <c r="F806" s="935" t="s">
        <v>256</v>
      </c>
      <c r="G806" s="935">
        <v>21</v>
      </c>
      <c r="H806" s="935">
        <v>21</v>
      </c>
      <c r="I806" s="935" t="s">
        <v>670</v>
      </c>
      <c r="J806" s="936">
        <v>-7.5757575757575704E-2</v>
      </c>
      <c r="K806" s="936">
        <v>-1.5909090909090899</v>
      </c>
      <c r="L806" s="939">
        <v>2.7415143603133201</v>
      </c>
    </row>
    <row r="807" spans="1:12" hidden="1">
      <c r="A807" s="931">
        <v>12</v>
      </c>
      <c r="B807" s="1246">
        <v>46097</v>
      </c>
      <c r="C807" s="1248">
        <v>46103</v>
      </c>
      <c r="D807" s="933">
        <v>11</v>
      </c>
      <c r="E807" s="933" t="s">
        <v>680</v>
      </c>
      <c r="F807" s="933" t="s">
        <v>251</v>
      </c>
      <c r="G807" s="933">
        <v>19</v>
      </c>
      <c r="H807" s="933">
        <v>19</v>
      </c>
      <c r="I807" s="933" t="s">
        <v>670</v>
      </c>
      <c r="J807" s="934">
        <v>2.3373205741626801</v>
      </c>
      <c r="K807" s="934">
        <v>44.409090909090899</v>
      </c>
      <c r="L807" s="938">
        <v>2.4804177545691899</v>
      </c>
    </row>
    <row r="808" spans="1:12" hidden="1">
      <c r="A808" s="931">
        <v>12</v>
      </c>
      <c r="B808" s="1247">
        <v>46097</v>
      </c>
      <c r="C808" s="1249">
        <v>46103</v>
      </c>
      <c r="D808" s="935">
        <v>12</v>
      </c>
      <c r="E808" s="935" t="s">
        <v>678</v>
      </c>
      <c r="F808" s="935" t="s">
        <v>256</v>
      </c>
      <c r="G808" s="935">
        <v>17</v>
      </c>
      <c r="H808" s="935">
        <v>17</v>
      </c>
      <c r="I808" s="935" t="s">
        <v>670</v>
      </c>
      <c r="J808" s="936">
        <v>6.3529411764705896</v>
      </c>
      <c r="K808" s="936">
        <v>108</v>
      </c>
      <c r="L808" s="939">
        <v>2.2193211488250699</v>
      </c>
    </row>
    <row r="809" spans="1:12" hidden="1">
      <c r="A809" s="931">
        <v>12</v>
      </c>
      <c r="B809" s="1246">
        <v>46097</v>
      </c>
      <c r="C809" s="1248">
        <v>46103</v>
      </c>
      <c r="D809" s="933">
        <v>13</v>
      </c>
      <c r="E809" s="933" t="s">
        <v>791</v>
      </c>
      <c r="F809" s="933" t="s">
        <v>256</v>
      </c>
      <c r="G809" s="933">
        <v>17</v>
      </c>
      <c r="H809" s="933">
        <v>17</v>
      </c>
      <c r="I809" s="933" t="s">
        <v>670</v>
      </c>
      <c r="J809" s="934">
        <v>5.0534759358288799</v>
      </c>
      <c r="K809" s="934">
        <v>85.909090909090907</v>
      </c>
      <c r="L809" s="938">
        <v>2.2193211488250699</v>
      </c>
    </row>
    <row r="810" spans="1:12" hidden="1">
      <c r="A810" s="931">
        <v>12</v>
      </c>
      <c r="B810" s="1247">
        <v>46097</v>
      </c>
      <c r="C810" s="1249">
        <v>46103</v>
      </c>
      <c r="D810" s="935">
        <v>14</v>
      </c>
      <c r="E810" s="935" t="s">
        <v>780</v>
      </c>
      <c r="F810" s="935" t="s">
        <v>268</v>
      </c>
      <c r="G810" s="935">
        <v>14</v>
      </c>
      <c r="H810" s="935">
        <v>14</v>
      </c>
      <c r="I810" s="935" t="s">
        <v>670</v>
      </c>
      <c r="J810" s="936">
        <v>1.36363636363636</v>
      </c>
      <c r="K810" s="936">
        <v>19.090909090909101</v>
      </c>
      <c r="L810" s="939">
        <v>1.82767624020888</v>
      </c>
    </row>
    <row r="811" spans="1:12" hidden="1">
      <c r="A811" s="931">
        <v>12</v>
      </c>
      <c r="B811" s="1246">
        <v>46097</v>
      </c>
      <c r="C811" s="1248">
        <v>46103</v>
      </c>
      <c r="D811" s="933">
        <v>15</v>
      </c>
      <c r="E811" s="933" t="s">
        <v>674</v>
      </c>
      <c r="F811" s="933" t="s">
        <v>275</v>
      </c>
      <c r="G811" s="933">
        <v>13</v>
      </c>
      <c r="H811" s="933">
        <v>13</v>
      </c>
      <c r="I811" s="933" t="s">
        <v>670</v>
      </c>
      <c r="J811" s="934">
        <v>4.8426573426573398</v>
      </c>
      <c r="K811" s="934">
        <v>62.954545454545503</v>
      </c>
      <c r="L811" s="938">
        <v>1.69712793733682</v>
      </c>
    </row>
    <row r="812" spans="1:12" hidden="1">
      <c r="A812" s="931">
        <v>12</v>
      </c>
      <c r="B812" s="1247">
        <v>46097</v>
      </c>
      <c r="C812" s="1249">
        <v>46103</v>
      </c>
      <c r="D812" s="935">
        <v>16</v>
      </c>
      <c r="E812" s="935" t="s">
        <v>738</v>
      </c>
      <c r="F812" s="935" t="s">
        <v>256</v>
      </c>
      <c r="G812" s="935">
        <v>12</v>
      </c>
      <c r="H812" s="935">
        <v>12</v>
      </c>
      <c r="I812" s="935" t="s">
        <v>670</v>
      </c>
      <c r="J812" s="936">
        <v>7.2575757575757596</v>
      </c>
      <c r="K812" s="936">
        <v>87.090909090909093</v>
      </c>
      <c r="L812" s="939">
        <v>1.56657963446475</v>
      </c>
    </row>
    <row r="813" spans="1:12" hidden="1">
      <c r="A813" s="931">
        <v>12</v>
      </c>
      <c r="B813" s="1246">
        <v>46097</v>
      </c>
      <c r="C813" s="1248">
        <v>46103</v>
      </c>
      <c r="D813" s="933">
        <v>17</v>
      </c>
      <c r="E813" s="933" t="s">
        <v>691</v>
      </c>
      <c r="F813" s="933" t="s">
        <v>251</v>
      </c>
      <c r="G813" s="933">
        <v>12</v>
      </c>
      <c r="H813" s="933">
        <v>12</v>
      </c>
      <c r="I813" s="933" t="s">
        <v>670</v>
      </c>
      <c r="J813" s="934">
        <v>2.0303030303030298</v>
      </c>
      <c r="K813" s="934">
        <v>24.363636363636399</v>
      </c>
      <c r="L813" s="938">
        <v>1.56657963446475</v>
      </c>
    </row>
    <row r="814" spans="1:12" hidden="1">
      <c r="A814" s="931">
        <v>12</v>
      </c>
      <c r="B814" s="1247">
        <v>46097</v>
      </c>
      <c r="C814" s="1249">
        <v>46103</v>
      </c>
      <c r="D814" s="935">
        <v>18</v>
      </c>
      <c r="E814" s="935" t="s">
        <v>716</v>
      </c>
      <c r="F814" s="935" t="s">
        <v>251</v>
      </c>
      <c r="G814" s="935">
        <v>12</v>
      </c>
      <c r="H814" s="935">
        <v>12</v>
      </c>
      <c r="I814" s="935" t="s">
        <v>670</v>
      </c>
      <c r="J814" s="936">
        <v>0</v>
      </c>
      <c r="K814" s="936">
        <v>0</v>
      </c>
      <c r="L814" s="939">
        <v>1.56657963446475</v>
      </c>
    </row>
    <row r="815" spans="1:12" hidden="1">
      <c r="A815" s="931">
        <v>12</v>
      </c>
      <c r="B815" s="1246">
        <v>46097</v>
      </c>
      <c r="C815" s="1248">
        <v>46103</v>
      </c>
      <c r="D815" s="933">
        <v>19</v>
      </c>
      <c r="E815" s="933" t="s">
        <v>679</v>
      </c>
      <c r="F815" s="933" t="s">
        <v>256</v>
      </c>
      <c r="G815" s="933">
        <v>12</v>
      </c>
      <c r="H815" s="933">
        <v>12</v>
      </c>
      <c r="I815" s="933" t="s">
        <v>670</v>
      </c>
      <c r="J815" s="934">
        <v>9.1287878787878807</v>
      </c>
      <c r="K815" s="934">
        <v>109.545454545455</v>
      </c>
      <c r="L815" s="938">
        <v>1.56657963446475</v>
      </c>
    </row>
    <row r="816" spans="1:12" hidden="1">
      <c r="A816" s="931">
        <v>12</v>
      </c>
      <c r="B816" s="1247">
        <v>46097</v>
      </c>
      <c r="C816" s="1249">
        <v>46103</v>
      </c>
      <c r="D816" s="935">
        <v>20</v>
      </c>
      <c r="E816" s="935" t="s">
        <v>686</v>
      </c>
      <c r="F816" s="935" t="s">
        <v>274</v>
      </c>
      <c r="G816" s="935">
        <v>11</v>
      </c>
      <c r="H816" s="935">
        <v>11</v>
      </c>
      <c r="I816" s="935" t="s">
        <v>670</v>
      </c>
      <c r="J816" s="936">
        <v>13.6570247933884</v>
      </c>
      <c r="K816" s="936">
        <v>150.227272727273</v>
      </c>
      <c r="L816" s="939">
        <v>1.43603133159269</v>
      </c>
    </row>
    <row r="817" spans="1:12" hidden="1">
      <c r="A817" s="931">
        <v>12</v>
      </c>
      <c r="B817" s="1246">
        <v>46097</v>
      </c>
      <c r="C817" s="1248">
        <v>46103</v>
      </c>
      <c r="D817" s="933">
        <v>21</v>
      </c>
      <c r="E817" s="933" t="s">
        <v>792</v>
      </c>
      <c r="F817" s="933" t="s">
        <v>256</v>
      </c>
      <c r="G817" s="933">
        <v>11</v>
      </c>
      <c r="H817" s="933">
        <v>11</v>
      </c>
      <c r="I817" s="933" t="s">
        <v>670</v>
      </c>
      <c r="J817" s="934">
        <v>12.702479338843</v>
      </c>
      <c r="K817" s="934">
        <v>139.727272727273</v>
      </c>
      <c r="L817" s="938">
        <v>1.43603133159269</v>
      </c>
    </row>
    <row r="818" spans="1:12" hidden="1">
      <c r="A818" s="931">
        <v>12</v>
      </c>
      <c r="B818" s="1247">
        <v>46097</v>
      </c>
      <c r="C818" s="1249">
        <v>46103</v>
      </c>
      <c r="D818" s="935">
        <v>22</v>
      </c>
      <c r="E818" s="935" t="s">
        <v>675</v>
      </c>
      <c r="F818" s="935" t="s">
        <v>256</v>
      </c>
      <c r="G818" s="935">
        <v>10</v>
      </c>
      <c r="H818" s="935">
        <v>10</v>
      </c>
      <c r="I818" s="935" t="s">
        <v>670</v>
      </c>
      <c r="J818" s="936">
        <v>5.0227272727272698</v>
      </c>
      <c r="K818" s="936">
        <v>50.227272727272698</v>
      </c>
      <c r="L818" s="939">
        <v>1.30548302872063</v>
      </c>
    </row>
    <row r="819" spans="1:12" hidden="1">
      <c r="A819" s="931">
        <v>12</v>
      </c>
      <c r="B819" s="1246">
        <v>46097</v>
      </c>
      <c r="C819" s="1248">
        <v>46103</v>
      </c>
      <c r="D819" s="933">
        <v>23</v>
      </c>
      <c r="E819" s="933" t="s">
        <v>671</v>
      </c>
      <c r="F819" s="933" t="s">
        <v>276</v>
      </c>
      <c r="G819" s="933">
        <v>10</v>
      </c>
      <c r="H819" s="933">
        <v>10</v>
      </c>
      <c r="I819" s="933" t="s">
        <v>672</v>
      </c>
      <c r="J819" s="934">
        <v>2.9772727272727302</v>
      </c>
      <c r="K819" s="934">
        <v>29.772727272727298</v>
      </c>
      <c r="L819" s="938">
        <v>1.30548302872063</v>
      </c>
    </row>
    <row r="820" spans="1:12" hidden="1">
      <c r="A820" s="931">
        <v>12</v>
      </c>
      <c r="B820" s="1247">
        <v>46097</v>
      </c>
      <c r="C820" s="1249">
        <v>46103</v>
      </c>
      <c r="D820" s="935">
        <v>24</v>
      </c>
      <c r="E820" s="935" t="s">
        <v>676</v>
      </c>
      <c r="F820" s="935" t="s">
        <v>253</v>
      </c>
      <c r="G820" s="935">
        <v>8</v>
      </c>
      <c r="H820" s="935">
        <v>8</v>
      </c>
      <c r="I820" s="935" t="s">
        <v>670</v>
      </c>
      <c r="J820" s="936">
        <v>2.6818181818181799</v>
      </c>
      <c r="K820" s="936">
        <v>21.4545454545454</v>
      </c>
      <c r="L820" s="939">
        <v>1.0443864229765001</v>
      </c>
    </row>
    <row r="821" spans="1:12" hidden="1">
      <c r="A821" s="931">
        <v>12</v>
      </c>
      <c r="B821" s="1246">
        <v>46097</v>
      </c>
      <c r="C821" s="1248">
        <v>46103</v>
      </c>
      <c r="D821" s="933">
        <v>25</v>
      </c>
      <c r="E821" s="933" t="s">
        <v>808</v>
      </c>
      <c r="F821" s="933" t="s">
        <v>268</v>
      </c>
      <c r="G821" s="933">
        <v>8</v>
      </c>
      <c r="H821" s="933">
        <v>8</v>
      </c>
      <c r="I821" s="933" t="s">
        <v>670</v>
      </c>
      <c r="J821" s="934">
        <v>0.59090909090909105</v>
      </c>
      <c r="K821" s="934">
        <v>4.7272727272727302</v>
      </c>
      <c r="L821" s="938">
        <v>1.0443864229765001</v>
      </c>
    </row>
    <row r="822" spans="1:12" hidden="1">
      <c r="A822" s="931">
        <v>12</v>
      </c>
      <c r="B822" s="1247">
        <v>46097</v>
      </c>
      <c r="C822" s="1249">
        <v>46103</v>
      </c>
      <c r="D822" s="935">
        <v>26</v>
      </c>
      <c r="E822" s="935" t="s">
        <v>681</v>
      </c>
      <c r="F822" s="935" t="s">
        <v>282</v>
      </c>
      <c r="G822" s="935">
        <v>8</v>
      </c>
      <c r="H822" s="935">
        <v>8</v>
      </c>
      <c r="I822" s="935" t="s">
        <v>672</v>
      </c>
      <c r="J822" s="936">
        <v>4.5454545454545497E-2</v>
      </c>
      <c r="K822" s="936">
        <v>0.36363636363636398</v>
      </c>
      <c r="L822" s="939">
        <v>1.0443864229765001</v>
      </c>
    </row>
    <row r="823" spans="1:12" hidden="1">
      <c r="A823" s="931">
        <v>12</v>
      </c>
      <c r="B823" s="1246">
        <v>46097</v>
      </c>
      <c r="C823" s="1248">
        <v>46103</v>
      </c>
      <c r="D823" s="933">
        <v>27</v>
      </c>
      <c r="E823" s="933" t="s">
        <v>825</v>
      </c>
      <c r="F823" s="933" t="s">
        <v>256</v>
      </c>
      <c r="G823" s="933">
        <v>8</v>
      </c>
      <c r="H823" s="933">
        <v>8</v>
      </c>
      <c r="I823" s="933" t="s">
        <v>670</v>
      </c>
      <c r="J823" s="934">
        <v>0</v>
      </c>
      <c r="K823" s="934">
        <v>0</v>
      </c>
      <c r="L823" s="938">
        <v>1.0443864229765001</v>
      </c>
    </row>
    <row r="824" spans="1:12" hidden="1">
      <c r="A824" s="931">
        <v>12</v>
      </c>
      <c r="B824" s="1247">
        <v>46097</v>
      </c>
      <c r="C824" s="1249">
        <v>46103</v>
      </c>
      <c r="D824" s="935">
        <v>28</v>
      </c>
      <c r="E824" s="935" t="s">
        <v>708</v>
      </c>
      <c r="F824" s="935" t="s">
        <v>251</v>
      </c>
      <c r="G824" s="935">
        <v>8</v>
      </c>
      <c r="H824" s="935">
        <v>8</v>
      </c>
      <c r="I824" s="935" t="s">
        <v>670</v>
      </c>
      <c r="J824" s="936">
        <v>1.80113636363636</v>
      </c>
      <c r="K824" s="936">
        <v>14.409090909090899</v>
      </c>
      <c r="L824" s="939">
        <v>1.0443864229765001</v>
      </c>
    </row>
    <row r="825" spans="1:12" hidden="1">
      <c r="A825" s="931">
        <v>12</v>
      </c>
      <c r="B825" s="1246">
        <v>46097</v>
      </c>
      <c r="C825" s="1248">
        <v>46103</v>
      </c>
      <c r="D825" s="933">
        <v>29</v>
      </c>
      <c r="E825" s="933" t="s">
        <v>714</v>
      </c>
      <c r="F825" s="933" t="s">
        <v>251</v>
      </c>
      <c r="G825" s="933">
        <v>8</v>
      </c>
      <c r="H825" s="933">
        <v>8</v>
      </c>
      <c r="I825" s="933" t="s">
        <v>670</v>
      </c>
      <c r="J825" s="934">
        <v>1.0568181818181801</v>
      </c>
      <c r="K825" s="934">
        <v>8.4545454545454497</v>
      </c>
      <c r="L825" s="938">
        <v>1.0443864229765001</v>
      </c>
    </row>
    <row r="826" spans="1:12" hidden="1">
      <c r="A826" s="931">
        <v>12</v>
      </c>
      <c r="B826" s="1247">
        <v>46097</v>
      </c>
      <c r="C826" s="1249">
        <v>46103</v>
      </c>
      <c r="D826" s="935">
        <v>30</v>
      </c>
      <c r="E826" s="935" t="s">
        <v>682</v>
      </c>
      <c r="F826" s="935" t="s">
        <v>275</v>
      </c>
      <c r="G826" s="935">
        <v>8</v>
      </c>
      <c r="H826" s="935">
        <v>8</v>
      </c>
      <c r="I826" s="935" t="s">
        <v>670</v>
      </c>
      <c r="J826" s="936">
        <v>4.6022727272727302</v>
      </c>
      <c r="K826" s="936">
        <v>36.818181818181799</v>
      </c>
      <c r="L826" s="939">
        <v>1.0443864229765001</v>
      </c>
    </row>
    <row r="827" spans="1:12" hidden="1">
      <c r="A827" s="931">
        <v>12</v>
      </c>
      <c r="B827" s="1246">
        <v>46097</v>
      </c>
      <c r="C827" s="1248">
        <v>46103</v>
      </c>
      <c r="D827" s="933">
        <v>31</v>
      </c>
      <c r="E827" s="933" t="s">
        <v>703</v>
      </c>
      <c r="F827" s="933" t="s">
        <v>256</v>
      </c>
      <c r="G827" s="933">
        <v>7</v>
      </c>
      <c r="H827" s="933">
        <v>7</v>
      </c>
      <c r="I827" s="933" t="s">
        <v>670</v>
      </c>
      <c r="J827" s="934">
        <v>1.8181818181818199</v>
      </c>
      <c r="K827" s="934">
        <v>12.7272727272727</v>
      </c>
      <c r="L827" s="938">
        <v>0.91383812010443899</v>
      </c>
    </row>
    <row r="828" spans="1:12" hidden="1">
      <c r="A828" s="931">
        <v>12</v>
      </c>
      <c r="B828" s="1247">
        <v>46097</v>
      </c>
      <c r="C828" s="1249">
        <v>46103</v>
      </c>
      <c r="D828" s="935">
        <v>32</v>
      </c>
      <c r="E828" s="935" t="s">
        <v>707</v>
      </c>
      <c r="F828" s="935" t="s">
        <v>256</v>
      </c>
      <c r="G828" s="935">
        <v>7</v>
      </c>
      <c r="H828" s="935">
        <v>7</v>
      </c>
      <c r="I828" s="935" t="s">
        <v>670</v>
      </c>
      <c r="J828" s="936">
        <v>8.6363636363636296</v>
      </c>
      <c r="K828" s="936">
        <v>60.454545454545503</v>
      </c>
      <c r="L828" s="939">
        <v>0.91383812010443899</v>
      </c>
    </row>
    <row r="829" spans="1:12" hidden="1">
      <c r="A829" s="931">
        <v>12</v>
      </c>
      <c r="B829" s="1246">
        <v>46097</v>
      </c>
      <c r="C829" s="1248">
        <v>46103</v>
      </c>
      <c r="D829" s="933">
        <v>33</v>
      </c>
      <c r="E829" s="933" t="s">
        <v>688</v>
      </c>
      <c r="F829" s="933" t="s">
        <v>689</v>
      </c>
      <c r="G829" s="933">
        <v>7</v>
      </c>
      <c r="H829" s="933">
        <v>7</v>
      </c>
      <c r="I829" s="933" t="s">
        <v>670</v>
      </c>
      <c r="J829" s="934">
        <v>9.9090909090909101</v>
      </c>
      <c r="K829" s="934">
        <v>69.363636363636402</v>
      </c>
      <c r="L829" s="938">
        <v>0.91383812010443899</v>
      </c>
    </row>
    <row r="830" spans="1:12" hidden="1">
      <c r="A830" s="931">
        <v>12</v>
      </c>
      <c r="B830" s="1247">
        <v>46097</v>
      </c>
      <c r="C830" s="1249">
        <v>46103</v>
      </c>
      <c r="D830" s="935">
        <v>34</v>
      </c>
      <c r="E830" s="935" t="s">
        <v>685</v>
      </c>
      <c r="F830" s="935" t="s">
        <v>256</v>
      </c>
      <c r="G830" s="935">
        <v>7</v>
      </c>
      <c r="H830" s="935">
        <v>7</v>
      </c>
      <c r="I830" s="935" t="s">
        <v>670</v>
      </c>
      <c r="J830" s="936">
        <v>8.21428571428571</v>
      </c>
      <c r="K830" s="936">
        <v>57.5</v>
      </c>
      <c r="L830" s="939">
        <v>0.91383812010443899</v>
      </c>
    </row>
    <row r="831" spans="1:12" hidden="1">
      <c r="A831" s="931">
        <v>12</v>
      </c>
      <c r="B831" s="1246">
        <v>46097</v>
      </c>
      <c r="C831" s="1248">
        <v>46103</v>
      </c>
      <c r="D831" s="933">
        <v>35</v>
      </c>
      <c r="E831" s="933" t="s">
        <v>684</v>
      </c>
      <c r="F831" s="933" t="s">
        <v>323</v>
      </c>
      <c r="G831" s="933">
        <v>6</v>
      </c>
      <c r="H831" s="933">
        <v>6</v>
      </c>
      <c r="I831" s="933" t="s">
        <v>670</v>
      </c>
      <c r="J831" s="934">
        <v>9</v>
      </c>
      <c r="K831" s="934">
        <v>54</v>
      </c>
      <c r="L831" s="938">
        <v>0.78328981723237601</v>
      </c>
    </row>
    <row r="832" spans="1:12" hidden="1">
      <c r="A832" s="931">
        <v>12</v>
      </c>
      <c r="B832" s="1247">
        <v>46097</v>
      </c>
      <c r="C832" s="1249">
        <v>46103</v>
      </c>
      <c r="D832" s="935">
        <v>36</v>
      </c>
      <c r="E832" s="935" t="s">
        <v>822</v>
      </c>
      <c r="F832" s="935" t="s">
        <v>256</v>
      </c>
      <c r="G832" s="935">
        <v>6</v>
      </c>
      <c r="H832" s="935">
        <v>6</v>
      </c>
      <c r="I832" s="935" t="s">
        <v>670</v>
      </c>
      <c r="J832" s="936">
        <v>5.4015151515151496</v>
      </c>
      <c r="K832" s="936">
        <v>32.409090909090899</v>
      </c>
      <c r="L832" s="939">
        <v>0.78328981723237601</v>
      </c>
    </row>
    <row r="833" spans="1:12" hidden="1">
      <c r="A833" s="931">
        <v>12</v>
      </c>
      <c r="B833" s="1246">
        <v>46097</v>
      </c>
      <c r="C833" s="1248">
        <v>46103</v>
      </c>
      <c r="D833" s="933">
        <v>37</v>
      </c>
      <c r="E833" s="933" t="s">
        <v>751</v>
      </c>
      <c r="F833" s="933" t="s">
        <v>256</v>
      </c>
      <c r="G833" s="933">
        <v>6</v>
      </c>
      <c r="H833" s="933">
        <v>6</v>
      </c>
      <c r="I833" s="933" t="s">
        <v>670</v>
      </c>
      <c r="J833" s="934">
        <v>7.2196969696969697</v>
      </c>
      <c r="K833" s="934">
        <v>43.318181818181799</v>
      </c>
      <c r="L833" s="938">
        <v>0.78328981723237601</v>
      </c>
    </row>
    <row r="834" spans="1:12" hidden="1">
      <c r="A834" s="931">
        <v>12</v>
      </c>
      <c r="B834" s="1247">
        <v>46097</v>
      </c>
      <c r="C834" s="1249">
        <v>46103</v>
      </c>
      <c r="D834" s="935">
        <v>38</v>
      </c>
      <c r="E834" s="935" t="s">
        <v>687</v>
      </c>
      <c r="F834" s="935" t="s">
        <v>253</v>
      </c>
      <c r="G834" s="935">
        <v>6</v>
      </c>
      <c r="H834" s="935">
        <v>6</v>
      </c>
      <c r="I834" s="935" t="s">
        <v>670</v>
      </c>
      <c r="J834" s="936">
        <v>2.6818181818181799</v>
      </c>
      <c r="K834" s="936">
        <v>16.090909090909101</v>
      </c>
      <c r="L834" s="939">
        <v>0.78328981723237601</v>
      </c>
    </row>
    <row r="835" spans="1:12" hidden="1">
      <c r="A835" s="931">
        <v>12</v>
      </c>
      <c r="B835" s="1246">
        <v>46097</v>
      </c>
      <c r="C835" s="1248">
        <v>46103</v>
      </c>
      <c r="D835" s="933">
        <v>39</v>
      </c>
      <c r="E835" s="933" t="s">
        <v>794</v>
      </c>
      <c r="F835" s="933" t="s">
        <v>256</v>
      </c>
      <c r="G835" s="933">
        <v>5</v>
      </c>
      <c r="H835" s="933">
        <v>5</v>
      </c>
      <c r="I835" s="933" t="s">
        <v>670</v>
      </c>
      <c r="J835" s="934">
        <v>6.8636363636363598</v>
      </c>
      <c r="K835" s="934">
        <v>34.318181818181799</v>
      </c>
      <c r="L835" s="938">
        <v>0.65274151436031302</v>
      </c>
    </row>
    <row r="836" spans="1:12" hidden="1">
      <c r="A836" s="931">
        <v>12</v>
      </c>
      <c r="B836" s="1247">
        <v>46097</v>
      </c>
      <c r="C836" s="1249">
        <v>46103</v>
      </c>
      <c r="D836" s="935">
        <v>40</v>
      </c>
      <c r="E836" s="935" t="s">
        <v>727</v>
      </c>
      <c r="F836" s="935" t="s">
        <v>275</v>
      </c>
      <c r="G836" s="935">
        <v>5</v>
      </c>
      <c r="H836" s="935">
        <v>5</v>
      </c>
      <c r="I836" s="935" t="s">
        <v>670</v>
      </c>
      <c r="J836" s="936">
        <v>0</v>
      </c>
      <c r="K836" s="936">
        <v>0</v>
      </c>
      <c r="L836" s="939">
        <v>0.65274151436031302</v>
      </c>
    </row>
    <row r="837" spans="1:12" hidden="1">
      <c r="A837" s="931">
        <v>12</v>
      </c>
      <c r="B837" s="1246">
        <v>46097</v>
      </c>
      <c r="C837" s="1248">
        <v>46103</v>
      </c>
      <c r="D837" s="933">
        <v>41</v>
      </c>
      <c r="E837" s="933" t="s">
        <v>677</v>
      </c>
      <c r="F837" s="933" t="s">
        <v>249</v>
      </c>
      <c r="G837" s="933">
        <v>5</v>
      </c>
      <c r="H837" s="933">
        <v>5</v>
      </c>
      <c r="I837" s="933" t="s">
        <v>670</v>
      </c>
      <c r="J837" s="934">
        <v>1.77272727272727</v>
      </c>
      <c r="K837" s="934">
        <v>8.8636363636363598</v>
      </c>
      <c r="L837" s="938">
        <v>0.65274151436031302</v>
      </c>
    </row>
    <row r="838" spans="1:12" hidden="1">
      <c r="A838" s="931">
        <v>12</v>
      </c>
      <c r="B838" s="1247">
        <v>46097</v>
      </c>
      <c r="C838" s="1249">
        <v>46103</v>
      </c>
      <c r="D838" s="935">
        <v>42</v>
      </c>
      <c r="E838" s="935" t="s">
        <v>698</v>
      </c>
      <c r="F838" s="935" t="s">
        <v>249</v>
      </c>
      <c r="G838" s="935">
        <v>5</v>
      </c>
      <c r="H838" s="935">
        <v>5</v>
      </c>
      <c r="I838" s="935" t="s">
        <v>670</v>
      </c>
      <c r="J838" s="936">
        <v>2.3181818181818201</v>
      </c>
      <c r="K838" s="936">
        <v>11.590909090909101</v>
      </c>
      <c r="L838" s="939">
        <v>0.65274151436031302</v>
      </c>
    </row>
    <row r="839" spans="1:12" hidden="1">
      <c r="A839" s="931">
        <v>12</v>
      </c>
      <c r="B839" s="1246">
        <v>46097</v>
      </c>
      <c r="C839" s="1248">
        <v>46103</v>
      </c>
      <c r="D839" s="933">
        <v>43</v>
      </c>
      <c r="E839" s="933" t="s">
        <v>748</v>
      </c>
      <c r="F839" s="933" t="s">
        <v>274</v>
      </c>
      <c r="G839" s="933">
        <v>4</v>
      </c>
      <c r="H839" s="933">
        <v>4</v>
      </c>
      <c r="I839" s="933" t="s">
        <v>670</v>
      </c>
      <c r="J839" s="934">
        <v>9.0909090909090899</v>
      </c>
      <c r="K839" s="934">
        <v>36.363636363636402</v>
      </c>
      <c r="L839" s="938">
        <v>0.52219321148825104</v>
      </c>
    </row>
    <row r="840" spans="1:12" hidden="1">
      <c r="A840" s="931">
        <v>12</v>
      </c>
      <c r="B840" s="1247">
        <v>46097</v>
      </c>
      <c r="C840" s="1249">
        <v>46103</v>
      </c>
      <c r="D840" s="935">
        <v>44</v>
      </c>
      <c r="E840" s="935" t="s">
        <v>745</v>
      </c>
      <c r="F840" s="935" t="s">
        <v>275</v>
      </c>
      <c r="G840" s="935">
        <v>4</v>
      </c>
      <c r="H840" s="935">
        <v>4</v>
      </c>
      <c r="I840" s="935" t="s">
        <v>670</v>
      </c>
      <c r="J840" s="936">
        <v>4.7727272727272698</v>
      </c>
      <c r="K840" s="936">
        <v>19.090909090909101</v>
      </c>
      <c r="L840" s="939">
        <v>0.52219321148825104</v>
      </c>
    </row>
    <row r="841" spans="1:12" hidden="1">
      <c r="A841" s="931">
        <v>12</v>
      </c>
      <c r="B841" s="1246">
        <v>46097</v>
      </c>
      <c r="C841" s="1248">
        <v>46103</v>
      </c>
      <c r="D841" s="933">
        <v>45</v>
      </c>
      <c r="E841" s="933" t="s">
        <v>700</v>
      </c>
      <c r="F841" s="933" t="s">
        <v>274</v>
      </c>
      <c r="G841" s="933">
        <v>4</v>
      </c>
      <c r="H841" s="933">
        <v>4</v>
      </c>
      <c r="I841" s="933" t="s">
        <v>670</v>
      </c>
      <c r="J841" s="934">
        <v>9.0909090909090899</v>
      </c>
      <c r="K841" s="934">
        <v>36.363636363636402</v>
      </c>
      <c r="L841" s="938">
        <v>0.52219321148825104</v>
      </c>
    </row>
    <row r="842" spans="1:12" hidden="1">
      <c r="A842" s="931">
        <v>12</v>
      </c>
      <c r="B842" s="1247">
        <v>46097</v>
      </c>
      <c r="C842" s="1249">
        <v>46103</v>
      </c>
      <c r="D842" s="935">
        <v>46</v>
      </c>
      <c r="E842" s="935" t="s">
        <v>796</v>
      </c>
      <c r="F842" s="935" t="s">
        <v>282</v>
      </c>
      <c r="G842" s="935">
        <v>4</v>
      </c>
      <c r="H842" s="935">
        <v>4</v>
      </c>
      <c r="I842" s="935" t="s">
        <v>670</v>
      </c>
      <c r="J842" s="936">
        <v>10.875</v>
      </c>
      <c r="K842" s="936">
        <v>43.5</v>
      </c>
      <c r="L842" s="939">
        <v>0.52219321148825104</v>
      </c>
    </row>
    <row r="843" spans="1:12" hidden="1">
      <c r="A843" s="931">
        <v>12</v>
      </c>
      <c r="B843" s="1246">
        <v>46097</v>
      </c>
      <c r="C843" s="1248">
        <v>46103</v>
      </c>
      <c r="D843" s="933">
        <v>47</v>
      </c>
      <c r="E843" s="933" t="s">
        <v>697</v>
      </c>
      <c r="F843" s="933" t="s">
        <v>256</v>
      </c>
      <c r="G843" s="933">
        <v>4</v>
      </c>
      <c r="H843" s="933">
        <v>4</v>
      </c>
      <c r="I843" s="933" t="s">
        <v>670</v>
      </c>
      <c r="J843" s="934">
        <v>9.5681818181818201</v>
      </c>
      <c r="K843" s="934">
        <v>38.272727272727302</v>
      </c>
      <c r="L843" s="938">
        <v>0.52219321148825104</v>
      </c>
    </row>
    <row r="844" spans="1:12" hidden="1">
      <c r="A844" s="931">
        <v>12</v>
      </c>
      <c r="B844" s="1247">
        <v>46097</v>
      </c>
      <c r="C844" s="1249">
        <v>46103</v>
      </c>
      <c r="D844" s="935">
        <v>48</v>
      </c>
      <c r="E844" s="935" t="s">
        <v>711</v>
      </c>
      <c r="F844" s="935" t="s">
        <v>251</v>
      </c>
      <c r="G844" s="935">
        <v>4</v>
      </c>
      <c r="H844" s="935">
        <v>4</v>
      </c>
      <c r="I844" s="935" t="s">
        <v>670</v>
      </c>
      <c r="J844" s="936">
        <v>0</v>
      </c>
      <c r="K844" s="936">
        <v>0</v>
      </c>
      <c r="L844" s="939">
        <v>0.52219321148825104</v>
      </c>
    </row>
    <row r="845" spans="1:12" hidden="1">
      <c r="A845" s="931">
        <v>12</v>
      </c>
      <c r="B845" s="1246">
        <v>46097</v>
      </c>
      <c r="C845" s="1248">
        <v>46103</v>
      </c>
      <c r="D845" s="933">
        <v>49</v>
      </c>
      <c r="E845" s="933" t="s">
        <v>742</v>
      </c>
      <c r="F845" s="933" t="s">
        <v>251</v>
      </c>
      <c r="G845" s="933">
        <v>4</v>
      </c>
      <c r="H845" s="933">
        <v>4</v>
      </c>
      <c r="I845" s="933" t="s">
        <v>670</v>
      </c>
      <c r="J845" s="934">
        <v>3.1818181818181799</v>
      </c>
      <c r="K845" s="934">
        <v>12.7272727272727</v>
      </c>
      <c r="L845" s="938">
        <v>0.52219321148825104</v>
      </c>
    </row>
    <row r="846" spans="1:12" hidden="1">
      <c r="A846" s="931">
        <v>12</v>
      </c>
      <c r="B846" s="1247">
        <v>46097</v>
      </c>
      <c r="C846" s="1249">
        <v>46103</v>
      </c>
      <c r="D846" s="935">
        <v>50</v>
      </c>
      <c r="E846" s="935" t="s">
        <v>704</v>
      </c>
      <c r="F846" s="935" t="s">
        <v>689</v>
      </c>
      <c r="G846" s="935">
        <v>3</v>
      </c>
      <c r="H846" s="935">
        <v>3</v>
      </c>
      <c r="I846" s="935" t="s">
        <v>670</v>
      </c>
      <c r="J846" s="936">
        <v>11.7272727272727</v>
      </c>
      <c r="K846" s="936">
        <v>35.181818181818201</v>
      </c>
      <c r="L846" s="939">
        <v>0.391644908616188</v>
      </c>
    </row>
    <row r="847" spans="1:12" hidden="1">
      <c r="A847" s="931">
        <v>12</v>
      </c>
      <c r="B847" s="1246">
        <v>46097</v>
      </c>
      <c r="C847" s="1248">
        <v>46103</v>
      </c>
      <c r="D847" s="933">
        <v>51</v>
      </c>
      <c r="E847" s="933" t="s">
        <v>701</v>
      </c>
      <c r="F847" s="933" t="s">
        <v>689</v>
      </c>
      <c r="G847" s="933">
        <v>3</v>
      </c>
      <c r="H847" s="933">
        <v>3</v>
      </c>
      <c r="I847" s="933" t="s">
        <v>670</v>
      </c>
      <c r="J847" s="934">
        <v>9.9090909090909101</v>
      </c>
      <c r="K847" s="934">
        <v>29.727272727272702</v>
      </c>
      <c r="L847" s="938">
        <v>0.391644908616188</v>
      </c>
    </row>
    <row r="848" spans="1:12" hidden="1">
      <c r="A848" s="931">
        <v>12</v>
      </c>
      <c r="B848" s="1247">
        <v>46097</v>
      </c>
      <c r="C848" s="1249">
        <v>46103</v>
      </c>
      <c r="D848" s="935">
        <v>52</v>
      </c>
      <c r="E848" s="935" t="s">
        <v>723</v>
      </c>
      <c r="F848" s="935" t="s">
        <v>713</v>
      </c>
      <c r="G848" s="935">
        <v>3</v>
      </c>
      <c r="H848" s="935">
        <v>3</v>
      </c>
      <c r="I848" s="935" t="s">
        <v>670</v>
      </c>
      <c r="J848" s="936">
        <v>2.8181818181818201</v>
      </c>
      <c r="K848" s="936">
        <v>8.4545454545454497</v>
      </c>
      <c r="L848" s="939">
        <v>0.391644908616188</v>
      </c>
    </row>
    <row r="849" spans="1:12" hidden="1">
      <c r="A849" s="931">
        <v>12</v>
      </c>
      <c r="B849" s="1246">
        <v>46097</v>
      </c>
      <c r="C849" s="1248">
        <v>46103</v>
      </c>
      <c r="D849" s="933">
        <v>53</v>
      </c>
      <c r="E849" s="933" t="s">
        <v>804</v>
      </c>
      <c r="F849" s="933" t="s">
        <v>253</v>
      </c>
      <c r="G849" s="933">
        <v>3</v>
      </c>
      <c r="H849" s="933">
        <v>3</v>
      </c>
      <c r="I849" s="933" t="s">
        <v>670</v>
      </c>
      <c r="J849" s="934">
        <v>2.8181818181818201</v>
      </c>
      <c r="K849" s="934">
        <v>8.4545454545454497</v>
      </c>
      <c r="L849" s="938">
        <v>0.391644908616188</v>
      </c>
    </row>
    <row r="850" spans="1:12" hidden="1">
      <c r="A850" s="931">
        <v>12</v>
      </c>
      <c r="B850" s="1247">
        <v>46097</v>
      </c>
      <c r="C850" s="1249">
        <v>46103</v>
      </c>
      <c r="D850" s="935">
        <v>54</v>
      </c>
      <c r="E850" s="935" t="s">
        <v>696</v>
      </c>
      <c r="F850" s="935" t="s">
        <v>323</v>
      </c>
      <c r="G850" s="935">
        <v>3</v>
      </c>
      <c r="H850" s="935">
        <v>3</v>
      </c>
      <c r="I850" s="935" t="s">
        <v>670</v>
      </c>
      <c r="J850" s="936">
        <v>10.9848484848485</v>
      </c>
      <c r="K850" s="936">
        <v>32.954545454545503</v>
      </c>
      <c r="L850" s="939">
        <v>0.391644908616188</v>
      </c>
    </row>
    <row r="851" spans="1:12" hidden="1">
      <c r="A851" s="931">
        <v>12</v>
      </c>
      <c r="B851" s="1246">
        <v>46097</v>
      </c>
      <c r="C851" s="1248">
        <v>46103</v>
      </c>
      <c r="D851" s="933">
        <v>55</v>
      </c>
      <c r="E851" s="933" t="s">
        <v>737</v>
      </c>
      <c r="F851" s="933" t="s">
        <v>249</v>
      </c>
      <c r="G851" s="933">
        <v>3</v>
      </c>
      <c r="H851" s="933">
        <v>3</v>
      </c>
      <c r="I851" s="933" t="s">
        <v>670</v>
      </c>
      <c r="J851" s="934">
        <v>1.5454545454545401</v>
      </c>
      <c r="K851" s="934">
        <v>4.6363636363636402</v>
      </c>
      <c r="L851" s="938">
        <v>0.391644908616188</v>
      </c>
    </row>
    <row r="852" spans="1:12" hidden="1">
      <c r="A852" s="931">
        <v>12</v>
      </c>
      <c r="B852" s="1247">
        <v>46097</v>
      </c>
      <c r="C852" s="1249">
        <v>46103</v>
      </c>
      <c r="D852" s="935">
        <v>56</v>
      </c>
      <c r="E852" s="935" t="s">
        <v>690</v>
      </c>
      <c r="F852" s="935" t="s">
        <v>275</v>
      </c>
      <c r="G852" s="935">
        <v>3</v>
      </c>
      <c r="H852" s="935">
        <v>3</v>
      </c>
      <c r="I852" s="935" t="s">
        <v>670</v>
      </c>
      <c r="J852" s="936">
        <v>5.60606060606061</v>
      </c>
      <c r="K852" s="936">
        <v>16.818181818181799</v>
      </c>
      <c r="L852" s="939">
        <v>0.391644908616188</v>
      </c>
    </row>
    <row r="853" spans="1:12" hidden="1">
      <c r="A853" s="931">
        <v>12</v>
      </c>
      <c r="B853" s="1246">
        <v>46097</v>
      </c>
      <c r="C853" s="1248">
        <v>46103</v>
      </c>
      <c r="D853" s="933">
        <v>57</v>
      </c>
      <c r="E853" s="933" t="s">
        <v>683</v>
      </c>
      <c r="F853" s="933" t="s">
        <v>274</v>
      </c>
      <c r="G853" s="933">
        <v>3</v>
      </c>
      <c r="H853" s="933">
        <v>3</v>
      </c>
      <c r="I853" s="933" t="s">
        <v>670</v>
      </c>
      <c r="J853" s="934">
        <v>10.9848484848485</v>
      </c>
      <c r="K853" s="934">
        <v>32.954545454545503</v>
      </c>
      <c r="L853" s="938">
        <v>0.391644908616188</v>
      </c>
    </row>
    <row r="854" spans="1:12" hidden="1">
      <c r="A854" s="931">
        <v>12</v>
      </c>
      <c r="B854" s="1247">
        <v>46097</v>
      </c>
      <c r="C854" s="1249">
        <v>46103</v>
      </c>
      <c r="D854" s="935">
        <v>58</v>
      </c>
      <c r="E854" s="935" t="s">
        <v>763</v>
      </c>
      <c r="F854" s="935" t="s">
        <v>764</v>
      </c>
      <c r="G854" s="935">
        <v>3</v>
      </c>
      <c r="H854" s="935">
        <v>3</v>
      </c>
      <c r="I854" s="935" t="s">
        <v>670</v>
      </c>
      <c r="J854" s="936">
        <v>10.4545454545454</v>
      </c>
      <c r="K854" s="936">
        <v>31.363636363636399</v>
      </c>
      <c r="L854" s="939">
        <v>0.391644908616188</v>
      </c>
    </row>
    <row r="855" spans="1:12" hidden="1">
      <c r="A855" s="931">
        <v>12</v>
      </c>
      <c r="B855" s="1246">
        <v>46097</v>
      </c>
      <c r="C855" s="1248">
        <v>46103</v>
      </c>
      <c r="D855" s="933">
        <v>59</v>
      </c>
      <c r="E855" s="933" t="s">
        <v>739</v>
      </c>
      <c r="F855" s="933" t="s">
        <v>730</v>
      </c>
      <c r="G855" s="933">
        <v>3</v>
      </c>
      <c r="H855" s="933">
        <v>3</v>
      </c>
      <c r="I855" s="933" t="s">
        <v>670</v>
      </c>
      <c r="J855" s="934">
        <v>5.3181818181818201</v>
      </c>
      <c r="K855" s="934">
        <v>15.9545454545454</v>
      </c>
      <c r="L855" s="938">
        <v>0.391644908616188</v>
      </c>
    </row>
    <row r="856" spans="1:12" hidden="1">
      <c r="A856" s="931">
        <v>12</v>
      </c>
      <c r="B856" s="1247">
        <v>46097</v>
      </c>
      <c r="C856" s="1249">
        <v>46103</v>
      </c>
      <c r="D856" s="935">
        <v>60</v>
      </c>
      <c r="E856" s="935" t="s">
        <v>735</v>
      </c>
      <c r="F856" s="935" t="s">
        <v>730</v>
      </c>
      <c r="G856" s="935">
        <v>2</v>
      </c>
      <c r="H856" s="935">
        <v>2</v>
      </c>
      <c r="I856" s="935" t="s">
        <v>670</v>
      </c>
      <c r="J856" s="936">
        <v>2.8181818181818201</v>
      </c>
      <c r="K856" s="936">
        <v>5.6363636363636402</v>
      </c>
      <c r="L856" s="939">
        <v>0.26109660574412502</v>
      </c>
    </row>
    <row r="857" spans="1:12" hidden="1">
      <c r="A857" s="931">
        <v>12</v>
      </c>
      <c r="B857" s="1246">
        <v>46097</v>
      </c>
      <c r="C857" s="1248">
        <v>46103</v>
      </c>
      <c r="D857" s="933">
        <v>61</v>
      </c>
      <c r="E857" s="933" t="s">
        <v>715</v>
      </c>
      <c r="F857" s="933" t="s">
        <v>693</v>
      </c>
      <c r="G857" s="933">
        <v>2</v>
      </c>
      <c r="H857" s="933">
        <v>2</v>
      </c>
      <c r="I857" s="933" t="s">
        <v>670</v>
      </c>
      <c r="J857" s="934">
        <v>0</v>
      </c>
      <c r="K857" s="934">
        <v>0</v>
      </c>
      <c r="L857" s="938">
        <v>0.26109660574412502</v>
      </c>
    </row>
    <row r="858" spans="1:12" hidden="1">
      <c r="A858" s="931">
        <v>12</v>
      </c>
      <c r="B858" s="1247">
        <v>46097</v>
      </c>
      <c r="C858" s="1249">
        <v>46103</v>
      </c>
      <c r="D858" s="935">
        <v>62</v>
      </c>
      <c r="E858" s="935" t="s">
        <v>722</v>
      </c>
      <c r="F858" s="935" t="s">
        <v>251</v>
      </c>
      <c r="G858" s="935">
        <v>2</v>
      </c>
      <c r="H858" s="935">
        <v>2</v>
      </c>
      <c r="I858" s="935" t="s">
        <v>670</v>
      </c>
      <c r="J858" s="936">
        <v>2.4772727272727302</v>
      </c>
      <c r="K858" s="936">
        <v>4.9545454545454497</v>
      </c>
      <c r="L858" s="939">
        <v>0.26109660574412502</v>
      </c>
    </row>
    <row r="859" spans="1:12" hidden="1">
      <c r="A859" s="931">
        <v>12</v>
      </c>
      <c r="B859" s="1246">
        <v>46097</v>
      </c>
      <c r="C859" s="1248">
        <v>46103</v>
      </c>
      <c r="D859" s="933">
        <v>63</v>
      </c>
      <c r="E859" s="933" t="s">
        <v>746</v>
      </c>
      <c r="F859" s="933" t="s">
        <v>251</v>
      </c>
      <c r="G859" s="933">
        <v>2</v>
      </c>
      <c r="H859" s="933">
        <v>2</v>
      </c>
      <c r="I859" s="933" t="s">
        <v>670</v>
      </c>
      <c r="J859" s="934">
        <v>2.1363636363636398</v>
      </c>
      <c r="K859" s="934">
        <v>4.2727272727272698</v>
      </c>
      <c r="L859" s="938">
        <v>0.26109660574412502</v>
      </c>
    </row>
    <row r="860" spans="1:12" hidden="1">
      <c r="A860" s="931">
        <v>12</v>
      </c>
      <c r="B860" s="1247">
        <v>46097</v>
      </c>
      <c r="C860" s="1249">
        <v>46103</v>
      </c>
      <c r="D860" s="935">
        <v>64</v>
      </c>
      <c r="E860" s="935" t="s">
        <v>760</v>
      </c>
      <c r="F860" s="935" t="s">
        <v>253</v>
      </c>
      <c r="G860" s="935">
        <v>2</v>
      </c>
      <c r="H860" s="935">
        <v>2</v>
      </c>
      <c r="I860" s="935" t="s">
        <v>672</v>
      </c>
      <c r="J860" s="936">
        <v>0</v>
      </c>
      <c r="K860" s="936">
        <v>0</v>
      </c>
      <c r="L860" s="939">
        <v>0.26109660574412502</v>
      </c>
    </row>
    <row r="861" spans="1:12" hidden="1">
      <c r="A861" s="931">
        <v>12</v>
      </c>
      <c r="B861" s="1246">
        <v>46097</v>
      </c>
      <c r="C861" s="1248">
        <v>46103</v>
      </c>
      <c r="D861" s="933">
        <v>65</v>
      </c>
      <c r="E861" s="933" t="s">
        <v>706</v>
      </c>
      <c r="F861" s="933" t="s">
        <v>256</v>
      </c>
      <c r="G861" s="933">
        <v>2</v>
      </c>
      <c r="H861" s="933">
        <v>2</v>
      </c>
      <c r="I861" s="933" t="s">
        <v>670</v>
      </c>
      <c r="J861" s="934">
        <v>12.7272727272727</v>
      </c>
      <c r="K861" s="934">
        <v>25.4545454545454</v>
      </c>
      <c r="L861" s="938">
        <v>0.26109660574412502</v>
      </c>
    </row>
    <row r="862" spans="1:12" hidden="1">
      <c r="A862" s="931">
        <v>12</v>
      </c>
      <c r="B862" s="1247">
        <v>46097</v>
      </c>
      <c r="C862" s="1249">
        <v>46103</v>
      </c>
      <c r="D862" s="935">
        <v>66</v>
      </c>
      <c r="E862" s="935" t="s">
        <v>761</v>
      </c>
      <c r="F862" s="935" t="s">
        <v>730</v>
      </c>
      <c r="G862" s="935">
        <v>2</v>
      </c>
      <c r="H862" s="935">
        <v>2</v>
      </c>
      <c r="I862" s="935" t="s">
        <v>670</v>
      </c>
      <c r="J862" s="936">
        <v>2.8181818181818201</v>
      </c>
      <c r="K862" s="936">
        <v>5.6363636363636402</v>
      </c>
      <c r="L862" s="939">
        <v>0.26109660574412502</v>
      </c>
    </row>
    <row r="863" spans="1:12" hidden="1">
      <c r="A863" s="931">
        <v>12</v>
      </c>
      <c r="B863" s="1246">
        <v>46097</v>
      </c>
      <c r="C863" s="1248">
        <v>46103</v>
      </c>
      <c r="D863" s="933">
        <v>67</v>
      </c>
      <c r="E863" s="933" t="s">
        <v>728</v>
      </c>
      <c r="F863" s="933" t="s">
        <v>695</v>
      </c>
      <c r="G863" s="933">
        <v>2</v>
      </c>
      <c r="H863" s="933">
        <v>2</v>
      </c>
      <c r="I863" s="933" t="s">
        <v>670</v>
      </c>
      <c r="J863" s="934">
        <v>8.0909090909090899</v>
      </c>
      <c r="K863" s="934">
        <v>16.181818181818201</v>
      </c>
      <c r="L863" s="938">
        <v>0.26109660574412502</v>
      </c>
    </row>
    <row r="864" spans="1:12" hidden="1">
      <c r="A864" s="931">
        <v>12</v>
      </c>
      <c r="B864" s="1247">
        <v>46097</v>
      </c>
      <c r="C864" s="1249">
        <v>46103</v>
      </c>
      <c r="D864" s="935">
        <v>68</v>
      </c>
      <c r="E864" s="935" t="s">
        <v>743</v>
      </c>
      <c r="F864" s="935" t="s">
        <v>251</v>
      </c>
      <c r="G864" s="935">
        <v>2</v>
      </c>
      <c r="H864" s="935">
        <v>2</v>
      </c>
      <c r="I864" s="935" t="s">
        <v>670</v>
      </c>
      <c r="J864" s="936">
        <v>2.5454545454545401</v>
      </c>
      <c r="K864" s="936">
        <v>5.0909090909090899</v>
      </c>
      <c r="L864" s="939">
        <v>0.26109660574412502</v>
      </c>
    </row>
    <row r="865" spans="1:12" hidden="1">
      <c r="A865" s="931">
        <v>12</v>
      </c>
      <c r="B865" s="1246">
        <v>46097</v>
      </c>
      <c r="C865" s="1248">
        <v>46103</v>
      </c>
      <c r="D865" s="933">
        <v>69</v>
      </c>
      <c r="E865" s="933" t="s">
        <v>699</v>
      </c>
      <c r="F865" s="933" t="s">
        <v>249</v>
      </c>
      <c r="G865" s="933">
        <v>2</v>
      </c>
      <c r="H865" s="933">
        <v>2</v>
      </c>
      <c r="I865" s="933" t="s">
        <v>670</v>
      </c>
      <c r="J865" s="934">
        <v>0</v>
      </c>
      <c r="K865" s="934">
        <v>0</v>
      </c>
      <c r="L865" s="938">
        <v>0.26109660574412502</v>
      </c>
    </row>
    <row r="866" spans="1:12" hidden="1">
      <c r="A866" s="931">
        <v>12</v>
      </c>
      <c r="B866" s="1247">
        <v>46097</v>
      </c>
      <c r="C866" s="1249">
        <v>46103</v>
      </c>
      <c r="D866" s="935">
        <v>70</v>
      </c>
      <c r="E866" s="935" t="s">
        <v>752</v>
      </c>
      <c r="F866" s="935" t="s">
        <v>264</v>
      </c>
      <c r="G866" s="935">
        <v>2</v>
      </c>
      <c r="H866" s="935">
        <v>2</v>
      </c>
      <c r="I866" s="935" t="s">
        <v>670</v>
      </c>
      <c r="J866" s="936">
        <v>1.4545454545454599</v>
      </c>
      <c r="K866" s="936">
        <v>2.9090909090909101</v>
      </c>
      <c r="L866" s="939">
        <v>0.26109660574412502</v>
      </c>
    </row>
    <row r="867" spans="1:12" hidden="1">
      <c r="A867" s="931">
        <v>12</v>
      </c>
      <c r="B867" s="1246">
        <v>46097</v>
      </c>
      <c r="C867" s="1248">
        <v>46103</v>
      </c>
      <c r="D867" s="933">
        <v>71</v>
      </c>
      <c r="E867" s="933" t="s">
        <v>826</v>
      </c>
      <c r="F867" s="933" t="s">
        <v>253</v>
      </c>
      <c r="G867" s="933">
        <v>2</v>
      </c>
      <c r="H867" s="933">
        <v>2</v>
      </c>
      <c r="I867" s="933" t="s">
        <v>670</v>
      </c>
      <c r="J867" s="934">
        <v>2.0454545454545401</v>
      </c>
      <c r="K867" s="934">
        <v>4.0909090909090899</v>
      </c>
      <c r="L867" s="938">
        <v>0.26109660574412502</v>
      </c>
    </row>
    <row r="868" spans="1:12" hidden="1">
      <c r="A868" s="931">
        <v>12</v>
      </c>
      <c r="B868" s="1247">
        <v>46097</v>
      </c>
      <c r="C868" s="1249">
        <v>46103</v>
      </c>
      <c r="D868" s="935">
        <v>72</v>
      </c>
      <c r="E868" s="935" t="s">
        <v>694</v>
      </c>
      <c r="F868" s="935" t="s">
        <v>695</v>
      </c>
      <c r="G868" s="935">
        <v>2</v>
      </c>
      <c r="H868" s="935">
        <v>2</v>
      </c>
      <c r="I868" s="935" t="s">
        <v>670</v>
      </c>
      <c r="J868" s="936">
        <v>3.8636363636363602</v>
      </c>
      <c r="K868" s="936">
        <v>7.7272727272727302</v>
      </c>
      <c r="L868" s="939">
        <v>0.26109660574412502</v>
      </c>
    </row>
    <row r="869" spans="1:12" hidden="1">
      <c r="A869" s="931">
        <v>12</v>
      </c>
      <c r="B869" s="1246">
        <v>46097</v>
      </c>
      <c r="C869" s="1248">
        <v>46103</v>
      </c>
      <c r="D869" s="933">
        <v>73</v>
      </c>
      <c r="E869" s="933" t="s">
        <v>709</v>
      </c>
      <c r="F869" s="933" t="s">
        <v>276</v>
      </c>
      <c r="G869" s="933">
        <v>2</v>
      </c>
      <c r="H869" s="933">
        <v>2</v>
      </c>
      <c r="I869" s="933" t="s">
        <v>672</v>
      </c>
      <c r="J869" s="934">
        <v>3.3636363636363602</v>
      </c>
      <c r="K869" s="934">
        <v>6.7272727272727302</v>
      </c>
      <c r="L869" s="938">
        <v>0.26109660574412502</v>
      </c>
    </row>
    <row r="870" spans="1:12" hidden="1">
      <c r="A870" s="931">
        <v>12</v>
      </c>
      <c r="B870" s="1247">
        <v>46097</v>
      </c>
      <c r="C870" s="1249">
        <v>46103</v>
      </c>
      <c r="D870" s="935">
        <v>74</v>
      </c>
      <c r="E870" s="935" t="s">
        <v>755</v>
      </c>
      <c r="F870" s="935" t="s">
        <v>251</v>
      </c>
      <c r="G870" s="935">
        <v>2</v>
      </c>
      <c r="H870" s="935">
        <v>2</v>
      </c>
      <c r="I870" s="935" t="s">
        <v>670</v>
      </c>
      <c r="J870" s="936">
        <v>2.4090909090909101</v>
      </c>
      <c r="K870" s="936">
        <v>4.8181818181818201</v>
      </c>
      <c r="L870" s="939">
        <v>0.26109660574412502</v>
      </c>
    </row>
    <row r="871" spans="1:12" hidden="1">
      <c r="A871" s="931">
        <v>12</v>
      </c>
      <c r="B871" s="1246">
        <v>46097</v>
      </c>
      <c r="C871" s="1248">
        <v>46103</v>
      </c>
      <c r="D871" s="933">
        <v>75</v>
      </c>
      <c r="E871" s="933" t="s">
        <v>766</v>
      </c>
      <c r="F871" s="933" t="s">
        <v>253</v>
      </c>
      <c r="G871" s="933">
        <v>2</v>
      </c>
      <c r="H871" s="933">
        <v>2</v>
      </c>
      <c r="I871" s="933" t="s">
        <v>672</v>
      </c>
      <c r="J871" s="934">
        <v>0.90909090909090895</v>
      </c>
      <c r="K871" s="934">
        <v>1.8181818181818199</v>
      </c>
      <c r="L871" s="938">
        <v>0.26109660574412502</v>
      </c>
    </row>
    <row r="872" spans="1:12" hidden="1">
      <c r="A872" s="931">
        <v>12</v>
      </c>
      <c r="B872" s="1247">
        <v>46097</v>
      </c>
      <c r="C872" s="1249">
        <v>46103</v>
      </c>
      <c r="D872" s="935">
        <v>76</v>
      </c>
      <c r="E872" s="935" t="s">
        <v>797</v>
      </c>
      <c r="F872" s="935" t="s">
        <v>253</v>
      </c>
      <c r="G872" s="935">
        <v>2</v>
      </c>
      <c r="H872" s="935">
        <v>2</v>
      </c>
      <c r="I872" s="935" t="s">
        <v>670</v>
      </c>
      <c r="J872" s="936">
        <v>3.1818181818181799</v>
      </c>
      <c r="K872" s="936">
        <v>6.3636363636363598</v>
      </c>
      <c r="L872" s="939">
        <v>0.26109660574412502</v>
      </c>
    </row>
    <row r="873" spans="1:12" hidden="1">
      <c r="A873" s="931">
        <v>12</v>
      </c>
      <c r="B873" s="1246">
        <v>46097</v>
      </c>
      <c r="C873" s="1248">
        <v>46103</v>
      </c>
      <c r="D873" s="933">
        <v>77</v>
      </c>
      <c r="E873" s="933" t="s">
        <v>827</v>
      </c>
      <c r="F873" s="933" t="s">
        <v>275</v>
      </c>
      <c r="G873" s="933">
        <v>1</v>
      </c>
      <c r="H873" s="933">
        <v>1</v>
      </c>
      <c r="I873" s="933" t="s">
        <v>670</v>
      </c>
      <c r="J873" s="934">
        <v>0</v>
      </c>
      <c r="K873" s="934">
        <v>0</v>
      </c>
      <c r="L873" s="938">
        <v>0.13054830287206301</v>
      </c>
    </row>
    <row r="874" spans="1:12" hidden="1">
      <c r="A874" s="931">
        <v>12</v>
      </c>
      <c r="B874" s="1247">
        <v>46097</v>
      </c>
      <c r="C874" s="1249">
        <v>46103</v>
      </c>
      <c r="D874" s="935">
        <v>78</v>
      </c>
      <c r="E874" s="935" t="s">
        <v>731</v>
      </c>
      <c r="F874" s="935" t="s">
        <v>251</v>
      </c>
      <c r="G874" s="935">
        <v>1</v>
      </c>
      <c r="H874" s="935">
        <v>1</v>
      </c>
      <c r="I874" s="935" t="s">
        <v>670</v>
      </c>
      <c r="J874" s="936">
        <v>2.4090909090909101</v>
      </c>
      <c r="K874" s="936">
        <v>2.4090909090909101</v>
      </c>
      <c r="L874" s="939">
        <v>0.13054830287206301</v>
      </c>
    </row>
    <row r="875" spans="1:12" hidden="1">
      <c r="A875" s="931">
        <v>12</v>
      </c>
      <c r="B875" s="1246">
        <v>46097</v>
      </c>
      <c r="C875" s="1248">
        <v>46103</v>
      </c>
      <c r="D875" s="933">
        <v>79</v>
      </c>
      <c r="E875" s="933" t="s">
        <v>765</v>
      </c>
      <c r="F875" s="933" t="s">
        <v>256</v>
      </c>
      <c r="G875" s="933">
        <v>1</v>
      </c>
      <c r="H875" s="933">
        <v>1</v>
      </c>
      <c r="I875" s="933" t="s">
        <v>670</v>
      </c>
      <c r="J875" s="934">
        <v>3.5</v>
      </c>
      <c r="K875" s="934">
        <v>3.5</v>
      </c>
      <c r="L875" s="938">
        <v>0.13054830287206301</v>
      </c>
    </row>
    <row r="876" spans="1:12" hidden="1">
      <c r="A876" s="931">
        <v>12</v>
      </c>
      <c r="B876" s="1247">
        <v>46097</v>
      </c>
      <c r="C876" s="1249">
        <v>46103</v>
      </c>
      <c r="D876" s="935">
        <v>80</v>
      </c>
      <c r="E876" s="935" t="s">
        <v>787</v>
      </c>
      <c r="F876" s="935" t="s">
        <v>713</v>
      </c>
      <c r="G876" s="935">
        <v>1</v>
      </c>
      <c r="H876" s="935">
        <v>1</v>
      </c>
      <c r="I876" s="935" t="s">
        <v>670</v>
      </c>
      <c r="J876" s="936">
        <v>4.3181818181818201</v>
      </c>
      <c r="K876" s="936">
        <v>4.3181818181818201</v>
      </c>
      <c r="L876" s="939">
        <v>0.13054830287206301</v>
      </c>
    </row>
    <row r="877" spans="1:12" hidden="1">
      <c r="A877" s="931">
        <v>12</v>
      </c>
      <c r="B877" s="1246">
        <v>46097</v>
      </c>
      <c r="C877" s="1248">
        <v>46103</v>
      </c>
      <c r="D877" s="933">
        <v>81</v>
      </c>
      <c r="E877" s="933" t="s">
        <v>733</v>
      </c>
      <c r="F877" s="933" t="s">
        <v>253</v>
      </c>
      <c r="G877" s="933">
        <v>1</v>
      </c>
      <c r="H877" s="933">
        <v>1</v>
      </c>
      <c r="I877" s="933" t="s">
        <v>670</v>
      </c>
      <c r="J877" s="934">
        <v>4.4090909090909101</v>
      </c>
      <c r="K877" s="934">
        <v>4.4090909090909101</v>
      </c>
      <c r="L877" s="938">
        <v>0.13054830287206301</v>
      </c>
    </row>
    <row r="878" spans="1:12" hidden="1">
      <c r="A878" s="931">
        <v>12</v>
      </c>
      <c r="B878" s="1247">
        <v>46097</v>
      </c>
      <c r="C878" s="1249">
        <v>46103</v>
      </c>
      <c r="D878" s="935">
        <v>82</v>
      </c>
      <c r="E878" s="935" t="s">
        <v>828</v>
      </c>
      <c r="F878" s="935" t="s">
        <v>820</v>
      </c>
      <c r="G878" s="935">
        <v>1</v>
      </c>
      <c r="H878" s="935">
        <v>1</v>
      </c>
      <c r="I878" s="935" t="s">
        <v>670</v>
      </c>
      <c r="J878" s="936">
        <v>7.4090909090909101</v>
      </c>
      <c r="K878" s="936">
        <v>7.4090909090909101</v>
      </c>
      <c r="L878" s="939">
        <v>0.13054830287206301</v>
      </c>
    </row>
    <row r="879" spans="1:12" hidden="1">
      <c r="A879" s="931">
        <v>12</v>
      </c>
      <c r="B879" s="1246">
        <v>46097</v>
      </c>
      <c r="C879" s="1248">
        <v>46103</v>
      </c>
      <c r="D879" s="933">
        <v>83</v>
      </c>
      <c r="E879" s="933" t="s">
        <v>732</v>
      </c>
      <c r="F879" s="933" t="s">
        <v>695</v>
      </c>
      <c r="G879" s="933">
        <v>1</v>
      </c>
      <c r="H879" s="933">
        <v>1</v>
      </c>
      <c r="I879" s="933" t="s">
        <v>670</v>
      </c>
      <c r="J879" s="934">
        <v>8.0909090909090899</v>
      </c>
      <c r="K879" s="934">
        <v>8.0909090909090899</v>
      </c>
      <c r="L879" s="938">
        <v>0.13054830287206301</v>
      </c>
    </row>
    <row r="880" spans="1:12" hidden="1">
      <c r="A880" s="931">
        <v>12</v>
      </c>
      <c r="B880" s="1247">
        <v>46097</v>
      </c>
      <c r="C880" s="1249">
        <v>46103</v>
      </c>
      <c r="D880" s="935">
        <v>84</v>
      </c>
      <c r="E880" s="935" t="s">
        <v>829</v>
      </c>
      <c r="F880" s="935" t="s">
        <v>820</v>
      </c>
      <c r="G880" s="935">
        <v>1</v>
      </c>
      <c r="H880" s="935">
        <v>1</v>
      </c>
      <c r="I880" s="935" t="s">
        <v>670</v>
      </c>
      <c r="J880" s="936">
        <v>7.9090909090909101</v>
      </c>
      <c r="K880" s="936">
        <v>7.9090909090909101</v>
      </c>
      <c r="L880" s="939">
        <v>0.13054830287206301</v>
      </c>
    </row>
    <row r="881" spans="1:12" hidden="1">
      <c r="A881" s="931">
        <v>12</v>
      </c>
      <c r="B881" s="1246">
        <v>46097</v>
      </c>
      <c r="C881" s="1248">
        <v>46103</v>
      </c>
      <c r="D881" s="933">
        <v>85</v>
      </c>
      <c r="E881" s="933" t="s">
        <v>783</v>
      </c>
      <c r="F881" s="933" t="s">
        <v>764</v>
      </c>
      <c r="G881" s="933">
        <v>1</v>
      </c>
      <c r="H881" s="933">
        <v>1</v>
      </c>
      <c r="I881" s="933" t="s">
        <v>670</v>
      </c>
      <c r="J881" s="934">
        <v>9.0909090909090899</v>
      </c>
      <c r="K881" s="934">
        <v>9.0909090909090899</v>
      </c>
      <c r="L881" s="938">
        <v>0.13054830287206301</v>
      </c>
    </row>
    <row r="882" spans="1:12" hidden="1">
      <c r="A882" s="931">
        <v>12</v>
      </c>
      <c r="B882" s="1247">
        <v>46097</v>
      </c>
      <c r="C882" s="1249">
        <v>46103</v>
      </c>
      <c r="D882" s="935">
        <v>86</v>
      </c>
      <c r="E882" s="935" t="s">
        <v>705</v>
      </c>
      <c r="F882" s="935" t="s">
        <v>274</v>
      </c>
      <c r="G882" s="935">
        <v>1</v>
      </c>
      <c r="H882" s="935">
        <v>1</v>
      </c>
      <c r="I882" s="935" t="s">
        <v>670</v>
      </c>
      <c r="J882" s="936">
        <v>9.0909090909090899</v>
      </c>
      <c r="K882" s="936">
        <v>9.0909090909090899</v>
      </c>
      <c r="L882" s="939">
        <v>0.13054830287206301</v>
      </c>
    </row>
    <row r="883" spans="1:12" hidden="1">
      <c r="A883" s="931">
        <v>12</v>
      </c>
      <c r="B883" s="1246">
        <v>46097</v>
      </c>
      <c r="C883" s="1248">
        <v>46103</v>
      </c>
      <c r="D883" s="933">
        <v>87</v>
      </c>
      <c r="E883" s="933" t="s">
        <v>710</v>
      </c>
      <c r="F883" s="933" t="s">
        <v>249</v>
      </c>
      <c r="G883" s="933">
        <v>1</v>
      </c>
      <c r="H883" s="933">
        <v>1</v>
      </c>
      <c r="I883" s="933" t="s">
        <v>670</v>
      </c>
      <c r="J883" s="934">
        <v>2.4090909090909101</v>
      </c>
      <c r="K883" s="934">
        <v>2.4090909090909101</v>
      </c>
      <c r="L883" s="938">
        <v>0.13054830287206301</v>
      </c>
    </row>
    <row r="884" spans="1:12" hidden="1">
      <c r="A884" s="931">
        <v>12</v>
      </c>
      <c r="B884" s="1247">
        <v>46097</v>
      </c>
      <c r="C884" s="1249">
        <v>46103</v>
      </c>
      <c r="D884" s="935">
        <v>88</v>
      </c>
      <c r="E884" s="935" t="s">
        <v>830</v>
      </c>
      <c r="F884" s="935" t="s">
        <v>820</v>
      </c>
      <c r="G884" s="935">
        <v>1</v>
      </c>
      <c r="H884" s="935">
        <v>1</v>
      </c>
      <c r="I884" s="935" t="s">
        <v>670</v>
      </c>
      <c r="J884" s="936">
        <v>7.9090909090909101</v>
      </c>
      <c r="K884" s="936">
        <v>7.9090909090909101</v>
      </c>
      <c r="L884" s="939">
        <v>0.13054830287206301</v>
      </c>
    </row>
    <row r="885" spans="1:12" hidden="1">
      <c r="A885" s="931">
        <v>12</v>
      </c>
      <c r="B885" s="1246">
        <v>46097</v>
      </c>
      <c r="C885" s="1248">
        <v>46103</v>
      </c>
      <c r="D885" s="933">
        <v>89</v>
      </c>
      <c r="E885" s="933" t="s">
        <v>814</v>
      </c>
      <c r="F885" s="933" t="s">
        <v>815</v>
      </c>
      <c r="G885" s="933">
        <v>1</v>
      </c>
      <c r="H885" s="933">
        <v>1</v>
      </c>
      <c r="I885" s="933" t="s">
        <v>670</v>
      </c>
      <c r="J885" s="934">
        <v>4.9090909090909101</v>
      </c>
      <c r="K885" s="934">
        <v>4.9090909090909101</v>
      </c>
      <c r="L885" s="938">
        <v>0.13054830287206301</v>
      </c>
    </row>
    <row r="886" spans="1:12" hidden="1">
      <c r="A886" s="931">
        <v>12</v>
      </c>
      <c r="B886" s="1247">
        <v>46097</v>
      </c>
      <c r="C886" s="1249">
        <v>46103</v>
      </c>
      <c r="D886" s="935">
        <v>90</v>
      </c>
      <c r="E886" s="935" t="s">
        <v>772</v>
      </c>
      <c r="F886" s="935" t="s">
        <v>730</v>
      </c>
      <c r="G886" s="935">
        <v>1</v>
      </c>
      <c r="H886" s="935">
        <v>1</v>
      </c>
      <c r="I886" s="935" t="s">
        <v>670</v>
      </c>
      <c r="J886" s="936">
        <v>2.9545454545454501</v>
      </c>
      <c r="K886" s="936">
        <v>2.9545454545454501</v>
      </c>
      <c r="L886" s="939">
        <v>0.13054830287206301</v>
      </c>
    </row>
    <row r="887" spans="1:12" hidden="1">
      <c r="A887" s="931">
        <v>12</v>
      </c>
      <c r="B887" s="1246">
        <v>46097</v>
      </c>
      <c r="C887" s="1248">
        <v>46103</v>
      </c>
      <c r="D887" s="933">
        <v>91</v>
      </c>
      <c r="E887" s="933" t="s">
        <v>781</v>
      </c>
      <c r="F887" s="933" t="s">
        <v>764</v>
      </c>
      <c r="G887" s="933">
        <v>1</v>
      </c>
      <c r="H887" s="933">
        <v>1</v>
      </c>
      <c r="I887" s="933" t="s">
        <v>670</v>
      </c>
      <c r="J887" s="934">
        <v>14.4545454545454</v>
      </c>
      <c r="K887" s="934">
        <v>14.4545454545454</v>
      </c>
      <c r="L887" s="938">
        <v>0.13054830287206301</v>
      </c>
    </row>
    <row r="888" spans="1:12" hidden="1">
      <c r="A888" s="931">
        <v>12</v>
      </c>
      <c r="B888" s="1247">
        <v>46097</v>
      </c>
      <c r="C888" s="1249">
        <v>46103</v>
      </c>
      <c r="D888" s="935">
        <v>92</v>
      </c>
      <c r="E888" s="935" t="s">
        <v>798</v>
      </c>
      <c r="F888" s="935" t="s">
        <v>713</v>
      </c>
      <c r="G888" s="935">
        <v>1</v>
      </c>
      <c r="H888" s="935">
        <v>1</v>
      </c>
      <c r="I888" s="935" t="s">
        <v>670</v>
      </c>
      <c r="J888" s="936">
        <v>5.4090909090909101</v>
      </c>
      <c r="K888" s="936">
        <v>5.4090909090909101</v>
      </c>
      <c r="L888" s="939">
        <v>0.13054830287206301</v>
      </c>
    </row>
    <row r="889" spans="1:12" hidden="1">
      <c r="A889" s="931">
        <v>12</v>
      </c>
      <c r="B889" s="1246">
        <v>46097</v>
      </c>
      <c r="C889" s="1248">
        <v>46103</v>
      </c>
      <c r="D889" s="933">
        <v>93</v>
      </c>
      <c r="E889" s="933" t="s">
        <v>702</v>
      </c>
      <c r="F889" s="933" t="s">
        <v>251</v>
      </c>
      <c r="G889" s="933">
        <v>1</v>
      </c>
      <c r="H889" s="933">
        <v>1</v>
      </c>
      <c r="I889" s="933" t="s">
        <v>670</v>
      </c>
      <c r="J889" s="934">
        <v>2.5454545454545401</v>
      </c>
      <c r="K889" s="934">
        <v>2.5454545454545401</v>
      </c>
      <c r="L889" s="938">
        <v>0.13054830287206301</v>
      </c>
    </row>
    <row r="890" spans="1:12" hidden="1">
      <c r="A890" s="931">
        <v>12</v>
      </c>
      <c r="B890" s="1247">
        <v>46097</v>
      </c>
      <c r="C890" s="1249">
        <v>46103</v>
      </c>
      <c r="D890" s="935">
        <v>94</v>
      </c>
      <c r="E890" s="935" t="s">
        <v>799</v>
      </c>
      <c r="F890" s="935" t="s">
        <v>713</v>
      </c>
      <c r="G890" s="935">
        <v>1</v>
      </c>
      <c r="H890" s="935">
        <v>1</v>
      </c>
      <c r="I890" s="935" t="s">
        <v>670</v>
      </c>
      <c r="J890" s="936">
        <v>3.1818181818181799</v>
      </c>
      <c r="K890" s="936">
        <v>3.1818181818181799</v>
      </c>
      <c r="L890" s="939">
        <v>0.13054830287206301</v>
      </c>
    </row>
    <row r="891" spans="1:12" hidden="1">
      <c r="A891" s="931">
        <v>12</v>
      </c>
      <c r="B891" s="1246">
        <v>46097</v>
      </c>
      <c r="C891" s="1248">
        <v>46103</v>
      </c>
      <c r="D891" s="933">
        <v>95</v>
      </c>
      <c r="E891" s="933" t="s">
        <v>747</v>
      </c>
      <c r="F891" s="933" t="s">
        <v>256</v>
      </c>
      <c r="G891" s="933">
        <v>1</v>
      </c>
      <c r="H891" s="933">
        <v>1</v>
      </c>
      <c r="I891" s="933" t="s">
        <v>670</v>
      </c>
      <c r="J891" s="934">
        <v>7.8636363636363598</v>
      </c>
      <c r="K891" s="934">
        <v>7.8636363636363598</v>
      </c>
      <c r="L891" s="938">
        <v>0.13054830287206301</v>
      </c>
    </row>
    <row r="892" spans="1:12" hidden="1">
      <c r="A892" s="931">
        <v>13</v>
      </c>
      <c r="B892" s="1246">
        <v>46104</v>
      </c>
      <c r="C892" s="1248">
        <v>46110</v>
      </c>
      <c r="D892" s="933">
        <v>1</v>
      </c>
      <c r="E892" s="933" t="s">
        <v>248</v>
      </c>
      <c r="F892" s="933" t="s">
        <v>249</v>
      </c>
      <c r="G892" s="933">
        <v>66</v>
      </c>
      <c r="H892" s="933">
        <v>66</v>
      </c>
      <c r="I892" s="933" t="s">
        <v>670</v>
      </c>
      <c r="J892" s="934">
        <v>1.33057851239669</v>
      </c>
      <c r="K892" s="934">
        <v>87.818181818181799</v>
      </c>
      <c r="L892" s="938">
        <v>7.1739130434782599</v>
      </c>
    </row>
    <row r="893" spans="1:12" hidden="1">
      <c r="A893" s="931">
        <v>13</v>
      </c>
      <c r="B893" s="1247">
        <v>46104</v>
      </c>
      <c r="C893" s="1249">
        <v>46110</v>
      </c>
      <c r="D893" s="935">
        <v>2</v>
      </c>
      <c r="E893" s="935" t="s">
        <v>259</v>
      </c>
      <c r="F893" s="935" t="s">
        <v>249</v>
      </c>
      <c r="G893" s="935">
        <v>60</v>
      </c>
      <c r="H893" s="935">
        <v>60</v>
      </c>
      <c r="I893" s="935" t="s">
        <v>670</v>
      </c>
      <c r="J893" s="936">
        <v>1.2643939393939401</v>
      </c>
      <c r="K893" s="936">
        <v>75.863636363636402</v>
      </c>
      <c r="L893" s="939">
        <v>6.5217391304347796</v>
      </c>
    </row>
    <row r="894" spans="1:12" hidden="1">
      <c r="A894" s="931">
        <v>13</v>
      </c>
      <c r="B894" s="1246">
        <v>46104</v>
      </c>
      <c r="C894" s="1248">
        <v>46110</v>
      </c>
      <c r="D894" s="933">
        <v>3</v>
      </c>
      <c r="E894" s="933" t="s">
        <v>790</v>
      </c>
      <c r="F894" s="933" t="s">
        <v>264</v>
      </c>
      <c r="G894" s="933">
        <v>52</v>
      </c>
      <c r="H894" s="933">
        <v>52</v>
      </c>
      <c r="I894" s="933" t="s">
        <v>670</v>
      </c>
      <c r="J894" s="934">
        <v>3.2255244755244799</v>
      </c>
      <c r="K894" s="934">
        <v>167.727272727273</v>
      </c>
      <c r="L894" s="938">
        <v>5.6521739130434803</v>
      </c>
    </row>
    <row r="895" spans="1:12" hidden="1">
      <c r="A895" s="931">
        <v>13</v>
      </c>
      <c r="B895" s="1247">
        <v>46104</v>
      </c>
      <c r="C895" s="1249">
        <v>46110</v>
      </c>
      <c r="D895" s="935">
        <v>4</v>
      </c>
      <c r="E895" s="935" t="s">
        <v>250</v>
      </c>
      <c r="F895" s="935" t="s">
        <v>251</v>
      </c>
      <c r="G895" s="935">
        <v>50</v>
      </c>
      <c r="H895" s="935">
        <v>50</v>
      </c>
      <c r="I895" s="935" t="s">
        <v>670</v>
      </c>
      <c r="J895" s="936">
        <v>1.6772727272727299</v>
      </c>
      <c r="K895" s="936">
        <v>83.863636363636303</v>
      </c>
      <c r="L895" s="939">
        <v>5.4347826086956497</v>
      </c>
    </row>
    <row r="896" spans="1:12" hidden="1">
      <c r="A896" s="931">
        <v>13</v>
      </c>
      <c r="B896" s="1246">
        <v>46104</v>
      </c>
      <c r="C896" s="1248">
        <v>46110</v>
      </c>
      <c r="D896" s="933">
        <v>5</v>
      </c>
      <c r="E896" s="933" t="s">
        <v>261</v>
      </c>
      <c r="F896" s="933" t="s">
        <v>256</v>
      </c>
      <c r="G896" s="933">
        <v>42</v>
      </c>
      <c r="H896" s="933">
        <v>42</v>
      </c>
      <c r="I896" s="933" t="s">
        <v>670</v>
      </c>
      <c r="J896" s="934">
        <v>2.4285714285714302</v>
      </c>
      <c r="K896" s="934">
        <v>102</v>
      </c>
      <c r="L896" s="938">
        <v>4.5652173913043503</v>
      </c>
    </row>
    <row r="897" spans="1:12" hidden="1">
      <c r="A897" s="931">
        <v>13</v>
      </c>
      <c r="B897" s="1247">
        <v>46104</v>
      </c>
      <c r="C897" s="1249">
        <v>46110</v>
      </c>
      <c r="D897" s="935">
        <v>6</v>
      </c>
      <c r="E897" s="935" t="s">
        <v>255</v>
      </c>
      <c r="F897" s="935" t="s">
        <v>256</v>
      </c>
      <c r="G897" s="935">
        <v>31</v>
      </c>
      <c r="H897" s="935">
        <v>31</v>
      </c>
      <c r="I897" s="935" t="s">
        <v>670</v>
      </c>
      <c r="J897" s="936">
        <v>5.1642228739002896</v>
      </c>
      <c r="K897" s="936">
        <v>160.09090909090901</v>
      </c>
      <c r="L897" s="939">
        <v>3.3695652173913002</v>
      </c>
    </row>
    <row r="898" spans="1:12" hidden="1">
      <c r="A898" s="931">
        <v>13</v>
      </c>
      <c r="B898" s="1246">
        <v>46104</v>
      </c>
      <c r="C898" s="1248">
        <v>46110</v>
      </c>
      <c r="D898" s="933">
        <v>7</v>
      </c>
      <c r="E898" s="933" t="s">
        <v>680</v>
      </c>
      <c r="F898" s="933" t="s">
        <v>251</v>
      </c>
      <c r="G898" s="933">
        <v>24</v>
      </c>
      <c r="H898" s="933">
        <v>24</v>
      </c>
      <c r="I898" s="933" t="s">
        <v>670</v>
      </c>
      <c r="J898" s="934">
        <v>2.2784090909090899</v>
      </c>
      <c r="K898" s="934">
        <v>54.681818181818201</v>
      </c>
      <c r="L898" s="938">
        <v>2.60869565217391</v>
      </c>
    </row>
    <row r="899" spans="1:12" hidden="1">
      <c r="A899" s="931">
        <v>13</v>
      </c>
      <c r="B899" s="1247">
        <v>46104</v>
      </c>
      <c r="C899" s="1249">
        <v>46110</v>
      </c>
      <c r="D899" s="935">
        <v>8</v>
      </c>
      <c r="E899" s="935" t="s">
        <v>262</v>
      </c>
      <c r="F899" s="935" t="s">
        <v>256</v>
      </c>
      <c r="G899" s="935">
        <v>24</v>
      </c>
      <c r="H899" s="935">
        <v>24</v>
      </c>
      <c r="I899" s="935" t="s">
        <v>670</v>
      </c>
      <c r="J899" s="936">
        <v>10.875</v>
      </c>
      <c r="K899" s="936">
        <v>261</v>
      </c>
      <c r="L899" s="939">
        <v>2.60869565217391</v>
      </c>
    </row>
    <row r="900" spans="1:12" hidden="1">
      <c r="A900" s="931">
        <v>13</v>
      </c>
      <c r="B900" s="1246">
        <v>46104</v>
      </c>
      <c r="C900" s="1248">
        <v>46110</v>
      </c>
      <c r="D900" s="933">
        <v>9</v>
      </c>
      <c r="E900" s="933" t="s">
        <v>681</v>
      </c>
      <c r="F900" s="933" t="s">
        <v>282</v>
      </c>
      <c r="G900" s="933">
        <v>22</v>
      </c>
      <c r="H900" s="933">
        <v>22</v>
      </c>
      <c r="I900" s="933" t="s">
        <v>672</v>
      </c>
      <c r="J900" s="934">
        <v>4.54545454545454E-2</v>
      </c>
      <c r="K900" s="934">
        <v>1</v>
      </c>
      <c r="L900" s="938">
        <v>2.39130434782609</v>
      </c>
    </row>
    <row r="901" spans="1:12" hidden="1">
      <c r="A901" s="931">
        <v>13</v>
      </c>
      <c r="B901" s="1247">
        <v>46104</v>
      </c>
      <c r="C901" s="1249">
        <v>46110</v>
      </c>
      <c r="D901" s="935">
        <v>10</v>
      </c>
      <c r="E901" s="935" t="s">
        <v>673</v>
      </c>
      <c r="F901" s="935" t="s">
        <v>251</v>
      </c>
      <c r="G901" s="935">
        <v>20</v>
      </c>
      <c r="H901" s="935">
        <v>20</v>
      </c>
      <c r="I901" s="935" t="s">
        <v>670</v>
      </c>
      <c r="J901" s="936">
        <v>2.3068181818181799</v>
      </c>
      <c r="K901" s="936">
        <v>46.136363636363598</v>
      </c>
      <c r="L901" s="939">
        <v>2.1739130434782599</v>
      </c>
    </row>
    <row r="902" spans="1:12">
      <c r="A902" s="931">
        <v>13</v>
      </c>
      <c r="B902" s="1246">
        <v>46104</v>
      </c>
      <c r="C902" s="1248">
        <v>46110</v>
      </c>
      <c r="D902" s="933">
        <v>11</v>
      </c>
      <c r="E902" s="933" t="s">
        <v>806</v>
      </c>
      <c r="F902" s="933" t="s">
        <v>256</v>
      </c>
      <c r="G902" s="933">
        <v>18</v>
      </c>
      <c r="H902" s="933">
        <v>18</v>
      </c>
      <c r="I902" s="933" t="s">
        <v>670</v>
      </c>
      <c r="J902" s="934">
        <v>-0.14393939393939401</v>
      </c>
      <c r="K902" s="934">
        <v>-2.5909090909090899</v>
      </c>
      <c r="L902" s="938">
        <v>1.9565217391304399</v>
      </c>
    </row>
    <row r="903" spans="1:12" hidden="1">
      <c r="A903" s="931">
        <v>13</v>
      </c>
      <c r="B903" s="1247">
        <v>46104</v>
      </c>
      <c r="C903" s="1249">
        <v>46110</v>
      </c>
      <c r="D903" s="935">
        <v>12</v>
      </c>
      <c r="E903" s="935" t="s">
        <v>687</v>
      </c>
      <c r="F903" s="935" t="s">
        <v>253</v>
      </c>
      <c r="G903" s="935">
        <v>17</v>
      </c>
      <c r="H903" s="935">
        <v>17</v>
      </c>
      <c r="I903" s="935" t="s">
        <v>670</v>
      </c>
      <c r="J903" s="936">
        <v>2.7139037433155102</v>
      </c>
      <c r="K903" s="936">
        <v>46.136363636363598</v>
      </c>
      <c r="L903" s="939">
        <v>1.84782608695652</v>
      </c>
    </row>
    <row r="904" spans="1:12" hidden="1">
      <c r="A904" s="931">
        <v>13</v>
      </c>
      <c r="B904" s="1246">
        <v>46104</v>
      </c>
      <c r="C904" s="1248">
        <v>46110</v>
      </c>
      <c r="D904" s="933">
        <v>13</v>
      </c>
      <c r="E904" s="933" t="s">
        <v>671</v>
      </c>
      <c r="F904" s="933" t="s">
        <v>276</v>
      </c>
      <c r="G904" s="933">
        <v>16</v>
      </c>
      <c r="H904" s="933">
        <v>16</v>
      </c>
      <c r="I904" s="933" t="s">
        <v>672</v>
      </c>
      <c r="J904" s="934">
        <v>2.8863636363636398</v>
      </c>
      <c r="K904" s="934">
        <v>46.181818181818201</v>
      </c>
      <c r="L904" s="938">
        <v>1.73913043478261</v>
      </c>
    </row>
    <row r="905" spans="1:12" hidden="1">
      <c r="A905" s="931">
        <v>13</v>
      </c>
      <c r="B905" s="1247">
        <v>46104</v>
      </c>
      <c r="C905" s="1249">
        <v>46110</v>
      </c>
      <c r="D905" s="935">
        <v>14</v>
      </c>
      <c r="E905" s="935" t="s">
        <v>254</v>
      </c>
      <c r="F905" s="935" t="s">
        <v>254</v>
      </c>
      <c r="G905" s="935">
        <v>16</v>
      </c>
      <c r="H905" s="935">
        <v>16</v>
      </c>
      <c r="I905" s="935" t="s">
        <v>670</v>
      </c>
      <c r="J905" s="936">
        <v>13.545454545454501</v>
      </c>
      <c r="K905" s="936">
        <v>216.727272727273</v>
      </c>
      <c r="L905" s="939">
        <v>1.73913043478261</v>
      </c>
    </row>
    <row r="906" spans="1:12" hidden="1">
      <c r="A906" s="931">
        <v>13</v>
      </c>
      <c r="B906" s="1246">
        <v>46104</v>
      </c>
      <c r="C906" s="1248">
        <v>46110</v>
      </c>
      <c r="D906" s="933">
        <v>15</v>
      </c>
      <c r="E906" s="933" t="s">
        <v>792</v>
      </c>
      <c r="F906" s="933" t="s">
        <v>256</v>
      </c>
      <c r="G906" s="933">
        <v>15</v>
      </c>
      <c r="H906" s="933">
        <v>15</v>
      </c>
      <c r="I906" s="933" t="s">
        <v>670</v>
      </c>
      <c r="J906" s="934">
        <v>12.7121212121212</v>
      </c>
      <c r="K906" s="934">
        <v>190.68181818181799</v>
      </c>
      <c r="L906" s="938">
        <v>1.6304347826087</v>
      </c>
    </row>
    <row r="907" spans="1:12" hidden="1">
      <c r="A907" s="931">
        <v>13</v>
      </c>
      <c r="B907" s="1247">
        <v>46104</v>
      </c>
      <c r="C907" s="1249">
        <v>46110</v>
      </c>
      <c r="D907" s="935">
        <v>16</v>
      </c>
      <c r="E907" s="935" t="s">
        <v>679</v>
      </c>
      <c r="F907" s="935" t="s">
        <v>256</v>
      </c>
      <c r="G907" s="935">
        <v>15</v>
      </c>
      <c r="H907" s="935">
        <v>15</v>
      </c>
      <c r="I907" s="935" t="s">
        <v>670</v>
      </c>
      <c r="J907" s="936">
        <v>9.1666666666666696</v>
      </c>
      <c r="K907" s="936">
        <v>137.5</v>
      </c>
      <c r="L907" s="939">
        <v>1.6304347826087</v>
      </c>
    </row>
    <row r="908" spans="1:12" hidden="1">
      <c r="A908" s="931">
        <v>13</v>
      </c>
      <c r="B908" s="1246">
        <v>46104</v>
      </c>
      <c r="C908" s="1248">
        <v>46110</v>
      </c>
      <c r="D908" s="933">
        <v>17</v>
      </c>
      <c r="E908" s="933" t="s">
        <v>791</v>
      </c>
      <c r="F908" s="933" t="s">
        <v>256</v>
      </c>
      <c r="G908" s="933">
        <v>15</v>
      </c>
      <c r="H908" s="933">
        <v>15</v>
      </c>
      <c r="I908" s="933" t="s">
        <v>670</v>
      </c>
      <c r="J908" s="934">
        <v>5.0757575757575797</v>
      </c>
      <c r="K908" s="934">
        <v>76.136363636363598</v>
      </c>
      <c r="L908" s="938">
        <v>1.6304347826087</v>
      </c>
    </row>
    <row r="909" spans="1:12" hidden="1">
      <c r="A909" s="931">
        <v>13</v>
      </c>
      <c r="B909" s="1247">
        <v>46104</v>
      </c>
      <c r="C909" s="1249">
        <v>46110</v>
      </c>
      <c r="D909" s="935">
        <v>18</v>
      </c>
      <c r="E909" s="935" t="s">
        <v>686</v>
      </c>
      <c r="F909" s="935" t="s">
        <v>274</v>
      </c>
      <c r="G909" s="935">
        <v>14</v>
      </c>
      <c r="H909" s="935">
        <v>14</v>
      </c>
      <c r="I909" s="935" t="s">
        <v>670</v>
      </c>
      <c r="J909" s="936">
        <v>13.668831168831201</v>
      </c>
      <c r="K909" s="936">
        <v>191.363636363636</v>
      </c>
      <c r="L909" s="939">
        <v>1.52173913043478</v>
      </c>
    </row>
    <row r="910" spans="1:12" hidden="1">
      <c r="A910" s="931">
        <v>13</v>
      </c>
      <c r="B910" s="1246">
        <v>46104</v>
      </c>
      <c r="C910" s="1248">
        <v>46110</v>
      </c>
      <c r="D910" s="933">
        <v>19</v>
      </c>
      <c r="E910" s="933" t="s">
        <v>674</v>
      </c>
      <c r="F910" s="933" t="s">
        <v>275</v>
      </c>
      <c r="G910" s="933">
        <v>13</v>
      </c>
      <c r="H910" s="933">
        <v>13</v>
      </c>
      <c r="I910" s="933" t="s">
        <v>670</v>
      </c>
      <c r="J910" s="934">
        <v>4.4230769230769198</v>
      </c>
      <c r="K910" s="934">
        <v>57.5</v>
      </c>
      <c r="L910" s="938">
        <v>1.4130434782608701</v>
      </c>
    </row>
    <row r="911" spans="1:12" hidden="1">
      <c r="A911" s="931">
        <v>13</v>
      </c>
      <c r="B911" s="1247">
        <v>46104</v>
      </c>
      <c r="C911" s="1249">
        <v>46110</v>
      </c>
      <c r="D911" s="935">
        <v>20</v>
      </c>
      <c r="E911" s="935" t="s">
        <v>832</v>
      </c>
      <c r="F911" s="935" t="s">
        <v>256</v>
      </c>
      <c r="G911" s="935">
        <v>13</v>
      </c>
      <c r="H911" s="935">
        <v>13</v>
      </c>
      <c r="I911" s="935" t="s">
        <v>670</v>
      </c>
      <c r="J911" s="936">
        <v>8.1083916083916101</v>
      </c>
      <c r="K911" s="936">
        <v>105.40909090909101</v>
      </c>
      <c r="L911" s="939">
        <v>1.4130434782608701</v>
      </c>
    </row>
    <row r="912" spans="1:12" hidden="1">
      <c r="A912" s="931">
        <v>13</v>
      </c>
      <c r="B912" s="1246">
        <v>46104</v>
      </c>
      <c r="C912" s="1248">
        <v>46110</v>
      </c>
      <c r="D912" s="933">
        <v>21</v>
      </c>
      <c r="E912" s="933" t="s">
        <v>676</v>
      </c>
      <c r="F912" s="933" t="s">
        <v>253</v>
      </c>
      <c r="G912" s="933">
        <v>13</v>
      </c>
      <c r="H912" s="933">
        <v>13</v>
      </c>
      <c r="I912" s="933" t="s">
        <v>670</v>
      </c>
      <c r="J912" s="934">
        <v>2.6433566433566398</v>
      </c>
      <c r="K912" s="934">
        <v>34.363636363636402</v>
      </c>
      <c r="L912" s="938">
        <v>1.4130434782608701</v>
      </c>
    </row>
    <row r="913" spans="1:12" hidden="1">
      <c r="A913" s="931">
        <v>13</v>
      </c>
      <c r="B913" s="1247">
        <v>46104</v>
      </c>
      <c r="C913" s="1249">
        <v>46110</v>
      </c>
      <c r="D913" s="935">
        <v>22</v>
      </c>
      <c r="E913" s="935" t="s">
        <v>780</v>
      </c>
      <c r="F913" s="935" t="s">
        <v>268</v>
      </c>
      <c r="G913" s="935">
        <v>12</v>
      </c>
      <c r="H913" s="935">
        <v>12</v>
      </c>
      <c r="I913" s="935" t="s">
        <v>670</v>
      </c>
      <c r="J913" s="936">
        <v>1.36363636363636</v>
      </c>
      <c r="K913" s="936">
        <v>16.363636363636399</v>
      </c>
      <c r="L913" s="939">
        <v>1.3043478260869601</v>
      </c>
    </row>
    <row r="914" spans="1:12" hidden="1">
      <c r="A914" s="931">
        <v>13</v>
      </c>
      <c r="B914" s="1246">
        <v>46104</v>
      </c>
      <c r="C914" s="1248">
        <v>46110</v>
      </c>
      <c r="D914" s="933">
        <v>23</v>
      </c>
      <c r="E914" s="933" t="s">
        <v>684</v>
      </c>
      <c r="F914" s="933" t="s">
        <v>323</v>
      </c>
      <c r="G914" s="933">
        <v>11</v>
      </c>
      <c r="H914" s="933">
        <v>11</v>
      </c>
      <c r="I914" s="933" t="s">
        <v>670</v>
      </c>
      <c r="J914" s="934">
        <v>9</v>
      </c>
      <c r="K914" s="934">
        <v>99</v>
      </c>
      <c r="L914" s="938">
        <v>1.1956521739130399</v>
      </c>
    </row>
    <row r="915" spans="1:12" hidden="1">
      <c r="A915" s="931">
        <v>13</v>
      </c>
      <c r="B915" s="1247">
        <v>46104</v>
      </c>
      <c r="C915" s="1249">
        <v>46110</v>
      </c>
      <c r="D915" s="935">
        <v>24</v>
      </c>
      <c r="E915" s="935" t="s">
        <v>708</v>
      </c>
      <c r="F915" s="935" t="s">
        <v>251</v>
      </c>
      <c r="G915" s="935">
        <v>11</v>
      </c>
      <c r="H915" s="935">
        <v>11</v>
      </c>
      <c r="I915" s="935" t="s">
        <v>670</v>
      </c>
      <c r="J915" s="936">
        <v>1.8347107438016499</v>
      </c>
      <c r="K915" s="936">
        <v>20.181818181818201</v>
      </c>
      <c r="L915" s="939">
        <v>1.1956521739130399</v>
      </c>
    </row>
    <row r="916" spans="1:12" hidden="1">
      <c r="A916" s="931">
        <v>13</v>
      </c>
      <c r="B916" s="1246">
        <v>46104</v>
      </c>
      <c r="C916" s="1248">
        <v>46110</v>
      </c>
      <c r="D916" s="933">
        <v>25</v>
      </c>
      <c r="E916" s="933" t="s">
        <v>738</v>
      </c>
      <c r="F916" s="933" t="s">
        <v>256</v>
      </c>
      <c r="G916" s="933">
        <v>11</v>
      </c>
      <c r="H916" s="933">
        <v>11</v>
      </c>
      <c r="I916" s="933" t="s">
        <v>670</v>
      </c>
      <c r="J916" s="934">
        <v>7.1818181818181799</v>
      </c>
      <c r="K916" s="934">
        <v>79</v>
      </c>
      <c r="L916" s="938">
        <v>1.1956521739130399</v>
      </c>
    </row>
    <row r="917" spans="1:12" hidden="1">
      <c r="A917" s="931">
        <v>13</v>
      </c>
      <c r="B917" s="1247">
        <v>46104</v>
      </c>
      <c r="C917" s="1249">
        <v>46110</v>
      </c>
      <c r="D917" s="935">
        <v>26</v>
      </c>
      <c r="E917" s="935" t="s">
        <v>796</v>
      </c>
      <c r="F917" s="935" t="s">
        <v>282</v>
      </c>
      <c r="G917" s="935">
        <v>10</v>
      </c>
      <c r="H917" s="935">
        <v>10</v>
      </c>
      <c r="I917" s="935" t="s">
        <v>670</v>
      </c>
      <c r="J917" s="936">
        <v>10.863636363636401</v>
      </c>
      <c r="K917" s="936">
        <v>108.636363636364</v>
      </c>
      <c r="L917" s="939">
        <v>1.0869565217391299</v>
      </c>
    </row>
    <row r="918" spans="1:12" hidden="1">
      <c r="A918" s="931">
        <v>13</v>
      </c>
      <c r="B918" s="1246">
        <v>46104</v>
      </c>
      <c r="C918" s="1248">
        <v>46110</v>
      </c>
      <c r="D918" s="933">
        <v>27</v>
      </c>
      <c r="E918" s="933" t="s">
        <v>677</v>
      </c>
      <c r="F918" s="933" t="s">
        <v>249</v>
      </c>
      <c r="G918" s="933">
        <v>10</v>
      </c>
      <c r="H918" s="933">
        <v>10</v>
      </c>
      <c r="I918" s="933" t="s">
        <v>670</v>
      </c>
      <c r="J918" s="934">
        <v>1.78181818181818</v>
      </c>
      <c r="K918" s="934">
        <v>17.818181818181799</v>
      </c>
      <c r="L918" s="938">
        <v>1.0869565217391299</v>
      </c>
    </row>
    <row r="919" spans="1:12" hidden="1">
      <c r="A919" s="931">
        <v>13</v>
      </c>
      <c r="B919" s="1247">
        <v>46104</v>
      </c>
      <c r="C919" s="1249">
        <v>46110</v>
      </c>
      <c r="D919" s="935">
        <v>28</v>
      </c>
      <c r="E919" s="935" t="s">
        <v>698</v>
      </c>
      <c r="F919" s="935" t="s">
        <v>249</v>
      </c>
      <c r="G919" s="935">
        <v>10</v>
      </c>
      <c r="H919" s="935">
        <v>10</v>
      </c>
      <c r="I919" s="935" t="s">
        <v>670</v>
      </c>
      <c r="J919" s="936">
        <v>2.3181818181818201</v>
      </c>
      <c r="K919" s="936">
        <v>23.181818181818201</v>
      </c>
      <c r="L919" s="939">
        <v>1.0869565217391299</v>
      </c>
    </row>
    <row r="920" spans="1:12" hidden="1">
      <c r="A920" s="931">
        <v>13</v>
      </c>
      <c r="B920" s="1246">
        <v>46104</v>
      </c>
      <c r="C920" s="1248">
        <v>46110</v>
      </c>
      <c r="D920" s="933">
        <v>29</v>
      </c>
      <c r="E920" s="933" t="s">
        <v>700</v>
      </c>
      <c r="F920" s="933" t="s">
        <v>274</v>
      </c>
      <c r="G920" s="933">
        <v>10</v>
      </c>
      <c r="H920" s="933">
        <v>10</v>
      </c>
      <c r="I920" s="933" t="s">
        <v>670</v>
      </c>
      <c r="J920" s="934">
        <v>9.1590909090909101</v>
      </c>
      <c r="K920" s="934">
        <v>91.590909090909093</v>
      </c>
      <c r="L920" s="938">
        <v>1.0869565217391299</v>
      </c>
    </row>
    <row r="921" spans="1:12" hidden="1">
      <c r="A921" s="931">
        <v>13</v>
      </c>
      <c r="B921" s="1247">
        <v>46104</v>
      </c>
      <c r="C921" s="1249">
        <v>46110</v>
      </c>
      <c r="D921" s="935">
        <v>30</v>
      </c>
      <c r="E921" s="935" t="s">
        <v>697</v>
      </c>
      <c r="F921" s="935" t="s">
        <v>256</v>
      </c>
      <c r="G921" s="935">
        <v>9</v>
      </c>
      <c r="H921" s="935">
        <v>9</v>
      </c>
      <c r="I921" s="935" t="s">
        <v>670</v>
      </c>
      <c r="J921" s="936">
        <v>9.9090909090909101</v>
      </c>
      <c r="K921" s="936">
        <v>89.181818181818201</v>
      </c>
      <c r="L921" s="939">
        <v>0.97826086956521696</v>
      </c>
    </row>
    <row r="922" spans="1:12" hidden="1">
      <c r="A922" s="931">
        <v>13</v>
      </c>
      <c r="B922" s="1246">
        <v>46104</v>
      </c>
      <c r="C922" s="1248">
        <v>46110</v>
      </c>
      <c r="D922" s="933">
        <v>31</v>
      </c>
      <c r="E922" s="933" t="s">
        <v>706</v>
      </c>
      <c r="F922" s="933" t="s">
        <v>256</v>
      </c>
      <c r="G922" s="933">
        <v>9</v>
      </c>
      <c r="H922" s="933">
        <v>9</v>
      </c>
      <c r="I922" s="933" t="s">
        <v>670</v>
      </c>
      <c r="J922" s="934">
        <v>12.7272727272727</v>
      </c>
      <c r="K922" s="934">
        <v>114.545454545455</v>
      </c>
      <c r="L922" s="938">
        <v>0.97826086956521696</v>
      </c>
    </row>
    <row r="923" spans="1:12" hidden="1">
      <c r="A923" s="931">
        <v>13</v>
      </c>
      <c r="B923" s="1247">
        <v>46104</v>
      </c>
      <c r="C923" s="1249">
        <v>46110</v>
      </c>
      <c r="D923" s="935">
        <v>32</v>
      </c>
      <c r="E923" s="935" t="s">
        <v>682</v>
      </c>
      <c r="F923" s="935" t="s">
        <v>275</v>
      </c>
      <c r="G923" s="935">
        <v>9</v>
      </c>
      <c r="H923" s="935">
        <v>9</v>
      </c>
      <c r="I923" s="935" t="s">
        <v>670</v>
      </c>
      <c r="J923" s="936">
        <v>4.7979797979798002</v>
      </c>
      <c r="K923" s="936">
        <v>43.181818181818201</v>
      </c>
      <c r="L923" s="939">
        <v>0.97826086956521696</v>
      </c>
    </row>
    <row r="924" spans="1:12" hidden="1">
      <c r="A924" s="931">
        <v>13</v>
      </c>
      <c r="B924" s="1246">
        <v>46104</v>
      </c>
      <c r="C924" s="1248">
        <v>46110</v>
      </c>
      <c r="D924" s="933">
        <v>33</v>
      </c>
      <c r="E924" s="933" t="s">
        <v>804</v>
      </c>
      <c r="F924" s="933" t="s">
        <v>253</v>
      </c>
      <c r="G924" s="933">
        <v>8</v>
      </c>
      <c r="H924" s="933">
        <v>8</v>
      </c>
      <c r="I924" s="933" t="s">
        <v>670</v>
      </c>
      <c r="J924" s="934">
        <v>2.6988636363636398</v>
      </c>
      <c r="K924" s="934">
        <v>21.590909090909101</v>
      </c>
      <c r="L924" s="938">
        <v>0.86956521739130399</v>
      </c>
    </row>
    <row r="925" spans="1:12" hidden="1">
      <c r="A925" s="931">
        <v>13</v>
      </c>
      <c r="B925" s="1247">
        <v>46104</v>
      </c>
      <c r="C925" s="1249">
        <v>46110</v>
      </c>
      <c r="D925" s="935">
        <v>34</v>
      </c>
      <c r="E925" s="935" t="s">
        <v>742</v>
      </c>
      <c r="F925" s="935" t="s">
        <v>251</v>
      </c>
      <c r="G925" s="935">
        <v>8</v>
      </c>
      <c r="H925" s="935">
        <v>8</v>
      </c>
      <c r="I925" s="935" t="s">
        <v>670</v>
      </c>
      <c r="J925" s="936">
        <v>2.8125</v>
      </c>
      <c r="K925" s="936">
        <v>22.5</v>
      </c>
      <c r="L925" s="939">
        <v>0.86956521739130399</v>
      </c>
    </row>
    <row r="926" spans="1:12" hidden="1">
      <c r="A926" s="931">
        <v>13</v>
      </c>
      <c r="B926" s="1246">
        <v>46104</v>
      </c>
      <c r="C926" s="1248">
        <v>46110</v>
      </c>
      <c r="D926" s="933">
        <v>35</v>
      </c>
      <c r="E926" s="933" t="s">
        <v>781</v>
      </c>
      <c r="F926" s="933" t="s">
        <v>764</v>
      </c>
      <c r="G926" s="933">
        <v>7</v>
      </c>
      <c r="H926" s="933">
        <v>7</v>
      </c>
      <c r="I926" s="933" t="s">
        <v>670</v>
      </c>
      <c r="J926" s="934">
        <v>14.487012987012999</v>
      </c>
      <c r="K926" s="934">
        <v>101.40909090909101</v>
      </c>
      <c r="L926" s="938">
        <v>0.76086956521739102</v>
      </c>
    </row>
    <row r="927" spans="1:12" hidden="1">
      <c r="A927" s="931">
        <v>13</v>
      </c>
      <c r="B927" s="1247">
        <v>46104</v>
      </c>
      <c r="C927" s="1249">
        <v>46110</v>
      </c>
      <c r="D927" s="935">
        <v>36</v>
      </c>
      <c r="E927" s="935" t="s">
        <v>691</v>
      </c>
      <c r="F927" s="935" t="s">
        <v>251</v>
      </c>
      <c r="G927" s="935">
        <v>7</v>
      </c>
      <c r="H927" s="935">
        <v>7</v>
      </c>
      <c r="I927" s="935" t="s">
        <v>670</v>
      </c>
      <c r="J927" s="936">
        <v>2.4675324675324699</v>
      </c>
      <c r="K927" s="936">
        <v>17.272727272727298</v>
      </c>
      <c r="L927" s="939">
        <v>0.76086956521739102</v>
      </c>
    </row>
    <row r="928" spans="1:12" hidden="1">
      <c r="A928" s="931">
        <v>13</v>
      </c>
      <c r="B928" s="1246">
        <v>46104</v>
      </c>
      <c r="C928" s="1248">
        <v>46110</v>
      </c>
      <c r="D928" s="933">
        <v>37</v>
      </c>
      <c r="E928" s="933" t="s">
        <v>745</v>
      </c>
      <c r="F928" s="933" t="s">
        <v>275</v>
      </c>
      <c r="G928" s="933">
        <v>7</v>
      </c>
      <c r="H928" s="933">
        <v>7</v>
      </c>
      <c r="I928" s="933" t="s">
        <v>670</v>
      </c>
      <c r="J928" s="934">
        <v>4.7727272727272698</v>
      </c>
      <c r="K928" s="934">
        <v>33.409090909090899</v>
      </c>
      <c r="L928" s="938">
        <v>0.76086956521739102</v>
      </c>
    </row>
    <row r="929" spans="1:12" hidden="1">
      <c r="A929" s="931">
        <v>13</v>
      </c>
      <c r="B929" s="1247">
        <v>46104</v>
      </c>
      <c r="C929" s="1249">
        <v>46110</v>
      </c>
      <c r="D929" s="935">
        <v>38</v>
      </c>
      <c r="E929" s="935" t="s">
        <v>794</v>
      </c>
      <c r="F929" s="935" t="s">
        <v>256</v>
      </c>
      <c r="G929" s="935">
        <v>7</v>
      </c>
      <c r="H929" s="935">
        <v>7</v>
      </c>
      <c r="I929" s="935" t="s">
        <v>670</v>
      </c>
      <c r="J929" s="936">
        <v>6.9155844155844104</v>
      </c>
      <c r="K929" s="936">
        <v>48.409090909090899</v>
      </c>
      <c r="L929" s="939">
        <v>0.76086956521739102</v>
      </c>
    </row>
    <row r="930" spans="1:12" hidden="1">
      <c r="A930" s="931">
        <v>13</v>
      </c>
      <c r="B930" s="1246">
        <v>46104</v>
      </c>
      <c r="C930" s="1248">
        <v>46110</v>
      </c>
      <c r="D930" s="933">
        <v>39</v>
      </c>
      <c r="E930" s="933" t="s">
        <v>675</v>
      </c>
      <c r="F930" s="933" t="s">
        <v>256</v>
      </c>
      <c r="G930" s="933">
        <v>7</v>
      </c>
      <c r="H930" s="933">
        <v>7</v>
      </c>
      <c r="I930" s="933" t="s">
        <v>670</v>
      </c>
      <c r="J930" s="934">
        <v>5.0324675324675301</v>
      </c>
      <c r="K930" s="934">
        <v>35.227272727272698</v>
      </c>
      <c r="L930" s="938">
        <v>0.76086956521739102</v>
      </c>
    </row>
    <row r="931" spans="1:12" hidden="1">
      <c r="A931" s="931">
        <v>13</v>
      </c>
      <c r="B931" s="1247">
        <v>46104</v>
      </c>
      <c r="C931" s="1249">
        <v>46110</v>
      </c>
      <c r="D931" s="935">
        <v>40</v>
      </c>
      <c r="E931" s="935" t="s">
        <v>707</v>
      </c>
      <c r="F931" s="935" t="s">
        <v>256</v>
      </c>
      <c r="G931" s="935">
        <v>7</v>
      </c>
      <c r="H931" s="935">
        <v>7</v>
      </c>
      <c r="I931" s="935" t="s">
        <v>670</v>
      </c>
      <c r="J931" s="936">
        <v>8.7012987012987004</v>
      </c>
      <c r="K931" s="936">
        <v>60.909090909090899</v>
      </c>
      <c r="L931" s="939">
        <v>0.76086956521739102</v>
      </c>
    </row>
    <row r="932" spans="1:12" hidden="1">
      <c r="A932" s="931">
        <v>13</v>
      </c>
      <c r="B932" s="1246">
        <v>46104</v>
      </c>
      <c r="C932" s="1248">
        <v>46110</v>
      </c>
      <c r="D932" s="933">
        <v>41</v>
      </c>
      <c r="E932" s="933" t="s">
        <v>703</v>
      </c>
      <c r="F932" s="933" t="s">
        <v>256</v>
      </c>
      <c r="G932" s="933">
        <v>7</v>
      </c>
      <c r="H932" s="933">
        <v>7</v>
      </c>
      <c r="I932" s="933" t="s">
        <v>670</v>
      </c>
      <c r="J932" s="934">
        <v>1.9155844155844199</v>
      </c>
      <c r="K932" s="934">
        <v>13.409090909090899</v>
      </c>
      <c r="L932" s="938">
        <v>0.76086956521739102</v>
      </c>
    </row>
    <row r="933" spans="1:12" hidden="1">
      <c r="A933" s="931">
        <v>13</v>
      </c>
      <c r="B933" s="1247">
        <v>46104</v>
      </c>
      <c r="C933" s="1249">
        <v>46110</v>
      </c>
      <c r="D933" s="935">
        <v>42</v>
      </c>
      <c r="E933" s="935" t="s">
        <v>704</v>
      </c>
      <c r="F933" s="935" t="s">
        <v>689</v>
      </c>
      <c r="G933" s="935">
        <v>7</v>
      </c>
      <c r="H933" s="935">
        <v>7</v>
      </c>
      <c r="I933" s="935" t="s">
        <v>670</v>
      </c>
      <c r="J933" s="936">
        <v>11.7272727272727</v>
      </c>
      <c r="K933" s="936">
        <v>82.090909090909093</v>
      </c>
      <c r="L933" s="939">
        <v>0.76086956521739102</v>
      </c>
    </row>
    <row r="934" spans="1:12" hidden="1">
      <c r="A934" s="931">
        <v>13</v>
      </c>
      <c r="B934" s="1246">
        <v>46104</v>
      </c>
      <c r="C934" s="1248">
        <v>46110</v>
      </c>
      <c r="D934" s="933">
        <v>43</v>
      </c>
      <c r="E934" s="933" t="s">
        <v>702</v>
      </c>
      <c r="F934" s="933" t="s">
        <v>251</v>
      </c>
      <c r="G934" s="933">
        <v>6</v>
      </c>
      <c r="H934" s="933">
        <v>6</v>
      </c>
      <c r="I934" s="933" t="s">
        <v>670</v>
      </c>
      <c r="J934" s="934">
        <v>2.4545454545454501</v>
      </c>
      <c r="K934" s="934">
        <v>14.7272727272727</v>
      </c>
      <c r="L934" s="938">
        <v>0.65217391304347805</v>
      </c>
    </row>
    <row r="935" spans="1:12" hidden="1">
      <c r="A935" s="931">
        <v>13</v>
      </c>
      <c r="B935" s="1247">
        <v>46104</v>
      </c>
      <c r="C935" s="1249">
        <v>46110</v>
      </c>
      <c r="D935" s="935">
        <v>44</v>
      </c>
      <c r="E935" s="935" t="s">
        <v>716</v>
      </c>
      <c r="F935" s="935" t="s">
        <v>251</v>
      </c>
      <c r="G935" s="935">
        <v>6</v>
      </c>
      <c r="H935" s="935">
        <v>6</v>
      </c>
      <c r="I935" s="935" t="s">
        <v>670</v>
      </c>
      <c r="J935" s="936">
        <v>0</v>
      </c>
      <c r="K935" s="936">
        <v>0</v>
      </c>
      <c r="L935" s="939">
        <v>0.65217391304347805</v>
      </c>
    </row>
    <row r="936" spans="1:12" hidden="1">
      <c r="A936" s="931">
        <v>13</v>
      </c>
      <c r="B936" s="1246">
        <v>46104</v>
      </c>
      <c r="C936" s="1248">
        <v>46110</v>
      </c>
      <c r="D936" s="933">
        <v>45</v>
      </c>
      <c r="E936" s="933" t="s">
        <v>701</v>
      </c>
      <c r="F936" s="933" t="s">
        <v>689</v>
      </c>
      <c r="G936" s="933">
        <v>6</v>
      </c>
      <c r="H936" s="933">
        <v>6</v>
      </c>
      <c r="I936" s="933" t="s">
        <v>670</v>
      </c>
      <c r="J936" s="934">
        <v>10.0227272727273</v>
      </c>
      <c r="K936" s="934">
        <v>60.136363636363598</v>
      </c>
      <c r="L936" s="938">
        <v>0.65217391304347805</v>
      </c>
    </row>
    <row r="937" spans="1:12" hidden="1">
      <c r="A937" s="931">
        <v>13</v>
      </c>
      <c r="B937" s="1247">
        <v>46104</v>
      </c>
      <c r="C937" s="1249">
        <v>46110</v>
      </c>
      <c r="D937" s="935">
        <v>46</v>
      </c>
      <c r="E937" s="935" t="s">
        <v>740</v>
      </c>
      <c r="F937" s="935" t="s">
        <v>264</v>
      </c>
      <c r="G937" s="935">
        <v>6</v>
      </c>
      <c r="H937" s="935">
        <v>6</v>
      </c>
      <c r="I937" s="935" t="s">
        <v>741</v>
      </c>
      <c r="J937" s="936">
        <v>2.65151515151515</v>
      </c>
      <c r="K937" s="936">
        <v>15.909090909090899</v>
      </c>
      <c r="L937" s="939">
        <v>0.65217391304347805</v>
      </c>
    </row>
    <row r="938" spans="1:12" hidden="1">
      <c r="A938" s="931">
        <v>13</v>
      </c>
      <c r="B938" s="1246">
        <v>46104</v>
      </c>
      <c r="C938" s="1248">
        <v>46110</v>
      </c>
      <c r="D938" s="933">
        <v>47</v>
      </c>
      <c r="E938" s="933" t="s">
        <v>696</v>
      </c>
      <c r="F938" s="933" t="s">
        <v>323</v>
      </c>
      <c r="G938" s="933">
        <v>6</v>
      </c>
      <c r="H938" s="933">
        <v>6</v>
      </c>
      <c r="I938" s="933" t="s">
        <v>670</v>
      </c>
      <c r="J938" s="934">
        <v>10.946969696969701</v>
      </c>
      <c r="K938" s="934">
        <v>65.681818181818201</v>
      </c>
      <c r="L938" s="938">
        <v>0.65217391304347805</v>
      </c>
    </row>
    <row r="939" spans="1:12" hidden="1">
      <c r="A939" s="931">
        <v>13</v>
      </c>
      <c r="B939" s="1247">
        <v>46104</v>
      </c>
      <c r="C939" s="1249">
        <v>46110</v>
      </c>
      <c r="D939" s="935">
        <v>48</v>
      </c>
      <c r="E939" s="935" t="s">
        <v>678</v>
      </c>
      <c r="F939" s="935" t="s">
        <v>256</v>
      </c>
      <c r="G939" s="935">
        <v>6</v>
      </c>
      <c r="H939" s="935">
        <v>6</v>
      </c>
      <c r="I939" s="935" t="s">
        <v>670</v>
      </c>
      <c r="J939" s="936">
        <v>6.2727272727272698</v>
      </c>
      <c r="K939" s="936">
        <v>37.636363636363598</v>
      </c>
      <c r="L939" s="939">
        <v>0.65217391304347805</v>
      </c>
    </row>
    <row r="940" spans="1:12" hidden="1">
      <c r="A940" s="931">
        <v>13</v>
      </c>
      <c r="B940" s="1246">
        <v>46104</v>
      </c>
      <c r="C940" s="1248">
        <v>46110</v>
      </c>
      <c r="D940" s="933">
        <v>49</v>
      </c>
      <c r="E940" s="933" t="s">
        <v>751</v>
      </c>
      <c r="F940" s="933" t="s">
        <v>256</v>
      </c>
      <c r="G940" s="933">
        <v>5</v>
      </c>
      <c r="H940" s="933">
        <v>5</v>
      </c>
      <c r="I940" s="933" t="s">
        <v>670</v>
      </c>
      <c r="J940" s="934">
        <v>7.2272727272727302</v>
      </c>
      <c r="K940" s="934">
        <v>36.136363636363598</v>
      </c>
      <c r="L940" s="938">
        <v>0.54347826086956497</v>
      </c>
    </row>
    <row r="941" spans="1:12" hidden="1">
      <c r="A941" s="931">
        <v>13</v>
      </c>
      <c r="B941" s="1247">
        <v>46104</v>
      </c>
      <c r="C941" s="1249">
        <v>46110</v>
      </c>
      <c r="D941" s="935">
        <v>50</v>
      </c>
      <c r="E941" s="935" t="s">
        <v>833</v>
      </c>
      <c r="F941" s="935" t="s">
        <v>815</v>
      </c>
      <c r="G941" s="935">
        <v>5</v>
      </c>
      <c r="H941" s="935">
        <v>5</v>
      </c>
      <c r="I941" s="935" t="s">
        <v>670</v>
      </c>
      <c r="J941" s="936">
        <v>5.5454545454545396</v>
      </c>
      <c r="K941" s="936">
        <v>27.727272727272702</v>
      </c>
      <c r="L941" s="939">
        <v>0.54347826086956497</v>
      </c>
    </row>
    <row r="942" spans="1:12" hidden="1">
      <c r="A942" s="931">
        <v>13</v>
      </c>
      <c r="B942" s="1246">
        <v>46104</v>
      </c>
      <c r="C942" s="1248">
        <v>46110</v>
      </c>
      <c r="D942" s="933">
        <v>51</v>
      </c>
      <c r="E942" s="933" t="s">
        <v>723</v>
      </c>
      <c r="F942" s="933" t="s">
        <v>713</v>
      </c>
      <c r="G942" s="933">
        <v>5</v>
      </c>
      <c r="H942" s="933">
        <v>5</v>
      </c>
      <c r="I942" s="933" t="s">
        <v>670</v>
      </c>
      <c r="J942" s="934">
        <v>2.8181818181818201</v>
      </c>
      <c r="K942" s="934">
        <v>14.090909090909101</v>
      </c>
      <c r="L942" s="938">
        <v>0.54347826086956497</v>
      </c>
    </row>
    <row r="943" spans="1:12" hidden="1">
      <c r="A943" s="931">
        <v>13</v>
      </c>
      <c r="B943" s="1247">
        <v>46104</v>
      </c>
      <c r="C943" s="1249">
        <v>46110</v>
      </c>
      <c r="D943" s="935">
        <v>52</v>
      </c>
      <c r="E943" s="935" t="s">
        <v>688</v>
      </c>
      <c r="F943" s="935" t="s">
        <v>689</v>
      </c>
      <c r="G943" s="935">
        <v>5</v>
      </c>
      <c r="H943" s="935">
        <v>5</v>
      </c>
      <c r="I943" s="935" t="s">
        <v>670</v>
      </c>
      <c r="J943" s="936">
        <v>9.9545454545454497</v>
      </c>
      <c r="K943" s="936">
        <v>49.772727272727302</v>
      </c>
      <c r="L943" s="939">
        <v>0.54347826086956497</v>
      </c>
    </row>
    <row r="944" spans="1:12" hidden="1">
      <c r="A944" s="931">
        <v>13</v>
      </c>
      <c r="B944" s="1246">
        <v>46104</v>
      </c>
      <c r="C944" s="1248">
        <v>46110</v>
      </c>
      <c r="D944" s="933">
        <v>53</v>
      </c>
      <c r="E944" s="933" t="s">
        <v>728</v>
      </c>
      <c r="F944" s="933" t="s">
        <v>695</v>
      </c>
      <c r="G944" s="933">
        <v>5</v>
      </c>
      <c r="H944" s="933">
        <v>5</v>
      </c>
      <c r="I944" s="933" t="s">
        <v>670</v>
      </c>
      <c r="J944" s="934">
        <v>8.2272727272727302</v>
      </c>
      <c r="K944" s="934">
        <v>41.136363636363598</v>
      </c>
      <c r="L944" s="938">
        <v>0.54347826086956497</v>
      </c>
    </row>
    <row r="945" spans="1:12" hidden="1">
      <c r="A945" s="931">
        <v>13</v>
      </c>
      <c r="B945" s="1247">
        <v>46104</v>
      </c>
      <c r="C945" s="1249">
        <v>46110</v>
      </c>
      <c r="D945" s="935">
        <v>54</v>
      </c>
      <c r="E945" s="935" t="s">
        <v>743</v>
      </c>
      <c r="F945" s="935" t="s">
        <v>251</v>
      </c>
      <c r="G945" s="935">
        <v>5</v>
      </c>
      <c r="H945" s="935">
        <v>5</v>
      </c>
      <c r="I945" s="935" t="s">
        <v>670</v>
      </c>
      <c r="J945" s="936">
        <v>2.4363636363636401</v>
      </c>
      <c r="K945" s="936">
        <v>12.181818181818199</v>
      </c>
      <c r="L945" s="939">
        <v>0.54347826086956497</v>
      </c>
    </row>
    <row r="946" spans="1:12" hidden="1">
      <c r="A946" s="931">
        <v>13</v>
      </c>
      <c r="B946" s="1246">
        <v>46104</v>
      </c>
      <c r="C946" s="1248">
        <v>46110</v>
      </c>
      <c r="D946" s="933">
        <v>55</v>
      </c>
      <c r="E946" s="933" t="s">
        <v>752</v>
      </c>
      <c r="F946" s="933" t="s">
        <v>264</v>
      </c>
      <c r="G946" s="933">
        <v>4</v>
      </c>
      <c r="H946" s="933">
        <v>4</v>
      </c>
      <c r="I946" s="933" t="s">
        <v>670</v>
      </c>
      <c r="J946" s="934">
        <v>1.48863636363636</v>
      </c>
      <c r="K946" s="934">
        <v>5.9545454545454604</v>
      </c>
      <c r="L946" s="938">
        <v>0.434782608695652</v>
      </c>
    </row>
    <row r="947" spans="1:12" hidden="1">
      <c r="A947" s="931">
        <v>13</v>
      </c>
      <c r="B947" s="1247">
        <v>46104</v>
      </c>
      <c r="C947" s="1249">
        <v>46110</v>
      </c>
      <c r="D947" s="935">
        <v>56</v>
      </c>
      <c r="E947" s="935" t="s">
        <v>762</v>
      </c>
      <c r="F947" s="935" t="s">
        <v>323</v>
      </c>
      <c r="G947" s="935">
        <v>4</v>
      </c>
      <c r="H947" s="935">
        <v>4</v>
      </c>
      <c r="I947" s="935" t="s">
        <v>670</v>
      </c>
      <c r="J947" s="936">
        <v>2.7272727272727302</v>
      </c>
      <c r="K947" s="936">
        <v>10.909090909090899</v>
      </c>
      <c r="L947" s="939">
        <v>0.434782608695652</v>
      </c>
    </row>
    <row r="948" spans="1:12" hidden="1">
      <c r="A948" s="931">
        <v>13</v>
      </c>
      <c r="B948" s="1246">
        <v>46104</v>
      </c>
      <c r="C948" s="1248">
        <v>46110</v>
      </c>
      <c r="D948" s="933">
        <v>57</v>
      </c>
      <c r="E948" s="933" t="s">
        <v>784</v>
      </c>
      <c r="F948" s="933" t="s">
        <v>764</v>
      </c>
      <c r="G948" s="933">
        <v>4</v>
      </c>
      <c r="H948" s="933">
        <v>4</v>
      </c>
      <c r="I948" s="933" t="s">
        <v>670</v>
      </c>
      <c r="J948" s="934">
        <v>13.295454545454501</v>
      </c>
      <c r="K948" s="934">
        <v>53.181818181818201</v>
      </c>
      <c r="L948" s="938">
        <v>0.434782608695652</v>
      </c>
    </row>
    <row r="949" spans="1:12" hidden="1">
      <c r="A949" s="931">
        <v>13</v>
      </c>
      <c r="B949" s="1247">
        <v>46104</v>
      </c>
      <c r="C949" s="1249">
        <v>46110</v>
      </c>
      <c r="D949" s="935">
        <v>58</v>
      </c>
      <c r="E949" s="935" t="s">
        <v>814</v>
      </c>
      <c r="F949" s="935" t="s">
        <v>815</v>
      </c>
      <c r="G949" s="935">
        <v>4</v>
      </c>
      <c r="H949" s="935">
        <v>4</v>
      </c>
      <c r="I949" s="935" t="s">
        <v>670</v>
      </c>
      <c r="J949" s="936">
        <v>4.9090909090909101</v>
      </c>
      <c r="K949" s="936">
        <v>19.636363636363601</v>
      </c>
      <c r="L949" s="939">
        <v>0.434782608695652</v>
      </c>
    </row>
    <row r="950" spans="1:12" hidden="1">
      <c r="A950" s="931">
        <v>13</v>
      </c>
      <c r="B950" s="1246">
        <v>46104</v>
      </c>
      <c r="C950" s="1248">
        <v>46110</v>
      </c>
      <c r="D950" s="933">
        <v>59</v>
      </c>
      <c r="E950" s="933" t="s">
        <v>722</v>
      </c>
      <c r="F950" s="933" t="s">
        <v>251</v>
      </c>
      <c r="G950" s="933">
        <v>4</v>
      </c>
      <c r="H950" s="933">
        <v>4</v>
      </c>
      <c r="I950" s="933" t="s">
        <v>670</v>
      </c>
      <c r="J950" s="934">
        <v>2.5113636363636398</v>
      </c>
      <c r="K950" s="934">
        <v>10.045454545454501</v>
      </c>
      <c r="L950" s="938">
        <v>0.434782608695652</v>
      </c>
    </row>
    <row r="951" spans="1:12" hidden="1">
      <c r="A951" s="931">
        <v>13</v>
      </c>
      <c r="B951" s="1247">
        <v>46104</v>
      </c>
      <c r="C951" s="1249">
        <v>46110</v>
      </c>
      <c r="D951" s="935">
        <v>60</v>
      </c>
      <c r="E951" s="935" t="s">
        <v>705</v>
      </c>
      <c r="F951" s="935" t="s">
        <v>274</v>
      </c>
      <c r="G951" s="935">
        <v>4</v>
      </c>
      <c r="H951" s="935">
        <v>4</v>
      </c>
      <c r="I951" s="935" t="s">
        <v>670</v>
      </c>
      <c r="J951" s="936">
        <v>9.2045454545454497</v>
      </c>
      <c r="K951" s="936">
        <v>36.818181818181799</v>
      </c>
      <c r="L951" s="939">
        <v>0.434782608695652</v>
      </c>
    </row>
    <row r="952" spans="1:12" hidden="1">
      <c r="A952" s="931">
        <v>13</v>
      </c>
      <c r="B952" s="1246">
        <v>46104</v>
      </c>
      <c r="C952" s="1248">
        <v>46110</v>
      </c>
      <c r="D952" s="933">
        <v>61</v>
      </c>
      <c r="E952" s="933" t="s">
        <v>783</v>
      </c>
      <c r="F952" s="933" t="s">
        <v>764</v>
      </c>
      <c r="G952" s="933">
        <v>4</v>
      </c>
      <c r="H952" s="933">
        <v>4</v>
      </c>
      <c r="I952" s="933" t="s">
        <v>670</v>
      </c>
      <c r="J952" s="934">
        <v>9.0909090909090899</v>
      </c>
      <c r="K952" s="934">
        <v>36.363636363636402</v>
      </c>
      <c r="L952" s="938">
        <v>0.434782608695652</v>
      </c>
    </row>
    <row r="953" spans="1:12" hidden="1">
      <c r="A953" s="931">
        <v>13</v>
      </c>
      <c r="B953" s="1247">
        <v>46104</v>
      </c>
      <c r="C953" s="1249">
        <v>46110</v>
      </c>
      <c r="D953" s="935">
        <v>62</v>
      </c>
      <c r="E953" s="935" t="s">
        <v>685</v>
      </c>
      <c r="F953" s="935" t="s">
        <v>256</v>
      </c>
      <c r="G953" s="935">
        <v>4</v>
      </c>
      <c r="H953" s="935">
        <v>4</v>
      </c>
      <c r="I953" s="935" t="s">
        <v>670</v>
      </c>
      <c r="J953" s="936">
        <v>8.2954545454545396</v>
      </c>
      <c r="K953" s="936">
        <v>33.181818181818201</v>
      </c>
      <c r="L953" s="939">
        <v>0.434782608695652</v>
      </c>
    </row>
    <row r="954" spans="1:12" hidden="1">
      <c r="A954" s="931">
        <v>13</v>
      </c>
      <c r="B954" s="1246">
        <v>46104</v>
      </c>
      <c r="C954" s="1248">
        <v>46110</v>
      </c>
      <c r="D954" s="933">
        <v>63</v>
      </c>
      <c r="E954" s="933" t="s">
        <v>748</v>
      </c>
      <c r="F954" s="933" t="s">
        <v>274</v>
      </c>
      <c r="G954" s="933">
        <v>3</v>
      </c>
      <c r="H954" s="933">
        <v>3</v>
      </c>
      <c r="I954" s="933" t="s">
        <v>670</v>
      </c>
      <c r="J954" s="934">
        <v>9.1666666666666696</v>
      </c>
      <c r="K954" s="934">
        <v>27.5</v>
      </c>
      <c r="L954" s="938">
        <v>0.32608695652173902</v>
      </c>
    </row>
    <row r="955" spans="1:12" hidden="1">
      <c r="A955" s="931">
        <v>13</v>
      </c>
      <c r="B955" s="1247">
        <v>46104</v>
      </c>
      <c r="C955" s="1249">
        <v>46110</v>
      </c>
      <c r="D955" s="935">
        <v>64</v>
      </c>
      <c r="E955" s="935" t="s">
        <v>734</v>
      </c>
      <c r="F955" s="935" t="s">
        <v>695</v>
      </c>
      <c r="G955" s="935">
        <v>3</v>
      </c>
      <c r="H955" s="935">
        <v>3</v>
      </c>
      <c r="I955" s="935" t="s">
        <v>670</v>
      </c>
      <c r="J955" s="936">
        <v>18.3333333333333</v>
      </c>
      <c r="K955" s="936">
        <v>55</v>
      </c>
      <c r="L955" s="939">
        <v>0.32608695652173902</v>
      </c>
    </row>
    <row r="956" spans="1:12" hidden="1">
      <c r="A956" s="931">
        <v>13</v>
      </c>
      <c r="B956" s="1246">
        <v>46104</v>
      </c>
      <c r="C956" s="1248">
        <v>46110</v>
      </c>
      <c r="D956" s="933">
        <v>65</v>
      </c>
      <c r="E956" s="933" t="s">
        <v>763</v>
      </c>
      <c r="F956" s="933" t="s">
        <v>764</v>
      </c>
      <c r="G956" s="933">
        <v>3</v>
      </c>
      <c r="H956" s="933">
        <v>3</v>
      </c>
      <c r="I956" s="933" t="s">
        <v>670</v>
      </c>
      <c r="J956" s="934">
        <v>10.530303030302999</v>
      </c>
      <c r="K956" s="934">
        <v>31.590909090909101</v>
      </c>
      <c r="L956" s="938">
        <v>0.32608695652173902</v>
      </c>
    </row>
    <row r="957" spans="1:12" hidden="1">
      <c r="A957" s="931">
        <v>13</v>
      </c>
      <c r="B957" s="1247">
        <v>46104</v>
      </c>
      <c r="C957" s="1249">
        <v>46110</v>
      </c>
      <c r="D957" s="935">
        <v>66</v>
      </c>
      <c r="E957" s="935" t="s">
        <v>692</v>
      </c>
      <c r="F957" s="935" t="s">
        <v>693</v>
      </c>
      <c r="G957" s="935">
        <v>3</v>
      </c>
      <c r="H957" s="935">
        <v>3</v>
      </c>
      <c r="I957" s="935" t="s">
        <v>670</v>
      </c>
      <c r="J957" s="936">
        <v>0</v>
      </c>
      <c r="K957" s="936">
        <v>0</v>
      </c>
      <c r="L957" s="939">
        <v>0.32608695652173902</v>
      </c>
    </row>
    <row r="958" spans="1:12" hidden="1">
      <c r="A958" s="931">
        <v>13</v>
      </c>
      <c r="B958" s="1246">
        <v>46104</v>
      </c>
      <c r="C958" s="1248">
        <v>46110</v>
      </c>
      <c r="D958" s="933">
        <v>67</v>
      </c>
      <c r="E958" s="933" t="s">
        <v>694</v>
      </c>
      <c r="F958" s="933" t="s">
        <v>695</v>
      </c>
      <c r="G958" s="933">
        <v>3</v>
      </c>
      <c r="H958" s="933">
        <v>3</v>
      </c>
      <c r="I958" s="933" t="s">
        <v>670</v>
      </c>
      <c r="J958" s="934">
        <v>3.8636363636363602</v>
      </c>
      <c r="K958" s="934">
        <v>11.590909090909101</v>
      </c>
      <c r="L958" s="938">
        <v>0.32608695652173902</v>
      </c>
    </row>
    <row r="959" spans="1:12" hidden="1">
      <c r="A959" s="931">
        <v>13</v>
      </c>
      <c r="B959" s="1247">
        <v>46104</v>
      </c>
      <c r="C959" s="1249">
        <v>46110</v>
      </c>
      <c r="D959" s="935">
        <v>68</v>
      </c>
      <c r="E959" s="935" t="s">
        <v>727</v>
      </c>
      <c r="F959" s="935" t="s">
        <v>275</v>
      </c>
      <c r="G959" s="935">
        <v>3</v>
      </c>
      <c r="H959" s="935">
        <v>3</v>
      </c>
      <c r="I959" s="935" t="s">
        <v>670</v>
      </c>
      <c r="J959" s="936">
        <v>0</v>
      </c>
      <c r="K959" s="936">
        <v>0</v>
      </c>
      <c r="L959" s="939">
        <v>0.32608695652173902</v>
      </c>
    </row>
    <row r="960" spans="1:12" hidden="1">
      <c r="A960" s="931">
        <v>13</v>
      </c>
      <c r="B960" s="1246">
        <v>46104</v>
      </c>
      <c r="C960" s="1248">
        <v>46110</v>
      </c>
      <c r="D960" s="933">
        <v>69</v>
      </c>
      <c r="E960" s="933" t="s">
        <v>757</v>
      </c>
      <c r="F960" s="933" t="s">
        <v>251</v>
      </c>
      <c r="G960" s="933">
        <v>3</v>
      </c>
      <c r="H960" s="933">
        <v>3</v>
      </c>
      <c r="I960" s="933" t="s">
        <v>670</v>
      </c>
      <c r="J960" s="934">
        <v>2.5454545454545401</v>
      </c>
      <c r="K960" s="934">
        <v>7.6363636363636402</v>
      </c>
      <c r="L960" s="938">
        <v>0.32608695652173902</v>
      </c>
    </row>
    <row r="961" spans="1:12" hidden="1">
      <c r="A961" s="931">
        <v>13</v>
      </c>
      <c r="B961" s="1247">
        <v>46104</v>
      </c>
      <c r="C961" s="1249">
        <v>46110</v>
      </c>
      <c r="D961" s="935">
        <v>70</v>
      </c>
      <c r="E961" s="935" t="s">
        <v>760</v>
      </c>
      <c r="F961" s="935" t="s">
        <v>253</v>
      </c>
      <c r="G961" s="935">
        <v>3</v>
      </c>
      <c r="H961" s="935">
        <v>3</v>
      </c>
      <c r="I961" s="935" t="s">
        <v>672</v>
      </c>
      <c r="J961" s="936">
        <v>0</v>
      </c>
      <c r="K961" s="936">
        <v>0</v>
      </c>
      <c r="L961" s="939">
        <v>0.32608695652173902</v>
      </c>
    </row>
    <row r="962" spans="1:12" hidden="1">
      <c r="A962" s="931">
        <v>13</v>
      </c>
      <c r="B962" s="1246">
        <v>46104</v>
      </c>
      <c r="C962" s="1248">
        <v>46110</v>
      </c>
      <c r="D962" s="933">
        <v>71</v>
      </c>
      <c r="E962" s="933" t="s">
        <v>690</v>
      </c>
      <c r="F962" s="933" t="s">
        <v>275</v>
      </c>
      <c r="G962" s="933">
        <v>3</v>
      </c>
      <c r="H962" s="933">
        <v>3</v>
      </c>
      <c r="I962" s="933" t="s">
        <v>670</v>
      </c>
      <c r="J962" s="934">
        <v>2.7272727272727302</v>
      </c>
      <c r="K962" s="934">
        <v>8.1818181818181799</v>
      </c>
      <c r="L962" s="938">
        <v>0.32608695652173902</v>
      </c>
    </row>
    <row r="963" spans="1:12" hidden="1">
      <c r="A963" s="931">
        <v>13</v>
      </c>
      <c r="B963" s="1247">
        <v>46104</v>
      </c>
      <c r="C963" s="1249">
        <v>46110</v>
      </c>
      <c r="D963" s="935">
        <v>72</v>
      </c>
      <c r="E963" s="935" t="s">
        <v>714</v>
      </c>
      <c r="F963" s="935" t="s">
        <v>251</v>
      </c>
      <c r="G963" s="935">
        <v>3</v>
      </c>
      <c r="H963" s="935">
        <v>3</v>
      </c>
      <c r="I963" s="935" t="s">
        <v>670</v>
      </c>
      <c r="J963" s="936">
        <v>0.98484848484848497</v>
      </c>
      <c r="K963" s="936">
        <v>2.9545454545454501</v>
      </c>
      <c r="L963" s="939">
        <v>0.32608695652173902</v>
      </c>
    </row>
    <row r="964" spans="1:12" hidden="1">
      <c r="A964" s="931">
        <v>13</v>
      </c>
      <c r="B964" s="1246">
        <v>46104</v>
      </c>
      <c r="C964" s="1248">
        <v>46110</v>
      </c>
      <c r="D964" s="933">
        <v>73</v>
      </c>
      <c r="E964" s="933" t="s">
        <v>683</v>
      </c>
      <c r="F964" s="933" t="s">
        <v>274</v>
      </c>
      <c r="G964" s="933">
        <v>3</v>
      </c>
      <c r="H964" s="933">
        <v>3</v>
      </c>
      <c r="I964" s="933" t="s">
        <v>670</v>
      </c>
      <c r="J964" s="934">
        <v>10.9848484848485</v>
      </c>
      <c r="K964" s="934">
        <v>32.954545454545503</v>
      </c>
      <c r="L964" s="938">
        <v>0.32608695652173902</v>
      </c>
    </row>
    <row r="965" spans="1:12" hidden="1">
      <c r="A965" s="931">
        <v>13</v>
      </c>
      <c r="B965" s="1247">
        <v>46104</v>
      </c>
      <c r="C965" s="1249">
        <v>46110</v>
      </c>
      <c r="D965" s="935">
        <v>74</v>
      </c>
      <c r="E965" s="935" t="s">
        <v>735</v>
      </c>
      <c r="F965" s="935" t="s">
        <v>730</v>
      </c>
      <c r="G965" s="935">
        <v>2</v>
      </c>
      <c r="H965" s="935">
        <v>2</v>
      </c>
      <c r="I965" s="935" t="s">
        <v>670</v>
      </c>
      <c r="J965" s="936">
        <v>2.8181818181818201</v>
      </c>
      <c r="K965" s="936">
        <v>5.6363636363636402</v>
      </c>
      <c r="L965" s="939">
        <v>0.217391304347826</v>
      </c>
    </row>
    <row r="966" spans="1:12" hidden="1">
      <c r="A966" s="931">
        <v>13</v>
      </c>
      <c r="B966" s="1246">
        <v>46104</v>
      </c>
      <c r="C966" s="1248">
        <v>46110</v>
      </c>
      <c r="D966" s="933">
        <v>75</v>
      </c>
      <c r="E966" s="933" t="s">
        <v>811</v>
      </c>
      <c r="F966" s="933" t="s">
        <v>275</v>
      </c>
      <c r="G966" s="933">
        <v>2</v>
      </c>
      <c r="H966" s="933">
        <v>2</v>
      </c>
      <c r="I966" s="933" t="s">
        <v>670</v>
      </c>
      <c r="J966" s="934">
        <v>4.0909090909090899</v>
      </c>
      <c r="K966" s="934">
        <v>8.1818181818181799</v>
      </c>
      <c r="L966" s="938">
        <v>0.217391304347826</v>
      </c>
    </row>
    <row r="967" spans="1:12" hidden="1">
      <c r="A967" s="931">
        <v>13</v>
      </c>
      <c r="B967" s="1247">
        <v>46104</v>
      </c>
      <c r="C967" s="1249">
        <v>46110</v>
      </c>
      <c r="D967" s="935">
        <v>76</v>
      </c>
      <c r="E967" s="935" t="s">
        <v>825</v>
      </c>
      <c r="F967" s="935" t="s">
        <v>256</v>
      </c>
      <c r="G967" s="935">
        <v>2</v>
      </c>
      <c r="H967" s="935">
        <v>2</v>
      </c>
      <c r="I967" s="935" t="s">
        <v>670</v>
      </c>
      <c r="J967" s="936">
        <v>0</v>
      </c>
      <c r="K967" s="936">
        <v>0</v>
      </c>
      <c r="L967" s="939">
        <v>0.217391304347826</v>
      </c>
    </row>
    <row r="968" spans="1:12" hidden="1">
      <c r="A968" s="931">
        <v>13</v>
      </c>
      <c r="B968" s="1246">
        <v>46104</v>
      </c>
      <c r="C968" s="1248">
        <v>46110</v>
      </c>
      <c r="D968" s="933">
        <v>77</v>
      </c>
      <c r="E968" s="933" t="s">
        <v>822</v>
      </c>
      <c r="F968" s="933" t="s">
        <v>256</v>
      </c>
      <c r="G968" s="933">
        <v>2</v>
      </c>
      <c r="H968" s="933">
        <v>2</v>
      </c>
      <c r="I968" s="933" t="s">
        <v>670</v>
      </c>
      <c r="J968" s="934">
        <v>5.3636363636363598</v>
      </c>
      <c r="K968" s="934">
        <v>10.7272727272727</v>
      </c>
      <c r="L968" s="938">
        <v>0.217391304347826</v>
      </c>
    </row>
    <row r="969" spans="1:12" hidden="1">
      <c r="A969" s="931">
        <v>13</v>
      </c>
      <c r="B969" s="1247">
        <v>46104</v>
      </c>
      <c r="C969" s="1249">
        <v>46110</v>
      </c>
      <c r="D969" s="935">
        <v>78</v>
      </c>
      <c r="E969" s="935" t="s">
        <v>755</v>
      </c>
      <c r="F969" s="935" t="s">
        <v>251</v>
      </c>
      <c r="G969" s="935">
        <v>2</v>
      </c>
      <c r="H969" s="935">
        <v>2</v>
      </c>
      <c r="I969" s="935" t="s">
        <v>670</v>
      </c>
      <c r="J969" s="936">
        <v>2.4772727272727302</v>
      </c>
      <c r="K969" s="936">
        <v>4.9545454545454497</v>
      </c>
      <c r="L969" s="939">
        <v>0.217391304347826</v>
      </c>
    </row>
    <row r="970" spans="1:12" hidden="1">
      <c r="A970" s="931">
        <v>13</v>
      </c>
      <c r="B970" s="1246">
        <v>46104</v>
      </c>
      <c r="C970" s="1248">
        <v>46110</v>
      </c>
      <c r="D970" s="933">
        <v>79</v>
      </c>
      <c r="E970" s="933" t="s">
        <v>816</v>
      </c>
      <c r="F970" s="933" t="s">
        <v>256</v>
      </c>
      <c r="G970" s="933">
        <v>2</v>
      </c>
      <c r="H970" s="933">
        <v>2</v>
      </c>
      <c r="I970" s="933" t="s">
        <v>670</v>
      </c>
      <c r="J970" s="934">
        <v>2.7272727272727302</v>
      </c>
      <c r="K970" s="934">
        <v>5.4545454545454497</v>
      </c>
      <c r="L970" s="938">
        <v>0.217391304347826</v>
      </c>
    </row>
    <row r="971" spans="1:12" hidden="1">
      <c r="A971" s="931">
        <v>13</v>
      </c>
      <c r="B971" s="1247">
        <v>46104</v>
      </c>
      <c r="C971" s="1249">
        <v>46110</v>
      </c>
      <c r="D971" s="935">
        <v>80</v>
      </c>
      <c r="E971" s="935" t="s">
        <v>830</v>
      </c>
      <c r="F971" s="935" t="s">
        <v>820</v>
      </c>
      <c r="G971" s="935">
        <v>2</v>
      </c>
      <c r="H971" s="935">
        <v>2</v>
      </c>
      <c r="I971" s="935" t="s">
        <v>670</v>
      </c>
      <c r="J971" s="936">
        <v>7.9090909090909101</v>
      </c>
      <c r="K971" s="936">
        <v>15.818181818181801</v>
      </c>
      <c r="L971" s="939">
        <v>0.217391304347826</v>
      </c>
    </row>
    <row r="972" spans="1:12" hidden="1">
      <c r="A972" s="931">
        <v>13</v>
      </c>
      <c r="B972" s="1246">
        <v>46104</v>
      </c>
      <c r="C972" s="1248">
        <v>46110</v>
      </c>
      <c r="D972" s="933">
        <v>81</v>
      </c>
      <c r="E972" s="933" t="s">
        <v>834</v>
      </c>
      <c r="F972" s="933" t="s">
        <v>253</v>
      </c>
      <c r="G972" s="933">
        <v>2</v>
      </c>
      <c r="H972" s="933">
        <v>2</v>
      </c>
      <c r="I972" s="933" t="s">
        <v>670</v>
      </c>
      <c r="J972" s="934">
        <v>3.0909090909090899</v>
      </c>
      <c r="K972" s="934">
        <v>6.1818181818181799</v>
      </c>
      <c r="L972" s="938">
        <v>0.217391304347826</v>
      </c>
    </row>
    <row r="973" spans="1:12" hidden="1">
      <c r="A973" s="931">
        <v>13</v>
      </c>
      <c r="B973" s="1247">
        <v>46104</v>
      </c>
      <c r="C973" s="1249">
        <v>46110</v>
      </c>
      <c r="D973" s="935">
        <v>82</v>
      </c>
      <c r="E973" s="935" t="s">
        <v>835</v>
      </c>
      <c r="F973" s="935" t="s">
        <v>256</v>
      </c>
      <c r="G973" s="935">
        <v>2</v>
      </c>
      <c r="H973" s="935">
        <v>2</v>
      </c>
      <c r="I973" s="935" t="s">
        <v>741</v>
      </c>
      <c r="J973" s="936">
        <v>8.0909090909090899</v>
      </c>
      <c r="K973" s="936">
        <v>16.181818181818201</v>
      </c>
      <c r="L973" s="939">
        <v>0.217391304347826</v>
      </c>
    </row>
    <row r="974" spans="1:12" hidden="1">
      <c r="A974" s="931">
        <v>13</v>
      </c>
      <c r="B974" s="1246">
        <v>46104</v>
      </c>
      <c r="C974" s="1248">
        <v>46110</v>
      </c>
      <c r="D974" s="933">
        <v>83</v>
      </c>
      <c r="E974" s="933" t="s">
        <v>801</v>
      </c>
      <c r="F974" s="933" t="s">
        <v>713</v>
      </c>
      <c r="G974" s="933">
        <v>2</v>
      </c>
      <c r="H974" s="933">
        <v>2</v>
      </c>
      <c r="I974" s="933" t="s">
        <v>670</v>
      </c>
      <c r="J974" s="934">
        <v>4.4090909090909101</v>
      </c>
      <c r="K974" s="934">
        <v>8.8181818181818201</v>
      </c>
      <c r="L974" s="938">
        <v>0.217391304347826</v>
      </c>
    </row>
    <row r="975" spans="1:12" hidden="1">
      <c r="A975" s="941">
        <v>13</v>
      </c>
      <c r="B975" s="1247">
        <v>46104</v>
      </c>
      <c r="C975" s="1249">
        <v>46110</v>
      </c>
      <c r="D975" s="935">
        <v>84</v>
      </c>
      <c r="E975" s="935" t="s">
        <v>799</v>
      </c>
      <c r="F975" s="935" t="s">
        <v>713</v>
      </c>
      <c r="G975" s="935">
        <v>2</v>
      </c>
      <c r="H975" s="935">
        <v>2</v>
      </c>
      <c r="I975" s="935" t="s">
        <v>670</v>
      </c>
      <c r="J975" s="936">
        <v>3.2954545454545401</v>
      </c>
      <c r="K975" s="936">
        <v>6.5909090909090899</v>
      </c>
      <c r="L975" s="939">
        <v>0.217391304347826</v>
      </c>
    </row>
    <row r="976" spans="1:12" hidden="1">
      <c r="A976" s="941">
        <v>13</v>
      </c>
      <c r="B976" s="1246">
        <v>46104</v>
      </c>
      <c r="C976" s="1248">
        <v>46110</v>
      </c>
      <c r="D976" s="933">
        <v>85</v>
      </c>
      <c r="E976" s="933" t="s">
        <v>756</v>
      </c>
      <c r="F976" s="933" t="s">
        <v>251</v>
      </c>
      <c r="G976" s="933">
        <v>2</v>
      </c>
      <c r="H976" s="933">
        <v>2</v>
      </c>
      <c r="I976" s="933" t="s">
        <v>670</v>
      </c>
      <c r="J976" s="934">
        <v>2.2045454545454501</v>
      </c>
      <c r="K976" s="934">
        <v>4.4090909090909101</v>
      </c>
      <c r="L976" s="938">
        <v>0.217391304347826</v>
      </c>
    </row>
    <row r="977" spans="1:12" hidden="1">
      <c r="A977" s="941">
        <v>13</v>
      </c>
      <c r="B977" s="1247">
        <v>46104</v>
      </c>
      <c r="C977" s="1249">
        <v>46110</v>
      </c>
      <c r="D977" s="935">
        <v>86</v>
      </c>
      <c r="E977" s="935" t="s">
        <v>731</v>
      </c>
      <c r="F977" s="935" t="s">
        <v>251</v>
      </c>
      <c r="G977" s="935">
        <v>2</v>
      </c>
      <c r="H977" s="935">
        <v>2</v>
      </c>
      <c r="I977" s="935" t="s">
        <v>670</v>
      </c>
      <c r="J977" s="936">
        <v>2.4090909090909101</v>
      </c>
      <c r="K977" s="936">
        <v>4.8181818181818201</v>
      </c>
      <c r="L977" s="939">
        <v>0.217391304347826</v>
      </c>
    </row>
    <row r="978" spans="1:12" hidden="1">
      <c r="A978" s="941">
        <v>13</v>
      </c>
      <c r="B978" s="1246">
        <v>46104</v>
      </c>
      <c r="C978" s="1248">
        <v>46110</v>
      </c>
      <c r="D978" s="933">
        <v>87</v>
      </c>
      <c r="E978" s="933" t="s">
        <v>808</v>
      </c>
      <c r="F978" s="933" t="s">
        <v>268</v>
      </c>
      <c r="G978" s="933">
        <v>2</v>
      </c>
      <c r="H978" s="933">
        <v>2</v>
      </c>
      <c r="I978" s="933" t="s">
        <v>670</v>
      </c>
      <c r="J978" s="934">
        <v>0.59090909090909105</v>
      </c>
      <c r="K978" s="934">
        <v>1.1818181818181801</v>
      </c>
      <c r="L978" s="938">
        <v>0.217391304347826</v>
      </c>
    </row>
    <row r="979" spans="1:12" hidden="1">
      <c r="A979" s="941">
        <v>13</v>
      </c>
      <c r="B979" s="1247">
        <v>46104</v>
      </c>
      <c r="C979" s="1249">
        <v>46110</v>
      </c>
      <c r="D979" s="935">
        <v>88</v>
      </c>
      <c r="E979" s="935" t="s">
        <v>798</v>
      </c>
      <c r="F979" s="935" t="s">
        <v>713</v>
      </c>
      <c r="G979" s="935">
        <v>1</v>
      </c>
      <c r="H979" s="935">
        <v>1</v>
      </c>
      <c r="I979" s="935" t="s">
        <v>670</v>
      </c>
      <c r="J979" s="936">
        <v>5.4090909090909101</v>
      </c>
      <c r="K979" s="936">
        <v>5.4090909090909101</v>
      </c>
      <c r="L979" s="939">
        <v>0.108695652173913</v>
      </c>
    </row>
    <row r="980" spans="1:12" hidden="1">
      <c r="A980" s="941">
        <v>13</v>
      </c>
      <c r="B980" s="1246">
        <v>46104</v>
      </c>
      <c r="C980" s="1248">
        <v>46110</v>
      </c>
      <c r="D980" s="933">
        <v>89</v>
      </c>
      <c r="E980" s="933" t="s">
        <v>766</v>
      </c>
      <c r="F980" s="933" t="s">
        <v>253</v>
      </c>
      <c r="G980" s="933">
        <v>1</v>
      </c>
      <c r="H980" s="933">
        <v>1</v>
      </c>
      <c r="I980" s="933" t="s">
        <v>672</v>
      </c>
      <c r="J980" s="934">
        <v>0.90909090909090895</v>
      </c>
      <c r="K980" s="934">
        <v>0.90909090909090895</v>
      </c>
      <c r="L980" s="938">
        <v>0.108695652173913</v>
      </c>
    </row>
    <row r="981" spans="1:12" hidden="1">
      <c r="A981" s="941">
        <v>13</v>
      </c>
      <c r="B981" s="1247">
        <v>46104</v>
      </c>
      <c r="C981" s="1249">
        <v>46110</v>
      </c>
      <c r="D981" s="935">
        <v>90</v>
      </c>
      <c r="E981" s="935" t="s">
        <v>817</v>
      </c>
      <c r="F981" s="935" t="s">
        <v>713</v>
      </c>
      <c r="G981" s="935">
        <v>1</v>
      </c>
      <c r="H981" s="935">
        <v>1</v>
      </c>
      <c r="I981" s="935" t="s">
        <v>670</v>
      </c>
      <c r="J981" s="936">
        <v>4.4545454545454497</v>
      </c>
      <c r="K981" s="936">
        <v>4.4545454545454497</v>
      </c>
      <c r="L981" s="939">
        <v>0.108695652173913</v>
      </c>
    </row>
    <row r="982" spans="1:12" hidden="1">
      <c r="A982" s="941">
        <v>13</v>
      </c>
      <c r="B982" s="1246">
        <v>46104</v>
      </c>
      <c r="C982" s="1248">
        <v>46110</v>
      </c>
      <c r="D982" s="933">
        <v>91</v>
      </c>
      <c r="E982" s="933" t="s">
        <v>720</v>
      </c>
      <c r="F982" s="933" t="s">
        <v>251</v>
      </c>
      <c r="G982" s="933">
        <v>1</v>
      </c>
      <c r="H982" s="933">
        <v>1</v>
      </c>
      <c r="I982" s="933" t="s">
        <v>670</v>
      </c>
      <c r="J982" s="934">
        <v>2.4090909090909101</v>
      </c>
      <c r="K982" s="934">
        <v>2.4090909090909101</v>
      </c>
      <c r="L982" s="938">
        <v>0.108695652173913</v>
      </c>
    </row>
    <row r="983" spans="1:12" hidden="1">
      <c r="A983" s="941">
        <v>13</v>
      </c>
      <c r="B983" s="1247">
        <v>46104</v>
      </c>
      <c r="C983" s="1249">
        <v>46110</v>
      </c>
      <c r="D983" s="935">
        <v>92</v>
      </c>
      <c r="E983" s="935" t="s">
        <v>772</v>
      </c>
      <c r="F983" s="935" t="s">
        <v>730</v>
      </c>
      <c r="G983" s="935">
        <v>1</v>
      </c>
      <c r="H983" s="935">
        <v>1</v>
      </c>
      <c r="I983" s="935" t="s">
        <v>670</v>
      </c>
      <c r="J983" s="936">
        <v>2.9545454545454501</v>
      </c>
      <c r="K983" s="936">
        <v>2.9545454545454501</v>
      </c>
      <c r="L983" s="939">
        <v>0.108695652173913</v>
      </c>
    </row>
    <row r="984" spans="1:12" hidden="1">
      <c r="A984" s="941">
        <v>13</v>
      </c>
      <c r="B984" s="1246">
        <v>46104</v>
      </c>
      <c r="C984" s="1248">
        <v>46110</v>
      </c>
      <c r="D984" s="933">
        <v>93</v>
      </c>
      <c r="E984" s="933" t="s">
        <v>786</v>
      </c>
      <c r="F984" s="933" t="s">
        <v>249</v>
      </c>
      <c r="G984" s="933">
        <v>1</v>
      </c>
      <c r="H984" s="933">
        <v>1</v>
      </c>
      <c r="I984" s="933" t="s">
        <v>670</v>
      </c>
      <c r="J984" s="934">
        <v>1.5</v>
      </c>
      <c r="K984" s="934">
        <v>1.5</v>
      </c>
      <c r="L984" s="938">
        <v>0.108695652173913</v>
      </c>
    </row>
    <row r="985" spans="1:12" hidden="1">
      <c r="A985" s="941">
        <v>13</v>
      </c>
      <c r="B985" s="1247">
        <v>46104</v>
      </c>
      <c r="C985" s="1249">
        <v>46110</v>
      </c>
      <c r="D985" s="935">
        <v>94</v>
      </c>
      <c r="E985" s="935" t="s">
        <v>836</v>
      </c>
      <c r="F985" s="935" t="s">
        <v>713</v>
      </c>
      <c r="G985" s="935">
        <v>1</v>
      </c>
      <c r="H985" s="935">
        <v>1</v>
      </c>
      <c r="I985" s="935" t="s">
        <v>670</v>
      </c>
      <c r="J985" s="936">
        <v>7.9090909090909101</v>
      </c>
      <c r="K985" s="936">
        <v>7.9090909090909101</v>
      </c>
      <c r="L985" s="939">
        <v>0.108695652173913</v>
      </c>
    </row>
    <row r="986" spans="1:12" hidden="1">
      <c r="A986" s="941">
        <v>13</v>
      </c>
      <c r="B986" s="1246">
        <v>46104</v>
      </c>
      <c r="C986" s="1248">
        <v>46110</v>
      </c>
      <c r="D986" s="933">
        <v>95</v>
      </c>
      <c r="E986" s="933" t="s">
        <v>690</v>
      </c>
      <c r="F986" s="933" t="s">
        <v>275</v>
      </c>
      <c r="G986" s="933">
        <v>1</v>
      </c>
      <c r="H986" s="933">
        <v>1</v>
      </c>
      <c r="I986" s="933" t="s">
        <v>670</v>
      </c>
      <c r="J986" s="934">
        <v>4.3181818181818201</v>
      </c>
      <c r="K986" s="934">
        <v>4.3181818181818201</v>
      </c>
      <c r="L986" s="938">
        <v>0.108695652173913</v>
      </c>
    </row>
    <row r="987" spans="1:12" hidden="1">
      <c r="A987" s="941">
        <v>13</v>
      </c>
      <c r="B987" s="1247">
        <v>46104</v>
      </c>
      <c r="C987" s="1249">
        <v>46110</v>
      </c>
      <c r="D987" s="935">
        <v>96</v>
      </c>
      <c r="E987" s="935" t="s">
        <v>747</v>
      </c>
      <c r="F987" s="935" t="s">
        <v>256</v>
      </c>
      <c r="G987" s="935">
        <v>1</v>
      </c>
      <c r="H987" s="935">
        <v>1</v>
      </c>
      <c r="I987" s="935" t="s">
        <v>670</v>
      </c>
      <c r="J987" s="936">
        <v>7.7272727272727302</v>
      </c>
      <c r="K987" s="936">
        <v>7.7272727272727302</v>
      </c>
      <c r="L987" s="939">
        <v>0.108695652173913</v>
      </c>
    </row>
    <row r="988" spans="1:12" hidden="1">
      <c r="A988" s="941">
        <v>13</v>
      </c>
      <c r="B988" s="1246">
        <v>46104</v>
      </c>
      <c r="C988" s="1248">
        <v>46110</v>
      </c>
      <c r="D988" s="933">
        <v>97</v>
      </c>
      <c r="E988" s="933" t="s">
        <v>712</v>
      </c>
      <c r="F988" s="933" t="s">
        <v>713</v>
      </c>
      <c r="G988" s="933">
        <v>1</v>
      </c>
      <c r="H988" s="933">
        <v>1</v>
      </c>
      <c r="I988" s="933" t="s">
        <v>670</v>
      </c>
      <c r="J988" s="934">
        <v>3.1818181818181799</v>
      </c>
      <c r="K988" s="934">
        <v>3.1818181818181799</v>
      </c>
      <c r="L988" s="938">
        <v>0.108695652173913</v>
      </c>
    </row>
    <row r="989" spans="1:12" hidden="1">
      <c r="A989" s="941">
        <v>13</v>
      </c>
      <c r="B989" s="1247">
        <v>46104</v>
      </c>
      <c r="C989" s="1249">
        <v>46110</v>
      </c>
      <c r="D989" s="935">
        <v>98</v>
      </c>
      <c r="E989" s="935" t="s">
        <v>774</v>
      </c>
      <c r="F989" s="935" t="s">
        <v>730</v>
      </c>
      <c r="G989" s="935">
        <v>1</v>
      </c>
      <c r="H989" s="935">
        <v>1</v>
      </c>
      <c r="I989" s="935" t="s">
        <v>670</v>
      </c>
      <c r="J989" s="936">
        <v>4.9090909090909101</v>
      </c>
      <c r="K989" s="936">
        <v>4.9090909090909101</v>
      </c>
      <c r="L989" s="939">
        <v>0.108695652173913</v>
      </c>
    </row>
    <row r="990" spans="1:12" hidden="1">
      <c r="A990" s="941">
        <v>13</v>
      </c>
      <c r="B990" s="1246">
        <v>46104</v>
      </c>
      <c r="C990" s="1248">
        <v>46110</v>
      </c>
      <c r="D990" s="933">
        <v>99</v>
      </c>
      <c r="E990" s="933" t="s">
        <v>807</v>
      </c>
      <c r="F990" s="933" t="s">
        <v>253</v>
      </c>
      <c r="G990" s="933">
        <v>1</v>
      </c>
      <c r="H990" s="933">
        <v>1</v>
      </c>
      <c r="I990" s="933" t="s">
        <v>670</v>
      </c>
      <c r="J990" s="934">
        <v>2.8181818181818201</v>
      </c>
      <c r="K990" s="934">
        <v>2.8181818181818201</v>
      </c>
      <c r="L990" s="938">
        <v>0.108695652173913</v>
      </c>
    </row>
    <row r="991" spans="1:12" hidden="1">
      <c r="A991" s="941">
        <v>13</v>
      </c>
      <c r="B991" s="1247">
        <v>46104</v>
      </c>
      <c r="C991" s="1249">
        <v>46110</v>
      </c>
      <c r="D991" s="935">
        <v>100</v>
      </c>
      <c r="E991" s="935" t="s">
        <v>709</v>
      </c>
      <c r="F991" s="935" t="s">
        <v>276</v>
      </c>
      <c r="G991" s="935">
        <v>1</v>
      </c>
      <c r="H991" s="935">
        <v>1</v>
      </c>
      <c r="I991" s="935" t="s">
        <v>672</v>
      </c>
      <c r="J991" s="936">
        <v>3.2272727272727302</v>
      </c>
      <c r="K991" s="936">
        <v>3.2272727272727302</v>
      </c>
      <c r="L991" s="939">
        <v>0.108695652173913</v>
      </c>
    </row>
    <row r="992" spans="1:12" hidden="1">
      <c r="A992" s="941">
        <v>13</v>
      </c>
      <c r="B992" s="1246">
        <v>46104</v>
      </c>
      <c r="C992" s="1248">
        <v>46110</v>
      </c>
      <c r="D992" s="933">
        <v>101</v>
      </c>
      <c r="E992" s="933" t="s">
        <v>710</v>
      </c>
      <c r="F992" s="933" t="s">
        <v>249</v>
      </c>
      <c r="G992" s="933">
        <v>1</v>
      </c>
      <c r="H992" s="933">
        <v>1</v>
      </c>
      <c r="I992" s="933" t="s">
        <v>670</v>
      </c>
      <c r="J992" s="934">
        <v>2.4090909090909101</v>
      </c>
      <c r="K992" s="934">
        <v>2.4090909090909101</v>
      </c>
      <c r="L992" s="938">
        <v>0.108695652173913</v>
      </c>
    </row>
    <row r="993" spans="1:12" hidden="1">
      <c r="A993" s="941">
        <v>13</v>
      </c>
      <c r="B993" s="1247">
        <v>46104</v>
      </c>
      <c r="C993" s="1249">
        <v>46110</v>
      </c>
      <c r="D993" s="935">
        <v>102</v>
      </c>
      <c r="E993" s="935" t="s">
        <v>726</v>
      </c>
      <c r="F993" s="935" t="s">
        <v>323</v>
      </c>
      <c r="G993" s="935">
        <v>1</v>
      </c>
      <c r="H993" s="935">
        <v>1</v>
      </c>
      <c r="I993" s="935" t="s">
        <v>670</v>
      </c>
      <c r="J993" s="936">
        <v>11.5</v>
      </c>
      <c r="K993" s="936">
        <v>11.5</v>
      </c>
      <c r="L993" s="939">
        <v>0.108695652173913</v>
      </c>
    </row>
    <row r="994" spans="1:12" hidden="1">
      <c r="A994" s="941">
        <v>13</v>
      </c>
      <c r="B994" s="1246">
        <v>46104</v>
      </c>
      <c r="C994" s="1248">
        <v>46110</v>
      </c>
      <c r="D994" s="933">
        <v>103</v>
      </c>
      <c r="E994" s="933" t="s">
        <v>826</v>
      </c>
      <c r="F994" s="933" t="s">
        <v>253</v>
      </c>
      <c r="G994" s="933">
        <v>1</v>
      </c>
      <c r="H994" s="933">
        <v>1</v>
      </c>
      <c r="I994" s="933" t="s">
        <v>670</v>
      </c>
      <c r="J994" s="934">
        <v>2.0454545454545401</v>
      </c>
      <c r="K994" s="934">
        <v>2.0454545454545401</v>
      </c>
      <c r="L994" s="938">
        <v>0.108695652173913</v>
      </c>
    </row>
    <row r="995" spans="1:12" hidden="1">
      <c r="A995" s="941">
        <v>13</v>
      </c>
      <c r="B995" s="1247">
        <v>46104</v>
      </c>
      <c r="C995" s="1249">
        <v>46110</v>
      </c>
      <c r="D995" s="935">
        <v>104</v>
      </c>
      <c r="E995" s="935" t="s">
        <v>767</v>
      </c>
      <c r="F995" s="935" t="s">
        <v>251</v>
      </c>
      <c r="G995" s="935">
        <v>1</v>
      </c>
      <c r="H995" s="935">
        <v>1</v>
      </c>
      <c r="I995" s="935" t="s">
        <v>670</v>
      </c>
      <c r="J995" s="936">
        <v>2.6363636363636398</v>
      </c>
      <c r="K995" s="936">
        <v>2.6363636363636398</v>
      </c>
      <c r="L995" s="939">
        <v>0.108695652173913</v>
      </c>
    </row>
    <row r="996" spans="1:12" hidden="1">
      <c r="A996" s="941">
        <v>13</v>
      </c>
      <c r="B996" s="1246">
        <v>46104</v>
      </c>
      <c r="C996" s="1248">
        <v>46110</v>
      </c>
      <c r="D996" s="933">
        <v>105</v>
      </c>
      <c r="E996" s="933" t="s">
        <v>797</v>
      </c>
      <c r="F996" s="933" t="s">
        <v>253</v>
      </c>
      <c r="G996" s="933">
        <v>1</v>
      </c>
      <c r="H996" s="933">
        <v>1</v>
      </c>
      <c r="I996" s="933" t="s">
        <v>670</v>
      </c>
      <c r="J996" s="934">
        <v>3.1818181818181799</v>
      </c>
      <c r="K996" s="934">
        <v>3.1818181818181799</v>
      </c>
      <c r="L996" s="938">
        <v>0.108695652173913</v>
      </c>
    </row>
    <row r="997" spans="1:12" hidden="1">
      <c r="A997" s="941">
        <v>13</v>
      </c>
      <c r="B997" s="1247">
        <v>46104</v>
      </c>
      <c r="C997" s="1249">
        <v>46110</v>
      </c>
      <c r="D997" s="935">
        <v>106</v>
      </c>
      <c r="E997" s="935" t="s">
        <v>699</v>
      </c>
      <c r="F997" s="935" t="s">
        <v>249</v>
      </c>
      <c r="G997" s="935">
        <v>1</v>
      </c>
      <c r="H997" s="935">
        <v>1</v>
      </c>
      <c r="I997" s="935" t="s">
        <v>670</v>
      </c>
      <c r="J997" s="936">
        <v>0</v>
      </c>
      <c r="K997" s="936">
        <v>0</v>
      </c>
      <c r="L997" s="939">
        <v>0.108695652173913</v>
      </c>
    </row>
    <row r="998" spans="1:12" hidden="1">
      <c r="A998" s="941">
        <v>13</v>
      </c>
      <c r="B998" s="1246">
        <v>46104</v>
      </c>
      <c r="C998" s="1248">
        <v>46110</v>
      </c>
      <c r="D998" s="933">
        <v>107</v>
      </c>
      <c r="E998" s="933" t="s">
        <v>819</v>
      </c>
      <c r="F998" s="933" t="s">
        <v>820</v>
      </c>
      <c r="G998" s="933">
        <v>1</v>
      </c>
      <c r="H998" s="933">
        <v>1</v>
      </c>
      <c r="I998" s="933" t="s">
        <v>670</v>
      </c>
      <c r="J998" s="934">
        <v>7.9090909090909101</v>
      </c>
      <c r="K998" s="934">
        <v>7.9090909090909101</v>
      </c>
      <c r="L998" s="938">
        <v>0.108695652173913</v>
      </c>
    </row>
    <row r="999" spans="1:12" hidden="1">
      <c r="A999" s="941">
        <v>13</v>
      </c>
      <c r="B999" s="1247">
        <v>46104</v>
      </c>
      <c r="C999" s="1249">
        <v>46110</v>
      </c>
      <c r="D999" s="935">
        <v>108</v>
      </c>
      <c r="E999" s="935" t="s">
        <v>761</v>
      </c>
      <c r="F999" s="935" t="s">
        <v>730</v>
      </c>
      <c r="G999" s="935">
        <v>1</v>
      </c>
      <c r="H999" s="935">
        <v>1</v>
      </c>
      <c r="I999" s="935" t="s">
        <v>670</v>
      </c>
      <c r="J999" s="936">
        <v>2.8181818181818201</v>
      </c>
      <c r="K999" s="936">
        <v>2.8181818181818201</v>
      </c>
      <c r="L999" s="939">
        <v>0.108695652173913</v>
      </c>
    </row>
    <row r="1000" spans="1:12" hidden="1">
      <c r="A1000" s="931">
        <v>14</v>
      </c>
      <c r="B1000" s="1246">
        <v>46111</v>
      </c>
      <c r="C1000" s="1248">
        <v>46117</v>
      </c>
      <c r="D1000" s="933">
        <v>1</v>
      </c>
      <c r="E1000" s="933" t="s">
        <v>255</v>
      </c>
      <c r="F1000" s="933" t="s">
        <v>256</v>
      </c>
      <c r="G1000" s="933">
        <v>67</v>
      </c>
      <c r="H1000" s="933">
        <v>67</v>
      </c>
      <c r="I1000" s="933" t="s">
        <v>670</v>
      </c>
      <c r="J1000" s="934">
        <v>5.1892808673469402</v>
      </c>
      <c r="K1000" s="934">
        <v>347.68181818181802</v>
      </c>
      <c r="L1000" s="938">
        <v>6.3835824513299997</v>
      </c>
    </row>
    <row r="1001" spans="1:12" hidden="1">
      <c r="A1001" s="931">
        <v>14</v>
      </c>
      <c r="B1001" s="1246">
        <v>46111</v>
      </c>
      <c r="C1001" s="1248">
        <v>46117</v>
      </c>
      <c r="D1001" s="933">
        <v>2</v>
      </c>
      <c r="E1001" s="933" t="s">
        <v>792</v>
      </c>
      <c r="F1001" s="933" t="s">
        <v>256</v>
      </c>
      <c r="G1001" s="933">
        <v>25</v>
      </c>
      <c r="H1001" s="933">
        <v>25</v>
      </c>
      <c r="I1001" s="933" t="s">
        <v>670</v>
      </c>
      <c r="J1001" s="934">
        <v>12.7272727272727</v>
      </c>
      <c r="K1001" s="934">
        <v>318.18181818181802</v>
      </c>
      <c r="L1001" s="938">
        <v>5.8419502099200002</v>
      </c>
    </row>
    <row r="1002" spans="1:12" hidden="1">
      <c r="A1002" s="931">
        <v>14</v>
      </c>
      <c r="B1002" s="1246">
        <v>46111</v>
      </c>
      <c r="C1002" s="1248">
        <v>46117</v>
      </c>
      <c r="D1002" s="933">
        <v>3</v>
      </c>
      <c r="E1002" s="933" t="s">
        <v>790</v>
      </c>
      <c r="F1002" s="933" t="s">
        <v>264</v>
      </c>
      <c r="G1002" s="933">
        <v>77</v>
      </c>
      <c r="H1002" s="933">
        <v>77</v>
      </c>
      <c r="I1002" s="933" t="s">
        <v>670</v>
      </c>
      <c r="J1002" s="934">
        <v>3.2467532467532498</v>
      </c>
      <c r="K1002" s="934">
        <v>250</v>
      </c>
      <c r="L1002" s="938">
        <v>4.5901037359299997</v>
      </c>
    </row>
    <row r="1003" spans="1:12" hidden="1">
      <c r="A1003" s="931">
        <v>14</v>
      </c>
      <c r="B1003" s="1246">
        <v>46111</v>
      </c>
      <c r="C1003" s="1248">
        <v>46117</v>
      </c>
      <c r="D1003" s="933">
        <v>4</v>
      </c>
      <c r="E1003" s="933" t="s">
        <v>261</v>
      </c>
      <c r="F1003" s="933" t="s">
        <v>256</v>
      </c>
      <c r="G1003" s="933">
        <v>87</v>
      </c>
      <c r="H1003" s="933">
        <v>87</v>
      </c>
      <c r="I1003" s="933" t="s">
        <v>670</v>
      </c>
      <c r="J1003" s="934">
        <v>2.61128526645768</v>
      </c>
      <c r="K1003" s="934">
        <v>227.18181818181799</v>
      </c>
      <c r="L1003" s="938">
        <v>4.1711524547899996</v>
      </c>
    </row>
    <row r="1004" spans="1:12" hidden="1">
      <c r="A1004" s="931">
        <v>14</v>
      </c>
      <c r="B1004" s="1246">
        <v>46111</v>
      </c>
      <c r="C1004" s="1248">
        <v>46117</v>
      </c>
      <c r="D1004" s="933">
        <v>5</v>
      </c>
      <c r="E1004" s="933" t="s">
        <v>262</v>
      </c>
      <c r="F1004" s="933" t="s">
        <v>256</v>
      </c>
      <c r="G1004" s="933">
        <v>20</v>
      </c>
      <c r="H1004" s="933">
        <v>20</v>
      </c>
      <c r="I1004" s="933" t="s">
        <v>670</v>
      </c>
      <c r="J1004" s="934">
        <v>10.909090909090899</v>
      </c>
      <c r="K1004" s="934">
        <v>218.18181818181799</v>
      </c>
      <c r="L1004" s="938">
        <v>4.0059087145700003</v>
      </c>
    </row>
    <row r="1005" spans="1:12" hidden="1">
      <c r="A1005" s="931">
        <v>14</v>
      </c>
      <c r="B1005" s="1246">
        <v>46111</v>
      </c>
      <c r="C1005" s="1248">
        <v>46117</v>
      </c>
      <c r="D1005" s="933">
        <v>6</v>
      </c>
      <c r="E1005" s="933" t="s">
        <v>678</v>
      </c>
      <c r="F1005" s="933" t="s">
        <v>256</v>
      </c>
      <c r="G1005" s="933">
        <v>32</v>
      </c>
      <c r="H1005" s="933">
        <v>32</v>
      </c>
      <c r="I1005" s="933" t="s">
        <v>670</v>
      </c>
      <c r="J1005" s="934">
        <v>6.3366477272727302</v>
      </c>
      <c r="K1005" s="934">
        <v>202.772727272727</v>
      </c>
      <c r="L1005" s="938">
        <v>3.7229914123299999</v>
      </c>
    </row>
    <row r="1006" spans="1:12" hidden="1">
      <c r="A1006" s="931">
        <v>14</v>
      </c>
      <c r="B1006" s="1246">
        <v>46111</v>
      </c>
      <c r="C1006" s="1248">
        <v>46117</v>
      </c>
      <c r="D1006" s="933">
        <v>7</v>
      </c>
      <c r="E1006" s="933" t="s">
        <v>686</v>
      </c>
      <c r="F1006" s="933" t="s">
        <v>274</v>
      </c>
      <c r="G1006" s="933">
        <v>14</v>
      </c>
      <c r="H1006" s="933">
        <v>14</v>
      </c>
      <c r="I1006" s="933" t="s">
        <v>670</v>
      </c>
      <c r="J1006" s="934">
        <v>13.668831168831201</v>
      </c>
      <c r="K1006" s="934">
        <v>191.363636363636</v>
      </c>
      <c r="L1006" s="938">
        <v>3.5135157694300001</v>
      </c>
    </row>
    <row r="1007" spans="1:12" hidden="1">
      <c r="A1007" s="931">
        <v>14</v>
      </c>
      <c r="B1007" s="1246">
        <v>46111</v>
      </c>
      <c r="C1007" s="1248">
        <v>46117</v>
      </c>
      <c r="D1007" s="933">
        <v>8</v>
      </c>
      <c r="E1007" s="933" t="s">
        <v>679</v>
      </c>
      <c r="F1007" s="933" t="s">
        <v>256</v>
      </c>
      <c r="G1007" s="933">
        <v>20</v>
      </c>
      <c r="H1007" s="933">
        <v>20</v>
      </c>
      <c r="I1007" s="933" t="s">
        <v>670</v>
      </c>
      <c r="J1007" s="934">
        <v>9.1477272727272698</v>
      </c>
      <c r="K1007" s="934">
        <v>182.95454545454501</v>
      </c>
      <c r="L1007" s="938">
        <v>3.35912136955</v>
      </c>
    </row>
    <row r="1008" spans="1:12" hidden="1">
      <c r="A1008" s="931">
        <v>14</v>
      </c>
      <c r="B1008" s="1246">
        <v>46111</v>
      </c>
      <c r="C1008" s="1248">
        <v>46117</v>
      </c>
      <c r="D1008" s="933">
        <v>9</v>
      </c>
      <c r="E1008" s="933" t="s">
        <v>254</v>
      </c>
      <c r="F1008" s="933" t="s">
        <v>254</v>
      </c>
      <c r="G1008" s="933">
        <v>13</v>
      </c>
      <c r="H1008" s="933">
        <v>13</v>
      </c>
      <c r="I1008" s="933" t="s">
        <v>670</v>
      </c>
      <c r="J1008" s="934">
        <v>13.545454545454501</v>
      </c>
      <c r="K1008" s="934">
        <v>176.09090909090901</v>
      </c>
      <c r="L1008" s="938">
        <v>3.23310215937</v>
      </c>
    </row>
    <row r="1009" spans="1:12" hidden="1">
      <c r="A1009" s="931">
        <v>14</v>
      </c>
      <c r="B1009" s="1246">
        <v>46111</v>
      </c>
      <c r="C1009" s="1248">
        <v>46117</v>
      </c>
      <c r="D1009" s="933">
        <v>10</v>
      </c>
      <c r="E1009" s="933" t="s">
        <v>791</v>
      </c>
      <c r="F1009" s="933" t="s">
        <v>256</v>
      </c>
      <c r="G1009" s="933">
        <v>34</v>
      </c>
      <c r="H1009" s="933">
        <v>34</v>
      </c>
      <c r="I1009" s="933" t="s">
        <v>670</v>
      </c>
      <c r="J1009" s="934">
        <v>5.0668449197861003</v>
      </c>
      <c r="K1009" s="934">
        <v>172.272727272727</v>
      </c>
      <c r="L1009" s="938">
        <v>3.1629987560599999</v>
      </c>
    </row>
    <row r="1010" spans="1:12" hidden="1">
      <c r="A1010" s="931">
        <v>14</v>
      </c>
      <c r="B1010" s="1246">
        <v>46111</v>
      </c>
      <c r="C1010" s="1248">
        <v>46117</v>
      </c>
      <c r="D1010" s="933">
        <v>11</v>
      </c>
      <c r="E1010" s="933" t="s">
        <v>674</v>
      </c>
      <c r="F1010" s="933" t="s">
        <v>275</v>
      </c>
      <c r="G1010" s="933">
        <v>26</v>
      </c>
      <c r="H1010" s="933">
        <v>26</v>
      </c>
      <c r="I1010" s="933" t="s">
        <v>670</v>
      </c>
      <c r="J1010" s="934">
        <v>5.27972027972028</v>
      </c>
      <c r="K1010" s="934">
        <v>137.272727272727</v>
      </c>
      <c r="L1010" s="938">
        <v>2.5203842332500002</v>
      </c>
    </row>
    <row r="1011" spans="1:12" hidden="1">
      <c r="A1011" s="931">
        <v>14</v>
      </c>
      <c r="B1011" s="1246">
        <v>46111</v>
      </c>
      <c r="C1011" s="1248">
        <v>46117</v>
      </c>
      <c r="D1011" s="933">
        <v>12</v>
      </c>
      <c r="E1011" s="933" t="s">
        <v>781</v>
      </c>
      <c r="F1011" s="933" t="s">
        <v>764</v>
      </c>
      <c r="G1011" s="933">
        <v>9</v>
      </c>
      <c r="H1011" s="933">
        <v>9</v>
      </c>
      <c r="I1011" s="933" t="s">
        <v>670</v>
      </c>
      <c r="J1011" s="934">
        <v>14.5555555555556</v>
      </c>
      <c r="K1011" s="934">
        <v>131</v>
      </c>
      <c r="L1011" s="938">
        <v>2.4052143580799998</v>
      </c>
    </row>
    <row r="1012" spans="1:12" hidden="1">
      <c r="A1012" s="931">
        <v>14</v>
      </c>
      <c r="B1012" s="1246">
        <v>46111</v>
      </c>
      <c r="C1012" s="1248">
        <v>46117</v>
      </c>
      <c r="D1012" s="933">
        <v>13</v>
      </c>
      <c r="E1012" s="933" t="s">
        <v>837</v>
      </c>
      <c r="F1012" s="933" t="s">
        <v>282</v>
      </c>
      <c r="G1012" s="933">
        <v>10</v>
      </c>
      <c r="H1012" s="933">
        <v>10</v>
      </c>
      <c r="I1012" s="933" t="s">
        <v>670</v>
      </c>
      <c r="J1012" s="934">
        <v>11.7727272727273</v>
      </c>
      <c r="K1012" s="934">
        <v>117.727272727273</v>
      </c>
      <c r="L1012" s="938">
        <v>2.1615215775199998</v>
      </c>
    </row>
    <row r="1013" spans="1:12" hidden="1">
      <c r="A1013" s="931">
        <v>14</v>
      </c>
      <c r="B1013" s="1246">
        <v>46111</v>
      </c>
      <c r="C1013" s="1248">
        <v>46117</v>
      </c>
      <c r="D1013" s="933">
        <v>14</v>
      </c>
      <c r="E1013" s="933" t="s">
        <v>794</v>
      </c>
      <c r="F1013" s="933" t="s">
        <v>256</v>
      </c>
      <c r="G1013" s="933">
        <v>17</v>
      </c>
      <c r="H1013" s="933">
        <v>17</v>
      </c>
      <c r="I1013" s="933" t="s">
        <v>670</v>
      </c>
      <c r="J1013" s="934">
        <v>6.8850267379679098</v>
      </c>
      <c r="K1013" s="934">
        <v>117.045454545455</v>
      </c>
      <c r="L1013" s="938">
        <v>2.14900311261</v>
      </c>
    </row>
    <row r="1014" spans="1:12" hidden="1">
      <c r="A1014" s="931">
        <v>14</v>
      </c>
      <c r="B1014" s="1246">
        <v>46111</v>
      </c>
      <c r="C1014" s="1248">
        <v>46117</v>
      </c>
      <c r="D1014" s="933">
        <v>15</v>
      </c>
      <c r="E1014" s="933" t="s">
        <v>259</v>
      </c>
      <c r="F1014" s="933" t="s">
        <v>249</v>
      </c>
      <c r="G1014" s="933">
        <v>88</v>
      </c>
      <c r="H1014" s="933">
        <v>88</v>
      </c>
      <c r="I1014" s="933" t="s">
        <v>670</v>
      </c>
      <c r="J1014" s="934">
        <v>1.32592975206612</v>
      </c>
      <c r="K1014" s="934">
        <v>116.681818181818</v>
      </c>
      <c r="L1014" s="938">
        <v>2.1423265979599999</v>
      </c>
    </row>
    <row r="1015" spans="1:12" hidden="1">
      <c r="A1015" s="931">
        <v>14</v>
      </c>
      <c r="B1015" s="1246">
        <v>46111</v>
      </c>
      <c r="C1015" s="1248">
        <v>46117</v>
      </c>
      <c r="D1015" s="933">
        <v>16</v>
      </c>
      <c r="E1015" s="933" t="s">
        <v>793</v>
      </c>
      <c r="F1015" s="933" t="s">
        <v>695</v>
      </c>
      <c r="G1015" s="933">
        <v>18</v>
      </c>
      <c r="H1015" s="933">
        <v>18</v>
      </c>
      <c r="I1015" s="933" t="s">
        <v>670</v>
      </c>
      <c r="J1015" s="934">
        <v>6.3813131313131297</v>
      </c>
      <c r="K1015" s="934">
        <v>114.863636363636</v>
      </c>
      <c r="L1015" s="938">
        <v>2.1089440256600001</v>
      </c>
    </row>
    <row r="1016" spans="1:12" hidden="1">
      <c r="A1016" s="931">
        <v>14</v>
      </c>
      <c r="B1016" s="1246">
        <v>46111</v>
      </c>
      <c r="C1016" s="1248">
        <v>46117</v>
      </c>
      <c r="D1016" s="933">
        <v>17</v>
      </c>
      <c r="E1016" s="933" t="s">
        <v>796</v>
      </c>
      <c r="F1016" s="933" t="s">
        <v>282</v>
      </c>
      <c r="G1016" s="933">
        <v>10</v>
      </c>
      <c r="H1016" s="933">
        <v>10</v>
      </c>
      <c r="I1016" s="933" t="s">
        <v>670</v>
      </c>
      <c r="J1016" s="934">
        <v>10.886363636363599</v>
      </c>
      <c r="K1016" s="934">
        <v>108.863636363636</v>
      </c>
      <c r="L1016" s="938">
        <v>1.9987815359700001</v>
      </c>
    </row>
    <row r="1017" spans="1:12" hidden="1">
      <c r="A1017" s="931">
        <v>14</v>
      </c>
      <c r="B1017" s="1246">
        <v>46111</v>
      </c>
      <c r="C1017" s="1248">
        <v>46117</v>
      </c>
      <c r="D1017" s="933">
        <v>18</v>
      </c>
      <c r="E1017" s="933" t="s">
        <v>763</v>
      </c>
      <c r="F1017" s="933" t="s">
        <v>764</v>
      </c>
      <c r="G1017" s="933">
        <v>10</v>
      </c>
      <c r="H1017" s="933">
        <v>10</v>
      </c>
      <c r="I1017" s="933" t="s">
        <v>670</v>
      </c>
      <c r="J1017" s="934">
        <v>10.5227272727273</v>
      </c>
      <c r="K1017" s="934">
        <v>105.227272727273</v>
      </c>
      <c r="L1017" s="938">
        <v>1.9320163913899999</v>
      </c>
    </row>
    <row r="1018" spans="1:12" hidden="1">
      <c r="A1018" s="931">
        <v>14</v>
      </c>
      <c r="B1018" s="1246">
        <v>46111</v>
      </c>
      <c r="C1018" s="1248">
        <v>46117</v>
      </c>
      <c r="D1018" s="933">
        <v>19</v>
      </c>
      <c r="E1018" s="933" t="s">
        <v>680</v>
      </c>
      <c r="F1018" s="933" t="s">
        <v>251</v>
      </c>
      <c r="G1018" s="933">
        <v>42</v>
      </c>
      <c r="H1018" s="933">
        <v>42</v>
      </c>
      <c r="I1018" s="933" t="s">
        <v>670</v>
      </c>
      <c r="J1018" s="934">
        <v>2.4707792207792201</v>
      </c>
      <c r="K1018" s="934">
        <v>103.772727272727</v>
      </c>
      <c r="L1018" s="938">
        <v>1.9053103329200001</v>
      </c>
    </row>
    <row r="1019" spans="1:12" hidden="1">
      <c r="A1019" s="931">
        <v>14</v>
      </c>
      <c r="B1019" s="1246">
        <v>46111</v>
      </c>
      <c r="C1019" s="1248">
        <v>46117</v>
      </c>
      <c r="D1019" s="933">
        <v>20</v>
      </c>
      <c r="E1019" s="933" t="s">
        <v>688</v>
      </c>
      <c r="F1019" s="933" t="s">
        <v>689</v>
      </c>
      <c r="G1019" s="933">
        <v>10</v>
      </c>
      <c r="H1019" s="933">
        <v>10</v>
      </c>
      <c r="I1019" s="933" t="s">
        <v>670</v>
      </c>
      <c r="J1019" s="934">
        <v>9.9772727272727302</v>
      </c>
      <c r="K1019" s="934">
        <v>99.772727272727295</v>
      </c>
      <c r="L1019" s="938">
        <v>1.83186867259</v>
      </c>
    </row>
    <row r="1020" spans="1:12" hidden="1">
      <c r="A1020" s="931">
        <v>14</v>
      </c>
      <c r="B1020" s="1246">
        <v>46111</v>
      </c>
      <c r="C1020" s="1248">
        <v>46117</v>
      </c>
      <c r="D1020" s="933">
        <v>21</v>
      </c>
      <c r="E1020" s="933" t="s">
        <v>250</v>
      </c>
      <c r="F1020" s="933" t="s">
        <v>251</v>
      </c>
      <c r="G1020" s="933">
        <v>59</v>
      </c>
      <c r="H1020" s="933">
        <v>59</v>
      </c>
      <c r="I1020" s="933" t="s">
        <v>670</v>
      </c>
      <c r="J1020" s="934">
        <v>1.67103235730019</v>
      </c>
      <c r="K1020" s="934">
        <v>98.590909090909093</v>
      </c>
      <c r="L1020" s="938">
        <v>1.81017000148</v>
      </c>
    </row>
    <row r="1021" spans="1:12" hidden="1">
      <c r="A1021" s="931">
        <v>14</v>
      </c>
      <c r="B1021" s="1246">
        <v>46111</v>
      </c>
      <c r="C1021" s="1248">
        <v>46117</v>
      </c>
      <c r="D1021" s="933">
        <v>22</v>
      </c>
      <c r="E1021" s="933" t="s">
        <v>707</v>
      </c>
      <c r="F1021" s="933" t="s">
        <v>256</v>
      </c>
      <c r="G1021" s="933">
        <v>11</v>
      </c>
      <c r="H1021" s="933">
        <v>11</v>
      </c>
      <c r="I1021" s="933" t="s">
        <v>670</v>
      </c>
      <c r="J1021" s="934">
        <v>8.6983471074380194</v>
      </c>
      <c r="K1021" s="934">
        <v>95.681818181818201</v>
      </c>
      <c r="L1021" s="938">
        <v>1.7567578851600001</v>
      </c>
    </row>
    <row r="1022" spans="1:12" hidden="1">
      <c r="A1022" s="931">
        <v>14</v>
      </c>
      <c r="B1022" s="1246">
        <v>46111</v>
      </c>
      <c r="C1022" s="1248">
        <v>46117</v>
      </c>
      <c r="D1022" s="933">
        <v>23</v>
      </c>
      <c r="E1022" s="933" t="s">
        <v>697</v>
      </c>
      <c r="F1022" s="933" t="s">
        <v>256</v>
      </c>
      <c r="G1022" s="933">
        <v>10</v>
      </c>
      <c r="H1022" s="933">
        <v>10</v>
      </c>
      <c r="I1022" s="933" t="s">
        <v>670</v>
      </c>
      <c r="J1022" s="934">
        <v>9.5</v>
      </c>
      <c r="K1022" s="934">
        <v>95</v>
      </c>
      <c r="L1022" s="938">
        <v>1.7442422417300001</v>
      </c>
    </row>
    <row r="1023" spans="1:12" hidden="1">
      <c r="A1023" s="931">
        <v>14</v>
      </c>
      <c r="B1023" s="1246">
        <v>46111</v>
      </c>
      <c r="C1023" s="1248">
        <v>46117</v>
      </c>
      <c r="D1023" s="933">
        <v>24</v>
      </c>
      <c r="E1023" s="933" t="s">
        <v>682</v>
      </c>
      <c r="F1023" s="933" t="s">
        <v>275</v>
      </c>
      <c r="G1023" s="933">
        <v>17</v>
      </c>
      <c r="H1023" s="933">
        <v>17</v>
      </c>
      <c r="I1023" s="933" t="s">
        <v>670</v>
      </c>
      <c r="J1023" s="934">
        <v>5.3877005347593601</v>
      </c>
      <c r="K1023" s="934">
        <v>91.590909090909093</v>
      </c>
      <c r="L1023" s="938">
        <v>1.6816470964500001</v>
      </c>
    </row>
    <row r="1024" spans="1:12" hidden="1">
      <c r="A1024" s="931">
        <v>14</v>
      </c>
      <c r="B1024" s="1246">
        <v>46111</v>
      </c>
      <c r="C1024" s="1248">
        <v>46117</v>
      </c>
      <c r="D1024" s="933">
        <v>25</v>
      </c>
      <c r="E1024" s="933" t="s">
        <v>248</v>
      </c>
      <c r="F1024" s="933" t="s">
        <v>249</v>
      </c>
      <c r="G1024" s="933">
        <v>67</v>
      </c>
      <c r="H1024" s="933">
        <v>67</v>
      </c>
      <c r="I1024" s="933" t="s">
        <v>670</v>
      </c>
      <c r="J1024" s="934">
        <v>1.3595658074135499</v>
      </c>
      <c r="K1024" s="934">
        <v>91.090909090909093</v>
      </c>
      <c r="L1024" s="938">
        <v>1.67246688878</v>
      </c>
    </row>
    <row r="1025" spans="1:12" hidden="1">
      <c r="A1025" s="931">
        <v>14</v>
      </c>
      <c r="B1025" s="1246">
        <v>46111</v>
      </c>
      <c r="C1025" s="1248">
        <v>46117</v>
      </c>
      <c r="D1025" s="933">
        <v>26</v>
      </c>
      <c r="E1025" s="933" t="s">
        <v>684</v>
      </c>
      <c r="F1025" s="933" t="s">
        <v>323</v>
      </c>
      <c r="G1025" s="933">
        <v>9</v>
      </c>
      <c r="H1025" s="933">
        <v>9</v>
      </c>
      <c r="I1025" s="933" t="s">
        <v>670</v>
      </c>
      <c r="J1025" s="934">
        <v>9.0252525252525295</v>
      </c>
      <c r="K1025" s="934">
        <v>81.227272727272705</v>
      </c>
      <c r="L1025" s="938">
        <v>1.49136643183</v>
      </c>
    </row>
    <row r="1026" spans="1:12" hidden="1">
      <c r="A1026" s="931">
        <v>14</v>
      </c>
      <c r="B1026" s="1246">
        <v>46111</v>
      </c>
      <c r="C1026" s="1248">
        <v>46117</v>
      </c>
      <c r="D1026" s="933">
        <v>27</v>
      </c>
      <c r="E1026" s="933" t="s">
        <v>701</v>
      </c>
      <c r="F1026" s="933" t="s">
        <v>689</v>
      </c>
      <c r="G1026" s="933">
        <v>8</v>
      </c>
      <c r="H1026" s="933">
        <v>8</v>
      </c>
      <c r="I1026" s="933" t="s">
        <v>670</v>
      </c>
      <c r="J1026" s="934">
        <v>9.9943181818181799</v>
      </c>
      <c r="K1026" s="934">
        <v>79.954545454545496</v>
      </c>
      <c r="L1026" s="938">
        <v>1.4679986306799999</v>
      </c>
    </row>
    <row r="1027" spans="1:12" hidden="1">
      <c r="A1027" s="931">
        <v>14</v>
      </c>
      <c r="B1027" s="1246">
        <v>46111</v>
      </c>
      <c r="C1027" s="1248">
        <v>46117</v>
      </c>
      <c r="D1027" s="933">
        <v>28</v>
      </c>
      <c r="E1027" s="933" t="s">
        <v>685</v>
      </c>
      <c r="F1027" s="933" t="s">
        <v>256</v>
      </c>
      <c r="G1027" s="933">
        <v>9</v>
      </c>
      <c r="H1027" s="933">
        <v>9</v>
      </c>
      <c r="I1027" s="933" t="s">
        <v>670</v>
      </c>
      <c r="J1027" s="934">
        <v>8.2828282828282802</v>
      </c>
      <c r="K1027" s="934">
        <v>74.545454545454504</v>
      </c>
      <c r="L1027" s="938">
        <v>1.3686854778899999</v>
      </c>
    </row>
    <row r="1028" spans="1:12" hidden="1">
      <c r="A1028" s="931">
        <v>14</v>
      </c>
      <c r="B1028" s="1246">
        <v>46111</v>
      </c>
      <c r="C1028" s="1248">
        <v>46117</v>
      </c>
      <c r="D1028" s="933">
        <v>29</v>
      </c>
      <c r="E1028" s="933" t="s">
        <v>676</v>
      </c>
      <c r="F1028" s="933" t="s">
        <v>253</v>
      </c>
      <c r="G1028" s="933">
        <v>26</v>
      </c>
      <c r="H1028" s="933">
        <v>26</v>
      </c>
      <c r="I1028" s="933" t="s">
        <v>670</v>
      </c>
      <c r="J1028" s="934">
        <v>2.7080419580419601</v>
      </c>
      <c r="K1028" s="934">
        <v>70.409090909090907</v>
      </c>
      <c r="L1028" s="938">
        <v>1.2927401254099999</v>
      </c>
    </row>
    <row r="1029" spans="1:12" hidden="1">
      <c r="A1029" s="931">
        <v>14</v>
      </c>
      <c r="B1029" s="1246">
        <v>46111</v>
      </c>
      <c r="C1029" s="1248">
        <v>46117</v>
      </c>
      <c r="D1029" s="933">
        <v>30</v>
      </c>
      <c r="E1029" s="933" t="s">
        <v>683</v>
      </c>
      <c r="F1029" s="933" t="s">
        <v>274</v>
      </c>
      <c r="G1029" s="933">
        <v>6</v>
      </c>
      <c r="H1029" s="933">
        <v>6</v>
      </c>
      <c r="I1029" s="933" t="s">
        <v>670</v>
      </c>
      <c r="J1029" s="934">
        <v>11.0227272727273</v>
      </c>
      <c r="K1029" s="934">
        <v>66.136363636363598</v>
      </c>
      <c r="L1029" s="938">
        <v>1.2142910789400001</v>
      </c>
    </row>
    <row r="1030" spans="1:12" hidden="1">
      <c r="A1030" s="931">
        <v>14</v>
      </c>
      <c r="B1030" s="1246">
        <v>46111</v>
      </c>
      <c r="C1030" s="1248">
        <v>46117</v>
      </c>
      <c r="D1030" s="933">
        <v>31</v>
      </c>
      <c r="E1030" s="933" t="s">
        <v>706</v>
      </c>
      <c r="F1030" s="933" t="s">
        <v>256</v>
      </c>
      <c r="G1030" s="933">
        <v>5</v>
      </c>
      <c r="H1030" s="933">
        <v>5</v>
      </c>
      <c r="I1030" s="933" t="s">
        <v>670</v>
      </c>
      <c r="J1030" s="934">
        <v>12.863636363636401</v>
      </c>
      <c r="K1030" s="934">
        <v>64.318181818181799</v>
      </c>
      <c r="L1030" s="938">
        <v>1.1809085073500001</v>
      </c>
    </row>
    <row r="1031" spans="1:12" hidden="1">
      <c r="A1031" s="931">
        <v>14</v>
      </c>
      <c r="B1031" s="1246">
        <v>46111</v>
      </c>
      <c r="C1031" s="1248">
        <v>46117</v>
      </c>
      <c r="D1031" s="933">
        <v>32</v>
      </c>
      <c r="E1031" s="933" t="s">
        <v>738</v>
      </c>
      <c r="F1031" s="933" t="s">
        <v>256</v>
      </c>
      <c r="G1031" s="933">
        <v>8</v>
      </c>
      <c r="H1031" s="933">
        <v>8</v>
      </c>
      <c r="I1031" s="933" t="s">
        <v>670</v>
      </c>
      <c r="J1031" s="934">
        <v>7.2102272727272698</v>
      </c>
      <c r="K1031" s="934">
        <v>57.681818181818201</v>
      </c>
      <c r="L1031" s="938">
        <v>1.0590621171600001</v>
      </c>
    </row>
    <row r="1032" spans="1:12" hidden="1">
      <c r="A1032" s="931">
        <v>14</v>
      </c>
      <c r="B1032" s="1246">
        <v>46111</v>
      </c>
      <c r="C1032" s="1248">
        <v>46117</v>
      </c>
      <c r="D1032" s="933">
        <v>33</v>
      </c>
      <c r="E1032" s="933" t="s">
        <v>696</v>
      </c>
      <c r="F1032" s="933" t="s">
        <v>323</v>
      </c>
      <c r="G1032" s="933">
        <v>5</v>
      </c>
      <c r="H1032" s="933">
        <v>5</v>
      </c>
      <c r="I1032" s="933" t="s">
        <v>670</v>
      </c>
      <c r="J1032" s="934">
        <v>10.954545454545499</v>
      </c>
      <c r="K1032" s="934">
        <v>54.772727272727302</v>
      </c>
      <c r="L1032" s="938">
        <v>1.00565340038</v>
      </c>
    </row>
    <row r="1033" spans="1:12" hidden="1">
      <c r="A1033" s="931">
        <v>14</v>
      </c>
      <c r="B1033" s="1246">
        <v>46111</v>
      </c>
      <c r="C1033" s="1248">
        <v>46117</v>
      </c>
      <c r="D1033" s="933">
        <v>34</v>
      </c>
      <c r="E1033" s="933" t="s">
        <v>784</v>
      </c>
      <c r="F1033" s="933" t="s">
        <v>764</v>
      </c>
      <c r="G1033" s="933">
        <v>4</v>
      </c>
      <c r="H1033" s="933">
        <v>4</v>
      </c>
      <c r="I1033" s="933" t="s">
        <v>670</v>
      </c>
      <c r="J1033" s="934">
        <v>13.295454545454501</v>
      </c>
      <c r="K1033" s="934">
        <v>53.181818181818201</v>
      </c>
      <c r="L1033" s="938">
        <v>0.97644024916000005</v>
      </c>
    </row>
    <row r="1034" spans="1:12" hidden="1">
      <c r="A1034" s="931">
        <v>14</v>
      </c>
      <c r="B1034" s="1246">
        <v>46111</v>
      </c>
      <c r="C1034" s="1248">
        <v>46117</v>
      </c>
      <c r="D1034" s="933">
        <v>35</v>
      </c>
      <c r="E1034" s="933" t="s">
        <v>745</v>
      </c>
      <c r="F1034" s="933" t="s">
        <v>275</v>
      </c>
      <c r="G1034" s="933">
        <v>11</v>
      </c>
      <c r="H1034" s="933">
        <v>11</v>
      </c>
      <c r="I1034" s="933" t="s">
        <v>670</v>
      </c>
      <c r="J1034" s="934">
        <v>4.8140495867768598</v>
      </c>
      <c r="K1034" s="934">
        <v>52.954545454545503</v>
      </c>
      <c r="L1034" s="938">
        <v>0.97226742844000003</v>
      </c>
    </row>
    <row r="1035" spans="1:12" hidden="1">
      <c r="A1035" s="931">
        <v>14</v>
      </c>
      <c r="B1035" s="1246">
        <v>46111</v>
      </c>
      <c r="C1035" s="1248">
        <v>46117</v>
      </c>
      <c r="D1035" s="933">
        <v>36</v>
      </c>
      <c r="E1035" s="933" t="s">
        <v>673</v>
      </c>
      <c r="F1035" s="933" t="s">
        <v>251</v>
      </c>
      <c r="G1035" s="933">
        <v>20</v>
      </c>
      <c r="H1035" s="933">
        <v>20</v>
      </c>
      <c r="I1035" s="933" t="s">
        <v>670</v>
      </c>
      <c r="J1035" s="934">
        <v>2.4772727272727302</v>
      </c>
      <c r="K1035" s="934">
        <v>49.545454545454497</v>
      </c>
      <c r="L1035" s="938">
        <v>0.90967510362000004</v>
      </c>
    </row>
    <row r="1036" spans="1:12" hidden="1">
      <c r="A1036" s="931">
        <v>14</v>
      </c>
      <c r="B1036" s="1246">
        <v>46111</v>
      </c>
      <c r="C1036" s="1248">
        <v>46117</v>
      </c>
      <c r="D1036" s="933">
        <v>37</v>
      </c>
      <c r="E1036" s="933" t="s">
        <v>700</v>
      </c>
      <c r="F1036" s="933" t="s">
        <v>274</v>
      </c>
      <c r="G1036" s="933">
        <v>5</v>
      </c>
      <c r="H1036" s="933">
        <v>5</v>
      </c>
      <c r="I1036" s="933" t="s">
        <v>670</v>
      </c>
      <c r="J1036" s="934">
        <v>9.1818181818181799</v>
      </c>
      <c r="K1036" s="934">
        <v>45.909090909090899</v>
      </c>
      <c r="L1036" s="938">
        <v>0.84290995942000002</v>
      </c>
    </row>
    <row r="1037" spans="1:12" hidden="1">
      <c r="A1037" s="931">
        <v>14</v>
      </c>
      <c r="B1037" s="1246">
        <v>46111</v>
      </c>
      <c r="C1037" s="1248">
        <v>46117</v>
      </c>
      <c r="D1037" s="933">
        <v>38</v>
      </c>
      <c r="E1037" s="933" t="s">
        <v>783</v>
      </c>
      <c r="F1037" s="933" t="s">
        <v>764</v>
      </c>
      <c r="G1037" s="933">
        <v>5</v>
      </c>
      <c r="H1037" s="933">
        <v>5</v>
      </c>
      <c r="I1037" s="933" t="s">
        <v>670</v>
      </c>
      <c r="J1037" s="934">
        <v>9.0909090909090899</v>
      </c>
      <c r="K1037" s="934">
        <v>45.454545454545503</v>
      </c>
      <c r="L1037" s="938">
        <v>0.83456431599000003</v>
      </c>
    </row>
    <row r="1038" spans="1:12" hidden="1">
      <c r="A1038" s="931">
        <v>14</v>
      </c>
      <c r="B1038" s="1246">
        <v>46111</v>
      </c>
      <c r="C1038" s="1248">
        <v>46117</v>
      </c>
      <c r="D1038" s="933">
        <v>39</v>
      </c>
      <c r="E1038" s="933" t="s">
        <v>734</v>
      </c>
      <c r="F1038" s="933" t="s">
        <v>695</v>
      </c>
      <c r="G1038" s="933">
        <v>2</v>
      </c>
      <c r="H1038" s="933">
        <v>2</v>
      </c>
      <c r="I1038" s="933" t="s">
        <v>670</v>
      </c>
      <c r="J1038" s="934">
        <v>18.409090909090899</v>
      </c>
      <c r="K1038" s="934">
        <v>36.818181818181799</v>
      </c>
      <c r="L1038" s="938">
        <v>0.67599709569999999</v>
      </c>
    </row>
    <row r="1039" spans="1:12" hidden="1">
      <c r="A1039" s="931">
        <v>14</v>
      </c>
      <c r="B1039" s="1246">
        <v>46111</v>
      </c>
      <c r="C1039" s="1248">
        <v>46117</v>
      </c>
      <c r="D1039" s="933">
        <v>40</v>
      </c>
      <c r="E1039" s="933" t="s">
        <v>691</v>
      </c>
      <c r="F1039" s="933" t="s">
        <v>251</v>
      </c>
      <c r="G1039" s="933">
        <v>14</v>
      </c>
      <c r="H1039" s="933">
        <v>14</v>
      </c>
      <c r="I1039" s="933" t="s">
        <v>670</v>
      </c>
      <c r="J1039" s="934">
        <v>2.4480519480519498</v>
      </c>
      <c r="K1039" s="934">
        <v>34.272727272727302</v>
      </c>
      <c r="L1039" s="938">
        <v>0.62926149388999997</v>
      </c>
    </row>
    <row r="1040" spans="1:12" hidden="1">
      <c r="A1040" s="931">
        <v>14</v>
      </c>
      <c r="B1040" s="1246">
        <v>46111</v>
      </c>
      <c r="C1040" s="1248">
        <v>46117</v>
      </c>
      <c r="D1040" s="933">
        <v>41</v>
      </c>
      <c r="E1040" s="933" t="s">
        <v>743</v>
      </c>
      <c r="F1040" s="933" t="s">
        <v>251</v>
      </c>
      <c r="G1040" s="933">
        <v>13</v>
      </c>
      <c r="H1040" s="933">
        <v>13</v>
      </c>
      <c r="I1040" s="933" t="s">
        <v>670</v>
      </c>
      <c r="J1040" s="934">
        <v>2.4720279720279699</v>
      </c>
      <c r="K1040" s="934">
        <v>32.136363636363598</v>
      </c>
      <c r="L1040" s="938">
        <v>0.59003697132999999</v>
      </c>
    </row>
    <row r="1041" spans="1:12" hidden="1">
      <c r="A1041" s="931">
        <v>14</v>
      </c>
      <c r="B1041" s="1246">
        <v>46111</v>
      </c>
      <c r="C1041" s="1248">
        <v>46117</v>
      </c>
      <c r="D1041" s="933">
        <v>42</v>
      </c>
      <c r="E1041" s="933" t="s">
        <v>747</v>
      </c>
      <c r="F1041" s="933" t="s">
        <v>256</v>
      </c>
      <c r="G1041" s="933">
        <v>4</v>
      </c>
      <c r="H1041" s="933">
        <v>4</v>
      </c>
      <c r="I1041" s="933" t="s">
        <v>670</v>
      </c>
      <c r="J1041" s="934">
        <v>7.7272727272727302</v>
      </c>
      <c r="K1041" s="934">
        <v>30.909090909090899</v>
      </c>
      <c r="L1041" s="938">
        <v>0.56750373476000004</v>
      </c>
    </row>
    <row r="1042" spans="1:12" hidden="1">
      <c r="A1042" s="931">
        <v>14</v>
      </c>
      <c r="B1042" s="1246">
        <v>46111</v>
      </c>
      <c r="C1042" s="1248">
        <v>46117</v>
      </c>
      <c r="D1042" s="933">
        <v>43</v>
      </c>
      <c r="E1042" s="933" t="s">
        <v>804</v>
      </c>
      <c r="F1042" s="933" t="s">
        <v>253</v>
      </c>
      <c r="G1042" s="933">
        <v>11</v>
      </c>
      <c r="H1042" s="933">
        <v>11</v>
      </c>
      <c r="I1042" s="933" t="s">
        <v>670</v>
      </c>
      <c r="J1042" s="934">
        <v>2.7685950413223099</v>
      </c>
      <c r="K1042" s="934">
        <v>30.454545454545499</v>
      </c>
      <c r="L1042" s="938">
        <v>0.55915809133000005</v>
      </c>
    </row>
    <row r="1043" spans="1:12" hidden="1">
      <c r="A1043" s="931">
        <v>14</v>
      </c>
      <c r="B1043" s="1246">
        <v>46111</v>
      </c>
      <c r="C1043" s="1248">
        <v>46117</v>
      </c>
      <c r="D1043" s="933">
        <v>44</v>
      </c>
      <c r="E1043" s="933" t="s">
        <v>675</v>
      </c>
      <c r="F1043" s="933" t="s">
        <v>256</v>
      </c>
      <c r="G1043" s="933">
        <v>6</v>
      </c>
      <c r="H1043" s="933">
        <v>6</v>
      </c>
      <c r="I1043" s="933" t="s">
        <v>670</v>
      </c>
      <c r="J1043" s="934">
        <v>5.0378787878787898</v>
      </c>
      <c r="K1043" s="934">
        <v>30.227272727272702</v>
      </c>
      <c r="L1043" s="938">
        <v>0.55498527353000005</v>
      </c>
    </row>
    <row r="1044" spans="1:12" hidden="1">
      <c r="A1044" s="931">
        <v>14</v>
      </c>
      <c r="B1044" s="1246">
        <v>46111</v>
      </c>
      <c r="C1044" s="1248">
        <v>46117</v>
      </c>
      <c r="D1044" s="933">
        <v>45</v>
      </c>
      <c r="E1044" s="933" t="s">
        <v>687</v>
      </c>
      <c r="F1044" s="933" t="s">
        <v>253</v>
      </c>
      <c r="G1044" s="933">
        <v>11</v>
      </c>
      <c r="H1044" s="933">
        <v>11</v>
      </c>
      <c r="I1044" s="933" t="s">
        <v>670</v>
      </c>
      <c r="J1044" s="934">
        <v>2.7314049586776901</v>
      </c>
      <c r="K1044" s="934">
        <v>30.045454545454501</v>
      </c>
      <c r="L1044" s="938">
        <v>0.55164701270000005</v>
      </c>
    </row>
    <row r="1045" spans="1:12" hidden="1">
      <c r="A1045" s="931">
        <v>14</v>
      </c>
      <c r="B1045" s="1246">
        <v>46111</v>
      </c>
      <c r="C1045" s="1248">
        <v>46117</v>
      </c>
      <c r="D1045" s="933">
        <v>46</v>
      </c>
      <c r="E1045" s="933" t="s">
        <v>708</v>
      </c>
      <c r="F1045" s="933" t="s">
        <v>251</v>
      </c>
      <c r="G1045" s="933">
        <v>15</v>
      </c>
      <c r="H1045" s="933">
        <v>15</v>
      </c>
      <c r="I1045" s="933" t="s">
        <v>670</v>
      </c>
      <c r="J1045" s="934">
        <v>1.84848484848485</v>
      </c>
      <c r="K1045" s="934">
        <v>27.727272727272702</v>
      </c>
      <c r="L1045" s="938">
        <v>0.50908423318999996</v>
      </c>
    </row>
    <row r="1046" spans="1:12" hidden="1">
      <c r="A1046" s="931">
        <v>14</v>
      </c>
      <c r="B1046" s="1246">
        <v>46111</v>
      </c>
      <c r="C1046" s="1248">
        <v>46117</v>
      </c>
      <c r="D1046" s="933">
        <v>47</v>
      </c>
      <c r="E1046" s="933" t="s">
        <v>705</v>
      </c>
      <c r="F1046" s="933" t="s">
        <v>274</v>
      </c>
      <c r="G1046" s="933">
        <v>3</v>
      </c>
      <c r="H1046" s="933">
        <v>3</v>
      </c>
      <c r="I1046" s="933" t="s">
        <v>670</v>
      </c>
      <c r="J1046" s="934">
        <v>9.1666666666666696</v>
      </c>
      <c r="K1046" s="934">
        <v>27.5</v>
      </c>
      <c r="L1046" s="938">
        <v>0.50491141099000003</v>
      </c>
    </row>
    <row r="1047" spans="1:12" hidden="1">
      <c r="A1047" s="931">
        <v>14</v>
      </c>
      <c r="B1047" s="1246">
        <v>46111</v>
      </c>
      <c r="C1047" s="1248">
        <v>46117</v>
      </c>
      <c r="D1047" s="933">
        <v>48</v>
      </c>
      <c r="E1047" s="933" t="s">
        <v>748</v>
      </c>
      <c r="F1047" s="933" t="s">
        <v>274</v>
      </c>
      <c r="G1047" s="933">
        <v>3</v>
      </c>
      <c r="H1047" s="933">
        <v>3</v>
      </c>
      <c r="I1047" s="933" t="s">
        <v>670</v>
      </c>
      <c r="J1047" s="934">
        <v>9.0909090909090899</v>
      </c>
      <c r="K1047" s="934">
        <v>27.272727272727298</v>
      </c>
      <c r="L1047" s="938">
        <v>0.50073858878999999</v>
      </c>
    </row>
    <row r="1048" spans="1:12" hidden="1">
      <c r="A1048" s="931">
        <v>14</v>
      </c>
      <c r="B1048" s="1246">
        <v>46111</v>
      </c>
      <c r="C1048" s="1248">
        <v>46117</v>
      </c>
      <c r="D1048" s="933">
        <v>49</v>
      </c>
      <c r="E1048" s="933" t="s">
        <v>671</v>
      </c>
      <c r="F1048" s="933" t="s">
        <v>276</v>
      </c>
      <c r="G1048" s="933">
        <v>8</v>
      </c>
      <c r="H1048" s="933">
        <v>8</v>
      </c>
      <c r="I1048" s="933" t="s">
        <v>672</v>
      </c>
      <c r="J1048" s="934">
        <v>2.9431818181818201</v>
      </c>
      <c r="K1048" s="934">
        <v>23.545454545454501</v>
      </c>
      <c r="L1048" s="938">
        <v>0.43230431641</v>
      </c>
    </row>
    <row r="1049" spans="1:12" hidden="1">
      <c r="A1049" s="931">
        <v>14</v>
      </c>
      <c r="B1049" s="1246">
        <v>46111</v>
      </c>
      <c r="C1049" s="1248">
        <v>46117</v>
      </c>
      <c r="D1049" s="933">
        <v>50</v>
      </c>
      <c r="E1049" s="933" t="s">
        <v>740</v>
      </c>
      <c r="F1049" s="933" t="s">
        <v>264</v>
      </c>
      <c r="G1049" s="933">
        <v>9</v>
      </c>
      <c r="H1049" s="933">
        <v>9</v>
      </c>
      <c r="I1049" s="933" t="s">
        <v>741</v>
      </c>
      <c r="J1049" s="934">
        <v>2.5757575757575801</v>
      </c>
      <c r="K1049" s="934">
        <v>23.181818181818201</v>
      </c>
      <c r="L1049" s="938">
        <v>0.42562780072</v>
      </c>
    </row>
    <row r="1050" spans="1:12" hidden="1">
      <c r="A1050" s="931">
        <v>14</v>
      </c>
      <c r="B1050" s="1246">
        <v>46111</v>
      </c>
      <c r="C1050" s="1248">
        <v>46117</v>
      </c>
      <c r="D1050" s="933">
        <v>51</v>
      </c>
      <c r="E1050" s="933" t="s">
        <v>698</v>
      </c>
      <c r="F1050" s="933" t="s">
        <v>249</v>
      </c>
      <c r="G1050" s="933">
        <v>9</v>
      </c>
      <c r="H1050" s="933">
        <v>9</v>
      </c>
      <c r="I1050" s="933" t="s">
        <v>670</v>
      </c>
      <c r="J1050" s="934">
        <v>2.3636363636363602</v>
      </c>
      <c r="K1050" s="934">
        <v>21.272727272727298</v>
      </c>
      <c r="L1050" s="938">
        <v>0.39057615040999999</v>
      </c>
    </row>
    <row r="1051" spans="1:12" hidden="1">
      <c r="A1051" s="931">
        <v>14</v>
      </c>
      <c r="B1051" s="1246">
        <v>46111</v>
      </c>
      <c r="C1051" s="1248">
        <v>46117</v>
      </c>
      <c r="D1051" s="933">
        <v>52</v>
      </c>
      <c r="E1051" s="933" t="s">
        <v>709</v>
      </c>
      <c r="F1051" s="933" t="s">
        <v>276</v>
      </c>
      <c r="G1051" s="933">
        <v>6</v>
      </c>
      <c r="H1051" s="933">
        <v>6</v>
      </c>
      <c r="I1051" s="933" t="s">
        <v>672</v>
      </c>
      <c r="J1051" s="934">
        <v>3.2954545454545499</v>
      </c>
      <c r="K1051" s="934">
        <v>19.772727272727298</v>
      </c>
      <c r="L1051" s="938">
        <v>0.36303547660000002</v>
      </c>
    </row>
    <row r="1052" spans="1:12" hidden="1">
      <c r="A1052" s="931">
        <v>14</v>
      </c>
      <c r="B1052" s="1246">
        <v>46111</v>
      </c>
      <c r="C1052" s="1248">
        <v>46117</v>
      </c>
      <c r="D1052" s="933">
        <v>53</v>
      </c>
      <c r="E1052" s="933" t="s">
        <v>677</v>
      </c>
      <c r="F1052" s="933" t="s">
        <v>249</v>
      </c>
      <c r="G1052" s="933">
        <v>11</v>
      </c>
      <c r="H1052" s="933">
        <v>11</v>
      </c>
      <c r="I1052" s="933" t="s">
        <v>670</v>
      </c>
      <c r="J1052" s="934">
        <v>1.78925619834711</v>
      </c>
      <c r="K1052" s="934">
        <v>19.681818181818201</v>
      </c>
      <c r="L1052" s="938">
        <v>0.36136634940000001</v>
      </c>
    </row>
    <row r="1053" spans="1:12" hidden="1">
      <c r="A1053" s="931">
        <v>14</v>
      </c>
      <c r="B1053" s="1246">
        <v>46111</v>
      </c>
      <c r="C1053" s="1248">
        <v>46117</v>
      </c>
      <c r="D1053" s="933">
        <v>54</v>
      </c>
      <c r="E1053" s="933" t="s">
        <v>803</v>
      </c>
      <c r="F1053" s="933" t="s">
        <v>764</v>
      </c>
      <c r="G1053" s="933">
        <v>2</v>
      </c>
      <c r="H1053" s="933">
        <v>2</v>
      </c>
      <c r="I1053" s="933" t="s">
        <v>670</v>
      </c>
      <c r="J1053" s="934">
        <v>9.0909090909090899</v>
      </c>
      <c r="K1053" s="934">
        <v>18.181818181818201</v>
      </c>
      <c r="L1053" s="938">
        <v>0.33382572578000003</v>
      </c>
    </row>
    <row r="1054" spans="1:12" hidden="1">
      <c r="A1054" s="931">
        <v>14</v>
      </c>
      <c r="B1054" s="1246">
        <v>46111</v>
      </c>
      <c r="C1054" s="1248">
        <v>46117</v>
      </c>
      <c r="D1054" s="933">
        <v>55</v>
      </c>
      <c r="E1054" s="933" t="s">
        <v>742</v>
      </c>
      <c r="F1054" s="933" t="s">
        <v>251</v>
      </c>
      <c r="G1054" s="933">
        <v>7</v>
      </c>
      <c r="H1054" s="933">
        <v>7</v>
      </c>
      <c r="I1054" s="933" t="s">
        <v>670</v>
      </c>
      <c r="J1054" s="934">
        <v>2.5</v>
      </c>
      <c r="K1054" s="934">
        <v>17.5</v>
      </c>
      <c r="L1054" s="938">
        <v>0.32130726214999999</v>
      </c>
    </row>
    <row r="1055" spans="1:12" hidden="1">
      <c r="A1055" s="931">
        <v>14</v>
      </c>
      <c r="B1055" s="1246">
        <v>46111</v>
      </c>
      <c r="C1055" s="1248">
        <v>46117</v>
      </c>
      <c r="D1055" s="933">
        <v>56</v>
      </c>
      <c r="E1055" s="933" t="s">
        <v>780</v>
      </c>
      <c r="F1055" s="933" t="s">
        <v>268</v>
      </c>
      <c r="G1055" s="933">
        <v>13</v>
      </c>
      <c r="H1055" s="933">
        <v>13</v>
      </c>
      <c r="I1055" s="933" t="s">
        <v>670</v>
      </c>
      <c r="J1055" s="934">
        <v>1.3356643356643401</v>
      </c>
      <c r="K1055" s="934">
        <v>17.363636363636399</v>
      </c>
      <c r="L1055" s="938">
        <v>0.31880356867999998</v>
      </c>
    </row>
    <row r="1056" spans="1:12" hidden="1">
      <c r="A1056" s="931">
        <v>14</v>
      </c>
      <c r="B1056" s="1246">
        <v>46111</v>
      </c>
      <c r="C1056" s="1248">
        <v>46117</v>
      </c>
      <c r="D1056" s="933">
        <v>57</v>
      </c>
      <c r="E1056" s="933" t="s">
        <v>728</v>
      </c>
      <c r="F1056" s="933" t="s">
        <v>695</v>
      </c>
      <c r="G1056" s="933">
        <v>2</v>
      </c>
      <c r="H1056" s="933">
        <v>2</v>
      </c>
      <c r="I1056" s="933" t="s">
        <v>670</v>
      </c>
      <c r="J1056" s="934">
        <v>8.3181818181818201</v>
      </c>
      <c r="K1056" s="934">
        <v>16.636363636363601</v>
      </c>
      <c r="L1056" s="938">
        <v>0.30545054527999999</v>
      </c>
    </row>
    <row r="1057" spans="1:12" hidden="1">
      <c r="A1057" s="931">
        <v>14</v>
      </c>
      <c r="B1057" s="1246">
        <v>46111</v>
      </c>
      <c r="C1057" s="1248">
        <v>46117</v>
      </c>
      <c r="D1057" s="933">
        <v>58</v>
      </c>
      <c r="E1057" s="933" t="s">
        <v>732</v>
      </c>
      <c r="F1057" s="933" t="s">
        <v>695</v>
      </c>
      <c r="G1057" s="933">
        <v>2</v>
      </c>
      <c r="H1057" s="933">
        <v>2</v>
      </c>
      <c r="I1057" s="933" t="s">
        <v>670</v>
      </c>
      <c r="J1057" s="934">
        <v>8.2045454545454497</v>
      </c>
      <c r="K1057" s="934">
        <v>16.409090909090899</v>
      </c>
      <c r="L1057" s="938">
        <v>0.30127771848000001</v>
      </c>
    </row>
    <row r="1058" spans="1:12" hidden="1">
      <c r="A1058" s="931">
        <v>14</v>
      </c>
      <c r="B1058" s="1246">
        <v>46111</v>
      </c>
      <c r="C1058" s="1248">
        <v>46117</v>
      </c>
      <c r="D1058" s="933">
        <v>59</v>
      </c>
      <c r="E1058" s="933" t="s">
        <v>830</v>
      </c>
      <c r="F1058" s="933" t="s">
        <v>820</v>
      </c>
      <c r="G1058" s="933">
        <v>2</v>
      </c>
      <c r="H1058" s="933">
        <v>2</v>
      </c>
      <c r="I1058" s="933" t="s">
        <v>670</v>
      </c>
      <c r="J1058" s="934">
        <v>7.9090909090909101</v>
      </c>
      <c r="K1058" s="934">
        <v>15.818181818181801</v>
      </c>
      <c r="L1058" s="938">
        <v>0.29042838204999999</v>
      </c>
    </row>
    <row r="1059" spans="1:12" hidden="1">
      <c r="A1059" s="931">
        <v>14</v>
      </c>
      <c r="B1059" s="1246">
        <v>46111</v>
      </c>
      <c r="C1059" s="1248">
        <v>46117</v>
      </c>
      <c r="D1059" s="933">
        <v>60</v>
      </c>
      <c r="E1059" s="933" t="s">
        <v>702</v>
      </c>
      <c r="F1059" s="933" t="s">
        <v>251</v>
      </c>
      <c r="G1059" s="933">
        <v>6</v>
      </c>
      <c r="H1059" s="933">
        <v>6</v>
      </c>
      <c r="I1059" s="933" t="s">
        <v>670</v>
      </c>
      <c r="J1059" s="934">
        <v>2.4772727272727302</v>
      </c>
      <c r="K1059" s="934">
        <v>14.863636363636401</v>
      </c>
      <c r="L1059" s="938">
        <v>0.27290253088999999</v>
      </c>
    </row>
    <row r="1060" spans="1:12" hidden="1">
      <c r="A1060" s="931">
        <v>14</v>
      </c>
      <c r="B1060" s="1246">
        <v>46111</v>
      </c>
      <c r="C1060" s="1248">
        <v>46117</v>
      </c>
      <c r="D1060" s="933">
        <v>61</v>
      </c>
      <c r="E1060" s="933" t="s">
        <v>801</v>
      </c>
      <c r="F1060" s="933" t="s">
        <v>713</v>
      </c>
      <c r="G1060" s="933">
        <v>3</v>
      </c>
      <c r="H1060" s="933">
        <v>3</v>
      </c>
      <c r="I1060" s="933" t="s">
        <v>670</v>
      </c>
      <c r="J1060" s="934">
        <v>4.4090909090909101</v>
      </c>
      <c r="K1060" s="934">
        <v>13.2272727272727</v>
      </c>
      <c r="L1060" s="938">
        <v>0.24285821619</v>
      </c>
    </row>
    <row r="1061" spans="1:12" hidden="1">
      <c r="A1061" s="931">
        <v>14</v>
      </c>
      <c r="B1061" s="1246">
        <v>46111</v>
      </c>
      <c r="C1061" s="1248">
        <v>46117</v>
      </c>
      <c r="D1061" s="933">
        <v>62</v>
      </c>
      <c r="E1061" s="933" t="s">
        <v>690</v>
      </c>
      <c r="F1061" s="933" t="s">
        <v>275</v>
      </c>
      <c r="G1061" s="933">
        <v>2</v>
      </c>
      <c r="H1061" s="933">
        <v>2</v>
      </c>
      <c r="I1061" s="933" t="s">
        <v>670</v>
      </c>
      <c r="J1061" s="934">
        <v>6.0227272727272698</v>
      </c>
      <c r="K1061" s="934">
        <v>12.045454545454501</v>
      </c>
      <c r="L1061" s="938">
        <v>0.22115954372999999</v>
      </c>
    </row>
    <row r="1062" spans="1:12" hidden="1">
      <c r="A1062" s="931">
        <v>14</v>
      </c>
      <c r="B1062" s="1246">
        <v>46111</v>
      </c>
      <c r="C1062" s="1248">
        <v>46117</v>
      </c>
      <c r="D1062" s="933">
        <v>63</v>
      </c>
      <c r="E1062" s="933" t="s">
        <v>694</v>
      </c>
      <c r="F1062" s="933" t="s">
        <v>695</v>
      </c>
      <c r="G1062" s="933">
        <v>3</v>
      </c>
      <c r="H1062" s="933">
        <v>3</v>
      </c>
      <c r="I1062" s="933" t="s">
        <v>670</v>
      </c>
      <c r="J1062" s="934">
        <v>3.7878787878787898</v>
      </c>
      <c r="K1062" s="934">
        <v>11.363636363636401</v>
      </c>
      <c r="L1062" s="938">
        <v>0.20864107863</v>
      </c>
    </row>
    <row r="1063" spans="1:12" hidden="1">
      <c r="A1063" s="931">
        <v>14</v>
      </c>
      <c r="B1063" s="1246">
        <v>46111</v>
      </c>
      <c r="C1063" s="1248">
        <v>46117</v>
      </c>
      <c r="D1063" s="933">
        <v>64</v>
      </c>
      <c r="E1063" s="933" t="s">
        <v>798</v>
      </c>
      <c r="F1063" s="933" t="s">
        <v>713</v>
      </c>
      <c r="G1063" s="933">
        <v>2</v>
      </c>
      <c r="H1063" s="933">
        <v>2</v>
      </c>
      <c r="I1063" s="933" t="s">
        <v>670</v>
      </c>
      <c r="J1063" s="934">
        <v>5.4090909090909101</v>
      </c>
      <c r="K1063" s="934">
        <v>10.818181818181801</v>
      </c>
      <c r="L1063" s="938">
        <v>0.19862630663</v>
      </c>
    </row>
    <row r="1064" spans="1:12" hidden="1">
      <c r="A1064" s="931">
        <v>14</v>
      </c>
      <c r="B1064" s="1246">
        <v>46111</v>
      </c>
      <c r="C1064" s="1248">
        <v>46117</v>
      </c>
      <c r="D1064" s="933">
        <v>65</v>
      </c>
      <c r="E1064" s="933" t="s">
        <v>814</v>
      </c>
      <c r="F1064" s="933" t="s">
        <v>815</v>
      </c>
      <c r="G1064" s="933">
        <v>2</v>
      </c>
      <c r="H1064" s="933">
        <v>2</v>
      </c>
      <c r="I1064" s="933" t="s">
        <v>670</v>
      </c>
      <c r="J1064" s="934">
        <v>4.9090909090909101</v>
      </c>
      <c r="K1064" s="934">
        <v>9.8181818181818201</v>
      </c>
      <c r="L1064" s="938">
        <v>0.18026589163000001</v>
      </c>
    </row>
    <row r="1065" spans="1:12" hidden="1">
      <c r="A1065" s="931">
        <v>14</v>
      </c>
      <c r="B1065" s="1246">
        <v>46111</v>
      </c>
      <c r="C1065" s="1248">
        <v>46117</v>
      </c>
      <c r="D1065" s="933">
        <v>66</v>
      </c>
      <c r="E1065" s="933" t="s">
        <v>755</v>
      </c>
      <c r="F1065" s="933" t="s">
        <v>251</v>
      </c>
      <c r="G1065" s="933">
        <v>4</v>
      </c>
      <c r="H1065" s="933">
        <v>4</v>
      </c>
      <c r="I1065" s="933" t="s">
        <v>670</v>
      </c>
      <c r="J1065" s="934">
        <v>2.4431818181818201</v>
      </c>
      <c r="K1065" s="934">
        <v>9.7727272727272698</v>
      </c>
      <c r="L1065" s="938">
        <v>0.17943132763</v>
      </c>
    </row>
    <row r="1066" spans="1:12" hidden="1">
      <c r="A1066" s="931">
        <v>14</v>
      </c>
      <c r="B1066" s="1246">
        <v>46111</v>
      </c>
      <c r="C1066" s="1248">
        <v>46117</v>
      </c>
      <c r="D1066" s="933">
        <v>67</v>
      </c>
      <c r="E1066" s="933" t="s">
        <v>722</v>
      </c>
      <c r="F1066" s="933" t="s">
        <v>251</v>
      </c>
      <c r="G1066" s="933">
        <v>4</v>
      </c>
      <c r="H1066" s="933">
        <v>4</v>
      </c>
      <c r="I1066" s="933" t="s">
        <v>670</v>
      </c>
      <c r="J1066" s="934">
        <v>2.4431818181818201</v>
      </c>
      <c r="K1066" s="934">
        <v>9.7727272727272698</v>
      </c>
      <c r="L1066" s="938">
        <v>0.17943132763</v>
      </c>
    </row>
    <row r="1067" spans="1:12" hidden="1">
      <c r="A1067" s="931">
        <v>14</v>
      </c>
      <c r="B1067" s="1246">
        <v>46111</v>
      </c>
      <c r="C1067" s="1248">
        <v>46117</v>
      </c>
      <c r="D1067" s="933">
        <v>68</v>
      </c>
      <c r="E1067" s="933" t="s">
        <v>797</v>
      </c>
      <c r="F1067" s="933" t="s">
        <v>253</v>
      </c>
      <c r="G1067" s="933">
        <v>3</v>
      </c>
      <c r="H1067" s="933">
        <v>3</v>
      </c>
      <c r="I1067" s="933" t="s">
        <v>670</v>
      </c>
      <c r="J1067" s="934">
        <v>3.2272727272727302</v>
      </c>
      <c r="K1067" s="934">
        <v>9.6818181818181799</v>
      </c>
      <c r="L1067" s="938">
        <v>0.17776219963000001</v>
      </c>
    </row>
    <row r="1068" spans="1:12" hidden="1">
      <c r="A1068" s="931">
        <v>14</v>
      </c>
      <c r="B1068" s="1246">
        <v>46111</v>
      </c>
      <c r="C1068" s="1248">
        <v>46117</v>
      </c>
      <c r="D1068" s="933">
        <v>69</v>
      </c>
      <c r="E1068" s="933" t="s">
        <v>703</v>
      </c>
      <c r="F1068" s="933" t="s">
        <v>256</v>
      </c>
      <c r="G1068" s="933">
        <v>5</v>
      </c>
      <c r="H1068" s="933">
        <v>5</v>
      </c>
      <c r="I1068" s="933" t="s">
        <v>670</v>
      </c>
      <c r="J1068" s="934">
        <v>1.86363636363636</v>
      </c>
      <c r="K1068" s="934">
        <v>9.3181818181818201</v>
      </c>
      <c r="L1068" s="938">
        <v>0.17108568502999999</v>
      </c>
    </row>
    <row r="1069" spans="1:12" hidden="1">
      <c r="A1069" s="931">
        <v>14</v>
      </c>
      <c r="B1069" s="1246">
        <v>46111</v>
      </c>
      <c r="C1069" s="1248">
        <v>46117</v>
      </c>
      <c r="D1069" s="933">
        <v>70</v>
      </c>
      <c r="E1069" s="933" t="s">
        <v>746</v>
      </c>
      <c r="F1069" s="933" t="s">
        <v>251</v>
      </c>
      <c r="G1069" s="933">
        <v>4</v>
      </c>
      <c r="H1069" s="933">
        <v>4</v>
      </c>
      <c r="I1069" s="933" t="s">
        <v>670</v>
      </c>
      <c r="J1069" s="934">
        <v>2.1363636363636398</v>
      </c>
      <c r="K1069" s="934">
        <v>8.5454545454545503</v>
      </c>
      <c r="L1069" s="938">
        <v>0.15689809062999999</v>
      </c>
    </row>
    <row r="1070" spans="1:12" hidden="1">
      <c r="A1070" s="931">
        <v>14</v>
      </c>
      <c r="B1070" s="1246">
        <v>46111</v>
      </c>
      <c r="C1070" s="1248">
        <v>46117</v>
      </c>
      <c r="D1070" s="933">
        <v>71</v>
      </c>
      <c r="E1070" s="933" t="s">
        <v>836</v>
      </c>
      <c r="F1070" s="933" t="s">
        <v>713</v>
      </c>
      <c r="G1070" s="933">
        <v>1</v>
      </c>
      <c r="H1070" s="933">
        <v>1</v>
      </c>
      <c r="I1070" s="933" t="s">
        <v>670</v>
      </c>
      <c r="J1070" s="934">
        <v>7.9090909090909101</v>
      </c>
      <c r="K1070" s="934">
        <v>7.9090909090909101</v>
      </c>
      <c r="L1070" s="938">
        <v>0.14521419120000001</v>
      </c>
    </row>
    <row r="1071" spans="1:12" hidden="1">
      <c r="A1071" s="931">
        <v>14</v>
      </c>
      <c r="B1071" s="1246">
        <v>46111</v>
      </c>
      <c r="C1071" s="1248">
        <v>46117</v>
      </c>
      <c r="D1071" s="933">
        <v>72</v>
      </c>
      <c r="E1071" s="933" t="s">
        <v>720</v>
      </c>
      <c r="F1071" s="933" t="s">
        <v>251</v>
      </c>
      <c r="G1071" s="933">
        <v>3</v>
      </c>
      <c r="H1071" s="933">
        <v>3</v>
      </c>
      <c r="I1071" s="933" t="s">
        <v>670</v>
      </c>
      <c r="J1071" s="934">
        <v>2.5</v>
      </c>
      <c r="K1071" s="934">
        <v>7.5</v>
      </c>
      <c r="L1071" s="938">
        <v>0.13770311272999999</v>
      </c>
    </row>
    <row r="1072" spans="1:12" hidden="1">
      <c r="A1072" s="931">
        <v>14</v>
      </c>
      <c r="B1072" s="1246">
        <v>46111</v>
      </c>
      <c r="C1072" s="1248">
        <v>46117</v>
      </c>
      <c r="D1072" s="933">
        <v>73</v>
      </c>
      <c r="E1072" s="933" t="s">
        <v>712</v>
      </c>
      <c r="F1072" s="933" t="s">
        <v>713</v>
      </c>
      <c r="G1072" s="933">
        <v>2</v>
      </c>
      <c r="H1072" s="933">
        <v>2</v>
      </c>
      <c r="I1072" s="933" t="s">
        <v>670</v>
      </c>
      <c r="J1072" s="934">
        <v>3.1818181818181799</v>
      </c>
      <c r="K1072" s="934">
        <v>6.3636363636363598</v>
      </c>
      <c r="L1072" s="938">
        <v>0.11683900379999999</v>
      </c>
    </row>
    <row r="1073" spans="1:12" hidden="1">
      <c r="A1073" s="931">
        <v>14</v>
      </c>
      <c r="B1073" s="1246">
        <v>46111</v>
      </c>
      <c r="C1073" s="1248">
        <v>46117</v>
      </c>
      <c r="D1073" s="933">
        <v>74</v>
      </c>
      <c r="E1073" s="933" t="s">
        <v>752</v>
      </c>
      <c r="F1073" s="933" t="s">
        <v>264</v>
      </c>
      <c r="G1073" s="933">
        <v>4</v>
      </c>
      <c r="H1073" s="933">
        <v>4</v>
      </c>
      <c r="I1073" s="933" t="s">
        <v>670</v>
      </c>
      <c r="J1073" s="934">
        <v>1.5568181818181801</v>
      </c>
      <c r="K1073" s="934">
        <v>6.2272727272727302</v>
      </c>
      <c r="L1073" s="938">
        <v>0.11433531157</v>
      </c>
    </row>
    <row r="1074" spans="1:12" hidden="1">
      <c r="A1074" s="931">
        <v>14</v>
      </c>
      <c r="B1074" s="1246">
        <v>46111</v>
      </c>
      <c r="C1074" s="1248">
        <v>46117</v>
      </c>
      <c r="D1074" s="933">
        <v>75</v>
      </c>
      <c r="E1074" s="933" t="s">
        <v>723</v>
      </c>
      <c r="F1074" s="933" t="s">
        <v>713</v>
      </c>
      <c r="G1074" s="933">
        <v>2</v>
      </c>
      <c r="H1074" s="933">
        <v>2</v>
      </c>
      <c r="I1074" s="933" t="s">
        <v>670</v>
      </c>
      <c r="J1074" s="934">
        <v>2.8181818181818201</v>
      </c>
      <c r="K1074" s="934">
        <v>5.6363636363636402</v>
      </c>
      <c r="L1074" s="938">
        <v>0.10348597454</v>
      </c>
    </row>
    <row r="1075" spans="1:12" hidden="1">
      <c r="A1075" s="931">
        <v>14</v>
      </c>
      <c r="B1075" s="1246">
        <v>46111</v>
      </c>
      <c r="C1075" s="1248">
        <v>46117</v>
      </c>
      <c r="D1075" s="933">
        <v>76</v>
      </c>
      <c r="E1075" s="933" t="s">
        <v>718</v>
      </c>
      <c r="F1075" s="933" t="s">
        <v>275</v>
      </c>
      <c r="G1075" s="933">
        <v>1</v>
      </c>
      <c r="H1075" s="933">
        <v>1</v>
      </c>
      <c r="I1075" s="933" t="s">
        <v>672</v>
      </c>
      <c r="J1075" s="934">
        <v>5.2272727272727302</v>
      </c>
      <c r="K1075" s="934">
        <v>5.2272727272727302</v>
      </c>
      <c r="L1075" s="938">
        <v>9.5974896310000002E-2</v>
      </c>
    </row>
    <row r="1076" spans="1:12" hidden="1">
      <c r="A1076" s="931">
        <v>14</v>
      </c>
      <c r="B1076" s="1246">
        <v>46111</v>
      </c>
      <c r="C1076" s="1248">
        <v>46117</v>
      </c>
      <c r="D1076" s="933">
        <v>77</v>
      </c>
      <c r="E1076" s="933" t="s">
        <v>757</v>
      </c>
      <c r="F1076" s="933" t="s">
        <v>251</v>
      </c>
      <c r="G1076" s="933">
        <v>2</v>
      </c>
      <c r="H1076" s="933">
        <v>2</v>
      </c>
      <c r="I1076" s="933" t="s">
        <v>670</v>
      </c>
      <c r="J1076" s="934">
        <v>2.5681818181818201</v>
      </c>
      <c r="K1076" s="934">
        <v>5.1363636363636402</v>
      </c>
      <c r="L1076" s="938">
        <v>9.4305768309999996E-2</v>
      </c>
    </row>
    <row r="1077" spans="1:12" hidden="1">
      <c r="A1077" s="931">
        <v>14</v>
      </c>
      <c r="B1077" s="1246">
        <v>46111</v>
      </c>
      <c r="C1077" s="1248">
        <v>46117</v>
      </c>
      <c r="D1077" s="933">
        <v>78</v>
      </c>
      <c r="E1077" s="933" t="s">
        <v>767</v>
      </c>
      <c r="F1077" s="933" t="s">
        <v>251</v>
      </c>
      <c r="G1077" s="933">
        <v>2</v>
      </c>
      <c r="H1077" s="933">
        <v>2</v>
      </c>
      <c r="I1077" s="933" t="s">
        <v>670</v>
      </c>
      <c r="J1077" s="934">
        <v>2.5227272727272698</v>
      </c>
      <c r="K1077" s="934">
        <v>5.0454545454545503</v>
      </c>
      <c r="L1077" s="938">
        <v>9.2636640310000004E-2</v>
      </c>
    </row>
    <row r="1078" spans="1:12" hidden="1">
      <c r="A1078" s="931">
        <v>14</v>
      </c>
      <c r="B1078" s="1246">
        <v>46111</v>
      </c>
      <c r="C1078" s="1248">
        <v>46117</v>
      </c>
      <c r="D1078" s="933">
        <v>79</v>
      </c>
      <c r="E1078" s="933" t="s">
        <v>731</v>
      </c>
      <c r="F1078" s="933" t="s">
        <v>251</v>
      </c>
      <c r="G1078" s="933">
        <v>2</v>
      </c>
      <c r="H1078" s="933">
        <v>2</v>
      </c>
      <c r="I1078" s="933" t="s">
        <v>670</v>
      </c>
      <c r="J1078" s="934">
        <v>2.4772727272727302</v>
      </c>
      <c r="K1078" s="934">
        <v>4.9545454545454497</v>
      </c>
      <c r="L1078" s="938">
        <v>9.0967510309999999E-2</v>
      </c>
    </row>
    <row r="1079" spans="1:12" hidden="1">
      <c r="A1079" s="931">
        <v>14</v>
      </c>
      <c r="B1079" s="1246">
        <v>46111</v>
      </c>
      <c r="C1079" s="1248">
        <v>46117</v>
      </c>
      <c r="D1079" s="933">
        <v>80</v>
      </c>
      <c r="E1079" s="933" t="s">
        <v>710</v>
      </c>
      <c r="F1079" s="933" t="s">
        <v>249</v>
      </c>
      <c r="G1079" s="933">
        <v>2</v>
      </c>
      <c r="H1079" s="933">
        <v>2</v>
      </c>
      <c r="I1079" s="933" t="s">
        <v>670</v>
      </c>
      <c r="J1079" s="934">
        <v>2.4090909090909101</v>
      </c>
      <c r="K1079" s="934">
        <v>4.8181818181818201</v>
      </c>
      <c r="L1079" s="938">
        <v>8.8463816880000004E-2</v>
      </c>
    </row>
    <row r="1080" spans="1:12" hidden="1">
      <c r="A1080" s="931">
        <v>14</v>
      </c>
      <c r="B1080" s="1246">
        <v>46111</v>
      </c>
      <c r="C1080" s="1248">
        <v>46117</v>
      </c>
      <c r="D1080" s="933">
        <v>81</v>
      </c>
      <c r="E1080" s="933" t="s">
        <v>817</v>
      </c>
      <c r="F1080" s="933" t="s">
        <v>713</v>
      </c>
      <c r="G1080" s="933">
        <v>1</v>
      </c>
      <c r="H1080" s="933">
        <v>1</v>
      </c>
      <c r="I1080" s="933" t="s">
        <v>670</v>
      </c>
      <c r="J1080" s="934">
        <v>4.4545454545454497</v>
      </c>
      <c r="K1080" s="934">
        <v>4.4545454545454497</v>
      </c>
      <c r="L1080" s="938">
        <v>8.1787302349999993E-2</v>
      </c>
    </row>
    <row r="1081" spans="1:12" hidden="1">
      <c r="A1081" s="931">
        <v>14</v>
      </c>
      <c r="B1081" s="1246">
        <v>46111</v>
      </c>
      <c r="C1081" s="1248">
        <v>46117</v>
      </c>
      <c r="D1081" s="933">
        <v>82</v>
      </c>
      <c r="E1081" s="933" t="s">
        <v>787</v>
      </c>
      <c r="F1081" s="933" t="s">
        <v>713</v>
      </c>
      <c r="G1081" s="933">
        <v>1</v>
      </c>
      <c r="H1081" s="933">
        <v>1</v>
      </c>
      <c r="I1081" s="933" t="s">
        <v>670</v>
      </c>
      <c r="J1081" s="934">
        <v>4.3181818181818201</v>
      </c>
      <c r="K1081" s="934">
        <v>4.3181818181818201</v>
      </c>
      <c r="L1081" s="938">
        <v>7.9283608980000003E-2</v>
      </c>
    </row>
    <row r="1082" spans="1:12" hidden="1">
      <c r="A1082" s="931">
        <v>14</v>
      </c>
      <c r="B1082" s="1246">
        <v>46111</v>
      </c>
      <c r="C1082" s="1248">
        <v>46117</v>
      </c>
      <c r="D1082" s="933">
        <v>83</v>
      </c>
      <c r="E1082" s="933" t="s">
        <v>756</v>
      </c>
      <c r="F1082" s="933" t="s">
        <v>251</v>
      </c>
      <c r="G1082" s="933">
        <v>2</v>
      </c>
      <c r="H1082" s="933">
        <v>2</v>
      </c>
      <c r="I1082" s="933" t="s">
        <v>670</v>
      </c>
      <c r="J1082" s="934">
        <v>2.1363636363636398</v>
      </c>
      <c r="K1082" s="934">
        <v>4.2727272727272698</v>
      </c>
      <c r="L1082" s="938">
        <v>7.8449044979999993E-2</v>
      </c>
    </row>
    <row r="1083" spans="1:12" hidden="1">
      <c r="A1083" s="931">
        <v>14</v>
      </c>
      <c r="B1083" s="1246">
        <v>46111</v>
      </c>
      <c r="C1083" s="1248">
        <v>46117</v>
      </c>
      <c r="D1083" s="933">
        <v>84</v>
      </c>
      <c r="E1083" s="933" t="s">
        <v>714</v>
      </c>
      <c r="F1083" s="933" t="s">
        <v>251</v>
      </c>
      <c r="G1083" s="933">
        <v>3</v>
      </c>
      <c r="H1083" s="933">
        <v>3</v>
      </c>
      <c r="I1083" s="933" t="s">
        <v>670</v>
      </c>
      <c r="J1083" s="934">
        <v>1.4090909090909101</v>
      </c>
      <c r="K1083" s="934">
        <v>4.2272727272727302</v>
      </c>
      <c r="L1083" s="938">
        <v>7.7614480979999997E-2</v>
      </c>
    </row>
    <row r="1084" spans="1:12" hidden="1">
      <c r="A1084" s="931">
        <v>14</v>
      </c>
      <c r="B1084" s="1246">
        <v>46111</v>
      </c>
      <c r="C1084" s="1248">
        <v>46117</v>
      </c>
      <c r="D1084" s="933">
        <v>85</v>
      </c>
      <c r="E1084" s="933" t="s">
        <v>736</v>
      </c>
      <c r="F1084" s="933" t="s">
        <v>251</v>
      </c>
      <c r="G1084" s="933">
        <v>2</v>
      </c>
      <c r="H1084" s="933">
        <v>2</v>
      </c>
      <c r="I1084" s="933" t="s">
        <v>670</v>
      </c>
      <c r="J1084" s="934">
        <v>2.1136363636363602</v>
      </c>
      <c r="K1084" s="934">
        <v>4.2272727272727302</v>
      </c>
      <c r="L1084" s="938">
        <v>7.7614480979999997E-2</v>
      </c>
    </row>
    <row r="1085" spans="1:12" hidden="1">
      <c r="A1085" s="931">
        <v>14</v>
      </c>
      <c r="B1085" s="1246">
        <v>46111</v>
      </c>
      <c r="C1085" s="1248">
        <v>46117</v>
      </c>
      <c r="D1085" s="933">
        <v>86</v>
      </c>
      <c r="E1085" s="933" t="s">
        <v>802</v>
      </c>
      <c r="F1085" s="933" t="s">
        <v>713</v>
      </c>
      <c r="G1085" s="933">
        <v>1</v>
      </c>
      <c r="H1085" s="933">
        <v>1</v>
      </c>
      <c r="I1085" s="933" t="s">
        <v>670</v>
      </c>
      <c r="J1085" s="934">
        <v>4.1818181818181799</v>
      </c>
      <c r="K1085" s="934">
        <v>4.1818181818181799</v>
      </c>
      <c r="L1085" s="938">
        <v>7.6779916980000001E-2</v>
      </c>
    </row>
    <row r="1086" spans="1:12" hidden="1">
      <c r="A1086" s="931">
        <v>14</v>
      </c>
      <c r="B1086" s="1246">
        <v>46111</v>
      </c>
      <c r="C1086" s="1248">
        <v>46117</v>
      </c>
      <c r="D1086" s="933">
        <v>87</v>
      </c>
      <c r="E1086" s="933" t="s">
        <v>838</v>
      </c>
      <c r="F1086" s="933" t="s">
        <v>730</v>
      </c>
      <c r="G1086" s="933">
        <v>1</v>
      </c>
      <c r="H1086" s="933">
        <v>1</v>
      </c>
      <c r="I1086" s="933" t="s">
        <v>670</v>
      </c>
      <c r="J1086" s="934">
        <v>4.0909090909090899</v>
      </c>
      <c r="K1086" s="934">
        <v>4.0909090909090899</v>
      </c>
      <c r="L1086" s="938">
        <v>7.5110788979999996E-2</v>
      </c>
    </row>
    <row r="1087" spans="1:12" hidden="1">
      <c r="A1087" s="931">
        <v>14</v>
      </c>
      <c r="B1087" s="1246">
        <v>46111</v>
      </c>
      <c r="C1087" s="1248">
        <v>46117</v>
      </c>
      <c r="D1087" s="933">
        <v>88</v>
      </c>
      <c r="E1087" s="933" t="s">
        <v>799</v>
      </c>
      <c r="F1087" s="933" t="s">
        <v>713</v>
      </c>
      <c r="G1087" s="933">
        <v>1</v>
      </c>
      <c r="H1087" s="933">
        <v>1</v>
      </c>
      <c r="I1087" s="933" t="s">
        <v>670</v>
      </c>
      <c r="J1087" s="934">
        <v>3.1818181818181799</v>
      </c>
      <c r="K1087" s="934">
        <v>3.1818181818181799</v>
      </c>
      <c r="L1087" s="938">
        <v>5.8419502849999999E-2</v>
      </c>
    </row>
    <row r="1088" spans="1:12" hidden="1">
      <c r="A1088" s="931">
        <v>14</v>
      </c>
      <c r="B1088" s="1246">
        <v>46111</v>
      </c>
      <c r="C1088" s="1248">
        <v>46117</v>
      </c>
      <c r="D1088" s="933">
        <v>89</v>
      </c>
      <c r="E1088" s="933" t="s">
        <v>761</v>
      </c>
      <c r="F1088" s="933" t="s">
        <v>730</v>
      </c>
      <c r="G1088" s="933">
        <v>1</v>
      </c>
      <c r="H1088" s="933">
        <v>1</v>
      </c>
      <c r="I1088" s="933" t="s">
        <v>670</v>
      </c>
      <c r="J1088" s="934">
        <v>2.8181818181818201</v>
      </c>
      <c r="K1088" s="934">
        <v>2.8181818181818201</v>
      </c>
      <c r="L1088" s="938">
        <v>5.1742988849999998E-2</v>
      </c>
    </row>
    <row r="1089" spans="1:12" hidden="1">
      <c r="A1089" s="931">
        <v>14</v>
      </c>
      <c r="B1089" s="1246">
        <v>46111</v>
      </c>
      <c r="C1089" s="1248">
        <v>46117</v>
      </c>
      <c r="D1089" s="933">
        <v>90</v>
      </c>
      <c r="E1089" s="933" t="s">
        <v>773</v>
      </c>
      <c r="F1089" s="933" t="s">
        <v>730</v>
      </c>
      <c r="G1089" s="933">
        <v>1</v>
      </c>
      <c r="H1089" s="933">
        <v>1</v>
      </c>
      <c r="I1089" s="933" t="s">
        <v>670</v>
      </c>
      <c r="J1089" s="934">
        <v>2.8181818181818201</v>
      </c>
      <c r="K1089" s="934">
        <v>2.8181818181818201</v>
      </c>
      <c r="L1089" s="938">
        <v>5.1742988849999998E-2</v>
      </c>
    </row>
    <row r="1090" spans="1:12" hidden="1">
      <c r="A1090" s="931">
        <v>14</v>
      </c>
      <c r="B1090" s="1258">
        <v>46111</v>
      </c>
      <c r="C1090" s="1259">
        <v>46117</v>
      </c>
      <c r="D1090" s="930">
        <v>91</v>
      </c>
      <c r="E1090" s="930" t="s">
        <v>762</v>
      </c>
      <c r="F1090" s="930" t="s">
        <v>323</v>
      </c>
      <c r="G1090" s="930">
        <v>1</v>
      </c>
      <c r="H1090" s="930">
        <v>1</v>
      </c>
      <c r="I1090" s="930" t="s">
        <v>670</v>
      </c>
      <c r="J1090" s="937">
        <v>2.7272727272727302</v>
      </c>
      <c r="K1090" s="937">
        <v>2.7272727272727302</v>
      </c>
      <c r="L1090" s="940">
        <v>5.0073859849999999E-2</v>
      </c>
    </row>
    <row r="1091" spans="1:12" hidden="1">
      <c r="A1091" s="931">
        <v>14</v>
      </c>
      <c r="B1091" s="1246">
        <v>46111</v>
      </c>
      <c r="C1091" s="1248">
        <v>46117</v>
      </c>
      <c r="D1091" s="933">
        <v>92</v>
      </c>
      <c r="E1091" s="933" t="s">
        <v>808</v>
      </c>
      <c r="F1091" s="933" t="s">
        <v>268</v>
      </c>
      <c r="G1091" s="933">
        <v>3</v>
      </c>
      <c r="H1091" s="933">
        <v>3</v>
      </c>
      <c r="I1091" s="933" t="s">
        <v>670</v>
      </c>
      <c r="J1091" s="934">
        <v>0.59090909090909105</v>
      </c>
      <c r="K1091" s="934">
        <v>1.77272727272727</v>
      </c>
      <c r="L1091" s="938">
        <v>3.2548007849999998E-2</v>
      </c>
    </row>
    <row r="1092" spans="1:12" hidden="1">
      <c r="A1092" s="931">
        <v>14</v>
      </c>
      <c r="B1092" s="1253">
        <v>46111</v>
      </c>
      <c r="C1092" s="1251">
        <v>46117</v>
      </c>
      <c r="D1092" s="1239">
        <v>93</v>
      </c>
      <c r="E1092" s="1239" t="s">
        <v>711</v>
      </c>
      <c r="F1092" s="1239" t="s">
        <v>251</v>
      </c>
      <c r="G1092" s="1239">
        <v>1</v>
      </c>
      <c r="H1092" s="1239">
        <v>1</v>
      </c>
      <c r="I1092" s="1239" t="s">
        <v>670</v>
      </c>
      <c r="J1092" s="1241">
        <v>1.77272727272727</v>
      </c>
      <c r="K1092" s="1241">
        <v>1.77272727272727</v>
      </c>
      <c r="L1092" s="1243">
        <v>3.2548007849999998E-2</v>
      </c>
    </row>
    <row r="1093" spans="1:12" hidden="1">
      <c r="A1093" s="931">
        <v>14</v>
      </c>
      <c r="B1093" s="1253">
        <v>46111</v>
      </c>
      <c r="C1093" s="1251">
        <v>46117</v>
      </c>
      <c r="D1093" s="1239">
        <v>94</v>
      </c>
      <c r="E1093" s="1239" t="s">
        <v>737</v>
      </c>
      <c r="F1093" s="1239" t="s">
        <v>249</v>
      </c>
      <c r="G1093" s="1239">
        <v>1</v>
      </c>
      <c r="H1093" s="1239">
        <v>1</v>
      </c>
      <c r="I1093" s="1239" t="s">
        <v>670</v>
      </c>
      <c r="J1093" s="1241">
        <v>1.5454545454545501</v>
      </c>
      <c r="K1093" s="1241">
        <v>1.5454545454545501</v>
      </c>
      <c r="L1093" s="1243">
        <v>2.8375187449999999E-2</v>
      </c>
    </row>
    <row r="1094" spans="1:12" hidden="1">
      <c r="A1094" s="931">
        <v>14</v>
      </c>
      <c r="B1094" s="1253">
        <v>46111</v>
      </c>
      <c r="C1094" s="1251">
        <v>46117</v>
      </c>
      <c r="D1094" s="1239">
        <v>95</v>
      </c>
      <c r="E1094" s="1239" t="s">
        <v>839</v>
      </c>
      <c r="F1094" s="1239" t="s">
        <v>264</v>
      </c>
      <c r="G1094" s="1239">
        <v>1</v>
      </c>
      <c r="H1094" s="1239">
        <v>1</v>
      </c>
      <c r="I1094" s="1239" t="s">
        <v>670</v>
      </c>
      <c r="J1094" s="1241">
        <v>0.81818181818181801</v>
      </c>
      <c r="K1094" s="1241">
        <v>0.81818181818181801</v>
      </c>
      <c r="L1094" s="1243">
        <v>1.502215835E-2</v>
      </c>
    </row>
    <row r="1095" spans="1:12" hidden="1">
      <c r="A1095" s="931">
        <v>14</v>
      </c>
      <c r="B1095" s="1253">
        <v>46111</v>
      </c>
      <c r="C1095" s="1251">
        <v>46117</v>
      </c>
      <c r="D1095" s="1239">
        <v>96</v>
      </c>
      <c r="E1095" s="1239" t="s">
        <v>681</v>
      </c>
      <c r="F1095" s="1239" t="s">
        <v>282</v>
      </c>
      <c r="G1095" s="1239">
        <v>17</v>
      </c>
      <c r="H1095" s="1239">
        <v>17</v>
      </c>
      <c r="I1095" s="1239" t="s">
        <v>672</v>
      </c>
      <c r="J1095" s="1241">
        <v>4.5454545454544998E-2</v>
      </c>
      <c r="K1095" s="1241">
        <v>0.77272727272727304</v>
      </c>
      <c r="L1095" s="1243">
        <v>1.4187592650000001E-2</v>
      </c>
    </row>
    <row r="1096" spans="1:12" hidden="1">
      <c r="A1096" s="931">
        <v>14</v>
      </c>
      <c r="B1096" s="1253">
        <v>46111</v>
      </c>
      <c r="C1096" s="1251">
        <v>46117</v>
      </c>
      <c r="D1096" s="1239">
        <v>97</v>
      </c>
      <c r="E1096" s="1239" t="s">
        <v>692</v>
      </c>
      <c r="F1096" s="1239" t="s">
        <v>249</v>
      </c>
      <c r="G1096" s="1239">
        <v>3</v>
      </c>
      <c r="H1096" s="1239">
        <v>3</v>
      </c>
      <c r="I1096" s="1239" t="s">
        <v>670</v>
      </c>
      <c r="J1096" s="1241">
        <v>0</v>
      </c>
      <c r="K1096" s="1241">
        <v>0</v>
      </c>
      <c r="L1096" s="1243">
        <v>0</v>
      </c>
    </row>
    <row r="1097" spans="1:12" hidden="1">
      <c r="A1097" s="931">
        <v>14</v>
      </c>
      <c r="B1097" s="1253">
        <v>46111</v>
      </c>
      <c r="C1097" s="1251">
        <v>46117</v>
      </c>
      <c r="D1097" s="1239">
        <v>98</v>
      </c>
      <c r="E1097" s="1239" t="s">
        <v>715</v>
      </c>
      <c r="F1097" s="1239" t="s">
        <v>249</v>
      </c>
      <c r="G1097" s="1239">
        <v>2</v>
      </c>
      <c r="H1097" s="1239">
        <v>2</v>
      </c>
      <c r="I1097" s="1239" t="s">
        <v>670</v>
      </c>
      <c r="J1097" s="1241">
        <v>0</v>
      </c>
      <c r="K1097" s="1241">
        <v>0</v>
      </c>
      <c r="L1097" s="1243">
        <v>0</v>
      </c>
    </row>
    <row r="1098" spans="1:12" hidden="1">
      <c r="A1098" s="931">
        <v>14</v>
      </c>
      <c r="B1098" s="1253">
        <v>46111</v>
      </c>
      <c r="C1098" s="1251">
        <v>46117</v>
      </c>
      <c r="D1098" s="1239">
        <v>99</v>
      </c>
      <c r="E1098" s="1239" t="s">
        <v>716</v>
      </c>
      <c r="F1098" s="1239" t="s">
        <v>251</v>
      </c>
      <c r="G1098" s="1239">
        <v>6</v>
      </c>
      <c r="H1098" s="1239">
        <v>6</v>
      </c>
      <c r="I1098" s="1239" t="s">
        <v>670</v>
      </c>
      <c r="J1098" s="1241">
        <v>0</v>
      </c>
      <c r="K1098" s="1241">
        <v>0</v>
      </c>
      <c r="L1098" s="1243">
        <v>0</v>
      </c>
    </row>
    <row r="1099" spans="1:12" hidden="1">
      <c r="A1099" s="931">
        <v>14</v>
      </c>
      <c r="B1099" s="1253">
        <v>46111</v>
      </c>
      <c r="C1099" s="1251">
        <v>46117</v>
      </c>
      <c r="D1099" s="1239">
        <v>100</v>
      </c>
      <c r="E1099" s="1239" t="s">
        <v>699</v>
      </c>
      <c r="F1099" s="1239" t="s">
        <v>249</v>
      </c>
      <c r="G1099" s="1239">
        <v>3</v>
      </c>
      <c r="H1099" s="1239">
        <v>3</v>
      </c>
      <c r="I1099" s="1239" t="s">
        <v>670</v>
      </c>
      <c r="J1099" s="1241">
        <v>0</v>
      </c>
      <c r="K1099" s="1241">
        <v>0</v>
      </c>
      <c r="L1099" s="1243">
        <v>0</v>
      </c>
    </row>
    <row r="1100" spans="1:12" hidden="1">
      <c r="A1100" s="931">
        <v>14</v>
      </c>
      <c r="B1100" s="1253">
        <v>46111</v>
      </c>
      <c r="C1100" s="1251">
        <v>46117</v>
      </c>
      <c r="D1100" s="1239">
        <v>101</v>
      </c>
      <c r="E1100" s="1239" t="s">
        <v>727</v>
      </c>
      <c r="F1100" s="1239" t="s">
        <v>275</v>
      </c>
      <c r="G1100" s="1239">
        <v>4</v>
      </c>
      <c r="H1100" s="1239">
        <v>4</v>
      </c>
      <c r="I1100" s="1239" t="s">
        <v>670</v>
      </c>
      <c r="J1100" s="1241">
        <v>0</v>
      </c>
      <c r="K1100" s="1241">
        <v>0</v>
      </c>
      <c r="L1100" s="1243">
        <v>0</v>
      </c>
    </row>
    <row r="1101" spans="1:12" hidden="1">
      <c r="A1101" s="931">
        <v>14</v>
      </c>
      <c r="B1101" s="1253">
        <v>46111</v>
      </c>
      <c r="C1101" s="1251">
        <v>46117</v>
      </c>
      <c r="D1101" s="1239">
        <v>102</v>
      </c>
      <c r="E1101" s="1239" t="s">
        <v>840</v>
      </c>
      <c r="F1101" s="1239" t="s">
        <v>689</v>
      </c>
      <c r="G1101" s="1239">
        <v>2</v>
      </c>
      <c r="H1101" s="1239">
        <v>2</v>
      </c>
      <c r="I1101" s="1239" t="s">
        <v>670</v>
      </c>
      <c r="J1101" s="1241">
        <v>0</v>
      </c>
      <c r="K1101" s="1241">
        <v>0</v>
      </c>
      <c r="L1101" s="1243">
        <v>0</v>
      </c>
    </row>
    <row r="1102" spans="1:12">
      <c r="A1102" s="931">
        <v>14</v>
      </c>
      <c r="B1102" s="1253">
        <v>46111</v>
      </c>
      <c r="C1102" s="1251">
        <v>46117</v>
      </c>
      <c r="D1102" s="1239">
        <v>103</v>
      </c>
      <c r="E1102" s="1239" t="s">
        <v>806</v>
      </c>
      <c r="F1102" s="1239" t="s">
        <v>256</v>
      </c>
      <c r="G1102" s="1239">
        <v>34</v>
      </c>
      <c r="H1102" s="1239">
        <v>34</v>
      </c>
      <c r="I1102" s="1239" t="s">
        <v>670</v>
      </c>
      <c r="J1102" s="1241">
        <v>-9.4919786096256994E-2</v>
      </c>
      <c r="K1102" s="1241">
        <v>-3.2272727272727302</v>
      </c>
      <c r="L1102" s="1243">
        <v>-5.925406565E-2</v>
      </c>
    </row>
    <row r="1103" spans="1:12" hidden="1">
      <c r="A1103" s="931">
        <v>15</v>
      </c>
      <c r="B1103" s="1253">
        <v>46118</v>
      </c>
      <c r="C1103" s="1251">
        <v>46124</v>
      </c>
      <c r="D1103" s="1239">
        <v>1</v>
      </c>
      <c r="E1103" s="1239" t="s">
        <v>254</v>
      </c>
      <c r="F1103" s="1239" t="s">
        <v>254</v>
      </c>
      <c r="G1103" s="1239">
        <v>22</v>
      </c>
      <c r="H1103" s="1239">
        <v>22</v>
      </c>
      <c r="I1103" s="1239" t="s">
        <v>670</v>
      </c>
      <c r="J1103" s="1241">
        <v>13.545454545454501</v>
      </c>
      <c r="K1103" s="1241">
        <v>298</v>
      </c>
      <c r="L1103" s="1243">
        <v>10.4230591897</v>
      </c>
    </row>
    <row r="1104" spans="1:12" hidden="1">
      <c r="A1104" s="931">
        <v>15</v>
      </c>
      <c r="B1104" s="1253">
        <v>46118</v>
      </c>
      <c r="C1104" s="1251">
        <v>46124</v>
      </c>
      <c r="D1104" s="1239">
        <v>2</v>
      </c>
      <c r="E1104" s="1239" t="s">
        <v>255</v>
      </c>
      <c r="F1104" s="1239" t="s">
        <v>256</v>
      </c>
      <c r="G1104" s="1239">
        <v>31</v>
      </c>
      <c r="H1104" s="1239">
        <v>31</v>
      </c>
      <c r="I1104" s="1239" t="s">
        <v>670</v>
      </c>
      <c r="J1104" s="1241">
        <v>5.2228739130434798</v>
      </c>
      <c r="K1104" s="1241">
        <v>161.90909090909099</v>
      </c>
      <c r="L1104" s="1243">
        <v>5.6630471067699997</v>
      </c>
    </row>
    <row r="1105" spans="1:12" hidden="1">
      <c r="A1105" s="931">
        <v>15</v>
      </c>
      <c r="B1105" s="1253">
        <v>46118</v>
      </c>
      <c r="C1105" s="1251">
        <v>46124</v>
      </c>
      <c r="D1105" s="1239">
        <v>3</v>
      </c>
      <c r="E1105" s="1239" t="s">
        <v>261</v>
      </c>
      <c r="F1105" s="1239" t="s">
        <v>256</v>
      </c>
      <c r="G1105" s="1239">
        <v>39</v>
      </c>
      <c r="H1105" s="1239">
        <v>39</v>
      </c>
      <c r="I1105" s="1239" t="s">
        <v>670</v>
      </c>
      <c r="J1105" s="1241">
        <v>3.4941724941724899</v>
      </c>
      <c r="K1105" s="1241">
        <v>136.272727272727</v>
      </c>
      <c r="L1105" s="1243">
        <v>4.7663714843099996</v>
      </c>
    </row>
    <row r="1106" spans="1:12" hidden="1">
      <c r="A1106" s="931">
        <v>15</v>
      </c>
      <c r="B1106" s="1253">
        <v>46118</v>
      </c>
      <c r="C1106" s="1251">
        <v>46124</v>
      </c>
      <c r="D1106" s="1239">
        <v>4</v>
      </c>
      <c r="E1106" s="1239" t="s">
        <v>262</v>
      </c>
      <c r="F1106" s="1239" t="s">
        <v>256</v>
      </c>
      <c r="G1106" s="1239">
        <v>12</v>
      </c>
      <c r="H1106" s="1239">
        <v>12</v>
      </c>
      <c r="I1106" s="1239" t="s">
        <v>670</v>
      </c>
      <c r="J1106" s="1241">
        <v>10.931818181818199</v>
      </c>
      <c r="K1106" s="1241">
        <v>131.18181818181799</v>
      </c>
      <c r="L1106" s="1243">
        <v>4.58830824046</v>
      </c>
    </row>
    <row r="1107" spans="1:12" hidden="1">
      <c r="A1107" s="931">
        <v>15</v>
      </c>
      <c r="B1107" s="1253">
        <v>46118</v>
      </c>
      <c r="C1107" s="1251">
        <v>46124</v>
      </c>
      <c r="D1107" s="1239">
        <v>5</v>
      </c>
      <c r="E1107" s="1239" t="s">
        <v>790</v>
      </c>
      <c r="F1107" s="1239" t="s">
        <v>264</v>
      </c>
      <c r="G1107" s="1239">
        <v>34</v>
      </c>
      <c r="H1107" s="1239">
        <v>34</v>
      </c>
      <c r="I1107" s="1239" t="s">
        <v>670</v>
      </c>
      <c r="J1107" s="1241">
        <v>3.3021390374331601</v>
      </c>
      <c r="K1107" s="1241">
        <v>112.272727272727</v>
      </c>
      <c r="L1107" s="1243">
        <v>3.9269304763699999</v>
      </c>
    </row>
    <row r="1108" spans="1:12" hidden="1">
      <c r="A1108" s="931">
        <v>15</v>
      </c>
      <c r="B1108" s="1253">
        <v>46118</v>
      </c>
      <c r="C1108" s="1251">
        <v>46124</v>
      </c>
      <c r="D1108" s="1239">
        <v>6</v>
      </c>
      <c r="E1108" s="1239" t="s">
        <v>686</v>
      </c>
      <c r="F1108" s="1239" t="s">
        <v>274</v>
      </c>
      <c r="G1108" s="1239">
        <v>8</v>
      </c>
      <c r="H1108" s="1239">
        <v>8</v>
      </c>
      <c r="I1108" s="1239" t="s">
        <v>670</v>
      </c>
      <c r="J1108" s="1241">
        <v>13.75</v>
      </c>
      <c r="K1108" s="1241">
        <v>110</v>
      </c>
      <c r="L1108" s="1243">
        <v>3.8474379564699999</v>
      </c>
    </row>
    <row r="1109" spans="1:12" hidden="1">
      <c r="A1109" s="931">
        <v>15</v>
      </c>
      <c r="B1109" s="1253">
        <v>46118</v>
      </c>
      <c r="C1109" s="1251">
        <v>46124</v>
      </c>
      <c r="D1109" s="1239">
        <v>7</v>
      </c>
      <c r="E1109" s="1239" t="s">
        <v>791</v>
      </c>
      <c r="F1109" s="1239" t="s">
        <v>256</v>
      </c>
      <c r="G1109" s="1239">
        <v>20</v>
      </c>
      <c r="H1109" s="1239">
        <v>20</v>
      </c>
      <c r="I1109" s="1239" t="s">
        <v>670</v>
      </c>
      <c r="J1109" s="1241">
        <v>5.125</v>
      </c>
      <c r="K1109" s="1241">
        <v>102.5</v>
      </c>
      <c r="L1109" s="1243">
        <v>3.5851126411799998</v>
      </c>
    </row>
    <row r="1110" spans="1:12" hidden="1">
      <c r="A1110" s="931">
        <v>15</v>
      </c>
      <c r="B1110" s="1253">
        <v>46118</v>
      </c>
      <c r="C1110" s="1251">
        <v>46124</v>
      </c>
      <c r="D1110" s="1239">
        <v>8</v>
      </c>
      <c r="E1110" s="1239" t="s">
        <v>678</v>
      </c>
      <c r="F1110" s="1239" t="s">
        <v>256</v>
      </c>
      <c r="G1110" s="1239">
        <v>14</v>
      </c>
      <c r="H1110" s="1239">
        <v>14</v>
      </c>
      <c r="I1110" s="1239" t="s">
        <v>670</v>
      </c>
      <c r="J1110" s="1241">
        <v>6.4188311688311703</v>
      </c>
      <c r="K1110" s="1241">
        <v>89.863636363636402</v>
      </c>
      <c r="L1110" s="1243">
        <v>3.1431342313499999</v>
      </c>
    </row>
    <row r="1111" spans="1:12" hidden="1">
      <c r="A1111" s="931">
        <v>15</v>
      </c>
      <c r="B1111" s="1253">
        <v>46118</v>
      </c>
      <c r="C1111" s="1251">
        <v>46124</v>
      </c>
      <c r="D1111" s="1239">
        <v>9</v>
      </c>
      <c r="E1111" s="1239" t="s">
        <v>794</v>
      </c>
      <c r="F1111" s="1239" t="s">
        <v>256</v>
      </c>
      <c r="G1111" s="1239">
        <v>12</v>
      </c>
      <c r="H1111" s="1239">
        <v>12</v>
      </c>
      <c r="I1111" s="1239" t="s">
        <v>670</v>
      </c>
      <c r="J1111" s="1241">
        <v>6.9128787878787898</v>
      </c>
      <c r="K1111" s="1241">
        <v>82.954545454545496</v>
      </c>
      <c r="L1111" s="1243">
        <v>2.9014769705500001</v>
      </c>
    </row>
    <row r="1112" spans="1:12" hidden="1">
      <c r="A1112" s="931">
        <v>15</v>
      </c>
      <c r="B1112" s="1253">
        <v>46118</v>
      </c>
      <c r="C1112" s="1251">
        <v>46124</v>
      </c>
      <c r="D1112" s="1239">
        <v>10</v>
      </c>
      <c r="E1112" s="1239" t="s">
        <v>793</v>
      </c>
      <c r="F1112" s="1239" t="s">
        <v>695</v>
      </c>
      <c r="G1112" s="1239">
        <v>12</v>
      </c>
      <c r="H1112" s="1239">
        <v>12</v>
      </c>
      <c r="I1112" s="1239" t="s">
        <v>670</v>
      </c>
      <c r="J1112" s="1241">
        <v>6.39393939393939</v>
      </c>
      <c r="K1112" s="1241">
        <v>76.727272727272705</v>
      </c>
      <c r="L1112" s="1243">
        <v>2.6836674669299998</v>
      </c>
    </row>
    <row r="1113" spans="1:12" hidden="1">
      <c r="A1113" s="931">
        <v>15</v>
      </c>
      <c r="B1113" s="1253">
        <v>46118</v>
      </c>
      <c r="C1113" s="1251">
        <v>46124</v>
      </c>
      <c r="D1113" s="1239">
        <v>11</v>
      </c>
      <c r="E1113" s="1239" t="s">
        <v>685</v>
      </c>
      <c r="F1113" s="1239" t="s">
        <v>256</v>
      </c>
      <c r="G1113" s="1239">
        <v>8</v>
      </c>
      <c r="H1113" s="1239">
        <v>8</v>
      </c>
      <c r="I1113" s="1239" t="s">
        <v>670</v>
      </c>
      <c r="J1113" s="1241">
        <v>8.3522727272727302</v>
      </c>
      <c r="K1113" s="1241">
        <v>66.818181818181799</v>
      </c>
      <c r="L1113" s="1243">
        <v>2.3370800812199999</v>
      </c>
    </row>
    <row r="1114" spans="1:12" hidden="1">
      <c r="A1114" s="931">
        <v>15</v>
      </c>
      <c r="B1114" s="1253">
        <v>46118</v>
      </c>
      <c r="C1114" s="1251">
        <v>46124</v>
      </c>
      <c r="D1114" s="1239">
        <v>12</v>
      </c>
      <c r="E1114" s="1239" t="s">
        <v>707</v>
      </c>
      <c r="F1114" s="1239" t="s">
        <v>256</v>
      </c>
      <c r="G1114" s="1239">
        <v>7</v>
      </c>
      <c r="H1114" s="1239">
        <v>7</v>
      </c>
      <c r="I1114" s="1239" t="s">
        <v>670</v>
      </c>
      <c r="J1114" s="1241">
        <v>8.7337662337662305</v>
      </c>
      <c r="K1114" s="1241">
        <v>61.136363636363598</v>
      </c>
      <c r="L1114" s="1243">
        <v>2.1383487809199999</v>
      </c>
    </row>
    <row r="1115" spans="1:12" hidden="1">
      <c r="A1115" s="931">
        <v>15</v>
      </c>
      <c r="B1115" s="1253">
        <v>46118</v>
      </c>
      <c r="C1115" s="1251">
        <v>46124</v>
      </c>
      <c r="D1115" s="1239">
        <v>13</v>
      </c>
      <c r="E1115" s="1239" t="s">
        <v>738</v>
      </c>
      <c r="F1115" s="1239" t="s">
        <v>256</v>
      </c>
      <c r="G1115" s="1239">
        <v>8</v>
      </c>
      <c r="H1115" s="1239">
        <v>8</v>
      </c>
      <c r="I1115" s="1239" t="s">
        <v>670</v>
      </c>
      <c r="J1115" s="1241">
        <v>7.3238636363636402</v>
      </c>
      <c r="K1115" s="1241">
        <v>58.590909090909101</v>
      </c>
      <c r="L1115" s="1243">
        <v>2.0493171590600001</v>
      </c>
    </row>
    <row r="1116" spans="1:12" hidden="1">
      <c r="A1116" s="931">
        <v>15</v>
      </c>
      <c r="B1116" s="1253">
        <v>46118</v>
      </c>
      <c r="C1116" s="1251">
        <v>46124</v>
      </c>
      <c r="D1116" s="1239">
        <v>14</v>
      </c>
      <c r="E1116" s="1239" t="s">
        <v>781</v>
      </c>
      <c r="F1116" s="1239" t="s">
        <v>764</v>
      </c>
      <c r="G1116" s="1239">
        <v>4</v>
      </c>
      <c r="H1116" s="1239">
        <v>4</v>
      </c>
      <c r="I1116" s="1239" t="s">
        <v>670</v>
      </c>
      <c r="J1116" s="1241">
        <v>14.511363636363599</v>
      </c>
      <c r="K1116" s="1241">
        <v>58.045454545454497</v>
      </c>
      <c r="L1116" s="1243">
        <v>2.0302389554300002</v>
      </c>
    </row>
    <row r="1117" spans="1:12" hidden="1">
      <c r="A1117" s="931">
        <v>15</v>
      </c>
      <c r="B1117" s="1253">
        <v>46118</v>
      </c>
      <c r="C1117" s="1251">
        <v>46124</v>
      </c>
      <c r="D1117" s="1239">
        <v>15</v>
      </c>
      <c r="E1117" s="1239" t="s">
        <v>684</v>
      </c>
      <c r="F1117" s="1239" t="s">
        <v>323</v>
      </c>
      <c r="G1117" s="1239">
        <v>6</v>
      </c>
      <c r="H1117" s="1239">
        <v>6</v>
      </c>
      <c r="I1117" s="1239" t="s">
        <v>670</v>
      </c>
      <c r="J1117" s="1241">
        <v>9.1136363636363598</v>
      </c>
      <c r="K1117" s="1241">
        <v>54.681818181818201</v>
      </c>
      <c r="L1117" s="1243">
        <v>1.9125900246500001</v>
      </c>
    </row>
    <row r="1118" spans="1:12" hidden="1">
      <c r="A1118" s="931">
        <v>15</v>
      </c>
      <c r="B1118" s="1253">
        <v>46118</v>
      </c>
      <c r="C1118" s="1251">
        <v>46124</v>
      </c>
      <c r="D1118" s="1239">
        <v>16</v>
      </c>
      <c r="E1118" s="1239" t="s">
        <v>259</v>
      </c>
      <c r="F1118" s="1239" t="s">
        <v>249</v>
      </c>
      <c r="G1118" s="1239">
        <v>43</v>
      </c>
      <c r="H1118" s="1239">
        <v>43</v>
      </c>
      <c r="I1118" s="1239" t="s">
        <v>670</v>
      </c>
      <c r="J1118" s="1241">
        <v>1.2441860465116299</v>
      </c>
      <c r="K1118" s="1241">
        <v>53.5</v>
      </c>
      <c r="L1118" s="1243">
        <v>1.87125391504</v>
      </c>
    </row>
    <row r="1119" spans="1:12" hidden="1">
      <c r="A1119" s="931">
        <v>15</v>
      </c>
      <c r="B1119" s="1253">
        <v>46118</v>
      </c>
      <c r="C1119" s="1251">
        <v>46124</v>
      </c>
      <c r="D1119" s="1239">
        <v>17</v>
      </c>
      <c r="E1119" s="1239" t="s">
        <v>706</v>
      </c>
      <c r="F1119" s="1239" t="s">
        <v>256</v>
      </c>
      <c r="G1119" s="1239">
        <v>4</v>
      </c>
      <c r="H1119" s="1239">
        <v>4</v>
      </c>
      <c r="I1119" s="1239" t="s">
        <v>670</v>
      </c>
      <c r="J1119" s="1241">
        <v>12.840909090909101</v>
      </c>
      <c r="K1119" s="1241">
        <v>51.363636363636402</v>
      </c>
      <c r="L1119" s="1243">
        <v>1.7965309457400001</v>
      </c>
    </row>
    <row r="1120" spans="1:12" hidden="1">
      <c r="A1120" s="931">
        <v>15</v>
      </c>
      <c r="B1120" s="1253">
        <v>46118</v>
      </c>
      <c r="C1120" s="1251">
        <v>46124</v>
      </c>
      <c r="D1120" s="1239">
        <v>18</v>
      </c>
      <c r="E1120" s="1239" t="s">
        <v>792</v>
      </c>
      <c r="F1120" s="1239" t="s">
        <v>256</v>
      </c>
      <c r="G1120" s="1239">
        <v>4</v>
      </c>
      <c r="H1120" s="1239">
        <v>4</v>
      </c>
      <c r="I1120" s="1239" t="s">
        <v>670</v>
      </c>
      <c r="J1120" s="1241">
        <v>12.795454545454501</v>
      </c>
      <c r="K1120" s="1241">
        <v>51.181818181818201</v>
      </c>
      <c r="L1120" s="1243">
        <v>1.79017154511</v>
      </c>
    </row>
    <row r="1121" spans="1:12" hidden="1">
      <c r="A1121" s="931">
        <v>15</v>
      </c>
      <c r="B1121" s="1253">
        <v>46118</v>
      </c>
      <c r="C1121" s="1251">
        <v>46124</v>
      </c>
      <c r="D1121" s="1239">
        <v>19</v>
      </c>
      <c r="E1121" s="1239" t="s">
        <v>682</v>
      </c>
      <c r="F1121" s="1239" t="s">
        <v>275</v>
      </c>
      <c r="G1121" s="1239">
        <v>10</v>
      </c>
      <c r="H1121" s="1239">
        <v>10</v>
      </c>
      <c r="I1121" s="1239" t="s">
        <v>670</v>
      </c>
      <c r="J1121" s="1241">
        <v>4.8863636363636402</v>
      </c>
      <c r="K1121" s="1241">
        <v>48.863636363636402</v>
      </c>
      <c r="L1121" s="1243">
        <v>1.7090891747900001</v>
      </c>
    </row>
    <row r="1122" spans="1:12" hidden="1">
      <c r="A1122" s="931">
        <v>15</v>
      </c>
      <c r="B1122" s="1253">
        <v>46118</v>
      </c>
      <c r="C1122" s="1251">
        <v>46124</v>
      </c>
      <c r="D1122" s="1239">
        <v>20</v>
      </c>
      <c r="E1122" s="1239" t="s">
        <v>837</v>
      </c>
      <c r="F1122" s="1239" t="s">
        <v>282</v>
      </c>
      <c r="G1122" s="1239">
        <v>4</v>
      </c>
      <c r="H1122" s="1239">
        <v>4</v>
      </c>
      <c r="I1122" s="1239" t="s">
        <v>670</v>
      </c>
      <c r="J1122" s="1241">
        <v>11.784090909090899</v>
      </c>
      <c r="K1122" s="1241">
        <v>47.136363636363598</v>
      </c>
      <c r="L1122" s="1243">
        <v>1.6486748601700001</v>
      </c>
    </row>
    <row r="1123" spans="1:12" hidden="1">
      <c r="A1123" s="931">
        <v>15</v>
      </c>
      <c r="B1123" s="1253">
        <v>46118</v>
      </c>
      <c r="C1123" s="1251">
        <v>46124</v>
      </c>
      <c r="D1123" s="1239">
        <v>21</v>
      </c>
      <c r="E1123" s="1239" t="s">
        <v>248</v>
      </c>
      <c r="F1123" s="1239" t="s">
        <v>249</v>
      </c>
      <c r="G1123" s="1239">
        <v>36</v>
      </c>
      <c r="H1123" s="1239">
        <v>36</v>
      </c>
      <c r="I1123" s="1239" t="s">
        <v>670</v>
      </c>
      <c r="J1123" s="1241">
        <v>1.2803030303030301</v>
      </c>
      <c r="K1123" s="1241">
        <v>46.090909090909101</v>
      </c>
      <c r="L1123" s="1243">
        <v>1.6121083012099999</v>
      </c>
    </row>
    <row r="1124" spans="1:12" hidden="1">
      <c r="A1124" s="931">
        <v>15</v>
      </c>
      <c r="B1124" s="1253">
        <v>46118</v>
      </c>
      <c r="C1124" s="1251">
        <v>46124</v>
      </c>
      <c r="D1124" s="1239">
        <v>22</v>
      </c>
      <c r="E1124" s="1239" t="s">
        <v>679</v>
      </c>
      <c r="F1124" s="1239" t="s">
        <v>256</v>
      </c>
      <c r="G1124" s="1239">
        <v>5</v>
      </c>
      <c r="H1124" s="1239">
        <v>5</v>
      </c>
      <c r="I1124" s="1239" t="s">
        <v>670</v>
      </c>
      <c r="J1124" s="1241">
        <v>9.1363636363636402</v>
      </c>
      <c r="K1124" s="1241">
        <v>45.681818181818201</v>
      </c>
      <c r="L1124" s="1243">
        <v>1.59779964758</v>
      </c>
    </row>
    <row r="1125" spans="1:12" hidden="1">
      <c r="A1125" s="931">
        <v>15</v>
      </c>
      <c r="B1125" s="1253">
        <v>46118</v>
      </c>
      <c r="C1125" s="1251">
        <v>46124</v>
      </c>
      <c r="D1125" s="1239">
        <v>23</v>
      </c>
      <c r="E1125" s="1239" t="s">
        <v>696</v>
      </c>
      <c r="F1125" s="1239" t="s">
        <v>323</v>
      </c>
      <c r="G1125" s="1239">
        <v>4</v>
      </c>
      <c r="H1125" s="1239">
        <v>4</v>
      </c>
      <c r="I1125" s="1239" t="s">
        <v>670</v>
      </c>
      <c r="J1125" s="1241">
        <v>10.909090909090899</v>
      </c>
      <c r="K1125" s="1241">
        <v>43.636363636363598</v>
      </c>
      <c r="L1125" s="1243">
        <v>1.5262563793199999</v>
      </c>
    </row>
    <row r="1126" spans="1:12" hidden="1">
      <c r="A1126" s="931">
        <v>15</v>
      </c>
      <c r="B1126" s="1253">
        <v>46118</v>
      </c>
      <c r="C1126" s="1251">
        <v>46124</v>
      </c>
      <c r="D1126" s="1239">
        <v>24</v>
      </c>
      <c r="E1126" s="1239" t="s">
        <v>763</v>
      </c>
      <c r="F1126" s="1239" t="s">
        <v>764</v>
      </c>
      <c r="G1126" s="1239">
        <v>4</v>
      </c>
      <c r="H1126" s="1239">
        <v>4</v>
      </c>
      <c r="I1126" s="1239" t="s">
        <v>670</v>
      </c>
      <c r="J1126" s="1241">
        <v>10.625</v>
      </c>
      <c r="K1126" s="1241">
        <v>42.5</v>
      </c>
      <c r="L1126" s="1243">
        <v>1.48651011869</v>
      </c>
    </row>
    <row r="1127" spans="1:12" hidden="1">
      <c r="A1127" s="931">
        <v>15</v>
      </c>
      <c r="B1127" s="1253">
        <v>46118</v>
      </c>
      <c r="C1127" s="1251">
        <v>46124</v>
      </c>
      <c r="D1127" s="1239">
        <v>25</v>
      </c>
      <c r="E1127" s="1239" t="s">
        <v>674</v>
      </c>
      <c r="F1127" s="1239" t="s">
        <v>275</v>
      </c>
      <c r="G1127" s="1239">
        <v>8</v>
      </c>
      <c r="H1127" s="1239">
        <v>8</v>
      </c>
      <c r="I1127" s="1239" t="s">
        <v>670</v>
      </c>
      <c r="J1127" s="1241">
        <v>5.2840909090909101</v>
      </c>
      <c r="K1127" s="1241">
        <v>42.272727272727302</v>
      </c>
      <c r="L1127" s="1243">
        <v>1.4785608673199999</v>
      </c>
    </row>
    <row r="1128" spans="1:12" hidden="1">
      <c r="A1128" s="931">
        <v>15</v>
      </c>
      <c r="B1128" s="1253">
        <v>46118</v>
      </c>
      <c r="C1128" s="1251">
        <v>46124</v>
      </c>
      <c r="D1128" s="1239">
        <v>26</v>
      </c>
      <c r="E1128" s="1239" t="s">
        <v>250</v>
      </c>
      <c r="F1128" s="1239" t="s">
        <v>251</v>
      </c>
      <c r="G1128" s="1239">
        <v>23</v>
      </c>
      <c r="H1128" s="1239">
        <v>23</v>
      </c>
      <c r="I1128" s="1239" t="s">
        <v>670</v>
      </c>
      <c r="J1128" s="1241">
        <v>1.73517786561265</v>
      </c>
      <c r="K1128" s="1241">
        <v>39.909090909090899</v>
      </c>
      <c r="L1128" s="1243">
        <v>1.39588864706</v>
      </c>
    </row>
    <row r="1129" spans="1:12" hidden="1">
      <c r="A1129" s="931">
        <v>15</v>
      </c>
      <c r="B1129" s="1253">
        <v>46118</v>
      </c>
      <c r="C1129" s="1251">
        <v>46124</v>
      </c>
      <c r="D1129" s="1239">
        <v>27</v>
      </c>
      <c r="E1129" s="1239" t="s">
        <v>673</v>
      </c>
      <c r="F1129" s="1239" t="s">
        <v>251</v>
      </c>
      <c r="G1129" s="1239">
        <v>18</v>
      </c>
      <c r="H1129" s="1239">
        <v>18</v>
      </c>
      <c r="I1129" s="1239" t="s">
        <v>670</v>
      </c>
      <c r="J1129" s="1241">
        <v>2.2095959595959598</v>
      </c>
      <c r="K1129" s="1241">
        <v>39.772727272727302</v>
      </c>
      <c r="L1129" s="1243">
        <v>1.39111909643</v>
      </c>
    </row>
    <row r="1130" spans="1:12" hidden="1">
      <c r="A1130" s="931">
        <v>15</v>
      </c>
      <c r="B1130" s="1253">
        <v>46118</v>
      </c>
      <c r="C1130" s="1251">
        <v>46124</v>
      </c>
      <c r="D1130" s="1239">
        <v>28</v>
      </c>
      <c r="E1130" s="1239" t="s">
        <v>784</v>
      </c>
      <c r="F1130" s="1239" t="s">
        <v>764</v>
      </c>
      <c r="G1130" s="1239">
        <v>3</v>
      </c>
      <c r="H1130" s="1239">
        <v>3</v>
      </c>
      <c r="I1130" s="1239" t="s">
        <v>670</v>
      </c>
      <c r="J1130" s="1241">
        <v>13.2575757575758</v>
      </c>
      <c r="K1130" s="1241">
        <v>39.772727272727302</v>
      </c>
      <c r="L1130" s="1243">
        <v>1.39111909643</v>
      </c>
    </row>
    <row r="1131" spans="1:12" hidden="1">
      <c r="A1131" s="931">
        <v>15</v>
      </c>
      <c r="B1131" s="1253">
        <v>46118</v>
      </c>
      <c r="C1131" s="1251">
        <v>46124</v>
      </c>
      <c r="D1131" s="1239">
        <v>29</v>
      </c>
      <c r="E1131" s="1239" t="s">
        <v>697</v>
      </c>
      <c r="F1131" s="1239" t="s">
        <v>256</v>
      </c>
      <c r="G1131" s="1239">
        <v>4</v>
      </c>
      <c r="H1131" s="1239">
        <v>4</v>
      </c>
      <c r="I1131" s="1239" t="s">
        <v>670</v>
      </c>
      <c r="J1131" s="1241">
        <v>9.3977272727272698</v>
      </c>
      <c r="K1131" s="1241">
        <v>37.590909090909101</v>
      </c>
      <c r="L1131" s="1243">
        <v>1.3148062765899999</v>
      </c>
    </row>
    <row r="1132" spans="1:12" hidden="1">
      <c r="A1132" s="931">
        <v>15</v>
      </c>
      <c r="B1132" s="1253">
        <v>46118</v>
      </c>
      <c r="C1132" s="1251">
        <v>46124</v>
      </c>
      <c r="D1132" s="1239">
        <v>30</v>
      </c>
      <c r="E1132" s="1239" t="s">
        <v>796</v>
      </c>
      <c r="F1132" s="1239" t="s">
        <v>282</v>
      </c>
      <c r="G1132" s="1239">
        <v>3</v>
      </c>
      <c r="H1132" s="1239">
        <v>3</v>
      </c>
      <c r="I1132" s="1239" t="s">
        <v>670</v>
      </c>
      <c r="J1132" s="1241">
        <v>10.969696969697001</v>
      </c>
      <c r="K1132" s="1241">
        <v>32.909090909090899</v>
      </c>
      <c r="L1132" s="1243">
        <v>1.15105168596</v>
      </c>
    </row>
    <row r="1133" spans="1:12" hidden="1">
      <c r="A1133" s="931">
        <v>15</v>
      </c>
      <c r="B1133" s="1253">
        <v>46118</v>
      </c>
      <c r="C1133" s="1251">
        <v>46124</v>
      </c>
      <c r="D1133" s="1239">
        <v>31</v>
      </c>
      <c r="E1133" s="1239" t="s">
        <v>680</v>
      </c>
      <c r="F1133" s="1239" t="s">
        <v>251</v>
      </c>
      <c r="G1133" s="1239">
        <v>14</v>
      </c>
      <c r="H1133" s="1239">
        <v>14</v>
      </c>
      <c r="I1133" s="1239" t="s">
        <v>670</v>
      </c>
      <c r="J1133" s="1241">
        <v>2.3019480519480502</v>
      </c>
      <c r="K1133" s="1241">
        <v>32.227272727272698</v>
      </c>
      <c r="L1133" s="1243">
        <v>1.1272039329600001</v>
      </c>
    </row>
    <row r="1134" spans="1:12" hidden="1">
      <c r="A1134" s="931">
        <v>15</v>
      </c>
      <c r="B1134" s="1253">
        <v>46118</v>
      </c>
      <c r="C1134" s="1251">
        <v>46124</v>
      </c>
      <c r="D1134" s="1239">
        <v>32</v>
      </c>
      <c r="E1134" s="1239" t="s">
        <v>688</v>
      </c>
      <c r="F1134" s="1239" t="s">
        <v>689</v>
      </c>
      <c r="G1134" s="1239">
        <v>3</v>
      </c>
      <c r="H1134" s="1239">
        <v>3</v>
      </c>
      <c r="I1134" s="1239" t="s">
        <v>670</v>
      </c>
      <c r="J1134" s="1241">
        <v>10.136363636363599</v>
      </c>
      <c r="K1134" s="1241">
        <v>30.409090909090899</v>
      </c>
      <c r="L1134" s="1243">
        <v>1.0636099135899999</v>
      </c>
    </row>
    <row r="1135" spans="1:12" hidden="1">
      <c r="A1135" s="931">
        <v>15</v>
      </c>
      <c r="B1135" s="1253">
        <v>46118</v>
      </c>
      <c r="C1135" s="1251">
        <v>46124</v>
      </c>
      <c r="D1135" s="1239">
        <v>33</v>
      </c>
      <c r="E1135" s="1239" t="s">
        <v>701</v>
      </c>
      <c r="F1135" s="1239" t="s">
        <v>689</v>
      </c>
      <c r="G1135" s="1239">
        <v>3</v>
      </c>
      <c r="H1135" s="1239">
        <v>3</v>
      </c>
      <c r="I1135" s="1239" t="s">
        <v>670</v>
      </c>
      <c r="J1135" s="1241">
        <v>9.9848484848484809</v>
      </c>
      <c r="K1135" s="1241">
        <v>29.954545454545499</v>
      </c>
      <c r="L1135" s="1243">
        <v>1.04771141296</v>
      </c>
    </row>
    <row r="1136" spans="1:12" hidden="1">
      <c r="A1136" s="931">
        <v>15</v>
      </c>
      <c r="B1136" s="1253">
        <v>46118</v>
      </c>
      <c r="C1136" s="1251">
        <v>46124</v>
      </c>
      <c r="D1136" s="1239">
        <v>34</v>
      </c>
      <c r="E1136" s="1239" t="s">
        <v>814</v>
      </c>
      <c r="F1136" s="1239" t="s">
        <v>815</v>
      </c>
      <c r="G1136" s="1239">
        <v>6</v>
      </c>
      <c r="H1136" s="1239">
        <v>6</v>
      </c>
      <c r="I1136" s="1239" t="s">
        <v>670</v>
      </c>
      <c r="J1136" s="1241">
        <v>4.9090909090909101</v>
      </c>
      <c r="K1136" s="1241">
        <v>29.454545454545499</v>
      </c>
      <c r="L1136" s="1243">
        <v>1.0302230505800001</v>
      </c>
    </row>
    <row r="1137" spans="1:12" hidden="1">
      <c r="A1137" s="931">
        <v>15</v>
      </c>
      <c r="B1137" s="1253">
        <v>46118</v>
      </c>
      <c r="C1137" s="1251">
        <v>46124</v>
      </c>
      <c r="D1137" s="1239">
        <v>35</v>
      </c>
      <c r="E1137" s="1239" t="s">
        <v>687</v>
      </c>
      <c r="F1137" s="1239" t="s">
        <v>253</v>
      </c>
      <c r="G1137" s="1239">
        <v>10</v>
      </c>
      <c r="H1137" s="1239">
        <v>10</v>
      </c>
      <c r="I1137" s="1239" t="s">
        <v>670</v>
      </c>
      <c r="J1137" s="1241">
        <v>2.8045454545454498</v>
      </c>
      <c r="K1137" s="1241">
        <v>28.045454545454501</v>
      </c>
      <c r="L1137" s="1243">
        <v>0.98093769369200001</v>
      </c>
    </row>
    <row r="1138" spans="1:12" hidden="1">
      <c r="A1138" s="931">
        <v>15</v>
      </c>
      <c r="B1138" s="1253">
        <v>46118</v>
      </c>
      <c r="C1138" s="1251">
        <v>46124</v>
      </c>
      <c r="D1138" s="1239">
        <v>36</v>
      </c>
      <c r="E1138" s="1239" t="s">
        <v>778</v>
      </c>
      <c r="F1138" s="1239" t="s">
        <v>256</v>
      </c>
      <c r="G1138" s="1239">
        <v>4</v>
      </c>
      <c r="H1138" s="1239">
        <v>4</v>
      </c>
      <c r="I1138" s="1239" t="s">
        <v>670</v>
      </c>
      <c r="J1138" s="1241">
        <v>6.9318181818181799</v>
      </c>
      <c r="K1138" s="1241">
        <v>27.727272727272702</v>
      </c>
      <c r="L1138" s="1243">
        <v>0.96980874106100001</v>
      </c>
    </row>
    <row r="1139" spans="1:12" hidden="1">
      <c r="A1139" s="931">
        <v>15</v>
      </c>
      <c r="B1139" s="1253">
        <v>46118</v>
      </c>
      <c r="C1139" s="1251">
        <v>46124</v>
      </c>
      <c r="D1139" s="1239">
        <v>37</v>
      </c>
      <c r="E1139" s="1239" t="s">
        <v>700</v>
      </c>
      <c r="F1139" s="1239" t="s">
        <v>274</v>
      </c>
      <c r="G1139" s="1239">
        <v>3</v>
      </c>
      <c r="H1139" s="1239">
        <v>3</v>
      </c>
      <c r="I1139" s="1239" t="s">
        <v>670</v>
      </c>
      <c r="J1139" s="1241">
        <v>9.2424242424242404</v>
      </c>
      <c r="K1139" s="1241">
        <v>27.727272727272702</v>
      </c>
      <c r="L1139" s="1243">
        <v>0.96980874106100001</v>
      </c>
    </row>
    <row r="1140" spans="1:12" hidden="1">
      <c r="A1140" s="931">
        <v>15</v>
      </c>
      <c r="B1140" s="1253">
        <v>46118</v>
      </c>
      <c r="C1140" s="1251">
        <v>46124</v>
      </c>
      <c r="D1140" s="1239">
        <v>38</v>
      </c>
      <c r="E1140" s="1239" t="s">
        <v>671</v>
      </c>
      <c r="F1140" s="1239" t="s">
        <v>276</v>
      </c>
      <c r="G1140" s="1239">
        <v>9</v>
      </c>
      <c r="H1140" s="1239">
        <v>9</v>
      </c>
      <c r="I1140" s="1239" t="s">
        <v>672</v>
      </c>
      <c r="J1140" s="1241">
        <v>2.97474747474747</v>
      </c>
      <c r="K1140" s="1241">
        <v>26.772727272727298</v>
      </c>
      <c r="L1140" s="1243">
        <v>0.93642188336700005</v>
      </c>
    </row>
    <row r="1141" spans="1:12" hidden="1">
      <c r="A1141" s="931">
        <v>15</v>
      </c>
      <c r="B1141" s="1253">
        <v>46118</v>
      </c>
      <c r="C1141" s="1251">
        <v>46124</v>
      </c>
      <c r="D1141" s="1239">
        <v>39</v>
      </c>
      <c r="E1141" s="1239" t="s">
        <v>728</v>
      </c>
      <c r="F1141" s="1239" t="s">
        <v>695</v>
      </c>
      <c r="G1141" s="1239">
        <v>3</v>
      </c>
      <c r="H1141" s="1239">
        <v>3</v>
      </c>
      <c r="I1141" s="1239" t="s">
        <v>670</v>
      </c>
      <c r="J1141" s="1241">
        <v>8.1666666666666696</v>
      </c>
      <c r="K1141" s="1241">
        <v>24.5</v>
      </c>
      <c r="L1141" s="1243">
        <v>0.85692936267300002</v>
      </c>
    </row>
    <row r="1142" spans="1:12" hidden="1">
      <c r="A1142" s="931">
        <v>15</v>
      </c>
      <c r="B1142" s="1253">
        <v>46118</v>
      </c>
      <c r="C1142" s="1251">
        <v>46124</v>
      </c>
      <c r="D1142" s="1239">
        <v>40</v>
      </c>
      <c r="E1142" s="1239" t="s">
        <v>676</v>
      </c>
      <c r="F1142" s="1239" t="s">
        <v>253</v>
      </c>
      <c r="G1142" s="1239">
        <v>8</v>
      </c>
      <c r="H1142" s="1239">
        <v>8</v>
      </c>
      <c r="I1142" s="1239" t="s">
        <v>670</v>
      </c>
      <c r="J1142" s="1241">
        <v>2.7329545454545499</v>
      </c>
      <c r="K1142" s="1241">
        <v>21.863636363636399</v>
      </c>
      <c r="L1142" s="1243">
        <v>0.76471803997800003</v>
      </c>
    </row>
    <row r="1143" spans="1:12" hidden="1">
      <c r="A1143" s="931">
        <v>15</v>
      </c>
      <c r="B1143" s="1253">
        <v>46118</v>
      </c>
      <c r="C1143" s="1251">
        <v>46124</v>
      </c>
      <c r="D1143" s="1239">
        <v>41</v>
      </c>
      <c r="E1143" s="1239" t="s">
        <v>683</v>
      </c>
      <c r="F1143" s="1239" t="s">
        <v>274</v>
      </c>
      <c r="G1143" s="1239">
        <v>2</v>
      </c>
      <c r="H1143" s="1239">
        <v>2</v>
      </c>
      <c r="I1143" s="1239" t="s">
        <v>670</v>
      </c>
      <c r="J1143" s="1241">
        <v>10.909090909090899</v>
      </c>
      <c r="K1143" s="1241">
        <v>21.818181818181799</v>
      </c>
      <c r="L1143" s="1243">
        <v>0.76312818991499998</v>
      </c>
    </row>
    <row r="1144" spans="1:12" hidden="1">
      <c r="A1144" s="931">
        <v>15</v>
      </c>
      <c r="B1144" s="1253">
        <v>46118</v>
      </c>
      <c r="C1144" s="1251">
        <v>46124</v>
      </c>
      <c r="D1144" s="1239">
        <v>42</v>
      </c>
      <c r="E1144" s="1239" t="s">
        <v>675</v>
      </c>
      <c r="F1144" s="1239" t="s">
        <v>256</v>
      </c>
      <c r="G1144" s="1239">
        <v>4</v>
      </c>
      <c r="H1144" s="1239">
        <v>4</v>
      </c>
      <c r="I1144" s="1239" t="s">
        <v>670</v>
      </c>
      <c r="J1144" s="1241">
        <v>5.1704545454545503</v>
      </c>
      <c r="K1144" s="1241">
        <v>20.681818181818201</v>
      </c>
      <c r="L1144" s="1243">
        <v>0.723381929285</v>
      </c>
    </row>
    <row r="1145" spans="1:12" hidden="1">
      <c r="A1145" s="931">
        <v>15</v>
      </c>
      <c r="B1145" s="1253">
        <v>46118</v>
      </c>
      <c r="C1145" s="1251">
        <v>46124</v>
      </c>
      <c r="D1145" s="1239">
        <v>43</v>
      </c>
      <c r="E1145" s="1239" t="s">
        <v>705</v>
      </c>
      <c r="F1145" s="1239" t="s">
        <v>274</v>
      </c>
      <c r="G1145" s="1239">
        <v>2</v>
      </c>
      <c r="H1145" s="1239">
        <v>2</v>
      </c>
      <c r="I1145" s="1239" t="s">
        <v>670</v>
      </c>
      <c r="J1145" s="1241">
        <v>9.3181818181818201</v>
      </c>
      <c r="K1145" s="1241">
        <v>18.636363636363601</v>
      </c>
      <c r="L1145" s="1243">
        <v>0.65183866234800003</v>
      </c>
    </row>
    <row r="1146" spans="1:12" hidden="1">
      <c r="A1146" s="931">
        <v>15</v>
      </c>
      <c r="B1146" s="1253">
        <v>46118</v>
      </c>
      <c r="C1146" s="1251">
        <v>46124</v>
      </c>
      <c r="D1146" s="1239">
        <v>44</v>
      </c>
      <c r="E1146" s="1239" t="s">
        <v>748</v>
      </c>
      <c r="F1146" s="1239" t="s">
        <v>274</v>
      </c>
      <c r="G1146" s="1239">
        <v>2</v>
      </c>
      <c r="H1146" s="1239">
        <v>2</v>
      </c>
      <c r="I1146" s="1239" t="s">
        <v>670</v>
      </c>
      <c r="J1146" s="1241">
        <v>9.2045454545454497</v>
      </c>
      <c r="K1146" s="1241">
        <v>18.409090909090899</v>
      </c>
      <c r="L1146" s="1243">
        <v>0.64388941034799996</v>
      </c>
    </row>
    <row r="1147" spans="1:12" hidden="1">
      <c r="A1147" s="931">
        <v>15</v>
      </c>
      <c r="B1147" s="1253">
        <v>46118</v>
      </c>
      <c r="C1147" s="1251">
        <v>46124</v>
      </c>
      <c r="D1147" s="1239">
        <v>45</v>
      </c>
      <c r="E1147" s="1239" t="s">
        <v>691</v>
      </c>
      <c r="F1147" s="1239" t="s">
        <v>251</v>
      </c>
      <c r="G1147" s="1239">
        <v>7</v>
      </c>
      <c r="H1147" s="1239">
        <v>7</v>
      </c>
      <c r="I1147" s="1239" t="s">
        <v>670</v>
      </c>
      <c r="J1147" s="1241">
        <v>2.48701298701299</v>
      </c>
      <c r="K1147" s="1241">
        <v>17.409090909090899</v>
      </c>
      <c r="L1147" s="1243">
        <v>0.60891270108499995</v>
      </c>
    </row>
    <row r="1148" spans="1:12" hidden="1">
      <c r="A1148" s="931">
        <v>15</v>
      </c>
      <c r="B1148" s="1253">
        <v>46118</v>
      </c>
      <c r="C1148" s="1251">
        <v>46124</v>
      </c>
      <c r="D1148" s="1239">
        <v>46</v>
      </c>
      <c r="E1148" s="1239" t="s">
        <v>747</v>
      </c>
      <c r="F1148" s="1239" t="s">
        <v>256</v>
      </c>
      <c r="G1148" s="1239">
        <v>2</v>
      </c>
      <c r="H1148" s="1239">
        <v>2</v>
      </c>
      <c r="I1148" s="1239" t="s">
        <v>670</v>
      </c>
      <c r="J1148" s="1241">
        <v>7.7272727272727302</v>
      </c>
      <c r="K1148" s="1241">
        <v>15.454545454545499</v>
      </c>
      <c r="L1148" s="1243">
        <v>0.540549134328</v>
      </c>
    </row>
    <row r="1149" spans="1:12" hidden="1">
      <c r="A1149" s="931">
        <v>15</v>
      </c>
      <c r="B1149" s="1253">
        <v>46118</v>
      </c>
      <c r="C1149" s="1251">
        <v>46124</v>
      </c>
      <c r="D1149" s="1239">
        <v>47</v>
      </c>
      <c r="E1149" s="1239" t="s">
        <v>694</v>
      </c>
      <c r="F1149" s="1239" t="s">
        <v>695</v>
      </c>
      <c r="G1149" s="1239">
        <v>4</v>
      </c>
      <c r="H1149" s="1239">
        <v>4</v>
      </c>
      <c r="I1149" s="1239" t="s">
        <v>670</v>
      </c>
      <c r="J1149" s="1241">
        <v>3.75</v>
      </c>
      <c r="K1149" s="1241">
        <v>15</v>
      </c>
      <c r="L1149" s="1243">
        <v>0.52465063426500003</v>
      </c>
    </row>
    <row r="1150" spans="1:12" hidden="1">
      <c r="A1150" s="931">
        <v>15</v>
      </c>
      <c r="B1150" s="1253">
        <v>46118</v>
      </c>
      <c r="C1150" s="1251">
        <v>46124</v>
      </c>
      <c r="D1150" s="1239">
        <v>48</v>
      </c>
      <c r="E1150" s="1239" t="s">
        <v>745</v>
      </c>
      <c r="F1150" s="1239" t="s">
        <v>275</v>
      </c>
      <c r="G1150" s="1239">
        <v>3</v>
      </c>
      <c r="H1150" s="1239">
        <v>3</v>
      </c>
      <c r="I1150" s="1239" t="s">
        <v>670</v>
      </c>
      <c r="J1150" s="1241">
        <v>4.7727272727272698</v>
      </c>
      <c r="K1150" s="1241">
        <v>14.318181818181801</v>
      </c>
      <c r="L1150" s="1243">
        <v>0.50080287369099996</v>
      </c>
    </row>
    <row r="1151" spans="1:12" hidden="1">
      <c r="A1151" s="931">
        <v>15</v>
      </c>
      <c r="B1151" s="1253">
        <v>46118</v>
      </c>
      <c r="C1151" s="1251">
        <v>46124</v>
      </c>
      <c r="D1151" s="1239">
        <v>49</v>
      </c>
      <c r="E1151" s="1239" t="s">
        <v>740</v>
      </c>
      <c r="F1151" s="1239" t="s">
        <v>264</v>
      </c>
      <c r="G1151" s="1239">
        <v>5</v>
      </c>
      <c r="H1151" s="1239">
        <v>5</v>
      </c>
      <c r="I1151" s="1239" t="s">
        <v>741</v>
      </c>
      <c r="J1151" s="1241">
        <v>2.5909090909090899</v>
      </c>
      <c r="K1151" s="1241">
        <v>12.954545454545499</v>
      </c>
      <c r="L1151" s="1243">
        <v>0.453107362934</v>
      </c>
    </row>
    <row r="1152" spans="1:12" hidden="1">
      <c r="A1152" s="931">
        <v>15</v>
      </c>
      <c r="B1152" s="1253">
        <v>46118</v>
      </c>
      <c r="C1152" s="1251">
        <v>46124</v>
      </c>
      <c r="D1152" s="1239">
        <v>50</v>
      </c>
      <c r="E1152" s="1239" t="s">
        <v>742</v>
      </c>
      <c r="F1152" s="1239" t="s">
        <v>251</v>
      </c>
      <c r="G1152" s="1239">
        <v>5</v>
      </c>
      <c r="H1152" s="1239">
        <v>5</v>
      </c>
      <c r="I1152" s="1239" t="s">
        <v>670</v>
      </c>
      <c r="J1152" s="1241">
        <v>2.5</v>
      </c>
      <c r="K1152" s="1241">
        <v>12.5</v>
      </c>
      <c r="L1152" s="1243">
        <v>0.43720885855399999</v>
      </c>
    </row>
    <row r="1153" spans="1:12" hidden="1">
      <c r="A1153" s="931">
        <v>15</v>
      </c>
      <c r="B1153" s="1253">
        <v>46118</v>
      </c>
      <c r="C1153" s="1251">
        <v>46124</v>
      </c>
      <c r="D1153" s="1239">
        <v>51</v>
      </c>
      <c r="E1153" s="1239" t="s">
        <v>720</v>
      </c>
      <c r="F1153" s="1239" t="s">
        <v>251</v>
      </c>
      <c r="G1153" s="1239">
        <v>5</v>
      </c>
      <c r="H1153" s="1239">
        <v>5</v>
      </c>
      <c r="I1153" s="1239" t="s">
        <v>670</v>
      </c>
      <c r="J1153" s="1241">
        <v>2.4636363636363598</v>
      </c>
      <c r="K1153" s="1241">
        <v>12.318181818181801</v>
      </c>
      <c r="L1153" s="1243">
        <v>0.43084945717399997</v>
      </c>
    </row>
    <row r="1154" spans="1:12" hidden="1">
      <c r="A1154" s="931">
        <v>15</v>
      </c>
      <c r="B1154" s="1253">
        <v>46118</v>
      </c>
      <c r="C1154" s="1251">
        <v>46124</v>
      </c>
      <c r="D1154" s="1239">
        <v>52</v>
      </c>
      <c r="E1154" s="1239" t="s">
        <v>812</v>
      </c>
      <c r="F1154" s="1239" t="s">
        <v>274</v>
      </c>
      <c r="G1154" s="1239">
        <v>1</v>
      </c>
      <c r="H1154" s="1239">
        <v>1</v>
      </c>
      <c r="I1154" s="1239" t="s">
        <v>670</v>
      </c>
      <c r="J1154" s="1241">
        <v>11.7272727272727</v>
      </c>
      <c r="K1154" s="1241">
        <v>11.7272727272727</v>
      </c>
      <c r="L1154" s="1243">
        <v>0.410181402237</v>
      </c>
    </row>
    <row r="1155" spans="1:12" hidden="1">
      <c r="A1155" s="931">
        <v>15</v>
      </c>
      <c r="B1155" s="1253">
        <v>46118</v>
      </c>
      <c r="C1155" s="1251">
        <v>46124</v>
      </c>
      <c r="D1155" s="1239">
        <v>53</v>
      </c>
      <c r="E1155" s="1239" t="s">
        <v>780</v>
      </c>
      <c r="F1155" s="1239" t="s">
        <v>268</v>
      </c>
      <c r="G1155" s="1239">
        <v>8</v>
      </c>
      <c r="H1155" s="1239">
        <v>8</v>
      </c>
      <c r="I1155" s="1239" t="s">
        <v>670</v>
      </c>
      <c r="J1155" s="1241">
        <v>1.36363636363636</v>
      </c>
      <c r="K1155" s="1241">
        <v>10.909090909090899</v>
      </c>
      <c r="L1155" s="1243">
        <v>0.381564094874</v>
      </c>
    </row>
    <row r="1156" spans="1:12" hidden="1">
      <c r="A1156" s="931">
        <v>15</v>
      </c>
      <c r="B1156" s="1253">
        <v>46118</v>
      </c>
      <c r="C1156" s="1251">
        <v>46124</v>
      </c>
      <c r="D1156" s="1239">
        <v>54</v>
      </c>
      <c r="E1156" s="1239" t="s">
        <v>698</v>
      </c>
      <c r="F1156" s="1239" t="s">
        <v>249</v>
      </c>
      <c r="G1156" s="1239">
        <v>4</v>
      </c>
      <c r="H1156" s="1239">
        <v>4</v>
      </c>
      <c r="I1156" s="1239" t="s">
        <v>670</v>
      </c>
      <c r="J1156" s="1241">
        <v>2.4545454545454501</v>
      </c>
      <c r="K1156" s="1241">
        <v>9.8181818181818201</v>
      </c>
      <c r="L1156" s="1243">
        <v>0.343407685194</v>
      </c>
    </row>
    <row r="1157" spans="1:12" hidden="1">
      <c r="A1157" s="931">
        <v>15</v>
      </c>
      <c r="B1157" s="1253">
        <v>46118</v>
      </c>
      <c r="C1157" s="1251">
        <v>46124</v>
      </c>
      <c r="D1157" s="1239">
        <v>55</v>
      </c>
      <c r="E1157" s="1239" t="s">
        <v>783</v>
      </c>
      <c r="F1157" s="1239" t="s">
        <v>764</v>
      </c>
      <c r="G1157" s="1239">
        <v>1</v>
      </c>
      <c r="H1157" s="1239">
        <v>1</v>
      </c>
      <c r="I1157" s="1239" t="s">
        <v>670</v>
      </c>
      <c r="J1157" s="1241">
        <v>9.0909090909090899</v>
      </c>
      <c r="K1157" s="1241">
        <v>9.0909090909090899</v>
      </c>
      <c r="L1157" s="1243">
        <v>0.31797007853100001</v>
      </c>
    </row>
    <row r="1158" spans="1:12" hidden="1">
      <c r="A1158" s="931">
        <v>15</v>
      </c>
      <c r="B1158" s="1253">
        <v>46118</v>
      </c>
      <c r="C1158" s="1251">
        <v>46124</v>
      </c>
      <c r="D1158" s="1239">
        <v>56</v>
      </c>
      <c r="E1158" s="1239" t="s">
        <v>743</v>
      </c>
      <c r="F1158" s="1239" t="s">
        <v>251</v>
      </c>
      <c r="G1158" s="1239">
        <v>4</v>
      </c>
      <c r="H1158" s="1239">
        <v>4</v>
      </c>
      <c r="I1158" s="1239" t="s">
        <v>670</v>
      </c>
      <c r="J1158" s="1241">
        <v>2.1022727272727302</v>
      </c>
      <c r="K1158" s="1241">
        <v>8.4090909090909101</v>
      </c>
      <c r="L1158" s="1243">
        <v>0.294122322868</v>
      </c>
    </row>
    <row r="1159" spans="1:12" hidden="1">
      <c r="A1159" s="931">
        <v>15</v>
      </c>
      <c r="B1159" s="1253">
        <v>46118</v>
      </c>
      <c r="C1159" s="1251">
        <v>46124</v>
      </c>
      <c r="D1159" s="1239">
        <v>57</v>
      </c>
      <c r="E1159" s="1239" t="s">
        <v>776</v>
      </c>
      <c r="F1159" s="1239" t="s">
        <v>730</v>
      </c>
      <c r="G1159" s="1239">
        <v>1</v>
      </c>
      <c r="H1159" s="1239">
        <v>1</v>
      </c>
      <c r="I1159" s="1239" t="s">
        <v>670</v>
      </c>
      <c r="J1159" s="1241">
        <v>8.0909090909090899</v>
      </c>
      <c r="K1159" s="1241">
        <v>8.0909090909090899</v>
      </c>
      <c r="L1159" s="1243">
        <v>0.282993370237</v>
      </c>
    </row>
    <row r="1160" spans="1:12" hidden="1">
      <c r="A1160" s="931">
        <v>15</v>
      </c>
      <c r="B1160" s="1253">
        <v>46118</v>
      </c>
      <c r="C1160" s="1251">
        <v>46124</v>
      </c>
      <c r="D1160" s="1239">
        <v>58</v>
      </c>
      <c r="E1160" s="1239" t="s">
        <v>703</v>
      </c>
      <c r="F1160" s="1239" t="s">
        <v>256</v>
      </c>
      <c r="G1160" s="1239">
        <v>4</v>
      </c>
      <c r="H1160" s="1239">
        <v>4</v>
      </c>
      <c r="I1160" s="1239" t="s">
        <v>670</v>
      </c>
      <c r="J1160" s="1241">
        <v>1.875</v>
      </c>
      <c r="K1160" s="1241">
        <v>7.5</v>
      </c>
      <c r="L1160" s="1243">
        <v>0.262325315133</v>
      </c>
    </row>
    <row r="1161" spans="1:12" hidden="1">
      <c r="A1161" s="931">
        <v>15</v>
      </c>
      <c r="B1161" s="1253">
        <v>46118</v>
      </c>
      <c r="C1161" s="1251">
        <v>46124</v>
      </c>
      <c r="D1161" s="1239">
        <v>59</v>
      </c>
      <c r="E1161" s="1239" t="s">
        <v>751</v>
      </c>
      <c r="F1161" s="1239" t="s">
        <v>256</v>
      </c>
      <c r="G1161" s="1239">
        <v>1</v>
      </c>
      <c r="H1161" s="1239">
        <v>1</v>
      </c>
      <c r="I1161" s="1239" t="s">
        <v>670</v>
      </c>
      <c r="J1161" s="1241">
        <v>7.1818181818181799</v>
      </c>
      <c r="K1161" s="1241">
        <v>7.1818181818181799</v>
      </c>
      <c r="L1161" s="1243">
        <v>0.251196362502</v>
      </c>
    </row>
    <row r="1162" spans="1:12" hidden="1">
      <c r="A1162" s="931">
        <v>15</v>
      </c>
      <c r="B1162" s="1253">
        <v>46118</v>
      </c>
      <c r="C1162" s="1251">
        <v>46124</v>
      </c>
      <c r="D1162" s="1239">
        <v>60</v>
      </c>
      <c r="E1162" s="1239" t="s">
        <v>708</v>
      </c>
      <c r="F1162" s="1239" t="s">
        <v>251</v>
      </c>
      <c r="G1162" s="1239">
        <v>3</v>
      </c>
      <c r="H1162" s="1239">
        <v>3</v>
      </c>
      <c r="I1162" s="1239" t="s">
        <v>670</v>
      </c>
      <c r="J1162" s="1241">
        <v>2</v>
      </c>
      <c r="K1162" s="1241">
        <v>6</v>
      </c>
      <c r="L1162" s="1243">
        <v>0.20986025210600001</v>
      </c>
    </row>
    <row r="1163" spans="1:12" hidden="1">
      <c r="A1163" s="931">
        <v>15</v>
      </c>
      <c r="B1163" s="1253">
        <v>46118</v>
      </c>
      <c r="C1163" s="1251">
        <v>46124</v>
      </c>
      <c r="D1163" s="1239">
        <v>61</v>
      </c>
      <c r="E1163" s="1239" t="s">
        <v>690</v>
      </c>
      <c r="F1163" s="1239" t="s">
        <v>275</v>
      </c>
      <c r="G1163" s="1239">
        <v>1</v>
      </c>
      <c r="H1163" s="1239">
        <v>1</v>
      </c>
      <c r="I1163" s="1239" t="s">
        <v>670</v>
      </c>
      <c r="J1163" s="1241">
        <v>5.9090909090909101</v>
      </c>
      <c r="K1163" s="1241">
        <v>5.9090909090909101</v>
      </c>
      <c r="L1163" s="1243">
        <v>0.20668055144299999</v>
      </c>
    </row>
    <row r="1164" spans="1:12" hidden="1">
      <c r="A1164" s="931">
        <v>15</v>
      </c>
      <c r="B1164" s="1253">
        <v>46118</v>
      </c>
      <c r="C1164" s="1251">
        <v>46124</v>
      </c>
      <c r="D1164" s="1239">
        <v>62</v>
      </c>
      <c r="E1164" s="1239" t="s">
        <v>722</v>
      </c>
      <c r="F1164" s="1239" t="s">
        <v>251</v>
      </c>
      <c r="G1164" s="1239">
        <v>2</v>
      </c>
      <c r="H1164" s="1239">
        <v>2</v>
      </c>
      <c r="I1164" s="1239" t="s">
        <v>670</v>
      </c>
      <c r="J1164" s="1241">
        <v>2.5454545454545499</v>
      </c>
      <c r="K1164" s="1241">
        <v>5.0909090909090899</v>
      </c>
      <c r="L1164" s="1243">
        <v>0.178063243717</v>
      </c>
    </row>
    <row r="1165" spans="1:12" hidden="1">
      <c r="A1165" s="931">
        <v>15</v>
      </c>
      <c r="B1165" s="1253">
        <v>46118</v>
      </c>
      <c r="C1165" s="1251">
        <v>46124</v>
      </c>
      <c r="D1165" s="1239">
        <v>63</v>
      </c>
      <c r="E1165" s="1239" t="s">
        <v>702</v>
      </c>
      <c r="F1165" s="1239" t="s">
        <v>251</v>
      </c>
      <c r="G1165" s="1239">
        <v>2</v>
      </c>
      <c r="H1165" s="1239">
        <v>2</v>
      </c>
      <c r="I1165" s="1239" t="s">
        <v>670</v>
      </c>
      <c r="J1165" s="1241">
        <v>2.4772727272727302</v>
      </c>
      <c r="K1165" s="1241">
        <v>4.9545454545454497</v>
      </c>
      <c r="L1165" s="1243">
        <v>0.173293693054</v>
      </c>
    </row>
    <row r="1166" spans="1:12" hidden="1">
      <c r="A1166" s="931">
        <v>15</v>
      </c>
      <c r="B1166" s="1253">
        <v>46118</v>
      </c>
      <c r="C1166" s="1251">
        <v>46124</v>
      </c>
      <c r="D1166" s="1239">
        <v>64</v>
      </c>
      <c r="E1166" s="1239" t="s">
        <v>808</v>
      </c>
      <c r="F1166" s="1239" t="s">
        <v>268</v>
      </c>
      <c r="G1166" s="1239">
        <v>7</v>
      </c>
      <c r="H1166" s="1239">
        <v>7</v>
      </c>
      <c r="I1166" s="1239" t="s">
        <v>670</v>
      </c>
      <c r="J1166" s="1241">
        <v>0.59090909090909105</v>
      </c>
      <c r="K1166" s="1241">
        <v>4.1363636363636402</v>
      </c>
      <c r="L1166" s="1243">
        <v>0.144676385691</v>
      </c>
    </row>
    <row r="1167" spans="1:12" hidden="1">
      <c r="A1167" s="931">
        <v>15</v>
      </c>
      <c r="B1167" s="1253">
        <v>46118</v>
      </c>
      <c r="C1167" s="1251">
        <v>46124</v>
      </c>
      <c r="D1167" s="1239">
        <v>65</v>
      </c>
      <c r="E1167" s="1239" t="s">
        <v>717</v>
      </c>
      <c r="F1167" s="1239" t="s">
        <v>249</v>
      </c>
      <c r="G1167" s="1239">
        <v>2</v>
      </c>
      <c r="H1167" s="1239">
        <v>2</v>
      </c>
      <c r="I1167" s="1239" t="s">
        <v>670</v>
      </c>
      <c r="J1167" s="1241">
        <v>2</v>
      </c>
      <c r="K1167" s="1241">
        <v>4</v>
      </c>
      <c r="L1167" s="1243">
        <v>0.139906834738</v>
      </c>
    </row>
    <row r="1168" spans="1:12" hidden="1">
      <c r="A1168" s="931">
        <v>15</v>
      </c>
      <c r="B1168" s="1253">
        <v>46118</v>
      </c>
      <c r="C1168" s="1251">
        <v>46124</v>
      </c>
      <c r="D1168" s="1239">
        <v>66</v>
      </c>
      <c r="E1168" s="1239" t="s">
        <v>677</v>
      </c>
      <c r="F1168" s="1239" t="s">
        <v>249</v>
      </c>
      <c r="G1168" s="1239">
        <v>2</v>
      </c>
      <c r="H1168" s="1239">
        <v>2</v>
      </c>
      <c r="I1168" s="1239" t="s">
        <v>670</v>
      </c>
      <c r="J1168" s="1241">
        <v>1.77272727272727</v>
      </c>
      <c r="K1168" s="1241">
        <v>3.5454545454545499</v>
      </c>
      <c r="L1168" s="1243">
        <v>0.124008330638</v>
      </c>
    </row>
    <row r="1169" spans="1:12" hidden="1">
      <c r="A1169" s="931">
        <v>15</v>
      </c>
      <c r="B1169" s="1253">
        <v>46118</v>
      </c>
      <c r="C1169" s="1251">
        <v>46124</v>
      </c>
      <c r="D1169" s="1239">
        <v>67</v>
      </c>
      <c r="E1169" s="1239" t="s">
        <v>786</v>
      </c>
      <c r="F1169" s="1239" t="s">
        <v>249</v>
      </c>
      <c r="G1169" s="1239">
        <v>2</v>
      </c>
      <c r="H1169" s="1239">
        <v>2</v>
      </c>
      <c r="I1169" s="1239" t="s">
        <v>670</v>
      </c>
      <c r="J1169" s="1241">
        <v>1.63636363636364</v>
      </c>
      <c r="K1169" s="1241">
        <v>3.2727272727272698</v>
      </c>
      <c r="L1169" s="1243">
        <v>0.114469228007</v>
      </c>
    </row>
    <row r="1170" spans="1:12" hidden="1">
      <c r="A1170" s="931">
        <v>15</v>
      </c>
      <c r="B1170" s="1253">
        <v>46118</v>
      </c>
      <c r="C1170" s="1251">
        <v>46124</v>
      </c>
      <c r="D1170" s="1239">
        <v>68</v>
      </c>
      <c r="E1170" s="1239" t="s">
        <v>709</v>
      </c>
      <c r="F1170" s="1239" t="s">
        <v>276</v>
      </c>
      <c r="G1170" s="1239">
        <v>1</v>
      </c>
      <c r="H1170" s="1239">
        <v>1</v>
      </c>
      <c r="I1170" s="1239" t="s">
        <v>672</v>
      </c>
      <c r="J1170" s="1241">
        <v>3.2272727272727302</v>
      </c>
      <c r="K1170" s="1241">
        <v>3.2272727272727302</v>
      </c>
      <c r="L1170" s="1243">
        <v>0.11287937794400001</v>
      </c>
    </row>
    <row r="1171" spans="1:12" hidden="1">
      <c r="A1171" s="931">
        <v>15</v>
      </c>
      <c r="B1171" s="1253">
        <v>46118</v>
      </c>
      <c r="C1171" s="1251">
        <v>46124</v>
      </c>
      <c r="D1171" s="1239">
        <v>69</v>
      </c>
      <c r="E1171" s="1239" t="s">
        <v>797</v>
      </c>
      <c r="F1171" s="1239" t="s">
        <v>253</v>
      </c>
      <c r="G1171" s="1239">
        <v>1</v>
      </c>
      <c r="H1171" s="1239">
        <v>1</v>
      </c>
      <c r="I1171" s="1239" t="s">
        <v>670</v>
      </c>
      <c r="J1171" s="1241">
        <v>3.1818181818181799</v>
      </c>
      <c r="K1171" s="1241">
        <v>3.1818181818181799</v>
      </c>
      <c r="L1171" s="1243">
        <v>0.11128952788099999</v>
      </c>
    </row>
    <row r="1172" spans="1:12" hidden="1">
      <c r="A1172" s="931">
        <v>15</v>
      </c>
      <c r="B1172" s="1253">
        <v>46118</v>
      </c>
      <c r="C1172" s="1251">
        <v>46124</v>
      </c>
      <c r="D1172" s="1239">
        <v>70</v>
      </c>
      <c r="E1172" s="1239" t="s">
        <v>714</v>
      </c>
      <c r="F1172" s="1239" t="s">
        <v>251</v>
      </c>
      <c r="G1172" s="1239">
        <v>3</v>
      </c>
      <c r="H1172" s="1239">
        <v>3</v>
      </c>
      <c r="I1172" s="1239" t="s">
        <v>670</v>
      </c>
      <c r="J1172" s="1241">
        <v>0.98484848484848497</v>
      </c>
      <c r="K1172" s="1241">
        <v>2.9545454545454501</v>
      </c>
      <c r="L1172" s="1243">
        <v>0.10334027615499999</v>
      </c>
    </row>
    <row r="1173" spans="1:12" hidden="1">
      <c r="A1173" s="931">
        <v>15</v>
      </c>
      <c r="B1173" s="1253">
        <v>46118</v>
      </c>
      <c r="C1173" s="1251">
        <v>46124</v>
      </c>
      <c r="D1173" s="1239">
        <v>71</v>
      </c>
      <c r="E1173" s="1239" t="s">
        <v>804</v>
      </c>
      <c r="F1173" s="1239" t="s">
        <v>253</v>
      </c>
      <c r="G1173" s="1239">
        <v>1</v>
      </c>
      <c r="H1173" s="1239">
        <v>1</v>
      </c>
      <c r="I1173" s="1239" t="s">
        <v>670</v>
      </c>
      <c r="J1173" s="1241">
        <v>2.8181818181818201</v>
      </c>
      <c r="K1173" s="1241">
        <v>2.8181818181818201</v>
      </c>
      <c r="L1173" s="1243">
        <v>9.8570724218000005E-2</v>
      </c>
    </row>
    <row r="1174" spans="1:12" hidden="1">
      <c r="A1174" s="931">
        <v>15</v>
      </c>
      <c r="B1174" s="1253">
        <v>46118</v>
      </c>
      <c r="C1174" s="1251">
        <v>46124</v>
      </c>
      <c r="D1174" s="1239">
        <v>72</v>
      </c>
      <c r="E1174" s="1239" t="s">
        <v>735</v>
      </c>
      <c r="F1174" s="1239" t="s">
        <v>730</v>
      </c>
      <c r="G1174" s="1239">
        <v>1</v>
      </c>
      <c r="H1174" s="1239">
        <v>1</v>
      </c>
      <c r="I1174" s="1239" t="s">
        <v>670</v>
      </c>
      <c r="J1174" s="1241">
        <v>2.8181818181818201</v>
      </c>
      <c r="K1174" s="1241">
        <v>2.8181818181818201</v>
      </c>
      <c r="L1174" s="1243">
        <v>9.8570724218000005E-2</v>
      </c>
    </row>
    <row r="1175" spans="1:12" hidden="1">
      <c r="A1175" s="931">
        <v>15</v>
      </c>
      <c r="B1175" s="1253">
        <v>46118</v>
      </c>
      <c r="C1175" s="1251">
        <v>46124</v>
      </c>
      <c r="D1175" s="1239">
        <v>73</v>
      </c>
      <c r="E1175" s="1239" t="s">
        <v>807</v>
      </c>
      <c r="F1175" s="1239" t="s">
        <v>253</v>
      </c>
      <c r="G1175" s="1239">
        <v>1</v>
      </c>
      <c r="H1175" s="1239">
        <v>1</v>
      </c>
      <c r="I1175" s="1239" t="s">
        <v>670</v>
      </c>
      <c r="J1175" s="1241">
        <v>2.8181818181818201</v>
      </c>
      <c r="K1175" s="1241">
        <v>2.8181818181818201</v>
      </c>
      <c r="L1175" s="1243">
        <v>9.8570724218000005E-2</v>
      </c>
    </row>
    <row r="1176" spans="1:12" hidden="1">
      <c r="A1176" s="931">
        <v>15</v>
      </c>
      <c r="B1176" s="1246">
        <v>46118</v>
      </c>
      <c r="C1176" s="1248">
        <v>46124</v>
      </c>
      <c r="D1176" s="933">
        <v>74</v>
      </c>
      <c r="E1176" s="933" t="s">
        <v>757</v>
      </c>
      <c r="F1176" s="933" t="s">
        <v>251</v>
      </c>
      <c r="G1176" s="933">
        <v>1</v>
      </c>
      <c r="H1176" s="933">
        <v>1</v>
      </c>
      <c r="I1176" s="933" t="s">
        <v>670</v>
      </c>
      <c r="J1176" s="934">
        <v>2.6363636363636398</v>
      </c>
      <c r="K1176" s="934">
        <v>2.6363636363636398</v>
      </c>
      <c r="L1176" s="938">
        <v>9.2211322838000001E-2</v>
      </c>
    </row>
    <row r="1177" spans="1:12" hidden="1">
      <c r="A1177" s="931">
        <v>15</v>
      </c>
      <c r="B1177" s="1253">
        <v>46118</v>
      </c>
      <c r="C1177" s="1251">
        <v>46124</v>
      </c>
      <c r="D1177" s="1239">
        <v>75</v>
      </c>
      <c r="E1177" s="1239" t="s">
        <v>731</v>
      </c>
      <c r="F1177" s="1239" t="s">
        <v>251</v>
      </c>
      <c r="G1177" s="1239">
        <v>1</v>
      </c>
      <c r="H1177" s="1239">
        <v>1</v>
      </c>
      <c r="I1177" s="1239" t="s">
        <v>670</v>
      </c>
      <c r="J1177" s="1241">
        <v>2.4090909090909101</v>
      </c>
      <c r="K1177" s="1241">
        <v>2.4090909090909101</v>
      </c>
      <c r="L1177" s="1243">
        <v>8.4262071112E-2</v>
      </c>
    </row>
    <row r="1178" spans="1:12" hidden="1">
      <c r="A1178" s="931">
        <v>15</v>
      </c>
      <c r="B1178" s="1253">
        <v>46118</v>
      </c>
      <c r="C1178" s="1251">
        <v>46124</v>
      </c>
      <c r="D1178" s="1239">
        <v>76</v>
      </c>
      <c r="E1178" s="1239" t="s">
        <v>746</v>
      </c>
      <c r="F1178" s="1239" t="s">
        <v>251</v>
      </c>
      <c r="G1178" s="1239">
        <v>1</v>
      </c>
      <c r="H1178" s="1239">
        <v>1</v>
      </c>
      <c r="I1178" s="1239" t="s">
        <v>670</v>
      </c>
      <c r="J1178" s="1241">
        <v>2.1363636363636398</v>
      </c>
      <c r="K1178" s="1241">
        <v>2.1363636363636398</v>
      </c>
      <c r="L1178" s="1243">
        <v>7.4722969449000004E-2</v>
      </c>
    </row>
    <row r="1179" spans="1:12" hidden="1">
      <c r="A1179" s="931">
        <v>15</v>
      </c>
      <c r="B1179" s="1253">
        <v>46118</v>
      </c>
      <c r="C1179" s="1251">
        <v>46124</v>
      </c>
      <c r="D1179" s="1239">
        <v>77</v>
      </c>
      <c r="E1179" s="1239" t="s">
        <v>716</v>
      </c>
      <c r="F1179" s="1239" t="s">
        <v>251</v>
      </c>
      <c r="G1179" s="1239">
        <v>5</v>
      </c>
      <c r="H1179" s="1239">
        <v>5</v>
      </c>
      <c r="I1179" s="1239" t="s">
        <v>670</v>
      </c>
      <c r="J1179" s="1241">
        <v>0.37272727272727302</v>
      </c>
      <c r="K1179" s="1241">
        <v>1.86363636363636</v>
      </c>
      <c r="L1179" s="1243">
        <v>6.5183866005999999E-2</v>
      </c>
    </row>
    <row r="1180" spans="1:12" hidden="1">
      <c r="A1180" s="931">
        <v>15</v>
      </c>
      <c r="B1180" s="1253">
        <v>46118</v>
      </c>
      <c r="C1180" s="1251">
        <v>46124</v>
      </c>
      <c r="D1180" s="1239">
        <v>78</v>
      </c>
      <c r="E1180" s="1239" t="s">
        <v>737</v>
      </c>
      <c r="F1180" s="1239" t="s">
        <v>249</v>
      </c>
      <c r="G1180" s="1239">
        <v>1</v>
      </c>
      <c r="H1180" s="1239">
        <v>1</v>
      </c>
      <c r="I1180" s="1239" t="s">
        <v>670</v>
      </c>
      <c r="J1180" s="1241">
        <v>1.6818181818181801</v>
      </c>
      <c r="K1180" s="1241">
        <v>1.6818181818181801</v>
      </c>
      <c r="L1180" s="1243">
        <v>5.8824464626000002E-2</v>
      </c>
    </row>
    <row r="1181" spans="1:12" hidden="1">
      <c r="A1181" s="931">
        <v>15</v>
      </c>
      <c r="B1181" s="1253">
        <v>46118</v>
      </c>
      <c r="C1181" s="1251">
        <v>46124</v>
      </c>
      <c r="D1181" s="1239">
        <v>79</v>
      </c>
      <c r="E1181" s="1239" t="s">
        <v>681</v>
      </c>
      <c r="F1181" s="1239" t="s">
        <v>282</v>
      </c>
      <c r="G1181" s="1239">
        <v>7</v>
      </c>
      <c r="H1181" s="1239">
        <v>7</v>
      </c>
      <c r="I1181" s="1239" t="s">
        <v>672</v>
      </c>
      <c r="J1181" s="1241">
        <v>4.5454545454544998E-2</v>
      </c>
      <c r="K1181" s="1241">
        <v>0.31818181818181801</v>
      </c>
      <c r="L1181" s="1243">
        <v>1.1128952889E-2</v>
      </c>
    </row>
    <row r="1182" spans="1:12" hidden="1">
      <c r="A1182" s="931">
        <v>15</v>
      </c>
      <c r="B1182" s="1253">
        <v>46118</v>
      </c>
      <c r="C1182" s="1251">
        <v>46124</v>
      </c>
      <c r="D1182" s="1239">
        <v>80</v>
      </c>
      <c r="E1182" s="1239" t="s">
        <v>711</v>
      </c>
      <c r="F1182" s="1239" t="s">
        <v>251</v>
      </c>
      <c r="G1182" s="1239">
        <v>4</v>
      </c>
      <c r="H1182" s="1239">
        <v>4</v>
      </c>
      <c r="I1182" s="1239" t="s">
        <v>670</v>
      </c>
      <c r="J1182" s="1241">
        <v>0</v>
      </c>
      <c r="K1182" s="1241">
        <v>0</v>
      </c>
      <c r="L1182" s="1243">
        <v>0</v>
      </c>
    </row>
    <row r="1183" spans="1:12" hidden="1">
      <c r="A1183" s="931">
        <v>15</v>
      </c>
      <c r="B1183" s="1253">
        <v>46118</v>
      </c>
      <c r="C1183" s="1251">
        <v>46124</v>
      </c>
      <c r="D1183" s="1239">
        <v>81</v>
      </c>
      <c r="E1183" s="1239" t="s">
        <v>715</v>
      </c>
      <c r="F1183" s="1239" t="s">
        <v>249</v>
      </c>
      <c r="G1183" s="1239">
        <v>1</v>
      </c>
      <c r="H1183" s="1239">
        <v>1</v>
      </c>
      <c r="I1183" s="1239" t="s">
        <v>670</v>
      </c>
      <c r="J1183" s="1241">
        <v>0</v>
      </c>
      <c r="K1183" s="1241">
        <v>0</v>
      </c>
      <c r="L1183" s="1243">
        <v>0</v>
      </c>
    </row>
    <row r="1184" spans="1:12" hidden="1">
      <c r="A1184" s="931">
        <v>15</v>
      </c>
      <c r="B1184" s="1253">
        <v>46118</v>
      </c>
      <c r="C1184" s="1251">
        <v>46124</v>
      </c>
      <c r="D1184" s="1239">
        <v>82</v>
      </c>
      <c r="E1184" s="1239" t="s">
        <v>760</v>
      </c>
      <c r="F1184" s="1239" t="s">
        <v>253</v>
      </c>
      <c r="G1184" s="1239">
        <v>6</v>
      </c>
      <c r="H1184" s="1239">
        <v>6</v>
      </c>
      <c r="I1184" s="1239" t="s">
        <v>672</v>
      </c>
      <c r="J1184" s="1241">
        <v>0</v>
      </c>
      <c r="K1184" s="1241">
        <v>0</v>
      </c>
      <c r="L1184" s="1243">
        <v>0</v>
      </c>
    </row>
    <row r="1185" spans="1:12" hidden="1">
      <c r="A1185" s="931">
        <v>15</v>
      </c>
      <c r="B1185" s="1253">
        <v>46118</v>
      </c>
      <c r="C1185" s="1251">
        <v>46124</v>
      </c>
      <c r="D1185" s="1239">
        <v>83</v>
      </c>
      <c r="E1185" s="1239" t="s">
        <v>840</v>
      </c>
      <c r="F1185" s="1239" t="s">
        <v>689</v>
      </c>
      <c r="G1185" s="1239">
        <v>2</v>
      </c>
      <c r="H1185" s="1239">
        <v>2</v>
      </c>
      <c r="I1185" s="1239" t="s">
        <v>670</v>
      </c>
      <c r="J1185" s="1241">
        <v>0</v>
      </c>
      <c r="K1185" s="1241">
        <v>0</v>
      </c>
      <c r="L1185" s="1243">
        <v>0</v>
      </c>
    </row>
    <row r="1186" spans="1:12" hidden="1">
      <c r="A1186" s="931">
        <v>15</v>
      </c>
      <c r="B1186" s="1253">
        <v>46118</v>
      </c>
      <c r="C1186" s="1251">
        <v>46124</v>
      </c>
      <c r="D1186" s="1239">
        <v>84</v>
      </c>
      <c r="E1186" s="1239" t="s">
        <v>727</v>
      </c>
      <c r="F1186" s="1239" t="s">
        <v>275</v>
      </c>
      <c r="G1186" s="1239">
        <v>1</v>
      </c>
      <c r="H1186" s="1239">
        <v>1</v>
      </c>
      <c r="I1186" s="1239" t="s">
        <v>670</v>
      </c>
      <c r="J1186" s="1241">
        <v>0</v>
      </c>
      <c r="K1186" s="1241">
        <v>0</v>
      </c>
      <c r="L1186" s="1243">
        <v>0</v>
      </c>
    </row>
    <row r="1187" spans="1:12">
      <c r="A1187" s="931">
        <v>15</v>
      </c>
      <c r="B1187" s="1253">
        <v>46118</v>
      </c>
      <c r="C1187" s="1251">
        <v>46124</v>
      </c>
      <c r="D1187" s="1239">
        <v>85</v>
      </c>
      <c r="E1187" s="1239" t="s">
        <v>806</v>
      </c>
      <c r="F1187" s="1239" t="s">
        <v>256</v>
      </c>
      <c r="G1187" s="1239">
        <v>13</v>
      </c>
      <c r="H1187" s="1239">
        <v>13</v>
      </c>
      <c r="I1187" s="1239" t="s">
        <v>670</v>
      </c>
      <c r="J1187" s="1241">
        <v>-5.9440559440559398E-2</v>
      </c>
      <c r="K1187" s="1241">
        <v>-0.77272727272727304</v>
      </c>
      <c r="L1187" s="1243">
        <v>-2.7027456501999999E-2</v>
      </c>
    </row>
    <row r="1188" spans="1:12" hidden="1">
      <c r="A1188" s="941">
        <v>16</v>
      </c>
      <c r="B1188" s="1253">
        <v>46125</v>
      </c>
      <c r="C1188" s="1251">
        <v>46131</v>
      </c>
      <c r="D1188" s="1239">
        <v>1</v>
      </c>
      <c r="E1188" s="1239" t="s">
        <v>254</v>
      </c>
      <c r="F1188" s="1239" t="s">
        <v>254</v>
      </c>
      <c r="G1188" s="1239">
        <v>30</v>
      </c>
      <c r="H1188" s="1239">
        <v>30</v>
      </c>
      <c r="I1188" s="1239" t="s">
        <v>670</v>
      </c>
      <c r="J1188" s="1241">
        <v>13.545454545454501</v>
      </c>
      <c r="K1188" s="1241">
        <v>406.36363636363598</v>
      </c>
      <c r="L1188" s="1243">
        <v>11.298007052899999</v>
      </c>
    </row>
    <row r="1189" spans="1:12" hidden="1">
      <c r="A1189" s="941">
        <v>16</v>
      </c>
      <c r="B1189" s="1252">
        <v>46125</v>
      </c>
      <c r="C1189" s="1250">
        <v>46131</v>
      </c>
      <c r="D1189" s="1240">
        <v>2</v>
      </c>
      <c r="E1189" s="1240" t="s">
        <v>262</v>
      </c>
      <c r="F1189" s="1240" t="s">
        <v>256</v>
      </c>
      <c r="G1189" s="1240">
        <v>30</v>
      </c>
      <c r="H1189" s="1240">
        <v>30</v>
      </c>
      <c r="I1189" s="1240" t="s">
        <v>670</v>
      </c>
      <c r="J1189" s="1242">
        <v>10.863636363636401</v>
      </c>
      <c r="K1189" s="1242">
        <v>325.90909090909099</v>
      </c>
      <c r="L1189" s="1244">
        <v>9.0611533069700005</v>
      </c>
    </row>
    <row r="1190" spans="1:12" hidden="1">
      <c r="A1190" s="941">
        <v>16</v>
      </c>
      <c r="B1190" s="1253">
        <v>46125</v>
      </c>
      <c r="C1190" s="1251">
        <v>46131</v>
      </c>
      <c r="D1190" s="1239">
        <v>3</v>
      </c>
      <c r="E1190" s="1239" t="s">
        <v>255</v>
      </c>
      <c r="F1190" s="1239" t="s">
        <v>256</v>
      </c>
      <c r="G1190" s="1239">
        <v>44</v>
      </c>
      <c r="H1190" s="1239">
        <v>44</v>
      </c>
      <c r="I1190" s="1239" t="s">
        <v>670</v>
      </c>
      <c r="J1190" s="1241">
        <v>5.19421487603306</v>
      </c>
      <c r="K1190" s="1241">
        <v>228.54545454545499</v>
      </c>
      <c r="L1190" s="1243">
        <v>6.3541811476500003</v>
      </c>
    </row>
    <row r="1191" spans="1:12" hidden="1">
      <c r="A1191" s="941">
        <v>16</v>
      </c>
      <c r="B1191" s="1252">
        <v>46125</v>
      </c>
      <c r="C1191" s="1250">
        <v>46131</v>
      </c>
      <c r="D1191" s="1240">
        <v>4</v>
      </c>
      <c r="E1191" s="1240" t="s">
        <v>792</v>
      </c>
      <c r="F1191" s="1240" t="s">
        <v>256</v>
      </c>
      <c r="G1191" s="1240">
        <v>13</v>
      </c>
      <c r="H1191" s="1240">
        <v>13</v>
      </c>
      <c r="I1191" s="1240" t="s">
        <v>670</v>
      </c>
      <c r="J1191" s="1242">
        <v>12.716783216783201</v>
      </c>
      <c r="K1191" s="1242">
        <v>165.31818181818201</v>
      </c>
      <c r="L1191" s="1244">
        <v>4.5962921310100002</v>
      </c>
    </row>
    <row r="1192" spans="1:12" hidden="1">
      <c r="A1192" s="941">
        <v>16</v>
      </c>
      <c r="B1192" s="1253">
        <v>46125</v>
      </c>
      <c r="C1192" s="1251">
        <v>46131</v>
      </c>
      <c r="D1192" s="1239">
        <v>5</v>
      </c>
      <c r="E1192" s="1239" t="s">
        <v>791</v>
      </c>
      <c r="F1192" s="1239" t="s">
        <v>256</v>
      </c>
      <c r="G1192" s="1239">
        <v>30</v>
      </c>
      <c r="H1192" s="1239">
        <v>30</v>
      </c>
      <c r="I1192" s="1239" t="s">
        <v>670</v>
      </c>
      <c r="J1192" s="1241">
        <v>5.0757575757575797</v>
      </c>
      <c r="K1192" s="1241">
        <v>152.272727272727</v>
      </c>
      <c r="L1192" s="1243">
        <v>4.2335932461699999</v>
      </c>
    </row>
    <row r="1193" spans="1:12" hidden="1">
      <c r="A1193" s="941">
        <v>16</v>
      </c>
      <c r="B1193" s="1252">
        <v>46125</v>
      </c>
      <c r="C1193" s="1250">
        <v>46131</v>
      </c>
      <c r="D1193" s="1240">
        <v>6</v>
      </c>
      <c r="E1193" s="1240" t="s">
        <v>686</v>
      </c>
      <c r="F1193" s="1240" t="s">
        <v>274</v>
      </c>
      <c r="G1193" s="1240">
        <v>10</v>
      </c>
      <c r="H1193" s="1240">
        <v>10</v>
      </c>
      <c r="I1193" s="1240" t="s">
        <v>670</v>
      </c>
      <c r="J1193" s="1242">
        <v>13.659090909090899</v>
      </c>
      <c r="K1193" s="1242">
        <v>136.59090909090901</v>
      </c>
      <c r="L1193" s="1244">
        <v>3.7975963296000002</v>
      </c>
    </row>
    <row r="1194" spans="1:12" hidden="1">
      <c r="A1194" s="941">
        <v>16</v>
      </c>
      <c r="B1194" s="1253">
        <v>46125</v>
      </c>
      <c r="C1194" s="1251">
        <v>46131</v>
      </c>
      <c r="D1194" s="1239">
        <v>7</v>
      </c>
      <c r="E1194" s="1239" t="s">
        <v>790</v>
      </c>
      <c r="F1194" s="1239" t="s">
        <v>264</v>
      </c>
      <c r="G1194" s="1239">
        <v>36</v>
      </c>
      <c r="H1194" s="1239">
        <v>36</v>
      </c>
      <c r="I1194" s="1239" t="s">
        <v>670</v>
      </c>
      <c r="J1194" s="1241">
        <v>3.2449494949494899</v>
      </c>
      <c r="K1194" s="1241">
        <v>116.818181818182</v>
      </c>
      <c r="L1194" s="1243">
        <v>3.2478610888200001</v>
      </c>
    </row>
    <row r="1195" spans="1:12" hidden="1">
      <c r="A1195" s="941">
        <v>16</v>
      </c>
      <c r="B1195" s="1252">
        <v>46125</v>
      </c>
      <c r="C1195" s="1250">
        <v>46131</v>
      </c>
      <c r="D1195" s="1240">
        <v>8</v>
      </c>
      <c r="E1195" s="1240" t="s">
        <v>837</v>
      </c>
      <c r="F1195" s="1240" t="s">
        <v>282</v>
      </c>
      <c r="G1195" s="1240">
        <v>9</v>
      </c>
      <c r="H1195" s="1240">
        <v>9</v>
      </c>
      <c r="I1195" s="1240" t="s">
        <v>670</v>
      </c>
      <c r="J1195" s="1242">
        <v>11.7272727272727</v>
      </c>
      <c r="K1195" s="1242">
        <v>105.545454545455</v>
      </c>
      <c r="L1195" s="1244">
        <v>2.9344488114899998</v>
      </c>
    </row>
    <row r="1196" spans="1:12" hidden="1">
      <c r="A1196" s="941">
        <v>16</v>
      </c>
      <c r="B1196" s="1253">
        <v>46125</v>
      </c>
      <c r="C1196" s="1251">
        <v>46131</v>
      </c>
      <c r="D1196" s="1239">
        <v>9</v>
      </c>
      <c r="E1196" s="1239" t="s">
        <v>738</v>
      </c>
      <c r="F1196" s="1239" t="s">
        <v>256</v>
      </c>
      <c r="G1196" s="1239">
        <v>12</v>
      </c>
      <c r="H1196" s="1239">
        <v>12</v>
      </c>
      <c r="I1196" s="1239" t="s">
        <v>670</v>
      </c>
      <c r="J1196" s="1241">
        <v>7.2575757575757596</v>
      </c>
      <c r="K1196" s="1241">
        <v>87.090909090909093</v>
      </c>
      <c r="L1196" s="1243">
        <v>2.4213625851799998</v>
      </c>
    </row>
    <row r="1197" spans="1:12" hidden="1">
      <c r="A1197" s="941">
        <v>16</v>
      </c>
      <c r="B1197" s="1252">
        <v>46125</v>
      </c>
      <c r="C1197" s="1250">
        <v>46131</v>
      </c>
      <c r="D1197" s="1240">
        <v>10</v>
      </c>
      <c r="E1197" s="1240" t="s">
        <v>679</v>
      </c>
      <c r="F1197" s="1240" t="s">
        <v>256</v>
      </c>
      <c r="G1197" s="1240">
        <v>9</v>
      </c>
      <c r="H1197" s="1240">
        <v>9</v>
      </c>
      <c r="I1197" s="1240" t="s">
        <v>670</v>
      </c>
      <c r="J1197" s="1242">
        <v>9.2424242424242404</v>
      </c>
      <c r="K1197" s="1242">
        <v>83.181818181818201</v>
      </c>
      <c r="L1197" s="1244">
        <v>2.3126792957100002</v>
      </c>
    </row>
    <row r="1198" spans="1:12" hidden="1">
      <c r="A1198" s="941">
        <v>16</v>
      </c>
      <c r="B1198" s="1253">
        <v>46125</v>
      </c>
      <c r="C1198" s="1251">
        <v>46131</v>
      </c>
      <c r="D1198" s="1239">
        <v>11</v>
      </c>
      <c r="E1198" s="1239" t="s">
        <v>678</v>
      </c>
      <c r="F1198" s="1239" t="s">
        <v>256</v>
      </c>
      <c r="G1198" s="1239">
        <v>13</v>
      </c>
      <c r="H1198" s="1239">
        <v>13</v>
      </c>
      <c r="I1198" s="1239" t="s">
        <v>670</v>
      </c>
      <c r="J1198" s="1241">
        <v>6.3776223776223802</v>
      </c>
      <c r="K1198" s="1241">
        <v>82.909090909090907</v>
      </c>
      <c r="L1198" s="1243">
        <v>2.3050967411399998</v>
      </c>
    </row>
    <row r="1199" spans="1:12" hidden="1">
      <c r="A1199" s="941">
        <v>16</v>
      </c>
      <c r="B1199" s="1252">
        <v>46125</v>
      </c>
      <c r="C1199" s="1250">
        <v>46131</v>
      </c>
      <c r="D1199" s="1240">
        <v>12</v>
      </c>
      <c r="E1199" s="1240" t="s">
        <v>684</v>
      </c>
      <c r="F1199" s="1240" t="s">
        <v>323</v>
      </c>
      <c r="G1199" s="1240">
        <v>9</v>
      </c>
      <c r="H1199" s="1240">
        <v>9</v>
      </c>
      <c r="I1199" s="1240" t="s">
        <v>670</v>
      </c>
      <c r="J1199" s="1242">
        <v>9.0505050505050502</v>
      </c>
      <c r="K1199" s="1242">
        <v>81.454545454545496</v>
      </c>
      <c r="L1199" s="1244">
        <v>2.2646564467200001</v>
      </c>
    </row>
    <row r="1200" spans="1:12" hidden="1">
      <c r="A1200" s="941">
        <v>16</v>
      </c>
      <c r="B1200" s="1253">
        <v>46125</v>
      </c>
      <c r="C1200" s="1251">
        <v>46131</v>
      </c>
      <c r="D1200" s="1239">
        <v>13</v>
      </c>
      <c r="E1200" s="1239" t="s">
        <v>261</v>
      </c>
      <c r="F1200" s="1239" t="s">
        <v>256</v>
      </c>
      <c r="G1200" s="1239">
        <v>29</v>
      </c>
      <c r="H1200" s="1239">
        <v>29</v>
      </c>
      <c r="I1200" s="1239" t="s">
        <v>670</v>
      </c>
      <c r="J1200" s="1241">
        <v>2.63479623824451</v>
      </c>
      <c r="K1200" s="1241">
        <v>76.409090909090907</v>
      </c>
      <c r="L1200" s="1243">
        <v>2.1243791782599999</v>
      </c>
    </row>
    <row r="1201" spans="1:12" hidden="1">
      <c r="A1201" s="941">
        <v>16</v>
      </c>
      <c r="B1201" s="1252">
        <v>46125</v>
      </c>
      <c r="C1201" s="1250">
        <v>46131</v>
      </c>
      <c r="D1201" s="1240">
        <v>14</v>
      </c>
      <c r="E1201" s="1240" t="s">
        <v>680</v>
      </c>
      <c r="F1201" s="1240" t="s">
        <v>251</v>
      </c>
      <c r="G1201" s="1240">
        <v>28</v>
      </c>
      <c r="H1201" s="1240">
        <v>28</v>
      </c>
      <c r="I1201" s="1240" t="s">
        <v>670</v>
      </c>
      <c r="J1201" s="1242">
        <v>2.4626623376623402</v>
      </c>
      <c r="K1201" s="1242">
        <v>68.954545454545496</v>
      </c>
      <c r="L1201" s="1244">
        <v>1.9171226727099999</v>
      </c>
    </row>
    <row r="1202" spans="1:12" hidden="1">
      <c r="A1202" s="941">
        <v>16</v>
      </c>
      <c r="B1202" s="1253">
        <v>46125</v>
      </c>
      <c r="C1202" s="1251">
        <v>46131</v>
      </c>
      <c r="D1202" s="1239">
        <v>15</v>
      </c>
      <c r="E1202" s="1239" t="s">
        <v>250</v>
      </c>
      <c r="F1202" s="1239" t="s">
        <v>251</v>
      </c>
      <c r="G1202" s="1239">
        <v>39</v>
      </c>
      <c r="H1202" s="1239">
        <v>39</v>
      </c>
      <c r="I1202" s="1239" t="s">
        <v>670</v>
      </c>
      <c r="J1202" s="1241">
        <v>1.67715617715618</v>
      </c>
      <c r="K1202" s="1241">
        <v>65.409090909090907</v>
      </c>
      <c r="L1202" s="1243">
        <v>1.81854945652</v>
      </c>
    </row>
    <row r="1203" spans="1:12" hidden="1">
      <c r="A1203" s="941">
        <v>16</v>
      </c>
      <c r="B1203" s="1252">
        <v>46125</v>
      </c>
      <c r="C1203" s="1250">
        <v>46131</v>
      </c>
      <c r="D1203" s="1240">
        <v>16</v>
      </c>
      <c r="E1203" s="1240" t="s">
        <v>248</v>
      </c>
      <c r="F1203" s="1240" t="s">
        <v>249</v>
      </c>
      <c r="G1203" s="1240">
        <v>50</v>
      </c>
      <c r="H1203" s="1240">
        <v>50</v>
      </c>
      <c r="I1203" s="1240" t="s">
        <v>670</v>
      </c>
      <c r="J1203" s="1242">
        <v>1.3036363636363599</v>
      </c>
      <c r="K1203" s="1242">
        <v>65.181818181818201</v>
      </c>
      <c r="L1203" s="1244">
        <v>1.81223066062</v>
      </c>
    </row>
    <row r="1204" spans="1:12" hidden="1">
      <c r="A1204" s="941">
        <v>16</v>
      </c>
      <c r="B1204" s="1253">
        <v>46125</v>
      </c>
      <c r="C1204" s="1251">
        <v>46131</v>
      </c>
      <c r="D1204" s="1239">
        <v>17</v>
      </c>
      <c r="E1204" s="1239" t="s">
        <v>706</v>
      </c>
      <c r="F1204" s="1239" t="s">
        <v>256</v>
      </c>
      <c r="G1204" s="1239">
        <v>5</v>
      </c>
      <c r="H1204" s="1239">
        <v>5</v>
      </c>
      <c r="I1204" s="1239" t="s">
        <v>670</v>
      </c>
      <c r="J1204" s="1241">
        <v>12.7272727272727</v>
      </c>
      <c r="K1204" s="1241">
        <v>63.636363636363598</v>
      </c>
      <c r="L1204" s="1243">
        <v>1.76926284938</v>
      </c>
    </row>
    <row r="1205" spans="1:12" hidden="1">
      <c r="A1205" s="941">
        <v>16</v>
      </c>
      <c r="B1205" s="1252">
        <v>46125</v>
      </c>
      <c r="C1205" s="1250">
        <v>46131</v>
      </c>
      <c r="D1205" s="1240">
        <v>18</v>
      </c>
      <c r="E1205" s="1240" t="s">
        <v>259</v>
      </c>
      <c r="F1205" s="1240" t="s">
        <v>249</v>
      </c>
      <c r="G1205" s="1240">
        <v>46</v>
      </c>
      <c r="H1205" s="1240">
        <v>46</v>
      </c>
      <c r="I1205" s="1240" t="s">
        <v>670</v>
      </c>
      <c r="J1205" s="1242">
        <v>1.3132411067193701</v>
      </c>
      <c r="K1205" s="1242">
        <v>60.409090909090899</v>
      </c>
      <c r="L1205" s="1244">
        <v>1.67953594769</v>
      </c>
    </row>
    <row r="1206" spans="1:12" hidden="1">
      <c r="A1206" s="941">
        <v>16</v>
      </c>
      <c r="B1206" s="1253">
        <v>46125</v>
      </c>
      <c r="C1206" s="1251">
        <v>46131</v>
      </c>
      <c r="D1206" s="1239">
        <v>19</v>
      </c>
      <c r="E1206" s="1239" t="s">
        <v>701</v>
      </c>
      <c r="F1206" s="1239" t="s">
        <v>689</v>
      </c>
      <c r="G1206" s="1239">
        <v>6</v>
      </c>
      <c r="H1206" s="1239">
        <v>6</v>
      </c>
      <c r="I1206" s="1239" t="s">
        <v>670</v>
      </c>
      <c r="J1206" s="1241">
        <v>9.9469696969697008</v>
      </c>
      <c r="K1206" s="1241">
        <v>59.681818181818201</v>
      </c>
      <c r="L1206" s="1243">
        <v>1.65931580127</v>
      </c>
    </row>
    <row r="1207" spans="1:12" hidden="1">
      <c r="A1207" s="941">
        <v>16</v>
      </c>
      <c r="B1207" s="1252">
        <v>46125</v>
      </c>
      <c r="C1207" s="1250">
        <v>46131</v>
      </c>
      <c r="D1207" s="1240">
        <v>20</v>
      </c>
      <c r="E1207" s="1240" t="s">
        <v>685</v>
      </c>
      <c r="F1207" s="1240" t="s">
        <v>256</v>
      </c>
      <c r="G1207" s="1240">
        <v>7</v>
      </c>
      <c r="H1207" s="1240">
        <v>7</v>
      </c>
      <c r="I1207" s="1240" t="s">
        <v>670</v>
      </c>
      <c r="J1207" s="1242">
        <v>8.2467532467532507</v>
      </c>
      <c r="K1207" s="1242">
        <v>57.727272727272698</v>
      </c>
      <c r="L1207" s="1244">
        <v>1.6049741560499999</v>
      </c>
    </row>
    <row r="1208" spans="1:12" hidden="1">
      <c r="A1208" s="941">
        <v>16</v>
      </c>
      <c r="B1208" s="1253">
        <v>46125</v>
      </c>
      <c r="C1208" s="1251">
        <v>46131</v>
      </c>
      <c r="D1208" s="1239">
        <v>21</v>
      </c>
      <c r="E1208" s="1239" t="s">
        <v>705</v>
      </c>
      <c r="F1208" s="1239" t="s">
        <v>274</v>
      </c>
      <c r="G1208" s="1239">
        <v>6</v>
      </c>
      <c r="H1208" s="1239">
        <v>6</v>
      </c>
      <c r="I1208" s="1239" t="s">
        <v>670</v>
      </c>
      <c r="J1208" s="1241">
        <v>9.1666666666666696</v>
      </c>
      <c r="K1208" s="1241">
        <v>55</v>
      </c>
      <c r="L1208" s="1243">
        <v>1.52914860462</v>
      </c>
    </row>
    <row r="1209" spans="1:12" hidden="1">
      <c r="A1209" s="941">
        <v>16</v>
      </c>
      <c r="B1209" s="1252">
        <v>46125</v>
      </c>
      <c r="C1209" s="1250">
        <v>46131</v>
      </c>
      <c r="D1209" s="1240">
        <v>22</v>
      </c>
      <c r="E1209" s="1240" t="s">
        <v>796</v>
      </c>
      <c r="F1209" s="1240" t="s">
        <v>282</v>
      </c>
      <c r="G1209" s="1240">
        <v>5</v>
      </c>
      <c r="H1209" s="1240">
        <v>5</v>
      </c>
      <c r="I1209" s="1240" t="s">
        <v>670</v>
      </c>
      <c r="J1209" s="1242">
        <v>10.909090909090899</v>
      </c>
      <c r="K1209" s="1242">
        <v>54.545454545454497</v>
      </c>
      <c r="L1209" s="1244">
        <v>1.51651101387</v>
      </c>
    </row>
    <row r="1210" spans="1:12" hidden="1">
      <c r="A1210" s="941">
        <v>16</v>
      </c>
      <c r="B1210" s="1253">
        <v>46125</v>
      </c>
      <c r="C1210" s="1251">
        <v>46131</v>
      </c>
      <c r="D1210" s="1239">
        <v>23</v>
      </c>
      <c r="E1210" s="1239" t="s">
        <v>707</v>
      </c>
      <c r="F1210" s="1239" t="s">
        <v>256</v>
      </c>
      <c r="G1210" s="1239">
        <v>6</v>
      </c>
      <c r="H1210" s="1239">
        <v>6</v>
      </c>
      <c r="I1210" s="1239" t="s">
        <v>670</v>
      </c>
      <c r="J1210" s="1241">
        <v>8.6742424242424203</v>
      </c>
      <c r="K1210" s="1241">
        <v>52.045454545454497</v>
      </c>
      <c r="L1210" s="1243">
        <v>1.4470042591600001</v>
      </c>
    </row>
    <row r="1211" spans="1:12" hidden="1">
      <c r="A1211" s="941">
        <v>16</v>
      </c>
      <c r="B1211" s="1252">
        <v>46125</v>
      </c>
      <c r="C1211" s="1250">
        <v>46131</v>
      </c>
      <c r="D1211" s="1240">
        <v>24</v>
      </c>
      <c r="E1211" s="1240" t="s">
        <v>682</v>
      </c>
      <c r="F1211" s="1240" t="s">
        <v>275</v>
      </c>
      <c r="G1211" s="1240">
        <v>10</v>
      </c>
      <c r="H1211" s="1240">
        <v>10</v>
      </c>
      <c r="I1211" s="1240" t="s">
        <v>670</v>
      </c>
      <c r="J1211" s="1242">
        <v>4.9090909090909101</v>
      </c>
      <c r="K1211" s="1242">
        <v>49.090909090909101</v>
      </c>
      <c r="L1211" s="1244">
        <v>1.36485991235</v>
      </c>
    </row>
    <row r="1212" spans="1:12" hidden="1">
      <c r="A1212" s="941">
        <v>16</v>
      </c>
      <c r="B1212" s="1253">
        <v>46125</v>
      </c>
      <c r="C1212" s="1251">
        <v>46131</v>
      </c>
      <c r="D1212" s="1239">
        <v>25</v>
      </c>
      <c r="E1212" s="1239" t="s">
        <v>778</v>
      </c>
      <c r="F1212" s="1239" t="s">
        <v>256</v>
      </c>
      <c r="G1212" s="1239">
        <v>7</v>
      </c>
      <c r="H1212" s="1239">
        <v>7</v>
      </c>
      <c r="I1212" s="1239" t="s">
        <v>670</v>
      </c>
      <c r="J1212" s="1241">
        <v>6.8831168831168803</v>
      </c>
      <c r="K1212" s="1241">
        <v>48.181818181818201</v>
      </c>
      <c r="L1212" s="1243">
        <v>1.33958472894</v>
      </c>
    </row>
    <row r="1213" spans="1:12" hidden="1">
      <c r="A1213" s="941">
        <v>16</v>
      </c>
      <c r="B1213" s="1252">
        <v>46125</v>
      </c>
      <c r="C1213" s="1250">
        <v>46131</v>
      </c>
      <c r="D1213" s="1240">
        <v>26</v>
      </c>
      <c r="E1213" s="1240" t="s">
        <v>697</v>
      </c>
      <c r="F1213" s="1240" t="s">
        <v>256</v>
      </c>
      <c r="G1213" s="1240">
        <v>5</v>
      </c>
      <c r="H1213" s="1240">
        <v>5</v>
      </c>
      <c r="I1213" s="1240" t="s">
        <v>670</v>
      </c>
      <c r="J1213" s="1242">
        <v>9.6363636363636402</v>
      </c>
      <c r="K1213" s="1242">
        <v>48.181818181818201</v>
      </c>
      <c r="L1213" s="1244">
        <v>1.33958472894</v>
      </c>
    </row>
    <row r="1214" spans="1:12" hidden="1">
      <c r="A1214" s="941">
        <v>16</v>
      </c>
      <c r="B1214" s="1253">
        <v>46125</v>
      </c>
      <c r="C1214" s="1251">
        <v>46131</v>
      </c>
      <c r="D1214" s="1239">
        <v>27</v>
      </c>
      <c r="E1214" s="1239" t="s">
        <v>696</v>
      </c>
      <c r="F1214" s="1239" t="s">
        <v>323</v>
      </c>
      <c r="G1214" s="1239">
        <v>4</v>
      </c>
      <c r="H1214" s="1239">
        <v>4</v>
      </c>
      <c r="I1214" s="1239" t="s">
        <v>670</v>
      </c>
      <c r="J1214" s="1241">
        <v>10.965909090909101</v>
      </c>
      <c r="K1214" s="1241">
        <v>43.863636363636402</v>
      </c>
      <c r="L1214" s="1243">
        <v>1.2195276071900001</v>
      </c>
    </row>
    <row r="1215" spans="1:12" hidden="1">
      <c r="A1215" s="941">
        <v>16</v>
      </c>
      <c r="B1215" s="1252">
        <v>46125</v>
      </c>
      <c r="C1215" s="1250">
        <v>46131</v>
      </c>
      <c r="D1215" s="1240">
        <v>28</v>
      </c>
      <c r="E1215" s="1240" t="s">
        <v>683</v>
      </c>
      <c r="F1215" s="1240" t="s">
        <v>274</v>
      </c>
      <c r="G1215" s="1240">
        <v>4</v>
      </c>
      <c r="H1215" s="1240">
        <v>4</v>
      </c>
      <c r="I1215" s="1240" t="s">
        <v>670</v>
      </c>
      <c r="J1215" s="1242">
        <v>10.909090909090899</v>
      </c>
      <c r="K1215" s="1242">
        <v>43.636363636363598</v>
      </c>
      <c r="L1215" s="1244">
        <v>1.2132088105600001</v>
      </c>
    </row>
    <row r="1216" spans="1:12" hidden="1">
      <c r="A1216" s="941">
        <v>16</v>
      </c>
      <c r="B1216" s="1253">
        <v>46125</v>
      </c>
      <c r="C1216" s="1251">
        <v>46131</v>
      </c>
      <c r="D1216" s="1239">
        <v>29</v>
      </c>
      <c r="E1216" s="1239" t="s">
        <v>728</v>
      </c>
      <c r="F1216" s="1239" t="s">
        <v>695</v>
      </c>
      <c r="G1216" s="1239">
        <v>5</v>
      </c>
      <c r="H1216" s="1239">
        <v>5</v>
      </c>
      <c r="I1216" s="1239" t="s">
        <v>670</v>
      </c>
      <c r="J1216" s="1241">
        <v>8.2272727272727302</v>
      </c>
      <c r="K1216" s="1241">
        <v>41.136363636363598</v>
      </c>
      <c r="L1216" s="1243">
        <v>1.14370205605</v>
      </c>
    </row>
    <row r="1217" spans="1:12" hidden="1">
      <c r="A1217" s="941">
        <v>16</v>
      </c>
      <c r="B1217" s="1252">
        <v>46125</v>
      </c>
      <c r="C1217" s="1250">
        <v>46131</v>
      </c>
      <c r="D1217" s="1240">
        <v>30</v>
      </c>
      <c r="E1217" s="1240" t="s">
        <v>688</v>
      </c>
      <c r="F1217" s="1240" t="s">
        <v>689</v>
      </c>
      <c r="G1217" s="1240">
        <v>4</v>
      </c>
      <c r="H1217" s="1240">
        <v>4</v>
      </c>
      <c r="I1217" s="1240" t="s">
        <v>670</v>
      </c>
      <c r="J1217" s="1242">
        <v>9.9659090909090899</v>
      </c>
      <c r="K1217" s="1242">
        <v>39.863636363636402</v>
      </c>
      <c r="L1217" s="1244">
        <v>1.10831679897</v>
      </c>
    </row>
    <row r="1218" spans="1:12" hidden="1">
      <c r="A1218" s="941">
        <v>16</v>
      </c>
      <c r="B1218" s="1253">
        <v>46125</v>
      </c>
      <c r="C1218" s="1251">
        <v>46131</v>
      </c>
      <c r="D1218" s="1239">
        <v>31</v>
      </c>
      <c r="E1218" s="1239" t="s">
        <v>763</v>
      </c>
      <c r="F1218" s="1239" t="s">
        <v>764</v>
      </c>
      <c r="G1218" s="1239">
        <v>3</v>
      </c>
      <c r="H1218" s="1239">
        <v>3</v>
      </c>
      <c r="I1218" s="1239" t="s">
        <v>670</v>
      </c>
      <c r="J1218" s="1241">
        <v>10.681818181818199</v>
      </c>
      <c r="K1218" s="1241">
        <v>32.045454545454497</v>
      </c>
      <c r="L1218" s="1243">
        <v>0.89095022072600005</v>
      </c>
    </row>
    <row r="1219" spans="1:12" hidden="1">
      <c r="A1219" s="941">
        <v>16</v>
      </c>
      <c r="B1219" s="1252">
        <v>46125</v>
      </c>
      <c r="C1219" s="1250">
        <v>46131</v>
      </c>
      <c r="D1219" s="1240">
        <v>32</v>
      </c>
      <c r="E1219" s="1240" t="s">
        <v>674</v>
      </c>
      <c r="F1219" s="1240" t="s">
        <v>275</v>
      </c>
      <c r="G1219" s="1240">
        <v>7</v>
      </c>
      <c r="H1219" s="1240">
        <v>7</v>
      </c>
      <c r="I1219" s="1240" t="s">
        <v>670</v>
      </c>
      <c r="J1219" s="1242">
        <v>4.5779220779220804</v>
      </c>
      <c r="K1219" s="1242">
        <v>32.045454545454497</v>
      </c>
      <c r="L1219" s="1244">
        <v>0.89095022072600005</v>
      </c>
    </row>
    <row r="1220" spans="1:12" hidden="1">
      <c r="A1220" s="941">
        <v>16</v>
      </c>
      <c r="B1220" s="1253">
        <v>46125</v>
      </c>
      <c r="C1220" s="1251">
        <v>46131</v>
      </c>
      <c r="D1220" s="1239">
        <v>33</v>
      </c>
      <c r="E1220" s="1239" t="s">
        <v>673</v>
      </c>
      <c r="F1220" s="1239" t="s">
        <v>251</v>
      </c>
      <c r="G1220" s="1239">
        <v>14</v>
      </c>
      <c r="H1220" s="1239">
        <v>14</v>
      </c>
      <c r="I1220" s="1239" t="s">
        <v>670</v>
      </c>
      <c r="J1220" s="1241">
        <v>2.2435064935064899</v>
      </c>
      <c r="K1220" s="1241">
        <v>31.409090909090899</v>
      </c>
      <c r="L1220" s="1243">
        <v>0.87325759226699995</v>
      </c>
    </row>
    <row r="1221" spans="1:12" hidden="1">
      <c r="A1221" s="941">
        <v>16</v>
      </c>
      <c r="B1221" s="1252">
        <v>46125</v>
      </c>
      <c r="C1221" s="1250">
        <v>46131</v>
      </c>
      <c r="D1221" s="1240">
        <v>34</v>
      </c>
      <c r="E1221" s="1240" t="s">
        <v>747</v>
      </c>
      <c r="F1221" s="1240" t="s">
        <v>256</v>
      </c>
      <c r="G1221" s="1240">
        <v>4</v>
      </c>
      <c r="H1221" s="1240">
        <v>4</v>
      </c>
      <c r="I1221" s="1240" t="s">
        <v>670</v>
      </c>
      <c r="J1221" s="1242">
        <v>7.8295454545454497</v>
      </c>
      <c r="K1221" s="1242">
        <v>31.318181818181799</v>
      </c>
      <c r="L1221" s="1244">
        <v>0.87073007392699997</v>
      </c>
    </row>
    <row r="1222" spans="1:12" hidden="1">
      <c r="A1222" s="941">
        <v>16</v>
      </c>
      <c r="B1222" s="1253">
        <v>46125</v>
      </c>
      <c r="C1222" s="1251">
        <v>46131</v>
      </c>
      <c r="D1222" s="1239">
        <v>35</v>
      </c>
      <c r="E1222" s="1239" t="s">
        <v>700</v>
      </c>
      <c r="F1222" s="1239" t="s">
        <v>274</v>
      </c>
      <c r="G1222" s="1239">
        <v>3</v>
      </c>
      <c r="H1222" s="1239">
        <v>3</v>
      </c>
      <c r="I1222" s="1239" t="s">
        <v>670</v>
      </c>
      <c r="J1222" s="1241">
        <v>9.0909090909090899</v>
      </c>
      <c r="K1222" s="1241">
        <v>27.272727272727298</v>
      </c>
      <c r="L1222" s="1243">
        <v>0.75825550724599999</v>
      </c>
    </row>
    <row r="1223" spans="1:12" hidden="1">
      <c r="A1223" s="941">
        <v>16</v>
      </c>
      <c r="B1223" s="1252">
        <v>46125</v>
      </c>
      <c r="C1223" s="1250">
        <v>46131</v>
      </c>
      <c r="D1223" s="1240">
        <v>36</v>
      </c>
      <c r="E1223" s="1240" t="s">
        <v>784</v>
      </c>
      <c r="F1223" s="1240" t="s">
        <v>764</v>
      </c>
      <c r="G1223" s="1240">
        <v>2</v>
      </c>
      <c r="H1223" s="1240">
        <v>2</v>
      </c>
      <c r="I1223" s="1240" t="s">
        <v>670</v>
      </c>
      <c r="J1223" s="1242">
        <v>13.295454545454501</v>
      </c>
      <c r="K1223" s="1242">
        <v>26.590909090909101</v>
      </c>
      <c r="L1223" s="1244">
        <v>0.73929911938699999</v>
      </c>
    </row>
    <row r="1224" spans="1:12" hidden="1">
      <c r="A1224" s="941">
        <v>16</v>
      </c>
      <c r="B1224" s="1253">
        <v>46125</v>
      </c>
      <c r="C1224" s="1251">
        <v>46131</v>
      </c>
      <c r="D1224" s="1239">
        <v>37</v>
      </c>
      <c r="E1224" s="1239" t="s">
        <v>676</v>
      </c>
      <c r="F1224" s="1239" t="s">
        <v>253</v>
      </c>
      <c r="G1224" s="1239">
        <v>9</v>
      </c>
      <c r="H1224" s="1239">
        <v>9</v>
      </c>
      <c r="I1224" s="1239" t="s">
        <v>670</v>
      </c>
      <c r="J1224" s="1241">
        <v>2.74242424242424</v>
      </c>
      <c r="K1224" s="1241">
        <v>24.681818181818201</v>
      </c>
      <c r="L1224" s="1243">
        <v>0.68622123374800004</v>
      </c>
    </row>
    <row r="1225" spans="1:12" hidden="1">
      <c r="A1225" s="941">
        <v>16</v>
      </c>
      <c r="B1225" s="1252">
        <v>46125</v>
      </c>
      <c r="C1225" s="1250">
        <v>46131</v>
      </c>
      <c r="D1225" s="1240">
        <v>38</v>
      </c>
      <c r="E1225" s="1240" t="s">
        <v>745</v>
      </c>
      <c r="F1225" s="1240" t="s">
        <v>275</v>
      </c>
      <c r="G1225" s="1240">
        <v>5</v>
      </c>
      <c r="H1225" s="1240">
        <v>5</v>
      </c>
      <c r="I1225" s="1240" t="s">
        <v>670</v>
      </c>
      <c r="J1225" s="1242">
        <v>4.7727272727272698</v>
      </c>
      <c r="K1225" s="1242">
        <v>23.863636363636399</v>
      </c>
      <c r="L1225" s="1244">
        <v>0.66347356794900003</v>
      </c>
    </row>
    <row r="1226" spans="1:12" hidden="1">
      <c r="A1226" s="941">
        <v>16</v>
      </c>
      <c r="B1226" s="1253">
        <v>46125</v>
      </c>
      <c r="C1226" s="1251">
        <v>46131</v>
      </c>
      <c r="D1226" s="1239">
        <v>39</v>
      </c>
      <c r="E1226" s="1239" t="s">
        <v>726</v>
      </c>
      <c r="F1226" s="1239" t="s">
        <v>323</v>
      </c>
      <c r="G1226" s="1239">
        <v>2</v>
      </c>
      <c r="H1226" s="1239">
        <v>2</v>
      </c>
      <c r="I1226" s="1239" t="s">
        <v>670</v>
      </c>
      <c r="J1226" s="1241">
        <v>11.5</v>
      </c>
      <c r="K1226" s="1241">
        <v>23</v>
      </c>
      <c r="L1226" s="1243">
        <v>0.63946214436299997</v>
      </c>
    </row>
    <row r="1227" spans="1:12" hidden="1">
      <c r="A1227" s="941">
        <v>16</v>
      </c>
      <c r="B1227" s="1252">
        <v>46125</v>
      </c>
      <c r="C1227" s="1250">
        <v>46131</v>
      </c>
      <c r="D1227" s="1240">
        <v>40</v>
      </c>
      <c r="E1227" s="1240" t="s">
        <v>698</v>
      </c>
      <c r="F1227" s="1240" t="s">
        <v>249</v>
      </c>
      <c r="G1227" s="1240">
        <v>8</v>
      </c>
      <c r="H1227" s="1240">
        <v>8</v>
      </c>
      <c r="I1227" s="1240" t="s">
        <v>670</v>
      </c>
      <c r="J1227" s="1242">
        <v>2.3693181818181799</v>
      </c>
      <c r="K1227" s="1242">
        <v>18.954545454545499</v>
      </c>
      <c r="L1227" s="1244">
        <v>0.52698757690099995</v>
      </c>
    </row>
    <row r="1228" spans="1:12" hidden="1">
      <c r="A1228" s="941">
        <v>16</v>
      </c>
      <c r="B1228" s="1253">
        <v>46125</v>
      </c>
      <c r="C1228" s="1251">
        <v>46131</v>
      </c>
      <c r="D1228" s="1239">
        <v>41</v>
      </c>
      <c r="E1228" s="1239" t="s">
        <v>734</v>
      </c>
      <c r="F1228" s="1239" t="s">
        <v>695</v>
      </c>
      <c r="G1228" s="1239">
        <v>1</v>
      </c>
      <c r="H1228" s="1239">
        <v>1</v>
      </c>
      <c r="I1228" s="1239" t="s">
        <v>670</v>
      </c>
      <c r="J1228" s="1241">
        <v>18.409090909090899</v>
      </c>
      <c r="K1228" s="1241">
        <v>18.409090909090899</v>
      </c>
      <c r="L1228" s="1243">
        <v>0.51182246709900003</v>
      </c>
    </row>
    <row r="1229" spans="1:12" hidden="1">
      <c r="A1229" s="941">
        <v>16</v>
      </c>
      <c r="B1229" s="1252">
        <v>46125</v>
      </c>
      <c r="C1229" s="1250">
        <v>46131</v>
      </c>
      <c r="D1229" s="1240">
        <v>42</v>
      </c>
      <c r="E1229" s="1240" t="s">
        <v>748</v>
      </c>
      <c r="F1229" s="1240" t="s">
        <v>274</v>
      </c>
      <c r="G1229" s="1240">
        <v>2</v>
      </c>
      <c r="H1229" s="1240">
        <v>2</v>
      </c>
      <c r="I1229" s="1240" t="s">
        <v>670</v>
      </c>
      <c r="J1229" s="1242">
        <v>9.2045454545454497</v>
      </c>
      <c r="K1229" s="1242">
        <v>18.409090909090899</v>
      </c>
      <c r="L1229" s="1244">
        <v>0.51182246709900003</v>
      </c>
    </row>
    <row r="1230" spans="1:12" hidden="1">
      <c r="A1230" s="941">
        <v>16</v>
      </c>
      <c r="B1230" s="1253">
        <v>46125</v>
      </c>
      <c r="C1230" s="1251">
        <v>46131</v>
      </c>
      <c r="D1230" s="1239">
        <v>43</v>
      </c>
      <c r="E1230" s="1239" t="s">
        <v>690</v>
      </c>
      <c r="F1230" s="1239" t="s">
        <v>275</v>
      </c>
      <c r="G1230" s="1239">
        <v>3</v>
      </c>
      <c r="H1230" s="1239">
        <v>3</v>
      </c>
      <c r="I1230" s="1239" t="s">
        <v>670</v>
      </c>
      <c r="J1230" s="1241">
        <v>5.9090909090909101</v>
      </c>
      <c r="K1230" s="1241">
        <v>17.727272727272702</v>
      </c>
      <c r="L1230" s="1243">
        <v>0.492866079239</v>
      </c>
    </row>
    <row r="1231" spans="1:12" hidden="1">
      <c r="A1231" s="941">
        <v>16</v>
      </c>
      <c r="B1231" s="1252">
        <v>46125</v>
      </c>
      <c r="C1231" s="1250">
        <v>46131</v>
      </c>
      <c r="D1231" s="1240">
        <v>44</v>
      </c>
      <c r="E1231" s="1240" t="s">
        <v>743</v>
      </c>
      <c r="F1231" s="1240" t="s">
        <v>251</v>
      </c>
      <c r="G1231" s="1240">
        <v>7</v>
      </c>
      <c r="H1231" s="1240">
        <v>7</v>
      </c>
      <c r="I1231" s="1240" t="s">
        <v>670</v>
      </c>
      <c r="J1231" s="1242">
        <v>2.48701298701299</v>
      </c>
      <c r="K1231" s="1242">
        <v>17.409090909090899</v>
      </c>
      <c r="L1231" s="1244">
        <v>0.48401976538000002</v>
      </c>
    </row>
    <row r="1232" spans="1:12" hidden="1">
      <c r="A1232" s="941">
        <v>16</v>
      </c>
      <c r="B1232" s="1253">
        <v>46125</v>
      </c>
      <c r="C1232" s="1251">
        <v>46131</v>
      </c>
      <c r="D1232" s="1239">
        <v>45</v>
      </c>
      <c r="E1232" s="1239" t="s">
        <v>691</v>
      </c>
      <c r="F1232" s="1239" t="s">
        <v>251</v>
      </c>
      <c r="G1232" s="1239">
        <v>7</v>
      </c>
      <c r="H1232" s="1239">
        <v>7</v>
      </c>
      <c r="I1232" s="1239" t="s">
        <v>670</v>
      </c>
      <c r="J1232" s="1241">
        <v>2.4480519480519498</v>
      </c>
      <c r="K1232" s="1241">
        <v>17.136363636363601</v>
      </c>
      <c r="L1232" s="1243">
        <v>0.47643721457600002</v>
      </c>
    </row>
    <row r="1233" spans="1:12" hidden="1">
      <c r="A1233" s="941">
        <v>16</v>
      </c>
      <c r="B1233" s="1252">
        <v>46125</v>
      </c>
      <c r="C1233" s="1250">
        <v>46131</v>
      </c>
      <c r="D1233" s="1240">
        <v>46</v>
      </c>
      <c r="E1233" s="1240" t="s">
        <v>804</v>
      </c>
      <c r="F1233" s="1240" t="s">
        <v>253</v>
      </c>
      <c r="G1233" s="1240">
        <v>6</v>
      </c>
      <c r="H1233" s="1240">
        <v>6</v>
      </c>
      <c r="I1233" s="1240" t="s">
        <v>670</v>
      </c>
      <c r="J1233" s="1242">
        <v>2.7272727272727302</v>
      </c>
      <c r="K1233" s="1242">
        <v>16.363636363636399</v>
      </c>
      <c r="L1233" s="1244">
        <v>0.45495330367699999</v>
      </c>
    </row>
    <row r="1234" spans="1:12" hidden="1">
      <c r="A1234" s="941">
        <v>16</v>
      </c>
      <c r="B1234" s="1253">
        <v>46125</v>
      </c>
      <c r="C1234" s="1251">
        <v>46131</v>
      </c>
      <c r="D1234" s="1239">
        <v>47</v>
      </c>
      <c r="E1234" s="1239" t="s">
        <v>675</v>
      </c>
      <c r="F1234" s="1239" t="s">
        <v>256</v>
      </c>
      <c r="G1234" s="1239">
        <v>3</v>
      </c>
      <c r="H1234" s="1239">
        <v>3</v>
      </c>
      <c r="I1234" s="1239" t="s">
        <v>670</v>
      </c>
      <c r="J1234" s="1241">
        <v>5</v>
      </c>
      <c r="K1234" s="1241">
        <v>15</v>
      </c>
      <c r="L1234" s="1243">
        <v>0.417040529248</v>
      </c>
    </row>
    <row r="1235" spans="1:12" hidden="1">
      <c r="A1235" s="941">
        <v>16</v>
      </c>
      <c r="B1235" s="1252">
        <v>46125</v>
      </c>
      <c r="C1235" s="1250">
        <v>46131</v>
      </c>
      <c r="D1235" s="1240">
        <v>48</v>
      </c>
      <c r="E1235" s="1240" t="s">
        <v>781</v>
      </c>
      <c r="F1235" s="1240" t="s">
        <v>764</v>
      </c>
      <c r="G1235" s="1240">
        <v>1</v>
      </c>
      <c r="H1235" s="1240">
        <v>1</v>
      </c>
      <c r="I1235" s="1240" t="s">
        <v>670</v>
      </c>
      <c r="J1235" s="1242">
        <v>14.454545454545499</v>
      </c>
      <c r="K1235" s="1242">
        <v>14.454545454545499</v>
      </c>
      <c r="L1235" s="1244">
        <v>0.40187541944600003</v>
      </c>
    </row>
    <row r="1236" spans="1:12" hidden="1">
      <c r="A1236" s="941">
        <v>16</v>
      </c>
      <c r="B1236" s="1253">
        <v>46125</v>
      </c>
      <c r="C1236" s="1251">
        <v>46131</v>
      </c>
      <c r="D1236" s="1239">
        <v>49</v>
      </c>
      <c r="E1236" s="1239" t="s">
        <v>751</v>
      </c>
      <c r="F1236" s="1239" t="s">
        <v>256</v>
      </c>
      <c r="G1236" s="1239">
        <v>3</v>
      </c>
      <c r="H1236" s="1239">
        <v>3</v>
      </c>
      <c r="I1236" s="1239" t="s">
        <v>670</v>
      </c>
      <c r="J1236" s="1241">
        <v>4.7878787878787898</v>
      </c>
      <c r="K1236" s="1241">
        <v>14.363636363636401</v>
      </c>
      <c r="L1236" s="1243">
        <v>0.39934795005000001</v>
      </c>
    </row>
    <row r="1237" spans="1:12" hidden="1">
      <c r="A1237" s="941">
        <v>16</v>
      </c>
      <c r="B1237" s="1252">
        <v>46125</v>
      </c>
      <c r="C1237" s="1250">
        <v>46131</v>
      </c>
      <c r="D1237" s="1240">
        <v>50</v>
      </c>
      <c r="E1237" s="1240" t="s">
        <v>794</v>
      </c>
      <c r="F1237" s="1240" t="s">
        <v>256</v>
      </c>
      <c r="G1237" s="1240">
        <v>2</v>
      </c>
      <c r="H1237" s="1240">
        <v>2</v>
      </c>
      <c r="I1237" s="1240" t="s">
        <v>670</v>
      </c>
      <c r="J1237" s="1242">
        <v>6.9318181818181799</v>
      </c>
      <c r="K1237" s="1242">
        <v>13.863636363636401</v>
      </c>
      <c r="L1237" s="1244">
        <v>0.38544654953500002</v>
      </c>
    </row>
    <row r="1238" spans="1:12" hidden="1">
      <c r="A1238" s="941">
        <v>16</v>
      </c>
      <c r="B1238" s="1253">
        <v>46125</v>
      </c>
      <c r="C1238" s="1251">
        <v>46131</v>
      </c>
      <c r="D1238" s="1239">
        <v>51</v>
      </c>
      <c r="E1238" s="1239" t="s">
        <v>687</v>
      </c>
      <c r="F1238" s="1239" t="s">
        <v>253</v>
      </c>
      <c r="G1238" s="1239">
        <v>4</v>
      </c>
      <c r="H1238" s="1239">
        <v>4</v>
      </c>
      <c r="I1238" s="1239" t="s">
        <v>670</v>
      </c>
      <c r="J1238" s="1241">
        <v>2.9204545454545499</v>
      </c>
      <c r="K1238" s="1241">
        <v>11.681818181818199</v>
      </c>
      <c r="L1238" s="1243">
        <v>0.32478610915700001</v>
      </c>
    </row>
    <row r="1239" spans="1:12" hidden="1">
      <c r="A1239" s="941">
        <v>16</v>
      </c>
      <c r="B1239" s="1252">
        <v>46125</v>
      </c>
      <c r="C1239" s="1250">
        <v>46131</v>
      </c>
      <c r="D1239" s="1240">
        <v>52</v>
      </c>
      <c r="E1239" s="1240" t="s">
        <v>703</v>
      </c>
      <c r="F1239" s="1240" t="s">
        <v>256</v>
      </c>
      <c r="G1239" s="1240">
        <v>6</v>
      </c>
      <c r="H1239" s="1240">
        <v>6</v>
      </c>
      <c r="I1239" s="1240" t="s">
        <v>670</v>
      </c>
      <c r="J1239" s="1242">
        <v>1.85606060606061</v>
      </c>
      <c r="K1239" s="1242">
        <v>11.136363636363599</v>
      </c>
      <c r="L1239" s="1244">
        <v>0.30962099935499998</v>
      </c>
    </row>
    <row r="1240" spans="1:12" hidden="1">
      <c r="A1240" s="941">
        <v>16</v>
      </c>
      <c r="B1240" s="1253">
        <v>46125</v>
      </c>
      <c r="C1240" s="1251">
        <v>46131</v>
      </c>
      <c r="D1240" s="1239">
        <v>53</v>
      </c>
      <c r="E1240" s="1239" t="s">
        <v>694</v>
      </c>
      <c r="F1240" s="1239" t="s">
        <v>695</v>
      </c>
      <c r="G1240" s="1239">
        <v>3</v>
      </c>
      <c r="H1240" s="1239">
        <v>3</v>
      </c>
      <c r="I1240" s="1239" t="s">
        <v>670</v>
      </c>
      <c r="J1240" s="1241">
        <v>3.6363636363636398</v>
      </c>
      <c r="K1240" s="1241">
        <v>10.909090909090899</v>
      </c>
      <c r="L1240" s="1243">
        <v>0.30330220275600001</v>
      </c>
    </row>
    <row r="1241" spans="1:12" hidden="1">
      <c r="A1241" s="941">
        <v>16</v>
      </c>
      <c r="B1241" s="1252">
        <v>46125</v>
      </c>
      <c r="C1241" s="1250">
        <v>46131</v>
      </c>
      <c r="D1241" s="1240">
        <v>54</v>
      </c>
      <c r="E1241" s="1240" t="s">
        <v>780</v>
      </c>
      <c r="F1241" s="1240" t="s">
        <v>268</v>
      </c>
      <c r="G1241" s="1240">
        <v>8</v>
      </c>
      <c r="H1241" s="1240">
        <v>8</v>
      </c>
      <c r="I1241" s="1240" t="s">
        <v>670</v>
      </c>
      <c r="J1241" s="1242">
        <v>1.36363636363636</v>
      </c>
      <c r="K1241" s="1242">
        <v>10.909090909090899</v>
      </c>
      <c r="L1241" s="1244">
        <v>0.30330220275600001</v>
      </c>
    </row>
    <row r="1242" spans="1:12" hidden="1">
      <c r="A1242" s="941">
        <v>16</v>
      </c>
      <c r="B1242" s="1253">
        <v>46125</v>
      </c>
      <c r="C1242" s="1251">
        <v>46131</v>
      </c>
      <c r="D1242" s="1239">
        <v>55</v>
      </c>
      <c r="E1242" s="1239" t="s">
        <v>746</v>
      </c>
      <c r="F1242" s="1239" t="s">
        <v>251</v>
      </c>
      <c r="G1242" s="1239">
        <v>5</v>
      </c>
      <c r="H1242" s="1239">
        <v>5</v>
      </c>
      <c r="I1242" s="1239" t="s">
        <v>670</v>
      </c>
      <c r="J1242" s="1241">
        <v>2.16363636363636</v>
      </c>
      <c r="K1242" s="1241">
        <v>10.818181818181801</v>
      </c>
      <c r="L1242" s="1243">
        <v>0.30077468441600003</v>
      </c>
    </row>
    <row r="1243" spans="1:12" hidden="1">
      <c r="A1243" s="941">
        <v>16</v>
      </c>
      <c r="B1243" s="1252">
        <v>46125</v>
      </c>
      <c r="C1243" s="1250">
        <v>46131</v>
      </c>
      <c r="D1243" s="1240">
        <v>56</v>
      </c>
      <c r="E1243" s="1240" t="s">
        <v>708</v>
      </c>
      <c r="F1243" s="1240" t="s">
        <v>251</v>
      </c>
      <c r="G1243" s="1240">
        <v>6</v>
      </c>
      <c r="H1243" s="1240">
        <v>6</v>
      </c>
      <c r="I1243" s="1240" t="s">
        <v>670</v>
      </c>
      <c r="J1243" s="1242">
        <v>1.77272727272727</v>
      </c>
      <c r="K1243" s="1242">
        <v>10.636363636363599</v>
      </c>
      <c r="L1243" s="1244">
        <v>0.29571964847600002</v>
      </c>
    </row>
    <row r="1244" spans="1:12" hidden="1">
      <c r="A1244" s="941">
        <v>16</v>
      </c>
      <c r="B1244" s="1253">
        <v>46125</v>
      </c>
      <c r="C1244" s="1251">
        <v>46131</v>
      </c>
      <c r="D1244" s="1239">
        <v>57</v>
      </c>
      <c r="E1244" s="1239" t="s">
        <v>769</v>
      </c>
      <c r="F1244" s="1239" t="s">
        <v>730</v>
      </c>
      <c r="G1244" s="1239">
        <v>2</v>
      </c>
      <c r="H1244" s="1239">
        <v>2</v>
      </c>
      <c r="I1244" s="1239" t="s">
        <v>670</v>
      </c>
      <c r="J1244" s="1241">
        <v>4.9090909090909101</v>
      </c>
      <c r="K1244" s="1241">
        <v>9.8181818181818201</v>
      </c>
      <c r="L1244" s="1243">
        <v>0.27297198207700002</v>
      </c>
    </row>
    <row r="1245" spans="1:12" hidden="1">
      <c r="A1245" s="941">
        <v>16</v>
      </c>
      <c r="B1245" s="1252">
        <v>46125</v>
      </c>
      <c r="C1245" s="1250">
        <v>46131</v>
      </c>
      <c r="D1245" s="1240">
        <v>58</v>
      </c>
      <c r="E1245" s="1240" t="s">
        <v>842</v>
      </c>
      <c r="F1245" s="1240" t="s">
        <v>713</v>
      </c>
      <c r="G1245" s="1240">
        <v>2</v>
      </c>
      <c r="H1245" s="1240">
        <v>2</v>
      </c>
      <c r="I1245" s="1240" t="s">
        <v>670</v>
      </c>
      <c r="J1245" s="1242">
        <v>4.6363636363636402</v>
      </c>
      <c r="K1245" s="1242">
        <v>9.2727272727272698</v>
      </c>
      <c r="L1245" s="1244">
        <v>0.25780687227499999</v>
      </c>
    </row>
    <row r="1246" spans="1:12" hidden="1">
      <c r="A1246" s="941">
        <v>16</v>
      </c>
      <c r="B1246" s="1253">
        <v>46125</v>
      </c>
      <c r="C1246" s="1251">
        <v>46131</v>
      </c>
      <c r="D1246" s="1239">
        <v>59</v>
      </c>
      <c r="E1246" s="1239" t="s">
        <v>792</v>
      </c>
      <c r="F1246" s="1239" t="s">
        <v>256</v>
      </c>
      <c r="G1246" s="1239">
        <v>2</v>
      </c>
      <c r="H1246" s="1239">
        <v>2</v>
      </c>
      <c r="I1246" s="1239" t="s">
        <v>670</v>
      </c>
      <c r="J1246" s="1241">
        <v>4.5454545454545503</v>
      </c>
      <c r="K1246" s="1241">
        <v>9.0909090909090899</v>
      </c>
      <c r="L1246" s="1243">
        <v>0.25275183633499998</v>
      </c>
    </row>
    <row r="1247" spans="1:12" hidden="1">
      <c r="A1247" s="941">
        <v>16</v>
      </c>
      <c r="B1247" s="1252">
        <v>46125</v>
      </c>
      <c r="C1247" s="1250">
        <v>46131</v>
      </c>
      <c r="D1247" s="1240">
        <v>60</v>
      </c>
      <c r="E1247" s="1240" t="s">
        <v>802</v>
      </c>
      <c r="F1247" s="1240" t="s">
        <v>713</v>
      </c>
      <c r="G1247" s="1240">
        <v>2</v>
      </c>
      <c r="H1247" s="1240">
        <v>2</v>
      </c>
      <c r="I1247" s="1240" t="s">
        <v>670</v>
      </c>
      <c r="J1247" s="1242">
        <v>4.1818181818181799</v>
      </c>
      <c r="K1247" s="1242">
        <v>8.3636363636363598</v>
      </c>
      <c r="L1247" s="1244">
        <v>0.23253168913700001</v>
      </c>
    </row>
    <row r="1248" spans="1:12" hidden="1">
      <c r="A1248" s="941">
        <v>16</v>
      </c>
      <c r="B1248" s="1253">
        <v>46125</v>
      </c>
      <c r="C1248" s="1251">
        <v>46131</v>
      </c>
      <c r="D1248" s="1239">
        <v>61</v>
      </c>
      <c r="E1248" s="1239" t="s">
        <v>742</v>
      </c>
      <c r="F1248" s="1239" t="s">
        <v>251</v>
      </c>
      <c r="G1248" s="1239">
        <v>3</v>
      </c>
      <c r="H1248" s="1239">
        <v>3</v>
      </c>
      <c r="I1248" s="1239" t="s">
        <v>670</v>
      </c>
      <c r="J1248" s="1241">
        <v>2.5</v>
      </c>
      <c r="K1248" s="1241">
        <v>7.5</v>
      </c>
      <c r="L1248" s="1243">
        <v>0.208520264624</v>
      </c>
    </row>
    <row r="1249" spans="1:12" hidden="1">
      <c r="A1249" s="941">
        <v>16</v>
      </c>
      <c r="B1249" s="1252">
        <v>46125</v>
      </c>
      <c r="C1249" s="1250">
        <v>46131</v>
      </c>
      <c r="D1249" s="1240">
        <v>62</v>
      </c>
      <c r="E1249" s="1240" t="s">
        <v>828</v>
      </c>
      <c r="F1249" s="1240" t="s">
        <v>820</v>
      </c>
      <c r="G1249" s="1240">
        <v>1</v>
      </c>
      <c r="H1249" s="1240">
        <v>1</v>
      </c>
      <c r="I1249" s="1240" t="s">
        <v>670</v>
      </c>
      <c r="J1249" s="1242">
        <v>7.4090909090909101</v>
      </c>
      <c r="K1249" s="1242">
        <v>7.4090909090909101</v>
      </c>
      <c r="L1249" s="1244">
        <v>0.20599274628399999</v>
      </c>
    </row>
    <row r="1250" spans="1:12" hidden="1">
      <c r="A1250" s="941">
        <v>16</v>
      </c>
      <c r="B1250" s="1253">
        <v>46125</v>
      </c>
      <c r="C1250" s="1251">
        <v>46131</v>
      </c>
      <c r="D1250" s="1239">
        <v>63</v>
      </c>
      <c r="E1250" s="1239" t="s">
        <v>797</v>
      </c>
      <c r="F1250" s="1239" t="s">
        <v>253</v>
      </c>
      <c r="G1250" s="1239">
        <v>2</v>
      </c>
      <c r="H1250" s="1239">
        <v>2</v>
      </c>
      <c r="I1250" s="1239" t="s">
        <v>670</v>
      </c>
      <c r="J1250" s="1241">
        <v>3.25</v>
      </c>
      <c r="K1250" s="1241">
        <v>6.5</v>
      </c>
      <c r="L1250" s="1243">
        <v>0.180717562341</v>
      </c>
    </row>
    <row r="1251" spans="1:12" hidden="1">
      <c r="A1251" s="941">
        <v>16</v>
      </c>
      <c r="B1251" s="1252">
        <v>46125</v>
      </c>
      <c r="C1251" s="1250">
        <v>46131</v>
      </c>
      <c r="D1251" s="1240">
        <v>64</v>
      </c>
      <c r="E1251" s="1240" t="s">
        <v>709</v>
      </c>
      <c r="F1251" s="1240" t="s">
        <v>276</v>
      </c>
      <c r="G1251" s="1240">
        <v>2</v>
      </c>
      <c r="H1251" s="1240">
        <v>2</v>
      </c>
      <c r="I1251" s="1240" t="s">
        <v>672</v>
      </c>
      <c r="J1251" s="1242">
        <v>3.2272727272727302</v>
      </c>
      <c r="K1251" s="1242">
        <v>6.4545454545454497</v>
      </c>
      <c r="L1251" s="1244">
        <v>0.17945380374100001</v>
      </c>
    </row>
    <row r="1252" spans="1:12" hidden="1">
      <c r="A1252" s="941">
        <v>16</v>
      </c>
      <c r="B1252" s="1253">
        <v>46125</v>
      </c>
      <c r="C1252" s="1251">
        <v>46131</v>
      </c>
      <c r="D1252" s="1239">
        <v>65</v>
      </c>
      <c r="E1252" s="1239" t="s">
        <v>752</v>
      </c>
      <c r="F1252" s="1239" t="s">
        <v>264</v>
      </c>
      <c r="G1252" s="1239">
        <v>4</v>
      </c>
      <c r="H1252" s="1239">
        <v>4</v>
      </c>
      <c r="I1252" s="1239" t="s">
        <v>670</v>
      </c>
      <c r="J1252" s="1241">
        <v>1.52272727272727</v>
      </c>
      <c r="K1252" s="1241">
        <v>6.0909090909090899</v>
      </c>
      <c r="L1252" s="1243">
        <v>0.169343729661</v>
      </c>
    </row>
    <row r="1253" spans="1:12" hidden="1">
      <c r="A1253" s="941">
        <v>16</v>
      </c>
      <c r="B1253" s="1252">
        <v>46125</v>
      </c>
      <c r="C1253" s="1250">
        <v>46131</v>
      </c>
      <c r="D1253" s="1240">
        <v>66</v>
      </c>
      <c r="E1253" s="1240" t="s">
        <v>671</v>
      </c>
      <c r="F1253" s="1240" t="s">
        <v>276</v>
      </c>
      <c r="G1253" s="1240">
        <v>2</v>
      </c>
      <c r="H1253" s="1240">
        <v>2</v>
      </c>
      <c r="I1253" s="1240" t="s">
        <v>672</v>
      </c>
      <c r="J1253" s="1242">
        <v>3</v>
      </c>
      <c r="K1253" s="1242">
        <v>6</v>
      </c>
      <c r="L1253" s="1244">
        <v>0.16681621262099999</v>
      </c>
    </row>
    <row r="1254" spans="1:12" hidden="1">
      <c r="A1254" s="941">
        <v>16</v>
      </c>
      <c r="B1254" s="1253">
        <v>46125</v>
      </c>
      <c r="C1254" s="1251">
        <v>46131</v>
      </c>
      <c r="D1254" s="1239">
        <v>67</v>
      </c>
      <c r="E1254" s="1239" t="s">
        <v>755</v>
      </c>
      <c r="F1254" s="1239" t="s">
        <v>251</v>
      </c>
      <c r="G1254" s="1239">
        <v>2</v>
      </c>
      <c r="H1254" s="1239">
        <v>2</v>
      </c>
      <c r="I1254" s="1239" t="s">
        <v>670</v>
      </c>
      <c r="J1254" s="1241">
        <v>2.5454545454545499</v>
      </c>
      <c r="K1254" s="1241">
        <v>5.0909090909090899</v>
      </c>
      <c r="L1254" s="1243">
        <v>0.14154102826199999</v>
      </c>
    </row>
    <row r="1255" spans="1:12" hidden="1">
      <c r="A1255" s="941">
        <v>16</v>
      </c>
      <c r="B1255" s="1252">
        <v>46125</v>
      </c>
      <c r="C1255" s="1250">
        <v>46131</v>
      </c>
      <c r="D1255" s="1240">
        <v>68</v>
      </c>
      <c r="E1255" s="1240" t="s">
        <v>774</v>
      </c>
      <c r="F1255" s="1240" t="s">
        <v>730</v>
      </c>
      <c r="G1255" s="1240">
        <v>1</v>
      </c>
      <c r="H1255" s="1240">
        <v>1</v>
      </c>
      <c r="I1255" s="1240" t="s">
        <v>670</v>
      </c>
      <c r="J1255" s="1242">
        <v>4.9090909090909101</v>
      </c>
      <c r="K1255" s="1242">
        <v>4.9090909090909101</v>
      </c>
      <c r="L1255" s="1244">
        <v>0.136485991222</v>
      </c>
    </row>
    <row r="1256" spans="1:12" hidden="1">
      <c r="A1256" s="941">
        <v>16</v>
      </c>
      <c r="B1256" s="1253">
        <v>46125</v>
      </c>
      <c r="C1256" s="1251">
        <v>46131</v>
      </c>
      <c r="D1256" s="1239">
        <v>69</v>
      </c>
      <c r="E1256" s="1239" t="s">
        <v>814</v>
      </c>
      <c r="F1256" s="1239" t="s">
        <v>815</v>
      </c>
      <c r="G1256" s="1239">
        <v>1</v>
      </c>
      <c r="H1256" s="1239">
        <v>1</v>
      </c>
      <c r="I1256" s="1239" t="s">
        <v>670</v>
      </c>
      <c r="J1256" s="1241">
        <v>4.9090909090909101</v>
      </c>
      <c r="K1256" s="1241">
        <v>4.9090909090909101</v>
      </c>
      <c r="L1256" s="1243">
        <v>0.136485991222</v>
      </c>
    </row>
    <row r="1257" spans="1:12" hidden="1">
      <c r="A1257" s="941">
        <v>16</v>
      </c>
      <c r="B1257" s="1252">
        <v>46125</v>
      </c>
      <c r="C1257" s="1250">
        <v>46131</v>
      </c>
      <c r="D1257" s="1240">
        <v>70</v>
      </c>
      <c r="E1257" s="1240" t="s">
        <v>720</v>
      </c>
      <c r="F1257" s="1240" t="s">
        <v>251</v>
      </c>
      <c r="G1257" s="1240">
        <v>2</v>
      </c>
      <c r="H1257" s="1240">
        <v>2</v>
      </c>
      <c r="I1257" s="1240" t="s">
        <v>670</v>
      </c>
      <c r="J1257" s="1242">
        <v>2.4090909090909101</v>
      </c>
      <c r="K1257" s="1242">
        <v>4.8181818181818201</v>
      </c>
      <c r="L1257" s="1244">
        <v>0.133958472882</v>
      </c>
    </row>
    <row r="1258" spans="1:12" hidden="1">
      <c r="A1258" s="941">
        <v>16</v>
      </c>
      <c r="B1258" s="1253">
        <v>46125</v>
      </c>
      <c r="C1258" s="1251">
        <v>46131</v>
      </c>
      <c r="D1258" s="1239">
        <v>71</v>
      </c>
      <c r="E1258" s="1239" t="s">
        <v>677</v>
      </c>
      <c r="F1258" s="1239" t="s">
        <v>249</v>
      </c>
      <c r="G1258" s="1239">
        <v>3</v>
      </c>
      <c r="H1258" s="1239">
        <v>3</v>
      </c>
      <c r="I1258" s="1239" t="s">
        <v>670</v>
      </c>
      <c r="J1258" s="1241">
        <v>1.1818181818181801</v>
      </c>
      <c r="K1258" s="1241">
        <v>3.5454545454545499</v>
      </c>
      <c r="L1258" s="1243">
        <v>9.8573216722999998E-2</v>
      </c>
    </row>
    <row r="1259" spans="1:12" hidden="1">
      <c r="A1259" s="941">
        <v>16</v>
      </c>
      <c r="B1259" s="1252">
        <v>46125</v>
      </c>
      <c r="C1259" s="1250">
        <v>46131</v>
      </c>
      <c r="D1259" s="1240">
        <v>72</v>
      </c>
      <c r="E1259" s="1240" t="s">
        <v>765</v>
      </c>
      <c r="F1259" s="1240" t="s">
        <v>256</v>
      </c>
      <c r="G1259" s="1240">
        <v>1</v>
      </c>
      <c r="H1259" s="1240">
        <v>1</v>
      </c>
      <c r="I1259" s="1240" t="s">
        <v>670</v>
      </c>
      <c r="J1259" s="1242">
        <v>3.5</v>
      </c>
      <c r="K1259" s="1242">
        <v>3.5</v>
      </c>
      <c r="L1259" s="1244">
        <v>9.7309456958000001E-2</v>
      </c>
    </row>
    <row r="1260" spans="1:12" hidden="1">
      <c r="A1260" s="941">
        <v>16</v>
      </c>
      <c r="B1260" s="1253">
        <v>46125</v>
      </c>
      <c r="C1260" s="1251">
        <v>46131</v>
      </c>
      <c r="D1260" s="1239">
        <v>73</v>
      </c>
      <c r="E1260" s="1239" t="s">
        <v>843</v>
      </c>
      <c r="F1260" s="1239" t="s">
        <v>249</v>
      </c>
      <c r="G1260" s="1239">
        <v>1</v>
      </c>
      <c r="H1260" s="1239">
        <v>1</v>
      </c>
      <c r="I1260" s="1239" t="s">
        <v>670</v>
      </c>
      <c r="J1260" s="1241">
        <v>3.2727272727272698</v>
      </c>
      <c r="K1260" s="1241">
        <v>3.2727272727272698</v>
      </c>
      <c r="L1260" s="1243">
        <v>9.0990661358999997E-2</v>
      </c>
    </row>
    <row r="1261" spans="1:12" hidden="1">
      <c r="A1261" s="941">
        <v>16</v>
      </c>
      <c r="B1261" s="1252">
        <v>46125</v>
      </c>
      <c r="C1261" s="1250">
        <v>46131</v>
      </c>
      <c r="D1261" s="1240">
        <v>74</v>
      </c>
      <c r="E1261" s="1240" t="s">
        <v>844</v>
      </c>
      <c r="F1261" s="1240" t="s">
        <v>713</v>
      </c>
      <c r="G1261" s="1240">
        <v>1</v>
      </c>
      <c r="H1261" s="1240">
        <v>1</v>
      </c>
      <c r="I1261" s="1240" t="s">
        <v>670</v>
      </c>
      <c r="J1261" s="1242">
        <v>3.1818181818181799</v>
      </c>
      <c r="K1261" s="1242">
        <v>3.1818181818181799</v>
      </c>
      <c r="L1261" s="1244">
        <v>8.8463142758999996E-2</v>
      </c>
    </row>
    <row r="1262" spans="1:12" hidden="1">
      <c r="A1262" s="941">
        <v>16</v>
      </c>
      <c r="B1262" s="1253">
        <v>46125</v>
      </c>
      <c r="C1262" s="1251">
        <v>46131</v>
      </c>
      <c r="D1262" s="1239">
        <v>75</v>
      </c>
      <c r="E1262" s="1239" t="s">
        <v>723</v>
      </c>
      <c r="F1262" s="1239" t="s">
        <v>713</v>
      </c>
      <c r="G1262" s="1239">
        <v>1</v>
      </c>
      <c r="H1262" s="1239">
        <v>1</v>
      </c>
      <c r="I1262" s="1239" t="s">
        <v>670</v>
      </c>
      <c r="J1262" s="1241">
        <v>2.8181818181818201</v>
      </c>
      <c r="K1262" s="1241">
        <v>2.8181818181818201</v>
      </c>
      <c r="L1262" s="1243">
        <v>7.8353069558999996E-2</v>
      </c>
    </row>
    <row r="1263" spans="1:12" hidden="1">
      <c r="A1263" s="941">
        <v>16</v>
      </c>
      <c r="B1263" s="1252">
        <v>46125</v>
      </c>
      <c r="C1263" s="1250">
        <v>46131</v>
      </c>
      <c r="D1263" s="1240">
        <v>76</v>
      </c>
      <c r="E1263" s="1240" t="s">
        <v>690</v>
      </c>
      <c r="F1263" s="1240" t="s">
        <v>275</v>
      </c>
      <c r="G1263" s="1240">
        <v>1</v>
      </c>
      <c r="H1263" s="1240">
        <v>1</v>
      </c>
      <c r="I1263" s="1240" t="s">
        <v>670</v>
      </c>
      <c r="J1263" s="1242">
        <v>2.7272727272727302</v>
      </c>
      <c r="K1263" s="1242">
        <v>2.7272727272727302</v>
      </c>
      <c r="L1263" s="1244">
        <v>7.5825551059999996E-2</v>
      </c>
    </row>
    <row r="1264" spans="1:12" hidden="1">
      <c r="A1264" s="941">
        <v>16</v>
      </c>
      <c r="B1264" s="1253">
        <v>46125</v>
      </c>
      <c r="C1264" s="1251">
        <v>46131</v>
      </c>
      <c r="D1264" s="1239">
        <v>77</v>
      </c>
      <c r="E1264" s="1239" t="s">
        <v>807</v>
      </c>
      <c r="F1264" s="1239" t="s">
        <v>253</v>
      </c>
      <c r="G1264" s="1239">
        <v>1</v>
      </c>
      <c r="H1264" s="1239">
        <v>1</v>
      </c>
      <c r="I1264" s="1239" t="s">
        <v>670</v>
      </c>
      <c r="J1264" s="1241">
        <v>2.6818181818181799</v>
      </c>
      <c r="K1264" s="1241">
        <v>2.6818181818181799</v>
      </c>
      <c r="L1264" s="1243">
        <v>7.4561791794999999E-2</v>
      </c>
    </row>
    <row r="1265" spans="1:12" hidden="1">
      <c r="A1265" s="941">
        <v>16</v>
      </c>
      <c r="B1265" s="1252">
        <v>46125</v>
      </c>
      <c r="C1265" s="1250">
        <v>46131</v>
      </c>
      <c r="D1265" s="1240">
        <v>78</v>
      </c>
      <c r="E1265" s="1240" t="s">
        <v>767</v>
      </c>
      <c r="F1265" s="1240" t="s">
        <v>251</v>
      </c>
      <c r="G1265" s="1240">
        <v>1</v>
      </c>
      <c r="H1265" s="1240">
        <v>1</v>
      </c>
      <c r="I1265" s="1240" t="s">
        <v>670</v>
      </c>
      <c r="J1265" s="1242">
        <v>2.6363636363636398</v>
      </c>
      <c r="K1265" s="1242">
        <v>2.6363636363636398</v>
      </c>
      <c r="L1265" s="1244">
        <v>7.3298032530000001E-2</v>
      </c>
    </row>
    <row r="1266" spans="1:12" hidden="1">
      <c r="A1266" s="941">
        <v>16</v>
      </c>
      <c r="B1266" s="1253">
        <v>46125</v>
      </c>
      <c r="C1266" s="1251">
        <v>46131</v>
      </c>
      <c r="D1266" s="1239">
        <v>79</v>
      </c>
      <c r="E1266" s="1239" t="s">
        <v>722</v>
      </c>
      <c r="F1266" s="1239" t="s">
        <v>251</v>
      </c>
      <c r="G1266" s="1239">
        <v>1</v>
      </c>
      <c r="H1266" s="1239">
        <v>1</v>
      </c>
      <c r="I1266" s="1239" t="s">
        <v>670</v>
      </c>
      <c r="J1266" s="1241">
        <v>2.5454545454545499</v>
      </c>
      <c r="K1266" s="1241">
        <v>2.5454545454545499</v>
      </c>
      <c r="L1266" s="1243">
        <v>7.0770513930000001E-2</v>
      </c>
    </row>
    <row r="1267" spans="1:12" hidden="1">
      <c r="A1267" s="941">
        <v>16</v>
      </c>
      <c r="B1267" s="1252">
        <v>46125</v>
      </c>
      <c r="C1267" s="1250">
        <v>46131</v>
      </c>
      <c r="D1267" s="1240">
        <v>80</v>
      </c>
      <c r="E1267" s="1240" t="s">
        <v>740</v>
      </c>
      <c r="F1267" s="1240" t="s">
        <v>264</v>
      </c>
      <c r="G1267" s="1240">
        <v>1</v>
      </c>
      <c r="H1267" s="1240">
        <v>1</v>
      </c>
      <c r="I1267" s="1240" t="s">
        <v>741</v>
      </c>
      <c r="J1267" s="1242">
        <v>2.5</v>
      </c>
      <c r="K1267" s="1242">
        <v>2.5</v>
      </c>
      <c r="L1267" s="1244">
        <v>6.9506754165000004E-2</v>
      </c>
    </row>
    <row r="1268" spans="1:12" hidden="1">
      <c r="A1268" s="941">
        <v>16</v>
      </c>
      <c r="B1268" s="1253">
        <v>46125</v>
      </c>
      <c r="C1268" s="1251">
        <v>46131</v>
      </c>
      <c r="D1268" s="1239">
        <v>81</v>
      </c>
      <c r="E1268" s="1239" t="s">
        <v>756</v>
      </c>
      <c r="F1268" s="1239" t="s">
        <v>251</v>
      </c>
      <c r="G1268" s="1239">
        <v>1</v>
      </c>
      <c r="H1268" s="1239">
        <v>1</v>
      </c>
      <c r="I1268" s="1239" t="s">
        <v>670</v>
      </c>
      <c r="J1268" s="1241">
        <v>2.2727272727272698</v>
      </c>
      <c r="K1268" s="1241">
        <v>2.2727272727272698</v>
      </c>
      <c r="L1268" s="1243">
        <v>6.3187959565999999E-2</v>
      </c>
    </row>
    <row r="1269" spans="1:12" hidden="1">
      <c r="A1269" s="941">
        <v>16</v>
      </c>
      <c r="B1269" s="1252">
        <v>46125</v>
      </c>
      <c r="C1269" s="1250">
        <v>46131</v>
      </c>
      <c r="D1269" s="1240">
        <v>82</v>
      </c>
      <c r="E1269" s="1240" t="s">
        <v>736</v>
      </c>
      <c r="F1269" s="1240" t="s">
        <v>251</v>
      </c>
      <c r="G1269" s="1240">
        <v>1</v>
      </c>
      <c r="H1269" s="1240">
        <v>1</v>
      </c>
      <c r="I1269" s="1240" t="s">
        <v>670</v>
      </c>
      <c r="J1269" s="1242">
        <v>2.2272727272727302</v>
      </c>
      <c r="K1269" s="1242">
        <v>2.2272727272727302</v>
      </c>
      <c r="L1269" s="1244">
        <v>6.1924200301000001E-2</v>
      </c>
    </row>
    <row r="1270" spans="1:12" hidden="1">
      <c r="A1270" s="941">
        <v>16</v>
      </c>
      <c r="B1270" s="1253">
        <v>46125</v>
      </c>
      <c r="C1270" s="1251">
        <v>46131</v>
      </c>
      <c r="D1270" s="1239">
        <v>83</v>
      </c>
      <c r="E1270" s="1239" t="s">
        <v>737</v>
      </c>
      <c r="F1270" s="1239" t="s">
        <v>249</v>
      </c>
      <c r="G1270" s="1239">
        <v>1</v>
      </c>
      <c r="H1270" s="1239">
        <v>1</v>
      </c>
      <c r="I1270" s="1239" t="s">
        <v>670</v>
      </c>
      <c r="J1270" s="1241">
        <v>1.5454545454545501</v>
      </c>
      <c r="K1270" s="1241">
        <v>1.5454545454545501</v>
      </c>
      <c r="L1270" s="1243">
        <v>4.2967812102999998E-2</v>
      </c>
    </row>
    <row r="1271" spans="1:12" hidden="1">
      <c r="A1271" s="941">
        <v>16</v>
      </c>
      <c r="B1271" s="1252">
        <v>46125</v>
      </c>
      <c r="C1271" s="1250">
        <v>46131</v>
      </c>
      <c r="D1271" s="1240">
        <v>84</v>
      </c>
      <c r="E1271" s="1240" t="s">
        <v>845</v>
      </c>
      <c r="F1271" s="1240" t="s">
        <v>264</v>
      </c>
      <c r="G1271" s="1240">
        <v>1</v>
      </c>
      <c r="H1271" s="1240">
        <v>1</v>
      </c>
      <c r="I1271" s="1240" t="s">
        <v>670</v>
      </c>
      <c r="J1271" s="1242">
        <v>0.90909090909090895</v>
      </c>
      <c r="K1271" s="1242">
        <v>0.90909090909090895</v>
      </c>
      <c r="L1271" s="1244">
        <v>2.527518359E-2</v>
      </c>
    </row>
    <row r="1272" spans="1:12" hidden="1">
      <c r="A1272" s="941">
        <v>16</v>
      </c>
      <c r="B1272" s="1253">
        <v>46125</v>
      </c>
      <c r="C1272" s="1251">
        <v>46131</v>
      </c>
      <c r="D1272" s="1239">
        <v>85</v>
      </c>
      <c r="E1272" s="1239" t="s">
        <v>681</v>
      </c>
      <c r="F1272" s="1239" t="s">
        <v>282</v>
      </c>
      <c r="G1272" s="1239">
        <v>12</v>
      </c>
      <c r="H1272" s="1239">
        <v>12</v>
      </c>
      <c r="I1272" s="1239" t="s">
        <v>672</v>
      </c>
      <c r="J1272" s="1241">
        <v>4.5454545454544998E-2</v>
      </c>
      <c r="K1272" s="1241">
        <v>0.54545454545454497</v>
      </c>
      <c r="L1272" s="1243">
        <v>1.5165110153999999E-2</v>
      </c>
    </row>
    <row r="1273" spans="1:12" hidden="1">
      <c r="A1273" s="941">
        <v>16</v>
      </c>
      <c r="B1273" s="1252">
        <v>46125</v>
      </c>
      <c r="C1273" s="1250">
        <v>46131</v>
      </c>
      <c r="D1273" s="1240">
        <v>86</v>
      </c>
      <c r="E1273" s="1240" t="s">
        <v>782</v>
      </c>
      <c r="F1273" s="1240" t="s">
        <v>323</v>
      </c>
      <c r="G1273" s="1240">
        <v>17</v>
      </c>
      <c r="H1273" s="1240">
        <v>17</v>
      </c>
      <c r="I1273" s="1240" t="s">
        <v>670</v>
      </c>
      <c r="J1273" s="1242">
        <v>0</v>
      </c>
      <c r="K1273" s="1242">
        <v>0</v>
      </c>
      <c r="L1273" s="1244">
        <v>0</v>
      </c>
    </row>
    <row r="1274" spans="1:12" hidden="1">
      <c r="A1274" s="941">
        <v>16</v>
      </c>
      <c r="B1274" s="1253">
        <v>46125</v>
      </c>
      <c r="C1274" s="1251">
        <v>46131</v>
      </c>
      <c r="D1274" s="1239">
        <v>87</v>
      </c>
      <c r="E1274" s="1239" t="s">
        <v>711</v>
      </c>
      <c r="F1274" s="1239" t="s">
        <v>251</v>
      </c>
      <c r="G1274" s="1239">
        <v>3</v>
      </c>
      <c r="H1274" s="1239">
        <v>3</v>
      </c>
      <c r="I1274" s="1239" t="s">
        <v>670</v>
      </c>
      <c r="J1274" s="1241">
        <v>0</v>
      </c>
      <c r="K1274" s="1241">
        <v>0</v>
      </c>
      <c r="L1274" s="1243">
        <v>0</v>
      </c>
    </row>
    <row r="1275" spans="1:12" hidden="1">
      <c r="A1275" s="941">
        <v>16</v>
      </c>
      <c r="B1275" s="1252">
        <v>46125</v>
      </c>
      <c r="C1275" s="1250">
        <v>46131</v>
      </c>
      <c r="D1275" s="1240">
        <v>88</v>
      </c>
      <c r="E1275" s="1240" t="s">
        <v>716</v>
      </c>
      <c r="F1275" s="1240" t="s">
        <v>251</v>
      </c>
      <c r="G1275" s="1240">
        <v>15</v>
      </c>
      <c r="H1275" s="1240">
        <v>15</v>
      </c>
      <c r="I1275" s="1240" t="s">
        <v>670</v>
      </c>
      <c r="J1275" s="1242">
        <v>0</v>
      </c>
      <c r="K1275" s="1242">
        <v>0</v>
      </c>
      <c r="L1275" s="1244">
        <v>0</v>
      </c>
    </row>
    <row r="1276" spans="1:12" hidden="1">
      <c r="A1276" s="941">
        <v>16</v>
      </c>
      <c r="B1276" s="1253">
        <v>46125</v>
      </c>
      <c r="C1276" s="1251">
        <v>46131</v>
      </c>
      <c r="D1276" s="1239">
        <v>89</v>
      </c>
      <c r="E1276" s="1239" t="s">
        <v>760</v>
      </c>
      <c r="F1276" s="1239" t="s">
        <v>253</v>
      </c>
      <c r="G1276" s="1239">
        <v>3</v>
      </c>
      <c r="H1276" s="1239">
        <v>3</v>
      </c>
      <c r="I1276" s="1239" t="s">
        <v>672</v>
      </c>
      <c r="J1276" s="1241">
        <v>0</v>
      </c>
      <c r="K1276" s="1241">
        <v>0</v>
      </c>
      <c r="L1276" s="1243">
        <v>0</v>
      </c>
    </row>
    <row r="1277" spans="1:12" hidden="1">
      <c r="A1277" s="941">
        <v>16</v>
      </c>
      <c r="B1277" s="1252">
        <v>46125</v>
      </c>
      <c r="C1277" s="1250">
        <v>46131</v>
      </c>
      <c r="D1277" s="1240">
        <v>90</v>
      </c>
      <c r="E1277" s="1240" t="s">
        <v>699</v>
      </c>
      <c r="F1277" s="1240" t="s">
        <v>249</v>
      </c>
      <c r="G1277" s="1240">
        <v>1</v>
      </c>
      <c r="H1277" s="1240">
        <v>1</v>
      </c>
      <c r="I1277" s="1240" t="s">
        <v>670</v>
      </c>
      <c r="J1277" s="1242">
        <v>0</v>
      </c>
      <c r="K1277" s="1242">
        <v>0</v>
      </c>
      <c r="L1277" s="1244">
        <v>0</v>
      </c>
    </row>
    <row r="1278" spans="1:12">
      <c r="A1278" s="941">
        <v>16</v>
      </c>
      <c r="B1278" s="1253">
        <v>46125</v>
      </c>
      <c r="C1278" s="1251">
        <v>46131</v>
      </c>
      <c r="D1278" s="1239">
        <v>91</v>
      </c>
      <c r="E1278" s="1239" t="s">
        <v>806</v>
      </c>
      <c r="F1278" s="1239" t="s">
        <v>256</v>
      </c>
      <c r="G1278" s="1239">
        <v>12</v>
      </c>
      <c r="H1278" s="1239">
        <v>12</v>
      </c>
      <c r="I1278" s="1239" t="s">
        <v>670</v>
      </c>
      <c r="J1278" s="1241">
        <v>-0.14393939393939401</v>
      </c>
      <c r="K1278" s="1241">
        <v>-1.72727272727273</v>
      </c>
      <c r="L1278" s="1243">
        <v>-4.8022848965000003E-2</v>
      </c>
    </row>
    <row r="1279" spans="1:12" hidden="1">
      <c r="A1279" s="1260">
        <v>17</v>
      </c>
      <c r="B1279" s="1254">
        <v>46132</v>
      </c>
      <c r="C1279" s="1255">
        <v>46138</v>
      </c>
      <c r="D1279" s="933">
        <v>1</v>
      </c>
      <c r="E1279" s="933" t="s">
        <v>262</v>
      </c>
      <c r="F1279" s="933" t="s">
        <v>256</v>
      </c>
      <c r="G1279" s="933">
        <v>30</v>
      </c>
      <c r="H1279" s="933">
        <v>30</v>
      </c>
      <c r="I1279" s="933" t="s">
        <v>670</v>
      </c>
      <c r="J1279" s="934">
        <v>10.90909091</v>
      </c>
      <c r="K1279" s="934">
        <v>327.27272729999999</v>
      </c>
      <c r="L1279" s="938"/>
    </row>
    <row r="1280" spans="1:12" hidden="1">
      <c r="A1280" s="1260">
        <v>17</v>
      </c>
      <c r="B1280" s="1254">
        <v>46132</v>
      </c>
      <c r="C1280" s="1255">
        <v>46138</v>
      </c>
      <c r="D1280" s="933">
        <v>2</v>
      </c>
      <c r="E1280" s="933" t="s">
        <v>255</v>
      </c>
      <c r="F1280" s="933" t="s">
        <v>256</v>
      </c>
      <c r="G1280" s="933">
        <v>47</v>
      </c>
      <c r="H1280" s="933">
        <v>47</v>
      </c>
      <c r="I1280" s="933" t="s">
        <v>670</v>
      </c>
      <c r="J1280" s="934">
        <v>5.2117988390000001</v>
      </c>
      <c r="K1280" s="934">
        <v>244.95454549999999</v>
      </c>
      <c r="L1280" s="938"/>
    </row>
    <row r="1281" spans="1:12" hidden="1">
      <c r="A1281" s="1260">
        <v>17</v>
      </c>
      <c r="B1281" s="1254">
        <v>46132</v>
      </c>
      <c r="C1281" s="1255">
        <v>46138</v>
      </c>
      <c r="D1281" s="933">
        <v>3</v>
      </c>
      <c r="E1281" s="933" t="s">
        <v>792</v>
      </c>
      <c r="F1281" s="933" t="s">
        <v>256</v>
      </c>
      <c r="G1281" s="933">
        <v>16</v>
      </c>
      <c r="H1281" s="933">
        <v>16</v>
      </c>
      <c r="I1281" s="933" t="s">
        <v>670</v>
      </c>
      <c r="J1281" s="934">
        <v>12.738636359999999</v>
      </c>
      <c r="K1281" s="934">
        <v>203.81818179999999</v>
      </c>
      <c r="L1281" s="938"/>
    </row>
    <row r="1282" spans="1:12" hidden="1">
      <c r="A1282" s="1260">
        <v>17</v>
      </c>
      <c r="B1282" s="1254">
        <v>46132</v>
      </c>
      <c r="C1282" s="1255">
        <v>46138</v>
      </c>
      <c r="D1282" s="933">
        <v>4</v>
      </c>
      <c r="E1282" s="933" t="s">
        <v>790</v>
      </c>
      <c r="F1282" s="933" t="s">
        <v>264</v>
      </c>
      <c r="G1282" s="933">
        <v>62</v>
      </c>
      <c r="H1282" s="933">
        <v>62</v>
      </c>
      <c r="I1282" s="933" t="s">
        <v>670</v>
      </c>
      <c r="J1282" s="934">
        <v>3.2250733139999999</v>
      </c>
      <c r="K1282" s="934">
        <v>199.95454549999999</v>
      </c>
      <c r="L1282" s="938"/>
    </row>
    <row r="1283" spans="1:12" hidden="1">
      <c r="A1283" s="1260">
        <v>17</v>
      </c>
      <c r="B1283" s="1254">
        <v>46132</v>
      </c>
      <c r="C1283" s="1255">
        <v>46138</v>
      </c>
      <c r="D1283" s="933">
        <v>5</v>
      </c>
      <c r="E1283" s="933" t="s">
        <v>261</v>
      </c>
      <c r="F1283" s="933" t="s">
        <v>256</v>
      </c>
      <c r="G1283" s="933">
        <v>52</v>
      </c>
      <c r="H1283" s="933">
        <v>52</v>
      </c>
      <c r="I1283" s="933" t="s">
        <v>670</v>
      </c>
      <c r="J1283" s="934">
        <v>3.7027972029999998</v>
      </c>
      <c r="K1283" s="934">
        <v>192.54545450000001</v>
      </c>
      <c r="L1283" s="938"/>
    </row>
    <row r="1284" spans="1:12" hidden="1">
      <c r="A1284" s="1260">
        <v>17</v>
      </c>
      <c r="B1284" s="1254">
        <v>46132</v>
      </c>
      <c r="C1284" s="1255">
        <v>46138</v>
      </c>
      <c r="D1284" s="933">
        <v>6</v>
      </c>
      <c r="E1284" s="933" t="s">
        <v>679</v>
      </c>
      <c r="F1284" s="933" t="s">
        <v>256</v>
      </c>
      <c r="G1284" s="933">
        <v>20</v>
      </c>
      <c r="H1284" s="933">
        <v>20</v>
      </c>
      <c r="I1284" s="933" t="s">
        <v>670</v>
      </c>
      <c r="J1284" s="934">
        <v>9.1477272729999992</v>
      </c>
      <c r="K1284" s="934">
        <v>182.95454549999999</v>
      </c>
      <c r="L1284" s="938"/>
    </row>
    <row r="1285" spans="1:12" hidden="1">
      <c r="A1285" s="1260">
        <v>17</v>
      </c>
      <c r="B1285" s="1254">
        <v>46132</v>
      </c>
      <c r="C1285" s="1255">
        <v>46138</v>
      </c>
      <c r="D1285" s="933">
        <v>7</v>
      </c>
      <c r="E1285" s="933" t="s">
        <v>791</v>
      </c>
      <c r="F1285" s="933" t="s">
        <v>256</v>
      </c>
      <c r="G1285" s="933">
        <v>36</v>
      </c>
      <c r="H1285" s="933">
        <v>36</v>
      </c>
      <c r="I1285" s="933" t="s">
        <v>670</v>
      </c>
      <c r="J1285" s="934">
        <v>5.0315656569999998</v>
      </c>
      <c r="K1285" s="934">
        <v>181.13636360000001</v>
      </c>
      <c r="L1285" s="938"/>
    </row>
    <row r="1286" spans="1:12" hidden="1">
      <c r="A1286" s="1260">
        <v>17</v>
      </c>
      <c r="B1286" s="1254">
        <v>46132</v>
      </c>
      <c r="C1286" s="1255">
        <v>46138</v>
      </c>
      <c r="D1286" s="933">
        <v>8</v>
      </c>
      <c r="E1286" s="933" t="s">
        <v>254</v>
      </c>
      <c r="F1286" s="933" t="s">
        <v>254</v>
      </c>
      <c r="G1286" s="933">
        <v>13</v>
      </c>
      <c r="H1286" s="933">
        <v>13</v>
      </c>
      <c r="I1286" s="933" t="s">
        <v>670</v>
      </c>
      <c r="J1286" s="934">
        <v>13.545454550000001</v>
      </c>
      <c r="K1286" s="934">
        <v>176.0909091</v>
      </c>
      <c r="L1286" s="938"/>
    </row>
    <row r="1287" spans="1:12" hidden="1">
      <c r="A1287" s="1260">
        <v>17</v>
      </c>
      <c r="B1287" s="1254">
        <v>46132</v>
      </c>
      <c r="C1287" s="1255">
        <v>46138</v>
      </c>
      <c r="D1287" s="933">
        <v>9</v>
      </c>
      <c r="E1287" s="933" t="s">
        <v>678</v>
      </c>
      <c r="F1287" s="933" t="s">
        <v>256</v>
      </c>
      <c r="G1287" s="933">
        <v>21</v>
      </c>
      <c r="H1287" s="933">
        <v>21</v>
      </c>
      <c r="I1287" s="933" t="s">
        <v>670</v>
      </c>
      <c r="J1287" s="934">
        <v>6.348484848</v>
      </c>
      <c r="K1287" s="934">
        <v>133.31818179999999</v>
      </c>
      <c r="L1287" s="938"/>
    </row>
    <row r="1288" spans="1:12" hidden="1">
      <c r="A1288" s="1260">
        <v>17</v>
      </c>
      <c r="B1288" s="1254">
        <v>46132</v>
      </c>
      <c r="C1288" s="1255">
        <v>46138</v>
      </c>
      <c r="D1288" s="933">
        <v>10</v>
      </c>
      <c r="E1288" s="933" t="s">
        <v>686</v>
      </c>
      <c r="F1288" s="933" t="s">
        <v>274</v>
      </c>
      <c r="G1288" s="933">
        <v>9</v>
      </c>
      <c r="H1288" s="933">
        <v>9</v>
      </c>
      <c r="I1288" s="933" t="s">
        <v>670</v>
      </c>
      <c r="J1288" s="934">
        <v>13.636363640000001</v>
      </c>
      <c r="K1288" s="934">
        <v>122.7272727</v>
      </c>
      <c r="L1288" s="938"/>
    </row>
    <row r="1289" spans="1:12" hidden="1">
      <c r="A1289" s="1260">
        <v>17</v>
      </c>
      <c r="B1289" s="1254">
        <v>46132</v>
      </c>
      <c r="C1289" s="1255">
        <v>46138</v>
      </c>
      <c r="D1289" s="933">
        <v>11</v>
      </c>
      <c r="E1289" s="933" t="s">
        <v>707</v>
      </c>
      <c r="F1289" s="933" t="s">
        <v>256</v>
      </c>
      <c r="G1289" s="933">
        <v>14</v>
      </c>
      <c r="H1289" s="933">
        <v>14</v>
      </c>
      <c r="I1289" s="933" t="s">
        <v>670</v>
      </c>
      <c r="J1289" s="934">
        <v>8.6688311690000006</v>
      </c>
      <c r="K1289" s="934">
        <v>121.3636364</v>
      </c>
      <c r="L1289" s="938"/>
    </row>
    <row r="1290" spans="1:12" hidden="1">
      <c r="A1290" s="1260">
        <v>17</v>
      </c>
      <c r="B1290" s="1254">
        <v>46132</v>
      </c>
      <c r="C1290" s="1255">
        <v>46138</v>
      </c>
      <c r="D1290" s="933">
        <v>12</v>
      </c>
      <c r="E1290" s="933" t="s">
        <v>2710</v>
      </c>
      <c r="F1290" s="933" t="s">
        <v>282</v>
      </c>
      <c r="G1290" s="933">
        <v>10</v>
      </c>
      <c r="H1290" s="933">
        <v>10</v>
      </c>
      <c r="I1290" s="933" t="s">
        <v>670</v>
      </c>
      <c r="J1290" s="934">
        <v>11.84090909</v>
      </c>
      <c r="K1290" s="934">
        <v>118.4090909</v>
      </c>
      <c r="L1290" s="938"/>
    </row>
    <row r="1291" spans="1:12" hidden="1">
      <c r="A1291" s="1260">
        <v>17</v>
      </c>
      <c r="B1291" s="1254">
        <v>46132</v>
      </c>
      <c r="C1291" s="1255">
        <v>46138</v>
      </c>
      <c r="D1291" s="933">
        <v>13</v>
      </c>
      <c r="E1291" s="933" t="s">
        <v>781</v>
      </c>
      <c r="F1291" s="933" t="s">
        <v>764</v>
      </c>
      <c r="G1291" s="933">
        <v>8</v>
      </c>
      <c r="H1291" s="933">
        <v>8</v>
      </c>
      <c r="I1291" s="933" t="s">
        <v>670</v>
      </c>
      <c r="J1291" s="934">
        <v>14.511363640000001</v>
      </c>
      <c r="K1291" s="934">
        <v>116.0909091</v>
      </c>
      <c r="L1291" s="938"/>
    </row>
    <row r="1292" spans="1:12" hidden="1">
      <c r="A1292" s="1260">
        <v>17</v>
      </c>
      <c r="B1292" s="1254">
        <v>46132</v>
      </c>
      <c r="C1292" s="1255">
        <v>46138</v>
      </c>
      <c r="D1292" s="933">
        <v>14</v>
      </c>
      <c r="E1292" s="933" t="s">
        <v>250</v>
      </c>
      <c r="F1292" s="933" t="s">
        <v>251</v>
      </c>
      <c r="G1292" s="933">
        <v>64</v>
      </c>
      <c r="H1292" s="933">
        <v>64</v>
      </c>
      <c r="I1292" s="933" t="s">
        <v>670</v>
      </c>
      <c r="J1292" s="934">
        <v>1.691761364</v>
      </c>
      <c r="K1292" s="934">
        <v>108.2727273</v>
      </c>
      <c r="L1292" s="938"/>
    </row>
    <row r="1293" spans="1:12" hidden="1">
      <c r="A1293" s="1260">
        <v>17</v>
      </c>
      <c r="B1293" s="1254">
        <v>46132</v>
      </c>
      <c r="C1293" s="1255">
        <v>46138</v>
      </c>
      <c r="D1293" s="933">
        <v>15</v>
      </c>
      <c r="E1293" s="933" t="s">
        <v>784</v>
      </c>
      <c r="F1293" s="933" t="s">
        <v>764</v>
      </c>
      <c r="G1293" s="933">
        <v>8</v>
      </c>
      <c r="H1293" s="933">
        <v>8</v>
      </c>
      <c r="I1293" s="933" t="s">
        <v>670</v>
      </c>
      <c r="J1293" s="934">
        <v>13.267045449999999</v>
      </c>
      <c r="K1293" s="934">
        <v>106.1363636</v>
      </c>
      <c r="L1293" s="938"/>
    </row>
    <row r="1294" spans="1:12" hidden="1">
      <c r="A1294" s="1260">
        <v>17</v>
      </c>
      <c r="B1294" s="1254">
        <v>46132</v>
      </c>
      <c r="C1294" s="1255">
        <v>46138</v>
      </c>
      <c r="D1294" s="933">
        <v>16</v>
      </c>
      <c r="E1294" s="933" t="s">
        <v>688</v>
      </c>
      <c r="F1294" s="933" t="s">
        <v>689</v>
      </c>
      <c r="G1294" s="933">
        <v>9</v>
      </c>
      <c r="H1294" s="933">
        <v>9</v>
      </c>
      <c r="I1294" s="933" t="s">
        <v>670</v>
      </c>
      <c r="J1294" s="934">
        <v>10.01010101</v>
      </c>
      <c r="K1294" s="934">
        <v>90.090909089999997</v>
      </c>
      <c r="L1294" s="938"/>
    </row>
    <row r="1295" spans="1:12" hidden="1">
      <c r="A1295" s="1260">
        <v>17</v>
      </c>
      <c r="B1295" s="1254">
        <v>46132</v>
      </c>
      <c r="C1295" s="1255">
        <v>46138</v>
      </c>
      <c r="D1295" s="933">
        <v>17</v>
      </c>
      <c r="E1295" s="933" t="s">
        <v>794</v>
      </c>
      <c r="F1295" s="933" t="s">
        <v>256</v>
      </c>
      <c r="G1295" s="933">
        <v>12</v>
      </c>
      <c r="H1295" s="933">
        <v>12</v>
      </c>
      <c r="I1295" s="933" t="s">
        <v>670</v>
      </c>
      <c r="J1295" s="934">
        <v>6.8939393940000002</v>
      </c>
      <c r="K1295" s="934">
        <v>82.727272729999996</v>
      </c>
      <c r="L1295" s="938"/>
    </row>
    <row r="1296" spans="1:12" hidden="1">
      <c r="A1296" s="1260">
        <v>17</v>
      </c>
      <c r="B1296" s="1254">
        <v>46132</v>
      </c>
      <c r="C1296" s="1255">
        <v>46138</v>
      </c>
      <c r="D1296" s="933">
        <v>18</v>
      </c>
      <c r="E1296" s="933" t="s">
        <v>793</v>
      </c>
      <c r="F1296" s="933" t="s">
        <v>695</v>
      </c>
      <c r="G1296" s="933">
        <v>12</v>
      </c>
      <c r="H1296" s="933">
        <v>12</v>
      </c>
      <c r="I1296" s="933" t="s">
        <v>670</v>
      </c>
      <c r="J1296" s="934">
        <v>6.375</v>
      </c>
      <c r="K1296" s="934">
        <v>76.5</v>
      </c>
      <c r="L1296" s="938"/>
    </row>
    <row r="1297" spans="1:12" hidden="1">
      <c r="A1297" s="1260">
        <v>17</v>
      </c>
      <c r="B1297" s="1254">
        <v>46132</v>
      </c>
      <c r="C1297" s="1255">
        <v>46138</v>
      </c>
      <c r="D1297" s="933">
        <v>19</v>
      </c>
      <c r="E1297" s="933" t="s">
        <v>682</v>
      </c>
      <c r="F1297" s="933" t="s">
        <v>275</v>
      </c>
      <c r="G1297" s="933">
        <v>64</v>
      </c>
      <c r="H1297" s="933">
        <v>64</v>
      </c>
      <c r="I1297" s="933" t="s">
        <v>670</v>
      </c>
      <c r="J1297" s="934">
        <v>1.111505682</v>
      </c>
      <c r="K1297" s="934">
        <v>71.136363639999999</v>
      </c>
      <c r="L1297" s="938"/>
    </row>
    <row r="1298" spans="1:12" hidden="1">
      <c r="A1298" s="1260">
        <v>17</v>
      </c>
      <c r="B1298" s="1254">
        <v>46132</v>
      </c>
      <c r="C1298" s="1255">
        <v>46138</v>
      </c>
      <c r="D1298" s="933">
        <v>20</v>
      </c>
      <c r="E1298" s="933" t="s">
        <v>248</v>
      </c>
      <c r="F1298" s="933" t="s">
        <v>249</v>
      </c>
      <c r="G1298" s="933">
        <v>49</v>
      </c>
      <c r="H1298" s="933">
        <v>49</v>
      </c>
      <c r="I1298" s="933" t="s">
        <v>670</v>
      </c>
      <c r="J1298" s="934">
        <v>1.4137291279999999</v>
      </c>
      <c r="K1298" s="934">
        <v>69.272727270000004</v>
      </c>
      <c r="L1298" s="938"/>
    </row>
    <row r="1299" spans="1:12" hidden="1">
      <c r="A1299" s="1260">
        <v>17</v>
      </c>
      <c r="B1299" s="1254">
        <v>46132</v>
      </c>
      <c r="C1299" s="1255">
        <v>46138</v>
      </c>
      <c r="D1299" s="933">
        <v>21</v>
      </c>
      <c r="E1299" s="933" t="s">
        <v>706</v>
      </c>
      <c r="F1299" s="933" t="s">
        <v>256</v>
      </c>
      <c r="G1299" s="933">
        <v>5</v>
      </c>
      <c r="H1299" s="933">
        <v>5</v>
      </c>
      <c r="I1299" s="933" t="s">
        <v>670</v>
      </c>
      <c r="J1299" s="934">
        <v>12.81818182</v>
      </c>
      <c r="K1299" s="934">
        <v>64.090909089999997</v>
      </c>
      <c r="L1299" s="938"/>
    </row>
    <row r="1300" spans="1:12" hidden="1">
      <c r="A1300" s="1260">
        <v>17</v>
      </c>
      <c r="B1300" s="1254">
        <v>46132</v>
      </c>
      <c r="C1300" s="1255">
        <v>46138</v>
      </c>
      <c r="D1300" s="933">
        <v>22</v>
      </c>
      <c r="E1300" s="933" t="s">
        <v>259</v>
      </c>
      <c r="F1300" s="933" t="s">
        <v>249</v>
      </c>
      <c r="G1300" s="933">
        <v>53</v>
      </c>
      <c r="H1300" s="933">
        <v>53</v>
      </c>
      <c r="I1300" s="933" t="s">
        <v>670</v>
      </c>
      <c r="J1300" s="934">
        <v>1.1183533450000001</v>
      </c>
      <c r="K1300" s="934">
        <v>59.272727269999997</v>
      </c>
      <c r="L1300" s="938"/>
    </row>
    <row r="1301" spans="1:12" hidden="1">
      <c r="A1301" s="1260">
        <v>17</v>
      </c>
      <c r="B1301" s="1254">
        <v>46132</v>
      </c>
      <c r="C1301" s="1255">
        <v>46138</v>
      </c>
      <c r="D1301" s="933">
        <v>23</v>
      </c>
      <c r="E1301" s="933" t="s">
        <v>675</v>
      </c>
      <c r="F1301" s="933" t="s">
        <v>256</v>
      </c>
      <c r="G1301" s="933">
        <v>11</v>
      </c>
      <c r="H1301" s="933">
        <v>11</v>
      </c>
      <c r="I1301" s="933" t="s">
        <v>670</v>
      </c>
      <c r="J1301" s="934">
        <v>5</v>
      </c>
      <c r="K1301" s="934">
        <v>55</v>
      </c>
      <c r="L1301" s="938"/>
    </row>
    <row r="1302" spans="1:12" hidden="1">
      <c r="A1302" s="1260">
        <v>17</v>
      </c>
      <c r="B1302" s="1254">
        <v>46132</v>
      </c>
      <c r="C1302" s="1255">
        <v>46138</v>
      </c>
      <c r="D1302" s="933">
        <v>24</v>
      </c>
      <c r="E1302" s="933" t="s">
        <v>734</v>
      </c>
      <c r="F1302" s="933" t="s">
        <v>695</v>
      </c>
      <c r="G1302" s="933">
        <v>3</v>
      </c>
      <c r="H1302" s="933">
        <v>3</v>
      </c>
      <c r="I1302" s="933" t="s">
        <v>670</v>
      </c>
      <c r="J1302" s="934">
        <v>18.257575760000002</v>
      </c>
      <c r="K1302" s="934">
        <v>54.772727269999997</v>
      </c>
      <c r="L1302" s="938"/>
    </row>
    <row r="1303" spans="1:12" hidden="1">
      <c r="A1303" s="1260">
        <v>17</v>
      </c>
      <c r="B1303" s="1254">
        <v>46132</v>
      </c>
      <c r="C1303" s="1255">
        <v>46138</v>
      </c>
      <c r="D1303" s="933">
        <v>25</v>
      </c>
      <c r="E1303" s="933" t="s">
        <v>700</v>
      </c>
      <c r="F1303" s="933" t="s">
        <v>274</v>
      </c>
      <c r="G1303" s="933">
        <v>6</v>
      </c>
      <c r="H1303" s="933">
        <v>6</v>
      </c>
      <c r="I1303" s="933" t="s">
        <v>670</v>
      </c>
      <c r="J1303" s="934">
        <v>9.1287878790000008</v>
      </c>
      <c r="K1303" s="934">
        <v>54.772727269999997</v>
      </c>
      <c r="L1303" s="938"/>
    </row>
    <row r="1304" spans="1:12" hidden="1">
      <c r="A1304" s="1260">
        <v>17</v>
      </c>
      <c r="B1304" s="1254">
        <v>46132</v>
      </c>
      <c r="C1304" s="1255">
        <v>46138</v>
      </c>
      <c r="D1304" s="933">
        <v>26</v>
      </c>
      <c r="E1304" s="933" t="s">
        <v>705</v>
      </c>
      <c r="F1304" s="933" t="s">
        <v>274</v>
      </c>
      <c r="G1304" s="933">
        <v>6</v>
      </c>
      <c r="H1304" s="933">
        <v>6</v>
      </c>
      <c r="I1304" s="933" t="s">
        <v>670</v>
      </c>
      <c r="J1304" s="934">
        <v>9.1287878790000008</v>
      </c>
      <c r="K1304" s="934">
        <v>54.772727269999997</v>
      </c>
      <c r="L1304" s="938"/>
    </row>
    <row r="1305" spans="1:12" hidden="1">
      <c r="A1305" s="1260">
        <v>17</v>
      </c>
      <c r="B1305" s="1254">
        <v>46132</v>
      </c>
      <c r="C1305" s="1255">
        <v>46138</v>
      </c>
      <c r="D1305" s="933">
        <v>27</v>
      </c>
      <c r="E1305" s="933" t="s">
        <v>680</v>
      </c>
      <c r="F1305" s="933" t="s">
        <v>251</v>
      </c>
      <c r="G1305" s="933">
        <v>23</v>
      </c>
      <c r="H1305" s="933">
        <v>23</v>
      </c>
      <c r="I1305" s="933" t="s">
        <v>670</v>
      </c>
      <c r="J1305" s="934">
        <v>2.3379446640000001</v>
      </c>
      <c r="K1305" s="934">
        <v>53.772727269999997</v>
      </c>
      <c r="L1305" s="938"/>
    </row>
    <row r="1306" spans="1:12" hidden="1">
      <c r="A1306" s="1260">
        <v>17</v>
      </c>
      <c r="B1306" s="1254">
        <v>46132</v>
      </c>
      <c r="C1306" s="1255">
        <v>46138</v>
      </c>
      <c r="D1306" s="933">
        <v>28</v>
      </c>
      <c r="E1306" s="933" t="s">
        <v>763</v>
      </c>
      <c r="F1306" s="933" t="s">
        <v>764</v>
      </c>
      <c r="G1306" s="933">
        <v>5</v>
      </c>
      <c r="H1306" s="933">
        <v>5</v>
      </c>
      <c r="I1306" s="933" t="s">
        <v>670</v>
      </c>
      <c r="J1306" s="934">
        <v>10.454545449999999</v>
      </c>
      <c r="K1306" s="934">
        <v>52.272727269999997</v>
      </c>
      <c r="L1306" s="938"/>
    </row>
    <row r="1307" spans="1:12" hidden="1">
      <c r="A1307" s="1260">
        <v>17</v>
      </c>
      <c r="B1307" s="1254">
        <v>46132</v>
      </c>
      <c r="C1307" s="1255">
        <v>46138</v>
      </c>
      <c r="D1307" s="933">
        <v>29</v>
      </c>
      <c r="E1307" s="933" t="s">
        <v>751</v>
      </c>
      <c r="F1307" s="933" t="s">
        <v>256</v>
      </c>
      <c r="G1307" s="933">
        <v>7</v>
      </c>
      <c r="H1307" s="933">
        <v>7</v>
      </c>
      <c r="I1307" s="933" t="s">
        <v>670</v>
      </c>
      <c r="J1307" s="934">
        <v>7.3116883120000002</v>
      </c>
      <c r="K1307" s="934">
        <v>51.18181818</v>
      </c>
      <c r="L1307" s="938"/>
    </row>
    <row r="1308" spans="1:12" hidden="1">
      <c r="A1308" s="1260">
        <v>17</v>
      </c>
      <c r="B1308" s="1254">
        <v>46132</v>
      </c>
      <c r="C1308" s="1255">
        <v>46138</v>
      </c>
      <c r="D1308" s="933">
        <v>30</v>
      </c>
      <c r="E1308" s="933" t="s">
        <v>697</v>
      </c>
      <c r="F1308" s="933" t="s">
        <v>256</v>
      </c>
      <c r="G1308" s="933">
        <v>5</v>
      </c>
      <c r="H1308" s="933">
        <v>5</v>
      </c>
      <c r="I1308" s="933" t="s">
        <v>670</v>
      </c>
      <c r="J1308" s="934">
        <v>9.9090909089999997</v>
      </c>
      <c r="K1308" s="934">
        <v>49.545454550000002</v>
      </c>
      <c r="L1308" s="938"/>
    </row>
    <row r="1309" spans="1:12" hidden="1">
      <c r="A1309" s="1260">
        <v>17</v>
      </c>
      <c r="B1309" s="1254">
        <v>46132</v>
      </c>
      <c r="C1309" s="1255">
        <v>46138</v>
      </c>
      <c r="D1309" s="933">
        <v>31</v>
      </c>
      <c r="E1309" s="933" t="s">
        <v>684</v>
      </c>
      <c r="F1309" s="933" t="s">
        <v>323</v>
      </c>
      <c r="G1309" s="933">
        <v>5</v>
      </c>
      <c r="H1309" s="933">
        <v>5</v>
      </c>
      <c r="I1309" s="933" t="s">
        <v>670</v>
      </c>
      <c r="J1309" s="934">
        <v>9</v>
      </c>
      <c r="K1309" s="934">
        <v>45</v>
      </c>
      <c r="L1309" s="938"/>
    </row>
    <row r="1310" spans="1:12" hidden="1">
      <c r="A1310" s="1260">
        <v>17</v>
      </c>
      <c r="B1310" s="1254">
        <v>46132</v>
      </c>
      <c r="C1310" s="1255">
        <v>46138</v>
      </c>
      <c r="D1310" s="933">
        <v>32</v>
      </c>
      <c r="E1310" s="933" t="s">
        <v>673</v>
      </c>
      <c r="F1310" s="933" t="s">
        <v>251</v>
      </c>
      <c r="G1310" s="933">
        <v>17</v>
      </c>
      <c r="H1310" s="933">
        <v>17</v>
      </c>
      <c r="I1310" s="933" t="s">
        <v>670</v>
      </c>
      <c r="J1310" s="934">
        <v>2.449197861</v>
      </c>
      <c r="K1310" s="934">
        <v>41.636363639999999</v>
      </c>
      <c r="L1310" s="938"/>
    </row>
    <row r="1311" spans="1:12" hidden="1">
      <c r="A1311" s="1260">
        <v>17</v>
      </c>
      <c r="B1311" s="1254">
        <v>46132</v>
      </c>
      <c r="C1311" s="1255">
        <v>46138</v>
      </c>
      <c r="D1311" s="933">
        <v>33</v>
      </c>
      <c r="E1311" s="933" t="s">
        <v>685</v>
      </c>
      <c r="F1311" s="933" t="s">
        <v>256</v>
      </c>
      <c r="G1311" s="933">
        <v>5</v>
      </c>
      <c r="H1311" s="933">
        <v>5</v>
      </c>
      <c r="I1311" s="933" t="s">
        <v>670</v>
      </c>
      <c r="J1311" s="934">
        <v>8.2272727270000008</v>
      </c>
      <c r="K1311" s="934">
        <v>41.136363639999999</v>
      </c>
      <c r="L1311" s="938"/>
    </row>
    <row r="1312" spans="1:12" hidden="1">
      <c r="A1312" s="1260">
        <v>17</v>
      </c>
      <c r="B1312" s="1254">
        <v>46132</v>
      </c>
      <c r="C1312" s="1255">
        <v>46138</v>
      </c>
      <c r="D1312" s="933">
        <v>34</v>
      </c>
      <c r="E1312" s="933" t="s">
        <v>676</v>
      </c>
      <c r="F1312" s="933" t="s">
        <v>253</v>
      </c>
      <c r="G1312" s="933">
        <v>14</v>
      </c>
      <c r="H1312" s="933">
        <v>14</v>
      </c>
      <c r="I1312" s="933" t="s">
        <v>670</v>
      </c>
      <c r="J1312" s="934">
        <v>2.7012987009999998</v>
      </c>
      <c r="K1312" s="934">
        <v>37.81818182</v>
      </c>
      <c r="L1312" s="938"/>
    </row>
    <row r="1313" spans="1:12" hidden="1">
      <c r="A1313" s="1260">
        <v>17</v>
      </c>
      <c r="B1313" s="1254">
        <v>46132</v>
      </c>
      <c r="C1313" s="1255">
        <v>46138</v>
      </c>
      <c r="D1313" s="933">
        <v>35</v>
      </c>
      <c r="E1313" s="933" t="s">
        <v>738</v>
      </c>
      <c r="F1313" s="933" t="s">
        <v>256</v>
      </c>
      <c r="G1313" s="933">
        <v>5</v>
      </c>
      <c r="H1313" s="933">
        <v>5</v>
      </c>
      <c r="I1313" s="933" t="s">
        <v>670</v>
      </c>
      <c r="J1313" s="934">
        <v>7.3181818180000002</v>
      </c>
      <c r="K1313" s="934">
        <v>36.590909089999997</v>
      </c>
      <c r="L1313" s="938"/>
    </row>
    <row r="1314" spans="1:12" hidden="1">
      <c r="A1314" s="1260">
        <v>17</v>
      </c>
      <c r="B1314" s="1254">
        <v>46132</v>
      </c>
      <c r="C1314" s="1255">
        <v>46138</v>
      </c>
      <c r="D1314" s="933">
        <v>36</v>
      </c>
      <c r="E1314" s="933" t="s">
        <v>674</v>
      </c>
      <c r="F1314" s="933" t="s">
        <v>275</v>
      </c>
      <c r="G1314" s="933">
        <v>7</v>
      </c>
      <c r="H1314" s="933">
        <v>7</v>
      </c>
      <c r="I1314" s="933" t="s">
        <v>670</v>
      </c>
      <c r="J1314" s="934">
        <v>4.5454545450000001</v>
      </c>
      <c r="K1314" s="934">
        <v>31.81818182</v>
      </c>
      <c r="L1314" s="938"/>
    </row>
    <row r="1315" spans="1:12" hidden="1">
      <c r="A1315" s="1260">
        <v>17</v>
      </c>
      <c r="B1315" s="1254">
        <v>46132</v>
      </c>
      <c r="C1315" s="1255">
        <v>46138</v>
      </c>
      <c r="D1315" s="933">
        <v>37</v>
      </c>
      <c r="E1315" s="933" t="s">
        <v>698</v>
      </c>
      <c r="F1315" s="933" t="s">
        <v>249</v>
      </c>
      <c r="G1315" s="933">
        <v>13</v>
      </c>
      <c r="H1315" s="933">
        <v>13</v>
      </c>
      <c r="I1315" s="933" t="s">
        <v>670</v>
      </c>
      <c r="J1315" s="934">
        <v>2.3496503500000001</v>
      </c>
      <c r="K1315" s="934">
        <v>30.545454549999999</v>
      </c>
      <c r="L1315" s="938"/>
    </row>
    <row r="1316" spans="1:12" hidden="1">
      <c r="A1316" s="1260">
        <v>17</v>
      </c>
      <c r="B1316" s="1254">
        <v>46132</v>
      </c>
      <c r="C1316" s="1255">
        <v>46138</v>
      </c>
      <c r="D1316" s="933">
        <v>38</v>
      </c>
      <c r="E1316" s="933" t="s">
        <v>701</v>
      </c>
      <c r="F1316" s="933" t="s">
        <v>689</v>
      </c>
      <c r="G1316" s="933">
        <v>3</v>
      </c>
      <c r="H1316" s="933">
        <v>3</v>
      </c>
      <c r="I1316" s="933" t="s">
        <v>670</v>
      </c>
      <c r="J1316" s="934">
        <v>10.06060606</v>
      </c>
      <c r="K1316" s="934">
        <v>30.18181818</v>
      </c>
      <c r="L1316" s="938"/>
    </row>
    <row r="1317" spans="1:12" hidden="1">
      <c r="A1317" s="1260">
        <v>17</v>
      </c>
      <c r="B1317" s="1254">
        <v>46132</v>
      </c>
      <c r="C1317" s="1255">
        <v>46138</v>
      </c>
      <c r="D1317" s="933">
        <v>39</v>
      </c>
      <c r="E1317" s="933" t="s">
        <v>748</v>
      </c>
      <c r="F1317" s="933" t="s">
        <v>274</v>
      </c>
      <c r="G1317" s="933">
        <v>3</v>
      </c>
      <c r="H1317" s="933">
        <v>3</v>
      </c>
      <c r="I1317" s="933" t="s">
        <v>670</v>
      </c>
      <c r="J1317" s="934">
        <v>9.1666666669999994</v>
      </c>
      <c r="K1317" s="934">
        <v>27.5</v>
      </c>
      <c r="L1317" s="938"/>
    </row>
    <row r="1318" spans="1:12" hidden="1">
      <c r="A1318" s="1260">
        <v>17</v>
      </c>
      <c r="B1318" s="1254">
        <v>46132</v>
      </c>
      <c r="C1318" s="1255">
        <v>46138</v>
      </c>
      <c r="D1318" s="933">
        <v>40</v>
      </c>
      <c r="E1318" s="933" t="s">
        <v>803</v>
      </c>
      <c r="F1318" s="933" t="s">
        <v>764</v>
      </c>
      <c r="G1318" s="933">
        <v>3</v>
      </c>
      <c r="H1318" s="933">
        <v>3</v>
      </c>
      <c r="I1318" s="933" t="s">
        <v>670</v>
      </c>
      <c r="J1318" s="934">
        <v>9.1666666669999994</v>
      </c>
      <c r="K1318" s="934">
        <v>27.5</v>
      </c>
      <c r="L1318" s="938"/>
    </row>
    <row r="1319" spans="1:12" hidden="1">
      <c r="A1319" s="1260">
        <v>17</v>
      </c>
      <c r="B1319" s="1254">
        <v>46132</v>
      </c>
      <c r="C1319" s="1255">
        <v>46138</v>
      </c>
      <c r="D1319" s="933">
        <v>41</v>
      </c>
      <c r="E1319" s="933" t="s">
        <v>708</v>
      </c>
      <c r="F1319" s="933" t="s">
        <v>251</v>
      </c>
      <c r="G1319" s="933">
        <v>14</v>
      </c>
      <c r="H1319" s="933">
        <v>14</v>
      </c>
      <c r="I1319" s="933" t="s">
        <v>670</v>
      </c>
      <c r="J1319" s="934">
        <v>1.9025974029999999</v>
      </c>
      <c r="K1319" s="934">
        <v>26.636363639999999</v>
      </c>
      <c r="L1319" s="938"/>
    </row>
    <row r="1320" spans="1:12" hidden="1">
      <c r="A1320" s="1260">
        <v>17</v>
      </c>
      <c r="B1320" s="1254">
        <v>46132</v>
      </c>
      <c r="C1320" s="1255">
        <v>46138</v>
      </c>
      <c r="D1320" s="933">
        <v>42</v>
      </c>
      <c r="E1320" s="933" t="s">
        <v>743</v>
      </c>
      <c r="F1320" s="933" t="s">
        <v>251</v>
      </c>
      <c r="G1320" s="933">
        <v>10</v>
      </c>
      <c r="H1320" s="933">
        <v>10</v>
      </c>
      <c r="I1320" s="933" t="s">
        <v>670</v>
      </c>
      <c r="J1320" s="934">
        <v>2.422727273</v>
      </c>
      <c r="K1320" s="934">
        <v>24.227272729999999</v>
      </c>
      <c r="L1320" s="938"/>
    </row>
    <row r="1321" spans="1:12" hidden="1">
      <c r="A1321" s="1260">
        <v>17</v>
      </c>
      <c r="B1321" s="1254">
        <v>46132</v>
      </c>
      <c r="C1321" s="1255">
        <v>46138</v>
      </c>
      <c r="D1321" s="933">
        <v>43</v>
      </c>
      <c r="E1321" s="933" t="s">
        <v>797</v>
      </c>
      <c r="F1321" s="933" t="s">
        <v>253</v>
      </c>
      <c r="G1321" s="933">
        <v>7</v>
      </c>
      <c r="H1321" s="933">
        <v>7</v>
      </c>
      <c r="I1321" s="933" t="s">
        <v>670</v>
      </c>
      <c r="J1321" s="934">
        <v>3.2012987009999998</v>
      </c>
      <c r="K1321" s="934">
        <v>22.40909091</v>
      </c>
      <c r="L1321" s="938"/>
    </row>
    <row r="1322" spans="1:12" hidden="1">
      <c r="A1322" s="1260">
        <v>17</v>
      </c>
      <c r="B1322" s="1254">
        <v>46132</v>
      </c>
      <c r="C1322" s="1255">
        <v>46138</v>
      </c>
      <c r="D1322" s="933">
        <v>44</v>
      </c>
      <c r="E1322" s="933" t="s">
        <v>683</v>
      </c>
      <c r="F1322" s="933" t="s">
        <v>274</v>
      </c>
      <c r="G1322" s="933">
        <v>2</v>
      </c>
      <c r="H1322" s="933">
        <v>2</v>
      </c>
      <c r="I1322" s="933" t="s">
        <v>670</v>
      </c>
      <c r="J1322" s="934">
        <v>11.022727270000001</v>
      </c>
      <c r="K1322" s="934">
        <v>22.045454549999999</v>
      </c>
      <c r="L1322" s="938"/>
    </row>
    <row r="1323" spans="1:12" hidden="1">
      <c r="A1323" s="1260">
        <v>17</v>
      </c>
      <c r="B1323" s="1254">
        <v>46132</v>
      </c>
      <c r="C1323" s="1255">
        <v>46138</v>
      </c>
      <c r="D1323" s="933">
        <v>45</v>
      </c>
      <c r="E1323" s="933" t="s">
        <v>696</v>
      </c>
      <c r="F1323" s="933" t="s">
        <v>323</v>
      </c>
      <c r="G1323" s="933">
        <v>2</v>
      </c>
      <c r="H1323" s="933">
        <v>2</v>
      </c>
      <c r="I1323" s="933" t="s">
        <v>670</v>
      </c>
      <c r="J1323" s="934">
        <v>10.90909091</v>
      </c>
      <c r="K1323" s="934">
        <v>21.81818182</v>
      </c>
      <c r="L1323" s="938"/>
    </row>
    <row r="1324" spans="1:12" hidden="1">
      <c r="A1324" s="1260">
        <v>17</v>
      </c>
      <c r="B1324" s="1254">
        <v>46132</v>
      </c>
      <c r="C1324" s="1255">
        <v>46138</v>
      </c>
      <c r="D1324" s="933">
        <v>46</v>
      </c>
      <c r="E1324" s="933" t="s">
        <v>796</v>
      </c>
      <c r="F1324" s="933" t="s">
        <v>282</v>
      </c>
      <c r="G1324" s="933">
        <v>2</v>
      </c>
      <c r="H1324" s="933">
        <v>2</v>
      </c>
      <c r="I1324" s="933" t="s">
        <v>670</v>
      </c>
      <c r="J1324" s="934">
        <v>10.81818182</v>
      </c>
      <c r="K1324" s="934">
        <v>21.636363639999999</v>
      </c>
      <c r="L1324" s="938"/>
    </row>
    <row r="1325" spans="1:12" hidden="1">
      <c r="A1325" s="1260">
        <v>17</v>
      </c>
      <c r="B1325" s="1254">
        <v>46132</v>
      </c>
      <c r="C1325" s="1255">
        <v>46138</v>
      </c>
      <c r="D1325" s="933">
        <v>47</v>
      </c>
      <c r="E1325" s="933" t="s">
        <v>703</v>
      </c>
      <c r="F1325" s="933" t="s">
        <v>256</v>
      </c>
      <c r="G1325" s="933">
        <v>11</v>
      </c>
      <c r="H1325" s="933">
        <v>11</v>
      </c>
      <c r="I1325" s="933" t="s">
        <v>670</v>
      </c>
      <c r="J1325" s="934">
        <v>1.942148762</v>
      </c>
      <c r="K1325" s="934">
        <v>21.363636360000001</v>
      </c>
      <c r="L1325" s="938"/>
    </row>
    <row r="1326" spans="1:12" hidden="1">
      <c r="A1326" s="1260">
        <v>17</v>
      </c>
      <c r="B1326" s="1254">
        <v>46132</v>
      </c>
      <c r="C1326" s="1255">
        <v>46138</v>
      </c>
      <c r="D1326" s="933">
        <v>48</v>
      </c>
      <c r="E1326" s="933" t="s">
        <v>691</v>
      </c>
      <c r="F1326" s="933" t="s">
        <v>251</v>
      </c>
      <c r="G1326" s="933">
        <v>8</v>
      </c>
      <c r="H1326" s="933">
        <v>8</v>
      </c>
      <c r="I1326" s="933" t="s">
        <v>670</v>
      </c>
      <c r="J1326" s="934">
        <v>2.4602272730000001</v>
      </c>
      <c r="K1326" s="934">
        <v>19.68181818</v>
      </c>
      <c r="L1326" s="938"/>
    </row>
    <row r="1327" spans="1:12" hidden="1">
      <c r="A1327" s="1260">
        <v>17</v>
      </c>
      <c r="B1327" s="1254">
        <v>46132</v>
      </c>
      <c r="C1327" s="1255">
        <v>46138</v>
      </c>
      <c r="D1327" s="933">
        <v>49</v>
      </c>
      <c r="E1327" s="933" t="s">
        <v>792</v>
      </c>
      <c r="F1327" s="933" t="s">
        <v>256</v>
      </c>
      <c r="G1327" s="933">
        <v>4</v>
      </c>
      <c r="H1327" s="933">
        <v>4</v>
      </c>
      <c r="I1327" s="933" t="s">
        <v>670</v>
      </c>
      <c r="J1327" s="934">
        <v>4.5454545450000001</v>
      </c>
      <c r="K1327" s="934">
        <v>18.18181818</v>
      </c>
      <c r="L1327" s="938"/>
    </row>
    <row r="1328" spans="1:12" hidden="1">
      <c r="A1328" s="1260">
        <v>17</v>
      </c>
      <c r="B1328" s="1254">
        <v>46132</v>
      </c>
      <c r="C1328" s="1255">
        <v>46138</v>
      </c>
      <c r="D1328" s="933">
        <v>50</v>
      </c>
      <c r="E1328" s="933" t="s">
        <v>671</v>
      </c>
      <c r="F1328" s="933" t="s">
        <v>276</v>
      </c>
      <c r="G1328" s="933">
        <v>6</v>
      </c>
      <c r="H1328" s="933">
        <v>6</v>
      </c>
      <c r="I1328" s="933" t="s">
        <v>672</v>
      </c>
      <c r="J1328" s="934">
        <v>2.962121212</v>
      </c>
      <c r="K1328" s="934">
        <v>17.772727270000001</v>
      </c>
      <c r="L1328" s="938"/>
    </row>
    <row r="1329" spans="1:12" hidden="1">
      <c r="A1329" s="1260">
        <v>17</v>
      </c>
      <c r="B1329" s="1254">
        <v>46132</v>
      </c>
      <c r="C1329" s="1255">
        <v>46138</v>
      </c>
      <c r="D1329" s="933">
        <v>51</v>
      </c>
      <c r="E1329" s="933" t="s">
        <v>832</v>
      </c>
      <c r="F1329" s="933" t="s">
        <v>256</v>
      </c>
      <c r="G1329" s="933">
        <v>2</v>
      </c>
      <c r="H1329" s="933">
        <v>2</v>
      </c>
      <c r="I1329" s="933" t="s">
        <v>670</v>
      </c>
      <c r="J1329" s="934">
        <v>8.0909090910000003</v>
      </c>
      <c r="K1329" s="934">
        <v>16.18181818</v>
      </c>
      <c r="L1329" s="938"/>
    </row>
    <row r="1330" spans="1:12" hidden="1">
      <c r="A1330" s="1260">
        <v>17</v>
      </c>
      <c r="B1330" s="1254">
        <v>46132</v>
      </c>
      <c r="C1330" s="1255">
        <v>46138</v>
      </c>
      <c r="D1330" s="933">
        <v>52</v>
      </c>
      <c r="E1330" s="933" t="s">
        <v>804</v>
      </c>
      <c r="F1330" s="933" t="s">
        <v>253</v>
      </c>
      <c r="G1330" s="933">
        <v>6</v>
      </c>
      <c r="H1330" s="933">
        <v>6</v>
      </c>
      <c r="I1330" s="933" t="s">
        <v>670</v>
      </c>
      <c r="J1330" s="934">
        <v>2.6818181820000002</v>
      </c>
      <c r="K1330" s="934">
        <v>16.09090909</v>
      </c>
      <c r="L1330" s="938"/>
    </row>
    <row r="1331" spans="1:12" hidden="1">
      <c r="A1331" s="1260">
        <v>17</v>
      </c>
      <c r="B1331" s="1254">
        <v>46132</v>
      </c>
      <c r="C1331" s="1255">
        <v>46138</v>
      </c>
      <c r="D1331" s="933">
        <v>53</v>
      </c>
      <c r="E1331" s="933" t="s">
        <v>710</v>
      </c>
      <c r="F1331" s="933" t="s">
        <v>249</v>
      </c>
      <c r="G1331" s="933">
        <v>6</v>
      </c>
      <c r="H1331" s="933">
        <v>6</v>
      </c>
      <c r="I1331" s="933" t="s">
        <v>670</v>
      </c>
      <c r="J1331" s="934">
        <v>2.5227272730000001</v>
      </c>
      <c r="K1331" s="934">
        <v>15.136363640000001</v>
      </c>
      <c r="L1331" s="938"/>
    </row>
    <row r="1332" spans="1:12" hidden="1">
      <c r="A1332" s="1260">
        <v>17</v>
      </c>
      <c r="B1332" s="1254">
        <v>46132</v>
      </c>
      <c r="C1332" s="1255">
        <v>46138</v>
      </c>
      <c r="D1332" s="933">
        <v>54</v>
      </c>
      <c r="E1332" s="933" t="s">
        <v>949</v>
      </c>
      <c r="F1332" s="933" t="s">
        <v>820</v>
      </c>
      <c r="G1332" s="933">
        <v>2</v>
      </c>
      <c r="H1332" s="933">
        <v>2</v>
      </c>
      <c r="I1332" s="933" t="s">
        <v>670</v>
      </c>
      <c r="J1332" s="934">
        <v>7</v>
      </c>
      <c r="K1332" s="934">
        <v>14</v>
      </c>
      <c r="L1332" s="938"/>
    </row>
    <row r="1333" spans="1:12" hidden="1">
      <c r="A1333" s="1260">
        <v>17</v>
      </c>
      <c r="B1333" s="1254">
        <v>46132</v>
      </c>
      <c r="C1333" s="1255">
        <v>46138</v>
      </c>
      <c r="D1333" s="933">
        <v>55</v>
      </c>
      <c r="E1333" s="933" t="s">
        <v>733</v>
      </c>
      <c r="F1333" s="933" t="s">
        <v>253</v>
      </c>
      <c r="G1333" s="933">
        <v>3</v>
      </c>
      <c r="H1333" s="933">
        <v>3</v>
      </c>
      <c r="I1333" s="933" t="s">
        <v>670</v>
      </c>
      <c r="J1333" s="934">
        <v>4.4090909089999997</v>
      </c>
      <c r="K1333" s="934">
        <v>13.227272729999999</v>
      </c>
      <c r="L1333" s="938"/>
    </row>
    <row r="1334" spans="1:12" hidden="1">
      <c r="A1334" s="1260">
        <v>17</v>
      </c>
      <c r="B1334" s="1254">
        <v>46132</v>
      </c>
      <c r="C1334" s="1255">
        <v>46138</v>
      </c>
      <c r="D1334" s="933">
        <v>56</v>
      </c>
      <c r="E1334" s="933" t="s">
        <v>802</v>
      </c>
      <c r="F1334" s="933" t="s">
        <v>713</v>
      </c>
      <c r="G1334" s="933">
        <v>3</v>
      </c>
      <c r="H1334" s="933">
        <v>3</v>
      </c>
      <c r="I1334" s="933" t="s">
        <v>670</v>
      </c>
      <c r="J1334" s="934">
        <v>4.1818181819999998</v>
      </c>
      <c r="K1334" s="934">
        <v>12.545454550000001</v>
      </c>
      <c r="L1334" s="938"/>
    </row>
    <row r="1335" spans="1:12" hidden="1">
      <c r="A1335" s="1260">
        <v>17</v>
      </c>
      <c r="B1335" s="1254">
        <v>46132</v>
      </c>
      <c r="C1335" s="1255">
        <v>46138</v>
      </c>
      <c r="D1335" s="933">
        <v>57</v>
      </c>
      <c r="E1335" s="933" t="s">
        <v>720</v>
      </c>
      <c r="F1335" s="933" t="s">
        <v>251</v>
      </c>
      <c r="G1335" s="933">
        <v>5</v>
      </c>
      <c r="H1335" s="933">
        <v>5</v>
      </c>
      <c r="I1335" s="933" t="s">
        <v>670</v>
      </c>
      <c r="J1335" s="934">
        <v>2.4636363640000001</v>
      </c>
      <c r="K1335" s="934">
        <v>12.31818182</v>
      </c>
      <c r="L1335" s="938"/>
    </row>
    <row r="1336" spans="1:12" hidden="1">
      <c r="A1336" s="1260">
        <v>17</v>
      </c>
      <c r="B1336" s="1254">
        <v>46132</v>
      </c>
      <c r="C1336" s="1255">
        <v>46138</v>
      </c>
      <c r="D1336" s="933">
        <v>58</v>
      </c>
      <c r="E1336" s="933" t="s">
        <v>690</v>
      </c>
      <c r="F1336" s="933" t="s">
        <v>275</v>
      </c>
      <c r="G1336" s="933">
        <v>2</v>
      </c>
      <c r="H1336" s="933">
        <v>2</v>
      </c>
      <c r="I1336" s="933" t="s">
        <v>670</v>
      </c>
      <c r="J1336" s="934">
        <v>5.9090909089999997</v>
      </c>
      <c r="K1336" s="934">
        <v>11.81818182</v>
      </c>
      <c r="L1336" s="938"/>
    </row>
    <row r="1337" spans="1:12" hidden="1">
      <c r="A1337" s="1260">
        <v>17</v>
      </c>
      <c r="B1337" s="1254">
        <v>46132</v>
      </c>
      <c r="C1337" s="1255">
        <v>46138</v>
      </c>
      <c r="D1337" s="933">
        <v>59</v>
      </c>
      <c r="E1337" s="933" t="s">
        <v>780</v>
      </c>
      <c r="F1337" s="933" t="s">
        <v>268</v>
      </c>
      <c r="G1337" s="933">
        <v>8</v>
      </c>
      <c r="H1337" s="933">
        <v>8</v>
      </c>
      <c r="I1337" s="933" t="s">
        <v>670</v>
      </c>
      <c r="J1337" s="934">
        <v>1.363636364</v>
      </c>
      <c r="K1337" s="934">
        <v>10.90909091</v>
      </c>
      <c r="L1337" s="938"/>
    </row>
    <row r="1338" spans="1:12" hidden="1">
      <c r="A1338" s="1260">
        <v>17</v>
      </c>
      <c r="B1338" s="1254">
        <v>46132</v>
      </c>
      <c r="C1338" s="1255">
        <v>46138</v>
      </c>
      <c r="D1338" s="933">
        <v>60</v>
      </c>
      <c r="E1338" s="933" t="s">
        <v>677</v>
      </c>
      <c r="F1338" s="933" t="s">
        <v>249</v>
      </c>
      <c r="G1338" s="933">
        <v>6</v>
      </c>
      <c r="H1338" s="933">
        <v>6</v>
      </c>
      <c r="I1338" s="933" t="s">
        <v>670</v>
      </c>
      <c r="J1338" s="934">
        <v>1.7727272730000001</v>
      </c>
      <c r="K1338" s="934">
        <v>10.636363640000001</v>
      </c>
      <c r="L1338" s="938"/>
    </row>
    <row r="1339" spans="1:12" hidden="1">
      <c r="A1339" s="1260">
        <v>17</v>
      </c>
      <c r="B1339" s="1254">
        <v>46132</v>
      </c>
      <c r="C1339" s="1255">
        <v>46138</v>
      </c>
      <c r="D1339" s="933">
        <v>61</v>
      </c>
      <c r="E1339" s="933" t="s">
        <v>742</v>
      </c>
      <c r="F1339" s="933" t="s">
        <v>251</v>
      </c>
      <c r="G1339" s="933">
        <v>4</v>
      </c>
      <c r="H1339" s="933">
        <v>4</v>
      </c>
      <c r="I1339" s="933" t="s">
        <v>670</v>
      </c>
      <c r="J1339" s="934">
        <v>2.613636364</v>
      </c>
      <c r="K1339" s="934">
        <v>10.454545449999999</v>
      </c>
      <c r="L1339" s="938"/>
    </row>
    <row r="1340" spans="1:12" hidden="1">
      <c r="A1340" s="1260">
        <v>17</v>
      </c>
      <c r="B1340" s="1254">
        <v>46132</v>
      </c>
      <c r="C1340" s="1255">
        <v>46138</v>
      </c>
      <c r="D1340" s="933">
        <v>62</v>
      </c>
      <c r="E1340" s="933" t="s">
        <v>745</v>
      </c>
      <c r="F1340" s="933" t="s">
        <v>275</v>
      </c>
      <c r="G1340" s="933">
        <v>2</v>
      </c>
      <c r="H1340" s="933">
        <v>2</v>
      </c>
      <c r="I1340" s="933" t="s">
        <v>670</v>
      </c>
      <c r="J1340" s="934">
        <v>4.8863636359999996</v>
      </c>
      <c r="K1340" s="934">
        <v>9.7727272729999992</v>
      </c>
      <c r="L1340" s="938"/>
    </row>
    <row r="1341" spans="1:12" hidden="1">
      <c r="A1341" s="1260">
        <v>17</v>
      </c>
      <c r="B1341" s="1254">
        <v>46132</v>
      </c>
      <c r="C1341" s="1255">
        <v>46138</v>
      </c>
      <c r="D1341" s="933">
        <v>63</v>
      </c>
      <c r="E1341" s="933" t="s">
        <v>783</v>
      </c>
      <c r="F1341" s="933" t="s">
        <v>764</v>
      </c>
      <c r="G1341" s="933">
        <v>1</v>
      </c>
      <c r="H1341" s="933">
        <v>1</v>
      </c>
      <c r="I1341" s="933" t="s">
        <v>670</v>
      </c>
      <c r="J1341" s="934">
        <v>9.0909090910000003</v>
      </c>
      <c r="K1341" s="934">
        <v>9.0909090910000003</v>
      </c>
      <c r="L1341" s="938"/>
    </row>
    <row r="1342" spans="1:12" hidden="1">
      <c r="A1342" s="1260">
        <v>17</v>
      </c>
      <c r="B1342" s="1254">
        <v>46132</v>
      </c>
      <c r="C1342" s="1255">
        <v>46138</v>
      </c>
      <c r="D1342" s="933">
        <v>64</v>
      </c>
      <c r="E1342" s="933" t="s">
        <v>728</v>
      </c>
      <c r="F1342" s="933" t="s">
        <v>695</v>
      </c>
      <c r="G1342" s="933">
        <v>1</v>
      </c>
      <c r="H1342" s="933">
        <v>1</v>
      </c>
      <c r="I1342" s="933" t="s">
        <v>670</v>
      </c>
      <c r="J1342" s="934">
        <v>8.0909090910000003</v>
      </c>
      <c r="K1342" s="934">
        <v>8.0909090910000003</v>
      </c>
      <c r="L1342" s="938"/>
    </row>
    <row r="1343" spans="1:12" hidden="1">
      <c r="A1343" s="1260">
        <v>17</v>
      </c>
      <c r="B1343" s="1254">
        <v>46132</v>
      </c>
      <c r="C1343" s="1255">
        <v>46138</v>
      </c>
      <c r="D1343" s="933">
        <v>65</v>
      </c>
      <c r="E1343" s="933" t="s">
        <v>737</v>
      </c>
      <c r="F1343" s="933" t="s">
        <v>249</v>
      </c>
      <c r="G1343" s="933">
        <v>5</v>
      </c>
      <c r="H1343" s="933">
        <v>5</v>
      </c>
      <c r="I1343" s="933" t="s">
        <v>670</v>
      </c>
      <c r="J1343" s="934">
        <v>1.6</v>
      </c>
      <c r="K1343" s="934">
        <v>8</v>
      </c>
      <c r="L1343" s="938"/>
    </row>
    <row r="1344" spans="1:12" hidden="1">
      <c r="A1344" s="1260">
        <v>17</v>
      </c>
      <c r="B1344" s="1254">
        <v>46132</v>
      </c>
      <c r="C1344" s="1255">
        <v>46138</v>
      </c>
      <c r="D1344" s="933">
        <v>66</v>
      </c>
      <c r="E1344" s="933" t="s">
        <v>694</v>
      </c>
      <c r="F1344" s="933" t="s">
        <v>695</v>
      </c>
      <c r="G1344" s="933">
        <v>2</v>
      </c>
      <c r="H1344" s="933">
        <v>2</v>
      </c>
      <c r="I1344" s="933" t="s">
        <v>670</v>
      </c>
      <c r="J1344" s="934">
        <v>3.75</v>
      </c>
      <c r="K1344" s="934">
        <v>7.5</v>
      </c>
      <c r="L1344" s="938"/>
    </row>
    <row r="1345" spans="1:12" hidden="1">
      <c r="A1345" s="1260">
        <v>17</v>
      </c>
      <c r="B1345" s="1254">
        <v>46132</v>
      </c>
      <c r="C1345" s="1255">
        <v>46138</v>
      </c>
      <c r="D1345" s="933">
        <v>67</v>
      </c>
      <c r="E1345" s="933" t="s">
        <v>714</v>
      </c>
      <c r="F1345" s="933" t="s">
        <v>251</v>
      </c>
      <c r="G1345" s="933">
        <v>5</v>
      </c>
      <c r="H1345" s="933">
        <v>5</v>
      </c>
      <c r="I1345" s="933" t="s">
        <v>670</v>
      </c>
      <c r="J1345" s="934">
        <v>1.4090909089999999</v>
      </c>
      <c r="K1345" s="934">
        <v>7.0454545450000001</v>
      </c>
      <c r="L1345" s="938"/>
    </row>
    <row r="1346" spans="1:12" hidden="1">
      <c r="A1346" s="1260">
        <v>17</v>
      </c>
      <c r="B1346" s="1254">
        <v>46132</v>
      </c>
      <c r="C1346" s="1255">
        <v>46138</v>
      </c>
      <c r="D1346" s="933">
        <v>68</v>
      </c>
      <c r="E1346" s="933" t="s">
        <v>736</v>
      </c>
      <c r="F1346" s="933" t="s">
        <v>251</v>
      </c>
      <c r="G1346" s="933">
        <v>3</v>
      </c>
      <c r="H1346" s="933">
        <v>3</v>
      </c>
      <c r="I1346" s="933" t="s">
        <v>670</v>
      </c>
      <c r="J1346" s="934">
        <v>2.2272727269999999</v>
      </c>
      <c r="K1346" s="934">
        <v>6.6818181819999998</v>
      </c>
      <c r="L1346" s="938"/>
    </row>
    <row r="1347" spans="1:12" hidden="1">
      <c r="A1347" s="1260">
        <v>17</v>
      </c>
      <c r="B1347" s="1254">
        <v>46132</v>
      </c>
      <c r="C1347" s="1255">
        <v>46138</v>
      </c>
      <c r="D1347" s="933">
        <v>69</v>
      </c>
      <c r="E1347" s="933" t="s">
        <v>709</v>
      </c>
      <c r="F1347" s="933" t="s">
        <v>276</v>
      </c>
      <c r="G1347" s="933">
        <v>2</v>
      </c>
      <c r="H1347" s="933">
        <v>2</v>
      </c>
      <c r="I1347" s="933" t="s">
        <v>672</v>
      </c>
      <c r="J1347" s="934">
        <v>3.2272727269999999</v>
      </c>
      <c r="K1347" s="934">
        <v>6.4545454549999999</v>
      </c>
      <c r="L1347" s="938"/>
    </row>
    <row r="1348" spans="1:12" hidden="1">
      <c r="A1348" s="1260">
        <v>17</v>
      </c>
      <c r="B1348" s="1254">
        <v>46132</v>
      </c>
      <c r="C1348" s="1255">
        <v>46138</v>
      </c>
      <c r="D1348" s="933">
        <v>70</v>
      </c>
      <c r="E1348" s="933" t="s">
        <v>687</v>
      </c>
      <c r="F1348" s="933" t="s">
        <v>253</v>
      </c>
      <c r="G1348" s="933">
        <v>2</v>
      </c>
      <c r="H1348" s="933">
        <v>2</v>
      </c>
      <c r="I1348" s="933" t="s">
        <v>670</v>
      </c>
      <c r="J1348" s="934">
        <v>2.9545454549999999</v>
      </c>
      <c r="K1348" s="934">
        <v>5.9090909089999997</v>
      </c>
      <c r="L1348" s="938"/>
    </row>
    <row r="1349" spans="1:12" hidden="1">
      <c r="A1349" s="1260">
        <v>17</v>
      </c>
      <c r="B1349" s="1254">
        <v>46132</v>
      </c>
      <c r="C1349" s="1255">
        <v>46138</v>
      </c>
      <c r="D1349" s="933">
        <v>71</v>
      </c>
      <c r="E1349" s="933" t="s">
        <v>740</v>
      </c>
      <c r="F1349" s="933" t="s">
        <v>264</v>
      </c>
      <c r="G1349" s="933">
        <v>2</v>
      </c>
      <c r="H1349" s="933">
        <v>2</v>
      </c>
      <c r="I1349" s="933" t="s">
        <v>741</v>
      </c>
      <c r="J1349" s="934">
        <v>2.5</v>
      </c>
      <c r="K1349" s="934">
        <v>5</v>
      </c>
      <c r="L1349" s="938"/>
    </row>
    <row r="1350" spans="1:12" hidden="1">
      <c r="A1350" s="1260">
        <v>17</v>
      </c>
      <c r="B1350" s="1254">
        <v>46132</v>
      </c>
      <c r="C1350" s="1255">
        <v>46138</v>
      </c>
      <c r="D1350" s="933">
        <v>72</v>
      </c>
      <c r="E1350" s="933" t="s">
        <v>731</v>
      </c>
      <c r="F1350" s="933" t="s">
        <v>251</v>
      </c>
      <c r="G1350" s="933">
        <v>2</v>
      </c>
      <c r="H1350" s="933">
        <v>2</v>
      </c>
      <c r="I1350" s="933" t="s">
        <v>670</v>
      </c>
      <c r="J1350" s="934">
        <v>2.4772727269999999</v>
      </c>
      <c r="K1350" s="934">
        <v>4.9545454549999999</v>
      </c>
      <c r="L1350" s="938"/>
    </row>
    <row r="1351" spans="1:12" hidden="1">
      <c r="A1351" s="1260">
        <v>17</v>
      </c>
      <c r="B1351" s="1254">
        <v>46132</v>
      </c>
      <c r="C1351" s="1255">
        <v>46138</v>
      </c>
      <c r="D1351" s="933">
        <v>73</v>
      </c>
      <c r="E1351" s="933" t="s">
        <v>755</v>
      </c>
      <c r="F1351" s="933" t="s">
        <v>251</v>
      </c>
      <c r="G1351" s="933">
        <v>2</v>
      </c>
      <c r="H1351" s="933">
        <v>2</v>
      </c>
      <c r="I1351" s="933" t="s">
        <v>670</v>
      </c>
      <c r="J1351" s="934">
        <v>2.4772727269999999</v>
      </c>
      <c r="K1351" s="934">
        <v>4.9545454549999999</v>
      </c>
      <c r="L1351" s="938"/>
    </row>
    <row r="1352" spans="1:12" hidden="1">
      <c r="A1352" s="1260">
        <v>17</v>
      </c>
      <c r="B1352" s="1254">
        <v>46132</v>
      </c>
      <c r="C1352" s="1255">
        <v>46138</v>
      </c>
      <c r="D1352" s="933">
        <v>74</v>
      </c>
      <c r="E1352" s="933" t="s">
        <v>814</v>
      </c>
      <c r="F1352" s="933" t="s">
        <v>815</v>
      </c>
      <c r="G1352" s="933">
        <v>1</v>
      </c>
      <c r="H1352" s="933">
        <v>1</v>
      </c>
      <c r="I1352" s="933" t="s">
        <v>670</v>
      </c>
      <c r="J1352" s="934">
        <v>4.9090909089999997</v>
      </c>
      <c r="K1352" s="934">
        <v>4.9090909089999997</v>
      </c>
      <c r="L1352" s="938"/>
    </row>
    <row r="1353" spans="1:12" hidden="1">
      <c r="A1353" s="1260">
        <v>17</v>
      </c>
      <c r="B1353" s="1254">
        <v>46132</v>
      </c>
      <c r="C1353" s="1255">
        <v>46138</v>
      </c>
      <c r="D1353" s="933">
        <v>75</v>
      </c>
      <c r="E1353" s="933" t="s">
        <v>769</v>
      </c>
      <c r="F1353" s="933" t="s">
        <v>730</v>
      </c>
      <c r="G1353" s="933">
        <v>1</v>
      </c>
      <c r="H1353" s="933">
        <v>1</v>
      </c>
      <c r="I1353" s="933" t="s">
        <v>670</v>
      </c>
      <c r="J1353" s="934">
        <v>4.9090909089999997</v>
      </c>
      <c r="K1353" s="934">
        <v>4.9090909089999997</v>
      </c>
      <c r="L1353" s="938"/>
    </row>
    <row r="1354" spans="1:12" hidden="1">
      <c r="A1354" s="1260">
        <v>17</v>
      </c>
      <c r="B1354" s="1254">
        <v>46132</v>
      </c>
      <c r="C1354" s="1255">
        <v>46138</v>
      </c>
      <c r="D1354" s="933">
        <v>76</v>
      </c>
      <c r="E1354" s="933" t="s">
        <v>702</v>
      </c>
      <c r="F1354" s="933" t="s">
        <v>251</v>
      </c>
      <c r="G1354" s="933">
        <v>2</v>
      </c>
      <c r="H1354" s="933">
        <v>2</v>
      </c>
      <c r="I1354" s="933" t="s">
        <v>670</v>
      </c>
      <c r="J1354" s="934">
        <v>2.4090909090000001</v>
      </c>
      <c r="K1354" s="934">
        <v>4.8181818180000002</v>
      </c>
      <c r="L1354" s="938"/>
    </row>
    <row r="1355" spans="1:12" hidden="1">
      <c r="A1355" s="1260">
        <v>17</v>
      </c>
      <c r="B1355" s="1254">
        <v>46132</v>
      </c>
      <c r="C1355" s="1255">
        <v>46138</v>
      </c>
      <c r="D1355" s="933">
        <v>77</v>
      </c>
      <c r="E1355" s="933" t="s">
        <v>817</v>
      </c>
      <c r="F1355" s="933" t="s">
        <v>713</v>
      </c>
      <c r="G1355" s="933">
        <v>1</v>
      </c>
      <c r="H1355" s="933">
        <v>1</v>
      </c>
      <c r="I1355" s="933" t="s">
        <v>670</v>
      </c>
      <c r="J1355" s="934">
        <v>4.4545454549999999</v>
      </c>
      <c r="K1355" s="934">
        <v>4.4545454549999999</v>
      </c>
      <c r="L1355" s="938"/>
    </row>
    <row r="1356" spans="1:12" hidden="1">
      <c r="A1356" s="1260">
        <v>17</v>
      </c>
      <c r="B1356" s="1254">
        <v>46132</v>
      </c>
      <c r="C1356" s="1255">
        <v>46138</v>
      </c>
      <c r="D1356" s="933">
        <v>78</v>
      </c>
      <c r="E1356" s="933" t="s">
        <v>808</v>
      </c>
      <c r="F1356" s="933" t="s">
        <v>268</v>
      </c>
      <c r="G1356" s="933">
        <v>5</v>
      </c>
      <c r="H1356" s="933">
        <v>5</v>
      </c>
      <c r="I1356" s="933" t="s">
        <v>670</v>
      </c>
      <c r="J1356" s="934">
        <v>0.590909091</v>
      </c>
      <c r="K1356" s="934">
        <v>2.9545454549999999</v>
      </c>
      <c r="L1356" s="938"/>
    </row>
    <row r="1357" spans="1:12" hidden="1">
      <c r="A1357" s="1260">
        <v>17</v>
      </c>
      <c r="B1357" s="1254">
        <v>46132</v>
      </c>
      <c r="C1357" s="1255">
        <v>46138</v>
      </c>
      <c r="D1357" s="933">
        <v>79</v>
      </c>
      <c r="E1357" s="933" t="s">
        <v>761</v>
      </c>
      <c r="F1357" s="933" t="s">
        <v>730</v>
      </c>
      <c r="G1357" s="933">
        <v>1</v>
      </c>
      <c r="H1357" s="933">
        <v>1</v>
      </c>
      <c r="I1357" s="933" t="s">
        <v>670</v>
      </c>
      <c r="J1357" s="934">
        <v>2.8181818179999998</v>
      </c>
      <c r="K1357" s="934">
        <v>2.8181818179999998</v>
      </c>
      <c r="L1357" s="938"/>
    </row>
    <row r="1358" spans="1:12" hidden="1">
      <c r="A1358" s="1260">
        <v>17</v>
      </c>
      <c r="B1358" s="1254">
        <v>46132</v>
      </c>
      <c r="C1358" s="1255">
        <v>46138</v>
      </c>
      <c r="D1358" s="933">
        <v>80</v>
      </c>
      <c r="E1358" s="933" t="s">
        <v>735</v>
      </c>
      <c r="F1358" s="933" t="s">
        <v>730</v>
      </c>
      <c r="G1358" s="933">
        <v>1</v>
      </c>
      <c r="H1358" s="933">
        <v>1</v>
      </c>
      <c r="I1358" s="933" t="s">
        <v>670</v>
      </c>
      <c r="J1358" s="934">
        <v>2.8181818179999998</v>
      </c>
      <c r="K1358" s="934">
        <v>2.8181818179999998</v>
      </c>
      <c r="L1358" s="938"/>
    </row>
    <row r="1359" spans="1:12" hidden="1">
      <c r="A1359" s="1260">
        <v>17</v>
      </c>
      <c r="B1359" s="1254">
        <v>46132</v>
      </c>
      <c r="C1359" s="1255">
        <v>46138</v>
      </c>
      <c r="D1359" s="933">
        <v>81</v>
      </c>
      <c r="E1359" s="933" t="s">
        <v>811</v>
      </c>
      <c r="F1359" s="933" t="s">
        <v>275</v>
      </c>
      <c r="G1359" s="933">
        <v>1</v>
      </c>
      <c r="H1359" s="933">
        <v>1</v>
      </c>
      <c r="I1359" s="933" t="s">
        <v>670</v>
      </c>
      <c r="J1359" s="934">
        <v>2.7272727269999999</v>
      </c>
      <c r="K1359" s="934">
        <v>2.7272727269999999</v>
      </c>
      <c r="L1359" s="938"/>
    </row>
    <row r="1360" spans="1:12" hidden="1">
      <c r="A1360" s="1260">
        <v>17</v>
      </c>
      <c r="B1360" s="1254">
        <v>46132</v>
      </c>
      <c r="C1360" s="1255">
        <v>46138</v>
      </c>
      <c r="D1360" s="933">
        <v>82</v>
      </c>
      <c r="E1360" s="933" t="s">
        <v>757</v>
      </c>
      <c r="F1360" s="933" t="s">
        <v>251</v>
      </c>
      <c r="G1360" s="933">
        <v>1</v>
      </c>
      <c r="H1360" s="933">
        <v>1</v>
      </c>
      <c r="I1360" s="933" t="s">
        <v>670</v>
      </c>
      <c r="J1360" s="934">
        <v>2.5</v>
      </c>
      <c r="K1360" s="934">
        <v>2.5</v>
      </c>
      <c r="L1360" s="938"/>
    </row>
    <row r="1361" spans="1:12" hidden="1">
      <c r="A1361" s="1260">
        <v>17</v>
      </c>
      <c r="B1361" s="1254">
        <v>46132</v>
      </c>
      <c r="C1361" s="1255">
        <v>46138</v>
      </c>
      <c r="D1361" s="933">
        <v>83</v>
      </c>
      <c r="E1361" s="933" t="s">
        <v>722</v>
      </c>
      <c r="F1361" s="933" t="s">
        <v>251</v>
      </c>
      <c r="G1361" s="933">
        <v>1</v>
      </c>
      <c r="H1361" s="933">
        <v>1</v>
      </c>
      <c r="I1361" s="933" t="s">
        <v>670</v>
      </c>
      <c r="J1361" s="934">
        <v>2.4090909090000001</v>
      </c>
      <c r="K1361" s="934">
        <v>2.4090909090000001</v>
      </c>
      <c r="L1361" s="938"/>
    </row>
    <row r="1362" spans="1:12" hidden="1">
      <c r="A1362" s="1260">
        <v>17</v>
      </c>
      <c r="B1362" s="1254">
        <v>46132</v>
      </c>
      <c r="C1362" s="1255">
        <v>46138</v>
      </c>
      <c r="D1362" s="933">
        <v>84</v>
      </c>
      <c r="E1362" s="933" t="s">
        <v>756</v>
      </c>
      <c r="F1362" s="933" t="s">
        <v>251</v>
      </c>
      <c r="G1362" s="933">
        <v>1</v>
      </c>
      <c r="H1362" s="933">
        <v>1</v>
      </c>
      <c r="I1362" s="933" t="s">
        <v>670</v>
      </c>
      <c r="J1362" s="934">
        <v>2.2727272730000001</v>
      </c>
      <c r="K1362" s="934">
        <v>2.2727272730000001</v>
      </c>
      <c r="L1362" s="938"/>
    </row>
    <row r="1363" spans="1:12" hidden="1">
      <c r="A1363" s="1260">
        <v>17</v>
      </c>
      <c r="B1363" s="1254">
        <v>46132</v>
      </c>
      <c r="C1363" s="1255">
        <v>46138</v>
      </c>
      <c r="D1363" s="933">
        <v>85</v>
      </c>
      <c r="E1363" s="933" t="s">
        <v>746</v>
      </c>
      <c r="F1363" s="933" t="s">
        <v>251</v>
      </c>
      <c r="G1363" s="933">
        <v>1</v>
      </c>
      <c r="H1363" s="933">
        <v>1</v>
      </c>
      <c r="I1363" s="933" t="s">
        <v>670</v>
      </c>
      <c r="J1363" s="934">
        <v>2.2727272730000001</v>
      </c>
      <c r="K1363" s="934">
        <v>2.2727272730000001</v>
      </c>
      <c r="L1363" s="938"/>
    </row>
    <row r="1364" spans="1:12" hidden="1">
      <c r="A1364" s="1260">
        <v>17</v>
      </c>
      <c r="B1364" s="1254">
        <v>46132</v>
      </c>
      <c r="C1364" s="1255">
        <v>46138</v>
      </c>
      <c r="D1364" s="933">
        <v>86</v>
      </c>
      <c r="E1364" s="933" t="s">
        <v>752</v>
      </c>
      <c r="F1364" s="933" t="s">
        <v>264</v>
      </c>
      <c r="G1364" s="933">
        <v>1</v>
      </c>
      <c r="H1364" s="933">
        <v>1</v>
      </c>
      <c r="I1364" s="933" t="s">
        <v>670</v>
      </c>
      <c r="J1364" s="934">
        <v>1.4545454550000001</v>
      </c>
      <c r="K1364" s="934">
        <v>1.4545454550000001</v>
      </c>
      <c r="L1364" s="938"/>
    </row>
    <row r="1365" spans="1:12" hidden="1">
      <c r="A1365" s="1260">
        <v>17</v>
      </c>
      <c r="B1365" s="1254">
        <v>46132</v>
      </c>
      <c r="C1365" s="1255">
        <v>46138</v>
      </c>
      <c r="D1365" s="933">
        <v>87</v>
      </c>
      <c r="E1365" s="933" t="s">
        <v>766</v>
      </c>
      <c r="F1365" s="933" t="s">
        <v>253</v>
      </c>
      <c r="G1365" s="933">
        <v>157</v>
      </c>
      <c r="H1365" s="933">
        <v>157</v>
      </c>
      <c r="I1365" s="933" t="s">
        <v>672</v>
      </c>
      <c r="J1365" s="934">
        <v>5.7903879999999996E-3</v>
      </c>
      <c r="K1365" s="934">
        <v>0.909090909</v>
      </c>
      <c r="L1365" s="938"/>
    </row>
    <row r="1366" spans="1:12" hidden="1">
      <c r="A1366" s="1260">
        <v>17</v>
      </c>
      <c r="B1366" s="1254">
        <v>46132</v>
      </c>
      <c r="C1366" s="1255">
        <v>46138</v>
      </c>
      <c r="D1366" s="933">
        <v>88</v>
      </c>
      <c r="E1366" s="933" t="s">
        <v>681</v>
      </c>
      <c r="F1366" s="933" t="s">
        <v>282</v>
      </c>
      <c r="G1366" s="933">
        <v>7</v>
      </c>
      <c r="H1366" s="933">
        <v>7</v>
      </c>
      <c r="I1366" s="933" t="s">
        <v>672</v>
      </c>
      <c r="J1366" s="934">
        <v>4.5454544999999999E-2</v>
      </c>
      <c r="K1366" s="934">
        <v>0.31818181800000001</v>
      </c>
      <c r="L1366" s="938"/>
    </row>
    <row r="1367" spans="1:12" hidden="1">
      <c r="A1367" s="1260">
        <v>17</v>
      </c>
      <c r="B1367" s="1254">
        <v>46132</v>
      </c>
      <c r="C1367" s="1255">
        <v>46138</v>
      </c>
      <c r="D1367" s="933">
        <v>89</v>
      </c>
      <c r="E1367" s="933" t="s">
        <v>715</v>
      </c>
      <c r="F1367" s="933"/>
      <c r="G1367" s="933">
        <v>-1</v>
      </c>
      <c r="H1367" s="933">
        <v>-1</v>
      </c>
      <c r="I1367" s="933" t="s">
        <v>670</v>
      </c>
      <c r="J1367" s="934">
        <v>0</v>
      </c>
      <c r="K1367" s="934">
        <v>0</v>
      </c>
      <c r="L1367" s="938"/>
    </row>
    <row r="1368" spans="1:12" hidden="1">
      <c r="A1368" s="1260">
        <v>17</v>
      </c>
      <c r="B1368" s="1254">
        <v>46132</v>
      </c>
      <c r="C1368" s="1255">
        <v>46138</v>
      </c>
      <c r="D1368" s="933">
        <v>90</v>
      </c>
      <c r="E1368" s="933" t="s">
        <v>750</v>
      </c>
      <c r="F1368" s="933" t="s">
        <v>323</v>
      </c>
      <c r="G1368" s="933">
        <v>2</v>
      </c>
      <c r="H1368" s="933">
        <v>2</v>
      </c>
      <c r="I1368" s="933" t="s">
        <v>670</v>
      </c>
      <c r="J1368" s="934">
        <v>0</v>
      </c>
      <c r="K1368" s="934">
        <v>0</v>
      </c>
      <c r="L1368" s="938"/>
    </row>
    <row r="1369" spans="1:12" hidden="1">
      <c r="A1369" s="1260">
        <v>17</v>
      </c>
      <c r="B1369" s="1254">
        <v>46132</v>
      </c>
      <c r="C1369" s="1255">
        <v>46138</v>
      </c>
      <c r="D1369" s="933">
        <v>91</v>
      </c>
      <c r="E1369" s="933" t="s">
        <v>699</v>
      </c>
      <c r="F1369" s="933" t="s">
        <v>249</v>
      </c>
      <c r="G1369" s="933">
        <v>3</v>
      </c>
      <c r="H1369" s="933">
        <v>3</v>
      </c>
      <c r="I1369" s="933" t="s">
        <v>670</v>
      </c>
      <c r="J1369" s="934">
        <v>0</v>
      </c>
      <c r="K1369" s="934">
        <v>0</v>
      </c>
      <c r="L1369" s="938"/>
    </row>
    <row r="1370" spans="1:12" hidden="1">
      <c r="A1370" s="1260">
        <v>17</v>
      </c>
      <c r="B1370" s="1254">
        <v>46132</v>
      </c>
      <c r="C1370" s="1255">
        <v>46138</v>
      </c>
      <c r="D1370" s="933">
        <v>92</v>
      </c>
      <c r="E1370" s="933" t="s">
        <v>727</v>
      </c>
      <c r="F1370" s="933" t="s">
        <v>275</v>
      </c>
      <c r="G1370" s="933">
        <v>69</v>
      </c>
      <c r="H1370" s="933">
        <v>69</v>
      </c>
      <c r="I1370" s="933" t="s">
        <v>670</v>
      </c>
      <c r="J1370" s="934">
        <v>0</v>
      </c>
      <c r="K1370" s="934">
        <v>0</v>
      </c>
      <c r="L1370" s="938"/>
    </row>
    <row r="1371" spans="1:12" hidden="1">
      <c r="A1371" s="1260">
        <v>17</v>
      </c>
      <c r="B1371" s="1254">
        <v>46132</v>
      </c>
      <c r="C1371" s="1255">
        <v>46138</v>
      </c>
      <c r="D1371" s="933">
        <v>93</v>
      </c>
      <c r="E1371" s="933" t="s">
        <v>716</v>
      </c>
      <c r="F1371" s="933" t="s">
        <v>251</v>
      </c>
      <c r="G1371" s="933">
        <v>11</v>
      </c>
      <c r="H1371" s="933">
        <v>11</v>
      </c>
      <c r="I1371" s="933" t="s">
        <v>670</v>
      </c>
      <c r="J1371" s="934">
        <v>0</v>
      </c>
      <c r="K1371" s="934">
        <v>0</v>
      </c>
      <c r="L1371" s="938"/>
    </row>
    <row r="1372" spans="1:12" hidden="1">
      <c r="A1372" s="1260">
        <v>17</v>
      </c>
      <c r="B1372" s="1254">
        <v>46132</v>
      </c>
      <c r="C1372" s="1255">
        <v>46138</v>
      </c>
      <c r="D1372" s="933">
        <v>94</v>
      </c>
      <c r="E1372" s="933" t="s">
        <v>760</v>
      </c>
      <c r="F1372" s="933" t="s">
        <v>253</v>
      </c>
      <c r="G1372" s="933">
        <v>4</v>
      </c>
      <c r="H1372" s="933">
        <v>4</v>
      </c>
      <c r="I1372" s="933" t="s">
        <v>672</v>
      </c>
      <c r="J1372" s="934">
        <v>0</v>
      </c>
      <c r="K1372" s="934">
        <v>0</v>
      </c>
      <c r="L1372" s="938"/>
    </row>
    <row r="1373" spans="1:12" hidden="1">
      <c r="A1373" s="1260">
        <v>17</v>
      </c>
      <c r="B1373" s="1254">
        <v>46132</v>
      </c>
      <c r="C1373" s="1255">
        <v>46138</v>
      </c>
      <c r="D1373" s="933">
        <v>95</v>
      </c>
      <c r="E1373" s="933" t="s">
        <v>692</v>
      </c>
      <c r="F1373" s="933"/>
      <c r="G1373" s="933">
        <v>-2</v>
      </c>
      <c r="H1373" s="933">
        <v>-2</v>
      </c>
      <c r="I1373" s="933" t="s">
        <v>670</v>
      </c>
      <c r="J1373" s="934">
        <v>0</v>
      </c>
      <c r="K1373" s="934">
        <v>0</v>
      </c>
      <c r="L1373" s="938"/>
    </row>
    <row r="1374" spans="1:12">
      <c r="A1374" s="1260">
        <v>17</v>
      </c>
      <c r="B1374" s="1254">
        <v>46132</v>
      </c>
      <c r="C1374" s="1255">
        <v>46138</v>
      </c>
      <c r="D1374" s="933">
        <v>96</v>
      </c>
      <c r="E1374" s="933" t="s">
        <v>806</v>
      </c>
      <c r="F1374" s="933" t="s">
        <v>256</v>
      </c>
      <c r="G1374" s="933">
        <v>17</v>
      </c>
      <c r="H1374" s="933">
        <v>17</v>
      </c>
      <c r="I1374" s="933" t="s">
        <v>670</v>
      </c>
      <c r="J1374" s="934">
        <v>-0.14171123199999999</v>
      </c>
      <c r="K1374" s="934">
        <v>-2.4090909090000001</v>
      </c>
      <c r="L1374" s="938"/>
    </row>
    <row r="1375" spans="1:12" hidden="1">
      <c r="A1375" s="1260">
        <v>18</v>
      </c>
      <c r="B1375" s="1254">
        <v>46139</v>
      </c>
      <c r="C1375" s="1255">
        <v>46145</v>
      </c>
      <c r="D1375" s="933">
        <v>1</v>
      </c>
      <c r="E1375" s="933" t="s">
        <v>254</v>
      </c>
      <c r="F1375" s="933" t="s">
        <v>254</v>
      </c>
      <c r="G1375" s="933">
        <v>17</v>
      </c>
      <c r="H1375" s="933">
        <v>17</v>
      </c>
      <c r="I1375" s="933" t="s">
        <v>670</v>
      </c>
      <c r="J1375" s="934">
        <v>13.545454550000001</v>
      </c>
      <c r="K1375" s="934">
        <v>230.27272730000001</v>
      </c>
      <c r="L1375" s="938"/>
    </row>
    <row r="1376" spans="1:12" hidden="1">
      <c r="A1376" s="1260">
        <v>18</v>
      </c>
      <c r="B1376" s="1254">
        <v>46139</v>
      </c>
      <c r="C1376" s="1255">
        <v>46145</v>
      </c>
      <c r="D1376" s="933">
        <v>2</v>
      </c>
      <c r="E1376" s="933" t="s">
        <v>685</v>
      </c>
      <c r="F1376" s="933" t="s">
        <v>256</v>
      </c>
      <c r="G1376" s="933">
        <v>6</v>
      </c>
      <c r="H1376" s="933">
        <v>6</v>
      </c>
      <c r="I1376" s="933" t="s">
        <v>670</v>
      </c>
      <c r="J1376" s="934">
        <v>8.3712121209999992</v>
      </c>
      <c r="K1376" s="934">
        <v>150.22727269999999</v>
      </c>
      <c r="L1376" s="938"/>
    </row>
    <row r="1377" spans="1:12" hidden="1">
      <c r="A1377" s="1260">
        <v>18</v>
      </c>
      <c r="B1377" s="1254">
        <v>46139</v>
      </c>
      <c r="C1377" s="1255">
        <v>46145</v>
      </c>
      <c r="D1377" s="933">
        <v>3</v>
      </c>
      <c r="E1377" s="933" t="s">
        <v>679</v>
      </c>
      <c r="F1377" s="933" t="s">
        <v>256</v>
      </c>
      <c r="G1377" s="933">
        <v>4</v>
      </c>
      <c r="H1377" s="933">
        <v>4</v>
      </c>
      <c r="I1377" s="933" t="s">
        <v>670</v>
      </c>
      <c r="J1377" s="934">
        <v>9.1477272729999992</v>
      </c>
      <c r="K1377" s="934">
        <v>36.590909089999997</v>
      </c>
      <c r="L1377" s="938"/>
    </row>
    <row r="1378" spans="1:12" hidden="1">
      <c r="A1378" s="1260">
        <v>18</v>
      </c>
      <c r="B1378" s="1254">
        <v>46139</v>
      </c>
      <c r="C1378" s="1255">
        <v>46145</v>
      </c>
      <c r="D1378" s="933">
        <v>4</v>
      </c>
      <c r="E1378" s="933" t="s">
        <v>790</v>
      </c>
      <c r="F1378" s="933" t="s">
        <v>264</v>
      </c>
      <c r="G1378" s="933">
        <v>11</v>
      </c>
      <c r="H1378" s="933">
        <v>11</v>
      </c>
      <c r="I1378" s="933" t="s">
        <v>670</v>
      </c>
      <c r="J1378" s="934">
        <v>3.2851239670000001</v>
      </c>
      <c r="K1378" s="934">
        <v>36.136363639999999</v>
      </c>
      <c r="L1378" s="938"/>
    </row>
    <row r="1379" spans="1:12" hidden="1">
      <c r="A1379" s="1260">
        <v>18</v>
      </c>
      <c r="B1379" s="1254">
        <v>46139</v>
      </c>
      <c r="C1379" s="1255">
        <v>46145</v>
      </c>
      <c r="D1379" s="933">
        <v>5</v>
      </c>
      <c r="E1379" s="933" t="s">
        <v>684</v>
      </c>
      <c r="F1379" s="933" t="s">
        <v>323</v>
      </c>
      <c r="G1379" s="933">
        <v>4</v>
      </c>
      <c r="H1379" s="933">
        <v>4</v>
      </c>
      <c r="I1379" s="933" t="s">
        <v>670</v>
      </c>
      <c r="J1379" s="934">
        <v>9</v>
      </c>
      <c r="K1379" s="934">
        <v>36</v>
      </c>
      <c r="L1379" s="938"/>
    </row>
    <row r="1380" spans="1:12" hidden="1">
      <c r="A1380" s="1260">
        <v>18</v>
      </c>
      <c r="B1380" s="1254">
        <v>46139</v>
      </c>
      <c r="C1380" s="1255">
        <v>46145</v>
      </c>
      <c r="D1380" s="933">
        <v>6</v>
      </c>
      <c r="E1380" s="933" t="s">
        <v>707</v>
      </c>
      <c r="F1380" s="933" t="s">
        <v>256</v>
      </c>
      <c r="G1380" s="933">
        <v>4</v>
      </c>
      <c r="H1380" s="933">
        <v>4</v>
      </c>
      <c r="I1380" s="933" t="s">
        <v>670</v>
      </c>
      <c r="J1380" s="934">
        <v>8.8636363639999995</v>
      </c>
      <c r="K1380" s="934">
        <v>35.454545449999998</v>
      </c>
      <c r="L1380" s="938"/>
    </row>
    <row r="1381" spans="1:12" hidden="1">
      <c r="A1381" s="1260">
        <v>18</v>
      </c>
      <c r="B1381" s="1254">
        <v>46139</v>
      </c>
      <c r="C1381" s="1255">
        <v>46145</v>
      </c>
      <c r="D1381" s="933">
        <v>7</v>
      </c>
      <c r="E1381" s="933" t="s">
        <v>794</v>
      </c>
      <c r="F1381" s="933" t="s">
        <v>256</v>
      </c>
      <c r="G1381" s="933">
        <v>5</v>
      </c>
      <c r="H1381" s="933">
        <v>5</v>
      </c>
      <c r="I1381" s="933" t="s">
        <v>670</v>
      </c>
      <c r="J1381" s="934">
        <v>6.8636363640000004</v>
      </c>
      <c r="K1381" s="934">
        <v>34.31818182</v>
      </c>
      <c r="L1381" s="938"/>
    </row>
    <row r="1382" spans="1:12" hidden="1">
      <c r="A1382" s="1260">
        <v>18</v>
      </c>
      <c r="B1382" s="1254">
        <v>46139</v>
      </c>
      <c r="C1382" s="1255">
        <v>46145</v>
      </c>
      <c r="D1382" s="933">
        <v>8</v>
      </c>
      <c r="E1382" s="933" t="s">
        <v>262</v>
      </c>
      <c r="F1382" s="933" t="s">
        <v>256</v>
      </c>
      <c r="G1382" s="933">
        <v>3</v>
      </c>
      <c r="H1382" s="933">
        <v>3</v>
      </c>
      <c r="I1382" s="933" t="s">
        <v>670</v>
      </c>
      <c r="J1382" s="934">
        <v>10.969696969999999</v>
      </c>
      <c r="K1382" s="934">
        <v>32.909090910000003</v>
      </c>
      <c r="L1382" s="938"/>
    </row>
    <row r="1383" spans="1:12" hidden="1">
      <c r="A1383" s="1260">
        <v>18</v>
      </c>
      <c r="B1383" s="1254">
        <v>46139</v>
      </c>
      <c r="C1383" s="1255">
        <v>46145</v>
      </c>
      <c r="D1383" s="933">
        <v>9</v>
      </c>
      <c r="E1383" s="933" t="s">
        <v>791</v>
      </c>
      <c r="F1383" s="933" t="s">
        <v>256</v>
      </c>
      <c r="G1383" s="933">
        <v>6</v>
      </c>
      <c r="H1383" s="933">
        <v>6</v>
      </c>
      <c r="I1383" s="933" t="s">
        <v>670</v>
      </c>
      <c r="J1383" s="934">
        <v>5.1136363640000004</v>
      </c>
      <c r="K1383" s="934">
        <v>30.68181818</v>
      </c>
      <c r="L1383" s="938"/>
    </row>
    <row r="1384" spans="1:12" hidden="1">
      <c r="A1384" s="1260">
        <v>18</v>
      </c>
      <c r="B1384" s="1254">
        <v>46139</v>
      </c>
      <c r="C1384" s="1255">
        <v>46145</v>
      </c>
      <c r="D1384" s="933">
        <v>10</v>
      </c>
      <c r="E1384" s="933" t="s">
        <v>701</v>
      </c>
      <c r="F1384" s="933" t="s">
        <v>689</v>
      </c>
      <c r="G1384" s="933">
        <v>3</v>
      </c>
      <c r="H1384" s="933">
        <v>3</v>
      </c>
      <c r="I1384" s="933" t="s">
        <v>670</v>
      </c>
      <c r="J1384" s="934">
        <v>9.9848484850000006</v>
      </c>
      <c r="K1384" s="934">
        <v>29.954545450000001</v>
      </c>
      <c r="L1384" s="938"/>
    </row>
    <row r="1385" spans="1:12" hidden="1">
      <c r="A1385" s="1260">
        <v>18</v>
      </c>
      <c r="B1385" s="1254">
        <v>46139</v>
      </c>
      <c r="C1385" s="1255">
        <v>46145</v>
      </c>
      <c r="D1385" s="933">
        <v>11</v>
      </c>
      <c r="E1385" s="933" t="s">
        <v>687</v>
      </c>
      <c r="F1385" s="933" t="s">
        <v>253</v>
      </c>
      <c r="G1385" s="933">
        <v>10</v>
      </c>
      <c r="H1385" s="933">
        <v>10</v>
      </c>
      <c r="I1385" s="933" t="s">
        <v>670</v>
      </c>
      <c r="J1385" s="934">
        <v>2.8727272730000002</v>
      </c>
      <c r="K1385" s="934">
        <v>28.727272729999999</v>
      </c>
      <c r="L1385" s="938"/>
    </row>
    <row r="1386" spans="1:12" hidden="1">
      <c r="A1386" s="1260">
        <v>18</v>
      </c>
      <c r="B1386" s="1254">
        <v>46139</v>
      </c>
      <c r="C1386" s="1255">
        <v>46145</v>
      </c>
      <c r="D1386" s="933">
        <v>12</v>
      </c>
      <c r="E1386" s="933" t="s">
        <v>686</v>
      </c>
      <c r="F1386" s="933" t="s">
        <v>274</v>
      </c>
      <c r="G1386" s="933">
        <v>2</v>
      </c>
      <c r="H1386" s="933">
        <v>2</v>
      </c>
      <c r="I1386" s="933" t="s">
        <v>670</v>
      </c>
      <c r="J1386" s="934">
        <v>13.863636359999999</v>
      </c>
      <c r="K1386" s="934">
        <v>27.727272729999999</v>
      </c>
      <c r="L1386" s="938"/>
    </row>
    <row r="1387" spans="1:12" hidden="1">
      <c r="A1387" s="1260">
        <v>18</v>
      </c>
      <c r="B1387" s="1254">
        <v>46139</v>
      </c>
      <c r="C1387" s="1255">
        <v>46145</v>
      </c>
      <c r="D1387" s="933">
        <v>13</v>
      </c>
      <c r="E1387" s="933" t="s">
        <v>792</v>
      </c>
      <c r="F1387" s="933" t="s">
        <v>256</v>
      </c>
      <c r="G1387" s="933">
        <v>6</v>
      </c>
      <c r="H1387" s="933">
        <v>6</v>
      </c>
      <c r="I1387" s="933" t="s">
        <v>670</v>
      </c>
      <c r="J1387" s="934">
        <v>4.5454545450000001</v>
      </c>
      <c r="K1387" s="934">
        <v>27.272727270000001</v>
      </c>
      <c r="L1387" s="938"/>
    </row>
    <row r="1388" spans="1:12" hidden="1">
      <c r="A1388" s="1260">
        <v>18</v>
      </c>
      <c r="B1388" s="1254">
        <v>46139</v>
      </c>
      <c r="C1388" s="1255">
        <v>46145</v>
      </c>
      <c r="D1388" s="933">
        <v>14</v>
      </c>
      <c r="E1388" s="933" t="s">
        <v>255</v>
      </c>
      <c r="F1388" s="933" t="s">
        <v>256</v>
      </c>
      <c r="G1388" s="933">
        <v>5</v>
      </c>
      <c r="H1388" s="933">
        <v>5</v>
      </c>
      <c r="I1388" s="933" t="s">
        <v>670</v>
      </c>
      <c r="J1388" s="934">
        <v>5.1818181819999998</v>
      </c>
      <c r="K1388" s="934">
        <v>25.90909091</v>
      </c>
      <c r="L1388" s="938"/>
    </row>
    <row r="1389" spans="1:12" hidden="1">
      <c r="A1389" s="1260">
        <v>18</v>
      </c>
      <c r="B1389" s="1254">
        <v>46139</v>
      </c>
      <c r="C1389" s="1255">
        <v>46145</v>
      </c>
      <c r="D1389" s="933">
        <v>15</v>
      </c>
      <c r="E1389" s="933" t="s">
        <v>792</v>
      </c>
      <c r="F1389" s="933" t="s">
        <v>256</v>
      </c>
      <c r="G1389" s="933">
        <v>2</v>
      </c>
      <c r="H1389" s="933">
        <v>2</v>
      </c>
      <c r="I1389" s="933" t="s">
        <v>670</v>
      </c>
      <c r="J1389" s="934">
        <v>12.795454550000001</v>
      </c>
      <c r="K1389" s="934">
        <v>25.59090909</v>
      </c>
      <c r="L1389" s="938"/>
    </row>
    <row r="1390" spans="1:12" hidden="1">
      <c r="A1390" s="1260">
        <v>18</v>
      </c>
      <c r="B1390" s="1254">
        <v>46139</v>
      </c>
      <c r="C1390" s="1255">
        <v>46145</v>
      </c>
      <c r="D1390" s="933">
        <v>16</v>
      </c>
      <c r="E1390" s="933" t="s">
        <v>2710</v>
      </c>
      <c r="F1390" s="933" t="s">
        <v>282</v>
      </c>
      <c r="G1390" s="933">
        <v>2</v>
      </c>
      <c r="H1390" s="933">
        <v>2</v>
      </c>
      <c r="I1390" s="933" t="s">
        <v>670</v>
      </c>
      <c r="J1390" s="934">
        <v>11.84090909</v>
      </c>
      <c r="K1390" s="934">
        <v>23.68181818</v>
      </c>
      <c r="L1390" s="938"/>
    </row>
    <row r="1391" spans="1:12" hidden="1">
      <c r="A1391" s="1260">
        <v>18</v>
      </c>
      <c r="B1391" s="1254">
        <v>46139</v>
      </c>
      <c r="C1391" s="1255">
        <v>46145</v>
      </c>
      <c r="D1391" s="933">
        <v>17</v>
      </c>
      <c r="E1391" s="933" t="s">
        <v>696</v>
      </c>
      <c r="F1391" s="933" t="s">
        <v>323</v>
      </c>
      <c r="G1391" s="933">
        <v>2</v>
      </c>
      <c r="H1391" s="933">
        <v>2</v>
      </c>
      <c r="I1391" s="933" t="s">
        <v>670</v>
      </c>
      <c r="J1391" s="934">
        <v>11.022727270000001</v>
      </c>
      <c r="K1391" s="934">
        <v>22.045454549999999</v>
      </c>
      <c r="L1391" s="938"/>
    </row>
    <row r="1392" spans="1:12" hidden="1">
      <c r="A1392" s="1260">
        <v>18</v>
      </c>
      <c r="B1392" s="1254">
        <v>46139</v>
      </c>
      <c r="C1392" s="1255">
        <v>46145</v>
      </c>
      <c r="D1392" s="933">
        <v>18</v>
      </c>
      <c r="E1392" s="933" t="s">
        <v>261</v>
      </c>
      <c r="F1392" s="933" t="s">
        <v>256</v>
      </c>
      <c r="G1392" s="933">
        <v>9</v>
      </c>
      <c r="H1392" s="933">
        <v>9</v>
      </c>
      <c r="I1392" s="933" t="s">
        <v>670</v>
      </c>
      <c r="J1392" s="934">
        <v>2.2323232320000002</v>
      </c>
      <c r="K1392" s="934">
        <v>20.09090909</v>
      </c>
      <c r="L1392" s="938"/>
    </row>
    <row r="1393" spans="1:12" hidden="1">
      <c r="A1393" s="1260">
        <v>18</v>
      </c>
      <c r="B1393" s="1254">
        <v>46139</v>
      </c>
      <c r="C1393" s="1255">
        <v>46145</v>
      </c>
      <c r="D1393" s="933">
        <v>19</v>
      </c>
      <c r="E1393" s="933" t="s">
        <v>697</v>
      </c>
      <c r="F1393" s="933" t="s">
        <v>256</v>
      </c>
      <c r="G1393" s="933">
        <v>2</v>
      </c>
      <c r="H1393" s="933">
        <v>2</v>
      </c>
      <c r="I1393" s="933" t="s">
        <v>670</v>
      </c>
      <c r="J1393" s="934">
        <v>9.9090909089999997</v>
      </c>
      <c r="K1393" s="934">
        <v>19.81818182</v>
      </c>
      <c r="L1393" s="938"/>
    </row>
    <row r="1394" spans="1:12" hidden="1">
      <c r="A1394" s="1260">
        <v>18</v>
      </c>
      <c r="B1394" s="1254">
        <v>46139</v>
      </c>
      <c r="C1394" s="1255">
        <v>46145</v>
      </c>
      <c r="D1394" s="933">
        <v>20</v>
      </c>
      <c r="E1394" s="933" t="s">
        <v>678</v>
      </c>
      <c r="F1394" s="933" t="s">
        <v>256</v>
      </c>
      <c r="G1394" s="933">
        <v>3</v>
      </c>
      <c r="H1394" s="933">
        <v>3</v>
      </c>
      <c r="I1394" s="933" t="s">
        <v>670</v>
      </c>
      <c r="J1394" s="934">
        <v>6.348484848</v>
      </c>
      <c r="K1394" s="934">
        <v>19.045454549999999</v>
      </c>
      <c r="L1394" s="938"/>
    </row>
    <row r="1395" spans="1:12" hidden="1">
      <c r="A1395" s="1260">
        <v>18</v>
      </c>
      <c r="B1395" s="1254">
        <v>46139</v>
      </c>
      <c r="C1395" s="1255">
        <v>46145</v>
      </c>
      <c r="D1395" s="933">
        <v>21</v>
      </c>
      <c r="E1395" s="933" t="s">
        <v>248</v>
      </c>
      <c r="F1395" s="933" t="s">
        <v>249</v>
      </c>
      <c r="G1395" s="933">
        <v>12</v>
      </c>
      <c r="H1395" s="933">
        <v>12</v>
      </c>
      <c r="I1395" s="933" t="s">
        <v>670</v>
      </c>
      <c r="J1395" s="934">
        <v>1.5454545449999999</v>
      </c>
      <c r="K1395" s="934">
        <v>18.545454549999999</v>
      </c>
      <c r="L1395" s="938"/>
    </row>
    <row r="1396" spans="1:12" hidden="1">
      <c r="A1396" s="1260">
        <v>18</v>
      </c>
      <c r="B1396" s="1254">
        <v>46139</v>
      </c>
      <c r="C1396" s="1255">
        <v>46145</v>
      </c>
      <c r="D1396" s="933">
        <v>22</v>
      </c>
      <c r="E1396" s="933" t="s">
        <v>682</v>
      </c>
      <c r="F1396" s="933" t="s">
        <v>275</v>
      </c>
      <c r="G1396" s="933">
        <v>3</v>
      </c>
      <c r="H1396" s="933">
        <v>3</v>
      </c>
      <c r="I1396" s="933" t="s">
        <v>670</v>
      </c>
      <c r="J1396" s="934">
        <v>5.9848484849999997</v>
      </c>
      <c r="K1396" s="934">
        <v>17.954545450000001</v>
      </c>
      <c r="L1396" s="938"/>
    </row>
    <row r="1397" spans="1:12" hidden="1">
      <c r="A1397" s="1260">
        <v>18</v>
      </c>
      <c r="B1397" s="1254">
        <v>46139</v>
      </c>
      <c r="C1397" s="1255">
        <v>46145</v>
      </c>
      <c r="D1397" s="933">
        <v>23</v>
      </c>
      <c r="E1397" s="933" t="s">
        <v>781</v>
      </c>
      <c r="F1397" s="933" t="s">
        <v>764</v>
      </c>
      <c r="G1397" s="933">
        <v>1</v>
      </c>
      <c r="H1397" s="933">
        <v>1</v>
      </c>
      <c r="I1397" s="933" t="s">
        <v>670</v>
      </c>
      <c r="J1397" s="934">
        <v>14.454545449999999</v>
      </c>
      <c r="K1397" s="934">
        <v>14.454545449999999</v>
      </c>
      <c r="L1397" s="938"/>
    </row>
    <row r="1398" spans="1:12" hidden="1">
      <c r="A1398" s="1260">
        <v>18</v>
      </c>
      <c r="B1398" s="1254">
        <v>46139</v>
      </c>
      <c r="C1398" s="1255">
        <v>46145</v>
      </c>
      <c r="D1398" s="933">
        <v>24</v>
      </c>
      <c r="E1398" s="933" t="s">
        <v>709</v>
      </c>
      <c r="F1398" s="933" t="s">
        <v>276</v>
      </c>
      <c r="G1398" s="933">
        <v>4</v>
      </c>
      <c r="H1398" s="933">
        <v>4</v>
      </c>
      <c r="I1398" s="933" t="s">
        <v>672</v>
      </c>
      <c r="J1398" s="934">
        <v>3.261363636</v>
      </c>
      <c r="K1398" s="934">
        <v>13.045454550000001</v>
      </c>
      <c r="L1398" s="938"/>
    </row>
    <row r="1399" spans="1:12" hidden="1">
      <c r="A1399" s="1260">
        <v>18</v>
      </c>
      <c r="B1399" s="1254">
        <v>46139</v>
      </c>
      <c r="C1399" s="1255">
        <v>46145</v>
      </c>
      <c r="D1399" s="933">
        <v>25</v>
      </c>
      <c r="E1399" s="933" t="s">
        <v>680</v>
      </c>
      <c r="F1399" s="933" t="s">
        <v>251</v>
      </c>
      <c r="G1399" s="933">
        <v>7</v>
      </c>
      <c r="H1399" s="933">
        <v>7</v>
      </c>
      <c r="I1399" s="933" t="s">
        <v>670</v>
      </c>
      <c r="J1399" s="934">
        <v>1.8246753250000001</v>
      </c>
      <c r="K1399" s="934">
        <v>12.772727270000001</v>
      </c>
      <c r="L1399" s="938"/>
    </row>
    <row r="1400" spans="1:12" hidden="1">
      <c r="A1400" s="1260">
        <v>18</v>
      </c>
      <c r="B1400" s="1254">
        <v>46139</v>
      </c>
      <c r="C1400" s="1255">
        <v>46145</v>
      </c>
      <c r="D1400" s="933">
        <v>26</v>
      </c>
      <c r="E1400" s="933" t="s">
        <v>676</v>
      </c>
      <c r="F1400" s="933" t="s">
        <v>253</v>
      </c>
      <c r="G1400" s="933">
        <v>4</v>
      </c>
      <c r="H1400" s="933">
        <v>4</v>
      </c>
      <c r="I1400" s="933" t="s">
        <v>670</v>
      </c>
      <c r="J1400" s="934">
        <v>2.7840909090000001</v>
      </c>
      <c r="K1400" s="934">
        <v>11.136363640000001</v>
      </c>
      <c r="L1400" s="938"/>
    </row>
    <row r="1401" spans="1:12" hidden="1">
      <c r="A1401" s="1260">
        <v>18</v>
      </c>
      <c r="B1401" s="1254">
        <v>46139</v>
      </c>
      <c r="C1401" s="1255">
        <v>46145</v>
      </c>
      <c r="D1401" s="933">
        <v>27</v>
      </c>
      <c r="E1401" s="933" t="s">
        <v>796</v>
      </c>
      <c r="F1401" s="933" t="s">
        <v>282</v>
      </c>
      <c r="G1401" s="933">
        <v>1</v>
      </c>
      <c r="H1401" s="933">
        <v>1</v>
      </c>
      <c r="I1401" s="933" t="s">
        <v>670</v>
      </c>
      <c r="J1401" s="934">
        <v>10.81818182</v>
      </c>
      <c r="K1401" s="934">
        <v>10.81818182</v>
      </c>
      <c r="L1401" s="938"/>
    </row>
    <row r="1402" spans="1:12" hidden="1">
      <c r="A1402" s="1260">
        <v>18</v>
      </c>
      <c r="B1402" s="1254">
        <v>46139</v>
      </c>
      <c r="C1402" s="1255">
        <v>46145</v>
      </c>
      <c r="D1402" s="933">
        <v>28</v>
      </c>
      <c r="E1402" s="933" t="s">
        <v>674</v>
      </c>
      <c r="F1402" s="933" t="s">
        <v>275</v>
      </c>
      <c r="G1402" s="933">
        <v>2</v>
      </c>
      <c r="H1402" s="933">
        <v>2</v>
      </c>
      <c r="I1402" s="933" t="s">
        <v>670</v>
      </c>
      <c r="J1402" s="934">
        <v>5.2272727269999999</v>
      </c>
      <c r="K1402" s="934">
        <v>10.454545449999999</v>
      </c>
      <c r="L1402" s="938"/>
    </row>
    <row r="1403" spans="1:12" hidden="1">
      <c r="A1403" s="1260">
        <v>18</v>
      </c>
      <c r="B1403" s="1254">
        <v>46139</v>
      </c>
      <c r="C1403" s="1255">
        <v>46145</v>
      </c>
      <c r="D1403" s="933">
        <v>29</v>
      </c>
      <c r="E1403" s="933" t="s">
        <v>688</v>
      </c>
      <c r="F1403" s="933" t="s">
        <v>689</v>
      </c>
      <c r="G1403" s="933">
        <v>1</v>
      </c>
      <c r="H1403" s="933">
        <v>1</v>
      </c>
      <c r="I1403" s="933" t="s">
        <v>670</v>
      </c>
      <c r="J1403" s="934">
        <v>9.9090909089999997</v>
      </c>
      <c r="K1403" s="934">
        <v>9.9090909089999997</v>
      </c>
      <c r="L1403" s="938"/>
    </row>
    <row r="1404" spans="1:12" hidden="1">
      <c r="A1404" s="1260">
        <v>18</v>
      </c>
      <c r="B1404" s="1254">
        <v>46139</v>
      </c>
      <c r="C1404" s="1255">
        <v>46145</v>
      </c>
      <c r="D1404" s="933">
        <v>30</v>
      </c>
      <c r="E1404" s="933" t="s">
        <v>700</v>
      </c>
      <c r="F1404" s="933" t="s">
        <v>274</v>
      </c>
      <c r="G1404" s="933">
        <v>1</v>
      </c>
      <c r="H1404" s="933">
        <v>1</v>
      </c>
      <c r="I1404" s="933" t="s">
        <v>670</v>
      </c>
      <c r="J1404" s="934">
        <v>9.0909090910000003</v>
      </c>
      <c r="K1404" s="934">
        <v>9.0909090910000003</v>
      </c>
      <c r="L1404" s="938"/>
    </row>
    <row r="1405" spans="1:12" hidden="1">
      <c r="A1405" s="1260">
        <v>18</v>
      </c>
      <c r="B1405" s="1254">
        <v>46139</v>
      </c>
      <c r="C1405" s="1255">
        <v>46145</v>
      </c>
      <c r="D1405" s="933">
        <v>31</v>
      </c>
      <c r="E1405" s="933" t="s">
        <v>705</v>
      </c>
      <c r="F1405" s="933" t="s">
        <v>274</v>
      </c>
      <c r="G1405" s="933">
        <v>17</v>
      </c>
      <c r="H1405" s="933">
        <v>17</v>
      </c>
      <c r="I1405" s="933" t="s">
        <v>670</v>
      </c>
      <c r="J1405" s="934">
        <v>0.53475935799999996</v>
      </c>
      <c r="K1405" s="934">
        <v>9.0909090910000003</v>
      </c>
      <c r="L1405" s="938"/>
    </row>
    <row r="1406" spans="1:12" hidden="1">
      <c r="A1406" s="1260">
        <v>18</v>
      </c>
      <c r="B1406" s="1254">
        <v>46139</v>
      </c>
      <c r="C1406" s="1255">
        <v>46145</v>
      </c>
      <c r="D1406" s="933">
        <v>32</v>
      </c>
      <c r="E1406" s="933" t="s">
        <v>748</v>
      </c>
      <c r="F1406" s="933" t="s">
        <v>274</v>
      </c>
      <c r="G1406" s="933">
        <v>1</v>
      </c>
      <c r="H1406" s="933">
        <v>1</v>
      </c>
      <c r="I1406" s="933" t="s">
        <v>670</v>
      </c>
      <c r="J1406" s="934">
        <v>9.0909090910000003</v>
      </c>
      <c r="K1406" s="934">
        <v>9.0909090910000003</v>
      </c>
      <c r="L1406" s="938"/>
    </row>
    <row r="1407" spans="1:12" hidden="1">
      <c r="A1407" s="1260">
        <v>18</v>
      </c>
      <c r="B1407" s="1254">
        <v>46139</v>
      </c>
      <c r="C1407" s="1255">
        <v>46145</v>
      </c>
      <c r="D1407" s="933">
        <v>33</v>
      </c>
      <c r="E1407" s="933" t="s">
        <v>728</v>
      </c>
      <c r="F1407" s="933" t="s">
        <v>695</v>
      </c>
      <c r="G1407" s="933">
        <v>1</v>
      </c>
      <c r="H1407" s="933">
        <v>1</v>
      </c>
      <c r="I1407" s="933" t="s">
        <v>670</v>
      </c>
      <c r="J1407" s="934">
        <v>8.3181818179999993</v>
      </c>
      <c r="K1407" s="934">
        <v>8.3181818179999993</v>
      </c>
      <c r="L1407" s="938"/>
    </row>
    <row r="1408" spans="1:12" hidden="1">
      <c r="A1408" s="1260">
        <v>18</v>
      </c>
      <c r="B1408" s="1254">
        <v>46139</v>
      </c>
      <c r="C1408" s="1255">
        <v>46145</v>
      </c>
      <c r="D1408" s="933">
        <v>34</v>
      </c>
      <c r="E1408" s="933" t="s">
        <v>250</v>
      </c>
      <c r="F1408" s="933" t="s">
        <v>251</v>
      </c>
      <c r="G1408" s="933">
        <v>5</v>
      </c>
      <c r="H1408" s="933">
        <v>5</v>
      </c>
      <c r="I1408" s="933" t="s">
        <v>670</v>
      </c>
      <c r="J1408" s="934">
        <v>1.636363636</v>
      </c>
      <c r="K1408" s="934">
        <v>8.1818181820000007</v>
      </c>
      <c r="L1408" s="938"/>
    </row>
    <row r="1409" spans="1:12" hidden="1">
      <c r="A1409" s="1260">
        <v>18</v>
      </c>
      <c r="B1409" s="1254">
        <v>46139</v>
      </c>
      <c r="C1409" s="1255">
        <v>46145</v>
      </c>
      <c r="D1409" s="933">
        <v>35</v>
      </c>
      <c r="E1409" s="933" t="s">
        <v>738</v>
      </c>
      <c r="F1409" s="933" t="s">
        <v>256</v>
      </c>
      <c r="G1409" s="933">
        <v>1</v>
      </c>
      <c r="H1409" s="933">
        <v>1</v>
      </c>
      <c r="I1409" s="933" t="s">
        <v>670</v>
      </c>
      <c r="J1409" s="934">
        <v>7.1818181819999998</v>
      </c>
      <c r="K1409" s="934">
        <v>7.1818181819999998</v>
      </c>
      <c r="L1409" s="938"/>
    </row>
    <row r="1410" spans="1:12" hidden="1">
      <c r="A1410" s="1260">
        <v>18</v>
      </c>
      <c r="B1410" s="1254">
        <v>46139</v>
      </c>
      <c r="C1410" s="1255">
        <v>46145</v>
      </c>
      <c r="D1410" s="933">
        <v>36</v>
      </c>
      <c r="E1410" s="933" t="s">
        <v>703</v>
      </c>
      <c r="F1410" s="933" t="s">
        <v>256</v>
      </c>
      <c r="G1410" s="933">
        <v>3</v>
      </c>
      <c r="H1410" s="933">
        <v>3</v>
      </c>
      <c r="I1410" s="933" t="s">
        <v>670</v>
      </c>
      <c r="J1410" s="934">
        <v>1.893939394</v>
      </c>
      <c r="K1410" s="934">
        <v>5.6818181819999998</v>
      </c>
      <c r="L1410" s="938"/>
    </row>
    <row r="1411" spans="1:12" hidden="1">
      <c r="A1411" s="1260">
        <v>18</v>
      </c>
      <c r="B1411" s="1254">
        <v>46139</v>
      </c>
      <c r="C1411" s="1255">
        <v>46145</v>
      </c>
      <c r="D1411" s="933">
        <v>37</v>
      </c>
      <c r="E1411" s="933" t="s">
        <v>804</v>
      </c>
      <c r="F1411" s="933" t="s">
        <v>253</v>
      </c>
      <c r="G1411" s="933">
        <v>2</v>
      </c>
      <c r="H1411" s="933">
        <v>2</v>
      </c>
      <c r="I1411" s="933" t="s">
        <v>670</v>
      </c>
      <c r="J1411" s="934">
        <v>2.75</v>
      </c>
      <c r="K1411" s="934">
        <v>5.5</v>
      </c>
      <c r="L1411" s="938"/>
    </row>
    <row r="1412" spans="1:12" hidden="1">
      <c r="A1412" s="1260">
        <v>18</v>
      </c>
      <c r="B1412" s="1254">
        <v>46139</v>
      </c>
      <c r="C1412" s="1255">
        <v>46145</v>
      </c>
      <c r="D1412" s="933">
        <v>38</v>
      </c>
      <c r="E1412" s="933" t="s">
        <v>691</v>
      </c>
      <c r="F1412" s="933" t="s">
        <v>251</v>
      </c>
      <c r="G1412" s="933">
        <v>2</v>
      </c>
      <c r="H1412" s="933">
        <v>2</v>
      </c>
      <c r="I1412" s="933" t="s">
        <v>670</v>
      </c>
      <c r="J1412" s="934">
        <v>2.5454545450000001</v>
      </c>
      <c r="K1412" s="934">
        <v>5.0909090910000003</v>
      </c>
      <c r="L1412" s="938"/>
    </row>
    <row r="1413" spans="1:12" hidden="1">
      <c r="A1413" s="1260">
        <v>18</v>
      </c>
      <c r="B1413" s="1254">
        <v>46139</v>
      </c>
      <c r="C1413" s="1255">
        <v>46145</v>
      </c>
      <c r="D1413" s="933">
        <v>39</v>
      </c>
      <c r="E1413" s="933" t="s">
        <v>675</v>
      </c>
      <c r="F1413" s="933" t="s">
        <v>256</v>
      </c>
      <c r="G1413" s="933">
        <v>1</v>
      </c>
      <c r="H1413" s="933">
        <v>1</v>
      </c>
      <c r="I1413" s="933" t="s">
        <v>670</v>
      </c>
      <c r="J1413" s="934">
        <v>5</v>
      </c>
      <c r="K1413" s="934">
        <v>5</v>
      </c>
      <c r="L1413" s="938"/>
    </row>
    <row r="1414" spans="1:12" hidden="1">
      <c r="A1414" s="1260">
        <v>18</v>
      </c>
      <c r="B1414" s="1254">
        <v>46139</v>
      </c>
      <c r="C1414" s="1255">
        <v>46145</v>
      </c>
      <c r="D1414" s="933">
        <v>40</v>
      </c>
      <c r="E1414" s="933" t="s">
        <v>673</v>
      </c>
      <c r="F1414" s="933" t="s">
        <v>251</v>
      </c>
      <c r="G1414" s="933">
        <v>3</v>
      </c>
      <c r="H1414" s="933">
        <v>3</v>
      </c>
      <c r="I1414" s="933" t="s">
        <v>670</v>
      </c>
      <c r="J1414" s="934">
        <v>1.4545454550000001</v>
      </c>
      <c r="K1414" s="934">
        <v>4.3636363640000004</v>
      </c>
      <c r="L1414" s="938"/>
    </row>
    <row r="1415" spans="1:12" hidden="1">
      <c r="A1415" s="1260">
        <v>18</v>
      </c>
      <c r="B1415" s="1254">
        <v>46139</v>
      </c>
      <c r="C1415" s="1255">
        <v>46145</v>
      </c>
      <c r="D1415" s="933">
        <v>41</v>
      </c>
      <c r="E1415" s="933" t="s">
        <v>708</v>
      </c>
      <c r="F1415" s="933" t="s">
        <v>251</v>
      </c>
      <c r="G1415" s="933">
        <v>2</v>
      </c>
      <c r="H1415" s="933">
        <v>2</v>
      </c>
      <c r="I1415" s="933" t="s">
        <v>670</v>
      </c>
      <c r="J1415" s="934">
        <v>1.886363636</v>
      </c>
      <c r="K1415" s="934">
        <v>3.7727272730000001</v>
      </c>
      <c r="L1415" s="938"/>
    </row>
    <row r="1416" spans="1:12" hidden="1">
      <c r="A1416" s="1260">
        <v>18</v>
      </c>
      <c r="B1416" s="1254">
        <v>46139</v>
      </c>
      <c r="C1416" s="1255">
        <v>46145</v>
      </c>
      <c r="D1416" s="933">
        <v>42</v>
      </c>
      <c r="E1416" s="933" t="s">
        <v>259</v>
      </c>
      <c r="F1416" s="933" t="s">
        <v>249</v>
      </c>
      <c r="G1416" s="933">
        <v>2</v>
      </c>
      <c r="H1416" s="933">
        <v>2</v>
      </c>
      <c r="I1416" s="933" t="s">
        <v>670</v>
      </c>
      <c r="J1416" s="934">
        <v>1.5454545449999999</v>
      </c>
      <c r="K1416" s="934">
        <v>3.0909090909999999</v>
      </c>
      <c r="L1416" s="938"/>
    </row>
    <row r="1417" spans="1:12" hidden="1">
      <c r="A1417" s="1260">
        <v>18</v>
      </c>
      <c r="B1417" s="1254">
        <v>46139</v>
      </c>
      <c r="C1417" s="1255">
        <v>46145</v>
      </c>
      <c r="D1417" s="933">
        <v>43</v>
      </c>
      <c r="E1417" s="933" t="s">
        <v>740</v>
      </c>
      <c r="F1417" s="933" t="s">
        <v>264</v>
      </c>
      <c r="G1417" s="933">
        <v>1</v>
      </c>
      <c r="H1417" s="933">
        <v>1</v>
      </c>
      <c r="I1417" s="933" t="s">
        <v>741</v>
      </c>
      <c r="J1417" s="934">
        <v>2.7272727269999999</v>
      </c>
      <c r="K1417" s="934">
        <v>2.7272727269999999</v>
      </c>
      <c r="L1417" s="938"/>
    </row>
    <row r="1418" spans="1:12" hidden="1">
      <c r="A1418" s="1260">
        <v>18</v>
      </c>
      <c r="B1418" s="1254">
        <v>46139</v>
      </c>
      <c r="C1418" s="1255">
        <v>46145</v>
      </c>
      <c r="D1418" s="933">
        <v>44</v>
      </c>
      <c r="E1418" s="933" t="s">
        <v>811</v>
      </c>
      <c r="F1418" s="933" t="s">
        <v>275</v>
      </c>
      <c r="G1418" s="933">
        <v>1</v>
      </c>
      <c r="H1418" s="933">
        <v>1</v>
      </c>
      <c r="I1418" s="933" t="s">
        <v>670</v>
      </c>
      <c r="J1418" s="934">
        <v>2.7272727269999999</v>
      </c>
      <c r="K1418" s="934">
        <v>2.7272727269999999</v>
      </c>
      <c r="L1418" s="938"/>
    </row>
    <row r="1419" spans="1:12" hidden="1">
      <c r="A1419" s="1260">
        <v>18</v>
      </c>
      <c r="B1419" s="1254">
        <v>46139</v>
      </c>
      <c r="C1419" s="1255">
        <v>46145</v>
      </c>
      <c r="D1419" s="933">
        <v>45</v>
      </c>
      <c r="E1419" s="933" t="s">
        <v>767</v>
      </c>
      <c r="F1419" s="933" t="s">
        <v>251</v>
      </c>
      <c r="G1419" s="933">
        <v>1</v>
      </c>
      <c r="H1419" s="933">
        <v>1</v>
      </c>
      <c r="I1419" s="933" t="s">
        <v>670</v>
      </c>
      <c r="J1419" s="934">
        <v>2.636363636</v>
      </c>
      <c r="K1419" s="934">
        <v>2.636363636</v>
      </c>
      <c r="L1419" s="938"/>
    </row>
    <row r="1420" spans="1:12" hidden="1">
      <c r="A1420" s="1260">
        <v>18</v>
      </c>
      <c r="B1420" s="1254">
        <v>46139</v>
      </c>
      <c r="C1420" s="1255">
        <v>46145</v>
      </c>
      <c r="D1420" s="933">
        <v>46</v>
      </c>
      <c r="E1420" s="933" t="s">
        <v>722</v>
      </c>
      <c r="F1420" s="933" t="s">
        <v>251</v>
      </c>
      <c r="G1420" s="933">
        <v>1</v>
      </c>
      <c r="H1420" s="933">
        <v>1</v>
      </c>
      <c r="I1420" s="933" t="s">
        <v>670</v>
      </c>
      <c r="J1420" s="934">
        <v>2.5454545450000001</v>
      </c>
      <c r="K1420" s="934">
        <v>2.5454545450000001</v>
      </c>
      <c r="L1420" s="938"/>
    </row>
    <row r="1421" spans="1:12" hidden="1">
      <c r="A1421" s="1260">
        <v>18</v>
      </c>
      <c r="B1421" s="1254">
        <v>46139</v>
      </c>
      <c r="C1421" s="1255">
        <v>46145</v>
      </c>
      <c r="D1421" s="933">
        <v>47</v>
      </c>
      <c r="E1421" s="933" t="s">
        <v>698</v>
      </c>
      <c r="F1421" s="933" t="s">
        <v>249</v>
      </c>
      <c r="G1421" s="933">
        <v>1</v>
      </c>
      <c r="H1421" s="933">
        <v>1</v>
      </c>
      <c r="I1421" s="933" t="s">
        <v>670</v>
      </c>
      <c r="J1421" s="934">
        <v>2.4545454549999999</v>
      </c>
      <c r="K1421" s="934">
        <v>2.4545454549999999</v>
      </c>
      <c r="L1421" s="938"/>
    </row>
    <row r="1422" spans="1:12" hidden="1">
      <c r="A1422" s="1260">
        <v>18</v>
      </c>
      <c r="B1422" s="1254">
        <v>46139</v>
      </c>
      <c r="C1422" s="1255">
        <v>46145</v>
      </c>
      <c r="D1422" s="933">
        <v>48</v>
      </c>
      <c r="E1422" s="933" t="s">
        <v>731</v>
      </c>
      <c r="F1422" s="933" t="s">
        <v>251</v>
      </c>
      <c r="G1422" s="933">
        <v>1</v>
      </c>
      <c r="H1422" s="933">
        <v>1</v>
      </c>
      <c r="I1422" s="933" t="s">
        <v>670</v>
      </c>
      <c r="J1422" s="934">
        <v>2.4090909090000001</v>
      </c>
      <c r="K1422" s="934">
        <v>2.4090909090000001</v>
      </c>
      <c r="L1422" s="938"/>
    </row>
    <row r="1423" spans="1:12" hidden="1">
      <c r="A1423" s="1260">
        <v>18</v>
      </c>
      <c r="B1423" s="1254">
        <v>46139</v>
      </c>
      <c r="C1423" s="1255">
        <v>46145</v>
      </c>
      <c r="D1423" s="933">
        <v>49</v>
      </c>
      <c r="E1423" s="933" t="s">
        <v>755</v>
      </c>
      <c r="F1423" s="933" t="s">
        <v>251</v>
      </c>
      <c r="G1423" s="933">
        <v>2</v>
      </c>
      <c r="H1423" s="933">
        <v>2</v>
      </c>
      <c r="I1423" s="933" t="s">
        <v>670</v>
      </c>
      <c r="J1423" s="934">
        <v>0.909090909</v>
      </c>
      <c r="K1423" s="934">
        <v>1.818181818</v>
      </c>
      <c r="L1423" s="938"/>
    </row>
    <row r="1424" spans="1:12" hidden="1">
      <c r="A1424" s="1260">
        <v>18</v>
      </c>
      <c r="B1424" s="1254">
        <v>46139</v>
      </c>
      <c r="C1424" s="1255">
        <v>46145</v>
      </c>
      <c r="D1424" s="933">
        <v>50</v>
      </c>
      <c r="E1424" s="933" t="s">
        <v>780</v>
      </c>
      <c r="F1424" s="933" t="s">
        <v>268</v>
      </c>
      <c r="G1424" s="933">
        <v>1</v>
      </c>
      <c r="H1424" s="933">
        <v>1</v>
      </c>
      <c r="I1424" s="933" t="s">
        <v>670</v>
      </c>
      <c r="J1424" s="934">
        <v>1.363636364</v>
      </c>
      <c r="K1424" s="934">
        <v>1.363636364</v>
      </c>
      <c r="L1424" s="938"/>
    </row>
    <row r="1425" spans="1:12" hidden="1">
      <c r="A1425" s="1260">
        <v>18</v>
      </c>
      <c r="B1425" s="1254">
        <v>46139</v>
      </c>
      <c r="C1425" s="1255">
        <v>46145</v>
      </c>
      <c r="D1425" s="933">
        <v>51</v>
      </c>
      <c r="E1425" s="933" t="s">
        <v>681</v>
      </c>
      <c r="F1425" s="933" t="s">
        <v>282</v>
      </c>
      <c r="G1425" s="933">
        <v>2</v>
      </c>
      <c r="H1425" s="933">
        <v>2</v>
      </c>
      <c r="I1425" s="933" t="s">
        <v>672</v>
      </c>
      <c r="J1425" s="934">
        <v>4.5454544999999999E-2</v>
      </c>
      <c r="K1425" s="934">
        <v>9.0909090999999997E-2</v>
      </c>
      <c r="L1425" s="938"/>
    </row>
    <row r="1426" spans="1:12" hidden="1">
      <c r="A1426" s="1260">
        <v>18</v>
      </c>
      <c r="B1426" s="1254">
        <v>46139</v>
      </c>
      <c r="C1426" s="1255">
        <v>46145</v>
      </c>
      <c r="D1426" s="933">
        <v>52</v>
      </c>
      <c r="E1426" s="933" t="s">
        <v>795</v>
      </c>
      <c r="F1426" s="933" t="s">
        <v>254</v>
      </c>
      <c r="G1426" s="933">
        <v>8</v>
      </c>
      <c r="H1426" s="933">
        <v>8</v>
      </c>
      <c r="I1426" s="933" t="s">
        <v>670</v>
      </c>
      <c r="J1426" s="934">
        <v>0</v>
      </c>
      <c r="K1426" s="934">
        <v>0</v>
      </c>
      <c r="L1426" s="938"/>
    </row>
    <row r="1427" spans="1:12" hidden="1">
      <c r="A1427" s="1260">
        <v>18</v>
      </c>
      <c r="B1427" s="1254">
        <v>46139</v>
      </c>
      <c r="C1427" s="1255">
        <v>46145</v>
      </c>
      <c r="D1427" s="933">
        <v>53</v>
      </c>
      <c r="E1427" s="933" t="s">
        <v>760</v>
      </c>
      <c r="F1427" s="933" t="s">
        <v>253</v>
      </c>
      <c r="G1427" s="933">
        <v>12</v>
      </c>
      <c r="H1427" s="933">
        <v>12</v>
      </c>
      <c r="I1427" s="933" t="s">
        <v>672</v>
      </c>
      <c r="J1427" s="934">
        <v>0</v>
      </c>
      <c r="K1427" s="934">
        <v>0</v>
      </c>
      <c r="L1427" s="938"/>
    </row>
    <row r="1428" spans="1:12" hidden="1">
      <c r="A1428" s="1260">
        <v>18</v>
      </c>
      <c r="B1428" s="1254">
        <v>46139</v>
      </c>
      <c r="C1428" s="1255">
        <v>46145</v>
      </c>
      <c r="D1428" s="933">
        <v>54</v>
      </c>
      <c r="E1428" s="933" t="s">
        <v>750</v>
      </c>
      <c r="F1428" s="933" t="s">
        <v>323</v>
      </c>
      <c r="G1428" s="933">
        <v>12</v>
      </c>
      <c r="H1428" s="933">
        <v>12</v>
      </c>
      <c r="I1428" s="933" t="s">
        <v>670</v>
      </c>
      <c r="J1428" s="934">
        <v>0</v>
      </c>
      <c r="K1428" s="934">
        <v>0</v>
      </c>
      <c r="L1428" s="938"/>
    </row>
    <row r="1429" spans="1:12" hidden="1">
      <c r="A1429" s="1260">
        <v>18</v>
      </c>
      <c r="B1429" s="1254">
        <v>46139</v>
      </c>
      <c r="C1429" s="1255">
        <v>46145</v>
      </c>
      <c r="D1429" s="933">
        <v>55</v>
      </c>
      <c r="E1429" s="933" t="s">
        <v>727</v>
      </c>
      <c r="F1429" s="933" t="s">
        <v>275</v>
      </c>
      <c r="G1429" s="933">
        <v>12</v>
      </c>
      <c r="H1429" s="933">
        <v>12</v>
      </c>
      <c r="I1429" s="933" t="s">
        <v>670</v>
      </c>
      <c r="J1429" s="934">
        <v>0</v>
      </c>
      <c r="K1429" s="934">
        <v>0</v>
      </c>
      <c r="L1429" s="938"/>
    </row>
    <row r="1430" spans="1:12" hidden="1">
      <c r="A1430" s="1260">
        <v>18</v>
      </c>
      <c r="B1430" s="1254">
        <v>46139</v>
      </c>
      <c r="C1430" s="1255">
        <v>46145</v>
      </c>
      <c r="D1430" s="933">
        <v>56</v>
      </c>
      <c r="E1430" s="933" t="s">
        <v>716</v>
      </c>
      <c r="F1430" s="933" t="s">
        <v>251</v>
      </c>
      <c r="G1430" s="933">
        <v>15</v>
      </c>
      <c r="H1430" s="933">
        <v>15</v>
      </c>
      <c r="I1430" s="933" t="s">
        <v>670</v>
      </c>
      <c r="J1430" s="934">
        <v>0</v>
      </c>
      <c r="K1430" s="934">
        <v>0</v>
      </c>
      <c r="L1430" s="938"/>
    </row>
    <row r="1431" spans="1:12">
      <c r="A1431" s="1260">
        <v>18</v>
      </c>
      <c r="B1431" s="1254">
        <v>46139</v>
      </c>
      <c r="C1431" s="1255">
        <v>46145</v>
      </c>
      <c r="D1431" s="933">
        <v>57</v>
      </c>
      <c r="E1431" s="933" t="s">
        <v>806</v>
      </c>
      <c r="F1431" s="933" t="s">
        <v>256</v>
      </c>
      <c r="G1431" s="933">
        <v>4</v>
      </c>
      <c r="H1431" s="933">
        <v>4</v>
      </c>
      <c r="I1431" s="933" t="s">
        <v>670</v>
      </c>
      <c r="J1431" s="934">
        <v>-6.8181818000000005E-2</v>
      </c>
      <c r="K1431" s="934">
        <v>-0.27272727299999999</v>
      </c>
      <c r="L1431" s="938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L5709"/>
  <sheetViews>
    <sheetView tabSelected="1" topLeftCell="A5681" zoomScale="130" zoomScaleNormal="130" workbookViewId="0">
      <selection activeCell="B5697" sqref="B5697"/>
    </sheetView>
  </sheetViews>
  <sheetFormatPr baseColWidth="10" defaultColWidth="11.5" defaultRowHeight="15"/>
  <cols>
    <col min="2" max="2" width="18" style="59" customWidth="1"/>
    <col min="3" max="3" width="22.6640625" customWidth="1"/>
    <col min="4" max="4" width="69.83203125" bestFit="1" customWidth="1"/>
    <col min="5" max="5" width="13.83203125" bestFit="1" customWidth="1"/>
    <col min="6" max="6" width="15.6640625" style="463" customWidth="1"/>
    <col min="7" max="7" width="10.83203125" style="463" customWidth="1"/>
    <col min="8" max="8" width="18" style="463" customWidth="1"/>
    <col min="9" max="9" width="17.33203125" bestFit="1" customWidth="1"/>
    <col min="10" max="10" width="9.83203125" bestFit="1" customWidth="1"/>
    <col min="11" max="11" width="12" bestFit="1" customWidth="1"/>
  </cols>
  <sheetData>
    <row r="3" spans="2:11">
      <c r="B3" s="708"/>
      <c r="C3" s="74"/>
      <c r="D3" s="74"/>
      <c r="E3" s="74"/>
      <c r="F3" s="717"/>
      <c r="G3" s="717"/>
      <c r="H3" s="717"/>
      <c r="I3" s="74"/>
      <c r="J3" s="74"/>
      <c r="K3" s="74"/>
    </row>
    <row r="4" spans="2:11" ht="19" customHeight="1">
      <c r="B4" s="957" t="s">
        <v>846</v>
      </c>
      <c r="C4" s="718" t="s">
        <v>241</v>
      </c>
      <c r="D4" s="718" t="s">
        <v>240</v>
      </c>
      <c r="E4" s="718" t="s">
        <v>847</v>
      </c>
      <c r="F4" s="719" t="s">
        <v>848</v>
      </c>
      <c r="G4" s="719" t="s">
        <v>849</v>
      </c>
      <c r="H4" s="719" t="s">
        <v>850</v>
      </c>
      <c r="I4" s="718" t="s">
        <v>851</v>
      </c>
      <c r="J4" s="718" t="s">
        <v>852</v>
      </c>
      <c r="K4" s="718" t="s">
        <v>853</v>
      </c>
    </row>
    <row r="5" spans="2:11" ht="19" customHeight="1">
      <c r="B5" s="464">
        <v>46024</v>
      </c>
      <c r="C5" s="436" t="s">
        <v>247</v>
      </c>
      <c r="D5" s="436" t="s">
        <v>248</v>
      </c>
      <c r="E5" s="436">
        <v>2</v>
      </c>
      <c r="F5" s="465">
        <v>1.5</v>
      </c>
      <c r="G5" s="466">
        <v>3</v>
      </c>
      <c r="H5" s="466">
        <f>G5/1.1</f>
        <v>2.7272727272727271</v>
      </c>
      <c r="I5" s="436"/>
      <c r="J5" s="465">
        <v>0</v>
      </c>
      <c r="K5" s="467">
        <v>0</v>
      </c>
    </row>
    <row r="6" spans="2:11" ht="19" customHeight="1">
      <c r="B6" s="464">
        <v>46024</v>
      </c>
      <c r="C6" s="436" t="s">
        <v>251</v>
      </c>
      <c r="D6" s="436" t="s">
        <v>854</v>
      </c>
      <c r="E6" s="436">
        <v>1</v>
      </c>
      <c r="F6" s="465">
        <v>1.55</v>
      </c>
      <c r="G6" s="466">
        <v>1.55</v>
      </c>
      <c r="H6" s="466">
        <f>G6/1.1</f>
        <v>1.4090909090909089</v>
      </c>
      <c r="I6" s="436"/>
      <c r="J6" s="465">
        <v>0</v>
      </c>
      <c r="K6" s="467">
        <v>0</v>
      </c>
    </row>
    <row r="7" spans="2:11" ht="19" customHeight="1">
      <c r="B7" s="464">
        <v>46024</v>
      </c>
      <c r="C7" s="436" t="s">
        <v>247</v>
      </c>
      <c r="D7" s="436" t="s">
        <v>257</v>
      </c>
      <c r="E7" s="436">
        <v>1</v>
      </c>
      <c r="F7" s="467">
        <v>1.4</v>
      </c>
      <c r="G7" s="466">
        <v>1.4</v>
      </c>
      <c r="H7" s="466">
        <f>G7/1.1</f>
        <v>1.2727272727272725</v>
      </c>
      <c r="I7" s="436"/>
      <c r="J7" s="465">
        <v>0</v>
      </c>
      <c r="K7" s="467">
        <v>0</v>
      </c>
    </row>
    <row r="8" spans="2:11" ht="19" customHeight="1">
      <c r="B8" s="464">
        <v>46024</v>
      </c>
      <c r="C8" s="436" t="s">
        <v>247</v>
      </c>
      <c r="D8" s="436" t="s">
        <v>855</v>
      </c>
      <c r="E8" s="436">
        <v>1</v>
      </c>
      <c r="F8" s="467">
        <v>2.5499999999999998</v>
      </c>
      <c r="G8" s="466">
        <v>2.5499999999999998</v>
      </c>
      <c r="H8" s="466">
        <f>G8/1.1</f>
        <v>2.3181818181818179</v>
      </c>
      <c r="I8" s="436"/>
      <c r="J8" s="465">
        <v>0</v>
      </c>
      <c r="K8" s="467">
        <v>0</v>
      </c>
    </row>
    <row r="9" spans="2:11" ht="19" customHeight="1">
      <c r="B9" s="464">
        <v>46024</v>
      </c>
      <c r="C9" s="436" t="s">
        <v>327</v>
      </c>
      <c r="D9" s="436" t="s">
        <v>856</v>
      </c>
      <c r="E9" s="436">
        <v>1</v>
      </c>
      <c r="F9" s="467">
        <v>3.5</v>
      </c>
      <c r="G9" s="466">
        <v>3.5</v>
      </c>
      <c r="H9" s="466">
        <f>G9/1.1</f>
        <v>3.1818181818181817</v>
      </c>
      <c r="I9" s="436"/>
      <c r="J9" s="465">
        <v>0</v>
      </c>
      <c r="K9" s="467">
        <v>0</v>
      </c>
    </row>
    <row r="10" spans="2:11" ht="19" customHeight="1">
      <c r="B10" s="464">
        <v>46024</v>
      </c>
      <c r="C10" s="436" t="s">
        <v>276</v>
      </c>
      <c r="D10" s="436" t="s">
        <v>857</v>
      </c>
      <c r="E10" s="436">
        <v>1</v>
      </c>
      <c r="F10" s="467">
        <v>3.3</v>
      </c>
      <c r="G10" s="466">
        <v>3.3</v>
      </c>
      <c r="H10" s="466">
        <f>G10/1.1</f>
        <v>2.9999999999999996</v>
      </c>
      <c r="I10" s="436"/>
      <c r="J10" s="465">
        <v>0</v>
      </c>
      <c r="K10" s="467">
        <v>0</v>
      </c>
    </row>
    <row r="11" spans="2:11" ht="19" customHeight="1">
      <c r="B11" s="464">
        <v>46024</v>
      </c>
      <c r="C11" s="436" t="s">
        <v>268</v>
      </c>
      <c r="D11" s="436" t="s">
        <v>267</v>
      </c>
      <c r="E11" s="436">
        <v>2</v>
      </c>
      <c r="F11" s="467">
        <v>1.5</v>
      </c>
      <c r="G11" s="466">
        <v>3</v>
      </c>
      <c r="H11" s="466">
        <f>G11/1.1</f>
        <v>2.7272727272727271</v>
      </c>
      <c r="I11" s="436"/>
      <c r="J11" s="465">
        <v>0</v>
      </c>
      <c r="K11" s="467">
        <v>0</v>
      </c>
    </row>
    <row r="12" spans="2:11" ht="19" customHeight="1">
      <c r="B12" s="464">
        <v>46024</v>
      </c>
      <c r="C12" s="436" t="s">
        <v>247</v>
      </c>
      <c r="D12" s="436" t="s">
        <v>246</v>
      </c>
      <c r="E12" s="436">
        <v>2</v>
      </c>
      <c r="F12" s="467">
        <v>1.7</v>
      </c>
      <c r="G12" s="466">
        <v>3.4</v>
      </c>
      <c r="H12" s="466">
        <f>G12/1.1</f>
        <v>3.0909090909090904</v>
      </c>
      <c r="I12" s="436"/>
      <c r="J12" s="465">
        <v>0</v>
      </c>
      <c r="K12" s="467">
        <v>0</v>
      </c>
    </row>
    <row r="13" spans="2:11" ht="19" customHeight="1">
      <c r="B13" s="464">
        <v>46024</v>
      </c>
      <c r="C13" s="436" t="s">
        <v>328</v>
      </c>
      <c r="D13" s="436" t="s">
        <v>787</v>
      </c>
      <c r="E13" s="436">
        <v>1</v>
      </c>
      <c r="F13" s="467">
        <v>4.75</v>
      </c>
      <c r="G13" s="466">
        <v>4.75</v>
      </c>
      <c r="H13" s="466">
        <f>G13/1.1</f>
        <v>4.3181818181818175</v>
      </c>
      <c r="I13" s="436"/>
      <c r="J13" s="465">
        <v>0</v>
      </c>
      <c r="K13" s="467">
        <v>0</v>
      </c>
    </row>
    <row r="14" spans="2:11" ht="19" customHeight="1">
      <c r="B14" s="464">
        <v>46024</v>
      </c>
      <c r="C14" s="436" t="s">
        <v>268</v>
      </c>
      <c r="D14" s="436" t="s">
        <v>267</v>
      </c>
      <c r="E14" s="436">
        <v>1</v>
      </c>
      <c r="F14" s="467">
        <v>1.5</v>
      </c>
      <c r="G14" s="466">
        <v>1.5</v>
      </c>
      <c r="H14" s="466">
        <f>G14/1.1</f>
        <v>1.3636363636363635</v>
      </c>
      <c r="I14" s="436"/>
      <c r="J14" s="465">
        <v>0</v>
      </c>
      <c r="K14" s="467">
        <v>0</v>
      </c>
    </row>
    <row r="15" spans="2:11" ht="19" customHeight="1">
      <c r="B15" s="464">
        <v>46024</v>
      </c>
      <c r="C15" s="436" t="s">
        <v>247</v>
      </c>
      <c r="D15" s="436" t="s">
        <v>246</v>
      </c>
      <c r="E15" s="436">
        <v>2</v>
      </c>
      <c r="F15" s="467">
        <v>1.7</v>
      </c>
      <c r="G15" s="466">
        <v>3.4</v>
      </c>
      <c r="H15" s="466">
        <f>G15/1.1</f>
        <v>3.0909090909090904</v>
      </c>
      <c r="I15" s="436"/>
      <c r="J15" s="465">
        <v>0</v>
      </c>
      <c r="K15" s="467">
        <v>0</v>
      </c>
    </row>
    <row r="16" spans="2:11" ht="19" customHeight="1">
      <c r="B16" s="464">
        <v>46024</v>
      </c>
      <c r="C16" s="436" t="s">
        <v>268</v>
      </c>
      <c r="D16" s="436" t="s">
        <v>858</v>
      </c>
      <c r="E16" s="436">
        <v>1</v>
      </c>
      <c r="F16" s="467">
        <v>0.65</v>
      </c>
      <c r="G16" s="466">
        <v>0.65</v>
      </c>
      <c r="H16" s="466">
        <f>G16/1.1</f>
        <v>0.59090909090909083</v>
      </c>
      <c r="I16" s="436"/>
      <c r="J16" s="465">
        <v>0</v>
      </c>
      <c r="K16" s="467">
        <v>0</v>
      </c>
    </row>
    <row r="17" spans="2:11" ht="19" customHeight="1">
      <c r="B17" s="464">
        <v>46024</v>
      </c>
      <c r="C17" s="436" t="s">
        <v>247</v>
      </c>
      <c r="D17" s="436" t="s">
        <v>257</v>
      </c>
      <c r="E17" s="436">
        <v>1</v>
      </c>
      <c r="F17" s="467">
        <v>1.55</v>
      </c>
      <c r="G17" s="466">
        <v>1.55</v>
      </c>
      <c r="H17" s="466">
        <f>G17/1.1</f>
        <v>1.4090909090909089</v>
      </c>
      <c r="I17" s="436"/>
      <c r="J17" s="465">
        <v>0</v>
      </c>
      <c r="K17" s="467">
        <v>0</v>
      </c>
    </row>
    <row r="18" spans="2:11" ht="19" customHeight="1">
      <c r="B18" s="464">
        <v>46024</v>
      </c>
      <c r="C18" s="436" t="s">
        <v>268</v>
      </c>
      <c r="D18" s="436" t="s">
        <v>859</v>
      </c>
      <c r="E18" s="436">
        <v>2</v>
      </c>
      <c r="F18" s="467">
        <v>0.75</v>
      </c>
      <c r="G18" s="466">
        <v>1.5</v>
      </c>
      <c r="H18" s="466">
        <f>G18/1.1</f>
        <v>1.3636363636363635</v>
      </c>
      <c r="I18" s="436"/>
      <c r="J18" s="465">
        <v>0</v>
      </c>
      <c r="K18" s="467">
        <v>0</v>
      </c>
    </row>
    <row r="19" spans="2:11" ht="19" customHeight="1">
      <c r="B19" s="464">
        <v>46024</v>
      </c>
      <c r="C19" s="436" t="s">
        <v>247</v>
      </c>
      <c r="D19" s="436" t="s">
        <v>246</v>
      </c>
      <c r="E19" s="436">
        <v>1</v>
      </c>
      <c r="F19" s="467">
        <v>1.7</v>
      </c>
      <c r="G19" s="466">
        <v>1.7</v>
      </c>
      <c r="H19" s="466">
        <f>G19/1.1</f>
        <v>1.5454545454545452</v>
      </c>
      <c r="I19" s="436"/>
      <c r="J19" s="465">
        <v>0</v>
      </c>
      <c r="K19" s="467">
        <v>0</v>
      </c>
    </row>
    <row r="20" spans="2:11" ht="19" customHeight="1">
      <c r="B20" s="464">
        <v>46024</v>
      </c>
      <c r="C20" s="436" t="s">
        <v>247</v>
      </c>
      <c r="D20" s="436" t="s">
        <v>257</v>
      </c>
      <c r="E20" s="436">
        <v>1</v>
      </c>
      <c r="F20" s="467">
        <v>1.4</v>
      </c>
      <c r="G20" s="466">
        <v>1.4</v>
      </c>
      <c r="H20" s="466">
        <f>G20/1.1</f>
        <v>1.2727272727272725</v>
      </c>
      <c r="I20" s="436"/>
      <c r="J20" s="465">
        <v>0</v>
      </c>
      <c r="K20" s="467">
        <v>0</v>
      </c>
    </row>
    <row r="21" spans="2:11" ht="19" customHeight="1">
      <c r="B21" s="464">
        <v>46024</v>
      </c>
      <c r="C21" s="436" t="s">
        <v>268</v>
      </c>
      <c r="D21" s="436" t="s">
        <v>859</v>
      </c>
      <c r="E21" s="436">
        <v>1</v>
      </c>
      <c r="F21" s="465">
        <v>0.75</v>
      </c>
      <c r="G21" s="466">
        <v>0.75</v>
      </c>
      <c r="H21" s="466">
        <f>G21/1.1</f>
        <v>0.68181818181818177</v>
      </c>
      <c r="I21" s="436"/>
      <c r="J21" s="465">
        <v>0</v>
      </c>
      <c r="K21" s="467">
        <v>0</v>
      </c>
    </row>
    <row r="22" spans="2:11" ht="19" customHeight="1">
      <c r="B22" s="464">
        <v>46024</v>
      </c>
      <c r="C22" s="436" t="s">
        <v>247</v>
      </c>
      <c r="D22" s="436" t="s">
        <v>246</v>
      </c>
      <c r="E22" s="436">
        <v>1</v>
      </c>
      <c r="F22" s="467">
        <v>1.7</v>
      </c>
      <c r="G22" s="466">
        <v>1.7</v>
      </c>
      <c r="H22" s="466">
        <f>G22/1.1</f>
        <v>1.5454545454545452</v>
      </c>
      <c r="I22" s="436"/>
      <c r="J22" s="465">
        <v>0</v>
      </c>
      <c r="K22" s="467">
        <v>0</v>
      </c>
    </row>
    <row r="23" spans="2:11" ht="19" customHeight="1">
      <c r="B23" s="464">
        <v>46024</v>
      </c>
      <c r="C23" s="436" t="s">
        <v>247</v>
      </c>
      <c r="D23" s="436" t="s">
        <v>246</v>
      </c>
      <c r="E23" s="436">
        <v>2</v>
      </c>
      <c r="F23" s="467">
        <v>1.7</v>
      </c>
      <c r="G23" s="466">
        <v>3.4</v>
      </c>
      <c r="H23" s="466">
        <f>G23/1.1</f>
        <v>3.0909090909090904</v>
      </c>
      <c r="I23" s="436"/>
      <c r="J23" s="465">
        <v>0</v>
      </c>
      <c r="K23" s="467">
        <v>0</v>
      </c>
    </row>
    <row r="24" spans="2:11" ht="19" customHeight="1">
      <c r="B24" s="464">
        <v>46024</v>
      </c>
      <c r="C24" s="436" t="s">
        <v>268</v>
      </c>
      <c r="D24" s="436" t="s">
        <v>860</v>
      </c>
      <c r="E24" s="436">
        <v>1</v>
      </c>
      <c r="F24" s="467">
        <v>2.25</v>
      </c>
      <c r="G24" s="466">
        <v>2.25</v>
      </c>
      <c r="H24" s="466">
        <f>G24/1.1</f>
        <v>2.0454545454545454</v>
      </c>
      <c r="I24" s="436"/>
      <c r="J24" s="465">
        <v>0</v>
      </c>
      <c r="K24" s="467">
        <v>0</v>
      </c>
    </row>
    <row r="25" spans="2:11" ht="19" customHeight="1">
      <c r="B25" s="464">
        <v>46024</v>
      </c>
      <c r="C25" s="436" t="s">
        <v>328</v>
      </c>
      <c r="D25" s="436" t="s">
        <v>861</v>
      </c>
      <c r="E25" s="436">
        <v>1</v>
      </c>
      <c r="F25" s="465">
        <v>3.25</v>
      </c>
      <c r="G25" s="466">
        <v>3.25</v>
      </c>
      <c r="H25" s="466">
        <f>G25/1.1</f>
        <v>2.9545454545454541</v>
      </c>
      <c r="I25" s="436"/>
      <c r="J25" s="465">
        <v>0</v>
      </c>
      <c r="K25" s="467">
        <v>0</v>
      </c>
    </row>
    <row r="26" spans="2:11" ht="19" customHeight="1">
      <c r="B26" s="464">
        <v>46024</v>
      </c>
      <c r="C26" s="436" t="s">
        <v>268</v>
      </c>
      <c r="D26" s="436" t="s">
        <v>858</v>
      </c>
      <c r="E26" s="436">
        <v>2</v>
      </c>
      <c r="F26" s="467">
        <v>0.65</v>
      </c>
      <c r="G26" s="466">
        <v>1.3</v>
      </c>
      <c r="H26" s="466">
        <f>G26/1.1</f>
        <v>1.1818181818181817</v>
      </c>
      <c r="I26" s="436"/>
      <c r="J26" s="465">
        <v>0</v>
      </c>
      <c r="K26" s="467">
        <v>0</v>
      </c>
    </row>
    <row r="27" spans="2:11" ht="19" customHeight="1">
      <c r="B27" s="464">
        <v>46024</v>
      </c>
      <c r="C27" s="436" t="s">
        <v>247</v>
      </c>
      <c r="D27" s="436" t="s">
        <v>257</v>
      </c>
      <c r="E27" s="436">
        <v>1</v>
      </c>
      <c r="F27" s="467">
        <v>1.4</v>
      </c>
      <c r="G27" s="466">
        <v>1.4</v>
      </c>
      <c r="H27" s="466">
        <f>G27/1.1</f>
        <v>1.2727272727272725</v>
      </c>
      <c r="I27" s="436"/>
      <c r="J27" s="465">
        <v>0</v>
      </c>
      <c r="K27" s="467">
        <v>0</v>
      </c>
    </row>
    <row r="28" spans="2:11" ht="19" customHeight="1">
      <c r="B28" s="464">
        <v>46024</v>
      </c>
      <c r="C28" s="436" t="s">
        <v>247</v>
      </c>
      <c r="D28" s="436" t="s">
        <v>248</v>
      </c>
      <c r="E28" s="436">
        <v>1</v>
      </c>
      <c r="F28" s="467">
        <v>1.5</v>
      </c>
      <c r="G28" s="466">
        <v>1.5</v>
      </c>
      <c r="H28" s="466">
        <f>G28/1.1</f>
        <v>1.3636363636363635</v>
      </c>
      <c r="I28" s="436"/>
      <c r="J28" s="465">
        <v>0</v>
      </c>
      <c r="K28" s="467">
        <v>0</v>
      </c>
    </row>
    <row r="29" spans="2:11" ht="19" customHeight="1">
      <c r="B29" s="464">
        <v>46024</v>
      </c>
      <c r="C29" s="436" t="s">
        <v>247</v>
      </c>
      <c r="D29" s="436" t="s">
        <v>248</v>
      </c>
      <c r="E29" s="436">
        <v>2</v>
      </c>
      <c r="F29" s="467">
        <v>1.5</v>
      </c>
      <c r="G29" s="466">
        <v>3</v>
      </c>
      <c r="H29" s="466">
        <f>G29/1.1</f>
        <v>2.7272727272727271</v>
      </c>
      <c r="I29" s="436"/>
      <c r="J29" s="465">
        <v>0</v>
      </c>
      <c r="K29" s="467">
        <v>0</v>
      </c>
    </row>
    <row r="30" spans="2:11" ht="19" customHeight="1">
      <c r="B30" s="464">
        <v>46024</v>
      </c>
      <c r="C30" s="436" t="s">
        <v>247</v>
      </c>
      <c r="D30" s="436" t="s">
        <v>246</v>
      </c>
      <c r="E30" s="436">
        <v>2</v>
      </c>
      <c r="F30" s="467">
        <v>1.7</v>
      </c>
      <c r="G30" s="466">
        <v>3.4</v>
      </c>
      <c r="H30" s="466">
        <f>G30/1.1</f>
        <v>3.0909090909090904</v>
      </c>
      <c r="I30" s="436"/>
      <c r="J30" s="465">
        <v>0</v>
      </c>
      <c r="K30" s="467">
        <v>0</v>
      </c>
    </row>
    <row r="31" spans="2:11" ht="19" customHeight="1">
      <c r="B31" s="464">
        <v>46024</v>
      </c>
      <c r="C31" s="436" t="s">
        <v>862</v>
      </c>
      <c r="D31" s="436" t="s">
        <v>863</v>
      </c>
      <c r="E31" s="436">
        <v>2</v>
      </c>
      <c r="F31" s="467">
        <v>0.15</v>
      </c>
      <c r="G31" s="466">
        <v>0.3</v>
      </c>
      <c r="H31" s="466">
        <f>G31/1.1</f>
        <v>0.27272727272727271</v>
      </c>
      <c r="I31" s="436"/>
      <c r="J31" s="465">
        <v>0</v>
      </c>
      <c r="K31" s="467">
        <v>0</v>
      </c>
    </row>
    <row r="32" spans="2:11" ht="19" customHeight="1">
      <c r="B32" s="464">
        <v>46024</v>
      </c>
      <c r="C32" s="436" t="s">
        <v>268</v>
      </c>
      <c r="D32" s="436" t="s">
        <v>267</v>
      </c>
      <c r="E32" s="436">
        <v>1</v>
      </c>
      <c r="F32" s="467">
        <v>1.5</v>
      </c>
      <c r="G32" s="466">
        <v>1.5</v>
      </c>
      <c r="H32" s="466">
        <f>G32/1.1</f>
        <v>1.3636363636363635</v>
      </c>
      <c r="I32" s="436"/>
      <c r="J32" s="465">
        <v>0</v>
      </c>
      <c r="K32" s="467">
        <v>0</v>
      </c>
    </row>
    <row r="33" spans="2:11" ht="19" customHeight="1">
      <c r="B33" s="464">
        <v>46024</v>
      </c>
      <c r="C33" s="436" t="s">
        <v>247</v>
      </c>
      <c r="D33" s="436" t="s">
        <v>246</v>
      </c>
      <c r="E33" s="436">
        <v>1</v>
      </c>
      <c r="F33" s="467">
        <v>1.7</v>
      </c>
      <c r="G33" s="466">
        <v>1.7</v>
      </c>
      <c r="H33" s="466">
        <f>G33/1.1</f>
        <v>1.5454545454545452</v>
      </c>
      <c r="I33" s="436"/>
      <c r="J33" s="465">
        <v>0</v>
      </c>
      <c r="K33" s="467">
        <v>0</v>
      </c>
    </row>
    <row r="34" spans="2:11" ht="19" customHeight="1">
      <c r="B34" s="464">
        <v>46024</v>
      </c>
      <c r="C34" s="436" t="s">
        <v>247</v>
      </c>
      <c r="D34" s="436" t="s">
        <v>246</v>
      </c>
      <c r="E34" s="436">
        <v>2</v>
      </c>
      <c r="F34" s="467">
        <v>1.7</v>
      </c>
      <c r="G34" s="466">
        <v>3.4</v>
      </c>
      <c r="H34" s="466">
        <f>G34/1.1</f>
        <v>3.0909090909090904</v>
      </c>
      <c r="I34" s="436"/>
      <c r="J34" s="465">
        <v>0</v>
      </c>
      <c r="K34" s="467">
        <v>0</v>
      </c>
    </row>
    <row r="35" spans="2:11" ht="19" customHeight="1">
      <c r="B35" s="464">
        <v>46024</v>
      </c>
      <c r="C35" s="436" t="s">
        <v>328</v>
      </c>
      <c r="D35" s="436" t="s">
        <v>864</v>
      </c>
      <c r="E35" s="436">
        <v>1</v>
      </c>
      <c r="F35" s="467">
        <v>3.1</v>
      </c>
      <c r="G35" s="466">
        <v>3.1</v>
      </c>
      <c r="H35" s="466">
        <f>G35/1.1</f>
        <v>2.8181818181818179</v>
      </c>
      <c r="I35" s="436"/>
      <c r="J35" s="465">
        <v>0</v>
      </c>
      <c r="K35" s="467">
        <v>0</v>
      </c>
    </row>
    <row r="36" spans="2:11" ht="19" customHeight="1">
      <c r="B36" s="464">
        <v>46024</v>
      </c>
      <c r="C36" s="436" t="s">
        <v>862</v>
      </c>
      <c r="D36" s="436" t="s">
        <v>865</v>
      </c>
      <c r="E36" s="436">
        <v>1</v>
      </c>
      <c r="F36" s="467">
        <v>0.05</v>
      </c>
      <c r="G36" s="466">
        <v>0.05</v>
      </c>
      <c r="H36" s="466">
        <f>G36/1.1</f>
        <v>4.5454545454545456E-2</v>
      </c>
      <c r="I36" s="436"/>
      <c r="J36" s="465">
        <v>0</v>
      </c>
      <c r="K36" s="467">
        <v>0</v>
      </c>
    </row>
    <row r="37" spans="2:11" ht="19" customHeight="1">
      <c r="B37" s="464">
        <v>46024</v>
      </c>
      <c r="C37" s="436" t="s">
        <v>247</v>
      </c>
      <c r="D37" s="436" t="s">
        <v>248</v>
      </c>
      <c r="E37" s="436">
        <v>1</v>
      </c>
      <c r="F37" s="467">
        <v>1.5</v>
      </c>
      <c r="G37" s="466">
        <v>1.5</v>
      </c>
      <c r="H37" s="466">
        <f>G37/1.1</f>
        <v>1.3636363636363635</v>
      </c>
      <c r="I37" s="436"/>
      <c r="J37" s="465">
        <v>0</v>
      </c>
      <c r="K37" s="467">
        <v>0</v>
      </c>
    </row>
    <row r="38" spans="2:11" ht="19" customHeight="1">
      <c r="B38" s="464">
        <v>46024</v>
      </c>
      <c r="C38" s="436" t="s">
        <v>247</v>
      </c>
      <c r="D38" s="436" t="s">
        <v>257</v>
      </c>
      <c r="E38" s="436">
        <v>1</v>
      </c>
      <c r="F38" s="467">
        <v>1.4</v>
      </c>
      <c r="G38" s="466">
        <v>1.4</v>
      </c>
      <c r="H38" s="466">
        <f>G38/1.1</f>
        <v>1.2727272727272725</v>
      </c>
      <c r="I38" s="436"/>
      <c r="J38" s="465">
        <v>0</v>
      </c>
      <c r="K38" s="467">
        <v>0</v>
      </c>
    </row>
    <row r="39" spans="2:11" ht="19" customHeight="1">
      <c r="B39" s="464">
        <v>46024</v>
      </c>
      <c r="C39" s="436" t="s">
        <v>247</v>
      </c>
      <c r="D39" s="436" t="s">
        <v>246</v>
      </c>
      <c r="E39" s="436">
        <v>1</v>
      </c>
      <c r="F39" s="467">
        <v>1.7</v>
      </c>
      <c r="G39" s="466">
        <v>1.7</v>
      </c>
      <c r="H39" s="466">
        <f>G39/1.1</f>
        <v>1.5454545454545452</v>
      </c>
      <c r="I39" s="436"/>
      <c r="J39" s="465">
        <v>0</v>
      </c>
      <c r="K39" s="467">
        <v>0</v>
      </c>
    </row>
    <row r="40" spans="2:11" ht="19" customHeight="1">
      <c r="B40" s="464">
        <v>46024</v>
      </c>
      <c r="C40" s="436" t="s">
        <v>862</v>
      </c>
      <c r="D40" s="436" t="s">
        <v>863</v>
      </c>
      <c r="E40" s="436">
        <v>1</v>
      </c>
      <c r="F40" s="467">
        <v>0.15</v>
      </c>
      <c r="G40" s="466">
        <v>0.15</v>
      </c>
      <c r="H40" s="466">
        <f>G40/1.1</f>
        <v>0.13636363636363635</v>
      </c>
      <c r="I40" s="436"/>
      <c r="J40" s="465">
        <v>0</v>
      </c>
      <c r="K40" s="467">
        <v>0</v>
      </c>
    </row>
    <row r="41" spans="2:11" ht="19" customHeight="1">
      <c r="B41" s="464">
        <v>46024</v>
      </c>
      <c r="C41" s="436" t="s">
        <v>247</v>
      </c>
      <c r="D41" s="436" t="s">
        <v>248</v>
      </c>
      <c r="E41" s="436">
        <v>1</v>
      </c>
      <c r="F41" s="467">
        <v>1.5</v>
      </c>
      <c r="G41" s="466">
        <v>1.5</v>
      </c>
      <c r="H41" s="466">
        <f>G41/1.1</f>
        <v>1.3636363636363635</v>
      </c>
      <c r="I41" s="436"/>
      <c r="J41" s="465">
        <v>0</v>
      </c>
      <c r="K41" s="467">
        <v>0</v>
      </c>
    </row>
    <row r="42" spans="2:11" ht="19" customHeight="1">
      <c r="B42" s="464">
        <v>46024</v>
      </c>
      <c r="C42" s="436" t="s">
        <v>251</v>
      </c>
      <c r="D42" s="436" t="s">
        <v>854</v>
      </c>
      <c r="E42" s="436">
        <v>1</v>
      </c>
      <c r="F42" s="467">
        <v>1.55</v>
      </c>
      <c r="G42" s="466">
        <v>1.55</v>
      </c>
      <c r="H42" s="466">
        <f>G42/1.1</f>
        <v>1.4090909090909089</v>
      </c>
      <c r="I42" s="436"/>
      <c r="J42" s="465">
        <v>0</v>
      </c>
      <c r="K42" s="467">
        <v>0</v>
      </c>
    </row>
    <row r="43" spans="2:11" ht="19" customHeight="1">
      <c r="B43" s="464">
        <v>46024</v>
      </c>
      <c r="C43" s="436" t="s">
        <v>276</v>
      </c>
      <c r="D43" s="436" t="s">
        <v>866</v>
      </c>
      <c r="E43" s="436">
        <v>1</v>
      </c>
      <c r="F43" s="467">
        <v>4.5</v>
      </c>
      <c r="G43" s="466">
        <v>4.5</v>
      </c>
      <c r="H43" s="466">
        <f>G43/1.1</f>
        <v>4.0909090909090908</v>
      </c>
      <c r="I43" s="436"/>
      <c r="J43" s="465">
        <v>0</v>
      </c>
      <c r="K43" s="467">
        <v>0</v>
      </c>
    </row>
    <row r="44" spans="2:11" ht="19" customHeight="1">
      <c r="B44" s="464">
        <v>46024</v>
      </c>
      <c r="C44" s="436" t="s">
        <v>276</v>
      </c>
      <c r="D44" s="436" t="s">
        <v>867</v>
      </c>
      <c r="E44" s="436">
        <v>1</v>
      </c>
      <c r="F44" s="467">
        <v>6.8</v>
      </c>
      <c r="G44" s="466">
        <v>6.8</v>
      </c>
      <c r="H44" s="466">
        <f>G44/1.1</f>
        <v>6.1818181818181808</v>
      </c>
      <c r="I44" s="436"/>
      <c r="J44" s="465">
        <v>0</v>
      </c>
      <c r="K44" s="467">
        <v>0</v>
      </c>
    </row>
    <row r="45" spans="2:11" ht="19" customHeight="1">
      <c r="B45" s="464">
        <v>46024</v>
      </c>
      <c r="C45" s="436" t="s">
        <v>275</v>
      </c>
      <c r="D45" s="436" t="s">
        <v>868</v>
      </c>
      <c r="E45" s="436">
        <v>1</v>
      </c>
      <c r="F45" s="465">
        <v>2.25</v>
      </c>
      <c r="G45" s="466">
        <v>2.25</v>
      </c>
      <c r="H45" s="466">
        <f>G45/1.1</f>
        <v>2.0454545454545454</v>
      </c>
      <c r="I45" s="436"/>
      <c r="J45" s="465">
        <v>0</v>
      </c>
      <c r="K45" s="467">
        <v>0</v>
      </c>
    </row>
    <row r="46" spans="2:11" ht="19" customHeight="1">
      <c r="B46" s="464">
        <v>46024</v>
      </c>
      <c r="C46" s="436" t="s">
        <v>251</v>
      </c>
      <c r="D46" s="436" t="s">
        <v>250</v>
      </c>
      <c r="E46" s="436">
        <v>1</v>
      </c>
      <c r="F46" s="467">
        <v>1.8</v>
      </c>
      <c r="G46" s="466">
        <v>1.8</v>
      </c>
      <c r="H46" s="466">
        <f>G46/1.1</f>
        <v>1.6363636363636362</v>
      </c>
      <c r="I46" s="436"/>
      <c r="J46" s="465">
        <v>0</v>
      </c>
      <c r="K46" s="467">
        <v>0</v>
      </c>
    </row>
    <row r="47" spans="2:11" ht="19" customHeight="1">
      <c r="B47" s="464">
        <v>46024</v>
      </c>
      <c r="C47" s="436" t="s">
        <v>256</v>
      </c>
      <c r="D47" s="436" t="s">
        <v>675</v>
      </c>
      <c r="E47" s="436">
        <v>1</v>
      </c>
      <c r="F47" s="467">
        <v>5.25</v>
      </c>
      <c r="G47" s="466">
        <v>5.25</v>
      </c>
      <c r="H47" s="466">
        <f>G47/1.1</f>
        <v>4.7727272727272725</v>
      </c>
      <c r="I47" s="436"/>
      <c r="J47" s="465">
        <v>0</v>
      </c>
      <c r="K47" s="467">
        <v>0</v>
      </c>
    </row>
    <row r="48" spans="2:11" ht="19" customHeight="1">
      <c r="B48" s="464">
        <v>46024</v>
      </c>
      <c r="C48" s="436" t="s">
        <v>264</v>
      </c>
      <c r="D48" s="436" t="s">
        <v>703</v>
      </c>
      <c r="E48" s="436">
        <v>1</v>
      </c>
      <c r="F48" s="467">
        <v>2</v>
      </c>
      <c r="G48" s="466">
        <v>2</v>
      </c>
      <c r="H48" s="466">
        <f>G48/1.1</f>
        <v>1.8181818181818181</v>
      </c>
      <c r="I48" s="436"/>
      <c r="J48" s="465">
        <v>0</v>
      </c>
      <c r="K48" s="467">
        <v>0</v>
      </c>
    </row>
    <row r="49" spans="2:11" ht="19" customHeight="1">
      <c r="B49" s="464">
        <v>46024</v>
      </c>
      <c r="C49" s="436" t="s">
        <v>323</v>
      </c>
      <c r="D49" s="436" t="s">
        <v>684</v>
      </c>
      <c r="E49" s="436">
        <v>1</v>
      </c>
      <c r="F49" s="467">
        <v>9.8000000000000007</v>
      </c>
      <c r="G49" s="466">
        <v>9.8000000000000007</v>
      </c>
      <c r="H49" s="466">
        <f>G49/1.1</f>
        <v>8.9090909090909083</v>
      </c>
      <c r="I49" s="436"/>
      <c r="J49" s="465">
        <v>0</v>
      </c>
      <c r="K49" s="467">
        <v>0</v>
      </c>
    </row>
    <row r="50" spans="2:11" ht="19" customHeight="1">
      <c r="B50" s="464">
        <v>46024</v>
      </c>
      <c r="C50" s="436" t="s">
        <v>247</v>
      </c>
      <c r="D50" s="436" t="s">
        <v>248</v>
      </c>
      <c r="E50" s="436">
        <v>2</v>
      </c>
      <c r="F50" s="467">
        <v>1.65</v>
      </c>
      <c r="G50" s="466">
        <v>3.3</v>
      </c>
      <c r="H50" s="466">
        <f>G50/1.1</f>
        <v>2.9999999999999996</v>
      </c>
      <c r="I50" s="436"/>
      <c r="J50" s="465">
        <v>0</v>
      </c>
      <c r="K50" s="467">
        <v>0</v>
      </c>
    </row>
    <row r="51" spans="2:11" ht="19" customHeight="1">
      <c r="B51" s="464">
        <v>46024</v>
      </c>
      <c r="C51" s="436" t="s">
        <v>253</v>
      </c>
      <c r="D51" s="436" t="s">
        <v>687</v>
      </c>
      <c r="E51" s="436">
        <v>1</v>
      </c>
      <c r="F51" s="467">
        <v>2.95</v>
      </c>
      <c r="G51" s="466">
        <v>2.95</v>
      </c>
      <c r="H51" s="466">
        <f>G51/1.1</f>
        <v>2.6818181818181817</v>
      </c>
      <c r="I51" s="436"/>
      <c r="J51" s="465">
        <v>0</v>
      </c>
      <c r="K51" s="467">
        <v>0</v>
      </c>
    </row>
    <row r="52" spans="2:11" ht="19" customHeight="1">
      <c r="B52" s="464">
        <v>46024</v>
      </c>
      <c r="C52" s="436" t="s">
        <v>253</v>
      </c>
      <c r="D52" s="436" t="s">
        <v>869</v>
      </c>
      <c r="E52" s="436">
        <v>2</v>
      </c>
      <c r="F52" s="467">
        <v>2.5</v>
      </c>
      <c r="G52" s="466">
        <v>5</v>
      </c>
      <c r="H52" s="466">
        <f>G52/1.1</f>
        <v>4.545454545454545</v>
      </c>
      <c r="I52" s="436"/>
      <c r="J52" s="465">
        <v>0</v>
      </c>
      <c r="K52" s="467">
        <v>0</v>
      </c>
    </row>
    <row r="53" spans="2:11" ht="19" customHeight="1">
      <c r="B53" s="464">
        <v>46024</v>
      </c>
      <c r="C53" s="436" t="s">
        <v>264</v>
      </c>
      <c r="D53" s="436" t="s">
        <v>703</v>
      </c>
      <c r="E53" s="436">
        <v>1</v>
      </c>
      <c r="F53" s="467">
        <v>2</v>
      </c>
      <c r="G53" s="466">
        <v>2</v>
      </c>
      <c r="H53" s="466">
        <f>G53/1.1</f>
        <v>1.8181818181818181</v>
      </c>
      <c r="I53" s="436"/>
      <c r="J53" s="465">
        <v>0</v>
      </c>
      <c r="K53" s="467">
        <v>0</v>
      </c>
    </row>
    <row r="54" spans="2:11" ht="19" customHeight="1">
      <c r="B54" s="464">
        <v>46024</v>
      </c>
      <c r="C54" s="436" t="s">
        <v>256</v>
      </c>
      <c r="D54" s="436" t="s">
        <v>870</v>
      </c>
      <c r="E54" s="436">
        <v>3</v>
      </c>
      <c r="F54" s="467">
        <v>1.65</v>
      </c>
      <c r="G54" s="466">
        <v>4.95</v>
      </c>
      <c r="H54" s="466">
        <f>G54/1.1</f>
        <v>4.5</v>
      </c>
      <c r="I54" s="436"/>
      <c r="J54" s="465">
        <v>0</v>
      </c>
      <c r="K54" s="467">
        <v>0</v>
      </c>
    </row>
    <row r="55" spans="2:11" ht="19" customHeight="1">
      <c r="B55" s="464">
        <v>46024</v>
      </c>
      <c r="C55" s="436" t="s">
        <v>256</v>
      </c>
      <c r="D55" s="436" t="s">
        <v>871</v>
      </c>
      <c r="E55" s="436">
        <v>3</v>
      </c>
      <c r="F55" s="467">
        <v>1.8</v>
      </c>
      <c r="G55" s="466">
        <v>5.4</v>
      </c>
      <c r="H55" s="466">
        <f>G55/1.1</f>
        <v>4.9090909090909092</v>
      </c>
      <c r="I55" s="436"/>
      <c r="J55" s="465">
        <v>0</v>
      </c>
      <c r="K55" s="467">
        <v>0</v>
      </c>
    </row>
    <row r="56" spans="2:11" ht="19" customHeight="1">
      <c r="B56" s="464">
        <v>46024</v>
      </c>
      <c r="C56" s="436" t="s">
        <v>256</v>
      </c>
      <c r="D56" s="436" t="s">
        <v>678</v>
      </c>
      <c r="E56" s="436">
        <v>1</v>
      </c>
      <c r="F56" s="467">
        <v>6.5</v>
      </c>
      <c r="G56" s="466">
        <v>6.5</v>
      </c>
      <c r="H56" s="466">
        <f>G56/1.1</f>
        <v>5.9090909090909083</v>
      </c>
      <c r="I56" s="436"/>
      <c r="J56" s="465">
        <v>0</v>
      </c>
      <c r="K56" s="467">
        <v>0</v>
      </c>
    </row>
    <row r="57" spans="2:11" ht="19" customHeight="1">
      <c r="B57" s="464">
        <v>46024</v>
      </c>
      <c r="C57" s="436" t="s">
        <v>256</v>
      </c>
      <c r="D57" s="436" t="s">
        <v>255</v>
      </c>
      <c r="E57" s="436">
        <v>1</v>
      </c>
      <c r="F57" s="465">
        <v>5.6</v>
      </c>
      <c r="G57" s="466">
        <v>5.6</v>
      </c>
      <c r="H57" s="466">
        <f>G57/1.1</f>
        <v>5.0909090909090899</v>
      </c>
      <c r="I57" s="436"/>
      <c r="J57" s="465">
        <v>0</v>
      </c>
      <c r="K57" s="467">
        <v>0</v>
      </c>
    </row>
    <row r="58" spans="2:11" ht="19" customHeight="1">
      <c r="B58" s="464">
        <v>46024</v>
      </c>
      <c r="C58" s="436" t="s">
        <v>253</v>
      </c>
      <c r="D58" s="436" t="s">
        <v>869</v>
      </c>
      <c r="E58" s="436">
        <v>1</v>
      </c>
      <c r="F58" s="465">
        <v>2.5</v>
      </c>
      <c r="G58" s="466">
        <v>2.5</v>
      </c>
      <c r="H58" s="466">
        <f>G58/1.1</f>
        <v>2.2727272727272725</v>
      </c>
      <c r="I58" s="436"/>
      <c r="J58" s="465">
        <v>0</v>
      </c>
      <c r="K58" s="467">
        <v>0</v>
      </c>
    </row>
    <row r="59" spans="2:11" ht="19" customHeight="1">
      <c r="B59" s="464">
        <v>46024</v>
      </c>
      <c r="C59" s="436" t="s">
        <v>247</v>
      </c>
      <c r="D59" s="436" t="s">
        <v>257</v>
      </c>
      <c r="E59" s="436">
        <v>1</v>
      </c>
      <c r="F59" s="465">
        <v>1.55</v>
      </c>
      <c r="G59" s="466">
        <v>1.55</v>
      </c>
      <c r="H59" s="466">
        <f>G59/1.1</f>
        <v>1.4090909090909089</v>
      </c>
      <c r="I59" s="436"/>
      <c r="J59" s="465">
        <v>0</v>
      </c>
      <c r="K59" s="467">
        <v>0</v>
      </c>
    </row>
    <row r="60" spans="2:11" ht="19" customHeight="1">
      <c r="B60" s="464">
        <v>46024</v>
      </c>
      <c r="C60" s="436" t="s">
        <v>254</v>
      </c>
      <c r="D60" s="436" t="s">
        <v>872</v>
      </c>
      <c r="E60" s="436">
        <v>3</v>
      </c>
      <c r="F60" s="467">
        <v>9.93</v>
      </c>
      <c r="G60" s="466">
        <v>29.8</v>
      </c>
      <c r="H60" s="466">
        <f>G60/1.1</f>
        <v>27.09090909090909</v>
      </c>
      <c r="I60" s="436"/>
      <c r="J60" s="465">
        <v>0</v>
      </c>
      <c r="K60" s="467">
        <v>0</v>
      </c>
    </row>
    <row r="61" spans="2:11" ht="19" customHeight="1">
      <c r="B61" s="464">
        <v>46024</v>
      </c>
      <c r="C61" s="436" t="s">
        <v>873</v>
      </c>
      <c r="D61" s="436" t="s">
        <v>874</v>
      </c>
      <c r="E61" s="436">
        <v>2</v>
      </c>
      <c r="F61" s="436"/>
      <c r="G61" s="468" t="s">
        <v>875</v>
      </c>
      <c r="H61" s="466" t="e">
        <f>G61/1.1</f>
        <v>#VALUE!</v>
      </c>
      <c r="I61" s="436"/>
      <c r="J61" s="465">
        <v>0</v>
      </c>
      <c r="K61" s="467">
        <v>0</v>
      </c>
    </row>
    <row r="62" spans="2:11" ht="19" customHeight="1">
      <c r="B62" s="464">
        <v>46024</v>
      </c>
      <c r="C62" s="436" t="s">
        <v>873</v>
      </c>
      <c r="D62" s="436" t="s">
        <v>876</v>
      </c>
      <c r="E62" s="436">
        <v>1</v>
      </c>
      <c r="F62" s="436"/>
      <c r="G62" s="468" t="s">
        <v>875</v>
      </c>
      <c r="H62" s="466" t="e">
        <f>G62/1.1</f>
        <v>#VALUE!</v>
      </c>
      <c r="I62" s="436"/>
      <c r="J62" s="465">
        <v>0</v>
      </c>
      <c r="K62" s="467">
        <v>0</v>
      </c>
    </row>
    <row r="63" spans="2:11" ht="19" customHeight="1">
      <c r="B63" s="464">
        <v>46024</v>
      </c>
      <c r="C63" s="436" t="s">
        <v>877</v>
      </c>
      <c r="D63" s="436" t="s">
        <v>878</v>
      </c>
      <c r="E63" s="436">
        <v>1</v>
      </c>
      <c r="F63" s="436"/>
      <c r="G63" s="468" t="s">
        <v>875</v>
      </c>
      <c r="H63" s="466" t="e">
        <f>G63/1.1</f>
        <v>#VALUE!</v>
      </c>
      <c r="I63" s="436"/>
      <c r="J63" s="465">
        <v>0</v>
      </c>
      <c r="K63" s="467">
        <v>0</v>
      </c>
    </row>
    <row r="64" spans="2:11" ht="19" customHeight="1">
      <c r="B64" s="464">
        <v>46024</v>
      </c>
      <c r="C64" s="436" t="s">
        <v>877</v>
      </c>
      <c r="D64" s="436" t="s">
        <v>879</v>
      </c>
      <c r="E64" s="436">
        <v>1</v>
      </c>
      <c r="F64" s="469"/>
      <c r="G64" s="468" t="s">
        <v>875</v>
      </c>
      <c r="H64" s="466" t="e">
        <f>G64/1.1</f>
        <v>#VALUE!</v>
      </c>
      <c r="I64" s="436"/>
      <c r="J64" s="465">
        <v>0</v>
      </c>
      <c r="K64" s="467">
        <v>0</v>
      </c>
    </row>
    <row r="65" spans="2:11" ht="19" customHeight="1">
      <c r="B65" s="464">
        <v>46024</v>
      </c>
      <c r="C65" s="436" t="s">
        <v>266</v>
      </c>
      <c r="D65" s="436" t="s">
        <v>880</v>
      </c>
      <c r="E65" s="436">
        <v>1</v>
      </c>
      <c r="F65" s="436"/>
      <c r="G65" s="468" t="s">
        <v>875</v>
      </c>
      <c r="H65" s="466" t="e">
        <f>G65/1.1</f>
        <v>#VALUE!</v>
      </c>
      <c r="I65" s="436"/>
      <c r="J65" s="465">
        <v>0</v>
      </c>
      <c r="K65" s="467">
        <v>0</v>
      </c>
    </row>
    <row r="66" spans="2:11" ht="19" customHeight="1">
      <c r="B66" s="464">
        <v>46024</v>
      </c>
      <c r="C66" s="436" t="s">
        <v>266</v>
      </c>
      <c r="D66" s="436" t="s">
        <v>881</v>
      </c>
      <c r="E66" s="436">
        <v>2</v>
      </c>
      <c r="F66" s="436"/>
      <c r="G66" s="468" t="s">
        <v>875</v>
      </c>
      <c r="H66" s="466" t="e">
        <f>G66/1.1</f>
        <v>#VALUE!</v>
      </c>
      <c r="I66" s="436"/>
      <c r="J66" s="465">
        <v>0</v>
      </c>
      <c r="K66" s="467">
        <v>0</v>
      </c>
    </row>
    <row r="67" spans="2:11" ht="19" customHeight="1">
      <c r="B67" s="464">
        <v>46024</v>
      </c>
      <c r="C67" s="436" t="s">
        <v>258</v>
      </c>
      <c r="D67" s="436" t="s">
        <v>882</v>
      </c>
      <c r="E67" s="436">
        <v>1</v>
      </c>
      <c r="F67" s="436"/>
      <c r="G67" s="468" t="s">
        <v>875</v>
      </c>
      <c r="H67" s="466" t="e">
        <f>G67/1.1</f>
        <v>#VALUE!</v>
      </c>
      <c r="I67" s="436"/>
      <c r="J67" s="465">
        <v>0</v>
      </c>
      <c r="K67" s="467">
        <v>0</v>
      </c>
    </row>
    <row r="68" spans="2:11" ht="19" customHeight="1">
      <c r="B68" s="464">
        <v>46024</v>
      </c>
      <c r="C68" s="436" t="s">
        <v>258</v>
      </c>
      <c r="D68" s="436" t="s">
        <v>883</v>
      </c>
      <c r="E68" s="436">
        <v>2</v>
      </c>
      <c r="F68" s="436"/>
      <c r="G68" s="468" t="s">
        <v>875</v>
      </c>
      <c r="H68" s="466" t="e">
        <f>G68/1.1</f>
        <v>#VALUE!</v>
      </c>
      <c r="I68" s="436"/>
      <c r="J68" s="465">
        <v>0</v>
      </c>
      <c r="K68" s="467">
        <v>0</v>
      </c>
    </row>
    <row r="69" spans="2:11" ht="19" customHeight="1">
      <c r="B69" s="464">
        <v>46024</v>
      </c>
      <c r="C69" s="436" t="s">
        <v>254</v>
      </c>
      <c r="D69" s="436" t="s">
        <v>254</v>
      </c>
      <c r="E69" s="436">
        <v>4</v>
      </c>
      <c r="F69" s="467">
        <v>14.9</v>
      </c>
      <c r="G69" s="466">
        <v>59.6</v>
      </c>
      <c r="H69" s="466">
        <f>G69/1.1</f>
        <v>54.18181818181818</v>
      </c>
      <c r="I69" s="436"/>
      <c r="J69" s="465">
        <v>0</v>
      </c>
      <c r="K69" s="467">
        <v>0</v>
      </c>
    </row>
    <row r="70" spans="2:11" ht="19" customHeight="1">
      <c r="B70" s="464">
        <v>46024</v>
      </c>
      <c r="C70" s="436" t="s">
        <v>873</v>
      </c>
      <c r="D70" s="436" t="s">
        <v>876</v>
      </c>
      <c r="E70" s="436">
        <v>3</v>
      </c>
      <c r="F70" s="436"/>
      <c r="G70" s="468" t="s">
        <v>875</v>
      </c>
      <c r="H70" s="466" t="e">
        <f>G70/1.1</f>
        <v>#VALUE!</v>
      </c>
      <c r="I70" s="436"/>
      <c r="J70" s="465">
        <v>0</v>
      </c>
      <c r="K70" s="467">
        <v>0</v>
      </c>
    </row>
    <row r="71" spans="2:11" ht="19" customHeight="1">
      <c r="B71" s="464">
        <v>46024</v>
      </c>
      <c r="C71" s="436" t="s">
        <v>873</v>
      </c>
      <c r="D71" s="436" t="s">
        <v>884</v>
      </c>
      <c r="E71" s="436">
        <v>1</v>
      </c>
      <c r="F71" s="436"/>
      <c r="G71" s="468" t="s">
        <v>875</v>
      </c>
      <c r="H71" s="466" t="e">
        <f>G71/1.1</f>
        <v>#VALUE!</v>
      </c>
      <c r="I71" s="436"/>
      <c r="J71" s="465">
        <v>0</v>
      </c>
      <c r="K71" s="467">
        <v>0</v>
      </c>
    </row>
    <row r="72" spans="2:11" ht="19" customHeight="1">
      <c r="B72" s="464">
        <v>46024</v>
      </c>
      <c r="C72" s="436" t="s">
        <v>877</v>
      </c>
      <c r="D72" s="436" t="s">
        <v>879</v>
      </c>
      <c r="E72" s="436">
        <v>1</v>
      </c>
      <c r="F72" s="469"/>
      <c r="G72" s="468" t="s">
        <v>875</v>
      </c>
      <c r="H72" s="466" t="e">
        <f>G72/1.1</f>
        <v>#VALUE!</v>
      </c>
      <c r="I72" s="436"/>
      <c r="J72" s="465">
        <v>0</v>
      </c>
      <c r="K72" s="467">
        <v>0</v>
      </c>
    </row>
    <row r="73" spans="2:11" ht="19" customHeight="1">
      <c r="B73" s="464">
        <v>46024</v>
      </c>
      <c r="C73" s="436" t="s">
        <v>877</v>
      </c>
      <c r="D73" s="436" t="s">
        <v>885</v>
      </c>
      <c r="E73" s="436">
        <v>3</v>
      </c>
      <c r="F73" s="469"/>
      <c r="G73" s="468" t="s">
        <v>875</v>
      </c>
      <c r="H73" s="466" t="e">
        <f>G73/1.1</f>
        <v>#VALUE!</v>
      </c>
      <c r="I73" s="436"/>
      <c r="J73" s="465">
        <v>0</v>
      </c>
      <c r="K73" s="467">
        <v>0</v>
      </c>
    </row>
    <row r="74" spans="2:11" ht="19" customHeight="1">
      <c r="B74" s="464">
        <v>46024</v>
      </c>
      <c r="C74" s="436" t="s">
        <v>258</v>
      </c>
      <c r="D74" s="436" t="s">
        <v>886</v>
      </c>
      <c r="E74" s="436">
        <v>1</v>
      </c>
      <c r="F74" s="436"/>
      <c r="G74" s="468" t="s">
        <v>875</v>
      </c>
      <c r="H74" s="466" t="e">
        <f>G74/1.1</f>
        <v>#VALUE!</v>
      </c>
      <c r="I74" s="436"/>
      <c r="J74" s="465">
        <v>0</v>
      </c>
      <c r="K74" s="467">
        <v>0</v>
      </c>
    </row>
    <row r="75" spans="2:11" ht="19" customHeight="1">
      <c r="B75" s="464">
        <v>46024</v>
      </c>
      <c r="C75" s="436" t="s">
        <v>258</v>
      </c>
      <c r="D75" s="436" t="s">
        <v>887</v>
      </c>
      <c r="E75" s="436">
        <v>2</v>
      </c>
      <c r="F75" s="436"/>
      <c r="G75" s="468" t="s">
        <v>875</v>
      </c>
      <c r="H75" s="466" t="e">
        <f>G75/1.1</f>
        <v>#VALUE!</v>
      </c>
      <c r="I75" s="436"/>
      <c r="J75" s="465">
        <v>0</v>
      </c>
      <c r="K75" s="467">
        <v>0</v>
      </c>
    </row>
    <row r="76" spans="2:11" ht="19" customHeight="1">
      <c r="B76" s="464">
        <v>46024</v>
      </c>
      <c r="C76" s="436" t="s">
        <v>258</v>
      </c>
      <c r="D76" s="436" t="s">
        <v>888</v>
      </c>
      <c r="E76" s="436">
        <v>1</v>
      </c>
      <c r="F76" s="436"/>
      <c r="G76" s="468" t="s">
        <v>875</v>
      </c>
      <c r="H76" s="466" t="e">
        <f>G76/1.1</f>
        <v>#VALUE!</v>
      </c>
      <c r="I76" s="436"/>
      <c r="J76" s="465">
        <v>0</v>
      </c>
      <c r="K76" s="467">
        <v>0</v>
      </c>
    </row>
    <row r="77" spans="2:11" ht="19" customHeight="1">
      <c r="B77" s="464">
        <v>46025</v>
      </c>
      <c r="C77" s="436" t="s">
        <v>247</v>
      </c>
      <c r="D77" s="436" t="s">
        <v>889</v>
      </c>
      <c r="E77" s="436">
        <v>1</v>
      </c>
      <c r="F77" s="467">
        <v>1.95</v>
      </c>
      <c r="G77" s="466">
        <v>1.95</v>
      </c>
      <c r="H77" s="466">
        <f>G77/1.1</f>
        <v>1.7727272727272725</v>
      </c>
      <c r="I77" s="436"/>
      <c r="J77" s="465">
        <v>0</v>
      </c>
      <c r="K77" s="467">
        <v>0</v>
      </c>
    </row>
    <row r="78" spans="2:11" ht="19" customHeight="1">
      <c r="B78" s="464">
        <v>46025</v>
      </c>
      <c r="C78" s="436" t="s">
        <v>251</v>
      </c>
      <c r="D78" s="436" t="s">
        <v>854</v>
      </c>
      <c r="E78" s="436">
        <v>1</v>
      </c>
      <c r="F78" s="465">
        <v>1.55</v>
      </c>
      <c r="G78" s="466">
        <v>1.55</v>
      </c>
      <c r="H78" s="466">
        <f>G78/1.1</f>
        <v>1.4090909090909089</v>
      </c>
      <c r="I78" s="436"/>
      <c r="J78" s="465">
        <v>0</v>
      </c>
      <c r="K78" s="467">
        <v>0</v>
      </c>
    </row>
    <row r="79" spans="2:11" ht="19" customHeight="1">
      <c r="B79" s="464">
        <v>46025</v>
      </c>
      <c r="C79" s="436" t="s">
        <v>251</v>
      </c>
      <c r="D79" s="436" t="s">
        <v>890</v>
      </c>
      <c r="E79" s="436">
        <v>1</v>
      </c>
      <c r="F79" s="465">
        <v>2.65</v>
      </c>
      <c r="G79" s="466">
        <v>2.65</v>
      </c>
      <c r="H79" s="466">
        <f>G79/1.1</f>
        <v>2.4090909090909087</v>
      </c>
      <c r="I79" s="436"/>
      <c r="J79" s="465">
        <v>0</v>
      </c>
      <c r="K79" s="467">
        <v>0</v>
      </c>
    </row>
    <row r="80" spans="2:11" ht="19" customHeight="1">
      <c r="B80" s="464">
        <v>46025</v>
      </c>
      <c r="C80" s="436" t="s">
        <v>247</v>
      </c>
      <c r="D80" s="436" t="s">
        <v>248</v>
      </c>
      <c r="E80" s="436">
        <v>1</v>
      </c>
      <c r="F80" s="465">
        <v>1.5</v>
      </c>
      <c r="G80" s="466">
        <v>1.5</v>
      </c>
      <c r="H80" s="466">
        <f>G80/1.1</f>
        <v>1.3636363636363635</v>
      </c>
      <c r="I80" s="436"/>
      <c r="J80" s="465">
        <v>0</v>
      </c>
      <c r="K80" s="467">
        <v>0</v>
      </c>
    </row>
    <row r="81" spans="2:11" ht="19" customHeight="1">
      <c r="B81" s="464">
        <v>46025</v>
      </c>
      <c r="C81" s="436" t="s">
        <v>247</v>
      </c>
      <c r="D81" s="436" t="s">
        <v>246</v>
      </c>
      <c r="E81" s="436">
        <v>2</v>
      </c>
      <c r="F81" s="465">
        <v>1.7</v>
      </c>
      <c r="G81" s="466">
        <v>3.4</v>
      </c>
      <c r="H81" s="466">
        <f>G81/1.1</f>
        <v>3.0909090909090904</v>
      </c>
      <c r="I81" s="436"/>
      <c r="J81" s="465">
        <v>0</v>
      </c>
      <c r="K81" s="467">
        <v>0</v>
      </c>
    </row>
    <row r="82" spans="2:11" ht="19" customHeight="1">
      <c r="B82" s="464">
        <v>46025</v>
      </c>
      <c r="C82" s="436" t="s">
        <v>327</v>
      </c>
      <c r="D82" s="436" t="s">
        <v>712</v>
      </c>
      <c r="E82" s="436">
        <v>1</v>
      </c>
      <c r="F82" s="465">
        <v>3.5</v>
      </c>
      <c r="G82" s="466">
        <v>3.5</v>
      </c>
      <c r="H82" s="466">
        <f>G82/1.1</f>
        <v>3.1818181818181817</v>
      </c>
      <c r="I82" s="436"/>
      <c r="J82" s="465">
        <v>0</v>
      </c>
      <c r="K82" s="467">
        <v>0</v>
      </c>
    </row>
    <row r="83" spans="2:11" ht="19" customHeight="1">
      <c r="B83" s="464">
        <v>46025</v>
      </c>
      <c r="C83" s="436" t="s">
        <v>327</v>
      </c>
      <c r="D83" s="436" t="s">
        <v>712</v>
      </c>
      <c r="E83" s="436">
        <v>1</v>
      </c>
      <c r="F83" s="465">
        <v>1.5</v>
      </c>
      <c r="G83" s="466">
        <v>1.5</v>
      </c>
      <c r="H83" s="466">
        <f>G83/1.1</f>
        <v>1.3636363636363635</v>
      </c>
      <c r="I83" s="436"/>
      <c r="J83" s="465">
        <v>0</v>
      </c>
      <c r="K83" s="467">
        <v>0</v>
      </c>
    </row>
    <row r="84" spans="2:11" ht="19" customHeight="1">
      <c r="B84" s="464">
        <v>46025</v>
      </c>
      <c r="C84" s="436" t="s">
        <v>264</v>
      </c>
      <c r="D84" s="436" t="s">
        <v>891</v>
      </c>
      <c r="E84" s="436">
        <v>1</v>
      </c>
      <c r="F84" s="467">
        <v>1.4</v>
      </c>
      <c r="G84" s="466">
        <v>1.4</v>
      </c>
      <c r="H84" s="466">
        <f>G84/1.1</f>
        <v>1.2727272727272725</v>
      </c>
      <c r="I84" s="436"/>
      <c r="J84" s="465">
        <v>0</v>
      </c>
      <c r="K84" s="467">
        <v>0</v>
      </c>
    </row>
    <row r="85" spans="2:11" ht="19" customHeight="1">
      <c r="B85" s="464">
        <v>46025</v>
      </c>
      <c r="C85" s="436" t="s">
        <v>328</v>
      </c>
      <c r="D85" s="436" t="s">
        <v>892</v>
      </c>
      <c r="E85" s="436">
        <v>1</v>
      </c>
      <c r="F85" s="467">
        <v>5.85</v>
      </c>
      <c r="G85" s="466">
        <v>5.85</v>
      </c>
      <c r="H85" s="466">
        <f>G85/1.1</f>
        <v>5.3181818181818175</v>
      </c>
      <c r="I85" s="436"/>
      <c r="J85" s="465">
        <v>0</v>
      </c>
      <c r="K85" s="467">
        <v>0</v>
      </c>
    </row>
    <row r="86" spans="2:11" ht="19" customHeight="1">
      <c r="B86" s="464">
        <v>46025</v>
      </c>
      <c r="C86" s="436" t="s">
        <v>247</v>
      </c>
      <c r="D86" s="436" t="s">
        <v>248</v>
      </c>
      <c r="E86" s="436">
        <v>2</v>
      </c>
      <c r="F86" s="467">
        <v>1.5</v>
      </c>
      <c r="G86" s="466">
        <v>3</v>
      </c>
      <c r="H86" s="466">
        <f>G86/1.1</f>
        <v>2.7272727272727271</v>
      </c>
      <c r="I86" s="436"/>
      <c r="J86" s="465">
        <v>0</v>
      </c>
      <c r="K86" s="467">
        <v>0</v>
      </c>
    </row>
    <row r="87" spans="2:11" ht="19" customHeight="1">
      <c r="B87" s="464">
        <v>46025</v>
      </c>
      <c r="C87" s="436" t="s">
        <v>251</v>
      </c>
      <c r="D87" s="436" t="s">
        <v>742</v>
      </c>
      <c r="E87" s="436">
        <v>2</v>
      </c>
      <c r="F87" s="467">
        <v>2.95</v>
      </c>
      <c r="G87" s="466">
        <v>5.9</v>
      </c>
      <c r="H87" s="466">
        <f>G87/1.1</f>
        <v>5.3636363636363633</v>
      </c>
      <c r="I87" s="436"/>
      <c r="J87" s="465">
        <v>0</v>
      </c>
      <c r="K87" s="467">
        <v>0</v>
      </c>
    </row>
    <row r="88" spans="2:11" ht="19" customHeight="1">
      <c r="B88" s="464">
        <v>46025</v>
      </c>
      <c r="C88" s="436" t="s">
        <v>247</v>
      </c>
      <c r="D88" s="436" t="s">
        <v>246</v>
      </c>
      <c r="E88" s="436">
        <v>2</v>
      </c>
      <c r="F88" s="467">
        <v>1.7</v>
      </c>
      <c r="G88" s="466">
        <v>3.4</v>
      </c>
      <c r="H88" s="466">
        <f>G88/1.1</f>
        <v>3.0909090909090904</v>
      </c>
      <c r="I88" s="436"/>
      <c r="J88" s="465">
        <v>0</v>
      </c>
      <c r="K88" s="467">
        <v>0</v>
      </c>
    </row>
    <row r="89" spans="2:11" ht="19" customHeight="1">
      <c r="B89" s="464">
        <v>46025</v>
      </c>
      <c r="C89" s="436" t="s">
        <v>328</v>
      </c>
      <c r="D89" s="436" t="s">
        <v>893</v>
      </c>
      <c r="E89" s="436">
        <v>1</v>
      </c>
      <c r="F89" s="467">
        <v>5.4</v>
      </c>
      <c r="G89" s="466">
        <v>5.4</v>
      </c>
      <c r="H89" s="466">
        <f>G89/1.1</f>
        <v>4.9090909090909092</v>
      </c>
      <c r="I89" s="436"/>
      <c r="J89" s="465">
        <v>0</v>
      </c>
      <c r="K89" s="467">
        <v>0</v>
      </c>
    </row>
    <row r="90" spans="2:11" ht="19" customHeight="1">
      <c r="B90" s="464">
        <v>46025</v>
      </c>
      <c r="C90" s="436" t="s">
        <v>894</v>
      </c>
      <c r="D90" s="436" t="s">
        <v>895</v>
      </c>
      <c r="E90" s="436">
        <v>1</v>
      </c>
      <c r="F90" s="467">
        <v>7.1</v>
      </c>
      <c r="G90" s="466">
        <v>7.1</v>
      </c>
      <c r="H90" s="466">
        <f>G90/1.1</f>
        <v>6.4545454545454541</v>
      </c>
      <c r="I90" s="436"/>
      <c r="J90" s="465">
        <v>0</v>
      </c>
      <c r="K90" s="467">
        <v>0</v>
      </c>
    </row>
    <row r="91" spans="2:11" ht="19" customHeight="1">
      <c r="B91" s="464">
        <v>46025</v>
      </c>
      <c r="C91" s="436" t="s">
        <v>894</v>
      </c>
      <c r="D91" s="436" t="s">
        <v>896</v>
      </c>
      <c r="E91" s="436">
        <v>1</v>
      </c>
      <c r="F91" s="465">
        <v>5.75</v>
      </c>
      <c r="G91" s="466">
        <v>5.75</v>
      </c>
      <c r="H91" s="466">
        <f>G91/1.1</f>
        <v>5.2272727272727266</v>
      </c>
      <c r="I91" s="436"/>
      <c r="J91" s="465">
        <v>0</v>
      </c>
      <c r="K91" s="467">
        <v>0</v>
      </c>
    </row>
    <row r="92" spans="2:11" ht="19" customHeight="1">
      <c r="B92" s="464">
        <v>46025</v>
      </c>
      <c r="C92" s="436" t="s">
        <v>264</v>
      </c>
      <c r="D92" s="436" t="s">
        <v>897</v>
      </c>
      <c r="E92" s="436">
        <v>1</v>
      </c>
      <c r="F92" s="465">
        <v>0.75</v>
      </c>
      <c r="G92" s="466">
        <v>0.75</v>
      </c>
      <c r="H92" s="466">
        <f>G92/1.1</f>
        <v>0.68181818181818177</v>
      </c>
      <c r="I92" s="436"/>
      <c r="J92" s="465">
        <v>0</v>
      </c>
      <c r="K92" s="467">
        <v>0</v>
      </c>
    </row>
    <row r="93" spans="2:11" ht="19" customHeight="1">
      <c r="B93" s="464">
        <v>46025</v>
      </c>
      <c r="C93" s="436" t="s">
        <v>327</v>
      </c>
      <c r="D93" s="436" t="s">
        <v>817</v>
      </c>
      <c r="E93" s="436">
        <v>1</v>
      </c>
      <c r="F93" s="465">
        <v>4.9000000000000004</v>
      </c>
      <c r="G93" s="466">
        <v>4.9000000000000004</v>
      </c>
      <c r="H93" s="466">
        <f>G93/1.1</f>
        <v>4.4545454545454541</v>
      </c>
      <c r="I93" s="436"/>
      <c r="J93" s="465">
        <v>0</v>
      </c>
      <c r="K93" s="467">
        <v>0</v>
      </c>
    </row>
    <row r="94" spans="2:11" ht="19" customHeight="1">
      <c r="B94" s="464">
        <v>46025</v>
      </c>
      <c r="C94" s="436" t="s">
        <v>264</v>
      </c>
      <c r="D94" s="436" t="s">
        <v>891</v>
      </c>
      <c r="E94" s="436">
        <v>1</v>
      </c>
      <c r="F94" s="465">
        <v>1.4</v>
      </c>
      <c r="G94" s="466">
        <v>1.4</v>
      </c>
      <c r="H94" s="466">
        <f>G94/1.1</f>
        <v>1.2727272727272725</v>
      </c>
      <c r="I94" s="436"/>
      <c r="J94" s="465">
        <v>0</v>
      </c>
      <c r="K94" s="467">
        <v>0</v>
      </c>
    </row>
    <row r="95" spans="2:11" ht="19" customHeight="1">
      <c r="B95" s="464">
        <v>46025</v>
      </c>
      <c r="C95" s="436" t="s">
        <v>894</v>
      </c>
      <c r="D95" s="436" t="s">
        <v>895</v>
      </c>
      <c r="E95" s="436">
        <v>1</v>
      </c>
      <c r="F95" s="467">
        <v>7.1</v>
      </c>
      <c r="G95" s="466">
        <v>7.1</v>
      </c>
      <c r="H95" s="466">
        <f>G95/1.1</f>
        <v>6.4545454545454541</v>
      </c>
      <c r="I95" s="436"/>
      <c r="J95" s="465">
        <v>0</v>
      </c>
      <c r="K95" s="467">
        <v>0</v>
      </c>
    </row>
    <row r="96" spans="2:11" ht="19" customHeight="1">
      <c r="B96" s="464">
        <v>46025</v>
      </c>
      <c r="C96" s="436" t="s">
        <v>264</v>
      </c>
      <c r="D96" s="436" t="s">
        <v>898</v>
      </c>
      <c r="E96" s="436">
        <v>1</v>
      </c>
      <c r="F96" s="467">
        <v>1.5</v>
      </c>
      <c r="G96" s="466">
        <v>1.5</v>
      </c>
      <c r="H96" s="466">
        <f>G96/1.1</f>
        <v>1.3636363636363635</v>
      </c>
      <c r="I96" s="436"/>
      <c r="J96" s="465">
        <v>0</v>
      </c>
      <c r="K96" s="467">
        <v>0</v>
      </c>
    </row>
    <row r="97" spans="2:11" ht="19" customHeight="1">
      <c r="B97" s="464">
        <v>46025</v>
      </c>
      <c r="C97" s="436" t="s">
        <v>247</v>
      </c>
      <c r="D97" s="436" t="s">
        <v>246</v>
      </c>
      <c r="E97" s="436">
        <v>1</v>
      </c>
      <c r="F97" s="467">
        <v>1.7</v>
      </c>
      <c r="G97" s="466">
        <v>1.7</v>
      </c>
      <c r="H97" s="466">
        <f>G97/1.1</f>
        <v>1.5454545454545452</v>
      </c>
      <c r="I97" s="436"/>
      <c r="J97" s="465">
        <v>0</v>
      </c>
      <c r="K97" s="467">
        <v>0</v>
      </c>
    </row>
    <row r="98" spans="2:11" ht="19" customHeight="1">
      <c r="B98" s="464">
        <v>46025</v>
      </c>
      <c r="C98" s="436" t="s">
        <v>328</v>
      </c>
      <c r="D98" s="436" t="s">
        <v>735</v>
      </c>
      <c r="E98" s="436">
        <v>1</v>
      </c>
      <c r="F98" s="465">
        <v>3.1</v>
      </c>
      <c r="G98" s="466">
        <v>3.1</v>
      </c>
      <c r="H98" s="466">
        <f>G98/1.1</f>
        <v>2.8181818181818179</v>
      </c>
      <c r="I98" s="436"/>
      <c r="J98" s="465">
        <v>0</v>
      </c>
      <c r="K98" s="467">
        <v>0</v>
      </c>
    </row>
    <row r="99" spans="2:11" ht="19" customHeight="1">
      <c r="B99" s="464">
        <v>46025</v>
      </c>
      <c r="C99" s="436" t="s">
        <v>247</v>
      </c>
      <c r="D99" s="436" t="s">
        <v>246</v>
      </c>
      <c r="E99" s="436">
        <v>1</v>
      </c>
      <c r="F99" s="467">
        <v>1.7</v>
      </c>
      <c r="G99" s="466">
        <v>1.7</v>
      </c>
      <c r="H99" s="466">
        <f>G99/1.1</f>
        <v>1.5454545454545452</v>
      </c>
      <c r="I99" s="436"/>
      <c r="J99" s="465">
        <v>0</v>
      </c>
      <c r="K99" s="467">
        <v>0</v>
      </c>
    </row>
    <row r="100" spans="2:11" ht="19" customHeight="1">
      <c r="B100" s="464">
        <v>46025</v>
      </c>
      <c r="C100" s="436" t="s">
        <v>247</v>
      </c>
      <c r="D100" s="436" t="s">
        <v>257</v>
      </c>
      <c r="E100" s="436">
        <v>1</v>
      </c>
      <c r="F100" s="467">
        <v>1.4</v>
      </c>
      <c r="G100" s="466">
        <v>1.4</v>
      </c>
      <c r="H100" s="466">
        <f>G100/1.1</f>
        <v>1.2727272727272725</v>
      </c>
      <c r="I100" s="436"/>
      <c r="J100" s="465">
        <v>0</v>
      </c>
      <c r="K100" s="467">
        <v>0</v>
      </c>
    </row>
    <row r="101" spans="2:11" ht="19" customHeight="1">
      <c r="B101" s="464">
        <v>46025</v>
      </c>
      <c r="C101" s="436" t="s">
        <v>268</v>
      </c>
      <c r="D101" s="436" t="s">
        <v>860</v>
      </c>
      <c r="E101" s="436">
        <v>2</v>
      </c>
      <c r="F101" s="467">
        <v>2.25</v>
      </c>
      <c r="G101" s="466">
        <v>4.5</v>
      </c>
      <c r="H101" s="466">
        <f>G101/1.1</f>
        <v>4.0909090909090908</v>
      </c>
      <c r="I101" s="436"/>
      <c r="J101" s="465">
        <v>0</v>
      </c>
      <c r="K101" s="467">
        <v>0</v>
      </c>
    </row>
    <row r="102" spans="2:11" ht="19" customHeight="1">
      <c r="B102" s="464">
        <v>46025</v>
      </c>
      <c r="C102" s="436" t="s">
        <v>247</v>
      </c>
      <c r="D102" s="436" t="s">
        <v>246</v>
      </c>
      <c r="E102" s="436">
        <v>2</v>
      </c>
      <c r="F102" s="467">
        <v>1.7</v>
      </c>
      <c r="G102" s="466">
        <v>3.4</v>
      </c>
      <c r="H102" s="466">
        <f>G102/1.1</f>
        <v>3.0909090909090904</v>
      </c>
      <c r="I102" s="436"/>
      <c r="J102" s="465">
        <v>0</v>
      </c>
      <c r="K102" s="467">
        <v>0</v>
      </c>
    </row>
    <row r="103" spans="2:11" ht="19" customHeight="1">
      <c r="B103" s="464">
        <v>46025</v>
      </c>
      <c r="C103" s="436" t="s">
        <v>268</v>
      </c>
      <c r="D103" s="436" t="s">
        <v>860</v>
      </c>
      <c r="E103" s="436">
        <v>1</v>
      </c>
      <c r="F103" s="467">
        <v>2.4</v>
      </c>
      <c r="G103" s="466">
        <v>2.4</v>
      </c>
      <c r="H103" s="466">
        <f>G103/1.1</f>
        <v>2.1818181818181817</v>
      </c>
      <c r="I103" s="436"/>
      <c r="J103" s="465">
        <v>0</v>
      </c>
      <c r="K103" s="467">
        <v>0</v>
      </c>
    </row>
    <row r="104" spans="2:11" ht="19" customHeight="1">
      <c r="B104" s="464">
        <v>46025</v>
      </c>
      <c r="C104" s="436" t="s">
        <v>268</v>
      </c>
      <c r="D104" s="436" t="s">
        <v>267</v>
      </c>
      <c r="E104" s="436">
        <v>1</v>
      </c>
      <c r="F104" s="467">
        <v>1.65</v>
      </c>
      <c r="G104" s="466">
        <v>1.65</v>
      </c>
      <c r="H104" s="466">
        <f>G104/1.1</f>
        <v>1.4999999999999998</v>
      </c>
      <c r="I104" s="436"/>
      <c r="J104" s="465">
        <v>0</v>
      </c>
      <c r="K104" s="467">
        <v>0</v>
      </c>
    </row>
    <row r="105" spans="2:11" ht="19" customHeight="1">
      <c r="B105" s="464">
        <v>46025</v>
      </c>
      <c r="C105" s="436" t="s">
        <v>247</v>
      </c>
      <c r="D105" s="436" t="s">
        <v>248</v>
      </c>
      <c r="E105" s="436">
        <v>2</v>
      </c>
      <c r="F105" s="467">
        <v>1.8</v>
      </c>
      <c r="G105" s="466">
        <v>3.6</v>
      </c>
      <c r="H105" s="466">
        <f>G105/1.1</f>
        <v>3.2727272727272725</v>
      </c>
      <c r="I105" s="436"/>
      <c r="J105" s="465">
        <v>0</v>
      </c>
      <c r="K105" s="467">
        <v>0</v>
      </c>
    </row>
    <row r="106" spans="2:11" ht="19" customHeight="1">
      <c r="B106" s="464">
        <v>46025</v>
      </c>
      <c r="C106" s="436" t="s">
        <v>247</v>
      </c>
      <c r="D106" s="436" t="s">
        <v>246</v>
      </c>
      <c r="E106" s="436">
        <v>1</v>
      </c>
      <c r="F106" s="467">
        <v>1.85</v>
      </c>
      <c r="G106" s="466">
        <v>1.85</v>
      </c>
      <c r="H106" s="466">
        <f>G106/1.1</f>
        <v>1.6818181818181817</v>
      </c>
      <c r="I106" s="436"/>
      <c r="J106" s="465">
        <v>0</v>
      </c>
      <c r="K106" s="467">
        <v>0</v>
      </c>
    </row>
    <row r="107" spans="2:11" ht="19" customHeight="1">
      <c r="B107" s="464">
        <v>46025</v>
      </c>
      <c r="C107" s="436" t="s">
        <v>247</v>
      </c>
      <c r="D107" s="436" t="s">
        <v>246</v>
      </c>
      <c r="E107" s="436">
        <v>2</v>
      </c>
      <c r="F107" s="467">
        <v>1.7</v>
      </c>
      <c r="G107" s="466">
        <v>3.4</v>
      </c>
      <c r="H107" s="466">
        <f>G107/1.1</f>
        <v>3.0909090909090904</v>
      </c>
      <c r="I107" s="436"/>
      <c r="J107" s="465">
        <v>0</v>
      </c>
      <c r="K107" s="467">
        <v>0</v>
      </c>
    </row>
    <row r="108" spans="2:11" ht="19" customHeight="1">
      <c r="B108" s="464">
        <v>46025</v>
      </c>
      <c r="C108" s="436" t="s">
        <v>862</v>
      </c>
      <c r="D108" s="436" t="s">
        <v>899</v>
      </c>
      <c r="E108" s="436">
        <v>1</v>
      </c>
      <c r="F108" s="467">
        <v>0.05</v>
      </c>
      <c r="G108" s="466">
        <v>0.05</v>
      </c>
      <c r="H108" s="466">
        <f>G108/1.1</f>
        <v>4.5454545454545456E-2</v>
      </c>
      <c r="I108" s="436"/>
      <c r="J108" s="465">
        <v>0</v>
      </c>
      <c r="K108" s="467">
        <v>0</v>
      </c>
    </row>
    <row r="109" spans="2:11" ht="19" customHeight="1">
      <c r="B109" s="464">
        <v>46025</v>
      </c>
      <c r="C109" s="436" t="s">
        <v>268</v>
      </c>
      <c r="D109" s="436" t="s">
        <v>267</v>
      </c>
      <c r="E109" s="436">
        <v>1</v>
      </c>
      <c r="F109" s="465">
        <v>1.5</v>
      </c>
      <c r="G109" s="466">
        <v>1.5</v>
      </c>
      <c r="H109" s="466">
        <f>G109/1.1</f>
        <v>1.3636363636363635</v>
      </c>
      <c r="I109" s="436"/>
      <c r="J109" s="465">
        <v>0</v>
      </c>
      <c r="K109" s="467">
        <v>0</v>
      </c>
    </row>
    <row r="110" spans="2:11" ht="19" customHeight="1">
      <c r="B110" s="464">
        <v>46025</v>
      </c>
      <c r="C110" s="436" t="s">
        <v>247</v>
      </c>
      <c r="D110" s="436" t="s">
        <v>248</v>
      </c>
      <c r="E110" s="436">
        <v>1</v>
      </c>
      <c r="F110" s="467">
        <v>1.5</v>
      </c>
      <c r="G110" s="466">
        <v>1.5</v>
      </c>
      <c r="H110" s="466">
        <f>G110/1.1</f>
        <v>1.3636363636363635</v>
      </c>
      <c r="I110" s="436"/>
      <c r="J110" s="465">
        <v>0</v>
      </c>
      <c r="K110" s="467">
        <v>0</v>
      </c>
    </row>
    <row r="111" spans="2:11" ht="19" customHeight="1">
      <c r="B111" s="464">
        <v>46025</v>
      </c>
      <c r="C111" s="436" t="s">
        <v>247</v>
      </c>
      <c r="D111" s="436" t="s">
        <v>248</v>
      </c>
      <c r="E111" s="436">
        <v>1</v>
      </c>
      <c r="F111" s="467">
        <v>1.5</v>
      </c>
      <c r="G111" s="466">
        <v>1.5</v>
      </c>
      <c r="H111" s="466">
        <f>G111/1.1</f>
        <v>1.3636363636363635</v>
      </c>
      <c r="I111" s="436"/>
      <c r="J111" s="465">
        <v>0</v>
      </c>
      <c r="K111" s="467">
        <v>0</v>
      </c>
    </row>
    <row r="112" spans="2:11" ht="19" customHeight="1">
      <c r="B112" s="464">
        <v>46025</v>
      </c>
      <c r="C112" s="436" t="s">
        <v>268</v>
      </c>
      <c r="D112" s="436" t="s">
        <v>859</v>
      </c>
      <c r="E112" s="436">
        <v>1</v>
      </c>
      <c r="F112" s="465">
        <v>0.75</v>
      </c>
      <c r="G112" s="466">
        <v>0.75</v>
      </c>
      <c r="H112" s="466">
        <f>G112/1.1</f>
        <v>0.68181818181818177</v>
      </c>
      <c r="I112" s="436"/>
      <c r="J112" s="465">
        <v>0</v>
      </c>
      <c r="K112" s="467">
        <v>0</v>
      </c>
    </row>
    <row r="113" spans="2:11" ht="19" customHeight="1">
      <c r="B113" s="464">
        <v>46025</v>
      </c>
      <c r="C113" s="436" t="s">
        <v>247</v>
      </c>
      <c r="D113" s="436" t="s">
        <v>257</v>
      </c>
      <c r="E113" s="436">
        <v>1</v>
      </c>
      <c r="F113" s="467">
        <v>1.4</v>
      </c>
      <c r="G113" s="466">
        <v>1.4</v>
      </c>
      <c r="H113" s="466">
        <f>G113/1.1</f>
        <v>1.2727272727272725</v>
      </c>
      <c r="I113" s="436"/>
      <c r="J113" s="465">
        <v>0</v>
      </c>
      <c r="K113" s="467">
        <v>0</v>
      </c>
    </row>
    <row r="114" spans="2:11" ht="19" customHeight="1">
      <c r="B114" s="464">
        <v>46025</v>
      </c>
      <c r="C114" s="436" t="s">
        <v>247</v>
      </c>
      <c r="D114" s="436" t="s">
        <v>248</v>
      </c>
      <c r="E114" s="436">
        <v>1</v>
      </c>
      <c r="F114" s="467">
        <v>1.5</v>
      </c>
      <c r="G114" s="466">
        <v>1.5</v>
      </c>
      <c r="H114" s="466">
        <f>G114/1.1</f>
        <v>1.3636363636363635</v>
      </c>
      <c r="I114" s="436"/>
      <c r="J114" s="465">
        <v>0</v>
      </c>
      <c r="K114" s="467">
        <v>0</v>
      </c>
    </row>
    <row r="115" spans="2:11" ht="19" customHeight="1">
      <c r="B115" s="464">
        <v>46025</v>
      </c>
      <c r="C115" s="436" t="s">
        <v>247</v>
      </c>
      <c r="D115" s="436" t="s">
        <v>248</v>
      </c>
      <c r="E115" s="436">
        <v>1</v>
      </c>
      <c r="F115" s="467">
        <v>1.65</v>
      </c>
      <c r="G115" s="466">
        <v>1.65</v>
      </c>
      <c r="H115" s="466">
        <f>G115/1.1</f>
        <v>1.4999999999999998</v>
      </c>
      <c r="I115" s="436"/>
      <c r="J115" s="465">
        <v>0</v>
      </c>
      <c r="K115" s="467">
        <v>0</v>
      </c>
    </row>
    <row r="116" spans="2:11" ht="19" customHeight="1">
      <c r="B116" s="464">
        <v>46025</v>
      </c>
      <c r="C116" s="436" t="s">
        <v>247</v>
      </c>
      <c r="D116" s="436" t="s">
        <v>257</v>
      </c>
      <c r="E116" s="436">
        <v>1</v>
      </c>
      <c r="F116" s="467">
        <v>1.55</v>
      </c>
      <c r="G116" s="466">
        <v>1.55</v>
      </c>
      <c r="H116" s="466">
        <f>G116/1.1</f>
        <v>1.4090909090909089</v>
      </c>
      <c r="I116" s="436"/>
      <c r="J116" s="465">
        <v>0</v>
      </c>
      <c r="K116" s="467">
        <v>0</v>
      </c>
    </row>
    <row r="117" spans="2:11" ht="19" customHeight="1">
      <c r="B117" s="464">
        <v>46026</v>
      </c>
      <c r="C117" s="436" t="s">
        <v>247</v>
      </c>
      <c r="D117" s="436" t="s">
        <v>855</v>
      </c>
      <c r="E117" s="436">
        <v>1</v>
      </c>
      <c r="F117" s="467">
        <v>2.5499999999999998</v>
      </c>
      <c r="G117" s="466">
        <v>2.5499999999999998</v>
      </c>
      <c r="H117" s="466">
        <f>G117/1.1</f>
        <v>2.3181818181818179</v>
      </c>
      <c r="I117" s="436"/>
      <c r="J117" s="465">
        <v>0</v>
      </c>
      <c r="K117" s="467">
        <v>0</v>
      </c>
    </row>
    <row r="118" spans="2:11" ht="19" customHeight="1">
      <c r="B118" s="464">
        <v>46026</v>
      </c>
      <c r="C118" s="436" t="s">
        <v>247</v>
      </c>
      <c r="D118" s="436" t="s">
        <v>248</v>
      </c>
      <c r="E118" s="436">
        <v>1</v>
      </c>
      <c r="F118" s="467">
        <v>1.65</v>
      </c>
      <c r="G118" s="466">
        <v>1.65</v>
      </c>
      <c r="H118" s="466">
        <f>G118/1.1</f>
        <v>1.4999999999999998</v>
      </c>
      <c r="I118" s="436"/>
      <c r="J118" s="465">
        <v>0</v>
      </c>
      <c r="K118" s="467">
        <v>0</v>
      </c>
    </row>
    <row r="119" spans="2:11" ht="19" customHeight="1">
      <c r="B119" s="464">
        <v>46026</v>
      </c>
      <c r="C119" s="436" t="s">
        <v>251</v>
      </c>
      <c r="D119" s="436" t="s">
        <v>900</v>
      </c>
      <c r="E119" s="436">
        <v>1</v>
      </c>
      <c r="F119" s="465">
        <v>2.65</v>
      </c>
      <c r="G119" s="466">
        <v>2.65</v>
      </c>
      <c r="H119" s="466">
        <f>G119/1.1</f>
        <v>2.4090909090909087</v>
      </c>
      <c r="I119" s="436"/>
      <c r="J119" s="465">
        <v>0</v>
      </c>
      <c r="K119" s="467">
        <v>0</v>
      </c>
    </row>
    <row r="120" spans="2:11" ht="19" customHeight="1">
      <c r="B120" s="464">
        <v>46026</v>
      </c>
      <c r="C120" s="436" t="s">
        <v>247</v>
      </c>
      <c r="D120" s="436" t="s">
        <v>248</v>
      </c>
      <c r="E120" s="436">
        <v>4</v>
      </c>
      <c r="F120" s="467">
        <v>1.65</v>
      </c>
      <c r="G120" s="466">
        <v>6.6</v>
      </c>
      <c r="H120" s="466">
        <f>G120/1.1</f>
        <v>5.9999999999999991</v>
      </c>
      <c r="I120" s="436"/>
      <c r="J120" s="465">
        <v>0</v>
      </c>
      <c r="K120" s="467">
        <v>0</v>
      </c>
    </row>
    <row r="121" spans="2:11" ht="19" customHeight="1">
      <c r="B121" s="464">
        <v>46026</v>
      </c>
      <c r="C121" s="436" t="s">
        <v>247</v>
      </c>
      <c r="D121" s="436" t="s">
        <v>855</v>
      </c>
      <c r="E121" s="436">
        <v>1</v>
      </c>
      <c r="F121" s="467">
        <v>2.5499999999999998</v>
      </c>
      <c r="G121" s="466">
        <v>2.5499999999999998</v>
      </c>
      <c r="H121" s="466">
        <f>G121/1.1</f>
        <v>2.3181818181818179</v>
      </c>
      <c r="I121" s="436"/>
      <c r="J121" s="465">
        <v>0</v>
      </c>
      <c r="K121" s="467">
        <v>0</v>
      </c>
    </row>
    <row r="122" spans="2:11" ht="19" customHeight="1">
      <c r="B122" s="464">
        <v>46026</v>
      </c>
      <c r="C122" s="436" t="s">
        <v>247</v>
      </c>
      <c r="D122" s="436" t="s">
        <v>246</v>
      </c>
      <c r="E122" s="436">
        <v>1</v>
      </c>
      <c r="F122" s="467">
        <v>1.7</v>
      </c>
      <c r="G122" s="466">
        <v>1.7</v>
      </c>
      <c r="H122" s="466">
        <f>G122/1.1</f>
        <v>1.5454545454545452</v>
      </c>
      <c r="I122" s="436"/>
      <c r="J122" s="465">
        <v>0</v>
      </c>
      <c r="K122" s="467">
        <v>0</v>
      </c>
    </row>
    <row r="123" spans="2:11" ht="19" customHeight="1">
      <c r="B123" s="464">
        <v>46026</v>
      </c>
      <c r="C123" s="436" t="s">
        <v>247</v>
      </c>
      <c r="D123" s="436" t="s">
        <v>248</v>
      </c>
      <c r="E123" s="436">
        <v>2</v>
      </c>
      <c r="F123" s="467">
        <v>1.5</v>
      </c>
      <c r="G123" s="466">
        <v>3</v>
      </c>
      <c r="H123" s="466">
        <f>G123/1.1</f>
        <v>2.7272727272727271</v>
      </c>
      <c r="I123" s="436"/>
      <c r="J123" s="465">
        <v>0</v>
      </c>
      <c r="K123" s="467">
        <v>0</v>
      </c>
    </row>
    <row r="124" spans="2:11" ht="19" customHeight="1">
      <c r="B124" s="464">
        <v>46026</v>
      </c>
      <c r="C124" s="436" t="s">
        <v>247</v>
      </c>
      <c r="D124" s="436" t="s">
        <v>248</v>
      </c>
      <c r="E124" s="436">
        <v>2</v>
      </c>
      <c r="F124" s="465">
        <v>3</v>
      </c>
      <c r="G124" s="466">
        <v>6</v>
      </c>
      <c r="H124" s="466">
        <f>G124/1.1</f>
        <v>5.4545454545454541</v>
      </c>
      <c r="I124" s="436"/>
      <c r="J124" s="465">
        <v>0</v>
      </c>
      <c r="K124" s="467">
        <v>0</v>
      </c>
    </row>
    <row r="125" spans="2:11" ht="19" customHeight="1">
      <c r="B125" s="464">
        <v>46026</v>
      </c>
      <c r="C125" s="436" t="s">
        <v>268</v>
      </c>
      <c r="D125" s="436" t="s">
        <v>858</v>
      </c>
      <c r="E125" s="436">
        <v>1</v>
      </c>
      <c r="F125" s="467">
        <v>0.65</v>
      </c>
      <c r="G125" s="466">
        <v>0.65</v>
      </c>
      <c r="H125" s="466">
        <f>G125/1.1</f>
        <v>0.59090909090909083</v>
      </c>
      <c r="I125" s="436"/>
      <c r="J125" s="465">
        <v>0</v>
      </c>
      <c r="K125" s="467">
        <v>0</v>
      </c>
    </row>
    <row r="126" spans="2:11" ht="19" customHeight="1">
      <c r="B126" s="464">
        <v>46026</v>
      </c>
      <c r="C126" s="436" t="s">
        <v>247</v>
      </c>
      <c r="D126" s="436" t="s">
        <v>257</v>
      </c>
      <c r="E126" s="436">
        <v>1</v>
      </c>
      <c r="F126" s="467">
        <v>1.4</v>
      </c>
      <c r="G126" s="466">
        <v>1.4</v>
      </c>
      <c r="H126" s="466">
        <f>G126/1.1</f>
        <v>1.2727272727272725</v>
      </c>
      <c r="I126" s="436"/>
      <c r="J126" s="465">
        <v>0</v>
      </c>
      <c r="K126" s="467">
        <v>0</v>
      </c>
    </row>
    <row r="127" spans="2:11" ht="19" customHeight="1">
      <c r="B127" s="464">
        <v>46026</v>
      </c>
      <c r="C127" s="436" t="s">
        <v>253</v>
      </c>
      <c r="D127" s="436" t="s">
        <v>901</v>
      </c>
      <c r="E127" s="436">
        <v>1</v>
      </c>
      <c r="F127" s="467">
        <v>2.15</v>
      </c>
      <c r="G127" s="466">
        <v>2.15</v>
      </c>
      <c r="H127" s="466">
        <f>G127/1.1</f>
        <v>1.9545454545454544</v>
      </c>
      <c r="I127" s="436"/>
      <c r="J127" s="465">
        <v>0</v>
      </c>
      <c r="K127" s="467">
        <v>0</v>
      </c>
    </row>
    <row r="128" spans="2:11" ht="19" customHeight="1">
      <c r="B128" s="464">
        <v>46026</v>
      </c>
      <c r="C128" s="436" t="s">
        <v>247</v>
      </c>
      <c r="D128" s="436" t="s">
        <v>902</v>
      </c>
      <c r="E128" s="436">
        <v>1</v>
      </c>
      <c r="F128" s="467">
        <v>1.95</v>
      </c>
      <c r="G128" s="466">
        <v>1.95</v>
      </c>
      <c r="H128" s="466">
        <f>G128/1.1</f>
        <v>1.7727272727272725</v>
      </c>
      <c r="I128" s="436"/>
      <c r="J128" s="465">
        <v>0</v>
      </c>
      <c r="K128" s="467">
        <v>0</v>
      </c>
    </row>
    <row r="129" spans="2:11" ht="19" customHeight="1">
      <c r="B129" s="464">
        <v>46026</v>
      </c>
      <c r="C129" s="436" t="s">
        <v>247</v>
      </c>
      <c r="D129" s="436" t="s">
        <v>248</v>
      </c>
      <c r="E129" s="436">
        <v>1</v>
      </c>
      <c r="F129" s="467">
        <v>1.5</v>
      </c>
      <c r="G129" s="466">
        <v>1.5</v>
      </c>
      <c r="H129" s="466">
        <f>G129/1.1</f>
        <v>1.3636363636363635</v>
      </c>
      <c r="I129" s="436"/>
      <c r="J129" s="465">
        <v>0</v>
      </c>
      <c r="K129" s="467">
        <v>0</v>
      </c>
    </row>
    <row r="130" spans="2:11" ht="19" customHeight="1">
      <c r="B130" s="464">
        <v>46026</v>
      </c>
      <c r="C130" s="436" t="s">
        <v>327</v>
      </c>
      <c r="D130" s="436" t="s">
        <v>723</v>
      </c>
      <c r="E130" s="436">
        <v>1</v>
      </c>
      <c r="F130" s="465">
        <v>3.1</v>
      </c>
      <c r="G130" s="466">
        <v>3.1</v>
      </c>
      <c r="H130" s="466">
        <f>G130/1.1</f>
        <v>2.8181818181818179</v>
      </c>
      <c r="I130" s="436"/>
      <c r="J130" s="465">
        <v>0</v>
      </c>
      <c r="K130" s="467">
        <v>0</v>
      </c>
    </row>
    <row r="131" spans="2:11" ht="19" customHeight="1">
      <c r="B131" s="464">
        <v>46026</v>
      </c>
      <c r="C131" s="436" t="s">
        <v>327</v>
      </c>
      <c r="D131" s="436" t="s">
        <v>903</v>
      </c>
      <c r="E131" s="436">
        <v>1</v>
      </c>
      <c r="F131" s="467">
        <v>3.5</v>
      </c>
      <c r="G131" s="466">
        <v>3.5</v>
      </c>
      <c r="H131" s="466">
        <f>G131/1.1</f>
        <v>3.1818181818181817</v>
      </c>
      <c r="I131" s="436"/>
      <c r="J131" s="465">
        <v>0</v>
      </c>
      <c r="K131" s="467">
        <v>0</v>
      </c>
    </row>
    <row r="132" spans="2:11" ht="19" customHeight="1">
      <c r="B132" s="464">
        <v>46026</v>
      </c>
      <c r="C132" s="436" t="s">
        <v>247</v>
      </c>
      <c r="D132" s="436" t="s">
        <v>248</v>
      </c>
      <c r="E132" s="436">
        <v>1</v>
      </c>
      <c r="F132" s="465">
        <v>1.5</v>
      </c>
      <c r="G132" s="466">
        <v>1.5</v>
      </c>
      <c r="H132" s="466">
        <f>G132/1.1</f>
        <v>1.3636363636363635</v>
      </c>
      <c r="I132" s="436"/>
      <c r="J132" s="465">
        <v>0</v>
      </c>
      <c r="K132" s="467">
        <v>0</v>
      </c>
    </row>
    <row r="133" spans="2:11" ht="19" customHeight="1">
      <c r="B133" s="464">
        <v>46026</v>
      </c>
      <c r="C133" s="436" t="s">
        <v>268</v>
      </c>
      <c r="D133" s="436" t="s">
        <v>267</v>
      </c>
      <c r="E133" s="436">
        <v>1</v>
      </c>
      <c r="F133" s="467">
        <v>1.5</v>
      </c>
      <c r="G133" s="466">
        <v>1.5</v>
      </c>
      <c r="H133" s="466">
        <f>G133/1.1</f>
        <v>1.3636363636363635</v>
      </c>
      <c r="I133" s="436"/>
      <c r="J133" s="465">
        <v>0</v>
      </c>
      <c r="K133" s="467">
        <v>0</v>
      </c>
    </row>
    <row r="134" spans="2:11" ht="19" customHeight="1">
      <c r="B134" s="464">
        <v>46026</v>
      </c>
      <c r="C134" s="436" t="s">
        <v>247</v>
      </c>
      <c r="D134" s="436" t="s">
        <v>246</v>
      </c>
      <c r="E134" s="436">
        <v>2</v>
      </c>
      <c r="F134" s="467">
        <v>1.7</v>
      </c>
      <c r="G134" s="466">
        <v>3.4</v>
      </c>
      <c r="H134" s="466">
        <f>G134/1.1</f>
        <v>3.0909090909090904</v>
      </c>
      <c r="I134" s="436"/>
      <c r="J134" s="465">
        <v>0</v>
      </c>
      <c r="K134" s="467">
        <v>0</v>
      </c>
    </row>
    <row r="135" spans="2:11" ht="19" customHeight="1">
      <c r="B135" s="464">
        <v>46026</v>
      </c>
      <c r="C135" s="436" t="s">
        <v>268</v>
      </c>
      <c r="D135" s="436" t="s">
        <v>267</v>
      </c>
      <c r="E135" s="436">
        <v>1</v>
      </c>
      <c r="F135" s="467">
        <v>1.5</v>
      </c>
      <c r="G135" s="466">
        <v>1.5</v>
      </c>
      <c r="H135" s="466">
        <f>G135/1.1</f>
        <v>1.3636363636363635</v>
      </c>
      <c r="I135" s="436"/>
      <c r="J135" s="465">
        <v>0</v>
      </c>
      <c r="K135" s="467">
        <v>0</v>
      </c>
    </row>
    <row r="136" spans="2:11" ht="19" customHeight="1">
      <c r="B136" s="464">
        <v>46026</v>
      </c>
      <c r="C136" s="436" t="s">
        <v>247</v>
      </c>
      <c r="D136" s="436" t="s">
        <v>248</v>
      </c>
      <c r="E136" s="436">
        <v>1</v>
      </c>
      <c r="F136" s="467">
        <v>1.5</v>
      </c>
      <c r="G136" s="466">
        <v>1.5</v>
      </c>
      <c r="H136" s="466">
        <f>G136/1.1</f>
        <v>1.3636363636363635</v>
      </c>
      <c r="I136" s="436"/>
      <c r="J136" s="465">
        <v>0</v>
      </c>
      <c r="K136" s="467">
        <v>0</v>
      </c>
    </row>
    <row r="137" spans="2:11" ht="19" customHeight="1">
      <c r="B137" s="464">
        <v>46026</v>
      </c>
      <c r="C137" s="436" t="s">
        <v>862</v>
      </c>
      <c r="D137" s="436" t="s">
        <v>899</v>
      </c>
      <c r="E137" s="436">
        <v>1</v>
      </c>
      <c r="F137" s="467">
        <v>0.05</v>
      </c>
      <c r="G137" s="466">
        <v>0.05</v>
      </c>
      <c r="H137" s="466">
        <f>G137/1.1</f>
        <v>4.5454545454545456E-2</v>
      </c>
      <c r="I137" s="436"/>
      <c r="J137" s="465">
        <v>0</v>
      </c>
      <c r="K137" s="467">
        <v>0</v>
      </c>
    </row>
    <row r="138" spans="2:11" ht="19" customHeight="1">
      <c r="B138" s="464">
        <v>46026</v>
      </c>
      <c r="C138" s="436" t="s">
        <v>247</v>
      </c>
      <c r="D138" s="436" t="s">
        <v>246</v>
      </c>
      <c r="E138" s="436">
        <v>1</v>
      </c>
      <c r="F138" s="467">
        <v>1.7</v>
      </c>
      <c r="G138" s="466">
        <v>1.7</v>
      </c>
      <c r="H138" s="466">
        <f>G138/1.1</f>
        <v>1.5454545454545452</v>
      </c>
      <c r="I138" s="436"/>
      <c r="J138" s="465">
        <v>0</v>
      </c>
      <c r="K138" s="467">
        <v>0</v>
      </c>
    </row>
    <row r="139" spans="2:11" ht="19" customHeight="1">
      <c r="B139" s="464">
        <v>46026</v>
      </c>
      <c r="C139" s="436" t="s">
        <v>862</v>
      </c>
      <c r="D139" s="436" t="s">
        <v>899</v>
      </c>
      <c r="E139" s="436">
        <v>1</v>
      </c>
      <c r="F139" s="465">
        <v>0.05</v>
      </c>
      <c r="G139" s="466">
        <v>0.05</v>
      </c>
      <c r="H139" s="466">
        <f>G139/1.1</f>
        <v>4.5454545454545456E-2</v>
      </c>
      <c r="I139" s="436"/>
      <c r="J139" s="465">
        <v>0</v>
      </c>
      <c r="K139" s="467">
        <v>0</v>
      </c>
    </row>
    <row r="140" spans="2:11" ht="19" customHeight="1">
      <c r="B140" s="464">
        <v>46026</v>
      </c>
      <c r="C140" s="436" t="s">
        <v>268</v>
      </c>
      <c r="D140" s="436" t="s">
        <v>858</v>
      </c>
      <c r="E140" s="436">
        <v>1</v>
      </c>
      <c r="F140" s="467">
        <v>0.65</v>
      </c>
      <c r="G140" s="466">
        <v>0.65</v>
      </c>
      <c r="H140" s="466">
        <f>G140/1.1</f>
        <v>0.59090909090909083</v>
      </c>
      <c r="I140" s="436"/>
      <c r="J140" s="465">
        <v>0</v>
      </c>
      <c r="K140" s="467">
        <v>0</v>
      </c>
    </row>
    <row r="141" spans="2:11" ht="19" customHeight="1">
      <c r="B141" s="464">
        <v>46026</v>
      </c>
      <c r="C141" s="436" t="s">
        <v>247</v>
      </c>
      <c r="D141" s="436" t="s">
        <v>248</v>
      </c>
      <c r="E141" s="436">
        <v>1</v>
      </c>
      <c r="F141" s="467">
        <v>1.5</v>
      </c>
      <c r="G141" s="466">
        <v>1.5</v>
      </c>
      <c r="H141" s="466">
        <f>G141/1.1</f>
        <v>1.3636363636363635</v>
      </c>
      <c r="I141" s="436"/>
      <c r="J141" s="465">
        <v>0</v>
      </c>
      <c r="K141" s="467">
        <v>0</v>
      </c>
    </row>
    <row r="142" spans="2:11" ht="19" customHeight="1">
      <c r="B142" s="464">
        <v>46026</v>
      </c>
      <c r="C142" s="436" t="s">
        <v>247</v>
      </c>
      <c r="D142" s="436" t="s">
        <v>257</v>
      </c>
      <c r="E142" s="436">
        <v>2</v>
      </c>
      <c r="F142" s="465">
        <v>1.4</v>
      </c>
      <c r="G142" s="466">
        <v>2.8</v>
      </c>
      <c r="H142" s="466">
        <f>G142/1.1</f>
        <v>2.545454545454545</v>
      </c>
      <c r="I142" s="436"/>
      <c r="J142" s="465">
        <v>0</v>
      </c>
      <c r="K142" s="467">
        <v>0</v>
      </c>
    </row>
    <row r="143" spans="2:11" ht="19" customHeight="1">
      <c r="B143" s="464">
        <v>46026</v>
      </c>
      <c r="C143" s="436" t="s">
        <v>268</v>
      </c>
      <c r="D143" s="436" t="s">
        <v>859</v>
      </c>
      <c r="E143" s="436">
        <v>1</v>
      </c>
      <c r="F143" s="465">
        <v>0.75</v>
      </c>
      <c r="G143" s="466">
        <v>0.75</v>
      </c>
      <c r="H143" s="466">
        <f>G143/1.1</f>
        <v>0.68181818181818177</v>
      </c>
      <c r="I143" s="436"/>
      <c r="J143" s="465">
        <v>0</v>
      </c>
      <c r="K143" s="467">
        <v>0</v>
      </c>
    </row>
    <row r="144" spans="2:11" ht="19" customHeight="1">
      <c r="B144" s="464">
        <v>46026</v>
      </c>
      <c r="C144" s="436" t="s">
        <v>247</v>
      </c>
      <c r="D144" s="436" t="s">
        <v>246</v>
      </c>
      <c r="E144" s="436">
        <v>1</v>
      </c>
      <c r="F144" s="465">
        <v>1.7</v>
      </c>
      <c r="G144" s="466">
        <v>1.7</v>
      </c>
      <c r="H144" s="466">
        <f>G144/1.1</f>
        <v>1.5454545454545452</v>
      </c>
      <c r="I144" s="436"/>
      <c r="J144" s="465">
        <v>0</v>
      </c>
      <c r="K144" s="467">
        <v>0</v>
      </c>
    </row>
    <row r="145" spans="2:11" ht="19" customHeight="1">
      <c r="B145" s="464">
        <v>46026</v>
      </c>
      <c r="C145" s="436" t="s">
        <v>268</v>
      </c>
      <c r="D145" s="436" t="s">
        <v>859</v>
      </c>
      <c r="E145" s="436">
        <v>1</v>
      </c>
      <c r="F145" s="465">
        <v>0.75</v>
      </c>
      <c r="G145" s="466">
        <v>0.75</v>
      </c>
      <c r="H145" s="466">
        <f>G145/1.1</f>
        <v>0.68181818181818177</v>
      </c>
      <c r="I145" s="436"/>
      <c r="J145" s="465">
        <v>0</v>
      </c>
      <c r="K145" s="467">
        <v>0</v>
      </c>
    </row>
    <row r="146" spans="2:11" ht="19" customHeight="1">
      <c r="B146" s="464">
        <v>46026</v>
      </c>
      <c r="C146" s="436" t="s">
        <v>247</v>
      </c>
      <c r="D146" s="436" t="s">
        <v>246</v>
      </c>
      <c r="E146" s="436">
        <v>1</v>
      </c>
      <c r="F146" s="465">
        <v>1.7</v>
      </c>
      <c r="G146" s="466">
        <v>1.7</v>
      </c>
      <c r="H146" s="466">
        <f>G146/1.1</f>
        <v>1.5454545454545452</v>
      </c>
      <c r="I146" s="436"/>
      <c r="J146" s="465">
        <v>0</v>
      </c>
      <c r="K146" s="467">
        <v>0</v>
      </c>
    </row>
    <row r="147" spans="2:11" ht="19" customHeight="1">
      <c r="B147" s="464">
        <v>46026</v>
      </c>
      <c r="C147" s="436" t="s">
        <v>328</v>
      </c>
      <c r="D147" s="436" t="s">
        <v>773</v>
      </c>
      <c r="E147" s="436">
        <v>1</v>
      </c>
      <c r="F147" s="467">
        <v>3.1</v>
      </c>
      <c r="G147" s="466">
        <v>3.1</v>
      </c>
      <c r="H147" s="466">
        <f>G147/1.1</f>
        <v>2.8181818181818179</v>
      </c>
      <c r="I147" s="436"/>
      <c r="J147" s="465">
        <v>0</v>
      </c>
      <c r="K147" s="467">
        <v>0</v>
      </c>
    </row>
    <row r="148" spans="2:11" ht="19" customHeight="1">
      <c r="B148" s="464">
        <v>46026</v>
      </c>
      <c r="C148" s="436" t="s">
        <v>862</v>
      </c>
      <c r="D148" s="436" t="s">
        <v>865</v>
      </c>
      <c r="E148" s="436">
        <v>1</v>
      </c>
      <c r="F148" s="467">
        <v>0.05</v>
      </c>
      <c r="G148" s="466">
        <v>0.05</v>
      </c>
      <c r="H148" s="466">
        <f>G148/1.1</f>
        <v>4.5454545454545456E-2</v>
      </c>
      <c r="I148" s="436"/>
      <c r="J148" s="465">
        <v>0</v>
      </c>
      <c r="K148" s="467">
        <v>0</v>
      </c>
    </row>
    <row r="149" spans="2:11" ht="19" customHeight="1">
      <c r="B149" s="464">
        <v>46026</v>
      </c>
      <c r="C149" s="436" t="s">
        <v>268</v>
      </c>
      <c r="D149" s="436" t="s">
        <v>859</v>
      </c>
      <c r="E149" s="436">
        <v>2</v>
      </c>
      <c r="F149" s="467">
        <v>0.75</v>
      </c>
      <c r="G149" s="466">
        <v>1.5</v>
      </c>
      <c r="H149" s="466">
        <f>G149/1.1</f>
        <v>1.3636363636363635</v>
      </c>
      <c r="I149" s="436"/>
      <c r="J149" s="465">
        <v>0</v>
      </c>
      <c r="K149" s="467">
        <v>0</v>
      </c>
    </row>
    <row r="150" spans="2:11" ht="19" customHeight="1">
      <c r="B150" s="464">
        <v>46026</v>
      </c>
      <c r="C150" s="436" t="s">
        <v>247</v>
      </c>
      <c r="D150" s="436" t="s">
        <v>246</v>
      </c>
      <c r="E150" s="436">
        <v>2</v>
      </c>
      <c r="F150" s="467">
        <v>1.7</v>
      </c>
      <c r="G150" s="466">
        <v>3.4</v>
      </c>
      <c r="H150" s="466">
        <f>G150/1.1</f>
        <v>3.0909090909090904</v>
      </c>
      <c r="I150" s="436"/>
      <c r="J150" s="465">
        <v>0</v>
      </c>
      <c r="K150" s="467">
        <v>0</v>
      </c>
    </row>
    <row r="151" spans="2:11" ht="19" customHeight="1">
      <c r="B151" s="464">
        <v>46026</v>
      </c>
      <c r="C151" s="436" t="s">
        <v>862</v>
      </c>
      <c r="D151" s="436" t="s">
        <v>899</v>
      </c>
      <c r="E151" s="436">
        <v>2</v>
      </c>
      <c r="F151" s="465">
        <v>0.05</v>
      </c>
      <c r="G151" s="466">
        <v>0.1</v>
      </c>
      <c r="H151" s="466">
        <f>G151/1.1</f>
        <v>9.0909090909090912E-2</v>
      </c>
      <c r="I151" s="436"/>
      <c r="J151" s="465">
        <v>0</v>
      </c>
      <c r="K151" s="467">
        <v>0</v>
      </c>
    </row>
    <row r="152" spans="2:11" ht="19" customHeight="1">
      <c r="B152" s="464">
        <v>46026</v>
      </c>
      <c r="C152" s="436" t="s">
        <v>247</v>
      </c>
      <c r="D152" s="436" t="s">
        <v>246</v>
      </c>
      <c r="E152" s="436">
        <v>1</v>
      </c>
      <c r="F152" s="465">
        <v>1.7</v>
      </c>
      <c r="G152" s="466">
        <v>1.7</v>
      </c>
      <c r="H152" s="466">
        <f>G152/1.1</f>
        <v>1.5454545454545452</v>
      </c>
      <c r="I152" s="436"/>
      <c r="J152" s="465">
        <v>0</v>
      </c>
      <c r="K152" s="467">
        <v>0</v>
      </c>
    </row>
    <row r="153" spans="2:11" ht="19" customHeight="1">
      <c r="B153" s="464">
        <v>46026</v>
      </c>
      <c r="C153" s="436" t="s">
        <v>327</v>
      </c>
      <c r="D153" s="436" t="s">
        <v>856</v>
      </c>
      <c r="E153" s="436">
        <v>1</v>
      </c>
      <c r="F153" s="465">
        <v>3.5</v>
      </c>
      <c r="G153" s="466">
        <v>3.5</v>
      </c>
      <c r="H153" s="466">
        <f>G153/1.1</f>
        <v>3.1818181818181817</v>
      </c>
      <c r="I153" s="436"/>
      <c r="J153" s="465">
        <v>0</v>
      </c>
      <c r="K153" s="467">
        <v>0</v>
      </c>
    </row>
    <row r="154" spans="2:11" ht="19" customHeight="1">
      <c r="B154" s="464">
        <v>46026</v>
      </c>
      <c r="C154" s="436" t="s">
        <v>247</v>
      </c>
      <c r="D154" s="436" t="s">
        <v>904</v>
      </c>
      <c r="E154" s="436">
        <v>1</v>
      </c>
      <c r="F154" s="467">
        <v>2.0499999999999998</v>
      </c>
      <c r="G154" s="466">
        <v>2.0499999999999998</v>
      </c>
      <c r="H154" s="466">
        <f>G154/1.1</f>
        <v>1.8636363636363633</v>
      </c>
      <c r="I154" s="436"/>
      <c r="J154" s="465">
        <v>0</v>
      </c>
      <c r="K154" s="467">
        <v>0</v>
      </c>
    </row>
    <row r="155" spans="2:11" ht="19" customHeight="1">
      <c r="B155" s="464">
        <v>46026</v>
      </c>
      <c r="C155" s="436" t="s">
        <v>247</v>
      </c>
      <c r="D155" s="436" t="s">
        <v>246</v>
      </c>
      <c r="E155" s="436">
        <v>1</v>
      </c>
      <c r="F155" s="465">
        <v>1.7</v>
      </c>
      <c r="G155" s="466">
        <v>1.7</v>
      </c>
      <c r="H155" s="466">
        <f>G155/1.1</f>
        <v>1.5454545454545452</v>
      </c>
      <c r="I155" s="436"/>
      <c r="J155" s="465">
        <v>0</v>
      </c>
      <c r="K155" s="467">
        <v>0</v>
      </c>
    </row>
    <row r="156" spans="2:11" ht="19" customHeight="1">
      <c r="B156" s="464">
        <v>46029</v>
      </c>
      <c r="C156" s="436" t="s">
        <v>247</v>
      </c>
      <c r="D156" s="436" t="s">
        <v>248</v>
      </c>
      <c r="E156" s="436">
        <v>1</v>
      </c>
      <c r="F156" s="467">
        <v>1.65</v>
      </c>
      <c r="G156" s="466">
        <v>1.65</v>
      </c>
      <c r="H156" s="466">
        <f>G156/1.1</f>
        <v>1.4999999999999998</v>
      </c>
      <c r="I156" s="436"/>
      <c r="J156" s="465">
        <v>0</v>
      </c>
      <c r="K156" s="467">
        <v>0</v>
      </c>
    </row>
    <row r="157" spans="2:11" ht="19" customHeight="1">
      <c r="B157" s="464">
        <v>46029</v>
      </c>
      <c r="C157" s="436" t="s">
        <v>247</v>
      </c>
      <c r="D157" s="436" t="s">
        <v>246</v>
      </c>
      <c r="E157" s="436">
        <v>1</v>
      </c>
      <c r="F157" s="465">
        <v>1.7</v>
      </c>
      <c r="G157" s="466">
        <v>1.7</v>
      </c>
      <c r="H157" s="466">
        <f>G157/1.1</f>
        <v>1.5454545454545452</v>
      </c>
      <c r="I157" s="436"/>
      <c r="J157" s="465">
        <v>0</v>
      </c>
      <c r="K157" s="467">
        <v>0</v>
      </c>
    </row>
    <row r="158" spans="2:11" ht="19" customHeight="1">
      <c r="B158" s="464">
        <v>46029</v>
      </c>
      <c r="C158" s="436" t="s">
        <v>327</v>
      </c>
      <c r="D158" s="436" t="s">
        <v>905</v>
      </c>
      <c r="E158" s="436">
        <v>1</v>
      </c>
      <c r="F158" s="465">
        <v>5.95</v>
      </c>
      <c r="G158" s="466">
        <v>5.95</v>
      </c>
      <c r="H158" s="466">
        <f>G158/1.1</f>
        <v>5.4090909090909092</v>
      </c>
      <c r="I158" s="436"/>
      <c r="J158" s="465">
        <v>0</v>
      </c>
      <c r="K158" s="467">
        <v>0</v>
      </c>
    </row>
    <row r="159" spans="2:11" ht="19" customHeight="1">
      <c r="B159" s="464">
        <v>46029</v>
      </c>
      <c r="C159" s="436" t="s">
        <v>251</v>
      </c>
      <c r="D159" s="436" t="s">
        <v>265</v>
      </c>
      <c r="E159" s="436">
        <v>1</v>
      </c>
      <c r="F159" s="467">
        <v>2.65</v>
      </c>
      <c r="G159" s="466">
        <v>2.65</v>
      </c>
      <c r="H159" s="466">
        <f>G159/1.1</f>
        <v>2.4090909090909087</v>
      </c>
      <c r="I159" s="436"/>
      <c r="J159" s="465">
        <v>0</v>
      </c>
      <c r="K159" s="467">
        <v>0</v>
      </c>
    </row>
    <row r="160" spans="2:11" ht="19" customHeight="1">
      <c r="B160" s="464">
        <v>46029</v>
      </c>
      <c r="C160" s="436" t="s">
        <v>251</v>
      </c>
      <c r="D160" s="436" t="s">
        <v>742</v>
      </c>
      <c r="E160" s="436">
        <v>1</v>
      </c>
      <c r="F160" s="467">
        <v>2.75</v>
      </c>
      <c r="G160" s="466">
        <v>2.75</v>
      </c>
      <c r="H160" s="466">
        <f>G160/1.1</f>
        <v>2.5</v>
      </c>
      <c r="I160" s="436"/>
      <c r="J160" s="465">
        <v>0</v>
      </c>
      <c r="K160" s="467">
        <v>0</v>
      </c>
    </row>
    <row r="161" spans="2:11" ht="19" customHeight="1">
      <c r="B161" s="464">
        <v>46029</v>
      </c>
      <c r="C161" s="436" t="s">
        <v>247</v>
      </c>
      <c r="D161" s="436" t="s">
        <v>257</v>
      </c>
      <c r="E161" s="436">
        <v>1</v>
      </c>
      <c r="F161" s="467">
        <v>1.4</v>
      </c>
      <c r="G161" s="466">
        <v>1.4</v>
      </c>
      <c r="H161" s="466">
        <f>G161/1.1</f>
        <v>1.2727272727272725</v>
      </c>
      <c r="I161" s="436"/>
      <c r="J161" s="465">
        <v>0</v>
      </c>
      <c r="K161" s="467">
        <v>0</v>
      </c>
    </row>
    <row r="162" spans="2:11" ht="19" customHeight="1">
      <c r="B162" s="464">
        <v>46029</v>
      </c>
      <c r="C162" s="436" t="s">
        <v>247</v>
      </c>
      <c r="D162" s="436" t="s">
        <v>246</v>
      </c>
      <c r="E162" s="436">
        <v>1</v>
      </c>
      <c r="F162" s="467">
        <v>1.7</v>
      </c>
      <c r="G162" s="466">
        <v>1.7</v>
      </c>
      <c r="H162" s="466">
        <f>G162/1.1</f>
        <v>1.5454545454545452</v>
      </c>
      <c r="I162" s="436"/>
      <c r="J162" s="465">
        <v>0</v>
      </c>
      <c r="K162" s="467">
        <v>0</v>
      </c>
    </row>
    <row r="163" spans="2:11" ht="19" customHeight="1">
      <c r="B163" s="464">
        <v>46029</v>
      </c>
      <c r="C163" s="436" t="s">
        <v>247</v>
      </c>
      <c r="D163" s="436" t="s">
        <v>248</v>
      </c>
      <c r="E163" s="436">
        <v>1</v>
      </c>
      <c r="F163" s="467">
        <v>1.5</v>
      </c>
      <c r="G163" s="466">
        <v>1.5</v>
      </c>
      <c r="H163" s="466">
        <f>G163/1.1</f>
        <v>1.3636363636363635</v>
      </c>
      <c r="I163" s="436"/>
      <c r="J163" s="465">
        <v>0</v>
      </c>
      <c r="K163" s="467">
        <v>0</v>
      </c>
    </row>
    <row r="164" spans="2:11" ht="19" customHeight="1">
      <c r="B164" s="464">
        <v>46029</v>
      </c>
      <c r="C164" s="436" t="s">
        <v>247</v>
      </c>
      <c r="D164" s="436" t="s">
        <v>248</v>
      </c>
      <c r="E164" s="436">
        <v>1</v>
      </c>
      <c r="F164" s="467">
        <v>1.5</v>
      </c>
      <c r="G164" s="466">
        <v>1.5</v>
      </c>
      <c r="H164" s="466">
        <f>G164/1.1</f>
        <v>1.3636363636363635</v>
      </c>
      <c r="I164" s="436"/>
      <c r="J164" s="465">
        <v>0</v>
      </c>
      <c r="K164" s="467">
        <v>0</v>
      </c>
    </row>
    <row r="165" spans="2:11" ht="19" customHeight="1">
      <c r="B165" s="464">
        <v>46029</v>
      </c>
      <c r="C165" s="436" t="s">
        <v>268</v>
      </c>
      <c r="D165" s="436" t="s">
        <v>906</v>
      </c>
      <c r="E165" s="436">
        <v>1</v>
      </c>
      <c r="F165" s="467">
        <v>1.5</v>
      </c>
      <c r="G165" s="466">
        <v>1.5</v>
      </c>
      <c r="H165" s="466">
        <f>G165/1.1</f>
        <v>1.3636363636363635</v>
      </c>
      <c r="I165" s="436"/>
      <c r="J165" s="465">
        <v>0</v>
      </c>
      <c r="K165" s="467">
        <v>0</v>
      </c>
    </row>
    <row r="166" spans="2:11" ht="19" customHeight="1">
      <c r="B166" s="464">
        <v>46029</v>
      </c>
      <c r="C166" s="436" t="s">
        <v>247</v>
      </c>
      <c r="D166" s="436" t="s">
        <v>257</v>
      </c>
      <c r="E166" s="436">
        <v>1</v>
      </c>
      <c r="F166" s="467">
        <v>1.4</v>
      </c>
      <c r="G166" s="466">
        <v>1.4</v>
      </c>
      <c r="H166" s="466">
        <f>G166/1.1</f>
        <v>1.2727272727272725</v>
      </c>
      <c r="I166" s="436"/>
      <c r="J166" s="465">
        <v>0</v>
      </c>
      <c r="K166" s="467">
        <v>0</v>
      </c>
    </row>
    <row r="167" spans="2:11" ht="19" customHeight="1">
      <c r="B167" s="464">
        <v>46029</v>
      </c>
      <c r="C167" s="436" t="s">
        <v>247</v>
      </c>
      <c r="D167" s="436" t="s">
        <v>902</v>
      </c>
      <c r="E167" s="436">
        <v>1</v>
      </c>
      <c r="F167" s="465">
        <v>1.95</v>
      </c>
      <c r="G167" s="466">
        <v>1.95</v>
      </c>
      <c r="H167" s="466">
        <f>G167/1.1</f>
        <v>1.7727272727272725</v>
      </c>
      <c r="I167" s="436"/>
      <c r="J167" s="465">
        <v>0</v>
      </c>
      <c r="K167" s="467">
        <v>0</v>
      </c>
    </row>
    <row r="168" spans="2:11" ht="19" customHeight="1">
      <c r="B168" s="464">
        <v>46029</v>
      </c>
      <c r="C168" s="436" t="s">
        <v>247</v>
      </c>
      <c r="D168" s="436" t="s">
        <v>248</v>
      </c>
      <c r="E168" s="436">
        <v>1</v>
      </c>
      <c r="F168" s="467">
        <v>1.5</v>
      </c>
      <c r="G168" s="466">
        <v>1.5</v>
      </c>
      <c r="H168" s="466">
        <f>G168/1.1</f>
        <v>1.3636363636363635</v>
      </c>
      <c r="I168" s="436"/>
      <c r="J168" s="465">
        <v>0</v>
      </c>
      <c r="K168" s="467">
        <v>0</v>
      </c>
    </row>
    <row r="169" spans="2:11" ht="19" customHeight="1">
      <c r="B169" s="464">
        <v>46029</v>
      </c>
      <c r="C169" s="436" t="s">
        <v>268</v>
      </c>
      <c r="D169" s="436" t="s">
        <v>860</v>
      </c>
      <c r="E169" s="436">
        <v>1</v>
      </c>
      <c r="F169" s="467">
        <v>2.25</v>
      </c>
      <c r="G169" s="466">
        <v>2.25</v>
      </c>
      <c r="H169" s="466">
        <f>G169/1.1</f>
        <v>2.0454545454545454</v>
      </c>
      <c r="I169" s="436"/>
      <c r="J169" s="465">
        <v>0</v>
      </c>
      <c r="K169" s="467">
        <v>0</v>
      </c>
    </row>
    <row r="170" spans="2:11" ht="19" customHeight="1">
      <c r="B170" s="464">
        <v>46029</v>
      </c>
      <c r="C170" s="436" t="s">
        <v>247</v>
      </c>
      <c r="D170" s="436" t="s">
        <v>246</v>
      </c>
      <c r="E170" s="436">
        <v>1</v>
      </c>
      <c r="F170" s="467">
        <v>1.7</v>
      </c>
      <c r="G170" s="466">
        <v>1.7</v>
      </c>
      <c r="H170" s="466">
        <f>G170/1.1</f>
        <v>1.5454545454545452</v>
      </c>
      <c r="I170" s="436"/>
      <c r="J170" s="465">
        <v>0</v>
      </c>
      <c r="K170" s="467">
        <v>0</v>
      </c>
    </row>
    <row r="171" spans="2:11" ht="19" customHeight="1">
      <c r="B171" s="464">
        <v>46029</v>
      </c>
      <c r="C171" s="436" t="s">
        <v>862</v>
      </c>
      <c r="D171" s="436" t="s">
        <v>899</v>
      </c>
      <c r="E171" s="436">
        <v>1</v>
      </c>
      <c r="F171" s="467">
        <v>0.05</v>
      </c>
      <c r="G171" s="466">
        <v>0.05</v>
      </c>
      <c r="H171" s="466">
        <f>G171/1.1</f>
        <v>4.5454545454545456E-2</v>
      </c>
      <c r="I171" s="436"/>
      <c r="J171" s="465">
        <v>0</v>
      </c>
      <c r="K171" s="467">
        <v>0</v>
      </c>
    </row>
    <row r="172" spans="2:11" ht="19" customHeight="1">
      <c r="B172" s="464">
        <v>46029</v>
      </c>
      <c r="C172" s="436" t="s">
        <v>247</v>
      </c>
      <c r="D172" s="436" t="s">
        <v>246</v>
      </c>
      <c r="E172" s="436">
        <v>1</v>
      </c>
      <c r="F172" s="465">
        <v>1.7</v>
      </c>
      <c r="G172" s="466">
        <v>1.7</v>
      </c>
      <c r="H172" s="466">
        <f>G172/1.1</f>
        <v>1.5454545454545452</v>
      </c>
      <c r="I172" s="436"/>
      <c r="J172" s="465">
        <v>0</v>
      </c>
      <c r="K172" s="467">
        <v>0</v>
      </c>
    </row>
    <row r="173" spans="2:11" ht="19" customHeight="1">
      <c r="B173" s="464">
        <v>46029</v>
      </c>
      <c r="C173" s="436" t="s">
        <v>862</v>
      </c>
      <c r="D173" s="436" t="s">
        <v>907</v>
      </c>
      <c r="E173" s="436">
        <v>1</v>
      </c>
      <c r="F173" s="465">
        <v>0.15</v>
      </c>
      <c r="G173" s="466">
        <v>0.15</v>
      </c>
      <c r="H173" s="466">
        <f>G173/1.1</f>
        <v>0.13636363636363635</v>
      </c>
      <c r="I173" s="436"/>
      <c r="J173" s="465">
        <v>0</v>
      </c>
      <c r="K173" s="467">
        <v>0</v>
      </c>
    </row>
    <row r="174" spans="2:11" ht="19" customHeight="1">
      <c r="B174" s="464">
        <v>46029</v>
      </c>
      <c r="C174" s="436" t="s">
        <v>247</v>
      </c>
      <c r="D174" s="436" t="s">
        <v>248</v>
      </c>
      <c r="E174" s="436">
        <v>2</v>
      </c>
      <c r="F174" s="465">
        <v>1.5</v>
      </c>
      <c r="G174" s="466">
        <v>3</v>
      </c>
      <c r="H174" s="466">
        <f>G174/1.1</f>
        <v>2.7272727272727271</v>
      </c>
      <c r="I174" s="436"/>
      <c r="J174" s="465">
        <v>0</v>
      </c>
      <c r="K174" s="467">
        <v>0</v>
      </c>
    </row>
    <row r="175" spans="2:11" ht="19" customHeight="1">
      <c r="B175" s="464">
        <v>46029</v>
      </c>
      <c r="C175" s="436" t="s">
        <v>247</v>
      </c>
      <c r="D175" s="436" t="s">
        <v>248</v>
      </c>
      <c r="E175" s="436">
        <v>1</v>
      </c>
      <c r="F175" s="465">
        <v>1.5</v>
      </c>
      <c r="G175" s="466">
        <v>1.5</v>
      </c>
      <c r="H175" s="466">
        <f>G175/1.1</f>
        <v>1.3636363636363635</v>
      </c>
      <c r="I175" s="436"/>
      <c r="J175" s="465">
        <v>0</v>
      </c>
      <c r="K175" s="467">
        <v>0</v>
      </c>
    </row>
    <row r="176" spans="2:11" ht="19" customHeight="1">
      <c r="B176" s="464">
        <v>46029</v>
      </c>
      <c r="C176" s="436" t="s">
        <v>247</v>
      </c>
      <c r="D176" s="436" t="s">
        <v>246</v>
      </c>
      <c r="E176" s="436">
        <v>2</v>
      </c>
      <c r="F176" s="467">
        <v>1.7</v>
      </c>
      <c r="G176" s="466">
        <v>3.4</v>
      </c>
      <c r="H176" s="466">
        <f>G176/1.1</f>
        <v>3.0909090909090904</v>
      </c>
      <c r="I176" s="436"/>
      <c r="J176" s="465">
        <v>0</v>
      </c>
      <c r="K176" s="467">
        <v>0</v>
      </c>
    </row>
    <row r="177" spans="2:11" ht="19" customHeight="1">
      <c r="B177" s="464">
        <v>46029</v>
      </c>
      <c r="C177" s="436" t="s">
        <v>247</v>
      </c>
      <c r="D177" s="436" t="s">
        <v>246</v>
      </c>
      <c r="E177" s="436">
        <v>1</v>
      </c>
      <c r="F177" s="467">
        <v>1.7</v>
      </c>
      <c r="G177" s="466">
        <v>1.7</v>
      </c>
      <c r="H177" s="466">
        <f>G177/1.1</f>
        <v>1.5454545454545452</v>
      </c>
      <c r="I177" s="436"/>
      <c r="J177" s="465">
        <v>0</v>
      </c>
      <c r="K177" s="467">
        <v>0</v>
      </c>
    </row>
    <row r="178" spans="2:11" ht="19" customHeight="1">
      <c r="B178" s="464">
        <v>46029</v>
      </c>
      <c r="C178" s="436" t="s">
        <v>247</v>
      </c>
      <c r="D178" s="436" t="s">
        <v>246</v>
      </c>
      <c r="E178" s="436">
        <v>1</v>
      </c>
      <c r="F178" s="465">
        <v>1.7</v>
      </c>
      <c r="G178" s="466">
        <v>1.7</v>
      </c>
      <c r="H178" s="466">
        <f>G178/1.1</f>
        <v>1.5454545454545452</v>
      </c>
      <c r="I178" s="436"/>
      <c r="J178" s="465">
        <v>0</v>
      </c>
      <c r="K178" s="467">
        <v>0</v>
      </c>
    </row>
    <row r="179" spans="2:11" ht="19" customHeight="1">
      <c r="B179" s="464">
        <v>46029</v>
      </c>
      <c r="C179" s="436" t="s">
        <v>247</v>
      </c>
      <c r="D179" s="436" t="s">
        <v>246</v>
      </c>
      <c r="E179" s="436">
        <v>1</v>
      </c>
      <c r="F179" s="467">
        <v>1.7</v>
      </c>
      <c r="G179" s="466">
        <v>1.7</v>
      </c>
      <c r="H179" s="466">
        <f>G179/1.1</f>
        <v>1.5454545454545452</v>
      </c>
      <c r="I179" s="436"/>
      <c r="J179" s="465">
        <v>0</v>
      </c>
      <c r="K179" s="467">
        <v>0</v>
      </c>
    </row>
    <row r="180" spans="2:11" ht="19" customHeight="1">
      <c r="B180" s="464">
        <v>46029</v>
      </c>
      <c r="C180" s="436" t="s">
        <v>247</v>
      </c>
      <c r="D180" s="436" t="s">
        <v>246</v>
      </c>
      <c r="E180" s="436">
        <v>1</v>
      </c>
      <c r="F180" s="465">
        <v>1.7</v>
      </c>
      <c r="G180" s="466">
        <v>1.7</v>
      </c>
      <c r="H180" s="466">
        <f>G180/1.1</f>
        <v>1.5454545454545452</v>
      </c>
      <c r="I180" s="436"/>
      <c r="J180" s="465">
        <v>0</v>
      </c>
      <c r="K180" s="467">
        <v>0</v>
      </c>
    </row>
    <row r="181" spans="2:11" ht="19" customHeight="1">
      <c r="B181" s="464">
        <v>46029</v>
      </c>
      <c r="C181" s="436" t="s">
        <v>327</v>
      </c>
      <c r="D181" s="436" t="s">
        <v>723</v>
      </c>
      <c r="E181" s="436">
        <v>1</v>
      </c>
      <c r="F181" s="467">
        <v>3.1</v>
      </c>
      <c r="G181" s="466">
        <v>3.1</v>
      </c>
      <c r="H181" s="466">
        <f>G181/1.1</f>
        <v>2.8181818181818179</v>
      </c>
      <c r="I181" s="436"/>
      <c r="J181" s="465">
        <v>0</v>
      </c>
      <c r="K181" s="467">
        <v>0</v>
      </c>
    </row>
    <row r="182" spans="2:11" ht="19" customHeight="1">
      <c r="B182" s="464">
        <v>46029</v>
      </c>
      <c r="C182" s="436" t="s">
        <v>264</v>
      </c>
      <c r="D182" s="436" t="s">
        <v>908</v>
      </c>
      <c r="E182" s="436">
        <v>1</v>
      </c>
      <c r="F182" s="465">
        <v>1</v>
      </c>
      <c r="G182" s="466">
        <v>1</v>
      </c>
      <c r="H182" s="466">
        <f>G182/1.1</f>
        <v>0.90909090909090906</v>
      </c>
      <c r="I182" s="436"/>
      <c r="J182" s="465">
        <v>0</v>
      </c>
      <c r="K182" s="467">
        <v>0</v>
      </c>
    </row>
    <row r="183" spans="2:11" ht="19" customHeight="1">
      <c r="B183" s="464">
        <v>46029</v>
      </c>
      <c r="C183" s="436" t="s">
        <v>247</v>
      </c>
      <c r="D183" s="436" t="s">
        <v>246</v>
      </c>
      <c r="E183" s="436">
        <v>2</v>
      </c>
      <c r="F183" s="467">
        <v>1.7</v>
      </c>
      <c r="G183" s="466">
        <v>3.4</v>
      </c>
      <c r="H183" s="466">
        <f>G183/1.1</f>
        <v>3.0909090909090904</v>
      </c>
      <c r="I183" s="436"/>
      <c r="J183" s="465">
        <v>0</v>
      </c>
      <c r="K183" s="467">
        <v>0</v>
      </c>
    </row>
    <row r="184" spans="2:11" ht="19" customHeight="1">
      <c r="B184" s="464">
        <v>46029</v>
      </c>
      <c r="C184" s="436" t="s">
        <v>328</v>
      </c>
      <c r="D184" s="436" t="s">
        <v>773</v>
      </c>
      <c r="E184" s="436">
        <v>1</v>
      </c>
      <c r="F184" s="467">
        <v>3.1</v>
      </c>
      <c r="G184" s="466">
        <v>3.1</v>
      </c>
      <c r="H184" s="466">
        <f>G184/1.1</f>
        <v>2.8181818181818179</v>
      </c>
      <c r="I184" s="436"/>
      <c r="J184" s="465">
        <v>0</v>
      </c>
      <c r="K184" s="467">
        <v>0</v>
      </c>
    </row>
    <row r="185" spans="2:11" ht="19" customHeight="1">
      <c r="B185" s="464">
        <v>46029</v>
      </c>
      <c r="C185" s="436" t="s">
        <v>247</v>
      </c>
      <c r="D185" s="436" t="s">
        <v>246</v>
      </c>
      <c r="E185" s="436">
        <v>2</v>
      </c>
      <c r="F185" s="467">
        <v>1.7</v>
      </c>
      <c r="G185" s="466">
        <v>3.4</v>
      </c>
      <c r="H185" s="466">
        <f>G185/1.1</f>
        <v>3.0909090909090904</v>
      </c>
      <c r="I185" s="436"/>
      <c r="J185" s="465">
        <v>0</v>
      </c>
      <c r="K185" s="467">
        <v>0</v>
      </c>
    </row>
    <row r="186" spans="2:11" ht="19" customHeight="1">
      <c r="B186" s="464">
        <v>46029</v>
      </c>
      <c r="C186" s="436" t="s">
        <v>247</v>
      </c>
      <c r="D186" s="436" t="s">
        <v>246</v>
      </c>
      <c r="E186" s="436">
        <v>1</v>
      </c>
      <c r="F186" s="467">
        <v>1.7</v>
      </c>
      <c r="G186" s="466">
        <v>1.7</v>
      </c>
      <c r="H186" s="466">
        <f>G186/1.1</f>
        <v>1.5454545454545452</v>
      </c>
      <c r="I186" s="436"/>
      <c r="J186" s="465">
        <v>0</v>
      </c>
      <c r="K186" s="467">
        <v>0</v>
      </c>
    </row>
    <row r="187" spans="2:11" ht="19" customHeight="1">
      <c r="B187" s="464">
        <v>46029</v>
      </c>
      <c r="C187" s="436" t="s">
        <v>276</v>
      </c>
      <c r="D187" s="436" t="s">
        <v>909</v>
      </c>
      <c r="E187" s="436">
        <v>2</v>
      </c>
      <c r="F187" s="467">
        <v>4.8499999999999996</v>
      </c>
      <c r="G187" s="466">
        <v>9.6999999999999993</v>
      </c>
      <c r="H187" s="466">
        <f>G187/1.1</f>
        <v>8.8181818181818166</v>
      </c>
      <c r="I187" s="436"/>
      <c r="J187" s="465">
        <v>0</v>
      </c>
      <c r="K187" s="467">
        <v>0</v>
      </c>
    </row>
    <row r="188" spans="2:11" ht="19" customHeight="1">
      <c r="B188" s="464">
        <v>46029</v>
      </c>
      <c r="C188" s="436" t="s">
        <v>253</v>
      </c>
      <c r="D188" s="436" t="s">
        <v>869</v>
      </c>
      <c r="E188" s="436">
        <v>2</v>
      </c>
      <c r="F188" s="465">
        <v>2.5</v>
      </c>
      <c r="G188" s="466">
        <v>5</v>
      </c>
      <c r="H188" s="466">
        <f>G188/1.1</f>
        <v>4.545454545454545</v>
      </c>
      <c r="I188" s="436"/>
      <c r="J188" s="465">
        <v>0</v>
      </c>
      <c r="K188" s="467">
        <v>0</v>
      </c>
    </row>
    <row r="189" spans="2:11" ht="19" customHeight="1">
      <c r="B189" s="464">
        <v>46029</v>
      </c>
      <c r="C189" s="436" t="s">
        <v>321</v>
      </c>
      <c r="D189" s="436" t="s">
        <v>910</v>
      </c>
      <c r="E189" s="436">
        <v>1</v>
      </c>
      <c r="F189" s="467">
        <v>3.95</v>
      </c>
      <c r="G189" s="466">
        <v>3.95</v>
      </c>
      <c r="H189" s="466">
        <f>G189/1.1</f>
        <v>3.5909090909090908</v>
      </c>
      <c r="I189" s="436"/>
      <c r="J189" s="465">
        <v>0</v>
      </c>
      <c r="K189" s="467">
        <v>0</v>
      </c>
    </row>
    <row r="190" spans="2:11" ht="19" customHeight="1">
      <c r="B190" s="464">
        <v>46029</v>
      </c>
      <c r="C190" s="436" t="s">
        <v>256</v>
      </c>
      <c r="D190" s="436" t="s">
        <v>255</v>
      </c>
      <c r="E190" s="436">
        <v>1</v>
      </c>
      <c r="F190" s="467">
        <v>5.6</v>
      </c>
      <c r="G190" s="466">
        <v>5.6</v>
      </c>
      <c r="H190" s="466">
        <f>G190/1.1</f>
        <v>5.0909090909090899</v>
      </c>
      <c r="I190" s="436"/>
      <c r="J190" s="465">
        <v>0</v>
      </c>
      <c r="K190" s="467">
        <v>0</v>
      </c>
    </row>
    <row r="191" spans="2:11" ht="19" customHeight="1">
      <c r="B191" s="464">
        <v>46029</v>
      </c>
      <c r="C191" s="436" t="s">
        <v>247</v>
      </c>
      <c r="D191" s="436" t="s">
        <v>246</v>
      </c>
      <c r="E191" s="436">
        <v>1</v>
      </c>
      <c r="F191" s="467">
        <v>1.7</v>
      </c>
      <c r="G191" s="466">
        <v>1.7</v>
      </c>
      <c r="H191" s="466">
        <f>G191/1.1</f>
        <v>1.5454545454545452</v>
      </c>
      <c r="I191" s="436"/>
      <c r="J191" s="465">
        <v>0</v>
      </c>
      <c r="K191" s="467">
        <v>0</v>
      </c>
    </row>
    <row r="192" spans="2:11" ht="19" customHeight="1">
      <c r="B192" s="464">
        <v>46029</v>
      </c>
      <c r="C192" s="436" t="s">
        <v>247</v>
      </c>
      <c r="D192" s="436" t="s">
        <v>246</v>
      </c>
      <c r="E192" s="436">
        <v>1</v>
      </c>
      <c r="F192" s="467">
        <v>1.7</v>
      </c>
      <c r="G192" s="466">
        <v>1.7</v>
      </c>
      <c r="H192" s="466">
        <f>G192/1.1</f>
        <v>1.5454545454545452</v>
      </c>
      <c r="I192" s="436"/>
      <c r="J192" s="465">
        <v>0</v>
      </c>
      <c r="K192" s="467">
        <v>0</v>
      </c>
    </row>
    <row r="193" spans="2:11" ht="19" customHeight="1">
      <c r="B193" s="464">
        <v>46029</v>
      </c>
      <c r="C193" s="436" t="s">
        <v>247</v>
      </c>
      <c r="D193" s="436" t="s">
        <v>248</v>
      </c>
      <c r="E193" s="436">
        <v>1</v>
      </c>
      <c r="F193" s="467">
        <v>1.65</v>
      </c>
      <c r="G193" s="466">
        <v>1.65</v>
      </c>
      <c r="H193" s="466">
        <f>G193/1.1</f>
        <v>1.4999999999999998</v>
      </c>
      <c r="I193" s="436"/>
      <c r="J193" s="465">
        <v>0</v>
      </c>
      <c r="K193" s="467">
        <v>0</v>
      </c>
    </row>
    <row r="194" spans="2:11" ht="19" customHeight="1">
      <c r="B194" s="464">
        <v>46029</v>
      </c>
      <c r="C194" s="436" t="s">
        <v>247</v>
      </c>
      <c r="D194" s="436" t="s">
        <v>246</v>
      </c>
      <c r="E194" s="436">
        <v>2</v>
      </c>
      <c r="F194" s="467">
        <v>1.7</v>
      </c>
      <c r="G194" s="466">
        <v>3.4</v>
      </c>
      <c r="H194" s="466">
        <f>G194/1.1</f>
        <v>3.0909090909090904</v>
      </c>
      <c r="I194" s="436"/>
      <c r="J194" s="465">
        <v>0</v>
      </c>
      <c r="K194" s="467">
        <v>0</v>
      </c>
    </row>
    <row r="195" spans="2:11" ht="19" customHeight="1">
      <c r="B195" s="464">
        <v>46029</v>
      </c>
      <c r="C195" s="436" t="s">
        <v>862</v>
      </c>
      <c r="D195" s="436" t="s">
        <v>899</v>
      </c>
      <c r="E195" s="436">
        <v>1</v>
      </c>
      <c r="F195" s="465">
        <v>0.05</v>
      </c>
      <c r="G195" s="466">
        <v>0.05</v>
      </c>
      <c r="H195" s="466">
        <f>G195/1.1</f>
        <v>4.5454545454545456E-2</v>
      </c>
      <c r="I195" s="436"/>
      <c r="J195" s="465">
        <v>0</v>
      </c>
      <c r="K195" s="467">
        <v>0</v>
      </c>
    </row>
    <row r="196" spans="2:11" ht="19" customHeight="1">
      <c r="B196" s="464">
        <v>46029</v>
      </c>
      <c r="C196" s="436" t="s">
        <v>254</v>
      </c>
      <c r="D196" s="436" t="s">
        <v>254</v>
      </c>
      <c r="E196" s="436">
        <v>4</v>
      </c>
      <c r="F196" s="467">
        <v>14.9</v>
      </c>
      <c r="G196" s="466">
        <v>59.6</v>
      </c>
      <c r="H196" s="466">
        <f>G196/1.1</f>
        <v>54.18181818181818</v>
      </c>
      <c r="I196" s="436"/>
      <c r="J196" s="465">
        <v>0</v>
      </c>
      <c r="K196" s="467">
        <v>0</v>
      </c>
    </row>
    <row r="197" spans="2:11" ht="19" customHeight="1">
      <c r="B197" s="464">
        <v>46029</v>
      </c>
      <c r="C197" s="436" t="s">
        <v>873</v>
      </c>
      <c r="D197" s="436" t="s">
        <v>911</v>
      </c>
      <c r="E197" s="436">
        <v>1</v>
      </c>
      <c r="F197" s="469"/>
      <c r="G197" s="468" t="s">
        <v>875</v>
      </c>
      <c r="H197" s="466" t="e">
        <f>G197/1.1</f>
        <v>#VALUE!</v>
      </c>
      <c r="I197" s="436"/>
      <c r="J197" s="465">
        <v>0</v>
      </c>
      <c r="K197" s="467">
        <v>0</v>
      </c>
    </row>
    <row r="198" spans="2:11" ht="19" customHeight="1">
      <c r="B198" s="464">
        <v>46029</v>
      </c>
      <c r="C198" s="436" t="s">
        <v>873</v>
      </c>
      <c r="D198" s="436" t="s">
        <v>912</v>
      </c>
      <c r="E198" s="436">
        <v>1</v>
      </c>
      <c r="F198" s="436"/>
      <c r="G198" s="468" t="s">
        <v>875</v>
      </c>
      <c r="H198" s="466" t="e">
        <f>G198/1.1</f>
        <v>#VALUE!</v>
      </c>
      <c r="I198" s="436"/>
      <c r="J198" s="465">
        <v>0</v>
      </c>
      <c r="K198" s="467">
        <v>0</v>
      </c>
    </row>
    <row r="199" spans="2:11" ht="19" customHeight="1">
      <c r="B199" s="464">
        <v>46029</v>
      </c>
      <c r="C199" s="436" t="s">
        <v>873</v>
      </c>
      <c r="D199" s="436" t="s">
        <v>913</v>
      </c>
      <c r="E199" s="436">
        <v>1</v>
      </c>
      <c r="F199" s="467">
        <v>5</v>
      </c>
      <c r="G199" s="466">
        <v>5</v>
      </c>
      <c r="H199" s="466">
        <f>G199/1.1</f>
        <v>4.545454545454545</v>
      </c>
      <c r="I199" s="436"/>
      <c r="J199" s="465">
        <v>0</v>
      </c>
      <c r="K199" s="467">
        <v>0</v>
      </c>
    </row>
    <row r="200" spans="2:11" ht="19" customHeight="1">
      <c r="B200" s="464">
        <v>46029</v>
      </c>
      <c r="C200" s="436" t="s">
        <v>873</v>
      </c>
      <c r="D200" s="436" t="s">
        <v>914</v>
      </c>
      <c r="E200" s="436">
        <v>1</v>
      </c>
      <c r="F200" s="467">
        <v>2</v>
      </c>
      <c r="G200" s="466">
        <v>2</v>
      </c>
      <c r="H200" s="466">
        <f>G200/1.1</f>
        <v>1.8181818181818181</v>
      </c>
      <c r="I200" s="436"/>
      <c r="J200" s="465">
        <v>0</v>
      </c>
      <c r="K200" s="467">
        <v>0</v>
      </c>
    </row>
    <row r="201" spans="2:11" ht="19" customHeight="1">
      <c r="B201" s="464">
        <v>46029</v>
      </c>
      <c r="C201" s="436" t="s">
        <v>877</v>
      </c>
      <c r="D201" s="436" t="s">
        <v>915</v>
      </c>
      <c r="E201" s="436">
        <v>3</v>
      </c>
      <c r="F201" s="469"/>
      <c r="G201" s="468" t="s">
        <v>875</v>
      </c>
      <c r="H201" s="466" t="e">
        <f>G201/1.1</f>
        <v>#VALUE!</v>
      </c>
      <c r="I201" s="436"/>
      <c r="J201" s="465">
        <v>0</v>
      </c>
      <c r="K201" s="467">
        <v>0</v>
      </c>
    </row>
    <row r="202" spans="2:11" ht="19" customHeight="1">
      <c r="B202" s="464">
        <v>46029</v>
      </c>
      <c r="C202" s="436" t="s">
        <v>877</v>
      </c>
      <c r="D202" s="436" t="s">
        <v>916</v>
      </c>
      <c r="E202" s="436">
        <v>1</v>
      </c>
      <c r="F202" s="436"/>
      <c r="G202" s="468" t="s">
        <v>875</v>
      </c>
      <c r="H202" s="466" t="e">
        <f>G202/1.1</f>
        <v>#VALUE!</v>
      </c>
      <c r="I202" s="436"/>
      <c r="J202" s="465">
        <v>0</v>
      </c>
      <c r="K202" s="467">
        <v>0</v>
      </c>
    </row>
    <row r="203" spans="2:11" ht="19" customHeight="1">
      <c r="B203" s="464">
        <v>46029</v>
      </c>
      <c r="C203" s="436" t="s">
        <v>266</v>
      </c>
      <c r="D203" s="436" t="s">
        <v>250</v>
      </c>
      <c r="E203" s="436">
        <v>3</v>
      </c>
      <c r="F203" s="469"/>
      <c r="G203" s="468" t="s">
        <v>875</v>
      </c>
      <c r="H203" s="466" t="e">
        <f>G203/1.1</f>
        <v>#VALUE!</v>
      </c>
      <c r="I203" s="436"/>
      <c r="J203" s="465">
        <v>0</v>
      </c>
      <c r="K203" s="467">
        <v>0</v>
      </c>
    </row>
    <row r="204" spans="2:11" ht="19" customHeight="1">
      <c r="B204" s="464">
        <v>46029</v>
      </c>
      <c r="C204" s="436" t="s">
        <v>266</v>
      </c>
      <c r="D204" s="436" t="s">
        <v>265</v>
      </c>
      <c r="E204" s="436">
        <v>1</v>
      </c>
      <c r="F204" s="465">
        <v>1</v>
      </c>
      <c r="G204" s="466">
        <v>1</v>
      </c>
      <c r="H204" s="466">
        <f>G204/1.1</f>
        <v>0.90909090909090906</v>
      </c>
      <c r="I204" s="436"/>
      <c r="J204" s="465">
        <v>0</v>
      </c>
      <c r="K204" s="467">
        <v>0</v>
      </c>
    </row>
    <row r="205" spans="2:11" ht="19" customHeight="1">
      <c r="B205" s="464">
        <v>46029</v>
      </c>
      <c r="C205" s="436" t="s">
        <v>247</v>
      </c>
      <c r="D205" s="436" t="s">
        <v>248</v>
      </c>
      <c r="E205" s="436">
        <v>1</v>
      </c>
      <c r="F205" s="467">
        <v>1.65</v>
      </c>
      <c r="G205" s="466">
        <v>1.65</v>
      </c>
      <c r="H205" s="466">
        <f>G205/1.1</f>
        <v>1.4999999999999998</v>
      </c>
      <c r="I205" s="436"/>
      <c r="J205" s="465">
        <v>0</v>
      </c>
      <c r="K205" s="467">
        <v>0</v>
      </c>
    </row>
    <row r="206" spans="2:11" ht="19" customHeight="1">
      <c r="B206" s="464">
        <v>46029</v>
      </c>
      <c r="C206" s="436" t="s">
        <v>247</v>
      </c>
      <c r="D206" s="436" t="s">
        <v>257</v>
      </c>
      <c r="E206" s="436">
        <v>1</v>
      </c>
      <c r="F206" s="467">
        <v>1.55</v>
      </c>
      <c r="G206" s="466">
        <v>1.55</v>
      </c>
      <c r="H206" s="466">
        <f>G206/1.1</f>
        <v>1.4090909090909089</v>
      </c>
      <c r="I206" s="436"/>
      <c r="J206" s="465">
        <v>0</v>
      </c>
      <c r="K206" s="467">
        <v>0</v>
      </c>
    </row>
    <row r="207" spans="2:11" ht="19" customHeight="1">
      <c r="B207" s="464">
        <v>46029</v>
      </c>
      <c r="C207" s="436" t="s">
        <v>258</v>
      </c>
      <c r="D207" s="436" t="s">
        <v>883</v>
      </c>
      <c r="E207" s="436">
        <v>1</v>
      </c>
      <c r="F207" s="436"/>
      <c r="G207" s="468" t="s">
        <v>875</v>
      </c>
      <c r="H207" s="466" t="e">
        <f>G207/1.1</f>
        <v>#VALUE!</v>
      </c>
      <c r="I207" s="436"/>
      <c r="J207" s="465">
        <v>0</v>
      </c>
      <c r="K207" s="467">
        <v>0</v>
      </c>
    </row>
    <row r="208" spans="2:11" ht="19" customHeight="1">
      <c r="B208" s="464">
        <v>46029</v>
      </c>
      <c r="C208" s="436" t="s">
        <v>258</v>
      </c>
      <c r="D208" s="436" t="s">
        <v>882</v>
      </c>
      <c r="E208" s="436">
        <v>2</v>
      </c>
      <c r="F208" s="469"/>
      <c r="G208" s="468" t="s">
        <v>875</v>
      </c>
      <c r="H208" s="466" t="e">
        <f>G208/1.1</f>
        <v>#VALUE!</v>
      </c>
      <c r="I208" s="436"/>
      <c r="J208" s="465">
        <v>0</v>
      </c>
      <c r="K208" s="467">
        <v>0</v>
      </c>
    </row>
    <row r="209" spans="2:11" ht="19" customHeight="1">
      <c r="B209" s="464">
        <v>46029</v>
      </c>
      <c r="C209" s="436" t="s">
        <v>258</v>
      </c>
      <c r="D209" s="436" t="s">
        <v>917</v>
      </c>
      <c r="E209" s="436">
        <v>1</v>
      </c>
      <c r="F209" s="436"/>
      <c r="G209" s="468" t="s">
        <v>875</v>
      </c>
      <c r="H209" s="466" t="e">
        <f>G209/1.1</f>
        <v>#VALUE!</v>
      </c>
      <c r="I209" s="436"/>
      <c r="J209" s="465">
        <v>0</v>
      </c>
      <c r="K209" s="467">
        <v>0</v>
      </c>
    </row>
    <row r="210" spans="2:11" ht="19" customHeight="1">
      <c r="B210" s="464">
        <v>46029</v>
      </c>
      <c r="C210" s="436" t="s">
        <v>254</v>
      </c>
      <c r="D210" s="436" t="s">
        <v>254</v>
      </c>
      <c r="E210" s="436">
        <v>1</v>
      </c>
      <c r="F210" s="467">
        <v>14.9</v>
      </c>
      <c r="G210" s="466">
        <v>14.9</v>
      </c>
      <c r="H210" s="466">
        <f>G210/1.1</f>
        <v>13.545454545454545</v>
      </c>
      <c r="I210" s="436"/>
      <c r="J210" s="465">
        <v>0</v>
      </c>
      <c r="K210" s="467">
        <v>0</v>
      </c>
    </row>
    <row r="211" spans="2:11" ht="19" customHeight="1">
      <c r="B211" s="464">
        <v>46029</v>
      </c>
      <c r="C211" s="436" t="s">
        <v>873</v>
      </c>
      <c r="D211" s="436" t="s">
        <v>911</v>
      </c>
      <c r="E211" s="436">
        <v>1</v>
      </c>
      <c r="F211" s="436"/>
      <c r="G211" s="468" t="s">
        <v>875</v>
      </c>
      <c r="H211" s="466" t="e">
        <f>G211/1.1</f>
        <v>#VALUE!</v>
      </c>
      <c r="I211" s="436"/>
      <c r="J211" s="465">
        <v>0</v>
      </c>
      <c r="K211" s="467">
        <v>0</v>
      </c>
    </row>
    <row r="212" spans="2:11" ht="19" customHeight="1">
      <c r="B212" s="464">
        <v>46029</v>
      </c>
      <c r="C212" s="436" t="s">
        <v>877</v>
      </c>
      <c r="D212" s="436" t="s">
        <v>918</v>
      </c>
      <c r="E212" s="436">
        <v>1</v>
      </c>
      <c r="F212" s="436"/>
      <c r="G212" s="468" t="s">
        <v>875</v>
      </c>
      <c r="H212" s="466" t="e">
        <f>G212/1.1</f>
        <v>#VALUE!</v>
      </c>
      <c r="I212" s="436"/>
      <c r="J212" s="465">
        <v>0</v>
      </c>
      <c r="K212" s="467">
        <v>0</v>
      </c>
    </row>
    <row r="213" spans="2:11" ht="19" customHeight="1">
      <c r="B213" s="464">
        <v>46029</v>
      </c>
      <c r="C213" s="436" t="s">
        <v>266</v>
      </c>
      <c r="D213" s="436" t="s">
        <v>676</v>
      </c>
      <c r="E213" s="436">
        <v>1</v>
      </c>
      <c r="F213" s="465">
        <v>2.95</v>
      </c>
      <c r="G213" s="466">
        <v>2.95</v>
      </c>
      <c r="H213" s="466">
        <f>G213/1.1</f>
        <v>2.6818181818181817</v>
      </c>
      <c r="I213" s="436"/>
      <c r="J213" s="465">
        <v>0</v>
      </c>
      <c r="K213" s="467">
        <v>0</v>
      </c>
    </row>
    <row r="214" spans="2:11" ht="19" customHeight="1">
      <c r="B214" s="464">
        <v>46029</v>
      </c>
      <c r="C214" s="436" t="s">
        <v>258</v>
      </c>
      <c r="D214" s="436" t="s">
        <v>917</v>
      </c>
      <c r="E214" s="436">
        <v>1</v>
      </c>
      <c r="F214" s="436"/>
      <c r="G214" s="468" t="s">
        <v>875</v>
      </c>
      <c r="H214" s="466" t="e">
        <f>G214/1.1</f>
        <v>#VALUE!</v>
      </c>
      <c r="I214" s="436"/>
      <c r="J214" s="465">
        <v>0</v>
      </c>
      <c r="K214" s="467">
        <v>0</v>
      </c>
    </row>
    <row r="215" spans="2:11" ht="19" customHeight="1">
      <c r="B215" s="464">
        <v>46029</v>
      </c>
      <c r="C215" s="436" t="s">
        <v>254</v>
      </c>
      <c r="D215" s="436" t="s">
        <v>254</v>
      </c>
      <c r="E215" s="436">
        <v>1</v>
      </c>
      <c r="F215" s="467">
        <v>14.9</v>
      </c>
      <c r="G215" s="466">
        <v>14.9</v>
      </c>
      <c r="H215" s="466">
        <f>G215/1.1</f>
        <v>13.545454545454545</v>
      </c>
      <c r="I215" s="436"/>
      <c r="J215" s="465">
        <v>0</v>
      </c>
      <c r="K215" s="467">
        <v>0</v>
      </c>
    </row>
    <row r="216" spans="2:11" ht="19" customHeight="1">
      <c r="B216" s="464">
        <v>46029</v>
      </c>
      <c r="C216" s="436" t="s">
        <v>873</v>
      </c>
      <c r="D216" s="436" t="s">
        <v>914</v>
      </c>
      <c r="E216" s="436">
        <v>1</v>
      </c>
      <c r="F216" s="467">
        <v>2</v>
      </c>
      <c r="G216" s="466">
        <v>2</v>
      </c>
      <c r="H216" s="466">
        <f>G216/1.1</f>
        <v>1.8181818181818181</v>
      </c>
      <c r="I216" s="436"/>
      <c r="J216" s="465">
        <v>0</v>
      </c>
      <c r="K216" s="467">
        <v>0</v>
      </c>
    </row>
    <row r="217" spans="2:11" ht="19" customHeight="1">
      <c r="B217" s="464">
        <v>46029</v>
      </c>
      <c r="C217" s="436" t="s">
        <v>877</v>
      </c>
      <c r="D217" s="436" t="s">
        <v>916</v>
      </c>
      <c r="E217" s="436">
        <v>1</v>
      </c>
      <c r="F217" s="469"/>
      <c r="G217" s="468" t="s">
        <v>875</v>
      </c>
      <c r="H217" s="466" t="e">
        <f>G217/1.1</f>
        <v>#VALUE!</v>
      </c>
      <c r="I217" s="436"/>
      <c r="J217" s="465">
        <v>0</v>
      </c>
      <c r="K217" s="467">
        <v>0</v>
      </c>
    </row>
    <row r="218" spans="2:11" ht="19" customHeight="1">
      <c r="B218" s="464">
        <v>46029</v>
      </c>
      <c r="C218" s="436" t="s">
        <v>266</v>
      </c>
      <c r="D218" s="436" t="s">
        <v>857</v>
      </c>
      <c r="E218" s="436">
        <v>1</v>
      </c>
      <c r="F218" s="465">
        <v>3.3</v>
      </c>
      <c r="G218" s="466">
        <v>3.3</v>
      </c>
      <c r="H218" s="466">
        <f>G218/1.1</f>
        <v>2.9999999999999996</v>
      </c>
      <c r="I218" s="436"/>
      <c r="J218" s="465">
        <v>0</v>
      </c>
      <c r="K218" s="467">
        <v>0</v>
      </c>
    </row>
    <row r="219" spans="2:11" ht="19" customHeight="1">
      <c r="B219" s="464">
        <v>46029</v>
      </c>
      <c r="C219" s="436" t="s">
        <v>258</v>
      </c>
      <c r="D219" s="436" t="s">
        <v>919</v>
      </c>
      <c r="E219" s="436">
        <v>1</v>
      </c>
      <c r="F219" s="436"/>
      <c r="G219" s="468" t="s">
        <v>875</v>
      </c>
      <c r="H219" s="466" t="e">
        <f>G219/1.1</f>
        <v>#VALUE!</v>
      </c>
      <c r="I219" s="436"/>
      <c r="J219" s="465">
        <v>0</v>
      </c>
      <c r="K219" s="467">
        <v>0</v>
      </c>
    </row>
    <row r="220" spans="2:11" ht="19" customHeight="1">
      <c r="B220" s="464">
        <v>46029</v>
      </c>
      <c r="C220" s="436" t="s">
        <v>254</v>
      </c>
      <c r="D220" s="436" t="s">
        <v>254</v>
      </c>
      <c r="E220" s="436">
        <v>1</v>
      </c>
      <c r="F220" s="467">
        <v>14.9</v>
      </c>
      <c r="G220" s="466">
        <v>14.9</v>
      </c>
      <c r="H220" s="466">
        <f>G220/1.1</f>
        <v>13.545454545454545</v>
      </c>
      <c r="I220" s="436"/>
      <c r="J220" s="465">
        <v>0</v>
      </c>
      <c r="K220" s="467">
        <v>0</v>
      </c>
    </row>
    <row r="221" spans="2:11" ht="19" customHeight="1">
      <c r="B221" s="464">
        <v>46029</v>
      </c>
      <c r="C221" s="436" t="s">
        <v>873</v>
      </c>
      <c r="D221" s="436" t="s">
        <v>911</v>
      </c>
      <c r="E221" s="436">
        <v>1</v>
      </c>
      <c r="F221" s="436"/>
      <c r="G221" s="468" t="s">
        <v>875</v>
      </c>
      <c r="H221" s="466" t="e">
        <f>G221/1.1</f>
        <v>#VALUE!</v>
      </c>
      <c r="I221" s="436"/>
      <c r="J221" s="465">
        <v>0</v>
      </c>
      <c r="K221" s="467">
        <v>0</v>
      </c>
    </row>
    <row r="222" spans="2:11" ht="19" customHeight="1">
      <c r="B222" s="464">
        <v>46029</v>
      </c>
      <c r="C222" s="436" t="s">
        <v>877</v>
      </c>
      <c r="D222" s="436" t="s">
        <v>920</v>
      </c>
      <c r="E222" s="436">
        <v>1</v>
      </c>
      <c r="F222" s="467">
        <v>3</v>
      </c>
      <c r="G222" s="466">
        <v>3</v>
      </c>
      <c r="H222" s="466">
        <f>G222/1.1</f>
        <v>2.7272727272727271</v>
      </c>
      <c r="I222" s="436"/>
      <c r="J222" s="465">
        <v>0</v>
      </c>
      <c r="K222" s="467">
        <v>0</v>
      </c>
    </row>
    <row r="223" spans="2:11" ht="19" customHeight="1">
      <c r="B223" s="464">
        <v>46029</v>
      </c>
      <c r="C223" s="436" t="s">
        <v>266</v>
      </c>
      <c r="D223" s="436" t="s">
        <v>250</v>
      </c>
      <c r="E223" s="436">
        <v>1</v>
      </c>
      <c r="F223" s="436"/>
      <c r="G223" s="468" t="s">
        <v>875</v>
      </c>
      <c r="H223" s="466" t="e">
        <f>G223/1.1</f>
        <v>#VALUE!</v>
      </c>
      <c r="I223" s="436"/>
      <c r="J223" s="465">
        <v>0</v>
      </c>
      <c r="K223" s="467">
        <v>0</v>
      </c>
    </row>
    <row r="224" spans="2:11" ht="19" customHeight="1">
      <c r="B224" s="464">
        <v>46029</v>
      </c>
      <c r="C224" s="436" t="s">
        <v>254</v>
      </c>
      <c r="D224" s="436" t="s">
        <v>254</v>
      </c>
      <c r="E224" s="436">
        <v>1</v>
      </c>
      <c r="F224" s="467">
        <v>14.9</v>
      </c>
      <c r="G224" s="466">
        <v>14.9</v>
      </c>
      <c r="H224" s="466">
        <f>G224/1.1</f>
        <v>13.545454545454545</v>
      </c>
      <c r="I224" s="436"/>
      <c r="J224" s="465">
        <v>0</v>
      </c>
      <c r="K224" s="467">
        <v>0</v>
      </c>
    </row>
    <row r="225" spans="2:11" ht="19" customHeight="1">
      <c r="B225" s="464">
        <v>46029</v>
      </c>
      <c r="C225" s="436" t="s">
        <v>873</v>
      </c>
      <c r="D225" s="436" t="s">
        <v>912</v>
      </c>
      <c r="E225" s="436">
        <v>1</v>
      </c>
      <c r="F225" s="436"/>
      <c r="G225" s="468" t="s">
        <v>875</v>
      </c>
      <c r="H225" s="466" t="e">
        <f>G225/1.1</f>
        <v>#VALUE!</v>
      </c>
      <c r="I225" s="436"/>
      <c r="J225" s="465">
        <v>0</v>
      </c>
      <c r="K225" s="467">
        <v>0</v>
      </c>
    </row>
    <row r="226" spans="2:11" ht="19" customHeight="1">
      <c r="B226" s="464">
        <v>46029</v>
      </c>
      <c r="C226" s="436" t="s">
        <v>877</v>
      </c>
      <c r="D226" s="436" t="s">
        <v>918</v>
      </c>
      <c r="E226" s="436">
        <v>1</v>
      </c>
      <c r="F226" s="436"/>
      <c r="G226" s="468" t="s">
        <v>875</v>
      </c>
      <c r="H226" s="466" t="e">
        <f>G226/1.1</f>
        <v>#VALUE!</v>
      </c>
      <c r="I226" s="436"/>
      <c r="J226" s="465">
        <v>0</v>
      </c>
      <c r="K226" s="467">
        <v>0</v>
      </c>
    </row>
    <row r="227" spans="2:11" ht="19" customHeight="1">
      <c r="B227" s="464">
        <v>46029</v>
      </c>
      <c r="C227" s="436" t="s">
        <v>266</v>
      </c>
      <c r="D227" s="436" t="s">
        <v>708</v>
      </c>
      <c r="E227" s="436">
        <v>1</v>
      </c>
      <c r="F227" s="436"/>
      <c r="G227" s="468" t="s">
        <v>875</v>
      </c>
      <c r="H227" s="466" t="e">
        <f>G227/1.1</f>
        <v>#VALUE!</v>
      </c>
      <c r="I227" s="436"/>
      <c r="J227" s="465">
        <v>0</v>
      </c>
      <c r="K227" s="467">
        <v>0</v>
      </c>
    </row>
    <row r="228" spans="2:11" ht="19" customHeight="1">
      <c r="B228" s="464">
        <v>46029</v>
      </c>
      <c r="C228" s="436" t="s">
        <v>258</v>
      </c>
      <c r="D228" s="436" t="s">
        <v>917</v>
      </c>
      <c r="E228" s="436">
        <v>1</v>
      </c>
      <c r="F228" s="436"/>
      <c r="G228" s="468" t="s">
        <v>875</v>
      </c>
      <c r="H228" s="466" t="e">
        <f>G228/1.1</f>
        <v>#VALUE!</v>
      </c>
      <c r="I228" s="436"/>
      <c r="J228" s="465">
        <v>0</v>
      </c>
      <c r="K228" s="467">
        <v>0</v>
      </c>
    </row>
    <row r="229" spans="2:11" ht="19" customHeight="1">
      <c r="B229" s="464">
        <v>46029</v>
      </c>
      <c r="C229" s="436" t="s">
        <v>254</v>
      </c>
      <c r="D229" s="436" t="s">
        <v>254</v>
      </c>
      <c r="E229" s="436">
        <v>2</v>
      </c>
      <c r="F229" s="467">
        <v>14.9</v>
      </c>
      <c r="G229" s="466">
        <v>29.8</v>
      </c>
      <c r="H229" s="466">
        <f>G229/1.1</f>
        <v>27.09090909090909</v>
      </c>
      <c r="I229" s="436"/>
      <c r="J229" s="465">
        <v>0</v>
      </c>
      <c r="K229" s="467">
        <v>0</v>
      </c>
    </row>
    <row r="230" spans="2:11" ht="19" customHeight="1">
      <c r="B230" s="464">
        <v>46029</v>
      </c>
      <c r="C230" s="436" t="s">
        <v>873</v>
      </c>
      <c r="D230" s="436" t="s">
        <v>914</v>
      </c>
      <c r="E230" s="436">
        <v>1</v>
      </c>
      <c r="F230" s="467">
        <v>2</v>
      </c>
      <c r="G230" s="466">
        <v>2</v>
      </c>
      <c r="H230" s="466">
        <f>G230/1.1</f>
        <v>1.8181818181818181</v>
      </c>
      <c r="I230" s="436"/>
      <c r="J230" s="465">
        <v>0</v>
      </c>
      <c r="K230" s="467">
        <v>0</v>
      </c>
    </row>
    <row r="231" spans="2:11" ht="19" customHeight="1">
      <c r="B231" s="464">
        <v>46029</v>
      </c>
      <c r="C231" s="436" t="s">
        <v>873</v>
      </c>
      <c r="D231" s="436" t="s">
        <v>921</v>
      </c>
      <c r="E231" s="436">
        <v>1</v>
      </c>
      <c r="F231" s="436"/>
      <c r="G231" s="468" t="s">
        <v>875</v>
      </c>
      <c r="H231" s="466" t="e">
        <f>G231/1.1</f>
        <v>#VALUE!</v>
      </c>
      <c r="I231" s="436"/>
      <c r="J231" s="465">
        <v>0</v>
      </c>
      <c r="K231" s="467">
        <v>0</v>
      </c>
    </row>
    <row r="232" spans="2:11" ht="19" customHeight="1">
      <c r="B232" s="464">
        <v>46029</v>
      </c>
      <c r="C232" s="436" t="s">
        <v>877</v>
      </c>
      <c r="D232" s="436" t="s">
        <v>918</v>
      </c>
      <c r="E232" s="436">
        <v>1</v>
      </c>
      <c r="F232" s="469"/>
      <c r="G232" s="468" t="s">
        <v>875</v>
      </c>
      <c r="H232" s="466" t="e">
        <f>G232/1.1</f>
        <v>#VALUE!</v>
      </c>
      <c r="I232" s="436"/>
      <c r="J232" s="465">
        <v>0</v>
      </c>
      <c r="K232" s="467">
        <v>0</v>
      </c>
    </row>
    <row r="233" spans="2:11" ht="19" customHeight="1">
      <c r="B233" s="464">
        <v>46029</v>
      </c>
      <c r="C233" s="436" t="s">
        <v>877</v>
      </c>
      <c r="D233" s="436" t="s">
        <v>916</v>
      </c>
      <c r="E233" s="436">
        <v>1</v>
      </c>
      <c r="F233" s="469"/>
      <c r="G233" s="468" t="s">
        <v>875</v>
      </c>
      <c r="H233" s="466" t="e">
        <f>G233/1.1</f>
        <v>#VALUE!</v>
      </c>
      <c r="I233" s="436"/>
      <c r="J233" s="465">
        <v>0</v>
      </c>
      <c r="K233" s="467">
        <v>0</v>
      </c>
    </row>
    <row r="234" spans="2:11" ht="19" customHeight="1">
      <c r="B234" s="464">
        <v>46029</v>
      </c>
      <c r="C234" s="436" t="s">
        <v>266</v>
      </c>
      <c r="D234" s="436" t="s">
        <v>922</v>
      </c>
      <c r="E234" s="436">
        <v>2</v>
      </c>
      <c r="F234" s="436"/>
      <c r="G234" s="468" t="s">
        <v>875</v>
      </c>
      <c r="H234" s="466" t="e">
        <f>G234/1.1</f>
        <v>#VALUE!</v>
      </c>
      <c r="I234" s="436"/>
      <c r="J234" s="465">
        <v>0</v>
      </c>
      <c r="K234" s="467">
        <v>0</v>
      </c>
    </row>
    <row r="235" spans="2:11" ht="19" customHeight="1">
      <c r="B235" s="464">
        <v>46029</v>
      </c>
      <c r="C235" s="436" t="s">
        <v>258</v>
      </c>
      <c r="D235" s="436" t="s">
        <v>923</v>
      </c>
      <c r="E235" s="436">
        <v>1</v>
      </c>
      <c r="F235" s="436"/>
      <c r="G235" s="468" t="s">
        <v>875</v>
      </c>
      <c r="H235" s="466" t="e">
        <f>G235/1.1</f>
        <v>#VALUE!</v>
      </c>
      <c r="I235" s="436"/>
      <c r="J235" s="465">
        <v>0</v>
      </c>
      <c r="K235" s="467">
        <v>0</v>
      </c>
    </row>
    <row r="236" spans="2:11" ht="19" customHeight="1">
      <c r="B236" s="464">
        <v>46029</v>
      </c>
      <c r="C236" s="436" t="s">
        <v>258</v>
      </c>
      <c r="D236" s="436" t="s">
        <v>883</v>
      </c>
      <c r="E236" s="436">
        <v>1</v>
      </c>
      <c r="F236" s="469"/>
      <c r="G236" s="468" t="s">
        <v>875</v>
      </c>
      <c r="H236" s="466" t="e">
        <f>G236/1.1</f>
        <v>#VALUE!</v>
      </c>
      <c r="I236" s="436"/>
      <c r="J236" s="465">
        <v>0</v>
      </c>
      <c r="K236" s="467">
        <v>0</v>
      </c>
    </row>
    <row r="237" spans="2:11" ht="19" customHeight="1">
      <c r="B237" s="464">
        <v>46029</v>
      </c>
      <c r="C237" s="436" t="s">
        <v>254</v>
      </c>
      <c r="D237" s="436" t="s">
        <v>254</v>
      </c>
      <c r="E237" s="436">
        <v>3</v>
      </c>
      <c r="F237" s="467">
        <v>14.9</v>
      </c>
      <c r="G237" s="466">
        <v>44.7</v>
      </c>
      <c r="H237" s="466">
        <f>G237/1.1</f>
        <v>40.636363636363633</v>
      </c>
      <c r="I237" s="436"/>
      <c r="J237" s="465">
        <v>0</v>
      </c>
      <c r="K237" s="467">
        <v>0</v>
      </c>
    </row>
    <row r="238" spans="2:11" ht="19" customHeight="1">
      <c r="B238" s="464">
        <v>46029</v>
      </c>
      <c r="C238" s="436" t="s">
        <v>873</v>
      </c>
      <c r="D238" s="436" t="s">
        <v>912</v>
      </c>
      <c r="E238" s="436">
        <v>1</v>
      </c>
      <c r="F238" s="436"/>
      <c r="G238" s="468" t="s">
        <v>875</v>
      </c>
      <c r="H238" s="466" t="e">
        <f>G238/1.1</f>
        <v>#VALUE!</v>
      </c>
      <c r="I238" s="436"/>
      <c r="J238" s="465">
        <v>0</v>
      </c>
      <c r="K238" s="467">
        <v>0</v>
      </c>
    </row>
    <row r="239" spans="2:11" ht="19" customHeight="1">
      <c r="B239" s="464">
        <v>46029</v>
      </c>
      <c r="C239" s="436" t="s">
        <v>873</v>
      </c>
      <c r="D239" s="436" t="s">
        <v>924</v>
      </c>
      <c r="E239" s="436">
        <v>1</v>
      </c>
      <c r="F239" s="465">
        <v>5</v>
      </c>
      <c r="G239" s="466">
        <v>5</v>
      </c>
      <c r="H239" s="466">
        <f>G239/1.1</f>
        <v>4.545454545454545</v>
      </c>
      <c r="I239" s="436"/>
      <c r="J239" s="465">
        <v>0</v>
      </c>
      <c r="K239" s="467">
        <v>0</v>
      </c>
    </row>
    <row r="240" spans="2:11" ht="19" customHeight="1">
      <c r="B240" s="464">
        <v>46029</v>
      </c>
      <c r="C240" s="436" t="s">
        <v>873</v>
      </c>
      <c r="D240" s="436" t="s">
        <v>925</v>
      </c>
      <c r="E240" s="436">
        <v>1</v>
      </c>
      <c r="F240" s="467">
        <v>5</v>
      </c>
      <c r="G240" s="466">
        <v>5</v>
      </c>
      <c r="H240" s="466">
        <f>G240/1.1</f>
        <v>4.545454545454545</v>
      </c>
      <c r="I240" s="436"/>
      <c r="J240" s="465">
        <v>0</v>
      </c>
      <c r="K240" s="467">
        <v>0</v>
      </c>
    </row>
    <row r="241" spans="2:11" ht="19" customHeight="1">
      <c r="B241" s="464">
        <v>46029</v>
      </c>
      <c r="C241" s="436" t="s">
        <v>877</v>
      </c>
      <c r="D241" s="436" t="s">
        <v>915</v>
      </c>
      <c r="E241" s="436">
        <v>1</v>
      </c>
      <c r="F241" s="436"/>
      <c r="G241" s="468" t="s">
        <v>875</v>
      </c>
      <c r="H241" s="466" t="e">
        <f>G241/1.1</f>
        <v>#VALUE!</v>
      </c>
      <c r="I241" s="436"/>
      <c r="J241" s="465">
        <v>0</v>
      </c>
      <c r="K241" s="467">
        <v>0</v>
      </c>
    </row>
    <row r="242" spans="2:11" ht="19" customHeight="1">
      <c r="B242" s="464">
        <v>46029</v>
      </c>
      <c r="C242" s="436" t="s">
        <v>877</v>
      </c>
      <c r="D242" s="436" t="s">
        <v>920</v>
      </c>
      <c r="E242" s="436">
        <v>1</v>
      </c>
      <c r="F242" s="467">
        <v>2</v>
      </c>
      <c r="G242" s="466">
        <v>2</v>
      </c>
      <c r="H242" s="466">
        <f>G242/1.1</f>
        <v>1.8181818181818181</v>
      </c>
      <c r="I242" s="436"/>
      <c r="J242" s="465">
        <v>0</v>
      </c>
      <c r="K242" s="467">
        <v>0</v>
      </c>
    </row>
    <row r="243" spans="2:11" ht="19" customHeight="1">
      <c r="B243" s="464">
        <v>46029</v>
      </c>
      <c r="C243" s="436" t="s">
        <v>877</v>
      </c>
      <c r="D243" s="436" t="s">
        <v>918</v>
      </c>
      <c r="E243" s="436">
        <v>1</v>
      </c>
      <c r="F243" s="436"/>
      <c r="G243" s="468" t="s">
        <v>875</v>
      </c>
      <c r="H243" s="466" t="e">
        <f>G243/1.1</f>
        <v>#VALUE!</v>
      </c>
      <c r="I243" s="436"/>
      <c r="J243" s="465">
        <v>0</v>
      </c>
      <c r="K243" s="467">
        <v>0</v>
      </c>
    </row>
    <row r="244" spans="2:11" ht="19" customHeight="1">
      <c r="B244" s="464">
        <v>46029</v>
      </c>
      <c r="C244" s="436" t="s">
        <v>266</v>
      </c>
      <c r="D244" s="436" t="s">
        <v>926</v>
      </c>
      <c r="E244" s="436">
        <v>2</v>
      </c>
      <c r="F244" s="467">
        <v>2</v>
      </c>
      <c r="G244" s="466">
        <v>4</v>
      </c>
      <c r="H244" s="466">
        <f>G244/1.1</f>
        <v>3.6363636363636362</v>
      </c>
      <c r="I244" s="436"/>
      <c r="J244" s="465">
        <v>0</v>
      </c>
      <c r="K244" s="467">
        <v>0</v>
      </c>
    </row>
    <row r="245" spans="2:11" ht="19" customHeight="1">
      <c r="B245" s="464">
        <v>46029</v>
      </c>
      <c r="C245" s="436" t="s">
        <v>266</v>
      </c>
      <c r="D245" s="436" t="s">
        <v>927</v>
      </c>
      <c r="E245" s="436">
        <v>1</v>
      </c>
      <c r="F245" s="467">
        <v>1</v>
      </c>
      <c r="G245" s="466">
        <v>1</v>
      </c>
      <c r="H245" s="466">
        <f>G245/1.1</f>
        <v>0.90909090909090906</v>
      </c>
      <c r="I245" s="436"/>
      <c r="J245" s="465">
        <v>0</v>
      </c>
      <c r="K245" s="467">
        <v>0</v>
      </c>
    </row>
    <row r="246" spans="2:11" ht="19" customHeight="1">
      <c r="B246" s="464">
        <v>46029</v>
      </c>
      <c r="C246" s="436" t="s">
        <v>258</v>
      </c>
      <c r="D246" s="436" t="s">
        <v>923</v>
      </c>
      <c r="E246" s="436">
        <v>1</v>
      </c>
      <c r="F246" s="436"/>
      <c r="G246" s="468" t="s">
        <v>875</v>
      </c>
      <c r="H246" s="466" t="e">
        <f>G246/1.1</f>
        <v>#VALUE!</v>
      </c>
      <c r="I246" s="436"/>
      <c r="J246" s="465">
        <v>0</v>
      </c>
      <c r="K246" s="467">
        <v>0</v>
      </c>
    </row>
    <row r="247" spans="2:11" ht="19" customHeight="1">
      <c r="B247" s="464">
        <v>46029</v>
      </c>
      <c r="C247" s="436" t="s">
        <v>258</v>
      </c>
      <c r="D247" s="436" t="s">
        <v>248</v>
      </c>
      <c r="E247" s="436">
        <v>1</v>
      </c>
      <c r="F247" s="436"/>
      <c r="G247" s="468" t="s">
        <v>875</v>
      </c>
      <c r="H247" s="466" t="e">
        <f>G247/1.1</f>
        <v>#VALUE!</v>
      </c>
      <c r="I247" s="436"/>
      <c r="J247" s="465">
        <v>0</v>
      </c>
      <c r="K247" s="467">
        <v>0</v>
      </c>
    </row>
    <row r="248" spans="2:11" ht="19" customHeight="1">
      <c r="B248" s="464">
        <v>46029</v>
      </c>
      <c r="C248" s="436" t="s">
        <v>258</v>
      </c>
      <c r="D248" s="436" t="s">
        <v>928</v>
      </c>
      <c r="E248" s="436">
        <v>1</v>
      </c>
      <c r="F248" s="469"/>
      <c r="G248" s="468" t="s">
        <v>875</v>
      </c>
      <c r="H248" s="466" t="e">
        <f>G248/1.1</f>
        <v>#VALUE!</v>
      </c>
      <c r="I248" s="436"/>
      <c r="J248" s="465">
        <v>0</v>
      </c>
      <c r="K248" s="467">
        <v>0</v>
      </c>
    </row>
    <row r="249" spans="2:11" ht="19" customHeight="1">
      <c r="B249" s="464">
        <v>46029</v>
      </c>
      <c r="C249" s="436" t="s">
        <v>247</v>
      </c>
      <c r="D249" s="436" t="s">
        <v>257</v>
      </c>
      <c r="E249" s="436">
        <v>1</v>
      </c>
      <c r="F249" s="467">
        <v>1.55</v>
      </c>
      <c r="G249" s="466">
        <v>1.55</v>
      </c>
      <c r="H249" s="466">
        <f>G249/1.1</f>
        <v>1.4090909090909089</v>
      </c>
      <c r="I249" s="436"/>
      <c r="J249" s="465">
        <v>0</v>
      </c>
      <c r="K249" s="467">
        <v>0</v>
      </c>
    </row>
    <row r="250" spans="2:11" ht="19" customHeight="1">
      <c r="B250" s="464">
        <v>46029</v>
      </c>
      <c r="C250" s="436" t="s">
        <v>256</v>
      </c>
      <c r="D250" s="436" t="s">
        <v>679</v>
      </c>
      <c r="E250" s="436">
        <v>1</v>
      </c>
      <c r="F250" s="467">
        <v>9.9499999999999993</v>
      </c>
      <c r="G250" s="466">
        <v>9.9499999999999993</v>
      </c>
      <c r="H250" s="466">
        <f>G250/1.1</f>
        <v>9.0454545454545432</v>
      </c>
      <c r="I250" s="436"/>
      <c r="J250" s="465">
        <v>0</v>
      </c>
      <c r="K250" s="467">
        <v>0</v>
      </c>
    </row>
    <row r="251" spans="2:11" ht="19" customHeight="1">
      <c r="B251" s="464">
        <v>46029</v>
      </c>
      <c r="C251" s="436" t="s">
        <v>256</v>
      </c>
      <c r="D251" s="436" t="s">
        <v>255</v>
      </c>
      <c r="E251" s="436">
        <v>1</v>
      </c>
      <c r="F251" s="467">
        <v>5.6</v>
      </c>
      <c r="G251" s="466">
        <v>5.6</v>
      </c>
      <c r="H251" s="466">
        <f>G251/1.1</f>
        <v>5.0909090909090899</v>
      </c>
      <c r="I251" s="436"/>
      <c r="J251" s="465">
        <v>0</v>
      </c>
      <c r="K251" s="467">
        <v>0</v>
      </c>
    </row>
    <row r="252" spans="2:11" ht="19" customHeight="1">
      <c r="B252" s="464">
        <v>46029</v>
      </c>
      <c r="C252" s="436" t="s">
        <v>253</v>
      </c>
      <c r="D252" s="436" t="s">
        <v>804</v>
      </c>
      <c r="E252" s="436">
        <v>2</v>
      </c>
      <c r="F252" s="467">
        <v>2.95</v>
      </c>
      <c r="G252" s="466">
        <v>5.9</v>
      </c>
      <c r="H252" s="466">
        <f>G252/1.1</f>
        <v>5.3636363636363633</v>
      </c>
      <c r="I252" s="436"/>
      <c r="J252" s="465">
        <v>0</v>
      </c>
      <c r="K252" s="467">
        <v>0</v>
      </c>
    </row>
    <row r="253" spans="2:11" ht="19" customHeight="1">
      <c r="B253" s="464">
        <v>46029</v>
      </c>
      <c r="C253" s="436" t="s">
        <v>276</v>
      </c>
      <c r="D253" s="436" t="s">
        <v>929</v>
      </c>
      <c r="E253" s="436">
        <v>1</v>
      </c>
      <c r="F253" s="467">
        <v>3.75</v>
      </c>
      <c r="G253" s="466">
        <v>3.75</v>
      </c>
      <c r="H253" s="466">
        <f>G253/1.1</f>
        <v>3.4090909090909087</v>
      </c>
      <c r="I253" s="436"/>
      <c r="J253" s="465">
        <v>0</v>
      </c>
      <c r="K253" s="467">
        <v>0</v>
      </c>
    </row>
    <row r="254" spans="2:11" ht="19" customHeight="1">
      <c r="B254" s="464">
        <v>46030</v>
      </c>
      <c r="C254" s="436" t="s">
        <v>247</v>
      </c>
      <c r="D254" s="436" t="s">
        <v>902</v>
      </c>
      <c r="E254" s="436">
        <v>1</v>
      </c>
      <c r="F254" s="467">
        <v>2</v>
      </c>
      <c r="G254" s="466">
        <v>2</v>
      </c>
      <c r="H254" s="466">
        <f>G254/1.1</f>
        <v>1.8181818181818181</v>
      </c>
      <c r="I254" s="436"/>
      <c r="J254" s="465">
        <v>0</v>
      </c>
      <c r="K254" s="467">
        <v>0</v>
      </c>
    </row>
    <row r="255" spans="2:11" ht="19" customHeight="1">
      <c r="B255" s="464">
        <v>46030</v>
      </c>
      <c r="C255" s="436" t="s">
        <v>247</v>
      </c>
      <c r="D255" s="436" t="s">
        <v>248</v>
      </c>
      <c r="E255" s="436">
        <v>1</v>
      </c>
      <c r="F255" s="467">
        <v>1.8</v>
      </c>
      <c r="G255" s="466">
        <v>1.8</v>
      </c>
      <c r="H255" s="466">
        <f>G255/1.1</f>
        <v>1.6363636363636362</v>
      </c>
      <c r="I255" s="436"/>
      <c r="J255" s="465">
        <v>0</v>
      </c>
      <c r="K255" s="467">
        <v>0</v>
      </c>
    </row>
    <row r="256" spans="2:11" ht="19" customHeight="1">
      <c r="B256" s="464">
        <v>46030</v>
      </c>
      <c r="C256" s="436" t="s">
        <v>862</v>
      </c>
      <c r="D256" s="436" t="s">
        <v>899</v>
      </c>
      <c r="E256" s="436">
        <v>1</v>
      </c>
      <c r="F256" s="467">
        <v>0.05</v>
      </c>
      <c r="G256" s="466">
        <v>0.05</v>
      </c>
      <c r="H256" s="466">
        <f>G256/1.1</f>
        <v>4.5454545454545456E-2</v>
      </c>
      <c r="I256" s="436"/>
      <c r="J256" s="465">
        <v>0</v>
      </c>
      <c r="K256" s="467">
        <v>0</v>
      </c>
    </row>
    <row r="257" spans="2:11" ht="19" customHeight="1">
      <c r="B257" s="464">
        <v>46030</v>
      </c>
      <c r="C257" s="436" t="s">
        <v>247</v>
      </c>
      <c r="D257" s="436" t="s">
        <v>257</v>
      </c>
      <c r="E257" s="436">
        <v>1</v>
      </c>
      <c r="F257" s="467">
        <v>1.7</v>
      </c>
      <c r="G257" s="466">
        <v>1.7</v>
      </c>
      <c r="H257" s="466">
        <f>G257/1.1</f>
        <v>1.5454545454545452</v>
      </c>
      <c r="I257" s="436"/>
      <c r="J257" s="465">
        <v>0</v>
      </c>
      <c r="K257" s="467">
        <v>0</v>
      </c>
    </row>
    <row r="258" spans="2:11" ht="19" customHeight="1">
      <c r="B258" s="464">
        <v>46030</v>
      </c>
      <c r="C258" s="436" t="s">
        <v>253</v>
      </c>
      <c r="D258" s="436" t="s">
        <v>869</v>
      </c>
      <c r="E258" s="436">
        <v>1</v>
      </c>
      <c r="F258" s="467">
        <v>2.5</v>
      </c>
      <c r="G258" s="466">
        <v>2.5</v>
      </c>
      <c r="H258" s="466">
        <f>G258/1.1</f>
        <v>2.2727272727272725</v>
      </c>
      <c r="I258" s="436"/>
      <c r="J258" s="465">
        <v>0</v>
      </c>
      <c r="K258" s="467">
        <v>0</v>
      </c>
    </row>
    <row r="259" spans="2:11" ht="19" customHeight="1">
      <c r="B259" s="464">
        <v>46030</v>
      </c>
      <c r="C259" s="436" t="s">
        <v>251</v>
      </c>
      <c r="D259" s="436" t="s">
        <v>708</v>
      </c>
      <c r="E259" s="436">
        <v>1</v>
      </c>
      <c r="F259" s="465">
        <v>1.95</v>
      </c>
      <c r="G259" s="466">
        <v>1.95</v>
      </c>
      <c r="H259" s="466">
        <f>G259/1.1</f>
        <v>1.7727272727272725</v>
      </c>
      <c r="I259" s="436"/>
      <c r="J259" s="465">
        <v>0</v>
      </c>
      <c r="K259" s="467">
        <v>0</v>
      </c>
    </row>
    <row r="260" spans="2:11" ht="19" customHeight="1">
      <c r="B260" s="464">
        <v>46030</v>
      </c>
      <c r="C260" s="436" t="s">
        <v>247</v>
      </c>
      <c r="D260" s="436" t="s">
        <v>248</v>
      </c>
      <c r="E260" s="436">
        <v>1</v>
      </c>
      <c r="F260" s="465">
        <v>1.65</v>
      </c>
      <c r="G260" s="466">
        <v>1.65</v>
      </c>
      <c r="H260" s="466">
        <f>G260/1.1</f>
        <v>1.4999999999999998</v>
      </c>
      <c r="I260" s="436"/>
      <c r="J260" s="465">
        <v>0</v>
      </c>
      <c r="K260" s="467">
        <v>0</v>
      </c>
    </row>
    <row r="261" spans="2:11" ht="19" customHeight="1">
      <c r="B261" s="464">
        <v>46030</v>
      </c>
      <c r="C261" s="436" t="s">
        <v>264</v>
      </c>
      <c r="D261" s="436" t="s">
        <v>930</v>
      </c>
      <c r="E261" s="436">
        <v>1</v>
      </c>
      <c r="F261" s="467">
        <v>3.5</v>
      </c>
      <c r="G261" s="466">
        <v>3.5</v>
      </c>
      <c r="H261" s="466">
        <f>G261/1.1</f>
        <v>3.1818181818181817</v>
      </c>
      <c r="I261" s="436"/>
      <c r="J261" s="465">
        <v>0</v>
      </c>
      <c r="K261" s="467">
        <v>0</v>
      </c>
    </row>
    <row r="262" spans="2:11" ht="19" customHeight="1">
      <c r="B262" s="464">
        <v>46030</v>
      </c>
      <c r="C262" s="436" t="s">
        <v>256</v>
      </c>
      <c r="D262" s="436" t="s">
        <v>255</v>
      </c>
      <c r="E262" s="436">
        <v>1</v>
      </c>
      <c r="F262" s="465">
        <v>5.6</v>
      </c>
      <c r="G262" s="466">
        <v>5.6</v>
      </c>
      <c r="H262" s="466">
        <f>G262/1.1</f>
        <v>5.0909090909090899</v>
      </c>
      <c r="I262" s="436"/>
      <c r="J262" s="465">
        <v>0</v>
      </c>
      <c r="K262" s="467">
        <v>0</v>
      </c>
    </row>
    <row r="263" spans="2:11" ht="19" customHeight="1">
      <c r="B263" s="464">
        <v>46030</v>
      </c>
      <c r="C263" s="436" t="s">
        <v>256</v>
      </c>
      <c r="D263" s="436" t="s">
        <v>685</v>
      </c>
      <c r="E263" s="436">
        <v>1</v>
      </c>
      <c r="F263" s="467">
        <v>8.9</v>
      </c>
      <c r="G263" s="466">
        <v>8.9</v>
      </c>
      <c r="H263" s="466">
        <f>G263/1.1</f>
        <v>8.0909090909090899</v>
      </c>
      <c r="I263" s="436"/>
      <c r="J263" s="465">
        <v>0</v>
      </c>
      <c r="K263" s="467">
        <v>0</v>
      </c>
    </row>
    <row r="264" spans="2:11" ht="19" customHeight="1">
      <c r="B264" s="464">
        <v>46030</v>
      </c>
      <c r="C264" s="436" t="s">
        <v>256</v>
      </c>
      <c r="D264" s="436" t="s">
        <v>931</v>
      </c>
      <c r="E264" s="436">
        <v>2</v>
      </c>
      <c r="F264" s="467">
        <v>1.65</v>
      </c>
      <c r="G264" s="466">
        <v>3.3</v>
      </c>
      <c r="H264" s="466">
        <f>G264/1.1</f>
        <v>2.9999999999999996</v>
      </c>
      <c r="I264" s="436"/>
      <c r="J264" s="465">
        <v>0</v>
      </c>
      <c r="K264" s="467">
        <v>0</v>
      </c>
    </row>
    <row r="265" spans="2:11" ht="19" customHeight="1">
      <c r="B265" s="464">
        <v>46030</v>
      </c>
      <c r="C265" s="436" t="s">
        <v>256</v>
      </c>
      <c r="D265" s="436" t="s">
        <v>870</v>
      </c>
      <c r="E265" s="436">
        <v>2</v>
      </c>
      <c r="F265" s="467">
        <v>1.65</v>
      </c>
      <c r="G265" s="466">
        <v>3.3</v>
      </c>
      <c r="H265" s="466">
        <f>G265/1.1</f>
        <v>2.9999999999999996</v>
      </c>
      <c r="I265" s="436"/>
      <c r="J265" s="465">
        <v>0</v>
      </c>
      <c r="K265" s="467">
        <v>0</v>
      </c>
    </row>
    <row r="266" spans="2:11" ht="19" customHeight="1">
      <c r="B266" s="464">
        <v>46030</v>
      </c>
      <c r="C266" s="436" t="s">
        <v>256</v>
      </c>
      <c r="D266" s="436" t="s">
        <v>932</v>
      </c>
      <c r="E266" s="436">
        <v>2</v>
      </c>
      <c r="F266" s="467">
        <v>1.65</v>
      </c>
      <c r="G266" s="466">
        <v>3.3</v>
      </c>
      <c r="H266" s="466">
        <f>G266/1.1</f>
        <v>2.9999999999999996</v>
      </c>
      <c r="I266" s="436"/>
      <c r="J266" s="465">
        <v>0</v>
      </c>
      <c r="K266" s="467">
        <v>0</v>
      </c>
    </row>
    <row r="267" spans="2:11" ht="19" customHeight="1">
      <c r="B267" s="464">
        <v>46030</v>
      </c>
      <c r="C267" s="436" t="s">
        <v>254</v>
      </c>
      <c r="D267" s="436" t="s">
        <v>254</v>
      </c>
      <c r="E267" s="436">
        <v>1</v>
      </c>
      <c r="F267" s="467">
        <v>14.9</v>
      </c>
      <c r="G267" s="466">
        <v>14.9</v>
      </c>
      <c r="H267" s="466">
        <f>G267/1.1</f>
        <v>13.545454545454545</v>
      </c>
      <c r="I267" s="436"/>
      <c r="J267" s="465">
        <v>0</v>
      </c>
      <c r="K267" s="467">
        <v>0</v>
      </c>
    </row>
    <row r="268" spans="2:11" ht="19" customHeight="1">
      <c r="B268" s="464">
        <v>46030</v>
      </c>
      <c r="C268" s="436" t="s">
        <v>266</v>
      </c>
      <c r="D268" s="436" t="s">
        <v>265</v>
      </c>
      <c r="E268" s="436">
        <v>1</v>
      </c>
      <c r="F268" s="467">
        <v>1</v>
      </c>
      <c r="G268" s="466">
        <v>1</v>
      </c>
      <c r="H268" s="466">
        <f>G268/1.1</f>
        <v>0.90909090909090906</v>
      </c>
      <c r="I268" s="436"/>
      <c r="J268" s="465">
        <v>0</v>
      </c>
      <c r="K268" s="467">
        <v>0</v>
      </c>
    </row>
    <row r="269" spans="2:11" ht="19" customHeight="1">
      <c r="B269" s="464">
        <v>46030</v>
      </c>
      <c r="C269" s="436" t="s">
        <v>275</v>
      </c>
      <c r="D269" s="436" t="s">
        <v>933</v>
      </c>
      <c r="E269" s="436">
        <v>1</v>
      </c>
      <c r="F269" s="467">
        <v>5.5</v>
      </c>
      <c r="G269" s="466">
        <v>5.5</v>
      </c>
      <c r="H269" s="466">
        <f>G269/1.1</f>
        <v>5</v>
      </c>
      <c r="I269" s="436"/>
      <c r="J269" s="465">
        <v>0</v>
      </c>
      <c r="K269" s="467">
        <v>0</v>
      </c>
    </row>
    <row r="270" spans="2:11" ht="19" customHeight="1">
      <c r="B270" s="464">
        <v>46030</v>
      </c>
      <c r="C270" s="436" t="s">
        <v>254</v>
      </c>
      <c r="D270" s="436" t="s">
        <v>254</v>
      </c>
      <c r="E270" s="436">
        <v>1</v>
      </c>
      <c r="F270" s="467">
        <v>16</v>
      </c>
      <c r="G270" s="466">
        <v>16</v>
      </c>
      <c r="H270" s="466">
        <f>G270/1.1</f>
        <v>14.545454545454545</v>
      </c>
      <c r="I270" s="436"/>
      <c r="J270" s="465">
        <v>0</v>
      </c>
      <c r="K270" s="467">
        <v>0</v>
      </c>
    </row>
    <row r="271" spans="2:11" ht="19" customHeight="1">
      <c r="B271" s="464">
        <v>46030</v>
      </c>
      <c r="C271" s="436" t="s">
        <v>873</v>
      </c>
      <c r="D271" s="436" t="s">
        <v>911</v>
      </c>
      <c r="E271" s="436">
        <v>1</v>
      </c>
      <c r="F271" s="469"/>
      <c r="G271" s="468" t="s">
        <v>875</v>
      </c>
      <c r="H271" s="466" t="e">
        <f>G271/1.1</f>
        <v>#VALUE!</v>
      </c>
      <c r="I271" s="436"/>
      <c r="J271" s="465">
        <v>0</v>
      </c>
      <c r="K271" s="467">
        <v>0</v>
      </c>
    </row>
    <row r="272" spans="2:11" ht="19" customHeight="1">
      <c r="B272" s="464">
        <v>46030</v>
      </c>
      <c r="C272" s="436" t="s">
        <v>873</v>
      </c>
      <c r="D272" s="436" t="s">
        <v>934</v>
      </c>
      <c r="E272" s="436">
        <v>1</v>
      </c>
      <c r="F272" s="467">
        <v>3</v>
      </c>
      <c r="G272" s="466">
        <v>3</v>
      </c>
      <c r="H272" s="466">
        <f>G272/1.1</f>
        <v>2.7272727272727271</v>
      </c>
      <c r="I272" s="436"/>
      <c r="J272" s="465">
        <v>0</v>
      </c>
      <c r="K272" s="467">
        <v>0</v>
      </c>
    </row>
    <row r="273" spans="2:11" ht="19" customHeight="1">
      <c r="B273" s="464">
        <v>46030</v>
      </c>
      <c r="C273" s="436" t="s">
        <v>266</v>
      </c>
      <c r="D273" s="436" t="s">
        <v>935</v>
      </c>
      <c r="E273" s="436">
        <v>1</v>
      </c>
      <c r="F273" s="436"/>
      <c r="G273" s="468" t="s">
        <v>875</v>
      </c>
      <c r="H273" s="466" t="e">
        <f>G273/1.1</f>
        <v>#VALUE!</v>
      </c>
      <c r="I273" s="436"/>
      <c r="J273" s="465">
        <v>0</v>
      </c>
      <c r="K273" s="467">
        <v>0</v>
      </c>
    </row>
    <row r="274" spans="2:11" ht="19" customHeight="1">
      <c r="B274" s="464">
        <v>46030</v>
      </c>
      <c r="C274" s="436" t="s">
        <v>254</v>
      </c>
      <c r="D274" s="436" t="s">
        <v>254</v>
      </c>
      <c r="E274" s="436">
        <v>2</v>
      </c>
      <c r="F274" s="467">
        <v>14.9</v>
      </c>
      <c r="G274" s="466">
        <v>29.8</v>
      </c>
      <c r="H274" s="466">
        <f>G274/1.1</f>
        <v>27.09090909090909</v>
      </c>
      <c r="I274" s="436"/>
      <c r="J274" s="465">
        <v>0</v>
      </c>
      <c r="K274" s="467">
        <v>0</v>
      </c>
    </row>
    <row r="275" spans="2:11" ht="19" customHeight="1">
      <c r="B275" s="464">
        <v>46030</v>
      </c>
      <c r="C275" s="436" t="s">
        <v>873</v>
      </c>
      <c r="D275" s="436" t="s">
        <v>912</v>
      </c>
      <c r="E275" s="436">
        <v>1</v>
      </c>
      <c r="F275" s="436"/>
      <c r="G275" s="468" t="s">
        <v>875</v>
      </c>
      <c r="H275" s="466" t="e">
        <f>G275/1.1</f>
        <v>#VALUE!</v>
      </c>
      <c r="I275" s="436"/>
      <c r="J275" s="465">
        <v>0</v>
      </c>
      <c r="K275" s="467">
        <v>0</v>
      </c>
    </row>
    <row r="276" spans="2:11" ht="19" customHeight="1">
      <c r="B276" s="464">
        <v>46030</v>
      </c>
      <c r="C276" s="436" t="s">
        <v>873</v>
      </c>
      <c r="D276" s="436" t="s">
        <v>914</v>
      </c>
      <c r="E276" s="436">
        <v>1</v>
      </c>
      <c r="F276" s="467">
        <v>2</v>
      </c>
      <c r="G276" s="466">
        <v>2</v>
      </c>
      <c r="H276" s="466">
        <f>G276/1.1</f>
        <v>1.8181818181818181</v>
      </c>
      <c r="I276" s="436"/>
      <c r="J276" s="465">
        <v>0</v>
      </c>
      <c r="K276" s="467">
        <v>0</v>
      </c>
    </row>
    <row r="277" spans="2:11" ht="19" customHeight="1">
      <c r="B277" s="464">
        <v>46030</v>
      </c>
      <c r="C277" s="436" t="s">
        <v>877</v>
      </c>
      <c r="D277" s="436" t="s">
        <v>920</v>
      </c>
      <c r="E277" s="436">
        <v>1</v>
      </c>
      <c r="F277" s="467">
        <v>3</v>
      </c>
      <c r="G277" s="466">
        <v>3</v>
      </c>
      <c r="H277" s="466">
        <f>G277/1.1</f>
        <v>2.7272727272727271</v>
      </c>
      <c r="I277" s="436"/>
      <c r="J277" s="465">
        <v>0</v>
      </c>
      <c r="K277" s="467">
        <v>0</v>
      </c>
    </row>
    <row r="278" spans="2:11" ht="19" customHeight="1">
      <c r="B278" s="464">
        <v>46030</v>
      </c>
      <c r="C278" s="436" t="s">
        <v>877</v>
      </c>
      <c r="D278" s="436" t="s">
        <v>918</v>
      </c>
      <c r="E278" s="436">
        <v>1</v>
      </c>
      <c r="F278" s="436"/>
      <c r="G278" s="468" t="s">
        <v>875</v>
      </c>
      <c r="H278" s="466" t="e">
        <f>G278/1.1</f>
        <v>#VALUE!</v>
      </c>
      <c r="I278" s="436"/>
      <c r="J278" s="465">
        <v>0</v>
      </c>
      <c r="K278" s="467">
        <v>0</v>
      </c>
    </row>
    <row r="279" spans="2:11" ht="19" customHeight="1">
      <c r="B279" s="464">
        <v>46030</v>
      </c>
      <c r="C279" s="436" t="s">
        <v>266</v>
      </c>
      <c r="D279" s="436" t="s">
        <v>250</v>
      </c>
      <c r="E279" s="436">
        <v>1</v>
      </c>
      <c r="F279" s="436"/>
      <c r="G279" s="468" t="s">
        <v>875</v>
      </c>
      <c r="H279" s="466" t="e">
        <f>G279/1.1</f>
        <v>#VALUE!</v>
      </c>
      <c r="I279" s="436"/>
      <c r="J279" s="465">
        <v>0</v>
      </c>
      <c r="K279" s="467">
        <v>0</v>
      </c>
    </row>
    <row r="280" spans="2:11" ht="19" customHeight="1">
      <c r="B280" s="464">
        <v>46030</v>
      </c>
      <c r="C280" s="436" t="s">
        <v>266</v>
      </c>
      <c r="D280" s="436" t="s">
        <v>926</v>
      </c>
      <c r="E280" s="436">
        <v>1</v>
      </c>
      <c r="F280" s="467">
        <v>1</v>
      </c>
      <c r="G280" s="466">
        <v>1</v>
      </c>
      <c r="H280" s="466">
        <f>G280/1.1</f>
        <v>0.90909090909090906</v>
      </c>
      <c r="I280" s="436"/>
      <c r="J280" s="465">
        <v>0</v>
      </c>
      <c r="K280" s="467">
        <v>0</v>
      </c>
    </row>
    <row r="281" spans="2:11" ht="19" customHeight="1">
      <c r="B281" s="464">
        <v>46030</v>
      </c>
      <c r="C281" s="436" t="s">
        <v>258</v>
      </c>
      <c r="D281" s="436" t="s">
        <v>883</v>
      </c>
      <c r="E281" s="436">
        <v>2</v>
      </c>
      <c r="F281" s="436"/>
      <c r="G281" s="468" t="s">
        <v>875</v>
      </c>
      <c r="H281" s="466" t="e">
        <f>G281/1.1</f>
        <v>#VALUE!</v>
      </c>
      <c r="I281" s="436"/>
      <c r="J281" s="465">
        <v>0</v>
      </c>
      <c r="K281" s="467">
        <v>0</v>
      </c>
    </row>
    <row r="282" spans="2:11" ht="19" customHeight="1">
      <c r="B282" s="464">
        <v>46030</v>
      </c>
      <c r="C282" s="436" t="s">
        <v>247</v>
      </c>
      <c r="D282" s="436" t="s">
        <v>248</v>
      </c>
      <c r="E282" s="436">
        <v>2</v>
      </c>
      <c r="F282" s="465">
        <v>1.8</v>
      </c>
      <c r="G282" s="466">
        <v>3.6</v>
      </c>
      <c r="H282" s="466">
        <f>G282/1.1</f>
        <v>3.2727272727272725</v>
      </c>
      <c r="I282" s="436"/>
      <c r="J282" s="465">
        <v>0</v>
      </c>
      <c r="K282" s="467">
        <v>0</v>
      </c>
    </row>
    <row r="283" spans="2:11" ht="19" customHeight="1">
      <c r="B283" s="464">
        <v>46030</v>
      </c>
      <c r="C283" s="436" t="s">
        <v>254</v>
      </c>
      <c r="D283" s="436" t="s">
        <v>254</v>
      </c>
      <c r="E283" s="436">
        <v>1</v>
      </c>
      <c r="F283" s="465">
        <v>14.9</v>
      </c>
      <c r="G283" s="466">
        <v>14.9</v>
      </c>
      <c r="H283" s="466">
        <f>G283/1.1</f>
        <v>13.545454545454545</v>
      </c>
      <c r="I283" s="436"/>
      <c r="J283" s="465">
        <v>0</v>
      </c>
      <c r="K283" s="467">
        <v>0</v>
      </c>
    </row>
    <row r="284" spans="2:11" ht="19" customHeight="1">
      <c r="B284" s="464">
        <v>46030</v>
      </c>
      <c r="C284" s="436" t="s">
        <v>873</v>
      </c>
      <c r="D284" s="436" t="s">
        <v>911</v>
      </c>
      <c r="E284" s="436">
        <v>1</v>
      </c>
      <c r="F284" s="436"/>
      <c r="G284" s="468" t="s">
        <v>875</v>
      </c>
      <c r="H284" s="466" t="e">
        <f>G284/1.1</f>
        <v>#VALUE!</v>
      </c>
      <c r="I284" s="436"/>
      <c r="J284" s="465">
        <v>0</v>
      </c>
      <c r="K284" s="467">
        <v>0</v>
      </c>
    </row>
    <row r="285" spans="2:11" ht="19" customHeight="1">
      <c r="B285" s="464">
        <v>46030</v>
      </c>
      <c r="C285" s="436" t="s">
        <v>877</v>
      </c>
      <c r="D285" s="436" t="s">
        <v>920</v>
      </c>
      <c r="E285" s="436">
        <v>1</v>
      </c>
      <c r="F285" s="465">
        <v>3</v>
      </c>
      <c r="G285" s="466">
        <v>3</v>
      </c>
      <c r="H285" s="466">
        <f>G285/1.1</f>
        <v>2.7272727272727271</v>
      </c>
      <c r="I285" s="436"/>
      <c r="J285" s="465">
        <v>0</v>
      </c>
      <c r="K285" s="467">
        <v>0</v>
      </c>
    </row>
    <row r="286" spans="2:11" ht="19" customHeight="1">
      <c r="B286" s="464">
        <v>46030</v>
      </c>
      <c r="C286" s="436" t="s">
        <v>266</v>
      </c>
      <c r="D286" s="436" t="s">
        <v>869</v>
      </c>
      <c r="E286" s="436">
        <v>1</v>
      </c>
      <c r="F286" s="467">
        <v>2.5</v>
      </c>
      <c r="G286" s="466">
        <v>2.5</v>
      </c>
      <c r="H286" s="466">
        <f>G286/1.1</f>
        <v>2.2727272727272725</v>
      </c>
      <c r="I286" s="436"/>
      <c r="J286" s="465">
        <v>0</v>
      </c>
      <c r="K286" s="467">
        <v>0</v>
      </c>
    </row>
    <row r="287" spans="2:11" ht="19" customHeight="1">
      <c r="B287" s="464">
        <v>46030</v>
      </c>
      <c r="C287" s="436" t="s">
        <v>258</v>
      </c>
      <c r="D287" s="436" t="s">
        <v>883</v>
      </c>
      <c r="E287" s="436">
        <v>1</v>
      </c>
      <c r="F287" s="469"/>
      <c r="G287" s="468" t="s">
        <v>875</v>
      </c>
      <c r="H287" s="466" t="e">
        <f>G287/1.1</f>
        <v>#VALUE!</v>
      </c>
      <c r="I287" s="436"/>
      <c r="J287" s="465">
        <v>0</v>
      </c>
      <c r="K287" s="467">
        <v>0</v>
      </c>
    </row>
    <row r="288" spans="2:11" ht="19" customHeight="1">
      <c r="B288" s="464">
        <v>46030</v>
      </c>
      <c r="C288" s="436" t="s">
        <v>247</v>
      </c>
      <c r="D288" s="436" t="s">
        <v>257</v>
      </c>
      <c r="E288" s="436">
        <v>1</v>
      </c>
      <c r="F288" s="465">
        <v>1.55</v>
      </c>
      <c r="G288" s="466">
        <v>1.55</v>
      </c>
      <c r="H288" s="466">
        <f>G288/1.1</f>
        <v>1.4090909090909089</v>
      </c>
      <c r="I288" s="436"/>
      <c r="J288" s="465">
        <v>0</v>
      </c>
      <c r="K288" s="467">
        <v>0</v>
      </c>
    </row>
    <row r="289" spans="2:11" ht="19" customHeight="1">
      <c r="B289" s="464">
        <v>46030</v>
      </c>
      <c r="C289" s="436" t="s">
        <v>264</v>
      </c>
      <c r="D289" s="436" t="s">
        <v>269</v>
      </c>
      <c r="E289" s="436">
        <v>1</v>
      </c>
      <c r="F289" s="465">
        <v>0.1</v>
      </c>
      <c r="G289" s="466">
        <v>0.1</v>
      </c>
      <c r="H289" s="466">
        <f>G289/1.1</f>
        <v>9.0909090909090912E-2</v>
      </c>
      <c r="I289" s="436"/>
      <c r="J289" s="465">
        <v>0</v>
      </c>
      <c r="K289" s="467">
        <v>0</v>
      </c>
    </row>
    <row r="290" spans="2:11" ht="19" customHeight="1">
      <c r="B290" s="464">
        <v>46030</v>
      </c>
      <c r="C290" s="436" t="s">
        <v>254</v>
      </c>
      <c r="D290" s="436" t="s">
        <v>254</v>
      </c>
      <c r="E290" s="436">
        <v>3</v>
      </c>
      <c r="F290" s="465">
        <v>14.9</v>
      </c>
      <c r="G290" s="466">
        <v>44.7</v>
      </c>
      <c r="H290" s="466">
        <f>G290/1.1</f>
        <v>40.636363636363633</v>
      </c>
      <c r="I290" s="436"/>
      <c r="J290" s="465">
        <v>0</v>
      </c>
      <c r="K290" s="467">
        <v>0</v>
      </c>
    </row>
    <row r="291" spans="2:11" ht="19" customHeight="1">
      <c r="B291" s="464">
        <v>46030</v>
      </c>
      <c r="C291" s="436" t="s">
        <v>873</v>
      </c>
      <c r="D291" s="436" t="s">
        <v>911</v>
      </c>
      <c r="E291" s="436">
        <v>3</v>
      </c>
      <c r="F291" s="436"/>
      <c r="G291" s="468" t="s">
        <v>875</v>
      </c>
      <c r="H291" s="466" t="e">
        <f>G291/1.1</f>
        <v>#VALUE!</v>
      </c>
      <c r="I291" s="436"/>
      <c r="J291" s="465">
        <v>0</v>
      </c>
      <c r="K291" s="467">
        <v>0</v>
      </c>
    </row>
    <row r="292" spans="2:11" ht="19" customHeight="1">
      <c r="B292" s="464">
        <v>46030</v>
      </c>
      <c r="C292" s="436" t="s">
        <v>877</v>
      </c>
      <c r="D292" s="436" t="s">
        <v>918</v>
      </c>
      <c r="E292" s="436">
        <v>1</v>
      </c>
      <c r="F292" s="436"/>
      <c r="G292" s="468" t="s">
        <v>875</v>
      </c>
      <c r="H292" s="466" t="e">
        <f>G292/1.1</f>
        <v>#VALUE!</v>
      </c>
      <c r="I292" s="436"/>
      <c r="J292" s="465">
        <v>0</v>
      </c>
      <c r="K292" s="467">
        <v>0</v>
      </c>
    </row>
    <row r="293" spans="2:11" ht="19" customHeight="1">
      <c r="B293" s="464">
        <v>46030</v>
      </c>
      <c r="C293" s="436" t="s">
        <v>877</v>
      </c>
      <c r="D293" s="436" t="s">
        <v>915</v>
      </c>
      <c r="E293" s="436">
        <v>2</v>
      </c>
      <c r="F293" s="436"/>
      <c r="G293" s="468" t="s">
        <v>875</v>
      </c>
      <c r="H293" s="466" t="e">
        <f>G293/1.1</f>
        <v>#VALUE!</v>
      </c>
      <c r="I293" s="436"/>
      <c r="J293" s="465">
        <v>0</v>
      </c>
      <c r="K293" s="467">
        <v>0</v>
      </c>
    </row>
    <row r="294" spans="2:11" ht="19" customHeight="1">
      <c r="B294" s="464">
        <v>46030</v>
      </c>
      <c r="C294" s="436" t="s">
        <v>266</v>
      </c>
      <c r="D294" s="436" t="s">
        <v>250</v>
      </c>
      <c r="E294" s="436">
        <v>3</v>
      </c>
      <c r="F294" s="469"/>
      <c r="G294" s="468" t="s">
        <v>875</v>
      </c>
      <c r="H294" s="466" t="e">
        <f>G294/1.1</f>
        <v>#VALUE!</v>
      </c>
      <c r="I294" s="436"/>
      <c r="J294" s="465">
        <v>0</v>
      </c>
      <c r="K294" s="467">
        <v>0</v>
      </c>
    </row>
    <row r="295" spans="2:11" ht="19" customHeight="1">
      <c r="B295" s="464">
        <v>46030</v>
      </c>
      <c r="C295" s="436" t="s">
        <v>258</v>
      </c>
      <c r="D295" s="436" t="s">
        <v>936</v>
      </c>
      <c r="E295" s="436">
        <v>1</v>
      </c>
      <c r="F295" s="436"/>
      <c r="G295" s="468" t="s">
        <v>875</v>
      </c>
      <c r="H295" s="466" t="e">
        <f>G295/1.1</f>
        <v>#VALUE!</v>
      </c>
      <c r="I295" s="436"/>
      <c r="J295" s="465">
        <v>0</v>
      </c>
      <c r="K295" s="467">
        <v>0</v>
      </c>
    </row>
    <row r="296" spans="2:11" ht="19" customHeight="1">
      <c r="B296" s="464">
        <v>46030</v>
      </c>
      <c r="C296" s="436" t="s">
        <v>258</v>
      </c>
      <c r="D296" s="436" t="s">
        <v>937</v>
      </c>
      <c r="E296" s="436">
        <v>1</v>
      </c>
      <c r="F296" s="436"/>
      <c r="G296" s="468" t="s">
        <v>875</v>
      </c>
      <c r="H296" s="466" t="e">
        <f>G296/1.1</f>
        <v>#VALUE!</v>
      </c>
      <c r="I296" s="436"/>
      <c r="J296" s="465">
        <v>0</v>
      </c>
      <c r="K296" s="467">
        <v>0</v>
      </c>
    </row>
    <row r="297" spans="2:11" ht="19" customHeight="1">
      <c r="B297" s="464">
        <v>46030</v>
      </c>
      <c r="C297" s="436" t="s">
        <v>258</v>
      </c>
      <c r="D297" s="436" t="s">
        <v>928</v>
      </c>
      <c r="E297" s="436">
        <v>1</v>
      </c>
      <c r="F297" s="436"/>
      <c r="G297" s="468" t="s">
        <v>875</v>
      </c>
      <c r="H297" s="466" t="e">
        <f>G297/1.1</f>
        <v>#VALUE!</v>
      </c>
      <c r="I297" s="436"/>
      <c r="J297" s="465">
        <v>0</v>
      </c>
      <c r="K297" s="467">
        <v>0</v>
      </c>
    </row>
    <row r="298" spans="2:11" ht="19" customHeight="1">
      <c r="B298" s="464">
        <v>46030</v>
      </c>
      <c r="C298" s="436" t="s">
        <v>254</v>
      </c>
      <c r="D298" s="436" t="s">
        <v>254</v>
      </c>
      <c r="E298" s="436">
        <v>5</v>
      </c>
      <c r="F298" s="467">
        <v>14.9</v>
      </c>
      <c r="G298" s="466">
        <v>74.5</v>
      </c>
      <c r="H298" s="466">
        <f>G298/1.1</f>
        <v>67.72727272727272</v>
      </c>
      <c r="I298" s="436"/>
      <c r="J298" s="465">
        <v>0</v>
      </c>
      <c r="K298" s="467">
        <v>0</v>
      </c>
    </row>
    <row r="299" spans="2:11" ht="19" customHeight="1">
      <c r="B299" s="464">
        <v>46030</v>
      </c>
      <c r="C299" s="436" t="s">
        <v>873</v>
      </c>
      <c r="D299" s="436" t="s">
        <v>911</v>
      </c>
      <c r="E299" s="436">
        <v>1</v>
      </c>
      <c r="F299" s="436"/>
      <c r="G299" s="468" t="s">
        <v>875</v>
      </c>
      <c r="H299" s="466" t="e">
        <f>G299/1.1</f>
        <v>#VALUE!</v>
      </c>
      <c r="I299" s="436"/>
      <c r="J299" s="465">
        <v>0</v>
      </c>
      <c r="K299" s="467">
        <v>0</v>
      </c>
    </row>
    <row r="300" spans="2:11" ht="19" customHeight="1">
      <c r="B300" s="464">
        <v>46030</v>
      </c>
      <c r="C300" s="436" t="s">
        <v>873</v>
      </c>
      <c r="D300" s="436" t="s">
        <v>914</v>
      </c>
      <c r="E300" s="436">
        <v>1</v>
      </c>
      <c r="F300" s="467">
        <v>2</v>
      </c>
      <c r="G300" s="466">
        <v>2</v>
      </c>
      <c r="H300" s="466">
        <f>G300/1.1</f>
        <v>1.8181818181818181</v>
      </c>
      <c r="I300" s="436"/>
      <c r="J300" s="465">
        <v>0</v>
      </c>
      <c r="K300" s="467">
        <v>0</v>
      </c>
    </row>
    <row r="301" spans="2:11" ht="19" customHeight="1">
      <c r="B301" s="464">
        <v>46030</v>
      </c>
      <c r="C301" s="436" t="s">
        <v>873</v>
      </c>
      <c r="D301" s="436" t="s">
        <v>912</v>
      </c>
      <c r="E301" s="436">
        <v>1</v>
      </c>
      <c r="F301" s="469"/>
      <c r="G301" s="468" t="s">
        <v>875</v>
      </c>
      <c r="H301" s="466" t="e">
        <f>G301/1.1</f>
        <v>#VALUE!</v>
      </c>
      <c r="I301" s="436"/>
      <c r="J301" s="465">
        <v>0</v>
      </c>
      <c r="K301" s="467">
        <v>0</v>
      </c>
    </row>
    <row r="302" spans="2:11" ht="19" customHeight="1">
      <c r="B302" s="464">
        <v>46030</v>
      </c>
      <c r="C302" s="436" t="s">
        <v>873</v>
      </c>
      <c r="D302" s="436" t="s">
        <v>916</v>
      </c>
      <c r="E302" s="436">
        <v>1</v>
      </c>
      <c r="F302" s="469"/>
      <c r="G302" s="468" t="s">
        <v>875</v>
      </c>
      <c r="H302" s="466" t="e">
        <f>G302/1.1</f>
        <v>#VALUE!</v>
      </c>
      <c r="I302" s="436"/>
      <c r="J302" s="465">
        <v>0</v>
      </c>
      <c r="K302" s="467">
        <v>0</v>
      </c>
    </row>
    <row r="303" spans="2:11" ht="19" customHeight="1">
      <c r="B303" s="464">
        <v>46030</v>
      </c>
      <c r="C303" s="436" t="s">
        <v>877</v>
      </c>
      <c r="D303" s="436" t="s">
        <v>920</v>
      </c>
      <c r="E303" s="436">
        <v>1</v>
      </c>
      <c r="F303" s="467">
        <v>3</v>
      </c>
      <c r="G303" s="466">
        <v>3</v>
      </c>
      <c r="H303" s="466">
        <f>G303/1.1</f>
        <v>2.7272727272727271</v>
      </c>
      <c r="I303" s="436"/>
      <c r="J303" s="465">
        <v>0</v>
      </c>
      <c r="K303" s="467">
        <v>0</v>
      </c>
    </row>
    <row r="304" spans="2:11" ht="19" customHeight="1">
      <c r="B304" s="464">
        <v>46030</v>
      </c>
      <c r="C304" s="436" t="s">
        <v>877</v>
      </c>
      <c r="D304" s="436" t="s">
        <v>914</v>
      </c>
      <c r="E304" s="436">
        <v>1</v>
      </c>
      <c r="F304" s="469"/>
      <c r="G304" s="468" t="s">
        <v>875</v>
      </c>
      <c r="H304" s="466" t="e">
        <f>G304/1.1</f>
        <v>#VALUE!</v>
      </c>
      <c r="I304" s="436"/>
      <c r="J304" s="465">
        <v>0</v>
      </c>
      <c r="K304" s="467">
        <v>0</v>
      </c>
    </row>
    <row r="305" spans="2:11" ht="19" customHeight="1">
      <c r="B305" s="464">
        <v>46030</v>
      </c>
      <c r="C305" s="436" t="s">
        <v>877</v>
      </c>
      <c r="D305" s="436" t="s">
        <v>918</v>
      </c>
      <c r="E305" s="436">
        <v>1</v>
      </c>
      <c r="F305" s="436"/>
      <c r="G305" s="468" t="s">
        <v>875</v>
      </c>
      <c r="H305" s="466" t="e">
        <f>G305/1.1</f>
        <v>#VALUE!</v>
      </c>
      <c r="I305" s="436"/>
      <c r="J305" s="465">
        <v>0</v>
      </c>
      <c r="K305" s="467">
        <v>0</v>
      </c>
    </row>
    <row r="306" spans="2:11" ht="19" customHeight="1">
      <c r="B306" s="464">
        <v>46030</v>
      </c>
      <c r="C306" s="436" t="s">
        <v>877</v>
      </c>
      <c r="D306" s="436" t="s">
        <v>915</v>
      </c>
      <c r="E306" s="436">
        <v>1</v>
      </c>
      <c r="F306" s="436"/>
      <c r="G306" s="468" t="s">
        <v>875</v>
      </c>
      <c r="H306" s="466" t="e">
        <f>G306/1.1</f>
        <v>#VALUE!</v>
      </c>
      <c r="I306" s="436"/>
      <c r="J306" s="465">
        <v>0</v>
      </c>
      <c r="K306" s="467">
        <v>0</v>
      </c>
    </row>
    <row r="307" spans="2:11" ht="19" customHeight="1">
      <c r="B307" s="464">
        <v>46030</v>
      </c>
      <c r="C307" s="436" t="s">
        <v>266</v>
      </c>
      <c r="D307" s="436" t="s">
        <v>250</v>
      </c>
      <c r="E307" s="436">
        <v>2</v>
      </c>
      <c r="F307" s="469"/>
      <c r="G307" s="468" t="s">
        <v>875</v>
      </c>
      <c r="H307" s="466" t="e">
        <f>G307/1.1</f>
        <v>#VALUE!</v>
      </c>
      <c r="I307" s="436"/>
      <c r="J307" s="465">
        <v>0</v>
      </c>
      <c r="K307" s="467">
        <v>0</v>
      </c>
    </row>
    <row r="308" spans="2:11" ht="19" customHeight="1">
      <c r="B308" s="464">
        <v>46030</v>
      </c>
      <c r="C308" s="436" t="s">
        <v>266</v>
      </c>
      <c r="D308" s="436" t="s">
        <v>708</v>
      </c>
      <c r="E308" s="436">
        <v>3</v>
      </c>
      <c r="F308" s="436"/>
      <c r="G308" s="468" t="s">
        <v>875</v>
      </c>
      <c r="H308" s="466" t="e">
        <f>G308/1.1</f>
        <v>#VALUE!</v>
      </c>
      <c r="I308" s="436"/>
      <c r="J308" s="465">
        <v>0</v>
      </c>
      <c r="K308" s="467">
        <v>0</v>
      </c>
    </row>
    <row r="309" spans="2:11" ht="19" customHeight="1">
      <c r="B309" s="464">
        <v>46030</v>
      </c>
      <c r="C309" s="436" t="s">
        <v>247</v>
      </c>
      <c r="D309" s="436" t="s">
        <v>248</v>
      </c>
      <c r="E309" s="436">
        <v>1</v>
      </c>
      <c r="F309" s="467">
        <v>1.65</v>
      </c>
      <c r="G309" s="466">
        <v>1.65</v>
      </c>
      <c r="H309" s="466">
        <f>G309/1.1</f>
        <v>1.4999999999999998</v>
      </c>
      <c r="I309" s="436"/>
      <c r="J309" s="465">
        <v>0</v>
      </c>
      <c r="K309" s="467">
        <v>0</v>
      </c>
    </row>
    <row r="310" spans="2:11" ht="19" customHeight="1">
      <c r="B310" s="464">
        <v>46030</v>
      </c>
      <c r="C310" s="436" t="s">
        <v>251</v>
      </c>
      <c r="D310" s="436" t="s">
        <v>742</v>
      </c>
      <c r="E310" s="436">
        <v>1</v>
      </c>
      <c r="F310" s="467">
        <v>2.75</v>
      </c>
      <c r="G310" s="466">
        <v>2.75</v>
      </c>
      <c r="H310" s="466">
        <f>G310/1.1</f>
        <v>2.5</v>
      </c>
      <c r="I310" s="436"/>
      <c r="J310" s="465">
        <v>0</v>
      </c>
      <c r="K310" s="467">
        <v>0</v>
      </c>
    </row>
    <row r="311" spans="2:11" ht="19" customHeight="1">
      <c r="B311" s="464">
        <v>46030</v>
      </c>
      <c r="C311" s="436" t="s">
        <v>253</v>
      </c>
      <c r="D311" s="436" t="s">
        <v>869</v>
      </c>
      <c r="E311" s="436">
        <v>1</v>
      </c>
      <c r="F311" s="467">
        <v>2.5</v>
      </c>
      <c r="G311" s="466">
        <v>2.5</v>
      </c>
      <c r="H311" s="466">
        <f>G311/1.1</f>
        <v>2.2727272727272725</v>
      </c>
      <c r="I311" s="436"/>
      <c r="J311" s="465">
        <v>0</v>
      </c>
      <c r="K311" s="467">
        <v>0</v>
      </c>
    </row>
    <row r="312" spans="2:11" ht="19" customHeight="1">
      <c r="B312" s="464">
        <v>46030</v>
      </c>
      <c r="C312" s="436" t="s">
        <v>247</v>
      </c>
      <c r="D312" s="436" t="s">
        <v>246</v>
      </c>
      <c r="E312" s="436">
        <v>1</v>
      </c>
      <c r="F312" s="465">
        <v>1.7</v>
      </c>
      <c r="G312" s="466">
        <v>1.7</v>
      </c>
      <c r="H312" s="466">
        <f>G312/1.1</f>
        <v>1.5454545454545452</v>
      </c>
      <c r="I312" s="436"/>
      <c r="J312" s="465">
        <v>0</v>
      </c>
      <c r="K312" s="467">
        <v>0</v>
      </c>
    </row>
    <row r="313" spans="2:11" ht="19" customHeight="1">
      <c r="B313" s="464">
        <v>46030</v>
      </c>
      <c r="C313" s="436" t="s">
        <v>251</v>
      </c>
      <c r="D313" s="436" t="s">
        <v>742</v>
      </c>
      <c r="E313" s="436">
        <v>1</v>
      </c>
      <c r="F313" s="467">
        <v>2.75</v>
      </c>
      <c r="G313" s="466">
        <v>2.75</v>
      </c>
      <c r="H313" s="466">
        <f>G313/1.1</f>
        <v>2.5</v>
      </c>
      <c r="I313" s="436"/>
      <c r="J313" s="465">
        <v>0</v>
      </c>
      <c r="K313" s="467">
        <v>0</v>
      </c>
    </row>
    <row r="314" spans="2:11" ht="19" customHeight="1">
      <c r="B314" s="464">
        <v>46030</v>
      </c>
      <c r="C314" s="436" t="s">
        <v>247</v>
      </c>
      <c r="D314" s="436" t="s">
        <v>248</v>
      </c>
      <c r="E314" s="436">
        <v>2</v>
      </c>
      <c r="F314" s="465">
        <v>1.65</v>
      </c>
      <c r="G314" s="466">
        <v>3.3</v>
      </c>
      <c r="H314" s="466">
        <f>G314/1.1</f>
        <v>2.9999999999999996</v>
      </c>
      <c r="I314" s="436"/>
      <c r="J314" s="465">
        <v>0</v>
      </c>
      <c r="K314" s="467">
        <v>0</v>
      </c>
    </row>
    <row r="315" spans="2:11" ht="19" customHeight="1">
      <c r="B315" s="464">
        <v>46030</v>
      </c>
      <c r="C315" s="436" t="s">
        <v>247</v>
      </c>
      <c r="D315" s="436" t="s">
        <v>919</v>
      </c>
      <c r="E315" s="436">
        <v>1</v>
      </c>
      <c r="F315" s="467">
        <v>3.1</v>
      </c>
      <c r="G315" s="466">
        <v>3.1</v>
      </c>
      <c r="H315" s="466">
        <f>G315/1.1</f>
        <v>2.8181818181818179</v>
      </c>
      <c r="I315" s="436"/>
      <c r="J315" s="465">
        <v>0</v>
      </c>
      <c r="K315" s="467">
        <v>0</v>
      </c>
    </row>
    <row r="316" spans="2:11" ht="19" customHeight="1">
      <c r="B316" s="464">
        <v>46030</v>
      </c>
      <c r="C316" s="436" t="s">
        <v>268</v>
      </c>
      <c r="D316" s="436" t="s">
        <v>267</v>
      </c>
      <c r="E316" s="436">
        <v>2</v>
      </c>
      <c r="F316" s="465">
        <v>1.5</v>
      </c>
      <c r="G316" s="466">
        <v>3</v>
      </c>
      <c r="H316" s="466">
        <f>G316/1.1</f>
        <v>2.7272727272727271</v>
      </c>
      <c r="I316" s="436"/>
      <c r="J316" s="465">
        <v>0</v>
      </c>
      <c r="K316" s="467">
        <v>0</v>
      </c>
    </row>
    <row r="317" spans="2:11" ht="19" customHeight="1">
      <c r="B317" s="464">
        <v>46030</v>
      </c>
      <c r="C317" s="436" t="s">
        <v>247</v>
      </c>
      <c r="D317" s="436" t="s">
        <v>938</v>
      </c>
      <c r="E317" s="436">
        <v>1</v>
      </c>
      <c r="F317" s="467">
        <v>2.25</v>
      </c>
      <c r="G317" s="466">
        <v>2.25</v>
      </c>
      <c r="H317" s="466">
        <f>G317/1.1</f>
        <v>2.0454545454545454</v>
      </c>
      <c r="I317" s="436"/>
      <c r="J317" s="465">
        <v>0</v>
      </c>
      <c r="K317" s="467">
        <v>0</v>
      </c>
    </row>
    <row r="318" spans="2:11" ht="19" customHeight="1">
      <c r="B318" s="464">
        <v>46030</v>
      </c>
      <c r="C318" s="436" t="s">
        <v>247</v>
      </c>
      <c r="D318" s="436" t="s">
        <v>938</v>
      </c>
      <c r="E318" s="436">
        <v>2</v>
      </c>
      <c r="F318" s="467">
        <v>3.65</v>
      </c>
      <c r="G318" s="466">
        <v>7.3</v>
      </c>
      <c r="H318" s="466">
        <f>G318/1.1</f>
        <v>6.6363636363636358</v>
      </c>
      <c r="I318" s="436"/>
      <c r="J318" s="465">
        <v>0</v>
      </c>
      <c r="K318" s="467">
        <v>0</v>
      </c>
    </row>
    <row r="319" spans="2:11" ht="19" customHeight="1">
      <c r="B319" s="464">
        <v>46030</v>
      </c>
      <c r="C319" s="436" t="s">
        <v>268</v>
      </c>
      <c r="D319" s="436" t="s">
        <v>267</v>
      </c>
      <c r="E319" s="436">
        <v>2</v>
      </c>
      <c r="F319" s="467">
        <v>1.5</v>
      </c>
      <c r="G319" s="466">
        <v>3</v>
      </c>
      <c r="H319" s="466">
        <f>G319/1.1</f>
        <v>2.7272727272727271</v>
      </c>
      <c r="I319" s="436"/>
      <c r="J319" s="465">
        <v>0</v>
      </c>
      <c r="K319" s="467">
        <v>0</v>
      </c>
    </row>
    <row r="320" spans="2:11" ht="19" customHeight="1">
      <c r="B320" s="464">
        <v>46030</v>
      </c>
      <c r="C320" s="436" t="s">
        <v>247</v>
      </c>
      <c r="D320" s="436" t="s">
        <v>246</v>
      </c>
      <c r="E320" s="436">
        <v>1</v>
      </c>
      <c r="F320" s="467">
        <v>1.7</v>
      </c>
      <c r="G320" s="466">
        <v>1.7</v>
      </c>
      <c r="H320" s="466">
        <f>G320/1.1</f>
        <v>1.5454545454545452</v>
      </c>
      <c r="I320" s="436"/>
      <c r="J320" s="465">
        <v>0</v>
      </c>
      <c r="K320" s="467">
        <v>0</v>
      </c>
    </row>
    <row r="321" spans="2:11" ht="19" customHeight="1">
      <c r="B321" s="464">
        <v>46030</v>
      </c>
      <c r="C321" s="436" t="s">
        <v>862</v>
      </c>
      <c r="D321" s="436" t="s">
        <v>863</v>
      </c>
      <c r="E321" s="436">
        <v>1</v>
      </c>
      <c r="F321" s="467">
        <v>0.15</v>
      </c>
      <c r="G321" s="466">
        <v>0.15</v>
      </c>
      <c r="H321" s="466">
        <f>G321/1.1</f>
        <v>0.13636363636363635</v>
      </c>
      <c r="I321" s="436"/>
      <c r="J321" s="465">
        <v>0</v>
      </c>
      <c r="K321" s="467">
        <v>0</v>
      </c>
    </row>
    <row r="322" spans="2:11" ht="19" customHeight="1">
      <c r="B322" s="464">
        <v>46030</v>
      </c>
      <c r="C322" s="436" t="s">
        <v>247</v>
      </c>
      <c r="D322" s="436" t="s">
        <v>248</v>
      </c>
      <c r="E322" s="436">
        <v>1</v>
      </c>
      <c r="F322" s="467">
        <v>1.65</v>
      </c>
      <c r="G322" s="466">
        <v>1.65</v>
      </c>
      <c r="H322" s="466">
        <f>G322/1.1</f>
        <v>1.4999999999999998</v>
      </c>
      <c r="I322" s="436"/>
      <c r="J322" s="465">
        <v>0</v>
      </c>
      <c r="K322" s="467">
        <v>0</v>
      </c>
    </row>
    <row r="323" spans="2:11" ht="19" customHeight="1">
      <c r="B323" s="464">
        <v>46030</v>
      </c>
      <c r="C323" s="436" t="s">
        <v>247</v>
      </c>
      <c r="D323" s="436" t="s">
        <v>246</v>
      </c>
      <c r="E323" s="436">
        <v>1</v>
      </c>
      <c r="F323" s="467">
        <v>1.7</v>
      </c>
      <c r="G323" s="466">
        <v>1.7</v>
      </c>
      <c r="H323" s="466">
        <f>G323/1.1</f>
        <v>1.5454545454545452</v>
      </c>
      <c r="I323" s="436"/>
      <c r="J323" s="465">
        <v>0</v>
      </c>
      <c r="K323" s="467">
        <v>0</v>
      </c>
    </row>
    <row r="324" spans="2:11" ht="19" customHeight="1">
      <c r="B324" s="464">
        <v>46030</v>
      </c>
      <c r="C324" s="436" t="s">
        <v>247</v>
      </c>
      <c r="D324" s="436" t="s">
        <v>257</v>
      </c>
      <c r="E324" s="436">
        <v>1</v>
      </c>
      <c r="F324" s="467">
        <v>1.4</v>
      </c>
      <c r="G324" s="466">
        <v>1.4</v>
      </c>
      <c r="H324" s="466">
        <f>G324/1.1</f>
        <v>1.2727272727272725</v>
      </c>
      <c r="I324" s="436"/>
      <c r="J324" s="465">
        <v>0</v>
      </c>
      <c r="K324" s="467">
        <v>0</v>
      </c>
    </row>
    <row r="325" spans="2:11" ht="19" customHeight="1">
      <c r="B325" s="464">
        <v>46030</v>
      </c>
      <c r="C325" s="436" t="s">
        <v>247</v>
      </c>
      <c r="D325" s="436" t="s">
        <v>246</v>
      </c>
      <c r="E325" s="436">
        <v>1</v>
      </c>
      <c r="F325" s="467">
        <v>1.7</v>
      </c>
      <c r="G325" s="466">
        <v>1.7</v>
      </c>
      <c r="H325" s="466">
        <f>G325/1.1</f>
        <v>1.5454545454545452</v>
      </c>
      <c r="I325" s="436"/>
      <c r="J325" s="465">
        <v>0</v>
      </c>
      <c r="K325" s="467">
        <v>0</v>
      </c>
    </row>
    <row r="326" spans="2:11" ht="19" customHeight="1">
      <c r="B326" s="464">
        <v>46030</v>
      </c>
      <c r="C326" s="436" t="s">
        <v>251</v>
      </c>
      <c r="D326" s="436" t="s">
        <v>265</v>
      </c>
      <c r="E326" s="436">
        <v>1</v>
      </c>
      <c r="F326" s="467">
        <v>2.65</v>
      </c>
      <c r="G326" s="466">
        <v>2.65</v>
      </c>
      <c r="H326" s="466">
        <f>G326/1.1</f>
        <v>2.4090909090909087</v>
      </c>
      <c r="I326" s="436"/>
      <c r="J326" s="465">
        <v>0</v>
      </c>
      <c r="K326" s="467">
        <v>0</v>
      </c>
    </row>
    <row r="327" spans="2:11" ht="19" customHeight="1">
      <c r="B327" s="464">
        <v>46030</v>
      </c>
      <c r="C327" s="436" t="s">
        <v>327</v>
      </c>
      <c r="D327" s="436" t="s">
        <v>939</v>
      </c>
      <c r="E327" s="436">
        <v>1</v>
      </c>
      <c r="F327" s="467">
        <v>4.8499999999999996</v>
      </c>
      <c r="G327" s="466">
        <v>4.8499999999999996</v>
      </c>
      <c r="H327" s="466">
        <f>G327/1.1</f>
        <v>4.4090909090909083</v>
      </c>
      <c r="I327" s="436"/>
      <c r="J327" s="465">
        <v>0</v>
      </c>
      <c r="K327" s="467">
        <v>0</v>
      </c>
    </row>
    <row r="328" spans="2:11" ht="19" customHeight="1">
      <c r="B328" s="464">
        <v>46030</v>
      </c>
      <c r="C328" s="436" t="s">
        <v>327</v>
      </c>
      <c r="D328" s="436" t="s">
        <v>940</v>
      </c>
      <c r="E328" s="436">
        <v>1</v>
      </c>
      <c r="F328" s="465">
        <v>5.95</v>
      </c>
      <c r="G328" s="466">
        <v>5.95</v>
      </c>
      <c r="H328" s="466">
        <f>G328/1.1</f>
        <v>5.4090909090909092</v>
      </c>
      <c r="I328" s="436"/>
      <c r="J328" s="465">
        <v>0</v>
      </c>
      <c r="K328" s="467">
        <v>0</v>
      </c>
    </row>
    <row r="329" spans="2:11" ht="19" customHeight="1">
      <c r="B329" s="464">
        <v>46030</v>
      </c>
      <c r="C329" s="436" t="s">
        <v>247</v>
      </c>
      <c r="D329" s="436" t="s">
        <v>855</v>
      </c>
      <c r="E329" s="436">
        <v>1</v>
      </c>
      <c r="F329" s="467">
        <v>2.5499999999999998</v>
      </c>
      <c r="G329" s="466">
        <v>2.5499999999999998</v>
      </c>
      <c r="H329" s="466">
        <f>G329/1.1</f>
        <v>2.3181818181818179</v>
      </c>
      <c r="I329" s="436"/>
      <c r="J329" s="465">
        <v>0</v>
      </c>
      <c r="K329" s="467">
        <v>0</v>
      </c>
    </row>
    <row r="330" spans="2:11" ht="19" customHeight="1">
      <c r="B330" s="464">
        <v>46030</v>
      </c>
      <c r="C330" s="436" t="s">
        <v>247</v>
      </c>
      <c r="D330" s="436" t="s">
        <v>248</v>
      </c>
      <c r="E330" s="436">
        <v>1</v>
      </c>
      <c r="F330" s="465">
        <v>1.65</v>
      </c>
      <c r="G330" s="466">
        <v>1.65</v>
      </c>
      <c r="H330" s="466">
        <f>G330/1.1</f>
        <v>1.4999999999999998</v>
      </c>
      <c r="I330" s="436"/>
      <c r="J330" s="465">
        <v>0</v>
      </c>
      <c r="K330" s="467">
        <v>0</v>
      </c>
    </row>
    <row r="331" spans="2:11" ht="19" customHeight="1">
      <c r="B331" s="464">
        <v>46030</v>
      </c>
      <c r="C331" s="436" t="s">
        <v>251</v>
      </c>
      <c r="D331" s="436" t="s">
        <v>265</v>
      </c>
      <c r="E331" s="436">
        <v>1</v>
      </c>
      <c r="F331" s="467">
        <v>2.65</v>
      </c>
      <c r="G331" s="466">
        <v>2.65</v>
      </c>
      <c r="H331" s="466">
        <f>G331/1.1</f>
        <v>2.4090909090909087</v>
      </c>
      <c r="I331" s="436"/>
      <c r="J331" s="465">
        <v>0</v>
      </c>
      <c r="K331" s="467">
        <v>0</v>
      </c>
    </row>
    <row r="332" spans="2:11" ht="19" customHeight="1">
      <c r="B332" s="464">
        <v>46030</v>
      </c>
      <c r="C332" s="436" t="s">
        <v>276</v>
      </c>
      <c r="D332" s="436" t="s">
        <v>941</v>
      </c>
      <c r="E332" s="436">
        <v>1</v>
      </c>
      <c r="F332" s="467">
        <v>4.5</v>
      </c>
      <c r="G332" s="466">
        <v>4.5</v>
      </c>
      <c r="H332" s="466">
        <f>G332/1.1</f>
        <v>4.0909090909090908</v>
      </c>
      <c r="I332" s="436"/>
      <c r="J332" s="465">
        <v>0</v>
      </c>
      <c r="K332" s="467">
        <v>0</v>
      </c>
    </row>
    <row r="333" spans="2:11" ht="19" customHeight="1">
      <c r="B333" s="464">
        <v>46030</v>
      </c>
      <c r="C333" s="436" t="s">
        <v>327</v>
      </c>
      <c r="D333" s="436" t="s">
        <v>723</v>
      </c>
      <c r="E333" s="436">
        <v>1</v>
      </c>
      <c r="F333" s="467">
        <v>3.1</v>
      </c>
      <c r="G333" s="466">
        <v>3.1</v>
      </c>
      <c r="H333" s="466">
        <f>G333/1.1</f>
        <v>2.8181818181818179</v>
      </c>
      <c r="I333" s="436"/>
      <c r="J333" s="465">
        <v>0</v>
      </c>
      <c r="K333" s="467">
        <v>0</v>
      </c>
    </row>
    <row r="334" spans="2:11" ht="19" customHeight="1">
      <c r="B334" s="464">
        <v>46030</v>
      </c>
      <c r="C334" s="436" t="s">
        <v>264</v>
      </c>
      <c r="D334" s="436" t="s">
        <v>703</v>
      </c>
      <c r="E334" s="436">
        <v>1</v>
      </c>
      <c r="F334" s="467">
        <v>2</v>
      </c>
      <c r="G334" s="466">
        <v>2</v>
      </c>
      <c r="H334" s="466">
        <f>G334/1.1</f>
        <v>1.8181818181818181</v>
      </c>
      <c r="I334" s="436"/>
      <c r="J334" s="465">
        <v>0</v>
      </c>
      <c r="K334" s="467">
        <v>0</v>
      </c>
    </row>
    <row r="335" spans="2:11" ht="19" customHeight="1">
      <c r="B335" s="464">
        <v>46030</v>
      </c>
      <c r="C335" s="436" t="s">
        <v>256</v>
      </c>
      <c r="D335" s="436" t="s">
        <v>912</v>
      </c>
      <c r="E335" s="436">
        <v>1</v>
      </c>
      <c r="F335" s="467">
        <v>5.25</v>
      </c>
      <c r="G335" s="466">
        <v>5.25</v>
      </c>
      <c r="H335" s="466">
        <f>G335/1.1</f>
        <v>4.7727272727272725</v>
      </c>
      <c r="I335" s="436"/>
      <c r="J335" s="465">
        <v>0</v>
      </c>
      <c r="K335" s="467">
        <v>0</v>
      </c>
    </row>
    <row r="336" spans="2:11" ht="19" customHeight="1">
      <c r="B336" s="464">
        <v>46030</v>
      </c>
      <c r="C336" s="436" t="s">
        <v>268</v>
      </c>
      <c r="D336" s="436" t="s">
        <v>858</v>
      </c>
      <c r="E336" s="436">
        <v>2</v>
      </c>
      <c r="F336" s="467">
        <v>0.65</v>
      </c>
      <c r="G336" s="466">
        <v>1.3</v>
      </c>
      <c r="H336" s="466">
        <f>G336/1.1</f>
        <v>1.1818181818181817</v>
      </c>
      <c r="I336" s="436"/>
      <c r="J336" s="465">
        <v>0</v>
      </c>
      <c r="K336" s="467">
        <v>0</v>
      </c>
    </row>
    <row r="337" spans="2:11" ht="19" customHeight="1">
      <c r="B337" s="464">
        <v>46030</v>
      </c>
      <c r="C337" s="436" t="s">
        <v>247</v>
      </c>
      <c r="D337" s="436" t="s">
        <v>257</v>
      </c>
      <c r="E337" s="436">
        <v>1</v>
      </c>
      <c r="F337" s="467">
        <v>1.4</v>
      </c>
      <c r="G337" s="466">
        <v>1.4</v>
      </c>
      <c r="H337" s="466">
        <f>G337/1.1</f>
        <v>1.2727272727272725</v>
      </c>
      <c r="I337" s="436"/>
      <c r="J337" s="465">
        <v>0</v>
      </c>
      <c r="K337" s="467">
        <v>0</v>
      </c>
    </row>
    <row r="338" spans="2:11" ht="19" customHeight="1">
      <c r="B338" s="464">
        <v>46030</v>
      </c>
      <c r="C338" s="436" t="s">
        <v>247</v>
      </c>
      <c r="D338" s="436" t="s">
        <v>248</v>
      </c>
      <c r="E338" s="436">
        <v>1</v>
      </c>
      <c r="F338" s="467">
        <v>1.5</v>
      </c>
      <c r="G338" s="466">
        <v>1.5</v>
      </c>
      <c r="H338" s="466">
        <f>G338/1.1</f>
        <v>1.3636363636363635</v>
      </c>
      <c r="I338" s="436"/>
      <c r="J338" s="465">
        <v>0</v>
      </c>
      <c r="K338" s="467">
        <v>0</v>
      </c>
    </row>
    <row r="339" spans="2:11" ht="19" customHeight="1">
      <c r="B339" s="464">
        <v>46030</v>
      </c>
      <c r="C339" s="436" t="s">
        <v>247</v>
      </c>
      <c r="D339" s="436" t="s">
        <v>902</v>
      </c>
      <c r="E339" s="436">
        <v>1</v>
      </c>
      <c r="F339" s="467">
        <v>1.95</v>
      </c>
      <c r="G339" s="466">
        <v>1.95</v>
      </c>
      <c r="H339" s="466">
        <f>G339/1.1</f>
        <v>1.7727272727272725</v>
      </c>
      <c r="I339" s="436"/>
      <c r="J339" s="465">
        <v>0</v>
      </c>
      <c r="K339" s="467">
        <v>0</v>
      </c>
    </row>
    <row r="340" spans="2:11" ht="19" customHeight="1">
      <c r="B340" s="464">
        <v>46030</v>
      </c>
      <c r="C340" s="436" t="s">
        <v>328</v>
      </c>
      <c r="D340" s="436" t="s">
        <v>773</v>
      </c>
      <c r="E340" s="436">
        <v>1</v>
      </c>
      <c r="F340" s="467">
        <v>3.1</v>
      </c>
      <c r="G340" s="466">
        <v>3.1</v>
      </c>
      <c r="H340" s="466">
        <f>G340/1.1</f>
        <v>2.8181818181818179</v>
      </c>
      <c r="I340" s="436"/>
      <c r="J340" s="465">
        <v>0</v>
      </c>
      <c r="K340" s="467">
        <v>0</v>
      </c>
    </row>
    <row r="341" spans="2:11" ht="19" customHeight="1">
      <c r="B341" s="464">
        <v>46030</v>
      </c>
      <c r="C341" s="436" t="s">
        <v>862</v>
      </c>
      <c r="D341" s="436" t="s">
        <v>865</v>
      </c>
      <c r="E341" s="436">
        <v>1</v>
      </c>
      <c r="F341" s="467">
        <v>0.05</v>
      </c>
      <c r="G341" s="466">
        <v>0.05</v>
      </c>
      <c r="H341" s="466">
        <f>G341/1.1</f>
        <v>4.5454545454545456E-2</v>
      </c>
      <c r="I341" s="436"/>
      <c r="J341" s="465">
        <v>0</v>
      </c>
      <c r="K341" s="467">
        <v>0</v>
      </c>
    </row>
    <row r="342" spans="2:11" ht="19" customHeight="1">
      <c r="B342" s="464">
        <v>46030</v>
      </c>
      <c r="C342" s="436" t="s">
        <v>247</v>
      </c>
      <c r="D342" s="436" t="s">
        <v>248</v>
      </c>
      <c r="E342" s="436">
        <v>1</v>
      </c>
      <c r="F342" s="467">
        <v>1.5</v>
      </c>
      <c r="G342" s="466">
        <v>1.5</v>
      </c>
      <c r="H342" s="466">
        <f>G342/1.1</f>
        <v>1.3636363636363635</v>
      </c>
      <c r="I342" s="436"/>
      <c r="J342" s="465">
        <v>0</v>
      </c>
      <c r="K342" s="467">
        <v>0</v>
      </c>
    </row>
    <row r="343" spans="2:11" ht="19" customHeight="1">
      <c r="B343" s="464">
        <v>46030</v>
      </c>
      <c r="C343" s="436" t="s">
        <v>247</v>
      </c>
      <c r="D343" s="436" t="s">
        <v>246</v>
      </c>
      <c r="E343" s="436">
        <v>2</v>
      </c>
      <c r="F343" s="467">
        <v>1.7</v>
      </c>
      <c r="G343" s="466">
        <v>3.4</v>
      </c>
      <c r="H343" s="466">
        <f>G343/1.1</f>
        <v>3.0909090909090904</v>
      </c>
      <c r="I343" s="436"/>
      <c r="J343" s="465">
        <v>0</v>
      </c>
      <c r="K343" s="467">
        <v>0</v>
      </c>
    </row>
    <row r="344" spans="2:11" ht="19" customHeight="1">
      <c r="B344" s="464">
        <v>46031</v>
      </c>
      <c r="C344" s="436" t="s">
        <v>254</v>
      </c>
      <c r="D344" s="436" t="s">
        <v>254</v>
      </c>
      <c r="E344" s="436">
        <v>2</v>
      </c>
      <c r="F344" s="465">
        <v>14.9</v>
      </c>
      <c r="G344" s="466">
        <v>29.8</v>
      </c>
      <c r="H344" s="466">
        <f>G344/1.1</f>
        <v>27.09090909090909</v>
      </c>
      <c r="I344" s="436"/>
      <c r="J344" s="465">
        <v>0</v>
      </c>
      <c r="K344" s="467">
        <v>0</v>
      </c>
    </row>
    <row r="345" spans="2:11" ht="19" customHeight="1">
      <c r="B345" s="464">
        <v>46031</v>
      </c>
      <c r="C345" s="436" t="s">
        <v>873</v>
      </c>
      <c r="D345" s="436" t="s">
        <v>911</v>
      </c>
      <c r="E345" s="436">
        <v>1</v>
      </c>
      <c r="F345" s="469"/>
      <c r="G345" s="468" t="s">
        <v>875</v>
      </c>
      <c r="H345" s="466" t="e">
        <f>G345/1.1</f>
        <v>#VALUE!</v>
      </c>
      <c r="I345" s="436"/>
      <c r="J345" s="465">
        <v>0</v>
      </c>
      <c r="K345" s="467">
        <v>0</v>
      </c>
    </row>
    <row r="346" spans="2:11" ht="19" customHeight="1">
      <c r="B346" s="464">
        <v>46031</v>
      </c>
      <c r="C346" s="436" t="s">
        <v>873</v>
      </c>
      <c r="D346" s="436" t="s">
        <v>912</v>
      </c>
      <c r="E346" s="436">
        <v>1</v>
      </c>
      <c r="F346" s="436"/>
      <c r="G346" s="468" t="s">
        <v>875</v>
      </c>
      <c r="H346" s="466" t="e">
        <f>G346/1.1</f>
        <v>#VALUE!</v>
      </c>
      <c r="I346" s="436"/>
      <c r="J346" s="465">
        <v>0</v>
      </c>
      <c r="K346" s="467">
        <v>0</v>
      </c>
    </row>
    <row r="347" spans="2:11" ht="19" customHeight="1">
      <c r="B347" s="464">
        <v>46031</v>
      </c>
      <c r="C347" s="436" t="s">
        <v>877</v>
      </c>
      <c r="D347" s="436" t="s">
        <v>920</v>
      </c>
      <c r="E347" s="436">
        <v>1</v>
      </c>
      <c r="F347" s="467">
        <v>3</v>
      </c>
      <c r="G347" s="466">
        <v>3</v>
      </c>
      <c r="H347" s="466">
        <f>G347/1.1</f>
        <v>2.7272727272727271</v>
      </c>
      <c r="I347" s="436"/>
      <c r="J347" s="465">
        <v>0</v>
      </c>
      <c r="K347" s="467">
        <v>0</v>
      </c>
    </row>
    <row r="348" spans="2:11" ht="19" customHeight="1">
      <c r="B348" s="464">
        <v>46031</v>
      </c>
      <c r="C348" s="436" t="s">
        <v>877</v>
      </c>
      <c r="D348" s="436" t="s">
        <v>918</v>
      </c>
      <c r="E348" s="436">
        <v>1</v>
      </c>
      <c r="F348" s="436"/>
      <c r="G348" s="468" t="s">
        <v>875</v>
      </c>
      <c r="H348" s="466" t="e">
        <f>G348/1.1</f>
        <v>#VALUE!</v>
      </c>
      <c r="I348" s="436"/>
      <c r="J348" s="465">
        <v>0</v>
      </c>
      <c r="K348" s="467">
        <v>0</v>
      </c>
    </row>
    <row r="349" spans="2:11" ht="19" customHeight="1">
      <c r="B349" s="464">
        <v>46031</v>
      </c>
      <c r="C349" s="436" t="s">
        <v>266</v>
      </c>
      <c r="D349" s="436" t="s">
        <v>708</v>
      </c>
      <c r="E349" s="436">
        <v>1</v>
      </c>
      <c r="F349" s="436"/>
      <c r="G349" s="468" t="s">
        <v>875</v>
      </c>
      <c r="H349" s="466" t="e">
        <f>G349/1.1</f>
        <v>#VALUE!</v>
      </c>
      <c r="I349" s="436"/>
      <c r="J349" s="465">
        <v>0</v>
      </c>
      <c r="K349" s="467">
        <v>0</v>
      </c>
    </row>
    <row r="350" spans="2:11" ht="19" customHeight="1">
      <c r="B350" s="464">
        <v>46031</v>
      </c>
      <c r="C350" s="436" t="s">
        <v>266</v>
      </c>
      <c r="D350" s="436" t="s">
        <v>942</v>
      </c>
      <c r="E350" s="436">
        <v>1</v>
      </c>
      <c r="F350" s="436"/>
      <c r="G350" s="468" t="s">
        <v>875</v>
      </c>
      <c r="H350" s="466" t="e">
        <f>G350/1.1</f>
        <v>#VALUE!</v>
      </c>
      <c r="I350" s="436"/>
      <c r="J350" s="465">
        <v>0</v>
      </c>
      <c r="K350" s="467">
        <v>0</v>
      </c>
    </row>
    <row r="351" spans="2:11" ht="19" customHeight="1">
      <c r="B351" s="464">
        <v>46031</v>
      </c>
      <c r="C351" s="436" t="s">
        <v>258</v>
      </c>
      <c r="D351" s="436" t="s">
        <v>883</v>
      </c>
      <c r="E351" s="436">
        <v>1</v>
      </c>
      <c r="F351" s="436"/>
      <c r="G351" s="468" t="s">
        <v>875</v>
      </c>
      <c r="H351" s="466" t="e">
        <f>G351/1.1</f>
        <v>#VALUE!</v>
      </c>
      <c r="I351" s="436"/>
      <c r="J351" s="465">
        <v>0</v>
      </c>
      <c r="K351" s="467">
        <v>0</v>
      </c>
    </row>
    <row r="352" spans="2:11" ht="19" customHeight="1">
      <c r="B352" s="464">
        <v>46031</v>
      </c>
      <c r="C352" s="436" t="s">
        <v>258</v>
      </c>
      <c r="D352" s="436" t="s">
        <v>943</v>
      </c>
      <c r="E352" s="436">
        <v>1</v>
      </c>
      <c r="F352" s="436"/>
      <c r="G352" s="468" t="s">
        <v>875</v>
      </c>
      <c r="H352" s="466" t="e">
        <f>G352/1.1</f>
        <v>#VALUE!</v>
      </c>
      <c r="I352" s="436"/>
      <c r="J352" s="465">
        <v>0</v>
      </c>
      <c r="K352" s="467">
        <v>0</v>
      </c>
    </row>
    <row r="353" spans="2:11" ht="19" customHeight="1">
      <c r="B353" s="464">
        <v>46031</v>
      </c>
      <c r="C353" s="436" t="s">
        <v>254</v>
      </c>
      <c r="D353" s="436" t="s">
        <v>254</v>
      </c>
      <c r="E353" s="436">
        <v>2</v>
      </c>
      <c r="F353" s="467">
        <v>14.9</v>
      </c>
      <c r="G353" s="466">
        <v>29.8</v>
      </c>
      <c r="H353" s="466">
        <f>G353/1.1</f>
        <v>27.09090909090909</v>
      </c>
      <c r="I353" s="436"/>
      <c r="J353" s="465">
        <v>0</v>
      </c>
      <c r="K353" s="467">
        <v>0</v>
      </c>
    </row>
    <row r="354" spans="2:11" ht="19" customHeight="1">
      <c r="B354" s="464">
        <v>46031</v>
      </c>
      <c r="C354" s="436" t="s">
        <v>873</v>
      </c>
      <c r="D354" s="436" t="s">
        <v>911</v>
      </c>
      <c r="E354" s="436">
        <v>1</v>
      </c>
      <c r="F354" s="436"/>
      <c r="G354" s="468" t="s">
        <v>875</v>
      </c>
      <c r="H354" s="466" t="e">
        <f>G354/1.1</f>
        <v>#VALUE!</v>
      </c>
      <c r="I354" s="436"/>
      <c r="J354" s="465">
        <v>0</v>
      </c>
      <c r="K354" s="467">
        <v>0</v>
      </c>
    </row>
    <row r="355" spans="2:11" ht="19" customHeight="1">
      <c r="B355" s="464">
        <v>46031</v>
      </c>
      <c r="C355" s="436" t="s">
        <v>873</v>
      </c>
      <c r="D355" s="436" t="s">
        <v>912</v>
      </c>
      <c r="E355" s="436">
        <v>1</v>
      </c>
      <c r="F355" s="436"/>
      <c r="G355" s="468" t="s">
        <v>875</v>
      </c>
      <c r="H355" s="466" t="e">
        <f>G355/1.1</f>
        <v>#VALUE!</v>
      </c>
      <c r="I355" s="436"/>
      <c r="J355" s="465">
        <v>0</v>
      </c>
      <c r="K355" s="467">
        <v>0</v>
      </c>
    </row>
    <row r="356" spans="2:11" ht="19" customHeight="1">
      <c r="B356" s="464">
        <v>46031</v>
      </c>
      <c r="C356" s="436" t="s">
        <v>877</v>
      </c>
      <c r="D356" s="436" t="s">
        <v>915</v>
      </c>
      <c r="E356" s="436">
        <v>1</v>
      </c>
      <c r="F356" s="436"/>
      <c r="G356" s="468" t="s">
        <v>875</v>
      </c>
      <c r="H356" s="466" t="e">
        <f>G356/1.1</f>
        <v>#VALUE!</v>
      </c>
      <c r="I356" s="436"/>
      <c r="J356" s="465">
        <v>0</v>
      </c>
      <c r="K356" s="467">
        <v>0</v>
      </c>
    </row>
    <row r="357" spans="2:11" ht="19" customHeight="1">
      <c r="B357" s="464">
        <v>46031</v>
      </c>
      <c r="C357" s="436" t="s">
        <v>873</v>
      </c>
      <c r="D357" s="436" t="s">
        <v>916</v>
      </c>
      <c r="E357" s="436">
        <v>1</v>
      </c>
      <c r="F357" s="436"/>
      <c r="G357" s="468" t="s">
        <v>875</v>
      </c>
      <c r="H357" s="466" t="e">
        <f>G357/1.1</f>
        <v>#VALUE!</v>
      </c>
      <c r="I357" s="436"/>
      <c r="J357" s="465">
        <v>0</v>
      </c>
      <c r="K357" s="467">
        <v>0</v>
      </c>
    </row>
    <row r="358" spans="2:11" ht="19" customHeight="1">
      <c r="B358" s="464">
        <v>46031</v>
      </c>
      <c r="C358" s="436" t="s">
        <v>266</v>
      </c>
      <c r="D358" s="436" t="s">
        <v>250</v>
      </c>
      <c r="E358" s="436">
        <v>2</v>
      </c>
      <c r="F358" s="436"/>
      <c r="G358" s="468" t="s">
        <v>875</v>
      </c>
      <c r="H358" s="466" t="e">
        <f>G358/1.1</f>
        <v>#VALUE!</v>
      </c>
      <c r="I358" s="436"/>
      <c r="J358" s="465">
        <v>0</v>
      </c>
      <c r="K358" s="467">
        <v>0</v>
      </c>
    </row>
    <row r="359" spans="2:11" ht="19" customHeight="1">
      <c r="B359" s="464">
        <v>46031</v>
      </c>
      <c r="C359" s="436" t="s">
        <v>258</v>
      </c>
      <c r="D359" s="436" t="s">
        <v>883</v>
      </c>
      <c r="E359" s="436">
        <v>1</v>
      </c>
      <c r="F359" s="436"/>
      <c r="G359" s="468" t="s">
        <v>875</v>
      </c>
      <c r="H359" s="466" t="e">
        <f>G359/1.1</f>
        <v>#VALUE!</v>
      </c>
      <c r="I359" s="436"/>
      <c r="J359" s="465">
        <v>0</v>
      </c>
      <c r="K359" s="467">
        <v>0</v>
      </c>
    </row>
    <row r="360" spans="2:11" ht="19" customHeight="1">
      <c r="B360" s="464">
        <v>46031</v>
      </c>
      <c r="C360" s="436" t="s">
        <v>258</v>
      </c>
      <c r="D360" s="436" t="s">
        <v>944</v>
      </c>
      <c r="E360" s="436">
        <v>1</v>
      </c>
      <c r="F360" s="436"/>
      <c r="G360" s="468" t="s">
        <v>875</v>
      </c>
      <c r="H360" s="466" t="e">
        <f>G360/1.1</f>
        <v>#VALUE!</v>
      </c>
      <c r="I360" s="436"/>
      <c r="J360" s="465">
        <v>0</v>
      </c>
      <c r="K360" s="467">
        <v>0</v>
      </c>
    </row>
    <row r="361" spans="2:11" ht="19" customHeight="1">
      <c r="B361" s="464">
        <v>46031</v>
      </c>
      <c r="C361" s="436" t="s">
        <v>247</v>
      </c>
      <c r="D361" s="436" t="s">
        <v>246</v>
      </c>
      <c r="E361" s="436">
        <v>3</v>
      </c>
      <c r="F361" s="467">
        <v>1.7</v>
      </c>
      <c r="G361" s="466">
        <v>5.0999999999999996</v>
      </c>
      <c r="H361" s="466">
        <f>G361/1.1</f>
        <v>4.6363636363636358</v>
      </c>
      <c r="I361" s="436"/>
      <c r="J361" s="465">
        <v>0</v>
      </c>
      <c r="K361" s="467">
        <v>0</v>
      </c>
    </row>
    <row r="362" spans="2:11" ht="19" customHeight="1">
      <c r="B362" s="464">
        <v>46031</v>
      </c>
      <c r="C362" s="436" t="s">
        <v>862</v>
      </c>
      <c r="D362" s="436" t="s">
        <v>899</v>
      </c>
      <c r="E362" s="436">
        <v>2</v>
      </c>
      <c r="F362" s="467">
        <v>0.05</v>
      </c>
      <c r="G362" s="466">
        <v>0.1</v>
      </c>
      <c r="H362" s="466">
        <f>G362/1.1</f>
        <v>9.0909090909090912E-2</v>
      </c>
      <c r="I362" s="436"/>
      <c r="J362" s="465">
        <v>0</v>
      </c>
      <c r="K362" s="467">
        <v>0</v>
      </c>
    </row>
    <row r="363" spans="2:11" ht="19" customHeight="1">
      <c r="B363" s="464">
        <v>46031</v>
      </c>
      <c r="C363" s="436" t="s">
        <v>264</v>
      </c>
      <c r="D363" s="436" t="s">
        <v>930</v>
      </c>
      <c r="E363" s="436">
        <v>1</v>
      </c>
      <c r="F363" s="467">
        <v>3.5</v>
      </c>
      <c r="G363" s="466">
        <v>3.5</v>
      </c>
      <c r="H363" s="466">
        <f>G363/1.1</f>
        <v>3.1818181818181817</v>
      </c>
      <c r="I363" s="436"/>
      <c r="J363" s="465">
        <v>0</v>
      </c>
      <c r="K363" s="467">
        <v>0</v>
      </c>
    </row>
    <row r="364" spans="2:11" ht="19" customHeight="1">
      <c r="B364" s="464">
        <v>46031</v>
      </c>
      <c r="C364" s="436" t="s">
        <v>256</v>
      </c>
      <c r="D364" s="436" t="s">
        <v>675</v>
      </c>
      <c r="E364" s="436">
        <v>3</v>
      </c>
      <c r="F364" s="467">
        <v>5.25</v>
      </c>
      <c r="G364" s="466">
        <v>15.75</v>
      </c>
      <c r="H364" s="466">
        <f>G364/1.1</f>
        <v>14.318181818181817</v>
      </c>
      <c r="I364" s="436"/>
      <c r="J364" s="465">
        <v>0</v>
      </c>
      <c r="K364" s="467">
        <v>0</v>
      </c>
    </row>
    <row r="365" spans="2:11" ht="19" customHeight="1">
      <c r="B365" s="464">
        <v>46031</v>
      </c>
      <c r="C365" s="436" t="s">
        <v>268</v>
      </c>
      <c r="D365" s="436" t="s">
        <v>860</v>
      </c>
      <c r="E365" s="436">
        <v>1</v>
      </c>
      <c r="F365" s="467">
        <v>2.25</v>
      </c>
      <c r="G365" s="466">
        <v>2.25</v>
      </c>
      <c r="H365" s="466">
        <f>G365/1.1</f>
        <v>2.0454545454545454</v>
      </c>
      <c r="I365" s="436"/>
      <c r="J365" s="465">
        <v>0</v>
      </c>
      <c r="K365" s="467">
        <v>0</v>
      </c>
    </row>
    <row r="366" spans="2:11" ht="19" customHeight="1">
      <c r="B366" s="464">
        <v>46031</v>
      </c>
      <c r="C366" s="436" t="s">
        <v>247</v>
      </c>
      <c r="D366" s="436" t="s">
        <v>257</v>
      </c>
      <c r="E366" s="436">
        <v>1</v>
      </c>
      <c r="F366" s="467">
        <v>1.4</v>
      </c>
      <c r="G366" s="466">
        <v>1.4</v>
      </c>
      <c r="H366" s="466">
        <f>G366/1.1</f>
        <v>1.2727272727272725</v>
      </c>
      <c r="I366" s="436"/>
      <c r="J366" s="465">
        <v>0</v>
      </c>
      <c r="K366" s="467">
        <v>0</v>
      </c>
    </row>
    <row r="367" spans="2:11" ht="19" customHeight="1">
      <c r="B367" s="464">
        <v>46031</v>
      </c>
      <c r="C367" s="436" t="s">
        <v>247</v>
      </c>
      <c r="D367" s="436" t="s">
        <v>248</v>
      </c>
      <c r="E367" s="436">
        <v>2</v>
      </c>
      <c r="F367" s="467">
        <v>1.5</v>
      </c>
      <c r="G367" s="466">
        <v>3</v>
      </c>
      <c r="H367" s="466">
        <f>G367/1.1</f>
        <v>2.7272727272727271</v>
      </c>
      <c r="I367" s="436"/>
      <c r="J367" s="465">
        <v>0</v>
      </c>
      <c r="K367" s="467">
        <v>0</v>
      </c>
    </row>
    <row r="368" spans="2:11" ht="19" customHeight="1">
      <c r="B368" s="464">
        <v>46031</v>
      </c>
      <c r="C368" s="436" t="s">
        <v>894</v>
      </c>
      <c r="D368" s="436" t="s">
        <v>896</v>
      </c>
      <c r="E368" s="436">
        <v>1</v>
      </c>
      <c r="F368" s="467">
        <v>5.75</v>
      </c>
      <c r="G368" s="466">
        <v>5.75</v>
      </c>
      <c r="H368" s="466">
        <f>G368/1.1</f>
        <v>5.2272727272727266</v>
      </c>
      <c r="I368" s="436"/>
      <c r="J368" s="465">
        <v>0</v>
      </c>
      <c r="K368" s="467">
        <v>0</v>
      </c>
    </row>
    <row r="369" spans="2:11" ht="19" customHeight="1">
      <c r="B369" s="464">
        <v>46031</v>
      </c>
      <c r="C369" s="436" t="s">
        <v>264</v>
      </c>
      <c r="D369" s="436" t="s">
        <v>897</v>
      </c>
      <c r="E369" s="436">
        <v>1</v>
      </c>
      <c r="F369" s="467">
        <v>0.75</v>
      </c>
      <c r="G369" s="466">
        <v>0.75</v>
      </c>
      <c r="H369" s="466">
        <f>G369/1.1</f>
        <v>0.68181818181818177</v>
      </c>
      <c r="I369" s="436"/>
      <c r="J369" s="465">
        <v>0</v>
      </c>
      <c r="K369" s="467">
        <v>0</v>
      </c>
    </row>
    <row r="370" spans="2:11" ht="19" customHeight="1">
      <c r="B370" s="464">
        <v>46031</v>
      </c>
      <c r="C370" s="436" t="s">
        <v>247</v>
      </c>
      <c r="D370" s="436" t="s">
        <v>257</v>
      </c>
      <c r="E370" s="436">
        <v>1</v>
      </c>
      <c r="F370" s="467">
        <v>1.4</v>
      </c>
      <c r="G370" s="466">
        <v>1.4</v>
      </c>
      <c r="H370" s="466">
        <f>G370/1.1</f>
        <v>1.2727272727272725</v>
      </c>
      <c r="I370" s="436"/>
      <c r="J370" s="465">
        <v>0</v>
      </c>
      <c r="K370" s="467">
        <v>0</v>
      </c>
    </row>
    <row r="371" spans="2:11" ht="19" customHeight="1">
      <c r="B371" s="464">
        <v>46031</v>
      </c>
      <c r="C371" s="436" t="s">
        <v>251</v>
      </c>
      <c r="D371" s="436" t="s">
        <v>945</v>
      </c>
      <c r="E371" s="436">
        <v>1</v>
      </c>
      <c r="F371" s="467">
        <v>2.65</v>
      </c>
      <c r="G371" s="466">
        <v>2.65</v>
      </c>
      <c r="H371" s="466">
        <f>G371/1.1</f>
        <v>2.4090909090909087</v>
      </c>
      <c r="I371" s="436"/>
      <c r="J371" s="465">
        <v>0</v>
      </c>
      <c r="K371" s="467">
        <v>0</v>
      </c>
    </row>
    <row r="372" spans="2:11" ht="19" customHeight="1">
      <c r="B372" s="464">
        <v>46031</v>
      </c>
      <c r="C372" s="436" t="s">
        <v>253</v>
      </c>
      <c r="D372" s="436" t="s">
        <v>869</v>
      </c>
      <c r="E372" s="436">
        <v>1</v>
      </c>
      <c r="F372" s="467">
        <v>2.5</v>
      </c>
      <c r="G372" s="466">
        <v>2.5</v>
      </c>
      <c r="H372" s="466">
        <f>G372/1.1</f>
        <v>2.2727272727272725</v>
      </c>
      <c r="I372" s="436"/>
      <c r="J372" s="465">
        <v>0</v>
      </c>
      <c r="K372" s="467">
        <v>0</v>
      </c>
    </row>
    <row r="373" spans="2:11" ht="19" customHeight="1">
      <c r="B373" s="464">
        <v>46031</v>
      </c>
      <c r="C373" s="436" t="s">
        <v>894</v>
      </c>
      <c r="D373" s="436" t="s">
        <v>946</v>
      </c>
      <c r="E373" s="436">
        <v>1</v>
      </c>
      <c r="F373" s="467">
        <v>6.4</v>
      </c>
      <c r="G373" s="466">
        <v>6.4</v>
      </c>
      <c r="H373" s="466">
        <f>G373/1.1</f>
        <v>5.8181818181818183</v>
      </c>
      <c r="I373" s="436"/>
      <c r="J373" s="465">
        <v>0</v>
      </c>
      <c r="K373" s="467">
        <v>0</v>
      </c>
    </row>
    <row r="374" spans="2:11" ht="19" customHeight="1">
      <c r="B374" s="464">
        <v>46031</v>
      </c>
      <c r="C374" s="436" t="s">
        <v>264</v>
      </c>
      <c r="D374" s="436" t="s">
        <v>947</v>
      </c>
      <c r="E374" s="436">
        <v>1</v>
      </c>
      <c r="F374" s="467">
        <v>2</v>
      </c>
      <c r="G374" s="466">
        <v>2</v>
      </c>
      <c r="H374" s="466">
        <f>G374/1.1</f>
        <v>1.8181818181818181</v>
      </c>
      <c r="I374" s="436"/>
      <c r="J374" s="465">
        <v>0</v>
      </c>
      <c r="K374" s="467">
        <v>0</v>
      </c>
    </row>
    <row r="375" spans="2:11" ht="19" customHeight="1">
      <c r="B375" s="464">
        <v>46031</v>
      </c>
      <c r="C375" s="436" t="s">
        <v>264</v>
      </c>
      <c r="D375" s="436" t="s">
        <v>930</v>
      </c>
      <c r="E375" s="436">
        <v>1</v>
      </c>
      <c r="F375" s="467">
        <v>3.5</v>
      </c>
      <c r="G375" s="466">
        <v>3.5</v>
      </c>
      <c r="H375" s="466">
        <f>G375/1.1</f>
        <v>3.1818181818181817</v>
      </c>
      <c r="I375" s="436"/>
      <c r="J375" s="465">
        <v>0</v>
      </c>
      <c r="K375" s="467">
        <v>0</v>
      </c>
    </row>
    <row r="376" spans="2:11" ht="19" customHeight="1">
      <c r="B376" s="464">
        <v>46031</v>
      </c>
      <c r="C376" s="436" t="s">
        <v>948</v>
      </c>
      <c r="D376" s="436" t="s">
        <v>949</v>
      </c>
      <c r="E376" s="436">
        <v>1</v>
      </c>
      <c r="F376" s="467">
        <v>7.7</v>
      </c>
      <c r="G376" s="466">
        <v>7.7</v>
      </c>
      <c r="H376" s="466">
        <f>G376/1.1</f>
        <v>7</v>
      </c>
      <c r="I376" s="436"/>
      <c r="J376" s="465">
        <v>0</v>
      </c>
      <c r="K376" s="467">
        <v>0</v>
      </c>
    </row>
    <row r="377" spans="2:11" ht="19" customHeight="1">
      <c r="B377" s="464">
        <v>46031</v>
      </c>
      <c r="C377" s="436" t="s">
        <v>256</v>
      </c>
      <c r="D377" s="436" t="s">
        <v>751</v>
      </c>
      <c r="E377" s="436">
        <v>1</v>
      </c>
      <c r="F377" s="467">
        <v>7.9</v>
      </c>
      <c r="G377" s="466">
        <v>7.9</v>
      </c>
      <c r="H377" s="466">
        <f>G377/1.1</f>
        <v>7.1818181818181817</v>
      </c>
      <c r="I377" s="436"/>
      <c r="J377" s="465">
        <v>0</v>
      </c>
      <c r="K377" s="467">
        <v>0</v>
      </c>
    </row>
    <row r="378" spans="2:11" ht="19" customHeight="1">
      <c r="B378" s="464">
        <v>46031</v>
      </c>
      <c r="C378" s="436" t="s">
        <v>256</v>
      </c>
      <c r="D378" s="436" t="s">
        <v>912</v>
      </c>
      <c r="E378" s="436">
        <v>1</v>
      </c>
      <c r="F378" s="467">
        <v>5.25</v>
      </c>
      <c r="G378" s="466">
        <v>5.25</v>
      </c>
      <c r="H378" s="466">
        <f>G378/1.1</f>
        <v>4.7727272727272725</v>
      </c>
      <c r="I378" s="436"/>
      <c r="J378" s="465">
        <v>0</v>
      </c>
      <c r="K378" s="467">
        <v>0</v>
      </c>
    </row>
    <row r="379" spans="2:11" ht="19" customHeight="1">
      <c r="B379" s="464">
        <v>46031</v>
      </c>
      <c r="C379" s="436" t="s">
        <v>247</v>
      </c>
      <c r="D379" s="436" t="s">
        <v>257</v>
      </c>
      <c r="E379" s="436">
        <v>1</v>
      </c>
      <c r="F379" s="467">
        <v>1.4</v>
      </c>
      <c r="G379" s="466">
        <v>1.4</v>
      </c>
      <c r="H379" s="466">
        <f>G379/1.1</f>
        <v>1.2727272727272725</v>
      </c>
      <c r="I379" s="436"/>
      <c r="J379" s="465">
        <v>0</v>
      </c>
      <c r="K379" s="467">
        <v>0</v>
      </c>
    </row>
    <row r="380" spans="2:11" ht="19" customHeight="1">
      <c r="B380" s="464">
        <v>46031</v>
      </c>
      <c r="C380" s="436" t="s">
        <v>251</v>
      </c>
      <c r="D380" s="436" t="s">
        <v>854</v>
      </c>
      <c r="E380" s="436">
        <v>1</v>
      </c>
      <c r="F380" s="467">
        <v>1.55</v>
      </c>
      <c r="G380" s="466">
        <v>1.55</v>
      </c>
      <c r="H380" s="466">
        <f>G380/1.1</f>
        <v>1.4090909090909089</v>
      </c>
      <c r="I380" s="436"/>
      <c r="J380" s="465">
        <v>0</v>
      </c>
      <c r="K380" s="467">
        <v>0</v>
      </c>
    </row>
    <row r="381" spans="2:11" ht="19" customHeight="1">
      <c r="B381" s="464">
        <v>46031</v>
      </c>
      <c r="C381" s="436" t="s">
        <v>247</v>
      </c>
      <c r="D381" s="436" t="s">
        <v>246</v>
      </c>
      <c r="E381" s="436">
        <v>1</v>
      </c>
      <c r="F381" s="467">
        <v>1.7</v>
      </c>
      <c r="G381" s="466">
        <v>1.7</v>
      </c>
      <c r="H381" s="466">
        <f>G381/1.1</f>
        <v>1.5454545454545452</v>
      </c>
      <c r="I381" s="436"/>
      <c r="J381" s="465">
        <v>0</v>
      </c>
      <c r="K381" s="467">
        <v>0</v>
      </c>
    </row>
    <row r="382" spans="2:11" ht="19" customHeight="1">
      <c r="B382" s="464">
        <v>46031</v>
      </c>
      <c r="C382" s="436" t="s">
        <v>328</v>
      </c>
      <c r="D382" s="436" t="s">
        <v>776</v>
      </c>
      <c r="E382" s="436">
        <v>1</v>
      </c>
      <c r="F382" s="467">
        <v>8.9</v>
      </c>
      <c r="G382" s="466">
        <v>8.9</v>
      </c>
      <c r="H382" s="466">
        <f>G382/1.1</f>
        <v>8.0909090909090899</v>
      </c>
      <c r="I382" s="436"/>
      <c r="J382" s="465">
        <v>0</v>
      </c>
      <c r="K382" s="467">
        <v>0</v>
      </c>
    </row>
    <row r="383" spans="2:11" ht="19" customHeight="1">
      <c r="B383" s="464">
        <v>46031</v>
      </c>
      <c r="C383" s="436" t="s">
        <v>247</v>
      </c>
      <c r="D383" s="436" t="s">
        <v>246</v>
      </c>
      <c r="E383" s="436">
        <v>1</v>
      </c>
      <c r="F383" s="467">
        <v>1.7</v>
      </c>
      <c r="G383" s="466">
        <v>1.7</v>
      </c>
      <c r="H383" s="466">
        <f>G383/1.1</f>
        <v>1.5454545454545452</v>
      </c>
      <c r="I383" s="436"/>
      <c r="J383" s="465">
        <v>0</v>
      </c>
      <c r="K383" s="467">
        <v>0</v>
      </c>
    </row>
    <row r="384" spans="2:11" ht="19" customHeight="1">
      <c r="B384" s="464">
        <v>46031</v>
      </c>
      <c r="C384" s="436" t="s">
        <v>894</v>
      </c>
      <c r="D384" s="436" t="s">
        <v>895</v>
      </c>
      <c r="E384" s="436">
        <v>1</v>
      </c>
      <c r="F384" s="467">
        <v>7.1</v>
      </c>
      <c r="G384" s="466">
        <v>7.1</v>
      </c>
      <c r="H384" s="466">
        <f>G384/1.1</f>
        <v>6.4545454545454541</v>
      </c>
      <c r="I384" s="436"/>
      <c r="J384" s="465">
        <v>0</v>
      </c>
      <c r="K384" s="467">
        <v>0</v>
      </c>
    </row>
    <row r="385" spans="2:11" ht="19" customHeight="1">
      <c r="B385" s="464">
        <v>46031</v>
      </c>
      <c r="C385" s="436" t="s">
        <v>894</v>
      </c>
      <c r="D385" s="436" t="s">
        <v>950</v>
      </c>
      <c r="E385" s="436">
        <v>1</v>
      </c>
      <c r="F385" s="467">
        <v>5.7</v>
      </c>
      <c r="G385" s="466">
        <v>5.7</v>
      </c>
      <c r="H385" s="466">
        <f>G385/1.1</f>
        <v>5.1818181818181817</v>
      </c>
      <c r="I385" s="436"/>
      <c r="J385" s="465">
        <v>0</v>
      </c>
      <c r="K385" s="467">
        <v>0</v>
      </c>
    </row>
    <row r="386" spans="2:11" ht="19" customHeight="1">
      <c r="B386" s="464">
        <v>46031</v>
      </c>
      <c r="C386" s="436" t="s">
        <v>328</v>
      </c>
      <c r="D386" s="436" t="s">
        <v>735</v>
      </c>
      <c r="E386" s="436">
        <v>1</v>
      </c>
      <c r="F386" s="467">
        <v>3.1</v>
      </c>
      <c r="G386" s="466">
        <v>3.1</v>
      </c>
      <c r="H386" s="466">
        <f>G386/1.1</f>
        <v>2.8181818181818179</v>
      </c>
      <c r="I386" s="436"/>
      <c r="J386" s="465">
        <v>0</v>
      </c>
      <c r="K386" s="467">
        <v>0</v>
      </c>
    </row>
    <row r="387" spans="2:11" ht="19" customHeight="1">
      <c r="B387" s="464">
        <v>46031</v>
      </c>
      <c r="C387" s="436" t="s">
        <v>862</v>
      </c>
      <c r="D387" s="436" t="s">
        <v>865</v>
      </c>
      <c r="E387" s="436">
        <v>1</v>
      </c>
      <c r="F387" s="467">
        <v>0.05</v>
      </c>
      <c r="G387" s="466">
        <v>0.05</v>
      </c>
      <c r="H387" s="466">
        <f>G387/1.1</f>
        <v>4.5454545454545456E-2</v>
      </c>
      <c r="I387" s="436"/>
      <c r="J387" s="465">
        <v>0</v>
      </c>
      <c r="K387" s="467">
        <v>0</v>
      </c>
    </row>
    <row r="388" spans="2:11" ht="19" customHeight="1">
      <c r="B388" s="464">
        <v>46031</v>
      </c>
      <c r="C388" s="436" t="s">
        <v>247</v>
      </c>
      <c r="D388" s="436" t="s">
        <v>248</v>
      </c>
      <c r="E388" s="436">
        <v>1</v>
      </c>
      <c r="F388" s="467">
        <v>1.5</v>
      </c>
      <c r="G388" s="466">
        <v>1.5</v>
      </c>
      <c r="H388" s="466">
        <f>G388/1.1</f>
        <v>1.3636363636363635</v>
      </c>
      <c r="I388" s="436"/>
      <c r="J388" s="465">
        <v>0</v>
      </c>
      <c r="K388" s="467">
        <v>0</v>
      </c>
    </row>
    <row r="389" spans="2:11" ht="19" customHeight="1">
      <c r="B389" s="464">
        <v>46031</v>
      </c>
      <c r="C389" s="436" t="s">
        <v>247</v>
      </c>
      <c r="D389" s="436" t="s">
        <v>248</v>
      </c>
      <c r="E389" s="436">
        <v>1</v>
      </c>
      <c r="F389" s="465">
        <v>1.5</v>
      </c>
      <c r="G389" s="466">
        <v>1.5</v>
      </c>
      <c r="H389" s="466">
        <f>G389/1.1</f>
        <v>1.3636363636363635</v>
      </c>
      <c r="I389" s="436"/>
      <c r="J389" s="465">
        <v>0</v>
      </c>
      <c r="K389" s="467">
        <v>0</v>
      </c>
    </row>
    <row r="390" spans="2:11" ht="19" customHeight="1">
      <c r="B390" s="464">
        <v>46031</v>
      </c>
      <c r="C390" s="436" t="s">
        <v>268</v>
      </c>
      <c r="D390" s="436" t="s">
        <v>858</v>
      </c>
      <c r="E390" s="436">
        <v>1</v>
      </c>
      <c r="F390" s="465">
        <v>0.65</v>
      </c>
      <c r="G390" s="466">
        <v>0.65</v>
      </c>
      <c r="H390" s="466">
        <f>G390/1.1</f>
        <v>0.59090909090909083</v>
      </c>
      <c r="I390" s="436"/>
      <c r="J390" s="465">
        <v>0</v>
      </c>
      <c r="K390" s="467">
        <v>0</v>
      </c>
    </row>
    <row r="391" spans="2:11" ht="19" customHeight="1">
      <c r="B391" s="464">
        <v>46031</v>
      </c>
      <c r="C391" s="436" t="s">
        <v>247</v>
      </c>
      <c r="D391" s="436" t="s">
        <v>248</v>
      </c>
      <c r="E391" s="436">
        <v>1</v>
      </c>
      <c r="F391" s="465">
        <v>1.5</v>
      </c>
      <c r="G391" s="466">
        <v>1.5</v>
      </c>
      <c r="H391" s="466">
        <f>G391/1.1</f>
        <v>1.3636363636363635</v>
      </c>
      <c r="I391" s="436"/>
      <c r="J391" s="465">
        <v>0</v>
      </c>
      <c r="K391" s="467">
        <v>0</v>
      </c>
    </row>
    <row r="392" spans="2:11" ht="19" customHeight="1">
      <c r="B392" s="464">
        <v>46031</v>
      </c>
      <c r="C392" s="436" t="s">
        <v>247</v>
      </c>
      <c r="D392" s="436" t="s">
        <v>248</v>
      </c>
      <c r="E392" s="436">
        <v>1</v>
      </c>
      <c r="F392" s="465">
        <v>1.5</v>
      </c>
      <c r="G392" s="466">
        <v>1.5</v>
      </c>
      <c r="H392" s="466">
        <f>G392/1.1</f>
        <v>1.3636363636363635</v>
      </c>
      <c r="I392" s="436"/>
      <c r="J392" s="465">
        <v>0</v>
      </c>
      <c r="K392" s="467">
        <v>0</v>
      </c>
    </row>
    <row r="393" spans="2:11" ht="19" customHeight="1">
      <c r="B393" s="464">
        <v>46031</v>
      </c>
      <c r="C393" s="436" t="s">
        <v>247</v>
      </c>
      <c r="D393" s="436" t="s">
        <v>710</v>
      </c>
      <c r="E393" s="436">
        <v>1</v>
      </c>
      <c r="F393" s="465">
        <v>2.65</v>
      </c>
      <c r="G393" s="466">
        <v>2.65</v>
      </c>
      <c r="H393" s="466">
        <f>G393/1.1</f>
        <v>2.4090909090909087</v>
      </c>
      <c r="I393" s="436"/>
      <c r="J393" s="465">
        <v>0</v>
      </c>
      <c r="K393" s="467">
        <v>0</v>
      </c>
    </row>
    <row r="394" spans="2:11" ht="19" customHeight="1">
      <c r="B394" s="464">
        <v>46031</v>
      </c>
      <c r="C394" s="436" t="s">
        <v>247</v>
      </c>
      <c r="D394" s="436" t="s">
        <v>246</v>
      </c>
      <c r="E394" s="436">
        <v>2</v>
      </c>
      <c r="F394" s="465">
        <v>1.7</v>
      </c>
      <c r="G394" s="466">
        <v>3.4</v>
      </c>
      <c r="H394" s="466">
        <f>G394/1.1</f>
        <v>3.0909090909090904</v>
      </c>
      <c r="I394" s="436"/>
      <c r="J394" s="465">
        <v>0</v>
      </c>
      <c r="K394" s="467">
        <v>0</v>
      </c>
    </row>
    <row r="395" spans="2:11" ht="19" customHeight="1">
      <c r="B395" s="464">
        <v>46031</v>
      </c>
      <c r="C395" s="436" t="s">
        <v>275</v>
      </c>
      <c r="D395" s="436" t="s">
        <v>951</v>
      </c>
      <c r="E395" s="436">
        <v>1</v>
      </c>
      <c r="F395" s="465">
        <v>4.75</v>
      </c>
      <c r="G395" s="466">
        <v>4.75</v>
      </c>
      <c r="H395" s="466">
        <f>G395/1.1</f>
        <v>4.3181818181818175</v>
      </c>
      <c r="I395" s="436"/>
      <c r="J395" s="465">
        <v>0</v>
      </c>
      <c r="K395" s="467">
        <v>0</v>
      </c>
    </row>
    <row r="396" spans="2:11" ht="19" customHeight="1">
      <c r="B396" s="464">
        <v>46031</v>
      </c>
      <c r="C396" s="436" t="s">
        <v>251</v>
      </c>
      <c r="D396" s="436" t="s">
        <v>250</v>
      </c>
      <c r="E396" s="436">
        <v>2</v>
      </c>
      <c r="F396" s="465">
        <v>1.8</v>
      </c>
      <c r="G396" s="466">
        <v>3.6</v>
      </c>
      <c r="H396" s="466">
        <f>G396/1.1</f>
        <v>3.2727272727272725</v>
      </c>
      <c r="I396" s="436"/>
      <c r="J396" s="465">
        <v>0</v>
      </c>
      <c r="K396" s="467">
        <v>0</v>
      </c>
    </row>
    <row r="397" spans="2:11" ht="19" customHeight="1">
      <c r="B397" s="464">
        <v>46031</v>
      </c>
      <c r="C397" s="436" t="s">
        <v>264</v>
      </c>
      <c r="D397" s="436" t="s">
        <v>930</v>
      </c>
      <c r="E397" s="436">
        <v>1</v>
      </c>
      <c r="F397" s="465">
        <v>3.5</v>
      </c>
      <c r="G397" s="466">
        <v>3.5</v>
      </c>
      <c r="H397" s="466">
        <f>G397/1.1</f>
        <v>3.1818181818181817</v>
      </c>
      <c r="I397" s="436"/>
      <c r="J397" s="465">
        <v>0</v>
      </c>
      <c r="K397" s="467">
        <v>0</v>
      </c>
    </row>
    <row r="398" spans="2:11" ht="19" customHeight="1">
      <c r="B398" s="464">
        <v>46031</v>
      </c>
      <c r="C398" s="436" t="s">
        <v>256</v>
      </c>
      <c r="D398" s="436" t="s">
        <v>952</v>
      </c>
      <c r="E398" s="436">
        <v>2</v>
      </c>
      <c r="F398" s="465">
        <v>7.25</v>
      </c>
      <c r="G398" s="466">
        <v>14.5</v>
      </c>
      <c r="H398" s="466">
        <f>G398/1.1</f>
        <v>13.18181818181818</v>
      </c>
      <c r="I398" s="436"/>
      <c r="J398" s="465">
        <v>0</v>
      </c>
      <c r="K398" s="467">
        <v>0</v>
      </c>
    </row>
    <row r="399" spans="2:11" ht="19" customHeight="1">
      <c r="B399" s="464">
        <v>46031</v>
      </c>
      <c r="C399" s="436" t="s">
        <v>256</v>
      </c>
      <c r="D399" s="436" t="s">
        <v>931</v>
      </c>
      <c r="E399" s="436">
        <v>2</v>
      </c>
      <c r="F399" s="465">
        <v>1.65</v>
      </c>
      <c r="G399" s="466">
        <v>3.3</v>
      </c>
      <c r="H399" s="466">
        <f>G399/1.1</f>
        <v>2.9999999999999996</v>
      </c>
      <c r="I399" s="436"/>
      <c r="J399" s="465">
        <v>0</v>
      </c>
      <c r="K399" s="467">
        <v>0</v>
      </c>
    </row>
    <row r="400" spans="2:11" ht="19" customHeight="1">
      <c r="B400" s="464">
        <v>46031</v>
      </c>
      <c r="C400" s="436" t="s">
        <v>256</v>
      </c>
      <c r="D400" s="436" t="s">
        <v>870</v>
      </c>
      <c r="E400" s="436">
        <v>2</v>
      </c>
      <c r="F400" s="465">
        <v>1.65</v>
      </c>
      <c r="G400" s="466">
        <v>3.3</v>
      </c>
      <c r="H400" s="466">
        <f>G400/1.1</f>
        <v>2.9999999999999996</v>
      </c>
      <c r="I400" s="436"/>
      <c r="J400" s="465">
        <v>0</v>
      </c>
      <c r="K400" s="467">
        <v>0</v>
      </c>
    </row>
    <row r="401" spans="2:11" ht="19" customHeight="1">
      <c r="B401" s="464">
        <v>46031</v>
      </c>
      <c r="C401" s="436" t="s">
        <v>256</v>
      </c>
      <c r="D401" s="436" t="s">
        <v>932</v>
      </c>
      <c r="E401" s="436">
        <v>2</v>
      </c>
      <c r="F401" s="465">
        <v>1.65</v>
      </c>
      <c r="G401" s="466">
        <v>3.3</v>
      </c>
      <c r="H401" s="466">
        <f>G401/1.1</f>
        <v>2.9999999999999996</v>
      </c>
      <c r="I401" s="436"/>
      <c r="J401" s="465">
        <v>0</v>
      </c>
      <c r="K401" s="467">
        <v>0</v>
      </c>
    </row>
    <row r="402" spans="2:11" ht="19" customHeight="1">
      <c r="B402" s="464">
        <v>46031</v>
      </c>
      <c r="C402" s="436" t="s">
        <v>321</v>
      </c>
      <c r="D402" s="436" t="s">
        <v>910</v>
      </c>
      <c r="E402" s="436">
        <v>1</v>
      </c>
      <c r="F402" s="465">
        <v>3.95</v>
      </c>
      <c r="G402" s="466">
        <v>3.95</v>
      </c>
      <c r="H402" s="466">
        <f>G402/1.1</f>
        <v>3.5909090909090908</v>
      </c>
      <c r="I402" s="436"/>
      <c r="J402" s="465">
        <v>0</v>
      </c>
      <c r="K402" s="467">
        <v>0</v>
      </c>
    </row>
    <row r="403" spans="2:11" ht="19" customHeight="1">
      <c r="B403" s="464">
        <v>46031</v>
      </c>
      <c r="C403" s="436" t="s">
        <v>256</v>
      </c>
      <c r="D403" s="436" t="s">
        <v>255</v>
      </c>
      <c r="E403" s="436">
        <v>1</v>
      </c>
      <c r="F403" s="465">
        <v>5.6</v>
      </c>
      <c r="G403" s="466">
        <v>5.6</v>
      </c>
      <c r="H403" s="466">
        <f>G403/1.1</f>
        <v>5.0909090909090899</v>
      </c>
      <c r="I403" s="436"/>
      <c r="J403" s="465">
        <v>0</v>
      </c>
      <c r="K403" s="467">
        <v>0</v>
      </c>
    </row>
    <row r="404" spans="2:11" ht="19" customHeight="1">
      <c r="B404" s="464">
        <v>46031</v>
      </c>
      <c r="C404" s="436" t="s">
        <v>264</v>
      </c>
      <c r="D404" s="436" t="s">
        <v>930</v>
      </c>
      <c r="E404" s="436">
        <v>1</v>
      </c>
      <c r="F404" s="465">
        <v>3.5</v>
      </c>
      <c r="G404" s="466">
        <v>3.5</v>
      </c>
      <c r="H404" s="466">
        <f>G404/1.1</f>
        <v>3.1818181818181817</v>
      </c>
      <c r="I404" s="436"/>
      <c r="J404" s="465">
        <v>0</v>
      </c>
      <c r="K404" s="467">
        <v>0</v>
      </c>
    </row>
    <row r="405" spans="2:11" ht="19" customHeight="1">
      <c r="B405" s="464">
        <v>46031</v>
      </c>
      <c r="C405" s="436" t="s">
        <v>321</v>
      </c>
      <c r="D405" s="436" t="s">
        <v>953</v>
      </c>
      <c r="E405" s="436">
        <v>1</v>
      </c>
      <c r="F405" s="465">
        <v>10.050000000000001</v>
      </c>
      <c r="G405" s="466">
        <v>10.050000000000001</v>
      </c>
      <c r="H405" s="466">
        <f>G405/1.1</f>
        <v>9.1363636363636367</v>
      </c>
      <c r="I405" s="436"/>
      <c r="J405" s="465">
        <v>0</v>
      </c>
      <c r="K405" s="467">
        <v>0</v>
      </c>
    </row>
    <row r="406" spans="2:11" ht="19" customHeight="1">
      <c r="B406" s="464">
        <v>46031</v>
      </c>
      <c r="C406" s="436" t="s">
        <v>253</v>
      </c>
      <c r="D406" s="436" t="s">
        <v>869</v>
      </c>
      <c r="E406" s="436">
        <v>2</v>
      </c>
      <c r="F406" s="467">
        <v>2.65</v>
      </c>
      <c r="G406" s="466">
        <v>5.3</v>
      </c>
      <c r="H406" s="466">
        <f>G406/1.1</f>
        <v>4.8181818181818175</v>
      </c>
      <c r="I406" s="436"/>
      <c r="J406" s="465">
        <v>0</v>
      </c>
      <c r="K406" s="467">
        <v>0</v>
      </c>
    </row>
    <row r="407" spans="2:11" ht="19" customHeight="1">
      <c r="B407" s="464">
        <v>46031</v>
      </c>
      <c r="C407" s="436" t="s">
        <v>247</v>
      </c>
      <c r="D407" s="436" t="s">
        <v>246</v>
      </c>
      <c r="E407" s="436">
        <v>1</v>
      </c>
      <c r="F407" s="467">
        <v>1.7</v>
      </c>
      <c r="G407" s="466">
        <v>1.7</v>
      </c>
      <c r="H407" s="466">
        <f>G407/1.1</f>
        <v>1.5454545454545452</v>
      </c>
      <c r="I407" s="436"/>
      <c r="J407" s="465">
        <v>0</v>
      </c>
      <c r="K407" s="467">
        <v>0</v>
      </c>
    </row>
    <row r="408" spans="2:11" ht="19" customHeight="1">
      <c r="B408" s="464">
        <v>46031</v>
      </c>
      <c r="C408" s="436" t="s">
        <v>253</v>
      </c>
      <c r="D408" s="436" t="s">
        <v>901</v>
      </c>
      <c r="E408" s="436">
        <v>1</v>
      </c>
      <c r="F408" s="467">
        <v>2.15</v>
      </c>
      <c r="G408" s="466">
        <v>2.15</v>
      </c>
      <c r="H408" s="466">
        <f>G408/1.1</f>
        <v>1.9545454545454544</v>
      </c>
      <c r="I408" s="436"/>
      <c r="J408" s="465">
        <v>0</v>
      </c>
      <c r="K408" s="467">
        <v>0</v>
      </c>
    </row>
    <row r="409" spans="2:11" ht="19" customHeight="1">
      <c r="B409" s="464">
        <v>46031</v>
      </c>
      <c r="C409" s="436" t="s">
        <v>323</v>
      </c>
      <c r="D409" s="436" t="s">
        <v>684</v>
      </c>
      <c r="E409" s="436">
        <v>1</v>
      </c>
      <c r="F409" s="467">
        <v>9.8000000000000007</v>
      </c>
      <c r="G409" s="466">
        <v>9.8000000000000007</v>
      </c>
      <c r="H409" s="466">
        <f>G409/1.1</f>
        <v>8.9090909090909083</v>
      </c>
      <c r="I409" s="436"/>
      <c r="J409" s="465">
        <v>0</v>
      </c>
      <c r="K409" s="467">
        <v>0</v>
      </c>
    </row>
    <row r="410" spans="2:11" ht="19" customHeight="1">
      <c r="B410" s="464">
        <v>46031</v>
      </c>
      <c r="C410" s="436" t="s">
        <v>247</v>
      </c>
      <c r="D410" s="436" t="s">
        <v>902</v>
      </c>
      <c r="E410" s="436">
        <v>1</v>
      </c>
      <c r="F410" s="467">
        <v>1.95</v>
      </c>
      <c r="G410" s="466">
        <v>1.95</v>
      </c>
      <c r="H410" s="466">
        <f>G410/1.1</f>
        <v>1.7727272727272725</v>
      </c>
      <c r="I410" s="436"/>
      <c r="J410" s="465">
        <v>0</v>
      </c>
      <c r="K410" s="467">
        <v>0</v>
      </c>
    </row>
    <row r="411" spans="2:11" ht="19" customHeight="1">
      <c r="B411" s="464">
        <v>46031</v>
      </c>
      <c r="C411" s="436" t="s">
        <v>251</v>
      </c>
      <c r="D411" s="436" t="s">
        <v>265</v>
      </c>
      <c r="E411" s="436">
        <v>2</v>
      </c>
      <c r="F411" s="467">
        <v>2.8</v>
      </c>
      <c r="G411" s="466">
        <v>5.6</v>
      </c>
      <c r="H411" s="466">
        <f>G411/1.1</f>
        <v>5.0909090909090899</v>
      </c>
      <c r="I411" s="436"/>
      <c r="J411" s="465">
        <v>0</v>
      </c>
      <c r="K411" s="467">
        <v>0</v>
      </c>
    </row>
    <row r="412" spans="2:11" ht="19" customHeight="1">
      <c r="B412" s="464">
        <v>46031</v>
      </c>
      <c r="C412" s="436" t="s">
        <v>277</v>
      </c>
      <c r="D412" s="436" t="s">
        <v>954</v>
      </c>
      <c r="E412" s="436">
        <v>1</v>
      </c>
      <c r="F412" s="467">
        <v>13</v>
      </c>
      <c r="G412" s="466">
        <v>13</v>
      </c>
      <c r="H412" s="466">
        <f>G412/1.1</f>
        <v>11.818181818181817</v>
      </c>
      <c r="I412" s="436"/>
      <c r="J412" s="465">
        <v>0</v>
      </c>
      <c r="K412" s="467">
        <v>0</v>
      </c>
    </row>
    <row r="413" spans="2:11" ht="19" customHeight="1">
      <c r="B413" s="464">
        <v>46031</v>
      </c>
      <c r="C413" s="436" t="s">
        <v>275</v>
      </c>
      <c r="D413" s="436" t="s">
        <v>897</v>
      </c>
      <c r="E413" s="436">
        <v>1</v>
      </c>
      <c r="F413" s="467">
        <v>6</v>
      </c>
      <c r="G413" s="466">
        <v>6</v>
      </c>
      <c r="H413" s="466">
        <f>G413/1.1</f>
        <v>5.4545454545454541</v>
      </c>
      <c r="I413" s="436"/>
      <c r="J413" s="465">
        <v>0</v>
      </c>
      <c r="K413" s="467">
        <v>0</v>
      </c>
    </row>
    <row r="414" spans="2:11" ht="19" customHeight="1">
      <c r="B414" s="464">
        <v>46031</v>
      </c>
      <c r="C414" s="436" t="s">
        <v>247</v>
      </c>
      <c r="D414" s="436" t="s">
        <v>248</v>
      </c>
      <c r="E414" s="436">
        <v>1</v>
      </c>
      <c r="F414" s="467">
        <v>1.5</v>
      </c>
      <c r="G414" s="466">
        <v>1.5</v>
      </c>
      <c r="H414" s="466">
        <f>G414/1.1</f>
        <v>1.3636363636363635</v>
      </c>
      <c r="I414" s="436"/>
      <c r="J414" s="465">
        <v>0</v>
      </c>
      <c r="K414" s="467">
        <v>0</v>
      </c>
    </row>
    <row r="415" spans="2:11" ht="19" customHeight="1">
      <c r="B415" s="464">
        <v>46032</v>
      </c>
      <c r="C415" s="436" t="s">
        <v>247</v>
      </c>
      <c r="D415" s="436" t="s">
        <v>919</v>
      </c>
      <c r="E415" s="436">
        <v>1</v>
      </c>
      <c r="F415" s="467">
        <v>1.7</v>
      </c>
      <c r="G415" s="466">
        <v>1.7</v>
      </c>
      <c r="H415" s="466">
        <f>G415/1.1</f>
        <v>1.5454545454545452</v>
      </c>
      <c r="I415" s="436"/>
      <c r="J415" s="465">
        <v>0</v>
      </c>
      <c r="K415" s="467">
        <v>0</v>
      </c>
    </row>
    <row r="416" spans="2:11" ht="19" customHeight="1">
      <c r="B416" s="464">
        <v>46032</v>
      </c>
      <c r="C416" s="436" t="s">
        <v>247</v>
      </c>
      <c r="D416" s="436" t="s">
        <v>246</v>
      </c>
      <c r="E416" s="436">
        <v>2</v>
      </c>
      <c r="F416" s="467">
        <v>1.7</v>
      </c>
      <c r="G416" s="466">
        <v>3.4</v>
      </c>
      <c r="H416" s="466">
        <f>G416/1.1</f>
        <v>3.0909090909090904</v>
      </c>
      <c r="I416" s="436"/>
      <c r="J416" s="465">
        <v>0</v>
      </c>
      <c r="K416" s="467">
        <v>0</v>
      </c>
    </row>
    <row r="417" spans="2:11" ht="19" customHeight="1">
      <c r="B417" s="464">
        <v>46032</v>
      </c>
      <c r="C417" s="436" t="s">
        <v>247</v>
      </c>
      <c r="D417" s="436" t="s">
        <v>843</v>
      </c>
      <c r="E417" s="436">
        <v>2</v>
      </c>
      <c r="F417" s="467">
        <v>3.6</v>
      </c>
      <c r="G417" s="466">
        <v>7.2</v>
      </c>
      <c r="H417" s="466">
        <f>G417/1.1</f>
        <v>6.545454545454545</v>
      </c>
      <c r="I417" s="436"/>
      <c r="J417" s="465">
        <v>0</v>
      </c>
      <c r="K417" s="467">
        <v>0</v>
      </c>
    </row>
    <row r="418" spans="2:11" ht="19" customHeight="1">
      <c r="B418" s="464">
        <v>46032</v>
      </c>
      <c r="C418" s="436" t="s">
        <v>247</v>
      </c>
      <c r="D418" s="436" t="s">
        <v>248</v>
      </c>
      <c r="E418" s="436">
        <v>1</v>
      </c>
      <c r="F418" s="467">
        <v>1.5</v>
      </c>
      <c r="G418" s="466">
        <v>1.5</v>
      </c>
      <c r="H418" s="466">
        <f>G418/1.1</f>
        <v>1.3636363636363635</v>
      </c>
      <c r="I418" s="436"/>
      <c r="J418" s="465">
        <v>0</v>
      </c>
      <c r="K418" s="467">
        <v>0</v>
      </c>
    </row>
    <row r="419" spans="2:11" ht="19" customHeight="1">
      <c r="B419" s="464">
        <v>46032</v>
      </c>
      <c r="C419" s="436" t="s">
        <v>247</v>
      </c>
      <c r="D419" s="436" t="s">
        <v>257</v>
      </c>
      <c r="E419" s="436">
        <v>1</v>
      </c>
      <c r="F419" s="467">
        <v>1.4</v>
      </c>
      <c r="G419" s="466">
        <v>1.4</v>
      </c>
      <c r="H419" s="466">
        <f>G419/1.1</f>
        <v>1.2727272727272725</v>
      </c>
      <c r="I419" s="436"/>
      <c r="J419" s="465">
        <v>0</v>
      </c>
      <c r="K419" s="467">
        <v>0</v>
      </c>
    </row>
    <row r="420" spans="2:11" ht="19" customHeight="1">
      <c r="B420" s="464">
        <v>46032</v>
      </c>
      <c r="C420" s="436" t="s">
        <v>247</v>
      </c>
      <c r="D420" s="436" t="s">
        <v>248</v>
      </c>
      <c r="E420" s="436">
        <v>1</v>
      </c>
      <c r="F420" s="467">
        <v>1.5</v>
      </c>
      <c r="G420" s="466">
        <v>1.5</v>
      </c>
      <c r="H420" s="466">
        <f>G420/1.1</f>
        <v>1.3636363636363635</v>
      </c>
      <c r="I420" s="436"/>
      <c r="J420" s="465">
        <v>0</v>
      </c>
      <c r="K420" s="467">
        <v>0</v>
      </c>
    </row>
    <row r="421" spans="2:11" ht="19" customHeight="1">
      <c r="B421" s="464">
        <v>46032</v>
      </c>
      <c r="C421" s="436" t="s">
        <v>955</v>
      </c>
      <c r="D421" s="436" t="s">
        <v>956</v>
      </c>
      <c r="E421" s="436">
        <v>1</v>
      </c>
      <c r="F421" s="467">
        <v>1.75</v>
      </c>
      <c r="G421" s="466">
        <v>1.75</v>
      </c>
      <c r="H421" s="466">
        <f>G421/1.1</f>
        <v>1.5909090909090908</v>
      </c>
      <c r="I421" s="436"/>
      <c r="J421" s="465">
        <v>0</v>
      </c>
      <c r="K421" s="467">
        <v>0</v>
      </c>
    </row>
    <row r="422" spans="2:11" ht="19" customHeight="1">
      <c r="B422" s="464">
        <v>46032</v>
      </c>
      <c r="C422" s="436" t="s">
        <v>247</v>
      </c>
      <c r="D422" s="436" t="s">
        <v>246</v>
      </c>
      <c r="E422" s="436">
        <v>1</v>
      </c>
      <c r="F422" s="467">
        <v>1.7</v>
      </c>
      <c r="G422" s="466">
        <v>1.7</v>
      </c>
      <c r="H422" s="466">
        <f>G422/1.1</f>
        <v>1.5454545454545452</v>
      </c>
      <c r="I422" s="436"/>
      <c r="J422" s="465">
        <v>0</v>
      </c>
      <c r="K422" s="467">
        <v>0</v>
      </c>
    </row>
    <row r="423" spans="2:11" ht="19" customHeight="1">
      <c r="B423" s="464">
        <v>46032</v>
      </c>
      <c r="C423" s="436" t="s">
        <v>264</v>
      </c>
      <c r="D423" s="436" t="s">
        <v>898</v>
      </c>
      <c r="E423" s="436">
        <v>1</v>
      </c>
      <c r="F423" s="467">
        <v>1.5</v>
      </c>
      <c r="G423" s="466">
        <v>1.5</v>
      </c>
      <c r="H423" s="466">
        <f>G423/1.1</f>
        <v>1.3636363636363635</v>
      </c>
      <c r="I423" s="436"/>
      <c r="J423" s="465">
        <v>0</v>
      </c>
      <c r="K423" s="467">
        <v>0</v>
      </c>
    </row>
    <row r="424" spans="2:11" ht="19" customHeight="1">
      <c r="B424" s="464">
        <v>46032</v>
      </c>
      <c r="C424" s="436" t="s">
        <v>247</v>
      </c>
      <c r="D424" s="436" t="s">
        <v>246</v>
      </c>
      <c r="E424" s="436">
        <v>1</v>
      </c>
      <c r="F424" s="467">
        <v>1.7</v>
      </c>
      <c r="G424" s="466">
        <v>1.7</v>
      </c>
      <c r="H424" s="466">
        <f>G424/1.1</f>
        <v>1.5454545454545452</v>
      </c>
      <c r="I424" s="436"/>
      <c r="J424" s="465">
        <v>0</v>
      </c>
      <c r="K424" s="467">
        <v>0</v>
      </c>
    </row>
    <row r="425" spans="2:11" ht="19" customHeight="1">
      <c r="B425" s="464">
        <v>46032</v>
      </c>
      <c r="C425" s="436" t="s">
        <v>328</v>
      </c>
      <c r="D425" s="436" t="s">
        <v>761</v>
      </c>
      <c r="E425" s="436">
        <v>1</v>
      </c>
      <c r="F425" s="465">
        <v>3.1</v>
      </c>
      <c r="G425" s="466">
        <v>3.1</v>
      </c>
      <c r="H425" s="466">
        <f>G425/1.1</f>
        <v>2.8181818181818179</v>
      </c>
      <c r="I425" s="436"/>
      <c r="J425" s="465">
        <v>0</v>
      </c>
      <c r="K425" s="467">
        <v>0</v>
      </c>
    </row>
    <row r="426" spans="2:11" ht="19" customHeight="1">
      <c r="B426" s="464">
        <v>46032</v>
      </c>
      <c r="C426" s="436" t="s">
        <v>862</v>
      </c>
      <c r="D426" s="436" t="s">
        <v>865</v>
      </c>
      <c r="E426" s="436">
        <v>1</v>
      </c>
      <c r="F426" s="465">
        <v>0.05</v>
      </c>
      <c r="G426" s="466">
        <v>0.05</v>
      </c>
      <c r="H426" s="466">
        <f>G426/1.1</f>
        <v>4.5454545454545456E-2</v>
      </c>
      <c r="I426" s="436"/>
      <c r="J426" s="465">
        <v>0</v>
      </c>
      <c r="K426" s="467">
        <v>0</v>
      </c>
    </row>
    <row r="427" spans="2:11" ht="19" customHeight="1">
      <c r="B427" s="464">
        <v>46032</v>
      </c>
      <c r="C427" s="436" t="s">
        <v>327</v>
      </c>
      <c r="D427" s="436" t="s">
        <v>723</v>
      </c>
      <c r="E427" s="436">
        <v>1</v>
      </c>
      <c r="F427" s="465">
        <v>3.1</v>
      </c>
      <c r="G427" s="466">
        <v>3.1</v>
      </c>
      <c r="H427" s="466">
        <f>G427/1.1</f>
        <v>2.8181818181818179</v>
      </c>
      <c r="I427" s="436"/>
      <c r="J427" s="465">
        <v>0</v>
      </c>
      <c r="K427" s="467">
        <v>0</v>
      </c>
    </row>
    <row r="428" spans="2:11" ht="19" customHeight="1">
      <c r="B428" s="464">
        <v>46032</v>
      </c>
      <c r="C428" s="436" t="s">
        <v>264</v>
      </c>
      <c r="D428" s="436" t="s">
        <v>891</v>
      </c>
      <c r="E428" s="436">
        <v>1</v>
      </c>
      <c r="F428" s="465">
        <v>1.4</v>
      </c>
      <c r="G428" s="466">
        <v>1.4</v>
      </c>
      <c r="H428" s="466">
        <f>G428/1.1</f>
        <v>1.2727272727272725</v>
      </c>
      <c r="I428" s="436"/>
      <c r="J428" s="465">
        <v>0</v>
      </c>
      <c r="K428" s="467">
        <v>0</v>
      </c>
    </row>
    <row r="429" spans="2:11" ht="19" customHeight="1">
      <c r="B429" s="464">
        <v>46032</v>
      </c>
      <c r="C429" s="436" t="s">
        <v>251</v>
      </c>
      <c r="D429" s="436" t="s">
        <v>957</v>
      </c>
      <c r="E429" s="436">
        <v>1</v>
      </c>
      <c r="F429" s="467">
        <v>2.65</v>
      </c>
      <c r="G429" s="466">
        <v>2.65</v>
      </c>
      <c r="H429" s="466">
        <f>G429/1.1</f>
        <v>2.4090909090909087</v>
      </c>
      <c r="I429" s="436"/>
      <c r="J429" s="465">
        <v>0</v>
      </c>
      <c r="K429" s="467">
        <v>0</v>
      </c>
    </row>
    <row r="430" spans="2:11" ht="19" customHeight="1">
      <c r="B430" s="464">
        <v>46032</v>
      </c>
      <c r="C430" s="436" t="s">
        <v>247</v>
      </c>
      <c r="D430" s="436" t="s">
        <v>843</v>
      </c>
      <c r="E430" s="436">
        <v>1</v>
      </c>
      <c r="F430" s="467">
        <v>3.6</v>
      </c>
      <c r="G430" s="466">
        <v>3.6</v>
      </c>
      <c r="H430" s="466">
        <f>G430/1.1</f>
        <v>3.2727272727272725</v>
      </c>
      <c r="I430" s="436"/>
      <c r="J430" s="465">
        <v>0</v>
      </c>
      <c r="K430" s="467">
        <v>0</v>
      </c>
    </row>
    <row r="431" spans="2:11" ht="19" customHeight="1">
      <c r="B431" s="464">
        <v>46032</v>
      </c>
      <c r="C431" s="436" t="s">
        <v>247</v>
      </c>
      <c r="D431" s="436" t="s">
        <v>246</v>
      </c>
      <c r="E431" s="436">
        <v>2</v>
      </c>
      <c r="F431" s="467">
        <v>1.7</v>
      </c>
      <c r="G431" s="466">
        <v>3.4</v>
      </c>
      <c r="H431" s="466">
        <f>G431/1.1</f>
        <v>3.0909090909090904</v>
      </c>
      <c r="I431" s="436"/>
      <c r="J431" s="465">
        <v>0</v>
      </c>
      <c r="K431" s="467">
        <v>0</v>
      </c>
    </row>
    <row r="432" spans="2:11" ht="19" customHeight="1">
      <c r="B432" s="464">
        <v>46032</v>
      </c>
      <c r="C432" s="436" t="s">
        <v>247</v>
      </c>
      <c r="D432" s="436" t="s">
        <v>257</v>
      </c>
      <c r="E432" s="436">
        <v>1</v>
      </c>
      <c r="F432" s="467">
        <v>1.4</v>
      </c>
      <c r="G432" s="466">
        <v>1.4</v>
      </c>
      <c r="H432" s="466">
        <f>G432/1.1</f>
        <v>1.2727272727272725</v>
      </c>
      <c r="I432" s="436"/>
      <c r="J432" s="465">
        <v>0</v>
      </c>
      <c r="K432" s="467">
        <v>0</v>
      </c>
    </row>
    <row r="433" spans="2:11" ht="19" customHeight="1">
      <c r="B433" s="464">
        <v>46032</v>
      </c>
      <c r="C433" s="436" t="s">
        <v>247</v>
      </c>
      <c r="D433" s="436" t="s">
        <v>246</v>
      </c>
      <c r="E433" s="436">
        <v>1</v>
      </c>
      <c r="F433" s="467">
        <v>1.7</v>
      </c>
      <c r="G433" s="466">
        <v>1.7</v>
      </c>
      <c r="H433" s="466">
        <f>G433/1.1</f>
        <v>1.5454545454545452</v>
      </c>
      <c r="I433" s="436"/>
      <c r="J433" s="465">
        <v>0</v>
      </c>
      <c r="K433" s="467">
        <v>0</v>
      </c>
    </row>
    <row r="434" spans="2:11" ht="19" customHeight="1">
      <c r="B434" s="464">
        <v>46032</v>
      </c>
      <c r="C434" s="436" t="s">
        <v>247</v>
      </c>
      <c r="D434" s="436" t="s">
        <v>246</v>
      </c>
      <c r="E434" s="436">
        <v>1</v>
      </c>
      <c r="F434" s="467">
        <v>1.7</v>
      </c>
      <c r="G434" s="466">
        <v>1.7</v>
      </c>
      <c r="H434" s="466">
        <f>G434/1.1</f>
        <v>1.5454545454545452</v>
      </c>
      <c r="I434" s="436"/>
      <c r="J434" s="465">
        <v>0</v>
      </c>
      <c r="K434" s="467">
        <v>0</v>
      </c>
    </row>
    <row r="435" spans="2:11" ht="19" customHeight="1">
      <c r="B435" s="464">
        <v>46032</v>
      </c>
      <c r="C435" s="436" t="s">
        <v>247</v>
      </c>
      <c r="D435" s="436" t="s">
        <v>246</v>
      </c>
      <c r="E435" s="436">
        <v>1</v>
      </c>
      <c r="F435" s="467">
        <v>1.7</v>
      </c>
      <c r="G435" s="466">
        <v>1.7</v>
      </c>
      <c r="H435" s="466">
        <f>G435/1.1</f>
        <v>1.5454545454545452</v>
      </c>
      <c r="I435" s="436"/>
      <c r="J435" s="465">
        <v>0</v>
      </c>
      <c r="K435" s="467">
        <v>0</v>
      </c>
    </row>
    <row r="436" spans="2:11" ht="19" customHeight="1">
      <c r="B436" s="464">
        <v>46032</v>
      </c>
      <c r="C436" s="436" t="s">
        <v>862</v>
      </c>
      <c r="D436" s="436" t="s">
        <v>899</v>
      </c>
      <c r="E436" s="436">
        <v>1</v>
      </c>
      <c r="F436" s="467">
        <v>0.05</v>
      </c>
      <c r="G436" s="466">
        <v>0.05</v>
      </c>
      <c r="H436" s="466">
        <f>G436/1.1</f>
        <v>4.5454545454545456E-2</v>
      </c>
      <c r="I436" s="436"/>
      <c r="J436" s="465">
        <v>0</v>
      </c>
      <c r="K436" s="467">
        <v>0</v>
      </c>
    </row>
    <row r="437" spans="2:11" ht="19" customHeight="1">
      <c r="B437" s="464">
        <v>46032</v>
      </c>
      <c r="C437" s="436" t="s">
        <v>328</v>
      </c>
      <c r="D437" s="436" t="s">
        <v>773</v>
      </c>
      <c r="E437" s="436">
        <v>1</v>
      </c>
      <c r="F437" s="467">
        <v>3.1</v>
      </c>
      <c r="G437" s="466">
        <v>3.1</v>
      </c>
      <c r="H437" s="466">
        <f>G437/1.1</f>
        <v>2.8181818181818179</v>
      </c>
      <c r="I437" s="436"/>
      <c r="J437" s="465">
        <v>0</v>
      </c>
      <c r="K437" s="467">
        <v>0</v>
      </c>
    </row>
    <row r="438" spans="2:11" ht="19" customHeight="1">
      <c r="B438" s="464">
        <v>46032</v>
      </c>
      <c r="C438" s="436" t="s">
        <v>268</v>
      </c>
      <c r="D438" s="436" t="s">
        <v>859</v>
      </c>
      <c r="E438" s="436">
        <v>1</v>
      </c>
      <c r="F438" s="467">
        <v>0.75</v>
      </c>
      <c r="G438" s="466">
        <v>0.75</v>
      </c>
      <c r="H438" s="466">
        <f>G438/1.1</f>
        <v>0.68181818181818177</v>
      </c>
      <c r="I438" s="436"/>
      <c r="J438" s="465">
        <v>0</v>
      </c>
      <c r="K438" s="467">
        <v>0</v>
      </c>
    </row>
    <row r="439" spans="2:11" ht="19" customHeight="1">
      <c r="B439" s="464">
        <v>46032</v>
      </c>
      <c r="C439" s="436" t="s">
        <v>247</v>
      </c>
      <c r="D439" s="436" t="s">
        <v>246</v>
      </c>
      <c r="E439" s="436">
        <v>1</v>
      </c>
      <c r="F439" s="467">
        <v>1.7</v>
      </c>
      <c r="G439" s="466">
        <v>1.7</v>
      </c>
      <c r="H439" s="466">
        <f>G439/1.1</f>
        <v>1.5454545454545452</v>
      </c>
      <c r="I439" s="436"/>
      <c r="J439" s="465">
        <v>0</v>
      </c>
      <c r="K439" s="467">
        <v>0</v>
      </c>
    </row>
    <row r="440" spans="2:11" ht="19" customHeight="1">
      <c r="B440" s="464">
        <v>46032</v>
      </c>
      <c r="C440" s="436" t="s">
        <v>247</v>
      </c>
      <c r="D440" s="436" t="s">
        <v>248</v>
      </c>
      <c r="E440" s="436">
        <v>1</v>
      </c>
      <c r="F440" s="467">
        <v>1.5</v>
      </c>
      <c r="G440" s="466">
        <v>1.5</v>
      </c>
      <c r="H440" s="466">
        <f>G440/1.1</f>
        <v>1.3636363636363635</v>
      </c>
      <c r="I440" s="436"/>
      <c r="J440" s="465">
        <v>0</v>
      </c>
      <c r="K440" s="467">
        <v>0</v>
      </c>
    </row>
    <row r="441" spans="2:11" ht="19" customHeight="1">
      <c r="B441" s="464">
        <v>46032</v>
      </c>
      <c r="C441" s="436" t="s">
        <v>247</v>
      </c>
      <c r="D441" s="436" t="s">
        <v>257</v>
      </c>
      <c r="E441" s="436">
        <v>1</v>
      </c>
      <c r="F441" s="467">
        <v>1.4</v>
      </c>
      <c r="G441" s="466">
        <v>1.4</v>
      </c>
      <c r="H441" s="466">
        <f>G441/1.1</f>
        <v>1.2727272727272725</v>
      </c>
      <c r="I441" s="436"/>
      <c r="J441" s="465">
        <v>0</v>
      </c>
      <c r="K441" s="467">
        <v>0</v>
      </c>
    </row>
    <row r="442" spans="2:11" ht="19" customHeight="1">
      <c r="B442" s="464">
        <v>46032</v>
      </c>
      <c r="C442" s="436" t="s">
        <v>247</v>
      </c>
      <c r="D442" s="436" t="s">
        <v>902</v>
      </c>
      <c r="E442" s="436">
        <v>1</v>
      </c>
      <c r="F442" s="467">
        <v>1.95</v>
      </c>
      <c r="G442" s="466">
        <v>1.95</v>
      </c>
      <c r="H442" s="466">
        <f>G442/1.1</f>
        <v>1.7727272727272725</v>
      </c>
      <c r="I442" s="436"/>
      <c r="J442" s="465">
        <v>0</v>
      </c>
      <c r="K442" s="467">
        <v>0</v>
      </c>
    </row>
    <row r="443" spans="2:11" ht="19" customHeight="1">
      <c r="B443" s="464">
        <v>46032</v>
      </c>
      <c r="C443" s="436" t="s">
        <v>327</v>
      </c>
      <c r="D443" s="436" t="s">
        <v>958</v>
      </c>
      <c r="E443" s="436">
        <v>1</v>
      </c>
      <c r="F443" s="467">
        <v>3.1</v>
      </c>
      <c r="G443" s="466">
        <v>3.1</v>
      </c>
      <c r="H443" s="466">
        <f>G443/1.1</f>
        <v>2.8181818181818179</v>
      </c>
      <c r="I443" s="436"/>
      <c r="J443" s="465">
        <v>0</v>
      </c>
      <c r="K443" s="467">
        <v>0</v>
      </c>
    </row>
    <row r="444" spans="2:11" ht="19" customHeight="1">
      <c r="B444" s="464">
        <v>46032</v>
      </c>
      <c r="C444" s="436" t="s">
        <v>862</v>
      </c>
      <c r="D444" s="436" t="s">
        <v>865</v>
      </c>
      <c r="E444" s="436">
        <v>1</v>
      </c>
      <c r="F444" s="467">
        <v>0.05</v>
      </c>
      <c r="G444" s="466">
        <v>0.05</v>
      </c>
      <c r="H444" s="466">
        <f>G444/1.1</f>
        <v>4.5454545454545456E-2</v>
      </c>
      <c r="I444" s="436"/>
      <c r="J444" s="465">
        <v>0</v>
      </c>
      <c r="K444" s="467">
        <v>0</v>
      </c>
    </row>
    <row r="445" spans="2:11" ht="19" customHeight="1">
      <c r="B445" s="464">
        <v>46032</v>
      </c>
      <c r="C445" s="436" t="s">
        <v>247</v>
      </c>
      <c r="D445" s="436" t="s">
        <v>246</v>
      </c>
      <c r="E445" s="436">
        <v>2</v>
      </c>
      <c r="F445" s="467">
        <v>1.7</v>
      </c>
      <c r="G445" s="466">
        <v>3.4</v>
      </c>
      <c r="H445" s="466">
        <f>G445/1.1</f>
        <v>3.0909090909090904</v>
      </c>
      <c r="I445" s="436"/>
      <c r="J445" s="465">
        <v>0</v>
      </c>
      <c r="K445" s="467">
        <v>0</v>
      </c>
    </row>
    <row r="446" spans="2:11" ht="19" customHeight="1">
      <c r="B446" s="464">
        <v>46032</v>
      </c>
      <c r="C446" s="436" t="s">
        <v>327</v>
      </c>
      <c r="D446" s="436" t="s">
        <v>723</v>
      </c>
      <c r="E446" s="436">
        <v>1</v>
      </c>
      <c r="F446" s="467">
        <v>3.1</v>
      </c>
      <c r="G446" s="466">
        <v>3.1</v>
      </c>
      <c r="H446" s="466">
        <f>G446/1.1</f>
        <v>2.8181818181818179</v>
      </c>
      <c r="I446" s="436"/>
      <c r="J446" s="465">
        <v>0</v>
      </c>
      <c r="K446" s="467">
        <v>0</v>
      </c>
    </row>
    <row r="447" spans="2:11" ht="19" customHeight="1">
      <c r="B447" s="464">
        <v>46032</v>
      </c>
      <c r="C447" s="436" t="s">
        <v>862</v>
      </c>
      <c r="D447" s="436" t="s">
        <v>865</v>
      </c>
      <c r="E447" s="436">
        <v>1</v>
      </c>
      <c r="F447" s="467">
        <v>0.05</v>
      </c>
      <c r="G447" s="466">
        <v>0.05</v>
      </c>
      <c r="H447" s="466">
        <f>G447/1.1</f>
        <v>4.5454545454545456E-2</v>
      </c>
      <c r="I447" s="436"/>
      <c r="J447" s="465">
        <v>0</v>
      </c>
      <c r="K447" s="467">
        <v>0</v>
      </c>
    </row>
    <row r="448" spans="2:11" ht="19" customHeight="1">
      <c r="B448" s="464">
        <v>46032</v>
      </c>
      <c r="C448" s="436" t="s">
        <v>247</v>
      </c>
      <c r="D448" s="436" t="s">
        <v>246</v>
      </c>
      <c r="E448" s="436">
        <v>2</v>
      </c>
      <c r="F448" s="467">
        <v>1.7</v>
      </c>
      <c r="G448" s="466">
        <v>3.4</v>
      </c>
      <c r="H448" s="466">
        <f>G448/1.1</f>
        <v>3.0909090909090904</v>
      </c>
      <c r="I448" s="436"/>
      <c r="J448" s="465">
        <v>0</v>
      </c>
      <c r="K448" s="467">
        <v>0</v>
      </c>
    </row>
    <row r="449" spans="2:11" ht="19" customHeight="1">
      <c r="B449" s="464">
        <v>46032</v>
      </c>
      <c r="C449" s="436" t="s">
        <v>862</v>
      </c>
      <c r="D449" s="436" t="s">
        <v>899</v>
      </c>
      <c r="E449" s="436">
        <v>1</v>
      </c>
      <c r="F449" s="467">
        <v>0.05</v>
      </c>
      <c r="G449" s="466">
        <v>0.05</v>
      </c>
      <c r="H449" s="466">
        <f>G449/1.1</f>
        <v>4.5454545454545456E-2</v>
      </c>
      <c r="I449" s="436"/>
      <c r="J449" s="465">
        <v>0</v>
      </c>
      <c r="K449" s="467">
        <v>0</v>
      </c>
    </row>
    <row r="450" spans="2:11" ht="19" customHeight="1">
      <c r="B450" s="464">
        <v>46032</v>
      </c>
      <c r="C450" s="436" t="s">
        <v>247</v>
      </c>
      <c r="D450" s="436" t="s">
        <v>248</v>
      </c>
      <c r="E450" s="436">
        <v>1</v>
      </c>
      <c r="F450" s="467">
        <v>1.5</v>
      </c>
      <c r="G450" s="466">
        <v>1.5</v>
      </c>
      <c r="H450" s="466">
        <f>G450/1.1</f>
        <v>1.3636363636363635</v>
      </c>
      <c r="I450" s="436"/>
      <c r="J450" s="465">
        <v>0</v>
      </c>
      <c r="K450" s="467">
        <v>0</v>
      </c>
    </row>
    <row r="451" spans="2:11" ht="19" customHeight="1">
      <c r="B451" s="464">
        <v>46032</v>
      </c>
      <c r="C451" s="436" t="s">
        <v>247</v>
      </c>
      <c r="D451" s="436" t="s">
        <v>246</v>
      </c>
      <c r="E451" s="436">
        <v>1</v>
      </c>
      <c r="F451" s="467">
        <v>1.7</v>
      </c>
      <c r="G451" s="466">
        <v>1.7</v>
      </c>
      <c r="H451" s="466">
        <f>G451/1.1</f>
        <v>1.5454545454545452</v>
      </c>
      <c r="I451" s="436"/>
      <c r="J451" s="465">
        <v>0</v>
      </c>
      <c r="K451" s="467">
        <v>0</v>
      </c>
    </row>
    <row r="452" spans="2:11" ht="19" customHeight="1">
      <c r="B452" s="464">
        <v>46032</v>
      </c>
      <c r="C452" s="436" t="s">
        <v>268</v>
      </c>
      <c r="D452" s="436" t="s">
        <v>859</v>
      </c>
      <c r="E452" s="436">
        <v>3</v>
      </c>
      <c r="F452" s="467">
        <v>0.75</v>
      </c>
      <c r="G452" s="466">
        <v>2.25</v>
      </c>
      <c r="H452" s="466">
        <f>G452/1.1</f>
        <v>2.0454545454545454</v>
      </c>
      <c r="I452" s="436"/>
      <c r="J452" s="465">
        <v>0</v>
      </c>
      <c r="K452" s="467">
        <v>0</v>
      </c>
    </row>
    <row r="453" spans="2:11" ht="19" customHeight="1">
      <c r="B453" s="464">
        <v>46032</v>
      </c>
      <c r="C453" s="436" t="s">
        <v>247</v>
      </c>
      <c r="D453" s="436" t="s">
        <v>246</v>
      </c>
      <c r="E453" s="436">
        <v>1</v>
      </c>
      <c r="F453" s="467">
        <v>1.7</v>
      </c>
      <c r="G453" s="466">
        <v>1.7</v>
      </c>
      <c r="H453" s="466">
        <f>G453/1.1</f>
        <v>1.5454545454545452</v>
      </c>
      <c r="I453" s="436"/>
      <c r="J453" s="465">
        <v>0</v>
      </c>
      <c r="K453" s="467">
        <v>0</v>
      </c>
    </row>
    <row r="454" spans="2:11" ht="19" customHeight="1">
      <c r="B454" s="464">
        <v>46032</v>
      </c>
      <c r="C454" s="436" t="s">
        <v>251</v>
      </c>
      <c r="D454" s="436" t="s">
        <v>854</v>
      </c>
      <c r="E454" s="436">
        <v>1</v>
      </c>
      <c r="F454" s="467">
        <v>1.55</v>
      </c>
      <c r="G454" s="466">
        <v>1.55</v>
      </c>
      <c r="H454" s="466">
        <f>G454/1.1</f>
        <v>1.4090909090909089</v>
      </c>
      <c r="I454" s="436"/>
      <c r="J454" s="465">
        <v>0</v>
      </c>
      <c r="K454" s="467">
        <v>0</v>
      </c>
    </row>
    <row r="455" spans="2:11" ht="19" customHeight="1">
      <c r="B455" s="464">
        <v>46032</v>
      </c>
      <c r="C455" s="436" t="s">
        <v>247</v>
      </c>
      <c r="D455" s="436" t="s">
        <v>246</v>
      </c>
      <c r="E455" s="436">
        <v>2</v>
      </c>
      <c r="F455" s="467">
        <v>1.7</v>
      </c>
      <c r="G455" s="466">
        <v>3.4</v>
      </c>
      <c r="H455" s="466">
        <f>G455/1.1</f>
        <v>3.0909090909090904</v>
      </c>
      <c r="I455" s="436"/>
      <c r="J455" s="465">
        <v>0</v>
      </c>
      <c r="K455" s="467">
        <v>0</v>
      </c>
    </row>
    <row r="456" spans="2:11" ht="19" customHeight="1">
      <c r="B456" s="464">
        <v>46032</v>
      </c>
      <c r="C456" s="436" t="s">
        <v>268</v>
      </c>
      <c r="D456" s="436" t="s">
        <v>860</v>
      </c>
      <c r="E456" s="436">
        <v>2</v>
      </c>
      <c r="F456" s="467">
        <v>2.25</v>
      </c>
      <c r="G456" s="466">
        <v>4.5</v>
      </c>
      <c r="H456" s="466">
        <f>G456/1.1</f>
        <v>4.0909090909090908</v>
      </c>
      <c r="I456" s="436"/>
      <c r="J456" s="465">
        <v>0</v>
      </c>
      <c r="K456" s="467">
        <v>0</v>
      </c>
    </row>
    <row r="457" spans="2:11" ht="19" customHeight="1">
      <c r="B457" s="464">
        <v>46032</v>
      </c>
      <c r="C457" s="436" t="s">
        <v>247</v>
      </c>
      <c r="D457" s="436" t="s">
        <v>248</v>
      </c>
      <c r="E457" s="436">
        <v>1</v>
      </c>
      <c r="F457" s="467">
        <v>1.5</v>
      </c>
      <c r="G457" s="466">
        <v>1.5</v>
      </c>
      <c r="H457" s="466">
        <f>G457/1.1</f>
        <v>1.3636363636363635</v>
      </c>
      <c r="I457" s="436"/>
      <c r="J457" s="465">
        <v>0</v>
      </c>
      <c r="K457" s="467">
        <v>0</v>
      </c>
    </row>
    <row r="458" spans="2:11" ht="19" customHeight="1">
      <c r="B458" s="464">
        <v>46032</v>
      </c>
      <c r="C458" s="436" t="s">
        <v>959</v>
      </c>
      <c r="D458" s="436" t="s">
        <v>960</v>
      </c>
      <c r="E458" s="436">
        <v>2</v>
      </c>
      <c r="F458" s="467">
        <v>16.5</v>
      </c>
      <c r="G458" s="466">
        <v>33</v>
      </c>
      <c r="H458" s="466">
        <f>G458/1.1</f>
        <v>29.999999999999996</v>
      </c>
      <c r="I458" s="436"/>
      <c r="J458" s="465">
        <v>0</v>
      </c>
      <c r="K458" s="467">
        <v>0</v>
      </c>
    </row>
    <row r="459" spans="2:11" ht="19" customHeight="1">
      <c r="B459" s="464">
        <v>46032</v>
      </c>
      <c r="C459" s="436" t="s">
        <v>959</v>
      </c>
      <c r="D459" s="436" t="s">
        <v>961</v>
      </c>
      <c r="E459" s="436">
        <v>13</v>
      </c>
      <c r="F459" s="467">
        <v>24.5</v>
      </c>
      <c r="G459" s="466">
        <v>318.5</v>
      </c>
      <c r="H459" s="466">
        <f>G459/1.1</f>
        <v>289.5454545454545</v>
      </c>
      <c r="I459" s="436"/>
      <c r="J459" s="465">
        <v>0</v>
      </c>
      <c r="K459" s="467">
        <v>0</v>
      </c>
    </row>
    <row r="460" spans="2:11" ht="19" customHeight="1">
      <c r="B460" s="464">
        <v>46032</v>
      </c>
      <c r="C460" s="436" t="s">
        <v>251</v>
      </c>
      <c r="D460" s="436" t="s">
        <v>945</v>
      </c>
      <c r="E460" s="436">
        <v>1</v>
      </c>
      <c r="F460" s="467">
        <v>2.65</v>
      </c>
      <c r="G460" s="466">
        <v>2.65</v>
      </c>
      <c r="H460" s="466">
        <f>G460/1.1</f>
        <v>2.4090909090909087</v>
      </c>
      <c r="I460" s="436"/>
      <c r="J460" s="465">
        <v>0</v>
      </c>
      <c r="K460" s="467">
        <v>0</v>
      </c>
    </row>
    <row r="461" spans="2:11" ht="19" customHeight="1">
      <c r="B461" s="464">
        <v>46032</v>
      </c>
      <c r="C461" s="436" t="s">
        <v>247</v>
      </c>
      <c r="D461" s="436" t="s">
        <v>246</v>
      </c>
      <c r="E461" s="436">
        <v>1</v>
      </c>
      <c r="F461" s="467">
        <v>1.7</v>
      </c>
      <c r="G461" s="466">
        <v>1.7</v>
      </c>
      <c r="H461" s="466">
        <f>G461/1.1</f>
        <v>1.5454545454545452</v>
      </c>
      <c r="I461" s="436"/>
      <c r="J461" s="465">
        <v>0</v>
      </c>
      <c r="K461" s="467">
        <v>0</v>
      </c>
    </row>
    <row r="462" spans="2:11" ht="19" customHeight="1">
      <c r="B462" s="464">
        <v>46032</v>
      </c>
      <c r="C462" s="436" t="s">
        <v>247</v>
      </c>
      <c r="D462" s="436" t="s">
        <v>257</v>
      </c>
      <c r="E462" s="436">
        <v>1</v>
      </c>
      <c r="F462" s="465">
        <v>1.55</v>
      </c>
      <c r="G462" s="466">
        <v>1.55</v>
      </c>
      <c r="H462" s="466">
        <f>G462/1.1</f>
        <v>1.4090909090909089</v>
      </c>
      <c r="I462" s="436"/>
      <c r="J462" s="465">
        <v>0</v>
      </c>
      <c r="K462" s="467">
        <v>0</v>
      </c>
    </row>
    <row r="463" spans="2:11" ht="19" customHeight="1">
      <c r="B463" s="464">
        <v>46032</v>
      </c>
      <c r="C463" s="436" t="s">
        <v>247</v>
      </c>
      <c r="D463" s="436" t="s">
        <v>248</v>
      </c>
      <c r="E463" s="436">
        <v>3</v>
      </c>
      <c r="F463" s="467">
        <v>1.65</v>
      </c>
      <c r="G463" s="466">
        <v>4.95</v>
      </c>
      <c r="H463" s="466">
        <f>G463/1.1</f>
        <v>4.5</v>
      </c>
      <c r="I463" s="436"/>
      <c r="J463" s="465">
        <v>0</v>
      </c>
      <c r="K463" s="467">
        <v>0</v>
      </c>
    </row>
    <row r="464" spans="2:11" ht="19" customHeight="1">
      <c r="B464" s="464">
        <v>46032</v>
      </c>
      <c r="C464" s="436" t="s">
        <v>247</v>
      </c>
      <c r="D464" s="436" t="s">
        <v>248</v>
      </c>
      <c r="E464" s="436">
        <v>2</v>
      </c>
      <c r="F464" s="467">
        <v>1.65</v>
      </c>
      <c r="G464" s="466">
        <v>3.3</v>
      </c>
      <c r="H464" s="466">
        <f>G464/1.1</f>
        <v>2.9999999999999996</v>
      </c>
      <c r="I464" s="436"/>
      <c r="J464" s="465">
        <v>0</v>
      </c>
      <c r="K464" s="467">
        <v>0</v>
      </c>
    </row>
    <row r="465" spans="2:11" ht="19" customHeight="1">
      <c r="B465" s="464">
        <v>46032</v>
      </c>
      <c r="C465" s="436" t="s">
        <v>276</v>
      </c>
      <c r="D465" s="436" t="s">
        <v>962</v>
      </c>
      <c r="E465" s="436">
        <v>1</v>
      </c>
      <c r="F465" s="467">
        <v>20.149999999999999</v>
      </c>
      <c r="G465" s="466">
        <v>20.149999999999999</v>
      </c>
      <c r="H465" s="466">
        <f>G465/1.1</f>
        <v>18.318181818181817</v>
      </c>
      <c r="I465" s="436"/>
      <c r="J465" s="465">
        <v>0</v>
      </c>
      <c r="K465" s="467">
        <v>0</v>
      </c>
    </row>
    <row r="466" spans="2:11" ht="19" customHeight="1">
      <c r="B466" s="464">
        <v>46032</v>
      </c>
      <c r="C466" s="436" t="s">
        <v>276</v>
      </c>
      <c r="D466" s="436" t="s">
        <v>963</v>
      </c>
      <c r="E466" s="436">
        <v>1</v>
      </c>
      <c r="F466" s="467">
        <v>4.75</v>
      </c>
      <c r="G466" s="466">
        <v>4.75</v>
      </c>
      <c r="H466" s="466">
        <f>G466/1.1</f>
        <v>4.3181818181818175</v>
      </c>
      <c r="I466" s="436"/>
      <c r="J466" s="465">
        <v>0</v>
      </c>
      <c r="K466" s="467">
        <v>0</v>
      </c>
    </row>
    <row r="467" spans="2:11" ht="19" customHeight="1">
      <c r="B467" s="464">
        <v>46032</v>
      </c>
      <c r="C467" s="436" t="s">
        <v>253</v>
      </c>
      <c r="D467" s="436" t="s">
        <v>804</v>
      </c>
      <c r="E467" s="436">
        <v>1</v>
      </c>
      <c r="F467" s="465">
        <v>2.95</v>
      </c>
      <c r="G467" s="466">
        <v>2.95</v>
      </c>
      <c r="H467" s="466">
        <f>G467/1.1</f>
        <v>2.6818181818181817</v>
      </c>
      <c r="I467" s="436"/>
      <c r="J467" s="465">
        <v>0</v>
      </c>
      <c r="K467" s="467">
        <v>0</v>
      </c>
    </row>
    <row r="468" spans="2:11" ht="19" customHeight="1">
      <c r="B468" s="464">
        <v>46032</v>
      </c>
      <c r="C468" s="436" t="s">
        <v>253</v>
      </c>
      <c r="D468" s="436" t="s">
        <v>964</v>
      </c>
      <c r="E468" s="436">
        <v>2</v>
      </c>
      <c r="F468" s="467">
        <v>2.95</v>
      </c>
      <c r="G468" s="466">
        <v>5.9</v>
      </c>
      <c r="H468" s="466">
        <f>G468/1.1</f>
        <v>5.3636363636363633</v>
      </c>
      <c r="I468" s="436"/>
      <c r="J468" s="465">
        <v>0</v>
      </c>
      <c r="K468" s="467">
        <v>0</v>
      </c>
    </row>
    <row r="469" spans="2:11" ht="19" customHeight="1">
      <c r="B469" s="464">
        <v>46032</v>
      </c>
      <c r="C469" s="436" t="s">
        <v>251</v>
      </c>
      <c r="D469" s="436" t="s">
        <v>927</v>
      </c>
      <c r="E469" s="436">
        <v>1</v>
      </c>
      <c r="F469" s="467">
        <v>2.65</v>
      </c>
      <c r="G469" s="466">
        <v>2.65</v>
      </c>
      <c r="H469" s="466">
        <f>G469/1.1</f>
        <v>2.4090909090909087</v>
      </c>
      <c r="I469" s="436"/>
      <c r="J469" s="465">
        <v>0</v>
      </c>
      <c r="K469" s="467">
        <v>0</v>
      </c>
    </row>
    <row r="470" spans="2:11" ht="19" customHeight="1">
      <c r="B470" s="464">
        <v>46032</v>
      </c>
      <c r="C470" s="436" t="s">
        <v>253</v>
      </c>
      <c r="D470" s="436" t="s">
        <v>676</v>
      </c>
      <c r="E470" s="436">
        <v>5</v>
      </c>
      <c r="F470" s="467">
        <v>2.95</v>
      </c>
      <c r="G470" s="466">
        <v>14.75</v>
      </c>
      <c r="H470" s="466">
        <f>G470/1.1</f>
        <v>13.409090909090908</v>
      </c>
      <c r="I470" s="436"/>
      <c r="J470" s="465">
        <v>0</v>
      </c>
      <c r="K470" s="467">
        <v>0</v>
      </c>
    </row>
    <row r="471" spans="2:11" ht="19" customHeight="1">
      <c r="B471" s="464">
        <v>46032</v>
      </c>
      <c r="C471" s="436" t="s">
        <v>251</v>
      </c>
      <c r="D471" s="436" t="s">
        <v>265</v>
      </c>
      <c r="E471" s="436">
        <v>4</v>
      </c>
      <c r="F471" s="467">
        <v>2.65</v>
      </c>
      <c r="G471" s="466">
        <v>10.6</v>
      </c>
      <c r="H471" s="466">
        <f>G471/1.1</f>
        <v>9.6363636363636349</v>
      </c>
      <c r="I471" s="436"/>
      <c r="J471" s="465">
        <v>0</v>
      </c>
      <c r="K471" s="467">
        <v>0</v>
      </c>
    </row>
    <row r="472" spans="2:11" ht="19" customHeight="1">
      <c r="B472" s="464">
        <v>46032</v>
      </c>
      <c r="C472" s="436" t="s">
        <v>253</v>
      </c>
      <c r="D472" s="436" t="s">
        <v>965</v>
      </c>
      <c r="E472" s="436">
        <v>1</v>
      </c>
      <c r="F472" s="467">
        <v>2.5</v>
      </c>
      <c r="G472" s="466">
        <v>2.5</v>
      </c>
      <c r="H472" s="466">
        <f>G472/1.1</f>
        <v>2.2727272727272725</v>
      </c>
      <c r="I472" s="436"/>
      <c r="J472" s="465">
        <v>0</v>
      </c>
      <c r="K472" s="467">
        <v>0</v>
      </c>
    </row>
    <row r="473" spans="2:11" ht="19" customHeight="1">
      <c r="B473" s="464">
        <v>46032</v>
      </c>
      <c r="C473" s="436" t="s">
        <v>253</v>
      </c>
      <c r="D473" s="436" t="s">
        <v>869</v>
      </c>
      <c r="E473" s="436">
        <v>1</v>
      </c>
      <c r="F473" s="467">
        <v>2.5</v>
      </c>
      <c r="G473" s="466">
        <v>2.5</v>
      </c>
      <c r="H473" s="466">
        <f>G473/1.1</f>
        <v>2.2727272727272725</v>
      </c>
      <c r="I473" s="436"/>
      <c r="J473" s="465">
        <v>0</v>
      </c>
      <c r="K473" s="467">
        <v>0</v>
      </c>
    </row>
    <row r="474" spans="2:11" ht="19" customHeight="1">
      <c r="B474" s="464">
        <v>46032</v>
      </c>
      <c r="C474" s="436" t="s">
        <v>251</v>
      </c>
      <c r="D474" s="436" t="s">
        <v>250</v>
      </c>
      <c r="E474" s="436">
        <v>4</v>
      </c>
      <c r="F474" s="465">
        <v>1.8</v>
      </c>
      <c r="G474" s="466">
        <v>7.2</v>
      </c>
      <c r="H474" s="466">
        <f>G474/1.1</f>
        <v>6.545454545454545</v>
      </c>
      <c r="I474" s="436"/>
      <c r="J474" s="465">
        <v>0</v>
      </c>
      <c r="K474" s="467">
        <v>0</v>
      </c>
    </row>
    <row r="475" spans="2:11" ht="19" customHeight="1">
      <c r="B475" s="464">
        <v>46032</v>
      </c>
      <c r="C475" s="436" t="s">
        <v>253</v>
      </c>
      <c r="D475" s="436" t="s">
        <v>869</v>
      </c>
      <c r="E475" s="436">
        <v>3</v>
      </c>
      <c r="F475" s="467">
        <v>2.5</v>
      </c>
      <c r="G475" s="466">
        <v>7.5</v>
      </c>
      <c r="H475" s="466">
        <f>G475/1.1</f>
        <v>6.8181818181818175</v>
      </c>
      <c r="I475" s="436"/>
      <c r="J475" s="465">
        <v>0</v>
      </c>
      <c r="K475" s="467">
        <v>0</v>
      </c>
    </row>
    <row r="476" spans="2:11" ht="19" customHeight="1">
      <c r="B476" s="464">
        <v>46032</v>
      </c>
      <c r="C476" s="436" t="s">
        <v>256</v>
      </c>
      <c r="D476" s="436" t="s">
        <v>966</v>
      </c>
      <c r="E476" s="436">
        <v>1</v>
      </c>
      <c r="F476" s="467">
        <v>7.45</v>
      </c>
      <c r="G476" s="466">
        <v>7.45</v>
      </c>
      <c r="H476" s="466">
        <f>G476/1.1</f>
        <v>6.7727272727272725</v>
      </c>
      <c r="I476" s="436"/>
      <c r="J476" s="465">
        <v>0</v>
      </c>
      <c r="K476" s="467">
        <v>0</v>
      </c>
    </row>
    <row r="477" spans="2:11" ht="19" customHeight="1">
      <c r="B477" s="464">
        <v>46032</v>
      </c>
      <c r="C477" s="436" t="s">
        <v>251</v>
      </c>
      <c r="D477" s="436" t="s">
        <v>742</v>
      </c>
      <c r="E477" s="436">
        <v>1</v>
      </c>
      <c r="F477" s="467">
        <v>2.75</v>
      </c>
      <c r="G477" s="466">
        <v>2.75</v>
      </c>
      <c r="H477" s="466">
        <f>G477/1.1</f>
        <v>2.5</v>
      </c>
      <c r="I477" s="436"/>
      <c r="J477" s="465">
        <v>0</v>
      </c>
      <c r="K477" s="467">
        <v>0</v>
      </c>
    </row>
    <row r="478" spans="2:11" ht="19" customHeight="1">
      <c r="B478" s="464">
        <v>46032</v>
      </c>
      <c r="C478" s="436" t="s">
        <v>253</v>
      </c>
      <c r="D478" s="436" t="s">
        <v>869</v>
      </c>
      <c r="E478" s="436">
        <v>2</v>
      </c>
      <c r="F478" s="467">
        <v>2.5</v>
      </c>
      <c r="G478" s="466">
        <v>5</v>
      </c>
      <c r="H478" s="466">
        <f>G478/1.1</f>
        <v>4.545454545454545</v>
      </c>
      <c r="I478" s="436"/>
      <c r="J478" s="465">
        <v>0</v>
      </c>
      <c r="K478" s="467">
        <v>0</v>
      </c>
    </row>
    <row r="479" spans="2:11" ht="19" customHeight="1">
      <c r="B479" s="464">
        <v>46032</v>
      </c>
      <c r="C479" s="436" t="s">
        <v>948</v>
      </c>
      <c r="D479" s="436" t="s">
        <v>836</v>
      </c>
      <c r="E479" s="436">
        <v>1</v>
      </c>
      <c r="F479" s="467">
        <v>8.6999999999999993</v>
      </c>
      <c r="G479" s="466">
        <v>8.6999999999999993</v>
      </c>
      <c r="H479" s="466">
        <f>G479/1.1</f>
        <v>7.9090909090909074</v>
      </c>
      <c r="I479" s="436"/>
      <c r="J479" s="465">
        <v>0</v>
      </c>
      <c r="K479" s="467">
        <v>0</v>
      </c>
    </row>
    <row r="480" spans="2:11" ht="19" customHeight="1">
      <c r="B480" s="464">
        <v>46032</v>
      </c>
      <c r="C480" s="436" t="s">
        <v>253</v>
      </c>
      <c r="D480" s="436" t="s">
        <v>869</v>
      </c>
      <c r="E480" s="436">
        <v>1</v>
      </c>
      <c r="F480" s="467">
        <v>2.5</v>
      </c>
      <c r="G480" s="466">
        <v>2.5</v>
      </c>
      <c r="H480" s="466">
        <f>G480/1.1</f>
        <v>2.2727272727272725</v>
      </c>
      <c r="I480" s="436"/>
      <c r="J480" s="465">
        <v>0</v>
      </c>
      <c r="K480" s="467">
        <v>0</v>
      </c>
    </row>
    <row r="481" spans="2:11" ht="19" customHeight="1">
      <c r="B481" s="464">
        <v>46032</v>
      </c>
      <c r="C481" s="436" t="s">
        <v>247</v>
      </c>
      <c r="D481" s="436" t="s">
        <v>246</v>
      </c>
      <c r="E481" s="436">
        <v>2</v>
      </c>
      <c r="F481" s="467">
        <v>1.7</v>
      </c>
      <c r="G481" s="466">
        <v>3.4</v>
      </c>
      <c r="H481" s="466">
        <f>G481/1.1</f>
        <v>3.0909090909090904</v>
      </c>
      <c r="I481" s="436"/>
      <c r="J481" s="465">
        <v>0</v>
      </c>
      <c r="K481" s="467">
        <v>0</v>
      </c>
    </row>
    <row r="482" spans="2:11" ht="19" customHeight="1">
      <c r="B482" s="464">
        <v>46032</v>
      </c>
      <c r="C482" s="436" t="s">
        <v>268</v>
      </c>
      <c r="D482" s="436" t="s">
        <v>267</v>
      </c>
      <c r="E482" s="436">
        <v>1</v>
      </c>
      <c r="F482" s="467">
        <v>1.5</v>
      </c>
      <c r="G482" s="466">
        <v>1.5</v>
      </c>
      <c r="H482" s="466">
        <f>G482/1.1</f>
        <v>1.3636363636363635</v>
      </c>
      <c r="I482" s="436"/>
      <c r="J482" s="465">
        <v>0</v>
      </c>
      <c r="K482" s="467">
        <v>0</v>
      </c>
    </row>
    <row r="483" spans="2:11" ht="19" customHeight="1">
      <c r="B483" s="464">
        <v>46033</v>
      </c>
      <c r="C483" s="436" t="s">
        <v>247</v>
      </c>
      <c r="D483" s="436" t="s">
        <v>246</v>
      </c>
      <c r="E483" s="436">
        <v>1</v>
      </c>
      <c r="F483" s="467">
        <v>1.7</v>
      </c>
      <c r="G483" s="466">
        <v>1.7</v>
      </c>
      <c r="H483" s="466">
        <f>G483/1.1</f>
        <v>1.5454545454545452</v>
      </c>
      <c r="I483" s="436"/>
      <c r="J483" s="465">
        <v>0</v>
      </c>
      <c r="K483" s="467">
        <v>0</v>
      </c>
    </row>
    <row r="484" spans="2:11" ht="19" customHeight="1">
      <c r="B484" s="464">
        <v>46033</v>
      </c>
      <c r="C484" s="436" t="s">
        <v>253</v>
      </c>
      <c r="D484" s="436" t="s">
        <v>869</v>
      </c>
      <c r="E484" s="436">
        <v>1</v>
      </c>
      <c r="F484" s="467">
        <v>2.5</v>
      </c>
      <c r="G484" s="466">
        <v>2.5</v>
      </c>
      <c r="H484" s="466">
        <f>G484/1.1</f>
        <v>2.2727272727272725</v>
      </c>
      <c r="I484" s="436"/>
      <c r="J484" s="465">
        <v>0</v>
      </c>
      <c r="K484" s="467">
        <v>0</v>
      </c>
    </row>
    <row r="485" spans="2:11" ht="19" customHeight="1">
      <c r="B485" s="464">
        <v>46033</v>
      </c>
      <c r="C485" s="436" t="s">
        <v>268</v>
      </c>
      <c r="D485" s="436" t="s">
        <v>267</v>
      </c>
      <c r="E485" s="436">
        <v>1</v>
      </c>
      <c r="F485" s="467">
        <v>1.5</v>
      </c>
      <c r="G485" s="466">
        <v>1.5</v>
      </c>
      <c r="H485" s="466">
        <f>G485/1.1</f>
        <v>1.3636363636363635</v>
      </c>
      <c r="I485" s="436"/>
      <c r="J485" s="465">
        <v>0</v>
      </c>
      <c r="K485" s="467">
        <v>0</v>
      </c>
    </row>
    <row r="486" spans="2:11" ht="19" customHeight="1">
      <c r="B486" s="464">
        <v>46033</v>
      </c>
      <c r="C486" s="436" t="s">
        <v>894</v>
      </c>
      <c r="D486" s="436" t="s">
        <v>950</v>
      </c>
      <c r="E486" s="436">
        <v>1</v>
      </c>
      <c r="F486" s="467">
        <v>5.7</v>
      </c>
      <c r="G486" s="466">
        <v>5.7</v>
      </c>
      <c r="H486" s="466">
        <f>G486/1.1</f>
        <v>5.1818181818181817</v>
      </c>
      <c r="I486" s="436"/>
      <c r="J486" s="465">
        <v>0</v>
      </c>
      <c r="K486" s="467">
        <v>0</v>
      </c>
    </row>
    <row r="487" spans="2:11" ht="19" customHeight="1">
      <c r="B487" s="464">
        <v>46033</v>
      </c>
      <c r="C487" s="436" t="s">
        <v>327</v>
      </c>
      <c r="D487" s="436" t="s">
        <v>723</v>
      </c>
      <c r="E487" s="436">
        <v>1</v>
      </c>
      <c r="F487" s="467">
        <v>3.1</v>
      </c>
      <c r="G487" s="466">
        <v>3.1</v>
      </c>
      <c r="H487" s="466">
        <f>G487/1.1</f>
        <v>2.8181818181818179</v>
      </c>
      <c r="I487" s="436"/>
      <c r="J487" s="465">
        <v>0</v>
      </c>
      <c r="K487" s="467">
        <v>0</v>
      </c>
    </row>
    <row r="488" spans="2:11" ht="19" customHeight="1">
      <c r="B488" s="464">
        <v>46033</v>
      </c>
      <c r="C488" s="436" t="s">
        <v>264</v>
      </c>
      <c r="D488" s="436" t="s">
        <v>967</v>
      </c>
      <c r="E488" s="436">
        <v>1</v>
      </c>
      <c r="F488" s="467">
        <v>0.7</v>
      </c>
      <c r="G488" s="466">
        <v>0.7</v>
      </c>
      <c r="H488" s="466">
        <f>G488/1.1</f>
        <v>0.63636363636363624</v>
      </c>
      <c r="I488" s="436"/>
      <c r="J488" s="465">
        <v>0</v>
      </c>
      <c r="K488" s="467">
        <v>0</v>
      </c>
    </row>
    <row r="489" spans="2:11" ht="19" customHeight="1">
      <c r="B489" s="464">
        <v>46033</v>
      </c>
      <c r="C489" s="436" t="s">
        <v>247</v>
      </c>
      <c r="D489" s="436" t="s">
        <v>246</v>
      </c>
      <c r="E489" s="436">
        <v>1</v>
      </c>
      <c r="F489" s="467">
        <v>1.7</v>
      </c>
      <c r="G489" s="466">
        <v>1.7</v>
      </c>
      <c r="H489" s="466">
        <f>G489/1.1</f>
        <v>1.5454545454545452</v>
      </c>
      <c r="I489" s="436"/>
      <c r="J489" s="465">
        <v>0</v>
      </c>
      <c r="K489" s="467">
        <v>0</v>
      </c>
    </row>
    <row r="490" spans="2:11" ht="19" customHeight="1">
      <c r="B490" s="464">
        <v>46033</v>
      </c>
      <c r="C490" s="436" t="s">
        <v>862</v>
      </c>
      <c r="D490" s="436" t="s">
        <v>899</v>
      </c>
      <c r="E490" s="436">
        <v>1</v>
      </c>
      <c r="F490" s="467">
        <v>0.05</v>
      </c>
      <c r="G490" s="466">
        <v>0.05</v>
      </c>
      <c r="H490" s="466">
        <f>G490/1.1</f>
        <v>4.5454545454545456E-2</v>
      </c>
      <c r="I490" s="436"/>
      <c r="J490" s="465">
        <v>0</v>
      </c>
      <c r="K490" s="467">
        <v>0</v>
      </c>
    </row>
    <row r="491" spans="2:11" ht="19" customHeight="1">
      <c r="B491" s="464">
        <v>46033</v>
      </c>
      <c r="C491" s="436" t="s">
        <v>268</v>
      </c>
      <c r="D491" s="436" t="s">
        <v>860</v>
      </c>
      <c r="E491" s="436">
        <v>2</v>
      </c>
      <c r="F491" s="467">
        <v>2.25</v>
      </c>
      <c r="G491" s="466">
        <v>4.5</v>
      </c>
      <c r="H491" s="466">
        <f>G491/1.1</f>
        <v>4.0909090909090908</v>
      </c>
      <c r="I491" s="436"/>
      <c r="J491" s="465">
        <v>0</v>
      </c>
      <c r="K491" s="467">
        <v>0</v>
      </c>
    </row>
    <row r="492" spans="2:11" ht="19" customHeight="1">
      <c r="B492" s="464">
        <v>46033</v>
      </c>
      <c r="C492" s="436" t="s">
        <v>256</v>
      </c>
      <c r="D492" s="436" t="s">
        <v>968</v>
      </c>
      <c r="E492" s="436">
        <v>1</v>
      </c>
      <c r="F492" s="467">
        <v>6.1</v>
      </c>
      <c r="G492" s="466">
        <v>6.1</v>
      </c>
      <c r="H492" s="466">
        <f>G492/1.1</f>
        <v>5.545454545454545</v>
      </c>
      <c r="I492" s="436"/>
      <c r="J492" s="465">
        <v>0</v>
      </c>
      <c r="K492" s="467">
        <v>0</v>
      </c>
    </row>
    <row r="493" spans="2:11" ht="19" customHeight="1">
      <c r="B493" s="464">
        <v>46033</v>
      </c>
      <c r="C493" s="436" t="s">
        <v>256</v>
      </c>
      <c r="D493" s="436" t="s">
        <v>814</v>
      </c>
      <c r="E493" s="436">
        <v>2</v>
      </c>
      <c r="F493" s="467">
        <v>5.4</v>
      </c>
      <c r="G493" s="466">
        <v>10.8</v>
      </c>
      <c r="H493" s="466">
        <f>G493/1.1</f>
        <v>9.8181818181818183</v>
      </c>
      <c r="I493" s="436"/>
      <c r="J493" s="465">
        <v>0</v>
      </c>
      <c r="K493" s="467">
        <v>0</v>
      </c>
    </row>
    <row r="494" spans="2:11" ht="19" customHeight="1">
      <c r="B494" s="464">
        <v>46033</v>
      </c>
      <c r="C494" s="436" t="s">
        <v>247</v>
      </c>
      <c r="D494" s="436" t="s">
        <v>248</v>
      </c>
      <c r="E494" s="436">
        <v>2</v>
      </c>
      <c r="F494" s="467">
        <v>1.5</v>
      </c>
      <c r="G494" s="466">
        <v>3</v>
      </c>
      <c r="H494" s="466">
        <f>G494/1.1</f>
        <v>2.7272727272727271</v>
      </c>
      <c r="I494" s="436"/>
      <c r="J494" s="465">
        <v>0</v>
      </c>
      <c r="K494" s="467">
        <v>0</v>
      </c>
    </row>
    <row r="495" spans="2:11" ht="19" customHeight="1">
      <c r="B495" s="464">
        <v>46033</v>
      </c>
      <c r="C495" s="436" t="s">
        <v>268</v>
      </c>
      <c r="D495" s="436" t="s">
        <v>859</v>
      </c>
      <c r="E495" s="436">
        <v>1</v>
      </c>
      <c r="F495" s="467">
        <v>0.75</v>
      </c>
      <c r="G495" s="466">
        <v>0.75</v>
      </c>
      <c r="H495" s="466">
        <f>G495/1.1</f>
        <v>0.68181818181818177</v>
      </c>
      <c r="I495" s="436"/>
      <c r="J495" s="465">
        <v>0</v>
      </c>
      <c r="K495" s="467">
        <v>0</v>
      </c>
    </row>
    <row r="496" spans="2:11" ht="19" customHeight="1">
      <c r="B496" s="464">
        <v>46033</v>
      </c>
      <c r="C496" s="436" t="s">
        <v>247</v>
      </c>
      <c r="D496" s="436" t="s">
        <v>246</v>
      </c>
      <c r="E496" s="436">
        <v>1</v>
      </c>
      <c r="F496" s="467">
        <v>1.7</v>
      </c>
      <c r="G496" s="466">
        <v>1.7</v>
      </c>
      <c r="H496" s="466">
        <f>G496/1.1</f>
        <v>1.5454545454545452</v>
      </c>
      <c r="I496" s="436"/>
      <c r="J496" s="465">
        <v>0</v>
      </c>
      <c r="K496" s="467">
        <v>0</v>
      </c>
    </row>
    <row r="497" spans="2:11" ht="19" customHeight="1">
      <c r="B497" s="464">
        <v>46033</v>
      </c>
      <c r="C497" s="436" t="s">
        <v>268</v>
      </c>
      <c r="D497" s="436" t="s">
        <v>860</v>
      </c>
      <c r="E497" s="436">
        <v>1</v>
      </c>
      <c r="F497" s="465">
        <v>2.25</v>
      </c>
      <c r="G497" s="466">
        <v>2.25</v>
      </c>
      <c r="H497" s="466">
        <f>G497/1.1</f>
        <v>2.0454545454545454</v>
      </c>
      <c r="I497" s="436"/>
      <c r="J497" s="465">
        <v>0</v>
      </c>
      <c r="K497" s="467">
        <v>0</v>
      </c>
    </row>
    <row r="498" spans="2:11" ht="19" customHeight="1">
      <c r="B498" s="464">
        <v>46033</v>
      </c>
      <c r="C498" s="436" t="s">
        <v>247</v>
      </c>
      <c r="D498" s="436" t="s">
        <v>902</v>
      </c>
      <c r="E498" s="436">
        <v>1</v>
      </c>
      <c r="F498" s="467">
        <v>1.95</v>
      </c>
      <c r="G498" s="466">
        <v>1.95</v>
      </c>
      <c r="H498" s="466">
        <f>G498/1.1</f>
        <v>1.7727272727272725</v>
      </c>
      <c r="I498" s="436"/>
      <c r="J498" s="465">
        <v>0</v>
      </c>
      <c r="K498" s="467">
        <v>0</v>
      </c>
    </row>
    <row r="499" spans="2:11" ht="19" customHeight="1">
      <c r="B499" s="464">
        <v>46033</v>
      </c>
      <c r="C499" s="436" t="s">
        <v>247</v>
      </c>
      <c r="D499" s="436" t="s">
        <v>246</v>
      </c>
      <c r="E499" s="436">
        <v>3</v>
      </c>
      <c r="F499" s="467">
        <v>1.7</v>
      </c>
      <c r="G499" s="466">
        <v>5.0999999999999996</v>
      </c>
      <c r="H499" s="466">
        <f>G499/1.1</f>
        <v>4.6363636363636358</v>
      </c>
      <c r="I499" s="436"/>
      <c r="J499" s="465">
        <v>0</v>
      </c>
      <c r="K499" s="467">
        <v>0</v>
      </c>
    </row>
    <row r="500" spans="2:11" ht="19" customHeight="1">
      <c r="B500" s="464">
        <v>46033</v>
      </c>
      <c r="C500" s="436" t="s">
        <v>327</v>
      </c>
      <c r="D500" s="436" t="s">
        <v>723</v>
      </c>
      <c r="E500" s="436">
        <v>2</v>
      </c>
      <c r="F500" s="467">
        <v>3.1</v>
      </c>
      <c r="G500" s="466">
        <v>6.2</v>
      </c>
      <c r="H500" s="466">
        <f>G500/1.1</f>
        <v>5.6363636363636358</v>
      </c>
      <c r="I500" s="436"/>
      <c r="J500" s="465">
        <v>0</v>
      </c>
      <c r="K500" s="467">
        <v>0</v>
      </c>
    </row>
    <row r="501" spans="2:11" ht="19" customHeight="1">
      <c r="B501" s="464">
        <v>46033</v>
      </c>
      <c r="C501" s="436" t="s">
        <v>862</v>
      </c>
      <c r="D501" s="436" t="s">
        <v>865</v>
      </c>
      <c r="E501" s="436">
        <v>2</v>
      </c>
      <c r="F501" s="467">
        <v>0.05</v>
      </c>
      <c r="G501" s="466">
        <v>0.1</v>
      </c>
      <c r="H501" s="466">
        <f>G501/1.1</f>
        <v>9.0909090909090912E-2</v>
      </c>
      <c r="I501" s="436"/>
      <c r="J501" s="465">
        <v>0</v>
      </c>
      <c r="K501" s="467">
        <v>0</v>
      </c>
    </row>
    <row r="502" spans="2:11" ht="19" customHeight="1">
      <c r="B502" s="464">
        <v>46033</v>
      </c>
      <c r="C502" s="436" t="s">
        <v>247</v>
      </c>
      <c r="D502" s="436" t="s">
        <v>246</v>
      </c>
      <c r="E502" s="436">
        <v>2</v>
      </c>
      <c r="F502" s="467">
        <v>1.7</v>
      </c>
      <c r="G502" s="466">
        <v>3.4</v>
      </c>
      <c r="H502" s="466">
        <f>G502/1.1</f>
        <v>3.0909090909090904</v>
      </c>
      <c r="I502" s="436"/>
      <c r="J502" s="465">
        <v>0</v>
      </c>
      <c r="K502" s="467">
        <v>0</v>
      </c>
    </row>
    <row r="503" spans="2:11" ht="19" customHeight="1">
      <c r="B503" s="464">
        <v>46033</v>
      </c>
      <c r="C503" s="436" t="s">
        <v>268</v>
      </c>
      <c r="D503" s="436" t="s">
        <v>858</v>
      </c>
      <c r="E503" s="436">
        <v>2</v>
      </c>
      <c r="F503" s="467">
        <v>0.65</v>
      </c>
      <c r="G503" s="466">
        <v>1.3</v>
      </c>
      <c r="H503" s="466">
        <f>G503/1.1</f>
        <v>1.1818181818181817</v>
      </c>
      <c r="I503" s="436"/>
      <c r="J503" s="465">
        <v>0</v>
      </c>
      <c r="K503" s="467">
        <v>0</v>
      </c>
    </row>
    <row r="504" spans="2:11" ht="19" customHeight="1">
      <c r="B504" s="464">
        <v>46033</v>
      </c>
      <c r="C504" s="436" t="s">
        <v>247</v>
      </c>
      <c r="D504" s="436" t="s">
        <v>248</v>
      </c>
      <c r="E504" s="436">
        <v>1</v>
      </c>
      <c r="F504" s="467">
        <v>1.5</v>
      </c>
      <c r="G504" s="466">
        <v>1.5</v>
      </c>
      <c r="H504" s="466">
        <f>G504/1.1</f>
        <v>1.3636363636363635</v>
      </c>
      <c r="I504" s="436"/>
      <c r="J504" s="465">
        <v>0</v>
      </c>
      <c r="K504" s="467">
        <v>0</v>
      </c>
    </row>
    <row r="505" spans="2:11" ht="19" customHeight="1">
      <c r="B505" s="464">
        <v>46033</v>
      </c>
      <c r="C505" s="436" t="s">
        <v>247</v>
      </c>
      <c r="D505" s="436" t="s">
        <v>257</v>
      </c>
      <c r="E505" s="436">
        <v>1</v>
      </c>
      <c r="F505" s="467">
        <v>1.4</v>
      </c>
      <c r="G505" s="466">
        <v>1.4</v>
      </c>
      <c r="H505" s="466">
        <f>G505/1.1</f>
        <v>1.2727272727272725</v>
      </c>
      <c r="I505" s="436"/>
      <c r="J505" s="465">
        <v>0</v>
      </c>
      <c r="K505" s="467">
        <v>0</v>
      </c>
    </row>
    <row r="506" spans="2:11" ht="19" customHeight="1">
      <c r="B506" s="464">
        <v>46036</v>
      </c>
      <c r="C506" s="436" t="s">
        <v>247</v>
      </c>
      <c r="D506" s="436" t="s">
        <v>246</v>
      </c>
      <c r="E506" s="436">
        <v>1</v>
      </c>
      <c r="F506" s="467">
        <v>1.7</v>
      </c>
      <c r="G506" s="466">
        <v>1.7</v>
      </c>
      <c r="H506" s="466">
        <f>G506/1.1</f>
        <v>1.5454545454545452</v>
      </c>
      <c r="I506" s="436"/>
      <c r="J506" s="465">
        <v>0</v>
      </c>
      <c r="K506" s="467">
        <v>0</v>
      </c>
    </row>
    <row r="507" spans="2:11" ht="19" customHeight="1">
      <c r="B507" s="464">
        <v>46036</v>
      </c>
      <c r="C507" s="436" t="s">
        <v>247</v>
      </c>
      <c r="D507" s="436" t="s">
        <v>246</v>
      </c>
      <c r="E507" s="436">
        <v>1</v>
      </c>
      <c r="F507" s="467">
        <v>1.7</v>
      </c>
      <c r="G507" s="466">
        <v>1.7</v>
      </c>
      <c r="H507" s="466">
        <f>G507/1.1</f>
        <v>1.5454545454545452</v>
      </c>
      <c r="I507" s="436"/>
      <c r="J507" s="465">
        <v>0</v>
      </c>
      <c r="K507" s="467">
        <v>0</v>
      </c>
    </row>
    <row r="508" spans="2:11" ht="19" customHeight="1">
      <c r="B508" s="464">
        <v>46036</v>
      </c>
      <c r="C508" s="436" t="s">
        <v>862</v>
      </c>
      <c r="D508" s="436" t="s">
        <v>907</v>
      </c>
      <c r="E508" s="436">
        <v>1</v>
      </c>
      <c r="F508" s="467">
        <v>0.15</v>
      </c>
      <c r="G508" s="466">
        <v>0.15</v>
      </c>
      <c r="H508" s="466">
        <f>G508/1.1</f>
        <v>0.13636363636363635</v>
      </c>
      <c r="I508" s="436"/>
      <c r="J508" s="465">
        <v>0</v>
      </c>
      <c r="K508" s="467">
        <v>0</v>
      </c>
    </row>
    <row r="509" spans="2:11" ht="19" customHeight="1">
      <c r="B509" s="464">
        <v>46036</v>
      </c>
      <c r="C509" s="436" t="s">
        <v>253</v>
      </c>
      <c r="D509" s="436" t="s">
        <v>969</v>
      </c>
      <c r="E509" s="436">
        <v>2</v>
      </c>
      <c r="F509" s="467">
        <v>3.35</v>
      </c>
      <c r="G509" s="466">
        <v>6.7</v>
      </c>
      <c r="H509" s="466">
        <f>G509/1.1</f>
        <v>6.0909090909090908</v>
      </c>
      <c r="I509" s="436"/>
      <c r="J509" s="465">
        <v>0</v>
      </c>
      <c r="K509" s="467">
        <v>0</v>
      </c>
    </row>
    <row r="510" spans="2:11" ht="19" customHeight="1">
      <c r="B510" s="464">
        <v>46036</v>
      </c>
      <c r="C510" s="436" t="s">
        <v>254</v>
      </c>
      <c r="D510" s="436" t="s">
        <v>254</v>
      </c>
      <c r="E510" s="436">
        <v>1</v>
      </c>
      <c r="F510" s="467">
        <v>14.9</v>
      </c>
      <c r="G510" s="466">
        <v>14.9</v>
      </c>
      <c r="H510" s="466">
        <f>G510/1.1</f>
        <v>13.545454545454545</v>
      </c>
      <c r="I510" s="436"/>
      <c r="J510" s="465">
        <v>0</v>
      </c>
      <c r="K510" s="467">
        <v>0</v>
      </c>
    </row>
    <row r="511" spans="2:11" ht="19" customHeight="1">
      <c r="B511" s="464">
        <v>46036</v>
      </c>
      <c r="C511" s="436" t="s">
        <v>873</v>
      </c>
      <c r="D511" s="436" t="s">
        <v>970</v>
      </c>
      <c r="E511" s="436">
        <v>1</v>
      </c>
      <c r="F511" s="469"/>
      <c r="G511" s="468" t="s">
        <v>875</v>
      </c>
      <c r="H511" s="466" t="e">
        <f>G511/1.1</f>
        <v>#VALUE!</v>
      </c>
      <c r="I511" s="436"/>
      <c r="J511" s="465">
        <v>0</v>
      </c>
      <c r="K511" s="467">
        <v>0</v>
      </c>
    </row>
    <row r="512" spans="2:11" ht="19" customHeight="1">
      <c r="B512" s="464">
        <v>46036</v>
      </c>
      <c r="C512" s="436" t="s">
        <v>877</v>
      </c>
      <c r="D512" s="436" t="s">
        <v>971</v>
      </c>
      <c r="E512" s="436">
        <v>1</v>
      </c>
      <c r="F512" s="465">
        <v>3</v>
      </c>
      <c r="G512" s="466">
        <v>3</v>
      </c>
      <c r="H512" s="466">
        <f>G512/1.1</f>
        <v>2.7272727272727271</v>
      </c>
      <c r="I512" s="436"/>
      <c r="J512" s="465">
        <v>0</v>
      </c>
      <c r="K512" s="467">
        <v>0</v>
      </c>
    </row>
    <row r="513" spans="2:11" ht="19" customHeight="1">
      <c r="B513" s="464">
        <v>46036</v>
      </c>
      <c r="C513" s="436" t="s">
        <v>266</v>
      </c>
      <c r="D513" s="436" t="s">
        <v>926</v>
      </c>
      <c r="E513" s="436">
        <v>1</v>
      </c>
      <c r="F513" s="467">
        <v>1</v>
      </c>
      <c r="G513" s="466">
        <v>1</v>
      </c>
      <c r="H513" s="466">
        <f>G513/1.1</f>
        <v>0.90909090909090906</v>
      </c>
      <c r="I513" s="436"/>
      <c r="J513" s="465">
        <v>0</v>
      </c>
      <c r="K513" s="467">
        <v>0</v>
      </c>
    </row>
    <row r="514" spans="2:11" ht="19" customHeight="1">
      <c r="B514" s="464">
        <v>46036</v>
      </c>
      <c r="C514" s="436" t="s">
        <v>258</v>
      </c>
      <c r="D514" s="436" t="s">
        <v>972</v>
      </c>
      <c r="E514" s="436">
        <v>1</v>
      </c>
      <c r="F514" s="436"/>
      <c r="G514" s="468" t="s">
        <v>875</v>
      </c>
      <c r="H514" s="466" t="e">
        <f>G514/1.1</f>
        <v>#VALUE!</v>
      </c>
      <c r="I514" s="436"/>
      <c r="J514" s="465">
        <v>0</v>
      </c>
      <c r="K514" s="467">
        <v>0</v>
      </c>
    </row>
    <row r="515" spans="2:11" ht="19" customHeight="1">
      <c r="B515" s="464">
        <v>46036</v>
      </c>
      <c r="C515" s="436" t="s">
        <v>254</v>
      </c>
      <c r="D515" s="436" t="s">
        <v>254</v>
      </c>
      <c r="E515" s="436">
        <v>1</v>
      </c>
      <c r="F515" s="467">
        <v>14.9</v>
      </c>
      <c r="G515" s="466">
        <v>14.9</v>
      </c>
      <c r="H515" s="466">
        <f>G515/1.1</f>
        <v>13.545454545454545</v>
      </c>
      <c r="I515" s="436"/>
      <c r="J515" s="465">
        <v>0</v>
      </c>
      <c r="K515" s="467">
        <v>0</v>
      </c>
    </row>
    <row r="516" spans="2:11" ht="19" customHeight="1">
      <c r="B516" s="464">
        <v>46036</v>
      </c>
      <c r="C516" s="436" t="s">
        <v>873</v>
      </c>
      <c r="D516" s="436" t="s">
        <v>726</v>
      </c>
      <c r="E516" s="436">
        <v>1</v>
      </c>
      <c r="F516" s="467">
        <v>3</v>
      </c>
      <c r="G516" s="466">
        <v>3</v>
      </c>
      <c r="H516" s="466">
        <f>G516/1.1</f>
        <v>2.7272727272727271</v>
      </c>
      <c r="I516" s="436"/>
      <c r="J516" s="465">
        <v>0</v>
      </c>
      <c r="K516" s="467">
        <v>0</v>
      </c>
    </row>
    <row r="517" spans="2:11" ht="19" customHeight="1">
      <c r="B517" s="464">
        <v>46036</v>
      </c>
      <c r="C517" s="436" t="s">
        <v>877</v>
      </c>
      <c r="D517" s="436" t="s">
        <v>973</v>
      </c>
      <c r="E517" s="436">
        <v>1</v>
      </c>
      <c r="F517" s="436"/>
      <c r="G517" s="468" t="s">
        <v>875</v>
      </c>
      <c r="H517" s="466" t="e">
        <f>G517/1.1</f>
        <v>#VALUE!</v>
      </c>
      <c r="I517" s="436"/>
      <c r="J517" s="465">
        <v>0</v>
      </c>
      <c r="K517" s="467">
        <v>0</v>
      </c>
    </row>
    <row r="518" spans="2:11" ht="19" customHeight="1">
      <c r="B518" s="464">
        <v>46036</v>
      </c>
      <c r="C518" s="436" t="s">
        <v>266</v>
      </c>
      <c r="D518" s="436" t="s">
        <v>265</v>
      </c>
      <c r="E518" s="436">
        <v>1</v>
      </c>
      <c r="F518" s="436"/>
      <c r="G518" s="468" t="s">
        <v>875</v>
      </c>
      <c r="H518" s="466" t="e">
        <f>G518/1.1</f>
        <v>#VALUE!</v>
      </c>
      <c r="I518" s="436"/>
      <c r="J518" s="465">
        <v>0</v>
      </c>
      <c r="K518" s="467">
        <v>0</v>
      </c>
    </row>
    <row r="519" spans="2:11" ht="19" customHeight="1">
      <c r="B519" s="464">
        <v>46036</v>
      </c>
      <c r="C519" s="436" t="s">
        <v>258</v>
      </c>
      <c r="D519" s="436" t="s">
        <v>882</v>
      </c>
      <c r="E519" s="436">
        <v>1</v>
      </c>
      <c r="F519" s="469"/>
      <c r="G519" s="468" t="s">
        <v>875</v>
      </c>
      <c r="H519" s="466" t="e">
        <f>G519/1.1</f>
        <v>#VALUE!</v>
      </c>
      <c r="I519" s="436"/>
      <c r="J519" s="465">
        <v>0</v>
      </c>
      <c r="K519" s="467">
        <v>0</v>
      </c>
    </row>
    <row r="520" spans="2:11" ht="19" customHeight="1">
      <c r="B520" s="464">
        <v>46036</v>
      </c>
      <c r="C520" s="436" t="s">
        <v>247</v>
      </c>
      <c r="D520" s="436" t="s">
        <v>246</v>
      </c>
      <c r="E520" s="436">
        <v>1</v>
      </c>
      <c r="F520" s="465">
        <v>1.7</v>
      </c>
      <c r="G520" s="466">
        <v>1.7</v>
      </c>
      <c r="H520" s="466">
        <f>G520/1.1</f>
        <v>1.5454545454545452</v>
      </c>
      <c r="I520" s="436"/>
      <c r="J520" s="465">
        <v>0</v>
      </c>
      <c r="K520" s="467">
        <v>0</v>
      </c>
    </row>
    <row r="521" spans="2:11" ht="19" customHeight="1">
      <c r="B521" s="464">
        <v>46036</v>
      </c>
      <c r="C521" s="436" t="s">
        <v>251</v>
      </c>
      <c r="D521" s="436" t="s">
        <v>265</v>
      </c>
      <c r="E521" s="436">
        <v>1</v>
      </c>
      <c r="F521" s="465">
        <v>2.65</v>
      </c>
      <c r="G521" s="466">
        <v>2.65</v>
      </c>
      <c r="H521" s="466">
        <f>G521/1.1</f>
        <v>2.4090909090909087</v>
      </c>
      <c r="I521" s="436"/>
      <c r="J521" s="465">
        <v>0</v>
      </c>
      <c r="K521" s="467">
        <v>0</v>
      </c>
    </row>
    <row r="522" spans="2:11" ht="19" customHeight="1">
      <c r="B522" s="464">
        <v>46036</v>
      </c>
      <c r="C522" s="436" t="s">
        <v>323</v>
      </c>
      <c r="D522" s="436" t="s">
        <v>726</v>
      </c>
      <c r="E522" s="436">
        <v>1</v>
      </c>
      <c r="F522" s="467">
        <v>12.65</v>
      </c>
      <c r="G522" s="466">
        <v>12.65</v>
      </c>
      <c r="H522" s="466">
        <f>G522/1.1</f>
        <v>11.5</v>
      </c>
      <c r="I522" s="436"/>
      <c r="J522" s="465">
        <v>0</v>
      </c>
      <c r="K522" s="467">
        <v>0</v>
      </c>
    </row>
    <row r="523" spans="2:11" ht="19" customHeight="1">
      <c r="B523" s="464">
        <v>46036</v>
      </c>
      <c r="C523" s="436" t="s">
        <v>254</v>
      </c>
      <c r="D523" s="436" t="s">
        <v>254</v>
      </c>
      <c r="E523" s="436">
        <v>1</v>
      </c>
      <c r="F523" s="467">
        <v>14.9</v>
      </c>
      <c r="G523" s="466">
        <v>14.9</v>
      </c>
      <c r="H523" s="466">
        <f>G523/1.1</f>
        <v>13.545454545454545</v>
      </c>
      <c r="I523" s="436"/>
      <c r="J523" s="465">
        <v>0</v>
      </c>
      <c r="K523" s="467">
        <v>0</v>
      </c>
    </row>
    <row r="524" spans="2:11" ht="19" customHeight="1">
      <c r="B524" s="464">
        <v>46036</v>
      </c>
      <c r="C524" s="436" t="s">
        <v>873</v>
      </c>
      <c r="D524" s="436" t="s">
        <v>974</v>
      </c>
      <c r="E524" s="436">
        <v>1</v>
      </c>
      <c r="F524" s="469"/>
      <c r="G524" s="468" t="s">
        <v>875</v>
      </c>
      <c r="H524" s="466" t="e">
        <f>G524/1.1</f>
        <v>#VALUE!</v>
      </c>
      <c r="I524" s="436"/>
      <c r="J524" s="465">
        <v>0</v>
      </c>
      <c r="K524" s="467">
        <v>0</v>
      </c>
    </row>
    <row r="525" spans="2:11" ht="19" customHeight="1">
      <c r="B525" s="464">
        <v>46036</v>
      </c>
      <c r="C525" s="436" t="s">
        <v>877</v>
      </c>
      <c r="D525" s="436" t="s">
        <v>975</v>
      </c>
      <c r="E525" s="436">
        <v>1</v>
      </c>
      <c r="F525" s="436"/>
      <c r="G525" s="468" t="s">
        <v>875</v>
      </c>
      <c r="H525" s="466" t="e">
        <f>G525/1.1</f>
        <v>#VALUE!</v>
      </c>
      <c r="I525" s="436"/>
      <c r="J525" s="465">
        <v>0</v>
      </c>
      <c r="K525" s="467">
        <v>0</v>
      </c>
    </row>
    <row r="526" spans="2:11" ht="19" customHeight="1">
      <c r="B526" s="464">
        <v>46036</v>
      </c>
      <c r="C526" s="436" t="s">
        <v>266</v>
      </c>
      <c r="D526" s="436" t="s">
        <v>976</v>
      </c>
      <c r="E526" s="436">
        <v>1</v>
      </c>
      <c r="F526" s="465">
        <v>1</v>
      </c>
      <c r="G526" s="466">
        <v>1</v>
      </c>
      <c r="H526" s="466">
        <f>G526/1.1</f>
        <v>0.90909090909090906</v>
      </c>
      <c r="I526" s="436"/>
      <c r="J526" s="465">
        <v>0</v>
      </c>
      <c r="K526" s="467">
        <v>0</v>
      </c>
    </row>
    <row r="527" spans="2:11" ht="19" customHeight="1">
      <c r="B527" s="464">
        <v>46036</v>
      </c>
      <c r="C527" s="436" t="s">
        <v>258</v>
      </c>
      <c r="D527" s="436" t="s">
        <v>917</v>
      </c>
      <c r="E527" s="436">
        <v>1</v>
      </c>
      <c r="F527" s="469"/>
      <c r="G527" s="468" t="s">
        <v>875</v>
      </c>
      <c r="H527" s="466" t="e">
        <f>G527/1.1</f>
        <v>#VALUE!</v>
      </c>
      <c r="I527" s="436"/>
      <c r="J527" s="465">
        <v>0</v>
      </c>
      <c r="K527" s="467">
        <v>0</v>
      </c>
    </row>
    <row r="528" spans="2:11" ht="19" customHeight="1">
      <c r="B528" s="464">
        <v>46036</v>
      </c>
      <c r="C528" s="436" t="s">
        <v>247</v>
      </c>
      <c r="D528" s="436" t="s">
        <v>248</v>
      </c>
      <c r="E528" s="436">
        <v>2</v>
      </c>
      <c r="F528" s="465">
        <v>1.5</v>
      </c>
      <c r="G528" s="466">
        <v>3</v>
      </c>
      <c r="H528" s="466">
        <f>G528/1.1</f>
        <v>2.7272727272727271</v>
      </c>
      <c r="I528" s="436"/>
      <c r="J528" s="465">
        <v>0</v>
      </c>
      <c r="K528" s="467">
        <v>0</v>
      </c>
    </row>
    <row r="529" spans="2:11" ht="19" customHeight="1">
      <c r="B529" s="464">
        <v>46036</v>
      </c>
      <c r="C529" s="436" t="s">
        <v>247</v>
      </c>
      <c r="D529" s="436" t="s">
        <v>248</v>
      </c>
      <c r="E529" s="436">
        <v>1</v>
      </c>
      <c r="F529" s="467">
        <v>1.5</v>
      </c>
      <c r="G529" s="466">
        <v>1.5</v>
      </c>
      <c r="H529" s="466">
        <f>G529/1.1</f>
        <v>1.3636363636363635</v>
      </c>
      <c r="I529" s="436"/>
      <c r="J529" s="465">
        <v>0</v>
      </c>
      <c r="K529" s="467">
        <v>0</v>
      </c>
    </row>
    <row r="530" spans="2:11" ht="19" customHeight="1">
      <c r="B530" s="464">
        <v>46036</v>
      </c>
      <c r="C530" s="436" t="s">
        <v>253</v>
      </c>
      <c r="D530" s="436" t="s">
        <v>869</v>
      </c>
      <c r="E530" s="436">
        <v>1</v>
      </c>
      <c r="F530" s="465">
        <v>2.15</v>
      </c>
      <c r="G530" s="466">
        <v>2.15</v>
      </c>
      <c r="H530" s="466">
        <f>G530/1.1</f>
        <v>1.9545454545454544</v>
      </c>
      <c r="I530" s="436"/>
      <c r="J530" s="465">
        <v>0</v>
      </c>
      <c r="K530" s="467">
        <v>0</v>
      </c>
    </row>
    <row r="531" spans="2:11" ht="19" customHeight="1">
      <c r="B531" s="464">
        <v>46036</v>
      </c>
      <c r="C531" s="436" t="s">
        <v>247</v>
      </c>
      <c r="D531" s="436" t="s">
        <v>919</v>
      </c>
      <c r="E531" s="436">
        <v>1</v>
      </c>
      <c r="F531" s="467">
        <v>1.7</v>
      </c>
      <c r="G531" s="466">
        <v>1.7</v>
      </c>
      <c r="H531" s="466">
        <f>G531/1.1</f>
        <v>1.5454545454545452</v>
      </c>
      <c r="I531" s="436"/>
      <c r="J531" s="465">
        <v>0</v>
      </c>
      <c r="K531" s="467">
        <v>0</v>
      </c>
    </row>
    <row r="532" spans="2:11" ht="19" customHeight="1">
      <c r="B532" s="464">
        <v>46036</v>
      </c>
      <c r="C532" s="436" t="s">
        <v>254</v>
      </c>
      <c r="D532" s="436" t="s">
        <v>254</v>
      </c>
      <c r="E532" s="436">
        <v>3</v>
      </c>
      <c r="F532" s="467">
        <v>14.9</v>
      </c>
      <c r="G532" s="466">
        <v>44.7</v>
      </c>
      <c r="H532" s="466">
        <f>G532/1.1</f>
        <v>40.636363636363633</v>
      </c>
      <c r="I532" s="436"/>
      <c r="J532" s="465">
        <v>0</v>
      </c>
      <c r="K532" s="467">
        <v>0</v>
      </c>
    </row>
    <row r="533" spans="2:11" ht="19" customHeight="1">
      <c r="B533" s="464">
        <v>46036</v>
      </c>
      <c r="C533" s="436" t="s">
        <v>873</v>
      </c>
      <c r="D533" s="436" t="s">
        <v>974</v>
      </c>
      <c r="E533" s="436">
        <v>1</v>
      </c>
      <c r="F533" s="469"/>
      <c r="G533" s="468" t="s">
        <v>875</v>
      </c>
      <c r="H533" s="466" t="e">
        <f>G533/1.1</f>
        <v>#VALUE!</v>
      </c>
      <c r="I533" s="436"/>
      <c r="J533" s="465">
        <v>0</v>
      </c>
      <c r="K533" s="467">
        <v>0</v>
      </c>
    </row>
    <row r="534" spans="2:11" ht="19" customHeight="1">
      <c r="B534" s="464">
        <v>46036</v>
      </c>
      <c r="C534" s="436" t="s">
        <v>873</v>
      </c>
      <c r="D534" s="436" t="s">
        <v>977</v>
      </c>
      <c r="E534" s="436">
        <v>2</v>
      </c>
      <c r="F534" s="436"/>
      <c r="G534" s="468" t="s">
        <v>875</v>
      </c>
      <c r="H534" s="466" t="e">
        <f>G534/1.1</f>
        <v>#VALUE!</v>
      </c>
      <c r="I534" s="436"/>
      <c r="J534" s="465">
        <v>0</v>
      </c>
      <c r="K534" s="467">
        <v>0</v>
      </c>
    </row>
    <row r="535" spans="2:11" ht="19" customHeight="1">
      <c r="B535" s="464">
        <v>46036</v>
      </c>
      <c r="C535" s="436" t="s">
        <v>877</v>
      </c>
      <c r="D535" s="436" t="s">
        <v>978</v>
      </c>
      <c r="E535" s="436">
        <v>2</v>
      </c>
      <c r="F535" s="436"/>
      <c r="G535" s="468" t="s">
        <v>875</v>
      </c>
      <c r="H535" s="466" t="e">
        <f>G535/1.1</f>
        <v>#VALUE!</v>
      </c>
      <c r="I535" s="436"/>
      <c r="J535" s="465">
        <v>0</v>
      </c>
      <c r="K535" s="467">
        <v>0</v>
      </c>
    </row>
    <row r="536" spans="2:11" ht="19" customHeight="1">
      <c r="B536" s="464">
        <v>46036</v>
      </c>
      <c r="C536" s="436" t="s">
        <v>266</v>
      </c>
      <c r="D536" s="436" t="s">
        <v>979</v>
      </c>
      <c r="E536" s="436">
        <v>1</v>
      </c>
      <c r="F536" s="467">
        <v>1</v>
      </c>
      <c r="G536" s="466">
        <v>1</v>
      </c>
      <c r="H536" s="466">
        <f>G536/1.1</f>
        <v>0.90909090909090906</v>
      </c>
      <c r="I536" s="436"/>
      <c r="J536" s="465">
        <v>0</v>
      </c>
      <c r="K536" s="467">
        <v>0</v>
      </c>
    </row>
    <row r="537" spans="2:11" ht="19" customHeight="1">
      <c r="B537" s="464">
        <v>46036</v>
      </c>
      <c r="C537" s="436" t="s">
        <v>266</v>
      </c>
      <c r="D537" s="436" t="s">
        <v>250</v>
      </c>
      <c r="E537" s="436">
        <v>1</v>
      </c>
      <c r="F537" s="436"/>
      <c r="G537" s="468" t="s">
        <v>875</v>
      </c>
      <c r="H537" s="466" t="e">
        <f>G537/1.1</f>
        <v>#VALUE!</v>
      </c>
      <c r="I537" s="436"/>
      <c r="J537" s="465">
        <v>0</v>
      </c>
      <c r="K537" s="467">
        <v>0</v>
      </c>
    </row>
    <row r="538" spans="2:11" ht="19" customHeight="1">
      <c r="B538" s="464">
        <v>46036</v>
      </c>
      <c r="C538" s="436" t="s">
        <v>266</v>
      </c>
      <c r="D538" s="436" t="s">
        <v>980</v>
      </c>
      <c r="E538" s="436">
        <v>1</v>
      </c>
      <c r="F538" s="436"/>
      <c r="G538" s="468" t="s">
        <v>875</v>
      </c>
      <c r="H538" s="466" t="e">
        <f>G538/1.1</f>
        <v>#VALUE!</v>
      </c>
      <c r="I538" s="436"/>
      <c r="J538" s="465">
        <v>0</v>
      </c>
      <c r="K538" s="467">
        <v>0</v>
      </c>
    </row>
    <row r="539" spans="2:11" ht="19" customHeight="1">
      <c r="B539" s="464">
        <v>46036</v>
      </c>
      <c r="C539" s="436" t="s">
        <v>258</v>
      </c>
      <c r="D539" s="436" t="s">
        <v>917</v>
      </c>
      <c r="E539" s="436">
        <v>1</v>
      </c>
      <c r="F539" s="436"/>
      <c r="G539" s="468" t="s">
        <v>875</v>
      </c>
      <c r="H539" s="466" t="e">
        <f>G539/1.1</f>
        <v>#VALUE!</v>
      </c>
      <c r="I539" s="436"/>
      <c r="J539" s="465">
        <v>0</v>
      </c>
      <c r="K539" s="467">
        <v>0</v>
      </c>
    </row>
    <row r="540" spans="2:11" ht="19" customHeight="1">
      <c r="B540" s="464">
        <v>46036</v>
      </c>
      <c r="C540" s="436" t="s">
        <v>258</v>
      </c>
      <c r="D540" s="436" t="s">
        <v>248</v>
      </c>
      <c r="E540" s="436">
        <v>2</v>
      </c>
      <c r="F540" s="436"/>
      <c r="G540" s="468" t="s">
        <v>875</v>
      </c>
      <c r="H540" s="466" t="e">
        <f>G540/1.1</f>
        <v>#VALUE!</v>
      </c>
      <c r="I540" s="436"/>
      <c r="J540" s="465">
        <v>0</v>
      </c>
      <c r="K540" s="467">
        <v>0</v>
      </c>
    </row>
    <row r="541" spans="2:11" ht="19" customHeight="1">
      <c r="B541" s="464">
        <v>46036</v>
      </c>
      <c r="C541" s="436" t="s">
        <v>247</v>
      </c>
      <c r="D541" s="436" t="s">
        <v>257</v>
      </c>
      <c r="E541" s="436">
        <v>1</v>
      </c>
      <c r="F541" s="467">
        <v>1.4</v>
      </c>
      <c r="G541" s="466">
        <v>1.4</v>
      </c>
      <c r="H541" s="466">
        <f>G541/1.1</f>
        <v>1.2727272727272725</v>
      </c>
      <c r="I541" s="436"/>
      <c r="J541" s="465">
        <v>0</v>
      </c>
      <c r="K541" s="467">
        <v>0</v>
      </c>
    </row>
    <row r="542" spans="2:11" ht="19" customHeight="1">
      <c r="B542" s="464">
        <v>46036</v>
      </c>
      <c r="C542" s="436" t="s">
        <v>251</v>
      </c>
      <c r="D542" s="436" t="s">
        <v>854</v>
      </c>
      <c r="E542" s="436">
        <v>1</v>
      </c>
      <c r="F542" s="467">
        <v>1.55</v>
      </c>
      <c r="G542" s="466">
        <v>1.55</v>
      </c>
      <c r="H542" s="466">
        <f>G542/1.1</f>
        <v>1.4090909090909089</v>
      </c>
      <c r="I542" s="436"/>
      <c r="J542" s="465">
        <v>0</v>
      </c>
      <c r="K542" s="467">
        <v>0</v>
      </c>
    </row>
    <row r="543" spans="2:11" ht="19" customHeight="1">
      <c r="B543" s="464">
        <v>46036</v>
      </c>
      <c r="C543" s="436" t="s">
        <v>256</v>
      </c>
      <c r="D543" s="436" t="s">
        <v>814</v>
      </c>
      <c r="E543" s="436">
        <v>1</v>
      </c>
      <c r="F543" s="467">
        <v>5.4</v>
      </c>
      <c r="G543" s="466">
        <v>5.4</v>
      </c>
      <c r="H543" s="466">
        <f>G543/1.1</f>
        <v>4.9090909090909092</v>
      </c>
      <c r="I543" s="436"/>
      <c r="J543" s="465">
        <v>0</v>
      </c>
      <c r="K543" s="467">
        <v>0</v>
      </c>
    </row>
    <row r="544" spans="2:11" ht="19" customHeight="1">
      <c r="B544" s="464">
        <v>46036</v>
      </c>
      <c r="C544" s="436" t="s">
        <v>247</v>
      </c>
      <c r="D544" s="436" t="s">
        <v>902</v>
      </c>
      <c r="E544" s="436">
        <v>1</v>
      </c>
      <c r="F544" s="467">
        <v>1.95</v>
      </c>
      <c r="G544" s="466">
        <v>1.95</v>
      </c>
      <c r="H544" s="466">
        <f>G544/1.1</f>
        <v>1.7727272727272725</v>
      </c>
      <c r="I544" s="436"/>
      <c r="J544" s="465">
        <v>0</v>
      </c>
      <c r="K544" s="467">
        <v>0</v>
      </c>
    </row>
    <row r="545" spans="2:11" ht="19" customHeight="1">
      <c r="B545" s="464">
        <v>46036</v>
      </c>
      <c r="C545" s="436" t="s">
        <v>247</v>
      </c>
      <c r="D545" s="436" t="s">
        <v>248</v>
      </c>
      <c r="E545" s="436">
        <v>1</v>
      </c>
      <c r="F545" s="467">
        <v>1.5</v>
      </c>
      <c r="G545" s="466">
        <v>1.5</v>
      </c>
      <c r="H545" s="466">
        <f>G545/1.1</f>
        <v>1.3636363636363635</v>
      </c>
      <c r="I545" s="436"/>
      <c r="J545" s="465">
        <v>0</v>
      </c>
      <c r="K545" s="467">
        <v>0</v>
      </c>
    </row>
    <row r="546" spans="2:11" ht="19" customHeight="1">
      <c r="B546" s="464">
        <v>46036</v>
      </c>
      <c r="C546" s="436" t="s">
        <v>268</v>
      </c>
      <c r="D546" s="436" t="s">
        <v>858</v>
      </c>
      <c r="E546" s="436">
        <v>2</v>
      </c>
      <c r="F546" s="467">
        <v>0.65</v>
      </c>
      <c r="G546" s="466">
        <v>1.3</v>
      </c>
      <c r="H546" s="466">
        <f>G546/1.1</f>
        <v>1.1818181818181817</v>
      </c>
      <c r="I546" s="436"/>
      <c r="J546" s="465">
        <v>0</v>
      </c>
      <c r="K546" s="467">
        <v>0</v>
      </c>
    </row>
    <row r="547" spans="2:11" ht="19" customHeight="1">
      <c r="B547" s="464">
        <v>46036</v>
      </c>
      <c r="C547" s="436" t="s">
        <v>268</v>
      </c>
      <c r="D547" s="436" t="s">
        <v>267</v>
      </c>
      <c r="E547" s="436">
        <v>1</v>
      </c>
      <c r="F547" s="467">
        <v>1.5</v>
      </c>
      <c r="G547" s="466">
        <v>1.5</v>
      </c>
      <c r="H547" s="466">
        <f>G547/1.1</f>
        <v>1.3636363636363635</v>
      </c>
      <c r="I547" s="436"/>
      <c r="J547" s="465">
        <v>0</v>
      </c>
      <c r="K547" s="467">
        <v>0</v>
      </c>
    </row>
    <row r="548" spans="2:11" ht="19" customHeight="1">
      <c r="B548" s="464">
        <v>46036</v>
      </c>
      <c r="C548" s="436" t="s">
        <v>247</v>
      </c>
      <c r="D548" s="436" t="s">
        <v>246</v>
      </c>
      <c r="E548" s="436">
        <v>1</v>
      </c>
      <c r="F548" s="467">
        <v>1.7</v>
      </c>
      <c r="G548" s="466">
        <v>1.7</v>
      </c>
      <c r="H548" s="466">
        <f>G548/1.1</f>
        <v>1.5454545454545452</v>
      </c>
      <c r="I548" s="436"/>
      <c r="J548" s="465">
        <v>0</v>
      </c>
      <c r="K548" s="467">
        <v>0</v>
      </c>
    </row>
    <row r="549" spans="2:11" ht="19" customHeight="1">
      <c r="B549" s="464">
        <v>46036</v>
      </c>
      <c r="C549" s="436" t="s">
        <v>247</v>
      </c>
      <c r="D549" s="436" t="s">
        <v>248</v>
      </c>
      <c r="E549" s="436">
        <v>1</v>
      </c>
      <c r="F549" s="467">
        <v>1.5</v>
      </c>
      <c r="G549" s="466">
        <v>1.5</v>
      </c>
      <c r="H549" s="466">
        <f>G549/1.1</f>
        <v>1.3636363636363635</v>
      </c>
      <c r="I549" s="436"/>
      <c r="J549" s="465">
        <v>0</v>
      </c>
      <c r="K549" s="467">
        <v>0</v>
      </c>
    </row>
    <row r="550" spans="2:11" ht="19" customHeight="1">
      <c r="B550" s="464">
        <v>46036</v>
      </c>
      <c r="C550" s="436" t="s">
        <v>247</v>
      </c>
      <c r="D550" s="436" t="s">
        <v>248</v>
      </c>
      <c r="E550" s="436">
        <v>1</v>
      </c>
      <c r="F550" s="467">
        <v>1.5</v>
      </c>
      <c r="G550" s="466">
        <v>1.5</v>
      </c>
      <c r="H550" s="466">
        <f>G550/1.1</f>
        <v>1.3636363636363635</v>
      </c>
      <c r="I550" s="436"/>
      <c r="J550" s="465">
        <v>0</v>
      </c>
      <c r="K550" s="467">
        <v>0</v>
      </c>
    </row>
    <row r="551" spans="2:11" ht="19" customHeight="1">
      <c r="B551" s="464">
        <v>46036</v>
      </c>
      <c r="C551" s="436" t="s">
        <v>247</v>
      </c>
      <c r="D551" s="436" t="s">
        <v>257</v>
      </c>
      <c r="E551" s="436">
        <v>1</v>
      </c>
      <c r="F551" s="467">
        <v>1.4</v>
      </c>
      <c r="G551" s="466">
        <v>1.4</v>
      </c>
      <c r="H551" s="466">
        <f>G551/1.1</f>
        <v>1.2727272727272725</v>
      </c>
      <c r="I551" s="436"/>
      <c r="J551" s="465">
        <v>0</v>
      </c>
      <c r="K551" s="467">
        <v>0</v>
      </c>
    </row>
    <row r="552" spans="2:11" ht="19" customHeight="1">
      <c r="B552" s="464">
        <v>46036</v>
      </c>
      <c r="C552" s="436" t="s">
        <v>268</v>
      </c>
      <c r="D552" s="436" t="s">
        <v>267</v>
      </c>
      <c r="E552" s="436">
        <v>1</v>
      </c>
      <c r="F552" s="465">
        <v>1.5</v>
      </c>
      <c r="G552" s="466">
        <v>1.5</v>
      </c>
      <c r="H552" s="466">
        <f>G552/1.1</f>
        <v>1.3636363636363635</v>
      </c>
      <c r="I552" s="436"/>
      <c r="J552" s="465">
        <v>0</v>
      </c>
      <c r="K552" s="467">
        <v>0</v>
      </c>
    </row>
    <row r="553" spans="2:11" ht="19" customHeight="1">
      <c r="B553" s="464">
        <v>46036</v>
      </c>
      <c r="C553" s="436" t="s">
        <v>247</v>
      </c>
      <c r="D553" s="436" t="s">
        <v>248</v>
      </c>
      <c r="E553" s="436">
        <v>1</v>
      </c>
      <c r="F553" s="467">
        <v>1.5</v>
      </c>
      <c r="G553" s="466">
        <v>1.5</v>
      </c>
      <c r="H553" s="466">
        <f>G553/1.1</f>
        <v>1.3636363636363635</v>
      </c>
      <c r="I553" s="436"/>
      <c r="J553" s="465">
        <v>0</v>
      </c>
      <c r="K553" s="467">
        <v>0</v>
      </c>
    </row>
    <row r="554" spans="2:11" ht="19" customHeight="1">
      <c r="B554" s="464">
        <v>46036</v>
      </c>
      <c r="C554" s="436" t="s">
        <v>894</v>
      </c>
      <c r="D554" s="436" t="s">
        <v>896</v>
      </c>
      <c r="E554" s="436">
        <v>1</v>
      </c>
      <c r="F554" s="465">
        <v>5.75</v>
      </c>
      <c r="G554" s="466">
        <v>5.75</v>
      </c>
      <c r="H554" s="466">
        <f>G554/1.1</f>
        <v>5.2272727272727266</v>
      </c>
      <c r="I554" s="436"/>
      <c r="J554" s="465">
        <v>0</v>
      </c>
      <c r="K554" s="467">
        <v>0</v>
      </c>
    </row>
    <row r="555" spans="2:11" ht="19" customHeight="1">
      <c r="B555" s="464">
        <v>46036</v>
      </c>
      <c r="C555" s="436" t="s">
        <v>247</v>
      </c>
      <c r="D555" s="436" t="s">
        <v>843</v>
      </c>
      <c r="E555" s="436">
        <v>1</v>
      </c>
      <c r="F555" s="467">
        <v>3.6</v>
      </c>
      <c r="G555" s="466">
        <v>3.6</v>
      </c>
      <c r="H555" s="466">
        <f>G555/1.1</f>
        <v>3.2727272727272725</v>
      </c>
      <c r="I555" s="436"/>
      <c r="J555" s="467">
        <v>0</v>
      </c>
      <c r="K555" s="467">
        <v>0</v>
      </c>
    </row>
    <row r="556" spans="2:11" ht="19" customHeight="1">
      <c r="B556" s="464">
        <v>46036</v>
      </c>
      <c r="C556" s="436" t="s">
        <v>264</v>
      </c>
      <c r="D556" s="436" t="s">
        <v>981</v>
      </c>
      <c r="E556" s="436">
        <v>1</v>
      </c>
      <c r="F556" s="465">
        <v>0.3</v>
      </c>
      <c r="G556" s="466">
        <v>0.3</v>
      </c>
      <c r="H556" s="466">
        <f>G556/1.1</f>
        <v>0.27272727272727271</v>
      </c>
      <c r="I556" s="436"/>
      <c r="J556" s="467">
        <v>0</v>
      </c>
      <c r="K556" s="467">
        <v>0</v>
      </c>
    </row>
    <row r="557" spans="2:11" ht="19" customHeight="1">
      <c r="B557" s="464">
        <v>46036</v>
      </c>
      <c r="C557" s="436" t="s">
        <v>247</v>
      </c>
      <c r="D557" s="436" t="s">
        <v>919</v>
      </c>
      <c r="E557" s="436">
        <v>1</v>
      </c>
      <c r="F557" s="467">
        <v>1.7</v>
      </c>
      <c r="G557" s="466">
        <v>1.7</v>
      </c>
      <c r="H557" s="466">
        <f>G557/1.1</f>
        <v>1.5454545454545452</v>
      </c>
      <c r="I557" s="436"/>
      <c r="J557" s="465">
        <v>0</v>
      </c>
      <c r="K557" s="467">
        <v>0</v>
      </c>
    </row>
    <row r="558" spans="2:11" ht="19" customHeight="1">
      <c r="B558" s="464">
        <v>46036</v>
      </c>
      <c r="C558" s="436" t="s">
        <v>247</v>
      </c>
      <c r="D558" s="436" t="s">
        <v>248</v>
      </c>
      <c r="E558" s="436">
        <v>2</v>
      </c>
      <c r="F558" s="465">
        <v>1.5</v>
      </c>
      <c r="G558" s="466">
        <v>3</v>
      </c>
      <c r="H558" s="466">
        <f>G558/1.1</f>
        <v>2.7272727272727271</v>
      </c>
      <c r="I558" s="436"/>
      <c r="J558" s="465">
        <v>0</v>
      </c>
      <c r="K558" s="467">
        <v>0</v>
      </c>
    </row>
    <row r="559" spans="2:11" ht="19" customHeight="1">
      <c r="B559" s="464">
        <v>46036</v>
      </c>
      <c r="C559" s="436" t="s">
        <v>247</v>
      </c>
      <c r="D559" s="436" t="s">
        <v>246</v>
      </c>
      <c r="E559" s="436">
        <v>1</v>
      </c>
      <c r="F559" s="467">
        <v>1.7</v>
      </c>
      <c r="G559" s="466">
        <v>1.7</v>
      </c>
      <c r="H559" s="466">
        <f>G559/1.1</f>
        <v>1.5454545454545452</v>
      </c>
      <c r="I559" s="436"/>
      <c r="J559" s="465">
        <v>0</v>
      </c>
      <c r="K559" s="467">
        <v>0</v>
      </c>
    </row>
    <row r="560" spans="2:11" ht="19" customHeight="1">
      <c r="B560" s="464">
        <v>46036</v>
      </c>
      <c r="C560" s="436" t="s">
        <v>247</v>
      </c>
      <c r="D560" s="436" t="s">
        <v>246</v>
      </c>
      <c r="E560" s="436">
        <v>1</v>
      </c>
      <c r="F560" s="467">
        <v>1.7</v>
      </c>
      <c r="G560" s="466">
        <v>1.7</v>
      </c>
      <c r="H560" s="466">
        <f>G560/1.1</f>
        <v>1.5454545454545452</v>
      </c>
      <c r="I560" s="436"/>
      <c r="J560" s="465">
        <v>0</v>
      </c>
      <c r="K560" s="467">
        <v>0</v>
      </c>
    </row>
    <row r="561" spans="2:11" ht="19" customHeight="1">
      <c r="B561" s="464">
        <v>46036</v>
      </c>
      <c r="C561" s="436" t="s">
        <v>862</v>
      </c>
      <c r="D561" s="436" t="s">
        <v>899</v>
      </c>
      <c r="E561" s="436">
        <v>1</v>
      </c>
      <c r="F561" s="467">
        <v>0.05</v>
      </c>
      <c r="G561" s="466">
        <v>0.05</v>
      </c>
      <c r="H561" s="466">
        <f>G561/1.1</f>
        <v>4.5454545454545456E-2</v>
      </c>
      <c r="I561" s="436"/>
      <c r="J561" s="465">
        <v>0</v>
      </c>
      <c r="K561" s="467">
        <v>0</v>
      </c>
    </row>
    <row r="562" spans="2:11" ht="19" customHeight="1">
      <c r="B562" s="464">
        <v>46036</v>
      </c>
      <c r="C562" s="436" t="s">
        <v>247</v>
      </c>
      <c r="D562" s="436" t="s">
        <v>902</v>
      </c>
      <c r="E562" s="436">
        <v>1</v>
      </c>
      <c r="F562" s="467">
        <v>1.95</v>
      </c>
      <c r="G562" s="466">
        <v>1.95</v>
      </c>
      <c r="H562" s="466">
        <f>G562/1.1</f>
        <v>1.7727272727272725</v>
      </c>
      <c r="I562" s="436"/>
      <c r="J562" s="465">
        <v>0</v>
      </c>
      <c r="K562" s="467">
        <v>0</v>
      </c>
    </row>
    <row r="563" spans="2:11" ht="19" customHeight="1">
      <c r="B563" s="464">
        <v>46036</v>
      </c>
      <c r="C563" s="436" t="s">
        <v>247</v>
      </c>
      <c r="D563" s="436" t="s">
        <v>248</v>
      </c>
      <c r="E563" s="436">
        <v>1</v>
      </c>
      <c r="F563" s="467">
        <v>1.5</v>
      </c>
      <c r="G563" s="466">
        <v>1.5</v>
      </c>
      <c r="H563" s="466">
        <f>G563/1.1</f>
        <v>1.3636363636363635</v>
      </c>
      <c r="I563" s="436"/>
      <c r="J563" s="465">
        <v>0</v>
      </c>
      <c r="K563" s="467">
        <v>0</v>
      </c>
    </row>
    <row r="564" spans="2:11" ht="19" customHeight="1">
      <c r="B564" s="464">
        <v>46036</v>
      </c>
      <c r="C564" s="436" t="s">
        <v>247</v>
      </c>
      <c r="D564" s="436" t="s">
        <v>855</v>
      </c>
      <c r="E564" s="436">
        <v>1</v>
      </c>
      <c r="F564" s="465">
        <v>2.5499999999999998</v>
      </c>
      <c r="G564" s="466">
        <v>2.5499999999999998</v>
      </c>
      <c r="H564" s="466">
        <f>G564/1.1</f>
        <v>2.3181818181818179</v>
      </c>
      <c r="I564" s="436"/>
      <c r="J564" s="465">
        <v>0</v>
      </c>
      <c r="K564" s="467">
        <v>0</v>
      </c>
    </row>
    <row r="565" spans="2:11" ht="19" customHeight="1">
      <c r="B565" s="464">
        <v>46036</v>
      </c>
      <c r="C565" s="436" t="s">
        <v>247</v>
      </c>
      <c r="D565" s="436" t="s">
        <v>246</v>
      </c>
      <c r="E565" s="436">
        <v>1</v>
      </c>
      <c r="F565" s="465">
        <v>1.7</v>
      </c>
      <c r="G565" s="466">
        <v>1.7</v>
      </c>
      <c r="H565" s="466">
        <f>G565/1.1</f>
        <v>1.5454545454545452</v>
      </c>
      <c r="I565" s="436"/>
      <c r="J565" s="465">
        <v>0</v>
      </c>
      <c r="K565" s="467">
        <v>0</v>
      </c>
    </row>
    <row r="566" spans="2:11" ht="19" customHeight="1">
      <c r="B566" s="464">
        <v>46036</v>
      </c>
      <c r="C566" s="436" t="s">
        <v>247</v>
      </c>
      <c r="D566" s="436" t="s">
        <v>257</v>
      </c>
      <c r="E566" s="436">
        <v>2</v>
      </c>
      <c r="F566" s="465">
        <v>1.4</v>
      </c>
      <c r="G566" s="466">
        <v>2.8</v>
      </c>
      <c r="H566" s="466">
        <f>G566/1.1</f>
        <v>2.545454545454545</v>
      </c>
      <c r="I566" s="436"/>
      <c r="J566" s="465">
        <v>0</v>
      </c>
      <c r="K566" s="467">
        <v>0</v>
      </c>
    </row>
    <row r="567" spans="2:11" ht="19" customHeight="1">
      <c r="B567" s="464">
        <v>46036</v>
      </c>
      <c r="C567" s="436" t="s">
        <v>247</v>
      </c>
      <c r="D567" s="436" t="s">
        <v>246</v>
      </c>
      <c r="E567" s="436">
        <v>1</v>
      </c>
      <c r="F567" s="465">
        <v>1.7</v>
      </c>
      <c r="G567" s="466">
        <v>1.7</v>
      </c>
      <c r="H567" s="466">
        <f>G567/1.1</f>
        <v>1.5454545454545452</v>
      </c>
      <c r="I567" s="436"/>
      <c r="J567" s="465">
        <v>0</v>
      </c>
      <c r="K567" s="467">
        <v>0</v>
      </c>
    </row>
    <row r="568" spans="2:11" ht="19" customHeight="1">
      <c r="B568" s="464">
        <v>46036</v>
      </c>
      <c r="C568" s="436" t="s">
        <v>247</v>
      </c>
      <c r="D568" s="436" t="s">
        <v>855</v>
      </c>
      <c r="E568" s="436">
        <v>2</v>
      </c>
      <c r="F568" s="467">
        <v>2.5499999999999998</v>
      </c>
      <c r="G568" s="466">
        <v>5.0999999999999996</v>
      </c>
      <c r="H568" s="466">
        <f>G568/1.1</f>
        <v>4.6363636363636358</v>
      </c>
      <c r="I568" s="436"/>
      <c r="J568" s="465">
        <v>0</v>
      </c>
      <c r="K568" s="467">
        <v>0</v>
      </c>
    </row>
    <row r="569" spans="2:11" ht="19" customHeight="1">
      <c r="B569" s="464">
        <v>46036</v>
      </c>
      <c r="C569" s="436" t="s">
        <v>268</v>
      </c>
      <c r="D569" s="436" t="s">
        <v>267</v>
      </c>
      <c r="E569" s="436">
        <v>1</v>
      </c>
      <c r="F569" s="467">
        <v>1.5</v>
      </c>
      <c r="G569" s="466">
        <v>1.5</v>
      </c>
      <c r="H569" s="466">
        <f>G569/1.1</f>
        <v>1.3636363636363635</v>
      </c>
      <c r="I569" s="436"/>
      <c r="J569" s="465">
        <v>0</v>
      </c>
      <c r="K569" s="467">
        <v>0</v>
      </c>
    </row>
    <row r="570" spans="2:11" ht="19" customHeight="1">
      <c r="B570" s="464">
        <v>46036</v>
      </c>
      <c r="C570" s="436" t="s">
        <v>247</v>
      </c>
      <c r="D570" s="436" t="s">
        <v>248</v>
      </c>
      <c r="E570" s="436">
        <v>1</v>
      </c>
      <c r="F570" s="467">
        <v>1.5</v>
      </c>
      <c r="G570" s="466">
        <v>1.5</v>
      </c>
      <c r="H570" s="466">
        <f>G570/1.1</f>
        <v>1.3636363636363635</v>
      </c>
      <c r="I570" s="436"/>
      <c r="J570" s="465">
        <v>0</v>
      </c>
      <c r="K570" s="467">
        <v>0</v>
      </c>
    </row>
    <row r="571" spans="2:11" ht="19" customHeight="1">
      <c r="B571" s="464">
        <v>46036</v>
      </c>
      <c r="C571" s="436" t="s">
        <v>247</v>
      </c>
      <c r="D571" s="436" t="s">
        <v>246</v>
      </c>
      <c r="E571" s="436">
        <v>1</v>
      </c>
      <c r="F571" s="467">
        <v>1.7</v>
      </c>
      <c r="G571" s="466">
        <v>1.7</v>
      </c>
      <c r="H571" s="466">
        <f>G571/1.1</f>
        <v>1.5454545454545452</v>
      </c>
      <c r="I571" s="436"/>
      <c r="J571" s="465">
        <v>0</v>
      </c>
      <c r="K571" s="467">
        <v>0</v>
      </c>
    </row>
    <row r="572" spans="2:11" ht="19" customHeight="1">
      <c r="B572" s="464">
        <v>46036</v>
      </c>
      <c r="C572" s="436" t="s">
        <v>247</v>
      </c>
      <c r="D572" s="436" t="s">
        <v>248</v>
      </c>
      <c r="E572" s="436">
        <v>1</v>
      </c>
      <c r="F572" s="467">
        <v>1.5</v>
      </c>
      <c r="G572" s="466">
        <v>1.5</v>
      </c>
      <c r="H572" s="466">
        <f>G572/1.1</f>
        <v>1.3636363636363635</v>
      </c>
      <c r="I572" s="436"/>
      <c r="J572" s="465">
        <v>0</v>
      </c>
      <c r="K572" s="467">
        <v>0</v>
      </c>
    </row>
    <row r="573" spans="2:11" ht="19" customHeight="1">
      <c r="B573" s="464">
        <v>46036</v>
      </c>
      <c r="C573" s="436" t="s">
        <v>247</v>
      </c>
      <c r="D573" s="436" t="s">
        <v>246</v>
      </c>
      <c r="E573" s="436">
        <v>2</v>
      </c>
      <c r="F573" s="465">
        <v>1.7</v>
      </c>
      <c r="G573" s="466">
        <v>3.4</v>
      </c>
      <c r="H573" s="466">
        <f>G573/1.1</f>
        <v>3.0909090909090904</v>
      </c>
      <c r="I573" s="436"/>
      <c r="J573" s="465">
        <v>0</v>
      </c>
      <c r="K573" s="467">
        <v>0</v>
      </c>
    </row>
    <row r="574" spans="2:11" ht="19" customHeight="1">
      <c r="B574" s="464">
        <v>46036</v>
      </c>
      <c r="C574" s="436" t="s">
        <v>328</v>
      </c>
      <c r="D574" s="436" t="s">
        <v>787</v>
      </c>
      <c r="E574" s="436">
        <v>2</v>
      </c>
      <c r="F574" s="467">
        <v>4.75</v>
      </c>
      <c r="G574" s="466">
        <v>9.5</v>
      </c>
      <c r="H574" s="466">
        <f>G574/1.1</f>
        <v>8.6363636363636349</v>
      </c>
      <c r="I574" s="436"/>
      <c r="J574" s="465">
        <v>0</v>
      </c>
      <c r="K574" s="467">
        <v>0</v>
      </c>
    </row>
    <row r="575" spans="2:11" ht="19" customHeight="1">
      <c r="B575" s="464">
        <v>46036</v>
      </c>
      <c r="C575" s="436" t="s">
        <v>862</v>
      </c>
      <c r="D575" s="436" t="s">
        <v>865</v>
      </c>
      <c r="E575" s="436">
        <v>2</v>
      </c>
      <c r="F575" s="467">
        <v>0.05</v>
      </c>
      <c r="G575" s="466">
        <v>0.1</v>
      </c>
      <c r="H575" s="466">
        <f>G575/1.1</f>
        <v>9.0909090909090912E-2</v>
      </c>
      <c r="I575" s="436"/>
      <c r="J575" s="465">
        <v>0</v>
      </c>
      <c r="K575" s="467">
        <v>0</v>
      </c>
    </row>
    <row r="576" spans="2:11" ht="19" customHeight="1">
      <c r="B576" s="464">
        <v>46036</v>
      </c>
      <c r="C576" s="436" t="s">
        <v>247</v>
      </c>
      <c r="D576" s="436" t="s">
        <v>257</v>
      </c>
      <c r="E576" s="436">
        <v>1</v>
      </c>
      <c r="F576" s="467">
        <v>1.4</v>
      </c>
      <c r="G576" s="466">
        <v>1.4</v>
      </c>
      <c r="H576" s="466">
        <f>G576/1.1</f>
        <v>1.2727272727272725</v>
      </c>
      <c r="I576" s="436"/>
      <c r="J576" s="465">
        <v>0</v>
      </c>
      <c r="K576" s="467">
        <v>0</v>
      </c>
    </row>
    <row r="577" spans="2:11" ht="19" customHeight="1">
      <c r="B577" s="464">
        <v>46036</v>
      </c>
      <c r="C577" s="436" t="s">
        <v>862</v>
      </c>
      <c r="D577" s="436" t="s">
        <v>982</v>
      </c>
      <c r="E577" s="436">
        <v>1</v>
      </c>
      <c r="F577" s="467">
        <v>0.15</v>
      </c>
      <c r="G577" s="466">
        <v>0.15</v>
      </c>
      <c r="H577" s="466">
        <f>G577/1.1</f>
        <v>0.13636363636363635</v>
      </c>
      <c r="I577" s="436"/>
      <c r="J577" s="465">
        <v>0</v>
      </c>
      <c r="K577" s="467">
        <v>0</v>
      </c>
    </row>
    <row r="578" spans="2:11" ht="19" customHeight="1">
      <c r="B578" s="464">
        <v>46036</v>
      </c>
      <c r="C578" s="436" t="s">
        <v>328</v>
      </c>
      <c r="D578" s="436" t="s">
        <v>773</v>
      </c>
      <c r="E578" s="436">
        <v>1</v>
      </c>
      <c r="F578" s="467">
        <v>3.1</v>
      </c>
      <c r="G578" s="466">
        <v>3.1</v>
      </c>
      <c r="H578" s="466">
        <f>G578/1.1</f>
        <v>2.8181818181818179</v>
      </c>
      <c r="I578" s="436"/>
      <c r="J578" s="465">
        <v>0</v>
      </c>
      <c r="K578" s="467">
        <v>0</v>
      </c>
    </row>
    <row r="579" spans="2:11" ht="19" customHeight="1">
      <c r="B579" s="464">
        <v>46036</v>
      </c>
      <c r="C579" s="436" t="s">
        <v>862</v>
      </c>
      <c r="D579" s="436" t="s">
        <v>865</v>
      </c>
      <c r="E579" s="436">
        <v>1</v>
      </c>
      <c r="F579" s="467">
        <v>0.05</v>
      </c>
      <c r="G579" s="466">
        <v>0.05</v>
      </c>
      <c r="H579" s="466">
        <f>G579/1.1</f>
        <v>4.5454545454545456E-2</v>
      </c>
      <c r="I579" s="436"/>
      <c r="J579" s="465">
        <v>0</v>
      </c>
      <c r="K579" s="467">
        <v>0</v>
      </c>
    </row>
    <row r="580" spans="2:11" ht="19" customHeight="1">
      <c r="B580" s="464">
        <v>46036</v>
      </c>
      <c r="C580" s="436" t="s">
        <v>247</v>
      </c>
      <c r="D580" s="436" t="s">
        <v>246</v>
      </c>
      <c r="E580" s="436">
        <v>2</v>
      </c>
      <c r="F580" s="467">
        <v>1.7</v>
      </c>
      <c r="G580" s="466">
        <v>3.4</v>
      </c>
      <c r="H580" s="466">
        <f>G580/1.1</f>
        <v>3.0909090909090904</v>
      </c>
      <c r="I580" s="436"/>
      <c r="J580" s="465">
        <v>0</v>
      </c>
      <c r="K580" s="467">
        <v>0</v>
      </c>
    </row>
    <row r="581" spans="2:11" ht="19" customHeight="1">
      <c r="B581" s="464">
        <v>46036</v>
      </c>
      <c r="C581" s="436" t="s">
        <v>275</v>
      </c>
      <c r="D581" s="436" t="s">
        <v>897</v>
      </c>
      <c r="E581" s="436">
        <v>1</v>
      </c>
      <c r="F581" s="467">
        <v>5.25</v>
      </c>
      <c r="G581" s="466">
        <v>5.25</v>
      </c>
      <c r="H581" s="466">
        <f>G581/1.1</f>
        <v>4.7727272727272725</v>
      </c>
      <c r="I581" s="436"/>
      <c r="J581" s="465">
        <v>0</v>
      </c>
      <c r="K581" s="467">
        <v>0</v>
      </c>
    </row>
    <row r="582" spans="2:11" ht="19" customHeight="1">
      <c r="B582" s="464">
        <v>46036</v>
      </c>
      <c r="C582" s="436" t="s">
        <v>256</v>
      </c>
      <c r="D582" s="436" t="s">
        <v>983</v>
      </c>
      <c r="E582" s="436">
        <v>1</v>
      </c>
      <c r="F582" s="467">
        <v>2.75</v>
      </c>
      <c r="G582" s="466">
        <v>2.75</v>
      </c>
      <c r="H582" s="466">
        <f>G582/1.1</f>
        <v>2.5</v>
      </c>
      <c r="I582" s="436"/>
      <c r="J582" s="465">
        <v>0</v>
      </c>
      <c r="K582" s="467">
        <v>0</v>
      </c>
    </row>
    <row r="583" spans="2:11" ht="19" customHeight="1">
      <c r="B583" s="464">
        <v>46036</v>
      </c>
      <c r="C583" s="436" t="s">
        <v>253</v>
      </c>
      <c r="D583" s="436" t="s">
        <v>869</v>
      </c>
      <c r="E583" s="436">
        <v>1</v>
      </c>
      <c r="F583" s="467">
        <v>2.5</v>
      </c>
      <c r="G583" s="466">
        <v>2.5</v>
      </c>
      <c r="H583" s="466">
        <f>G583/1.1</f>
        <v>2.2727272727272725</v>
      </c>
      <c r="I583" s="436"/>
      <c r="J583" s="465">
        <v>0</v>
      </c>
      <c r="K583" s="467">
        <v>0</v>
      </c>
    </row>
    <row r="584" spans="2:11" ht="19" customHeight="1">
      <c r="B584" s="464">
        <v>46036</v>
      </c>
      <c r="C584" s="436" t="s">
        <v>253</v>
      </c>
      <c r="D584" s="436" t="s">
        <v>965</v>
      </c>
      <c r="E584" s="436">
        <v>1</v>
      </c>
      <c r="F584" s="467">
        <v>2.5</v>
      </c>
      <c r="G584" s="466">
        <v>2.5</v>
      </c>
      <c r="H584" s="466">
        <f>G584/1.1</f>
        <v>2.2727272727272725</v>
      </c>
      <c r="I584" s="436"/>
      <c r="J584" s="465">
        <v>0</v>
      </c>
      <c r="K584" s="467">
        <v>0</v>
      </c>
    </row>
    <row r="585" spans="2:11" ht="19" customHeight="1">
      <c r="B585" s="464">
        <v>46036</v>
      </c>
      <c r="C585" s="436" t="s">
        <v>247</v>
      </c>
      <c r="D585" s="436" t="s">
        <v>919</v>
      </c>
      <c r="E585" s="436">
        <v>1</v>
      </c>
      <c r="F585" s="467">
        <v>3.1</v>
      </c>
      <c r="G585" s="466">
        <v>3.1</v>
      </c>
      <c r="H585" s="466">
        <f>G585/1.1</f>
        <v>2.8181818181818179</v>
      </c>
      <c r="I585" s="436"/>
      <c r="J585" s="465">
        <v>0</v>
      </c>
      <c r="K585" s="467">
        <v>0</v>
      </c>
    </row>
    <row r="586" spans="2:11" ht="19" customHeight="1">
      <c r="B586" s="464">
        <v>46036</v>
      </c>
      <c r="C586" s="436" t="s">
        <v>247</v>
      </c>
      <c r="D586" s="436" t="s">
        <v>248</v>
      </c>
      <c r="E586" s="436">
        <v>1</v>
      </c>
      <c r="F586" s="467">
        <v>1.65</v>
      </c>
      <c r="G586" s="466">
        <v>1.65</v>
      </c>
      <c r="H586" s="466">
        <f>G586/1.1</f>
        <v>1.4999999999999998</v>
      </c>
      <c r="I586" s="436"/>
      <c r="J586" s="465">
        <v>0</v>
      </c>
      <c r="K586" s="467">
        <v>0</v>
      </c>
    </row>
    <row r="587" spans="2:11" ht="19" customHeight="1">
      <c r="B587" s="464">
        <v>46037</v>
      </c>
      <c r="C587" s="436" t="s">
        <v>247</v>
      </c>
      <c r="D587" s="436" t="s">
        <v>855</v>
      </c>
      <c r="E587" s="436">
        <v>1</v>
      </c>
      <c r="F587" s="467">
        <v>2.5499999999999998</v>
      </c>
      <c r="G587" s="466">
        <v>2.5499999999999998</v>
      </c>
      <c r="H587" s="466">
        <f>G587/1.1</f>
        <v>2.3181818181818179</v>
      </c>
      <c r="I587" s="436"/>
      <c r="J587" s="465">
        <v>0</v>
      </c>
      <c r="K587" s="467">
        <v>0</v>
      </c>
    </row>
    <row r="588" spans="2:11" ht="19" customHeight="1">
      <c r="B588" s="464">
        <v>46037</v>
      </c>
      <c r="C588" s="436" t="s">
        <v>251</v>
      </c>
      <c r="D588" s="436" t="s">
        <v>265</v>
      </c>
      <c r="E588" s="436">
        <v>1</v>
      </c>
      <c r="F588" s="467">
        <v>2.65</v>
      </c>
      <c r="G588" s="466">
        <v>2.65</v>
      </c>
      <c r="H588" s="466">
        <f>G588/1.1</f>
        <v>2.4090909090909087</v>
      </c>
      <c r="I588" s="436"/>
      <c r="J588" s="465">
        <v>0</v>
      </c>
      <c r="K588" s="467">
        <v>0</v>
      </c>
    </row>
    <row r="589" spans="2:11" ht="19" customHeight="1">
      <c r="B589" s="464">
        <v>46037</v>
      </c>
      <c r="C589" s="436" t="s">
        <v>251</v>
      </c>
      <c r="D589" s="436" t="s">
        <v>854</v>
      </c>
      <c r="E589" s="436">
        <v>1</v>
      </c>
      <c r="F589" s="467">
        <v>1.55</v>
      </c>
      <c r="G589" s="466">
        <v>1.55</v>
      </c>
      <c r="H589" s="466">
        <f>G589/1.1</f>
        <v>1.4090909090909089</v>
      </c>
      <c r="I589" s="436"/>
      <c r="J589" s="465">
        <v>0</v>
      </c>
      <c r="K589" s="467">
        <v>0</v>
      </c>
    </row>
    <row r="590" spans="2:11" ht="19" customHeight="1">
      <c r="B590" s="464">
        <v>46037</v>
      </c>
      <c r="C590" s="436" t="s">
        <v>247</v>
      </c>
      <c r="D590" s="436" t="s">
        <v>257</v>
      </c>
      <c r="E590" s="436">
        <v>1</v>
      </c>
      <c r="F590" s="467">
        <v>1.4</v>
      </c>
      <c r="G590" s="466">
        <v>1.4</v>
      </c>
      <c r="H590" s="466">
        <f>G590/1.1</f>
        <v>1.2727272727272725</v>
      </c>
      <c r="I590" s="436"/>
      <c r="J590" s="465">
        <v>0</v>
      </c>
      <c r="K590" s="467">
        <v>0</v>
      </c>
    </row>
    <row r="591" spans="2:11" ht="19" customHeight="1">
      <c r="B591" s="464">
        <v>46037</v>
      </c>
      <c r="C591" s="436" t="s">
        <v>247</v>
      </c>
      <c r="D591" s="436" t="s">
        <v>246</v>
      </c>
      <c r="E591" s="436">
        <v>1</v>
      </c>
      <c r="F591" s="467">
        <v>1.7</v>
      </c>
      <c r="G591" s="466">
        <v>1.7</v>
      </c>
      <c r="H591" s="466">
        <f>G591/1.1</f>
        <v>1.5454545454545452</v>
      </c>
      <c r="I591" s="436"/>
      <c r="J591" s="465">
        <v>0</v>
      </c>
      <c r="K591" s="467">
        <v>0</v>
      </c>
    </row>
    <row r="592" spans="2:11" ht="19" customHeight="1">
      <c r="B592" s="464">
        <v>46037</v>
      </c>
      <c r="C592" s="436" t="s">
        <v>247</v>
      </c>
      <c r="D592" s="436" t="s">
        <v>843</v>
      </c>
      <c r="E592" s="436">
        <v>2</v>
      </c>
      <c r="F592" s="467">
        <v>3.6</v>
      </c>
      <c r="G592" s="466">
        <v>7.2</v>
      </c>
      <c r="H592" s="466">
        <f>G592/1.1</f>
        <v>6.545454545454545</v>
      </c>
      <c r="I592" s="436"/>
      <c r="J592" s="465">
        <v>0</v>
      </c>
      <c r="K592" s="467">
        <v>0</v>
      </c>
    </row>
    <row r="593" spans="2:11" ht="19" customHeight="1">
      <c r="B593" s="464">
        <v>46037</v>
      </c>
      <c r="C593" s="436" t="s">
        <v>264</v>
      </c>
      <c r="D593" s="436" t="s">
        <v>981</v>
      </c>
      <c r="E593" s="436">
        <v>2</v>
      </c>
      <c r="F593" s="467">
        <v>0.3</v>
      </c>
      <c r="G593" s="466">
        <v>0.6</v>
      </c>
      <c r="H593" s="466">
        <f>G593/1.1</f>
        <v>0.54545454545454541</v>
      </c>
      <c r="I593" s="436"/>
      <c r="J593" s="465">
        <v>0</v>
      </c>
      <c r="K593" s="467">
        <v>0</v>
      </c>
    </row>
    <row r="594" spans="2:11" ht="19" customHeight="1">
      <c r="B594" s="464">
        <v>46037</v>
      </c>
      <c r="C594" s="436" t="s">
        <v>268</v>
      </c>
      <c r="D594" s="436" t="s">
        <v>906</v>
      </c>
      <c r="E594" s="436">
        <v>1</v>
      </c>
      <c r="F594" s="467">
        <v>1.5</v>
      </c>
      <c r="G594" s="466">
        <v>1.5</v>
      </c>
      <c r="H594" s="466">
        <f>G594/1.1</f>
        <v>1.3636363636363635</v>
      </c>
      <c r="I594" s="436"/>
      <c r="J594" s="465">
        <v>0</v>
      </c>
      <c r="K594" s="467">
        <v>0</v>
      </c>
    </row>
    <row r="595" spans="2:11" ht="19" customHeight="1">
      <c r="B595" s="464">
        <v>46037</v>
      </c>
      <c r="C595" s="436" t="s">
        <v>247</v>
      </c>
      <c r="D595" s="436" t="s">
        <v>248</v>
      </c>
      <c r="E595" s="436">
        <v>1</v>
      </c>
      <c r="F595" s="467">
        <v>1.5</v>
      </c>
      <c r="G595" s="466">
        <v>1.5</v>
      </c>
      <c r="H595" s="466">
        <f>G595/1.1</f>
        <v>1.3636363636363635</v>
      </c>
      <c r="I595" s="436"/>
      <c r="J595" s="465">
        <v>0</v>
      </c>
      <c r="K595" s="467">
        <v>0</v>
      </c>
    </row>
    <row r="596" spans="2:11" ht="19" customHeight="1">
      <c r="B596" s="464">
        <v>46037</v>
      </c>
      <c r="C596" s="436" t="s">
        <v>251</v>
      </c>
      <c r="D596" s="436" t="s">
        <v>900</v>
      </c>
      <c r="E596" s="436">
        <v>1</v>
      </c>
      <c r="F596" s="467">
        <v>2.65</v>
      </c>
      <c r="G596" s="466">
        <v>2.65</v>
      </c>
      <c r="H596" s="466">
        <f>G596/1.1</f>
        <v>2.4090909090909087</v>
      </c>
      <c r="I596" s="436"/>
      <c r="J596" s="465">
        <v>0</v>
      </c>
      <c r="K596" s="467">
        <v>0</v>
      </c>
    </row>
    <row r="597" spans="2:11" ht="19" customHeight="1">
      <c r="B597" s="464">
        <v>46037</v>
      </c>
      <c r="C597" s="436" t="s">
        <v>984</v>
      </c>
      <c r="D597" s="436" t="s">
        <v>985</v>
      </c>
      <c r="E597" s="436">
        <v>1</v>
      </c>
      <c r="F597" s="467">
        <v>10</v>
      </c>
      <c r="G597" s="466">
        <v>10</v>
      </c>
      <c r="H597" s="466">
        <f>G597/1.1</f>
        <v>9.0909090909090899</v>
      </c>
      <c r="I597" s="436"/>
      <c r="J597" s="465">
        <v>0</v>
      </c>
      <c r="K597" s="467">
        <v>0</v>
      </c>
    </row>
    <row r="598" spans="2:11" ht="19" customHeight="1">
      <c r="B598" s="464">
        <v>46037</v>
      </c>
      <c r="C598" s="436" t="s">
        <v>256</v>
      </c>
      <c r="D598" s="436" t="s">
        <v>912</v>
      </c>
      <c r="E598" s="436">
        <v>1</v>
      </c>
      <c r="F598" s="467">
        <v>5.25</v>
      </c>
      <c r="G598" s="466">
        <v>5.25</v>
      </c>
      <c r="H598" s="466">
        <f>G598/1.1</f>
        <v>4.7727272727272725</v>
      </c>
      <c r="I598" s="436"/>
      <c r="J598" s="465">
        <v>0</v>
      </c>
      <c r="K598" s="467">
        <v>0</v>
      </c>
    </row>
    <row r="599" spans="2:11" ht="19" customHeight="1">
      <c r="B599" s="464">
        <v>46037</v>
      </c>
      <c r="C599" s="436" t="s">
        <v>256</v>
      </c>
      <c r="D599" s="436" t="s">
        <v>986</v>
      </c>
      <c r="E599" s="436">
        <v>1</v>
      </c>
      <c r="F599" s="467">
        <v>14</v>
      </c>
      <c r="G599" s="466">
        <v>14</v>
      </c>
      <c r="H599" s="466">
        <f>G599/1.1</f>
        <v>12.727272727272727</v>
      </c>
      <c r="I599" s="436"/>
      <c r="J599" s="465">
        <v>0</v>
      </c>
      <c r="K599" s="467">
        <v>0</v>
      </c>
    </row>
    <row r="600" spans="2:11" ht="19" customHeight="1">
      <c r="B600" s="464">
        <v>46037</v>
      </c>
      <c r="C600" s="436" t="s">
        <v>247</v>
      </c>
      <c r="D600" s="436" t="s">
        <v>257</v>
      </c>
      <c r="E600" s="436">
        <v>2</v>
      </c>
      <c r="F600" s="467">
        <v>1.4</v>
      </c>
      <c r="G600" s="466">
        <v>2.8</v>
      </c>
      <c r="H600" s="466">
        <f>G600/1.1</f>
        <v>2.545454545454545</v>
      </c>
      <c r="I600" s="436"/>
      <c r="J600" s="465">
        <v>0</v>
      </c>
      <c r="K600" s="467">
        <v>0</v>
      </c>
    </row>
    <row r="601" spans="2:11" ht="19" customHeight="1">
      <c r="B601" s="464">
        <v>46037</v>
      </c>
      <c r="C601" s="436" t="s">
        <v>268</v>
      </c>
      <c r="D601" s="436" t="s">
        <v>858</v>
      </c>
      <c r="E601" s="436">
        <v>2</v>
      </c>
      <c r="F601" s="467">
        <v>0.65</v>
      </c>
      <c r="G601" s="466">
        <v>1.3</v>
      </c>
      <c r="H601" s="466">
        <f>G601/1.1</f>
        <v>1.1818181818181817</v>
      </c>
      <c r="I601" s="436"/>
      <c r="J601" s="465">
        <v>0</v>
      </c>
      <c r="K601" s="467">
        <v>0</v>
      </c>
    </row>
    <row r="602" spans="2:11" ht="19" customHeight="1">
      <c r="B602" s="464">
        <v>46037</v>
      </c>
      <c r="C602" s="436" t="s">
        <v>247</v>
      </c>
      <c r="D602" s="436" t="s">
        <v>246</v>
      </c>
      <c r="E602" s="436">
        <v>2</v>
      </c>
      <c r="F602" s="467">
        <v>1.7</v>
      </c>
      <c r="G602" s="466">
        <v>3.4</v>
      </c>
      <c r="H602" s="466">
        <f>G602/1.1</f>
        <v>3.0909090909090904</v>
      </c>
      <c r="I602" s="436"/>
      <c r="J602" s="465">
        <v>0</v>
      </c>
      <c r="K602" s="467">
        <v>0</v>
      </c>
    </row>
    <row r="603" spans="2:11" ht="19" customHeight="1">
      <c r="B603" s="464">
        <v>46037</v>
      </c>
      <c r="C603" s="436" t="s">
        <v>247</v>
      </c>
      <c r="D603" s="436" t="s">
        <v>257</v>
      </c>
      <c r="E603" s="436">
        <v>1</v>
      </c>
      <c r="F603" s="467">
        <v>1.4</v>
      </c>
      <c r="G603" s="466">
        <v>1.4</v>
      </c>
      <c r="H603" s="466">
        <f>G603/1.1</f>
        <v>1.2727272727272725</v>
      </c>
      <c r="I603" s="436"/>
      <c r="J603" s="465">
        <v>0</v>
      </c>
      <c r="K603" s="467">
        <v>0</v>
      </c>
    </row>
    <row r="604" spans="2:11" ht="19" customHeight="1">
      <c r="B604" s="464">
        <v>46037</v>
      </c>
      <c r="C604" s="436" t="s">
        <v>247</v>
      </c>
      <c r="D604" s="436" t="s">
        <v>902</v>
      </c>
      <c r="E604" s="436">
        <v>1</v>
      </c>
      <c r="F604" s="467">
        <v>1.95</v>
      </c>
      <c r="G604" s="466">
        <v>1.95</v>
      </c>
      <c r="H604" s="466">
        <f>G604/1.1</f>
        <v>1.7727272727272725</v>
      </c>
      <c r="I604" s="436"/>
      <c r="J604" s="465">
        <v>0</v>
      </c>
      <c r="K604" s="467">
        <v>0</v>
      </c>
    </row>
    <row r="605" spans="2:11" ht="19" customHeight="1">
      <c r="B605" s="464">
        <v>46037</v>
      </c>
      <c r="C605" s="436" t="s">
        <v>247</v>
      </c>
      <c r="D605" s="436" t="s">
        <v>246</v>
      </c>
      <c r="E605" s="436">
        <v>1</v>
      </c>
      <c r="F605" s="467">
        <v>1.7</v>
      </c>
      <c r="G605" s="466">
        <v>1.7</v>
      </c>
      <c r="H605" s="466">
        <f>G605/1.1</f>
        <v>1.5454545454545452</v>
      </c>
      <c r="I605" s="436"/>
      <c r="J605" s="465">
        <v>0</v>
      </c>
      <c r="K605" s="467">
        <v>0</v>
      </c>
    </row>
    <row r="606" spans="2:11" ht="19" customHeight="1">
      <c r="B606" s="464">
        <v>46037</v>
      </c>
      <c r="C606" s="436" t="s">
        <v>247</v>
      </c>
      <c r="D606" s="436" t="s">
        <v>246</v>
      </c>
      <c r="E606" s="436">
        <v>2</v>
      </c>
      <c r="F606" s="467">
        <v>1.7</v>
      </c>
      <c r="G606" s="466">
        <v>3.4</v>
      </c>
      <c r="H606" s="466">
        <f>G606/1.1</f>
        <v>3.0909090909090904</v>
      </c>
      <c r="I606" s="436"/>
      <c r="J606" s="465">
        <v>0</v>
      </c>
      <c r="K606" s="467">
        <v>0</v>
      </c>
    </row>
    <row r="607" spans="2:11" ht="19" customHeight="1">
      <c r="B607" s="464">
        <v>46037</v>
      </c>
      <c r="C607" s="436" t="s">
        <v>862</v>
      </c>
      <c r="D607" s="436" t="s">
        <v>899</v>
      </c>
      <c r="E607" s="436">
        <v>1</v>
      </c>
      <c r="F607" s="467">
        <v>0.05</v>
      </c>
      <c r="G607" s="466">
        <v>0.05</v>
      </c>
      <c r="H607" s="466">
        <f>G607/1.1</f>
        <v>4.5454545454545456E-2</v>
      </c>
      <c r="I607" s="436"/>
      <c r="J607" s="465">
        <v>0</v>
      </c>
      <c r="K607" s="467">
        <v>0</v>
      </c>
    </row>
    <row r="608" spans="2:11" ht="19" customHeight="1">
      <c r="B608" s="464">
        <v>46037</v>
      </c>
      <c r="C608" s="436" t="s">
        <v>247</v>
      </c>
      <c r="D608" s="436" t="s">
        <v>248</v>
      </c>
      <c r="E608" s="436">
        <v>1</v>
      </c>
      <c r="F608" s="467">
        <v>1.5</v>
      </c>
      <c r="G608" s="466">
        <v>1.5</v>
      </c>
      <c r="H608" s="466">
        <f>G608/1.1</f>
        <v>1.3636363636363635</v>
      </c>
      <c r="I608" s="436"/>
      <c r="J608" s="465">
        <v>0</v>
      </c>
      <c r="K608" s="467">
        <v>0</v>
      </c>
    </row>
    <row r="609" spans="2:11" ht="19" customHeight="1">
      <c r="B609" s="464">
        <v>46037</v>
      </c>
      <c r="C609" s="436" t="s">
        <v>247</v>
      </c>
      <c r="D609" s="436" t="s">
        <v>246</v>
      </c>
      <c r="E609" s="436">
        <v>1</v>
      </c>
      <c r="F609" s="467">
        <v>1.7</v>
      </c>
      <c r="G609" s="466">
        <v>1.7</v>
      </c>
      <c r="H609" s="466">
        <f>G609/1.1</f>
        <v>1.5454545454545452</v>
      </c>
      <c r="I609" s="436"/>
      <c r="J609" s="465">
        <v>0</v>
      </c>
      <c r="K609" s="467">
        <v>0</v>
      </c>
    </row>
    <row r="610" spans="2:11" ht="19" customHeight="1">
      <c r="B610" s="464">
        <v>46037</v>
      </c>
      <c r="C610" s="436" t="s">
        <v>862</v>
      </c>
      <c r="D610" s="436" t="s">
        <v>863</v>
      </c>
      <c r="E610" s="436">
        <v>1</v>
      </c>
      <c r="F610" s="467">
        <v>0.15</v>
      </c>
      <c r="G610" s="466">
        <v>0.15</v>
      </c>
      <c r="H610" s="466">
        <f>G610/1.1</f>
        <v>0.13636363636363635</v>
      </c>
      <c r="I610" s="436"/>
      <c r="J610" s="465">
        <v>0</v>
      </c>
      <c r="K610" s="467">
        <v>0</v>
      </c>
    </row>
    <row r="611" spans="2:11" ht="19" customHeight="1">
      <c r="B611" s="464">
        <v>46037</v>
      </c>
      <c r="C611" s="436" t="s">
        <v>247</v>
      </c>
      <c r="D611" s="436" t="s">
        <v>248</v>
      </c>
      <c r="E611" s="436">
        <v>1</v>
      </c>
      <c r="F611" s="467">
        <v>1.5</v>
      </c>
      <c r="G611" s="466">
        <v>1.5</v>
      </c>
      <c r="H611" s="466">
        <f>G611/1.1</f>
        <v>1.3636363636363635</v>
      </c>
      <c r="I611" s="436"/>
      <c r="J611" s="465">
        <v>0</v>
      </c>
      <c r="K611" s="467">
        <v>0</v>
      </c>
    </row>
    <row r="612" spans="2:11" ht="19" customHeight="1">
      <c r="B612" s="464">
        <v>46037</v>
      </c>
      <c r="C612" s="436" t="s">
        <v>247</v>
      </c>
      <c r="D612" s="436" t="s">
        <v>257</v>
      </c>
      <c r="E612" s="436">
        <v>1</v>
      </c>
      <c r="F612" s="467">
        <v>1.4</v>
      </c>
      <c r="G612" s="466">
        <v>1.4</v>
      </c>
      <c r="H612" s="466">
        <f>G612/1.1</f>
        <v>1.2727272727272725</v>
      </c>
      <c r="I612" s="436"/>
      <c r="J612" s="465">
        <v>0</v>
      </c>
      <c r="K612" s="467">
        <v>0</v>
      </c>
    </row>
    <row r="613" spans="2:11" ht="19" customHeight="1">
      <c r="B613" s="464">
        <v>46037</v>
      </c>
      <c r="C613" s="436" t="s">
        <v>862</v>
      </c>
      <c r="D613" s="436" t="s">
        <v>907</v>
      </c>
      <c r="E613" s="436">
        <v>1</v>
      </c>
      <c r="F613" s="467">
        <v>0.15</v>
      </c>
      <c r="G613" s="466">
        <v>0.15</v>
      </c>
      <c r="H613" s="466">
        <f>G613/1.1</f>
        <v>0.13636363636363635</v>
      </c>
      <c r="I613" s="436"/>
      <c r="J613" s="465">
        <v>0</v>
      </c>
      <c r="K613" s="467">
        <v>0</v>
      </c>
    </row>
    <row r="614" spans="2:11" ht="19" customHeight="1">
      <c r="B614" s="464">
        <v>46037</v>
      </c>
      <c r="C614" s="436" t="s">
        <v>247</v>
      </c>
      <c r="D614" s="436" t="s">
        <v>246</v>
      </c>
      <c r="E614" s="436">
        <v>2</v>
      </c>
      <c r="F614" s="467">
        <v>1.7</v>
      </c>
      <c r="G614" s="466">
        <v>3.4</v>
      </c>
      <c r="H614" s="466">
        <f>G614/1.1</f>
        <v>3.0909090909090904</v>
      </c>
      <c r="I614" s="436"/>
      <c r="J614" s="465">
        <v>0</v>
      </c>
      <c r="K614" s="467">
        <v>0</v>
      </c>
    </row>
    <row r="615" spans="2:11" ht="19" customHeight="1">
      <c r="B615" s="464">
        <v>46037</v>
      </c>
      <c r="C615" s="436" t="s">
        <v>254</v>
      </c>
      <c r="D615" s="436" t="s">
        <v>254</v>
      </c>
      <c r="E615" s="436">
        <v>2</v>
      </c>
      <c r="F615" s="467">
        <v>14.9</v>
      </c>
      <c r="G615" s="466">
        <v>29.8</v>
      </c>
      <c r="H615" s="466">
        <f>G615/1.1</f>
        <v>27.09090909090909</v>
      </c>
      <c r="I615" s="436"/>
      <c r="J615" s="465">
        <v>0</v>
      </c>
      <c r="K615" s="467">
        <v>0</v>
      </c>
    </row>
    <row r="616" spans="2:11" ht="19" customHeight="1">
      <c r="B616" s="464">
        <v>46037</v>
      </c>
      <c r="C616" s="436" t="s">
        <v>873</v>
      </c>
      <c r="D616" s="436" t="s">
        <v>977</v>
      </c>
      <c r="E616" s="436">
        <v>1</v>
      </c>
      <c r="F616" s="436"/>
      <c r="G616" s="468" t="s">
        <v>875</v>
      </c>
      <c r="H616" s="466" t="e">
        <f>G616/1.1</f>
        <v>#VALUE!</v>
      </c>
      <c r="I616" s="436"/>
      <c r="J616" s="465">
        <v>0</v>
      </c>
      <c r="K616" s="467">
        <v>0</v>
      </c>
    </row>
    <row r="617" spans="2:11" ht="19" customHeight="1">
      <c r="B617" s="464">
        <v>46037</v>
      </c>
      <c r="C617" s="436" t="s">
        <v>873</v>
      </c>
      <c r="D617" s="436" t="s">
        <v>987</v>
      </c>
      <c r="E617" s="436">
        <v>1</v>
      </c>
      <c r="F617" s="467">
        <v>5</v>
      </c>
      <c r="G617" s="466">
        <v>5</v>
      </c>
      <c r="H617" s="466">
        <f>G617/1.1</f>
        <v>4.545454545454545</v>
      </c>
      <c r="I617" s="436"/>
      <c r="J617" s="465">
        <v>0</v>
      </c>
      <c r="K617" s="467">
        <v>0</v>
      </c>
    </row>
    <row r="618" spans="2:11" ht="19" customHeight="1">
      <c r="B618" s="464">
        <v>46037</v>
      </c>
      <c r="C618" s="436" t="s">
        <v>877</v>
      </c>
      <c r="D618" s="436" t="s">
        <v>988</v>
      </c>
      <c r="E618" s="436">
        <v>1</v>
      </c>
      <c r="F618" s="467">
        <v>5</v>
      </c>
      <c r="G618" s="466">
        <v>5</v>
      </c>
      <c r="H618" s="466">
        <f>G618/1.1</f>
        <v>4.545454545454545</v>
      </c>
      <c r="I618" s="436"/>
      <c r="J618" s="465">
        <v>0</v>
      </c>
      <c r="K618" s="467">
        <v>0</v>
      </c>
    </row>
    <row r="619" spans="2:11" ht="19" customHeight="1">
      <c r="B619" s="464">
        <v>46037</v>
      </c>
      <c r="C619" s="436" t="s">
        <v>877</v>
      </c>
      <c r="D619" s="436" t="s">
        <v>971</v>
      </c>
      <c r="E619" s="436">
        <v>1</v>
      </c>
      <c r="F619" s="467">
        <v>3</v>
      </c>
      <c r="G619" s="466">
        <v>3</v>
      </c>
      <c r="H619" s="466">
        <f>G619/1.1</f>
        <v>2.7272727272727271</v>
      </c>
      <c r="I619" s="436"/>
      <c r="J619" s="465">
        <v>0</v>
      </c>
      <c r="K619" s="467">
        <v>0</v>
      </c>
    </row>
    <row r="620" spans="2:11" ht="19" customHeight="1">
      <c r="B620" s="464">
        <v>46037</v>
      </c>
      <c r="C620" s="436" t="s">
        <v>266</v>
      </c>
      <c r="D620" s="436" t="s">
        <v>989</v>
      </c>
      <c r="E620" s="436">
        <v>1</v>
      </c>
      <c r="F620" s="436"/>
      <c r="G620" s="468" t="s">
        <v>875</v>
      </c>
      <c r="H620" s="466" t="e">
        <f>G620/1.1</f>
        <v>#VALUE!</v>
      </c>
      <c r="I620" s="436"/>
      <c r="J620" s="465">
        <v>0</v>
      </c>
      <c r="K620" s="467">
        <v>0</v>
      </c>
    </row>
    <row r="621" spans="2:11" ht="19" customHeight="1">
      <c r="B621" s="464">
        <v>46037</v>
      </c>
      <c r="C621" s="436" t="s">
        <v>266</v>
      </c>
      <c r="D621" s="436" t="s">
        <v>942</v>
      </c>
      <c r="E621" s="436">
        <v>1</v>
      </c>
      <c r="F621" s="436"/>
      <c r="G621" s="468" t="s">
        <v>875</v>
      </c>
      <c r="H621" s="466" t="e">
        <f>G621/1.1</f>
        <v>#VALUE!</v>
      </c>
      <c r="I621" s="436"/>
      <c r="J621" s="465">
        <v>0</v>
      </c>
      <c r="K621" s="467">
        <v>0</v>
      </c>
    </row>
    <row r="622" spans="2:11" ht="19" customHeight="1">
      <c r="B622" s="464">
        <v>46037</v>
      </c>
      <c r="C622" s="436" t="s">
        <v>258</v>
      </c>
      <c r="D622" s="436" t="s">
        <v>990</v>
      </c>
      <c r="E622" s="436">
        <v>1</v>
      </c>
      <c r="F622" s="436"/>
      <c r="G622" s="468" t="s">
        <v>875</v>
      </c>
      <c r="H622" s="466" t="e">
        <f>G622/1.1</f>
        <v>#VALUE!</v>
      </c>
      <c r="I622" s="436"/>
      <c r="J622" s="465">
        <v>0</v>
      </c>
      <c r="K622" s="467">
        <v>0</v>
      </c>
    </row>
    <row r="623" spans="2:11" ht="19" customHeight="1">
      <c r="B623" s="464">
        <v>46037</v>
      </c>
      <c r="C623" s="436" t="s">
        <v>258</v>
      </c>
      <c r="D623" s="436" t="s">
        <v>882</v>
      </c>
      <c r="E623" s="436">
        <v>1</v>
      </c>
      <c r="F623" s="436"/>
      <c r="G623" s="468" t="s">
        <v>875</v>
      </c>
      <c r="H623" s="466" t="e">
        <f>G623/1.1</f>
        <v>#VALUE!</v>
      </c>
      <c r="I623" s="436"/>
      <c r="J623" s="465">
        <v>0</v>
      </c>
      <c r="K623" s="467">
        <v>0</v>
      </c>
    </row>
    <row r="624" spans="2:11" ht="19" customHeight="1">
      <c r="B624" s="464">
        <v>46037</v>
      </c>
      <c r="C624" s="436" t="s">
        <v>254</v>
      </c>
      <c r="D624" s="436" t="s">
        <v>254</v>
      </c>
      <c r="E624" s="436">
        <v>1</v>
      </c>
      <c r="F624" s="467">
        <v>14.9</v>
      </c>
      <c r="G624" s="466">
        <v>14.9</v>
      </c>
      <c r="H624" s="466">
        <f>G624/1.1</f>
        <v>13.545454545454545</v>
      </c>
      <c r="I624" s="436"/>
      <c r="J624" s="465">
        <v>0</v>
      </c>
      <c r="K624" s="467">
        <v>0</v>
      </c>
    </row>
    <row r="625" spans="2:11" ht="19" customHeight="1">
      <c r="B625" s="464">
        <v>46037</v>
      </c>
      <c r="C625" s="436" t="s">
        <v>873</v>
      </c>
      <c r="D625" s="436" t="s">
        <v>974</v>
      </c>
      <c r="E625" s="436">
        <v>1</v>
      </c>
      <c r="F625" s="436"/>
      <c r="G625" s="468" t="s">
        <v>875</v>
      </c>
      <c r="H625" s="466" t="e">
        <f>G625/1.1</f>
        <v>#VALUE!</v>
      </c>
      <c r="I625" s="436"/>
      <c r="J625" s="465">
        <v>0</v>
      </c>
      <c r="K625" s="467">
        <v>0</v>
      </c>
    </row>
    <row r="626" spans="2:11" ht="19" customHeight="1">
      <c r="B626" s="464">
        <v>46037</v>
      </c>
      <c r="C626" s="436" t="s">
        <v>877</v>
      </c>
      <c r="D626" s="436" t="s">
        <v>975</v>
      </c>
      <c r="E626" s="436">
        <v>1</v>
      </c>
      <c r="F626" s="436"/>
      <c r="G626" s="468" t="s">
        <v>875</v>
      </c>
      <c r="H626" s="466" t="e">
        <f>G626/1.1</f>
        <v>#VALUE!</v>
      </c>
      <c r="I626" s="436"/>
      <c r="J626" s="465">
        <v>0</v>
      </c>
      <c r="K626" s="467">
        <v>0</v>
      </c>
    </row>
    <row r="627" spans="2:11" ht="19" customHeight="1">
      <c r="B627" s="464">
        <v>46037</v>
      </c>
      <c r="C627" s="436" t="s">
        <v>266</v>
      </c>
      <c r="D627" s="436" t="s">
        <v>250</v>
      </c>
      <c r="E627" s="436">
        <v>1</v>
      </c>
      <c r="F627" s="436"/>
      <c r="G627" s="468" t="s">
        <v>875</v>
      </c>
      <c r="H627" s="466" t="e">
        <f>G627/1.1</f>
        <v>#VALUE!</v>
      </c>
      <c r="I627" s="436"/>
      <c r="J627" s="465">
        <v>0</v>
      </c>
      <c r="K627" s="467">
        <v>0</v>
      </c>
    </row>
    <row r="628" spans="2:11" ht="19" customHeight="1">
      <c r="B628" s="464">
        <v>46037</v>
      </c>
      <c r="C628" s="436" t="s">
        <v>258</v>
      </c>
      <c r="D628" s="436" t="s">
        <v>972</v>
      </c>
      <c r="E628" s="436">
        <v>1</v>
      </c>
      <c r="F628" s="436"/>
      <c r="G628" s="468" t="s">
        <v>875</v>
      </c>
      <c r="H628" s="466" t="e">
        <f>G628/1.1</f>
        <v>#VALUE!</v>
      </c>
      <c r="I628" s="436"/>
      <c r="J628" s="465">
        <v>0</v>
      </c>
      <c r="K628" s="467">
        <v>0</v>
      </c>
    </row>
    <row r="629" spans="2:11" ht="19" customHeight="1">
      <c r="B629" s="464">
        <v>46037</v>
      </c>
      <c r="C629" s="436" t="s">
        <v>254</v>
      </c>
      <c r="D629" s="436" t="s">
        <v>254</v>
      </c>
      <c r="E629" s="436">
        <v>2</v>
      </c>
      <c r="F629" s="467">
        <v>14.9</v>
      </c>
      <c r="G629" s="466">
        <v>29.8</v>
      </c>
      <c r="H629" s="466">
        <f>G629/1.1</f>
        <v>27.09090909090909</v>
      </c>
      <c r="I629" s="436"/>
      <c r="J629" s="465">
        <v>0</v>
      </c>
      <c r="K629" s="467">
        <v>0</v>
      </c>
    </row>
    <row r="630" spans="2:11" ht="19" customHeight="1">
      <c r="B630" s="464">
        <v>46037</v>
      </c>
      <c r="C630" s="436" t="s">
        <v>873</v>
      </c>
      <c r="D630" s="436" t="s">
        <v>970</v>
      </c>
      <c r="E630" s="436">
        <v>1</v>
      </c>
      <c r="F630" s="436"/>
      <c r="G630" s="468" t="s">
        <v>875</v>
      </c>
      <c r="H630" s="466" t="e">
        <f>G630/1.1</f>
        <v>#VALUE!</v>
      </c>
      <c r="I630" s="436"/>
      <c r="J630" s="465">
        <v>0</v>
      </c>
      <c r="K630" s="467">
        <v>0</v>
      </c>
    </row>
    <row r="631" spans="2:11" ht="19" customHeight="1">
      <c r="B631" s="464">
        <v>46037</v>
      </c>
      <c r="C631" s="436" t="s">
        <v>873</v>
      </c>
      <c r="D631" s="436" t="s">
        <v>726</v>
      </c>
      <c r="E631" s="436">
        <v>1</v>
      </c>
      <c r="F631" s="467">
        <v>3</v>
      </c>
      <c r="G631" s="466">
        <v>3</v>
      </c>
      <c r="H631" s="466">
        <f>G631/1.1</f>
        <v>2.7272727272727271</v>
      </c>
      <c r="I631" s="436"/>
      <c r="J631" s="465">
        <v>0</v>
      </c>
      <c r="K631" s="467">
        <v>0</v>
      </c>
    </row>
    <row r="632" spans="2:11" ht="19" customHeight="1">
      <c r="B632" s="464">
        <v>46037</v>
      </c>
      <c r="C632" s="436" t="s">
        <v>877</v>
      </c>
      <c r="D632" s="436" t="s">
        <v>975</v>
      </c>
      <c r="E632" s="436">
        <v>1</v>
      </c>
      <c r="F632" s="436"/>
      <c r="G632" s="468" t="s">
        <v>875</v>
      </c>
      <c r="H632" s="466" t="e">
        <f>G632/1.1</f>
        <v>#VALUE!</v>
      </c>
      <c r="I632" s="436"/>
      <c r="J632" s="465">
        <v>0</v>
      </c>
      <c r="K632" s="467">
        <v>0</v>
      </c>
    </row>
    <row r="633" spans="2:11" ht="40" customHeight="1">
      <c r="B633" s="464">
        <v>46037</v>
      </c>
      <c r="C633" s="436" t="s">
        <v>877</v>
      </c>
      <c r="D633" s="470" t="s">
        <v>973</v>
      </c>
      <c r="E633" s="436">
        <v>1</v>
      </c>
      <c r="F633" s="436"/>
      <c r="G633" s="468" t="s">
        <v>875</v>
      </c>
      <c r="H633" s="466" t="e">
        <f>G633/1.1</f>
        <v>#VALUE!</v>
      </c>
      <c r="I633" s="436"/>
      <c r="J633" s="465">
        <v>0</v>
      </c>
      <c r="K633" s="467">
        <v>0</v>
      </c>
    </row>
    <row r="634" spans="2:11" ht="19" customHeight="1">
      <c r="B634" s="464">
        <v>46037</v>
      </c>
      <c r="C634" s="436" t="s">
        <v>266</v>
      </c>
      <c r="D634" s="436" t="s">
        <v>250</v>
      </c>
      <c r="E634" s="436">
        <v>2</v>
      </c>
      <c r="F634" s="436"/>
      <c r="G634" s="468" t="s">
        <v>875</v>
      </c>
      <c r="H634" s="466" t="e">
        <f>G634/1.1</f>
        <v>#VALUE!</v>
      </c>
      <c r="I634" s="436"/>
      <c r="J634" s="465">
        <v>0</v>
      </c>
      <c r="K634" s="467">
        <v>0</v>
      </c>
    </row>
    <row r="635" spans="2:11" ht="19" customHeight="1">
      <c r="B635" s="464">
        <v>46037</v>
      </c>
      <c r="C635" s="436" t="s">
        <v>258</v>
      </c>
      <c r="D635" s="436" t="s">
        <v>882</v>
      </c>
      <c r="E635" s="436">
        <v>1</v>
      </c>
      <c r="F635" s="436"/>
      <c r="G635" s="468" t="s">
        <v>875</v>
      </c>
      <c r="H635" s="466" t="e">
        <f>G635/1.1</f>
        <v>#VALUE!</v>
      </c>
      <c r="I635" s="436"/>
      <c r="J635" s="465">
        <v>0</v>
      </c>
      <c r="K635" s="467">
        <v>0</v>
      </c>
    </row>
    <row r="636" spans="2:11" ht="19" customHeight="1">
      <c r="B636" s="464">
        <v>46037</v>
      </c>
      <c r="C636" s="436" t="s">
        <v>258</v>
      </c>
      <c r="D636" s="436" t="s">
        <v>990</v>
      </c>
      <c r="E636" s="436">
        <v>1</v>
      </c>
      <c r="F636" s="436"/>
      <c r="G636" s="468" t="s">
        <v>875</v>
      </c>
      <c r="H636" s="466" t="e">
        <f>G636/1.1</f>
        <v>#VALUE!</v>
      </c>
      <c r="I636" s="436"/>
      <c r="J636" s="465">
        <v>0</v>
      </c>
      <c r="K636" s="467">
        <v>0</v>
      </c>
    </row>
    <row r="637" spans="2:11" ht="19" customHeight="1">
      <c r="B637" s="464">
        <v>46037</v>
      </c>
      <c r="C637" s="436" t="s">
        <v>254</v>
      </c>
      <c r="D637" s="436" t="s">
        <v>254</v>
      </c>
      <c r="E637" s="436">
        <v>3</v>
      </c>
      <c r="F637" s="467">
        <v>14.9</v>
      </c>
      <c r="G637" s="466">
        <v>44.7</v>
      </c>
      <c r="H637" s="466">
        <f>G637/1.1</f>
        <v>40.636363636363633</v>
      </c>
      <c r="I637" s="436"/>
      <c r="J637" s="465">
        <v>0</v>
      </c>
      <c r="K637" s="467">
        <v>0</v>
      </c>
    </row>
    <row r="638" spans="2:11" ht="19" customHeight="1">
      <c r="B638" s="464">
        <v>46037</v>
      </c>
      <c r="C638" s="436" t="s">
        <v>873</v>
      </c>
      <c r="D638" s="436" t="s">
        <v>974</v>
      </c>
      <c r="E638" s="436">
        <v>3</v>
      </c>
      <c r="F638" s="436"/>
      <c r="G638" s="468" t="s">
        <v>875</v>
      </c>
      <c r="H638" s="466" t="e">
        <f>G638/1.1</f>
        <v>#VALUE!</v>
      </c>
      <c r="I638" s="436"/>
      <c r="J638" s="465">
        <v>0</v>
      </c>
      <c r="K638" s="467">
        <v>0</v>
      </c>
    </row>
    <row r="639" spans="2:11" ht="19" customHeight="1">
      <c r="B639" s="464">
        <v>46037</v>
      </c>
      <c r="C639" s="436" t="s">
        <v>877</v>
      </c>
      <c r="D639" s="436" t="s">
        <v>975</v>
      </c>
      <c r="E639" s="436">
        <v>1</v>
      </c>
      <c r="F639" s="436"/>
      <c r="G639" s="468" t="s">
        <v>875</v>
      </c>
      <c r="H639" s="466" t="e">
        <f>G639/1.1</f>
        <v>#VALUE!</v>
      </c>
      <c r="I639" s="436"/>
      <c r="J639" s="465">
        <v>0</v>
      </c>
      <c r="K639" s="467">
        <v>0</v>
      </c>
    </row>
    <row r="640" spans="2:11" ht="19" customHeight="1">
      <c r="B640" s="464">
        <v>46037</v>
      </c>
      <c r="C640" s="436" t="s">
        <v>877</v>
      </c>
      <c r="D640" s="436" t="s">
        <v>971</v>
      </c>
      <c r="E640" s="436">
        <v>2</v>
      </c>
      <c r="F640" s="467">
        <v>3</v>
      </c>
      <c r="G640" s="466">
        <v>6</v>
      </c>
      <c r="H640" s="466">
        <f>G640/1.1</f>
        <v>5.4545454545454541</v>
      </c>
      <c r="I640" s="436"/>
      <c r="J640" s="465">
        <v>0</v>
      </c>
      <c r="K640" s="467">
        <v>0</v>
      </c>
    </row>
    <row r="641" spans="2:11" ht="19" customHeight="1">
      <c r="B641" s="464">
        <v>46037</v>
      </c>
      <c r="C641" s="436" t="s">
        <v>266</v>
      </c>
      <c r="D641" s="436" t="s">
        <v>250</v>
      </c>
      <c r="E641" s="436">
        <v>1</v>
      </c>
      <c r="F641" s="436"/>
      <c r="G641" s="468" t="s">
        <v>875</v>
      </c>
      <c r="H641" s="466" t="e">
        <f>G641/1.1</f>
        <v>#VALUE!</v>
      </c>
      <c r="I641" s="436"/>
      <c r="J641" s="465">
        <v>0</v>
      </c>
      <c r="K641" s="467">
        <v>0</v>
      </c>
    </row>
    <row r="642" spans="2:11" ht="19" customHeight="1">
      <c r="B642" s="464">
        <v>46037</v>
      </c>
      <c r="C642" s="436" t="s">
        <v>266</v>
      </c>
      <c r="D642" s="436" t="s">
        <v>991</v>
      </c>
      <c r="E642" s="436">
        <v>1</v>
      </c>
      <c r="F642" s="436"/>
      <c r="G642" s="468" t="s">
        <v>875</v>
      </c>
      <c r="H642" s="466" t="e">
        <f>G642/1.1</f>
        <v>#VALUE!</v>
      </c>
      <c r="I642" s="436"/>
      <c r="J642" s="465">
        <v>0</v>
      </c>
      <c r="K642" s="467">
        <v>0</v>
      </c>
    </row>
    <row r="643" spans="2:11" ht="19" customHeight="1">
      <c r="B643" s="464">
        <v>46037</v>
      </c>
      <c r="C643" s="436" t="s">
        <v>266</v>
      </c>
      <c r="D643" s="436" t="s">
        <v>265</v>
      </c>
      <c r="E643" s="436">
        <v>1</v>
      </c>
      <c r="F643" s="467">
        <v>1</v>
      </c>
      <c r="G643" s="466">
        <v>1</v>
      </c>
      <c r="H643" s="466">
        <f>G643/1.1</f>
        <v>0.90909090909090906</v>
      </c>
      <c r="I643" s="436"/>
      <c r="J643" s="465">
        <v>0</v>
      </c>
      <c r="K643" s="467">
        <v>0</v>
      </c>
    </row>
    <row r="644" spans="2:11" ht="19" customHeight="1">
      <c r="B644" s="464">
        <v>46037</v>
      </c>
      <c r="C644" s="436" t="s">
        <v>258</v>
      </c>
      <c r="D644" s="436" t="s">
        <v>990</v>
      </c>
      <c r="E644" s="436">
        <v>2</v>
      </c>
      <c r="F644" s="436"/>
      <c r="G644" s="468" t="s">
        <v>875</v>
      </c>
      <c r="H644" s="466" t="e">
        <f>G644/1.1</f>
        <v>#VALUE!</v>
      </c>
      <c r="I644" s="436"/>
      <c r="J644" s="465">
        <v>0</v>
      </c>
      <c r="K644" s="467">
        <v>0</v>
      </c>
    </row>
    <row r="645" spans="2:11" ht="19" customHeight="1">
      <c r="B645" s="464">
        <v>46037</v>
      </c>
      <c r="C645" s="436" t="s">
        <v>258</v>
      </c>
      <c r="D645" s="436" t="s">
        <v>882</v>
      </c>
      <c r="E645" s="436">
        <v>1</v>
      </c>
      <c r="F645" s="436"/>
      <c r="G645" s="468" t="s">
        <v>875</v>
      </c>
      <c r="H645" s="466" t="e">
        <f>G645/1.1</f>
        <v>#VALUE!</v>
      </c>
      <c r="I645" s="436"/>
      <c r="J645" s="465">
        <v>0</v>
      </c>
      <c r="K645" s="467">
        <v>0</v>
      </c>
    </row>
    <row r="646" spans="2:11" ht="19" customHeight="1">
      <c r="B646" s="464">
        <v>46037</v>
      </c>
      <c r="C646" s="436" t="s">
        <v>254</v>
      </c>
      <c r="D646" s="436" t="s">
        <v>254</v>
      </c>
      <c r="E646" s="436">
        <v>5</v>
      </c>
      <c r="F646" s="467">
        <v>14.9</v>
      </c>
      <c r="G646" s="466">
        <v>74.5</v>
      </c>
      <c r="H646" s="466">
        <f>G646/1.1</f>
        <v>67.72727272727272</v>
      </c>
      <c r="I646" s="436"/>
      <c r="J646" s="465">
        <v>0</v>
      </c>
      <c r="K646" s="467">
        <v>0</v>
      </c>
    </row>
    <row r="647" spans="2:11" ht="19" customHeight="1">
      <c r="B647" s="464">
        <v>46037</v>
      </c>
      <c r="C647" s="436" t="s">
        <v>873</v>
      </c>
      <c r="D647" s="436" t="s">
        <v>977</v>
      </c>
      <c r="E647" s="436">
        <v>1</v>
      </c>
      <c r="F647" s="436"/>
      <c r="G647" s="468" t="s">
        <v>875</v>
      </c>
      <c r="H647" s="466" t="e">
        <f>G647/1.1</f>
        <v>#VALUE!</v>
      </c>
      <c r="I647" s="436"/>
      <c r="J647" s="465">
        <v>0</v>
      </c>
      <c r="K647" s="467">
        <v>0</v>
      </c>
    </row>
    <row r="648" spans="2:11" ht="19" customHeight="1">
      <c r="B648" s="464">
        <v>46037</v>
      </c>
      <c r="C648" s="436" t="s">
        <v>873</v>
      </c>
      <c r="D648" s="436" t="s">
        <v>987</v>
      </c>
      <c r="E648" s="436">
        <v>1</v>
      </c>
      <c r="F648" s="467">
        <v>5</v>
      </c>
      <c r="G648" s="466">
        <v>5</v>
      </c>
      <c r="H648" s="466">
        <f>G648/1.1</f>
        <v>4.545454545454545</v>
      </c>
      <c r="I648" s="436"/>
      <c r="J648" s="465">
        <v>0</v>
      </c>
      <c r="K648" s="467">
        <v>0</v>
      </c>
    </row>
    <row r="649" spans="2:11" ht="19" customHeight="1">
      <c r="B649" s="464">
        <v>46037</v>
      </c>
      <c r="C649" s="436" t="s">
        <v>873</v>
      </c>
      <c r="D649" s="436" t="s">
        <v>970</v>
      </c>
      <c r="E649" s="436">
        <v>2</v>
      </c>
      <c r="F649" s="436"/>
      <c r="G649" s="468" t="s">
        <v>875</v>
      </c>
      <c r="H649" s="466" t="e">
        <f>G649/1.1</f>
        <v>#VALUE!</v>
      </c>
      <c r="I649" s="436"/>
      <c r="J649" s="465">
        <v>0</v>
      </c>
      <c r="K649" s="467">
        <v>0</v>
      </c>
    </row>
    <row r="650" spans="2:11" ht="19" customHeight="1">
      <c r="B650" s="464">
        <v>46037</v>
      </c>
      <c r="C650" s="436" t="s">
        <v>873</v>
      </c>
      <c r="D650" s="436" t="s">
        <v>726</v>
      </c>
      <c r="E650" s="436">
        <v>1</v>
      </c>
      <c r="F650" s="467">
        <v>3</v>
      </c>
      <c r="G650" s="466">
        <v>3</v>
      </c>
      <c r="H650" s="466">
        <f>G650/1.1</f>
        <v>2.7272727272727271</v>
      </c>
      <c r="I650" s="436"/>
      <c r="J650" s="465">
        <v>0</v>
      </c>
      <c r="K650" s="467">
        <v>0</v>
      </c>
    </row>
    <row r="651" spans="2:11" ht="40" customHeight="1">
      <c r="B651" s="464">
        <v>46037</v>
      </c>
      <c r="C651" s="436" t="s">
        <v>877</v>
      </c>
      <c r="D651" s="470" t="s">
        <v>973</v>
      </c>
      <c r="E651" s="436">
        <v>1</v>
      </c>
      <c r="F651" s="436"/>
      <c r="G651" s="468" t="s">
        <v>875</v>
      </c>
      <c r="H651" s="466" t="e">
        <f>G651/1.1</f>
        <v>#VALUE!</v>
      </c>
      <c r="I651" s="436"/>
      <c r="J651" s="465">
        <v>0</v>
      </c>
      <c r="K651" s="467">
        <v>0</v>
      </c>
    </row>
    <row r="652" spans="2:11" ht="19" customHeight="1">
      <c r="B652" s="464">
        <v>46037</v>
      </c>
      <c r="C652" s="436" t="s">
        <v>877</v>
      </c>
      <c r="D652" s="436" t="s">
        <v>971</v>
      </c>
      <c r="E652" s="436">
        <v>3</v>
      </c>
      <c r="F652" s="467">
        <v>3</v>
      </c>
      <c r="G652" s="466">
        <v>9</v>
      </c>
      <c r="H652" s="466">
        <f>G652/1.1</f>
        <v>8.1818181818181817</v>
      </c>
      <c r="I652" s="436"/>
      <c r="J652" s="465">
        <v>0</v>
      </c>
      <c r="K652" s="467">
        <v>0</v>
      </c>
    </row>
    <row r="653" spans="2:11" ht="19" customHeight="1">
      <c r="B653" s="464">
        <v>46037</v>
      </c>
      <c r="C653" s="436" t="s">
        <v>877</v>
      </c>
      <c r="D653" s="436" t="s">
        <v>975</v>
      </c>
      <c r="E653" s="436">
        <v>1</v>
      </c>
      <c r="F653" s="436"/>
      <c r="G653" s="468" t="s">
        <v>875</v>
      </c>
      <c r="H653" s="466" t="e">
        <f>G653/1.1</f>
        <v>#VALUE!</v>
      </c>
      <c r="I653" s="436"/>
      <c r="J653" s="465">
        <v>0</v>
      </c>
      <c r="K653" s="467">
        <v>0</v>
      </c>
    </row>
    <row r="654" spans="2:11" ht="19" customHeight="1">
      <c r="B654" s="464">
        <v>46037</v>
      </c>
      <c r="C654" s="436" t="s">
        <v>266</v>
      </c>
      <c r="D654" s="436" t="s">
        <v>708</v>
      </c>
      <c r="E654" s="436">
        <v>1</v>
      </c>
      <c r="F654" s="436"/>
      <c r="G654" s="468" t="s">
        <v>875</v>
      </c>
      <c r="H654" s="466" t="e">
        <f>G654/1.1</f>
        <v>#VALUE!</v>
      </c>
      <c r="I654" s="436"/>
      <c r="J654" s="465">
        <v>0</v>
      </c>
      <c r="K654" s="467">
        <v>0</v>
      </c>
    </row>
    <row r="655" spans="2:11" ht="19" customHeight="1">
      <c r="B655" s="464">
        <v>46037</v>
      </c>
      <c r="C655" s="436" t="s">
        <v>266</v>
      </c>
      <c r="D655" s="436" t="s">
        <v>250</v>
      </c>
      <c r="E655" s="436">
        <v>4</v>
      </c>
      <c r="F655" s="436"/>
      <c r="G655" s="468" t="s">
        <v>875</v>
      </c>
      <c r="H655" s="466" t="e">
        <f>G655/1.1</f>
        <v>#VALUE!</v>
      </c>
      <c r="I655" s="436"/>
      <c r="J655" s="465">
        <v>0</v>
      </c>
      <c r="K655" s="467">
        <v>0</v>
      </c>
    </row>
    <row r="656" spans="2:11" ht="19" customHeight="1">
      <c r="B656" s="464">
        <v>46037</v>
      </c>
      <c r="C656" s="436" t="s">
        <v>258</v>
      </c>
      <c r="D656" s="436" t="s">
        <v>992</v>
      </c>
      <c r="E656" s="436">
        <v>1</v>
      </c>
      <c r="F656" s="436"/>
      <c r="G656" s="468" t="s">
        <v>875</v>
      </c>
      <c r="H656" s="466" t="e">
        <f>G656/1.1</f>
        <v>#VALUE!</v>
      </c>
      <c r="I656" s="436"/>
      <c r="J656" s="465">
        <v>0</v>
      </c>
      <c r="K656" s="467">
        <v>0</v>
      </c>
    </row>
    <row r="657" spans="2:11" ht="19" customHeight="1">
      <c r="B657" s="464">
        <v>46037</v>
      </c>
      <c r="C657" s="436" t="s">
        <v>258</v>
      </c>
      <c r="D657" s="436" t="s">
        <v>990</v>
      </c>
      <c r="E657" s="436">
        <v>2</v>
      </c>
      <c r="F657" s="436"/>
      <c r="G657" s="468" t="s">
        <v>875</v>
      </c>
      <c r="H657" s="466" t="e">
        <f>G657/1.1</f>
        <v>#VALUE!</v>
      </c>
      <c r="I657" s="436"/>
      <c r="J657" s="465">
        <v>0</v>
      </c>
      <c r="K657" s="467">
        <v>0</v>
      </c>
    </row>
    <row r="658" spans="2:11" ht="19" customHeight="1">
      <c r="B658" s="464">
        <v>46037</v>
      </c>
      <c r="C658" s="436" t="s">
        <v>258</v>
      </c>
      <c r="D658" s="436" t="s">
        <v>972</v>
      </c>
      <c r="E658" s="436">
        <v>1</v>
      </c>
      <c r="F658" s="436"/>
      <c r="G658" s="468" t="s">
        <v>875</v>
      </c>
      <c r="H658" s="466" t="e">
        <f>G658/1.1</f>
        <v>#VALUE!</v>
      </c>
      <c r="I658" s="436"/>
      <c r="J658" s="465">
        <v>0</v>
      </c>
      <c r="K658" s="467">
        <v>0</v>
      </c>
    </row>
    <row r="659" spans="2:11" ht="19" customHeight="1">
      <c r="B659" s="464">
        <v>46037</v>
      </c>
      <c r="C659" s="436" t="s">
        <v>254</v>
      </c>
      <c r="D659" s="436" t="s">
        <v>254</v>
      </c>
      <c r="E659" s="436">
        <v>2</v>
      </c>
      <c r="F659" s="467">
        <v>14.9</v>
      </c>
      <c r="G659" s="466">
        <v>29.8</v>
      </c>
      <c r="H659" s="466">
        <f>G659/1.1</f>
        <v>27.09090909090909</v>
      </c>
      <c r="I659" s="436"/>
      <c r="J659" s="465">
        <v>0</v>
      </c>
      <c r="K659" s="467">
        <v>0</v>
      </c>
    </row>
    <row r="660" spans="2:11" ht="19" customHeight="1">
      <c r="B660" s="464">
        <v>46037</v>
      </c>
      <c r="C660" s="436" t="s">
        <v>873</v>
      </c>
      <c r="D660" s="436" t="s">
        <v>977</v>
      </c>
      <c r="E660" s="436">
        <v>1</v>
      </c>
      <c r="F660" s="436"/>
      <c r="G660" s="468" t="s">
        <v>875</v>
      </c>
      <c r="H660" s="466" t="e">
        <f>G660/1.1</f>
        <v>#VALUE!</v>
      </c>
      <c r="I660" s="436"/>
      <c r="J660" s="465">
        <v>0</v>
      </c>
      <c r="K660" s="467">
        <v>0</v>
      </c>
    </row>
    <row r="661" spans="2:11" ht="19" customHeight="1">
      <c r="B661" s="464">
        <v>46037</v>
      </c>
      <c r="C661" s="436" t="s">
        <v>873</v>
      </c>
      <c r="D661" s="436" t="s">
        <v>970</v>
      </c>
      <c r="E661" s="436">
        <v>1</v>
      </c>
      <c r="F661" s="436"/>
      <c r="G661" s="468" t="s">
        <v>875</v>
      </c>
      <c r="H661" s="466" t="e">
        <f>G661/1.1</f>
        <v>#VALUE!</v>
      </c>
      <c r="I661" s="436"/>
      <c r="J661" s="465">
        <v>0</v>
      </c>
      <c r="K661" s="467">
        <v>0</v>
      </c>
    </row>
    <row r="662" spans="2:11" ht="19" customHeight="1">
      <c r="B662" s="464">
        <v>46037</v>
      </c>
      <c r="C662" s="436" t="s">
        <v>877</v>
      </c>
      <c r="D662" s="436" t="s">
        <v>978</v>
      </c>
      <c r="E662" s="436">
        <v>2</v>
      </c>
      <c r="F662" s="436"/>
      <c r="G662" s="468" t="s">
        <v>875</v>
      </c>
      <c r="H662" s="466" t="e">
        <f>G662/1.1</f>
        <v>#VALUE!</v>
      </c>
      <c r="I662" s="436"/>
      <c r="J662" s="465">
        <v>0</v>
      </c>
      <c r="K662" s="467">
        <v>0</v>
      </c>
    </row>
    <row r="663" spans="2:11" ht="19" customHeight="1">
      <c r="B663" s="464">
        <v>46037</v>
      </c>
      <c r="C663" s="436" t="s">
        <v>266</v>
      </c>
      <c r="D663" s="436" t="s">
        <v>926</v>
      </c>
      <c r="E663" s="436">
        <v>1</v>
      </c>
      <c r="F663" s="467">
        <v>1</v>
      </c>
      <c r="G663" s="466">
        <v>1</v>
      </c>
      <c r="H663" s="466">
        <f>G663/1.1</f>
        <v>0.90909090909090906</v>
      </c>
      <c r="I663" s="436"/>
      <c r="J663" s="465">
        <v>0</v>
      </c>
      <c r="K663" s="467">
        <v>0</v>
      </c>
    </row>
    <row r="664" spans="2:11" ht="19" customHeight="1">
      <c r="B664" s="464">
        <v>46037</v>
      </c>
      <c r="C664" s="436" t="s">
        <v>266</v>
      </c>
      <c r="D664" s="436" t="s">
        <v>250</v>
      </c>
      <c r="E664" s="436">
        <v>1</v>
      </c>
      <c r="F664" s="436"/>
      <c r="G664" s="468" t="s">
        <v>875</v>
      </c>
      <c r="H664" s="466" t="e">
        <f>G664/1.1</f>
        <v>#VALUE!</v>
      </c>
      <c r="I664" s="436"/>
      <c r="J664" s="465">
        <v>0</v>
      </c>
      <c r="K664" s="467">
        <v>0</v>
      </c>
    </row>
    <row r="665" spans="2:11" ht="19" customHeight="1">
      <c r="B665" s="464">
        <v>46037</v>
      </c>
      <c r="C665" s="436" t="s">
        <v>258</v>
      </c>
      <c r="D665" s="436" t="s">
        <v>990</v>
      </c>
      <c r="E665" s="436">
        <v>1</v>
      </c>
      <c r="F665" s="436"/>
      <c r="G665" s="468" t="s">
        <v>875</v>
      </c>
      <c r="H665" s="466" t="e">
        <f>G665/1.1</f>
        <v>#VALUE!</v>
      </c>
      <c r="I665" s="436"/>
      <c r="J665" s="465">
        <v>0</v>
      </c>
      <c r="K665" s="467">
        <v>0</v>
      </c>
    </row>
    <row r="666" spans="2:11" ht="19" customHeight="1">
      <c r="B666" s="464">
        <v>46037</v>
      </c>
      <c r="C666" s="436" t="s">
        <v>254</v>
      </c>
      <c r="D666" s="436" t="s">
        <v>254</v>
      </c>
      <c r="E666" s="436">
        <v>2</v>
      </c>
      <c r="F666" s="467">
        <v>14.9</v>
      </c>
      <c r="G666" s="466">
        <v>29.8</v>
      </c>
      <c r="H666" s="466">
        <f>G666/1.1</f>
        <v>27.09090909090909</v>
      </c>
      <c r="I666" s="436"/>
      <c r="J666" s="465">
        <v>0</v>
      </c>
      <c r="K666" s="467">
        <v>0</v>
      </c>
    </row>
    <row r="667" spans="2:11" ht="19" customHeight="1">
      <c r="B667" s="464">
        <v>46037</v>
      </c>
      <c r="C667" s="436" t="s">
        <v>873</v>
      </c>
      <c r="D667" s="436" t="s">
        <v>974</v>
      </c>
      <c r="E667" s="436">
        <v>2</v>
      </c>
      <c r="F667" s="436"/>
      <c r="G667" s="468" t="s">
        <v>875</v>
      </c>
      <c r="H667" s="466" t="e">
        <f>G667/1.1</f>
        <v>#VALUE!</v>
      </c>
      <c r="I667" s="436"/>
      <c r="J667" s="465">
        <v>0</v>
      </c>
      <c r="K667" s="467">
        <v>0</v>
      </c>
    </row>
    <row r="668" spans="2:11" ht="19" customHeight="1">
      <c r="B668" s="464">
        <v>46037</v>
      </c>
      <c r="C668" s="436" t="s">
        <v>877</v>
      </c>
      <c r="D668" s="436" t="s">
        <v>975</v>
      </c>
      <c r="E668" s="436">
        <v>1</v>
      </c>
      <c r="F668" s="436"/>
      <c r="G668" s="468" t="s">
        <v>875</v>
      </c>
      <c r="H668" s="466" t="e">
        <f>G668/1.1</f>
        <v>#VALUE!</v>
      </c>
      <c r="I668" s="436"/>
      <c r="J668" s="465">
        <v>0</v>
      </c>
      <c r="K668" s="467">
        <v>0</v>
      </c>
    </row>
    <row r="669" spans="2:11" ht="19" customHeight="1">
      <c r="B669" s="464">
        <v>46037</v>
      </c>
      <c r="C669" s="436" t="s">
        <v>877</v>
      </c>
      <c r="D669" s="436" t="s">
        <v>978</v>
      </c>
      <c r="E669" s="436">
        <v>1</v>
      </c>
      <c r="F669" s="436"/>
      <c r="G669" s="468" t="s">
        <v>875</v>
      </c>
      <c r="H669" s="466" t="e">
        <f>G669/1.1</f>
        <v>#VALUE!</v>
      </c>
      <c r="I669" s="436"/>
      <c r="J669" s="465">
        <v>0</v>
      </c>
      <c r="K669" s="467">
        <v>0</v>
      </c>
    </row>
    <row r="670" spans="2:11" ht="19" customHeight="1">
      <c r="B670" s="464">
        <v>46037</v>
      </c>
      <c r="C670" s="436" t="s">
        <v>266</v>
      </c>
      <c r="D670" s="436" t="s">
        <v>250</v>
      </c>
      <c r="E670" s="436">
        <v>2</v>
      </c>
      <c r="F670" s="436"/>
      <c r="G670" s="468" t="s">
        <v>875</v>
      </c>
      <c r="H670" s="466" t="e">
        <f>G670/1.1</f>
        <v>#VALUE!</v>
      </c>
      <c r="I670" s="436"/>
      <c r="J670" s="465">
        <v>0</v>
      </c>
      <c r="K670" s="467">
        <v>0</v>
      </c>
    </row>
    <row r="671" spans="2:11" ht="19" customHeight="1">
      <c r="B671" s="464">
        <v>46037</v>
      </c>
      <c r="C671" s="436" t="s">
        <v>258</v>
      </c>
      <c r="D671" s="436" t="s">
        <v>992</v>
      </c>
      <c r="E671" s="436">
        <v>1</v>
      </c>
      <c r="F671" s="436"/>
      <c r="G671" s="468" t="s">
        <v>875</v>
      </c>
      <c r="H671" s="466" t="e">
        <f>G671/1.1</f>
        <v>#VALUE!</v>
      </c>
      <c r="I671" s="436"/>
      <c r="J671" s="465">
        <v>0</v>
      </c>
      <c r="K671" s="467">
        <v>0</v>
      </c>
    </row>
    <row r="672" spans="2:11" ht="19" customHeight="1">
      <c r="B672" s="464">
        <v>46037</v>
      </c>
      <c r="C672" s="436" t="s">
        <v>258</v>
      </c>
      <c r="D672" s="436" t="s">
        <v>990</v>
      </c>
      <c r="E672" s="436">
        <v>1</v>
      </c>
      <c r="F672" s="436"/>
      <c r="G672" s="468" t="s">
        <v>875</v>
      </c>
      <c r="H672" s="466" t="e">
        <f>G672/1.1</f>
        <v>#VALUE!</v>
      </c>
      <c r="I672" s="436"/>
      <c r="J672" s="465">
        <v>0</v>
      </c>
      <c r="K672" s="467">
        <v>0</v>
      </c>
    </row>
    <row r="673" spans="2:11" ht="19" customHeight="1">
      <c r="B673" s="464">
        <v>46037</v>
      </c>
      <c r="C673" s="436" t="s">
        <v>254</v>
      </c>
      <c r="D673" s="436" t="s">
        <v>254</v>
      </c>
      <c r="E673" s="436">
        <v>2</v>
      </c>
      <c r="F673" s="467">
        <v>14.9</v>
      </c>
      <c r="G673" s="466">
        <v>29.8</v>
      </c>
      <c r="H673" s="466">
        <f>G673/1.1</f>
        <v>27.09090909090909</v>
      </c>
      <c r="I673" s="436"/>
      <c r="J673" s="465">
        <v>0</v>
      </c>
      <c r="K673" s="467">
        <v>0</v>
      </c>
    </row>
    <row r="674" spans="2:11" ht="19" customHeight="1">
      <c r="B674" s="464">
        <v>46037</v>
      </c>
      <c r="C674" s="436" t="s">
        <v>873</v>
      </c>
      <c r="D674" s="436" t="s">
        <v>987</v>
      </c>
      <c r="E674" s="436">
        <v>2</v>
      </c>
      <c r="F674" s="467">
        <v>5</v>
      </c>
      <c r="G674" s="466">
        <v>10</v>
      </c>
      <c r="H674" s="466">
        <f>G674/1.1</f>
        <v>9.0909090909090899</v>
      </c>
      <c r="I674" s="436"/>
      <c r="J674" s="465">
        <v>0</v>
      </c>
      <c r="K674" s="467">
        <v>0</v>
      </c>
    </row>
    <row r="675" spans="2:11" ht="19" customHeight="1">
      <c r="B675" s="464">
        <v>46037</v>
      </c>
      <c r="C675" s="436" t="s">
        <v>877</v>
      </c>
      <c r="D675" s="436" t="s">
        <v>978</v>
      </c>
      <c r="E675" s="436">
        <v>2</v>
      </c>
      <c r="F675" s="436"/>
      <c r="G675" s="468" t="s">
        <v>875</v>
      </c>
      <c r="H675" s="466" t="e">
        <f>G675/1.1</f>
        <v>#VALUE!</v>
      </c>
      <c r="I675" s="436"/>
      <c r="J675" s="465">
        <v>0</v>
      </c>
      <c r="K675" s="467">
        <v>0</v>
      </c>
    </row>
    <row r="676" spans="2:11" ht="19" customHeight="1">
      <c r="B676" s="464">
        <v>46037</v>
      </c>
      <c r="C676" s="436" t="s">
        <v>266</v>
      </c>
      <c r="D676" s="436" t="s">
        <v>250</v>
      </c>
      <c r="E676" s="436">
        <v>1</v>
      </c>
      <c r="F676" s="436"/>
      <c r="G676" s="468" t="s">
        <v>875</v>
      </c>
      <c r="H676" s="466" t="e">
        <f>G676/1.1</f>
        <v>#VALUE!</v>
      </c>
      <c r="I676" s="436"/>
      <c r="J676" s="465">
        <v>0</v>
      </c>
      <c r="K676" s="467">
        <v>0</v>
      </c>
    </row>
    <row r="677" spans="2:11" ht="19" customHeight="1">
      <c r="B677" s="464">
        <v>46037</v>
      </c>
      <c r="C677" s="436" t="s">
        <v>266</v>
      </c>
      <c r="D677" s="436" t="s">
        <v>926</v>
      </c>
      <c r="E677" s="436">
        <v>1</v>
      </c>
      <c r="F677" s="436" t="s">
        <v>875</v>
      </c>
      <c r="G677" s="468" t="s">
        <v>993</v>
      </c>
      <c r="H677" s="466" t="e">
        <f>G677/1.1</f>
        <v>#VALUE!</v>
      </c>
      <c r="I677" s="436"/>
      <c r="J677" s="465">
        <v>0</v>
      </c>
      <c r="K677" s="467">
        <v>0</v>
      </c>
    </row>
    <row r="678" spans="2:11" ht="19" customHeight="1">
      <c r="B678" s="464">
        <v>46037</v>
      </c>
      <c r="C678" s="436" t="s">
        <v>258</v>
      </c>
      <c r="D678" s="436" t="s">
        <v>990</v>
      </c>
      <c r="E678" s="436">
        <v>2</v>
      </c>
      <c r="F678" s="436"/>
      <c r="G678" s="468" t="s">
        <v>875</v>
      </c>
      <c r="H678" s="466" t="e">
        <f>G678/1.1</f>
        <v>#VALUE!</v>
      </c>
      <c r="I678" s="436"/>
      <c r="J678" s="465">
        <v>0</v>
      </c>
      <c r="K678" s="467">
        <v>0</v>
      </c>
    </row>
    <row r="679" spans="2:11" ht="19" customHeight="1">
      <c r="B679" s="464">
        <v>46037</v>
      </c>
      <c r="C679" s="436" t="s">
        <v>254</v>
      </c>
      <c r="D679" s="436" t="s">
        <v>254</v>
      </c>
      <c r="E679" s="436">
        <v>2</v>
      </c>
      <c r="F679" s="467">
        <v>14.9</v>
      </c>
      <c r="G679" s="466">
        <v>29.8</v>
      </c>
      <c r="H679" s="466">
        <f>G679/1.1</f>
        <v>27.09090909090909</v>
      </c>
      <c r="I679" s="436"/>
      <c r="J679" s="465">
        <v>0</v>
      </c>
      <c r="K679" s="467">
        <v>0</v>
      </c>
    </row>
    <row r="680" spans="2:11" ht="19" customHeight="1">
      <c r="B680" s="464">
        <v>46037</v>
      </c>
      <c r="C680" s="436" t="s">
        <v>873</v>
      </c>
      <c r="D680" s="436" t="s">
        <v>970</v>
      </c>
      <c r="E680" s="436">
        <v>2</v>
      </c>
      <c r="F680" s="436"/>
      <c r="G680" s="468" t="s">
        <v>875</v>
      </c>
      <c r="H680" s="466" t="e">
        <f>G680/1.1</f>
        <v>#VALUE!</v>
      </c>
      <c r="I680" s="436"/>
      <c r="J680" s="465">
        <v>0</v>
      </c>
      <c r="K680" s="467">
        <v>0</v>
      </c>
    </row>
    <row r="681" spans="2:11" ht="19" customHeight="1">
      <c r="B681" s="464">
        <v>46037</v>
      </c>
      <c r="C681" s="436" t="s">
        <v>873</v>
      </c>
      <c r="D681" s="436" t="s">
        <v>974</v>
      </c>
      <c r="E681" s="436">
        <v>1</v>
      </c>
      <c r="F681" s="436"/>
      <c r="G681" s="468" t="s">
        <v>875</v>
      </c>
      <c r="H681" s="466" t="e">
        <f>G681/1.1</f>
        <v>#VALUE!</v>
      </c>
      <c r="I681" s="436"/>
      <c r="J681" s="465">
        <v>0</v>
      </c>
      <c r="K681" s="467">
        <v>0</v>
      </c>
    </row>
    <row r="682" spans="2:11" ht="19" customHeight="1">
      <c r="B682" s="464">
        <v>46037</v>
      </c>
      <c r="C682" s="436" t="s">
        <v>877</v>
      </c>
      <c r="D682" s="436" t="s">
        <v>975</v>
      </c>
      <c r="E682" s="436">
        <v>1</v>
      </c>
      <c r="F682" s="436"/>
      <c r="G682" s="468" t="s">
        <v>875</v>
      </c>
      <c r="H682" s="466" t="e">
        <f>G682/1.1</f>
        <v>#VALUE!</v>
      </c>
      <c r="I682" s="436"/>
      <c r="J682" s="465">
        <v>0</v>
      </c>
      <c r="K682" s="467">
        <v>0</v>
      </c>
    </row>
    <row r="683" spans="2:11" ht="19" customHeight="1">
      <c r="B683" s="464">
        <v>46037</v>
      </c>
      <c r="C683" s="436" t="s">
        <v>877</v>
      </c>
      <c r="D683" s="436" t="s">
        <v>970</v>
      </c>
      <c r="E683" s="436">
        <v>1</v>
      </c>
      <c r="F683" s="436"/>
      <c r="G683" s="468" t="s">
        <v>875</v>
      </c>
      <c r="H683" s="466" t="e">
        <f>G683/1.1</f>
        <v>#VALUE!</v>
      </c>
      <c r="I683" s="436"/>
      <c r="J683" s="465">
        <v>0</v>
      </c>
      <c r="K683" s="467">
        <v>0</v>
      </c>
    </row>
    <row r="684" spans="2:11" ht="19" customHeight="1">
      <c r="B684" s="464">
        <v>46037</v>
      </c>
      <c r="C684" s="436" t="s">
        <v>266</v>
      </c>
      <c r="D684" s="436" t="s">
        <v>250</v>
      </c>
      <c r="E684" s="436">
        <v>1</v>
      </c>
      <c r="F684" s="436"/>
      <c r="G684" s="468" t="s">
        <v>875</v>
      </c>
      <c r="H684" s="466" t="e">
        <f>G684/1.1</f>
        <v>#VALUE!</v>
      </c>
      <c r="I684" s="436"/>
      <c r="J684" s="465">
        <v>0</v>
      </c>
      <c r="K684" s="467">
        <v>0</v>
      </c>
    </row>
    <row r="685" spans="2:11" ht="19" customHeight="1">
      <c r="B685" s="464">
        <v>46037</v>
      </c>
      <c r="C685" s="436" t="s">
        <v>266</v>
      </c>
      <c r="D685" s="436" t="s">
        <v>991</v>
      </c>
      <c r="E685" s="436">
        <v>1</v>
      </c>
      <c r="F685" s="436"/>
      <c r="G685" s="468" t="s">
        <v>875</v>
      </c>
      <c r="H685" s="466" t="e">
        <f>G685/1.1</f>
        <v>#VALUE!</v>
      </c>
      <c r="I685" s="436"/>
      <c r="J685" s="465">
        <v>0</v>
      </c>
      <c r="K685" s="467">
        <v>0</v>
      </c>
    </row>
    <row r="686" spans="2:11" ht="19" customHeight="1">
      <c r="B686" s="464">
        <v>46037</v>
      </c>
      <c r="C686" s="436" t="s">
        <v>258</v>
      </c>
      <c r="D686" s="436" t="s">
        <v>994</v>
      </c>
      <c r="E686" s="436">
        <v>1</v>
      </c>
      <c r="F686" s="436"/>
      <c r="G686" s="468" t="s">
        <v>875</v>
      </c>
      <c r="H686" s="466" t="e">
        <f>G686/1.1</f>
        <v>#VALUE!</v>
      </c>
      <c r="I686" s="436"/>
      <c r="J686" s="465">
        <v>0</v>
      </c>
      <c r="K686" s="467">
        <v>0</v>
      </c>
    </row>
    <row r="687" spans="2:11" ht="19" customHeight="1">
      <c r="B687" s="464">
        <v>46037</v>
      </c>
      <c r="C687" s="436" t="s">
        <v>258</v>
      </c>
      <c r="D687" s="436" t="s">
        <v>972</v>
      </c>
      <c r="E687" s="436">
        <v>1</v>
      </c>
      <c r="F687" s="436"/>
      <c r="G687" s="468" t="s">
        <v>875</v>
      </c>
      <c r="H687" s="466" t="e">
        <f>G687/1.1</f>
        <v>#VALUE!</v>
      </c>
      <c r="I687" s="436"/>
      <c r="J687" s="465">
        <v>0</v>
      </c>
      <c r="K687" s="467">
        <v>0</v>
      </c>
    </row>
    <row r="688" spans="2:11" ht="19" customHeight="1">
      <c r="B688" s="464">
        <v>46037</v>
      </c>
      <c r="C688" s="436" t="s">
        <v>276</v>
      </c>
      <c r="D688" s="436" t="s">
        <v>995</v>
      </c>
      <c r="E688" s="436">
        <v>2</v>
      </c>
      <c r="F688" s="467">
        <v>3.05</v>
      </c>
      <c r="G688" s="466">
        <v>6.1</v>
      </c>
      <c r="H688" s="466">
        <f>G688/1.1</f>
        <v>5.545454545454545</v>
      </c>
      <c r="I688" s="436"/>
      <c r="J688" s="465">
        <v>0</v>
      </c>
      <c r="K688" s="467">
        <v>0</v>
      </c>
    </row>
    <row r="689" spans="2:11" ht="19" customHeight="1">
      <c r="B689" s="464">
        <v>46038</v>
      </c>
      <c r="C689" s="436" t="s">
        <v>254</v>
      </c>
      <c r="D689" s="436" t="s">
        <v>254</v>
      </c>
      <c r="E689" s="436">
        <v>2</v>
      </c>
      <c r="F689" s="467">
        <v>14.9</v>
      </c>
      <c r="G689" s="466">
        <v>29.8</v>
      </c>
      <c r="H689" s="466">
        <f>G689/1.1</f>
        <v>27.09090909090909</v>
      </c>
      <c r="I689" s="436"/>
      <c r="J689" s="465">
        <v>0</v>
      </c>
      <c r="K689" s="467">
        <v>0</v>
      </c>
    </row>
    <row r="690" spans="2:11" ht="19" customHeight="1">
      <c r="B690" s="464">
        <v>46038</v>
      </c>
      <c r="C690" s="436" t="s">
        <v>873</v>
      </c>
      <c r="D690" s="436" t="s">
        <v>974</v>
      </c>
      <c r="E690" s="436">
        <v>2</v>
      </c>
      <c r="F690" s="436"/>
      <c r="G690" s="468" t="s">
        <v>875</v>
      </c>
      <c r="H690" s="466" t="e">
        <f>G690/1.1</f>
        <v>#VALUE!</v>
      </c>
      <c r="I690" s="436"/>
      <c r="J690" s="465">
        <v>0</v>
      </c>
      <c r="K690" s="467">
        <v>0</v>
      </c>
    </row>
    <row r="691" spans="2:11" ht="19" customHeight="1">
      <c r="B691" s="464">
        <v>46038</v>
      </c>
      <c r="C691" s="436" t="s">
        <v>877</v>
      </c>
      <c r="D691" s="436" t="s">
        <v>975</v>
      </c>
      <c r="E691" s="436">
        <v>2</v>
      </c>
      <c r="F691" s="436"/>
      <c r="G691" s="468" t="s">
        <v>875</v>
      </c>
      <c r="H691" s="466" t="e">
        <f>G691/1.1</f>
        <v>#VALUE!</v>
      </c>
      <c r="I691" s="436"/>
      <c r="J691" s="465">
        <v>0</v>
      </c>
      <c r="K691" s="467">
        <v>0</v>
      </c>
    </row>
    <row r="692" spans="2:11" ht="19" customHeight="1">
      <c r="B692" s="464">
        <v>46038</v>
      </c>
      <c r="C692" s="436" t="s">
        <v>266</v>
      </c>
      <c r="D692" s="436" t="s">
        <v>996</v>
      </c>
      <c r="E692" s="436">
        <v>1</v>
      </c>
      <c r="F692" s="436"/>
      <c r="G692" s="468" t="s">
        <v>875</v>
      </c>
      <c r="H692" s="466" t="e">
        <f>G692/1.1</f>
        <v>#VALUE!</v>
      </c>
      <c r="I692" s="436"/>
      <c r="J692" s="465">
        <v>0</v>
      </c>
      <c r="K692" s="467">
        <v>0</v>
      </c>
    </row>
    <row r="693" spans="2:11" ht="19" customHeight="1">
      <c r="B693" s="464">
        <v>46038</v>
      </c>
      <c r="C693" s="436" t="s">
        <v>266</v>
      </c>
      <c r="D693" s="436" t="s">
        <v>250</v>
      </c>
      <c r="E693" s="436">
        <v>1</v>
      </c>
      <c r="F693" s="436"/>
      <c r="G693" s="468" t="s">
        <v>875</v>
      </c>
      <c r="H693" s="466" t="e">
        <f>G693/1.1</f>
        <v>#VALUE!</v>
      </c>
      <c r="I693" s="436"/>
      <c r="J693" s="465">
        <v>0</v>
      </c>
      <c r="K693" s="467">
        <v>0</v>
      </c>
    </row>
    <row r="694" spans="2:11" ht="19" customHeight="1">
      <c r="B694" s="464">
        <v>46038</v>
      </c>
      <c r="C694" s="436" t="s">
        <v>258</v>
      </c>
      <c r="D694" s="436" t="s">
        <v>917</v>
      </c>
      <c r="E694" s="436">
        <v>2</v>
      </c>
      <c r="F694" s="436"/>
      <c r="G694" s="468" t="s">
        <v>875</v>
      </c>
      <c r="H694" s="466" t="e">
        <f>G694/1.1</f>
        <v>#VALUE!</v>
      </c>
      <c r="I694" s="436"/>
      <c r="J694" s="465">
        <v>0</v>
      </c>
      <c r="K694" s="467">
        <v>0</v>
      </c>
    </row>
    <row r="695" spans="2:11" ht="19" customHeight="1">
      <c r="B695" s="464">
        <v>46038</v>
      </c>
      <c r="C695" s="436" t="s">
        <v>254</v>
      </c>
      <c r="D695" s="436" t="s">
        <v>254</v>
      </c>
      <c r="E695" s="436">
        <v>3</v>
      </c>
      <c r="F695" s="467">
        <v>14.9</v>
      </c>
      <c r="G695" s="466">
        <v>44.7</v>
      </c>
      <c r="H695" s="466">
        <f>G695/1.1</f>
        <v>40.636363636363633</v>
      </c>
      <c r="I695" s="436"/>
      <c r="J695" s="465">
        <v>0</v>
      </c>
      <c r="K695" s="467">
        <v>0</v>
      </c>
    </row>
    <row r="696" spans="2:11" ht="19" customHeight="1">
      <c r="B696" s="464">
        <v>46038</v>
      </c>
      <c r="C696" s="436" t="s">
        <v>873</v>
      </c>
      <c r="D696" s="436" t="s">
        <v>974</v>
      </c>
      <c r="E696" s="436">
        <v>1</v>
      </c>
      <c r="F696" s="436"/>
      <c r="G696" s="468" t="s">
        <v>875</v>
      </c>
      <c r="H696" s="466" t="e">
        <f>G696/1.1</f>
        <v>#VALUE!</v>
      </c>
      <c r="I696" s="436"/>
      <c r="J696" s="465">
        <v>0</v>
      </c>
      <c r="K696" s="467">
        <v>0</v>
      </c>
    </row>
    <row r="697" spans="2:11" ht="19" customHeight="1">
      <c r="B697" s="464">
        <v>46038</v>
      </c>
      <c r="C697" s="436" t="s">
        <v>873</v>
      </c>
      <c r="D697" s="436" t="s">
        <v>970</v>
      </c>
      <c r="E697" s="436">
        <v>1</v>
      </c>
      <c r="F697" s="436"/>
      <c r="G697" s="468" t="s">
        <v>875</v>
      </c>
      <c r="H697" s="466" t="e">
        <f>G697/1.1</f>
        <v>#VALUE!</v>
      </c>
      <c r="I697" s="436"/>
      <c r="J697" s="465">
        <v>0</v>
      </c>
      <c r="K697" s="467">
        <v>0</v>
      </c>
    </row>
    <row r="698" spans="2:11" ht="19" customHeight="1">
      <c r="B698" s="464">
        <v>46038</v>
      </c>
      <c r="C698" s="436" t="s">
        <v>873</v>
      </c>
      <c r="D698" s="436" t="s">
        <v>987</v>
      </c>
      <c r="E698" s="436">
        <v>1</v>
      </c>
      <c r="F698" s="467">
        <v>5</v>
      </c>
      <c r="G698" s="466">
        <v>5</v>
      </c>
      <c r="H698" s="466">
        <f>G698/1.1</f>
        <v>4.545454545454545</v>
      </c>
      <c r="I698" s="436"/>
      <c r="J698" s="465">
        <v>0</v>
      </c>
      <c r="K698" s="467">
        <v>0</v>
      </c>
    </row>
    <row r="699" spans="2:11" ht="19" customHeight="1">
      <c r="B699" s="464">
        <v>46038</v>
      </c>
      <c r="C699" s="436" t="s">
        <v>877</v>
      </c>
      <c r="D699" s="436" t="s">
        <v>975</v>
      </c>
      <c r="E699" s="436">
        <v>1</v>
      </c>
      <c r="F699" s="436"/>
      <c r="G699" s="468" t="s">
        <v>875</v>
      </c>
      <c r="H699" s="466" t="e">
        <f>G699/1.1</f>
        <v>#VALUE!</v>
      </c>
      <c r="I699" s="436"/>
      <c r="J699" s="465">
        <v>0</v>
      </c>
      <c r="K699" s="467">
        <v>0</v>
      </c>
    </row>
    <row r="700" spans="2:11" ht="40" customHeight="1">
      <c r="B700" s="464">
        <v>46038</v>
      </c>
      <c r="C700" s="436" t="s">
        <v>877</v>
      </c>
      <c r="D700" s="470" t="s">
        <v>973</v>
      </c>
      <c r="E700" s="436">
        <v>2</v>
      </c>
      <c r="F700" s="436"/>
      <c r="G700" s="468" t="s">
        <v>875</v>
      </c>
      <c r="H700" s="466" t="e">
        <f>G700/1.1</f>
        <v>#VALUE!</v>
      </c>
      <c r="I700" s="436"/>
      <c r="J700" s="465">
        <v>0</v>
      </c>
      <c r="K700" s="467">
        <v>0</v>
      </c>
    </row>
    <row r="701" spans="2:11" ht="19" customHeight="1">
      <c r="B701" s="464">
        <v>46038</v>
      </c>
      <c r="C701" s="436" t="s">
        <v>266</v>
      </c>
      <c r="D701" s="436" t="s">
        <v>250</v>
      </c>
      <c r="E701" s="436">
        <v>1</v>
      </c>
      <c r="F701" s="436"/>
      <c r="G701" s="468" t="s">
        <v>875</v>
      </c>
      <c r="H701" s="466" t="e">
        <f>G701/1.1</f>
        <v>#VALUE!</v>
      </c>
      <c r="I701" s="436"/>
      <c r="J701" s="465">
        <v>0</v>
      </c>
      <c r="K701" s="467">
        <v>0</v>
      </c>
    </row>
    <row r="702" spans="2:11" ht="19" customHeight="1">
      <c r="B702" s="464">
        <v>46038</v>
      </c>
      <c r="C702" s="436" t="s">
        <v>266</v>
      </c>
      <c r="D702" s="436" t="s">
        <v>997</v>
      </c>
      <c r="E702" s="436">
        <v>1</v>
      </c>
      <c r="F702" s="436"/>
      <c r="G702" s="468" t="s">
        <v>875</v>
      </c>
      <c r="H702" s="466" t="e">
        <f>G702/1.1</f>
        <v>#VALUE!</v>
      </c>
      <c r="I702" s="436"/>
      <c r="J702" s="465">
        <v>0</v>
      </c>
      <c r="K702" s="467">
        <v>0</v>
      </c>
    </row>
    <row r="703" spans="2:11" ht="19" customHeight="1">
      <c r="B703" s="464">
        <v>46038</v>
      </c>
      <c r="C703" s="436" t="s">
        <v>266</v>
      </c>
      <c r="D703" s="436" t="s">
        <v>926</v>
      </c>
      <c r="E703" s="436">
        <v>1</v>
      </c>
      <c r="F703" s="467">
        <v>1</v>
      </c>
      <c r="G703" s="466">
        <v>1</v>
      </c>
      <c r="H703" s="466">
        <f>G703/1.1</f>
        <v>0.90909090909090906</v>
      </c>
      <c r="I703" s="436"/>
      <c r="J703" s="465">
        <v>0</v>
      </c>
      <c r="K703" s="467">
        <v>0</v>
      </c>
    </row>
    <row r="704" spans="2:11" ht="19" customHeight="1">
      <c r="B704" s="464">
        <v>46038</v>
      </c>
      <c r="C704" s="436" t="s">
        <v>258</v>
      </c>
      <c r="D704" s="436" t="s">
        <v>917</v>
      </c>
      <c r="E704" s="436">
        <v>1</v>
      </c>
      <c r="F704" s="436"/>
      <c r="G704" s="468" t="s">
        <v>875</v>
      </c>
      <c r="H704" s="466" t="e">
        <f>G704/1.1</f>
        <v>#VALUE!</v>
      </c>
      <c r="I704" s="436"/>
      <c r="J704" s="465">
        <v>0</v>
      </c>
      <c r="K704" s="467">
        <v>0</v>
      </c>
    </row>
    <row r="705" spans="2:11" ht="19" customHeight="1">
      <c r="B705" s="464">
        <v>46038</v>
      </c>
      <c r="C705" s="436" t="s">
        <v>258</v>
      </c>
      <c r="D705" s="436" t="s">
        <v>923</v>
      </c>
      <c r="E705" s="436">
        <v>1</v>
      </c>
      <c r="F705" s="436"/>
      <c r="G705" s="468" t="s">
        <v>875</v>
      </c>
      <c r="H705" s="466" t="e">
        <f>G705/1.1</f>
        <v>#VALUE!</v>
      </c>
      <c r="I705" s="436"/>
      <c r="J705" s="465">
        <v>0</v>
      </c>
      <c r="K705" s="467">
        <v>0</v>
      </c>
    </row>
    <row r="706" spans="2:11" ht="19" customHeight="1">
      <c r="B706" s="464">
        <v>46038</v>
      </c>
      <c r="C706" s="436" t="s">
        <v>258</v>
      </c>
      <c r="D706" s="436" t="s">
        <v>882</v>
      </c>
      <c r="E706" s="436">
        <v>1</v>
      </c>
      <c r="F706" s="436"/>
      <c r="G706" s="468" t="s">
        <v>875</v>
      </c>
      <c r="H706" s="466" t="e">
        <f>G706/1.1</f>
        <v>#VALUE!</v>
      </c>
      <c r="I706" s="436"/>
      <c r="J706" s="465">
        <v>0</v>
      </c>
      <c r="K706" s="467">
        <v>0</v>
      </c>
    </row>
    <row r="707" spans="2:11" ht="19" customHeight="1">
      <c r="B707" s="464">
        <v>46038</v>
      </c>
      <c r="C707" s="436" t="s">
        <v>253</v>
      </c>
      <c r="D707" s="436" t="s">
        <v>998</v>
      </c>
      <c r="E707" s="436">
        <v>1</v>
      </c>
      <c r="F707" s="467">
        <v>3.05</v>
      </c>
      <c r="G707" s="466">
        <v>3.05</v>
      </c>
      <c r="H707" s="466">
        <f>G707/1.1</f>
        <v>2.7727272727272725</v>
      </c>
      <c r="I707" s="436"/>
      <c r="J707" s="465">
        <v>0</v>
      </c>
      <c r="K707" s="467">
        <v>0</v>
      </c>
    </row>
    <row r="708" spans="2:11" ht="19" customHeight="1">
      <c r="B708" s="464">
        <v>46038</v>
      </c>
      <c r="C708" s="436" t="s">
        <v>247</v>
      </c>
      <c r="D708" s="436" t="s">
        <v>246</v>
      </c>
      <c r="E708" s="436">
        <v>1</v>
      </c>
      <c r="F708" s="467">
        <v>1.7</v>
      </c>
      <c r="G708" s="466">
        <v>1.7</v>
      </c>
      <c r="H708" s="466">
        <f>G708/1.1</f>
        <v>1.5454545454545452</v>
      </c>
      <c r="I708" s="436"/>
      <c r="J708" s="465">
        <v>0</v>
      </c>
      <c r="K708" s="467">
        <v>0</v>
      </c>
    </row>
    <row r="709" spans="2:11" ht="19" customHeight="1">
      <c r="B709" s="464">
        <v>46038</v>
      </c>
      <c r="C709" s="436" t="s">
        <v>321</v>
      </c>
      <c r="D709" s="436" t="s">
        <v>910</v>
      </c>
      <c r="E709" s="436">
        <v>1</v>
      </c>
      <c r="F709" s="467">
        <v>3.95</v>
      </c>
      <c r="G709" s="466">
        <v>3.95</v>
      </c>
      <c r="H709" s="466">
        <f>G709/1.1</f>
        <v>3.5909090909090908</v>
      </c>
      <c r="I709" s="436"/>
      <c r="J709" s="465">
        <v>0</v>
      </c>
      <c r="K709" s="467">
        <v>0</v>
      </c>
    </row>
    <row r="710" spans="2:11" ht="19" customHeight="1">
      <c r="B710" s="464">
        <v>46038</v>
      </c>
      <c r="C710" s="436" t="s">
        <v>251</v>
      </c>
      <c r="D710" s="436" t="s">
        <v>722</v>
      </c>
      <c r="E710" s="436">
        <v>1</v>
      </c>
      <c r="F710" s="467">
        <v>2.65</v>
      </c>
      <c r="G710" s="466">
        <v>2.65</v>
      </c>
      <c r="H710" s="466">
        <f>G710/1.1</f>
        <v>2.4090909090909087</v>
      </c>
      <c r="I710" s="436"/>
      <c r="J710" s="465">
        <v>0</v>
      </c>
      <c r="K710" s="467">
        <v>0</v>
      </c>
    </row>
    <row r="711" spans="2:11" ht="19" customHeight="1">
      <c r="B711" s="464">
        <v>46038</v>
      </c>
      <c r="C711" s="436" t="s">
        <v>253</v>
      </c>
      <c r="D711" s="436" t="s">
        <v>869</v>
      </c>
      <c r="E711" s="436">
        <v>1</v>
      </c>
      <c r="F711" s="467">
        <v>2.5</v>
      </c>
      <c r="G711" s="466">
        <v>2.5</v>
      </c>
      <c r="H711" s="466">
        <f>G711/1.1</f>
        <v>2.2727272727272725</v>
      </c>
      <c r="I711" s="436"/>
      <c r="J711" s="465">
        <v>0</v>
      </c>
      <c r="K711" s="467">
        <v>0</v>
      </c>
    </row>
    <row r="712" spans="2:11" ht="19" customHeight="1">
      <c r="B712" s="464">
        <v>46038</v>
      </c>
      <c r="C712" s="436" t="s">
        <v>247</v>
      </c>
      <c r="D712" s="436" t="s">
        <v>257</v>
      </c>
      <c r="E712" s="436">
        <v>1</v>
      </c>
      <c r="F712" s="467">
        <v>1.4</v>
      </c>
      <c r="G712" s="466">
        <v>1.4</v>
      </c>
      <c r="H712" s="466">
        <f>G712/1.1</f>
        <v>1.2727272727272725</v>
      </c>
      <c r="I712" s="436"/>
      <c r="J712" s="465">
        <v>0</v>
      </c>
      <c r="K712" s="467">
        <v>0</v>
      </c>
    </row>
    <row r="713" spans="2:11" ht="19" customHeight="1">
      <c r="B713" s="464">
        <v>46038</v>
      </c>
      <c r="C713" s="436" t="s">
        <v>247</v>
      </c>
      <c r="D713" s="436" t="s">
        <v>248</v>
      </c>
      <c r="E713" s="436">
        <v>1</v>
      </c>
      <c r="F713" s="467">
        <v>1.5</v>
      </c>
      <c r="G713" s="466">
        <v>1.5</v>
      </c>
      <c r="H713" s="466">
        <f>G713/1.1</f>
        <v>1.3636363636363635</v>
      </c>
      <c r="I713" s="436"/>
      <c r="J713" s="465">
        <v>0</v>
      </c>
      <c r="K713" s="467">
        <v>0</v>
      </c>
    </row>
    <row r="714" spans="2:11" ht="19" customHeight="1">
      <c r="B714" s="464">
        <v>46038</v>
      </c>
      <c r="C714" s="436" t="s">
        <v>268</v>
      </c>
      <c r="D714" s="436" t="s">
        <v>267</v>
      </c>
      <c r="E714" s="436">
        <v>1</v>
      </c>
      <c r="F714" s="467">
        <v>1.5</v>
      </c>
      <c r="G714" s="466">
        <v>1.5</v>
      </c>
      <c r="H714" s="466">
        <f>G714/1.1</f>
        <v>1.3636363636363635</v>
      </c>
      <c r="I714" s="436"/>
      <c r="J714" s="465">
        <v>0</v>
      </c>
      <c r="K714" s="467">
        <v>0</v>
      </c>
    </row>
    <row r="715" spans="2:11" ht="19" customHeight="1">
      <c r="B715" s="464">
        <v>46038</v>
      </c>
      <c r="C715" s="436" t="s">
        <v>247</v>
      </c>
      <c r="D715" s="436" t="s">
        <v>246</v>
      </c>
      <c r="E715" s="436">
        <v>1</v>
      </c>
      <c r="F715" s="467">
        <v>1.7</v>
      </c>
      <c r="G715" s="466">
        <v>1.7</v>
      </c>
      <c r="H715" s="466">
        <f>G715/1.1</f>
        <v>1.5454545454545452</v>
      </c>
      <c r="I715" s="436"/>
      <c r="J715" s="465">
        <v>0</v>
      </c>
      <c r="K715" s="467">
        <v>0</v>
      </c>
    </row>
    <row r="716" spans="2:11" ht="19" customHeight="1">
      <c r="B716" s="464">
        <v>46038</v>
      </c>
      <c r="C716" s="436" t="s">
        <v>247</v>
      </c>
      <c r="D716" s="436" t="s">
        <v>246</v>
      </c>
      <c r="E716" s="436">
        <v>2</v>
      </c>
      <c r="F716" s="467">
        <v>1.7</v>
      </c>
      <c r="G716" s="466">
        <v>3.4</v>
      </c>
      <c r="H716" s="466">
        <f>G716/1.1</f>
        <v>3.0909090909090904</v>
      </c>
      <c r="I716" s="436"/>
      <c r="J716" s="465">
        <v>0</v>
      </c>
      <c r="K716" s="467">
        <v>0</v>
      </c>
    </row>
    <row r="717" spans="2:11" ht="19" customHeight="1">
      <c r="B717" s="464">
        <v>46038</v>
      </c>
      <c r="C717" s="436" t="s">
        <v>328</v>
      </c>
      <c r="D717" s="436" t="s">
        <v>861</v>
      </c>
      <c r="E717" s="436">
        <v>1</v>
      </c>
      <c r="F717" s="467">
        <v>3.25</v>
      </c>
      <c r="G717" s="466">
        <v>3.25</v>
      </c>
      <c r="H717" s="466">
        <f>G717/1.1</f>
        <v>2.9545454545454541</v>
      </c>
      <c r="I717" s="436"/>
      <c r="J717" s="465">
        <v>0</v>
      </c>
      <c r="K717" s="467">
        <v>0</v>
      </c>
    </row>
    <row r="718" spans="2:11" ht="19" customHeight="1">
      <c r="B718" s="464">
        <v>46038</v>
      </c>
      <c r="C718" s="436" t="s">
        <v>268</v>
      </c>
      <c r="D718" s="436" t="s">
        <v>860</v>
      </c>
      <c r="E718" s="436">
        <v>1</v>
      </c>
      <c r="F718" s="467">
        <v>2.25</v>
      </c>
      <c r="G718" s="466">
        <v>2.25</v>
      </c>
      <c r="H718" s="466">
        <f>G718/1.1</f>
        <v>2.0454545454545454</v>
      </c>
      <c r="I718" s="436"/>
      <c r="J718" s="465">
        <v>0</v>
      </c>
      <c r="K718" s="467">
        <v>0</v>
      </c>
    </row>
    <row r="719" spans="2:11" ht="19" customHeight="1">
      <c r="B719" s="464">
        <v>46038</v>
      </c>
      <c r="C719" s="436" t="s">
        <v>247</v>
      </c>
      <c r="D719" s="436" t="s">
        <v>257</v>
      </c>
      <c r="E719" s="436">
        <v>1</v>
      </c>
      <c r="F719" s="467">
        <v>1.4</v>
      </c>
      <c r="G719" s="466">
        <v>1.4</v>
      </c>
      <c r="H719" s="466">
        <f>G719/1.1</f>
        <v>1.2727272727272725</v>
      </c>
      <c r="I719" s="436"/>
      <c r="J719" s="465">
        <v>0</v>
      </c>
      <c r="K719" s="467">
        <v>0</v>
      </c>
    </row>
    <row r="720" spans="2:11" ht="19" customHeight="1">
      <c r="B720" s="464">
        <v>46038</v>
      </c>
      <c r="C720" s="436" t="s">
        <v>247</v>
      </c>
      <c r="D720" s="436" t="s">
        <v>257</v>
      </c>
      <c r="E720" s="436">
        <v>1</v>
      </c>
      <c r="F720" s="467">
        <v>1.4</v>
      </c>
      <c r="G720" s="466">
        <v>1.4</v>
      </c>
      <c r="H720" s="466">
        <f>G720/1.1</f>
        <v>1.2727272727272725</v>
      </c>
      <c r="I720" s="436"/>
      <c r="J720" s="465">
        <v>0</v>
      </c>
      <c r="K720" s="467">
        <v>0</v>
      </c>
    </row>
    <row r="721" spans="2:11" ht="19" customHeight="1">
      <c r="B721" s="464">
        <v>46038</v>
      </c>
      <c r="C721" s="436" t="s">
        <v>247</v>
      </c>
      <c r="D721" s="436" t="s">
        <v>248</v>
      </c>
      <c r="E721" s="436">
        <v>1</v>
      </c>
      <c r="F721" s="467">
        <v>1.5</v>
      </c>
      <c r="G721" s="466">
        <v>1.5</v>
      </c>
      <c r="H721" s="466">
        <f>G721/1.1</f>
        <v>1.3636363636363635</v>
      </c>
      <c r="I721" s="436"/>
      <c r="J721" s="465">
        <v>0</v>
      </c>
      <c r="K721" s="467">
        <v>0</v>
      </c>
    </row>
    <row r="722" spans="2:11" ht="19" customHeight="1">
      <c r="B722" s="464">
        <v>46038</v>
      </c>
      <c r="C722" s="436" t="s">
        <v>247</v>
      </c>
      <c r="D722" s="436" t="s">
        <v>257</v>
      </c>
      <c r="E722" s="436">
        <v>1</v>
      </c>
      <c r="F722" s="465">
        <v>1.4</v>
      </c>
      <c r="G722" s="466">
        <v>1.4</v>
      </c>
      <c r="H722" s="466">
        <f>G722/1.1</f>
        <v>1.2727272727272725</v>
      </c>
      <c r="I722" s="436"/>
      <c r="J722" s="465">
        <v>0</v>
      </c>
      <c r="K722" s="467">
        <v>0</v>
      </c>
    </row>
    <row r="723" spans="2:11" ht="19" customHeight="1">
      <c r="B723" s="464">
        <v>46038</v>
      </c>
      <c r="C723" s="436" t="s">
        <v>862</v>
      </c>
      <c r="D723" s="436" t="s">
        <v>999</v>
      </c>
      <c r="E723" s="436">
        <v>1</v>
      </c>
      <c r="F723" s="467">
        <v>0.15</v>
      </c>
      <c r="G723" s="466">
        <v>0.15</v>
      </c>
      <c r="H723" s="466">
        <f>G723/1.1</f>
        <v>0.13636363636363635</v>
      </c>
      <c r="I723" s="436"/>
      <c r="J723" s="465">
        <v>0</v>
      </c>
      <c r="K723" s="467">
        <v>0</v>
      </c>
    </row>
    <row r="724" spans="2:11" ht="19" customHeight="1">
      <c r="B724" s="464">
        <v>46038</v>
      </c>
      <c r="C724" s="436" t="s">
        <v>268</v>
      </c>
      <c r="D724" s="436" t="s">
        <v>267</v>
      </c>
      <c r="E724" s="436">
        <v>1</v>
      </c>
      <c r="F724" s="465">
        <v>1.5</v>
      </c>
      <c r="G724" s="466">
        <v>1.5</v>
      </c>
      <c r="H724" s="466">
        <f>G724/1.1</f>
        <v>1.3636363636363635</v>
      </c>
      <c r="I724" s="436"/>
      <c r="J724" s="465">
        <v>0</v>
      </c>
      <c r="K724" s="467">
        <v>0</v>
      </c>
    </row>
    <row r="725" spans="2:11" ht="19" customHeight="1">
      <c r="B725" s="464">
        <v>46038</v>
      </c>
      <c r="C725" s="436" t="s">
        <v>247</v>
      </c>
      <c r="D725" s="436" t="s">
        <v>246</v>
      </c>
      <c r="E725" s="436">
        <v>1</v>
      </c>
      <c r="F725" s="465">
        <v>1.7</v>
      </c>
      <c r="G725" s="466">
        <v>1.7</v>
      </c>
      <c r="H725" s="466">
        <f>G725/1.1</f>
        <v>1.5454545454545452</v>
      </c>
      <c r="I725" s="436"/>
      <c r="J725" s="465">
        <v>0</v>
      </c>
      <c r="K725" s="467">
        <v>0</v>
      </c>
    </row>
    <row r="726" spans="2:11" ht="19" customHeight="1">
      <c r="B726" s="464">
        <v>46038</v>
      </c>
      <c r="C726" s="436" t="s">
        <v>247</v>
      </c>
      <c r="D726" s="436" t="s">
        <v>246</v>
      </c>
      <c r="E726" s="436">
        <v>2</v>
      </c>
      <c r="F726" s="465">
        <v>1.7</v>
      </c>
      <c r="G726" s="466">
        <v>3.4</v>
      </c>
      <c r="H726" s="466">
        <f>G726/1.1</f>
        <v>3.0909090909090904</v>
      </c>
      <c r="I726" s="436"/>
      <c r="J726" s="465">
        <v>0</v>
      </c>
      <c r="K726" s="467">
        <v>0</v>
      </c>
    </row>
    <row r="727" spans="2:11" ht="19" customHeight="1">
      <c r="B727" s="464">
        <v>46038</v>
      </c>
      <c r="C727" s="436" t="s">
        <v>253</v>
      </c>
      <c r="D727" s="436" t="s">
        <v>969</v>
      </c>
      <c r="E727" s="436">
        <v>1</v>
      </c>
      <c r="F727" s="465">
        <v>3.35</v>
      </c>
      <c r="G727" s="466">
        <v>3.35</v>
      </c>
      <c r="H727" s="466">
        <f>G727/1.1</f>
        <v>3.0454545454545454</v>
      </c>
      <c r="I727" s="436"/>
      <c r="J727" s="465">
        <v>0</v>
      </c>
      <c r="K727" s="467">
        <v>0</v>
      </c>
    </row>
    <row r="728" spans="2:11" ht="19" customHeight="1">
      <c r="B728" s="464">
        <v>46038</v>
      </c>
      <c r="C728" s="436" t="s">
        <v>247</v>
      </c>
      <c r="D728" s="436" t="s">
        <v>257</v>
      </c>
      <c r="E728" s="436">
        <v>1</v>
      </c>
      <c r="F728" s="467">
        <v>1.4</v>
      </c>
      <c r="G728" s="466">
        <v>1.4</v>
      </c>
      <c r="H728" s="466">
        <f>G728/1.1</f>
        <v>1.2727272727272725</v>
      </c>
      <c r="I728" s="436"/>
      <c r="J728" s="465">
        <v>0</v>
      </c>
      <c r="K728" s="467">
        <v>0</v>
      </c>
    </row>
    <row r="729" spans="2:11" ht="19" customHeight="1">
      <c r="B729" s="464">
        <v>46038</v>
      </c>
      <c r="C729" s="436" t="s">
        <v>276</v>
      </c>
      <c r="D729" s="436" t="s">
        <v>1000</v>
      </c>
      <c r="E729" s="436">
        <v>1</v>
      </c>
      <c r="F729" s="467">
        <v>3.3</v>
      </c>
      <c r="G729" s="466">
        <v>3.3</v>
      </c>
      <c r="H729" s="466">
        <f>G729/1.1</f>
        <v>2.9999999999999996</v>
      </c>
      <c r="I729" s="436"/>
      <c r="J729" s="465">
        <v>0</v>
      </c>
      <c r="K729" s="467">
        <v>0</v>
      </c>
    </row>
    <row r="730" spans="2:11" ht="19" customHeight="1">
      <c r="B730" s="464">
        <v>46038</v>
      </c>
      <c r="C730" s="436" t="s">
        <v>256</v>
      </c>
      <c r="D730" s="436" t="s">
        <v>986</v>
      </c>
      <c r="E730" s="436">
        <v>1</v>
      </c>
      <c r="F730" s="467">
        <v>14</v>
      </c>
      <c r="G730" s="466">
        <v>14</v>
      </c>
      <c r="H730" s="466">
        <f>G730/1.1</f>
        <v>12.727272727272727</v>
      </c>
      <c r="I730" s="436"/>
      <c r="J730" s="465">
        <v>0</v>
      </c>
      <c r="K730" s="467">
        <v>0</v>
      </c>
    </row>
    <row r="731" spans="2:11" ht="19" customHeight="1">
      <c r="B731" s="464">
        <v>46038</v>
      </c>
      <c r="C731" s="436" t="s">
        <v>253</v>
      </c>
      <c r="D731" s="436" t="s">
        <v>869</v>
      </c>
      <c r="E731" s="436">
        <v>2</v>
      </c>
      <c r="F731" s="465">
        <v>2.5</v>
      </c>
      <c r="G731" s="466">
        <v>5</v>
      </c>
      <c r="H731" s="466">
        <f>G731/1.1</f>
        <v>4.545454545454545</v>
      </c>
      <c r="I731" s="436"/>
      <c r="J731" s="465">
        <v>0</v>
      </c>
      <c r="K731" s="467">
        <v>0</v>
      </c>
    </row>
    <row r="732" spans="2:11" ht="19" customHeight="1">
      <c r="B732" s="464">
        <v>46038</v>
      </c>
      <c r="C732" s="436" t="s">
        <v>253</v>
      </c>
      <c r="D732" s="436" t="s">
        <v>969</v>
      </c>
      <c r="E732" s="436">
        <v>1</v>
      </c>
      <c r="F732" s="465">
        <v>3.35</v>
      </c>
      <c r="G732" s="466">
        <v>3.35</v>
      </c>
      <c r="H732" s="466">
        <f>G732/1.1</f>
        <v>3.0454545454545454</v>
      </c>
      <c r="I732" s="436"/>
      <c r="J732" s="465">
        <v>0</v>
      </c>
      <c r="K732" s="467">
        <v>0</v>
      </c>
    </row>
    <row r="733" spans="2:11" ht="19" customHeight="1">
      <c r="B733" s="464">
        <v>46038</v>
      </c>
      <c r="C733" s="436" t="s">
        <v>253</v>
      </c>
      <c r="D733" s="436" t="s">
        <v>901</v>
      </c>
      <c r="E733" s="436">
        <v>1</v>
      </c>
      <c r="F733" s="465">
        <v>2.15</v>
      </c>
      <c r="G733" s="466">
        <v>2.15</v>
      </c>
      <c r="H733" s="466">
        <f>G733/1.1</f>
        <v>1.9545454545454544</v>
      </c>
      <c r="I733" s="436"/>
      <c r="J733" s="465">
        <v>0</v>
      </c>
      <c r="K733" s="467">
        <v>0</v>
      </c>
    </row>
    <row r="734" spans="2:11" ht="19" customHeight="1">
      <c r="B734" s="464">
        <v>46038</v>
      </c>
      <c r="C734" s="436" t="s">
        <v>264</v>
      </c>
      <c r="D734" s="436" t="s">
        <v>703</v>
      </c>
      <c r="E734" s="436">
        <v>1</v>
      </c>
      <c r="F734" s="465">
        <v>2</v>
      </c>
      <c r="G734" s="466">
        <v>2</v>
      </c>
      <c r="H734" s="466">
        <f>G734/1.1</f>
        <v>1.8181818181818181</v>
      </c>
      <c r="I734" s="436"/>
      <c r="J734" s="465">
        <v>0</v>
      </c>
      <c r="K734" s="467">
        <v>0</v>
      </c>
    </row>
    <row r="735" spans="2:11" ht="19" customHeight="1">
      <c r="B735" s="464">
        <v>46038</v>
      </c>
      <c r="C735" s="436" t="s">
        <v>256</v>
      </c>
      <c r="D735" s="436" t="s">
        <v>675</v>
      </c>
      <c r="E735" s="436">
        <v>1</v>
      </c>
      <c r="F735" s="465">
        <v>5.25</v>
      </c>
      <c r="G735" s="466">
        <v>5.25</v>
      </c>
      <c r="H735" s="466">
        <f>G735/1.1</f>
        <v>4.7727272727272725</v>
      </c>
      <c r="I735" s="436"/>
      <c r="J735" s="465">
        <v>0</v>
      </c>
      <c r="K735" s="467">
        <v>0</v>
      </c>
    </row>
    <row r="736" spans="2:11" ht="19" customHeight="1">
      <c r="B736" s="464">
        <v>46038</v>
      </c>
      <c r="C736" s="436" t="s">
        <v>247</v>
      </c>
      <c r="D736" s="436" t="s">
        <v>246</v>
      </c>
      <c r="E736" s="436">
        <v>1</v>
      </c>
      <c r="F736" s="465">
        <v>1.7</v>
      </c>
      <c r="G736" s="466">
        <v>1.7</v>
      </c>
      <c r="H736" s="466">
        <f>G736/1.1</f>
        <v>1.5454545454545452</v>
      </c>
      <c r="I736" s="436"/>
      <c r="J736" s="465">
        <v>0</v>
      </c>
      <c r="K736" s="467">
        <v>0</v>
      </c>
    </row>
    <row r="737" spans="2:11" ht="19" customHeight="1">
      <c r="B737" s="464">
        <v>46038</v>
      </c>
      <c r="C737" s="436" t="s">
        <v>862</v>
      </c>
      <c r="D737" s="436" t="s">
        <v>863</v>
      </c>
      <c r="E737" s="436">
        <v>1</v>
      </c>
      <c r="F737" s="465">
        <v>0.15</v>
      </c>
      <c r="G737" s="466">
        <v>0.15</v>
      </c>
      <c r="H737" s="466">
        <f>G737/1.1</f>
        <v>0.13636363636363635</v>
      </c>
      <c r="I737" s="436"/>
      <c r="J737" s="465">
        <v>0</v>
      </c>
      <c r="K737" s="467">
        <v>0</v>
      </c>
    </row>
    <row r="738" spans="2:11" ht="19" customHeight="1">
      <c r="B738" s="464">
        <v>46038</v>
      </c>
      <c r="C738" s="436" t="s">
        <v>256</v>
      </c>
      <c r="D738" s="436" t="s">
        <v>983</v>
      </c>
      <c r="E738" s="436">
        <v>1</v>
      </c>
      <c r="F738" s="467">
        <v>2.75</v>
      </c>
      <c r="G738" s="466">
        <v>2.75</v>
      </c>
      <c r="H738" s="466">
        <f>G738/1.1</f>
        <v>2.5</v>
      </c>
      <c r="I738" s="436"/>
      <c r="J738" s="465">
        <v>0</v>
      </c>
      <c r="K738" s="467">
        <v>0</v>
      </c>
    </row>
    <row r="739" spans="2:11" ht="19" customHeight="1">
      <c r="B739" s="464">
        <v>46038</v>
      </c>
      <c r="C739" s="436" t="s">
        <v>251</v>
      </c>
      <c r="D739" s="436" t="s">
        <v>854</v>
      </c>
      <c r="E739" s="436">
        <v>1</v>
      </c>
      <c r="F739" s="467">
        <v>1.55</v>
      </c>
      <c r="G739" s="466">
        <v>1.55</v>
      </c>
      <c r="H739" s="466">
        <f>G739/1.1</f>
        <v>1.4090909090909089</v>
      </c>
      <c r="I739" s="436"/>
      <c r="J739" s="465">
        <v>0</v>
      </c>
      <c r="K739" s="467">
        <v>0</v>
      </c>
    </row>
    <row r="740" spans="2:11" ht="19" customHeight="1">
      <c r="B740" s="464">
        <v>46038</v>
      </c>
      <c r="C740" s="436" t="s">
        <v>253</v>
      </c>
      <c r="D740" s="436" t="s">
        <v>869</v>
      </c>
      <c r="E740" s="436">
        <v>1</v>
      </c>
      <c r="F740" s="467">
        <v>2.5</v>
      </c>
      <c r="G740" s="466">
        <v>2.5</v>
      </c>
      <c r="H740" s="466">
        <f>G740/1.1</f>
        <v>2.2727272727272725</v>
      </c>
      <c r="I740" s="436"/>
      <c r="J740" s="465">
        <v>0</v>
      </c>
      <c r="K740" s="467">
        <v>0</v>
      </c>
    </row>
    <row r="741" spans="2:11" ht="19" customHeight="1">
      <c r="B741" s="464">
        <v>46038</v>
      </c>
      <c r="C741" s="436" t="s">
        <v>276</v>
      </c>
      <c r="D741" s="436" t="s">
        <v>995</v>
      </c>
      <c r="E741" s="436">
        <v>1</v>
      </c>
      <c r="F741" s="467">
        <v>3.05</v>
      </c>
      <c r="G741" s="466">
        <v>3.05</v>
      </c>
      <c r="H741" s="466">
        <f>G741/1.1</f>
        <v>2.7727272727272725</v>
      </c>
      <c r="I741" s="436"/>
      <c r="J741" s="465">
        <v>0</v>
      </c>
      <c r="K741" s="467">
        <v>0</v>
      </c>
    </row>
    <row r="742" spans="2:11" ht="19" customHeight="1">
      <c r="B742" s="464">
        <v>46039</v>
      </c>
      <c r="C742" s="436" t="s">
        <v>247</v>
      </c>
      <c r="D742" s="436" t="s">
        <v>248</v>
      </c>
      <c r="E742" s="436">
        <v>1</v>
      </c>
      <c r="F742" s="467">
        <v>1.5</v>
      </c>
      <c r="G742" s="466">
        <v>1.5</v>
      </c>
      <c r="H742" s="466">
        <f>G742/1.1</f>
        <v>1.3636363636363635</v>
      </c>
      <c r="I742" s="436"/>
      <c r="J742" s="465">
        <v>0</v>
      </c>
      <c r="K742" s="467">
        <v>0</v>
      </c>
    </row>
    <row r="743" spans="2:11" ht="19" customHeight="1">
      <c r="B743" s="464">
        <v>46039</v>
      </c>
      <c r="C743" s="436" t="s">
        <v>247</v>
      </c>
      <c r="D743" s="436" t="s">
        <v>246</v>
      </c>
      <c r="E743" s="436">
        <v>1</v>
      </c>
      <c r="F743" s="467">
        <v>1.7</v>
      </c>
      <c r="G743" s="466">
        <v>1.7</v>
      </c>
      <c r="H743" s="466">
        <f>G743/1.1</f>
        <v>1.5454545454545452</v>
      </c>
      <c r="I743" s="436"/>
      <c r="J743" s="465">
        <v>0</v>
      </c>
      <c r="K743" s="467">
        <v>0</v>
      </c>
    </row>
    <row r="744" spans="2:11" ht="19" customHeight="1">
      <c r="B744" s="464">
        <v>46039</v>
      </c>
      <c r="C744" s="436" t="s">
        <v>247</v>
      </c>
      <c r="D744" s="436" t="s">
        <v>246</v>
      </c>
      <c r="E744" s="436">
        <v>1</v>
      </c>
      <c r="F744" s="467">
        <v>1.7</v>
      </c>
      <c r="G744" s="466">
        <v>1.7</v>
      </c>
      <c r="H744" s="466">
        <f>G744/1.1</f>
        <v>1.5454545454545452</v>
      </c>
      <c r="I744" s="436"/>
      <c r="J744" s="465">
        <v>0</v>
      </c>
      <c r="K744" s="467">
        <v>0</v>
      </c>
    </row>
    <row r="745" spans="2:11" ht="19" customHeight="1">
      <c r="B745" s="464">
        <v>46039</v>
      </c>
      <c r="C745" s="436" t="s">
        <v>894</v>
      </c>
      <c r="D745" s="436" t="s">
        <v>1001</v>
      </c>
      <c r="E745" s="436">
        <v>1</v>
      </c>
      <c r="F745" s="467">
        <v>5.7</v>
      </c>
      <c r="G745" s="466">
        <v>5.7</v>
      </c>
      <c r="H745" s="466">
        <f>G745/1.1</f>
        <v>5.1818181818181817</v>
      </c>
      <c r="I745" s="436"/>
      <c r="J745" s="465">
        <v>0</v>
      </c>
      <c r="K745" s="467">
        <v>0</v>
      </c>
    </row>
    <row r="746" spans="2:11" ht="19" customHeight="1">
      <c r="B746" s="464">
        <v>46039</v>
      </c>
      <c r="C746" s="436" t="s">
        <v>264</v>
      </c>
      <c r="D746" s="436" t="s">
        <v>908</v>
      </c>
      <c r="E746" s="436">
        <v>1</v>
      </c>
      <c r="F746" s="467">
        <v>1.25</v>
      </c>
      <c r="G746" s="466">
        <v>1.25</v>
      </c>
      <c r="H746" s="466">
        <f>G746/1.1</f>
        <v>1.1363636363636362</v>
      </c>
      <c r="I746" s="436"/>
      <c r="J746" s="465">
        <v>0</v>
      </c>
      <c r="K746" s="467">
        <v>0</v>
      </c>
    </row>
    <row r="747" spans="2:11" ht="19" customHeight="1">
      <c r="B747" s="464">
        <v>46039</v>
      </c>
      <c r="C747" s="436" t="s">
        <v>247</v>
      </c>
      <c r="D747" s="436" t="s">
        <v>246</v>
      </c>
      <c r="E747" s="436">
        <v>3</v>
      </c>
      <c r="F747" s="467">
        <v>1.7</v>
      </c>
      <c r="G747" s="466">
        <v>5.0999999999999996</v>
      </c>
      <c r="H747" s="466">
        <f>G747/1.1</f>
        <v>4.6363636363636358</v>
      </c>
      <c r="I747" s="436"/>
      <c r="J747" s="465">
        <v>0</v>
      </c>
      <c r="K747" s="467">
        <v>0</v>
      </c>
    </row>
    <row r="748" spans="2:11" ht="19" customHeight="1">
      <c r="B748" s="464">
        <v>46039</v>
      </c>
      <c r="C748" s="436" t="s">
        <v>894</v>
      </c>
      <c r="D748" s="436" t="s">
        <v>1001</v>
      </c>
      <c r="E748" s="436">
        <v>1</v>
      </c>
      <c r="F748" s="467">
        <v>5.7</v>
      </c>
      <c r="G748" s="466">
        <v>5.7</v>
      </c>
      <c r="H748" s="466">
        <f>G748/1.1</f>
        <v>5.1818181818181817</v>
      </c>
      <c r="I748" s="436"/>
      <c r="J748" s="465">
        <v>0</v>
      </c>
      <c r="K748" s="467">
        <v>0</v>
      </c>
    </row>
    <row r="749" spans="2:11" ht="19" customHeight="1">
      <c r="B749" s="464">
        <v>46039</v>
      </c>
      <c r="C749" s="436" t="s">
        <v>328</v>
      </c>
      <c r="D749" s="436" t="s">
        <v>1002</v>
      </c>
      <c r="E749" s="436">
        <v>1</v>
      </c>
      <c r="F749" s="467">
        <v>4.8499999999999996</v>
      </c>
      <c r="G749" s="466">
        <v>4.8499999999999996</v>
      </c>
      <c r="H749" s="466">
        <f>G749/1.1</f>
        <v>4.4090909090909083</v>
      </c>
      <c r="I749" s="436"/>
      <c r="J749" s="465">
        <v>0</v>
      </c>
      <c r="K749" s="467">
        <v>0</v>
      </c>
    </row>
    <row r="750" spans="2:11" ht="19" customHeight="1">
      <c r="B750" s="464">
        <v>46039</v>
      </c>
      <c r="C750" s="436" t="s">
        <v>327</v>
      </c>
      <c r="D750" s="436" t="s">
        <v>723</v>
      </c>
      <c r="E750" s="436">
        <v>1</v>
      </c>
      <c r="F750" s="467">
        <v>3.1</v>
      </c>
      <c r="G750" s="466">
        <v>3.1</v>
      </c>
      <c r="H750" s="466">
        <f>G750/1.1</f>
        <v>2.8181818181818179</v>
      </c>
      <c r="I750" s="436"/>
      <c r="J750" s="465">
        <v>0</v>
      </c>
      <c r="K750" s="467">
        <v>0</v>
      </c>
    </row>
    <row r="751" spans="2:11" ht="19" customHeight="1">
      <c r="B751" s="464">
        <v>46039</v>
      </c>
      <c r="C751" s="436" t="s">
        <v>862</v>
      </c>
      <c r="D751" s="436" t="s">
        <v>865</v>
      </c>
      <c r="E751" s="436">
        <v>1</v>
      </c>
      <c r="F751" s="467">
        <v>0.05</v>
      </c>
      <c r="G751" s="466">
        <v>0.05</v>
      </c>
      <c r="H751" s="466">
        <f>G751/1.1</f>
        <v>4.5454545454545456E-2</v>
      </c>
      <c r="I751" s="436"/>
      <c r="J751" s="465">
        <v>0</v>
      </c>
      <c r="K751" s="467">
        <v>0</v>
      </c>
    </row>
    <row r="752" spans="2:11" ht="19" customHeight="1">
      <c r="B752" s="464">
        <v>46039</v>
      </c>
      <c r="C752" s="436" t="s">
        <v>247</v>
      </c>
      <c r="D752" s="436" t="s">
        <v>902</v>
      </c>
      <c r="E752" s="436">
        <v>1</v>
      </c>
      <c r="F752" s="467">
        <v>1.95</v>
      </c>
      <c r="G752" s="466">
        <v>1.95</v>
      </c>
      <c r="H752" s="466">
        <f>G752/1.1</f>
        <v>1.7727272727272725</v>
      </c>
      <c r="I752" s="436"/>
      <c r="J752" s="465">
        <v>0</v>
      </c>
      <c r="K752" s="467">
        <v>0</v>
      </c>
    </row>
    <row r="753" spans="2:11" ht="19" customHeight="1">
      <c r="B753" s="464">
        <v>46039</v>
      </c>
      <c r="C753" s="436" t="s">
        <v>247</v>
      </c>
      <c r="D753" s="436" t="s">
        <v>257</v>
      </c>
      <c r="E753" s="436">
        <v>1</v>
      </c>
      <c r="F753" s="467">
        <v>1.4</v>
      </c>
      <c r="G753" s="466">
        <v>1.4</v>
      </c>
      <c r="H753" s="466">
        <f>G753/1.1</f>
        <v>1.2727272727272725</v>
      </c>
      <c r="I753" s="436"/>
      <c r="J753" s="465">
        <v>0</v>
      </c>
      <c r="K753" s="467">
        <v>0</v>
      </c>
    </row>
    <row r="754" spans="2:11" ht="19" customHeight="1">
      <c r="B754" s="464">
        <v>46039</v>
      </c>
      <c r="C754" s="436" t="s">
        <v>247</v>
      </c>
      <c r="D754" s="436" t="s">
        <v>246</v>
      </c>
      <c r="E754" s="436">
        <v>2</v>
      </c>
      <c r="F754" s="467">
        <v>1.7</v>
      </c>
      <c r="G754" s="466">
        <v>3.4</v>
      </c>
      <c r="H754" s="466">
        <f>G754/1.1</f>
        <v>3.0909090909090904</v>
      </c>
      <c r="I754" s="436"/>
      <c r="J754" s="465">
        <v>0</v>
      </c>
      <c r="K754" s="467">
        <v>0</v>
      </c>
    </row>
    <row r="755" spans="2:11" ht="19" customHeight="1">
      <c r="B755" s="464">
        <v>46039</v>
      </c>
      <c r="C755" s="436" t="s">
        <v>328</v>
      </c>
      <c r="D755" s="436" t="s">
        <v>1003</v>
      </c>
      <c r="E755" s="436">
        <v>1</v>
      </c>
      <c r="F755" s="467">
        <v>4.5</v>
      </c>
      <c r="G755" s="466">
        <v>4.5</v>
      </c>
      <c r="H755" s="466">
        <f>G755/1.1</f>
        <v>4.0909090909090908</v>
      </c>
      <c r="I755" s="436"/>
      <c r="J755" s="465">
        <v>0</v>
      </c>
      <c r="K755" s="467">
        <v>0</v>
      </c>
    </row>
    <row r="756" spans="2:11" ht="19" customHeight="1">
      <c r="B756" s="464">
        <v>46039</v>
      </c>
      <c r="C756" s="436" t="s">
        <v>268</v>
      </c>
      <c r="D756" s="436" t="s">
        <v>859</v>
      </c>
      <c r="E756" s="436">
        <v>2</v>
      </c>
      <c r="F756" s="467">
        <v>0.75</v>
      </c>
      <c r="G756" s="466">
        <v>1.5</v>
      </c>
      <c r="H756" s="466">
        <f>G756/1.1</f>
        <v>1.3636363636363635</v>
      </c>
      <c r="I756" s="436"/>
      <c r="J756" s="465">
        <v>0</v>
      </c>
      <c r="K756" s="467">
        <v>0</v>
      </c>
    </row>
    <row r="757" spans="2:11" ht="19" customHeight="1">
      <c r="B757" s="464">
        <v>46039</v>
      </c>
      <c r="C757" s="436" t="s">
        <v>247</v>
      </c>
      <c r="D757" s="436" t="s">
        <v>246</v>
      </c>
      <c r="E757" s="436">
        <v>1</v>
      </c>
      <c r="F757" s="467">
        <v>1.7</v>
      </c>
      <c r="G757" s="466">
        <v>1.7</v>
      </c>
      <c r="H757" s="466">
        <f>G757/1.1</f>
        <v>1.5454545454545452</v>
      </c>
      <c r="I757" s="436"/>
      <c r="J757" s="465">
        <v>0</v>
      </c>
      <c r="K757" s="467">
        <v>0</v>
      </c>
    </row>
    <row r="758" spans="2:11" ht="19" customHeight="1">
      <c r="B758" s="464">
        <v>46039</v>
      </c>
      <c r="C758" s="436" t="s">
        <v>253</v>
      </c>
      <c r="D758" s="436" t="s">
        <v>1004</v>
      </c>
      <c r="E758" s="436">
        <v>8</v>
      </c>
      <c r="F758" s="467">
        <v>2.25</v>
      </c>
      <c r="G758" s="466">
        <v>18</v>
      </c>
      <c r="H758" s="466">
        <f>G758/1.1</f>
        <v>16.363636363636363</v>
      </c>
      <c r="I758" s="436"/>
      <c r="J758" s="465">
        <v>0</v>
      </c>
      <c r="K758" s="467">
        <v>0</v>
      </c>
    </row>
    <row r="759" spans="2:11" ht="19" customHeight="1">
      <c r="B759" s="464">
        <v>46040</v>
      </c>
      <c r="C759" s="436" t="s">
        <v>247</v>
      </c>
      <c r="D759" s="436" t="s">
        <v>257</v>
      </c>
      <c r="E759" s="436">
        <v>1</v>
      </c>
      <c r="F759" s="467">
        <v>1.55</v>
      </c>
      <c r="G759" s="466">
        <v>1.55</v>
      </c>
      <c r="H759" s="466">
        <f>G759/1.1</f>
        <v>1.4090909090909089</v>
      </c>
      <c r="I759" s="436"/>
      <c r="J759" s="465">
        <v>0</v>
      </c>
      <c r="K759" s="467">
        <v>0</v>
      </c>
    </row>
    <row r="760" spans="2:11" ht="19" customHeight="1">
      <c r="B760" s="464">
        <v>46040</v>
      </c>
      <c r="C760" s="436" t="s">
        <v>862</v>
      </c>
      <c r="D760" s="436" t="s">
        <v>999</v>
      </c>
      <c r="E760" s="436">
        <v>1</v>
      </c>
      <c r="F760" s="467">
        <v>0.15</v>
      </c>
      <c r="G760" s="466">
        <v>0.15</v>
      </c>
      <c r="H760" s="466">
        <f>G760/1.1</f>
        <v>0.13636363636363635</v>
      </c>
      <c r="I760" s="436"/>
      <c r="J760" s="465">
        <v>0</v>
      </c>
      <c r="K760" s="467">
        <v>0</v>
      </c>
    </row>
    <row r="761" spans="2:11" ht="19" customHeight="1">
      <c r="B761" s="464">
        <v>46040</v>
      </c>
      <c r="C761" s="436" t="s">
        <v>894</v>
      </c>
      <c r="D761" s="436" t="s">
        <v>896</v>
      </c>
      <c r="E761" s="436">
        <v>1</v>
      </c>
      <c r="F761" s="467">
        <v>5.75</v>
      </c>
      <c r="G761" s="466">
        <v>5.75</v>
      </c>
      <c r="H761" s="466">
        <f>G761/1.1</f>
        <v>5.2272727272727266</v>
      </c>
      <c r="I761" s="436"/>
      <c r="J761" s="465">
        <v>0</v>
      </c>
      <c r="K761" s="467">
        <v>0</v>
      </c>
    </row>
    <row r="762" spans="2:11" ht="19" customHeight="1">
      <c r="B762" s="464">
        <v>46040</v>
      </c>
      <c r="C762" s="436" t="s">
        <v>247</v>
      </c>
      <c r="D762" s="436" t="s">
        <v>257</v>
      </c>
      <c r="E762" s="436">
        <v>1</v>
      </c>
      <c r="F762" s="465">
        <v>1.4</v>
      </c>
      <c r="G762" s="466">
        <v>1.4</v>
      </c>
      <c r="H762" s="466">
        <f>G762/1.1</f>
        <v>1.2727272727272725</v>
      </c>
      <c r="I762" s="436"/>
      <c r="J762" s="465">
        <v>0</v>
      </c>
      <c r="K762" s="467">
        <v>0</v>
      </c>
    </row>
    <row r="763" spans="2:11" ht="19" customHeight="1">
      <c r="B763" s="464">
        <v>46040</v>
      </c>
      <c r="C763" s="436" t="s">
        <v>247</v>
      </c>
      <c r="D763" s="436" t="s">
        <v>246</v>
      </c>
      <c r="E763" s="436">
        <v>2</v>
      </c>
      <c r="F763" s="467">
        <v>1.7</v>
      </c>
      <c r="G763" s="466">
        <v>3.4</v>
      </c>
      <c r="H763" s="466">
        <f>G763/1.1</f>
        <v>3.0909090909090904</v>
      </c>
      <c r="I763" s="436"/>
      <c r="J763" s="465">
        <v>0</v>
      </c>
      <c r="K763" s="467">
        <v>0</v>
      </c>
    </row>
    <row r="764" spans="2:11" ht="19" customHeight="1">
      <c r="B764" s="464">
        <v>46040</v>
      </c>
      <c r="C764" s="436" t="s">
        <v>894</v>
      </c>
      <c r="D764" s="436" t="s">
        <v>1001</v>
      </c>
      <c r="E764" s="436">
        <v>1</v>
      </c>
      <c r="F764" s="467">
        <v>5.7</v>
      </c>
      <c r="G764" s="466">
        <v>5.7</v>
      </c>
      <c r="H764" s="466">
        <f>G764/1.1</f>
        <v>5.1818181818181817</v>
      </c>
      <c r="I764" s="436"/>
      <c r="J764" s="465">
        <v>0</v>
      </c>
      <c r="K764" s="467">
        <v>0</v>
      </c>
    </row>
    <row r="765" spans="2:11" ht="19" customHeight="1">
      <c r="B765" s="464">
        <v>46040</v>
      </c>
      <c r="C765" s="436" t="s">
        <v>247</v>
      </c>
      <c r="D765" s="436" t="s">
        <v>248</v>
      </c>
      <c r="E765" s="436">
        <v>1</v>
      </c>
      <c r="F765" s="467">
        <v>1.5</v>
      </c>
      <c r="G765" s="466">
        <v>1.5</v>
      </c>
      <c r="H765" s="466">
        <f>G765/1.1</f>
        <v>1.3636363636363635</v>
      </c>
      <c r="I765" s="436"/>
      <c r="J765" s="465">
        <v>0</v>
      </c>
      <c r="K765" s="467">
        <v>0</v>
      </c>
    </row>
    <row r="766" spans="2:11" ht="19" customHeight="1">
      <c r="B766" s="464">
        <v>46040</v>
      </c>
      <c r="C766" s="436" t="s">
        <v>247</v>
      </c>
      <c r="D766" s="436" t="s">
        <v>246</v>
      </c>
      <c r="E766" s="436">
        <v>1</v>
      </c>
      <c r="F766" s="467">
        <v>1.7</v>
      </c>
      <c r="G766" s="466">
        <v>1.7</v>
      </c>
      <c r="H766" s="466">
        <f>G766/1.1</f>
        <v>1.5454545454545452</v>
      </c>
      <c r="I766" s="436"/>
      <c r="J766" s="465">
        <v>0</v>
      </c>
      <c r="K766" s="467">
        <v>0</v>
      </c>
    </row>
    <row r="767" spans="2:11" ht="19" customHeight="1">
      <c r="B767" s="464">
        <v>46040</v>
      </c>
      <c r="C767" s="436" t="s">
        <v>268</v>
      </c>
      <c r="D767" s="436" t="s">
        <v>267</v>
      </c>
      <c r="E767" s="436">
        <v>1</v>
      </c>
      <c r="F767" s="467">
        <v>1.5</v>
      </c>
      <c r="G767" s="466">
        <v>1.5</v>
      </c>
      <c r="H767" s="466">
        <f>G767/1.1</f>
        <v>1.3636363636363635</v>
      </c>
      <c r="I767" s="436"/>
      <c r="J767" s="465">
        <v>0</v>
      </c>
      <c r="K767" s="467">
        <v>0</v>
      </c>
    </row>
    <row r="768" spans="2:11" ht="19" customHeight="1">
      <c r="B768" s="464">
        <v>46040</v>
      </c>
      <c r="C768" s="436" t="s">
        <v>268</v>
      </c>
      <c r="D768" s="436" t="s">
        <v>860</v>
      </c>
      <c r="E768" s="436">
        <v>2</v>
      </c>
      <c r="F768" s="467">
        <v>2.25</v>
      </c>
      <c r="G768" s="466">
        <v>4.5</v>
      </c>
      <c r="H768" s="466">
        <f>G768/1.1</f>
        <v>4.0909090909090908</v>
      </c>
      <c r="I768" s="436"/>
      <c r="J768" s="465">
        <v>0</v>
      </c>
      <c r="K768" s="467">
        <v>0</v>
      </c>
    </row>
    <row r="769" spans="2:11" ht="19" customHeight="1">
      <c r="B769" s="464">
        <v>46040</v>
      </c>
      <c r="C769" s="436" t="s">
        <v>247</v>
      </c>
      <c r="D769" s="436" t="s">
        <v>246</v>
      </c>
      <c r="E769" s="436">
        <v>2</v>
      </c>
      <c r="F769" s="465">
        <v>1.7</v>
      </c>
      <c r="G769" s="466">
        <v>3.4</v>
      </c>
      <c r="H769" s="466">
        <f>G769/1.1</f>
        <v>3.0909090909090904</v>
      </c>
      <c r="I769" s="436"/>
      <c r="J769" s="465">
        <v>0</v>
      </c>
      <c r="K769" s="467">
        <v>0</v>
      </c>
    </row>
    <row r="770" spans="2:11" ht="19" customHeight="1">
      <c r="B770" s="464">
        <v>46040</v>
      </c>
      <c r="C770" s="436" t="s">
        <v>247</v>
      </c>
      <c r="D770" s="436" t="s">
        <v>246</v>
      </c>
      <c r="E770" s="436">
        <v>1</v>
      </c>
      <c r="F770" s="467">
        <v>1.7</v>
      </c>
      <c r="G770" s="466">
        <v>1.7</v>
      </c>
      <c r="H770" s="466">
        <f>G770/1.1</f>
        <v>1.5454545454545452</v>
      </c>
      <c r="I770" s="436"/>
      <c r="J770" s="465">
        <v>0</v>
      </c>
      <c r="K770" s="467">
        <v>0</v>
      </c>
    </row>
    <row r="771" spans="2:11" ht="19" customHeight="1">
      <c r="B771" s="464">
        <v>46040</v>
      </c>
      <c r="C771" s="436" t="s">
        <v>268</v>
      </c>
      <c r="D771" s="436" t="s">
        <v>267</v>
      </c>
      <c r="E771" s="436">
        <v>1</v>
      </c>
      <c r="F771" s="467">
        <v>1.5</v>
      </c>
      <c r="G771" s="466">
        <v>1.5</v>
      </c>
      <c r="H771" s="466">
        <f>G771/1.1</f>
        <v>1.3636363636363635</v>
      </c>
      <c r="I771" s="436"/>
      <c r="J771" s="465">
        <v>0</v>
      </c>
      <c r="K771" s="467">
        <v>0</v>
      </c>
    </row>
    <row r="772" spans="2:11" ht="19" customHeight="1">
      <c r="B772" s="464">
        <v>46040</v>
      </c>
      <c r="C772" s="436" t="s">
        <v>247</v>
      </c>
      <c r="D772" s="436" t="s">
        <v>246</v>
      </c>
      <c r="E772" s="436">
        <v>1</v>
      </c>
      <c r="F772" s="467">
        <v>1.7</v>
      </c>
      <c r="G772" s="466">
        <v>1.7</v>
      </c>
      <c r="H772" s="466">
        <f>G772/1.1</f>
        <v>1.5454545454545452</v>
      </c>
      <c r="I772" s="436"/>
      <c r="J772" s="465">
        <v>0</v>
      </c>
      <c r="K772" s="467">
        <v>0</v>
      </c>
    </row>
    <row r="773" spans="2:11" ht="19" customHeight="1">
      <c r="B773" s="464">
        <v>46040</v>
      </c>
      <c r="C773" s="436" t="s">
        <v>251</v>
      </c>
      <c r="D773" s="436" t="s">
        <v>265</v>
      </c>
      <c r="E773" s="436">
        <v>1</v>
      </c>
      <c r="F773" s="467">
        <v>2.65</v>
      </c>
      <c r="G773" s="466">
        <v>2.65</v>
      </c>
      <c r="H773" s="466">
        <f>G773/1.1</f>
        <v>2.4090909090909087</v>
      </c>
      <c r="I773" s="436"/>
      <c r="J773" s="465">
        <v>0</v>
      </c>
      <c r="K773" s="467">
        <v>0</v>
      </c>
    </row>
    <row r="774" spans="2:11" ht="19" customHeight="1">
      <c r="B774" s="464">
        <v>46040</v>
      </c>
      <c r="C774" s="436" t="s">
        <v>327</v>
      </c>
      <c r="D774" s="436" t="s">
        <v>723</v>
      </c>
      <c r="E774" s="436">
        <v>1</v>
      </c>
      <c r="F774" s="467">
        <v>3.1</v>
      </c>
      <c r="G774" s="466">
        <v>3.1</v>
      </c>
      <c r="H774" s="466">
        <f>G774/1.1</f>
        <v>2.8181818181818179</v>
      </c>
      <c r="I774" s="436"/>
      <c r="J774" s="465">
        <v>0</v>
      </c>
      <c r="K774" s="467">
        <v>0</v>
      </c>
    </row>
    <row r="775" spans="2:11" ht="19" customHeight="1">
      <c r="B775" s="464">
        <v>46040</v>
      </c>
      <c r="C775" s="436" t="s">
        <v>327</v>
      </c>
      <c r="D775" s="436" t="s">
        <v>712</v>
      </c>
      <c r="E775" s="436">
        <v>1</v>
      </c>
      <c r="F775" s="467">
        <v>3.5</v>
      </c>
      <c r="G775" s="466">
        <v>3.5</v>
      </c>
      <c r="H775" s="466">
        <f>G775/1.1</f>
        <v>3.1818181818181817</v>
      </c>
      <c r="I775" s="436"/>
      <c r="J775" s="465">
        <v>0</v>
      </c>
      <c r="K775" s="467">
        <v>0</v>
      </c>
    </row>
    <row r="776" spans="2:11" ht="19" customHeight="1">
      <c r="B776" s="464">
        <v>46040</v>
      </c>
      <c r="C776" s="436" t="s">
        <v>247</v>
      </c>
      <c r="D776" s="436" t="s">
        <v>257</v>
      </c>
      <c r="E776" s="436">
        <v>1</v>
      </c>
      <c r="F776" s="467">
        <v>1.55</v>
      </c>
      <c r="G776" s="466">
        <v>1.55</v>
      </c>
      <c r="H776" s="466">
        <f>G776/1.1</f>
        <v>1.4090909090909089</v>
      </c>
      <c r="I776" s="436"/>
      <c r="J776" s="465">
        <v>0</v>
      </c>
      <c r="K776" s="467">
        <v>0</v>
      </c>
    </row>
    <row r="777" spans="2:11" ht="19" customHeight="1">
      <c r="B777" s="464">
        <v>46040</v>
      </c>
      <c r="C777" s="436" t="s">
        <v>327</v>
      </c>
      <c r="D777" s="436" t="s">
        <v>723</v>
      </c>
      <c r="E777" s="436">
        <v>1</v>
      </c>
      <c r="F777" s="467">
        <v>3.1</v>
      </c>
      <c r="G777" s="466">
        <v>3.1</v>
      </c>
      <c r="H777" s="466">
        <f>G777/1.1</f>
        <v>2.8181818181818179</v>
      </c>
      <c r="I777" s="436"/>
      <c r="J777" s="465">
        <v>0</v>
      </c>
      <c r="K777" s="467">
        <v>0</v>
      </c>
    </row>
    <row r="778" spans="2:11" ht="19" customHeight="1">
      <c r="B778" s="464">
        <v>46040</v>
      </c>
      <c r="C778" s="436" t="s">
        <v>264</v>
      </c>
      <c r="D778" s="436" t="s">
        <v>891</v>
      </c>
      <c r="E778" s="436">
        <v>1</v>
      </c>
      <c r="F778" s="467">
        <v>1.4</v>
      </c>
      <c r="G778" s="466">
        <v>1.4</v>
      </c>
      <c r="H778" s="466">
        <f>G778/1.1</f>
        <v>1.2727272727272725</v>
      </c>
      <c r="I778" s="436"/>
      <c r="J778" s="465">
        <v>0</v>
      </c>
      <c r="K778" s="467">
        <v>0</v>
      </c>
    </row>
    <row r="779" spans="2:11" ht="19" customHeight="1">
      <c r="B779" s="464">
        <v>46040</v>
      </c>
      <c r="C779" s="436" t="s">
        <v>327</v>
      </c>
      <c r="D779" s="436" t="s">
        <v>723</v>
      </c>
      <c r="E779" s="436">
        <v>1</v>
      </c>
      <c r="F779" s="467">
        <v>3.1</v>
      </c>
      <c r="G779" s="466">
        <v>3.1</v>
      </c>
      <c r="H779" s="466">
        <f>G779/1.1</f>
        <v>2.8181818181818179</v>
      </c>
      <c r="I779" s="436"/>
      <c r="J779" s="465">
        <v>0</v>
      </c>
      <c r="K779" s="467">
        <v>0</v>
      </c>
    </row>
    <row r="780" spans="2:11" ht="19" customHeight="1">
      <c r="B780" s="464">
        <v>46040</v>
      </c>
      <c r="C780" s="436" t="s">
        <v>251</v>
      </c>
      <c r="D780" s="436" t="s">
        <v>854</v>
      </c>
      <c r="E780" s="436">
        <v>1</v>
      </c>
      <c r="F780" s="467">
        <v>1.55</v>
      </c>
      <c r="G780" s="466">
        <v>1.55</v>
      </c>
      <c r="H780" s="466">
        <f>G780/1.1</f>
        <v>1.4090909090909089</v>
      </c>
      <c r="I780" s="436"/>
      <c r="J780" s="465">
        <v>0</v>
      </c>
      <c r="K780" s="467">
        <v>0</v>
      </c>
    </row>
    <row r="781" spans="2:11" ht="19" customHeight="1">
      <c r="B781" s="464">
        <v>46040</v>
      </c>
      <c r="C781" s="436" t="s">
        <v>247</v>
      </c>
      <c r="D781" s="436" t="s">
        <v>248</v>
      </c>
      <c r="E781" s="436">
        <v>1</v>
      </c>
      <c r="F781" s="467">
        <v>1.5</v>
      </c>
      <c r="G781" s="466">
        <v>1.5</v>
      </c>
      <c r="H781" s="466">
        <f>G781/1.1</f>
        <v>1.3636363636363635</v>
      </c>
      <c r="I781" s="436"/>
      <c r="J781" s="465">
        <v>0</v>
      </c>
      <c r="K781" s="467">
        <v>0</v>
      </c>
    </row>
    <row r="782" spans="2:11" ht="19" customHeight="1">
      <c r="B782" s="464">
        <v>46040</v>
      </c>
      <c r="C782" s="436" t="s">
        <v>268</v>
      </c>
      <c r="D782" s="436" t="s">
        <v>1005</v>
      </c>
      <c r="E782" s="436">
        <v>1</v>
      </c>
      <c r="F782" s="467">
        <v>2.9</v>
      </c>
      <c r="G782" s="466">
        <v>2.9</v>
      </c>
      <c r="H782" s="466">
        <f>G782/1.1</f>
        <v>2.6363636363636362</v>
      </c>
      <c r="I782" s="436"/>
      <c r="J782" s="465">
        <v>0</v>
      </c>
      <c r="K782" s="467">
        <v>0</v>
      </c>
    </row>
    <row r="783" spans="2:11" ht="19" customHeight="1">
      <c r="B783" s="464">
        <v>46040</v>
      </c>
      <c r="C783" s="436" t="s">
        <v>894</v>
      </c>
      <c r="D783" s="436" t="s">
        <v>1001</v>
      </c>
      <c r="E783" s="436">
        <v>2</v>
      </c>
      <c r="F783" s="467">
        <v>5.7</v>
      </c>
      <c r="G783" s="466">
        <v>11.4</v>
      </c>
      <c r="H783" s="466">
        <f>G783/1.1</f>
        <v>10.363636363636363</v>
      </c>
      <c r="I783" s="436"/>
      <c r="J783" s="465">
        <v>0</v>
      </c>
      <c r="K783" s="467">
        <v>0</v>
      </c>
    </row>
    <row r="784" spans="2:11" ht="19" customHeight="1">
      <c r="B784" s="464">
        <v>46040</v>
      </c>
      <c r="C784" s="436" t="s">
        <v>264</v>
      </c>
      <c r="D784" s="436" t="s">
        <v>1006</v>
      </c>
      <c r="E784" s="436">
        <v>2</v>
      </c>
      <c r="F784" s="467">
        <v>1.5</v>
      </c>
      <c r="G784" s="466">
        <v>3</v>
      </c>
      <c r="H784" s="466">
        <f>G784/1.1</f>
        <v>2.7272727272727271</v>
      </c>
      <c r="I784" s="436"/>
      <c r="J784" s="465">
        <v>0</v>
      </c>
      <c r="K784" s="467">
        <v>0</v>
      </c>
    </row>
    <row r="785" spans="2:11" ht="19" customHeight="1">
      <c r="B785" s="464">
        <v>46040</v>
      </c>
      <c r="C785" s="436" t="s">
        <v>247</v>
      </c>
      <c r="D785" s="436" t="s">
        <v>248</v>
      </c>
      <c r="E785" s="436">
        <v>2</v>
      </c>
      <c r="F785" s="467">
        <v>1.5</v>
      </c>
      <c r="G785" s="466">
        <v>3</v>
      </c>
      <c r="H785" s="466">
        <f>G785/1.1</f>
        <v>2.7272727272727271</v>
      </c>
      <c r="I785" s="436"/>
      <c r="J785" s="465">
        <v>0</v>
      </c>
      <c r="K785" s="467">
        <v>0</v>
      </c>
    </row>
    <row r="786" spans="2:11" ht="19" customHeight="1">
      <c r="B786" s="464">
        <v>46040</v>
      </c>
      <c r="C786" s="436" t="s">
        <v>268</v>
      </c>
      <c r="D786" s="436" t="s">
        <v>860</v>
      </c>
      <c r="E786" s="436">
        <v>2</v>
      </c>
      <c r="F786" s="467">
        <v>2.25</v>
      </c>
      <c r="G786" s="466">
        <v>4.5</v>
      </c>
      <c r="H786" s="466">
        <f>G786/1.1</f>
        <v>4.0909090909090908</v>
      </c>
      <c r="I786" s="436"/>
      <c r="J786" s="465">
        <v>0</v>
      </c>
      <c r="K786" s="467">
        <v>0</v>
      </c>
    </row>
    <row r="787" spans="2:11" ht="19" customHeight="1">
      <c r="B787" s="464">
        <v>46040</v>
      </c>
      <c r="C787" s="436" t="s">
        <v>247</v>
      </c>
      <c r="D787" s="436" t="s">
        <v>246</v>
      </c>
      <c r="E787" s="436">
        <v>2</v>
      </c>
      <c r="F787" s="467">
        <v>1.7</v>
      </c>
      <c r="G787" s="466">
        <v>3.4</v>
      </c>
      <c r="H787" s="466">
        <f>G787/1.1</f>
        <v>3.0909090909090904</v>
      </c>
      <c r="I787" s="436"/>
      <c r="J787" s="465">
        <v>0</v>
      </c>
      <c r="K787" s="467">
        <v>0</v>
      </c>
    </row>
    <row r="788" spans="2:11" ht="19" customHeight="1">
      <c r="B788" s="464">
        <v>46040</v>
      </c>
      <c r="C788" s="436" t="s">
        <v>327</v>
      </c>
      <c r="D788" s="436" t="s">
        <v>1007</v>
      </c>
      <c r="E788" s="436">
        <v>1</v>
      </c>
      <c r="F788" s="467">
        <v>4</v>
      </c>
      <c r="G788" s="466">
        <v>4</v>
      </c>
      <c r="H788" s="466">
        <f>G788/1.1</f>
        <v>3.6363636363636362</v>
      </c>
      <c r="I788" s="436"/>
      <c r="J788" s="465">
        <v>0</v>
      </c>
      <c r="K788" s="467">
        <v>0</v>
      </c>
    </row>
    <row r="789" spans="2:11" ht="19" customHeight="1">
      <c r="B789" s="464">
        <v>46040</v>
      </c>
      <c r="C789" s="436" t="s">
        <v>247</v>
      </c>
      <c r="D789" s="436" t="s">
        <v>246</v>
      </c>
      <c r="E789" s="436">
        <v>2</v>
      </c>
      <c r="F789" s="467">
        <v>1.7</v>
      </c>
      <c r="G789" s="466">
        <v>3.4</v>
      </c>
      <c r="H789" s="466">
        <f>G789/1.1</f>
        <v>3.0909090909090904</v>
      </c>
      <c r="I789" s="436"/>
      <c r="J789" s="465">
        <v>0</v>
      </c>
      <c r="K789" s="467">
        <v>0</v>
      </c>
    </row>
    <row r="790" spans="2:11" ht="19" customHeight="1">
      <c r="B790" s="464">
        <v>46040</v>
      </c>
      <c r="C790" s="436" t="s">
        <v>268</v>
      </c>
      <c r="D790" s="436" t="s">
        <v>858</v>
      </c>
      <c r="E790" s="436">
        <v>2</v>
      </c>
      <c r="F790" s="467">
        <v>0.65</v>
      </c>
      <c r="G790" s="466">
        <v>1.3</v>
      </c>
      <c r="H790" s="466">
        <f>G790/1.1</f>
        <v>1.1818181818181817</v>
      </c>
      <c r="I790" s="436"/>
      <c r="J790" s="465">
        <v>0</v>
      </c>
      <c r="K790" s="467">
        <v>0</v>
      </c>
    </row>
    <row r="791" spans="2:11" ht="19" customHeight="1">
      <c r="B791" s="464">
        <v>46040</v>
      </c>
      <c r="C791" s="436" t="s">
        <v>247</v>
      </c>
      <c r="D791" s="436" t="s">
        <v>257</v>
      </c>
      <c r="E791" s="436">
        <v>1</v>
      </c>
      <c r="F791" s="467">
        <v>1.4</v>
      </c>
      <c r="G791" s="466">
        <v>1.4</v>
      </c>
      <c r="H791" s="466">
        <f>G791/1.1</f>
        <v>1.2727272727272725</v>
      </c>
      <c r="I791" s="436"/>
      <c r="J791" s="465">
        <v>0</v>
      </c>
      <c r="K791" s="467">
        <v>0</v>
      </c>
    </row>
    <row r="792" spans="2:11" ht="19" customHeight="1">
      <c r="B792" s="464">
        <v>46040</v>
      </c>
      <c r="C792" s="436" t="s">
        <v>247</v>
      </c>
      <c r="D792" s="436" t="s">
        <v>248</v>
      </c>
      <c r="E792" s="436">
        <v>1</v>
      </c>
      <c r="F792" s="465">
        <v>1.5</v>
      </c>
      <c r="G792" s="466">
        <v>1.5</v>
      </c>
      <c r="H792" s="466">
        <f>G792/1.1</f>
        <v>1.3636363636363635</v>
      </c>
      <c r="I792" s="436"/>
      <c r="J792" s="465">
        <v>0</v>
      </c>
      <c r="K792" s="467">
        <v>0</v>
      </c>
    </row>
    <row r="793" spans="2:11" ht="19" customHeight="1">
      <c r="B793" s="464">
        <v>46040</v>
      </c>
      <c r="C793" s="436" t="s">
        <v>247</v>
      </c>
      <c r="D793" s="436" t="s">
        <v>919</v>
      </c>
      <c r="E793" s="436">
        <v>1</v>
      </c>
      <c r="F793" s="465">
        <v>1.7</v>
      </c>
      <c r="G793" s="466">
        <v>1.7</v>
      </c>
      <c r="H793" s="466">
        <f>G793/1.1</f>
        <v>1.5454545454545452</v>
      </c>
      <c r="I793" s="436"/>
      <c r="J793" s="465">
        <v>0</v>
      </c>
      <c r="K793" s="467">
        <v>0</v>
      </c>
    </row>
    <row r="794" spans="2:11" ht="19" customHeight="1">
      <c r="B794" s="464">
        <v>46040</v>
      </c>
      <c r="C794" s="436" t="s">
        <v>264</v>
      </c>
      <c r="D794" s="436" t="s">
        <v>269</v>
      </c>
      <c r="E794" s="436">
        <v>1</v>
      </c>
      <c r="F794" s="465">
        <v>0.1</v>
      </c>
      <c r="G794" s="466">
        <v>0.1</v>
      </c>
      <c r="H794" s="466">
        <f>G794/1.1</f>
        <v>9.0909090909090912E-2</v>
      </c>
      <c r="I794" s="436"/>
      <c r="J794" s="465">
        <v>0</v>
      </c>
      <c r="K794" s="467">
        <v>0</v>
      </c>
    </row>
    <row r="795" spans="2:11" ht="19" customHeight="1">
      <c r="B795" s="464">
        <v>46040</v>
      </c>
      <c r="C795" s="436" t="s">
        <v>862</v>
      </c>
      <c r="D795" s="436" t="s">
        <v>907</v>
      </c>
      <c r="E795" s="436">
        <v>1</v>
      </c>
      <c r="F795" s="465">
        <v>0.15</v>
      </c>
      <c r="G795" s="466">
        <v>0.15</v>
      </c>
      <c r="H795" s="466">
        <f>G795/1.1</f>
        <v>0.13636363636363635</v>
      </c>
      <c r="I795" s="436"/>
      <c r="J795" s="465">
        <v>0</v>
      </c>
      <c r="K795" s="467">
        <v>0</v>
      </c>
    </row>
    <row r="796" spans="2:11" ht="19" customHeight="1">
      <c r="B796" s="464">
        <v>46040</v>
      </c>
      <c r="C796" s="436" t="s">
        <v>247</v>
      </c>
      <c r="D796" s="436" t="s">
        <v>248</v>
      </c>
      <c r="E796" s="436">
        <v>1</v>
      </c>
      <c r="F796" s="465">
        <v>1.5</v>
      </c>
      <c r="G796" s="466">
        <v>1.5</v>
      </c>
      <c r="H796" s="466">
        <f>G796/1.1</f>
        <v>1.3636363636363635</v>
      </c>
      <c r="I796" s="436"/>
      <c r="J796" s="465">
        <v>0</v>
      </c>
      <c r="K796" s="467">
        <v>0</v>
      </c>
    </row>
    <row r="797" spans="2:11" ht="19" customHeight="1">
      <c r="B797" s="464">
        <v>46043</v>
      </c>
      <c r="C797" s="436" t="s">
        <v>251</v>
      </c>
      <c r="D797" s="436" t="s">
        <v>265</v>
      </c>
      <c r="E797" s="436">
        <v>1</v>
      </c>
      <c r="F797" s="465">
        <v>2.65</v>
      </c>
      <c r="G797" s="466">
        <v>2.65</v>
      </c>
      <c r="H797" s="466">
        <f>G797/1.1</f>
        <v>2.4090909090909087</v>
      </c>
      <c r="I797" s="436"/>
      <c r="J797" s="465">
        <v>0</v>
      </c>
      <c r="K797" s="467">
        <v>0</v>
      </c>
    </row>
    <row r="798" spans="2:11" ht="19" customHeight="1">
      <c r="B798" s="464">
        <v>46043</v>
      </c>
      <c r="C798" s="436" t="s">
        <v>247</v>
      </c>
      <c r="D798" s="436" t="s">
        <v>248</v>
      </c>
      <c r="E798" s="436">
        <v>1</v>
      </c>
      <c r="F798" s="465">
        <v>1.5</v>
      </c>
      <c r="G798" s="466">
        <v>1.5</v>
      </c>
      <c r="H798" s="466">
        <f>G798/1.1</f>
        <v>1.3636363636363635</v>
      </c>
      <c r="I798" s="436"/>
      <c r="J798" s="465">
        <v>0</v>
      </c>
      <c r="K798" s="467">
        <v>0</v>
      </c>
    </row>
    <row r="799" spans="2:11" ht="19" customHeight="1">
      <c r="B799" s="464">
        <v>46043</v>
      </c>
      <c r="C799" s="436" t="s">
        <v>862</v>
      </c>
      <c r="D799" s="436" t="s">
        <v>907</v>
      </c>
      <c r="E799" s="436">
        <v>1</v>
      </c>
      <c r="F799" s="465">
        <v>0.15</v>
      </c>
      <c r="G799" s="466">
        <v>0.15</v>
      </c>
      <c r="H799" s="466">
        <f>G799/1.1</f>
        <v>0.13636363636363635</v>
      </c>
      <c r="I799" s="436"/>
      <c r="J799" s="465">
        <v>0</v>
      </c>
      <c r="K799" s="467">
        <v>0</v>
      </c>
    </row>
    <row r="800" spans="2:11" ht="19" customHeight="1">
      <c r="B800" s="464">
        <v>46043</v>
      </c>
      <c r="C800" s="436" t="s">
        <v>247</v>
      </c>
      <c r="D800" s="436" t="s">
        <v>246</v>
      </c>
      <c r="E800" s="436">
        <v>1</v>
      </c>
      <c r="F800" s="465">
        <v>1.7</v>
      </c>
      <c r="G800" s="466">
        <v>1.7</v>
      </c>
      <c r="H800" s="466">
        <f>G800/1.1</f>
        <v>1.5454545454545452</v>
      </c>
      <c r="I800" s="436"/>
      <c r="J800" s="465">
        <v>0</v>
      </c>
      <c r="K800" s="467">
        <v>0</v>
      </c>
    </row>
    <row r="801" spans="2:11" ht="19" customHeight="1">
      <c r="B801" s="464">
        <v>46043</v>
      </c>
      <c r="C801" s="436" t="s">
        <v>247</v>
      </c>
      <c r="D801" s="436" t="s">
        <v>248</v>
      </c>
      <c r="E801" s="436">
        <v>1</v>
      </c>
      <c r="F801" s="465">
        <v>1.5</v>
      </c>
      <c r="G801" s="466">
        <v>1.5</v>
      </c>
      <c r="H801" s="466">
        <f>G801/1.1</f>
        <v>1.3636363636363635</v>
      </c>
      <c r="I801" s="436"/>
      <c r="J801" s="465">
        <v>0</v>
      </c>
      <c r="K801" s="467">
        <v>0</v>
      </c>
    </row>
    <row r="802" spans="2:11" ht="19" customHeight="1">
      <c r="B802" s="464">
        <v>46043</v>
      </c>
      <c r="C802" s="436" t="s">
        <v>894</v>
      </c>
      <c r="D802" s="436" t="s">
        <v>896</v>
      </c>
      <c r="E802" s="436">
        <v>2</v>
      </c>
      <c r="F802" s="465">
        <v>5.75</v>
      </c>
      <c r="G802" s="466">
        <v>11.5</v>
      </c>
      <c r="H802" s="466">
        <f>G802/1.1</f>
        <v>10.454545454545453</v>
      </c>
      <c r="I802" s="436"/>
      <c r="J802" s="465">
        <v>0</v>
      </c>
      <c r="K802" s="467">
        <v>0</v>
      </c>
    </row>
    <row r="803" spans="2:11" ht="19" customHeight="1">
      <c r="B803" s="464">
        <v>46043</v>
      </c>
      <c r="C803" s="436" t="s">
        <v>264</v>
      </c>
      <c r="D803" s="436" t="s">
        <v>897</v>
      </c>
      <c r="E803" s="436">
        <v>2</v>
      </c>
      <c r="F803" s="465">
        <v>0.75</v>
      </c>
      <c r="G803" s="466">
        <v>1.5</v>
      </c>
      <c r="H803" s="466">
        <f>G803/1.1</f>
        <v>1.3636363636363635</v>
      </c>
      <c r="I803" s="436"/>
      <c r="J803" s="465">
        <v>0</v>
      </c>
      <c r="K803" s="467">
        <v>0</v>
      </c>
    </row>
    <row r="804" spans="2:11" ht="19" customHeight="1">
      <c r="B804" s="464">
        <v>46043</v>
      </c>
      <c r="C804" s="436" t="s">
        <v>247</v>
      </c>
      <c r="D804" s="436" t="s">
        <v>257</v>
      </c>
      <c r="E804" s="436">
        <v>1</v>
      </c>
      <c r="F804" s="465">
        <v>1.4</v>
      </c>
      <c r="G804" s="466">
        <v>1.4</v>
      </c>
      <c r="H804" s="466">
        <f>G804/1.1</f>
        <v>1.2727272727272725</v>
      </c>
      <c r="I804" s="436"/>
      <c r="J804" s="465">
        <v>0</v>
      </c>
      <c r="K804" s="467">
        <v>0</v>
      </c>
    </row>
    <row r="805" spans="2:11" ht="19" customHeight="1">
      <c r="B805" s="464">
        <v>46043</v>
      </c>
      <c r="C805" s="436" t="s">
        <v>862</v>
      </c>
      <c r="D805" s="436" t="s">
        <v>999</v>
      </c>
      <c r="E805" s="436">
        <v>1</v>
      </c>
      <c r="F805" s="465">
        <v>0.15</v>
      </c>
      <c r="G805" s="466">
        <v>0.15</v>
      </c>
      <c r="H805" s="466">
        <f>G805/1.1</f>
        <v>0.13636363636363635</v>
      </c>
      <c r="I805" s="436"/>
      <c r="J805" s="465">
        <v>0</v>
      </c>
      <c r="K805" s="467">
        <v>0</v>
      </c>
    </row>
    <row r="806" spans="2:11" ht="19" customHeight="1">
      <c r="B806" s="464">
        <v>46043</v>
      </c>
      <c r="C806" s="436" t="s">
        <v>247</v>
      </c>
      <c r="D806" s="436" t="s">
        <v>1008</v>
      </c>
      <c r="E806" s="436">
        <v>1</v>
      </c>
      <c r="F806" s="465">
        <v>1.65</v>
      </c>
      <c r="G806" s="466">
        <v>1.65</v>
      </c>
      <c r="H806" s="466">
        <f>G806/1.1</f>
        <v>1.4999999999999998</v>
      </c>
      <c r="I806" s="436"/>
      <c r="J806" s="465">
        <v>0</v>
      </c>
      <c r="K806" s="467">
        <v>0</v>
      </c>
    </row>
    <row r="807" spans="2:11" ht="19" customHeight="1">
      <c r="B807" s="464">
        <v>46043</v>
      </c>
      <c r="C807" s="436" t="s">
        <v>247</v>
      </c>
      <c r="D807" s="436" t="s">
        <v>246</v>
      </c>
      <c r="E807" s="436">
        <v>3</v>
      </c>
      <c r="F807" s="465">
        <v>1.7</v>
      </c>
      <c r="G807" s="466">
        <v>5.0999999999999996</v>
      </c>
      <c r="H807" s="466">
        <f>G807/1.1</f>
        <v>4.6363636363636358</v>
      </c>
      <c r="I807" s="436"/>
      <c r="J807" s="465">
        <v>0</v>
      </c>
      <c r="K807" s="467">
        <v>0</v>
      </c>
    </row>
    <row r="808" spans="2:11" ht="19" customHeight="1">
      <c r="B808" s="464">
        <v>46043</v>
      </c>
      <c r="C808" s="436" t="s">
        <v>268</v>
      </c>
      <c r="D808" s="436" t="s">
        <v>858</v>
      </c>
      <c r="E808" s="436">
        <v>1</v>
      </c>
      <c r="F808" s="465">
        <v>0.65</v>
      </c>
      <c r="G808" s="466">
        <v>0.65</v>
      </c>
      <c r="H808" s="466">
        <f>G808/1.1</f>
        <v>0.59090909090909083</v>
      </c>
      <c r="I808" s="436"/>
      <c r="J808" s="465">
        <v>0</v>
      </c>
      <c r="K808" s="467">
        <v>0</v>
      </c>
    </row>
    <row r="809" spans="2:11" ht="19" customHeight="1">
      <c r="B809" s="464">
        <v>46043</v>
      </c>
      <c r="C809" s="436" t="s">
        <v>268</v>
      </c>
      <c r="D809" s="436" t="s">
        <v>859</v>
      </c>
      <c r="E809" s="436">
        <v>1</v>
      </c>
      <c r="F809" s="467">
        <v>0.75</v>
      </c>
      <c r="G809" s="466">
        <v>0.75</v>
      </c>
      <c r="H809" s="466">
        <f>G809/1.1</f>
        <v>0.68181818181818177</v>
      </c>
      <c r="I809" s="436"/>
      <c r="J809" s="465">
        <v>0</v>
      </c>
      <c r="K809" s="467">
        <v>0</v>
      </c>
    </row>
    <row r="810" spans="2:11" ht="19" customHeight="1">
      <c r="B810" s="464">
        <v>46043</v>
      </c>
      <c r="C810" s="436" t="s">
        <v>328</v>
      </c>
      <c r="D810" s="436" t="s">
        <v>1002</v>
      </c>
      <c r="E810" s="436">
        <v>2</v>
      </c>
      <c r="F810" s="465">
        <v>4.8499999999999996</v>
      </c>
      <c r="G810" s="466">
        <v>9.6999999999999993</v>
      </c>
      <c r="H810" s="466">
        <f>G810/1.1</f>
        <v>8.8181818181818166</v>
      </c>
      <c r="I810" s="436"/>
      <c r="J810" s="465">
        <v>0</v>
      </c>
      <c r="K810" s="467">
        <v>0</v>
      </c>
    </row>
    <row r="811" spans="2:11" ht="19" customHeight="1">
      <c r="B811" s="464">
        <v>46043</v>
      </c>
      <c r="C811" s="436" t="s">
        <v>247</v>
      </c>
      <c r="D811" s="436" t="s">
        <v>248</v>
      </c>
      <c r="E811" s="436">
        <v>1</v>
      </c>
      <c r="F811" s="467">
        <v>1.5</v>
      </c>
      <c r="G811" s="466">
        <v>1.5</v>
      </c>
      <c r="H811" s="466">
        <f>G811/1.1</f>
        <v>1.3636363636363635</v>
      </c>
      <c r="I811" s="436"/>
      <c r="J811" s="465">
        <v>0</v>
      </c>
      <c r="K811" s="467">
        <v>0</v>
      </c>
    </row>
    <row r="812" spans="2:11" ht="19" customHeight="1">
      <c r="B812" s="464">
        <v>46043</v>
      </c>
      <c r="C812" s="436" t="s">
        <v>268</v>
      </c>
      <c r="D812" s="436" t="s">
        <v>267</v>
      </c>
      <c r="E812" s="436">
        <v>1</v>
      </c>
      <c r="F812" s="467">
        <v>1.5</v>
      </c>
      <c r="G812" s="466">
        <v>1.5</v>
      </c>
      <c r="H812" s="466">
        <f>G812/1.1</f>
        <v>1.3636363636363635</v>
      </c>
      <c r="I812" s="436"/>
      <c r="J812" s="465">
        <v>0</v>
      </c>
      <c r="K812" s="467">
        <v>0</v>
      </c>
    </row>
    <row r="813" spans="2:11" ht="19" customHeight="1">
      <c r="B813" s="464">
        <v>46043</v>
      </c>
      <c r="C813" s="436" t="s">
        <v>268</v>
      </c>
      <c r="D813" s="436" t="s">
        <v>860</v>
      </c>
      <c r="E813" s="436">
        <v>1</v>
      </c>
      <c r="F813" s="467">
        <v>2.25</v>
      </c>
      <c r="G813" s="466">
        <v>2.25</v>
      </c>
      <c r="H813" s="466">
        <f>G813/1.1</f>
        <v>2.0454545454545454</v>
      </c>
      <c r="I813" s="436"/>
      <c r="J813" s="465">
        <v>0</v>
      </c>
      <c r="K813" s="467">
        <v>0</v>
      </c>
    </row>
    <row r="814" spans="2:11" ht="19" customHeight="1">
      <c r="B814" s="464">
        <v>46043</v>
      </c>
      <c r="C814" s="436" t="s">
        <v>247</v>
      </c>
      <c r="D814" s="436" t="s">
        <v>257</v>
      </c>
      <c r="E814" s="436">
        <v>1</v>
      </c>
      <c r="F814" s="467">
        <v>1.4</v>
      </c>
      <c r="G814" s="466">
        <v>1.4</v>
      </c>
      <c r="H814" s="466">
        <f>G814/1.1</f>
        <v>1.2727272727272725</v>
      </c>
      <c r="I814" s="436"/>
      <c r="J814" s="465">
        <v>0</v>
      </c>
      <c r="K814" s="467">
        <v>0</v>
      </c>
    </row>
    <row r="815" spans="2:11" ht="19" customHeight="1">
      <c r="B815" s="464">
        <v>46043</v>
      </c>
      <c r="C815" s="436" t="s">
        <v>247</v>
      </c>
      <c r="D815" s="436" t="s">
        <v>246</v>
      </c>
      <c r="E815" s="436">
        <v>1</v>
      </c>
      <c r="F815" s="467">
        <v>1.7</v>
      </c>
      <c r="G815" s="466">
        <v>1.7</v>
      </c>
      <c r="H815" s="466">
        <f>G815/1.1</f>
        <v>1.5454545454545452</v>
      </c>
      <c r="I815" s="436"/>
      <c r="J815" s="465">
        <v>0</v>
      </c>
      <c r="K815" s="467">
        <v>0</v>
      </c>
    </row>
    <row r="816" spans="2:11" ht="19" customHeight="1">
      <c r="B816" s="464">
        <v>46043</v>
      </c>
      <c r="C816" s="436" t="s">
        <v>247</v>
      </c>
      <c r="D816" s="436" t="s">
        <v>246</v>
      </c>
      <c r="E816" s="436">
        <v>1</v>
      </c>
      <c r="F816" s="467">
        <v>1.7</v>
      </c>
      <c r="G816" s="466">
        <v>1.7</v>
      </c>
      <c r="H816" s="466">
        <f>G816/1.1</f>
        <v>1.5454545454545452</v>
      </c>
      <c r="I816" s="436"/>
      <c r="J816" s="465">
        <v>0</v>
      </c>
      <c r="K816" s="467">
        <v>0</v>
      </c>
    </row>
    <row r="817" spans="2:11" ht="19" customHeight="1">
      <c r="B817" s="464">
        <v>46043</v>
      </c>
      <c r="C817" s="436" t="s">
        <v>862</v>
      </c>
      <c r="D817" s="436" t="s">
        <v>899</v>
      </c>
      <c r="E817" s="436">
        <v>1</v>
      </c>
      <c r="F817" s="467">
        <v>0.05</v>
      </c>
      <c r="G817" s="466">
        <v>0.05</v>
      </c>
      <c r="H817" s="466">
        <f>G817/1.1</f>
        <v>4.5454545454545456E-2</v>
      </c>
      <c r="I817" s="436"/>
      <c r="J817" s="465">
        <v>0</v>
      </c>
      <c r="K817" s="467">
        <v>0</v>
      </c>
    </row>
    <row r="818" spans="2:11" ht="19" customHeight="1">
      <c r="B818" s="464">
        <v>46043</v>
      </c>
      <c r="C818" s="436" t="s">
        <v>247</v>
      </c>
      <c r="D818" s="436" t="s">
        <v>902</v>
      </c>
      <c r="E818" s="436">
        <v>1</v>
      </c>
      <c r="F818" s="467">
        <v>1.95</v>
      </c>
      <c r="G818" s="466">
        <v>1.95</v>
      </c>
      <c r="H818" s="466">
        <f>G818/1.1</f>
        <v>1.7727272727272725</v>
      </c>
      <c r="I818" s="436"/>
      <c r="J818" s="465">
        <v>0</v>
      </c>
      <c r="K818" s="467">
        <v>0</v>
      </c>
    </row>
    <row r="819" spans="2:11" ht="19" customHeight="1">
      <c r="B819" s="464">
        <v>46043</v>
      </c>
      <c r="C819" s="436" t="s">
        <v>247</v>
      </c>
      <c r="D819" s="436" t="s">
        <v>246</v>
      </c>
      <c r="E819" s="436">
        <v>1</v>
      </c>
      <c r="F819" s="467">
        <v>1.7</v>
      </c>
      <c r="G819" s="466">
        <v>1.7</v>
      </c>
      <c r="H819" s="466">
        <f>G819/1.1</f>
        <v>1.5454545454545452</v>
      </c>
      <c r="I819" s="436"/>
      <c r="J819" s="465">
        <v>0</v>
      </c>
      <c r="K819" s="467">
        <v>0</v>
      </c>
    </row>
    <row r="820" spans="2:11" ht="19" customHeight="1">
      <c r="B820" s="464">
        <v>46043</v>
      </c>
      <c r="C820" s="436" t="s">
        <v>268</v>
      </c>
      <c r="D820" s="436" t="s">
        <v>267</v>
      </c>
      <c r="E820" s="436">
        <v>1</v>
      </c>
      <c r="F820" s="467">
        <v>1.5</v>
      </c>
      <c r="G820" s="466">
        <v>1.5</v>
      </c>
      <c r="H820" s="466">
        <f>G820/1.1</f>
        <v>1.3636363636363635</v>
      </c>
      <c r="I820" s="436"/>
      <c r="J820" s="465">
        <v>0</v>
      </c>
      <c r="K820" s="467">
        <v>0</v>
      </c>
    </row>
    <row r="821" spans="2:11" ht="19" customHeight="1">
      <c r="B821" s="464">
        <v>46043</v>
      </c>
      <c r="C821" s="436" t="s">
        <v>247</v>
      </c>
      <c r="D821" s="436" t="s">
        <v>248</v>
      </c>
      <c r="E821" s="436">
        <v>1</v>
      </c>
      <c r="F821" s="467">
        <v>1.5</v>
      </c>
      <c r="G821" s="466">
        <v>1.5</v>
      </c>
      <c r="H821" s="466">
        <f>G821/1.1</f>
        <v>1.3636363636363635</v>
      </c>
      <c r="I821" s="436"/>
      <c r="J821" s="465">
        <v>0</v>
      </c>
      <c r="K821" s="467">
        <v>0</v>
      </c>
    </row>
    <row r="822" spans="2:11" ht="19" customHeight="1">
      <c r="B822" s="464">
        <v>46043</v>
      </c>
      <c r="C822" s="436" t="s">
        <v>247</v>
      </c>
      <c r="D822" s="436" t="s">
        <v>246</v>
      </c>
      <c r="E822" s="436">
        <v>1</v>
      </c>
      <c r="F822" s="467">
        <v>1.7</v>
      </c>
      <c r="G822" s="466">
        <v>1.7</v>
      </c>
      <c r="H822" s="466">
        <f>G822/1.1</f>
        <v>1.5454545454545452</v>
      </c>
      <c r="I822" s="436"/>
      <c r="J822" s="465">
        <v>0</v>
      </c>
      <c r="K822" s="467">
        <v>0</v>
      </c>
    </row>
    <row r="823" spans="2:11" ht="19" customHeight="1">
      <c r="B823" s="464">
        <v>46043</v>
      </c>
      <c r="C823" s="436" t="s">
        <v>862</v>
      </c>
      <c r="D823" s="436" t="s">
        <v>907</v>
      </c>
      <c r="E823" s="436">
        <v>1</v>
      </c>
      <c r="F823" s="467">
        <v>0.15</v>
      </c>
      <c r="G823" s="466">
        <v>0.15</v>
      </c>
      <c r="H823" s="466">
        <f>G823/1.1</f>
        <v>0.13636363636363635</v>
      </c>
      <c r="I823" s="436"/>
      <c r="J823" s="465">
        <v>0</v>
      </c>
      <c r="K823" s="467">
        <v>0</v>
      </c>
    </row>
    <row r="824" spans="2:11" ht="19" customHeight="1">
      <c r="B824" s="464">
        <v>46043</v>
      </c>
      <c r="C824" s="436" t="s">
        <v>247</v>
      </c>
      <c r="D824" s="436" t="s">
        <v>855</v>
      </c>
      <c r="E824" s="436">
        <v>2</v>
      </c>
      <c r="F824" s="467">
        <v>2.5499999999999998</v>
      </c>
      <c r="G824" s="466">
        <v>5.0999999999999996</v>
      </c>
      <c r="H824" s="466">
        <f>G824/1.1</f>
        <v>4.6363636363636358</v>
      </c>
      <c r="I824" s="436"/>
      <c r="J824" s="465">
        <v>0</v>
      </c>
      <c r="K824" s="467">
        <v>0</v>
      </c>
    </row>
    <row r="825" spans="2:11" ht="19" customHeight="1">
      <c r="B825" s="464">
        <v>46043</v>
      </c>
      <c r="C825" s="436" t="s">
        <v>268</v>
      </c>
      <c r="D825" s="436" t="s">
        <v>267</v>
      </c>
      <c r="E825" s="436">
        <v>1</v>
      </c>
      <c r="F825" s="467">
        <v>1.5</v>
      </c>
      <c r="G825" s="466">
        <v>1.5</v>
      </c>
      <c r="H825" s="466">
        <f>G825/1.1</f>
        <v>1.3636363636363635</v>
      </c>
      <c r="I825" s="436"/>
      <c r="J825" s="465">
        <v>0</v>
      </c>
      <c r="K825" s="467">
        <v>0</v>
      </c>
    </row>
    <row r="826" spans="2:11" ht="19" customHeight="1">
      <c r="B826" s="464">
        <v>46043</v>
      </c>
      <c r="C826" s="436" t="s">
        <v>247</v>
      </c>
      <c r="D826" s="436" t="s">
        <v>257</v>
      </c>
      <c r="E826" s="436">
        <v>1</v>
      </c>
      <c r="F826" s="467">
        <v>1.4</v>
      </c>
      <c r="G826" s="466">
        <v>1.4</v>
      </c>
      <c r="H826" s="466">
        <f>G826/1.1</f>
        <v>1.2727272727272725</v>
      </c>
      <c r="I826" s="436"/>
      <c r="J826" s="465">
        <v>0</v>
      </c>
      <c r="K826" s="467">
        <v>0</v>
      </c>
    </row>
    <row r="827" spans="2:11" ht="19" customHeight="1">
      <c r="B827" s="464">
        <v>46043</v>
      </c>
      <c r="C827" s="436" t="s">
        <v>247</v>
      </c>
      <c r="D827" s="436" t="s">
        <v>257</v>
      </c>
      <c r="E827" s="436">
        <v>1</v>
      </c>
      <c r="F827" s="465">
        <v>1.4</v>
      </c>
      <c r="G827" s="466">
        <v>1.4</v>
      </c>
      <c r="H827" s="466">
        <f>G827/1.1</f>
        <v>1.2727272727272725</v>
      </c>
      <c r="I827" s="436"/>
      <c r="J827" s="465">
        <v>0</v>
      </c>
      <c r="K827" s="467">
        <v>0</v>
      </c>
    </row>
    <row r="828" spans="2:11" ht="19" customHeight="1">
      <c r="B828" s="464">
        <v>46043</v>
      </c>
      <c r="C828" s="436" t="s">
        <v>247</v>
      </c>
      <c r="D828" s="436" t="s">
        <v>248</v>
      </c>
      <c r="E828" s="436">
        <v>1</v>
      </c>
      <c r="F828" s="465">
        <v>1.5</v>
      </c>
      <c r="G828" s="466">
        <v>1.5</v>
      </c>
      <c r="H828" s="466">
        <f>G828/1.1</f>
        <v>1.3636363636363635</v>
      </c>
      <c r="I828" s="436"/>
      <c r="J828" s="465">
        <v>0</v>
      </c>
      <c r="K828" s="467">
        <v>0</v>
      </c>
    </row>
    <row r="829" spans="2:11" ht="19" customHeight="1">
      <c r="B829" s="464">
        <v>46043</v>
      </c>
      <c r="C829" s="436" t="s">
        <v>247</v>
      </c>
      <c r="D829" s="436" t="s">
        <v>248</v>
      </c>
      <c r="E829" s="436">
        <v>1</v>
      </c>
      <c r="F829" s="465">
        <v>1.5</v>
      </c>
      <c r="G829" s="466">
        <v>1.5</v>
      </c>
      <c r="H829" s="466">
        <f>G829/1.1</f>
        <v>1.3636363636363635</v>
      </c>
      <c r="I829" s="436"/>
      <c r="J829" s="465">
        <v>0</v>
      </c>
      <c r="K829" s="467">
        <v>0</v>
      </c>
    </row>
    <row r="830" spans="2:11" ht="19" customHeight="1">
      <c r="B830" s="464">
        <v>46043</v>
      </c>
      <c r="C830" s="436" t="s">
        <v>247</v>
      </c>
      <c r="D830" s="436" t="s">
        <v>246</v>
      </c>
      <c r="E830" s="436">
        <v>3</v>
      </c>
      <c r="F830" s="465">
        <v>1.7</v>
      </c>
      <c r="G830" s="466">
        <v>5.0999999999999996</v>
      </c>
      <c r="H830" s="466">
        <f>G830/1.1</f>
        <v>4.6363636363636358</v>
      </c>
      <c r="I830" s="436"/>
      <c r="J830" s="465">
        <v>0</v>
      </c>
      <c r="K830" s="467">
        <v>0</v>
      </c>
    </row>
    <row r="831" spans="2:11" ht="19" customHeight="1">
      <c r="B831" s="464">
        <v>46043</v>
      </c>
      <c r="C831" s="436" t="s">
        <v>327</v>
      </c>
      <c r="D831" s="436" t="s">
        <v>1009</v>
      </c>
      <c r="E831" s="436">
        <v>1</v>
      </c>
      <c r="F831" s="467">
        <v>3.5</v>
      </c>
      <c r="G831" s="466">
        <v>3.5</v>
      </c>
      <c r="H831" s="466">
        <f>G831/1.1</f>
        <v>3.1818181818181817</v>
      </c>
      <c r="I831" s="436"/>
      <c r="J831" s="465">
        <v>0</v>
      </c>
      <c r="K831" s="467">
        <v>0</v>
      </c>
    </row>
    <row r="832" spans="2:11" ht="19" customHeight="1">
      <c r="B832" s="464">
        <v>46043</v>
      </c>
      <c r="C832" s="436" t="s">
        <v>247</v>
      </c>
      <c r="D832" s="436" t="s">
        <v>710</v>
      </c>
      <c r="E832" s="436">
        <v>1</v>
      </c>
      <c r="F832" s="467">
        <v>2.65</v>
      </c>
      <c r="G832" s="466">
        <v>2.65</v>
      </c>
      <c r="H832" s="466">
        <f>G832/1.1</f>
        <v>2.4090909090909087</v>
      </c>
      <c r="I832" s="436"/>
      <c r="J832" s="465">
        <v>0</v>
      </c>
      <c r="K832" s="467">
        <v>0</v>
      </c>
    </row>
    <row r="833" spans="2:11" ht="19" customHeight="1">
      <c r="B833" s="464">
        <v>46043</v>
      </c>
      <c r="C833" s="436" t="s">
        <v>268</v>
      </c>
      <c r="D833" s="436" t="s">
        <v>267</v>
      </c>
      <c r="E833" s="436">
        <v>2</v>
      </c>
      <c r="F833" s="467">
        <v>1.5</v>
      </c>
      <c r="G833" s="466">
        <v>3</v>
      </c>
      <c r="H833" s="466">
        <f>G833/1.1</f>
        <v>2.7272727272727271</v>
      </c>
      <c r="I833" s="436"/>
      <c r="J833" s="465">
        <v>0</v>
      </c>
      <c r="K833" s="467">
        <v>0</v>
      </c>
    </row>
    <row r="834" spans="2:11" ht="19" customHeight="1">
      <c r="B834" s="464">
        <v>46043</v>
      </c>
      <c r="C834" s="436" t="s">
        <v>247</v>
      </c>
      <c r="D834" s="436" t="s">
        <v>246</v>
      </c>
      <c r="E834" s="436">
        <v>1</v>
      </c>
      <c r="F834" s="467">
        <v>1.7</v>
      </c>
      <c r="G834" s="466">
        <v>1.7</v>
      </c>
      <c r="H834" s="466">
        <f>G834/1.1</f>
        <v>1.5454545454545452</v>
      </c>
      <c r="I834" s="436"/>
      <c r="J834" s="465">
        <v>0</v>
      </c>
      <c r="K834" s="467">
        <v>0</v>
      </c>
    </row>
    <row r="835" spans="2:11" ht="19" customHeight="1">
      <c r="B835" s="464">
        <v>46043</v>
      </c>
      <c r="C835" s="436" t="s">
        <v>247</v>
      </c>
      <c r="D835" s="436" t="s">
        <v>246</v>
      </c>
      <c r="E835" s="436">
        <v>1</v>
      </c>
      <c r="F835" s="467">
        <v>1.7</v>
      </c>
      <c r="G835" s="466">
        <v>1.7</v>
      </c>
      <c r="H835" s="466">
        <f>G835/1.1</f>
        <v>1.5454545454545452</v>
      </c>
      <c r="I835" s="436"/>
      <c r="J835" s="465">
        <v>0</v>
      </c>
      <c r="K835" s="467">
        <v>0</v>
      </c>
    </row>
    <row r="836" spans="2:11" ht="19" customHeight="1">
      <c r="B836" s="464">
        <v>46043</v>
      </c>
      <c r="C836" s="436" t="s">
        <v>862</v>
      </c>
      <c r="D836" s="436" t="s">
        <v>907</v>
      </c>
      <c r="E836" s="436">
        <v>1</v>
      </c>
      <c r="F836" s="467">
        <v>0.15</v>
      </c>
      <c r="G836" s="466">
        <v>0.15</v>
      </c>
      <c r="H836" s="466">
        <f>G836/1.1</f>
        <v>0.13636363636363635</v>
      </c>
      <c r="I836" s="436"/>
      <c r="J836" s="465">
        <v>0</v>
      </c>
      <c r="K836" s="467">
        <v>0</v>
      </c>
    </row>
    <row r="837" spans="2:11" ht="19" customHeight="1">
      <c r="B837" s="464">
        <v>46043</v>
      </c>
      <c r="C837" s="436" t="s">
        <v>247</v>
      </c>
      <c r="D837" s="436" t="s">
        <v>246</v>
      </c>
      <c r="E837" s="436">
        <v>1</v>
      </c>
      <c r="F837" s="467">
        <v>1.7</v>
      </c>
      <c r="G837" s="466">
        <v>1.7</v>
      </c>
      <c r="H837" s="466">
        <f>G837/1.1</f>
        <v>1.5454545454545452</v>
      </c>
      <c r="I837" s="436"/>
      <c r="J837" s="465">
        <v>0</v>
      </c>
      <c r="K837" s="467">
        <v>0</v>
      </c>
    </row>
    <row r="838" spans="2:11" ht="19" customHeight="1">
      <c r="B838" s="464">
        <v>46043</v>
      </c>
      <c r="C838" s="436" t="s">
        <v>247</v>
      </c>
      <c r="D838" s="436" t="s">
        <v>902</v>
      </c>
      <c r="E838" s="436">
        <v>1</v>
      </c>
      <c r="F838" s="467">
        <v>1.95</v>
      </c>
      <c r="G838" s="466">
        <v>1.95</v>
      </c>
      <c r="H838" s="466">
        <f>G838/1.1</f>
        <v>1.7727272727272725</v>
      </c>
      <c r="I838" s="436"/>
      <c r="J838" s="465">
        <v>0</v>
      </c>
      <c r="K838" s="467">
        <v>0</v>
      </c>
    </row>
    <row r="839" spans="2:11" ht="19" customHeight="1">
      <c r="B839" s="464">
        <v>46043</v>
      </c>
      <c r="C839" s="436" t="s">
        <v>247</v>
      </c>
      <c r="D839" s="436" t="s">
        <v>246</v>
      </c>
      <c r="E839" s="436">
        <v>2</v>
      </c>
      <c r="F839" s="467">
        <v>1.7</v>
      </c>
      <c r="G839" s="466">
        <v>3.4</v>
      </c>
      <c r="H839" s="466">
        <f>G839/1.1</f>
        <v>3.0909090909090904</v>
      </c>
      <c r="I839" s="436"/>
      <c r="J839" s="465">
        <v>0</v>
      </c>
      <c r="K839" s="467">
        <v>0</v>
      </c>
    </row>
    <row r="840" spans="2:11" ht="19" customHeight="1">
      <c r="B840" s="464">
        <v>46043</v>
      </c>
      <c r="C840" s="436" t="s">
        <v>328</v>
      </c>
      <c r="D840" s="436" t="s">
        <v>773</v>
      </c>
      <c r="E840" s="436">
        <v>1</v>
      </c>
      <c r="F840" s="467">
        <v>3.1</v>
      </c>
      <c r="G840" s="466">
        <v>3.1</v>
      </c>
      <c r="H840" s="466">
        <f>G840/1.1</f>
        <v>2.8181818181818179</v>
      </c>
      <c r="I840" s="436"/>
      <c r="J840" s="465">
        <v>0</v>
      </c>
      <c r="K840" s="467">
        <v>0</v>
      </c>
    </row>
    <row r="841" spans="2:11" ht="19" customHeight="1">
      <c r="B841" s="464">
        <v>46043</v>
      </c>
      <c r="C841" s="436" t="s">
        <v>247</v>
      </c>
      <c r="D841" s="436" t="s">
        <v>246</v>
      </c>
      <c r="E841" s="436">
        <v>1</v>
      </c>
      <c r="F841" s="467">
        <v>1.7</v>
      </c>
      <c r="G841" s="466">
        <v>1.7</v>
      </c>
      <c r="H841" s="466">
        <f>G841/1.1</f>
        <v>1.5454545454545452</v>
      </c>
      <c r="I841" s="436"/>
      <c r="J841" s="465">
        <v>0</v>
      </c>
      <c r="K841" s="467">
        <v>0</v>
      </c>
    </row>
    <row r="842" spans="2:11" ht="19" customHeight="1">
      <c r="B842" s="464">
        <v>46043</v>
      </c>
      <c r="C842" s="436" t="s">
        <v>253</v>
      </c>
      <c r="D842" s="436" t="s">
        <v>901</v>
      </c>
      <c r="E842" s="436">
        <v>1</v>
      </c>
      <c r="F842" s="467">
        <v>2.15</v>
      </c>
      <c r="G842" s="466">
        <v>2.15</v>
      </c>
      <c r="H842" s="466">
        <f>G842/1.1</f>
        <v>1.9545454545454544</v>
      </c>
      <c r="I842" s="436"/>
      <c r="J842" s="465">
        <v>0</v>
      </c>
      <c r="K842" s="467">
        <v>0</v>
      </c>
    </row>
    <row r="843" spans="2:11" ht="19" customHeight="1">
      <c r="B843" s="464">
        <v>46043</v>
      </c>
      <c r="C843" s="436" t="s">
        <v>247</v>
      </c>
      <c r="D843" s="436" t="s">
        <v>257</v>
      </c>
      <c r="E843" s="436">
        <v>1</v>
      </c>
      <c r="F843" s="465">
        <v>1.55</v>
      </c>
      <c r="G843" s="466">
        <v>1.55</v>
      </c>
      <c r="H843" s="466">
        <f>G843/1.1</f>
        <v>1.4090909090909089</v>
      </c>
      <c r="I843" s="436"/>
      <c r="J843" s="465">
        <v>0</v>
      </c>
      <c r="K843" s="467">
        <v>0</v>
      </c>
    </row>
    <row r="844" spans="2:11" ht="19" customHeight="1">
      <c r="B844" s="464">
        <v>46043</v>
      </c>
      <c r="C844" s="436" t="s">
        <v>247</v>
      </c>
      <c r="D844" s="436" t="s">
        <v>248</v>
      </c>
      <c r="E844" s="436">
        <v>3</v>
      </c>
      <c r="F844" s="467">
        <v>1.65</v>
      </c>
      <c r="G844" s="466">
        <v>4.95</v>
      </c>
      <c r="H844" s="466">
        <f>G844/1.1</f>
        <v>4.5</v>
      </c>
      <c r="I844" s="436"/>
      <c r="J844" s="465">
        <v>0</v>
      </c>
      <c r="K844" s="467">
        <v>0</v>
      </c>
    </row>
    <row r="845" spans="2:11" ht="19" customHeight="1">
      <c r="B845" s="464">
        <v>46043</v>
      </c>
      <c r="C845" s="436" t="s">
        <v>253</v>
      </c>
      <c r="D845" s="436" t="s">
        <v>901</v>
      </c>
      <c r="E845" s="436">
        <v>2</v>
      </c>
      <c r="F845" s="467">
        <v>2.15</v>
      </c>
      <c r="G845" s="466">
        <v>4.3</v>
      </c>
      <c r="H845" s="466">
        <f>G845/1.1</f>
        <v>3.9090909090909087</v>
      </c>
      <c r="I845" s="436"/>
      <c r="J845" s="465">
        <v>0</v>
      </c>
      <c r="K845" s="467">
        <v>0</v>
      </c>
    </row>
    <row r="846" spans="2:11" ht="19" customHeight="1">
      <c r="B846" s="464">
        <v>46043</v>
      </c>
      <c r="C846" s="436" t="s">
        <v>253</v>
      </c>
      <c r="D846" s="436" t="s">
        <v>869</v>
      </c>
      <c r="E846" s="436">
        <v>1</v>
      </c>
      <c r="F846" s="467">
        <v>2.5</v>
      </c>
      <c r="G846" s="466">
        <v>2.5</v>
      </c>
      <c r="H846" s="466">
        <f>G846/1.1</f>
        <v>2.2727272727272725</v>
      </c>
      <c r="I846" s="436"/>
      <c r="J846" s="465">
        <v>0</v>
      </c>
      <c r="K846" s="467">
        <v>0</v>
      </c>
    </row>
    <row r="847" spans="2:11" ht="19" customHeight="1">
      <c r="B847" s="464">
        <v>46043</v>
      </c>
      <c r="C847" s="436" t="s">
        <v>247</v>
      </c>
      <c r="D847" s="436" t="s">
        <v>257</v>
      </c>
      <c r="E847" s="436">
        <v>1</v>
      </c>
      <c r="F847" s="467">
        <v>1.55</v>
      </c>
      <c r="G847" s="466">
        <v>1.55</v>
      </c>
      <c r="H847" s="466">
        <f>G847/1.1</f>
        <v>1.4090909090909089</v>
      </c>
      <c r="I847" s="436"/>
      <c r="J847" s="465">
        <v>0</v>
      </c>
      <c r="K847" s="467">
        <v>0</v>
      </c>
    </row>
    <row r="848" spans="2:11" ht="19" customHeight="1">
      <c r="B848" s="464">
        <v>46043</v>
      </c>
      <c r="C848" s="436" t="s">
        <v>725</v>
      </c>
      <c r="D848" s="436" t="s">
        <v>1010</v>
      </c>
      <c r="E848" s="436">
        <v>1</v>
      </c>
      <c r="F848" s="467">
        <v>2.5</v>
      </c>
      <c r="G848" s="466">
        <v>2.5</v>
      </c>
      <c r="H848" s="466">
        <f>G848/1.1</f>
        <v>2.2727272727272725</v>
      </c>
      <c r="I848" s="436"/>
      <c r="J848" s="465">
        <v>0</v>
      </c>
      <c r="K848" s="467">
        <v>0</v>
      </c>
    </row>
    <row r="849" spans="2:11" ht="19" customHeight="1">
      <c r="B849" s="464">
        <v>46043</v>
      </c>
      <c r="C849" s="436" t="s">
        <v>251</v>
      </c>
      <c r="D849" s="436" t="s">
        <v>265</v>
      </c>
      <c r="E849" s="436">
        <v>1</v>
      </c>
      <c r="F849" s="467">
        <v>2.65</v>
      </c>
      <c r="G849" s="466">
        <v>2.65</v>
      </c>
      <c r="H849" s="466">
        <f>G849/1.1</f>
        <v>2.4090909090909087</v>
      </c>
      <c r="I849" s="436"/>
      <c r="J849" s="465">
        <v>0</v>
      </c>
      <c r="K849" s="467">
        <v>0</v>
      </c>
    </row>
    <row r="850" spans="2:11" ht="19" customHeight="1">
      <c r="B850" s="464">
        <v>46043</v>
      </c>
      <c r="C850" s="436" t="s">
        <v>253</v>
      </c>
      <c r="D850" s="436" t="s">
        <v>969</v>
      </c>
      <c r="E850" s="436">
        <v>1</v>
      </c>
      <c r="F850" s="467">
        <v>3.35</v>
      </c>
      <c r="G850" s="466">
        <v>3.35</v>
      </c>
      <c r="H850" s="466">
        <f>G850/1.1</f>
        <v>3.0454545454545454</v>
      </c>
      <c r="I850" s="436"/>
      <c r="J850" s="465">
        <v>0</v>
      </c>
      <c r="K850" s="467">
        <v>0</v>
      </c>
    </row>
    <row r="851" spans="2:11" ht="19" customHeight="1">
      <c r="B851" s="464">
        <v>46043</v>
      </c>
      <c r="C851" s="436" t="s">
        <v>247</v>
      </c>
      <c r="D851" s="436" t="s">
        <v>257</v>
      </c>
      <c r="E851" s="436">
        <v>1</v>
      </c>
      <c r="F851" s="467">
        <v>1.55</v>
      </c>
      <c r="G851" s="466">
        <v>1.55</v>
      </c>
      <c r="H851" s="466">
        <f>G851/1.1</f>
        <v>1.4090909090909089</v>
      </c>
      <c r="I851" s="436"/>
      <c r="J851" s="465">
        <v>0</v>
      </c>
      <c r="K851" s="467">
        <v>0</v>
      </c>
    </row>
    <row r="852" spans="2:11" ht="19" customHeight="1">
      <c r="B852" s="464">
        <v>46043</v>
      </c>
      <c r="C852" s="436" t="s">
        <v>251</v>
      </c>
      <c r="D852" s="436" t="s">
        <v>250</v>
      </c>
      <c r="E852" s="436">
        <v>1</v>
      </c>
      <c r="F852" s="467">
        <v>1.8</v>
      </c>
      <c r="G852" s="466">
        <v>1.8</v>
      </c>
      <c r="H852" s="466">
        <f>G852/1.1</f>
        <v>1.6363636363636362</v>
      </c>
      <c r="I852" s="436"/>
      <c r="J852" s="465">
        <v>0</v>
      </c>
      <c r="K852" s="467">
        <v>0</v>
      </c>
    </row>
    <row r="853" spans="2:11" ht="19" customHeight="1">
      <c r="B853" s="464">
        <v>46043</v>
      </c>
      <c r="C853" s="436" t="s">
        <v>264</v>
      </c>
      <c r="D853" s="436" t="s">
        <v>1011</v>
      </c>
      <c r="E853" s="436">
        <v>1</v>
      </c>
      <c r="F853" s="465">
        <v>1.6</v>
      </c>
      <c r="G853" s="466">
        <v>1.6</v>
      </c>
      <c r="H853" s="466">
        <f>G853/1.1</f>
        <v>1.4545454545454546</v>
      </c>
      <c r="I853" s="436"/>
      <c r="J853" s="465">
        <v>0</v>
      </c>
      <c r="K853" s="467">
        <v>0</v>
      </c>
    </row>
    <row r="854" spans="2:11" ht="19" customHeight="1">
      <c r="B854" s="464">
        <v>46043</v>
      </c>
      <c r="C854" s="436" t="s">
        <v>256</v>
      </c>
      <c r="D854" s="436" t="s">
        <v>1012</v>
      </c>
      <c r="E854" s="436">
        <v>1</v>
      </c>
      <c r="F854" s="465">
        <v>11.5</v>
      </c>
      <c r="G854" s="466">
        <v>11.5</v>
      </c>
      <c r="H854" s="466">
        <f>G854/1.1</f>
        <v>10.454545454545453</v>
      </c>
      <c r="I854" s="436"/>
      <c r="J854" s="465">
        <v>0</v>
      </c>
      <c r="K854" s="467">
        <v>0</v>
      </c>
    </row>
    <row r="855" spans="2:11" ht="19" customHeight="1">
      <c r="B855" s="464">
        <v>46043</v>
      </c>
      <c r="C855" s="436" t="s">
        <v>894</v>
      </c>
      <c r="D855" s="436" t="s">
        <v>950</v>
      </c>
      <c r="E855" s="436">
        <v>1</v>
      </c>
      <c r="F855" s="465">
        <v>6.74</v>
      </c>
      <c r="G855" s="466">
        <v>6.74</v>
      </c>
      <c r="H855" s="466">
        <f>G855/1.1</f>
        <v>6.127272727272727</v>
      </c>
      <c r="I855" s="436"/>
      <c r="J855" s="465">
        <v>0</v>
      </c>
      <c r="K855" s="467">
        <v>0</v>
      </c>
    </row>
    <row r="856" spans="2:11" ht="19" customHeight="1">
      <c r="B856" s="464">
        <v>46043</v>
      </c>
      <c r="C856" s="436" t="s">
        <v>328</v>
      </c>
      <c r="D856" s="436" t="s">
        <v>735</v>
      </c>
      <c r="E856" s="436">
        <v>1</v>
      </c>
      <c r="F856" s="465">
        <v>3.1</v>
      </c>
      <c r="G856" s="466">
        <v>3.1</v>
      </c>
      <c r="H856" s="466">
        <f>G856/1.1</f>
        <v>2.8181818181818179</v>
      </c>
      <c r="I856" s="436"/>
      <c r="J856" s="465">
        <v>0</v>
      </c>
      <c r="K856" s="467">
        <v>0</v>
      </c>
    </row>
    <row r="857" spans="2:11" ht="19" customHeight="1">
      <c r="B857" s="464">
        <v>46043</v>
      </c>
      <c r="C857" s="436" t="s">
        <v>862</v>
      </c>
      <c r="D857" s="436" t="s">
        <v>865</v>
      </c>
      <c r="E857" s="436">
        <v>1</v>
      </c>
      <c r="F857" s="465">
        <v>0.05</v>
      </c>
      <c r="G857" s="466">
        <v>0.05</v>
      </c>
      <c r="H857" s="466">
        <f>G857/1.1</f>
        <v>4.5454545454545456E-2</v>
      </c>
      <c r="I857" s="436"/>
      <c r="J857" s="465">
        <v>0</v>
      </c>
      <c r="K857" s="467">
        <v>0</v>
      </c>
    </row>
    <row r="858" spans="2:11" ht="19" customHeight="1">
      <c r="B858" s="464">
        <v>46043</v>
      </c>
      <c r="C858" s="436" t="s">
        <v>247</v>
      </c>
      <c r="D858" s="436" t="s">
        <v>248</v>
      </c>
      <c r="E858" s="436">
        <v>2</v>
      </c>
      <c r="F858" s="467">
        <v>1.65</v>
      </c>
      <c r="G858" s="466">
        <v>3.3</v>
      </c>
      <c r="H858" s="466">
        <f>G858/1.1</f>
        <v>2.9999999999999996</v>
      </c>
      <c r="I858" s="436"/>
      <c r="J858" s="465">
        <v>0</v>
      </c>
      <c r="K858" s="467">
        <v>0</v>
      </c>
    </row>
    <row r="859" spans="2:11" ht="19" customHeight="1">
      <c r="B859" s="464">
        <v>46043</v>
      </c>
      <c r="C859" s="436" t="s">
        <v>253</v>
      </c>
      <c r="D859" s="436" t="s">
        <v>676</v>
      </c>
      <c r="E859" s="436">
        <v>2</v>
      </c>
      <c r="F859" s="467">
        <v>2.95</v>
      </c>
      <c r="G859" s="466">
        <v>5.9</v>
      </c>
      <c r="H859" s="466">
        <f>G859/1.1</f>
        <v>5.3636363636363633</v>
      </c>
      <c r="I859" s="436"/>
      <c r="J859" s="465">
        <v>0</v>
      </c>
      <c r="K859" s="467">
        <v>0</v>
      </c>
    </row>
    <row r="860" spans="2:11" ht="19" customHeight="1">
      <c r="B860" s="464">
        <v>46043</v>
      </c>
      <c r="C860" s="436" t="s">
        <v>264</v>
      </c>
      <c r="D860" s="436" t="s">
        <v>930</v>
      </c>
      <c r="E860" s="436">
        <v>1</v>
      </c>
      <c r="F860" s="467">
        <v>3.5</v>
      </c>
      <c r="G860" s="466">
        <v>3.5</v>
      </c>
      <c r="H860" s="466">
        <f>G860/1.1</f>
        <v>3.1818181818181817</v>
      </c>
      <c r="I860" s="436"/>
      <c r="J860" s="465">
        <v>0</v>
      </c>
      <c r="K860" s="467">
        <v>0</v>
      </c>
    </row>
    <row r="861" spans="2:11" ht="19" customHeight="1">
      <c r="B861" s="464">
        <v>46043</v>
      </c>
      <c r="C861" s="436" t="s">
        <v>256</v>
      </c>
      <c r="D861" s="436" t="s">
        <v>675</v>
      </c>
      <c r="E861" s="436">
        <v>1</v>
      </c>
      <c r="F861" s="467">
        <v>5.25</v>
      </c>
      <c r="G861" s="466">
        <v>5.25</v>
      </c>
      <c r="H861" s="466">
        <f>G861/1.1</f>
        <v>4.7727272727272725</v>
      </c>
      <c r="I861" s="436"/>
      <c r="J861" s="465">
        <v>0</v>
      </c>
      <c r="K861" s="467">
        <v>0</v>
      </c>
    </row>
    <row r="862" spans="2:11" ht="19" customHeight="1">
      <c r="B862" s="464">
        <v>46043</v>
      </c>
      <c r="C862" s="436" t="s">
        <v>256</v>
      </c>
      <c r="D862" s="436" t="s">
        <v>262</v>
      </c>
      <c r="E862" s="436">
        <v>1</v>
      </c>
      <c r="F862" s="467">
        <v>11.9</v>
      </c>
      <c r="G862" s="466">
        <v>11.9</v>
      </c>
      <c r="H862" s="466">
        <f>G862/1.1</f>
        <v>10.818181818181818</v>
      </c>
      <c r="I862" s="436"/>
      <c r="J862" s="465">
        <v>0</v>
      </c>
      <c r="K862" s="467">
        <v>0</v>
      </c>
    </row>
    <row r="863" spans="2:11" ht="19" customHeight="1">
      <c r="B863" s="464">
        <v>46043</v>
      </c>
      <c r="C863" s="436" t="s">
        <v>256</v>
      </c>
      <c r="D863" s="436" t="s">
        <v>931</v>
      </c>
      <c r="E863" s="436">
        <v>1</v>
      </c>
      <c r="F863" s="467">
        <v>8.25</v>
      </c>
      <c r="G863" s="466">
        <v>8.25</v>
      </c>
      <c r="H863" s="466">
        <f>G863/1.1</f>
        <v>7.4999999999999991</v>
      </c>
      <c r="I863" s="436"/>
      <c r="J863" s="465">
        <v>0</v>
      </c>
      <c r="K863" s="467">
        <v>0</v>
      </c>
    </row>
    <row r="864" spans="2:11" ht="19" customHeight="1">
      <c r="B864" s="464">
        <v>46043</v>
      </c>
      <c r="C864" s="436" t="s">
        <v>247</v>
      </c>
      <c r="D864" s="436" t="s">
        <v>246</v>
      </c>
      <c r="E864" s="436">
        <v>2</v>
      </c>
      <c r="F864" s="467">
        <v>1.7</v>
      </c>
      <c r="G864" s="466">
        <v>3.4</v>
      </c>
      <c r="H864" s="466">
        <f>G864/1.1</f>
        <v>3.0909090909090904</v>
      </c>
      <c r="I864" s="436"/>
      <c r="J864" s="465">
        <v>0</v>
      </c>
      <c r="K864" s="467">
        <v>0</v>
      </c>
    </row>
    <row r="865" spans="2:11" ht="19" customHeight="1">
      <c r="B865" s="464">
        <v>46043</v>
      </c>
      <c r="C865" s="436" t="s">
        <v>247</v>
      </c>
      <c r="D865" s="436" t="s">
        <v>246</v>
      </c>
      <c r="E865" s="436">
        <v>1</v>
      </c>
      <c r="F865" s="467">
        <v>1.7</v>
      </c>
      <c r="G865" s="466">
        <v>1.7</v>
      </c>
      <c r="H865" s="466">
        <f>G865/1.1</f>
        <v>1.5454545454545452</v>
      </c>
      <c r="I865" s="436"/>
      <c r="J865" s="465">
        <v>0</v>
      </c>
      <c r="K865" s="467">
        <v>0</v>
      </c>
    </row>
    <row r="866" spans="2:11" ht="19" customHeight="1">
      <c r="B866" s="464">
        <v>46043</v>
      </c>
      <c r="C866" s="436" t="s">
        <v>247</v>
      </c>
      <c r="D866" s="436" t="s">
        <v>257</v>
      </c>
      <c r="E866" s="436">
        <v>1</v>
      </c>
      <c r="F866" s="467">
        <v>1.4</v>
      </c>
      <c r="G866" s="466">
        <v>1.4</v>
      </c>
      <c r="H866" s="466">
        <f>G866/1.1</f>
        <v>1.2727272727272725</v>
      </c>
      <c r="I866" s="436"/>
      <c r="J866" s="465">
        <v>0</v>
      </c>
      <c r="K866" s="467">
        <v>0</v>
      </c>
    </row>
    <row r="867" spans="2:11" ht="19" customHeight="1">
      <c r="B867" s="464">
        <v>46043</v>
      </c>
      <c r="C867" s="436" t="s">
        <v>254</v>
      </c>
      <c r="D867" s="436" t="s">
        <v>254</v>
      </c>
      <c r="E867" s="436">
        <v>2</v>
      </c>
      <c r="F867" s="467">
        <v>14.9</v>
      </c>
      <c r="G867" s="466">
        <v>29.8</v>
      </c>
      <c r="H867" s="466">
        <f>G867/1.1</f>
        <v>27.09090909090909</v>
      </c>
      <c r="I867" s="436"/>
      <c r="J867" s="465">
        <v>0</v>
      </c>
      <c r="K867" s="467">
        <v>0</v>
      </c>
    </row>
    <row r="868" spans="2:11" ht="19" customHeight="1">
      <c r="B868" s="464">
        <v>46043</v>
      </c>
      <c r="C868" s="436" t="s">
        <v>873</v>
      </c>
      <c r="D868" s="436" t="s">
        <v>1013</v>
      </c>
      <c r="E868" s="436">
        <v>1</v>
      </c>
      <c r="F868" s="469"/>
      <c r="G868" s="468" t="s">
        <v>875</v>
      </c>
      <c r="H868" s="466" t="e">
        <f>G868/1.1</f>
        <v>#VALUE!</v>
      </c>
      <c r="I868" s="436"/>
      <c r="J868" s="465">
        <v>0</v>
      </c>
      <c r="K868" s="467">
        <v>0</v>
      </c>
    </row>
    <row r="869" spans="2:11" ht="19" customHeight="1">
      <c r="B869" s="464">
        <v>46043</v>
      </c>
      <c r="C869" s="436" t="s">
        <v>873</v>
      </c>
      <c r="D869" s="436" t="s">
        <v>1014</v>
      </c>
      <c r="E869" s="436">
        <v>1</v>
      </c>
      <c r="F869" s="465">
        <v>3</v>
      </c>
      <c r="G869" s="466">
        <v>3</v>
      </c>
      <c r="H869" s="466">
        <f>G869/1.1</f>
        <v>2.7272727272727271</v>
      </c>
      <c r="I869" s="436"/>
      <c r="J869" s="465">
        <v>0</v>
      </c>
      <c r="K869" s="467">
        <v>0</v>
      </c>
    </row>
    <row r="870" spans="2:11" ht="19" customHeight="1">
      <c r="B870" s="464">
        <v>46043</v>
      </c>
      <c r="C870" s="436" t="s">
        <v>877</v>
      </c>
      <c r="D870" s="436" t="s">
        <v>1015</v>
      </c>
      <c r="E870" s="436">
        <v>2</v>
      </c>
      <c r="F870" s="436"/>
      <c r="G870" s="468" t="s">
        <v>875</v>
      </c>
      <c r="H870" s="466" t="e">
        <f>G870/1.1</f>
        <v>#VALUE!</v>
      </c>
      <c r="I870" s="436"/>
      <c r="J870" s="465">
        <v>0</v>
      </c>
      <c r="K870" s="467">
        <v>0</v>
      </c>
    </row>
    <row r="871" spans="2:11" ht="19" customHeight="1">
      <c r="B871" s="464">
        <v>46043</v>
      </c>
      <c r="C871" s="436" t="s">
        <v>266</v>
      </c>
      <c r="D871" s="436" t="s">
        <v>250</v>
      </c>
      <c r="E871" s="436">
        <v>1</v>
      </c>
      <c r="F871" s="436"/>
      <c r="G871" s="468" t="s">
        <v>875</v>
      </c>
      <c r="H871" s="466" t="e">
        <f>G871/1.1</f>
        <v>#VALUE!</v>
      </c>
      <c r="I871" s="436"/>
      <c r="J871" s="465">
        <v>0</v>
      </c>
      <c r="K871" s="467">
        <v>0</v>
      </c>
    </row>
    <row r="872" spans="2:11" ht="19" customHeight="1">
      <c r="B872" s="464">
        <v>46043</v>
      </c>
      <c r="C872" s="436" t="s">
        <v>266</v>
      </c>
      <c r="D872" s="436" t="s">
        <v>1016</v>
      </c>
      <c r="E872" s="436">
        <v>1</v>
      </c>
      <c r="F872" s="469"/>
      <c r="G872" s="468" t="s">
        <v>875</v>
      </c>
      <c r="H872" s="466" t="e">
        <f>G872/1.1</f>
        <v>#VALUE!</v>
      </c>
      <c r="I872" s="436"/>
      <c r="J872" s="465">
        <v>0</v>
      </c>
      <c r="K872" s="465">
        <v>0</v>
      </c>
    </row>
    <row r="873" spans="2:11" ht="19" customHeight="1">
      <c r="B873" s="464">
        <v>46043</v>
      </c>
      <c r="C873" s="436" t="s">
        <v>258</v>
      </c>
      <c r="D873" s="436" t="s">
        <v>882</v>
      </c>
      <c r="E873" s="436">
        <v>1</v>
      </c>
      <c r="F873" s="436"/>
      <c r="G873" s="468" t="s">
        <v>875</v>
      </c>
      <c r="H873" s="466" t="e">
        <f>G873/1.1</f>
        <v>#VALUE!</v>
      </c>
      <c r="I873" s="436"/>
      <c r="J873" s="465">
        <v>0</v>
      </c>
      <c r="K873" s="467">
        <v>0</v>
      </c>
    </row>
    <row r="874" spans="2:11" ht="19" customHeight="1">
      <c r="B874" s="464">
        <v>46043</v>
      </c>
      <c r="C874" s="436" t="s">
        <v>258</v>
      </c>
      <c r="D874" s="436" t="s">
        <v>972</v>
      </c>
      <c r="E874" s="436">
        <v>1</v>
      </c>
      <c r="F874" s="436"/>
      <c r="G874" s="468" t="s">
        <v>875</v>
      </c>
      <c r="H874" s="466" t="e">
        <f>G874/1.1</f>
        <v>#VALUE!</v>
      </c>
      <c r="I874" s="436"/>
      <c r="J874" s="465">
        <v>0</v>
      </c>
      <c r="K874" s="467">
        <v>0</v>
      </c>
    </row>
    <row r="875" spans="2:11" ht="19" customHeight="1">
      <c r="B875" s="464">
        <v>46043</v>
      </c>
      <c r="C875" s="436" t="s">
        <v>253</v>
      </c>
      <c r="D875" s="436" t="s">
        <v>869</v>
      </c>
      <c r="E875" s="436">
        <v>2</v>
      </c>
      <c r="F875" s="467">
        <v>2.5</v>
      </c>
      <c r="G875" s="466">
        <v>5</v>
      </c>
      <c r="H875" s="466">
        <f>G875/1.1</f>
        <v>4.545454545454545</v>
      </c>
      <c r="I875" s="436"/>
      <c r="J875" s="465">
        <v>0</v>
      </c>
      <c r="K875" s="467">
        <v>0</v>
      </c>
    </row>
    <row r="876" spans="2:11" ht="19" customHeight="1">
      <c r="B876" s="464">
        <v>46044</v>
      </c>
      <c r="C876" s="436" t="s">
        <v>268</v>
      </c>
      <c r="D876" s="436" t="s">
        <v>267</v>
      </c>
      <c r="E876" s="436">
        <v>1</v>
      </c>
      <c r="F876" s="467">
        <v>1.5</v>
      </c>
      <c r="G876" s="466">
        <v>1.5</v>
      </c>
      <c r="H876" s="466">
        <f>G876/1.1</f>
        <v>1.3636363636363635</v>
      </c>
      <c r="I876" s="436"/>
      <c r="J876" s="465">
        <v>0</v>
      </c>
      <c r="K876" s="467">
        <v>0</v>
      </c>
    </row>
    <row r="877" spans="2:11" ht="19" customHeight="1">
      <c r="B877" s="464">
        <v>46044</v>
      </c>
      <c r="C877" s="436" t="s">
        <v>247</v>
      </c>
      <c r="D877" s="436" t="s">
        <v>246</v>
      </c>
      <c r="E877" s="436">
        <v>1</v>
      </c>
      <c r="F877" s="467">
        <v>1.7</v>
      </c>
      <c r="G877" s="466">
        <v>1.7</v>
      </c>
      <c r="H877" s="466">
        <f>G877/1.1</f>
        <v>1.5454545454545452</v>
      </c>
      <c r="I877" s="436"/>
      <c r="J877" s="465">
        <v>0</v>
      </c>
      <c r="K877" s="467">
        <v>0</v>
      </c>
    </row>
    <row r="878" spans="2:11" ht="19" customHeight="1">
      <c r="B878" s="464">
        <v>46044</v>
      </c>
      <c r="C878" s="436" t="s">
        <v>247</v>
      </c>
      <c r="D878" s="436" t="s">
        <v>902</v>
      </c>
      <c r="E878" s="436">
        <v>1</v>
      </c>
      <c r="F878" s="465">
        <v>1.95</v>
      </c>
      <c r="G878" s="466">
        <v>1.95</v>
      </c>
      <c r="H878" s="466">
        <f>G878/1.1</f>
        <v>1.7727272727272725</v>
      </c>
      <c r="I878" s="436"/>
      <c r="J878" s="465">
        <v>0</v>
      </c>
      <c r="K878" s="467">
        <v>0</v>
      </c>
    </row>
    <row r="879" spans="2:11" ht="19" customHeight="1">
      <c r="B879" s="464">
        <v>46044</v>
      </c>
      <c r="C879" s="436" t="s">
        <v>247</v>
      </c>
      <c r="D879" s="436" t="s">
        <v>246</v>
      </c>
      <c r="E879" s="436">
        <v>1</v>
      </c>
      <c r="F879" s="465">
        <v>1.7</v>
      </c>
      <c r="G879" s="466">
        <v>1.7</v>
      </c>
      <c r="H879" s="466">
        <f>G879/1.1</f>
        <v>1.5454545454545452</v>
      </c>
      <c r="I879" s="436"/>
      <c r="J879" s="465">
        <v>0</v>
      </c>
      <c r="K879" s="467">
        <v>0</v>
      </c>
    </row>
    <row r="880" spans="2:11" ht="19" customHeight="1">
      <c r="B880" s="464">
        <v>46044</v>
      </c>
      <c r="C880" s="436" t="s">
        <v>247</v>
      </c>
      <c r="D880" s="436" t="s">
        <v>902</v>
      </c>
      <c r="E880" s="436">
        <v>1</v>
      </c>
      <c r="F880" s="465">
        <v>1.95</v>
      </c>
      <c r="G880" s="466">
        <v>1.95</v>
      </c>
      <c r="H880" s="466">
        <f>G880/1.1</f>
        <v>1.7727272727272725</v>
      </c>
      <c r="I880" s="436"/>
      <c r="J880" s="465">
        <v>0</v>
      </c>
      <c r="K880" s="467">
        <v>0</v>
      </c>
    </row>
    <row r="881" spans="2:11" ht="19" customHeight="1">
      <c r="B881" s="464">
        <v>46044</v>
      </c>
      <c r="C881" s="436" t="s">
        <v>247</v>
      </c>
      <c r="D881" s="436" t="s">
        <v>257</v>
      </c>
      <c r="E881" s="436">
        <v>1</v>
      </c>
      <c r="F881" s="467">
        <v>1.4</v>
      </c>
      <c r="G881" s="466">
        <v>1.4</v>
      </c>
      <c r="H881" s="466">
        <f>G881/1.1</f>
        <v>1.2727272727272725</v>
      </c>
      <c r="I881" s="436"/>
      <c r="J881" s="465">
        <v>0</v>
      </c>
      <c r="K881" s="467">
        <v>0</v>
      </c>
    </row>
    <row r="882" spans="2:11" ht="19" customHeight="1">
      <c r="B882" s="464">
        <v>46044</v>
      </c>
      <c r="C882" s="436" t="s">
        <v>247</v>
      </c>
      <c r="D882" s="436" t="s">
        <v>248</v>
      </c>
      <c r="E882" s="436">
        <v>1</v>
      </c>
      <c r="F882" s="467">
        <v>1.5</v>
      </c>
      <c r="G882" s="466">
        <v>1.5</v>
      </c>
      <c r="H882" s="466">
        <f>G882/1.1</f>
        <v>1.3636363636363635</v>
      </c>
      <c r="I882" s="436"/>
      <c r="J882" s="465">
        <v>0</v>
      </c>
      <c r="K882" s="467">
        <v>0</v>
      </c>
    </row>
    <row r="883" spans="2:11" ht="19" customHeight="1">
      <c r="B883" s="464">
        <v>46044</v>
      </c>
      <c r="C883" s="436" t="s">
        <v>247</v>
      </c>
      <c r="D883" s="436" t="s">
        <v>248</v>
      </c>
      <c r="E883" s="436">
        <v>2</v>
      </c>
      <c r="F883" s="467">
        <v>1.5</v>
      </c>
      <c r="G883" s="466">
        <v>3</v>
      </c>
      <c r="H883" s="466">
        <f>G883/1.1</f>
        <v>2.7272727272727271</v>
      </c>
      <c r="I883" s="436"/>
      <c r="J883" s="465">
        <v>0</v>
      </c>
      <c r="K883" s="467">
        <v>0</v>
      </c>
    </row>
    <row r="884" spans="2:11" ht="19" customHeight="1">
      <c r="B884" s="464">
        <v>46044</v>
      </c>
      <c r="C884" s="436" t="s">
        <v>268</v>
      </c>
      <c r="D884" s="436" t="s">
        <v>858</v>
      </c>
      <c r="E884" s="436">
        <v>2</v>
      </c>
      <c r="F884" s="467">
        <v>0.65</v>
      </c>
      <c r="G884" s="466">
        <v>1.3</v>
      </c>
      <c r="H884" s="466">
        <f>G884/1.1</f>
        <v>1.1818181818181817</v>
      </c>
      <c r="I884" s="436"/>
      <c r="J884" s="465">
        <v>0</v>
      </c>
      <c r="K884" s="467">
        <v>0</v>
      </c>
    </row>
    <row r="885" spans="2:11" ht="19" customHeight="1">
      <c r="B885" s="464">
        <v>46044</v>
      </c>
      <c r="C885" s="436" t="s">
        <v>268</v>
      </c>
      <c r="D885" s="436" t="s">
        <v>858</v>
      </c>
      <c r="E885" s="436">
        <v>2</v>
      </c>
      <c r="F885" s="467">
        <v>0.65</v>
      </c>
      <c r="G885" s="466">
        <v>1.3</v>
      </c>
      <c r="H885" s="466">
        <f>G885/1.1</f>
        <v>1.1818181818181817</v>
      </c>
      <c r="I885" s="436"/>
      <c r="J885" s="465">
        <v>0</v>
      </c>
      <c r="K885" s="467">
        <v>0</v>
      </c>
    </row>
    <row r="886" spans="2:11" ht="19" customHeight="1">
      <c r="B886" s="464">
        <v>46044</v>
      </c>
      <c r="C886" s="436" t="s">
        <v>247</v>
      </c>
      <c r="D886" s="436" t="s">
        <v>248</v>
      </c>
      <c r="E886" s="436">
        <v>1</v>
      </c>
      <c r="F886" s="467">
        <v>1.5</v>
      </c>
      <c r="G886" s="466">
        <v>1.5</v>
      </c>
      <c r="H886" s="466">
        <f>G886/1.1</f>
        <v>1.3636363636363635</v>
      </c>
      <c r="I886" s="436"/>
      <c r="J886" s="465">
        <v>0</v>
      </c>
      <c r="K886" s="467">
        <v>0</v>
      </c>
    </row>
    <row r="887" spans="2:11" ht="19" customHeight="1">
      <c r="B887" s="464">
        <v>46044</v>
      </c>
      <c r="C887" s="436" t="s">
        <v>247</v>
      </c>
      <c r="D887" s="436" t="s">
        <v>257</v>
      </c>
      <c r="E887" s="436">
        <v>1</v>
      </c>
      <c r="F887" s="467">
        <v>1.4</v>
      </c>
      <c r="G887" s="466">
        <v>1.4</v>
      </c>
      <c r="H887" s="466">
        <f>G887/1.1</f>
        <v>1.2727272727272725</v>
      </c>
      <c r="I887" s="436"/>
      <c r="J887" s="465">
        <v>0</v>
      </c>
      <c r="K887" s="467">
        <v>0</v>
      </c>
    </row>
    <row r="888" spans="2:11" ht="19" customHeight="1">
      <c r="B888" s="464">
        <v>46044</v>
      </c>
      <c r="C888" s="436" t="s">
        <v>247</v>
      </c>
      <c r="D888" s="436" t="s">
        <v>248</v>
      </c>
      <c r="E888" s="436">
        <v>1</v>
      </c>
      <c r="F888" s="467">
        <v>1.5</v>
      </c>
      <c r="G888" s="466">
        <v>1.5</v>
      </c>
      <c r="H888" s="466">
        <f>G888/1.1</f>
        <v>1.3636363636363635</v>
      </c>
      <c r="I888" s="436"/>
      <c r="J888" s="465">
        <v>0</v>
      </c>
      <c r="K888" s="467">
        <v>0</v>
      </c>
    </row>
    <row r="889" spans="2:11" ht="19" customHeight="1">
      <c r="B889" s="464">
        <v>46044</v>
      </c>
      <c r="C889" s="436" t="s">
        <v>247</v>
      </c>
      <c r="D889" s="436" t="s">
        <v>257</v>
      </c>
      <c r="E889" s="436">
        <v>1</v>
      </c>
      <c r="F889" s="467">
        <v>1.4</v>
      </c>
      <c r="G889" s="466">
        <v>1.4</v>
      </c>
      <c r="H889" s="466">
        <f>G889/1.1</f>
        <v>1.2727272727272725</v>
      </c>
      <c r="I889" s="436"/>
      <c r="J889" s="465">
        <v>0</v>
      </c>
      <c r="K889" s="467">
        <v>0</v>
      </c>
    </row>
    <row r="890" spans="2:11" ht="19" customHeight="1">
      <c r="B890" s="464">
        <v>46044</v>
      </c>
      <c r="C890" s="436" t="s">
        <v>247</v>
      </c>
      <c r="D890" s="436" t="s">
        <v>248</v>
      </c>
      <c r="E890" s="436">
        <v>1</v>
      </c>
      <c r="F890" s="467">
        <v>1.5</v>
      </c>
      <c r="G890" s="466">
        <v>1.5</v>
      </c>
      <c r="H890" s="466">
        <f>G890/1.1</f>
        <v>1.3636363636363635</v>
      </c>
      <c r="I890" s="436"/>
      <c r="J890" s="465">
        <v>0</v>
      </c>
      <c r="K890" s="467">
        <v>0</v>
      </c>
    </row>
    <row r="891" spans="2:11" ht="19" customHeight="1">
      <c r="B891" s="464">
        <v>46044</v>
      </c>
      <c r="C891" s="436" t="s">
        <v>268</v>
      </c>
      <c r="D891" s="436" t="s">
        <v>906</v>
      </c>
      <c r="E891" s="436">
        <v>1</v>
      </c>
      <c r="F891" s="465">
        <v>1.5</v>
      </c>
      <c r="G891" s="466">
        <v>1.5</v>
      </c>
      <c r="H891" s="466">
        <f>G891/1.1</f>
        <v>1.3636363636363635</v>
      </c>
      <c r="I891" s="436"/>
      <c r="J891" s="465">
        <v>0</v>
      </c>
      <c r="K891" s="467">
        <v>0</v>
      </c>
    </row>
    <row r="892" spans="2:11" ht="19" customHeight="1">
      <c r="B892" s="464">
        <v>46044</v>
      </c>
      <c r="C892" s="436" t="s">
        <v>247</v>
      </c>
      <c r="D892" s="436" t="s">
        <v>246</v>
      </c>
      <c r="E892" s="436">
        <v>1</v>
      </c>
      <c r="F892" s="465">
        <v>1.7</v>
      </c>
      <c r="G892" s="466">
        <v>1.7</v>
      </c>
      <c r="H892" s="466">
        <f>G892/1.1</f>
        <v>1.5454545454545452</v>
      </c>
      <c r="I892" s="436"/>
      <c r="J892" s="465">
        <v>0</v>
      </c>
      <c r="K892" s="467">
        <v>0</v>
      </c>
    </row>
    <row r="893" spans="2:11" ht="19" customHeight="1">
      <c r="B893" s="464">
        <v>46044</v>
      </c>
      <c r="C893" s="436" t="s">
        <v>268</v>
      </c>
      <c r="D893" s="436" t="s">
        <v>267</v>
      </c>
      <c r="E893" s="436">
        <v>1</v>
      </c>
      <c r="F893" s="465">
        <v>1.5</v>
      </c>
      <c r="G893" s="466">
        <v>1.5</v>
      </c>
      <c r="H893" s="466">
        <f>G893/1.1</f>
        <v>1.3636363636363635</v>
      </c>
      <c r="I893" s="436"/>
      <c r="J893" s="465">
        <v>0</v>
      </c>
      <c r="K893" s="467">
        <v>0</v>
      </c>
    </row>
    <row r="894" spans="2:11" ht="19" customHeight="1">
      <c r="B894" s="464">
        <v>46044</v>
      </c>
      <c r="C894" s="436" t="s">
        <v>955</v>
      </c>
      <c r="D894" s="436" t="s">
        <v>956</v>
      </c>
      <c r="E894" s="436">
        <v>1</v>
      </c>
      <c r="F894" s="465">
        <v>1.75</v>
      </c>
      <c r="G894" s="466">
        <v>1.75</v>
      </c>
      <c r="H894" s="466">
        <f>G894/1.1</f>
        <v>1.5909090909090908</v>
      </c>
      <c r="I894" s="436"/>
      <c r="J894" s="465">
        <v>0</v>
      </c>
      <c r="K894" s="467">
        <v>0</v>
      </c>
    </row>
    <row r="895" spans="2:11" ht="19" customHeight="1">
      <c r="B895" s="464">
        <v>46044</v>
      </c>
      <c r="C895" s="436" t="s">
        <v>247</v>
      </c>
      <c r="D895" s="436" t="s">
        <v>246</v>
      </c>
      <c r="E895" s="436">
        <v>2</v>
      </c>
      <c r="F895" s="465">
        <v>1.7</v>
      </c>
      <c r="G895" s="466">
        <v>3.4</v>
      </c>
      <c r="H895" s="466">
        <f>G895/1.1</f>
        <v>3.0909090909090904</v>
      </c>
      <c r="I895" s="436"/>
      <c r="J895" s="465">
        <v>0</v>
      </c>
      <c r="K895" s="467">
        <v>0</v>
      </c>
    </row>
    <row r="896" spans="2:11" ht="19" customHeight="1">
      <c r="B896" s="464">
        <v>46044</v>
      </c>
      <c r="C896" s="436" t="s">
        <v>247</v>
      </c>
      <c r="D896" s="436" t="s">
        <v>246</v>
      </c>
      <c r="E896" s="436">
        <v>1</v>
      </c>
      <c r="F896" s="465">
        <v>1.7</v>
      </c>
      <c r="G896" s="466">
        <v>1.7</v>
      </c>
      <c r="H896" s="466">
        <f>G896/1.1</f>
        <v>1.5454545454545452</v>
      </c>
      <c r="I896" s="436"/>
      <c r="J896" s="465">
        <v>0</v>
      </c>
      <c r="K896" s="467">
        <v>0</v>
      </c>
    </row>
    <row r="897" spans="2:11" ht="19" customHeight="1">
      <c r="B897" s="464">
        <v>46044</v>
      </c>
      <c r="C897" s="436" t="s">
        <v>328</v>
      </c>
      <c r="D897" s="436" t="s">
        <v>735</v>
      </c>
      <c r="E897" s="436">
        <v>1</v>
      </c>
      <c r="F897" s="465">
        <v>3.1</v>
      </c>
      <c r="G897" s="466">
        <v>3.1</v>
      </c>
      <c r="H897" s="466">
        <f>G897/1.1</f>
        <v>2.8181818181818179</v>
      </c>
      <c r="I897" s="436"/>
      <c r="J897" s="465">
        <v>0</v>
      </c>
      <c r="K897" s="467">
        <v>0</v>
      </c>
    </row>
    <row r="898" spans="2:11" ht="19" customHeight="1">
      <c r="B898" s="464">
        <v>46044</v>
      </c>
      <c r="C898" s="436" t="s">
        <v>264</v>
      </c>
      <c r="D898" s="436" t="s">
        <v>865</v>
      </c>
      <c r="E898" s="436">
        <v>1</v>
      </c>
      <c r="F898" s="467">
        <v>0.05</v>
      </c>
      <c r="G898" s="466">
        <v>0.05</v>
      </c>
      <c r="H898" s="466">
        <f>G898/1.1</f>
        <v>4.5454545454545456E-2</v>
      </c>
      <c r="I898" s="436"/>
      <c r="J898" s="465">
        <v>0</v>
      </c>
      <c r="K898" s="467">
        <v>0</v>
      </c>
    </row>
    <row r="899" spans="2:11" ht="19" customHeight="1">
      <c r="B899" s="464">
        <v>46044</v>
      </c>
      <c r="C899" s="436" t="s">
        <v>247</v>
      </c>
      <c r="D899" s="436" t="s">
        <v>246</v>
      </c>
      <c r="E899" s="436">
        <v>1</v>
      </c>
      <c r="F899" s="467">
        <v>1.7</v>
      </c>
      <c r="G899" s="466">
        <v>1.7</v>
      </c>
      <c r="H899" s="466">
        <f>G899/1.1</f>
        <v>1.5454545454545452</v>
      </c>
      <c r="I899" s="436"/>
      <c r="J899" s="465">
        <v>0</v>
      </c>
      <c r="K899" s="467">
        <v>0</v>
      </c>
    </row>
    <row r="900" spans="2:11" ht="19" customHeight="1">
      <c r="B900" s="464">
        <v>46044</v>
      </c>
      <c r="C900" s="436" t="s">
        <v>268</v>
      </c>
      <c r="D900" s="436" t="s">
        <v>860</v>
      </c>
      <c r="E900" s="436">
        <v>1</v>
      </c>
      <c r="F900" s="465">
        <v>2.25</v>
      </c>
      <c r="G900" s="466">
        <v>2.25</v>
      </c>
      <c r="H900" s="466">
        <f>G900/1.1</f>
        <v>2.0454545454545454</v>
      </c>
      <c r="I900" s="436"/>
      <c r="J900" s="465">
        <v>0</v>
      </c>
      <c r="K900" s="467">
        <v>0</v>
      </c>
    </row>
    <row r="901" spans="2:11" ht="19" customHeight="1">
      <c r="B901" s="464">
        <v>46044</v>
      </c>
      <c r="C901" s="436" t="s">
        <v>247</v>
      </c>
      <c r="D901" s="436" t="s">
        <v>248</v>
      </c>
      <c r="E901" s="436">
        <v>1</v>
      </c>
      <c r="F901" s="465">
        <v>1.5</v>
      </c>
      <c r="G901" s="466">
        <v>1.5</v>
      </c>
      <c r="H901" s="466">
        <f>G901/1.1</f>
        <v>1.3636363636363635</v>
      </c>
      <c r="I901" s="436"/>
      <c r="J901" s="465">
        <v>0</v>
      </c>
      <c r="K901" s="467">
        <v>0</v>
      </c>
    </row>
    <row r="902" spans="2:11" ht="19" customHeight="1">
      <c r="B902" s="464">
        <v>46044</v>
      </c>
      <c r="C902" s="436" t="s">
        <v>247</v>
      </c>
      <c r="D902" s="436" t="s">
        <v>246</v>
      </c>
      <c r="E902" s="436">
        <v>1</v>
      </c>
      <c r="F902" s="467">
        <v>1.7</v>
      </c>
      <c r="G902" s="466">
        <v>1.7</v>
      </c>
      <c r="H902" s="466">
        <f>G902/1.1</f>
        <v>1.5454545454545452</v>
      </c>
      <c r="I902" s="436"/>
      <c r="J902" s="465">
        <v>0</v>
      </c>
      <c r="K902" s="467">
        <v>0</v>
      </c>
    </row>
    <row r="903" spans="2:11" ht="19" customHeight="1">
      <c r="B903" s="464">
        <v>46044</v>
      </c>
      <c r="C903" s="436" t="s">
        <v>862</v>
      </c>
      <c r="D903" s="436" t="s">
        <v>907</v>
      </c>
      <c r="E903" s="436">
        <v>1</v>
      </c>
      <c r="F903" s="467">
        <v>0.15</v>
      </c>
      <c r="G903" s="466">
        <v>0.15</v>
      </c>
      <c r="H903" s="466">
        <f>G903/1.1</f>
        <v>0.13636363636363635</v>
      </c>
      <c r="I903" s="436"/>
      <c r="J903" s="465">
        <v>0</v>
      </c>
      <c r="K903" s="467">
        <v>0</v>
      </c>
    </row>
    <row r="904" spans="2:11" ht="19" customHeight="1">
      <c r="B904" s="464">
        <v>46044</v>
      </c>
      <c r="C904" s="436" t="s">
        <v>894</v>
      </c>
      <c r="D904" s="436" t="s">
        <v>950</v>
      </c>
      <c r="E904" s="436">
        <v>1</v>
      </c>
      <c r="F904" s="467">
        <v>5.7</v>
      </c>
      <c r="G904" s="466">
        <v>5.7</v>
      </c>
      <c r="H904" s="466">
        <f>G904/1.1</f>
        <v>5.1818181818181817</v>
      </c>
      <c r="I904" s="436"/>
      <c r="J904" s="465">
        <v>0</v>
      </c>
      <c r="K904" s="467">
        <v>0</v>
      </c>
    </row>
    <row r="905" spans="2:11" ht="19" customHeight="1">
      <c r="B905" s="464">
        <v>46044</v>
      </c>
      <c r="C905" s="436" t="s">
        <v>247</v>
      </c>
      <c r="D905" s="436" t="s">
        <v>248</v>
      </c>
      <c r="E905" s="436">
        <v>1</v>
      </c>
      <c r="F905" s="465">
        <v>1.5</v>
      </c>
      <c r="G905" s="466">
        <v>1.5</v>
      </c>
      <c r="H905" s="466">
        <f>G905/1.1</f>
        <v>1.3636363636363635</v>
      </c>
      <c r="I905" s="436"/>
      <c r="J905" s="465">
        <v>0</v>
      </c>
      <c r="K905" s="467">
        <v>0</v>
      </c>
    </row>
    <row r="906" spans="2:11" ht="19" customHeight="1">
      <c r="B906" s="464">
        <v>46044</v>
      </c>
      <c r="C906" s="436" t="s">
        <v>247</v>
      </c>
      <c r="D906" s="436" t="s">
        <v>246</v>
      </c>
      <c r="E906" s="436">
        <v>1</v>
      </c>
      <c r="F906" s="465">
        <v>1.7</v>
      </c>
      <c r="G906" s="466">
        <v>1.7</v>
      </c>
      <c r="H906" s="466">
        <f>G906/1.1</f>
        <v>1.5454545454545452</v>
      </c>
      <c r="I906" s="436"/>
      <c r="J906" s="465">
        <v>0</v>
      </c>
      <c r="K906" s="467">
        <v>0</v>
      </c>
    </row>
    <row r="907" spans="2:11" ht="19" customHeight="1">
      <c r="B907" s="464">
        <v>46044</v>
      </c>
      <c r="C907" s="436" t="s">
        <v>247</v>
      </c>
      <c r="D907" s="436" t="s">
        <v>855</v>
      </c>
      <c r="E907" s="436">
        <v>1</v>
      </c>
      <c r="F907" s="467">
        <v>2.5499999999999998</v>
      </c>
      <c r="G907" s="466">
        <v>2.5499999999999998</v>
      </c>
      <c r="H907" s="466">
        <f>G907/1.1</f>
        <v>2.3181818181818179</v>
      </c>
      <c r="I907" s="436"/>
      <c r="J907" s="465">
        <v>0</v>
      </c>
      <c r="K907" s="467">
        <v>0</v>
      </c>
    </row>
    <row r="908" spans="2:11" ht="19" customHeight="1">
      <c r="B908" s="464">
        <v>46044</v>
      </c>
      <c r="C908" s="436" t="s">
        <v>247</v>
      </c>
      <c r="D908" s="436" t="s">
        <v>246</v>
      </c>
      <c r="E908" s="436">
        <v>1</v>
      </c>
      <c r="F908" s="465">
        <v>1.7</v>
      </c>
      <c r="G908" s="466">
        <v>1.7</v>
      </c>
      <c r="H908" s="466">
        <f>G908/1.1</f>
        <v>1.5454545454545452</v>
      </c>
      <c r="I908" s="436"/>
      <c r="J908" s="465">
        <v>0</v>
      </c>
      <c r="K908" s="467">
        <v>0</v>
      </c>
    </row>
    <row r="909" spans="2:11" ht="19" customHeight="1">
      <c r="B909" s="464">
        <v>46044</v>
      </c>
      <c r="C909" s="436" t="s">
        <v>247</v>
      </c>
      <c r="D909" s="436" t="s">
        <v>248</v>
      </c>
      <c r="E909" s="436">
        <v>1</v>
      </c>
      <c r="F909" s="467">
        <v>1.5</v>
      </c>
      <c r="G909" s="466">
        <v>1.5</v>
      </c>
      <c r="H909" s="466">
        <f>G909/1.1</f>
        <v>1.3636363636363635</v>
      </c>
      <c r="I909" s="436"/>
      <c r="J909" s="465">
        <v>0</v>
      </c>
      <c r="K909" s="467">
        <v>0</v>
      </c>
    </row>
    <row r="910" spans="2:11" ht="19" customHeight="1">
      <c r="B910" s="464">
        <v>46044</v>
      </c>
      <c r="C910" s="436" t="s">
        <v>247</v>
      </c>
      <c r="D910" s="436" t="s">
        <v>257</v>
      </c>
      <c r="E910" s="436">
        <v>1</v>
      </c>
      <c r="F910" s="467">
        <v>1.4</v>
      </c>
      <c r="G910" s="466">
        <v>1.4</v>
      </c>
      <c r="H910" s="466">
        <f>G910/1.1</f>
        <v>1.2727272727272725</v>
      </c>
      <c r="I910" s="436"/>
      <c r="J910" s="465">
        <v>0</v>
      </c>
      <c r="K910" s="467">
        <v>0</v>
      </c>
    </row>
    <row r="911" spans="2:11" ht="19" customHeight="1">
      <c r="B911" s="464">
        <v>46044</v>
      </c>
      <c r="C911" s="436" t="s">
        <v>247</v>
      </c>
      <c r="D911" s="436" t="s">
        <v>246</v>
      </c>
      <c r="E911" s="436">
        <v>1</v>
      </c>
      <c r="F911" s="465">
        <v>1.7</v>
      </c>
      <c r="G911" s="466">
        <v>1.7</v>
      </c>
      <c r="H911" s="466">
        <f>G911/1.1</f>
        <v>1.5454545454545452</v>
      </c>
      <c r="I911" s="436"/>
      <c r="J911" s="465">
        <v>0</v>
      </c>
      <c r="K911" s="467">
        <v>0</v>
      </c>
    </row>
    <row r="912" spans="2:11" ht="19" customHeight="1">
      <c r="B912" s="464">
        <v>46044</v>
      </c>
      <c r="C912" s="436" t="s">
        <v>862</v>
      </c>
      <c r="D912" s="436" t="s">
        <v>899</v>
      </c>
      <c r="E912" s="436">
        <v>1</v>
      </c>
      <c r="F912" s="467">
        <v>0.05</v>
      </c>
      <c r="G912" s="466">
        <v>0.05</v>
      </c>
      <c r="H912" s="466">
        <f>G912/1.1</f>
        <v>4.5454545454545456E-2</v>
      </c>
      <c r="I912" s="436"/>
      <c r="J912" s="465">
        <v>0</v>
      </c>
      <c r="K912" s="467">
        <v>0</v>
      </c>
    </row>
    <row r="913" spans="2:11" ht="19" customHeight="1">
      <c r="B913" s="464">
        <v>46044</v>
      </c>
      <c r="C913" s="436" t="s">
        <v>862</v>
      </c>
      <c r="D913" s="436" t="s">
        <v>907</v>
      </c>
      <c r="E913" s="436">
        <v>1</v>
      </c>
      <c r="F913" s="465">
        <v>0.15</v>
      </c>
      <c r="G913" s="466">
        <v>0.15</v>
      </c>
      <c r="H913" s="466">
        <f>G913/1.1</f>
        <v>0.13636363636363635</v>
      </c>
      <c r="I913" s="436"/>
      <c r="J913" s="465">
        <v>0</v>
      </c>
      <c r="K913" s="467">
        <v>0</v>
      </c>
    </row>
    <row r="914" spans="2:11" ht="19" customHeight="1">
      <c r="B914" s="464">
        <v>46044</v>
      </c>
      <c r="C914" s="436" t="s">
        <v>247</v>
      </c>
      <c r="D914" s="436" t="s">
        <v>246</v>
      </c>
      <c r="E914" s="436">
        <v>2</v>
      </c>
      <c r="F914" s="467">
        <v>1.7</v>
      </c>
      <c r="G914" s="466">
        <v>3.4</v>
      </c>
      <c r="H914" s="466">
        <f>G914/1.1</f>
        <v>3.0909090909090904</v>
      </c>
      <c r="I914" s="436"/>
      <c r="J914" s="465">
        <v>0</v>
      </c>
      <c r="K914" s="467">
        <v>0</v>
      </c>
    </row>
    <row r="915" spans="2:11" ht="19" customHeight="1">
      <c r="B915" s="464">
        <v>46044</v>
      </c>
      <c r="C915" s="436" t="s">
        <v>256</v>
      </c>
      <c r="D915" s="436" t="s">
        <v>983</v>
      </c>
      <c r="E915" s="436">
        <v>1</v>
      </c>
      <c r="F915" s="465">
        <v>3</v>
      </c>
      <c r="G915" s="466">
        <v>3</v>
      </c>
      <c r="H915" s="466">
        <f>G915/1.1</f>
        <v>2.7272727272727271</v>
      </c>
      <c r="I915" s="436"/>
      <c r="J915" s="465">
        <v>0</v>
      </c>
      <c r="K915" s="467">
        <v>0</v>
      </c>
    </row>
    <row r="916" spans="2:11" ht="19" customHeight="1">
      <c r="B916" s="464">
        <v>46044</v>
      </c>
      <c r="C916" s="436" t="s">
        <v>251</v>
      </c>
      <c r="D916" s="436" t="s">
        <v>926</v>
      </c>
      <c r="E916" s="436">
        <v>2</v>
      </c>
      <c r="F916" s="465">
        <v>2.8</v>
      </c>
      <c r="G916" s="466">
        <v>5.6</v>
      </c>
      <c r="H916" s="466">
        <f>G916/1.1</f>
        <v>5.0909090909090899</v>
      </c>
      <c r="I916" s="436"/>
      <c r="J916" s="465">
        <v>0</v>
      </c>
      <c r="K916" s="467">
        <v>0</v>
      </c>
    </row>
    <row r="917" spans="2:11" ht="19" customHeight="1">
      <c r="B917" s="464">
        <v>46044</v>
      </c>
      <c r="C917" s="436" t="s">
        <v>247</v>
      </c>
      <c r="D917" s="436" t="s">
        <v>246</v>
      </c>
      <c r="E917" s="436">
        <v>1</v>
      </c>
      <c r="F917" s="465">
        <v>1.7</v>
      </c>
      <c r="G917" s="466">
        <v>1.7</v>
      </c>
      <c r="H917" s="466">
        <f>G917/1.1</f>
        <v>1.5454545454545452</v>
      </c>
      <c r="I917" s="436"/>
      <c r="J917" s="465">
        <v>0</v>
      </c>
      <c r="K917" s="467">
        <v>0</v>
      </c>
    </row>
    <row r="918" spans="2:11" ht="19" customHeight="1">
      <c r="B918" s="464">
        <v>46044</v>
      </c>
      <c r="C918" s="436" t="s">
        <v>247</v>
      </c>
      <c r="D918" s="436" t="s">
        <v>257</v>
      </c>
      <c r="E918" s="436">
        <v>1</v>
      </c>
      <c r="F918" s="467">
        <v>1.55</v>
      </c>
      <c r="G918" s="466">
        <v>1.55</v>
      </c>
      <c r="H918" s="466">
        <f>G918/1.1</f>
        <v>1.4090909090909089</v>
      </c>
      <c r="I918" s="436"/>
      <c r="J918" s="465">
        <v>0</v>
      </c>
      <c r="K918" s="467">
        <v>0</v>
      </c>
    </row>
    <row r="919" spans="2:11" ht="19" customHeight="1">
      <c r="B919" s="464">
        <v>46044</v>
      </c>
      <c r="C919" s="436" t="s">
        <v>247</v>
      </c>
      <c r="D919" s="436" t="s">
        <v>248</v>
      </c>
      <c r="E919" s="436">
        <v>4</v>
      </c>
      <c r="F919" s="467">
        <v>1.65</v>
      </c>
      <c r="G919" s="466">
        <v>6.6</v>
      </c>
      <c r="H919" s="466">
        <f>G919/1.1</f>
        <v>5.9999999999999991</v>
      </c>
      <c r="I919" s="436"/>
      <c r="J919" s="465">
        <v>0</v>
      </c>
      <c r="K919" s="467">
        <v>0</v>
      </c>
    </row>
    <row r="920" spans="2:11" ht="19" customHeight="1">
      <c r="B920" s="464">
        <v>46044</v>
      </c>
      <c r="C920" s="436" t="s">
        <v>276</v>
      </c>
      <c r="D920" s="436" t="s">
        <v>1017</v>
      </c>
      <c r="E920" s="436">
        <v>2</v>
      </c>
      <c r="F920" s="465">
        <v>4.75</v>
      </c>
      <c r="G920" s="466">
        <v>9.5</v>
      </c>
      <c r="H920" s="466">
        <f>G920/1.1</f>
        <v>8.6363636363636349</v>
      </c>
      <c r="I920" s="436"/>
      <c r="J920" s="465">
        <v>0</v>
      </c>
      <c r="K920" s="467">
        <v>0</v>
      </c>
    </row>
    <row r="921" spans="2:11" ht="19" customHeight="1">
      <c r="B921" s="464">
        <v>46044</v>
      </c>
      <c r="C921" s="436" t="s">
        <v>984</v>
      </c>
      <c r="D921" s="436" t="s">
        <v>1018</v>
      </c>
      <c r="E921" s="436">
        <v>1</v>
      </c>
      <c r="F921" s="467">
        <v>10</v>
      </c>
      <c r="G921" s="466">
        <v>10</v>
      </c>
      <c r="H921" s="466">
        <f>G921/1.1</f>
        <v>9.0909090909090899</v>
      </c>
      <c r="I921" s="436"/>
      <c r="J921" s="465">
        <v>0</v>
      </c>
      <c r="K921" s="467">
        <v>0</v>
      </c>
    </row>
    <row r="922" spans="2:11" ht="19" customHeight="1">
      <c r="B922" s="464">
        <v>46044</v>
      </c>
      <c r="C922" s="436" t="s">
        <v>256</v>
      </c>
      <c r="D922" s="436" t="s">
        <v>685</v>
      </c>
      <c r="E922" s="436">
        <v>1</v>
      </c>
      <c r="F922" s="465">
        <v>8.9</v>
      </c>
      <c r="G922" s="466">
        <v>8.9</v>
      </c>
      <c r="H922" s="466">
        <f>G922/1.1</f>
        <v>8.0909090909090899</v>
      </c>
      <c r="I922" s="436"/>
      <c r="J922" s="465">
        <v>0</v>
      </c>
      <c r="K922" s="467">
        <v>0</v>
      </c>
    </row>
    <row r="923" spans="2:11" ht="19" customHeight="1">
      <c r="B923" s="464">
        <v>46044</v>
      </c>
      <c r="C923" s="436" t="s">
        <v>256</v>
      </c>
      <c r="D923" s="436" t="s">
        <v>986</v>
      </c>
      <c r="E923" s="436">
        <v>1</v>
      </c>
      <c r="F923" s="465">
        <v>14</v>
      </c>
      <c r="G923" s="466">
        <v>14</v>
      </c>
      <c r="H923" s="466">
        <f>G923/1.1</f>
        <v>12.727272727272727</v>
      </c>
      <c r="I923" s="436"/>
      <c r="J923" s="465">
        <v>0</v>
      </c>
      <c r="K923" s="467">
        <v>0</v>
      </c>
    </row>
    <row r="924" spans="2:11" ht="19" customHeight="1">
      <c r="B924" s="464">
        <v>46044</v>
      </c>
      <c r="C924" s="436" t="s">
        <v>247</v>
      </c>
      <c r="D924" s="436" t="s">
        <v>246</v>
      </c>
      <c r="E924" s="436">
        <v>2</v>
      </c>
      <c r="F924" s="467">
        <v>1.7</v>
      </c>
      <c r="G924" s="466">
        <v>3.4</v>
      </c>
      <c r="H924" s="466">
        <f>G924/1.1</f>
        <v>3.0909090909090904</v>
      </c>
      <c r="I924" s="436"/>
      <c r="J924" s="465">
        <v>0</v>
      </c>
      <c r="K924" s="467">
        <v>0</v>
      </c>
    </row>
    <row r="925" spans="2:11" ht="19" customHeight="1">
      <c r="B925" s="464">
        <v>46044</v>
      </c>
      <c r="C925" s="436" t="s">
        <v>268</v>
      </c>
      <c r="D925" s="436" t="s">
        <v>858</v>
      </c>
      <c r="E925" s="436">
        <v>1</v>
      </c>
      <c r="F925" s="467">
        <v>0.65</v>
      </c>
      <c r="G925" s="466">
        <v>0.65</v>
      </c>
      <c r="H925" s="466">
        <f>G925/1.1</f>
        <v>0.59090909090909083</v>
      </c>
      <c r="I925" s="436"/>
      <c r="J925" s="465">
        <v>0</v>
      </c>
      <c r="K925" s="467">
        <v>0</v>
      </c>
    </row>
    <row r="926" spans="2:11" ht="19" customHeight="1">
      <c r="B926" s="464">
        <v>46044</v>
      </c>
      <c r="C926" s="436" t="s">
        <v>247</v>
      </c>
      <c r="D926" s="436" t="s">
        <v>246</v>
      </c>
      <c r="E926" s="436">
        <v>1</v>
      </c>
      <c r="F926" s="465">
        <v>1.7</v>
      </c>
      <c r="G926" s="466">
        <v>1.7</v>
      </c>
      <c r="H926" s="466">
        <f>G926/1.1</f>
        <v>1.5454545454545452</v>
      </c>
      <c r="I926" s="436"/>
      <c r="J926" s="465">
        <v>0</v>
      </c>
      <c r="K926" s="467">
        <v>0</v>
      </c>
    </row>
    <row r="927" spans="2:11" ht="19" customHeight="1">
      <c r="B927" s="464">
        <v>46044</v>
      </c>
      <c r="C927" s="436" t="s">
        <v>251</v>
      </c>
      <c r="D927" s="436" t="s">
        <v>854</v>
      </c>
      <c r="E927" s="436">
        <v>1</v>
      </c>
      <c r="F927" s="467">
        <v>1.55</v>
      </c>
      <c r="G927" s="466">
        <v>1.55</v>
      </c>
      <c r="H927" s="466">
        <f>G927/1.1</f>
        <v>1.4090909090909089</v>
      </c>
      <c r="I927" s="436"/>
      <c r="J927" s="465">
        <v>0</v>
      </c>
      <c r="K927" s="467">
        <v>0</v>
      </c>
    </row>
    <row r="928" spans="2:11" ht="19" customHeight="1">
      <c r="B928" s="464">
        <v>46044</v>
      </c>
      <c r="C928" s="436" t="s">
        <v>247</v>
      </c>
      <c r="D928" s="436" t="s">
        <v>248</v>
      </c>
      <c r="E928" s="436">
        <v>1</v>
      </c>
      <c r="F928" s="467">
        <v>1.65</v>
      </c>
      <c r="G928" s="466">
        <v>1.65</v>
      </c>
      <c r="H928" s="466">
        <f>G928/1.1</f>
        <v>1.4999999999999998</v>
      </c>
      <c r="I928" s="436"/>
      <c r="J928" s="465">
        <v>0</v>
      </c>
      <c r="K928" s="467">
        <v>0</v>
      </c>
    </row>
    <row r="929" spans="2:11" ht="19" customHeight="1">
      <c r="B929" s="464">
        <v>46044</v>
      </c>
      <c r="C929" s="436" t="s">
        <v>247</v>
      </c>
      <c r="D929" s="436" t="s">
        <v>246</v>
      </c>
      <c r="E929" s="436">
        <v>1</v>
      </c>
      <c r="F929" s="467">
        <v>1.7</v>
      </c>
      <c r="G929" s="466">
        <v>1.7</v>
      </c>
      <c r="H929" s="466">
        <f>G929/1.1</f>
        <v>1.5454545454545452</v>
      </c>
      <c r="I929" s="436"/>
      <c r="J929" s="465">
        <v>0</v>
      </c>
      <c r="K929" s="467">
        <v>0</v>
      </c>
    </row>
    <row r="930" spans="2:11" ht="19" customHeight="1">
      <c r="B930" s="464">
        <v>46044</v>
      </c>
      <c r="C930" s="436" t="s">
        <v>247</v>
      </c>
      <c r="D930" s="436" t="s">
        <v>855</v>
      </c>
      <c r="E930" s="436">
        <v>1</v>
      </c>
      <c r="F930" s="467">
        <v>2.5499999999999998</v>
      </c>
      <c r="G930" s="466">
        <v>2.5499999999999998</v>
      </c>
      <c r="H930" s="466">
        <f>G930/1.1</f>
        <v>2.3181818181818179</v>
      </c>
      <c r="I930" s="436"/>
      <c r="J930" s="465">
        <v>0</v>
      </c>
      <c r="K930" s="467">
        <v>0</v>
      </c>
    </row>
    <row r="931" spans="2:11" ht="19" customHeight="1">
      <c r="B931" s="464">
        <v>46044</v>
      </c>
      <c r="C931" s="436" t="s">
        <v>253</v>
      </c>
      <c r="D931" s="436" t="s">
        <v>969</v>
      </c>
      <c r="E931" s="436">
        <v>1</v>
      </c>
      <c r="F931" s="467">
        <v>3.35</v>
      </c>
      <c r="G931" s="466">
        <v>3.35</v>
      </c>
      <c r="H931" s="466">
        <f>G931/1.1</f>
        <v>3.0454545454545454</v>
      </c>
      <c r="I931" s="436"/>
      <c r="J931" s="465">
        <v>0</v>
      </c>
      <c r="K931" s="467">
        <v>0</v>
      </c>
    </row>
    <row r="932" spans="2:11" ht="19" customHeight="1">
      <c r="B932" s="464">
        <v>46044</v>
      </c>
      <c r="C932" s="436" t="s">
        <v>247</v>
      </c>
      <c r="D932" s="436" t="s">
        <v>855</v>
      </c>
      <c r="E932" s="436">
        <v>1</v>
      </c>
      <c r="F932" s="467">
        <v>2.5499999999999998</v>
      </c>
      <c r="G932" s="466">
        <v>2.5499999999999998</v>
      </c>
      <c r="H932" s="466">
        <f>G932/1.1</f>
        <v>2.3181818181818179</v>
      </c>
      <c r="I932" s="436"/>
      <c r="J932" s="465">
        <v>0</v>
      </c>
      <c r="K932" s="467">
        <v>0</v>
      </c>
    </row>
    <row r="933" spans="2:11" ht="19" customHeight="1">
      <c r="B933" s="464">
        <v>46044</v>
      </c>
      <c r="C933" s="436" t="s">
        <v>251</v>
      </c>
      <c r="D933" s="436" t="s">
        <v>854</v>
      </c>
      <c r="E933" s="436">
        <v>1</v>
      </c>
      <c r="F933" s="467">
        <v>1.55</v>
      </c>
      <c r="G933" s="466">
        <v>1.55</v>
      </c>
      <c r="H933" s="466">
        <f>G933/1.1</f>
        <v>1.4090909090909089</v>
      </c>
      <c r="I933" s="436"/>
      <c r="J933" s="465">
        <v>0</v>
      </c>
      <c r="K933" s="467">
        <v>0</v>
      </c>
    </row>
    <row r="934" spans="2:11" ht="19" customHeight="1">
      <c r="B934" s="464">
        <v>46044</v>
      </c>
      <c r="C934" s="436" t="s">
        <v>276</v>
      </c>
      <c r="D934" s="436" t="s">
        <v>1019</v>
      </c>
      <c r="E934" s="436">
        <v>1</v>
      </c>
      <c r="F934" s="467">
        <v>4.75</v>
      </c>
      <c r="G934" s="466">
        <v>4.75</v>
      </c>
      <c r="H934" s="466">
        <f>G934/1.1</f>
        <v>4.3181818181818175</v>
      </c>
      <c r="I934" s="436"/>
      <c r="J934" s="465">
        <v>0</v>
      </c>
      <c r="K934" s="467">
        <v>0</v>
      </c>
    </row>
    <row r="935" spans="2:11" ht="19" customHeight="1">
      <c r="B935" s="464">
        <v>46044</v>
      </c>
      <c r="C935" s="436" t="s">
        <v>725</v>
      </c>
      <c r="D935" s="436" t="s">
        <v>1020</v>
      </c>
      <c r="E935" s="436">
        <v>1</v>
      </c>
      <c r="F935" s="467">
        <v>2</v>
      </c>
      <c r="G935" s="466">
        <v>2</v>
      </c>
      <c r="H935" s="466">
        <f>G935/1.1</f>
        <v>1.8181818181818181</v>
      </c>
      <c r="I935" s="436"/>
      <c r="J935" s="465">
        <v>0</v>
      </c>
      <c r="K935" s="467">
        <v>0</v>
      </c>
    </row>
    <row r="936" spans="2:11" ht="19" customHeight="1">
      <c r="B936" s="464">
        <v>46044</v>
      </c>
      <c r="C936" s="436" t="s">
        <v>725</v>
      </c>
      <c r="D936" s="436" t="s">
        <v>1021</v>
      </c>
      <c r="E936" s="436">
        <v>1</v>
      </c>
      <c r="F936" s="467">
        <v>3.2</v>
      </c>
      <c r="G936" s="466">
        <v>3.2</v>
      </c>
      <c r="H936" s="466">
        <f>G936/1.1</f>
        <v>2.9090909090909092</v>
      </c>
      <c r="I936" s="436"/>
      <c r="J936" s="465">
        <v>0</v>
      </c>
      <c r="K936" s="467">
        <v>0</v>
      </c>
    </row>
    <row r="937" spans="2:11" ht="19" customHeight="1">
      <c r="B937" s="464">
        <v>46044</v>
      </c>
      <c r="C937" s="436" t="s">
        <v>254</v>
      </c>
      <c r="D937" s="436" t="s">
        <v>254</v>
      </c>
      <c r="E937" s="436">
        <v>1</v>
      </c>
      <c r="F937" s="467">
        <v>14.9</v>
      </c>
      <c r="G937" s="466">
        <v>14.9</v>
      </c>
      <c r="H937" s="466">
        <f>G937/1.1</f>
        <v>13.545454545454545</v>
      </c>
      <c r="I937" s="436"/>
      <c r="J937" s="465">
        <v>0</v>
      </c>
      <c r="K937" s="467">
        <v>0</v>
      </c>
    </row>
    <row r="938" spans="2:11" ht="19" customHeight="1">
      <c r="B938" s="464">
        <v>46044</v>
      </c>
      <c r="C938" s="436" t="s">
        <v>873</v>
      </c>
      <c r="D938" s="436" t="s">
        <v>1022</v>
      </c>
      <c r="E938" s="436">
        <v>1</v>
      </c>
      <c r="F938" s="436"/>
      <c r="G938" s="468" t="s">
        <v>875</v>
      </c>
      <c r="H938" s="466" t="e">
        <f>G938/1.1</f>
        <v>#VALUE!</v>
      </c>
      <c r="I938" s="436"/>
      <c r="J938" s="465">
        <v>0</v>
      </c>
      <c r="K938" s="467">
        <v>0</v>
      </c>
    </row>
    <row r="939" spans="2:11" ht="19" customHeight="1">
      <c r="B939" s="464">
        <v>46044</v>
      </c>
      <c r="C939" s="436" t="s">
        <v>877</v>
      </c>
      <c r="D939" s="436" t="s">
        <v>1023</v>
      </c>
      <c r="E939" s="436">
        <v>1</v>
      </c>
      <c r="F939" s="436"/>
      <c r="G939" s="468" t="s">
        <v>875</v>
      </c>
      <c r="H939" s="466" t="e">
        <f>G939/1.1</f>
        <v>#VALUE!</v>
      </c>
      <c r="I939" s="436"/>
      <c r="J939" s="465">
        <v>0</v>
      </c>
      <c r="K939" s="467">
        <v>0</v>
      </c>
    </row>
    <row r="940" spans="2:11" ht="19" customHeight="1">
      <c r="B940" s="464">
        <v>46044</v>
      </c>
      <c r="C940" s="436" t="s">
        <v>266</v>
      </c>
      <c r="D940" s="436" t="s">
        <v>250</v>
      </c>
      <c r="E940" s="436">
        <v>1</v>
      </c>
      <c r="F940" s="436"/>
      <c r="G940" s="468" t="s">
        <v>875</v>
      </c>
      <c r="H940" s="466" t="e">
        <f>G940/1.1</f>
        <v>#VALUE!</v>
      </c>
      <c r="I940" s="436"/>
      <c r="J940" s="465">
        <v>0</v>
      </c>
      <c r="K940" s="467">
        <v>0</v>
      </c>
    </row>
    <row r="941" spans="2:11" ht="19" customHeight="1">
      <c r="B941" s="464">
        <v>46044</v>
      </c>
      <c r="C941" s="436" t="s">
        <v>258</v>
      </c>
      <c r="D941" s="436" t="s">
        <v>1024</v>
      </c>
      <c r="E941" s="436">
        <v>1</v>
      </c>
      <c r="F941" s="467">
        <v>3</v>
      </c>
      <c r="G941" s="466">
        <v>3</v>
      </c>
      <c r="H941" s="466">
        <f>G941/1.1</f>
        <v>2.7272727272727271</v>
      </c>
      <c r="I941" s="436"/>
      <c r="J941" s="465">
        <v>0</v>
      </c>
      <c r="K941" s="467">
        <v>0</v>
      </c>
    </row>
    <row r="942" spans="2:11" ht="19" customHeight="1">
      <c r="B942" s="464">
        <v>46044</v>
      </c>
      <c r="C942" s="436" t="s">
        <v>254</v>
      </c>
      <c r="D942" s="436" t="s">
        <v>254</v>
      </c>
      <c r="E942" s="436">
        <v>1</v>
      </c>
      <c r="F942" s="467">
        <v>14.9</v>
      </c>
      <c r="G942" s="466">
        <v>14.9</v>
      </c>
      <c r="H942" s="466">
        <f>G942/1.1</f>
        <v>13.545454545454545</v>
      </c>
      <c r="I942" s="436"/>
      <c r="J942" s="465">
        <v>0</v>
      </c>
      <c r="K942" s="467">
        <v>0</v>
      </c>
    </row>
    <row r="943" spans="2:11" ht="19" customHeight="1">
      <c r="B943" s="464">
        <v>46044</v>
      </c>
      <c r="C943" s="436" t="s">
        <v>873</v>
      </c>
      <c r="D943" s="436" t="s">
        <v>1013</v>
      </c>
      <c r="E943" s="436">
        <v>1</v>
      </c>
      <c r="F943" s="436"/>
      <c r="G943" s="468" t="s">
        <v>875</v>
      </c>
      <c r="H943" s="466" t="e">
        <f>G943/1.1</f>
        <v>#VALUE!</v>
      </c>
      <c r="I943" s="436"/>
      <c r="J943" s="465">
        <v>0</v>
      </c>
      <c r="K943" s="467">
        <v>0</v>
      </c>
    </row>
    <row r="944" spans="2:11" ht="19" customHeight="1">
      <c r="B944" s="464">
        <v>46044</v>
      </c>
      <c r="C944" s="436" t="s">
        <v>877</v>
      </c>
      <c r="D944" s="436" t="s">
        <v>1023</v>
      </c>
      <c r="E944" s="436">
        <v>1</v>
      </c>
      <c r="F944" s="436"/>
      <c r="G944" s="468" t="s">
        <v>875</v>
      </c>
      <c r="H944" s="466" t="e">
        <f>G944/1.1</f>
        <v>#VALUE!</v>
      </c>
      <c r="I944" s="436"/>
      <c r="J944" s="465">
        <v>0</v>
      </c>
      <c r="K944" s="467">
        <v>0</v>
      </c>
    </row>
    <row r="945" spans="2:11" ht="19" customHeight="1">
      <c r="B945" s="464">
        <v>46044</v>
      </c>
      <c r="C945" s="436" t="s">
        <v>266</v>
      </c>
      <c r="D945" s="436" t="s">
        <v>250</v>
      </c>
      <c r="E945" s="436">
        <v>1</v>
      </c>
      <c r="F945" s="436"/>
      <c r="G945" s="468" t="s">
        <v>875</v>
      </c>
      <c r="H945" s="466" t="e">
        <f>G945/1.1</f>
        <v>#VALUE!</v>
      </c>
      <c r="I945" s="436"/>
      <c r="J945" s="465">
        <v>0</v>
      </c>
      <c r="K945" s="467">
        <v>0</v>
      </c>
    </row>
    <row r="946" spans="2:11" ht="19" customHeight="1">
      <c r="B946" s="464">
        <v>46044</v>
      </c>
      <c r="C946" s="436" t="s">
        <v>258</v>
      </c>
      <c r="D946" s="436" t="s">
        <v>1025</v>
      </c>
      <c r="E946" s="436">
        <v>1</v>
      </c>
      <c r="F946" s="436"/>
      <c r="G946" s="468" t="s">
        <v>875</v>
      </c>
      <c r="H946" s="466" t="e">
        <f>G946/1.1</f>
        <v>#VALUE!</v>
      </c>
      <c r="I946" s="436"/>
      <c r="J946" s="465">
        <v>0</v>
      </c>
      <c r="K946" s="467">
        <v>0</v>
      </c>
    </row>
    <row r="947" spans="2:11" ht="19" customHeight="1">
      <c r="B947" s="464">
        <v>46044</v>
      </c>
      <c r="C947" s="436" t="s">
        <v>254</v>
      </c>
      <c r="D947" s="436" t="s">
        <v>254</v>
      </c>
      <c r="E947" s="436">
        <v>4</v>
      </c>
      <c r="F947" s="467">
        <v>14.9</v>
      </c>
      <c r="G947" s="466">
        <v>59.6</v>
      </c>
      <c r="H947" s="466">
        <f>G947/1.1</f>
        <v>54.18181818181818</v>
      </c>
      <c r="I947" s="436"/>
      <c r="J947" s="465">
        <v>0</v>
      </c>
      <c r="K947" s="467">
        <v>0</v>
      </c>
    </row>
    <row r="948" spans="2:11" ht="19" customHeight="1">
      <c r="B948" s="464">
        <v>46044</v>
      </c>
      <c r="C948" s="436" t="s">
        <v>873</v>
      </c>
      <c r="D948" s="436" t="s">
        <v>1013</v>
      </c>
      <c r="E948" s="436">
        <v>1</v>
      </c>
      <c r="F948" s="436"/>
      <c r="G948" s="468" t="s">
        <v>875</v>
      </c>
      <c r="H948" s="466" t="e">
        <f>G948/1.1</f>
        <v>#VALUE!</v>
      </c>
      <c r="I948" s="436"/>
      <c r="J948" s="465">
        <v>0</v>
      </c>
      <c r="K948" s="467">
        <v>0</v>
      </c>
    </row>
    <row r="949" spans="2:11" ht="19" customHeight="1">
      <c r="B949" s="464">
        <v>46044</v>
      </c>
      <c r="C949" s="436" t="s">
        <v>873</v>
      </c>
      <c r="D949" s="436" t="s">
        <v>1026</v>
      </c>
      <c r="E949" s="436">
        <v>1</v>
      </c>
      <c r="F949" s="436"/>
      <c r="G949" s="468" t="s">
        <v>875</v>
      </c>
      <c r="H949" s="466" t="e">
        <f>G949/1.1</f>
        <v>#VALUE!</v>
      </c>
      <c r="I949" s="436"/>
      <c r="J949" s="465">
        <v>0</v>
      </c>
      <c r="K949" s="467">
        <v>0</v>
      </c>
    </row>
    <row r="950" spans="2:11" ht="19" customHeight="1">
      <c r="B950" s="464">
        <v>46044</v>
      </c>
      <c r="C950" s="436" t="s">
        <v>873</v>
      </c>
      <c r="D950" s="436" t="s">
        <v>1022</v>
      </c>
      <c r="E950" s="436">
        <v>2</v>
      </c>
      <c r="F950" s="436"/>
      <c r="G950" s="468" t="s">
        <v>875</v>
      </c>
      <c r="H950" s="466" t="e">
        <f>G950/1.1</f>
        <v>#VALUE!</v>
      </c>
      <c r="I950" s="436"/>
      <c r="J950" s="465">
        <v>0</v>
      </c>
      <c r="K950" s="467">
        <v>0</v>
      </c>
    </row>
    <row r="951" spans="2:11" ht="19" customHeight="1">
      <c r="B951" s="464">
        <v>46044</v>
      </c>
      <c r="C951" s="436" t="s">
        <v>877</v>
      </c>
      <c r="D951" s="436" t="s">
        <v>1023</v>
      </c>
      <c r="E951" s="436">
        <v>4</v>
      </c>
      <c r="F951" s="436"/>
      <c r="G951" s="468" t="s">
        <v>875</v>
      </c>
      <c r="H951" s="466" t="e">
        <f>G951/1.1</f>
        <v>#VALUE!</v>
      </c>
      <c r="I951" s="436"/>
      <c r="J951" s="465">
        <v>0</v>
      </c>
      <c r="K951" s="467">
        <v>0</v>
      </c>
    </row>
    <row r="952" spans="2:11" ht="19" customHeight="1">
      <c r="B952" s="464">
        <v>46044</v>
      </c>
      <c r="C952" s="436" t="s">
        <v>266</v>
      </c>
      <c r="D952" s="436" t="s">
        <v>708</v>
      </c>
      <c r="E952" s="436">
        <v>2</v>
      </c>
      <c r="F952" s="436"/>
      <c r="G952" s="468" t="s">
        <v>875</v>
      </c>
      <c r="H952" s="466" t="e">
        <f>G952/1.1</f>
        <v>#VALUE!</v>
      </c>
      <c r="I952" s="436"/>
      <c r="J952" s="465">
        <v>0</v>
      </c>
      <c r="K952" s="467">
        <v>0</v>
      </c>
    </row>
    <row r="953" spans="2:11" ht="19" customHeight="1">
      <c r="B953" s="464">
        <v>46044</v>
      </c>
      <c r="C953" s="436" t="s">
        <v>266</v>
      </c>
      <c r="D953" s="436" t="s">
        <v>250</v>
      </c>
      <c r="E953" s="436">
        <v>2</v>
      </c>
      <c r="F953" s="469"/>
      <c r="G953" s="468" t="s">
        <v>875</v>
      </c>
      <c r="H953" s="466" t="e">
        <f>G953/1.1</f>
        <v>#VALUE!</v>
      </c>
      <c r="I953" s="436"/>
      <c r="J953" s="465">
        <v>0</v>
      </c>
      <c r="K953" s="467">
        <v>0</v>
      </c>
    </row>
    <row r="954" spans="2:11" ht="19" customHeight="1">
      <c r="B954" s="464">
        <v>46044</v>
      </c>
      <c r="C954" s="436" t="s">
        <v>258</v>
      </c>
      <c r="D954" s="436" t="s">
        <v>972</v>
      </c>
      <c r="E954" s="436">
        <v>2</v>
      </c>
      <c r="F954" s="469"/>
      <c r="G954" s="468" t="s">
        <v>875</v>
      </c>
      <c r="H954" s="466" t="e">
        <f>G954/1.1</f>
        <v>#VALUE!</v>
      </c>
      <c r="I954" s="436"/>
      <c r="J954" s="465">
        <v>0</v>
      </c>
      <c r="K954" s="467">
        <v>0</v>
      </c>
    </row>
    <row r="955" spans="2:11" ht="19" customHeight="1">
      <c r="B955" s="464">
        <v>46044</v>
      </c>
      <c r="C955" s="436" t="s">
        <v>258</v>
      </c>
      <c r="D955" s="436" t="s">
        <v>1027</v>
      </c>
      <c r="E955" s="436">
        <v>1</v>
      </c>
      <c r="F955" s="469"/>
      <c r="G955" s="468" t="s">
        <v>875</v>
      </c>
      <c r="H955" s="466" t="e">
        <f>G955/1.1</f>
        <v>#VALUE!</v>
      </c>
      <c r="I955" s="436"/>
      <c r="J955" s="465">
        <v>0</v>
      </c>
      <c r="K955" s="467">
        <v>0</v>
      </c>
    </row>
    <row r="956" spans="2:11" ht="19" customHeight="1">
      <c r="B956" s="464">
        <v>46044</v>
      </c>
      <c r="C956" s="436" t="s">
        <v>258</v>
      </c>
      <c r="D956" s="436" t="s">
        <v>1028</v>
      </c>
      <c r="E956" s="436">
        <v>1</v>
      </c>
      <c r="F956" s="469"/>
      <c r="G956" s="468" t="s">
        <v>875</v>
      </c>
      <c r="H956" s="466" t="e">
        <f>G956/1.1</f>
        <v>#VALUE!</v>
      </c>
      <c r="I956" s="436"/>
      <c r="J956" s="465">
        <v>0</v>
      </c>
      <c r="K956" s="467">
        <v>0</v>
      </c>
    </row>
    <row r="957" spans="2:11" ht="19" customHeight="1">
      <c r="B957" s="464">
        <v>46044</v>
      </c>
      <c r="C957" s="436" t="s">
        <v>254</v>
      </c>
      <c r="D957" s="436" t="s">
        <v>254</v>
      </c>
      <c r="E957" s="436">
        <v>3</v>
      </c>
      <c r="F957" s="465">
        <v>14.9</v>
      </c>
      <c r="G957" s="466">
        <v>44.7</v>
      </c>
      <c r="H957" s="466">
        <f>G957/1.1</f>
        <v>40.636363636363633</v>
      </c>
      <c r="I957" s="436"/>
      <c r="J957" s="465">
        <v>0</v>
      </c>
      <c r="K957" s="467">
        <v>0</v>
      </c>
    </row>
    <row r="958" spans="2:11" ht="19" customHeight="1">
      <c r="B958" s="464">
        <v>46044</v>
      </c>
      <c r="C958" s="436" t="s">
        <v>873</v>
      </c>
      <c r="D958" s="436" t="s">
        <v>1026</v>
      </c>
      <c r="E958" s="436">
        <v>2</v>
      </c>
      <c r="F958" s="469"/>
      <c r="G958" s="468" t="s">
        <v>875</v>
      </c>
      <c r="H958" s="466" t="e">
        <f>G958/1.1</f>
        <v>#VALUE!</v>
      </c>
      <c r="I958" s="436"/>
      <c r="J958" s="465">
        <v>0</v>
      </c>
      <c r="K958" s="467">
        <v>0</v>
      </c>
    </row>
    <row r="959" spans="2:11" ht="19" customHeight="1">
      <c r="B959" s="464">
        <v>46044</v>
      </c>
      <c r="C959" s="436" t="s">
        <v>873</v>
      </c>
      <c r="D959" s="436" t="s">
        <v>1022</v>
      </c>
      <c r="E959" s="436">
        <v>1</v>
      </c>
      <c r="F959" s="469"/>
      <c r="G959" s="468" t="s">
        <v>875</v>
      </c>
      <c r="H959" s="466" t="e">
        <f>G959/1.1</f>
        <v>#VALUE!</v>
      </c>
      <c r="I959" s="436"/>
      <c r="J959" s="465">
        <v>0</v>
      </c>
      <c r="K959" s="467">
        <v>0</v>
      </c>
    </row>
    <row r="960" spans="2:11" ht="19" customHeight="1">
      <c r="B960" s="464">
        <v>46044</v>
      </c>
      <c r="C960" s="436" t="s">
        <v>877</v>
      </c>
      <c r="D960" s="436" t="s">
        <v>1015</v>
      </c>
      <c r="E960" s="436">
        <v>1</v>
      </c>
      <c r="F960" s="469"/>
      <c r="G960" s="468" t="s">
        <v>875</v>
      </c>
      <c r="H960" s="466" t="e">
        <f>G960/1.1</f>
        <v>#VALUE!</v>
      </c>
      <c r="I960" s="436"/>
      <c r="J960" s="465">
        <v>0</v>
      </c>
      <c r="K960" s="467">
        <v>0</v>
      </c>
    </row>
    <row r="961" spans="2:11" ht="19" customHeight="1">
      <c r="B961" s="464">
        <v>46044</v>
      </c>
      <c r="C961" s="436" t="s">
        <v>877</v>
      </c>
      <c r="D961" s="436" t="s">
        <v>1029</v>
      </c>
      <c r="E961" s="436">
        <v>2</v>
      </c>
      <c r="F961" s="469"/>
      <c r="G961" s="468" t="s">
        <v>875</v>
      </c>
      <c r="H961" s="466" t="e">
        <f>G961/1.1</f>
        <v>#VALUE!</v>
      </c>
      <c r="I961" s="436"/>
      <c r="J961" s="465">
        <v>0</v>
      </c>
      <c r="K961" s="467">
        <v>0</v>
      </c>
    </row>
    <row r="962" spans="2:11" ht="19" customHeight="1">
      <c r="B962" s="464">
        <v>46044</v>
      </c>
      <c r="C962" s="436" t="s">
        <v>266</v>
      </c>
      <c r="D962" s="436" t="s">
        <v>708</v>
      </c>
      <c r="E962" s="436">
        <v>1</v>
      </c>
      <c r="F962" s="436"/>
      <c r="G962" s="468" t="s">
        <v>875</v>
      </c>
      <c r="H962" s="466" t="e">
        <f>G962/1.1</f>
        <v>#VALUE!</v>
      </c>
      <c r="I962" s="436"/>
      <c r="J962" s="465">
        <v>0</v>
      </c>
      <c r="K962" s="467">
        <v>0</v>
      </c>
    </row>
    <row r="963" spans="2:11" ht="19" customHeight="1">
      <c r="B963" s="464">
        <v>46044</v>
      </c>
      <c r="C963" s="436" t="s">
        <v>266</v>
      </c>
      <c r="D963" s="436" t="s">
        <v>265</v>
      </c>
      <c r="E963" s="436">
        <v>1</v>
      </c>
      <c r="F963" s="465">
        <v>1</v>
      </c>
      <c r="G963" s="466">
        <v>1</v>
      </c>
      <c r="H963" s="466">
        <f>G963/1.1</f>
        <v>0.90909090909090906</v>
      </c>
      <c r="I963" s="436"/>
      <c r="J963" s="465">
        <v>0</v>
      </c>
      <c r="K963" s="467">
        <v>0</v>
      </c>
    </row>
    <row r="964" spans="2:11" ht="19" customHeight="1">
      <c r="B964" s="464">
        <v>46044</v>
      </c>
      <c r="C964" s="436" t="s">
        <v>266</v>
      </c>
      <c r="D964" s="436" t="s">
        <v>1030</v>
      </c>
      <c r="E964" s="436">
        <v>1</v>
      </c>
      <c r="F964" s="465">
        <v>1</v>
      </c>
      <c r="G964" s="466">
        <v>1</v>
      </c>
      <c r="H964" s="466">
        <f>G964/1.1</f>
        <v>0.90909090909090906</v>
      </c>
      <c r="I964" s="436"/>
      <c r="J964" s="465">
        <v>0</v>
      </c>
      <c r="K964" s="467">
        <v>0</v>
      </c>
    </row>
    <row r="965" spans="2:11" ht="19" customHeight="1">
      <c r="B965" s="464">
        <v>46044</v>
      </c>
      <c r="C965" s="436" t="s">
        <v>258</v>
      </c>
      <c r="D965" s="436" t="s">
        <v>1031</v>
      </c>
      <c r="E965" s="436">
        <v>2</v>
      </c>
      <c r="F965" s="436"/>
      <c r="G965" s="468" t="s">
        <v>875</v>
      </c>
      <c r="H965" s="466" t="e">
        <f>G965/1.1</f>
        <v>#VALUE!</v>
      </c>
      <c r="I965" s="436"/>
      <c r="J965" s="465">
        <v>0</v>
      </c>
      <c r="K965" s="467">
        <v>0</v>
      </c>
    </row>
    <row r="966" spans="2:11" ht="19" customHeight="1">
      <c r="B966" s="464">
        <v>46044</v>
      </c>
      <c r="C966" s="436" t="s">
        <v>258</v>
      </c>
      <c r="D966" s="436" t="s">
        <v>1027</v>
      </c>
      <c r="E966" s="436">
        <v>1</v>
      </c>
      <c r="F966" s="436"/>
      <c r="G966" s="468" t="s">
        <v>875</v>
      </c>
      <c r="H966" s="466" t="e">
        <f>G966/1.1</f>
        <v>#VALUE!</v>
      </c>
      <c r="I966" s="436"/>
      <c r="J966" s="465">
        <v>0</v>
      </c>
      <c r="K966" s="467">
        <v>0</v>
      </c>
    </row>
    <row r="967" spans="2:11" ht="19" customHeight="1">
      <c r="B967" s="464">
        <v>46044</v>
      </c>
      <c r="C967" s="436" t="s">
        <v>254</v>
      </c>
      <c r="D967" s="436" t="s">
        <v>254</v>
      </c>
      <c r="E967" s="436">
        <v>3</v>
      </c>
      <c r="F967" s="465">
        <v>14.9</v>
      </c>
      <c r="G967" s="466">
        <v>44.7</v>
      </c>
      <c r="H967" s="466">
        <f>G967/1.1</f>
        <v>40.636363636363633</v>
      </c>
      <c r="I967" s="436"/>
      <c r="J967" s="465">
        <v>0</v>
      </c>
      <c r="K967" s="467">
        <v>0</v>
      </c>
    </row>
    <row r="968" spans="2:11" ht="19" customHeight="1">
      <c r="B968" s="464">
        <v>46044</v>
      </c>
      <c r="C968" s="436" t="s">
        <v>873</v>
      </c>
      <c r="D968" s="436" t="s">
        <v>1022</v>
      </c>
      <c r="E968" s="436">
        <v>3</v>
      </c>
      <c r="F968" s="469"/>
      <c r="G968" s="468" t="s">
        <v>875</v>
      </c>
      <c r="H968" s="466" t="e">
        <f>G968/1.1</f>
        <v>#VALUE!</v>
      </c>
      <c r="I968" s="436"/>
      <c r="J968" s="465">
        <v>0</v>
      </c>
      <c r="K968" s="467">
        <v>0</v>
      </c>
    </row>
    <row r="969" spans="2:11" ht="19" customHeight="1">
      <c r="B969" s="464">
        <v>46044</v>
      </c>
      <c r="C969" s="436" t="s">
        <v>877</v>
      </c>
      <c r="D969" s="436" t="s">
        <v>1023</v>
      </c>
      <c r="E969" s="436">
        <v>3</v>
      </c>
      <c r="F969" s="469"/>
      <c r="G969" s="468" t="s">
        <v>875</v>
      </c>
      <c r="H969" s="466" t="e">
        <f>G969/1.1</f>
        <v>#VALUE!</v>
      </c>
      <c r="I969" s="436"/>
      <c r="J969" s="465">
        <v>0</v>
      </c>
      <c r="K969" s="467">
        <v>0</v>
      </c>
    </row>
    <row r="970" spans="2:11" ht="19" customHeight="1">
      <c r="B970" s="464">
        <v>46044</v>
      </c>
      <c r="C970" s="436" t="s">
        <v>266</v>
      </c>
      <c r="D970" s="436" t="s">
        <v>926</v>
      </c>
      <c r="E970" s="436">
        <v>1</v>
      </c>
      <c r="F970" s="465">
        <v>1</v>
      </c>
      <c r="G970" s="466">
        <v>1</v>
      </c>
      <c r="H970" s="466">
        <f>G970/1.1</f>
        <v>0.90909090909090906</v>
      </c>
      <c r="I970" s="436"/>
      <c r="J970" s="465">
        <v>0</v>
      </c>
      <c r="K970" s="467">
        <v>0</v>
      </c>
    </row>
    <row r="971" spans="2:11" ht="19" customHeight="1">
      <c r="B971" s="464">
        <v>46044</v>
      </c>
      <c r="C971" s="436" t="s">
        <v>266</v>
      </c>
      <c r="D971" s="436" t="s">
        <v>991</v>
      </c>
      <c r="E971" s="436">
        <v>1</v>
      </c>
      <c r="F971" s="469"/>
      <c r="G971" s="468" t="s">
        <v>875</v>
      </c>
      <c r="H971" s="466" t="e">
        <f>G971/1.1</f>
        <v>#VALUE!</v>
      </c>
      <c r="I971" s="436"/>
      <c r="J971" s="465">
        <v>0</v>
      </c>
      <c r="K971" s="467">
        <v>0</v>
      </c>
    </row>
    <row r="972" spans="2:11" ht="19" customHeight="1">
      <c r="B972" s="464">
        <v>46044</v>
      </c>
      <c r="C972" s="436" t="s">
        <v>258</v>
      </c>
      <c r="D972" s="436" t="s">
        <v>936</v>
      </c>
      <c r="E972" s="436">
        <v>1</v>
      </c>
      <c r="F972" s="469"/>
      <c r="G972" s="468" t="s">
        <v>875</v>
      </c>
      <c r="H972" s="466" t="e">
        <f>G972/1.1</f>
        <v>#VALUE!</v>
      </c>
      <c r="I972" s="436"/>
      <c r="J972" s="465">
        <v>0</v>
      </c>
      <c r="K972" s="467">
        <v>0</v>
      </c>
    </row>
    <row r="973" spans="2:11" ht="19" customHeight="1">
      <c r="B973" s="464">
        <v>46044</v>
      </c>
      <c r="C973" s="436" t="s">
        <v>258</v>
      </c>
      <c r="D973" s="436" t="s">
        <v>1025</v>
      </c>
      <c r="E973" s="436">
        <v>2</v>
      </c>
      <c r="F973" s="469"/>
      <c r="G973" s="468" t="s">
        <v>875</v>
      </c>
      <c r="H973" s="466" t="e">
        <f>G973/1.1</f>
        <v>#VALUE!</v>
      </c>
      <c r="I973" s="436"/>
      <c r="J973" s="465">
        <v>0</v>
      </c>
      <c r="K973" s="467">
        <v>0</v>
      </c>
    </row>
    <row r="974" spans="2:11" ht="19" customHeight="1">
      <c r="B974" s="464">
        <v>46044</v>
      </c>
      <c r="C974" s="436" t="s">
        <v>254</v>
      </c>
      <c r="D974" s="436" t="s">
        <v>254</v>
      </c>
      <c r="E974" s="436">
        <v>2</v>
      </c>
      <c r="F974" s="465">
        <v>14.9</v>
      </c>
      <c r="G974" s="466">
        <v>29.8</v>
      </c>
      <c r="H974" s="466">
        <f>G974/1.1</f>
        <v>27.09090909090909</v>
      </c>
      <c r="I974" s="436"/>
      <c r="J974" s="465">
        <v>0</v>
      </c>
      <c r="K974" s="467">
        <v>0</v>
      </c>
    </row>
    <row r="975" spans="2:11" ht="19" customHeight="1">
      <c r="B975" s="464">
        <v>46044</v>
      </c>
      <c r="C975" s="436" t="s">
        <v>873</v>
      </c>
      <c r="D975" s="436" t="s">
        <v>1022</v>
      </c>
      <c r="E975" s="436">
        <v>2</v>
      </c>
      <c r="F975" s="469"/>
      <c r="G975" s="468" t="s">
        <v>875</v>
      </c>
      <c r="H975" s="466" t="e">
        <f>G975/1.1</f>
        <v>#VALUE!</v>
      </c>
      <c r="I975" s="436"/>
      <c r="J975" s="465">
        <v>0</v>
      </c>
      <c r="K975" s="467">
        <v>0</v>
      </c>
    </row>
    <row r="976" spans="2:11" ht="19" customHeight="1">
      <c r="B976" s="464">
        <v>46044</v>
      </c>
      <c r="C976" s="436" t="s">
        <v>877</v>
      </c>
      <c r="D976" s="436" t="s">
        <v>1023</v>
      </c>
      <c r="E976" s="436">
        <v>1</v>
      </c>
      <c r="F976" s="469"/>
      <c r="G976" s="468" t="s">
        <v>875</v>
      </c>
      <c r="H976" s="466" t="e">
        <f>G976/1.1</f>
        <v>#VALUE!</v>
      </c>
      <c r="I976" s="436"/>
      <c r="J976" s="465">
        <v>0</v>
      </c>
      <c r="K976" s="467">
        <v>0</v>
      </c>
    </row>
    <row r="977" spans="2:11" ht="19" customHeight="1">
      <c r="B977" s="464">
        <v>46044</v>
      </c>
      <c r="C977" s="436" t="s">
        <v>877</v>
      </c>
      <c r="D977" s="436" t="s">
        <v>1032</v>
      </c>
      <c r="E977" s="436">
        <v>1</v>
      </c>
      <c r="F977" s="465">
        <v>3</v>
      </c>
      <c r="G977" s="466">
        <v>3</v>
      </c>
      <c r="H977" s="466">
        <f>G977/1.1</f>
        <v>2.7272727272727271</v>
      </c>
      <c r="I977" s="436"/>
      <c r="J977" s="465">
        <v>0</v>
      </c>
      <c r="K977" s="467">
        <v>0</v>
      </c>
    </row>
    <row r="978" spans="2:11" ht="19" customHeight="1">
      <c r="B978" s="464">
        <v>46044</v>
      </c>
      <c r="C978" s="436" t="s">
        <v>266</v>
      </c>
      <c r="D978" s="436" t="s">
        <v>991</v>
      </c>
      <c r="E978" s="436">
        <v>1</v>
      </c>
      <c r="F978" s="469"/>
      <c r="G978" s="468" t="s">
        <v>875</v>
      </c>
      <c r="H978" s="466" t="e">
        <f>G978/1.1</f>
        <v>#VALUE!</v>
      </c>
      <c r="I978" s="436"/>
      <c r="J978" s="465">
        <v>0</v>
      </c>
      <c r="K978" s="467">
        <v>0</v>
      </c>
    </row>
    <row r="979" spans="2:11" ht="19" customHeight="1">
      <c r="B979" s="464">
        <v>46044</v>
      </c>
      <c r="C979" s="436" t="s">
        <v>266</v>
      </c>
      <c r="D979" s="436" t="s">
        <v>1033</v>
      </c>
      <c r="E979" s="436">
        <v>1</v>
      </c>
      <c r="F979" s="465">
        <v>1</v>
      </c>
      <c r="G979" s="466">
        <v>1</v>
      </c>
      <c r="H979" s="466">
        <f>G979/1.1</f>
        <v>0.90909090909090906</v>
      </c>
      <c r="I979" s="436"/>
      <c r="J979" s="465">
        <v>0</v>
      </c>
      <c r="K979" s="467">
        <v>0</v>
      </c>
    </row>
    <row r="980" spans="2:11" ht="19" customHeight="1">
      <c r="B980" s="464">
        <v>46044</v>
      </c>
      <c r="C980" s="436" t="s">
        <v>258</v>
      </c>
      <c r="D980" s="436" t="s">
        <v>1025</v>
      </c>
      <c r="E980" s="436">
        <v>1</v>
      </c>
      <c r="F980" s="469"/>
      <c r="G980" s="468" t="s">
        <v>875</v>
      </c>
      <c r="H980" s="466" t="e">
        <f>G980/1.1</f>
        <v>#VALUE!</v>
      </c>
      <c r="I980" s="436"/>
      <c r="J980" s="465">
        <v>0</v>
      </c>
      <c r="K980" s="467">
        <v>0</v>
      </c>
    </row>
    <row r="981" spans="2:11" ht="19" customHeight="1">
      <c r="B981" s="464">
        <v>46044</v>
      </c>
      <c r="C981" s="436" t="s">
        <v>258</v>
      </c>
      <c r="D981" s="436" t="s">
        <v>1027</v>
      </c>
      <c r="E981" s="436">
        <v>1</v>
      </c>
      <c r="F981" s="469"/>
      <c r="G981" s="468" t="s">
        <v>875</v>
      </c>
      <c r="H981" s="466" t="e">
        <f>G981/1.1</f>
        <v>#VALUE!</v>
      </c>
      <c r="I981" s="436"/>
      <c r="J981" s="465">
        <v>0</v>
      </c>
      <c r="K981" s="467">
        <v>0</v>
      </c>
    </row>
    <row r="982" spans="2:11" ht="19" customHeight="1">
      <c r="B982" s="464">
        <v>46044</v>
      </c>
      <c r="C982" s="436" t="s">
        <v>254</v>
      </c>
      <c r="D982" s="436" t="s">
        <v>254</v>
      </c>
      <c r="E982" s="436">
        <v>2</v>
      </c>
      <c r="F982" s="465">
        <v>14.9</v>
      </c>
      <c r="G982" s="466">
        <v>29.8</v>
      </c>
      <c r="H982" s="466">
        <f>G982/1.1</f>
        <v>27.09090909090909</v>
      </c>
      <c r="I982" s="436"/>
      <c r="J982" s="465">
        <v>0</v>
      </c>
      <c r="K982" s="467">
        <v>0</v>
      </c>
    </row>
    <row r="983" spans="2:11" ht="19" customHeight="1">
      <c r="B983" s="464">
        <v>46044</v>
      </c>
      <c r="C983" s="436" t="s">
        <v>873</v>
      </c>
      <c r="D983" s="436" t="s">
        <v>1022</v>
      </c>
      <c r="E983" s="436">
        <v>1</v>
      </c>
      <c r="F983" s="469"/>
      <c r="G983" s="468" t="s">
        <v>875</v>
      </c>
      <c r="H983" s="466" t="e">
        <f>G983/1.1</f>
        <v>#VALUE!</v>
      </c>
      <c r="I983" s="436"/>
      <c r="J983" s="465">
        <v>0</v>
      </c>
      <c r="K983" s="467">
        <v>0</v>
      </c>
    </row>
    <row r="984" spans="2:11" ht="19" customHeight="1">
      <c r="B984" s="464">
        <v>46044</v>
      </c>
      <c r="C984" s="436" t="s">
        <v>873</v>
      </c>
      <c r="D984" s="436" t="s">
        <v>1013</v>
      </c>
      <c r="E984" s="436">
        <v>1</v>
      </c>
      <c r="F984" s="469"/>
      <c r="G984" s="468" t="s">
        <v>875</v>
      </c>
      <c r="H984" s="466" t="e">
        <f>G984/1.1</f>
        <v>#VALUE!</v>
      </c>
      <c r="I984" s="436"/>
      <c r="J984" s="465">
        <v>0</v>
      </c>
      <c r="K984" s="467">
        <v>0</v>
      </c>
    </row>
    <row r="985" spans="2:11" ht="19" customHeight="1">
      <c r="B985" s="464">
        <v>46044</v>
      </c>
      <c r="C985" s="436" t="s">
        <v>877</v>
      </c>
      <c r="D985" s="436" t="s">
        <v>1023</v>
      </c>
      <c r="E985" s="436">
        <v>1</v>
      </c>
      <c r="F985" s="469"/>
      <c r="G985" s="468" t="s">
        <v>875</v>
      </c>
      <c r="H985" s="466" t="e">
        <f>G985/1.1</f>
        <v>#VALUE!</v>
      </c>
      <c r="I985" s="436"/>
      <c r="J985" s="465">
        <v>0</v>
      </c>
      <c r="K985" s="467">
        <v>0</v>
      </c>
    </row>
    <row r="986" spans="2:11" ht="19" customHeight="1">
      <c r="B986" s="464">
        <v>46044</v>
      </c>
      <c r="C986" s="436" t="s">
        <v>877</v>
      </c>
      <c r="D986" s="436" t="s">
        <v>1029</v>
      </c>
      <c r="E986" s="436">
        <v>1</v>
      </c>
      <c r="F986" s="469"/>
      <c r="G986" s="468" t="s">
        <v>875</v>
      </c>
      <c r="H986" s="466" t="e">
        <f>G986/1.1</f>
        <v>#VALUE!</v>
      </c>
      <c r="I986" s="436"/>
      <c r="J986" s="465">
        <v>0</v>
      </c>
      <c r="K986" s="467">
        <v>0</v>
      </c>
    </row>
    <row r="987" spans="2:11" ht="19" customHeight="1">
      <c r="B987" s="464">
        <v>46044</v>
      </c>
      <c r="C987" s="436" t="s">
        <v>266</v>
      </c>
      <c r="D987" s="436" t="s">
        <v>250</v>
      </c>
      <c r="E987" s="436">
        <v>1</v>
      </c>
      <c r="F987" s="469"/>
      <c r="G987" s="468" t="s">
        <v>875</v>
      </c>
      <c r="H987" s="466" t="e">
        <f>G987/1.1</f>
        <v>#VALUE!</v>
      </c>
      <c r="I987" s="436"/>
      <c r="J987" s="465">
        <v>0</v>
      </c>
      <c r="K987" s="467">
        <v>0</v>
      </c>
    </row>
    <row r="988" spans="2:11" ht="19" customHeight="1">
      <c r="B988" s="464">
        <v>46044</v>
      </c>
      <c r="C988" s="436" t="s">
        <v>266</v>
      </c>
      <c r="D988" s="436" t="s">
        <v>991</v>
      </c>
      <c r="E988" s="436">
        <v>1</v>
      </c>
      <c r="F988" s="469"/>
      <c r="G988" s="468" t="s">
        <v>875</v>
      </c>
      <c r="H988" s="466" t="e">
        <f>G988/1.1</f>
        <v>#VALUE!</v>
      </c>
      <c r="I988" s="436"/>
      <c r="J988" s="465">
        <v>0</v>
      </c>
      <c r="K988" s="467">
        <v>0</v>
      </c>
    </row>
    <row r="989" spans="2:11" ht="19" customHeight="1">
      <c r="B989" s="464">
        <v>46044</v>
      </c>
      <c r="C989" s="436" t="s">
        <v>258</v>
      </c>
      <c r="D989" s="436" t="s">
        <v>248</v>
      </c>
      <c r="E989" s="436">
        <v>1</v>
      </c>
      <c r="F989" s="469"/>
      <c r="G989" s="468" t="s">
        <v>875</v>
      </c>
      <c r="H989" s="466" t="e">
        <f>G989/1.1</f>
        <v>#VALUE!</v>
      </c>
      <c r="I989" s="436"/>
      <c r="J989" s="465">
        <v>0</v>
      </c>
      <c r="K989" s="467">
        <v>0</v>
      </c>
    </row>
    <row r="990" spans="2:11" ht="19" customHeight="1">
      <c r="B990" s="464">
        <v>46044</v>
      </c>
      <c r="C990" s="436" t="s">
        <v>258</v>
      </c>
      <c r="D990" s="436" t="s">
        <v>1025</v>
      </c>
      <c r="E990" s="436">
        <v>1</v>
      </c>
      <c r="F990" s="436"/>
      <c r="G990" s="468" t="s">
        <v>875</v>
      </c>
      <c r="H990" s="466" t="e">
        <f>G990/1.1</f>
        <v>#VALUE!</v>
      </c>
      <c r="I990" s="436"/>
      <c r="J990" s="465">
        <v>0</v>
      </c>
      <c r="K990" s="467">
        <v>0</v>
      </c>
    </row>
    <row r="991" spans="2:11" ht="19" customHeight="1">
      <c r="B991" s="464">
        <v>46044</v>
      </c>
      <c r="C991" s="436" t="s">
        <v>254</v>
      </c>
      <c r="D991" s="436" t="s">
        <v>254</v>
      </c>
      <c r="E991" s="436">
        <v>2</v>
      </c>
      <c r="F991" s="465">
        <v>14.9</v>
      </c>
      <c r="G991" s="466">
        <v>29.8</v>
      </c>
      <c r="H991" s="466">
        <f>G991/1.1</f>
        <v>27.09090909090909</v>
      </c>
      <c r="I991" s="436"/>
      <c r="J991" s="465">
        <v>0</v>
      </c>
      <c r="K991" s="467">
        <v>0</v>
      </c>
    </row>
    <row r="992" spans="2:11" ht="19" customHeight="1">
      <c r="B992" s="464">
        <v>46044</v>
      </c>
      <c r="C992" s="436" t="s">
        <v>873</v>
      </c>
      <c r="D992" s="436" t="s">
        <v>1022</v>
      </c>
      <c r="E992" s="436">
        <v>2</v>
      </c>
      <c r="F992" s="469"/>
      <c r="G992" s="468" t="s">
        <v>875</v>
      </c>
      <c r="H992" s="466" t="e">
        <f>G992/1.1</f>
        <v>#VALUE!</v>
      </c>
      <c r="I992" s="436"/>
      <c r="J992" s="465">
        <v>0</v>
      </c>
      <c r="K992" s="467">
        <v>0</v>
      </c>
    </row>
    <row r="993" spans="2:11" ht="19" customHeight="1">
      <c r="B993" s="464">
        <v>46044</v>
      </c>
      <c r="C993" s="436" t="s">
        <v>877</v>
      </c>
      <c r="D993" s="436" t="s">
        <v>1023</v>
      </c>
      <c r="E993" s="436">
        <v>2</v>
      </c>
      <c r="F993" s="469"/>
      <c r="G993" s="468" t="s">
        <v>875</v>
      </c>
      <c r="H993" s="466" t="e">
        <f>G993/1.1</f>
        <v>#VALUE!</v>
      </c>
      <c r="I993" s="436"/>
      <c r="J993" s="465">
        <v>0</v>
      </c>
      <c r="K993" s="467">
        <v>0</v>
      </c>
    </row>
    <row r="994" spans="2:11" ht="19" customHeight="1">
      <c r="B994" s="464">
        <v>46044</v>
      </c>
      <c r="C994" s="436" t="s">
        <v>266</v>
      </c>
      <c r="D994" s="436" t="s">
        <v>996</v>
      </c>
      <c r="E994" s="436">
        <v>1</v>
      </c>
      <c r="F994" s="469"/>
      <c r="G994" s="468" t="s">
        <v>875</v>
      </c>
      <c r="H994" s="466" t="e">
        <f>G994/1.1</f>
        <v>#VALUE!</v>
      </c>
      <c r="I994" s="436"/>
      <c r="J994" s="465">
        <v>0</v>
      </c>
      <c r="K994" s="467">
        <v>0</v>
      </c>
    </row>
    <row r="995" spans="2:11" ht="19" customHeight="1">
      <c r="B995" s="464">
        <v>46044</v>
      </c>
      <c r="C995" s="436" t="s">
        <v>266</v>
      </c>
      <c r="D995" s="436" t="s">
        <v>1034</v>
      </c>
      <c r="E995" s="436">
        <v>1</v>
      </c>
      <c r="F995" s="469"/>
      <c r="G995" s="468" t="s">
        <v>875</v>
      </c>
      <c r="H995" s="466" t="e">
        <f>G995/1.1</f>
        <v>#VALUE!</v>
      </c>
      <c r="I995" s="436"/>
      <c r="J995" s="465">
        <v>0</v>
      </c>
      <c r="K995" s="467">
        <v>0</v>
      </c>
    </row>
    <row r="996" spans="2:11" ht="19" customHeight="1">
      <c r="B996" s="464">
        <v>46044</v>
      </c>
      <c r="C996" s="436" t="s">
        <v>258</v>
      </c>
      <c r="D996" s="436" t="s">
        <v>1025</v>
      </c>
      <c r="E996" s="436">
        <v>1</v>
      </c>
      <c r="F996" s="436"/>
      <c r="G996" s="468" t="s">
        <v>875</v>
      </c>
      <c r="H996" s="466" t="e">
        <f>G996/1.1</f>
        <v>#VALUE!</v>
      </c>
      <c r="I996" s="436"/>
      <c r="J996" s="465">
        <v>0</v>
      </c>
      <c r="K996" s="467">
        <v>0</v>
      </c>
    </row>
    <row r="997" spans="2:11" ht="19" customHeight="1">
      <c r="B997" s="464">
        <v>46044</v>
      </c>
      <c r="C997" s="436" t="s">
        <v>258</v>
      </c>
      <c r="D997" s="436" t="s">
        <v>1027</v>
      </c>
      <c r="E997" s="436">
        <v>1</v>
      </c>
      <c r="F997" s="469"/>
      <c r="G997" s="468" t="s">
        <v>875</v>
      </c>
      <c r="H997" s="466" t="e">
        <f>G997/1.1</f>
        <v>#VALUE!</v>
      </c>
      <c r="I997" s="436"/>
      <c r="J997" s="465">
        <v>0</v>
      </c>
      <c r="K997" s="467">
        <v>0</v>
      </c>
    </row>
    <row r="998" spans="2:11" ht="19" customHeight="1">
      <c r="B998" s="464">
        <v>46044</v>
      </c>
      <c r="C998" s="436" t="s">
        <v>254</v>
      </c>
      <c r="D998" s="436" t="s">
        <v>254</v>
      </c>
      <c r="E998" s="436">
        <v>1</v>
      </c>
      <c r="F998" s="465">
        <v>14.9</v>
      </c>
      <c r="G998" s="466">
        <v>14.9</v>
      </c>
      <c r="H998" s="466">
        <f>G998/1.1</f>
        <v>13.545454545454545</v>
      </c>
      <c r="I998" s="436"/>
      <c r="J998" s="465">
        <v>0</v>
      </c>
      <c r="K998" s="467">
        <v>0</v>
      </c>
    </row>
    <row r="999" spans="2:11" ht="19" customHeight="1">
      <c r="B999" s="464">
        <v>46044</v>
      </c>
      <c r="C999" s="436" t="s">
        <v>873</v>
      </c>
      <c r="D999" s="436" t="s">
        <v>1022</v>
      </c>
      <c r="E999" s="436">
        <v>1</v>
      </c>
      <c r="F999" s="469"/>
      <c r="G999" s="468" t="s">
        <v>875</v>
      </c>
      <c r="H999" s="466" t="e">
        <f>G999/1.1</f>
        <v>#VALUE!</v>
      </c>
      <c r="I999" s="436"/>
      <c r="J999" s="465">
        <v>0</v>
      </c>
      <c r="K999" s="467">
        <v>0</v>
      </c>
    </row>
    <row r="1000" spans="2:11" ht="19" customHeight="1">
      <c r="B1000" s="464">
        <v>46044</v>
      </c>
      <c r="C1000" s="436" t="s">
        <v>877</v>
      </c>
      <c r="D1000" s="436" t="s">
        <v>1015</v>
      </c>
      <c r="E1000" s="436">
        <v>1</v>
      </c>
      <c r="F1000" s="436"/>
      <c r="G1000" s="468" t="s">
        <v>875</v>
      </c>
      <c r="H1000" s="466" t="e">
        <f>G1000/1.1</f>
        <v>#VALUE!</v>
      </c>
      <c r="I1000" s="436"/>
      <c r="J1000" s="465">
        <v>0</v>
      </c>
      <c r="K1000" s="467">
        <v>0</v>
      </c>
    </row>
    <row r="1001" spans="2:11" ht="19" customHeight="1">
      <c r="B1001" s="464">
        <v>46044</v>
      </c>
      <c r="C1001" s="436" t="s">
        <v>266</v>
      </c>
      <c r="D1001" s="436" t="s">
        <v>250</v>
      </c>
      <c r="E1001" s="436">
        <v>2</v>
      </c>
      <c r="F1001" s="469"/>
      <c r="G1001" s="468" t="s">
        <v>875</v>
      </c>
      <c r="H1001" s="466" t="e">
        <f>G1001/1.1</f>
        <v>#VALUE!</v>
      </c>
      <c r="I1001" s="436"/>
      <c r="J1001" s="465">
        <v>0</v>
      </c>
      <c r="K1001" s="467">
        <v>0</v>
      </c>
    </row>
    <row r="1002" spans="2:11" ht="19" customHeight="1">
      <c r="B1002" s="464">
        <v>46044</v>
      </c>
      <c r="C1002" s="436" t="s">
        <v>258</v>
      </c>
      <c r="D1002" s="436" t="s">
        <v>1031</v>
      </c>
      <c r="E1002" s="436">
        <v>1</v>
      </c>
      <c r="F1002" s="469"/>
      <c r="G1002" s="468" t="s">
        <v>875</v>
      </c>
      <c r="H1002" s="466" t="e">
        <f>G1002/1.1</f>
        <v>#VALUE!</v>
      </c>
      <c r="I1002" s="436"/>
      <c r="J1002" s="465">
        <v>0</v>
      </c>
      <c r="K1002" s="467">
        <v>0</v>
      </c>
    </row>
    <row r="1003" spans="2:11" ht="19" customHeight="1">
      <c r="B1003" s="464">
        <v>46044</v>
      </c>
      <c r="C1003" s="436" t="s">
        <v>258</v>
      </c>
      <c r="D1003" s="436" t="s">
        <v>936</v>
      </c>
      <c r="E1003" s="436">
        <v>1</v>
      </c>
      <c r="F1003" s="469"/>
      <c r="G1003" s="468" t="s">
        <v>875</v>
      </c>
      <c r="H1003" s="466" t="e">
        <f>G1003/1.1</f>
        <v>#VALUE!</v>
      </c>
      <c r="I1003" s="436"/>
      <c r="J1003" s="465">
        <v>0</v>
      </c>
      <c r="K1003" s="467">
        <v>0</v>
      </c>
    </row>
    <row r="1004" spans="2:11" ht="19" customHeight="1">
      <c r="B1004" s="464">
        <v>46044</v>
      </c>
      <c r="C1004" s="436" t="s">
        <v>254</v>
      </c>
      <c r="D1004" s="436" t="s">
        <v>254</v>
      </c>
      <c r="E1004" s="436">
        <v>2</v>
      </c>
      <c r="F1004" s="465">
        <v>14.9</v>
      </c>
      <c r="G1004" s="466">
        <v>29.8</v>
      </c>
      <c r="H1004" s="466">
        <f>G1004/1.1</f>
        <v>27.09090909090909</v>
      </c>
      <c r="I1004" s="436"/>
      <c r="J1004" s="465">
        <v>0</v>
      </c>
      <c r="K1004" s="467">
        <v>0</v>
      </c>
    </row>
    <row r="1005" spans="2:11" ht="19" customHeight="1">
      <c r="B1005" s="464">
        <v>46044</v>
      </c>
      <c r="C1005" s="436" t="s">
        <v>873</v>
      </c>
      <c r="D1005" s="436" t="s">
        <v>1026</v>
      </c>
      <c r="E1005" s="436">
        <v>1</v>
      </c>
      <c r="F1005" s="469"/>
      <c r="G1005" s="468" t="s">
        <v>875</v>
      </c>
      <c r="H1005" s="466" t="e">
        <f>G1005/1.1</f>
        <v>#VALUE!</v>
      </c>
      <c r="I1005" s="436"/>
      <c r="J1005" s="465">
        <v>0</v>
      </c>
      <c r="K1005" s="467">
        <v>0</v>
      </c>
    </row>
    <row r="1006" spans="2:11" ht="19" customHeight="1">
      <c r="B1006" s="464">
        <v>46044</v>
      </c>
      <c r="C1006" s="436" t="s">
        <v>873</v>
      </c>
      <c r="D1006" s="436" t="s">
        <v>987</v>
      </c>
      <c r="E1006" s="436">
        <v>1</v>
      </c>
      <c r="F1006" s="465">
        <v>5</v>
      </c>
      <c r="G1006" s="466">
        <v>5</v>
      </c>
      <c r="H1006" s="466">
        <f>G1006/1.1</f>
        <v>4.545454545454545</v>
      </c>
      <c r="I1006" s="436"/>
      <c r="J1006" s="465">
        <v>0</v>
      </c>
      <c r="K1006" s="467">
        <v>0</v>
      </c>
    </row>
    <row r="1007" spans="2:11" ht="19" customHeight="1">
      <c r="B1007" s="464">
        <v>46044</v>
      </c>
      <c r="C1007" s="436" t="s">
        <v>877</v>
      </c>
      <c r="D1007" s="436" t="s">
        <v>1023</v>
      </c>
      <c r="E1007" s="436">
        <v>2</v>
      </c>
      <c r="F1007" s="469"/>
      <c r="G1007" s="468" t="s">
        <v>875</v>
      </c>
      <c r="H1007" s="466" t="e">
        <f>G1007/1.1</f>
        <v>#VALUE!</v>
      </c>
      <c r="I1007" s="436"/>
      <c r="J1007" s="465">
        <v>0</v>
      </c>
      <c r="K1007" s="467">
        <v>0</v>
      </c>
    </row>
    <row r="1008" spans="2:11" ht="19" customHeight="1">
      <c r="B1008" s="464">
        <v>46044</v>
      </c>
      <c r="C1008" s="436" t="s">
        <v>266</v>
      </c>
      <c r="D1008" s="436" t="s">
        <v>991</v>
      </c>
      <c r="E1008" s="436">
        <v>2</v>
      </c>
      <c r="F1008" s="469"/>
      <c r="G1008" s="468" t="s">
        <v>875</v>
      </c>
      <c r="H1008" s="466" t="e">
        <f>G1008/1.1</f>
        <v>#VALUE!</v>
      </c>
      <c r="I1008" s="436"/>
      <c r="J1008" s="465">
        <v>0</v>
      </c>
      <c r="K1008" s="467">
        <v>0</v>
      </c>
    </row>
    <row r="1009" spans="2:11" ht="19" customHeight="1">
      <c r="B1009" s="464">
        <v>46044</v>
      </c>
      <c r="C1009" s="436" t="s">
        <v>258</v>
      </c>
      <c r="D1009" s="436" t="s">
        <v>1025</v>
      </c>
      <c r="E1009" s="436">
        <v>1</v>
      </c>
      <c r="F1009" s="436"/>
      <c r="G1009" s="468" t="s">
        <v>875</v>
      </c>
      <c r="H1009" s="466" t="e">
        <f>G1009/1.1</f>
        <v>#VALUE!</v>
      </c>
      <c r="I1009" s="436"/>
      <c r="J1009" s="465">
        <v>0</v>
      </c>
      <c r="K1009" s="467">
        <v>0</v>
      </c>
    </row>
    <row r="1010" spans="2:11" ht="19" customHeight="1">
      <c r="B1010" s="464">
        <v>46044</v>
      </c>
      <c r="C1010" s="436" t="s">
        <v>258</v>
      </c>
      <c r="D1010" s="436" t="s">
        <v>972</v>
      </c>
      <c r="E1010" s="436">
        <v>1</v>
      </c>
      <c r="F1010" s="469"/>
      <c r="G1010" s="468" t="s">
        <v>875</v>
      </c>
      <c r="H1010" s="466" t="e">
        <f>G1010/1.1</f>
        <v>#VALUE!</v>
      </c>
      <c r="I1010" s="436"/>
      <c r="J1010" s="465">
        <v>0</v>
      </c>
      <c r="K1010" s="467">
        <v>0</v>
      </c>
    </row>
    <row r="1011" spans="2:11" ht="19" customHeight="1">
      <c r="B1011" s="464">
        <v>46044</v>
      </c>
      <c r="C1011" s="436" t="s">
        <v>254</v>
      </c>
      <c r="D1011" s="436" t="s">
        <v>254</v>
      </c>
      <c r="E1011" s="436">
        <v>1</v>
      </c>
      <c r="F1011" s="465">
        <v>14.9</v>
      </c>
      <c r="G1011" s="466">
        <v>14.9</v>
      </c>
      <c r="H1011" s="466">
        <f>G1011/1.1</f>
        <v>13.545454545454545</v>
      </c>
      <c r="I1011" s="436"/>
      <c r="J1011" s="465">
        <v>0</v>
      </c>
      <c r="K1011" s="467">
        <v>0</v>
      </c>
    </row>
    <row r="1012" spans="2:11" ht="19" customHeight="1">
      <c r="B1012" s="464">
        <v>46044</v>
      </c>
      <c r="C1012" s="436" t="s">
        <v>873</v>
      </c>
      <c r="D1012" s="436" t="s">
        <v>1022</v>
      </c>
      <c r="E1012" s="436">
        <v>1</v>
      </c>
      <c r="F1012" s="469"/>
      <c r="G1012" s="468" t="s">
        <v>875</v>
      </c>
      <c r="H1012" s="466" t="e">
        <f>G1012/1.1</f>
        <v>#VALUE!</v>
      </c>
      <c r="I1012" s="436"/>
      <c r="J1012" s="465">
        <v>0</v>
      </c>
      <c r="K1012" s="467">
        <v>0</v>
      </c>
    </row>
    <row r="1013" spans="2:11" ht="19" customHeight="1">
      <c r="B1013" s="464">
        <v>46044</v>
      </c>
      <c r="C1013" s="436" t="s">
        <v>877</v>
      </c>
      <c r="D1013" s="436" t="s">
        <v>1029</v>
      </c>
      <c r="E1013" s="436">
        <v>1</v>
      </c>
      <c r="F1013" s="469"/>
      <c r="G1013" s="468" t="s">
        <v>875</v>
      </c>
      <c r="H1013" s="466" t="e">
        <f>G1013/1.1</f>
        <v>#VALUE!</v>
      </c>
      <c r="I1013" s="436"/>
      <c r="J1013" s="465">
        <v>0</v>
      </c>
      <c r="K1013" s="467">
        <v>0</v>
      </c>
    </row>
    <row r="1014" spans="2:11" ht="19" customHeight="1">
      <c r="B1014" s="464">
        <v>46044</v>
      </c>
      <c r="C1014" s="436" t="s">
        <v>266</v>
      </c>
      <c r="D1014" s="436" t="s">
        <v>250</v>
      </c>
      <c r="E1014" s="436">
        <v>1</v>
      </c>
      <c r="F1014" s="469"/>
      <c r="G1014" s="468" t="s">
        <v>875</v>
      </c>
      <c r="H1014" s="466" t="e">
        <f>G1014/1.1</f>
        <v>#VALUE!</v>
      </c>
      <c r="I1014" s="436"/>
      <c r="J1014" s="465">
        <v>0</v>
      </c>
      <c r="K1014" s="467">
        <v>0</v>
      </c>
    </row>
    <row r="1015" spans="2:11" ht="19" customHeight="1">
      <c r="B1015" s="464">
        <v>46044</v>
      </c>
      <c r="C1015" s="436" t="s">
        <v>258</v>
      </c>
      <c r="D1015" s="436" t="s">
        <v>923</v>
      </c>
      <c r="E1015" s="436">
        <v>1</v>
      </c>
      <c r="F1015" s="469"/>
      <c r="G1015" s="468" t="s">
        <v>875</v>
      </c>
      <c r="H1015" s="466" t="e">
        <f>G1015/1.1</f>
        <v>#VALUE!</v>
      </c>
      <c r="I1015" s="436"/>
      <c r="J1015" s="465">
        <v>0</v>
      </c>
      <c r="K1015" s="467">
        <v>0</v>
      </c>
    </row>
    <row r="1016" spans="2:11" ht="19" customHeight="1">
      <c r="B1016" s="464">
        <v>46045</v>
      </c>
      <c r="C1016" s="436" t="s">
        <v>247</v>
      </c>
      <c r="D1016" s="436" t="s">
        <v>248</v>
      </c>
      <c r="E1016" s="436">
        <v>1</v>
      </c>
      <c r="F1016" s="467">
        <v>1.5</v>
      </c>
      <c r="G1016" s="466">
        <v>1.5</v>
      </c>
      <c r="H1016" s="466">
        <f>G1016/1.1</f>
        <v>1.3636363636363635</v>
      </c>
      <c r="I1016" s="436"/>
      <c r="J1016" s="465">
        <v>0</v>
      </c>
      <c r="K1016" s="467">
        <v>0</v>
      </c>
    </row>
    <row r="1017" spans="2:11" ht="19" customHeight="1">
      <c r="B1017" s="464">
        <v>46045</v>
      </c>
      <c r="C1017" s="436" t="s">
        <v>247</v>
      </c>
      <c r="D1017" s="436" t="s">
        <v>257</v>
      </c>
      <c r="E1017" s="436">
        <v>1</v>
      </c>
      <c r="F1017" s="467">
        <v>1.4</v>
      </c>
      <c r="G1017" s="466">
        <v>1.4</v>
      </c>
      <c r="H1017" s="466">
        <f>G1017/1.1</f>
        <v>1.2727272727272725</v>
      </c>
      <c r="I1017" s="436"/>
      <c r="J1017" s="465">
        <v>0</v>
      </c>
      <c r="K1017" s="467">
        <v>0</v>
      </c>
    </row>
    <row r="1018" spans="2:11" ht="19" customHeight="1">
      <c r="B1018" s="464">
        <v>46045</v>
      </c>
      <c r="C1018" s="436" t="s">
        <v>247</v>
      </c>
      <c r="D1018" s="436" t="s">
        <v>246</v>
      </c>
      <c r="E1018" s="436">
        <v>1</v>
      </c>
      <c r="F1018" s="467">
        <v>1.7</v>
      </c>
      <c r="G1018" s="466">
        <v>1.7</v>
      </c>
      <c r="H1018" s="466">
        <f>G1018/1.1</f>
        <v>1.5454545454545452</v>
      </c>
      <c r="I1018" s="436"/>
      <c r="J1018" s="465">
        <v>0</v>
      </c>
      <c r="K1018" s="467">
        <v>0</v>
      </c>
    </row>
    <row r="1019" spans="2:11" ht="19" customHeight="1">
      <c r="B1019" s="464">
        <v>46045</v>
      </c>
      <c r="C1019" s="436" t="s">
        <v>862</v>
      </c>
      <c r="D1019" s="436" t="s">
        <v>907</v>
      </c>
      <c r="E1019" s="436">
        <v>1</v>
      </c>
      <c r="F1019" s="467">
        <v>0.15</v>
      </c>
      <c r="G1019" s="466">
        <v>0.15</v>
      </c>
      <c r="H1019" s="466">
        <f>G1019/1.1</f>
        <v>0.13636363636363635</v>
      </c>
      <c r="I1019" s="436"/>
      <c r="J1019" s="465">
        <v>0</v>
      </c>
      <c r="K1019" s="467">
        <v>0</v>
      </c>
    </row>
    <row r="1020" spans="2:11" ht="19" customHeight="1">
      <c r="B1020" s="464">
        <v>46045</v>
      </c>
      <c r="C1020" s="436" t="s">
        <v>251</v>
      </c>
      <c r="D1020" s="436" t="s">
        <v>1035</v>
      </c>
      <c r="E1020" s="436">
        <v>1</v>
      </c>
      <c r="F1020" s="467">
        <v>2.35</v>
      </c>
      <c r="G1020" s="466">
        <v>2.35</v>
      </c>
      <c r="H1020" s="466">
        <f>G1020/1.1</f>
        <v>2.1363636363636362</v>
      </c>
      <c r="I1020" s="436"/>
      <c r="J1020" s="465">
        <v>0</v>
      </c>
      <c r="K1020" s="467">
        <v>0</v>
      </c>
    </row>
    <row r="1021" spans="2:11" ht="19" customHeight="1">
      <c r="B1021" s="464">
        <v>46045</v>
      </c>
      <c r="C1021" s="436" t="s">
        <v>894</v>
      </c>
      <c r="D1021" s="436" t="s">
        <v>1001</v>
      </c>
      <c r="E1021" s="436">
        <v>1</v>
      </c>
      <c r="F1021" s="467">
        <v>5.7</v>
      </c>
      <c r="G1021" s="466">
        <v>5.7</v>
      </c>
      <c r="H1021" s="466">
        <f>G1021/1.1</f>
        <v>5.1818181818181817</v>
      </c>
      <c r="I1021" s="436"/>
      <c r="J1021" s="465">
        <v>0</v>
      </c>
      <c r="K1021" s="467">
        <v>0</v>
      </c>
    </row>
    <row r="1022" spans="2:11" ht="19" customHeight="1">
      <c r="B1022" s="464">
        <v>46045</v>
      </c>
      <c r="C1022" s="436" t="s">
        <v>264</v>
      </c>
      <c r="D1022" s="436" t="s">
        <v>1006</v>
      </c>
      <c r="E1022" s="436">
        <v>1</v>
      </c>
      <c r="F1022" s="467">
        <v>1.5</v>
      </c>
      <c r="G1022" s="466">
        <v>1.5</v>
      </c>
      <c r="H1022" s="466">
        <f>G1022/1.1</f>
        <v>1.3636363636363635</v>
      </c>
      <c r="I1022" s="436"/>
      <c r="J1022" s="465">
        <v>0</v>
      </c>
      <c r="K1022" s="467">
        <v>0</v>
      </c>
    </row>
    <row r="1023" spans="2:11" ht="19" customHeight="1">
      <c r="B1023" s="464">
        <v>46045</v>
      </c>
      <c r="C1023" s="436" t="s">
        <v>247</v>
      </c>
      <c r="D1023" s="436" t="s">
        <v>246</v>
      </c>
      <c r="E1023" s="436">
        <v>1</v>
      </c>
      <c r="F1023" s="467">
        <v>1.7</v>
      </c>
      <c r="G1023" s="466">
        <v>1.7</v>
      </c>
      <c r="H1023" s="466">
        <f>G1023/1.1</f>
        <v>1.5454545454545452</v>
      </c>
      <c r="I1023" s="436"/>
      <c r="J1023" s="465">
        <v>0</v>
      </c>
      <c r="K1023" s="467">
        <v>0</v>
      </c>
    </row>
    <row r="1024" spans="2:11" ht="19" customHeight="1">
      <c r="B1024" s="464">
        <v>46045</v>
      </c>
      <c r="C1024" s="436" t="s">
        <v>247</v>
      </c>
      <c r="D1024" s="436" t="s">
        <v>246</v>
      </c>
      <c r="E1024" s="436">
        <v>1</v>
      </c>
      <c r="F1024" s="467">
        <v>1.7</v>
      </c>
      <c r="G1024" s="466">
        <v>1.7</v>
      </c>
      <c r="H1024" s="466">
        <f>G1024/1.1</f>
        <v>1.5454545454545452</v>
      </c>
      <c r="I1024" s="436"/>
      <c r="J1024" s="465">
        <v>0</v>
      </c>
      <c r="K1024" s="467">
        <v>0</v>
      </c>
    </row>
    <row r="1025" spans="2:11" ht="19" customHeight="1">
      <c r="B1025" s="464">
        <v>46045</v>
      </c>
      <c r="C1025" s="436" t="s">
        <v>862</v>
      </c>
      <c r="D1025" s="436" t="s">
        <v>907</v>
      </c>
      <c r="E1025" s="436">
        <v>1</v>
      </c>
      <c r="F1025" s="467">
        <v>0.15</v>
      </c>
      <c r="G1025" s="466">
        <v>0.15</v>
      </c>
      <c r="H1025" s="466">
        <f>G1025/1.1</f>
        <v>0.13636363636363635</v>
      </c>
      <c r="I1025" s="436"/>
      <c r="J1025" s="465">
        <v>0</v>
      </c>
      <c r="K1025" s="467">
        <v>0</v>
      </c>
    </row>
    <row r="1026" spans="2:11" ht="19" customHeight="1">
      <c r="B1026" s="464">
        <v>46045</v>
      </c>
      <c r="C1026" s="436" t="s">
        <v>268</v>
      </c>
      <c r="D1026" s="436" t="s">
        <v>859</v>
      </c>
      <c r="E1026" s="436">
        <v>1</v>
      </c>
      <c r="F1026" s="467">
        <v>0.75</v>
      </c>
      <c r="G1026" s="466">
        <v>0.75</v>
      </c>
      <c r="H1026" s="466">
        <f>G1026/1.1</f>
        <v>0.68181818181818177</v>
      </c>
      <c r="I1026" s="436"/>
      <c r="J1026" s="465">
        <v>0</v>
      </c>
      <c r="K1026" s="467">
        <v>0</v>
      </c>
    </row>
    <row r="1027" spans="2:11" ht="19" customHeight="1">
      <c r="B1027" s="464">
        <v>46045</v>
      </c>
      <c r="C1027" s="436" t="s">
        <v>247</v>
      </c>
      <c r="D1027" s="436" t="s">
        <v>248</v>
      </c>
      <c r="E1027" s="436">
        <v>1</v>
      </c>
      <c r="F1027" s="467">
        <v>1.5</v>
      </c>
      <c r="G1027" s="466">
        <v>1.5</v>
      </c>
      <c r="H1027" s="466">
        <f>G1027/1.1</f>
        <v>1.3636363636363635</v>
      </c>
      <c r="I1027" s="436"/>
      <c r="J1027" s="465">
        <v>0</v>
      </c>
      <c r="K1027" s="467">
        <v>0</v>
      </c>
    </row>
    <row r="1028" spans="2:11" ht="19" customHeight="1">
      <c r="B1028" s="464">
        <v>46045</v>
      </c>
      <c r="C1028" s="436" t="s">
        <v>247</v>
      </c>
      <c r="D1028" s="436" t="s">
        <v>246</v>
      </c>
      <c r="E1028" s="436">
        <v>1</v>
      </c>
      <c r="F1028" s="467">
        <v>1.7</v>
      </c>
      <c r="G1028" s="466">
        <v>1.7</v>
      </c>
      <c r="H1028" s="466">
        <f>G1028/1.1</f>
        <v>1.5454545454545452</v>
      </c>
      <c r="I1028" s="436"/>
      <c r="J1028" s="465">
        <v>0</v>
      </c>
      <c r="K1028" s="467">
        <v>0</v>
      </c>
    </row>
    <row r="1029" spans="2:11" ht="19" customHeight="1">
      <c r="B1029" s="464">
        <v>46045</v>
      </c>
      <c r="C1029" s="436" t="s">
        <v>247</v>
      </c>
      <c r="D1029" s="436" t="s">
        <v>902</v>
      </c>
      <c r="E1029" s="436">
        <v>1</v>
      </c>
      <c r="F1029" s="467">
        <v>1.95</v>
      </c>
      <c r="G1029" s="466">
        <v>1.95</v>
      </c>
      <c r="H1029" s="466">
        <f>G1029/1.1</f>
        <v>1.7727272727272725</v>
      </c>
      <c r="I1029" s="436"/>
      <c r="J1029" s="465">
        <v>0</v>
      </c>
      <c r="K1029" s="467">
        <v>0</v>
      </c>
    </row>
    <row r="1030" spans="2:11" ht="19" customHeight="1">
      <c r="B1030" s="464">
        <v>46045</v>
      </c>
      <c r="C1030" s="436" t="s">
        <v>247</v>
      </c>
      <c r="D1030" s="436" t="s">
        <v>246</v>
      </c>
      <c r="E1030" s="436">
        <v>2</v>
      </c>
      <c r="F1030" s="467">
        <v>1.7</v>
      </c>
      <c r="G1030" s="466">
        <v>3.4</v>
      </c>
      <c r="H1030" s="466">
        <f>G1030/1.1</f>
        <v>3.0909090909090904</v>
      </c>
      <c r="I1030" s="436"/>
      <c r="J1030" s="465">
        <v>0</v>
      </c>
      <c r="K1030" s="467">
        <v>0</v>
      </c>
    </row>
    <row r="1031" spans="2:11" ht="19" customHeight="1">
      <c r="B1031" s="464">
        <v>46045</v>
      </c>
      <c r="C1031" s="436" t="s">
        <v>268</v>
      </c>
      <c r="D1031" s="436" t="s">
        <v>860</v>
      </c>
      <c r="E1031" s="436">
        <v>1</v>
      </c>
      <c r="F1031" s="467">
        <v>2.25</v>
      </c>
      <c r="G1031" s="466">
        <v>2.25</v>
      </c>
      <c r="H1031" s="466">
        <f>G1031/1.1</f>
        <v>2.0454545454545454</v>
      </c>
      <c r="I1031" s="436"/>
      <c r="J1031" s="465">
        <v>0</v>
      </c>
      <c r="K1031" s="467">
        <v>0</v>
      </c>
    </row>
    <row r="1032" spans="2:11" ht="19" customHeight="1">
      <c r="B1032" s="464">
        <v>46045</v>
      </c>
      <c r="C1032" s="436" t="s">
        <v>328</v>
      </c>
      <c r="D1032" s="436" t="s">
        <v>735</v>
      </c>
      <c r="E1032" s="436">
        <v>1</v>
      </c>
      <c r="F1032" s="467">
        <v>3.1</v>
      </c>
      <c r="G1032" s="466">
        <v>3.1</v>
      </c>
      <c r="H1032" s="466">
        <f>G1032/1.1</f>
        <v>2.8181818181818179</v>
      </c>
      <c r="I1032" s="436"/>
      <c r="J1032" s="465">
        <v>0</v>
      </c>
      <c r="K1032" s="467">
        <v>0</v>
      </c>
    </row>
    <row r="1033" spans="2:11" ht="19" customHeight="1">
      <c r="B1033" s="464">
        <v>46045</v>
      </c>
      <c r="C1033" s="436" t="s">
        <v>247</v>
      </c>
      <c r="D1033" s="436" t="s">
        <v>246</v>
      </c>
      <c r="E1033" s="436">
        <v>1</v>
      </c>
      <c r="F1033" s="467">
        <v>1.7</v>
      </c>
      <c r="G1033" s="466">
        <v>1.7</v>
      </c>
      <c r="H1033" s="466">
        <f>G1033/1.1</f>
        <v>1.5454545454545452</v>
      </c>
      <c r="I1033" s="436"/>
      <c r="J1033" s="465">
        <v>0</v>
      </c>
      <c r="K1033" s="467">
        <v>0</v>
      </c>
    </row>
    <row r="1034" spans="2:11" ht="19" customHeight="1">
      <c r="B1034" s="464">
        <v>46045</v>
      </c>
      <c r="C1034" s="436" t="s">
        <v>327</v>
      </c>
      <c r="D1034" s="436" t="s">
        <v>1036</v>
      </c>
      <c r="E1034" s="436">
        <v>1</v>
      </c>
      <c r="F1034" s="467">
        <v>5.0999999999999996</v>
      </c>
      <c r="G1034" s="466">
        <v>5.0999999999999996</v>
      </c>
      <c r="H1034" s="466">
        <f>G1034/1.1</f>
        <v>4.6363636363636358</v>
      </c>
      <c r="I1034" s="436"/>
      <c r="J1034" s="465">
        <v>0</v>
      </c>
      <c r="K1034" s="467">
        <v>0</v>
      </c>
    </row>
    <row r="1035" spans="2:11" ht="19" customHeight="1">
      <c r="B1035" s="464">
        <v>46045</v>
      </c>
      <c r="C1035" s="436" t="s">
        <v>955</v>
      </c>
      <c r="D1035" s="436" t="s">
        <v>956</v>
      </c>
      <c r="E1035" s="436">
        <v>1</v>
      </c>
      <c r="F1035" s="467">
        <v>1.75</v>
      </c>
      <c r="G1035" s="466">
        <v>1.75</v>
      </c>
      <c r="H1035" s="466">
        <f>G1035/1.1</f>
        <v>1.5909090909090908</v>
      </c>
      <c r="I1035" s="436"/>
      <c r="J1035" s="465">
        <v>0</v>
      </c>
      <c r="K1035" s="467">
        <v>0</v>
      </c>
    </row>
    <row r="1036" spans="2:11" ht="19" customHeight="1">
      <c r="B1036" s="464">
        <v>46045</v>
      </c>
      <c r="C1036" s="436" t="s">
        <v>247</v>
      </c>
      <c r="D1036" s="436" t="s">
        <v>246</v>
      </c>
      <c r="E1036" s="436">
        <v>1</v>
      </c>
      <c r="F1036" s="467">
        <v>1.7</v>
      </c>
      <c r="G1036" s="466">
        <v>1.7</v>
      </c>
      <c r="H1036" s="466">
        <f>G1036/1.1</f>
        <v>1.5454545454545452</v>
      </c>
      <c r="I1036" s="436"/>
      <c r="J1036" s="465">
        <v>0</v>
      </c>
      <c r="K1036" s="467">
        <v>0</v>
      </c>
    </row>
    <row r="1037" spans="2:11" ht="19" customHeight="1">
      <c r="B1037" s="464">
        <v>46045</v>
      </c>
      <c r="C1037" s="436" t="s">
        <v>247</v>
      </c>
      <c r="D1037" s="436" t="s">
        <v>246</v>
      </c>
      <c r="E1037" s="436">
        <v>1</v>
      </c>
      <c r="F1037" s="467">
        <v>1.7</v>
      </c>
      <c r="G1037" s="466">
        <v>1.7</v>
      </c>
      <c r="H1037" s="466">
        <f>G1037/1.1</f>
        <v>1.5454545454545452</v>
      </c>
      <c r="I1037" s="436"/>
      <c r="J1037" s="465">
        <v>0</v>
      </c>
      <c r="K1037" s="467">
        <v>0</v>
      </c>
    </row>
    <row r="1038" spans="2:11" ht="19" customHeight="1">
      <c r="B1038" s="464">
        <v>46045</v>
      </c>
      <c r="C1038" s="436" t="s">
        <v>862</v>
      </c>
      <c r="D1038" s="436" t="s">
        <v>907</v>
      </c>
      <c r="E1038" s="436">
        <v>1</v>
      </c>
      <c r="F1038" s="467">
        <v>0.15</v>
      </c>
      <c r="G1038" s="466">
        <v>0.15</v>
      </c>
      <c r="H1038" s="466">
        <f>G1038/1.1</f>
        <v>0.13636363636363635</v>
      </c>
      <c r="I1038" s="436"/>
      <c r="J1038" s="465">
        <v>0</v>
      </c>
      <c r="K1038" s="467">
        <v>0</v>
      </c>
    </row>
    <row r="1039" spans="2:11" ht="19" customHeight="1">
      <c r="B1039" s="464">
        <v>46045</v>
      </c>
      <c r="C1039" s="436" t="s">
        <v>247</v>
      </c>
      <c r="D1039" s="436" t="s">
        <v>246</v>
      </c>
      <c r="E1039" s="436">
        <v>1</v>
      </c>
      <c r="F1039" s="467">
        <v>1.7</v>
      </c>
      <c r="G1039" s="466">
        <v>1.7</v>
      </c>
      <c r="H1039" s="466">
        <f>G1039/1.1</f>
        <v>1.5454545454545452</v>
      </c>
      <c r="I1039" s="436"/>
      <c r="J1039" s="465">
        <v>0</v>
      </c>
      <c r="K1039" s="467">
        <v>0</v>
      </c>
    </row>
    <row r="1040" spans="2:11" ht="19" customHeight="1">
      <c r="B1040" s="464">
        <v>46045</v>
      </c>
      <c r="C1040" s="436" t="s">
        <v>328</v>
      </c>
      <c r="D1040" s="436" t="s">
        <v>761</v>
      </c>
      <c r="E1040" s="436">
        <v>1</v>
      </c>
      <c r="F1040" s="467">
        <v>3.1</v>
      </c>
      <c r="G1040" s="466">
        <v>3.1</v>
      </c>
      <c r="H1040" s="466">
        <f>G1040/1.1</f>
        <v>2.8181818181818179</v>
      </c>
      <c r="I1040" s="436"/>
      <c r="J1040" s="465">
        <v>0</v>
      </c>
      <c r="K1040" s="467">
        <v>0</v>
      </c>
    </row>
    <row r="1041" spans="2:11" ht="19" customHeight="1">
      <c r="B1041" s="464">
        <v>46045</v>
      </c>
      <c r="C1041" s="436" t="s">
        <v>251</v>
      </c>
      <c r="D1041" s="436" t="s">
        <v>742</v>
      </c>
      <c r="E1041" s="436">
        <v>2</v>
      </c>
      <c r="F1041" s="467">
        <v>2.75</v>
      </c>
      <c r="G1041" s="466">
        <v>5.5</v>
      </c>
      <c r="H1041" s="466">
        <f>G1041/1.1</f>
        <v>5</v>
      </c>
      <c r="I1041" s="436"/>
      <c r="J1041" s="465">
        <v>0</v>
      </c>
      <c r="K1041" s="467">
        <v>0</v>
      </c>
    </row>
    <row r="1042" spans="2:11" ht="19" customHeight="1">
      <c r="B1042" s="464">
        <v>46045</v>
      </c>
      <c r="C1042" s="436" t="s">
        <v>247</v>
      </c>
      <c r="D1042" s="436" t="s">
        <v>248</v>
      </c>
      <c r="E1042" s="436">
        <v>1</v>
      </c>
      <c r="F1042" s="467">
        <v>1.5</v>
      </c>
      <c r="G1042" s="466">
        <v>1.5</v>
      </c>
      <c r="H1042" s="466">
        <f>G1042/1.1</f>
        <v>1.3636363636363635</v>
      </c>
      <c r="I1042" s="436"/>
      <c r="J1042" s="465">
        <v>0</v>
      </c>
      <c r="K1042" s="467">
        <v>0</v>
      </c>
    </row>
    <row r="1043" spans="2:11" ht="19" customHeight="1">
      <c r="B1043" s="464">
        <v>46045</v>
      </c>
      <c r="C1043" s="436" t="s">
        <v>328</v>
      </c>
      <c r="D1043" s="436" t="s">
        <v>761</v>
      </c>
      <c r="E1043" s="436">
        <v>1</v>
      </c>
      <c r="F1043" s="467">
        <v>3.1</v>
      </c>
      <c r="G1043" s="466">
        <v>3.1</v>
      </c>
      <c r="H1043" s="466">
        <f>G1043/1.1</f>
        <v>2.8181818181818179</v>
      </c>
      <c r="I1043" s="436"/>
      <c r="J1043" s="465">
        <v>0</v>
      </c>
      <c r="K1043" s="467">
        <v>0</v>
      </c>
    </row>
    <row r="1044" spans="2:11" ht="19" customHeight="1">
      <c r="B1044" s="464">
        <v>46045</v>
      </c>
      <c r="C1044" s="436" t="s">
        <v>328</v>
      </c>
      <c r="D1044" s="436" t="s">
        <v>769</v>
      </c>
      <c r="E1044" s="436">
        <v>1</v>
      </c>
      <c r="F1044" s="467">
        <v>5.4</v>
      </c>
      <c r="G1044" s="466">
        <v>5.4</v>
      </c>
      <c r="H1044" s="466">
        <f>G1044/1.1</f>
        <v>4.9090909090909092</v>
      </c>
      <c r="I1044" s="436"/>
      <c r="J1044" s="465">
        <v>0</v>
      </c>
      <c r="K1044" s="467">
        <v>0</v>
      </c>
    </row>
    <row r="1045" spans="2:11" ht="19" customHeight="1">
      <c r="B1045" s="464">
        <v>46045</v>
      </c>
      <c r="C1045" s="436" t="s">
        <v>247</v>
      </c>
      <c r="D1045" s="436" t="s">
        <v>246</v>
      </c>
      <c r="E1045" s="436">
        <v>2</v>
      </c>
      <c r="F1045" s="467">
        <v>1.7</v>
      </c>
      <c r="G1045" s="466">
        <v>3.4</v>
      </c>
      <c r="H1045" s="466">
        <f>G1045/1.1</f>
        <v>3.0909090909090904</v>
      </c>
      <c r="I1045" s="436"/>
      <c r="J1045" s="465">
        <v>0</v>
      </c>
      <c r="K1045" s="467">
        <v>0</v>
      </c>
    </row>
    <row r="1046" spans="2:11" ht="19" customHeight="1">
      <c r="B1046" s="464">
        <v>46045</v>
      </c>
      <c r="C1046" s="436" t="s">
        <v>862</v>
      </c>
      <c r="D1046" s="436" t="s">
        <v>899</v>
      </c>
      <c r="E1046" s="436">
        <v>1</v>
      </c>
      <c r="F1046" s="467">
        <v>0.05</v>
      </c>
      <c r="G1046" s="466">
        <v>0.05</v>
      </c>
      <c r="H1046" s="466">
        <f>G1046/1.1</f>
        <v>4.5454545454545456E-2</v>
      </c>
      <c r="I1046" s="436"/>
      <c r="J1046" s="465">
        <v>0</v>
      </c>
      <c r="K1046" s="467">
        <v>0</v>
      </c>
    </row>
    <row r="1047" spans="2:11" ht="19" customHeight="1">
      <c r="B1047" s="464">
        <v>46045</v>
      </c>
      <c r="C1047" s="436" t="s">
        <v>862</v>
      </c>
      <c r="D1047" s="436" t="s">
        <v>907</v>
      </c>
      <c r="E1047" s="436">
        <v>2</v>
      </c>
      <c r="F1047" s="467">
        <v>0.15</v>
      </c>
      <c r="G1047" s="466">
        <v>0.3</v>
      </c>
      <c r="H1047" s="466">
        <f>G1047/1.1</f>
        <v>0.27272727272727271</v>
      </c>
      <c r="I1047" s="436"/>
      <c r="J1047" s="465">
        <v>0</v>
      </c>
      <c r="K1047" s="467">
        <v>0</v>
      </c>
    </row>
    <row r="1048" spans="2:11" ht="19" customHeight="1">
      <c r="B1048" s="464">
        <v>46045</v>
      </c>
      <c r="C1048" s="436" t="s">
        <v>894</v>
      </c>
      <c r="D1048" s="436" t="s">
        <v>950</v>
      </c>
      <c r="E1048" s="436">
        <v>1</v>
      </c>
      <c r="F1048" s="467">
        <v>5.7</v>
      </c>
      <c r="G1048" s="466">
        <v>5.7</v>
      </c>
      <c r="H1048" s="466">
        <f>G1048/1.1</f>
        <v>5.1818181818181817</v>
      </c>
      <c r="I1048" s="436"/>
      <c r="J1048" s="465">
        <v>0</v>
      </c>
      <c r="K1048" s="467">
        <v>0</v>
      </c>
    </row>
    <row r="1049" spans="2:11" ht="19" customHeight="1">
      <c r="B1049" s="464">
        <v>46045</v>
      </c>
      <c r="C1049" s="436" t="s">
        <v>264</v>
      </c>
      <c r="D1049" s="436" t="s">
        <v>1037</v>
      </c>
      <c r="E1049" s="436">
        <v>1</v>
      </c>
      <c r="F1049" s="467">
        <v>0.55000000000000004</v>
      </c>
      <c r="G1049" s="466">
        <v>0.55000000000000004</v>
      </c>
      <c r="H1049" s="466">
        <f>G1049/1.1</f>
        <v>0.5</v>
      </c>
      <c r="I1049" s="436"/>
      <c r="J1049" s="465">
        <v>0</v>
      </c>
      <c r="K1049" s="467">
        <v>0</v>
      </c>
    </row>
    <row r="1050" spans="2:11" ht="19" customHeight="1">
      <c r="B1050" s="464">
        <v>46045</v>
      </c>
      <c r="C1050" s="436" t="s">
        <v>264</v>
      </c>
      <c r="D1050" s="436" t="s">
        <v>891</v>
      </c>
      <c r="E1050" s="436">
        <v>1</v>
      </c>
      <c r="F1050" s="467">
        <v>0.7</v>
      </c>
      <c r="G1050" s="466">
        <v>0.7</v>
      </c>
      <c r="H1050" s="466">
        <f>G1050/1.1</f>
        <v>0.63636363636363624</v>
      </c>
      <c r="I1050" s="436"/>
      <c r="J1050" s="465">
        <v>0</v>
      </c>
      <c r="K1050" s="467">
        <v>0</v>
      </c>
    </row>
    <row r="1051" spans="2:11" ht="19" customHeight="1">
      <c r="B1051" s="464">
        <v>46045</v>
      </c>
      <c r="C1051" s="436" t="s">
        <v>251</v>
      </c>
      <c r="D1051" s="436" t="s">
        <v>742</v>
      </c>
      <c r="E1051" s="436">
        <v>1</v>
      </c>
      <c r="F1051" s="467">
        <v>2.75</v>
      </c>
      <c r="G1051" s="466">
        <v>2.75</v>
      </c>
      <c r="H1051" s="466">
        <f>G1051/1.1</f>
        <v>2.5</v>
      </c>
      <c r="I1051" s="436"/>
      <c r="J1051" s="465">
        <v>0</v>
      </c>
      <c r="K1051" s="467">
        <v>0</v>
      </c>
    </row>
    <row r="1052" spans="2:11" ht="19" customHeight="1">
      <c r="B1052" s="464">
        <v>46045</v>
      </c>
      <c r="C1052" s="436" t="s">
        <v>247</v>
      </c>
      <c r="D1052" s="436" t="s">
        <v>246</v>
      </c>
      <c r="E1052" s="436">
        <v>1</v>
      </c>
      <c r="F1052" s="467">
        <v>1.75</v>
      </c>
      <c r="G1052" s="466">
        <v>1.75</v>
      </c>
      <c r="H1052" s="466">
        <f>G1052/1.1</f>
        <v>1.5909090909090908</v>
      </c>
      <c r="I1052" s="436"/>
      <c r="J1052" s="465">
        <v>0</v>
      </c>
      <c r="K1052" s="467">
        <v>0</v>
      </c>
    </row>
    <row r="1053" spans="2:11" ht="19" customHeight="1">
      <c r="B1053" s="464">
        <v>46045</v>
      </c>
      <c r="C1053" s="436" t="s">
        <v>328</v>
      </c>
      <c r="D1053" s="436" t="s">
        <v>1038</v>
      </c>
      <c r="E1053" s="436">
        <v>1</v>
      </c>
      <c r="F1053" s="467">
        <v>11.85</v>
      </c>
      <c r="G1053" s="466">
        <v>11.85</v>
      </c>
      <c r="H1053" s="466">
        <f>G1053/1.1</f>
        <v>10.772727272727272</v>
      </c>
      <c r="I1053" s="436"/>
      <c r="J1053" s="465">
        <v>0</v>
      </c>
      <c r="K1053" s="467">
        <v>0</v>
      </c>
    </row>
    <row r="1054" spans="2:11" ht="19" customHeight="1">
      <c r="B1054" s="464">
        <v>46045</v>
      </c>
      <c r="C1054" s="436" t="s">
        <v>247</v>
      </c>
      <c r="D1054" s="436" t="s">
        <v>248</v>
      </c>
      <c r="E1054" s="436">
        <v>1</v>
      </c>
      <c r="F1054" s="467">
        <v>1.5</v>
      </c>
      <c r="G1054" s="466">
        <v>1.5</v>
      </c>
      <c r="H1054" s="466">
        <f>G1054/1.1</f>
        <v>1.3636363636363635</v>
      </c>
      <c r="I1054" s="436"/>
      <c r="J1054" s="465">
        <v>0</v>
      </c>
      <c r="K1054" s="467">
        <v>0</v>
      </c>
    </row>
    <row r="1055" spans="2:11" ht="19" customHeight="1">
      <c r="B1055" s="464">
        <v>46045</v>
      </c>
      <c r="C1055" s="436" t="s">
        <v>247</v>
      </c>
      <c r="D1055" s="436" t="s">
        <v>246</v>
      </c>
      <c r="E1055" s="436">
        <v>1</v>
      </c>
      <c r="F1055" s="467">
        <v>1.7</v>
      </c>
      <c r="G1055" s="466">
        <v>1.7</v>
      </c>
      <c r="H1055" s="466">
        <f>G1055/1.1</f>
        <v>1.5454545454545452</v>
      </c>
      <c r="I1055" s="436"/>
      <c r="J1055" s="465">
        <v>0</v>
      </c>
      <c r="K1055" s="467">
        <v>0</v>
      </c>
    </row>
    <row r="1056" spans="2:11" ht="19" customHeight="1">
      <c r="B1056" s="464">
        <v>46045</v>
      </c>
      <c r="C1056" s="436" t="s">
        <v>268</v>
      </c>
      <c r="D1056" s="436" t="s">
        <v>860</v>
      </c>
      <c r="E1056" s="436">
        <v>1</v>
      </c>
      <c r="F1056" s="467">
        <v>2.25</v>
      </c>
      <c r="G1056" s="466">
        <v>2.25</v>
      </c>
      <c r="H1056" s="466">
        <f>G1056/1.1</f>
        <v>2.0454545454545454</v>
      </c>
      <c r="I1056" s="436"/>
      <c r="J1056" s="465">
        <v>0</v>
      </c>
      <c r="K1056" s="467">
        <v>0</v>
      </c>
    </row>
    <row r="1057" spans="2:11" ht="19" customHeight="1">
      <c r="B1057" s="464">
        <v>46045</v>
      </c>
      <c r="C1057" s="436" t="s">
        <v>247</v>
      </c>
      <c r="D1057" s="436" t="s">
        <v>246</v>
      </c>
      <c r="E1057" s="436">
        <v>1</v>
      </c>
      <c r="F1057" s="467">
        <v>1.7</v>
      </c>
      <c r="G1057" s="466">
        <v>1.7</v>
      </c>
      <c r="H1057" s="466">
        <f>G1057/1.1</f>
        <v>1.5454545454545452</v>
      </c>
      <c r="I1057" s="436"/>
      <c r="J1057" s="465">
        <v>0</v>
      </c>
      <c r="K1057" s="467">
        <v>0</v>
      </c>
    </row>
    <row r="1058" spans="2:11" ht="19" customHeight="1">
      <c r="B1058" s="464">
        <v>46045</v>
      </c>
      <c r="C1058" s="436" t="s">
        <v>247</v>
      </c>
      <c r="D1058" s="436" t="s">
        <v>257</v>
      </c>
      <c r="E1058" s="436">
        <v>1</v>
      </c>
      <c r="F1058" s="467">
        <v>1.4</v>
      </c>
      <c r="G1058" s="466">
        <v>1.4</v>
      </c>
      <c r="H1058" s="466">
        <f>G1058/1.1</f>
        <v>1.2727272727272725</v>
      </c>
      <c r="I1058" s="436"/>
      <c r="J1058" s="465">
        <v>0</v>
      </c>
      <c r="K1058" s="467">
        <v>0</v>
      </c>
    </row>
    <row r="1059" spans="2:11" ht="19" customHeight="1">
      <c r="B1059" s="464">
        <v>46045</v>
      </c>
      <c r="C1059" s="436" t="s">
        <v>247</v>
      </c>
      <c r="D1059" s="436" t="s">
        <v>257</v>
      </c>
      <c r="E1059" s="436">
        <v>1</v>
      </c>
      <c r="F1059" s="467">
        <v>1.4</v>
      </c>
      <c r="G1059" s="466">
        <v>1.4</v>
      </c>
      <c r="H1059" s="466">
        <f>G1059/1.1</f>
        <v>1.2727272727272725</v>
      </c>
      <c r="I1059" s="436"/>
      <c r="J1059" s="465">
        <v>0</v>
      </c>
      <c r="K1059" s="467">
        <v>0</v>
      </c>
    </row>
    <row r="1060" spans="2:11" ht="19" customHeight="1">
      <c r="B1060" s="464">
        <v>46045</v>
      </c>
      <c r="C1060" s="436" t="s">
        <v>328</v>
      </c>
      <c r="D1060" s="436" t="s">
        <v>1039</v>
      </c>
      <c r="E1060" s="436">
        <v>1</v>
      </c>
      <c r="F1060" s="465">
        <v>4.5</v>
      </c>
      <c r="G1060" s="466">
        <v>4.5</v>
      </c>
      <c r="H1060" s="466">
        <f>G1060/1.1</f>
        <v>4.0909090909090908</v>
      </c>
      <c r="I1060" s="436"/>
      <c r="J1060" s="465">
        <v>0</v>
      </c>
      <c r="K1060" s="467">
        <v>0</v>
      </c>
    </row>
    <row r="1061" spans="2:11" ht="19" customHeight="1">
      <c r="B1061" s="464">
        <v>46045</v>
      </c>
      <c r="C1061" s="436" t="s">
        <v>247</v>
      </c>
      <c r="D1061" s="436" t="s">
        <v>246</v>
      </c>
      <c r="E1061" s="436">
        <v>2</v>
      </c>
      <c r="F1061" s="465">
        <v>1.7</v>
      </c>
      <c r="G1061" s="466">
        <v>3.4</v>
      </c>
      <c r="H1061" s="466">
        <f>G1061/1.1</f>
        <v>3.0909090909090904</v>
      </c>
      <c r="I1061" s="436"/>
      <c r="J1061" s="465">
        <v>0</v>
      </c>
      <c r="K1061" s="467">
        <v>0</v>
      </c>
    </row>
    <row r="1062" spans="2:11" ht="19" customHeight="1">
      <c r="B1062" s="464">
        <v>46045</v>
      </c>
      <c r="C1062" s="436" t="s">
        <v>862</v>
      </c>
      <c r="D1062" s="436" t="s">
        <v>907</v>
      </c>
      <c r="E1062" s="436">
        <v>1</v>
      </c>
      <c r="F1062" s="465">
        <v>0.15</v>
      </c>
      <c r="G1062" s="466">
        <v>0.15</v>
      </c>
      <c r="H1062" s="466">
        <f>G1062/1.1</f>
        <v>0.13636363636363635</v>
      </c>
      <c r="I1062" s="436"/>
      <c r="J1062" s="465">
        <v>0</v>
      </c>
      <c r="K1062" s="467">
        <v>0</v>
      </c>
    </row>
    <row r="1063" spans="2:11" ht="19" customHeight="1">
      <c r="B1063" s="464">
        <v>46045</v>
      </c>
      <c r="C1063" s="436" t="s">
        <v>254</v>
      </c>
      <c r="D1063" s="436" t="s">
        <v>254</v>
      </c>
      <c r="E1063" s="436">
        <v>1</v>
      </c>
      <c r="F1063" s="467">
        <v>14.9</v>
      </c>
      <c r="G1063" s="466">
        <v>14.9</v>
      </c>
      <c r="H1063" s="466">
        <f>G1063/1.1</f>
        <v>13.545454545454545</v>
      </c>
      <c r="I1063" s="436"/>
      <c r="J1063" s="465">
        <v>0</v>
      </c>
      <c r="K1063" s="467">
        <v>0</v>
      </c>
    </row>
    <row r="1064" spans="2:11" ht="19" customHeight="1">
      <c r="B1064" s="464">
        <v>46045</v>
      </c>
      <c r="C1064" s="436" t="s">
        <v>873</v>
      </c>
      <c r="D1064" s="436" t="s">
        <v>1026</v>
      </c>
      <c r="E1064" s="436">
        <v>1</v>
      </c>
      <c r="F1064" s="469"/>
      <c r="G1064" s="468" t="s">
        <v>875</v>
      </c>
      <c r="H1064" s="466" t="e">
        <f>G1064/1.1</f>
        <v>#VALUE!</v>
      </c>
      <c r="I1064" s="436"/>
      <c r="J1064" s="465">
        <v>0</v>
      </c>
      <c r="K1064" s="467">
        <v>0</v>
      </c>
    </row>
    <row r="1065" spans="2:11" ht="19" customHeight="1">
      <c r="B1065" s="464">
        <v>46045</v>
      </c>
      <c r="C1065" s="436" t="s">
        <v>877</v>
      </c>
      <c r="D1065" s="436" t="s">
        <v>1015</v>
      </c>
      <c r="E1065" s="436">
        <v>1</v>
      </c>
      <c r="F1065" s="469"/>
      <c r="G1065" s="468" t="s">
        <v>875</v>
      </c>
      <c r="H1065" s="466" t="e">
        <f>G1065/1.1</f>
        <v>#VALUE!</v>
      </c>
      <c r="I1065" s="436"/>
      <c r="J1065" s="465">
        <v>0</v>
      </c>
      <c r="K1065" s="467">
        <v>0</v>
      </c>
    </row>
    <row r="1066" spans="2:11" ht="19" customHeight="1">
      <c r="B1066" s="464">
        <v>46045</v>
      </c>
      <c r="C1066" s="436" t="s">
        <v>266</v>
      </c>
      <c r="D1066" s="436" t="s">
        <v>708</v>
      </c>
      <c r="E1066" s="436">
        <v>1</v>
      </c>
      <c r="F1066" s="469"/>
      <c r="G1066" s="468" t="s">
        <v>875</v>
      </c>
      <c r="H1066" s="466" t="e">
        <f>G1066/1.1</f>
        <v>#VALUE!</v>
      </c>
      <c r="I1066" s="436"/>
      <c r="J1066" s="465">
        <v>0</v>
      </c>
      <c r="K1066" s="467">
        <v>0</v>
      </c>
    </row>
    <row r="1067" spans="2:11" ht="19" customHeight="1">
      <c r="B1067" s="464">
        <v>46045</v>
      </c>
      <c r="C1067" s="436" t="s">
        <v>258</v>
      </c>
      <c r="D1067" s="436" t="s">
        <v>972</v>
      </c>
      <c r="E1067" s="436">
        <v>1</v>
      </c>
      <c r="F1067" s="469"/>
      <c r="G1067" s="468" t="s">
        <v>875</v>
      </c>
      <c r="H1067" s="466" t="e">
        <f>G1067/1.1</f>
        <v>#VALUE!</v>
      </c>
      <c r="I1067" s="436"/>
      <c r="J1067" s="465">
        <v>0</v>
      </c>
      <c r="K1067" s="467">
        <v>0</v>
      </c>
    </row>
    <row r="1068" spans="2:11" ht="19" customHeight="1">
      <c r="B1068" s="464">
        <v>46045</v>
      </c>
      <c r="C1068" s="436" t="s">
        <v>254</v>
      </c>
      <c r="D1068" s="436" t="s">
        <v>254</v>
      </c>
      <c r="E1068" s="436">
        <v>1</v>
      </c>
      <c r="F1068" s="465">
        <v>14.9</v>
      </c>
      <c r="G1068" s="466">
        <v>14.9</v>
      </c>
      <c r="H1068" s="466">
        <f>G1068/1.1</f>
        <v>13.545454545454545</v>
      </c>
      <c r="I1068" s="436"/>
      <c r="J1068" s="465">
        <v>0</v>
      </c>
      <c r="K1068" s="467">
        <v>0</v>
      </c>
    </row>
    <row r="1069" spans="2:11" ht="19" customHeight="1">
      <c r="B1069" s="464">
        <v>46045</v>
      </c>
      <c r="C1069" s="436" t="s">
        <v>873</v>
      </c>
      <c r="D1069" s="436" t="s">
        <v>1022</v>
      </c>
      <c r="E1069" s="436">
        <v>1</v>
      </c>
      <c r="F1069" s="436"/>
      <c r="G1069" s="468" t="s">
        <v>875</v>
      </c>
      <c r="H1069" s="466" t="e">
        <f>G1069/1.1</f>
        <v>#VALUE!</v>
      </c>
      <c r="I1069" s="436"/>
      <c r="J1069" s="465">
        <v>0</v>
      </c>
      <c r="K1069" s="467">
        <v>0</v>
      </c>
    </row>
    <row r="1070" spans="2:11" ht="19" customHeight="1">
      <c r="B1070" s="464">
        <v>46045</v>
      </c>
      <c r="C1070" s="436" t="s">
        <v>877</v>
      </c>
      <c r="D1070" s="436" t="s">
        <v>1023</v>
      </c>
      <c r="E1070" s="436">
        <v>1</v>
      </c>
      <c r="F1070" s="469"/>
      <c r="G1070" s="468" t="s">
        <v>875</v>
      </c>
      <c r="H1070" s="466" t="e">
        <f>G1070/1.1</f>
        <v>#VALUE!</v>
      </c>
      <c r="I1070" s="436"/>
      <c r="J1070" s="465">
        <v>0</v>
      </c>
      <c r="K1070" s="467">
        <v>0</v>
      </c>
    </row>
    <row r="1071" spans="2:11" ht="19" customHeight="1">
      <c r="B1071" s="464">
        <v>46045</v>
      </c>
      <c r="C1071" s="436" t="s">
        <v>266</v>
      </c>
      <c r="D1071" s="436" t="s">
        <v>1040</v>
      </c>
      <c r="E1071" s="436">
        <v>1</v>
      </c>
      <c r="F1071" s="469"/>
      <c r="G1071" s="468" t="s">
        <v>875</v>
      </c>
      <c r="H1071" s="466" t="e">
        <f>G1071/1.1</f>
        <v>#VALUE!</v>
      </c>
      <c r="I1071" s="436"/>
      <c r="J1071" s="465">
        <v>0</v>
      </c>
      <c r="K1071" s="467">
        <v>0</v>
      </c>
    </row>
    <row r="1072" spans="2:11" ht="19" customHeight="1">
      <c r="B1072" s="464">
        <v>46045</v>
      </c>
      <c r="C1072" s="436" t="s">
        <v>258</v>
      </c>
      <c r="D1072" s="436" t="s">
        <v>882</v>
      </c>
      <c r="E1072" s="436">
        <v>1</v>
      </c>
      <c r="F1072" s="436"/>
      <c r="G1072" s="468" t="s">
        <v>875</v>
      </c>
      <c r="H1072" s="466" t="e">
        <f>G1072/1.1</f>
        <v>#VALUE!</v>
      </c>
      <c r="I1072" s="436"/>
      <c r="J1072" s="465">
        <v>0</v>
      </c>
      <c r="K1072" s="467">
        <v>0</v>
      </c>
    </row>
    <row r="1073" spans="2:11" ht="19" customHeight="1">
      <c r="B1073" s="464">
        <v>46045</v>
      </c>
      <c r="C1073" s="436" t="s">
        <v>254</v>
      </c>
      <c r="D1073" s="436" t="s">
        <v>254</v>
      </c>
      <c r="E1073" s="436">
        <v>1</v>
      </c>
      <c r="F1073" s="465">
        <v>14.9</v>
      </c>
      <c r="G1073" s="466">
        <v>14.9</v>
      </c>
      <c r="H1073" s="466">
        <f>G1073/1.1</f>
        <v>13.545454545454545</v>
      </c>
      <c r="I1073" s="436"/>
      <c r="J1073" s="465">
        <v>0</v>
      </c>
      <c r="K1073" s="467">
        <v>0</v>
      </c>
    </row>
    <row r="1074" spans="2:11" ht="19" customHeight="1">
      <c r="B1074" s="464">
        <v>46045</v>
      </c>
      <c r="C1074" s="436" t="s">
        <v>873</v>
      </c>
      <c r="D1074" s="436" t="s">
        <v>1014</v>
      </c>
      <c r="E1074" s="436">
        <v>3</v>
      </c>
      <c r="F1074" s="469"/>
      <c r="G1074" s="468" t="s">
        <v>875</v>
      </c>
      <c r="H1074" s="466" t="e">
        <f>G1074/1.1</f>
        <v>#VALUE!</v>
      </c>
      <c r="I1074" s="436"/>
      <c r="J1074" s="465">
        <v>0</v>
      </c>
      <c r="K1074" s="467">
        <v>0</v>
      </c>
    </row>
    <row r="1075" spans="2:11" ht="19" customHeight="1">
      <c r="B1075" s="464">
        <v>46045</v>
      </c>
      <c r="C1075" s="436" t="s">
        <v>877</v>
      </c>
      <c r="D1075" s="436" t="s">
        <v>1015</v>
      </c>
      <c r="E1075" s="436">
        <v>1</v>
      </c>
      <c r="F1075" s="469"/>
      <c r="G1075" s="468" t="s">
        <v>875</v>
      </c>
      <c r="H1075" s="466" t="e">
        <f>G1075/1.1</f>
        <v>#VALUE!</v>
      </c>
      <c r="I1075" s="436"/>
      <c r="J1075" s="465">
        <v>0</v>
      </c>
      <c r="K1075" s="467">
        <v>0</v>
      </c>
    </row>
    <row r="1076" spans="2:11" ht="19" customHeight="1">
      <c r="B1076" s="464">
        <v>46045</v>
      </c>
      <c r="C1076" s="436" t="s">
        <v>266</v>
      </c>
      <c r="D1076" s="436" t="s">
        <v>991</v>
      </c>
      <c r="E1076" s="436">
        <v>1</v>
      </c>
      <c r="F1076" s="469"/>
      <c r="G1076" s="468" t="s">
        <v>875</v>
      </c>
      <c r="H1076" s="466" t="e">
        <f>G1076/1.1</f>
        <v>#VALUE!</v>
      </c>
      <c r="I1076" s="436"/>
      <c r="J1076" s="467">
        <v>0</v>
      </c>
      <c r="K1076" s="467">
        <v>0</v>
      </c>
    </row>
    <row r="1077" spans="2:11" ht="19" customHeight="1">
      <c r="B1077" s="464">
        <v>46045</v>
      </c>
      <c r="C1077" s="436" t="s">
        <v>247</v>
      </c>
      <c r="D1077" s="436" t="s">
        <v>246</v>
      </c>
      <c r="E1077" s="436">
        <v>1</v>
      </c>
      <c r="F1077" s="465">
        <v>1.7</v>
      </c>
      <c r="G1077" s="466">
        <v>1.7</v>
      </c>
      <c r="H1077" s="466">
        <f>G1077/1.1</f>
        <v>1.5454545454545452</v>
      </c>
      <c r="I1077" s="436"/>
      <c r="J1077" s="465">
        <v>0</v>
      </c>
      <c r="K1077" s="467">
        <v>0</v>
      </c>
    </row>
    <row r="1078" spans="2:11" ht="19" customHeight="1">
      <c r="B1078" s="464">
        <v>46045</v>
      </c>
      <c r="C1078" s="436" t="s">
        <v>254</v>
      </c>
      <c r="D1078" s="436" t="s">
        <v>254</v>
      </c>
      <c r="E1078" s="436">
        <v>2</v>
      </c>
      <c r="F1078" s="467">
        <v>14.9</v>
      </c>
      <c r="G1078" s="466">
        <v>29.8</v>
      </c>
      <c r="H1078" s="466">
        <f>G1078/1.1</f>
        <v>27.09090909090909</v>
      </c>
      <c r="I1078" s="436"/>
      <c r="J1078" s="465">
        <v>0</v>
      </c>
      <c r="K1078" s="467">
        <v>0</v>
      </c>
    </row>
    <row r="1079" spans="2:11" ht="19" customHeight="1">
      <c r="B1079" s="464">
        <v>46045</v>
      </c>
      <c r="C1079" s="436" t="s">
        <v>873</v>
      </c>
      <c r="D1079" s="436" t="s">
        <v>1014</v>
      </c>
      <c r="E1079" s="436">
        <v>1</v>
      </c>
      <c r="F1079" s="465">
        <v>3</v>
      </c>
      <c r="G1079" s="466">
        <v>3</v>
      </c>
      <c r="H1079" s="466">
        <f>G1079/1.1</f>
        <v>2.7272727272727271</v>
      </c>
      <c r="I1079" s="436"/>
      <c r="J1079" s="465">
        <v>0</v>
      </c>
      <c r="K1079" s="467">
        <v>0</v>
      </c>
    </row>
    <row r="1080" spans="2:11" ht="19" customHeight="1">
      <c r="B1080" s="464">
        <v>46045</v>
      </c>
      <c r="C1080" s="436" t="s">
        <v>873</v>
      </c>
      <c r="D1080" s="436" t="s">
        <v>1026</v>
      </c>
      <c r="E1080" s="436">
        <v>1</v>
      </c>
      <c r="F1080" s="469"/>
      <c r="G1080" s="468" t="s">
        <v>875</v>
      </c>
      <c r="H1080" s="466" t="e">
        <f>G1080/1.1</f>
        <v>#VALUE!</v>
      </c>
      <c r="I1080" s="436"/>
      <c r="J1080" s="465">
        <v>0</v>
      </c>
      <c r="K1080" s="467">
        <v>0</v>
      </c>
    </row>
    <row r="1081" spans="2:11" ht="19" customHeight="1">
      <c r="B1081" s="464">
        <v>46045</v>
      </c>
      <c r="C1081" s="436" t="s">
        <v>877</v>
      </c>
      <c r="D1081" s="436" t="s">
        <v>1023</v>
      </c>
      <c r="E1081" s="436">
        <v>1</v>
      </c>
      <c r="F1081" s="469"/>
      <c r="G1081" s="468" t="s">
        <v>875</v>
      </c>
      <c r="H1081" s="466" t="e">
        <f>G1081/1.1</f>
        <v>#VALUE!</v>
      </c>
      <c r="I1081" s="436"/>
      <c r="J1081" s="465">
        <v>0</v>
      </c>
      <c r="K1081" s="467">
        <v>0</v>
      </c>
    </row>
    <row r="1082" spans="2:11" ht="19" customHeight="1">
      <c r="B1082" s="464">
        <v>46045</v>
      </c>
      <c r="C1082" s="436" t="s">
        <v>877</v>
      </c>
      <c r="D1082" s="436" t="s">
        <v>1032</v>
      </c>
      <c r="E1082" s="436">
        <v>1</v>
      </c>
      <c r="F1082" s="465">
        <v>3</v>
      </c>
      <c r="G1082" s="466">
        <v>3</v>
      </c>
      <c r="H1082" s="466">
        <f>G1082/1.1</f>
        <v>2.7272727272727271</v>
      </c>
      <c r="I1082" s="436"/>
      <c r="J1082" s="465">
        <v>0</v>
      </c>
      <c r="K1082" s="467">
        <v>0</v>
      </c>
    </row>
    <row r="1083" spans="2:11" ht="19" customHeight="1">
      <c r="B1083" s="464">
        <v>46045</v>
      </c>
      <c r="C1083" s="436" t="s">
        <v>266</v>
      </c>
      <c r="D1083" s="436" t="s">
        <v>926</v>
      </c>
      <c r="E1083" s="436">
        <v>1</v>
      </c>
      <c r="F1083" s="465">
        <v>1</v>
      </c>
      <c r="G1083" s="466">
        <v>1</v>
      </c>
      <c r="H1083" s="466">
        <f>G1083/1.1</f>
        <v>0.90909090909090906</v>
      </c>
      <c r="I1083" s="436"/>
      <c r="J1083" s="465">
        <v>0</v>
      </c>
      <c r="K1083" s="467">
        <v>0</v>
      </c>
    </row>
    <row r="1084" spans="2:11" ht="19" customHeight="1">
      <c r="B1084" s="464">
        <v>46045</v>
      </c>
      <c r="C1084" s="436" t="s">
        <v>266</v>
      </c>
      <c r="D1084" s="436" t="s">
        <v>942</v>
      </c>
      <c r="E1084" s="436">
        <v>1</v>
      </c>
      <c r="F1084" s="469"/>
      <c r="G1084" s="468" t="s">
        <v>875</v>
      </c>
      <c r="H1084" s="466" t="e">
        <f>G1084/1.1</f>
        <v>#VALUE!</v>
      </c>
      <c r="I1084" s="436"/>
      <c r="J1084" s="465">
        <v>0</v>
      </c>
      <c r="K1084" s="467">
        <v>0</v>
      </c>
    </row>
    <row r="1085" spans="2:11" ht="19" customHeight="1">
      <c r="B1085" s="464">
        <v>46045</v>
      </c>
      <c r="C1085" s="436" t="s">
        <v>258</v>
      </c>
      <c r="D1085" s="436" t="s">
        <v>882</v>
      </c>
      <c r="E1085" s="436">
        <v>1</v>
      </c>
      <c r="F1085" s="469"/>
      <c r="G1085" s="468" t="s">
        <v>875</v>
      </c>
      <c r="H1085" s="466" t="e">
        <f>G1085/1.1</f>
        <v>#VALUE!</v>
      </c>
      <c r="I1085" s="436"/>
      <c r="J1085" s="465">
        <v>0</v>
      </c>
      <c r="K1085" s="467">
        <v>0</v>
      </c>
    </row>
    <row r="1086" spans="2:11" ht="19" customHeight="1">
      <c r="B1086" s="464">
        <v>46045</v>
      </c>
      <c r="C1086" s="436" t="s">
        <v>258</v>
      </c>
      <c r="D1086" s="436" t="s">
        <v>1041</v>
      </c>
      <c r="E1086" s="436">
        <v>1</v>
      </c>
      <c r="F1086" s="465">
        <v>3</v>
      </c>
      <c r="G1086" s="466">
        <v>3</v>
      </c>
      <c r="H1086" s="466">
        <f>G1086/1.1</f>
        <v>2.7272727272727271</v>
      </c>
      <c r="I1086" s="436"/>
      <c r="J1086" s="465">
        <v>0</v>
      </c>
      <c r="K1086" s="467">
        <v>0</v>
      </c>
    </row>
    <row r="1087" spans="2:11" ht="19" customHeight="1">
      <c r="B1087" s="464">
        <v>46045</v>
      </c>
      <c r="C1087" s="436" t="s">
        <v>256</v>
      </c>
      <c r="D1087" s="436" t="s">
        <v>1042</v>
      </c>
      <c r="E1087" s="436">
        <v>1</v>
      </c>
      <c r="F1087" s="465">
        <v>13.95</v>
      </c>
      <c r="G1087" s="466">
        <v>13.95</v>
      </c>
      <c r="H1087" s="466">
        <f>G1087/1.1</f>
        <v>12.68181818181818</v>
      </c>
      <c r="I1087" s="436"/>
      <c r="J1087" s="465">
        <v>0</v>
      </c>
      <c r="K1087" s="467">
        <v>0</v>
      </c>
    </row>
    <row r="1088" spans="2:11" ht="19" customHeight="1">
      <c r="B1088" s="464">
        <v>46045</v>
      </c>
      <c r="C1088" s="436" t="s">
        <v>247</v>
      </c>
      <c r="D1088" s="436" t="s">
        <v>257</v>
      </c>
      <c r="E1088" s="436">
        <v>1</v>
      </c>
      <c r="F1088" s="465">
        <v>1.55</v>
      </c>
      <c r="G1088" s="466">
        <v>1.55</v>
      </c>
      <c r="H1088" s="466">
        <f>G1088/1.1</f>
        <v>1.4090909090909089</v>
      </c>
      <c r="I1088" s="436"/>
      <c r="J1088" s="465">
        <v>0</v>
      </c>
      <c r="K1088" s="467">
        <v>0</v>
      </c>
    </row>
    <row r="1089" spans="2:11" ht="19" customHeight="1">
      <c r="B1089" s="464">
        <v>46045</v>
      </c>
      <c r="C1089" s="436" t="s">
        <v>251</v>
      </c>
      <c r="D1089" s="436" t="s">
        <v>926</v>
      </c>
      <c r="E1089" s="436">
        <v>1</v>
      </c>
      <c r="F1089" s="465">
        <v>2.65</v>
      </c>
      <c r="G1089" s="466">
        <v>2.65</v>
      </c>
      <c r="H1089" s="466">
        <f>G1089/1.1</f>
        <v>2.4090909090909087</v>
      </c>
      <c r="I1089" s="436"/>
      <c r="J1089" s="465">
        <v>0</v>
      </c>
      <c r="K1089" s="467">
        <v>0</v>
      </c>
    </row>
    <row r="1090" spans="2:11" ht="19" customHeight="1">
      <c r="B1090" s="464">
        <v>46045</v>
      </c>
      <c r="C1090" s="436" t="s">
        <v>247</v>
      </c>
      <c r="D1090" s="436" t="s">
        <v>257</v>
      </c>
      <c r="E1090" s="436">
        <v>2</v>
      </c>
      <c r="F1090" s="465">
        <v>1.4</v>
      </c>
      <c r="G1090" s="466">
        <v>2.8</v>
      </c>
      <c r="H1090" s="466">
        <f>G1090/1.1</f>
        <v>2.545454545454545</v>
      </c>
      <c r="I1090" s="436"/>
      <c r="J1090" s="465">
        <v>0</v>
      </c>
      <c r="K1090" s="467">
        <v>0</v>
      </c>
    </row>
    <row r="1091" spans="2:11" ht="19" customHeight="1">
      <c r="B1091" s="464">
        <v>46045</v>
      </c>
      <c r="C1091" s="436" t="s">
        <v>264</v>
      </c>
      <c r="D1091" s="436" t="s">
        <v>930</v>
      </c>
      <c r="E1091" s="436">
        <v>1</v>
      </c>
      <c r="F1091" s="465">
        <v>3.5</v>
      </c>
      <c r="G1091" s="466">
        <v>3.5</v>
      </c>
      <c r="H1091" s="466">
        <f>G1091/1.1</f>
        <v>3.1818181818181817</v>
      </c>
      <c r="I1091" s="436"/>
      <c r="J1091" s="465">
        <v>0</v>
      </c>
      <c r="K1091" s="467">
        <v>0</v>
      </c>
    </row>
    <row r="1092" spans="2:11" ht="19" customHeight="1">
      <c r="B1092" s="464">
        <v>46045</v>
      </c>
      <c r="C1092" s="436" t="s">
        <v>256</v>
      </c>
      <c r="D1092" s="436" t="s">
        <v>675</v>
      </c>
      <c r="E1092" s="436">
        <v>1</v>
      </c>
      <c r="F1092" s="465">
        <v>5.25</v>
      </c>
      <c r="G1092" s="466">
        <v>5.25</v>
      </c>
      <c r="H1092" s="466">
        <f>G1092/1.1</f>
        <v>4.7727272727272725</v>
      </c>
      <c r="I1092" s="436"/>
      <c r="J1092" s="465">
        <v>0</v>
      </c>
      <c r="K1092" s="467">
        <v>0</v>
      </c>
    </row>
    <row r="1093" spans="2:11" ht="19" customHeight="1">
      <c r="B1093" s="464">
        <v>46045</v>
      </c>
      <c r="C1093" s="436" t="s">
        <v>247</v>
      </c>
      <c r="D1093" s="436" t="s">
        <v>246</v>
      </c>
      <c r="E1093" s="436">
        <v>1</v>
      </c>
      <c r="F1093" s="465">
        <v>1.7</v>
      </c>
      <c r="G1093" s="466">
        <v>1.7</v>
      </c>
      <c r="H1093" s="466">
        <f>G1093/1.1</f>
        <v>1.5454545454545452</v>
      </c>
      <c r="I1093" s="436"/>
      <c r="J1093" s="465">
        <v>0</v>
      </c>
      <c r="K1093" s="467">
        <v>0</v>
      </c>
    </row>
    <row r="1094" spans="2:11" ht="19" customHeight="1">
      <c r="B1094" s="464">
        <v>46045</v>
      </c>
      <c r="C1094" s="436" t="s">
        <v>251</v>
      </c>
      <c r="D1094" s="436" t="s">
        <v>890</v>
      </c>
      <c r="E1094" s="436">
        <v>1</v>
      </c>
      <c r="F1094" s="467">
        <v>2.65</v>
      </c>
      <c r="G1094" s="466">
        <v>2.65</v>
      </c>
      <c r="H1094" s="466">
        <f>G1094/1.1</f>
        <v>2.4090909090909087</v>
      </c>
      <c r="I1094" s="436"/>
      <c r="J1094" s="465">
        <v>0</v>
      </c>
      <c r="K1094" s="467">
        <v>0</v>
      </c>
    </row>
    <row r="1095" spans="2:11" ht="19" customHeight="1">
      <c r="B1095" s="464">
        <v>46045</v>
      </c>
      <c r="C1095" s="436" t="s">
        <v>276</v>
      </c>
      <c r="D1095" s="436" t="s">
        <v>1043</v>
      </c>
      <c r="E1095" s="436">
        <v>2</v>
      </c>
      <c r="F1095" s="465">
        <v>3.3</v>
      </c>
      <c r="G1095" s="466">
        <v>6.6</v>
      </c>
      <c r="H1095" s="466">
        <f>G1095/1.1</f>
        <v>5.9999999999999991</v>
      </c>
      <c r="I1095" s="436"/>
      <c r="J1095" s="465">
        <v>0</v>
      </c>
      <c r="K1095" s="467">
        <v>0</v>
      </c>
    </row>
    <row r="1096" spans="2:11" ht="19" customHeight="1">
      <c r="B1096" s="464">
        <v>46045</v>
      </c>
      <c r="C1096" s="436" t="s">
        <v>247</v>
      </c>
      <c r="D1096" s="436" t="s">
        <v>248</v>
      </c>
      <c r="E1096" s="436">
        <v>2</v>
      </c>
      <c r="F1096" s="465">
        <v>1.55</v>
      </c>
      <c r="G1096" s="466">
        <v>3.1</v>
      </c>
      <c r="H1096" s="466">
        <f>G1096/1.1</f>
        <v>2.8181818181818179</v>
      </c>
      <c r="I1096" s="436"/>
      <c r="J1096" s="465">
        <v>0</v>
      </c>
      <c r="K1096" s="467">
        <v>0</v>
      </c>
    </row>
    <row r="1097" spans="2:11" ht="19" customHeight="1">
      <c r="B1097" s="464">
        <v>46045</v>
      </c>
      <c r="C1097" s="436" t="s">
        <v>247</v>
      </c>
      <c r="D1097" s="436" t="s">
        <v>248</v>
      </c>
      <c r="E1097" s="436">
        <v>1</v>
      </c>
      <c r="F1097" s="465">
        <v>1.65</v>
      </c>
      <c r="G1097" s="466">
        <v>1.65</v>
      </c>
      <c r="H1097" s="466">
        <f>G1097/1.1</f>
        <v>1.4999999999999998</v>
      </c>
      <c r="I1097" s="436"/>
      <c r="J1097" s="465">
        <v>0</v>
      </c>
      <c r="K1097" s="467">
        <v>0</v>
      </c>
    </row>
    <row r="1098" spans="2:11" ht="19" customHeight="1">
      <c r="B1098" s="464">
        <v>46045</v>
      </c>
      <c r="C1098" s="436" t="s">
        <v>247</v>
      </c>
      <c r="D1098" s="436" t="s">
        <v>248</v>
      </c>
      <c r="E1098" s="436">
        <v>1</v>
      </c>
      <c r="F1098" s="465">
        <v>1.65</v>
      </c>
      <c r="G1098" s="466">
        <v>1.65</v>
      </c>
      <c r="H1098" s="466">
        <f>G1098/1.1</f>
        <v>1.4999999999999998</v>
      </c>
      <c r="I1098" s="436"/>
      <c r="J1098" s="465">
        <v>0</v>
      </c>
      <c r="K1098" s="467">
        <v>0</v>
      </c>
    </row>
    <row r="1099" spans="2:11" ht="19" customHeight="1">
      <c r="B1099" s="464">
        <v>46046</v>
      </c>
      <c r="C1099" s="436" t="s">
        <v>247</v>
      </c>
      <c r="D1099" s="436" t="s">
        <v>246</v>
      </c>
      <c r="E1099" s="436">
        <v>2</v>
      </c>
      <c r="F1099" s="465">
        <v>1.7</v>
      </c>
      <c r="G1099" s="466">
        <v>3.4</v>
      </c>
      <c r="H1099" s="466">
        <f>G1099/1.1</f>
        <v>3.0909090909090904</v>
      </c>
      <c r="I1099" s="436"/>
      <c r="J1099" s="465">
        <v>0</v>
      </c>
      <c r="K1099" s="467">
        <v>0</v>
      </c>
    </row>
    <row r="1100" spans="2:11" ht="19" customHeight="1">
      <c r="B1100" s="464">
        <v>46046</v>
      </c>
      <c r="C1100" s="436" t="s">
        <v>862</v>
      </c>
      <c r="D1100" s="436" t="s">
        <v>907</v>
      </c>
      <c r="E1100" s="436">
        <v>2</v>
      </c>
      <c r="F1100" s="465">
        <v>0.15</v>
      </c>
      <c r="G1100" s="466">
        <v>0.3</v>
      </c>
      <c r="H1100" s="466">
        <f>G1100/1.1</f>
        <v>0.27272727272727271</v>
      </c>
      <c r="I1100" s="436"/>
      <c r="J1100" s="465">
        <v>0</v>
      </c>
      <c r="K1100" s="467">
        <v>0</v>
      </c>
    </row>
    <row r="1101" spans="2:11" ht="19" customHeight="1">
      <c r="B1101" s="464">
        <v>46046</v>
      </c>
      <c r="C1101" s="436" t="s">
        <v>247</v>
      </c>
      <c r="D1101" s="436" t="s">
        <v>902</v>
      </c>
      <c r="E1101" s="436">
        <v>1</v>
      </c>
      <c r="F1101" s="465">
        <v>1.95</v>
      </c>
      <c r="G1101" s="466">
        <v>1.95</v>
      </c>
      <c r="H1101" s="466">
        <f>G1101/1.1</f>
        <v>1.7727272727272725</v>
      </c>
      <c r="I1101" s="436"/>
      <c r="J1101" s="465">
        <v>0</v>
      </c>
      <c r="K1101" s="467">
        <v>0</v>
      </c>
    </row>
    <row r="1102" spans="2:11" ht="19" customHeight="1">
      <c r="B1102" s="464">
        <v>46046</v>
      </c>
      <c r="C1102" s="436" t="s">
        <v>247</v>
      </c>
      <c r="D1102" s="436" t="s">
        <v>246</v>
      </c>
      <c r="E1102" s="436">
        <v>1</v>
      </c>
      <c r="F1102" s="465">
        <v>1.7</v>
      </c>
      <c r="G1102" s="466">
        <v>1.7</v>
      </c>
      <c r="H1102" s="466">
        <f>G1102/1.1</f>
        <v>1.5454545454545452</v>
      </c>
      <c r="I1102" s="436"/>
      <c r="J1102" s="465">
        <v>0</v>
      </c>
      <c r="K1102" s="467">
        <v>0</v>
      </c>
    </row>
    <row r="1103" spans="2:11" ht="19" customHeight="1">
      <c r="B1103" s="464">
        <v>46046</v>
      </c>
      <c r="C1103" s="436" t="s">
        <v>247</v>
      </c>
      <c r="D1103" s="436" t="s">
        <v>248</v>
      </c>
      <c r="E1103" s="436">
        <v>1</v>
      </c>
      <c r="F1103" s="465">
        <v>1.5</v>
      </c>
      <c r="G1103" s="466">
        <v>1.5</v>
      </c>
      <c r="H1103" s="466">
        <f>G1103/1.1</f>
        <v>1.3636363636363635</v>
      </c>
      <c r="I1103" s="436"/>
      <c r="J1103" s="465">
        <v>0</v>
      </c>
      <c r="K1103" s="467">
        <v>0</v>
      </c>
    </row>
    <row r="1104" spans="2:11" ht="19" customHeight="1">
      <c r="B1104" s="464">
        <v>46046</v>
      </c>
      <c r="C1104" s="436" t="s">
        <v>247</v>
      </c>
      <c r="D1104" s="436" t="s">
        <v>710</v>
      </c>
      <c r="E1104" s="436">
        <v>1</v>
      </c>
      <c r="F1104" s="465">
        <v>2.65</v>
      </c>
      <c r="G1104" s="466">
        <v>2.65</v>
      </c>
      <c r="H1104" s="466">
        <f>G1104/1.1</f>
        <v>2.4090909090909087</v>
      </c>
      <c r="I1104" s="436"/>
      <c r="J1104" s="465">
        <v>0</v>
      </c>
      <c r="K1104" s="467">
        <v>0</v>
      </c>
    </row>
    <row r="1105" spans="2:11" ht="19" customHeight="1">
      <c r="B1105" s="464">
        <v>46046</v>
      </c>
      <c r="C1105" s="436" t="s">
        <v>247</v>
      </c>
      <c r="D1105" s="436" t="s">
        <v>248</v>
      </c>
      <c r="E1105" s="436">
        <v>2</v>
      </c>
      <c r="F1105" s="465">
        <v>1.5</v>
      </c>
      <c r="G1105" s="466">
        <v>3</v>
      </c>
      <c r="H1105" s="466">
        <f>G1105/1.1</f>
        <v>2.7272727272727271</v>
      </c>
      <c r="I1105" s="436"/>
      <c r="J1105" s="465">
        <v>0</v>
      </c>
      <c r="K1105" s="467">
        <v>0</v>
      </c>
    </row>
    <row r="1106" spans="2:11" ht="19" customHeight="1">
      <c r="B1106" s="464">
        <v>46046</v>
      </c>
      <c r="C1106" s="436" t="s">
        <v>247</v>
      </c>
      <c r="D1106" s="436" t="s">
        <v>248</v>
      </c>
      <c r="E1106" s="436">
        <v>1</v>
      </c>
      <c r="F1106" s="465">
        <v>1.5</v>
      </c>
      <c r="G1106" s="466">
        <v>1.5</v>
      </c>
      <c r="H1106" s="466">
        <f>G1106/1.1</f>
        <v>1.3636363636363635</v>
      </c>
      <c r="I1106" s="436"/>
      <c r="J1106" s="465">
        <v>0</v>
      </c>
      <c r="K1106" s="467">
        <v>0</v>
      </c>
    </row>
    <row r="1107" spans="2:11" ht="19" customHeight="1">
      <c r="B1107" s="464">
        <v>46046</v>
      </c>
      <c r="C1107" s="436" t="s">
        <v>247</v>
      </c>
      <c r="D1107" s="436" t="s">
        <v>248</v>
      </c>
      <c r="E1107" s="436">
        <v>1</v>
      </c>
      <c r="F1107" s="465">
        <v>1.5</v>
      </c>
      <c r="G1107" s="466">
        <v>1.5</v>
      </c>
      <c r="H1107" s="466">
        <f>G1107/1.1</f>
        <v>1.3636363636363635</v>
      </c>
      <c r="I1107" s="436"/>
      <c r="J1107" s="465">
        <v>0</v>
      </c>
      <c r="K1107" s="467">
        <v>0</v>
      </c>
    </row>
    <row r="1108" spans="2:11" ht="19" customHeight="1">
      <c r="B1108" s="464">
        <v>46046</v>
      </c>
      <c r="C1108" s="436" t="s">
        <v>247</v>
      </c>
      <c r="D1108" s="436" t="s">
        <v>246</v>
      </c>
      <c r="E1108" s="436">
        <v>2</v>
      </c>
      <c r="F1108" s="465">
        <v>1.7</v>
      </c>
      <c r="G1108" s="466">
        <v>3.4</v>
      </c>
      <c r="H1108" s="466">
        <f>G1108/1.1</f>
        <v>3.0909090909090904</v>
      </c>
      <c r="I1108" s="436"/>
      <c r="J1108" s="465">
        <v>0</v>
      </c>
      <c r="K1108" s="467">
        <v>0</v>
      </c>
    </row>
    <row r="1109" spans="2:11" ht="19" customHeight="1">
      <c r="B1109" s="464">
        <v>46046</v>
      </c>
      <c r="C1109" s="436" t="s">
        <v>862</v>
      </c>
      <c r="D1109" s="436" t="s">
        <v>899</v>
      </c>
      <c r="E1109" s="436">
        <v>1</v>
      </c>
      <c r="F1109" s="465">
        <v>0.05</v>
      </c>
      <c r="G1109" s="466">
        <v>0.05</v>
      </c>
      <c r="H1109" s="466">
        <f>G1109/1.1</f>
        <v>4.5454545454545456E-2</v>
      </c>
      <c r="I1109" s="436"/>
      <c r="J1109" s="465">
        <v>0</v>
      </c>
      <c r="K1109" s="467">
        <v>0</v>
      </c>
    </row>
    <row r="1110" spans="2:11" ht="19" customHeight="1">
      <c r="B1110" s="464">
        <v>46046</v>
      </c>
      <c r="C1110" s="436" t="s">
        <v>268</v>
      </c>
      <c r="D1110" s="436" t="s">
        <v>858</v>
      </c>
      <c r="E1110" s="436">
        <v>1</v>
      </c>
      <c r="F1110" s="465">
        <v>0.65</v>
      </c>
      <c r="G1110" s="466">
        <v>0.65</v>
      </c>
      <c r="H1110" s="466">
        <f>G1110/1.1</f>
        <v>0.59090909090909083</v>
      </c>
      <c r="I1110" s="436"/>
      <c r="J1110" s="465">
        <v>0</v>
      </c>
      <c r="K1110" s="467">
        <v>0</v>
      </c>
    </row>
    <row r="1111" spans="2:11" ht="19" customHeight="1">
      <c r="B1111" s="464">
        <v>46046</v>
      </c>
      <c r="C1111" s="436" t="s">
        <v>247</v>
      </c>
      <c r="D1111" s="436" t="s">
        <v>248</v>
      </c>
      <c r="E1111" s="436">
        <v>1</v>
      </c>
      <c r="F1111" s="465">
        <v>1.5</v>
      </c>
      <c r="G1111" s="466">
        <v>1.5</v>
      </c>
      <c r="H1111" s="466">
        <f>G1111/1.1</f>
        <v>1.3636363636363635</v>
      </c>
      <c r="I1111" s="436"/>
      <c r="J1111" s="465">
        <v>0</v>
      </c>
      <c r="K1111" s="467">
        <v>0</v>
      </c>
    </row>
    <row r="1112" spans="2:11" ht="19" customHeight="1">
      <c r="B1112" s="464">
        <v>46046</v>
      </c>
      <c r="C1112" s="436" t="s">
        <v>253</v>
      </c>
      <c r="D1112" s="436" t="s">
        <v>869</v>
      </c>
      <c r="E1112" s="436">
        <v>1</v>
      </c>
      <c r="F1112" s="465">
        <v>2.5</v>
      </c>
      <c r="G1112" s="466">
        <v>2.5</v>
      </c>
      <c r="H1112" s="466">
        <f>G1112/1.1</f>
        <v>2.2727272727272725</v>
      </c>
      <c r="I1112" s="436"/>
      <c r="J1112" s="465">
        <v>0</v>
      </c>
      <c r="K1112" s="467">
        <v>0</v>
      </c>
    </row>
    <row r="1113" spans="2:11" ht="19" customHeight="1">
      <c r="B1113" s="464">
        <v>46046</v>
      </c>
      <c r="C1113" s="436" t="s">
        <v>327</v>
      </c>
      <c r="D1113" s="436" t="s">
        <v>799</v>
      </c>
      <c r="E1113" s="436">
        <v>1</v>
      </c>
      <c r="F1113" s="465">
        <v>3.5</v>
      </c>
      <c r="G1113" s="466">
        <v>3.5</v>
      </c>
      <c r="H1113" s="466">
        <f>G1113/1.1</f>
        <v>3.1818181818181817</v>
      </c>
      <c r="I1113" s="436"/>
      <c r="J1113" s="465">
        <v>0</v>
      </c>
      <c r="K1113" s="467">
        <v>0</v>
      </c>
    </row>
    <row r="1114" spans="2:11" ht="19" customHeight="1">
      <c r="B1114" s="464">
        <v>46046</v>
      </c>
      <c r="C1114" s="436" t="s">
        <v>247</v>
      </c>
      <c r="D1114" s="436" t="s">
        <v>257</v>
      </c>
      <c r="E1114" s="436">
        <v>1</v>
      </c>
      <c r="F1114" s="467">
        <v>1.4</v>
      </c>
      <c r="G1114" s="466">
        <v>1.4</v>
      </c>
      <c r="H1114" s="466">
        <f>G1114/1.1</f>
        <v>1.2727272727272725</v>
      </c>
      <c r="I1114" s="436"/>
      <c r="J1114" s="465">
        <v>0</v>
      </c>
      <c r="K1114" s="467">
        <v>0</v>
      </c>
    </row>
    <row r="1115" spans="2:11" ht="19" customHeight="1">
      <c r="B1115" s="464">
        <v>46046</v>
      </c>
      <c r="C1115" s="436" t="s">
        <v>247</v>
      </c>
      <c r="D1115" s="436" t="s">
        <v>246</v>
      </c>
      <c r="E1115" s="436">
        <v>1</v>
      </c>
      <c r="F1115" s="465">
        <v>1.7</v>
      </c>
      <c r="G1115" s="466">
        <v>1.7</v>
      </c>
      <c r="H1115" s="466">
        <f>G1115/1.1</f>
        <v>1.5454545454545452</v>
      </c>
      <c r="I1115" s="436"/>
      <c r="J1115" s="465">
        <v>0</v>
      </c>
      <c r="K1115" s="467">
        <v>0</v>
      </c>
    </row>
    <row r="1116" spans="2:11" ht="19" customHeight="1">
      <c r="B1116" s="464">
        <v>46046</v>
      </c>
      <c r="C1116" s="436" t="s">
        <v>247</v>
      </c>
      <c r="D1116" s="436" t="s">
        <v>257</v>
      </c>
      <c r="E1116" s="436">
        <v>1</v>
      </c>
      <c r="F1116" s="465">
        <v>1.4</v>
      </c>
      <c r="G1116" s="466">
        <v>1.4</v>
      </c>
      <c r="H1116" s="466">
        <f>G1116/1.1</f>
        <v>1.2727272727272725</v>
      </c>
      <c r="I1116" s="436"/>
      <c r="J1116" s="465">
        <v>0</v>
      </c>
      <c r="K1116" s="467">
        <v>0</v>
      </c>
    </row>
    <row r="1117" spans="2:11" ht="19" customHeight="1">
      <c r="B1117" s="464">
        <v>46046</v>
      </c>
      <c r="C1117" s="436" t="s">
        <v>247</v>
      </c>
      <c r="D1117" s="436" t="s">
        <v>246</v>
      </c>
      <c r="E1117" s="436">
        <v>1</v>
      </c>
      <c r="F1117" s="465">
        <v>1.7</v>
      </c>
      <c r="G1117" s="466">
        <v>1.7</v>
      </c>
      <c r="H1117" s="466">
        <f>G1117/1.1</f>
        <v>1.5454545454545452</v>
      </c>
      <c r="I1117" s="436"/>
      <c r="J1117" s="465">
        <v>0</v>
      </c>
      <c r="K1117" s="467">
        <v>0</v>
      </c>
    </row>
    <row r="1118" spans="2:11" ht="19" customHeight="1">
      <c r="B1118" s="464">
        <v>46046</v>
      </c>
      <c r="C1118" s="436" t="s">
        <v>268</v>
      </c>
      <c r="D1118" s="436" t="s">
        <v>859</v>
      </c>
      <c r="E1118" s="436">
        <v>1</v>
      </c>
      <c r="F1118" s="465">
        <v>0.75</v>
      </c>
      <c r="G1118" s="466">
        <v>0.75</v>
      </c>
      <c r="H1118" s="466">
        <f>G1118/1.1</f>
        <v>0.68181818181818177</v>
      </c>
      <c r="I1118" s="436"/>
      <c r="J1118" s="465">
        <v>0</v>
      </c>
      <c r="K1118" s="467">
        <v>0</v>
      </c>
    </row>
    <row r="1119" spans="2:11" ht="19" customHeight="1">
      <c r="B1119" s="464">
        <v>46046</v>
      </c>
      <c r="C1119" s="436" t="s">
        <v>247</v>
      </c>
      <c r="D1119" s="436" t="s">
        <v>246</v>
      </c>
      <c r="E1119" s="436">
        <v>1</v>
      </c>
      <c r="F1119" s="465">
        <v>1.7</v>
      </c>
      <c r="G1119" s="466">
        <v>1.7</v>
      </c>
      <c r="H1119" s="466">
        <f>G1119/1.1</f>
        <v>1.5454545454545452</v>
      </c>
      <c r="I1119" s="436"/>
      <c r="J1119" s="465">
        <v>0</v>
      </c>
      <c r="K1119" s="467">
        <v>0</v>
      </c>
    </row>
    <row r="1120" spans="2:11" ht="19" customHeight="1">
      <c r="B1120" s="464">
        <v>46046</v>
      </c>
      <c r="C1120" s="436" t="s">
        <v>268</v>
      </c>
      <c r="D1120" s="436" t="s">
        <v>267</v>
      </c>
      <c r="E1120" s="436">
        <v>1</v>
      </c>
      <c r="F1120" s="465">
        <v>1.5</v>
      </c>
      <c r="G1120" s="466">
        <v>1.5</v>
      </c>
      <c r="H1120" s="466">
        <f>G1120/1.1</f>
        <v>1.3636363636363635</v>
      </c>
      <c r="I1120" s="436"/>
      <c r="J1120" s="465">
        <v>0</v>
      </c>
      <c r="K1120" s="467">
        <v>0</v>
      </c>
    </row>
    <row r="1121" spans="2:11" ht="19" customHeight="1">
      <c r="B1121" s="464">
        <v>46046</v>
      </c>
      <c r="C1121" s="436" t="s">
        <v>247</v>
      </c>
      <c r="D1121" s="436" t="s">
        <v>246</v>
      </c>
      <c r="E1121" s="436">
        <v>1</v>
      </c>
      <c r="F1121" s="465">
        <v>1.7</v>
      </c>
      <c r="G1121" s="466">
        <v>1.7</v>
      </c>
      <c r="H1121" s="466">
        <f>G1121/1.1</f>
        <v>1.5454545454545452</v>
      </c>
      <c r="I1121" s="436"/>
      <c r="J1121" s="465">
        <v>0</v>
      </c>
      <c r="K1121" s="467">
        <v>0</v>
      </c>
    </row>
    <row r="1122" spans="2:11" ht="19" customHeight="1">
      <c r="B1122" s="464">
        <v>46046</v>
      </c>
      <c r="C1122" s="436" t="s">
        <v>862</v>
      </c>
      <c r="D1122" s="436" t="s">
        <v>899</v>
      </c>
      <c r="E1122" s="436">
        <v>1</v>
      </c>
      <c r="F1122" s="465">
        <v>0.05</v>
      </c>
      <c r="G1122" s="466">
        <v>0.05</v>
      </c>
      <c r="H1122" s="466">
        <f>G1122/1.1</f>
        <v>4.5454545454545456E-2</v>
      </c>
      <c r="I1122" s="436"/>
      <c r="J1122" s="465">
        <v>0</v>
      </c>
      <c r="K1122" s="467">
        <v>0</v>
      </c>
    </row>
    <row r="1123" spans="2:11" ht="19" customHeight="1">
      <c r="B1123" s="464">
        <v>46046</v>
      </c>
      <c r="C1123" s="436" t="s">
        <v>247</v>
      </c>
      <c r="D1123" s="436" t="s">
        <v>246</v>
      </c>
      <c r="E1123" s="436">
        <v>2</v>
      </c>
      <c r="F1123" s="465">
        <v>1.7</v>
      </c>
      <c r="G1123" s="466">
        <v>3.4</v>
      </c>
      <c r="H1123" s="466">
        <f>G1123/1.1</f>
        <v>3.0909090909090904</v>
      </c>
      <c r="I1123" s="436"/>
      <c r="J1123" s="465">
        <v>0</v>
      </c>
      <c r="K1123" s="467">
        <v>0</v>
      </c>
    </row>
    <row r="1124" spans="2:11" ht="19" customHeight="1">
      <c r="B1124" s="464">
        <v>46046</v>
      </c>
      <c r="C1124" s="436" t="s">
        <v>268</v>
      </c>
      <c r="D1124" s="436" t="s">
        <v>267</v>
      </c>
      <c r="E1124" s="436">
        <v>1</v>
      </c>
      <c r="F1124" s="465">
        <v>1.5</v>
      </c>
      <c r="G1124" s="466">
        <v>1.5</v>
      </c>
      <c r="H1124" s="466">
        <f>G1124/1.1</f>
        <v>1.3636363636363635</v>
      </c>
      <c r="I1124" s="436"/>
      <c r="J1124" s="465">
        <v>0</v>
      </c>
      <c r="K1124" s="467">
        <v>0</v>
      </c>
    </row>
    <row r="1125" spans="2:11" ht="19" customHeight="1">
      <c r="B1125" s="464">
        <v>46046</v>
      </c>
      <c r="C1125" s="436" t="s">
        <v>264</v>
      </c>
      <c r="D1125" s="436" t="s">
        <v>785</v>
      </c>
      <c r="E1125" s="436">
        <v>1</v>
      </c>
      <c r="F1125" s="465">
        <v>1.4</v>
      </c>
      <c r="G1125" s="466">
        <v>1.4</v>
      </c>
      <c r="H1125" s="466">
        <f>G1125/1.1</f>
        <v>1.2727272727272725</v>
      </c>
      <c r="I1125" s="436"/>
      <c r="J1125" s="465">
        <v>0</v>
      </c>
      <c r="K1125" s="467">
        <v>0</v>
      </c>
    </row>
    <row r="1126" spans="2:11" ht="19" customHeight="1">
      <c r="B1126" s="464">
        <v>46046</v>
      </c>
      <c r="C1126" s="436" t="s">
        <v>328</v>
      </c>
      <c r="D1126" s="436" t="s">
        <v>864</v>
      </c>
      <c r="E1126" s="436">
        <v>1</v>
      </c>
      <c r="F1126" s="465">
        <v>3.1</v>
      </c>
      <c r="G1126" s="466">
        <v>3.1</v>
      </c>
      <c r="H1126" s="466">
        <f>G1126/1.1</f>
        <v>2.8181818181818179</v>
      </c>
      <c r="I1126" s="436"/>
      <c r="J1126" s="465">
        <v>0</v>
      </c>
      <c r="K1126" s="467">
        <v>0</v>
      </c>
    </row>
    <row r="1127" spans="2:11" ht="19" customHeight="1">
      <c r="B1127" s="464">
        <v>46046</v>
      </c>
      <c r="C1127" s="436" t="s">
        <v>894</v>
      </c>
      <c r="D1127" s="436" t="s">
        <v>814</v>
      </c>
      <c r="E1127" s="436">
        <v>2</v>
      </c>
      <c r="F1127" s="465">
        <v>5.4</v>
      </c>
      <c r="G1127" s="466">
        <v>10.8</v>
      </c>
      <c r="H1127" s="466">
        <f>G1127/1.1</f>
        <v>9.8181818181818183</v>
      </c>
      <c r="I1127" s="436"/>
      <c r="J1127" s="465">
        <v>0</v>
      </c>
      <c r="K1127" s="467">
        <v>0</v>
      </c>
    </row>
    <row r="1128" spans="2:11" ht="19" customHeight="1">
      <c r="B1128" s="464">
        <v>46046</v>
      </c>
      <c r="C1128" s="436" t="s">
        <v>894</v>
      </c>
      <c r="D1128" s="436" t="s">
        <v>814</v>
      </c>
      <c r="E1128" s="436">
        <v>2</v>
      </c>
      <c r="F1128" s="465">
        <v>5.4</v>
      </c>
      <c r="G1128" s="466">
        <v>10.8</v>
      </c>
      <c r="H1128" s="466">
        <f>G1128/1.1</f>
        <v>9.8181818181818183</v>
      </c>
      <c r="I1128" s="436"/>
      <c r="J1128" s="465">
        <v>0</v>
      </c>
      <c r="K1128" s="467">
        <v>0</v>
      </c>
    </row>
    <row r="1129" spans="2:11" ht="19" customHeight="1">
      <c r="B1129" s="464">
        <v>46046</v>
      </c>
      <c r="C1129" s="436" t="s">
        <v>247</v>
      </c>
      <c r="D1129" s="436" t="s">
        <v>246</v>
      </c>
      <c r="E1129" s="436">
        <v>1</v>
      </c>
      <c r="F1129" s="465">
        <v>1.7</v>
      </c>
      <c r="G1129" s="466">
        <v>1.7</v>
      </c>
      <c r="H1129" s="466">
        <f>G1129/1.1</f>
        <v>1.5454545454545452</v>
      </c>
      <c r="I1129" s="436"/>
      <c r="J1129" s="465">
        <v>0</v>
      </c>
      <c r="K1129" s="467">
        <v>0</v>
      </c>
    </row>
    <row r="1130" spans="2:11" ht="19" customHeight="1">
      <c r="B1130" s="464">
        <v>46046</v>
      </c>
      <c r="C1130" s="436" t="s">
        <v>862</v>
      </c>
      <c r="D1130" s="436" t="s">
        <v>863</v>
      </c>
      <c r="E1130" s="436">
        <v>1</v>
      </c>
      <c r="F1130" s="465">
        <v>0.15</v>
      </c>
      <c r="G1130" s="466">
        <v>0.15</v>
      </c>
      <c r="H1130" s="466">
        <f>G1130/1.1</f>
        <v>0.13636363636363635</v>
      </c>
      <c r="I1130" s="436"/>
      <c r="J1130" s="465">
        <v>0</v>
      </c>
      <c r="K1130" s="467">
        <v>0</v>
      </c>
    </row>
    <row r="1131" spans="2:11" ht="19" customHeight="1">
      <c r="B1131" s="464">
        <v>46046</v>
      </c>
      <c r="C1131" s="436" t="s">
        <v>268</v>
      </c>
      <c r="D1131" s="436" t="s">
        <v>860</v>
      </c>
      <c r="E1131" s="436">
        <v>1</v>
      </c>
      <c r="F1131" s="465">
        <v>2.25</v>
      </c>
      <c r="G1131" s="466">
        <v>2.25</v>
      </c>
      <c r="H1131" s="466">
        <f>G1131/1.1</f>
        <v>2.0454545454545454</v>
      </c>
      <c r="I1131" s="436"/>
      <c r="J1131" s="465">
        <v>0</v>
      </c>
      <c r="K1131" s="467">
        <v>0</v>
      </c>
    </row>
    <row r="1132" spans="2:11" ht="19" customHeight="1">
      <c r="B1132" s="464">
        <v>46046</v>
      </c>
      <c r="C1132" s="436" t="s">
        <v>251</v>
      </c>
      <c r="D1132" s="436" t="s">
        <v>926</v>
      </c>
      <c r="E1132" s="436">
        <v>1</v>
      </c>
      <c r="F1132" s="465">
        <v>2.65</v>
      </c>
      <c r="G1132" s="466">
        <v>2.65</v>
      </c>
      <c r="H1132" s="466">
        <f>G1132/1.1</f>
        <v>2.4090909090909087</v>
      </c>
      <c r="I1132" s="436"/>
      <c r="J1132" s="465">
        <v>0</v>
      </c>
      <c r="K1132" s="467">
        <v>0</v>
      </c>
    </row>
    <row r="1133" spans="2:11" ht="19" customHeight="1">
      <c r="B1133" s="464">
        <v>46046</v>
      </c>
      <c r="C1133" s="436" t="s">
        <v>247</v>
      </c>
      <c r="D1133" s="436" t="s">
        <v>246</v>
      </c>
      <c r="E1133" s="436">
        <v>2</v>
      </c>
      <c r="F1133" s="465">
        <v>1.7</v>
      </c>
      <c r="G1133" s="466">
        <v>3.4</v>
      </c>
      <c r="H1133" s="466">
        <f>G1133/1.1</f>
        <v>3.0909090909090904</v>
      </c>
      <c r="I1133" s="436"/>
      <c r="J1133" s="465">
        <v>0</v>
      </c>
      <c r="K1133" s="467">
        <v>0</v>
      </c>
    </row>
    <row r="1134" spans="2:11" ht="19" customHeight="1">
      <c r="B1134" s="464">
        <v>46046</v>
      </c>
      <c r="C1134" s="436" t="s">
        <v>327</v>
      </c>
      <c r="D1134" s="436" t="s">
        <v>1007</v>
      </c>
      <c r="E1134" s="436">
        <v>2</v>
      </c>
      <c r="F1134" s="465">
        <v>4.5999999999999996</v>
      </c>
      <c r="G1134" s="466">
        <v>9.1999999999999993</v>
      </c>
      <c r="H1134" s="466">
        <f>G1134/1.1</f>
        <v>8.3636363636363615</v>
      </c>
      <c r="I1134" s="436"/>
      <c r="J1134" s="465">
        <v>0</v>
      </c>
      <c r="K1134" s="467">
        <v>0</v>
      </c>
    </row>
    <row r="1135" spans="2:11" ht="19" customHeight="1">
      <c r="B1135" s="464">
        <v>46046</v>
      </c>
      <c r="C1135" s="436" t="s">
        <v>247</v>
      </c>
      <c r="D1135" s="436" t="s">
        <v>257</v>
      </c>
      <c r="E1135" s="436">
        <v>1</v>
      </c>
      <c r="F1135" s="467">
        <v>1.4</v>
      </c>
      <c r="G1135" s="466">
        <v>1.4</v>
      </c>
      <c r="H1135" s="466">
        <f>G1135/1.1</f>
        <v>1.2727272727272725</v>
      </c>
      <c r="I1135" s="436"/>
      <c r="J1135" s="465">
        <v>0</v>
      </c>
      <c r="K1135" s="467">
        <v>0</v>
      </c>
    </row>
    <row r="1136" spans="2:11" ht="19" customHeight="1">
      <c r="B1136" s="464">
        <v>46046</v>
      </c>
      <c r="C1136" s="436" t="s">
        <v>247</v>
      </c>
      <c r="D1136" s="436" t="s">
        <v>902</v>
      </c>
      <c r="E1136" s="436">
        <v>1</v>
      </c>
      <c r="F1136" s="465">
        <v>1.95</v>
      </c>
      <c r="G1136" s="466">
        <v>1.95</v>
      </c>
      <c r="H1136" s="466">
        <f>G1136/1.1</f>
        <v>1.7727272727272725</v>
      </c>
      <c r="I1136" s="436"/>
      <c r="J1136" s="465">
        <v>0</v>
      </c>
      <c r="K1136" s="467">
        <v>0</v>
      </c>
    </row>
    <row r="1137" spans="2:11" ht="19" customHeight="1">
      <c r="B1137" s="464">
        <v>46046</v>
      </c>
      <c r="C1137" s="436" t="s">
        <v>253</v>
      </c>
      <c r="D1137" s="436" t="s">
        <v>901</v>
      </c>
      <c r="E1137" s="436">
        <v>1</v>
      </c>
      <c r="F1137" s="465">
        <v>2.15</v>
      </c>
      <c r="G1137" s="466">
        <v>2.15</v>
      </c>
      <c r="H1137" s="466">
        <f>G1137/1.1</f>
        <v>1.9545454545454544</v>
      </c>
      <c r="I1137" s="436"/>
      <c r="J1137" s="465">
        <v>0</v>
      </c>
      <c r="K1137" s="467">
        <v>0</v>
      </c>
    </row>
    <row r="1138" spans="2:11" ht="19" customHeight="1">
      <c r="B1138" s="464">
        <v>46046</v>
      </c>
      <c r="C1138" s="436" t="s">
        <v>247</v>
      </c>
      <c r="D1138" s="436" t="s">
        <v>246</v>
      </c>
      <c r="E1138" s="436">
        <v>2</v>
      </c>
      <c r="F1138" s="465">
        <v>1.7</v>
      </c>
      <c r="G1138" s="466">
        <v>3.4</v>
      </c>
      <c r="H1138" s="466">
        <f>G1138/1.1</f>
        <v>3.0909090909090904</v>
      </c>
      <c r="I1138" s="436"/>
      <c r="J1138" s="465">
        <v>0</v>
      </c>
      <c r="K1138" s="467">
        <v>0</v>
      </c>
    </row>
    <row r="1139" spans="2:11" ht="19" customHeight="1">
      <c r="B1139" s="464">
        <v>46046</v>
      </c>
      <c r="C1139" s="436" t="s">
        <v>327</v>
      </c>
      <c r="D1139" s="436" t="s">
        <v>723</v>
      </c>
      <c r="E1139" s="436">
        <v>2</v>
      </c>
      <c r="F1139" s="465">
        <v>3.1</v>
      </c>
      <c r="G1139" s="466">
        <v>6.2</v>
      </c>
      <c r="H1139" s="466">
        <f>G1139/1.1</f>
        <v>5.6363636363636358</v>
      </c>
      <c r="I1139" s="436"/>
      <c r="J1139" s="465">
        <v>0</v>
      </c>
      <c r="K1139" s="467">
        <v>0</v>
      </c>
    </row>
    <row r="1140" spans="2:11" ht="19" customHeight="1">
      <c r="B1140" s="464">
        <v>46046</v>
      </c>
      <c r="C1140" s="436" t="s">
        <v>247</v>
      </c>
      <c r="D1140" s="436" t="s">
        <v>246</v>
      </c>
      <c r="E1140" s="436">
        <v>2</v>
      </c>
      <c r="F1140" s="465">
        <v>1.7</v>
      </c>
      <c r="G1140" s="466">
        <v>3.4</v>
      </c>
      <c r="H1140" s="466">
        <f>G1140/1.1</f>
        <v>3.0909090909090904</v>
      </c>
      <c r="I1140" s="436"/>
      <c r="J1140" s="465">
        <v>0</v>
      </c>
      <c r="K1140" s="467">
        <v>0</v>
      </c>
    </row>
    <row r="1141" spans="2:11" ht="19" customHeight="1">
      <c r="B1141" s="464">
        <v>46046</v>
      </c>
      <c r="C1141" s="436" t="s">
        <v>327</v>
      </c>
      <c r="D1141" s="436" t="s">
        <v>723</v>
      </c>
      <c r="E1141" s="436">
        <v>1</v>
      </c>
      <c r="F1141" s="465">
        <v>3.1</v>
      </c>
      <c r="G1141" s="466">
        <v>3.1</v>
      </c>
      <c r="H1141" s="466">
        <f>G1141/1.1</f>
        <v>2.8181818181818179</v>
      </c>
      <c r="I1141" s="436"/>
      <c r="J1141" s="465">
        <v>0</v>
      </c>
      <c r="K1141" s="467">
        <v>0</v>
      </c>
    </row>
    <row r="1142" spans="2:11" ht="19" customHeight="1">
      <c r="B1142" s="464">
        <v>46046</v>
      </c>
      <c r="C1142" s="436" t="s">
        <v>862</v>
      </c>
      <c r="D1142" s="436" t="s">
        <v>865</v>
      </c>
      <c r="E1142" s="436">
        <v>1</v>
      </c>
      <c r="F1142" s="465">
        <v>0.05</v>
      </c>
      <c r="G1142" s="466">
        <v>0.05</v>
      </c>
      <c r="H1142" s="466">
        <f>G1142/1.1</f>
        <v>4.5454545454545456E-2</v>
      </c>
      <c r="I1142" s="436"/>
      <c r="J1142" s="465">
        <v>0</v>
      </c>
      <c r="K1142" s="467">
        <v>0</v>
      </c>
    </row>
    <row r="1143" spans="2:11" ht="19" customHeight="1">
      <c r="B1143" s="464">
        <v>46046</v>
      </c>
      <c r="C1143" s="436" t="s">
        <v>268</v>
      </c>
      <c r="D1143" s="436" t="s">
        <v>860</v>
      </c>
      <c r="E1143" s="436">
        <v>2</v>
      </c>
      <c r="F1143" s="467">
        <v>2.25</v>
      </c>
      <c r="G1143" s="466">
        <v>4.5</v>
      </c>
      <c r="H1143" s="466">
        <f>G1143/1.1</f>
        <v>4.0909090909090908</v>
      </c>
      <c r="I1143" s="436"/>
      <c r="J1143" s="465">
        <v>0</v>
      </c>
      <c r="K1143" s="467">
        <v>0</v>
      </c>
    </row>
    <row r="1144" spans="2:11" ht="19" customHeight="1">
      <c r="B1144" s="464">
        <v>46046</v>
      </c>
      <c r="C1144" s="436" t="s">
        <v>247</v>
      </c>
      <c r="D1144" s="436" t="s">
        <v>246</v>
      </c>
      <c r="E1144" s="436">
        <v>2</v>
      </c>
      <c r="F1144" s="465">
        <v>1.7</v>
      </c>
      <c r="G1144" s="466">
        <v>3.4</v>
      </c>
      <c r="H1144" s="466">
        <f>G1144/1.1</f>
        <v>3.0909090909090904</v>
      </c>
      <c r="I1144" s="436"/>
      <c r="J1144" s="465">
        <v>0</v>
      </c>
      <c r="K1144" s="467">
        <v>0</v>
      </c>
    </row>
    <row r="1145" spans="2:11" ht="19" customHeight="1">
      <c r="B1145" s="464">
        <v>46047</v>
      </c>
      <c r="C1145" s="436" t="s">
        <v>268</v>
      </c>
      <c r="D1145" s="436" t="s">
        <v>267</v>
      </c>
      <c r="E1145" s="436">
        <v>2</v>
      </c>
      <c r="F1145" s="465">
        <v>1.5</v>
      </c>
      <c r="G1145" s="466">
        <v>3</v>
      </c>
      <c r="H1145" s="466">
        <f>G1145/1.1</f>
        <v>2.7272727272727271</v>
      </c>
      <c r="I1145" s="436"/>
      <c r="J1145" s="465">
        <v>0</v>
      </c>
      <c r="K1145" s="467">
        <v>0</v>
      </c>
    </row>
    <row r="1146" spans="2:11" ht="19" customHeight="1">
      <c r="B1146" s="464">
        <v>46047</v>
      </c>
      <c r="C1146" s="436" t="s">
        <v>247</v>
      </c>
      <c r="D1146" s="436" t="s">
        <v>902</v>
      </c>
      <c r="E1146" s="436">
        <v>1</v>
      </c>
      <c r="F1146" s="465">
        <v>1.95</v>
      </c>
      <c r="G1146" s="466">
        <v>1.95</v>
      </c>
      <c r="H1146" s="466">
        <f>G1146/1.1</f>
        <v>1.7727272727272725</v>
      </c>
      <c r="I1146" s="436"/>
      <c r="J1146" s="465">
        <v>0</v>
      </c>
      <c r="K1146" s="467">
        <v>0</v>
      </c>
    </row>
    <row r="1147" spans="2:11" ht="19" customHeight="1">
      <c r="B1147" s="464">
        <v>46047</v>
      </c>
      <c r="C1147" s="436" t="s">
        <v>264</v>
      </c>
      <c r="D1147" s="436" t="s">
        <v>785</v>
      </c>
      <c r="E1147" s="436">
        <v>1</v>
      </c>
      <c r="F1147" s="465">
        <v>1.4</v>
      </c>
      <c r="G1147" s="466">
        <v>1.4</v>
      </c>
      <c r="H1147" s="466">
        <f>G1147/1.1</f>
        <v>1.2727272727272725</v>
      </c>
      <c r="I1147" s="436"/>
      <c r="J1147" s="465">
        <v>0</v>
      </c>
      <c r="K1147" s="467">
        <v>0</v>
      </c>
    </row>
    <row r="1148" spans="2:11" ht="19" customHeight="1">
      <c r="B1148" s="464">
        <v>46047</v>
      </c>
      <c r="C1148" s="436" t="s">
        <v>247</v>
      </c>
      <c r="D1148" s="436" t="s">
        <v>246</v>
      </c>
      <c r="E1148" s="436">
        <v>1</v>
      </c>
      <c r="F1148" s="465">
        <v>1.7</v>
      </c>
      <c r="G1148" s="466">
        <v>1.7</v>
      </c>
      <c r="H1148" s="466">
        <f>G1148/1.1</f>
        <v>1.5454545454545452</v>
      </c>
      <c r="I1148" s="436"/>
      <c r="J1148" s="465">
        <v>0</v>
      </c>
      <c r="K1148" s="467">
        <v>0</v>
      </c>
    </row>
    <row r="1149" spans="2:11" ht="19" customHeight="1">
      <c r="B1149" s="464">
        <v>46047</v>
      </c>
      <c r="C1149" s="436" t="s">
        <v>328</v>
      </c>
      <c r="D1149" s="436" t="s">
        <v>864</v>
      </c>
      <c r="E1149" s="436">
        <v>1</v>
      </c>
      <c r="F1149" s="465">
        <v>3.1</v>
      </c>
      <c r="G1149" s="466">
        <v>3.1</v>
      </c>
      <c r="H1149" s="466">
        <f>G1149/1.1</f>
        <v>2.8181818181818179</v>
      </c>
      <c r="I1149" s="436"/>
      <c r="J1149" s="465">
        <v>0</v>
      </c>
      <c r="K1149" s="467">
        <v>0</v>
      </c>
    </row>
    <row r="1150" spans="2:11" ht="19" customHeight="1">
      <c r="B1150" s="464">
        <v>46047</v>
      </c>
      <c r="C1150" s="436" t="s">
        <v>247</v>
      </c>
      <c r="D1150" s="436" t="s">
        <v>248</v>
      </c>
      <c r="E1150" s="436">
        <v>1</v>
      </c>
      <c r="F1150" s="465">
        <v>1.5</v>
      </c>
      <c r="G1150" s="466">
        <v>1.5</v>
      </c>
      <c r="H1150" s="466">
        <f>G1150/1.1</f>
        <v>1.3636363636363635</v>
      </c>
      <c r="I1150" s="436"/>
      <c r="J1150" s="465">
        <v>0</v>
      </c>
      <c r="K1150" s="467">
        <v>0</v>
      </c>
    </row>
    <row r="1151" spans="2:11" ht="19" customHeight="1">
      <c r="B1151" s="464">
        <v>46047</v>
      </c>
      <c r="C1151" s="436" t="s">
        <v>247</v>
      </c>
      <c r="D1151" s="436" t="s">
        <v>246</v>
      </c>
      <c r="E1151" s="436">
        <v>1</v>
      </c>
      <c r="F1151" s="467">
        <v>1.7</v>
      </c>
      <c r="G1151" s="466">
        <v>1.7</v>
      </c>
      <c r="H1151" s="466">
        <f>G1151/1.1</f>
        <v>1.5454545454545452</v>
      </c>
      <c r="I1151" s="436"/>
      <c r="J1151" s="465">
        <v>0</v>
      </c>
      <c r="K1151" s="467">
        <v>0</v>
      </c>
    </row>
    <row r="1152" spans="2:11" ht="19" customHeight="1">
      <c r="B1152" s="464">
        <v>46047</v>
      </c>
      <c r="C1152" s="436" t="s">
        <v>862</v>
      </c>
      <c r="D1152" s="436" t="s">
        <v>899</v>
      </c>
      <c r="E1152" s="436">
        <v>1</v>
      </c>
      <c r="F1152" s="465">
        <v>0.05</v>
      </c>
      <c r="G1152" s="466">
        <v>0.05</v>
      </c>
      <c r="H1152" s="466">
        <f>G1152/1.1</f>
        <v>4.5454545454545456E-2</v>
      </c>
      <c r="I1152" s="436"/>
      <c r="J1152" s="465">
        <v>0</v>
      </c>
      <c r="K1152" s="467">
        <v>0</v>
      </c>
    </row>
    <row r="1153" spans="2:11" ht="19" customHeight="1">
      <c r="B1153" s="464">
        <v>46047</v>
      </c>
      <c r="C1153" s="436" t="s">
        <v>251</v>
      </c>
      <c r="D1153" s="436" t="s">
        <v>708</v>
      </c>
      <c r="E1153" s="436">
        <v>1</v>
      </c>
      <c r="F1153" s="465">
        <v>1.95</v>
      </c>
      <c r="G1153" s="466">
        <v>1.95</v>
      </c>
      <c r="H1153" s="466">
        <f>G1153/1.1</f>
        <v>1.7727272727272725</v>
      </c>
      <c r="I1153" s="436"/>
      <c r="J1153" s="465">
        <v>0</v>
      </c>
      <c r="K1153" s="467">
        <v>0</v>
      </c>
    </row>
    <row r="1154" spans="2:11" ht="19" customHeight="1">
      <c r="B1154" s="464">
        <v>46047</v>
      </c>
      <c r="C1154" s="436" t="s">
        <v>328</v>
      </c>
      <c r="D1154" s="436" t="s">
        <v>761</v>
      </c>
      <c r="E1154" s="436">
        <v>1</v>
      </c>
      <c r="F1154" s="465">
        <v>3.1</v>
      </c>
      <c r="G1154" s="466">
        <v>3.1</v>
      </c>
      <c r="H1154" s="466">
        <f>G1154/1.1</f>
        <v>2.8181818181818179</v>
      </c>
      <c r="I1154" s="436"/>
      <c r="J1154" s="465">
        <v>0</v>
      </c>
      <c r="K1154" s="467">
        <v>0</v>
      </c>
    </row>
    <row r="1155" spans="2:11" ht="19" customHeight="1">
      <c r="B1155" s="464">
        <v>46047</v>
      </c>
      <c r="C1155" s="436" t="s">
        <v>253</v>
      </c>
      <c r="D1155" s="436" t="s">
        <v>901</v>
      </c>
      <c r="E1155" s="436">
        <v>1</v>
      </c>
      <c r="F1155" s="465">
        <v>2.15</v>
      </c>
      <c r="G1155" s="466">
        <v>2.15</v>
      </c>
      <c r="H1155" s="466">
        <f>G1155/1.1</f>
        <v>1.9545454545454544</v>
      </c>
      <c r="I1155" s="436"/>
      <c r="J1155" s="465">
        <v>0</v>
      </c>
      <c r="K1155" s="467">
        <v>0</v>
      </c>
    </row>
    <row r="1156" spans="2:11" ht="19" customHeight="1">
      <c r="B1156" s="464">
        <v>46047</v>
      </c>
      <c r="C1156" s="436" t="s">
        <v>247</v>
      </c>
      <c r="D1156" s="436" t="s">
        <v>246</v>
      </c>
      <c r="E1156" s="436">
        <v>1</v>
      </c>
      <c r="F1156" s="465">
        <v>1.7</v>
      </c>
      <c r="G1156" s="466">
        <v>1.7</v>
      </c>
      <c r="H1156" s="466">
        <f>G1156/1.1</f>
        <v>1.5454545454545452</v>
      </c>
      <c r="I1156" s="436"/>
      <c r="J1156" s="465">
        <v>0</v>
      </c>
      <c r="K1156" s="467">
        <v>0</v>
      </c>
    </row>
    <row r="1157" spans="2:11" ht="19" customHeight="1">
      <c r="B1157" s="464">
        <v>46047</v>
      </c>
      <c r="C1157" s="436" t="s">
        <v>247</v>
      </c>
      <c r="D1157" s="436" t="s">
        <v>248</v>
      </c>
      <c r="E1157" s="436">
        <v>1</v>
      </c>
      <c r="F1157" s="465">
        <v>1.5</v>
      </c>
      <c r="G1157" s="466">
        <v>1.5</v>
      </c>
      <c r="H1157" s="466">
        <f>G1157/1.1</f>
        <v>1.3636363636363635</v>
      </c>
      <c r="I1157" s="436"/>
      <c r="J1157" s="465">
        <v>0</v>
      </c>
      <c r="K1157" s="467">
        <v>0</v>
      </c>
    </row>
    <row r="1158" spans="2:11" ht="19" customHeight="1">
      <c r="B1158" s="464">
        <v>46047</v>
      </c>
      <c r="C1158" s="436" t="s">
        <v>328</v>
      </c>
      <c r="D1158" s="436" t="s">
        <v>861</v>
      </c>
      <c r="E1158" s="436">
        <v>1</v>
      </c>
      <c r="F1158" s="465">
        <v>3.25</v>
      </c>
      <c r="G1158" s="466">
        <v>3.25</v>
      </c>
      <c r="H1158" s="466">
        <f>G1158/1.1</f>
        <v>2.9545454545454541</v>
      </c>
      <c r="I1158" s="436"/>
      <c r="J1158" s="465">
        <v>0</v>
      </c>
      <c r="K1158" s="467">
        <v>0</v>
      </c>
    </row>
    <row r="1159" spans="2:11" ht="19" customHeight="1">
      <c r="B1159" s="464">
        <v>46047</v>
      </c>
      <c r="C1159" s="436" t="s">
        <v>327</v>
      </c>
      <c r="D1159" s="436" t="s">
        <v>1007</v>
      </c>
      <c r="E1159" s="436">
        <v>1</v>
      </c>
      <c r="F1159" s="465">
        <v>4.5999999999999996</v>
      </c>
      <c r="G1159" s="466">
        <v>4.5999999999999996</v>
      </c>
      <c r="H1159" s="466">
        <f>G1159/1.1</f>
        <v>4.1818181818181808</v>
      </c>
      <c r="I1159" s="436"/>
      <c r="J1159" s="465">
        <v>0</v>
      </c>
      <c r="K1159" s="467">
        <v>0</v>
      </c>
    </row>
    <row r="1160" spans="2:11" ht="19" customHeight="1">
      <c r="B1160" s="464">
        <v>46047</v>
      </c>
      <c r="C1160" s="436" t="s">
        <v>894</v>
      </c>
      <c r="D1160" s="436" t="s">
        <v>814</v>
      </c>
      <c r="E1160" s="436">
        <v>1</v>
      </c>
      <c r="F1160" s="465">
        <v>5.4</v>
      </c>
      <c r="G1160" s="466">
        <v>5.4</v>
      </c>
      <c r="H1160" s="466">
        <f>G1160/1.1</f>
        <v>4.9090909090909092</v>
      </c>
      <c r="I1160" s="436"/>
      <c r="J1160" s="465">
        <v>0</v>
      </c>
      <c r="K1160" s="467">
        <v>0</v>
      </c>
    </row>
    <row r="1161" spans="2:11" ht="19" customHeight="1">
      <c r="B1161" s="464">
        <v>46047</v>
      </c>
      <c r="C1161" s="436" t="s">
        <v>247</v>
      </c>
      <c r="D1161" s="436" t="s">
        <v>246</v>
      </c>
      <c r="E1161" s="436">
        <v>1</v>
      </c>
      <c r="F1161" s="465">
        <v>1.7</v>
      </c>
      <c r="G1161" s="466">
        <v>1.7</v>
      </c>
      <c r="H1161" s="466">
        <f>G1161/1.1</f>
        <v>1.5454545454545452</v>
      </c>
      <c r="I1161" s="436"/>
      <c r="J1161" s="465">
        <v>0</v>
      </c>
      <c r="K1161" s="467">
        <v>0</v>
      </c>
    </row>
    <row r="1162" spans="2:11" ht="19" customHeight="1">
      <c r="B1162" s="464">
        <v>46047</v>
      </c>
      <c r="C1162" s="436" t="s">
        <v>894</v>
      </c>
      <c r="D1162" s="436" t="s">
        <v>946</v>
      </c>
      <c r="E1162" s="436">
        <v>1</v>
      </c>
      <c r="F1162" s="465">
        <v>6.4</v>
      </c>
      <c r="G1162" s="466">
        <v>6.4</v>
      </c>
      <c r="H1162" s="466">
        <f>G1162/1.1</f>
        <v>5.8181818181818183</v>
      </c>
      <c r="I1162" s="436"/>
      <c r="J1162" s="465">
        <v>0</v>
      </c>
      <c r="K1162" s="467">
        <v>0</v>
      </c>
    </row>
    <row r="1163" spans="2:11" ht="19" customHeight="1">
      <c r="B1163" s="464">
        <v>46047</v>
      </c>
      <c r="C1163" s="436" t="s">
        <v>264</v>
      </c>
      <c r="D1163" s="436" t="s">
        <v>947</v>
      </c>
      <c r="E1163" s="436">
        <v>1</v>
      </c>
      <c r="F1163" s="465">
        <v>2</v>
      </c>
      <c r="G1163" s="466">
        <v>2</v>
      </c>
      <c r="H1163" s="466">
        <f>G1163/1.1</f>
        <v>1.8181818181818181</v>
      </c>
      <c r="I1163" s="436"/>
      <c r="J1163" s="465">
        <v>0</v>
      </c>
      <c r="K1163" s="467">
        <v>0</v>
      </c>
    </row>
    <row r="1164" spans="2:11" ht="19" customHeight="1">
      <c r="B1164" s="464">
        <v>46047</v>
      </c>
      <c r="C1164" s="436" t="s">
        <v>894</v>
      </c>
      <c r="D1164" s="436" t="s">
        <v>950</v>
      </c>
      <c r="E1164" s="436">
        <v>1</v>
      </c>
      <c r="F1164" s="465">
        <v>5.7</v>
      </c>
      <c r="G1164" s="466">
        <v>5.7</v>
      </c>
      <c r="H1164" s="466">
        <f>G1164/1.1</f>
        <v>5.1818181818181817</v>
      </c>
      <c r="I1164" s="436"/>
      <c r="J1164" s="465">
        <v>0</v>
      </c>
      <c r="K1164" s="467">
        <v>0</v>
      </c>
    </row>
    <row r="1165" spans="2:11" ht="19" customHeight="1">
      <c r="B1165" s="464">
        <v>46047</v>
      </c>
      <c r="C1165" s="436" t="s">
        <v>247</v>
      </c>
      <c r="D1165" s="436" t="s">
        <v>248</v>
      </c>
      <c r="E1165" s="436">
        <v>1</v>
      </c>
      <c r="F1165" s="465">
        <v>1.5</v>
      </c>
      <c r="G1165" s="466">
        <v>1.5</v>
      </c>
      <c r="H1165" s="466">
        <f>G1165/1.1</f>
        <v>1.3636363636363635</v>
      </c>
      <c r="I1165" s="436"/>
      <c r="J1165" s="465">
        <v>0</v>
      </c>
      <c r="K1165" s="467">
        <v>0</v>
      </c>
    </row>
    <row r="1166" spans="2:11" ht="19" customHeight="1">
      <c r="B1166" s="464">
        <v>46047</v>
      </c>
      <c r="C1166" s="436" t="s">
        <v>247</v>
      </c>
      <c r="D1166" s="436" t="s">
        <v>246</v>
      </c>
      <c r="E1166" s="436">
        <v>1</v>
      </c>
      <c r="F1166" s="465">
        <v>1.7</v>
      </c>
      <c r="G1166" s="466">
        <v>1.7</v>
      </c>
      <c r="H1166" s="466">
        <f>G1166/1.1</f>
        <v>1.5454545454545452</v>
      </c>
      <c r="I1166" s="436"/>
      <c r="J1166" s="465">
        <v>0</v>
      </c>
      <c r="K1166" s="467">
        <v>0</v>
      </c>
    </row>
    <row r="1167" spans="2:11" ht="19" customHeight="1">
      <c r="B1167" s="464">
        <v>46047</v>
      </c>
      <c r="C1167" s="436" t="s">
        <v>247</v>
      </c>
      <c r="D1167" s="436" t="s">
        <v>248</v>
      </c>
      <c r="E1167" s="436">
        <v>2</v>
      </c>
      <c r="F1167" s="465">
        <v>1.5</v>
      </c>
      <c r="G1167" s="466">
        <v>3</v>
      </c>
      <c r="H1167" s="466">
        <f>G1167/1.1</f>
        <v>2.7272727272727271</v>
      </c>
      <c r="I1167" s="436"/>
      <c r="J1167" s="465">
        <v>0</v>
      </c>
      <c r="K1167" s="467">
        <v>0</v>
      </c>
    </row>
    <row r="1168" spans="2:11" ht="19" customHeight="1">
      <c r="B1168" s="464">
        <v>46047</v>
      </c>
      <c r="C1168" s="436" t="s">
        <v>268</v>
      </c>
      <c r="D1168" s="436" t="s">
        <v>858</v>
      </c>
      <c r="E1168" s="436">
        <v>1</v>
      </c>
      <c r="F1168" s="465">
        <v>0.65</v>
      </c>
      <c r="G1168" s="466">
        <v>0.65</v>
      </c>
      <c r="H1168" s="466">
        <f>G1168/1.1</f>
        <v>0.59090909090909083</v>
      </c>
      <c r="I1168" s="436"/>
      <c r="J1168" s="465">
        <v>0</v>
      </c>
      <c r="K1168" s="467">
        <v>0</v>
      </c>
    </row>
    <row r="1169" spans="2:11" ht="19" customHeight="1">
      <c r="B1169" s="464">
        <v>46047</v>
      </c>
      <c r="C1169" s="436" t="s">
        <v>247</v>
      </c>
      <c r="D1169" s="436" t="s">
        <v>257</v>
      </c>
      <c r="E1169" s="436">
        <v>1</v>
      </c>
      <c r="F1169" s="465">
        <v>1.4</v>
      </c>
      <c r="G1169" s="466">
        <v>1.4</v>
      </c>
      <c r="H1169" s="466">
        <f>G1169/1.1</f>
        <v>1.2727272727272725</v>
      </c>
      <c r="I1169" s="436"/>
      <c r="J1169" s="465">
        <v>0</v>
      </c>
      <c r="K1169" s="467">
        <v>0</v>
      </c>
    </row>
    <row r="1170" spans="2:11" ht="19" customHeight="1">
      <c r="B1170" s="464">
        <v>46047</v>
      </c>
      <c r="C1170" s="436" t="s">
        <v>247</v>
      </c>
      <c r="D1170" s="436" t="s">
        <v>248</v>
      </c>
      <c r="E1170" s="436">
        <v>1</v>
      </c>
      <c r="F1170" s="465">
        <v>1.5</v>
      </c>
      <c r="G1170" s="466">
        <v>1.5</v>
      </c>
      <c r="H1170" s="466">
        <f>G1170/1.1</f>
        <v>1.3636363636363635</v>
      </c>
      <c r="I1170" s="436"/>
      <c r="J1170" s="465">
        <v>0</v>
      </c>
      <c r="K1170" s="467">
        <v>0</v>
      </c>
    </row>
    <row r="1171" spans="2:11" ht="19" customHeight="1">
      <c r="B1171" s="464">
        <v>46047</v>
      </c>
      <c r="C1171" s="436" t="s">
        <v>247</v>
      </c>
      <c r="D1171" s="436" t="s">
        <v>246</v>
      </c>
      <c r="E1171" s="436">
        <v>2</v>
      </c>
      <c r="F1171" s="465">
        <v>1.7</v>
      </c>
      <c r="G1171" s="466">
        <v>3.4</v>
      </c>
      <c r="H1171" s="466">
        <f>G1171/1.1</f>
        <v>3.0909090909090904</v>
      </c>
      <c r="I1171" s="436"/>
      <c r="J1171" s="465">
        <v>0</v>
      </c>
      <c r="K1171" s="467">
        <v>0</v>
      </c>
    </row>
    <row r="1172" spans="2:11" ht="19" customHeight="1">
      <c r="B1172" s="464">
        <v>46047</v>
      </c>
      <c r="C1172" s="436" t="s">
        <v>327</v>
      </c>
      <c r="D1172" s="436" t="s">
        <v>939</v>
      </c>
      <c r="E1172" s="436">
        <v>1</v>
      </c>
      <c r="F1172" s="465">
        <v>4.8499999999999996</v>
      </c>
      <c r="G1172" s="466">
        <v>4.8499999999999996</v>
      </c>
      <c r="H1172" s="466">
        <f>G1172/1.1</f>
        <v>4.4090909090909083</v>
      </c>
      <c r="I1172" s="436"/>
      <c r="J1172" s="465">
        <v>0</v>
      </c>
      <c r="K1172" s="467">
        <v>0</v>
      </c>
    </row>
    <row r="1173" spans="2:11" ht="19" customHeight="1">
      <c r="B1173" s="464">
        <v>46047</v>
      </c>
      <c r="C1173" s="436" t="s">
        <v>894</v>
      </c>
      <c r="D1173" s="436" t="s">
        <v>1001</v>
      </c>
      <c r="E1173" s="436">
        <v>1</v>
      </c>
      <c r="F1173" s="465">
        <v>5.7</v>
      </c>
      <c r="G1173" s="466">
        <v>5.7</v>
      </c>
      <c r="H1173" s="466">
        <f>G1173/1.1</f>
        <v>5.1818181818181817</v>
      </c>
      <c r="I1173" s="436"/>
      <c r="J1173" s="465">
        <v>0</v>
      </c>
      <c r="K1173" s="467">
        <v>0</v>
      </c>
    </row>
    <row r="1174" spans="2:11" ht="19" customHeight="1">
      <c r="B1174" s="464">
        <v>46047</v>
      </c>
      <c r="C1174" s="436" t="s">
        <v>894</v>
      </c>
      <c r="D1174" s="436" t="s">
        <v>950</v>
      </c>
      <c r="E1174" s="436">
        <v>1</v>
      </c>
      <c r="F1174" s="465">
        <v>5.7</v>
      </c>
      <c r="G1174" s="466">
        <v>5.7</v>
      </c>
      <c r="H1174" s="466">
        <f>G1174/1.1</f>
        <v>5.1818181818181817</v>
      </c>
      <c r="I1174" s="436"/>
      <c r="J1174" s="465">
        <v>0</v>
      </c>
      <c r="K1174" s="467">
        <v>0</v>
      </c>
    </row>
    <row r="1175" spans="2:11" ht="19" customHeight="1">
      <c r="B1175" s="464">
        <v>46047</v>
      </c>
      <c r="C1175" s="436" t="s">
        <v>251</v>
      </c>
      <c r="D1175" s="436" t="s">
        <v>854</v>
      </c>
      <c r="E1175" s="436">
        <v>1</v>
      </c>
      <c r="F1175" s="465">
        <v>1.55</v>
      </c>
      <c r="G1175" s="466">
        <v>1.55</v>
      </c>
      <c r="H1175" s="466">
        <f>G1175/1.1</f>
        <v>1.4090909090909089</v>
      </c>
      <c r="I1175" s="436"/>
      <c r="J1175" s="465">
        <v>0</v>
      </c>
      <c r="K1175" s="467">
        <v>0</v>
      </c>
    </row>
    <row r="1176" spans="2:11" ht="19" customHeight="1">
      <c r="B1176" s="464">
        <v>46047</v>
      </c>
      <c r="C1176" s="436" t="s">
        <v>328</v>
      </c>
      <c r="D1176" s="436" t="s">
        <v>861</v>
      </c>
      <c r="E1176" s="436">
        <v>1</v>
      </c>
      <c r="F1176" s="465">
        <v>3.25</v>
      </c>
      <c r="G1176" s="466">
        <v>3.25</v>
      </c>
      <c r="H1176" s="466">
        <f>G1176/1.1</f>
        <v>2.9545454545454541</v>
      </c>
      <c r="I1176" s="436"/>
      <c r="J1176" s="465">
        <v>0</v>
      </c>
      <c r="K1176" s="467">
        <v>0</v>
      </c>
    </row>
    <row r="1177" spans="2:11" ht="19" customHeight="1">
      <c r="B1177" s="464">
        <v>46047</v>
      </c>
      <c r="C1177" s="436" t="s">
        <v>268</v>
      </c>
      <c r="D1177" s="436" t="s">
        <v>860</v>
      </c>
      <c r="E1177" s="436">
        <v>1</v>
      </c>
      <c r="F1177" s="465">
        <v>2.25</v>
      </c>
      <c r="G1177" s="466">
        <v>2.25</v>
      </c>
      <c r="H1177" s="466">
        <f>G1177/1.1</f>
        <v>2.0454545454545454</v>
      </c>
      <c r="I1177" s="436"/>
      <c r="J1177" s="465">
        <v>0</v>
      </c>
      <c r="K1177" s="467">
        <v>0</v>
      </c>
    </row>
    <row r="1178" spans="2:11" ht="19" customHeight="1">
      <c r="B1178" s="464">
        <v>46047</v>
      </c>
      <c r="C1178" s="436" t="s">
        <v>247</v>
      </c>
      <c r="D1178" s="436" t="s">
        <v>246</v>
      </c>
      <c r="E1178" s="436">
        <v>2</v>
      </c>
      <c r="F1178" s="465">
        <v>1.7</v>
      </c>
      <c r="G1178" s="466">
        <v>3.4</v>
      </c>
      <c r="H1178" s="466">
        <f>G1178/1.1</f>
        <v>3.0909090909090904</v>
      </c>
      <c r="I1178" s="436"/>
      <c r="J1178" s="465">
        <v>0</v>
      </c>
      <c r="K1178" s="467">
        <v>0</v>
      </c>
    </row>
    <row r="1179" spans="2:11" ht="19" customHeight="1">
      <c r="B1179" s="464">
        <v>46047</v>
      </c>
      <c r="C1179" s="436" t="s">
        <v>268</v>
      </c>
      <c r="D1179" s="436" t="s">
        <v>860</v>
      </c>
      <c r="E1179" s="436">
        <v>1</v>
      </c>
      <c r="F1179" s="465">
        <v>2.25</v>
      </c>
      <c r="G1179" s="466">
        <v>2.25</v>
      </c>
      <c r="H1179" s="466">
        <f>G1179/1.1</f>
        <v>2.0454545454545454</v>
      </c>
      <c r="I1179" s="436"/>
      <c r="J1179" s="465">
        <v>0</v>
      </c>
      <c r="K1179" s="467">
        <v>0</v>
      </c>
    </row>
    <row r="1180" spans="2:11" ht="19" customHeight="1">
      <c r="B1180" s="464">
        <v>46047</v>
      </c>
      <c r="C1180" s="436" t="s">
        <v>247</v>
      </c>
      <c r="D1180" s="436" t="s">
        <v>902</v>
      </c>
      <c r="E1180" s="436">
        <v>1</v>
      </c>
      <c r="F1180" s="465">
        <v>1.95</v>
      </c>
      <c r="G1180" s="466">
        <v>1.95</v>
      </c>
      <c r="H1180" s="466">
        <f>G1180/1.1</f>
        <v>1.7727272727272725</v>
      </c>
      <c r="I1180" s="436"/>
      <c r="J1180" s="465">
        <v>0</v>
      </c>
      <c r="K1180" s="467">
        <v>0</v>
      </c>
    </row>
    <row r="1181" spans="2:11" ht="19" customHeight="1">
      <c r="B1181" s="464">
        <v>46047</v>
      </c>
      <c r="C1181" s="436" t="s">
        <v>328</v>
      </c>
      <c r="D1181" s="436" t="s">
        <v>773</v>
      </c>
      <c r="E1181" s="436">
        <v>1</v>
      </c>
      <c r="F1181" s="465">
        <v>3.1</v>
      </c>
      <c r="G1181" s="466">
        <v>3.1</v>
      </c>
      <c r="H1181" s="466">
        <f>G1181/1.1</f>
        <v>2.8181818181818179</v>
      </c>
      <c r="I1181" s="436"/>
      <c r="J1181" s="465">
        <v>0</v>
      </c>
      <c r="K1181" s="467">
        <v>0</v>
      </c>
    </row>
    <row r="1182" spans="2:11" ht="19" customHeight="1">
      <c r="B1182" s="464">
        <v>46047</v>
      </c>
      <c r="C1182" s="436" t="s">
        <v>862</v>
      </c>
      <c r="D1182" s="436" t="s">
        <v>865</v>
      </c>
      <c r="E1182" s="436">
        <v>1</v>
      </c>
      <c r="F1182" s="465">
        <v>0.05</v>
      </c>
      <c r="G1182" s="466">
        <v>0.05</v>
      </c>
      <c r="H1182" s="466">
        <f>G1182/1.1</f>
        <v>4.5454545454545456E-2</v>
      </c>
      <c r="I1182" s="436"/>
      <c r="J1182" s="465">
        <v>0</v>
      </c>
      <c r="K1182" s="467">
        <v>0</v>
      </c>
    </row>
    <row r="1183" spans="2:11" ht="19" customHeight="1">
      <c r="B1183" s="464">
        <v>46047</v>
      </c>
      <c r="C1183" s="436" t="s">
        <v>247</v>
      </c>
      <c r="D1183" s="436" t="s">
        <v>246</v>
      </c>
      <c r="E1183" s="436">
        <v>2</v>
      </c>
      <c r="F1183" s="465">
        <v>1.7</v>
      </c>
      <c r="G1183" s="466">
        <v>3.4</v>
      </c>
      <c r="H1183" s="466">
        <f>G1183/1.1</f>
        <v>3.0909090909090904</v>
      </c>
      <c r="I1183" s="436"/>
      <c r="J1183" s="465">
        <v>0</v>
      </c>
      <c r="K1183" s="467">
        <v>0</v>
      </c>
    </row>
    <row r="1184" spans="2:11" ht="19" customHeight="1">
      <c r="B1184" s="464">
        <v>46047</v>
      </c>
      <c r="C1184" s="436" t="s">
        <v>328</v>
      </c>
      <c r="D1184" s="436" t="s">
        <v>769</v>
      </c>
      <c r="E1184" s="436">
        <v>1</v>
      </c>
      <c r="F1184" s="465">
        <v>5.4</v>
      </c>
      <c r="G1184" s="466">
        <v>5.4</v>
      </c>
      <c r="H1184" s="466">
        <f>G1184/1.1</f>
        <v>4.9090909090909092</v>
      </c>
      <c r="I1184" s="436"/>
      <c r="J1184" s="465">
        <v>0</v>
      </c>
      <c r="K1184" s="467">
        <v>0</v>
      </c>
    </row>
    <row r="1185" spans="2:11" ht="19" customHeight="1">
      <c r="B1185" s="464">
        <v>46047</v>
      </c>
      <c r="C1185" s="436" t="s">
        <v>247</v>
      </c>
      <c r="D1185" s="436" t="s">
        <v>248</v>
      </c>
      <c r="E1185" s="436">
        <v>1</v>
      </c>
      <c r="F1185" s="465">
        <v>1.5</v>
      </c>
      <c r="G1185" s="466">
        <v>1.5</v>
      </c>
      <c r="H1185" s="466">
        <f>G1185/1.1</f>
        <v>1.3636363636363635</v>
      </c>
      <c r="I1185" s="436"/>
      <c r="J1185" s="465">
        <v>0</v>
      </c>
      <c r="K1185" s="467">
        <v>0</v>
      </c>
    </row>
    <row r="1186" spans="2:11" ht="19" customHeight="1">
      <c r="B1186" s="464">
        <v>46047</v>
      </c>
      <c r="C1186" s="436" t="s">
        <v>247</v>
      </c>
      <c r="D1186" s="436" t="s">
        <v>246</v>
      </c>
      <c r="E1186" s="436">
        <v>1</v>
      </c>
      <c r="F1186" s="465">
        <v>1.7</v>
      </c>
      <c r="G1186" s="466">
        <v>1.7</v>
      </c>
      <c r="H1186" s="466">
        <f>G1186/1.1</f>
        <v>1.5454545454545452</v>
      </c>
      <c r="I1186" s="436"/>
      <c r="J1186" s="465">
        <v>0</v>
      </c>
      <c r="K1186" s="467">
        <v>0</v>
      </c>
    </row>
    <row r="1187" spans="2:11" ht="19" customHeight="1">
      <c r="B1187" s="464">
        <v>46047</v>
      </c>
      <c r="C1187" s="436" t="s">
        <v>894</v>
      </c>
      <c r="D1187" s="436" t="s">
        <v>1001</v>
      </c>
      <c r="E1187" s="436">
        <v>1</v>
      </c>
      <c r="F1187" s="465">
        <v>5.7</v>
      </c>
      <c r="G1187" s="466">
        <v>5.7</v>
      </c>
      <c r="H1187" s="466">
        <f>G1187/1.1</f>
        <v>5.1818181818181817</v>
      </c>
      <c r="I1187" s="436"/>
      <c r="J1187" s="465">
        <v>0</v>
      </c>
      <c r="K1187" s="467">
        <v>0</v>
      </c>
    </row>
    <row r="1188" spans="2:11" ht="19" customHeight="1">
      <c r="B1188" s="464">
        <v>46047</v>
      </c>
      <c r="C1188" s="436" t="s">
        <v>275</v>
      </c>
      <c r="D1188" s="436" t="s">
        <v>898</v>
      </c>
      <c r="E1188" s="436">
        <v>1</v>
      </c>
      <c r="F1188" s="465">
        <v>1.5</v>
      </c>
      <c r="G1188" s="466">
        <v>1.5</v>
      </c>
      <c r="H1188" s="466">
        <f>G1188/1.1</f>
        <v>1.3636363636363635</v>
      </c>
      <c r="I1188" s="436"/>
      <c r="J1188" s="465">
        <v>0</v>
      </c>
      <c r="K1188" s="467">
        <v>0</v>
      </c>
    </row>
    <row r="1189" spans="2:11" ht="19" customHeight="1">
      <c r="B1189" s="464">
        <v>46047</v>
      </c>
      <c r="C1189" s="436" t="s">
        <v>247</v>
      </c>
      <c r="D1189" s="436" t="s">
        <v>248</v>
      </c>
      <c r="E1189" s="436">
        <v>1</v>
      </c>
      <c r="F1189" s="465">
        <v>1.5</v>
      </c>
      <c r="G1189" s="466">
        <v>1.5</v>
      </c>
      <c r="H1189" s="466">
        <f>G1189/1.1</f>
        <v>1.3636363636363635</v>
      </c>
      <c r="I1189" s="436"/>
      <c r="J1189" s="465">
        <v>0</v>
      </c>
      <c r="K1189" s="467">
        <v>0</v>
      </c>
    </row>
    <row r="1190" spans="2:11" ht="19" customHeight="1">
      <c r="B1190" s="464">
        <v>46050</v>
      </c>
      <c r="C1190" s="436" t="s">
        <v>247</v>
      </c>
      <c r="D1190" s="436" t="s">
        <v>248</v>
      </c>
      <c r="E1190" s="436">
        <v>1</v>
      </c>
      <c r="F1190" s="465">
        <v>1.5</v>
      </c>
      <c r="G1190" s="466">
        <v>1.5</v>
      </c>
      <c r="H1190" s="466">
        <f>G1190/1.1</f>
        <v>1.3636363636363635</v>
      </c>
      <c r="I1190" s="436"/>
      <c r="J1190" s="465">
        <v>0</v>
      </c>
      <c r="K1190" s="467">
        <v>0</v>
      </c>
    </row>
    <row r="1191" spans="2:11" ht="19" customHeight="1">
      <c r="B1191" s="464">
        <v>46050</v>
      </c>
      <c r="C1191" s="436" t="s">
        <v>256</v>
      </c>
      <c r="D1191" s="436" t="s">
        <v>983</v>
      </c>
      <c r="E1191" s="436">
        <v>1</v>
      </c>
      <c r="F1191" s="465">
        <v>3</v>
      </c>
      <c r="G1191" s="466">
        <v>3</v>
      </c>
      <c r="H1191" s="466">
        <f>G1191/1.1</f>
        <v>2.7272727272727271</v>
      </c>
      <c r="I1191" s="436"/>
      <c r="J1191" s="465">
        <v>0</v>
      </c>
      <c r="K1191" s="467">
        <v>0</v>
      </c>
    </row>
    <row r="1192" spans="2:11" ht="19" customHeight="1">
      <c r="B1192" s="464">
        <v>46050</v>
      </c>
      <c r="C1192" s="436" t="s">
        <v>251</v>
      </c>
      <c r="D1192" s="436" t="s">
        <v>926</v>
      </c>
      <c r="E1192" s="436">
        <v>2</v>
      </c>
      <c r="F1192" s="465">
        <v>2.8</v>
      </c>
      <c r="G1192" s="466">
        <v>5.6</v>
      </c>
      <c r="H1192" s="466">
        <f>G1192/1.1</f>
        <v>5.0909090909090899</v>
      </c>
      <c r="I1192" s="436"/>
      <c r="J1192" s="465">
        <v>0</v>
      </c>
      <c r="K1192" s="467">
        <v>0</v>
      </c>
    </row>
    <row r="1193" spans="2:11" ht="19" customHeight="1">
      <c r="B1193" s="464">
        <v>46050</v>
      </c>
      <c r="C1193" s="436" t="s">
        <v>251</v>
      </c>
      <c r="D1193" s="436" t="s">
        <v>708</v>
      </c>
      <c r="E1193" s="436">
        <v>1</v>
      </c>
      <c r="F1193" s="465">
        <v>2.1</v>
      </c>
      <c r="G1193" s="466">
        <v>2.1</v>
      </c>
      <c r="H1193" s="466">
        <f>G1193/1.1</f>
        <v>1.9090909090909089</v>
      </c>
      <c r="I1193" s="436"/>
      <c r="J1193" s="465">
        <v>0</v>
      </c>
      <c r="K1193" s="467">
        <v>0</v>
      </c>
    </row>
    <row r="1194" spans="2:11" ht="19" customHeight="1">
      <c r="B1194" s="464">
        <v>46050</v>
      </c>
      <c r="C1194" s="436" t="s">
        <v>251</v>
      </c>
      <c r="D1194" s="436" t="s">
        <v>250</v>
      </c>
      <c r="E1194" s="436">
        <v>1</v>
      </c>
      <c r="F1194" s="465">
        <v>1.95</v>
      </c>
      <c r="G1194" s="466">
        <v>1.95</v>
      </c>
      <c r="H1194" s="466">
        <f>G1194/1.1</f>
        <v>1.7727272727272725</v>
      </c>
      <c r="I1194" s="436"/>
      <c r="J1194" s="465">
        <v>0</v>
      </c>
      <c r="K1194" s="467">
        <v>0</v>
      </c>
    </row>
    <row r="1195" spans="2:11" ht="19" customHeight="1">
      <c r="B1195" s="464">
        <v>46050</v>
      </c>
      <c r="C1195" s="436" t="s">
        <v>256</v>
      </c>
      <c r="D1195" s="436" t="s">
        <v>705</v>
      </c>
      <c r="E1195" s="436">
        <v>1</v>
      </c>
      <c r="F1195" s="465">
        <v>10.25</v>
      </c>
      <c r="G1195" s="466">
        <v>10.25</v>
      </c>
      <c r="H1195" s="466">
        <f>G1195/1.1</f>
        <v>9.3181818181818166</v>
      </c>
      <c r="I1195" s="436"/>
      <c r="J1195" s="465">
        <v>0</v>
      </c>
      <c r="K1195" s="467">
        <v>0</v>
      </c>
    </row>
    <row r="1196" spans="2:11" ht="19" customHeight="1">
      <c r="B1196" s="464">
        <v>46050</v>
      </c>
      <c r="C1196" s="436" t="s">
        <v>256</v>
      </c>
      <c r="D1196" s="436" t="s">
        <v>675</v>
      </c>
      <c r="E1196" s="436">
        <v>1</v>
      </c>
      <c r="F1196" s="467">
        <v>5.75</v>
      </c>
      <c r="G1196" s="466">
        <v>5.75</v>
      </c>
      <c r="H1196" s="466">
        <f>G1196/1.1</f>
        <v>5.2272727272727266</v>
      </c>
      <c r="I1196" s="436"/>
      <c r="J1196" s="465">
        <v>0</v>
      </c>
      <c r="K1196" s="467">
        <v>0</v>
      </c>
    </row>
    <row r="1197" spans="2:11" ht="19" customHeight="1">
      <c r="B1197" s="464">
        <v>46050</v>
      </c>
      <c r="C1197" s="436" t="s">
        <v>251</v>
      </c>
      <c r="D1197" s="436" t="s">
        <v>250</v>
      </c>
      <c r="E1197" s="436">
        <v>1</v>
      </c>
      <c r="F1197" s="465">
        <v>1.8</v>
      </c>
      <c r="G1197" s="466">
        <v>1.8</v>
      </c>
      <c r="H1197" s="466">
        <f>G1197/1.1</f>
        <v>1.6363636363636362</v>
      </c>
      <c r="I1197" s="436"/>
      <c r="J1197" s="465">
        <v>0</v>
      </c>
      <c r="K1197" s="467">
        <v>0</v>
      </c>
    </row>
    <row r="1198" spans="2:11" ht="19" customHeight="1">
      <c r="B1198" s="464">
        <v>46050</v>
      </c>
      <c r="C1198" s="436" t="s">
        <v>253</v>
      </c>
      <c r="D1198" s="436" t="s">
        <v>869</v>
      </c>
      <c r="E1198" s="436">
        <v>1</v>
      </c>
      <c r="F1198" s="465">
        <v>2.5</v>
      </c>
      <c r="G1198" s="466">
        <v>2.5</v>
      </c>
      <c r="H1198" s="466">
        <f>G1198/1.1</f>
        <v>2.2727272727272725</v>
      </c>
      <c r="I1198" s="436"/>
      <c r="J1198" s="465">
        <v>0</v>
      </c>
      <c r="K1198" s="467">
        <v>0</v>
      </c>
    </row>
    <row r="1199" spans="2:11" ht="19" customHeight="1">
      <c r="B1199" s="464">
        <v>46050</v>
      </c>
      <c r="C1199" s="436" t="s">
        <v>256</v>
      </c>
      <c r="D1199" s="436" t="s">
        <v>679</v>
      </c>
      <c r="E1199" s="436">
        <v>1</v>
      </c>
      <c r="F1199" s="465">
        <v>10</v>
      </c>
      <c r="G1199" s="466">
        <v>10</v>
      </c>
      <c r="H1199" s="466">
        <f>G1199/1.1</f>
        <v>9.0909090909090899</v>
      </c>
      <c r="I1199" s="436"/>
      <c r="J1199" s="465">
        <v>0</v>
      </c>
      <c r="K1199" s="467">
        <v>0</v>
      </c>
    </row>
    <row r="1200" spans="2:11" ht="19" customHeight="1">
      <c r="B1200" s="464">
        <v>46050</v>
      </c>
      <c r="C1200" s="436" t="s">
        <v>277</v>
      </c>
      <c r="D1200" s="436" t="s">
        <v>1044</v>
      </c>
      <c r="E1200" s="436">
        <v>1</v>
      </c>
      <c r="F1200" s="465">
        <v>9.5</v>
      </c>
      <c r="G1200" s="466">
        <v>9.5</v>
      </c>
      <c r="H1200" s="466">
        <f>G1200/1.1</f>
        <v>8.6363636363636349</v>
      </c>
      <c r="I1200" s="436"/>
      <c r="J1200" s="465">
        <v>0</v>
      </c>
      <c r="K1200" s="467">
        <v>0</v>
      </c>
    </row>
    <row r="1201" spans="2:11" ht="19" customHeight="1">
      <c r="B1201" s="464">
        <v>46050</v>
      </c>
      <c r="C1201" s="436" t="s">
        <v>256</v>
      </c>
      <c r="D1201" s="436" t="s">
        <v>696</v>
      </c>
      <c r="E1201" s="436">
        <v>1</v>
      </c>
      <c r="F1201" s="465">
        <v>12</v>
      </c>
      <c r="G1201" s="466">
        <v>12</v>
      </c>
      <c r="H1201" s="466">
        <f>G1201/1.1</f>
        <v>10.909090909090908</v>
      </c>
      <c r="I1201" s="436"/>
      <c r="J1201" s="465">
        <v>0</v>
      </c>
      <c r="K1201" s="467">
        <v>0</v>
      </c>
    </row>
    <row r="1202" spans="2:11" ht="19" customHeight="1">
      <c r="B1202" s="464">
        <v>46050</v>
      </c>
      <c r="C1202" s="436" t="s">
        <v>256</v>
      </c>
      <c r="D1202" s="436" t="s">
        <v>952</v>
      </c>
      <c r="E1202" s="436">
        <v>1</v>
      </c>
      <c r="F1202" s="465">
        <v>7.5</v>
      </c>
      <c r="G1202" s="466">
        <v>7.5</v>
      </c>
      <c r="H1202" s="466">
        <f>G1202/1.1</f>
        <v>6.8181818181818175</v>
      </c>
      <c r="I1202" s="436"/>
      <c r="J1202" s="465">
        <v>0</v>
      </c>
      <c r="K1202" s="467">
        <v>0</v>
      </c>
    </row>
    <row r="1203" spans="2:11" ht="19" customHeight="1">
      <c r="B1203" s="464">
        <v>46050</v>
      </c>
      <c r="C1203" s="436" t="s">
        <v>247</v>
      </c>
      <c r="D1203" s="436" t="s">
        <v>246</v>
      </c>
      <c r="E1203" s="436">
        <v>1</v>
      </c>
      <c r="F1203" s="465">
        <v>1.7</v>
      </c>
      <c r="G1203" s="466">
        <v>1.7</v>
      </c>
      <c r="H1203" s="466">
        <f>G1203/1.1</f>
        <v>1.5454545454545452</v>
      </c>
      <c r="I1203" s="436"/>
      <c r="J1203" s="465">
        <v>0</v>
      </c>
      <c r="K1203" s="467">
        <v>0</v>
      </c>
    </row>
    <row r="1204" spans="2:11" ht="19" customHeight="1">
      <c r="B1204" s="464">
        <v>46050</v>
      </c>
      <c r="C1204" s="436" t="s">
        <v>253</v>
      </c>
      <c r="D1204" s="436" t="s">
        <v>901</v>
      </c>
      <c r="E1204" s="436">
        <v>1</v>
      </c>
      <c r="F1204" s="465">
        <v>2.15</v>
      </c>
      <c r="G1204" s="466">
        <v>2.15</v>
      </c>
      <c r="H1204" s="466">
        <f>G1204/1.1</f>
        <v>1.9545454545454544</v>
      </c>
      <c r="I1204" s="436"/>
      <c r="J1204" s="465">
        <v>0</v>
      </c>
      <c r="K1204" s="467">
        <v>0</v>
      </c>
    </row>
    <row r="1205" spans="2:11" ht="19" customHeight="1">
      <c r="B1205" s="464">
        <v>46050</v>
      </c>
      <c r="C1205" s="436" t="s">
        <v>251</v>
      </c>
      <c r="D1205" s="436" t="s">
        <v>250</v>
      </c>
      <c r="E1205" s="436">
        <v>1</v>
      </c>
      <c r="F1205" s="467">
        <v>1.8</v>
      </c>
      <c r="G1205" s="466">
        <v>1.8</v>
      </c>
      <c r="H1205" s="466">
        <f>G1205/1.1</f>
        <v>1.6363636363636362</v>
      </c>
      <c r="I1205" s="436"/>
      <c r="J1205" s="465">
        <v>0</v>
      </c>
      <c r="K1205" s="467">
        <v>0</v>
      </c>
    </row>
    <row r="1206" spans="2:11" ht="19" customHeight="1">
      <c r="B1206" s="464">
        <v>46050</v>
      </c>
      <c r="C1206" s="436" t="s">
        <v>247</v>
      </c>
      <c r="D1206" s="436" t="s">
        <v>248</v>
      </c>
      <c r="E1206" s="436">
        <v>2</v>
      </c>
      <c r="F1206" s="465">
        <v>1.65</v>
      </c>
      <c r="G1206" s="466">
        <v>3.3</v>
      </c>
      <c r="H1206" s="466">
        <f>G1206/1.1</f>
        <v>2.9999999999999996</v>
      </c>
      <c r="I1206" s="436"/>
      <c r="J1206" s="465">
        <v>0</v>
      </c>
      <c r="K1206" s="467">
        <v>0</v>
      </c>
    </row>
    <row r="1207" spans="2:11" ht="19" customHeight="1">
      <c r="B1207" s="464">
        <v>46050</v>
      </c>
      <c r="C1207" s="436" t="s">
        <v>264</v>
      </c>
      <c r="D1207" s="436" t="s">
        <v>930</v>
      </c>
      <c r="E1207" s="436">
        <v>1</v>
      </c>
      <c r="F1207" s="465">
        <v>3.5</v>
      </c>
      <c r="G1207" s="466">
        <v>3.5</v>
      </c>
      <c r="H1207" s="466">
        <f>G1207/1.1</f>
        <v>3.1818181818181817</v>
      </c>
      <c r="I1207" s="436"/>
      <c r="J1207" s="465">
        <v>0</v>
      </c>
      <c r="K1207" s="467">
        <v>0</v>
      </c>
    </row>
    <row r="1208" spans="2:11" ht="19" customHeight="1">
      <c r="B1208" s="464">
        <v>46050</v>
      </c>
      <c r="C1208" s="436" t="s">
        <v>256</v>
      </c>
      <c r="D1208" s="436" t="s">
        <v>262</v>
      </c>
      <c r="E1208" s="436">
        <v>1</v>
      </c>
      <c r="F1208" s="465">
        <v>11.9</v>
      </c>
      <c r="G1208" s="466">
        <v>11.9</v>
      </c>
      <c r="H1208" s="466">
        <f>G1208/1.1</f>
        <v>10.818181818181818</v>
      </c>
      <c r="I1208" s="436"/>
      <c r="J1208" s="465">
        <v>0</v>
      </c>
      <c r="K1208" s="467">
        <v>0</v>
      </c>
    </row>
    <row r="1209" spans="2:11" ht="19" customHeight="1">
      <c r="B1209" s="464">
        <v>46050</v>
      </c>
      <c r="C1209" s="436" t="s">
        <v>256</v>
      </c>
      <c r="D1209" s="436" t="s">
        <v>255</v>
      </c>
      <c r="E1209" s="436">
        <v>1</v>
      </c>
      <c r="F1209" s="465">
        <v>5.6</v>
      </c>
      <c r="G1209" s="466">
        <v>5.6</v>
      </c>
      <c r="H1209" s="466">
        <f>G1209/1.1</f>
        <v>5.0909090909090899</v>
      </c>
      <c r="I1209" s="436"/>
      <c r="J1209" s="465">
        <v>0</v>
      </c>
      <c r="K1209" s="467">
        <v>0</v>
      </c>
    </row>
    <row r="1210" spans="2:11" ht="19" customHeight="1">
      <c r="B1210" s="464">
        <v>46050</v>
      </c>
      <c r="C1210" s="436" t="s">
        <v>247</v>
      </c>
      <c r="D1210" s="436" t="s">
        <v>248</v>
      </c>
      <c r="E1210" s="436">
        <v>2</v>
      </c>
      <c r="F1210" s="465">
        <v>1.5</v>
      </c>
      <c r="G1210" s="466">
        <v>3</v>
      </c>
      <c r="H1210" s="466">
        <f>G1210/1.1</f>
        <v>2.7272727272727271</v>
      </c>
      <c r="I1210" s="436"/>
      <c r="J1210" s="465">
        <v>0</v>
      </c>
      <c r="K1210" s="467">
        <v>0</v>
      </c>
    </row>
    <row r="1211" spans="2:11" ht="19" customHeight="1">
      <c r="B1211" s="464">
        <v>46050</v>
      </c>
      <c r="C1211" s="436" t="s">
        <v>247</v>
      </c>
      <c r="D1211" s="436" t="s">
        <v>257</v>
      </c>
      <c r="E1211" s="436">
        <v>1</v>
      </c>
      <c r="F1211" s="465">
        <v>1.4</v>
      </c>
      <c r="G1211" s="466">
        <v>1.4</v>
      </c>
      <c r="H1211" s="466">
        <f>G1211/1.1</f>
        <v>1.2727272727272725</v>
      </c>
      <c r="I1211" s="436"/>
      <c r="J1211" s="465">
        <v>0</v>
      </c>
      <c r="K1211" s="467">
        <v>0</v>
      </c>
    </row>
    <row r="1212" spans="2:11" ht="19" customHeight="1">
      <c r="B1212" s="464">
        <v>46050</v>
      </c>
      <c r="C1212" s="436" t="s">
        <v>247</v>
      </c>
      <c r="D1212" s="436" t="s">
        <v>246</v>
      </c>
      <c r="E1212" s="436">
        <v>1</v>
      </c>
      <c r="F1212" s="465">
        <v>1.7</v>
      </c>
      <c r="G1212" s="466">
        <v>1.7</v>
      </c>
      <c r="H1212" s="466">
        <f>G1212/1.1</f>
        <v>1.5454545454545452</v>
      </c>
      <c r="I1212" s="436"/>
      <c r="J1212" s="465">
        <v>0</v>
      </c>
      <c r="K1212" s="467">
        <v>0</v>
      </c>
    </row>
    <row r="1213" spans="2:11" ht="19" customHeight="1">
      <c r="B1213" s="464">
        <v>46050</v>
      </c>
      <c r="C1213" s="436" t="s">
        <v>862</v>
      </c>
      <c r="D1213" s="436" t="s">
        <v>899</v>
      </c>
      <c r="E1213" s="436">
        <v>1</v>
      </c>
      <c r="F1213" s="465">
        <v>0.05</v>
      </c>
      <c r="G1213" s="466">
        <v>0.05</v>
      </c>
      <c r="H1213" s="466">
        <f>G1213/1.1</f>
        <v>4.5454545454545456E-2</v>
      </c>
      <c r="I1213" s="436"/>
      <c r="J1213" s="465">
        <v>0</v>
      </c>
      <c r="K1213" s="467">
        <v>0</v>
      </c>
    </row>
    <row r="1214" spans="2:11" ht="19" customHeight="1">
      <c r="B1214" s="464">
        <v>46050</v>
      </c>
      <c r="C1214" s="436" t="s">
        <v>247</v>
      </c>
      <c r="D1214" s="436" t="s">
        <v>246</v>
      </c>
      <c r="E1214" s="436">
        <v>1</v>
      </c>
      <c r="F1214" s="465">
        <v>1.7</v>
      </c>
      <c r="G1214" s="466">
        <v>1.7</v>
      </c>
      <c r="H1214" s="466">
        <f>G1214/1.1</f>
        <v>1.5454545454545452</v>
      </c>
      <c r="I1214" s="436"/>
      <c r="J1214" s="465">
        <v>0</v>
      </c>
      <c r="K1214" s="467">
        <v>0</v>
      </c>
    </row>
    <row r="1215" spans="2:11" ht="19" customHeight="1">
      <c r="B1215" s="464">
        <v>46050</v>
      </c>
      <c r="C1215" s="436" t="s">
        <v>247</v>
      </c>
      <c r="D1215" s="436" t="s">
        <v>246</v>
      </c>
      <c r="E1215" s="436">
        <v>1</v>
      </c>
      <c r="F1215" s="465">
        <v>1.7</v>
      </c>
      <c r="G1215" s="466">
        <v>1.7</v>
      </c>
      <c r="H1215" s="466">
        <f>G1215/1.1</f>
        <v>1.5454545454545452</v>
      </c>
      <c r="I1215" s="436"/>
      <c r="J1215" s="465">
        <v>0</v>
      </c>
      <c r="K1215" s="467">
        <v>0</v>
      </c>
    </row>
    <row r="1216" spans="2:11" ht="19" customHeight="1">
      <c r="B1216" s="464">
        <v>46050</v>
      </c>
      <c r="C1216" s="436" t="s">
        <v>862</v>
      </c>
      <c r="D1216" s="436" t="s">
        <v>907</v>
      </c>
      <c r="E1216" s="436">
        <v>1</v>
      </c>
      <c r="F1216" s="465">
        <v>0.15</v>
      </c>
      <c r="G1216" s="466">
        <v>0.15</v>
      </c>
      <c r="H1216" s="466">
        <f>G1216/1.1</f>
        <v>0.13636363636363635</v>
      </c>
      <c r="I1216" s="436"/>
      <c r="J1216" s="465">
        <v>0</v>
      </c>
      <c r="K1216" s="467">
        <v>0</v>
      </c>
    </row>
    <row r="1217" spans="2:11" ht="19" customHeight="1">
      <c r="B1217" s="464">
        <v>46050</v>
      </c>
      <c r="C1217" s="436" t="s">
        <v>328</v>
      </c>
      <c r="D1217" s="436" t="s">
        <v>773</v>
      </c>
      <c r="E1217" s="436">
        <v>1</v>
      </c>
      <c r="F1217" s="465">
        <v>3.1</v>
      </c>
      <c r="G1217" s="466">
        <v>3.1</v>
      </c>
      <c r="H1217" s="466">
        <f>G1217/1.1</f>
        <v>2.8181818181818179</v>
      </c>
      <c r="I1217" s="436"/>
      <c r="J1217" s="465">
        <v>0</v>
      </c>
      <c r="K1217" s="467">
        <v>0</v>
      </c>
    </row>
    <row r="1218" spans="2:11" ht="19" customHeight="1">
      <c r="B1218" s="464">
        <v>46050</v>
      </c>
      <c r="C1218" s="436" t="s">
        <v>862</v>
      </c>
      <c r="D1218" s="436" t="s">
        <v>865</v>
      </c>
      <c r="E1218" s="436">
        <v>1</v>
      </c>
      <c r="F1218" s="465">
        <v>0.05</v>
      </c>
      <c r="G1218" s="466">
        <v>0.05</v>
      </c>
      <c r="H1218" s="466">
        <f>G1218/1.1</f>
        <v>4.5454545454545456E-2</v>
      </c>
      <c r="I1218" s="436"/>
      <c r="J1218" s="465">
        <v>0</v>
      </c>
      <c r="K1218" s="467">
        <v>0</v>
      </c>
    </row>
    <row r="1219" spans="2:11" ht="19" customHeight="1">
      <c r="B1219" s="464">
        <v>46050</v>
      </c>
      <c r="C1219" s="436" t="s">
        <v>247</v>
      </c>
      <c r="D1219" s="436" t="s">
        <v>248</v>
      </c>
      <c r="E1219" s="436">
        <v>1</v>
      </c>
      <c r="F1219" s="465">
        <v>1.5</v>
      </c>
      <c r="G1219" s="466">
        <v>1.5</v>
      </c>
      <c r="H1219" s="466">
        <f>G1219/1.1</f>
        <v>1.3636363636363635</v>
      </c>
      <c r="I1219" s="436"/>
      <c r="J1219" s="465">
        <v>0</v>
      </c>
      <c r="K1219" s="467">
        <v>0</v>
      </c>
    </row>
    <row r="1220" spans="2:11" ht="19" customHeight="1">
      <c r="B1220" s="464">
        <v>46050</v>
      </c>
      <c r="C1220" s="436" t="s">
        <v>862</v>
      </c>
      <c r="D1220" s="436" t="s">
        <v>899</v>
      </c>
      <c r="E1220" s="436">
        <v>1</v>
      </c>
      <c r="F1220" s="465">
        <v>0.05</v>
      </c>
      <c r="G1220" s="466">
        <v>0.05</v>
      </c>
      <c r="H1220" s="466">
        <f>G1220/1.1</f>
        <v>4.5454545454545456E-2</v>
      </c>
      <c r="I1220" s="436"/>
      <c r="J1220" s="465">
        <v>0</v>
      </c>
      <c r="K1220" s="467">
        <v>0</v>
      </c>
    </row>
    <row r="1221" spans="2:11" ht="19" customHeight="1">
      <c r="B1221" s="464">
        <v>46050</v>
      </c>
      <c r="C1221" s="436" t="s">
        <v>268</v>
      </c>
      <c r="D1221" s="436" t="s">
        <v>858</v>
      </c>
      <c r="E1221" s="436">
        <v>1</v>
      </c>
      <c r="F1221" s="465">
        <v>0.65</v>
      </c>
      <c r="G1221" s="466">
        <v>0.65</v>
      </c>
      <c r="H1221" s="466">
        <f>G1221/1.1</f>
        <v>0.59090909090909083</v>
      </c>
      <c r="I1221" s="436"/>
      <c r="J1221" s="465">
        <v>0</v>
      </c>
      <c r="K1221" s="467">
        <v>0</v>
      </c>
    </row>
    <row r="1222" spans="2:11" ht="19" customHeight="1">
      <c r="B1222" s="464">
        <v>46050</v>
      </c>
      <c r="C1222" s="436" t="s">
        <v>247</v>
      </c>
      <c r="D1222" s="436" t="s">
        <v>248</v>
      </c>
      <c r="E1222" s="436">
        <v>1</v>
      </c>
      <c r="F1222" s="465">
        <v>1.5</v>
      </c>
      <c r="G1222" s="466">
        <v>1.5</v>
      </c>
      <c r="H1222" s="466">
        <f>G1222/1.1</f>
        <v>1.3636363636363635</v>
      </c>
      <c r="I1222" s="436"/>
      <c r="J1222" s="465">
        <v>0</v>
      </c>
      <c r="K1222" s="467">
        <v>0</v>
      </c>
    </row>
    <row r="1223" spans="2:11" ht="19" customHeight="1">
      <c r="B1223" s="464">
        <v>46050</v>
      </c>
      <c r="C1223" s="436" t="s">
        <v>247</v>
      </c>
      <c r="D1223" s="436" t="s">
        <v>248</v>
      </c>
      <c r="E1223" s="436">
        <v>1</v>
      </c>
      <c r="F1223" s="465">
        <v>1.5</v>
      </c>
      <c r="G1223" s="466">
        <v>1.5</v>
      </c>
      <c r="H1223" s="466">
        <f>G1223/1.1</f>
        <v>1.3636363636363635</v>
      </c>
      <c r="I1223" s="436"/>
      <c r="J1223" s="465">
        <v>0</v>
      </c>
      <c r="K1223" s="467">
        <v>0</v>
      </c>
    </row>
    <row r="1224" spans="2:11" ht="19" customHeight="1">
      <c r="B1224" s="464">
        <v>46050</v>
      </c>
      <c r="C1224" s="436" t="s">
        <v>247</v>
      </c>
      <c r="D1224" s="436" t="s">
        <v>248</v>
      </c>
      <c r="E1224" s="436">
        <v>1</v>
      </c>
      <c r="F1224" s="465">
        <v>1.5</v>
      </c>
      <c r="G1224" s="466">
        <v>1.5</v>
      </c>
      <c r="H1224" s="466">
        <f>G1224/1.1</f>
        <v>1.3636363636363635</v>
      </c>
      <c r="I1224" s="436"/>
      <c r="J1224" s="465">
        <v>0</v>
      </c>
      <c r="K1224" s="467">
        <v>0</v>
      </c>
    </row>
    <row r="1225" spans="2:11" ht="19" customHeight="1">
      <c r="B1225" s="464">
        <v>46050</v>
      </c>
      <c r="C1225" s="436" t="s">
        <v>247</v>
      </c>
      <c r="D1225" s="436" t="s">
        <v>248</v>
      </c>
      <c r="E1225" s="436">
        <v>1</v>
      </c>
      <c r="F1225" s="465">
        <v>1.5</v>
      </c>
      <c r="G1225" s="466">
        <v>1.5</v>
      </c>
      <c r="H1225" s="466">
        <f>G1225/1.1</f>
        <v>1.3636363636363635</v>
      </c>
      <c r="I1225" s="436"/>
      <c r="J1225" s="465">
        <v>0</v>
      </c>
      <c r="K1225" s="467">
        <v>0</v>
      </c>
    </row>
    <row r="1226" spans="2:11" ht="19" customHeight="1">
      <c r="B1226" s="464">
        <v>46050</v>
      </c>
      <c r="C1226" s="436" t="s">
        <v>268</v>
      </c>
      <c r="D1226" s="436" t="s">
        <v>858</v>
      </c>
      <c r="E1226" s="436">
        <v>1</v>
      </c>
      <c r="F1226" s="465">
        <v>0.65</v>
      </c>
      <c r="G1226" s="466">
        <v>0.65</v>
      </c>
      <c r="H1226" s="466">
        <f>G1226/1.1</f>
        <v>0.59090909090909083</v>
      </c>
      <c r="I1226" s="436"/>
      <c r="J1226" s="465">
        <v>0</v>
      </c>
      <c r="K1226" s="467">
        <v>0</v>
      </c>
    </row>
    <row r="1227" spans="2:11" ht="19" customHeight="1">
      <c r="B1227" s="464">
        <v>46050</v>
      </c>
      <c r="C1227" s="436" t="s">
        <v>247</v>
      </c>
      <c r="D1227" s="436" t="s">
        <v>246</v>
      </c>
      <c r="E1227" s="436">
        <v>1</v>
      </c>
      <c r="F1227" s="465">
        <v>1.7</v>
      </c>
      <c r="G1227" s="466">
        <v>1.7</v>
      </c>
      <c r="H1227" s="466">
        <f>G1227/1.1</f>
        <v>1.5454545454545452</v>
      </c>
      <c r="I1227" s="436"/>
      <c r="J1227" s="465">
        <v>0</v>
      </c>
      <c r="K1227" s="467">
        <v>0</v>
      </c>
    </row>
    <row r="1228" spans="2:11" ht="19" customHeight="1">
      <c r="B1228" s="464">
        <v>46050</v>
      </c>
      <c r="C1228" s="436" t="s">
        <v>328</v>
      </c>
      <c r="D1228" s="436" t="s">
        <v>773</v>
      </c>
      <c r="E1228" s="436">
        <v>1</v>
      </c>
      <c r="F1228" s="465">
        <v>3.1</v>
      </c>
      <c r="G1228" s="466">
        <v>3.1</v>
      </c>
      <c r="H1228" s="466">
        <f>G1228/1.1</f>
        <v>2.8181818181818179</v>
      </c>
      <c r="I1228" s="436"/>
      <c r="J1228" s="465">
        <v>0</v>
      </c>
      <c r="K1228" s="467">
        <v>0</v>
      </c>
    </row>
    <row r="1229" spans="2:11" ht="19" customHeight="1">
      <c r="B1229" s="464">
        <v>46050</v>
      </c>
      <c r="C1229" s="436" t="s">
        <v>862</v>
      </c>
      <c r="D1229" s="436" t="s">
        <v>865</v>
      </c>
      <c r="E1229" s="436">
        <v>1</v>
      </c>
      <c r="F1229" s="465">
        <v>0.05</v>
      </c>
      <c r="G1229" s="466">
        <v>0.05</v>
      </c>
      <c r="H1229" s="466">
        <f>G1229/1.1</f>
        <v>4.5454545454545456E-2</v>
      </c>
      <c r="I1229" s="436"/>
      <c r="J1229" s="465">
        <v>0</v>
      </c>
      <c r="K1229" s="467">
        <v>0</v>
      </c>
    </row>
    <row r="1230" spans="2:11" ht="19" customHeight="1">
      <c r="B1230" s="464">
        <v>46050</v>
      </c>
      <c r="C1230" s="436" t="s">
        <v>247</v>
      </c>
      <c r="D1230" s="436" t="s">
        <v>246</v>
      </c>
      <c r="E1230" s="436">
        <v>2</v>
      </c>
      <c r="F1230" s="465">
        <v>1.7</v>
      </c>
      <c r="G1230" s="466">
        <v>3.4</v>
      </c>
      <c r="H1230" s="466">
        <f>G1230/1.1</f>
        <v>3.0909090909090904</v>
      </c>
      <c r="I1230" s="436"/>
      <c r="J1230" s="465">
        <v>0</v>
      </c>
      <c r="K1230" s="467">
        <v>0</v>
      </c>
    </row>
    <row r="1231" spans="2:11" ht="19" customHeight="1">
      <c r="B1231" s="464">
        <v>46050</v>
      </c>
      <c r="C1231" s="436" t="s">
        <v>725</v>
      </c>
      <c r="D1231" s="436" t="s">
        <v>1045</v>
      </c>
      <c r="E1231" s="436">
        <v>1</v>
      </c>
      <c r="F1231" s="465">
        <v>1.75</v>
      </c>
      <c r="G1231" s="466">
        <v>1.75</v>
      </c>
      <c r="H1231" s="466">
        <f>G1231/1.1</f>
        <v>1.5909090909090908</v>
      </c>
      <c r="I1231" s="436"/>
      <c r="J1231" s="465">
        <v>0</v>
      </c>
      <c r="K1231" s="467">
        <v>0</v>
      </c>
    </row>
    <row r="1232" spans="2:11" ht="19" customHeight="1">
      <c r="B1232" s="464">
        <v>46050</v>
      </c>
      <c r="C1232" s="436" t="s">
        <v>251</v>
      </c>
      <c r="D1232" s="436" t="s">
        <v>926</v>
      </c>
      <c r="E1232" s="436">
        <v>1</v>
      </c>
      <c r="F1232" s="465">
        <v>2.65</v>
      </c>
      <c r="G1232" s="466">
        <v>2.65</v>
      </c>
      <c r="H1232" s="466">
        <f>G1232/1.1</f>
        <v>2.4090909090909087</v>
      </c>
      <c r="I1232" s="436"/>
      <c r="J1232" s="465">
        <v>0</v>
      </c>
      <c r="K1232" s="467">
        <v>0</v>
      </c>
    </row>
    <row r="1233" spans="2:11" ht="19" customHeight="1">
      <c r="B1233" s="464">
        <v>46050</v>
      </c>
      <c r="C1233" s="436" t="s">
        <v>247</v>
      </c>
      <c r="D1233" s="436" t="s">
        <v>246</v>
      </c>
      <c r="E1233" s="436">
        <v>2</v>
      </c>
      <c r="F1233" s="465">
        <v>1.7</v>
      </c>
      <c r="G1233" s="466">
        <v>3.4</v>
      </c>
      <c r="H1233" s="466">
        <f>G1233/1.1</f>
        <v>3.0909090909090904</v>
      </c>
      <c r="I1233" s="436"/>
      <c r="J1233" s="465">
        <v>0</v>
      </c>
      <c r="K1233" s="467">
        <v>0</v>
      </c>
    </row>
    <row r="1234" spans="2:11" ht="19" customHeight="1">
      <c r="B1234" s="464">
        <v>46050</v>
      </c>
      <c r="C1234" s="436" t="s">
        <v>862</v>
      </c>
      <c r="D1234" s="436" t="s">
        <v>899</v>
      </c>
      <c r="E1234" s="436">
        <v>2</v>
      </c>
      <c r="F1234" s="465">
        <v>0.05</v>
      </c>
      <c r="G1234" s="466">
        <v>0.1</v>
      </c>
      <c r="H1234" s="466">
        <f>G1234/1.1</f>
        <v>9.0909090909090912E-2</v>
      </c>
      <c r="I1234" s="436"/>
      <c r="J1234" s="465">
        <v>0</v>
      </c>
      <c r="K1234" s="467">
        <v>0</v>
      </c>
    </row>
    <row r="1235" spans="2:11" ht="19" customHeight="1">
      <c r="B1235" s="464">
        <v>46050</v>
      </c>
      <c r="C1235" s="436" t="s">
        <v>327</v>
      </c>
      <c r="D1235" s="436" t="s">
        <v>1007</v>
      </c>
      <c r="E1235" s="436">
        <v>1</v>
      </c>
      <c r="F1235" s="465">
        <v>4.5999999999999996</v>
      </c>
      <c r="G1235" s="466">
        <v>4.5999999999999996</v>
      </c>
      <c r="H1235" s="466">
        <f>G1235/1.1</f>
        <v>4.1818181818181808</v>
      </c>
      <c r="I1235" s="436"/>
      <c r="J1235" s="465">
        <v>0</v>
      </c>
      <c r="K1235" s="467">
        <v>0</v>
      </c>
    </row>
    <row r="1236" spans="2:11" ht="19" customHeight="1">
      <c r="B1236" s="464">
        <v>46050</v>
      </c>
      <c r="C1236" s="436" t="s">
        <v>247</v>
      </c>
      <c r="D1236" s="436" t="s">
        <v>248</v>
      </c>
      <c r="E1236" s="436">
        <v>1</v>
      </c>
      <c r="F1236" s="465">
        <v>1.5</v>
      </c>
      <c r="G1236" s="466">
        <v>1.5</v>
      </c>
      <c r="H1236" s="466">
        <f>G1236/1.1</f>
        <v>1.3636363636363635</v>
      </c>
      <c r="I1236" s="436"/>
      <c r="J1236" s="465">
        <v>0</v>
      </c>
      <c r="K1236" s="467">
        <v>0</v>
      </c>
    </row>
    <row r="1237" spans="2:11" ht="19" customHeight="1">
      <c r="B1237" s="464">
        <v>46050</v>
      </c>
      <c r="C1237" s="436" t="s">
        <v>247</v>
      </c>
      <c r="D1237" s="436" t="s">
        <v>246</v>
      </c>
      <c r="E1237" s="436">
        <v>1</v>
      </c>
      <c r="F1237" s="467">
        <v>1.7</v>
      </c>
      <c r="G1237" s="466">
        <v>1.7</v>
      </c>
      <c r="H1237" s="466">
        <f>G1237/1.1</f>
        <v>1.5454545454545452</v>
      </c>
      <c r="I1237" s="436"/>
      <c r="J1237" s="465">
        <v>0</v>
      </c>
      <c r="K1237" s="467">
        <v>0</v>
      </c>
    </row>
    <row r="1238" spans="2:11" ht="19" customHeight="1">
      <c r="B1238" s="464">
        <v>46050</v>
      </c>
      <c r="C1238" s="436" t="s">
        <v>247</v>
      </c>
      <c r="D1238" s="436" t="s">
        <v>257</v>
      </c>
      <c r="E1238" s="436">
        <v>1</v>
      </c>
      <c r="F1238" s="465">
        <v>1.4</v>
      </c>
      <c r="G1238" s="466">
        <v>1.4</v>
      </c>
      <c r="H1238" s="466">
        <f>G1238/1.1</f>
        <v>1.2727272727272725</v>
      </c>
      <c r="I1238" s="436"/>
      <c r="J1238" s="465">
        <v>0</v>
      </c>
      <c r="K1238" s="467">
        <v>0</v>
      </c>
    </row>
    <row r="1239" spans="2:11" ht="19" customHeight="1">
      <c r="B1239" s="464">
        <v>46050</v>
      </c>
      <c r="C1239" s="436" t="s">
        <v>256</v>
      </c>
      <c r="D1239" s="436" t="s">
        <v>983</v>
      </c>
      <c r="E1239" s="436">
        <v>1</v>
      </c>
      <c r="F1239" s="465">
        <v>2.75</v>
      </c>
      <c r="G1239" s="466">
        <v>2.75</v>
      </c>
      <c r="H1239" s="466">
        <f>G1239/1.1</f>
        <v>2.5</v>
      </c>
      <c r="I1239" s="436"/>
      <c r="J1239" s="465">
        <v>0</v>
      </c>
      <c r="K1239" s="467">
        <v>0</v>
      </c>
    </row>
    <row r="1240" spans="2:11" ht="19" customHeight="1">
      <c r="B1240" s="464">
        <v>46050</v>
      </c>
      <c r="C1240" s="436" t="s">
        <v>276</v>
      </c>
      <c r="D1240" s="436" t="s">
        <v>995</v>
      </c>
      <c r="E1240" s="436">
        <v>2</v>
      </c>
      <c r="F1240" s="465">
        <v>3.05</v>
      </c>
      <c r="G1240" s="466">
        <v>6.1</v>
      </c>
      <c r="H1240" s="466">
        <f>G1240/1.1</f>
        <v>5.545454545454545</v>
      </c>
      <c r="I1240" s="436"/>
      <c r="J1240" s="465">
        <v>0</v>
      </c>
      <c r="K1240" s="467">
        <v>0</v>
      </c>
    </row>
    <row r="1241" spans="2:11" ht="19" customHeight="1">
      <c r="B1241" s="464">
        <v>46050</v>
      </c>
      <c r="C1241" s="436" t="s">
        <v>253</v>
      </c>
      <c r="D1241" s="436" t="s">
        <v>869</v>
      </c>
      <c r="E1241" s="436">
        <v>2</v>
      </c>
      <c r="F1241" s="465">
        <v>2.5</v>
      </c>
      <c r="G1241" s="466">
        <v>5</v>
      </c>
      <c r="H1241" s="466">
        <f>G1241/1.1</f>
        <v>4.545454545454545</v>
      </c>
      <c r="I1241" s="436"/>
      <c r="J1241" s="465">
        <v>0</v>
      </c>
      <c r="K1241" s="467">
        <v>0</v>
      </c>
    </row>
    <row r="1242" spans="2:11" ht="19" customHeight="1">
      <c r="B1242" s="464">
        <v>46050</v>
      </c>
      <c r="C1242" s="436" t="s">
        <v>247</v>
      </c>
      <c r="D1242" s="436" t="s">
        <v>246</v>
      </c>
      <c r="E1242" s="436">
        <v>2</v>
      </c>
      <c r="F1242" s="465">
        <v>1.7</v>
      </c>
      <c r="G1242" s="466">
        <v>3.4</v>
      </c>
      <c r="H1242" s="466">
        <f>G1242/1.1</f>
        <v>3.0909090909090904</v>
      </c>
      <c r="I1242" s="436"/>
      <c r="J1242" s="465">
        <v>0</v>
      </c>
      <c r="K1242" s="467">
        <v>0</v>
      </c>
    </row>
    <row r="1243" spans="2:11" ht="19" customHeight="1">
      <c r="B1243" s="464">
        <v>46050</v>
      </c>
      <c r="C1243" s="436" t="s">
        <v>862</v>
      </c>
      <c r="D1243" s="436" t="s">
        <v>982</v>
      </c>
      <c r="E1243" s="436">
        <v>2</v>
      </c>
      <c r="F1243" s="465">
        <v>0.15</v>
      </c>
      <c r="G1243" s="466">
        <v>0.3</v>
      </c>
      <c r="H1243" s="466">
        <f>G1243/1.1</f>
        <v>0.27272727272727271</v>
      </c>
      <c r="I1243" s="436"/>
      <c r="J1243" s="465">
        <v>0</v>
      </c>
      <c r="K1243" s="467">
        <v>0</v>
      </c>
    </row>
    <row r="1244" spans="2:11" ht="19" customHeight="1">
      <c r="B1244" s="464">
        <v>46050</v>
      </c>
      <c r="C1244" s="436" t="s">
        <v>247</v>
      </c>
      <c r="D1244" s="436" t="s">
        <v>246</v>
      </c>
      <c r="E1244" s="436">
        <v>2</v>
      </c>
      <c r="F1244" s="465">
        <v>1.7</v>
      </c>
      <c r="G1244" s="466">
        <v>3.4</v>
      </c>
      <c r="H1244" s="466">
        <f>G1244/1.1</f>
        <v>3.0909090909090904</v>
      </c>
      <c r="I1244" s="436"/>
      <c r="J1244" s="465">
        <v>0</v>
      </c>
      <c r="K1244" s="467">
        <v>0</v>
      </c>
    </row>
    <row r="1245" spans="2:11" ht="19" customHeight="1">
      <c r="B1245" s="464">
        <v>46050</v>
      </c>
      <c r="C1245" s="436" t="s">
        <v>247</v>
      </c>
      <c r="D1245" s="436" t="s">
        <v>248</v>
      </c>
      <c r="E1245" s="436">
        <v>1</v>
      </c>
      <c r="F1245" s="465">
        <v>1.5</v>
      </c>
      <c r="G1245" s="466">
        <v>1.5</v>
      </c>
      <c r="H1245" s="466">
        <f>G1245/1.1</f>
        <v>1.3636363636363635</v>
      </c>
      <c r="I1245" s="436"/>
      <c r="J1245" s="465">
        <v>0</v>
      </c>
      <c r="K1245" s="467">
        <v>0</v>
      </c>
    </row>
    <row r="1246" spans="2:11" ht="19" customHeight="1">
      <c r="B1246" s="464">
        <v>46050</v>
      </c>
      <c r="C1246" s="436" t="s">
        <v>247</v>
      </c>
      <c r="D1246" s="436" t="s">
        <v>246</v>
      </c>
      <c r="E1246" s="436">
        <v>1</v>
      </c>
      <c r="F1246" s="465">
        <v>1.7</v>
      </c>
      <c r="G1246" s="466">
        <v>1.7</v>
      </c>
      <c r="H1246" s="466">
        <f>G1246/1.1</f>
        <v>1.5454545454545452</v>
      </c>
      <c r="I1246" s="436"/>
      <c r="J1246" s="465">
        <v>0</v>
      </c>
      <c r="K1246" s="467">
        <v>0</v>
      </c>
    </row>
    <row r="1247" spans="2:11" ht="19" customHeight="1">
      <c r="B1247" s="464">
        <v>46050</v>
      </c>
      <c r="C1247" s="436" t="s">
        <v>247</v>
      </c>
      <c r="D1247" s="436" t="s">
        <v>902</v>
      </c>
      <c r="E1247" s="436">
        <v>1</v>
      </c>
      <c r="F1247" s="465">
        <v>1.95</v>
      </c>
      <c r="G1247" s="466">
        <v>1.95</v>
      </c>
      <c r="H1247" s="466">
        <f>G1247/1.1</f>
        <v>1.7727272727272725</v>
      </c>
      <c r="I1247" s="436"/>
      <c r="J1247" s="465">
        <v>0</v>
      </c>
      <c r="K1247" s="467">
        <v>0</v>
      </c>
    </row>
    <row r="1248" spans="2:11" ht="19" customHeight="1">
      <c r="B1248" s="464">
        <v>46050</v>
      </c>
      <c r="C1248" s="436" t="s">
        <v>268</v>
      </c>
      <c r="D1248" s="436" t="s">
        <v>860</v>
      </c>
      <c r="E1248" s="436">
        <v>1</v>
      </c>
      <c r="F1248" s="465">
        <v>2.25</v>
      </c>
      <c r="G1248" s="466">
        <v>2.25</v>
      </c>
      <c r="H1248" s="466">
        <f>G1248/1.1</f>
        <v>2.0454545454545454</v>
      </c>
      <c r="I1248" s="436"/>
      <c r="J1248" s="465">
        <v>0</v>
      </c>
      <c r="K1248" s="467">
        <v>0</v>
      </c>
    </row>
    <row r="1249" spans="2:11" ht="19" customHeight="1">
      <c r="B1249" s="464">
        <v>46050</v>
      </c>
      <c r="C1249" s="436" t="s">
        <v>247</v>
      </c>
      <c r="D1249" s="436" t="s">
        <v>248</v>
      </c>
      <c r="E1249" s="436">
        <v>1</v>
      </c>
      <c r="F1249" s="465">
        <v>1.5</v>
      </c>
      <c r="G1249" s="466">
        <v>1.5</v>
      </c>
      <c r="H1249" s="466">
        <f>G1249/1.1</f>
        <v>1.3636363636363635</v>
      </c>
      <c r="I1249" s="436"/>
      <c r="J1249" s="465">
        <v>0</v>
      </c>
      <c r="K1249" s="467">
        <v>0</v>
      </c>
    </row>
    <row r="1250" spans="2:11" ht="19" customHeight="1">
      <c r="B1250" s="464">
        <v>46050</v>
      </c>
      <c r="C1250" s="436" t="s">
        <v>247</v>
      </c>
      <c r="D1250" s="436" t="s">
        <v>246</v>
      </c>
      <c r="E1250" s="436">
        <v>1</v>
      </c>
      <c r="F1250" s="465">
        <v>1.7</v>
      </c>
      <c r="G1250" s="466">
        <v>1.7</v>
      </c>
      <c r="H1250" s="466">
        <f>G1250/1.1</f>
        <v>1.5454545454545452</v>
      </c>
      <c r="I1250" s="436"/>
      <c r="J1250" s="465">
        <v>0</v>
      </c>
      <c r="K1250" s="467">
        <v>0</v>
      </c>
    </row>
    <row r="1251" spans="2:11" ht="19" customHeight="1">
      <c r="B1251" s="464">
        <v>46050</v>
      </c>
      <c r="C1251" s="436" t="s">
        <v>247</v>
      </c>
      <c r="D1251" s="436" t="s">
        <v>246</v>
      </c>
      <c r="E1251" s="436">
        <v>1</v>
      </c>
      <c r="F1251" s="465">
        <v>1.7</v>
      </c>
      <c r="G1251" s="466">
        <v>1.7</v>
      </c>
      <c r="H1251" s="466">
        <f>G1251/1.1</f>
        <v>1.5454545454545452</v>
      </c>
      <c r="I1251" s="436"/>
      <c r="J1251" s="465">
        <v>0</v>
      </c>
      <c r="K1251" s="467">
        <v>0</v>
      </c>
    </row>
    <row r="1252" spans="2:11" ht="19" customHeight="1">
      <c r="B1252" s="464">
        <v>46050</v>
      </c>
      <c r="C1252" s="436" t="s">
        <v>247</v>
      </c>
      <c r="D1252" s="436" t="s">
        <v>248</v>
      </c>
      <c r="E1252" s="436">
        <v>1</v>
      </c>
      <c r="F1252" s="465">
        <v>1.5</v>
      </c>
      <c r="G1252" s="466">
        <v>1.5</v>
      </c>
      <c r="H1252" s="466">
        <f>G1252/1.1</f>
        <v>1.3636363636363635</v>
      </c>
      <c r="I1252" s="436"/>
      <c r="J1252" s="465">
        <v>0</v>
      </c>
      <c r="K1252" s="467">
        <v>0</v>
      </c>
    </row>
    <row r="1253" spans="2:11" ht="19" customHeight="1">
      <c r="B1253" s="464">
        <v>46051</v>
      </c>
      <c r="C1253" s="436" t="s">
        <v>247</v>
      </c>
      <c r="D1253" s="436" t="s">
        <v>246</v>
      </c>
      <c r="E1253" s="436">
        <v>1</v>
      </c>
      <c r="F1253" s="465">
        <v>1.7</v>
      </c>
      <c r="G1253" s="466">
        <v>1.7</v>
      </c>
      <c r="H1253" s="466">
        <f>G1253/1.1</f>
        <v>1.5454545454545452</v>
      </c>
      <c r="I1253" s="436"/>
      <c r="J1253" s="465">
        <v>0</v>
      </c>
      <c r="K1253" s="467">
        <v>0</v>
      </c>
    </row>
    <row r="1254" spans="2:11" ht="19" customHeight="1">
      <c r="B1254" s="464">
        <v>46051</v>
      </c>
      <c r="C1254" s="436" t="s">
        <v>247</v>
      </c>
      <c r="D1254" s="436" t="s">
        <v>248</v>
      </c>
      <c r="E1254" s="436">
        <v>1</v>
      </c>
      <c r="F1254" s="465">
        <v>1.5</v>
      </c>
      <c r="G1254" s="466">
        <v>1.5</v>
      </c>
      <c r="H1254" s="466">
        <f>G1254/1.1</f>
        <v>1.3636363636363635</v>
      </c>
      <c r="I1254" s="436"/>
      <c r="J1254" s="465">
        <v>0</v>
      </c>
      <c r="K1254" s="467">
        <v>0</v>
      </c>
    </row>
    <row r="1255" spans="2:11" ht="19" customHeight="1">
      <c r="B1255" s="464">
        <v>46051</v>
      </c>
      <c r="C1255" s="436" t="s">
        <v>247</v>
      </c>
      <c r="D1255" s="436" t="s">
        <v>902</v>
      </c>
      <c r="E1255" s="436">
        <v>3</v>
      </c>
      <c r="F1255" s="465">
        <v>1.95</v>
      </c>
      <c r="G1255" s="466">
        <v>5.85</v>
      </c>
      <c r="H1255" s="466">
        <f>G1255/1.1</f>
        <v>5.3181818181818175</v>
      </c>
      <c r="I1255" s="436"/>
      <c r="J1255" s="465">
        <v>0</v>
      </c>
      <c r="K1255" s="467">
        <v>0</v>
      </c>
    </row>
    <row r="1256" spans="2:11" ht="19" customHeight="1">
      <c r="B1256" s="464">
        <v>46051</v>
      </c>
      <c r="C1256" s="436" t="s">
        <v>894</v>
      </c>
      <c r="D1256" s="436" t="s">
        <v>895</v>
      </c>
      <c r="E1256" s="436">
        <v>1</v>
      </c>
      <c r="F1256" s="465">
        <v>7.1</v>
      </c>
      <c r="G1256" s="466">
        <v>7.1</v>
      </c>
      <c r="H1256" s="466">
        <f>G1256/1.1</f>
        <v>6.4545454545454541</v>
      </c>
      <c r="I1256" s="436"/>
      <c r="J1256" s="467">
        <v>0</v>
      </c>
      <c r="K1256" s="467">
        <v>0</v>
      </c>
    </row>
    <row r="1257" spans="2:11" ht="19" customHeight="1">
      <c r="B1257" s="464">
        <v>46051</v>
      </c>
      <c r="C1257" s="436" t="s">
        <v>247</v>
      </c>
      <c r="D1257" s="436" t="s">
        <v>710</v>
      </c>
      <c r="E1257" s="436">
        <v>1</v>
      </c>
      <c r="F1257" s="465">
        <v>2.65</v>
      </c>
      <c r="G1257" s="466">
        <v>2.65</v>
      </c>
      <c r="H1257" s="466">
        <f>G1257/1.1</f>
        <v>2.4090909090909087</v>
      </c>
      <c r="I1257" s="436"/>
      <c r="J1257" s="465">
        <v>0</v>
      </c>
      <c r="K1257" s="467">
        <v>0</v>
      </c>
    </row>
    <row r="1258" spans="2:11" ht="19" customHeight="1">
      <c r="B1258" s="464">
        <v>46051</v>
      </c>
      <c r="C1258" s="436" t="s">
        <v>247</v>
      </c>
      <c r="D1258" s="436" t="s">
        <v>246</v>
      </c>
      <c r="E1258" s="436">
        <v>2</v>
      </c>
      <c r="F1258" s="465">
        <v>1.7</v>
      </c>
      <c r="G1258" s="466">
        <v>3.4</v>
      </c>
      <c r="H1258" s="466">
        <f>G1258/1.1</f>
        <v>3.0909090909090904</v>
      </c>
      <c r="I1258" s="436"/>
      <c r="J1258" s="465">
        <v>0</v>
      </c>
      <c r="K1258" s="467">
        <v>0</v>
      </c>
    </row>
    <row r="1259" spans="2:11" ht="19" customHeight="1">
      <c r="B1259" s="464">
        <v>46051</v>
      </c>
      <c r="C1259" s="436" t="s">
        <v>268</v>
      </c>
      <c r="D1259" s="436" t="s">
        <v>267</v>
      </c>
      <c r="E1259" s="436">
        <v>1</v>
      </c>
      <c r="F1259" s="465">
        <v>1.5</v>
      </c>
      <c r="G1259" s="466">
        <v>1.5</v>
      </c>
      <c r="H1259" s="466">
        <f>G1259/1.1</f>
        <v>1.3636363636363635</v>
      </c>
      <c r="I1259" s="436"/>
      <c r="J1259" s="465">
        <v>0</v>
      </c>
      <c r="K1259" s="467">
        <v>0</v>
      </c>
    </row>
    <row r="1260" spans="2:11" ht="19" customHeight="1">
      <c r="B1260" s="464">
        <v>46051</v>
      </c>
      <c r="C1260" s="436" t="s">
        <v>268</v>
      </c>
      <c r="D1260" s="436" t="s">
        <v>860</v>
      </c>
      <c r="E1260" s="436">
        <v>1</v>
      </c>
      <c r="F1260" s="465">
        <v>2.25</v>
      </c>
      <c r="G1260" s="466">
        <v>2.25</v>
      </c>
      <c r="H1260" s="466">
        <f>G1260/1.1</f>
        <v>2.0454545454545454</v>
      </c>
      <c r="I1260" s="436"/>
      <c r="J1260" s="465">
        <v>0</v>
      </c>
      <c r="K1260" s="467">
        <v>0</v>
      </c>
    </row>
    <row r="1261" spans="2:11" ht="19" customHeight="1">
      <c r="B1261" s="464">
        <v>46051</v>
      </c>
      <c r="C1261" s="436" t="s">
        <v>247</v>
      </c>
      <c r="D1261" s="436" t="s">
        <v>246</v>
      </c>
      <c r="E1261" s="436">
        <v>2</v>
      </c>
      <c r="F1261" s="467">
        <v>1.7</v>
      </c>
      <c r="G1261" s="466">
        <v>3.4</v>
      </c>
      <c r="H1261" s="466">
        <f>G1261/1.1</f>
        <v>3.0909090909090904</v>
      </c>
      <c r="I1261" s="436"/>
      <c r="J1261" s="465">
        <v>0</v>
      </c>
      <c r="K1261" s="467">
        <v>0</v>
      </c>
    </row>
    <row r="1262" spans="2:11" ht="19" customHeight="1">
      <c r="B1262" s="464">
        <v>46051</v>
      </c>
      <c r="C1262" s="436" t="s">
        <v>327</v>
      </c>
      <c r="D1262" s="436" t="s">
        <v>903</v>
      </c>
      <c r="E1262" s="436">
        <v>1</v>
      </c>
      <c r="F1262" s="465">
        <v>3.5</v>
      </c>
      <c r="G1262" s="466">
        <v>3.5</v>
      </c>
      <c r="H1262" s="466">
        <f>G1262/1.1</f>
        <v>3.1818181818181817</v>
      </c>
      <c r="I1262" s="436"/>
      <c r="J1262" s="465">
        <v>0</v>
      </c>
      <c r="K1262" s="467">
        <v>0</v>
      </c>
    </row>
    <row r="1263" spans="2:11" ht="19" customHeight="1">
      <c r="B1263" s="464">
        <v>46051</v>
      </c>
      <c r="C1263" s="436" t="s">
        <v>264</v>
      </c>
      <c r="D1263" s="436" t="s">
        <v>891</v>
      </c>
      <c r="E1263" s="436">
        <v>1</v>
      </c>
      <c r="F1263" s="465">
        <v>1.4</v>
      </c>
      <c r="G1263" s="466">
        <v>1.4</v>
      </c>
      <c r="H1263" s="466">
        <f>G1263/1.1</f>
        <v>1.2727272727272725</v>
      </c>
      <c r="I1263" s="436"/>
      <c r="J1263" s="465">
        <v>0</v>
      </c>
      <c r="K1263" s="467">
        <v>0</v>
      </c>
    </row>
    <row r="1264" spans="2:11" ht="19" customHeight="1">
      <c r="B1264" s="464">
        <v>46051</v>
      </c>
      <c r="C1264" s="436" t="s">
        <v>247</v>
      </c>
      <c r="D1264" s="436" t="s">
        <v>246</v>
      </c>
      <c r="E1264" s="436">
        <v>1</v>
      </c>
      <c r="F1264" s="465">
        <v>1.7</v>
      </c>
      <c r="G1264" s="466">
        <v>1.7</v>
      </c>
      <c r="H1264" s="466">
        <f>G1264/1.1</f>
        <v>1.5454545454545452</v>
      </c>
      <c r="I1264" s="436"/>
      <c r="J1264" s="465">
        <v>0</v>
      </c>
      <c r="K1264" s="467">
        <v>0</v>
      </c>
    </row>
    <row r="1265" spans="2:11" ht="19" customHeight="1">
      <c r="B1265" s="464">
        <v>46051</v>
      </c>
      <c r="C1265" s="436" t="s">
        <v>247</v>
      </c>
      <c r="D1265" s="436" t="s">
        <v>855</v>
      </c>
      <c r="E1265" s="436">
        <v>1</v>
      </c>
      <c r="F1265" s="465">
        <v>2.5499999999999998</v>
      </c>
      <c r="G1265" s="466">
        <v>2.5499999999999998</v>
      </c>
      <c r="H1265" s="466">
        <f>G1265/1.1</f>
        <v>2.3181818181818179</v>
      </c>
      <c r="I1265" s="436"/>
      <c r="J1265" s="465">
        <v>0</v>
      </c>
      <c r="K1265" s="467">
        <v>0</v>
      </c>
    </row>
    <row r="1266" spans="2:11" ht="19" customHeight="1">
      <c r="B1266" s="464">
        <v>46051</v>
      </c>
      <c r="C1266" s="436" t="s">
        <v>268</v>
      </c>
      <c r="D1266" s="436" t="s">
        <v>858</v>
      </c>
      <c r="E1266" s="436">
        <v>2</v>
      </c>
      <c r="F1266" s="465">
        <v>0.65</v>
      </c>
      <c r="G1266" s="466">
        <v>1.3</v>
      </c>
      <c r="H1266" s="466">
        <f>G1266/1.1</f>
        <v>1.1818181818181817</v>
      </c>
      <c r="I1266" s="436"/>
      <c r="J1266" s="465">
        <v>0</v>
      </c>
      <c r="K1266" s="467">
        <v>0</v>
      </c>
    </row>
    <row r="1267" spans="2:11" ht="19" customHeight="1">
      <c r="B1267" s="464">
        <v>46051</v>
      </c>
      <c r="C1267" s="436" t="s">
        <v>247</v>
      </c>
      <c r="D1267" s="436" t="s">
        <v>257</v>
      </c>
      <c r="E1267" s="436">
        <v>1</v>
      </c>
      <c r="F1267" s="465">
        <v>1.4</v>
      </c>
      <c r="G1267" s="466">
        <v>1.4</v>
      </c>
      <c r="H1267" s="466">
        <f>G1267/1.1</f>
        <v>1.2727272727272725</v>
      </c>
      <c r="I1267" s="436"/>
      <c r="J1267" s="465">
        <v>0</v>
      </c>
      <c r="K1267" s="467">
        <v>0</v>
      </c>
    </row>
    <row r="1268" spans="2:11" ht="19" customHeight="1">
      <c r="B1268" s="464">
        <v>46051</v>
      </c>
      <c r="C1268" s="436" t="s">
        <v>247</v>
      </c>
      <c r="D1268" s="436" t="s">
        <v>248</v>
      </c>
      <c r="E1268" s="436">
        <v>1</v>
      </c>
      <c r="F1268" s="465">
        <v>1.5</v>
      </c>
      <c r="G1268" s="466">
        <v>1.5</v>
      </c>
      <c r="H1268" s="466">
        <f>G1268/1.1</f>
        <v>1.3636363636363635</v>
      </c>
      <c r="I1268" s="436"/>
      <c r="J1268" s="465">
        <v>0</v>
      </c>
      <c r="K1268" s="467">
        <v>0</v>
      </c>
    </row>
    <row r="1269" spans="2:11" ht="19" customHeight="1">
      <c r="B1269" s="464">
        <v>46051</v>
      </c>
      <c r="C1269" s="436" t="s">
        <v>268</v>
      </c>
      <c r="D1269" s="436" t="s">
        <v>267</v>
      </c>
      <c r="E1269" s="436">
        <v>1</v>
      </c>
      <c r="F1269" s="465">
        <v>1.5</v>
      </c>
      <c r="G1269" s="466">
        <v>1.5</v>
      </c>
      <c r="H1269" s="466">
        <f>G1269/1.1</f>
        <v>1.3636363636363635</v>
      </c>
      <c r="I1269" s="436"/>
      <c r="J1269" s="465">
        <v>0</v>
      </c>
      <c r="K1269" s="467">
        <v>0</v>
      </c>
    </row>
    <row r="1270" spans="2:11" ht="19" customHeight="1">
      <c r="B1270" s="464">
        <v>46051</v>
      </c>
      <c r="C1270" s="436" t="s">
        <v>247</v>
      </c>
      <c r="D1270" s="436" t="s">
        <v>246</v>
      </c>
      <c r="E1270" s="436">
        <v>4</v>
      </c>
      <c r="F1270" s="465">
        <v>1.7</v>
      </c>
      <c r="G1270" s="466">
        <v>6.8</v>
      </c>
      <c r="H1270" s="466">
        <f>G1270/1.1</f>
        <v>6.1818181818181808</v>
      </c>
      <c r="I1270" s="436"/>
      <c r="J1270" s="465">
        <v>0</v>
      </c>
      <c r="K1270" s="467">
        <v>0</v>
      </c>
    </row>
    <row r="1271" spans="2:11" ht="19" customHeight="1">
      <c r="B1271" s="464">
        <v>46051</v>
      </c>
      <c r="C1271" s="436" t="s">
        <v>247</v>
      </c>
      <c r="D1271" s="436" t="s">
        <v>246</v>
      </c>
      <c r="E1271" s="436">
        <v>1</v>
      </c>
      <c r="F1271" s="465">
        <v>1.7</v>
      </c>
      <c r="G1271" s="466">
        <v>1.7</v>
      </c>
      <c r="H1271" s="466">
        <f>G1271/1.1</f>
        <v>1.5454545454545452</v>
      </c>
      <c r="I1271" s="436"/>
      <c r="J1271" s="465">
        <v>0</v>
      </c>
      <c r="K1271" s="467">
        <v>0</v>
      </c>
    </row>
    <row r="1272" spans="2:11" ht="19" customHeight="1">
      <c r="B1272" s="464">
        <v>46051</v>
      </c>
      <c r="C1272" s="436" t="s">
        <v>268</v>
      </c>
      <c r="D1272" s="436" t="s">
        <v>860</v>
      </c>
      <c r="E1272" s="436">
        <v>1</v>
      </c>
      <c r="F1272" s="465">
        <v>2.25</v>
      </c>
      <c r="G1272" s="466">
        <v>2.25</v>
      </c>
      <c r="H1272" s="466">
        <f>G1272/1.1</f>
        <v>2.0454545454545454</v>
      </c>
      <c r="I1272" s="436"/>
      <c r="J1272" s="465">
        <v>0</v>
      </c>
      <c r="K1272" s="467">
        <v>0</v>
      </c>
    </row>
    <row r="1273" spans="2:11" ht="19" customHeight="1">
      <c r="B1273" s="464">
        <v>46051</v>
      </c>
      <c r="C1273" s="436" t="s">
        <v>247</v>
      </c>
      <c r="D1273" s="436" t="s">
        <v>248</v>
      </c>
      <c r="E1273" s="436">
        <v>1</v>
      </c>
      <c r="F1273" s="465">
        <v>1.5</v>
      </c>
      <c r="G1273" s="466">
        <v>1.5</v>
      </c>
      <c r="H1273" s="466">
        <f>G1273/1.1</f>
        <v>1.3636363636363635</v>
      </c>
      <c r="I1273" s="436"/>
      <c r="J1273" s="465">
        <v>0</v>
      </c>
      <c r="K1273" s="467">
        <v>0</v>
      </c>
    </row>
    <row r="1274" spans="2:11" ht="19" customHeight="1">
      <c r="B1274" s="464">
        <v>46051</v>
      </c>
      <c r="C1274" s="436" t="s">
        <v>247</v>
      </c>
      <c r="D1274" s="436" t="s">
        <v>246</v>
      </c>
      <c r="E1274" s="436">
        <v>2</v>
      </c>
      <c r="F1274" s="465">
        <v>1.7</v>
      </c>
      <c r="G1274" s="466">
        <v>3.4</v>
      </c>
      <c r="H1274" s="466">
        <f>G1274/1.1</f>
        <v>3.0909090909090904</v>
      </c>
      <c r="I1274" s="436"/>
      <c r="J1274" s="465">
        <v>0</v>
      </c>
      <c r="K1274" s="467">
        <v>0</v>
      </c>
    </row>
    <row r="1275" spans="2:11" ht="19" customHeight="1">
      <c r="B1275" s="464">
        <v>46051</v>
      </c>
      <c r="C1275" s="436" t="s">
        <v>862</v>
      </c>
      <c r="D1275" s="436" t="s">
        <v>863</v>
      </c>
      <c r="E1275" s="436">
        <v>2</v>
      </c>
      <c r="F1275" s="465">
        <v>0.15</v>
      </c>
      <c r="G1275" s="466">
        <v>0.3</v>
      </c>
      <c r="H1275" s="466">
        <f>G1275/1.1</f>
        <v>0.27272727272727271</v>
      </c>
      <c r="I1275" s="436"/>
      <c r="J1275" s="465">
        <v>0</v>
      </c>
      <c r="K1275" s="467">
        <v>0</v>
      </c>
    </row>
    <row r="1276" spans="2:11" ht="19" customHeight="1">
      <c r="B1276" s="464">
        <v>46051</v>
      </c>
      <c r="C1276" s="436" t="s">
        <v>247</v>
      </c>
      <c r="D1276" s="436" t="s">
        <v>246</v>
      </c>
      <c r="E1276" s="436">
        <v>1</v>
      </c>
      <c r="F1276" s="465">
        <v>1.7</v>
      </c>
      <c r="G1276" s="466">
        <v>1.7</v>
      </c>
      <c r="H1276" s="466">
        <f>G1276/1.1</f>
        <v>1.5454545454545452</v>
      </c>
      <c r="I1276" s="436"/>
      <c r="J1276" s="465">
        <v>0</v>
      </c>
      <c r="K1276" s="467">
        <v>0</v>
      </c>
    </row>
    <row r="1277" spans="2:11" ht="19" customHeight="1">
      <c r="B1277" s="464">
        <v>46051</v>
      </c>
      <c r="C1277" s="436" t="s">
        <v>268</v>
      </c>
      <c r="D1277" s="436" t="s">
        <v>267</v>
      </c>
      <c r="E1277" s="436">
        <v>1</v>
      </c>
      <c r="F1277" s="465">
        <v>1.5</v>
      </c>
      <c r="G1277" s="466">
        <v>1.5</v>
      </c>
      <c r="H1277" s="466">
        <f>G1277/1.1</f>
        <v>1.3636363636363635</v>
      </c>
      <c r="I1277" s="436"/>
      <c r="J1277" s="465">
        <v>0</v>
      </c>
      <c r="K1277" s="467">
        <v>0</v>
      </c>
    </row>
    <row r="1278" spans="2:11" ht="19" customHeight="1">
      <c r="B1278" s="464">
        <v>46051</v>
      </c>
      <c r="C1278" s="436" t="s">
        <v>247</v>
      </c>
      <c r="D1278" s="436" t="s">
        <v>246</v>
      </c>
      <c r="E1278" s="436">
        <v>1</v>
      </c>
      <c r="F1278" s="465">
        <v>1.7</v>
      </c>
      <c r="G1278" s="466">
        <v>1.7</v>
      </c>
      <c r="H1278" s="466">
        <f>G1278/1.1</f>
        <v>1.5454545454545452</v>
      </c>
      <c r="I1278" s="436"/>
      <c r="J1278" s="465">
        <v>0</v>
      </c>
      <c r="K1278" s="467">
        <v>0</v>
      </c>
    </row>
    <row r="1279" spans="2:11" ht="19" customHeight="1">
      <c r="B1279" s="464">
        <v>46051</v>
      </c>
      <c r="C1279" s="436" t="s">
        <v>862</v>
      </c>
      <c r="D1279" s="436" t="s">
        <v>863</v>
      </c>
      <c r="E1279" s="436">
        <v>1</v>
      </c>
      <c r="F1279" s="465">
        <v>0.15</v>
      </c>
      <c r="G1279" s="466">
        <v>0.15</v>
      </c>
      <c r="H1279" s="466">
        <f>G1279/1.1</f>
        <v>0.13636363636363635</v>
      </c>
      <c r="I1279" s="436"/>
      <c r="J1279" s="465">
        <v>0</v>
      </c>
      <c r="K1279" s="467">
        <v>0</v>
      </c>
    </row>
    <row r="1280" spans="2:11" ht="19" customHeight="1">
      <c r="B1280" s="464">
        <v>46051</v>
      </c>
      <c r="C1280" s="436" t="s">
        <v>268</v>
      </c>
      <c r="D1280" s="436" t="s">
        <v>267</v>
      </c>
      <c r="E1280" s="436">
        <v>1</v>
      </c>
      <c r="F1280" s="465">
        <v>1.5</v>
      </c>
      <c r="G1280" s="466">
        <v>1.5</v>
      </c>
      <c r="H1280" s="466">
        <f>G1280/1.1</f>
        <v>1.3636363636363635</v>
      </c>
      <c r="I1280" s="436"/>
      <c r="J1280" s="465">
        <v>0</v>
      </c>
      <c r="K1280" s="467">
        <v>0</v>
      </c>
    </row>
    <row r="1281" spans="2:11" ht="19" customHeight="1">
      <c r="B1281" s="464">
        <v>46051</v>
      </c>
      <c r="C1281" s="436" t="s">
        <v>247</v>
      </c>
      <c r="D1281" s="436" t="s">
        <v>246</v>
      </c>
      <c r="E1281" s="436">
        <v>2</v>
      </c>
      <c r="F1281" s="465">
        <v>1.7</v>
      </c>
      <c r="G1281" s="466">
        <v>3.4</v>
      </c>
      <c r="H1281" s="466">
        <f>G1281/1.1</f>
        <v>3.0909090909090904</v>
      </c>
      <c r="I1281" s="436"/>
      <c r="J1281" s="465">
        <v>0</v>
      </c>
      <c r="K1281" s="467">
        <v>0</v>
      </c>
    </row>
    <row r="1282" spans="2:11" ht="19" customHeight="1">
      <c r="B1282" s="464">
        <v>46051</v>
      </c>
      <c r="C1282" s="436" t="s">
        <v>247</v>
      </c>
      <c r="D1282" s="436" t="s">
        <v>248</v>
      </c>
      <c r="E1282" s="436">
        <v>1</v>
      </c>
      <c r="F1282" s="465">
        <v>1.5</v>
      </c>
      <c r="G1282" s="466">
        <v>1.5</v>
      </c>
      <c r="H1282" s="466">
        <f>G1282/1.1</f>
        <v>1.3636363636363635</v>
      </c>
      <c r="I1282" s="436"/>
      <c r="J1282" s="465">
        <v>0</v>
      </c>
      <c r="K1282" s="467">
        <v>0</v>
      </c>
    </row>
    <row r="1283" spans="2:11" ht="19" customHeight="1">
      <c r="B1283" s="464">
        <v>46051</v>
      </c>
      <c r="C1283" s="436" t="s">
        <v>247</v>
      </c>
      <c r="D1283" s="436" t="s">
        <v>257</v>
      </c>
      <c r="E1283" s="436">
        <v>1</v>
      </c>
      <c r="F1283" s="465">
        <v>1.4</v>
      </c>
      <c r="G1283" s="466">
        <v>1.4</v>
      </c>
      <c r="H1283" s="466">
        <f>G1283/1.1</f>
        <v>1.2727272727272725</v>
      </c>
      <c r="I1283" s="436"/>
      <c r="J1283" s="465">
        <v>0</v>
      </c>
      <c r="K1283" s="467">
        <v>0</v>
      </c>
    </row>
    <row r="1284" spans="2:11" ht="19" customHeight="1">
      <c r="B1284" s="464">
        <v>46051</v>
      </c>
      <c r="C1284" s="436" t="s">
        <v>247</v>
      </c>
      <c r="D1284" s="436" t="s">
        <v>257</v>
      </c>
      <c r="E1284" s="436">
        <v>1</v>
      </c>
      <c r="F1284" s="465">
        <v>1.4</v>
      </c>
      <c r="G1284" s="466">
        <v>1.4</v>
      </c>
      <c r="H1284" s="466">
        <f>G1284/1.1</f>
        <v>1.2727272727272725</v>
      </c>
      <c r="I1284" s="436"/>
      <c r="J1284" s="465">
        <v>0</v>
      </c>
      <c r="K1284" s="467">
        <v>0</v>
      </c>
    </row>
    <row r="1285" spans="2:11" ht="19" customHeight="1">
      <c r="B1285" s="464">
        <v>46051</v>
      </c>
      <c r="C1285" s="436" t="s">
        <v>247</v>
      </c>
      <c r="D1285" s="436" t="s">
        <v>246</v>
      </c>
      <c r="E1285" s="436">
        <v>1</v>
      </c>
      <c r="F1285" s="465">
        <v>1.7</v>
      </c>
      <c r="G1285" s="466">
        <v>1.7</v>
      </c>
      <c r="H1285" s="466">
        <f>G1285/1.1</f>
        <v>1.5454545454545452</v>
      </c>
      <c r="I1285" s="436"/>
      <c r="J1285" s="465">
        <v>0</v>
      </c>
      <c r="K1285" s="467">
        <v>0</v>
      </c>
    </row>
    <row r="1286" spans="2:11" ht="19" customHeight="1">
      <c r="B1286" s="464">
        <v>46051</v>
      </c>
      <c r="C1286" s="436" t="s">
        <v>862</v>
      </c>
      <c r="D1286" s="436" t="s">
        <v>907</v>
      </c>
      <c r="E1286" s="436">
        <v>1</v>
      </c>
      <c r="F1286" s="465">
        <v>0.15</v>
      </c>
      <c r="G1286" s="466">
        <v>0.15</v>
      </c>
      <c r="H1286" s="466">
        <f>G1286/1.1</f>
        <v>0.13636363636363635</v>
      </c>
      <c r="I1286" s="436"/>
      <c r="J1286" s="465">
        <v>0</v>
      </c>
      <c r="K1286" s="467">
        <v>0</v>
      </c>
    </row>
    <row r="1287" spans="2:11" ht="19" customHeight="1">
      <c r="B1287" s="464">
        <v>46051</v>
      </c>
      <c r="C1287" s="436" t="s">
        <v>247</v>
      </c>
      <c r="D1287" s="436" t="s">
        <v>257</v>
      </c>
      <c r="E1287" s="436">
        <v>2</v>
      </c>
      <c r="F1287" s="465">
        <v>1.4</v>
      </c>
      <c r="G1287" s="466">
        <v>2.8</v>
      </c>
      <c r="H1287" s="466">
        <f>G1287/1.1</f>
        <v>2.545454545454545</v>
      </c>
      <c r="I1287" s="436"/>
      <c r="J1287" s="465">
        <v>0</v>
      </c>
      <c r="K1287" s="467">
        <v>0</v>
      </c>
    </row>
    <row r="1288" spans="2:11" ht="19" customHeight="1">
      <c r="B1288" s="464">
        <v>46051</v>
      </c>
      <c r="C1288" s="436" t="s">
        <v>247</v>
      </c>
      <c r="D1288" s="436" t="s">
        <v>248</v>
      </c>
      <c r="E1288" s="436">
        <v>1</v>
      </c>
      <c r="F1288" s="465">
        <v>1.5</v>
      </c>
      <c r="G1288" s="466">
        <v>1.5</v>
      </c>
      <c r="H1288" s="466">
        <f>G1288/1.1</f>
        <v>1.3636363636363635</v>
      </c>
      <c r="I1288" s="436"/>
      <c r="J1288" s="465">
        <v>0</v>
      </c>
      <c r="K1288" s="467">
        <v>0</v>
      </c>
    </row>
    <row r="1289" spans="2:11" ht="19" customHeight="1">
      <c r="B1289" s="464">
        <v>46051</v>
      </c>
      <c r="C1289" s="436" t="s">
        <v>247</v>
      </c>
      <c r="D1289" s="436" t="s">
        <v>246</v>
      </c>
      <c r="E1289" s="436">
        <v>1</v>
      </c>
      <c r="F1289" s="465">
        <v>1.7</v>
      </c>
      <c r="G1289" s="466">
        <v>1.7</v>
      </c>
      <c r="H1289" s="466">
        <f>G1289/1.1</f>
        <v>1.5454545454545452</v>
      </c>
      <c r="I1289" s="436"/>
      <c r="J1289" s="465">
        <v>0</v>
      </c>
      <c r="K1289" s="467">
        <v>0</v>
      </c>
    </row>
    <row r="1290" spans="2:11" ht="19" customHeight="1">
      <c r="B1290" s="464">
        <v>46051</v>
      </c>
      <c r="C1290" s="436" t="s">
        <v>247</v>
      </c>
      <c r="D1290" s="436" t="s">
        <v>257</v>
      </c>
      <c r="E1290" s="436">
        <v>1</v>
      </c>
      <c r="F1290" s="465">
        <v>1.4</v>
      </c>
      <c r="G1290" s="466">
        <v>1.4</v>
      </c>
      <c r="H1290" s="466">
        <f>G1290/1.1</f>
        <v>1.2727272727272725</v>
      </c>
      <c r="I1290" s="436"/>
      <c r="J1290" s="465">
        <v>0</v>
      </c>
      <c r="K1290" s="467">
        <v>0</v>
      </c>
    </row>
    <row r="1291" spans="2:11" ht="19" customHeight="1">
      <c r="B1291" s="464">
        <v>46051</v>
      </c>
      <c r="C1291" s="436" t="s">
        <v>247</v>
      </c>
      <c r="D1291" s="436" t="s">
        <v>246</v>
      </c>
      <c r="E1291" s="436">
        <v>1</v>
      </c>
      <c r="F1291" s="465">
        <v>1.7</v>
      </c>
      <c r="G1291" s="466">
        <v>1.7</v>
      </c>
      <c r="H1291" s="466">
        <f>G1291/1.1</f>
        <v>1.5454545454545452</v>
      </c>
      <c r="I1291" s="436"/>
      <c r="J1291" s="465">
        <v>0</v>
      </c>
      <c r="K1291" s="467">
        <v>0</v>
      </c>
    </row>
    <row r="1292" spans="2:11" ht="19" customHeight="1">
      <c r="B1292" s="464">
        <v>46051</v>
      </c>
      <c r="C1292" s="436" t="s">
        <v>247</v>
      </c>
      <c r="D1292" s="436" t="s">
        <v>248</v>
      </c>
      <c r="E1292" s="436">
        <v>2</v>
      </c>
      <c r="F1292" s="465">
        <v>1.5</v>
      </c>
      <c r="G1292" s="466">
        <v>3</v>
      </c>
      <c r="H1292" s="466">
        <f>G1292/1.1</f>
        <v>2.7272727272727271</v>
      </c>
      <c r="I1292" s="436"/>
      <c r="J1292" s="465">
        <v>0</v>
      </c>
      <c r="K1292" s="467">
        <v>0</v>
      </c>
    </row>
    <row r="1293" spans="2:11" ht="19" customHeight="1">
      <c r="B1293" s="464">
        <v>46051</v>
      </c>
      <c r="C1293" s="436" t="s">
        <v>862</v>
      </c>
      <c r="D1293" s="436" t="s">
        <v>907</v>
      </c>
      <c r="E1293" s="436">
        <v>2</v>
      </c>
      <c r="F1293" s="465">
        <v>0.15</v>
      </c>
      <c r="G1293" s="466">
        <v>0.3</v>
      </c>
      <c r="H1293" s="466">
        <f>G1293/1.1</f>
        <v>0.27272727272727271</v>
      </c>
      <c r="I1293" s="436"/>
      <c r="J1293" s="465">
        <v>0</v>
      </c>
      <c r="K1293" s="467">
        <v>0</v>
      </c>
    </row>
    <row r="1294" spans="2:11" ht="19" customHeight="1">
      <c r="B1294" s="464">
        <v>46051</v>
      </c>
      <c r="C1294" s="436" t="s">
        <v>247</v>
      </c>
      <c r="D1294" s="436" t="s">
        <v>902</v>
      </c>
      <c r="E1294" s="436">
        <v>1</v>
      </c>
      <c r="F1294" s="465">
        <v>1.95</v>
      </c>
      <c r="G1294" s="466">
        <v>1.95</v>
      </c>
      <c r="H1294" s="466">
        <f>G1294/1.1</f>
        <v>1.7727272727272725</v>
      </c>
      <c r="I1294" s="436"/>
      <c r="J1294" s="465">
        <v>0</v>
      </c>
      <c r="K1294" s="467">
        <v>0</v>
      </c>
    </row>
    <row r="1295" spans="2:11" ht="19" customHeight="1">
      <c r="B1295" s="464">
        <v>46051</v>
      </c>
      <c r="C1295" s="436" t="s">
        <v>247</v>
      </c>
      <c r="D1295" s="436" t="s">
        <v>246</v>
      </c>
      <c r="E1295" s="436">
        <v>2</v>
      </c>
      <c r="F1295" s="465">
        <v>1.7</v>
      </c>
      <c r="G1295" s="466">
        <v>3.4</v>
      </c>
      <c r="H1295" s="466">
        <f>G1295/1.1</f>
        <v>3.0909090909090904</v>
      </c>
      <c r="I1295" s="436"/>
      <c r="J1295" s="465">
        <v>0</v>
      </c>
      <c r="K1295" s="467">
        <v>0</v>
      </c>
    </row>
    <row r="1296" spans="2:11" ht="19" customHeight="1">
      <c r="B1296" s="464">
        <v>46051</v>
      </c>
      <c r="C1296" s="436" t="s">
        <v>247</v>
      </c>
      <c r="D1296" s="436" t="s">
        <v>257</v>
      </c>
      <c r="E1296" s="436">
        <v>1</v>
      </c>
      <c r="F1296" s="465">
        <v>1.55</v>
      </c>
      <c r="G1296" s="466">
        <v>1.55</v>
      </c>
      <c r="H1296" s="466">
        <f>G1296/1.1</f>
        <v>1.4090909090909089</v>
      </c>
      <c r="I1296" s="436"/>
      <c r="J1296" s="465">
        <v>0</v>
      </c>
      <c r="K1296" s="467">
        <v>0</v>
      </c>
    </row>
    <row r="1297" spans="2:11" ht="19" customHeight="1">
      <c r="B1297" s="464">
        <v>46051</v>
      </c>
      <c r="C1297" s="436" t="s">
        <v>247</v>
      </c>
      <c r="D1297" s="436" t="s">
        <v>248</v>
      </c>
      <c r="E1297" s="436">
        <v>3</v>
      </c>
      <c r="F1297" s="465">
        <v>1.65</v>
      </c>
      <c r="G1297" s="466">
        <v>4.95</v>
      </c>
      <c r="H1297" s="466">
        <f>G1297/1.1</f>
        <v>4.5</v>
      </c>
      <c r="I1297" s="436"/>
      <c r="J1297" s="465">
        <v>0</v>
      </c>
      <c r="K1297" s="467">
        <v>0</v>
      </c>
    </row>
    <row r="1298" spans="2:11" ht="19" customHeight="1">
      <c r="B1298" s="464">
        <v>46051</v>
      </c>
      <c r="C1298" s="436" t="s">
        <v>253</v>
      </c>
      <c r="D1298" s="436" t="s">
        <v>869</v>
      </c>
      <c r="E1298" s="436">
        <v>1</v>
      </c>
      <c r="F1298" s="465">
        <v>2.5</v>
      </c>
      <c r="G1298" s="466">
        <v>2.5</v>
      </c>
      <c r="H1298" s="466">
        <f>G1298/1.1</f>
        <v>2.2727272727272725</v>
      </c>
      <c r="I1298" s="436"/>
      <c r="J1298" s="465">
        <v>0</v>
      </c>
      <c r="K1298" s="467">
        <v>0</v>
      </c>
    </row>
    <row r="1299" spans="2:11" ht="19" customHeight="1">
      <c r="B1299" s="464">
        <v>46051</v>
      </c>
      <c r="C1299" s="436" t="s">
        <v>251</v>
      </c>
      <c r="D1299" s="436" t="s">
        <v>854</v>
      </c>
      <c r="E1299" s="436">
        <v>1</v>
      </c>
      <c r="F1299" s="465">
        <v>1.55</v>
      </c>
      <c r="G1299" s="466">
        <v>1.55</v>
      </c>
      <c r="H1299" s="466">
        <f>G1299/1.1</f>
        <v>1.4090909090909089</v>
      </c>
      <c r="I1299" s="436"/>
      <c r="J1299" s="465">
        <v>0</v>
      </c>
      <c r="K1299" s="467">
        <v>0</v>
      </c>
    </row>
    <row r="1300" spans="2:11" ht="19" customHeight="1">
      <c r="B1300" s="464">
        <v>46051</v>
      </c>
      <c r="C1300" s="436" t="s">
        <v>251</v>
      </c>
      <c r="D1300" s="436" t="s">
        <v>742</v>
      </c>
      <c r="E1300" s="436">
        <v>1</v>
      </c>
      <c r="F1300" s="465">
        <v>3.25</v>
      </c>
      <c r="G1300" s="466">
        <v>3.25</v>
      </c>
      <c r="H1300" s="466">
        <f>G1300/1.1</f>
        <v>2.9545454545454541</v>
      </c>
      <c r="I1300" s="436"/>
      <c r="J1300" s="465">
        <v>0</v>
      </c>
      <c r="K1300" s="467">
        <v>0</v>
      </c>
    </row>
    <row r="1301" spans="2:11" ht="19" customHeight="1">
      <c r="B1301" s="464">
        <v>46051</v>
      </c>
      <c r="C1301" s="436" t="s">
        <v>277</v>
      </c>
      <c r="D1301" s="436" t="s">
        <v>954</v>
      </c>
      <c r="E1301" s="436">
        <v>1</v>
      </c>
      <c r="F1301" s="465">
        <v>12.9</v>
      </c>
      <c r="G1301" s="466">
        <v>12.9</v>
      </c>
      <c r="H1301" s="466">
        <f>G1301/1.1</f>
        <v>11.727272727272727</v>
      </c>
      <c r="I1301" s="436"/>
      <c r="J1301" s="465">
        <v>0</v>
      </c>
      <c r="K1301" s="467">
        <v>0</v>
      </c>
    </row>
    <row r="1302" spans="2:11" ht="19" customHeight="1">
      <c r="B1302" s="464">
        <v>46051</v>
      </c>
      <c r="C1302" s="436" t="s">
        <v>247</v>
      </c>
      <c r="D1302" s="436" t="s">
        <v>710</v>
      </c>
      <c r="E1302" s="436">
        <v>1</v>
      </c>
      <c r="F1302" s="465">
        <v>2.5</v>
      </c>
      <c r="G1302" s="466">
        <v>2.5</v>
      </c>
      <c r="H1302" s="466">
        <f>G1302/1.1</f>
        <v>2.2727272727272725</v>
      </c>
      <c r="I1302" s="436"/>
      <c r="J1302" s="465">
        <v>0</v>
      </c>
      <c r="K1302" s="467">
        <v>0</v>
      </c>
    </row>
    <row r="1303" spans="2:11" ht="19" customHeight="1">
      <c r="B1303" s="464">
        <v>46051</v>
      </c>
      <c r="C1303" s="436" t="s">
        <v>247</v>
      </c>
      <c r="D1303" s="436" t="s">
        <v>919</v>
      </c>
      <c r="E1303" s="436">
        <v>1</v>
      </c>
      <c r="F1303" s="465">
        <v>1.7</v>
      </c>
      <c r="G1303" s="466">
        <v>1.7</v>
      </c>
      <c r="H1303" s="466">
        <f>G1303/1.1</f>
        <v>1.5454545454545452</v>
      </c>
      <c r="I1303" s="436"/>
      <c r="J1303" s="465">
        <v>0</v>
      </c>
      <c r="K1303" s="467">
        <v>0</v>
      </c>
    </row>
    <row r="1304" spans="2:11" ht="19" customHeight="1">
      <c r="B1304" s="464">
        <v>46051</v>
      </c>
      <c r="C1304" s="436" t="s">
        <v>254</v>
      </c>
      <c r="D1304" s="436" t="s">
        <v>254</v>
      </c>
      <c r="E1304" s="436">
        <v>1</v>
      </c>
      <c r="F1304" s="465">
        <v>14.9</v>
      </c>
      <c r="G1304" s="466">
        <v>14.9</v>
      </c>
      <c r="H1304" s="466">
        <f>G1304/1.1</f>
        <v>13.545454545454545</v>
      </c>
      <c r="I1304" s="436"/>
      <c r="J1304" s="465">
        <v>0</v>
      </c>
      <c r="K1304" s="467">
        <v>0</v>
      </c>
    </row>
    <row r="1305" spans="2:11" ht="19" customHeight="1">
      <c r="B1305" s="464">
        <v>46051</v>
      </c>
      <c r="C1305" s="436" t="s">
        <v>873</v>
      </c>
      <c r="D1305" s="436" t="s">
        <v>1046</v>
      </c>
      <c r="E1305" s="436">
        <v>1</v>
      </c>
      <c r="F1305" s="469"/>
      <c r="G1305" s="468" t="s">
        <v>875</v>
      </c>
      <c r="H1305" s="466" t="e">
        <f>G1305/1.1</f>
        <v>#VALUE!</v>
      </c>
      <c r="I1305" s="436"/>
      <c r="J1305" s="465">
        <v>0</v>
      </c>
      <c r="K1305" s="467">
        <v>0</v>
      </c>
    </row>
    <row r="1306" spans="2:11" ht="19" customHeight="1">
      <c r="B1306" s="464">
        <v>46051</v>
      </c>
      <c r="C1306" s="436" t="s">
        <v>877</v>
      </c>
      <c r="D1306" s="436" t="s">
        <v>1047</v>
      </c>
      <c r="E1306" s="436">
        <v>1</v>
      </c>
      <c r="F1306" s="469"/>
      <c r="G1306" s="468" t="s">
        <v>875</v>
      </c>
      <c r="H1306" s="466" t="e">
        <f>G1306/1.1</f>
        <v>#VALUE!</v>
      </c>
      <c r="I1306" s="436"/>
      <c r="J1306" s="465">
        <v>0</v>
      </c>
      <c r="K1306" s="467">
        <v>0</v>
      </c>
    </row>
    <row r="1307" spans="2:11" ht="19" customHeight="1">
      <c r="B1307" s="464">
        <v>46051</v>
      </c>
      <c r="C1307" s="436" t="s">
        <v>266</v>
      </c>
      <c r="D1307" s="436" t="s">
        <v>708</v>
      </c>
      <c r="E1307" s="436">
        <v>1</v>
      </c>
      <c r="F1307" s="469"/>
      <c r="G1307" s="468" t="s">
        <v>875</v>
      </c>
      <c r="H1307" s="466" t="e">
        <f>G1307/1.1</f>
        <v>#VALUE!</v>
      </c>
      <c r="I1307" s="436"/>
      <c r="J1307" s="465">
        <v>0</v>
      </c>
      <c r="K1307" s="467">
        <v>0</v>
      </c>
    </row>
    <row r="1308" spans="2:11" ht="19" customHeight="1">
      <c r="B1308" s="464">
        <v>46051</v>
      </c>
      <c r="C1308" s="436" t="s">
        <v>258</v>
      </c>
      <c r="D1308" s="436" t="s">
        <v>246</v>
      </c>
      <c r="E1308" s="436">
        <v>1</v>
      </c>
      <c r="F1308" s="469"/>
      <c r="G1308" s="468" t="s">
        <v>875</v>
      </c>
      <c r="H1308" s="466" t="e">
        <f>G1308/1.1</f>
        <v>#VALUE!</v>
      </c>
      <c r="I1308" s="436"/>
      <c r="J1308" s="465">
        <v>0</v>
      </c>
      <c r="K1308" s="467">
        <v>0</v>
      </c>
    </row>
    <row r="1309" spans="2:11" ht="19" customHeight="1">
      <c r="B1309" s="464">
        <v>46051</v>
      </c>
      <c r="C1309" s="436" t="s">
        <v>254</v>
      </c>
      <c r="D1309" s="436" t="s">
        <v>254</v>
      </c>
      <c r="E1309" s="436">
        <v>5</v>
      </c>
      <c r="F1309" s="465">
        <v>14.9</v>
      </c>
      <c r="G1309" s="466">
        <v>74.5</v>
      </c>
      <c r="H1309" s="466">
        <f>G1309/1.1</f>
        <v>67.72727272727272</v>
      </c>
      <c r="I1309" s="436"/>
      <c r="J1309" s="465">
        <v>0</v>
      </c>
      <c r="K1309" s="467">
        <v>0</v>
      </c>
    </row>
    <row r="1310" spans="2:11" ht="19" customHeight="1">
      <c r="B1310" s="464">
        <v>46051</v>
      </c>
      <c r="C1310" s="436" t="s">
        <v>873</v>
      </c>
      <c r="D1310" s="436" t="s">
        <v>696</v>
      </c>
      <c r="E1310" s="436">
        <v>2</v>
      </c>
      <c r="F1310" s="469"/>
      <c r="G1310" s="468" t="s">
        <v>875</v>
      </c>
      <c r="H1310" s="466" t="e">
        <f>G1310/1.1</f>
        <v>#VALUE!</v>
      </c>
      <c r="I1310" s="436"/>
      <c r="J1310" s="465">
        <v>0</v>
      </c>
      <c r="K1310" s="467">
        <v>0</v>
      </c>
    </row>
    <row r="1311" spans="2:11" ht="19" customHeight="1">
      <c r="B1311" s="464">
        <v>46051</v>
      </c>
      <c r="C1311" s="436" t="s">
        <v>873</v>
      </c>
      <c r="D1311" s="436" t="s">
        <v>1048</v>
      </c>
      <c r="E1311" s="436">
        <v>3</v>
      </c>
      <c r="F1311" s="469"/>
      <c r="G1311" s="468" t="s">
        <v>875</v>
      </c>
      <c r="H1311" s="466" t="e">
        <f>G1311/1.1</f>
        <v>#VALUE!</v>
      </c>
      <c r="I1311" s="436"/>
      <c r="J1311" s="465">
        <v>0</v>
      </c>
      <c r="K1311" s="467">
        <v>0</v>
      </c>
    </row>
    <row r="1312" spans="2:11" ht="19" customHeight="1">
      <c r="B1312" s="464">
        <v>46051</v>
      </c>
      <c r="C1312" s="436" t="s">
        <v>877</v>
      </c>
      <c r="D1312" s="436" t="s">
        <v>1049</v>
      </c>
      <c r="E1312" s="436">
        <v>2</v>
      </c>
      <c r="F1312" s="469"/>
      <c r="G1312" s="468" t="s">
        <v>875</v>
      </c>
      <c r="H1312" s="466" t="e">
        <f>G1312/1.1</f>
        <v>#VALUE!</v>
      </c>
      <c r="I1312" s="436"/>
      <c r="J1312" s="465">
        <v>0</v>
      </c>
      <c r="K1312" s="467">
        <v>0</v>
      </c>
    </row>
    <row r="1313" spans="2:11" ht="19" customHeight="1">
      <c r="B1313" s="464">
        <v>46051</v>
      </c>
      <c r="C1313" s="436" t="s">
        <v>877</v>
      </c>
      <c r="D1313" s="436" t="s">
        <v>920</v>
      </c>
      <c r="E1313" s="436">
        <v>3</v>
      </c>
      <c r="F1313" s="465">
        <v>3</v>
      </c>
      <c r="G1313" s="466">
        <v>9</v>
      </c>
      <c r="H1313" s="466">
        <f>G1313/1.1</f>
        <v>8.1818181818181817</v>
      </c>
      <c r="I1313" s="436"/>
      <c r="J1313" s="465">
        <v>0</v>
      </c>
      <c r="K1313" s="467">
        <v>0</v>
      </c>
    </row>
    <row r="1314" spans="2:11" ht="19" customHeight="1">
      <c r="B1314" s="464">
        <v>46051</v>
      </c>
      <c r="C1314" s="436" t="s">
        <v>266</v>
      </c>
      <c r="D1314" s="436" t="s">
        <v>265</v>
      </c>
      <c r="E1314" s="436">
        <v>1</v>
      </c>
      <c r="F1314" s="465">
        <v>1</v>
      </c>
      <c r="G1314" s="466">
        <v>1</v>
      </c>
      <c r="H1314" s="466">
        <f>G1314/1.1</f>
        <v>0.90909090909090906</v>
      </c>
      <c r="I1314" s="436"/>
      <c r="J1314" s="465">
        <v>0</v>
      </c>
      <c r="K1314" s="467">
        <v>0</v>
      </c>
    </row>
    <row r="1315" spans="2:11" ht="19" customHeight="1">
      <c r="B1315" s="464">
        <v>46051</v>
      </c>
      <c r="C1315" s="436" t="s">
        <v>266</v>
      </c>
      <c r="D1315" s="436" t="s">
        <v>957</v>
      </c>
      <c r="E1315" s="436">
        <v>1</v>
      </c>
      <c r="F1315" s="465">
        <v>1</v>
      </c>
      <c r="G1315" s="466">
        <v>1</v>
      </c>
      <c r="H1315" s="466">
        <f>G1315/1.1</f>
        <v>0.90909090909090906</v>
      </c>
      <c r="I1315" s="436"/>
      <c r="J1315" s="465">
        <v>0</v>
      </c>
      <c r="K1315" s="467">
        <v>0</v>
      </c>
    </row>
    <row r="1316" spans="2:11" ht="19" customHeight="1">
      <c r="B1316" s="464">
        <v>46051</v>
      </c>
      <c r="C1316" s="436" t="s">
        <v>266</v>
      </c>
      <c r="D1316" s="436" t="s">
        <v>250</v>
      </c>
      <c r="E1316" s="436">
        <v>1</v>
      </c>
      <c r="F1316" s="469"/>
      <c r="G1316" s="468" t="s">
        <v>875</v>
      </c>
      <c r="H1316" s="466" t="e">
        <f>G1316/1.1</f>
        <v>#VALUE!</v>
      </c>
      <c r="I1316" s="436"/>
      <c r="J1316" s="465">
        <v>0</v>
      </c>
      <c r="K1316" s="467">
        <v>0</v>
      </c>
    </row>
    <row r="1317" spans="2:11" ht="19" customHeight="1">
      <c r="B1317" s="464">
        <v>46051</v>
      </c>
      <c r="C1317" s="436" t="s">
        <v>266</v>
      </c>
      <c r="D1317" s="436" t="s">
        <v>942</v>
      </c>
      <c r="E1317" s="436">
        <v>1</v>
      </c>
      <c r="F1317" s="469"/>
      <c r="G1317" s="468" t="s">
        <v>875</v>
      </c>
      <c r="H1317" s="466" t="e">
        <f>G1317/1.1</f>
        <v>#VALUE!</v>
      </c>
      <c r="I1317" s="436"/>
      <c r="J1317" s="465">
        <v>0</v>
      </c>
      <c r="K1317" s="467">
        <v>0</v>
      </c>
    </row>
    <row r="1318" spans="2:11" ht="19" customHeight="1">
      <c r="B1318" s="464">
        <v>46051</v>
      </c>
      <c r="C1318" s="436" t="s">
        <v>266</v>
      </c>
      <c r="D1318" s="436" t="s">
        <v>708</v>
      </c>
      <c r="E1318" s="436">
        <v>1</v>
      </c>
      <c r="F1318" s="469"/>
      <c r="G1318" s="468" t="s">
        <v>875</v>
      </c>
      <c r="H1318" s="466" t="e">
        <f>G1318/1.1</f>
        <v>#VALUE!</v>
      </c>
      <c r="I1318" s="436"/>
      <c r="J1318" s="465">
        <v>0</v>
      </c>
      <c r="K1318" s="467">
        <v>0</v>
      </c>
    </row>
    <row r="1319" spans="2:11" ht="19" customHeight="1">
      <c r="B1319" s="464">
        <v>46051</v>
      </c>
      <c r="C1319" s="436" t="s">
        <v>258</v>
      </c>
      <c r="D1319" s="436" t="s">
        <v>1050</v>
      </c>
      <c r="E1319" s="436">
        <v>4</v>
      </c>
      <c r="F1319" s="469"/>
      <c r="G1319" s="468" t="s">
        <v>875</v>
      </c>
      <c r="H1319" s="466" t="e">
        <f>G1319/1.1</f>
        <v>#VALUE!</v>
      </c>
      <c r="I1319" s="436"/>
      <c r="J1319" s="465">
        <v>0</v>
      </c>
      <c r="K1319" s="467">
        <v>0</v>
      </c>
    </row>
    <row r="1320" spans="2:11" ht="19" customHeight="1">
      <c r="B1320" s="464">
        <v>46051</v>
      </c>
      <c r="C1320" s="436" t="s">
        <v>258</v>
      </c>
      <c r="D1320" s="436" t="s">
        <v>972</v>
      </c>
      <c r="E1320" s="436">
        <v>1</v>
      </c>
      <c r="F1320" s="469"/>
      <c r="G1320" s="468" t="s">
        <v>875</v>
      </c>
      <c r="H1320" s="466" t="e">
        <f>G1320/1.1</f>
        <v>#VALUE!</v>
      </c>
      <c r="I1320" s="436"/>
      <c r="J1320" s="465">
        <v>0</v>
      </c>
      <c r="K1320" s="467">
        <v>0</v>
      </c>
    </row>
    <row r="1321" spans="2:11" ht="19" customHeight="1">
      <c r="B1321" s="464">
        <v>46051</v>
      </c>
      <c r="C1321" s="436" t="s">
        <v>247</v>
      </c>
      <c r="D1321" s="436" t="s">
        <v>246</v>
      </c>
      <c r="E1321" s="436">
        <v>1</v>
      </c>
      <c r="F1321" s="465">
        <v>1.7</v>
      </c>
      <c r="G1321" s="466">
        <v>1.7</v>
      </c>
      <c r="H1321" s="466">
        <f>G1321/1.1</f>
        <v>1.5454545454545452</v>
      </c>
      <c r="I1321" s="436"/>
      <c r="J1321" s="465">
        <v>0</v>
      </c>
      <c r="K1321" s="467">
        <v>0</v>
      </c>
    </row>
    <row r="1322" spans="2:11" ht="19" customHeight="1">
      <c r="B1322" s="464">
        <v>46051</v>
      </c>
      <c r="C1322" s="436" t="s">
        <v>862</v>
      </c>
      <c r="D1322" s="436" t="s">
        <v>899</v>
      </c>
      <c r="E1322" s="436">
        <v>1</v>
      </c>
      <c r="F1322" s="465">
        <v>0.05</v>
      </c>
      <c r="G1322" s="466">
        <v>0.05</v>
      </c>
      <c r="H1322" s="466">
        <f>G1322/1.1</f>
        <v>4.5454545454545456E-2</v>
      </c>
      <c r="I1322" s="436"/>
      <c r="J1322" s="465">
        <v>0</v>
      </c>
      <c r="K1322" s="467">
        <v>0</v>
      </c>
    </row>
    <row r="1323" spans="2:11" ht="19" customHeight="1">
      <c r="B1323" s="464">
        <v>46051</v>
      </c>
      <c r="C1323" s="436" t="s">
        <v>247</v>
      </c>
      <c r="D1323" s="436" t="s">
        <v>257</v>
      </c>
      <c r="E1323" s="436">
        <v>1</v>
      </c>
      <c r="F1323" s="465">
        <v>1.55</v>
      </c>
      <c r="G1323" s="466">
        <v>1.55</v>
      </c>
      <c r="H1323" s="466">
        <f>G1323/1.1</f>
        <v>1.4090909090909089</v>
      </c>
      <c r="I1323" s="436"/>
      <c r="J1323" s="465">
        <v>0</v>
      </c>
      <c r="K1323" s="467">
        <v>0</v>
      </c>
    </row>
    <row r="1324" spans="2:11" ht="19" customHeight="1">
      <c r="B1324" s="464">
        <v>46051</v>
      </c>
      <c r="C1324" s="436" t="s">
        <v>264</v>
      </c>
      <c r="D1324" s="436" t="s">
        <v>930</v>
      </c>
      <c r="E1324" s="436">
        <v>1</v>
      </c>
      <c r="F1324" s="465">
        <v>3.5</v>
      </c>
      <c r="G1324" s="466">
        <v>3.5</v>
      </c>
      <c r="H1324" s="466">
        <f>G1324/1.1</f>
        <v>3.1818181818181817</v>
      </c>
      <c r="I1324" s="436"/>
      <c r="J1324" s="465">
        <v>0</v>
      </c>
      <c r="K1324" s="467">
        <v>0</v>
      </c>
    </row>
    <row r="1325" spans="2:11" ht="19" customHeight="1">
      <c r="B1325" s="464">
        <v>46051</v>
      </c>
      <c r="C1325" s="436" t="s">
        <v>254</v>
      </c>
      <c r="D1325" s="436" t="s">
        <v>254</v>
      </c>
      <c r="E1325" s="436">
        <v>2</v>
      </c>
      <c r="F1325" s="465">
        <v>14.9</v>
      </c>
      <c r="G1325" s="466">
        <v>29.8</v>
      </c>
      <c r="H1325" s="466">
        <f>G1325/1.1</f>
        <v>27.09090909090909</v>
      </c>
      <c r="I1325" s="436"/>
      <c r="J1325" s="465">
        <v>0</v>
      </c>
      <c r="K1325" s="467">
        <v>0</v>
      </c>
    </row>
    <row r="1326" spans="2:11" ht="19" customHeight="1">
      <c r="B1326" s="464">
        <v>46051</v>
      </c>
      <c r="C1326" s="436" t="s">
        <v>873</v>
      </c>
      <c r="D1326" s="436" t="s">
        <v>1048</v>
      </c>
      <c r="E1326" s="436">
        <v>2</v>
      </c>
      <c r="F1326" s="469"/>
      <c r="G1326" s="468" t="s">
        <v>875</v>
      </c>
      <c r="H1326" s="466" t="e">
        <f>G1326/1.1</f>
        <v>#VALUE!</v>
      </c>
      <c r="I1326" s="436"/>
      <c r="J1326" s="465">
        <v>0</v>
      </c>
      <c r="K1326" s="467">
        <v>0</v>
      </c>
    </row>
    <row r="1327" spans="2:11" ht="19" customHeight="1">
      <c r="B1327" s="464">
        <v>46051</v>
      </c>
      <c r="C1327" s="436" t="s">
        <v>877</v>
      </c>
      <c r="D1327" s="436" t="s">
        <v>920</v>
      </c>
      <c r="E1327" s="436">
        <v>1</v>
      </c>
      <c r="F1327" s="465">
        <v>3</v>
      </c>
      <c r="G1327" s="466">
        <v>3</v>
      </c>
      <c r="H1327" s="466">
        <f>G1327/1.1</f>
        <v>2.7272727272727271</v>
      </c>
      <c r="I1327" s="436"/>
      <c r="J1327" s="465">
        <v>0</v>
      </c>
      <c r="K1327" s="467">
        <v>0</v>
      </c>
    </row>
    <row r="1328" spans="2:11" ht="19" customHeight="1">
      <c r="B1328" s="464">
        <v>46051</v>
      </c>
      <c r="C1328" s="436" t="s">
        <v>877</v>
      </c>
      <c r="D1328" s="436" t="s">
        <v>988</v>
      </c>
      <c r="E1328" s="436">
        <v>1</v>
      </c>
      <c r="F1328" s="465">
        <v>5</v>
      </c>
      <c r="G1328" s="466">
        <v>5</v>
      </c>
      <c r="H1328" s="466">
        <f>G1328/1.1</f>
        <v>4.545454545454545</v>
      </c>
      <c r="I1328" s="436"/>
      <c r="J1328" s="465">
        <v>0</v>
      </c>
      <c r="K1328" s="467">
        <v>0</v>
      </c>
    </row>
    <row r="1329" spans="2:11" ht="19" customHeight="1">
      <c r="B1329" s="464">
        <v>46051</v>
      </c>
      <c r="C1329" s="436" t="s">
        <v>266</v>
      </c>
      <c r="D1329" s="436" t="s">
        <v>991</v>
      </c>
      <c r="E1329" s="436">
        <v>1</v>
      </c>
      <c r="F1329" s="469"/>
      <c r="G1329" s="468" t="s">
        <v>875</v>
      </c>
      <c r="H1329" s="466" t="e">
        <f>G1329/1.1</f>
        <v>#VALUE!</v>
      </c>
      <c r="I1329" s="436"/>
      <c r="J1329" s="465">
        <v>0</v>
      </c>
      <c r="K1329" s="467">
        <v>0</v>
      </c>
    </row>
    <row r="1330" spans="2:11" ht="19" customHeight="1">
      <c r="B1330" s="464">
        <v>46051</v>
      </c>
      <c r="C1330" s="436" t="s">
        <v>266</v>
      </c>
      <c r="D1330" s="436" t="s">
        <v>935</v>
      </c>
      <c r="E1330" s="436">
        <v>1</v>
      </c>
      <c r="F1330" s="469"/>
      <c r="G1330" s="468" t="s">
        <v>875</v>
      </c>
      <c r="H1330" s="466" t="e">
        <f>G1330/1.1</f>
        <v>#VALUE!</v>
      </c>
      <c r="I1330" s="436"/>
      <c r="J1330" s="465">
        <v>0</v>
      </c>
      <c r="K1330" s="467">
        <v>0</v>
      </c>
    </row>
    <row r="1331" spans="2:11" ht="19" customHeight="1">
      <c r="B1331" s="464">
        <v>46051</v>
      </c>
      <c r="C1331" s="436" t="s">
        <v>258</v>
      </c>
      <c r="D1331" s="436" t="s">
        <v>1050</v>
      </c>
      <c r="E1331" s="436">
        <v>1</v>
      </c>
      <c r="F1331" s="469"/>
      <c r="G1331" s="468" t="s">
        <v>875</v>
      </c>
      <c r="H1331" s="466" t="e">
        <f>G1331/1.1</f>
        <v>#VALUE!</v>
      </c>
      <c r="I1331" s="436"/>
      <c r="J1331" s="465">
        <v>0</v>
      </c>
      <c r="K1331" s="467">
        <v>0</v>
      </c>
    </row>
    <row r="1332" spans="2:11" ht="19" customHeight="1">
      <c r="B1332" s="464">
        <v>46051</v>
      </c>
      <c r="C1332" s="436" t="s">
        <v>258</v>
      </c>
      <c r="D1332" s="436" t="s">
        <v>1051</v>
      </c>
      <c r="E1332" s="436">
        <v>1</v>
      </c>
      <c r="F1332" s="465">
        <v>3</v>
      </c>
      <c r="G1332" s="466">
        <v>3</v>
      </c>
      <c r="H1332" s="466">
        <f>G1332/1.1</f>
        <v>2.7272727272727271</v>
      </c>
      <c r="I1332" s="436"/>
      <c r="J1332" s="465">
        <v>0</v>
      </c>
      <c r="K1332" s="467">
        <v>0</v>
      </c>
    </row>
    <row r="1333" spans="2:11" ht="19" customHeight="1">
      <c r="B1333" s="464">
        <v>46051</v>
      </c>
      <c r="C1333" s="436" t="s">
        <v>276</v>
      </c>
      <c r="D1333" s="436" t="s">
        <v>1052</v>
      </c>
      <c r="E1333" s="436">
        <v>1</v>
      </c>
      <c r="F1333" s="465">
        <v>3.25</v>
      </c>
      <c r="G1333" s="466">
        <v>3.25</v>
      </c>
      <c r="H1333" s="466">
        <f>G1333/1.1</f>
        <v>2.9545454545454541</v>
      </c>
      <c r="I1333" s="436"/>
      <c r="J1333" s="465">
        <v>0</v>
      </c>
      <c r="K1333" s="467">
        <v>0</v>
      </c>
    </row>
    <row r="1334" spans="2:11" ht="19" customHeight="1">
      <c r="B1334" s="464">
        <v>46051</v>
      </c>
      <c r="C1334" s="436" t="s">
        <v>247</v>
      </c>
      <c r="D1334" s="436" t="s">
        <v>248</v>
      </c>
      <c r="E1334" s="436">
        <v>1</v>
      </c>
      <c r="F1334" s="465">
        <v>1.65</v>
      </c>
      <c r="G1334" s="466">
        <v>1.65</v>
      </c>
      <c r="H1334" s="466">
        <f>G1334/1.1</f>
        <v>1.4999999999999998</v>
      </c>
      <c r="I1334" s="436"/>
      <c r="J1334" s="465">
        <v>0</v>
      </c>
      <c r="K1334" s="467">
        <v>0</v>
      </c>
    </row>
    <row r="1335" spans="2:11" ht="19" customHeight="1">
      <c r="B1335" s="464">
        <v>46051</v>
      </c>
      <c r="C1335" s="436" t="s">
        <v>247</v>
      </c>
      <c r="D1335" s="436" t="s">
        <v>257</v>
      </c>
      <c r="E1335" s="436">
        <v>1</v>
      </c>
      <c r="F1335" s="465">
        <v>1.55</v>
      </c>
      <c r="G1335" s="466">
        <v>1.55</v>
      </c>
      <c r="H1335" s="466">
        <f>G1335/1.1</f>
        <v>1.4090909090909089</v>
      </c>
      <c r="I1335" s="436"/>
      <c r="J1335" s="465">
        <v>0</v>
      </c>
      <c r="K1335" s="467">
        <v>0</v>
      </c>
    </row>
    <row r="1336" spans="2:11" ht="19" customHeight="1">
      <c r="B1336" s="464">
        <v>46051</v>
      </c>
      <c r="C1336" s="436" t="s">
        <v>253</v>
      </c>
      <c r="D1336" s="436" t="s">
        <v>869</v>
      </c>
      <c r="E1336" s="436">
        <v>3</v>
      </c>
      <c r="F1336" s="466">
        <v>2.65</v>
      </c>
      <c r="G1336" s="466">
        <v>7.95</v>
      </c>
      <c r="H1336" s="466">
        <f>G1336/1.1</f>
        <v>7.2272727272727266</v>
      </c>
      <c r="I1336" s="436"/>
      <c r="J1336" s="465">
        <v>0</v>
      </c>
      <c r="K1336" s="467">
        <v>0</v>
      </c>
    </row>
    <row r="1337" spans="2:11" ht="19" customHeight="1">
      <c r="B1337" s="464">
        <v>46051</v>
      </c>
      <c r="C1337" s="436" t="s">
        <v>247</v>
      </c>
      <c r="D1337" s="436" t="s">
        <v>919</v>
      </c>
      <c r="E1337" s="436">
        <v>1</v>
      </c>
      <c r="F1337" s="465">
        <v>1.7</v>
      </c>
      <c r="G1337" s="466">
        <v>1.7</v>
      </c>
      <c r="H1337" s="466">
        <f>G1337/1.1</f>
        <v>1.5454545454545452</v>
      </c>
      <c r="I1337" s="436"/>
      <c r="J1337" s="465">
        <v>0</v>
      </c>
      <c r="K1337" s="467">
        <v>0</v>
      </c>
    </row>
    <row r="1338" spans="2:11" ht="19" customHeight="1">
      <c r="B1338" s="464">
        <v>46051</v>
      </c>
      <c r="C1338" s="436" t="s">
        <v>247</v>
      </c>
      <c r="D1338" s="436" t="s">
        <v>246</v>
      </c>
      <c r="E1338" s="436">
        <v>1</v>
      </c>
      <c r="F1338" s="465">
        <v>1.7</v>
      </c>
      <c r="G1338" s="466">
        <v>1.7</v>
      </c>
      <c r="H1338" s="466">
        <f>G1338/1.1</f>
        <v>1.5454545454545452</v>
      </c>
      <c r="I1338" s="436"/>
      <c r="J1338" s="465">
        <v>0</v>
      </c>
      <c r="K1338" s="467">
        <v>0</v>
      </c>
    </row>
    <row r="1339" spans="2:11" ht="19" customHeight="1">
      <c r="B1339" s="464">
        <v>46051</v>
      </c>
      <c r="C1339" s="436" t="s">
        <v>247</v>
      </c>
      <c r="D1339" s="436" t="s">
        <v>710</v>
      </c>
      <c r="E1339" s="436">
        <v>1</v>
      </c>
      <c r="F1339" s="465">
        <v>2.65</v>
      </c>
      <c r="G1339" s="466">
        <v>2.65</v>
      </c>
      <c r="H1339" s="466">
        <f>G1339/1.1</f>
        <v>2.4090909090909087</v>
      </c>
      <c r="I1339" s="436"/>
      <c r="J1339" s="465">
        <v>0</v>
      </c>
      <c r="K1339" s="467">
        <v>0</v>
      </c>
    </row>
    <row r="1340" spans="2:11" ht="19" customHeight="1">
      <c r="B1340" s="464">
        <v>46051</v>
      </c>
      <c r="C1340" s="436" t="s">
        <v>254</v>
      </c>
      <c r="D1340" s="436" t="s">
        <v>254</v>
      </c>
      <c r="E1340" s="436">
        <v>1</v>
      </c>
      <c r="F1340" s="465">
        <v>14.9</v>
      </c>
      <c r="G1340" s="466">
        <v>14.9</v>
      </c>
      <c r="H1340" s="466">
        <f>G1340/1.1</f>
        <v>13.545454545454545</v>
      </c>
      <c r="I1340" s="436"/>
      <c r="J1340" s="465">
        <v>0</v>
      </c>
      <c r="K1340" s="467">
        <v>0</v>
      </c>
    </row>
    <row r="1341" spans="2:11" ht="19" customHeight="1">
      <c r="B1341" s="464">
        <v>46051</v>
      </c>
      <c r="C1341" s="436" t="s">
        <v>873</v>
      </c>
      <c r="D1341" s="436" t="s">
        <v>1053</v>
      </c>
      <c r="E1341" s="436">
        <v>1</v>
      </c>
      <c r="F1341" s="469"/>
      <c r="G1341" s="468" t="s">
        <v>875</v>
      </c>
      <c r="H1341" s="466" t="e">
        <f>G1341/1.1</f>
        <v>#VALUE!</v>
      </c>
      <c r="I1341" s="436"/>
      <c r="J1341" s="465">
        <v>0</v>
      </c>
      <c r="K1341" s="467">
        <v>0</v>
      </c>
    </row>
    <row r="1342" spans="2:11" ht="19" customHeight="1">
      <c r="B1342" s="464">
        <v>46051</v>
      </c>
      <c r="C1342" s="436" t="s">
        <v>877</v>
      </c>
      <c r="D1342" s="436" t="s">
        <v>1049</v>
      </c>
      <c r="E1342" s="436">
        <v>1</v>
      </c>
      <c r="F1342" s="469"/>
      <c r="G1342" s="468" t="s">
        <v>875</v>
      </c>
      <c r="H1342" s="466" t="e">
        <f>G1342/1.1</f>
        <v>#VALUE!</v>
      </c>
      <c r="I1342" s="436"/>
      <c r="J1342" s="465">
        <v>0</v>
      </c>
      <c r="K1342" s="467">
        <v>0</v>
      </c>
    </row>
    <row r="1343" spans="2:11" ht="19" customHeight="1">
      <c r="B1343" s="464">
        <v>46051</v>
      </c>
      <c r="C1343" s="436" t="s">
        <v>266</v>
      </c>
      <c r="D1343" s="436" t="s">
        <v>942</v>
      </c>
      <c r="E1343" s="436">
        <v>1</v>
      </c>
      <c r="F1343" s="469"/>
      <c r="G1343" s="468" t="s">
        <v>875</v>
      </c>
      <c r="H1343" s="466" t="e">
        <f>G1343/1.1</f>
        <v>#VALUE!</v>
      </c>
      <c r="I1343" s="436"/>
      <c r="J1343" s="465">
        <v>0</v>
      </c>
      <c r="K1343" s="467">
        <v>0</v>
      </c>
    </row>
    <row r="1344" spans="2:11" ht="19" customHeight="1">
      <c r="B1344" s="464">
        <v>46051</v>
      </c>
      <c r="C1344" s="436" t="s">
        <v>258</v>
      </c>
      <c r="D1344" s="436" t="s">
        <v>1050</v>
      </c>
      <c r="E1344" s="436">
        <v>1</v>
      </c>
      <c r="F1344" s="469"/>
      <c r="G1344" s="468" t="s">
        <v>875</v>
      </c>
      <c r="H1344" s="466" t="e">
        <f>G1344/1.1</f>
        <v>#VALUE!</v>
      </c>
      <c r="I1344" s="436"/>
      <c r="J1344" s="465">
        <v>0</v>
      </c>
      <c r="K1344" s="467">
        <v>0</v>
      </c>
    </row>
    <row r="1345" spans="2:11" ht="19" customHeight="1">
      <c r="B1345" s="464">
        <v>46051</v>
      </c>
      <c r="C1345" s="436" t="s">
        <v>254</v>
      </c>
      <c r="D1345" s="436" t="s">
        <v>254</v>
      </c>
      <c r="E1345" s="436">
        <v>2</v>
      </c>
      <c r="F1345" s="465">
        <v>14.9</v>
      </c>
      <c r="G1345" s="466">
        <v>29.8</v>
      </c>
      <c r="H1345" s="466">
        <f>G1345/1.1</f>
        <v>27.09090909090909</v>
      </c>
      <c r="I1345" s="436"/>
      <c r="J1345" s="465">
        <v>0</v>
      </c>
      <c r="K1345" s="467">
        <v>0</v>
      </c>
    </row>
    <row r="1346" spans="2:11" ht="19" customHeight="1">
      <c r="B1346" s="464">
        <v>46051</v>
      </c>
      <c r="C1346" s="436" t="s">
        <v>873</v>
      </c>
      <c r="D1346" s="436" t="s">
        <v>696</v>
      </c>
      <c r="E1346" s="436">
        <v>1</v>
      </c>
      <c r="F1346" s="465">
        <v>2</v>
      </c>
      <c r="G1346" s="466">
        <v>2</v>
      </c>
      <c r="H1346" s="466">
        <f>G1346/1.1</f>
        <v>1.8181818181818181</v>
      </c>
      <c r="I1346" s="436"/>
      <c r="J1346" s="465">
        <v>0</v>
      </c>
      <c r="K1346" s="467">
        <v>0</v>
      </c>
    </row>
    <row r="1347" spans="2:11" ht="19" customHeight="1">
      <c r="B1347" s="464">
        <v>46051</v>
      </c>
      <c r="C1347" s="436" t="s">
        <v>873</v>
      </c>
      <c r="D1347" s="436" t="s">
        <v>1048</v>
      </c>
      <c r="E1347" s="436">
        <v>1</v>
      </c>
      <c r="F1347" s="469"/>
      <c r="G1347" s="468" t="s">
        <v>875</v>
      </c>
      <c r="H1347" s="466" t="e">
        <f>G1347/1.1</f>
        <v>#VALUE!</v>
      </c>
      <c r="I1347" s="436"/>
      <c r="J1347" s="465">
        <v>0</v>
      </c>
      <c r="K1347" s="467">
        <v>0</v>
      </c>
    </row>
    <row r="1348" spans="2:11" ht="19" customHeight="1">
      <c r="B1348" s="464">
        <v>46051</v>
      </c>
      <c r="C1348" s="436" t="s">
        <v>877</v>
      </c>
      <c r="D1348" s="436" t="s">
        <v>1047</v>
      </c>
      <c r="E1348" s="436">
        <v>1</v>
      </c>
      <c r="F1348" s="469"/>
      <c r="G1348" s="468" t="s">
        <v>875</v>
      </c>
      <c r="H1348" s="466" t="e">
        <f>G1348/1.1</f>
        <v>#VALUE!</v>
      </c>
      <c r="I1348" s="436"/>
      <c r="J1348" s="465">
        <v>0</v>
      </c>
      <c r="K1348" s="467">
        <v>0</v>
      </c>
    </row>
    <row r="1349" spans="2:11" ht="19" customHeight="1">
      <c r="B1349" s="464">
        <v>46051</v>
      </c>
      <c r="C1349" s="436" t="s">
        <v>877</v>
      </c>
      <c r="D1349" s="436" t="s">
        <v>1053</v>
      </c>
      <c r="E1349" s="436">
        <v>1</v>
      </c>
      <c r="F1349" s="469"/>
      <c r="G1349" s="468" t="s">
        <v>875</v>
      </c>
      <c r="H1349" s="466" t="e">
        <f>G1349/1.1</f>
        <v>#VALUE!</v>
      </c>
      <c r="I1349" s="436"/>
      <c r="J1349" s="465">
        <v>0</v>
      </c>
      <c r="K1349" s="467">
        <v>0</v>
      </c>
    </row>
    <row r="1350" spans="2:11" ht="19" customHeight="1">
      <c r="B1350" s="464">
        <v>46051</v>
      </c>
      <c r="C1350" s="436" t="s">
        <v>266</v>
      </c>
      <c r="D1350" s="436" t="s">
        <v>250</v>
      </c>
      <c r="E1350" s="436">
        <v>2</v>
      </c>
      <c r="F1350" s="469"/>
      <c r="G1350" s="468" t="s">
        <v>875</v>
      </c>
      <c r="H1350" s="466" t="e">
        <f>G1350/1.1</f>
        <v>#VALUE!</v>
      </c>
      <c r="I1350" s="436"/>
      <c r="J1350" s="465">
        <v>0</v>
      </c>
      <c r="K1350" s="467">
        <v>0</v>
      </c>
    </row>
    <row r="1351" spans="2:11" ht="19" customHeight="1">
      <c r="B1351" s="464">
        <v>46051</v>
      </c>
      <c r="C1351" s="436" t="s">
        <v>258</v>
      </c>
      <c r="D1351" s="436" t="s">
        <v>972</v>
      </c>
      <c r="E1351" s="436">
        <v>1</v>
      </c>
      <c r="F1351" s="469"/>
      <c r="G1351" s="468" t="s">
        <v>875</v>
      </c>
      <c r="H1351" s="466" t="e">
        <f>G1351/1.1</f>
        <v>#VALUE!</v>
      </c>
      <c r="I1351" s="436"/>
      <c r="J1351" s="465">
        <v>0</v>
      </c>
      <c r="K1351" s="467">
        <v>0</v>
      </c>
    </row>
    <row r="1352" spans="2:11" ht="19" customHeight="1">
      <c r="B1352" s="464">
        <v>46051</v>
      </c>
      <c r="C1352" s="436" t="s">
        <v>258</v>
      </c>
      <c r="D1352" s="436" t="s">
        <v>1054</v>
      </c>
      <c r="E1352" s="436">
        <v>1</v>
      </c>
      <c r="F1352" s="469"/>
      <c r="G1352" s="468" t="s">
        <v>875</v>
      </c>
      <c r="H1352" s="466" t="e">
        <f>G1352/1.1</f>
        <v>#VALUE!</v>
      </c>
      <c r="I1352" s="436"/>
      <c r="J1352" s="465">
        <v>0</v>
      </c>
      <c r="K1352" s="467">
        <v>0</v>
      </c>
    </row>
    <row r="1353" spans="2:11" ht="19" customHeight="1">
      <c r="B1353" s="464">
        <v>46051</v>
      </c>
      <c r="C1353" s="436" t="s">
        <v>254</v>
      </c>
      <c r="D1353" s="436" t="s">
        <v>254</v>
      </c>
      <c r="E1353" s="436">
        <v>1</v>
      </c>
      <c r="F1353" s="465">
        <v>14.9</v>
      </c>
      <c r="G1353" s="466">
        <v>14.9</v>
      </c>
      <c r="H1353" s="466">
        <f>G1353/1.1</f>
        <v>13.545454545454545</v>
      </c>
      <c r="I1353" s="436"/>
      <c r="J1353" s="465">
        <v>0</v>
      </c>
      <c r="K1353" s="467">
        <v>0</v>
      </c>
    </row>
    <row r="1354" spans="2:11" ht="19" customHeight="1">
      <c r="B1354" s="464">
        <v>46051</v>
      </c>
      <c r="C1354" s="436" t="s">
        <v>873</v>
      </c>
      <c r="D1354" s="436" t="s">
        <v>1053</v>
      </c>
      <c r="E1354" s="436">
        <v>1</v>
      </c>
      <c r="F1354" s="469"/>
      <c r="G1354" s="468" t="s">
        <v>875</v>
      </c>
      <c r="H1354" s="466" t="e">
        <f>G1354/1.1</f>
        <v>#VALUE!</v>
      </c>
      <c r="I1354" s="436"/>
      <c r="J1354" s="465">
        <v>0</v>
      </c>
      <c r="K1354" s="467">
        <v>0</v>
      </c>
    </row>
    <row r="1355" spans="2:11" ht="19" customHeight="1">
      <c r="B1355" s="464">
        <v>46051</v>
      </c>
      <c r="C1355" s="436" t="s">
        <v>877</v>
      </c>
      <c r="D1355" s="436" t="s">
        <v>1047</v>
      </c>
      <c r="E1355" s="436">
        <v>1</v>
      </c>
      <c r="F1355" s="469"/>
      <c r="G1355" s="468" t="s">
        <v>875</v>
      </c>
      <c r="H1355" s="466" t="e">
        <f>G1355/1.1</f>
        <v>#VALUE!</v>
      </c>
      <c r="I1355" s="436"/>
      <c r="J1355" s="465">
        <v>0</v>
      </c>
      <c r="K1355" s="467">
        <v>0</v>
      </c>
    </row>
    <row r="1356" spans="2:11" ht="19" customHeight="1">
      <c r="B1356" s="464">
        <v>46051</v>
      </c>
      <c r="C1356" s="436" t="s">
        <v>266</v>
      </c>
      <c r="D1356" s="436" t="s">
        <v>250</v>
      </c>
      <c r="E1356" s="436">
        <v>1</v>
      </c>
      <c r="F1356" s="469"/>
      <c r="G1356" s="468" t="s">
        <v>875</v>
      </c>
      <c r="H1356" s="466" t="e">
        <f>G1356/1.1</f>
        <v>#VALUE!</v>
      </c>
      <c r="I1356" s="436"/>
      <c r="J1356" s="465">
        <v>0</v>
      </c>
      <c r="K1356" s="467">
        <v>0</v>
      </c>
    </row>
    <row r="1357" spans="2:11" ht="19" customHeight="1">
      <c r="B1357" s="464">
        <v>46051</v>
      </c>
      <c r="C1357" s="436" t="s">
        <v>258</v>
      </c>
      <c r="D1357" s="436" t="s">
        <v>1050</v>
      </c>
      <c r="E1357" s="436">
        <v>1</v>
      </c>
      <c r="F1357" s="469"/>
      <c r="G1357" s="468" t="s">
        <v>875</v>
      </c>
      <c r="H1357" s="466" t="e">
        <f>G1357/1.1</f>
        <v>#VALUE!</v>
      </c>
      <c r="I1357" s="436"/>
      <c r="J1357" s="465">
        <v>0</v>
      </c>
      <c r="K1357" s="467">
        <v>0</v>
      </c>
    </row>
    <row r="1358" spans="2:11" ht="19" customHeight="1">
      <c r="B1358" s="464">
        <v>46051</v>
      </c>
      <c r="C1358" s="436" t="s">
        <v>254</v>
      </c>
      <c r="D1358" s="436" t="s">
        <v>254</v>
      </c>
      <c r="E1358" s="436">
        <v>1</v>
      </c>
      <c r="F1358" s="465">
        <v>14.9</v>
      </c>
      <c r="G1358" s="466">
        <v>14.9</v>
      </c>
      <c r="H1358" s="466">
        <f>G1358/1.1</f>
        <v>13.545454545454545</v>
      </c>
      <c r="I1358" s="436"/>
      <c r="J1358" s="465">
        <v>0</v>
      </c>
      <c r="K1358" s="467">
        <v>0</v>
      </c>
    </row>
    <row r="1359" spans="2:11" ht="19" customHeight="1">
      <c r="B1359" s="464">
        <v>46051</v>
      </c>
      <c r="C1359" s="436" t="s">
        <v>873</v>
      </c>
      <c r="D1359" s="436" t="s">
        <v>1053</v>
      </c>
      <c r="E1359" s="436">
        <v>1</v>
      </c>
      <c r="F1359" s="469"/>
      <c r="G1359" s="468" t="s">
        <v>875</v>
      </c>
      <c r="H1359" s="466" t="e">
        <f>G1359/1.1</f>
        <v>#VALUE!</v>
      </c>
      <c r="I1359" s="436"/>
      <c r="J1359" s="465">
        <v>0</v>
      </c>
      <c r="K1359" s="467">
        <v>0</v>
      </c>
    </row>
    <row r="1360" spans="2:11" ht="19" customHeight="1">
      <c r="B1360" s="464">
        <v>46051</v>
      </c>
      <c r="C1360" s="436" t="s">
        <v>877</v>
      </c>
      <c r="D1360" s="436" t="s">
        <v>1049</v>
      </c>
      <c r="E1360" s="436">
        <v>1</v>
      </c>
      <c r="F1360" s="469"/>
      <c r="G1360" s="468" t="s">
        <v>875</v>
      </c>
      <c r="H1360" s="466" t="e">
        <f>G1360/1.1</f>
        <v>#VALUE!</v>
      </c>
      <c r="I1360" s="436"/>
      <c r="J1360" s="465">
        <v>0</v>
      </c>
      <c r="K1360" s="467">
        <v>0</v>
      </c>
    </row>
    <row r="1361" spans="2:11" ht="19" customHeight="1">
      <c r="B1361" s="464">
        <v>46051</v>
      </c>
      <c r="C1361" s="436" t="s">
        <v>266</v>
      </c>
      <c r="D1361" s="436" t="s">
        <v>250</v>
      </c>
      <c r="E1361" s="436">
        <v>1</v>
      </c>
      <c r="F1361" s="469"/>
      <c r="G1361" s="468" t="s">
        <v>875</v>
      </c>
      <c r="H1361" s="466" t="e">
        <f>G1361/1.1</f>
        <v>#VALUE!</v>
      </c>
      <c r="I1361" s="436"/>
      <c r="J1361" s="465">
        <v>0</v>
      </c>
      <c r="K1361" s="467">
        <v>0</v>
      </c>
    </row>
    <row r="1362" spans="2:11" ht="19" customHeight="1">
      <c r="B1362" s="464">
        <v>46051</v>
      </c>
      <c r="C1362" s="436" t="s">
        <v>258</v>
      </c>
      <c r="D1362" s="436" t="s">
        <v>1054</v>
      </c>
      <c r="E1362" s="436">
        <v>1</v>
      </c>
      <c r="F1362" s="469"/>
      <c r="G1362" s="468" t="s">
        <v>875</v>
      </c>
      <c r="H1362" s="466" t="e">
        <f>G1362/1.1</f>
        <v>#VALUE!</v>
      </c>
      <c r="I1362" s="436"/>
      <c r="J1362" s="465">
        <v>0</v>
      </c>
      <c r="K1362" s="467">
        <v>0</v>
      </c>
    </row>
    <row r="1363" spans="2:11" ht="19" customHeight="1">
      <c r="B1363" s="464">
        <v>46051</v>
      </c>
      <c r="C1363" s="436" t="s">
        <v>254</v>
      </c>
      <c r="D1363" s="436" t="s">
        <v>254</v>
      </c>
      <c r="E1363" s="436">
        <v>1</v>
      </c>
      <c r="F1363" s="465">
        <v>14.9</v>
      </c>
      <c r="G1363" s="466">
        <v>14.9</v>
      </c>
      <c r="H1363" s="466">
        <f>G1363/1.1</f>
        <v>13.545454545454545</v>
      </c>
      <c r="I1363" s="436"/>
      <c r="J1363" s="465">
        <v>0</v>
      </c>
      <c r="K1363" s="467">
        <v>0</v>
      </c>
    </row>
    <row r="1364" spans="2:11" ht="19" customHeight="1">
      <c r="B1364" s="464">
        <v>46051</v>
      </c>
      <c r="C1364" s="436" t="s">
        <v>873</v>
      </c>
      <c r="D1364" s="436" t="s">
        <v>1048</v>
      </c>
      <c r="E1364" s="436">
        <v>1</v>
      </c>
      <c r="F1364" s="469"/>
      <c r="G1364" s="468" t="s">
        <v>875</v>
      </c>
      <c r="H1364" s="466" t="e">
        <f>G1364/1.1</f>
        <v>#VALUE!</v>
      </c>
      <c r="I1364" s="436"/>
      <c r="J1364" s="465">
        <v>0</v>
      </c>
      <c r="K1364" s="467">
        <v>0</v>
      </c>
    </row>
    <row r="1365" spans="2:11" ht="19" customHeight="1">
      <c r="B1365" s="464">
        <v>46051</v>
      </c>
      <c r="C1365" s="436" t="s">
        <v>877</v>
      </c>
      <c r="D1365" s="436" t="s">
        <v>1049</v>
      </c>
      <c r="E1365" s="436">
        <v>1</v>
      </c>
      <c r="F1365" s="469"/>
      <c r="G1365" s="468" t="s">
        <v>875</v>
      </c>
      <c r="H1365" s="466" t="e">
        <f>G1365/1.1</f>
        <v>#VALUE!</v>
      </c>
      <c r="I1365" s="436"/>
      <c r="J1365" s="465">
        <v>0</v>
      </c>
      <c r="K1365" s="467">
        <v>0</v>
      </c>
    </row>
    <row r="1366" spans="2:11" ht="19" customHeight="1">
      <c r="B1366" s="464">
        <v>46051</v>
      </c>
      <c r="C1366" s="436" t="s">
        <v>266</v>
      </c>
      <c r="D1366" s="436" t="s">
        <v>250</v>
      </c>
      <c r="E1366" s="436">
        <v>1</v>
      </c>
      <c r="F1366" s="469"/>
      <c r="G1366" s="468" t="s">
        <v>875</v>
      </c>
      <c r="H1366" s="466" t="e">
        <f>G1366/1.1</f>
        <v>#VALUE!</v>
      </c>
      <c r="I1366" s="436"/>
      <c r="J1366" s="465">
        <v>0</v>
      </c>
      <c r="K1366" s="467">
        <v>0</v>
      </c>
    </row>
    <row r="1367" spans="2:11" ht="19" customHeight="1">
      <c r="B1367" s="464">
        <v>46051</v>
      </c>
      <c r="C1367" s="436" t="s">
        <v>258</v>
      </c>
      <c r="D1367" s="436" t="s">
        <v>972</v>
      </c>
      <c r="E1367" s="436">
        <v>1</v>
      </c>
      <c r="F1367" s="469"/>
      <c r="G1367" s="468" t="s">
        <v>875</v>
      </c>
      <c r="H1367" s="466" t="e">
        <f>G1367/1.1</f>
        <v>#VALUE!</v>
      </c>
      <c r="I1367" s="436"/>
      <c r="J1367" s="465">
        <v>0</v>
      </c>
      <c r="K1367" s="467">
        <v>0</v>
      </c>
    </row>
    <row r="1368" spans="2:11" ht="19" customHeight="1">
      <c r="B1368" s="464">
        <v>46051</v>
      </c>
      <c r="C1368" s="436" t="s">
        <v>254</v>
      </c>
      <c r="D1368" s="436" t="s">
        <v>254</v>
      </c>
      <c r="E1368" s="436">
        <v>3</v>
      </c>
      <c r="F1368" s="465">
        <v>14.9</v>
      </c>
      <c r="G1368" s="466">
        <v>44.7</v>
      </c>
      <c r="H1368" s="466">
        <f>G1368/1.1</f>
        <v>40.636363636363633</v>
      </c>
      <c r="I1368" s="436"/>
      <c r="J1368" s="465">
        <v>0</v>
      </c>
      <c r="K1368" s="467">
        <v>0</v>
      </c>
    </row>
    <row r="1369" spans="2:11" ht="19" customHeight="1">
      <c r="B1369" s="464">
        <v>46051</v>
      </c>
      <c r="C1369" s="436" t="s">
        <v>873</v>
      </c>
      <c r="D1369" s="436" t="s">
        <v>1053</v>
      </c>
      <c r="E1369" s="436">
        <v>2</v>
      </c>
      <c r="F1369" s="465">
        <v>1</v>
      </c>
      <c r="G1369" s="466">
        <v>2</v>
      </c>
      <c r="H1369" s="466">
        <f>G1369/1.1</f>
        <v>1.8181818181818181</v>
      </c>
      <c r="I1369" s="436"/>
      <c r="J1369" s="465">
        <v>0</v>
      </c>
      <c r="K1369" s="467">
        <v>0</v>
      </c>
    </row>
    <row r="1370" spans="2:11" ht="19" customHeight="1">
      <c r="B1370" s="464">
        <v>46051</v>
      </c>
      <c r="C1370" s="436" t="s">
        <v>873</v>
      </c>
      <c r="D1370" s="436" t="s">
        <v>1046</v>
      </c>
      <c r="E1370" s="436">
        <v>1</v>
      </c>
      <c r="F1370" s="469"/>
      <c r="G1370" s="468" t="s">
        <v>875</v>
      </c>
      <c r="H1370" s="466" t="e">
        <f>G1370/1.1</f>
        <v>#VALUE!</v>
      </c>
      <c r="I1370" s="436"/>
      <c r="J1370" s="465">
        <v>0</v>
      </c>
      <c r="K1370" s="467">
        <v>0</v>
      </c>
    </row>
    <row r="1371" spans="2:11" ht="19" customHeight="1">
      <c r="B1371" s="464">
        <v>46051</v>
      </c>
      <c r="C1371" s="436" t="s">
        <v>877</v>
      </c>
      <c r="D1371" s="436" t="s">
        <v>1047</v>
      </c>
      <c r="E1371" s="436">
        <v>2</v>
      </c>
      <c r="F1371" s="469"/>
      <c r="G1371" s="468" t="s">
        <v>875</v>
      </c>
      <c r="H1371" s="466" t="e">
        <f>G1371/1.1</f>
        <v>#VALUE!</v>
      </c>
      <c r="I1371" s="436"/>
      <c r="J1371" s="465">
        <v>0</v>
      </c>
      <c r="K1371" s="467">
        <v>0</v>
      </c>
    </row>
    <row r="1372" spans="2:11" ht="19" customHeight="1">
      <c r="B1372" s="464">
        <v>46051</v>
      </c>
      <c r="C1372" s="436" t="s">
        <v>877</v>
      </c>
      <c r="D1372" s="436" t="s">
        <v>1049</v>
      </c>
      <c r="E1372" s="436">
        <v>1</v>
      </c>
      <c r="F1372" s="469"/>
      <c r="G1372" s="468" t="s">
        <v>875</v>
      </c>
      <c r="H1372" s="466" t="e">
        <f>G1372/1.1</f>
        <v>#VALUE!</v>
      </c>
      <c r="I1372" s="436"/>
      <c r="J1372" s="465">
        <v>0</v>
      </c>
      <c r="K1372" s="467">
        <v>0</v>
      </c>
    </row>
    <row r="1373" spans="2:11" ht="19" customHeight="1">
      <c r="B1373" s="464">
        <v>46051</v>
      </c>
      <c r="C1373" s="436" t="s">
        <v>266</v>
      </c>
      <c r="D1373" s="436" t="s">
        <v>1055</v>
      </c>
      <c r="E1373" s="436">
        <v>1</v>
      </c>
      <c r="F1373" s="465">
        <v>1</v>
      </c>
      <c r="G1373" s="466">
        <v>1</v>
      </c>
      <c r="H1373" s="466">
        <f>G1373/1.1</f>
        <v>0.90909090909090906</v>
      </c>
      <c r="I1373" s="436"/>
      <c r="J1373" s="465">
        <v>0</v>
      </c>
      <c r="K1373" s="467">
        <v>0</v>
      </c>
    </row>
    <row r="1374" spans="2:11" ht="19" customHeight="1">
      <c r="B1374" s="464">
        <v>46051</v>
      </c>
      <c r="C1374" s="436" t="s">
        <v>266</v>
      </c>
      <c r="D1374" s="436" t="s">
        <v>250</v>
      </c>
      <c r="E1374" s="436">
        <v>2</v>
      </c>
      <c r="F1374" s="469"/>
      <c r="G1374" s="468" t="s">
        <v>875</v>
      </c>
      <c r="H1374" s="466" t="e">
        <f>G1374/1.1</f>
        <v>#VALUE!</v>
      </c>
      <c r="I1374" s="436"/>
      <c r="J1374" s="465">
        <v>0</v>
      </c>
      <c r="K1374" s="467">
        <v>0</v>
      </c>
    </row>
    <row r="1375" spans="2:11" ht="19" customHeight="1">
      <c r="B1375" s="464">
        <v>46051</v>
      </c>
      <c r="C1375" s="436" t="s">
        <v>258</v>
      </c>
      <c r="D1375" s="436" t="s">
        <v>936</v>
      </c>
      <c r="E1375" s="436">
        <v>3</v>
      </c>
      <c r="F1375" s="469"/>
      <c r="G1375" s="468" t="s">
        <v>875</v>
      </c>
      <c r="H1375" s="466" t="e">
        <f>G1375/1.1</f>
        <v>#VALUE!</v>
      </c>
      <c r="I1375" s="436"/>
      <c r="J1375" s="465">
        <v>0</v>
      </c>
      <c r="K1375" s="467">
        <v>0</v>
      </c>
    </row>
    <row r="1376" spans="2:11" ht="19" customHeight="1">
      <c r="B1376" s="464">
        <v>46051</v>
      </c>
      <c r="C1376" s="436" t="s">
        <v>254</v>
      </c>
      <c r="D1376" s="436" t="s">
        <v>254</v>
      </c>
      <c r="E1376" s="436">
        <v>1</v>
      </c>
      <c r="F1376" s="465">
        <v>14.9</v>
      </c>
      <c r="G1376" s="466">
        <v>14.9</v>
      </c>
      <c r="H1376" s="466">
        <f>G1376/1.1</f>
        <v>13.545454545454545</v>
      </c>
      <c r="I1376" s="436"/>
      <c r="J1376" s="465">
        <v>0</v>
      </c>
      <c r="K1376" s="467">
        <v>0</v>
      </c>
    </row>
    <row r="1377" spans="2:11" ht="19" customHeight="1">
      <c r="B1377" s="464">
        <v>46051</v>
      </c>
      <c r="C1377" s="436" t="s">
        <v>873</v>
      </c>
      <c r="D1377" s="436" t="s">
        <v>1053</v>
      </c>
      <c r="E1377" s="436">
        <v>1</v>
      </c>
      <c r="F1377" s="469"/>
      <c r="G1377" s="468" t="s">
        <v>875</v>
      </c>
      <c r="H1377" s="466" t="e">
        <f>G1377/1.1</f>
        <v>#VALUE!</v>
      </c>
      <c r="I1377" s="436"/>
      <c r="J1377" s="465">
        <v>0</v>
      </c>
      <c r="K1377" s="467">
        <v>0</v>
      </c>
    </row>
    <row r="1378" spans="2:11" ht="19" customHeight="1">
      <c r="B1378" s="464">
        <v>46051</v>
      </c>
      <c r="C1378" s="436" t="s">
        <v>877</v>
      </c>
      <c r="D1378" s="436" t="s">
        <v>1047</v>
      </c>
      <c r="E1378" s="436">
        <v>1</v>
      </c>
      <c r="F1378" s="469"/>
      <c r="G1378" s="468" t="s">
        <v>875</v>
      </c>
      <c r="H1378" s="466" t="e">
        <f>G1378/1.1</f>
        <v>#VALUE!</v>
      </c>
      <c r="I1378" s="436"/>
      <c r="J1378" s="465">
        <v>0</v>
      </c>
      <c r="K1378" s="467">
        <v>0</v>
      </c>
    </row>
    <row r="1379" spans="2:11" ht="19" customHeight="1">
      <c r="B1379" s="464">
        <v>46051</v>
      </c>
      <c r="C1379" s="436" t="s">
        <v>266</v>
      </c>
      <c r="D1379" s="436" t="s">
        <v>250</v>
      </c>
      <c r="E1379" s="436">
        <v>1</v>
      </c>
      <c r="F1379" s="469"/>
      <c r="G1379" s="468" t="s">
        <v>875</v>
      </c>
      <c r="H1379" s="466" t="e">
        <f>G1379/1.1</f>
        <v>#VALUE!</v>
      </c>
      <c r="I1379" s="436"/>
      <c r="J1379" s="465">
        <v>0</v>
      </c>
      <c r="K1379" s="467">
        <v>0</v>
      </c>
    </row>
    <row r="1380" spans="2:11" ht="19" customHeight="1">
      <c r="B1380" s="464">
        <v>46051</v>
      </c>
      <c r="C1380" s="436" t="s">
        <v>258</v>
      </c>
      <c r="D1380" s="436" t="s">
        <v>1028</v>
      </c>
      <c r="E1380" s="436">
        <v>1</v>
      </c>
      <c r="F1380" s="469"/>
      <c r="G1380" s="468" t="s">
        <v>875</v>
      </c>
      <c r="H1380" s="466" t="e">
        <f>G1380/1.1</f>
        <v>#VALUE!</v>
      </c>
      <c r="I1380" s="436"/>
      <c r="J1380" s="465">
        <v>0</v>
      </c>
      <c r="K1380" s="467">
        <v>0</v>
      </c>
    </row>
    <row r="1381" spans="2:11" ht="19" customHeight="1">
      <c r="B1381" s="464">
        <v>46051</v>
      </c>
      <c r="C1381" s="436" t="s">
        <v>254</v>
      </c>
      <c r="D1381" s="436" t="s">
        <v>254</v>
      </c>
      <c r="E1381" s="436">
        <v>2</v>
      </c>
      <c r="F1381" s="465">
        <v>14.9</v>
      </c>
      <c r="G1381" s="466">
        <v>29.8</v>
      </c>
      <c r="H1381" s="466">
        <f>G1381/1.1</f>
        <v>27.09090909090909</v>
      </c>
      <c r="I1381" s="436"/>
      <c r="J1381" s="465">
        <v>0</v>
      </c>
      <c r="K1381" s="467">
        <v>0</v>
      </c>
    </row>
    <row r="1382" spans="2:11" ht="19" customHeight="1">
      <c r="B1382" s="464">
        <v>46051</v>
      </c>
      <c r="C1382" s="436" t="s">
        <v>873</v>
      </c>
      <c r="D1382" s="436" t="s">
        <v>1053</v>
      </c>
      <c r="E1382" s="436">
        <v>1</v>
      </c>
      <c r="F1382" s="469"/>
      <c r="G1382" s="468" t="s">
        <v>875</v>
      </c>
      <c r="H1382" s="466" t="e">
        <f>G1382/1.1</f>
        <v>#VALUE!</v>
      </c>
      <c r="I1382" s="436"/>
      <c r="J1382" s="465">
        <v>0</v>
      </c>
      <c r="K1382" s="467">
        <v>0</v>
      </c>
    </row>
    <row r="1383" spans="2:11" ht="19" customHeight="1">
      <c r="B1383" s="464">
        <v>46051</v>
      </c>
      <c r="C1383" s="436" t="s">
        <v>873</v>
      </c>
      <c r="D1383" s="436" t="s">
        <v>1048</v>
      </c>
      <c r="E1383" s="436">
        <v>1</v>
      </c>
      <c r="F1383" s="469"/>
      <c r="G1383" s="468" t="s">
        <v>875</v>
      </c>
      <c r="H1383" s="466" t="e">
        <f>G1383/1.1</f>
        <v>#VALUE!</v>
      </c>
      <c r="I1383" s="436"/>
      <c r="J1383" s="465">
        <v>0</v>
      </c>
      <c r="K1383" s="467">
        <v>0</v>
      </c>
    </row>
    <row r="1384" spans="2:11" ht="19" customHeight="1">
      <c r="B1384" s="464">
        <v>46051</v>
      </c>
      <c r="C1384" s="436" t="s">
        <v>877</v>
      </c>
      <c r="D1384" s="436" t="s">
        <v>1056</v>
      </c>
      <c r="E1384" s="436">
        <v>1</v>
      </c>
      <c r="F1384" s="436"/>
      <c r="G1384" s="468" t="s">
        <v>875</v>
      </c>
      <c r="H1384" s="466" t="e">
        <f>G1384/1.1</f>
        <v>#VALUE!</v>
      </c>
      <c r="I1384" s="436"/>
      <c r="J1384" s="465">
        <v>0</v>
      </c>
      <c r="K1384" s="467">
        <v>0</v>
      </c>
    </row>
    <row r="1385" spans="2:11" ht="19" customHeight="1">
      <c r="B1385" s="464">
        <v>46051</v>
      </c>
      <c r="C1385" s="436" t="s">
        <v>877</v>
      </c>
      <c r="D1385" s="436" t="s">
        <v>1049</v>
      </c>
      <c r="E1385" s="436">
        <v>1</v>
      </c>
      <c r="F1385" s="469"/>
      <c r="G1385" s="468" t="s">
        <v>875</v>
      </c>
      <c r="H1385" s="466" t="e">
        <f>G1385/1.1</f>
        <v>#VALUE!</v>
      </c>
      <c r="I1385" s="436"/>
      <c r="J1385" s="465">
        <v>0</v>
      </c>
      <c r="K1385" s="467">
        <v>0</v>
      </c>
    </row>
    <row r="1386" spans="2:11" ht="19" customHeight="1">
      <c r="B1386" s="464">
        <v>46051</v>
      </c>
      <c r="C1386" s="436" t="s">
        <v>266</v>
      </c>
      <c r="D1386" s="436" t="s">
        <v>250</v>
      </c>
      <c r="E1386" s="436">
        <v>2</v>
      </c>
      <c r="F1386" s="436"/>
      <c r="G1386" s="468" t="s">
        <v>875</v>
      </c>
      <c r="H1386" s="466" t="e">
        <f>G1386/1.1</f>
        <v>#VALUE!</v>
      </c>
      <c r="I1386" s="436"/>
      <c r="J1386" s="465">
        <v>0</v>
      </c>
      <c r="K1386" s="467">
        <v>0</v>
      </c>
    </row>
    <row r="1387" spans="2:11" ht="19" customHeight="1">
      <c r="B1387" s="464">
        <v>46051</v>
      </c>
      <c r="C1387" s="436" t="s">
        <v>258</v>
      </c>
      <c r="D1387" s="436" t="s">
        <v>1050</v>
      </c>
      <c r="E1387" s="436">
        <v>2</v>
      </c>
      <c r="F1387" s="469"/>
      <c r="G1387" s="468" t="s">
        <v>875</v>
      </c>
      <c r="H1387" s="466" t="e">
        <f>G1387/1.1</f>
        <v>#VALUE!</v>
      </c>
      <c r="I1387" s="436"/>
      <c r="J1387" s="465">
        <v>0</v>
      </c>
      <c r="K1387" s="467">
        <v>0</v>
      </c>
    </row>
    <row r="1388" spans="2:11" ht="19" customHeight="1">
      <c r="B1388" s="464">
        <v>46051</v>
      </c>
      <c r="C1388" s="436" t="s">
        <v>254</v>
      </c>
      <c r="D1388" s="436" t="s">
        <v>254</v>
      </c>
      <c r="E1388" s="436">
        <v>1</v>
      </c>
      <c r="F1388" s="465">
        <v>14.9</v>
      </c>
      <c r="G1388" s="466">
        <v>14.9</v>
      </c>
      <c r="H1388" s="466">
        <f>G1388/1.1</f>
        <v>13.545454545454545</v>
      </c>
      <c r="I1388" s="436"/>
      <c r="J1388" s="465">
        <v>0</v>
      </c>
      <c r="K1388" s="467">
        <v>0</v>
      </c>
    </row>
    <row r="1389" spans="2:11" ht="19" customHeight="1">
      <c r="B1389" s="464">
        <v>46051</v>
      </c>
      <c r="C1389" s="436" t="s">
        <v>873</v>
      </c>
      <c r="D1389" s="436" t="s">
        <v>1048</v>
      </c>
      <c r="E1389" s="436">
        <v>1</v>
      </c>
      <c r="F1389" s="469"/>
      <c r="G1389" s="468" t="s">
        <v>875</v>
      </c>
      <c r="H1389" s="466" t="e">
        <f>G1389/1.1</f>
        <v>#VALUE!</v>
      </c>
      <c r="I1389" s="436"/>
      <c r="J1389" s="465">
        <v>0</v>
      </c>
      <c r="K1389" s="467">
        <v>0</v>
      </c>
    </row>
    <row r="1390" spans="2:11" ht="19" customHeight="1">
      <c r="B1390" s="464">
        <v>46051</v>
      </c>
      <c r="C1390" s="436" t="s">
        <v>877</v>
      </c>
      <c r="D1390" s="436" t="s">
        <v>1056</v>
      </c>
      <c r="E1390" s="436">
        <v>1</v>
      </c>
      <c r="F1390" s="469"/>
      <c r="G1390" s="468" t="s">
        <v>875</v>
      </c>
      <c r="H1390" s="466" t="e">
        <f>G1390/1.1</f>
        <v>#VALUE!</v>
      </c>
      <c r="I1390" s="436"/>
      <c r="J1390" s="465">
        <v>0</v>
      </c>
      <c r="K1390" s="467">
        <v>0</v>
      </c>
    </row>
    <row r="1391" spans="2:11" ht="19" customHeight="1">
      <c r="B1391" s="464">
        <v>46051</v>
      </c>
      <c r="C1391" s="436" t="s">
        <v>266</v>
      </c>
      <c r="D1391" s="436" t="s">
        <v>708</v>
      </c>
      <c r="E1391" s="436">
        <v>1</v>
      </c>
      <c r="F1391" s="469"/>
      <c r="G1391" s="468" t="s">
        <v>875</v>
      </c>
      <c r="H1391" s="466" t="e">
        <f>G1391/1.1</f>
        <v>#VALUE!</v>
      </c>
      <c r="I1391" s="436"/>
      <c r="J1391" s="465">
        <v>0</v>
      </c>
      <c r="K1391" s="467">
        <v>0</v>
      </c>
    </row>
    <row r="1392" spans="2:11" ht="19" customHeight="1">
      <c r="B1392" s="464">
        <v>46051</v>
      </c>
      <c r="C1392" s="436" t="s">
        <v>258</v>
      </c>
      <c r="D1392" s="436" t="s">
        <v>1050</v>
      </c>
      <c r="E1392" s="436">
        <v>1</v>
      </c>
      <c r="F1392" s="469"/>
      <c r="G1392" s="468" t="s">
        <v>875</v>
      </c>
      <c r="H1392" s="466" t="e">
        <f>G1392/1.1</f>
        <v>#VALUE!</v>
      </c>
      <c r="I1392" s="436"/>
      <c r="J1392" s="465">
        <v>0</v>
      </c>
      <c r="K1392" s="467">
        <v>0</v>
      </c>
    </row>
    <row r="1393" spans="2:11" ht="19" customHeight="1">
      <c r="B1393" s="464">
        <v>46051</v>
      </c>
      <c r="C1393" s="436" t="s">
        <v>254</v>
      </c>
      <c r="D1393" s="436" t="s">
        <v>254</v>
      </c>
      <c r="E1393" s="436">
        <v>2</v>
      </c>
      <c r="F1393" s="465">
        <v>14.9</v>
      </c>
      <c r="G1393" s="466">
        <v>29.8</v>
      </c>
      <c r="H1393" s="466">
        <f>G1393/1.1</f>
        <v>27.09090909090909</v>
      </c>
      <c r="I1393" s="436"/>
      <c r="J1393" s="465">
        <v>0</v>
      </c>
      <c r="K1393" s="467">
        <v>0</v>
      </c>
    </row>
    <row r="1394" spans="2:11" ht="19" customHeight="1">
      <c r="B1394" s="464">
        <v>46051</v>
      </c>
      <c r="C1394" s="436" t="s">
        <v>873</v>
      </c>
      <c r="D1394" s="436" t="s">
        <v>1053</v>
      </c>
      <c r="E1394" s="436">
        <v>2</v>
      </c>
      <c r="F1394" s="469"/>
      <c r="G1394" s="468" t="s">
        <v>875</v>
      </c>
      <c r="H1394" s="466" t="e">
        <f>G1394/1.1</f>
        <v>#VALUE!</v>
      </c>
      <c r="I1394" s="436"/>
      <c r="J1394" s="465">
        <v>0</v>
      </c>
      <c r="K1394" s="467">
        <v>0</v>
      </c>
    </row>
    <row r="1395" spans="2:11" ht="19" customHeight="1">
      <c r="B1395" s="464">
        <v>46051</v>
      </c>
      <c r="C1395" s="436" t="s">
        <v>877</v>
      </c>
      <c r="D1395" s="436" t="s">
        <v>1049</v>
      </c>
      <c r="E1395" s="436">
        <v>2</v>
      </c>
      <c r="F1395" s="469"/>
      <c r="G1395" s="468" t="s">
        <v>875</v>
      </c>
      <c r="H1395" s="466" t="e">
        <f>G1395/1.1</f>
        <v>#VALUE!</v>
      </c>
      <c r="I1395" s="436"/>
      <c r="J1395" s="465">
        <v>0</v>
      </c>
      <c r="K1395" s="467">
        <v>0</v>
      </c>
    </row>
    <row r="1396" spans="2:11" ht="19" customHeight="1">
      <c r="B1396" s="464">
        <v>46051</v>
      </c>
      <c r="C1396" s="436" t="s">
        <v>266</v>
      </c>
      <c r="D1396" s="436" t="s">
        <v>250</v>
      </c>
      <c r="E1396" s="436">
        <v>2</v>
      </c>
      <c r="F1396" s="469"/>
      <c r="G1396" s="468" t="s">
        <v>875</v>
      </c>
      <c r="H1396" s="466" t="e">
        <f>G1396/1.1</f>
        <v>#VALUE!</v>
      </c>
      <c r="I1396" s="436"/>
      <c r="J1396" s="465">
        <v>0</v>
      </c>
      <c r="K1396" s="467">
        <v>0</v>
      </c>
    </row>
    <row r="1397" spans="2:11" ht="19" customHeight="1">
      <c r="B1397" s="464">
        <v>46051</v>
      </c>
      <c r="C1397" s="436" t="s">
        <v>258</v>
      </c>
      <c r="D1397" s="436" t="s">
        <v>882</v>
      </c>
      <c r="E1397" s="436">
        <v>2</v>
      </c>
      <c r="F1397" s="469"/>
      <c r="G1397" s="468" t="s">
        <v>875</v>
      </c>
      <c r="H1397" s="466" t="e">
        <f>G1397/1.1</f>
        <v>#VALUE!</v>
      </c>
      <c r="I1397" s="436"/>
      <c r="J1397" s="465">
        <v>0</v>
      </c>
      <c r="K1397" s="467">
        <v>0</v>
      </c>
    </row>
    <row r="1398" spans="2:11" ht="19" customHeight="1">
      <c r="B1398" s="464">
        <v>46051</v>
      </c>
      <c r="C1398" s="436" t="s">
        <v>254</v>
      </c>
      <c r="D1398" s="436" t="s">
        <v>254</v>
      </c>
      <c r="E1398" s="436">
        <v>4</v>
      </c>
      <c r="F1398" s="465">
        <v>14.9</v>
      </c>
      <c r="G1398" s="466">
        <v>59.6</v>
      </c>
      <c r="H1398" s="466">
        <f>G1398/1.1</f>
        <v>54.18181818181818</v>
      </c>
      <c r="I1398" s="436"/>
      <c r="J1398" s="465">
        <v>0</v>
      </c>
      <c r="K1398" s="467">
        <v>0</v>
      </c>
    </row>
    <row r="1399" spans="2:11" ht="19" customHeight="1">
      <c r="B1399" s="464">
        <v>46051</v>
      </c>
      <c r="C1399" s="436" t="s">
        <v>873</v>
      </c>
      <c r="D1399" s="436" t="s">
        <v>696</v>
      </c>
      <c r="E1399" s="436">
        <v>2</v>
      </c>
      <c r="F1399" s="465">
        <v>2</v>
      </c>
      <c r="G1399" s="466">
        <v>4</v>
      </c>
      <c r="H1399" s="466">
        <f>G1399/1.1</f>
        <v>3.6363636363636362</v>
      </c>
      <c r="I1399" s="436"/>
      <c r="J1399" s="465">
        <v>0</v>
      </c>
      <c r="K1399" s="467">
        <v>0</v>
      </c>
    </row>
    <row r="1400" spans="2:11" ht="19" customHeight="1">
      <c r="B1400" s="464">
        <v>46051</v>
      </c>
      <c r="C1400" s="436" t="s">
        <v>873</v>
      </c>
      <c r="D1400" s="436" t="s">
        <v>1046</v>
      </c>
      <c r="E1400" s="436">
        <v>1</v>
      </c>
      <c r="F1400" s="469"/>
      <c r="G1400" s="468" t="s">
        <v>875</v>
      </c>
      <c r="H1400" s="466" t="e">
        <f>G1400/1.1</f>
        <v>#VALUE!</v>
      </c>
      <c r="I1400" s="436"/>
      <c r="J1400" s="465">
        <v>0</v>
      </c>
      <c r="K1400" s="467">
        <v>0</v>
      </c>
    </row>
    <row r="1401" spans="2:11" ht="19" customHeight="1">
      <c r="B1401" s="464">
        <v>46051</v>
      </c>
      <c r="C1401" s="436" t="s">
        <v>873</v>
      </c>
      <c r="D1401" s="436" t="s">
        <v>1049</v>
      </c>
      <c r="E1401" s="436">
        <v>1</v>
      </c>
      <c r="F1401" s="465">
        <v>2</v>
      </c>
      <c r="G1401" s="466">
        <v>2</v>
      </c>
      <c r="H1401" s="466">
        <f>G1401/1.1</f>
        <v>1.8181818181818181</v>
      </c>
      <c r="I1401" s="436"/>
      <c r="J1401" s="465">
        <v>0</v>
      </c>
      <c r="K1401" s="467">
        <v>0</v>
      </c>
    </row>
    <row r="1402" spans="2:11" ht="19" customHeight="1">
      <c r="B1402" s="464">
        <v>46051</v>
      </c>
      <c r="C1402" s="436" t="s">
        <v>877</v>
      </c>
      <c r="D1402" s="436" t="s">
        <v>1047</v>
      </c>
      <c r="E1402" s="436">
        <v>3</v>
      </c>
      <c r="F1402" s="469"/>
      <c r="G1402" s="468" t="s">
        <v>875</v>
      </c>
      <c r="H1402" s="466" t="e">
        <f>G1402/1.1</f>
        <v>#VALUE!</v>
      </c>
      <c r="I1402" s="436"/>
      <c r="J1402" s="465">
        <v>0</v>
      </c>
      <c r="K1402" s="467">
        <v>0</v>
      </c>
    </row>
    <row r="1403" spans="2:11" ht="19" customHeight="1">
      <c r="B1403" s="464">
        <v>46051</v>
      </c>
      <c r="C1403" s="436" t="s">
        <v>877</v>
      </c>
      <c r="D1403" s="436" t="s">
        <v>1056</v>
      </c>
      <c r="E1403" s="436">
        <v>1</v>
      </c>
      <c r="F1403" s="469"/>
      <c r="G1403" s="468" t="s">
        <v>875</v>
      </c>
      <c r="H1403" s="466" t="e">
        <f>G1403/1.1</f>
        <v>#VALUE!</v>
      </c>
      <c r="I1403" s="436"/>
      <c r="J1403" s="465">
        <v>0</v>
      </c>
      <c r="K1403" s="467">
        <v>0</v>
      </c>
    </row>
    <row r="1404" spans="2:11" ht="19" customHeight="1">
      <c r="B1404" s="464">
        <v>46051</v>
      </c>
      <c r="C1404" s="436" t="s">
        <v>266</v>
      </c>
      <c r="D1404" s="436" t="s">
        <v>250</v>
      </c>
      <c r="E1404" s="436">
        <v>4</v>
      </c>
      <c r="F1404" s="469"/>
      <c r="G1404" s="468" t="s">
        <v>875</v>
      </c>
      <c r="H1404" s="466" t="e">
        <f>G1404/1.1</f>
        <v>#VALUE!</v>
      </c>
      <c r="I1404" s="436"/>
      <c r="J1404" s="465">
        <v>0</v>
      </c>
      <c r="K1404" s="467">
        <v>0</v>
      </c>
    </row>
    <row r="1405" spans="2:11" ht="19" customHeight="1">
      <c r="B1405" s="464">
        <v>46051</v>
      </c>
      <c r="C1405" s="436" t="s">
        <v>258</v>
      </c>
      <c r="D1405" s="436" t="s">
        <v>882</v>
      </c>
      <c r="E1405" s="436">
        <v>4</v>
      </c>
      <c r="F1405" s="469"/>
      <c r="G1405" s="468" t="s">
        <v>875</v>
      </c>
      <c r="H1405" s="466" t="e">
        <f>G1405/1.1</f>
        <v>#VALUE!</v>
      </c>
      <c r="I1405" s="436"/>
      <c r="J1405" s="465">
        <v>0</v>
      </c>
      <c r="K1405" s="467">
        <v>0</v>
      </c>
    </row>
    <row r="1406" spans="2:11" ht="19" customHeight="1">
      <c r="B1406" s="464">
        <v>46051</v>
      </c>
      <c r="C1406" s="436" t="s">
        <v>254</v>
      </c>
      <c r="D1406" s="436" t="s">
        <v>254</v>
      </c>
      <c r="E1406" s="436">
        <v>1</v>
      </c>
      <c r="F1406" s="465">
        <v>14.9</v>
      </c>
      <c r="G1406" s="466">
        <v>14.9</v>
      </c>
      <c r="H1406" s="466">
        <f>G1406/1.1</f>
        <v>13.545454545454545</v>
      </c>
      <c r="I1406" s="436"/>
      <c r="J1406" s="465">
        <v>0</v>
      </c>
      <c r="K1406" s="467">
        <v>0</v>
      </c>
    </row>
    <row r="1407" spans="2:11" ht="19" customHeight="1">
      <c r="B1407" s="464">
        <v>46051</v>
      </c>
      <c r="C1407" s="436" t="s">
        <v>873</v>
      </c>
      <c r="D1407" s="436" t="s">
        <v>1048</v>
      </c>
      <c r="E1407" s="436">
        <v>1</v>
      </c>
      <c r="F1407" s="469"/>
      <c r="G1407" s="468" t="s">
        <v>875</v>
      </c>
      <c r="H1407" s="466" t="e">
        <f>G1407/1.1</f>
        <v>#VALUE!</v>
      </c>
      <c r="I1407" s="436"/>
      <c r="J1407" s="465">
        <v>0</v>
      </c>
      <c r="K1407" s="467">
        <v>0</v>
      </c>
    </row>
    <row r="1408" spans="2:11" ht="19" customHeight="1">
      <c r="B1408" s="464">
        <v>46051</v>
      </c>
      <c r="C1408" s="436" t="s">
        <v>873</v>
      </c>
      <c r="D1408" s="436" t="s">
        <v>1049</v>
      </c>
      <c r="E1408" s="436">
        <v>1</v>
      </c>
      <c r="F1408" s="469"/>
      <c r="G1408" s="468" t="s">
        <v>875</v>
      </c>
      <c r="H1408" s="466" t="e">
        <f>G1408/1.1</f>
        <v>#VALUE!</v>
      </c>
      <c r="I1408" s="436"/>
      <c r="J1408" s="465">
        <v>0</v>
      </c>
      <c r="K1408" s="467">
        <v>0</v>
      </c>
    </row>
    <row r="1409" spans="2:11" ht="19" customHeight="1">
      <c r="B1409" s="464">
        <v>46051</v>
      </c>
      <c r="C1409" s="436" t="s">
        <v>266</v>
      </c>
      <c r="D1409" s="436" t="s">
        <v>250</v>
      </c>
      <c r="E1409" s="436">
        <v>1</v>
      </c>
      <c r="F1409" s="469"/>
      <c r="G1409" s="468" t="s">
        <v>875</v>
      </c>
      <c r="H1409" s="466" t="e">
        <f>G1409/1.1</f>
        <v>#VALUE!</v>
      </c>
      <c r="I1409" s="436"/>
      <c r="J1409" s="465">
        <v>0</v>
      </c>
      <c r="K1409" s="467">
        <v>0</v>
      </c>
    </row>
    <row r="1410" spans="2:11" ht="19" customHeight="1">
      <c r="B1410" s="464">
        <v>46051</v>
      </c>
      <c r="C1410" s="436" t="s">
        <v>258</v>
      </c>
      <c r="D1410" s="436" t="s">
        <v>917</v>
      </c>
      <c r="E1410" s="436">
        <v>1</v>
      </c>
      <c r="F1410" s="469"/>
      <c r="G1410" s="468" t="s">
        <v>875</v>
      </c>
      <c r="H1410" s="466" t="e">
        <f>G1410/1.1</f>
        <v>#VALUE!</v>
      </c>
      <c r="I1410" s="436"/>
      <c r="J1410" s="465">
        <v>0</v>
      </c>
      <c r="K1410" s="467">
        <v>0</v>
      </c>
    </row>
    <row r="1411" spans="2:11" ht="19" customHeight="1">
      <c r="B1411" s="464">
        <v>46051</v>
      </c>
      <c r="C1411" s="436" t="s">
        <v>254</v>
      </c>
      <c r="D1411" s="436" t="s">
        <v>254</v>
      </c>
      <c r="E1411" s="436">
        <v>2</v>
      </c>
      <c r="F1411" s="465">
        <v>14.9</v>
      </c>
      <c r="G1411" s="466">
        <v>29.8</v>
      </c>
      <c r="H1411" s="466">
        <f>G1411/1.1</f>
        <v>27.09090909090909</v>
      </c>
      <c r="I1411" s="436"/>
      <c r="J1411" s="465">
        <v>0</v>
      </c>
      <c r="K1411" s="467">
        <v>0</v>
      </c>
    </row>
    <row r="1412" spans="2:11" ht="19" customHeight="1">
      <c r="B1412" s="464">
        <v>46051</v>
      </c>
      <c r="C1412" s="436" t="s">
        <v>873</v>
      </c>
      <c r="D1412" s="436" t="s">
        <v>1057</v>
      </c>
      <c r="E1412" s="436">
        <v>2</v>
      </c>
      <c r="F1412" s="469"/>
      <c r="G1412" s="468" t="s">
        <v>875</v>
      </c>
      <c r="H1412" s="466" t="e">
        <f>G1412/1.1</f>
        <v>#VALUE!</v>
      </c>
      <c r="I1412" s="436"/>
      <c r="J1412" s="465">
        <v>0</v>
      </c>
      <c r="K1412" s="467">
        <v>0</v>
      </c>
    </row>
    <row r="1413" spans="2:11" ht="19" customHeight="1">
      <c r="B1413" s="464">
        <v>46051</v>
      </c>
      <c r="C1413" s="436" t="s">
        <v>873</v>
      </c>
      <c r="D1413" s="436" t="s">
        <v>1049</v>
      </c>
      <c r="E1413" s="436">
        <v>2</v>
      </c>
      <c r="F1413" s="469"/>
      <c r="G1413" s="468" t="s">
        <v>875</v>
      </c>
      <c r="H1413" s="466" t="e">
        <f>G1413/1.1</f>
        <v>#VALUE!</v>
      </c>
      <c r="I1413" s="436"/>
      <c r="J1413" s="465">
        <v>0</v>
      </c>
      <c r="K1413" s="467">
        <v>0</v>
      </c>
    </row>
    <row r="1414" spans="2:11" ht="19" customHeight="1">
      <c r="B1414" s="464">
        <v>46051</v>
      </c>
      <c r="C1414" s="436" t="s">
        <v>266</v>
      </c>
      <c r="D1414" s="436" t="s">
        <v>991</v>
      </c>
      <c r="E1414" s="436">
        <v>2</v>
      </c>
      <c r="F1414" s="469"/>
      <c r="G1414" s="468" t="s">
        <v>875</v>
      </c>
      <c r="H1414" s="466" t="e">
        <f>G1414/1.1</f>
        <v>#VALUE!</v>
      </c>
      <c r="I1414" s="436"/>
      <c r="J1414" s="465">
        <v>0</v>
      </c>
      <c r="K1414" s="467">
        <v>0</v>
      </c>
    </row>
    <row r="1415" spans="2:11" ht="19" customHeight="1">
      <c r="B1415" s="464">
        <v>46051</v>
      </c>
      <c r="C1415" s="436" t="s">
        <v>258</v>
      </c>
      <c r="D1415" s="436" t="s">
        <v>1058</v>
      </c>
      <c r="E1415" s="436">
        <v>2</v>
      </c>
      <c r="F1415" s="469"/>
      <c r="G1415" s="468" t="s">
        <v>875</v>
      </c>
      <c r="H1415" s="466" t="e">
        <f>G1415/1.1</f>
        <v>#VALUE!</v>
      </c>
      <c r="I1415" s="436"/>
      <c r="J1415" s="465">
        <v>0</v>
      </c>
      <c r="K1415" s="467">
        <v>0</v>
      </c>
    </row>
    <row r="1416" spans="2:11" ht="19" customHeight="1">
      <c r="B1416" s="464">
        <v>46052</v>
      </c>
      <c r="C1416" s="436" t="s">
        <v>247</v>
      </c>
      <c r="D1416" s="436" t="s">
        <v>257</v>
      </c>
      <c r="E1416" s="436">
        <v>2</v>
      </c>
      <c r="F1416" s="465">
        <v>1.4</v>
      </c>
      <c r="G1416" s="466">
        <v>2.8</v>
      </c>
      <c r="H1416" s="466">
        <f>G1416/1.1</f>
        <v>2.545454545454545</v>
      </c>
      <c r="I1416" s="436"/>
      <c r="J1416" s="465">
        <v>0</v>
      </c>
      <c r="K1416" s="467">
        <v>0</v>
      </c>
    </row>
    <row r="1417" spans="2:11" ht="19" customHeight="1">
      <c r="B1417" s="464">
        <v>46052</v>
      </c>
      <c r="C1417" s="436" t="s">
        <v>247</v>
      </c>
      <c r="D1417" s="436" t="s">
        <v>246</v>
      </c>
      <c r="E1417" s="436">
        <v>1</v>
      </c>
      <c r="F1417" s="465">
        <v>1.7</v>
      </c>
      <c r="G1417" s="466">
        <v>1.7</v>
      </c>
      <c r="H1417" s="466">
        <f>G1417/1.1</f>
        <v>1.5454545454545452</v>
      </c>
      <c r="I1417" s="436"/>
      <c r="J1417" s="465">
        <v>0</v>
      </c>
      <c r="K1417" s="467">
        <v>0</v>
      </c>
    </row>
    <row r="1418" spans="2:11" ht="19" customHeight="1">
      <c r="B1418" s="464">
        <v>46052</v>
      </c>
      <c r="C1418" s="436" t="s">
        <v>247</v>
      </c>
      <c r="D1418" s="436" t="s">
        <v>257</v>
      </c>
      <c r="E1418" s="436">
        <v>2</v>
      </c>
      <c r="F1418" s="465">
        <v>1.4</v>
      </c>
      <c r="G1418" s="466">
        <v>2.8</v>
      </c>
      <c r="H1418" s="466">
        <f>G1418/1.1</f>
        <v>2.545454545454545</v>
      </c>
      <c r="I1418" s="436"/>
      <c r="J1418" s="465">
        <v>0</v>
      </c>
      <c r="K1418" s="467">
        <v>0</v>
      </c>
    </row>
    <row r="1419" spans="2:11" ht="19" customHeight="1">
      <c r="B1419" s="464">
        <v>46052</v>
      </c>
      <c r="C1419" s="436" t="s">
        <v>247</v>
      </c>
      <c r="D1419" s="436" t="s">
        <v>248</v>
      </c>
      <c r="E1419" s="436">
        <v>1</v>
      </c>
      <c r="F1419" s="465">
        <v>1.5</v>
      </c>
      <c r="G1419" s="466">
        <v>1.5</v>
      </c>
      <c r="H1419" s="466">
        <f>G1419/1.1</f>
        <v>1.3636363636363635</v>
      </c>
      <c r="I1419" s="436"/>
      <c r="J1419" s="465">
        <v>0</v>
      </c>
      <c r="K1419" s="467">
        <v>0</v>
      </c>
    </row>
    <row r="1420" spans="2:11" ht="19" customHeight="1">
      <c r="B1420" s="464">
        <v>46052</v>
      </c>
      <c r="C1420" s="436" t="s">
        <v>247</v>
      </c>
      <c r="D1420" s="436" t="s">
        <v>246</v>
      </c>
      <c r="E1420" s="436">
        <v>2</v>
      </c>
      <c r="F1420" s="465">
        <v>1.7</v>
      </c>
      <c r="G1420" s="466">
        <v>3.4</v>
      </c>
      <c r="H1420" s="466">
        <f>G1420/1.1</f>
        <v>3.0909090909090904</v>
      </c>
      <c r="I1420" s="436"/>
      <c r="J1420" s="465">
        <v>0</v>
      </c>
      <c r="K1420" s="467">
        <v>0</v>
      </c>
    </row>
    <row r="1421" spans="2:11" ht="19" customHeight="1">
      <c r="B1421" s="464">
        <v>46052</v>
      </c>
      <c r="C1421" s="436" t="s">
        <v>247</v>
      </c>
      <c r="D1421" s="436" t="s">
        <v>246</v>
      </c>
      <c r="E1421" s="436">
        <v>1</v>
      </c>
      <c r="F1421" s="465">
        <v>1.7</v>
      </c>
      <c r="G1421" s="466">
        <v>1.7</v>
      </c>
      <c r="H1421" s="466">
        <f>G1421/1.1</f>
        <v>1.5454545454545452</v>
      </c>
      <c r="I1421" s="436"/>
      <c r="J1421" s="465">
        <v>0</v>
      </c>
      <c r="K1421" s="467">
        <v>0</v>
      </c>
    </row>
    <row r="1422" spans="2:11" ht="19" customHeight="1">
      <c r="B1422" s="464">
        <v>46052</v>
      </c>
      <c r="C1422" s="436" t="s">
        <v>862</v>
      </c>
      <c r="D1422" s="436" t="s">
        <v>899</v>
      </c>
      <c r="E1422" s="436">
        <v>1</v>
      </c>
      <c r="F1422" s="465">
        <v>0.05</v>
      </c>
      <c r="G1422" s="466">
        <v>0.05</v>
      </c>
      <c r="H1422" s="466">
        <f>G1422/1.1</f>
        <v>4.5454545454545456E-2</v>
      </c>
      <c r="I1422" s="436"/>
      <c r="J1422" s="465">
        <v>0</v>
      </c>
      <c r="K1422" s="467">
        <v>0</v>
      </c>
    </row>
    <row r="1423" spans="2:11" ht="19" customHeight="1">
      <c r="B1423" s="464">
        <v>46052</v>
      </c>
      <c r="C1423" s="436" t="s">
        <v>247</v>
      </c>
      <c r="D1423" s="436" t="s">
        <v>843</v>
      </c>
      <c r="E1423" s="436">
        <v>1</v>
      </c>
      <c r="F1423" s="465">
        <v>3.6</v>
      </c>
      <c r="G1423" s="466">
        <v>3.6</v>
      </c>
      <c r="H1423" s="466">
        <f>G1423/1.1</f>
        <v>3.2727272727272725</v>
      </c>
      <c r="I1423" s="436"/>
      <c r="J1423" s="465">
        <v>0</v>
      </c>
      <c r="K1423" s="467">
        <v>0</v>
      </c>
    </row>
    <row r="1424" spans="2:11" ht="19" customHeight="1">
      <c r="B1424" s="464">
        <v>46052</v>
      </c>
      <c r="C1424" s="436" t="s">
        <v>264</v>
      </c>
      <c r="D1424" s="436" t="s">
        <v>1059</v>
      </c>
      <c r="E1424" s="436">
        <v>1</v>
      </c>
      <c r="F1424" s="465">
        <v>0.3</v>
      </c>
      <c r="G1424" s="466">
        <v>0.3</v>
      </c>
      <c r="H1424" s="466">
        <f>G1424/1.1</f>
        <v>0.27272727272727271</v>
      </c>
      <c r="I1424" s="436"/>
      <c r="J1424" s="465">
        <v>0</v>
      </c>
      <c r="K1424" s="467">
        <v>0</v>
      </c>
    </row>
    <row r="1425" spans="2:11" ht="19" customHeight="1">
      <c r="B1425" s="464">
        <v>46052</v>
      </c>
      <c r="C1425" s="436" t="s">
        <v>725</v>
      </c>
      <c r="D1425" s="436" t="s">
        <v>1060</v>
      </c>
      <c r="E1425" s="436">
        <v>1</v>
      </c>
      <c r="F1425" s="465">
        <v>5.3</v>
      </c>
      <c r="G1425" s="466">
        <v>5.3</v>
      </c>
      <c r="H1425" s="466">
        <f>G1425/1.1</f>
        <v>4.8181818181818175</v>
      </c>
      <c r="I1425" s="436"/>
      <c r="J1425" s="465">
        <v>0</v>
      </c>
      <c r="K1425" s="467">
        <v>0</v>
      </c>
    </row>
    <row r="1426" spans="2:11" ht="19" customHeight="1">
      <c r="B1426" s="464">
        <v>46052</v>
      </c>
      <c r="C1426" s="436" t="s">
        <v>253</v>
      </c>
      <c r="D1426" s="436" t="s">
        <v>969</v>
      </c>
      <c r="E1426" s="436">
        <v>2</v>
      </c>
      <c r="F1426" s="465">
        <v>3.35</v>
      </c>
      <c r="G1426" s="466">
        <v>6.7</v>
      </c>
      <c r="H1426" s="466">
        <f>G1426/1.1</f>
        <v>6.0909090909090908</v>
      </c>
      <c r="I1426" s="436"/>
      <c r="J1426" s="465">
        <v>0</v>
      </c>
      <c r="K1426" s="467">
        <v>0</v>
      </c>
    </row>
    <row r="1427" spans="2:11" ht="19" customHeight="1">
      <c r="B1427" s="464">
        <v>46052</v>
      </c>
      <c r="C1427" s="436" t="s">
        <v>247</v>
      </c>
      <c r="D1427" s="436" t="s">
        <v>246</v>
      </c>
      <c r="E1427" s="436">
        <v>1</v>
      </c>
      <c r="F1427" s="465">
        <v>1.7</v>
      </c>
      <c r="G1427" s="466">
        <v>1.7</v>
      </c>
      <c r="H1427" s="466">
        <f>G1427/1.1</f>
        <v>1.5454545454545452</v>
      </c>
      <c r="I1427" s="436"/>
      <c r="J1427" s="465">
        <v>0</v>
      </c>
      <c r="K1427" s="467">
        <v>0</v>
      </c>
    </row>
    <row r="1428" spans="2:11" ht="19" customHeight="1">
      <c r="B1428" s="464">
        <v>46052</v>
      </c>
      <c r="C1428" s="436" t="s">
        <v>862</v>
      </c>
      <c r="D1428" s="436" t="s">
        <v>907</v>
      </c>
      <c r="E1428" s="436">
        <v>1</v>
      </c>
      <c r="F1428" s="465">
        <v>0.15</v>
      </c>
      <c r="G1428" s="466">
        <v>0.15</v>
      </c>
      <c r="H1428" s="466">
        <f>G1428/1.1</f>
        <v>0.13636363636363635</v>
      </c>
      <c r="I1428" s="436"/>
      <c r="J1428" s="465">
        <v>0</v>
      </c>
      <c r="K1428" s="467">
        <v>0</v>
      </c>
    </row>
    <row r="1429" spans="2:11" ht="19" customHeight="1">
      <c r="B1429" s="464">
        <v>46052</v>
      </c>
      <c r="C1429" s="436" t="s">
        <v>247</v>
      </c>
      <c r="D1429" s="436" t="s">
        <v>248</v>
      </c>
      <c r="E1429" s="436">
        <v>1</v>
      </c>
      <c r="F1429" s="465">
        <v>1.5</v>
      </c>
      <c r="G1429" s="466">
        <v>1.5</v>
      </c>
      <c r="H1429" s="466">
        <f>G1429/1.1</f>
        <v>1.3636363636363635</v>
      </c>
      <c r="I1429" s="436"/>
      <c r="J1429" s="465">
        <v>0</v>
      </c>
      <c r="K1429" s="467">
        <v>0</v>
      </c>
    </row>
    <row r="1430" spans="2:11" ht="19" customHeight="1">
      <c r="B1430" s="464">
        <v>46052</v>
      </c>
      <c r="C1430" s="436" t="s">
        <v>247</v>
      </c>
      <c r="D1430" s="436" t="s">
        <v>904</v>
      </c>
      <c r="E1430" s="436">
        <v>1</v>
      </c>
      <c r="F1430" s="465">
        <v>2.0499999999999998</v>
      </c>
      <c r="G1430" s="466">
        <v>2.0499999999999998</v>
      </c>
      <c r="H1430" s="466">
        <f>G1430/1.1</f>
        <v>1.8636363636363633</v>
      </c>
      <c r="I1430" s="436"/>
      <c r="J1430" s="465">
        <v>0</v>
      </c>
      <c r="K1430" s="467">
        <v>0</v>
      </c>
    </row>
    <row r="1431" spans="2:11" ht="19" customHeight="1">
      <c r="B1431" s="464">
        <v>46052</v>
      </c>
      <c r="C1431" s="436" t="s">
        <v>247</v>
      </c>
      <c r="D1431" s="436" t="s">
        <v>246</v>
      </c>
      <c r="E1431" s="436">
        <v>1</v>
      </c>
      <c r="F1431" s="465">
        <v>1.7</v>
      </c>
      <c r="G1431" s="466">
        <v>1.7</v>
      </c>
      <c r="H1431" s="466">
        <f>G1431/1.1</f>
        <v>1.5454545454545452</v>
      </c>
      <c r="I1431" s="436"/>
      <c r="J1431" s="465">
        <v>0</v>
      </c>
      <c r="K1431" s="467">
        <v>0</v>
      </c>
    </row>
    <row r="1432" spans="2:11" ht="19" customHeight="1">
      <c r="B1432" s="464">
        <v>46052</v>
      </c>
      <c r="C1432" s="436" t="s">
        <v>894</v>
      </c>
      <c r="D1432" s="436" t="s">
        <v>950</v>
      </c>
      <c r="E1432" s="436">
        <v>1</v>
      </c>
      <c r="F1432" s="465">
        <v>5.7</v>
      </c>
      <c r="G1432" s="466">
        <v>5.7</v>
      </c>
      <c r="H1432" s="466">
        <f>G1432/1.1</f>
        <v>5.1818181818181817</v>
      </c>
      <c r="I1432" s="436"/>
      <c r="J1432" s="465">
        <v>0</v>
      </c>
      <c r="K1432" s="467">
        <v>0</v>
      </c>
    </row>
    <row r="1433" spans="2:11" ht="19" customHeight="1">
      <c r="B1433" s="464">
        <v>46052</v>
      </c>
      <c r="C1433" s="436" t="s">
        <v>268</v>
      </c>
      <c r="D1433" s="436" t="s">
        <v>1061</v>
      </c>
      <c r="E1433" s="436">
        <v>1</v>
      </c>
      <c r="F1433" s="465">
        <v>0.85</v>
      </c>
      <c r="G1433" s="466">
        <v>0.85</v>
      </c>
      <c r="H1433" s="466">
        <f>G1433/1.1</f>
        <v>0.7727272727272726</v>
      </c>
      <c r="I1433" s="436"/>
      <c r="J1433" s="465">
        <v>0</v>
      </c>
      <c r="K1433" s="467">
        <v>0</v>
      </c>
    </row>
    <row r="1434" spans="2:11" ht="19" customHeight="1">
      <c r="B1434" s="464">
        <v>46052</v>
      </c>
      <c r="C1434" s="436" t="s">
        <v>328</v>
      </c>
      <c r="D1434" s="436" t="s">
        <v>735</v>
      </c>
      <c r="E1434" s="436">
        <v>1</v>
      </c>
      <c r="F1434" s="465">
        <v>3.1</v>
      </c>
      <c r="G1434" s="466">
        <v>3.1</v>
      </c>
      <c r="H1434" s="466">
        <f>G1434/1.1</f>
        <v>2.8181818181818179</v>
      </c>
      <c r="I1434" s="436"/>
      <c r="J1434" s="465">
        <v>0</v>
      </c>
      <c r="K1434" s="467">
        <v>0</v>
      </c>
    </row>
    <row r="1435" spans="2:11" ht="19" customHeight="1">
      <c r="B1435" s="464">
        <v>46052</v>
      </c>
      <c r="C1435" s="436" t="s">
        <v>253</v>
      </c>
      <c r="D1435" s="436" t="s">
        <v>869</v>
      </c>
      <c r="E1435" s="436">
        <v>1</v>
      </c>
      <c r="F1435" s="465">
        <v>2.5</v>
      </c>
      <c r="G1435" s="466">
        <v>2.5</v>
      </c>
      <c r="H1435" s="466">
        <f>G1435/1.1</f>
        <v>2.2727272727272725</v>
      </c>
      <c r="I1435" s="436"/>
      <c r="J1435" s="465">
        <v>0</v>
      </c>
      <c r="K1435" s="467">
        <v>0</v>
      </c>
    </row>
    <row r="1436" spans="2:11" ht="19" customHeight="1">
      <c r="B1436" s="464">
        <v>46052</v>
      </c>
      <c r="C1436" s="436" t="s">
        <v>247</v>
      </c>
      <c r="D1436" s="436" t="s">
        <v>248</v>
      </c>
      <c r="E1436" s="436">
        <v>1</v>
      </c>
      <c r="F1436" s="465">
        <v>1.5</v>
      </c>
      <c r="G1436" s="466">
        <v>1.5</v>
      </c>
      <c r="H1436" s="466">
        <f>G1436/1.1</f>
        <v>1.3636363636363635</v>
      </c>
      <c r="I1436" s="436"/>
      <c r="J1436" s="465">
        <v>0</v>
      </c>
      <c r="K1436" s="467">
        <v>0</v>
      </c>
    </row>
    <row r="1437" spans="2:11" ht="19" customHeight="1">
      <c r="B1437" s="464">
        <v>46052</v>
      </c>
      <c r="C1437" s="436" t="s">
        <v>247</v>
      </c>
      <c r="D1437" s="436" t="s">
        <v>246</v>
      </c>
      <c r="E1437" s="436">
        <v>1</v>
      </c>
      <c r="F1437" s="465">
        <v>1.7</v>
      </c>
      <c r="G1437" s="466">
        <v>1.7</v>
      </c>
      <c r="H1437" s="466">
        <f>G1437/1.1</f>
        <v>1.5454545454545452</v>
      </c>
      <c r="I1437" s="436"/>
      <c r="J1437" s="465">
        <v>0</v>
      </c>
      <c r="K1437" s="467">
        <v>0</v>
      </c>
    </row>
    <row r="1438" spans="2:11" ht="19" customHeight="1">
      <c r="B1438" s="464">
        <v>46052</v>
      </c>
      <c r="C1438" s="436" t="s">
        <v>247</v>
      </c>
      <c r="D1438" s="436" t="s">
        <v>246</v>
      </c>
      <c r="E1438" s="436">
        <v>1</v>
      </c>
      <c r="F1438" s="465">
        <v>1.7</v>
      </c>
      <c r="G1438" s="466">
        <v>1.7</v>
      </c>
      <c r="H1438" s="466">
        <f>G1438/1.1</f>
        <v>1.5454545454545452</v>
      </c>
      <c r="I1438" s="436"/>
      <c r="J1438" s="465">
        <v>0</v>
      </c>
      <c r="K1438" s="467">
        <v>0</v>
      </c>
    </row>
    <row r="1439" spans="2:11" ht="19" customHeight="1">
      <c r="B1439" s="464">
        <v>46052</v>
      </c>
      <c r="C1439" s="436" t="s">
        <v>268</v>
      </c>
      <c r="D1439" s="436" t="s">
        <v>859</v>
      </c>
      <c r="E1439" s="436">
        <v>1</v>
      </c>
      <c r="F1439" s="465">
        <v>0.75</v>
      </c>
      <c r="G1439" s="466">
        <v>0.75</v>
      </c>
      <c r="H1439" s="466">
        <f>G1439/1.1</f>
        <v>0.68181818181818177</v>
      </c>
      <c r="I1439" s="436"/>
      <c r="J1439" s="465">
        <v>0</v>
      </c>
      <c r="K1439" s="467">
        <v>0</v>
      </c>
    </row>
    <row r="1440" spans="2:11" ht="19" customHeight="1">
      <c r="B1440" s="464">
        <v>46052</v>
      </c>
      <c r="C1440" s="436" t="s">
        <v>247</v>
      </c>
      <c r="D1440" s="436" t="s">
        <v>257</v>
      </c>
      <c r="E1440" s="436">
        <v>1</v>
      </c>
      <c r="F1440" s="465">
        <v>1.4</v>
      </c>
      <c r="G1440" s="466">
        <v>1.4</v>
      </c>
      <c r="H1440" s="466">
        <f>G1440/1.1</f>
        <v>1.2727272727272725</v>
      </c>
      <c r="I1440" s="436"/>
      <c r="J1440" s="465">
        <v>0</v>
      </c>
      <c r="K1440" s="467">
        <v>0</v>
      </c>
    </row>
    <row r="1441" spans="2:11" ht="19" customHeight="1">
      <c r="B1441" s="464">
        <v>46052</v>
      </c>
      <c r="C1441" s="436" t="s">
        <v>268</v>
      </c>
      <c r="D1441" s="436" t="s">
        <v>860</v>
      </c>
      <c r="E1441" s="436">
        <v>1</v>
      </c>
      <c r="F1441" s="467">
        <v>2.25</v>
      </c>
      <c r="G1441" s="466">
        <v>2.25</v>
      </c>
      <c r="H1441" s="466">
        <f>G1441/1.1</f>
        <v>2.0454545454545454</v>
      </c>
      <c r="I1441" s="436"/>
      <c r="J1441" s="465">
        <v>0</v>
      </c>
      <c r="K1441" s="467">
        <v>0</v>
      </c>
    </row>
    <row r="1442" spans="2:11" ht="19" customHeight="1">
      <c r="B1442" s="464">
        <v>46052</v>
      </c>
      <c r="C1442" s="436" t="s">
        <v>268</v>
      </c>
      <c r="D1442" s="436" t="s">
        <v>267</v>
      </c>
      <c r="E1442" s="436">
        <v>1</v>
      </c>
      <c r="F1442" s="465">
        <v>1.5</v>
      </c>
      <c r="G1442" s="466">
        <v>1.5</v>
      </c>
      <c r="H1442" s="466">
        <f>G1442/1.1</f>
        <v>1.3636363636363635</v>
      </c>
      <c r="I1442" s="436"/>
      <c r="J1442" s="465">
        <v>0</v>
      </c>
      <c r="K1442" s="467">
        <v>0</v>
      </c>
    </row>
    <row r="1443" spans="2:11" ht="19" customHeight="1">
      <c r="B1443" s="464">
        <v>46052</v>
      </c>
      <c r="C1443" s="436" t="s">
        <v>247</v>
      </c>
      <c r="D1443" s="436" t="s">
        <v>257</v>
      </c>
      <c r="E1443" s="436">
        <v>2</v>
      </c>
      <c r="F1443" s="465">
        <v>1.4</v>
      </c>
      <c r="G1443" s="466">
        <v>2.8</v>
      </c>
      <c r="H1443" s="466">
        <f>G1443/1.1</f>
        <v>2.545454545454545</v>
      </c>
      <c r="I1443" s="436"/>
      <c r="J1443" s="465">
        <v>0</v>
      </c>
      <c r="K1443" s="467">
        <v>0</v>
      </c>
    </row>
    <row r="1444" spans="2:11" ht="19" customHeight="1">
      <c r="B1444" s="464">
        <v>46052</v>
      </c>
      <c r="C1444" s="436" t="s">
        <v>247</v>
      </c>
      <c r="D1444" s="436" t="s">
        <v>246</v>
      </c>
      <c r="E1444" s="436">
        <v>1</v>
      </c>
      <c r="F1444" s="465">
        <v>1.7</v>
      </c>
      <c r="G1444" s="466">
        <v>1.7</v>
      </c>
      <c r="H1444" s="466">
        <f>G1444/1.1</f>
        <v>1.5454545454545452</v>
      </c>
      <c r="I1444" s="436"/>
      <c r="J1444" s="465">
        <v>0</v>
      </c>
      <c r="K1444" s="467">
        <v>0</v>
      </c>
    </row>
    <row r="1445" spans="2:11" ht="19" customHeight="1">
      <c r="B1445" s="464">
        <v>46052</v>
      </c>
      <c r="C1445" s="436" t="s">
        <v>247</v>
      </c>
      <c r="D1445" s="436" t="s">
        <v>257</v>
      </c>
      <c r="E1445" s="436">
        <v>1</v>
      </c>
      <c r="F1445" s="465">
        <v>1.4</v>
      </c>
      <c r="G1445" s="466">
        <v>1.4</v>
      </c>
      <c r="H1445" s="466">
        <f>G1445/1.1</f>
        <v>1.2727272727272725</v>
      </c>
      <c r="I1445" s="436"/>
      <c r="J1445" s="465">
        <v>0</v>
      </c>
      <c r="K1445" s="467">
        <v>0</v>
      </c>
    </row>
    <row r="1446" spans="2:11" ht="19" customHeight="1">
      <c r="B1446" s="464">
        <v>46052</v>
      </c>
      <c r="C1446" s="436" t="s">
        <v>725</v>
      </c>
      <c r="D1446" s="436" t="s">
        <v>1062</v>
      </c>
      <c r="E1446" s="436">
        <v>1</v>
      </c>
      <c r="F1446" s="465">
        <v>3.5</v>
      </c>
      <c r="G1446" s="466">
        <v>3.5</v>
      </c>
      <c r="H1446" s="466">
        <f>G1446/1.1</f>
        <v>3.1818181818181817</v>
      </c>
      <c r="I1446" s="436"/>
      <c r="J1446" s="465">
        <v>0</v>
      </c>
      <c r="K1446" s="467">
        <v>0</v>
      </c>
    </row>
    <row r="1447" spans="2:11" ht="19" customHeight="1">
      <c r="B1447" s="464">
        <v>46052</v>
      </c>
      <c r="C1447" s="436" t="s">
        <v>268</v>
      </c>
      <c r="D1447" s="436" t="s">
        <v>906</v>
      </c>
      <c r="E1447" s="436">
        <v>1</v>
      </c>
      <c r="F1447" s="465">
        <v>1.5</v>
      </c>
      <c r="G1447" s="466">
        <v>1.5</v>
      </c>
      <c r="H1447" s="466">
        <f>G1447/1.1</f>
        <v>1.3636363636363635</v>
      </c>
      <c r="I1447" s="436"/>
      <c r="J1447" s="465">
        <v>0</v>
      </c>
      <c r="K1447" s="467">
        <v>0</v>
      </c>
    </row>
    <row r="1448" spans="2:11" ht="19" customHeight="1">
      <c r="B1448" s="464">
        <v>46052</v>
      </c>
      <c r="C1448" s="436" t="s">
        <v>247</v>
      </c>
      <c r="D1448" s="436" t="s">
        <v>257</v>
      </c>
      <c r="E1448" s="436">
        <v>1</v>
      </c>
      <c r="F1448" s="465">
        <v>1.4</v>
      </c>
      <c r="G1448" s="466">
        <v>1.4</v>
      </c>
      <c r="H1448" s="466">
        <f>G1448/1.1</f>
        <v>1.2727272727272725</v>
      </c>
      <c r="I1448" s="436"/>
      <c r="J1448" s="465">
        <v>0</v>
      </c>
      <c r="K1448" s="467">
        <v>0</v>
      </c>
    </row>
    <row r="1449" spans="2:11" ht="19" customHeight="1">
      <c r="B1449" s="464">
        <v>46052</v>
      </c>
      <c r="C1449" s="436" t="s">
        <v>247</v>
      </c>
      <c r="D1449" s="436" t="s">
        <v>902</v>
      </c>
      <c r="E1449" s="436">
        <v>1</v>
      </c>
      <c r="F1449" s="465">
        <v>1.95</v>
      </c>
      <c r="G1449" s="466">
        <v>1.95</v>
      </c>
      <c r="H1449" s="466">
        <f>G1449/1.1</f>
        <v>1.7727272727272725</v>
      </c>
      <c r="I1449" s="436"/>
      <c r="J1449" s="465">
        <v>0</v>
      </c>
      <c r="K1449" s="467">
        <v>0</v>
      </c>
    </row>
    <row r="1450" spans="2:11" ht="19" customHeight="1">
      <c r="B1450" s="464">
        <v>46052</v>
      </c>
      <c r="C1450" s="436" t="s">
        <v>268</v>
      </c>
      <c r="D1450" s="436" t="s">
        <v>860</v>
      </c>
      <c r="E1450" s="436">
        <v>1</v>
      </c>
      <c r="F1450" s="465">
        <v>2.25</v>
      </c>
      <c r="G1450" s="466">
        <v>2.25</v>
      </c>
      <c r="H1450" s="466">
        <f>G1450/1.1</f>
        <v>2.0454545454545454</v>
      </c>
      <c r="I1450" s="436"/>
      <c r="J1450" s="465">
        <v>0</v>
      </c>
      <c r="K1450" s="467">
        <v>0</v>
      </c>
    </row>
    <row r="1451" spans="2:11" ht="19" customHeight="1">
      <c r="B1451" s="464">
        <v>46052</v>
      </c>
      <c r="C1451" s="436" t="s">
        <v>328</v>
      </c>
      <c r="D1451" s="436" t="s">
        <v>761</v>
      </c>
      <c r="E1451" s="436">
        <v>1</v>
      </c>
      <c r="F1451" s="467">
        <v>3.1</v>
      </c>
      <c r="G1451" s="466">
        <v>3.1</v>
      </c>
      <c r="H1451" s="466">
        <f>G1451/1.1</f>
        <v>2.8181818181818179</v>
      </c>
      <c r="I1451" s="436"/>
      <c r="J1451" s="465">
        <v>0</v>
      </c>
      <c r="K1451" s="467">
        <v>0</v>
      </c>
    </row>
    <row r="1452" spans="2:11" ht="19" customHeight="1">
      <c r="B1452" s="464">
        <v>46052</v>
      </c>
      <c r="C1452" s="436" t="s">
        <v>247</v>
      </c>
      <c r="D1452" s="436" t="s">
        <v>246</v>
      </c>
      <c r="E1452" s="436">
        <v>2</v>
      </c>
      <c r="F1452" s="465">
        <v>1.7</v>
      </c>
      <c r="G1452" s="466">
        <v>3.4</v>
      </c>
      <c r="H1452" s="466">
        <f>G1452/1.1</f>
        <v>3.0909090909090904</v>
      </c>
      <c r="I1452" s="436"/>
      <c r="J1452" s="465">
        <v>0</v>
      </c>
      <c r="K1452" s="467">
        <v>0</v>
      </c>
    </row>
    <row r="1453" spans="2:11" ht="19" customHeight="1">
      <c r="B1453" s="464">
        <v>46052</v>
      </c>
      <c r="C1453" s="436" t="s">
        <v>247</v>
      </c>
      <c r="D1453" s="436" t="s">
        <v>246</v>
      </c>
      <c r="E1453" s="436">
        <v>1</v>
      </c>
      <c r="F1453" s="467">
        <v>1.7</v>
      </c>
      <c r="G1453" s="466">
        <v>1.7</v>
      </c>
      <c r="H1453" s="466">
        <f>G1453/1.1</f>
        <v>1.5454545454545452</v>
      </c>
      <c r="I1453" s="436"/>
      <c r="J1453" s="465">
        <v>0</v>
      </c>
      <c r="K1453" s="467">
        <v>0</v>
      </c>
    </row>
    <row r="1454" spans="2:11" ht="19" customHeight="1">
      <c r="B1454" s="464">
        <v>46052</v>
      </c>
      <c r="C1454" s="436" t="s">
        <v>268</v>
      </c>
      <c r="D1454" s="436" t="s">
        <v>267</v>
      </c>
      <c r="E1454" s="436">
        <v>1</v>
      </c>
      <c r="F1454" s="465">
        <v>1.5</v>
      </c>
      <c r="G1454" s="466">
        <v>1.5</v>
      </c>
      <c r="H1454" s="466">
        <f>G1454/1.1</f>
        <v>1.3636363636363635</v>
      </c>
      <c r="I1454" s="436"/>
      <c r="J1454" s="465">
        <v>0</v>
      </c>
      <c r="K1454" s="467">
        <v>0</v>
      </c>
    </row>
    <row r="1455" spans="2:11" ht="19" customHeight="1">
      <c r="B1455" s="464">
        <v>46052</v>
      </c>
      <c r="C1455" s="436" t="s">
        <v>268</v>
      </c>
      <c r="D1455" s="436" t="s">
        <v>860</v>
      </c>
      <c r="E1455" s="436">
        <v>1</v>
      </c>
      <c r="F1455" s="465">
        <v>2.25</v>
      </c>
      <c r="G1455" s="466">
        <v>2.25</v>
      </c>
      <c r="H1455" s="466">
        <f>G1455/1.1</f>
        <v>2.0454545454545454</v>
      </c>
      <c r="I1455" s="436"/>
      <c r="J1455" s="465">
        <v>0</v>
      </c>
      <c r="K1455" s="467">
        <v>0</v>
      </c>
    </row>
    <row r="1456" spans="2:11" ht="19" customHeight="1">
      <c r="B1456" s="464">
        <v>46052</v>
      </c>
      <c r="C1456" s="436" t="s">
        <v>247</v>
      </c>
      <c r="D1456" s="436" t="s">
        <v>246</v>
      </c>
      <c r="E1456" s="436">
        <v>1</v>
      </c>
      <c r="F1456" s="465">
        <v>1.7</v>
      </c>
      <c r="G1456" s="466">
        <v>1.7</v>
      </c>
      <c r="H1456" s="466">
        <f>G1456/1.1</f>
        <v>1.5454545454545452</v>
      </c>
      <c r="I1456" s="436"/>
      <c r="J1456" s="465">
        <v>0</v>
      </c>
      <c r="K1456" s="467">
        <v>0</v>
      </c>
    </row>
    <row r="1457" spans="2:11" ht="19" customHeight="1">
      <c r="B1457" s="464">
        <v>46052</v>
      </c>
      <c r="C1457" s="436" t="s">
        <v>862</v>
      </c>
      <c r="D1457" s="436" t="s">
        <v>907</v>
      </c>
      <c r="E1457" s="436">
        <v>1</v>
      </c>
      <c r="F1457" s="465">
        <v>0.15</v>
      </c>
      <c r="G1457" s="466">
        <v>0.15</v>
      </c>
      <c r="H1457" s="466">
        <f>G1457/1.1</f>
        <v>0.13636363636363635</v>
      </c>
      <c r="I1457" s="436"/>
      <c r="J1457" s="465">
        <v>0</v>
      </c>
      <c r="K1457" s="467">
        <v>0</v>
      </c>
    </row>
    <row r="1458" spans="2:11" ht="19" customHeight="1">
      <c r="B1458" s="464">
        <v>46052</v>
      </c>
      <c r="C1458" s="436" t="s">
        <v>268</v>
      </c>
      <c r="D1458" s="436" t="s">
        <v>858</v>
      </c>
      <c r="E1458" s="436">
        <v>1</v>
      </c>
      <c r="F1458" s="465">
        <v>0.65</v>
      </c>
      <c r="G1458" s="466">
        <v>0.65</v>
      </c>
      <c r="H1458" s="466">
        <f>G1458/1.1</f>
        <v>0.59090909090909083</v>
      </c>
      <c r="I1458" s="436"/>
      <c r="J1458" s="465">
        <v>0</v>
      </c>
      <c r="K1458" s="467">
        <v>0</v>
      </c>
    </row>
    <row r="1459" spans="2:11" ht="19" customHeight="1">
      <c r="B1459" s="464">
        <v>46052</v>
      </c>
      <c r="C1459" s="436" t="s">
        <v>247</v>
      </c>
      <c r="D1459" s="436" t="s">
        <v>248</v>
      </c>
      <c r="E1459" s="436">
        <v>1</v>
      </c>
      <c r="F1459" s="465">
        <v>1.5</v>
      </c>
      <c r="G1459" s="466">
        <v>1.5</v>
      </c>
      <c r="H1459" s="466">
        <f>G1459/1.1</f>
        <v>1.3636363636363635</v>
      </c>
      <c r="I1459" s="436"/>
      <c r="J1459" s="465">
        <v>0</v>
      </c>
      <c r="K1459" s="467">
        <v>0</v>
      </c>
    </row>
    <row r="1460" spans="2:11" ht="19" customHeight="1">
      <c r="B1460" s="464">
        <v>46052</v>
      </c>
      <c r="C1460" s="436" t="s">
        <v>247</v>
      </c>
      <c r="D1460" s="436" t="s">
        <v>246</v>
      </c>
      <c r="E1460" s="436">
        <v>2</v>
      </c>
      <c r="F1460" s="465">
        <v>1.7</v>
      </c>
      <c r="G1460" s="466">
        <v>3.4</v>
      </c>
      <c r="H1460" s="466">
        <f>G1460/1.1</f>
        <v>3.0909090909090904</v>
      </c>
      <c r="I1460" s="436"/>
      <c r="J1460" s="465">
        <v>0</v>
      </c>
      <c r="K1460" s="467">
        <v>0</v>
      </c>
    </row>
    <row r="1461" spans="2:11" ht="19" customHeight="1">
      <c r="B1461" s="464">
        <v>46052</v>
      </c>
      <c r="C1461" s="436" t="s">
        <v>268</v>
      </c>
      <c r="D1461" s="436" t="s">
        <v>860</v>
      </c>
      <c r="E1461" s="436">
        <v>1</v>
      </c>
      <c r="F1461" s="465">
        <v>2.25</v>
      </c>
      <c r="G1461" s="466">
        <v>2.25</v>
      </c>
      <c r="H1461" s="466">
        <f>G1461/1.1</f>
        <v>2.0454545454545454</v>
      </c>
      <c r="I1461" s="436"/>
      <c r="J1461" s="465">
        <v>0</v>
      </c>
      <c r="K1461" s="467">
        <v>0</v>
      </c>
    </row>
    <row r="1462" spans="2:11" ht="19" customHeight="1">
      <c r="B1462" s="464">
        <v>46052</v>
      </c>
      <c r="C1462" s="436" t="s">
        <v>247</v>
      </c>
      <c r="D1462" s="436" t="s">
        <v>248</v>
      </c>
      <c r="E1462" s="436">
        <v>1</v>
      </c>
      <c r="F1462" s="465">
        <v>1.5</v>
      </c>
      <c r="G1462" s="466">
        <v>1.5</v>
      </c>
      <c r="H1462" s="466">
        <f>G1462/1.1</f>
        <v>1.3636363636363635</v>
      </c>
      <c r="I1462" s="436"/>
      <c r="J1462" s="465">
        <v>0</v>
      </c>
      <c r="K1462" s="467">
        <v>0</v>
      </c>
    </row>
    <row r="1463" spans="2:11" ht="19" customHeight="1">
      <c r="B1463" s="464">
        <v>46052</v>
      </c>
      <c r="C1463" s="436" t="s">
        <v>247</v>
      </c>
      <c r="D1463" s="436" t="s">
        <v>246</v>
      </c>
      <c r="E1463" s="436">
        <v>1</v>
      </c>
      <c r="F1463" s="465">
        <v>1.7</v>
      </c>
      <c r="G1463" s="466">
        <v>1.7</v>
      </c>
      <c r="H1463" s="466">
        <f>G1463/1.1</f>
        <v>1.5454545454545452</v>
      </c>
      <c r="I1463" s="436"/>
      <c r="J1463" s="465">
        <v>0</v>
      </c>
      <c r="K1463" s="467">
        <v>0</v>
      </c>
    </row>
    <row r="1464" spans="2:11" ht="19" customHeight="1">
      <c r="B1464" s="464">
        <v>46052</v>
      </c>
      <c r="C1464" s="436" t="s">
        <v>862</v>
      </c>
      <c r="D1464" s="436" t="s">
        <v>907</v>
      </c>
      <c r="E1464" s="436">
        <v>1</v>
      </c>
      <c r="F1464" s="465">
        <v>0.15</v>
      </c>
      <c r="G1464" s="466">
        <v>0.15</v>
      </c>
      <c r="H1464" s="466">
        <f>G1464/1.1</f>
        <v>0.13636363636363635</v>
      </c>
      <c r="I1464" s="436"/>
      <c r="J1464" s="465">
        <v>0</v>
      </c>
      <c r="K1464" s="467">
        <v>0</v>
      </c>
    </row>
    <row r="1465" spans="2:11" ht="19" customHeight="1">
      <c r="B1465" s="464">
        <v>46052</v>
      </c>
      <c r="C1465" s="436" t="s">
        <v>251</v>
      </c>
      <c r="D1465" s="436" t="s">
        <v>926</v>
      </c>
      <c r="E1465" s="436">
        <v>1</v>
      </c>
      <c r="F1465" s="465">
        <v>2.8</v>
      </c>
      <c r="G1465" s="466">
        <v>2.8</v>
      </c>
      <c r="H1465" s="466">
        <f>G1465/1.1</f>
        <v>2.545454545454545</v>
      </c>
      <c r="I1465" s="436"/>
      <c r="J1465" s="465">
        <v>0</v>
      </c>
      <c r="K1465" s="467">
        <v>0</v>
      </c>
    </row>
    <row r="1466" spans="2:11" ht="19" customHeight="1">
      <c r="B1466" s="464">
        <v>46052</v>
      </c>
      <c r="C1466" s="436" t="s">
        <v>253</v>
      </c>
      <c r="D1466" s="436" t="s">
        <v>869</v>
      </c>
      <c r="E1466" s="436">
        <v>1</v>
      </c>
      <c r="F1466" s="465">
        <v>2.65</v>
      </c>
      <c r="G1466" s="466">
        <v>2.65</v>
      </c>
      <c r="H1466" s="466">
        <f>G1466/1.1</f>
        <v>2.4090909090909087</v>
      </c>
      <c r="I1466" s="436"/>
      <c r="J1466" s="465">
        <v>0</v>
      </c>
      <c r="K1466" s="467">
        <v>0</v>
      </c>
    </row>
    <row r="1467" spans="2:11" ht="19" customHeight="1">
      <c r="B1467" s="464">
        <v>46052</v>
      </c>
      <c r="C1467" s="436" t="s">
        <v>247</v>
      </c>
      <c r="D1467" s="436" t="s">
        <v>248</v>
      </c>
      <c r="E1467" s="436">
        <v>1</v>
      </c>
      <c r="F1467" s="465">
        <v>1.5</v>
      </c>
      <c r="G1467" s="466">
        <v>1.5</v>
      </c>
      <c r="H1467" s="466">
        <f>G1467/1.1</f>
        <v>1.3636363636363635</v>
      </c>
      <c r="I1467" s="436"/>
      <c r="J1467" s="465">
        <v>0</v>
      </c>
      <c r="K1467" s="467">
        <v>0</v>
      </c>
    </row>
    <row r="1468" spans="2:11" ht="19" customHeight="1">
      <c r="B1468" s="464">
        <v>46052</v>
      </c>
      <c r="C1468" s="436" t="s">
        <v>251</v>
      </c>
      <c r="D1468" s="436" t="s">
        <v>250</v>
      </c>
      <c r="E1468" s="436">
        <v>2</v>
      </c>
      <c r="F1468" s="465">
        <v>1.8</v>
      </c>
      <c r="G1468" s="466">
        <v>3.6</v>
      </c>
      <c r="H1468" s="466">
        <f>G1468/1.1</f>
        <v>3.2727272727272725</v>
      </c>
      <c r="I1468" s="436"/>
      <c r="J1468" s="465">
        <v>0</v>
      </c>
      <c r="K1468" s="467">
        <v>0</v>
      </c>
    </row>
    <row r="1469" spans="2:11" ht="19" customHeight="1">
      <c r="B1469" s="464">
        <v>46052</v>
      </c>
      <c r="C1469" s="436" t="s">
        <v>326</v>
      </c>
      <c r="D1469" s="436" t="s">
        <v>1063</v>
      </c>
      <c r="E1469" s="436">
        <v>1</v>
      </c>
      <c r="F1469" s="465">
        <v>15</v>
      </c>
      <c r="G1469" s="466">
        <v>15</v>
      </c>
      <c r="H1469" s="466">
        <f>G1469/1.1</f>
        <v>13.636363636363635</v>
      </c>
      <c r="I1469" s="436"/>
      <c r="J1469" s="465">
        <v>0</v>
      </c>
      <c r="K1469" s="467">
        <v>0</v>
      </c>
    </row>
    <row r="1470" spans="2:11" ht="19" customHeight="1">
      <c r="B1470" s="464">
        <v>46052</v>
      </c>
      <c r="C1470" s="436" t="s">
        <v>256</v>
      </c>
      <c r="D1470" s="436" t="s">
        <v>1064</v>
      </c>
      <c r="E1470" s="436">
        <v>1</v>
      </c>
      <c r="F1470" s="465">
        <v>9.9</v>
      </c>
      <c r="G1470" s="466">
        <v>9.9</v>
      </c>
      <c r="H1470" s="466">
        <f>G1470/1.1</f>
        <v>9</v>
      </c>
      <c r="I1470" s="436"/>
      <c r="J1470" s="465">
        <v>0</v>
      </c>
      <c r="K1470" s="467">
        <v>0</v>
      </c>
    </row>
    <row r="1471" spans="2:11" ht="19" customHeight="1">
      <c r="B1471" s="464">
        <v>46052</v>
      </c>
      <c r="C1471" s="436" t="s">
        <v>256</v>
      </c>
      <c r="D1471" s="436" t="s">
        <v>262</v>
      </c>
      <c r="E1471" s="436">
        <v>1</v>
      </c>
      <c r="F1471" s="465">
        <v>11.9</v>
      </c>
      <c r="G1471" s="466">
        <v>11.9</v>
      </c>
      <c r="H1471" s="466">
        <f>G1471/1.1</f>
        <v>10.818181818181818</v>
      </c>
      <c r="I1471" s="436"/>
      <c r="J1471" s="465">
        <v>0</v>
      </c>
      <c r="K1471" s="467">
        <v>0</v>
      </c>
    </row>
    <row r="1472" spans="2:11" ht="19" customHeight="1">
      <c r="B1472" s="464">
        <v>46052</v>
      </c>
      <c r="C1472" s="436" t="s">
        <v>256</v>
      </c>
      <c r="D1472" s="436" t="s">
        <v>912</v>
      </c>
      <c r="E1472" s="436">
        <v>1</v>
      </c>
      <c r="F1472" s="465">
        <v>5.5</v>
      </c>
      <c r="G1472" s="466">
        <v>5.5</v>
      </c>
      <c r="H1472" s="466">
        <f>G1472/1.1</f>
        <v>5</v>
      </c>
      <c r="I1472" s="436"/>
      <c r="J1472" s="465">
        <v>0</v>
      </c>
      <c r="K1472" s="467">
        <v>0</v>
      </c>
    </row>
    <row r="1473" spans="2:11" ht="19" customHeight="1">
      <c r="B1473" s="464">
        <v>46052</v>
      </c>
      <c r="C1473" s="436" t="s">
        <v>247</v>
      </c>
      <c r="D1473" s="436" t="s">
        <v>257</v>
      </c>
      <c r="E1473" s="436">
        <v>1</v>
      </c>
      <c r="F1473" s="466">
        <v>1.55</v>
      </c>
      <c r="G1473" s="466">
        <v>1.55</v>
      </c>
      <c r="H1473" s="466">
        <f>G1473/1.1</f>
        <v>1.4090909090909089</v>
      </c>
      <c r="I1473" s="436"/>
      <c r="J1473" s="465">
        <v>0</v>
      </c>
      <c r="K1473" s="467">
        <v>0</v>
      </c>
    </row>
    <row r="1474" spans="2:11" ht="19" customHeight="1">
      <c r="B1474" s="464">
        <v>46052</v>
      </c>
      <c r="C1474" s="436" t="s">
        <v>247</v>
      </c>
      <c r="D1474" s="436" t="s">
        <v>248</v>
      </c>
      <c r="E1474" s="436">
        <v>2</v>
      </c>
      <c r="F1474" s="465">
        <v>1.65</v>
      </c>
      <c r="G1474" s="466">
        <v>3.3</v>
      </c>
      <c r="H1474" s="466">
        <f>G1474/1.1</f>
        <v>2.9999999999999996</v>
      </c>
      <c r="I1474" s="436"/>
      <c r="J1474" s="465">
        <v>0</v>
      </c>
      <c r="K1474" s="467">
        <v>0</v>
      </c>
    </row>
    <row r="1475" spans="2:11" ht="19" customHeight="1">
      <c r="B1475" s="464">
        <v>46052</v>
      </c>
      <c r="C1475" s="436" t="s">
        <v>253</v>
      </c>
      <c r="D1475" s="436" t="s">
        <v>869</v>
      </c>
      <c r="E1475" s="436">
        <v>1</v>
      </c>
      <c r="F1475" s="465">
        <v>2.5</v>
      </c>
      <c r="G1475" s="466">
        <v>2.5</v>
      </c>
      <c r="H1475" s="466">
        <f>G1475/1.1</f>
        <v>2.2727272727272725</v>
      </c>
      <c r="I1475" s="436"/>
      <c r="J1475" s="465">
        <v>0</v>
      </c>
      <c r="K1475" s="467">
        <v>0</v>
      </c>
    </row>
    <row r="1476" spans="2:11" ht="19" customHeight="1">
      <c r="B1476" s="464">
        <v>46052</v>
      </c>
      <c r="C1476" s="436" t="s">
        <v>247</v>
      </c>
      <c r="D1476" s="436" t="s">
        <v>248</v>
      </c>
      <c r="E1476" s="436">
        <v>1</v>
      </c>
      <c r="F1476" s="465">
        <v>1.8</v>
      </c>
      <c r="G1476" s="466">
        <v>1.8</v>
      </c>
      <c r="H1476" s="466">
        <f>G1476/1.1</f>
        <v>1.6363636363636362</v>
      </c>
      <c r="I1476" s="436"/>
      <c r="J1476" s="465">
        <v>0</v>
      </c>
      <c r="K1476" s="467">
        <v>0</v>
      </c>
    </row>
    <row r="1477" spans="2:11" ht="19" customHeight="1">
      <c r="B1477" s="464">
        <v>46052</v>
      </c>
      <c r="C1477" s="436" t="s">
        <v>253</v>
      </c>
      <c r="D1477" s="436" t="s">
        <v>901</v>
      </c>
      <c r="E1477" s="436">
        <v>1</v>
      </c>
      <c r="F1477" s="465">
        <v>2.2999999999999998</v>
      </c>
      <c r="G1477" s="466">
        <v>2.2999999999999998</v>
      </c>
      <c r="H1477" s="466">
        <f>G1477/1.1</f>
        <v>2.0909090909090904</v>
      </c>
      <c r="I1477" s="436"/>
      <c r="J1477" s="465">
        <v>0</v>
      </c>
      <c r="K1477" s="467">
        <v>0</v>
      </c>
    </row>
    <row r="1478" spans="2:11" ht="19" customHeight="1">
      <c r="B1478" s="464">
        <v>46052</v>
      </c>
      <c r="C1478" s="436" t="s">
        <v>321</v>
      </c>
      <c r="D1478" s="436" t="s">
        <v>694</v>
      </c>
      <c r="E1478" s="436">
        <v>1</v>
      </c>
      <c r="F1478" s="465">
        <v>4</v>
      </c>
      <c r="G1478" s="466">
        <v>4</v>
      </c>
      <c r="H1478" s="466">
        <f>G1478/1.1</f>
        <v>3.6363636363636362</v>
      </c>
      <c r="I1478" s="436"/>
      <c r="J1478" s="465">
        <v>0</v>
      </c>
      <c r="K1478" s="467">
        <v>0</v>
      </c>
    </row>
    <row r="1479" spans="2:11" ht="19" customHeight="1">
      <c r="B1479" s="464">
        <v>46052</v>
      </c>
      <c r="C1479" s="436" t="s">
        <v>253</v>
      </c>
      <c r="D1479" s="436" t="s">
        <v>901</v>
      </c>
      <c r="E1479" s="436">
        <v>1</v>
      </c>
      <c r="F1479" s="465">
        <v>2.15</v>
      </c>
      <c r="G1479" s="466">
        <v>2.15</v>
      </c>
      <c r="H1479" s="466">
        <f>G1479/1.1</f>
        <v>1.9545454545454544</v>
      </c>
      <c r="I1479" s="436"/>
      <c r="J1479" s="465">
        <v>0</v>
      </c>
      <c r="K1479" s="467">
        <v>0</v>
      </c>
    </row>
    <row r="1480" spans="2:11" ht="19" customHeight="1">
      <c r="B1480" s="464">
        <v>46052</v>
      </c>
      <c r="C1480" s="436" t="s">
        <v>321</v>
      </c>
      <c r="D1480" s="436" t="s">
        <v>694</v>
      </c>
      <c r="E1480" s="436">
        <v>1</v>
      </c>
      <c r="F1480" s="465">
        <v>4</v>
      </c>
      <c r="G1480" s="466">
        <v>4</v>
      </c>
      <c r="H1480" s="466">
        <f>G1480/1.1</f>
        <v>3.6363636363636362</v>
      </c>
      <c r="I1480" s="436"/>
      <c r="J1480" s="465">
        <v>0</v>
      </c>
      <c r="K1480" s="467">
        <v>0</v>
      </c>
    </row>
    <row r="1481" spans="2:11" ht="19" customHeight="1">
      <c r="B1481" s="464">
        <v>46052</v>
      </c>
      <c r="C1481" s="436" t="s">
        <v>253</v>
      </c>
      <c r="D1481" s="436" t="s">
        <v>869</v>
      </c>
      <c r="E1481" s="436">
        <v>1</v>
      </c>
      <c r="F1481" s="465">
        <v>2.5</v>
      </c>
      <c r="G1481" s="466">
        <v>2.5</v>
      </c>
      <c r="H1481" s="466">
        <f>G1481/1.1</f>
        <v>2.2727272727272725</v>
      </c>
      <c r="I1481" s="436"/>
      <c r="J1481" s="465">
        <v>0</v>
      </c>
      <c r="K1481" s="467">
        <v>0</v>
      </c>
    </row>
    <row r="1482" spans="2:11" ht="19" customHeight="1">
      <c r="B1482" s="464">
        <v>46052</v>
      </c>
      <c r="C1482" s="436" t="s">
        <v>321</v>
      </c>
      <c r="D1482" s="436" t="s">
        <v>694</v>
      </c>
      <c r="E1482" s="436">
        <v>1</v>
      </c>
      <c r="F1482" s="465">
        <v>4</v>
      </c>
      <c r="G1482" s="466">
        <v>4</v>
      </c>
      <c r="H1482" s="466">
        <f>G1482/1.1</f>
        <v>3.6363636363636362</v>
      </c>
      <c r="I1482" s="436"/>
      <c r="J1482" s="465">
        <v>0</v>
      </c>
      <c r="K1482" s="467">
        <v>0</v>
      </c>
    </row>
    <row r="1483" spans="2:11" ht="19" customHeight="1">
      <c r="B1483" s="464">
        <v>46052</v>
      </c>
      <c r="C1483" s="436" t="s">
        <v>253</v>
      </c>
      <c r="D1483" s="436" t="s">
        <v>869</v>
      </c>
      <c r="E1483" s="436">
        <v>1</v>
      </c>
      <c r="F1483" s="465">
        <v>2.5</v>
      </c>
      <c r="G1483" s="466">
        <v>2.5</v>
      </c>
      <c r="H1483" s="466">
        <f>G1483/1.1</f>
        <v>2.2727272727272725</v>
      </c>
      <c r="I1483" s="436"/>
      <c r="J1483" s="465">
        <v>0</v>
      </c>
      <c r="K1483" s="467">
        <v>0</v>
      </c>
    </row>
    <row r="1484" spans="2:11" ht="19" customHeight="1">
      <c r="B1484" s="464">
        <v>46052</v>
      </c>
      <c r="C1484" s="436" t="s">
        <v>247</v>
      </c>
      <c r="D1484" s="436" t="s">
        <v>248</v>
      </c>
      <c r="E1484" s="436">
        <v>1</v>
      </c>
      <c r="F1484" s="465">
        <v>1.65</v>
      </c>
      <c r="G1484" s="466">
        <v>1.65</v>
      </c>
      <c r="H1484" s="466">
        <f>G1484/1.1</f>
        <v>1.4999999999999998</v>
      </c>
      <c r="I1484" s="436"/>
      <c r="J1484" s="465">
        <v>0</v>
      </c>
      <c r="K1484" s="467">
        <v>0</v>
      </c>
    </row>
    <row r="1485" spans="2:11" ht="19" customHeight="1">
      <c r="B1485" s="464">
        <v>46052</v>
      </c>
      <c r="C1485" s="436" t="s">
        <v>862</v>
      </c>
      <c r="D1485" s="436" t="s">
        <v>899</v>
      </c>
      <c r="E1485" s="436">
        <v>1</v>
      </c>
      <c r="F1485" s="465">
        <v>0.05</v>
      </c>
      <c r="G1485" s="466">
        <v>0.05</v>
      </c>
      <c r="H1485" s="466">
        <f>G1485/1.1</f>
        <v>4.5454545454545456E-2</v>
      </c>
      <c r="I1485" s="436"/>
      <c r="J1485" s="465">
        <v>0</v>
      </c>
      <c r="K1485" s="467">
        <v>0</v>
      </c>
    </row>
    <row r="1486" spans="2:11" ht="19" customHeight="1">
      <c r="B1486" s="464">
        <v>46052</v>
      </c>
      <c r="C1486" s="436" t="s">
        <v>256</v>
      </c>
      <c r="D1486" s="436" t="s">
        <v>255</v>
      </c>
      <c r="E1486" s="436">
        <v>1</v>
      </c>
      <c r="F1486" s="465">
        <v>5.6</v>
      </c>
      <c r="G1486" s="466">
        <v>5.6</v>
      </c>
      <c r="H1486" s="466">
        <f>G1486/1.1</f>
        <v>5.0909090909090899</v>
      </c>
      <c r="I1486" s="436"/>
      <c r="J1486" s="465">
        <v>0</v>
      </c>
      <c r="K1486" s="467">
        <v>0</v>
      </c>
    </row>
    <row r="1487" spans="2:11" ht="19" customHeight="1">
      <c r="B1487" s="464">
        <v>46052</v>
      </c>
      <c r="C1487" s="436" t="s">
        <v>251</v>
      </c>
      <c r="D1487" s="436" t="s">
        <v>756</v>
      </c>
      <c r="E1487" s="436">
        <v>1</v>
      </c>
      <c r="F1487" s="465">
        <v>2.35</v>
      </c>
      <c r="G1487" s="466">
        <v>2.35</v>
      </c>
      <c r="H1487" s="466">
        <f>G1487/1.1</f>
        <v>2.1363636363636362</v>
      </c>
      <c r="I1487" s="436"/>
      <c r="J1487" s="465">
        <v>0</v>
      </c>
      <c r="K1487" s="467">
        <v>0</v>
      </c>
    </row>
    <row r="1488" spans="2:11" ht="19" customHeight="1">
      <c r="B1488" s="464">
        <v>46052</v>
      </c>
      <c r="C1488" s="436" t="s">
        <v>251</v>
      </c>
      <c r="D1488" s="436" t="s">
        <v>1065</v>
      </c>
      <c r="E1488" s="436">
        <v>1</v>
      </c>
      <c r="F1488" s="465">
        <v>2.75</v>
      </c>
      <c r="G1488" s="466">
        <v>2.75</v>
      </c>
      <c r="H1488" s="466">
        <f>G1488/1.1</f>
        <v>2.5</v>
      </c>
      <c r="I1488" s="436"/>
      <c r="J1488" s="465">
        <v>0</v>
      </c>
      <c r="K1488" s="467">
        <v>0</v>
      </c>
    </row>
    <row r="1489" spans="2:11" ht="19" customHeight="1">
      <c r="B1489" s="464">
        <v>46052</v>
      </c>
      <c r="C1489" s="436" t="s">
        <v>251</v>
      </c>
      <c r="D1489" s="436" t="s">
        <v>900</v>
      </c>
      <c r="E1489" s="436">
        <v>1</v>
      </c>
      <c r="F1489" s="465">
        <v>2.65</v>
      </c>
      <c r="G1489" s="466">
        <v>2.65</v>
      </c>
      <c r="H1489" s="466">
        <f>G1489/1.1</f>
        <v>2.4090909090909087</v>
      </c>
      <c r="I1489" s="436"/>
      <c r="J1489" s="465">
        <v>0</v>
      </c>
      <c r="K1489" s="467">
        <v>0</v>
      </c>
    </row>
    <row r="1490" spans="2:11" ht="19" customHeight="1">
      <c r="B1490" s="464">
        <v>46052</v>
      </c>
      <c r="C1490" s="436" t="s">
        <v>247</v>
      </c>
      <c r="D1490" s="436" t="s">
        <v>248</v>
      </c>
      <c r="E1490" s="436">
        <v>1</v>
      </c>
      <c r="F1490" s="465">
        <v>1.65</v>
      </c>
      <c r="G1490" s="466">
        <v>1.65</v>
      </c>
      <c r="H1490" s="466">
        <f>G1490/1.1</f>
        <v>1.4999999999999998</v>
      </c>
      <c r="I1490" s="436"/>
      <c r="J1490" s="465">
        <v>0</v>
      </c>
      <c r="K1490" s="467">
        <v>0</v>
      </c>
    </row>
    <row r="1491" spans="2:11" ht="19" customHeight="1">
      <c r="B1491" s="464">
        <v>46052</v>
      </c>
      <c r="C1491" s="436" t="s">
        <v>247</v>
      </c>
      <c r="D1491" s="436" t="s">
        <v>257</v>
      </c>
      <c r="E1491" s="436">
        <v>1</v>
      </c>
      <c r="F1491" s="465">
        <v>1.55</v>
      </c>
      <c r="G1491" s="466">
        <v>1.55</v>
      </c>
      <c r="H1491" s="466">
        <f>G1491/1.1</f>
        <v>1.4090909090909089</v>
      </c>
      <c r="I1491" s="436"/>
      <c r="J1491" s="465">
        <v>0</v>
      </c>
      <c r="K1491" s="467">
        <v>0</v>
      </c>
    </row>
    <row r="1492" spans="2:11" ht="19" customHeight="1">
      <c r="B1492" s="464">
        <v>46052</v>
      </c>
      <c r="C1492" s="436" t="s">
        <v>247</v>
      </c>
      <c r="D1492" s="436" t="s">
        <v>902</v>
      </c>
      <c r="E1492" s="436">
        <v>1</v>
      </c>
      <c r="F1492" s="465">
        <v>1.95</v>
      </c>
      <c r="G1492" s="466">
        <v>1.95</v>
      </c>
      <c r="H1492" s="466">
        <f>G1492/1.1</f>
        <v>1.7727272727272725</v>
      </c>
      <c r="I1492" s="436"/>
      <c r="J1492" s="465">
        <v>0</v>
      </c>
      <c r="K1492" s="467">
        <v>0</v>
      </c>
    </row>
    <row r="1493" spans="2:11" ht="19" customHeight="1">
      <c r="B1493" s="464">
        <v>46052</v>
      </c>
      <c r="C1493" s="436" t="s">
        <v>254</v>
      </c>
      <c r="D1493" s="436" t="s">
        <v>254</v>
      </c>
      <c r="E1493" s="436">
        <v>2</v>
      </c>
      <c r="F1493" s="465">
        <v>14.9</v>
      </c>
      <c r="G1493" s="466">
        <v>29.8</v>
      </c>
      <c r="H1493" s="466">
        <f>G1493/1.1</f>
        <v>27.09090909090909</v>
      </c>
      <c r="I1493" s="436"/>
      <c r="J1493" s="465">
        <v>0</v>
      </c>
      <c r="K1493" s="467">
        <v>0</v>
      </c>
    </row>
    <row r="1494" spans="2:11" ht="19" customHeight="1">
      <c r="B1494" s="464">
        <v>46052</v>
      </c>
      <c r="C1494" s="436" t="s">
        <v>873</v>
      </c>
      <c r="D1494" s="436" t="s">
        <v>1048</v>
      </c>
      <c r="E1494" s="436">
        <v>2</v>
      </c>
      <c r="F1494" s="469"/>
      <c r="G1494" s="468" t="s">
        <v>875</v>
      </c>
      <c r="H1494" s="466" t="e">
        <f>G1494/1.1</f>
        <v>#VALUE!</v>
      </c>
      <c r="I1494" s="436"/>
      <c r="J1494" s="465">
        <v>0</v>
      </c>
      <c r="K1494" s="467">
        <v>0</v>
      </c>
    </row>
    <row r="1495" spans="2:11" ht="19" customHeight="1">
      <c r="B1495" s="464">
        <v>46052</v>
      </c>
      <c r="C1495" s="436" t="s">
        <v>877</v>
      </c>
      <c r="D1495" s="436" t="s">
        <v>1056</v>
      </c>
      <c r="E1495" s="436">
        <v>2</v>
      </c>
      <c r="F1495" s="469"/>
      <c r="G1495" s="468" t="s">
        <v>875</v>
      </c>
      <c r="H1495" s="466" t="e">
        <f>G1495/1.1</f>
        <v>#VALUE!</v>
      </c>
      <c r="I1495" s="436"/>
      <c r="J1495" s="465">
        <v>0</v>
      </c>
      <c r="K1495" s="467">
        <v>0</v>
      </c>
    </row>
    <row r="1496" spans="2:11" ht="19" customHeight="1">
      <c r="B1496" s="464">
        <v>46052</v>
      </c>
      <c r="C1496" s="436" t="s">
        <v>266</v>
      </c>
      <c r="D1496" s="436" t="s">
        <v>250</v>
      </c>
      <c r="E1496" s="436">
        <v>2</v>
      </c>
      <c r="F1496" s="469"/>
      <c r="G1496" s="468" t="s">
        <v>875</v>
      </c>
      <c r="H1496" s="466" t="e">
        <f>G1496/1.1</f>
        <v>#VALUE!</v>
      </c>
      <c r="I1496" s="436"/>
      <c r="J1496" s="465">
        <v>0</v>
      </c>
      <c r="K1496" s="467">
        <v>0</v>
      </c>
    </row>
    <row r="1497" spans="2:11" ht="19" customHeight="1">
      <c r="B1497" s="464">
        <v>46052</v>
      </c>
      <c r="C1497" s="436" t="s">
        <v>258</v>
      </c>
      <c r="D1497" s="436" t="s">
        <v>972</v>
      </c>
      <c r="E1497" s="436">
        <v>1</v>
      </c>
      <c r="F1497" s="469"/>
      <c r="G1497" s="468" t="s">
        <v>875</v>
      </c>
      <c r="H1497" s="466" t="e">
        <f>G1497/1.1</f>
        <v>#VALUE!</v>
      </c>
      <c r="I1497" s="436"/>
      <c r="J1497" s="465">
        <v>0</v>
      </c>
      <c r="K1497" s="467">
        <v>0</v>
      </c>
    </row>
    <row r="1498" spans="2:11" ht="19" customHeight="1">
      <c r="B1498" s="464">
        <v>46052</v>
      </c>
      <c r="C1498" s="436" t="s">
        <v>258</v>
      </c>
      <c r="D1498" s="436" t="s">
        <v>882</v>
      </c>
      <c r="E1498" s="436">
        <v>1</v>
      </c>
      <c r="F1498" s="469"/>
      <c r="G1498" s="468" t="s">
        <v>875</v>
      </c>
      <c r="H1498" s="466" t="e">
        <f>G1498/1.1</f>
        <v>#VALUE!</v>
      </c>
      <c r="I1498" s="436"/>
      <c r="J1498" s="465">
        <v>0</v>
      </c>
      <c r="K1498" s="467">
        <v>0</v>
      </c>
    </row>
    <row r="1499" spans="2:11" ht="19" customHeight="1">
      <c r="B1499" s="464">
        <v>46052</v>
      </c>
      <c r="C1499" s="436" t="s">
        <v>254</v>
      </c>
      <c r="D1499" s="436" t="s">
        <v>254</v>
      </c>
      <c r="E1499" s="436">
        <v>2</v>
      </c>
      <c r="F1499" s="465">
        <v>14.9</v>
      </c>
      <c r="G1499" s="466">
        <v>29.8</v>
      </c>
      <c r="H1499" s="466">
        <f>G1499/1.1</f>
        <v>27.09090909090909</v>
      </c>
      <c r="I1499" s="436"/>
      <c r="J1499" s="465">
        <v>0</v>
      </c>
      <c r="K1499" s="467">
        <v>0</v>
      </c>
    </row>
    <row r="1500" spans="2:11" ht="19" customHeight="1">
      <c r="B1500" s="464">
        <v>46052</v>
      </c>
      <c r="C1500" s="436" t="s">
        <v>873</v>
      </c>
      <c r="D1500" s="436" t="s">
        <v>1046</v>
      </c>
      <c r="E1500" s="436">
        <v>1</v>
      </c>
      <c r="F1500" s="469"/>
      <c r="G1500" s="468" t="s">
        <v>875</v>
      </c>
      <c r="H1500" s="466" t="e">
        <f>G1500/1.1</f>
        <v>#VALUE!</v>
      </c>
      <c r="I1500" s="436"/>
      <c r="J1500" s="465">
        <v>0</v>
      </c>
      <c r="K1500" s="467">
        <v>0</v>
      </c>
    </row>
    <row r="1501" spans="2:11" ht="19" customHeight="1">
      <c r="B1501" s="464">
        <v>46052</v>
      </c>
      <c r="C1501" s="436" t="s">
        <v>873</v>
      </c>
      <c r="D1501" s="436" t="s">
        <v>1057</v>
      </c>
      <c r="E1501" s="436">
        <v>1</v>
      </c>
      <c r="F1501" s="469"/>
      <c r="G1501" s="468" t="s">
        <v>875</v>
      </c>
      <c r="H1501" s="466" t="e">
        <f>G1501/1.1</f>
        <v>#VALUE!</v>
      </c>
      <c r="I1501" s="436"/>
      <c r="J1501" s="465">
        <v>0</v>
      </c>
      <c r="K1501" s="467">
        <v>0</v>
      </c>
    </row>
    <row r="1502" spans="2:11" ht="19" customHeight="1">
      <c r="B1502" s="464">
        <v>46052</v>
      </c>
      <c r="C1502" s="436" t="s">
        <v>877</v>
      </c>
      <c r="D1502" s="436" t="s">
        <v>1056</v>
      </c>
      <c r="E1502" s="436">
        <v>1</v>
      </c>
      <c r="F1502" s="469"/>
      <c r="G1502" s="468" t="s">
        <v>875</v>
      </c>
      <c r="H1502" s="466" t="e">
        <f>G1502/1.1</f>
        <v>#VALUE!</v>
      </c>
      <c r="I1502" s="436"/>
      <c r="J1502" s="465">
        <v>0</v>
      </c>
      <c r="K1502" s="467">
        <v>0</v>
      </c>
    </row>
    <row r="1503" spans="2:11" ht="19" customHeight="1">
      <c r="B1503" s="464">
        <v>46052</v>
      </c>
      <c r="C1503" s="436" t="s">
        <v>877</v>
      </c>
      <c r="D1503" s="436" t="s">
        <v>1047</v>
      </c>
      <c r="E1503" s="436">
        <v>1</v>
      </c>
      <c r="F1503" s="469"/>
      <c r="G1503" s="468" t="s">
        <v>875</v>
      </c>
      <c r="H1503" s="466" t="e">
        <f>G1503/1.1</f>
        <v>#VALUE!</v>
      </c>
      <c r="I1503" s="436"/>
      <c r="J1503" s="465">
        <v>0</v>
      </c>
      <c r="K1503" s="467">
        <v>0</v>
      </c>
    </row>
    <row r="1504" spans="2:11" ht="19" customHeight="1">
      <c r="B1504" s="464">
        <v>46052</v>
      </c>
      <c r="C1504" s="436" t="s">
        <v>266</v>
      </c>
      <c r="D1504" s="436" t="s">
        <v>922</v>
      </c>
      <c r="E1504" s="436">
        <v>1</v>
      </c>
      <c r="F1504" s="469"/>
      <c r="G1504" s="468" t="s">
        <v>875</v>
      </c>
      <c r="H1504" s="466" t="e">
        <f>G1504/1.1</f>
        <v>#VALUE!</v>
      </c>
      <c r="I1504" s="436"/>
      <c r="J1504" s="465">
        <v>0</v>
      </c>
      <c r="K1504" s="467">
        <v>0</v>
      </c>
    </row>
    <row r="1505" spans="2:11" ht="19" customHeight="1">
      <c r="B1505" s="464">
        <v>46052</v>
      </c>
      <c r="C1505" s="436" t="s">
        <v>266</v>
      </c>
      <c r="D1505" s="436" t="s">
        <v>976</v>
      </c>
      <c r="E1505" s="436">
        <v>1</v>
      </c>
      <c r="F1505" s="465">
        <v>1</v>
      </c>
      <c r="G1505" s="466">
        <v>1</v>
      </c>
      <c r="H1505" s="466">
        <f>G1505/1.1</f>
        <v>0.90909090909090906</v>
      </c>
      <c r="I1505" s="436"/>
      <c r="J1505" s="465">
        <v>0</v>
      </c>
      <c r="K1505" s="467">
        <v>0</v>
      </c>
    </row>
    <row r="1506" spans="2:11" ht="19" customHeight="1">
      <c r="B1506" s="464">
        <v>46052</v>
      </c>
      <c r="C1506" s="436" t="s">
        <v>258</v>
      </c>
      <c r="D1506" s="436" t="s">
        <v>257</v>
      </c>
      <c r="E1506" s="436">
        <v>1</v>
      </c>
      <c r="F1506" s="469"/>
      <c r="G1506" s="468" t="s">
        <v>875</v>
      </c>
      <c r="H1506" s="466" t="e">
        <f>G1506/1.1</f>
        <v>#VALUE!</v>
      </c>
      <c r="I1506" s="436"/>
      <c r="J1506" s="465">
        <v>0</v>
      </c>
      <c r="K1506" s="467">
        <v>0</v>
      </c>
    </row>
    <row r="1507" spans="2:11" ht="19" customHeight="1">
      <c r="B1507" s="464">
        <v>46052</v>
      </c>
      <c r="C1507" s="436" t="s">
        <v>258</v>
      </c>
      <c r="D1507" s="436" t="s">
        <v>919</v>
      </c>
      <c r="E1507" s="436">
        <v>1</v>
      </c>
      <c r="F1507" s="469"/>
      <c r="G1507" s="468" t="s">
        <v>875</v>
      </c>
      <c r="H1507" s="466" t="e">
        <f>G1507/1.1</f>
        <v>#VALUE!</v>
      </c>
      <c r="I1507" s="436"/>
      <c r="J1507" s="465">
        <v>0</v>
      </c>
      <c r="K1507" s="467">
        <v>0</v>
      </c>
    </row>
    <row r="1508" spans="2:11" ht="19" customHeight="1">
      <c r="B1508" s="464">
        <v>46052</v>
      </c>
      <c r="C1508" s="436" t="s">
        <v>254</v>
      </c>
      <c r="D1508" s="436" t="s">
        <v>254</v>
      </c>
      <c r="E1508" s="436">
        <v>1</v>
      </c>
      <c r="F1508" s="465">
        <v>14.9</v>
      </c>
      <c r="G1508" s="466">
        <v>14.9</v>
      </c>
      <c r="H1508" s="466">
        <f>G1508/1.1</f>
        <v>13.545454545454545</v>
      </c>
      <c r="I1508" s="436"/>
      <c r="J1508" s="465">
        <v>0</v>
      </c>
      <c r="K1508" s="467">
        <v>0</v>
      </c>
    </row>
    <row r="1509" spans="2:11" ht="19" customHeight="1">
      <c r="B1509" s="464">
        <v>46052</v>
      </c>
      <c r="C1509" s="436" t="s">
        <v>873</v>
      </c>
      <c r="D1509" s="436" t="s">
        <v>1048</v>
      </c>
      <c r="E1509" s="436">
        <v>1</v>
      </c>
      <c r="F1509" s="469"/>
      <c r="G1509" s="468" t="s">
        <v>875</v>
      </c>
      <c r="H1509" s="466" t="e">
        <f>G1509/1.1</f>
        <v>#VALUE!</v>
      </c>
      <c r="I1509" s="436"/>
      <c r="J1509" s="465">
        <v>0</v>
      </c>
      <c r="K1509" s="467">
        <v>0</v>
      </c>
    </row>
    <row r="1510" spans="2:11" ht="19" customHeight="1">
      <c r="B1510" s="464">
        <v>46052</v>
      </c>
      <c r="C1510" s="436" t="s">
        <v>877</v>
      </c>
      <c r="D1510" s="436" t="s">
        <v>920</v>
      </c>
      <c r="E1510" s="436">
        <v>1</v>
      </c>
      <c r="F1510" s="465">
        <v>3</v>
      </c>
      <c r="G1510" s="466">
        <v>3</v>
      </c>
      <c r="H1510" s="466">
        <f>G1510/1.1</f>
        <v>2.7272727272727271</v>
      </c>
      <c r="I1510" s="436"/>
      <c r="J1510" s="465">
        <v>0</v>
      </c>
      <c r="K1510" s="467">
        <v>0</v>
      </c>
    </row>
    <row r="1511" spans="2:11" ht="19" customHeight="1">
      <c r="B1511" s="464">
        <v>46052</v>
      </c>
      <c r="C1511" s="436" t="s">
        <v>266</v>
      </c>
      <c r="D1511" s="436" t="s">
        <v>250</v>
      </c>
      <c r="E1511" s="436">
        <v>1</v>
      </c>
      <c r="F1511" s="469"/>
      <c r="G1511" s="468" t="s">
        <v>875</v>
      </c>
      <c r="H1511" s="466" t="e">
        <f>G1511/1.1</f>
        <v>#VALUE!</v>
      </c>
      <c r="I1511" s="436"/>
      <c r="J1511" s="465">
        <v>0</v>
      </c>
      <c r="K1511" s="467">
        <v>0</v>
      </c>
    </row>
    <row r="1512" spans="2:11" ht="19" customHeight="1">
      <c r="B1512" s="464">
        <v>46052</v>
      </c>
      <c r="C1512" s="436" t="s">
        <v>258</v>
      </c>
      <c r="D1512" s="436" t="s">
        <v>917</v>
      </c>
      <c r="E1512" s="436">
        <v>1</v>
      </c>
      <c r="F1512" s="468"/>
      <c r="G1512" s="468" t="s">
        <v>875</v>
      </c>
      <c r="H1512" s="466" t="e">
        <f>G1512/1.1</f>
        <v>#VALUE!</v>
      </c>
      <c r="I1512" s="436"/>
      <c r="J1512" s="465">
        <v>0</v>
      </c>
      <c r="K1512" s="467">
        <v>0</v>
      </c>
    </row>
    <row r="1513" spans="2:11" ht="19" customHeight="1">
      <c r="B1513" s="464">
        <v>46052</v>
      </c>
      <c r="C1513" s="436" t="s">
        <v>254</v>
      </c>
      <c r="D1513" s="436" t="s">
        <v>254</v>
      </c>
      <c r="E1513" s="436">
        <v>1</v>
      </c>
      <c r="F1513" s="466">
        <v>14.9</v>
      </c>
      <c r="G1513" s="466">
        <v>14.9</v>
      </c>
      <c r="H1513" s="466">
        <f>G1513/1.1</f>
        <v>13.545454545454545</v>
      </c>
      <c r="I1513" s="436"/>
      <c r="J1513" s="465">
        <v>0</v>
      </c>
      <c r="K1513" s="467">
        <v>0</v>
      </c>
    </row>
    <row r="1514" spans="2:11" ht="19" customHeight="1">
      <c r="B1514" s="464">
        <v>46052</v>
      </c>
      <c r="C1514" s="436" t="s">
        <v>873</v>
      </c>
      <c r="D1514" s="436" t="s">
        <v>1048</v>
      </c>
      <c r="E1514" s="436">
        <v>1</v>
      </c>
      <c r="F1514" s="469"/>
      <c r="G1514" s="468" t="s">
        <v>875</v>
      </c>
      <c r="H1514" s="466" t="e">
        <f>G1514/1.1</f>
        <v>#VALUE!</v>
      </c>
      <c r="I1514" s="436"/>
      <c r="J1514" s="465">
        <v>0</v>
      </c>
      <c r="K1514" s="467">
        <v>0</v>
      </c>
    </row>
    <row r="1515" spans="2:11" ht="19" customHeight="1">
      <c r="B1515" s="464">
        <v>46052</v>
      </c>
      <c r="C1515" s="436" t="s">
        <v>877</v>
      </c>
      <c r="D1515" s="436" t="s">
        <v>988</v>
      </c>
      <c r="E1515" s="436">
        <v>1</v>
      </c>
      <c r="F1515" s="465">
        <v>5</v>
      </c>
      <c r="G1515" s="466">
        <v>5</v>
      </c>
      <c r="H1515" s="466">
        <f>G1515/1.1</f>
        <v>4.545454545454545</v>
      </c>
      <c r="I1515" s="436"/>
      <c r="J1515" s="465">
        <v>0</v>
      </c>
      <c r="K1515" s="467">
        <v>0</v>
      </c>
    </row>
    <row r="1516" spans="2:11" ht="19" customHeight="1">
      <c r="B1516" s="464">
        <v>46052</v>
      </c>
      <c r="C1516" s="436" t="s">
        <v>266</v>
      </c>
      <c r="D1516" s="436" t="s">
        <v>1066</v>
      </c>
      <c r="E1516" s="436">
        <v>1</v>
      </c>
      <c r="F1516" s="465">
        <v>1</v>
      </c>
      <c r="G1516" s="466">
        <v>1</v>
      </c>
      <c r="H1516" s="466">
        <f>G1516/1.1</f>
        <v>0.90909090909090906</v>
      </c>
      <c r="I1516" s="436"/>
      <c r="J1516" s="465">
        <v>0</v>
      </c>
      <c r="K1516" s="467">
        <v>0</v>
      </c>
    </row>
    <row r="1517" spans="2:11" ht="19" customHeight="1">
      <c r="B1517" s="464">
        <v>46052</v>
      </c>
      <c r="C1517" s="436" t="s">
        <v>254</v>
      </c>
      <c r="D1517" s="436" t="s">
        <v>254</v>
      </c>
      <c r="E1517" s="436">
        <v>2</v>
      </c>
      <c r="F1517" s="465">
        <v>14.9</v>
      </c>
      <c r="G1517" s="466">
        <v>29.8</v>
      </c>
      <c r="H1517" s="466">
        <f>G1517/1.1</f>
        <v>27.09090909090909</v>
      </c>
      <c r="I1517" s="436"/>
      <c r="J1517" s="465">
        <v>0</v>
      </c>
      <c r="K1517" s="467">
        <v>0</v>
      </c>
    </row>
    <row r="1518" spans="2:11" ht="19" customHeight="1">
      <c r="B1518" s="464">
        <v>46052</v>
      </c>
      <c r="C1518" s="436" t="s">
        <v>873</v>
      </c>
      <c r="D1518" s="436" t="s">
        <v>1048</v>
      </c>
      <c r="E1518" s="436">
        <v>1</v>
      </c>
      <c r="F1518" s="469"/>
      <c r="G1518" s="468" t="s">
        <v>875</v>
      </c>
      <c r="H1518" s="466" t="e">
        <f>G1518/1.1</f>
        <v>#VALUE!</v>
      </c>
      <c r="I1518" s="436"/>
      <c r="J1518" s="465">
        <v>0</v>
      </c>
      <c r="K1518" s="467">
        <v>0</v>
      </c>
    </row>
    <row r="1519" spans="2:11" ht="19" customHeight="1">
      <c r="B1519" s="464">
        <v>46052</v>
      </c>
      <c r="C1519" s="436" t="s">
        <v>873</v>
      </c>
      <c r="D1519" s="436" t="s">
        <v>1053</v>
      </c>
      <c r="E1519" s="436">
        <v>1</v>
      </c>
      <c r="F1519" s="469"/>
      <c r="G1519" s="468" t="s">
        <v>875</v>
      </c>
      <c r="H1519" s="466" t="e">
        <f>G1519/1.1</f>
        <v>#VALUE!</v>
      </c>
      <c r="I1519" s="436"/>
      <c r="J1519" s="465">
        <v>0</v>
      </c>
      <c r="K1519" s="467">
        <v>0</v>
      </c>
    </row>
    <row r="1520" spans="2:11" ht="19" customHeight="1">
      <c r="B1520" s="464">
        <v>46052</v>
      </c>
      <c r="C1520" s="436" t="s">
        <v>877</v>
      </c>
      <c r="D1520" s="436" t="s">
        <v>1056</v>
      </c>
      <c r="E1520" s="436">
        <v>2</v>
      </c>
      <c r="F1520" s="469"/>
      <c r="G1520" s="468" t="s">
        <v>875</v>
      </c>
      <c r="H1520" s="466" t="e">
        <f>G1520/1.1</f>
        <v>#VALUE!</v>
      </c>
      <c r="I1520" s="436"/>
      <c r="J1520" s="465">
        <v>0</v>
      </c>
      <c r="K1520" s="467">
        <v>0</v>
      </c>
    </row>
    <row r="1521" spans="2:11" ht="19" customHeight="1">
      <c r="B1521" s="464">
        <v>46052</v>
      </c>
      <c r="C1521" s="436" t="s">
        <v>266</v>
      </c>
      <c r="D1521" s="436" t="s">
        <v>1066</v>
      </c>
      <c r="E1521" s="436">
        <v>2</v>
      </c>
      <c r="F1521" s="465">
        <v>1</v>
      </c>
      <c r="G1521" s="466">
        <v>2</v>
      </c>
      <c r="H1521" s="466">
        <f>G1521/1.1</f>
        <v>1.8181818181818181</v>
      </c>
      <c r="I1521" s="436"/>
      <c r="J1521" s="465">
        <v>0</v>
      </c>
      <c r="K1521" s="467">
        <v>0</v>
      </c>
    </row>
    <row r="1522" spans="2:11" ht="19" customHeight="1">
      <c r="B1522" s="464">
        <v>46052</v>
      </c>
      <c r="C1522" s="436" t="s">
        <v>258</v>
      </c>
      <c r="D1522" s="436" t="s">
        <v>972</v>
      </c>
      <c r="E1522" s="436">
        <v>1</v>
      </c>
      <c r="F1522" s="469"/>
      <c r="G1522" s="468" t="s">
        <v>875</v>
      </c>
      <c r="H1522" s="466" t="e">
        <f>G1522/1.1</f>
        <v>#VALUE!</v>
      </c>
      <c r="I1522" s="436"/>
      <c r="J1522" s="465">
        <v>0</v>
      </c>
      <c r="K1522" s="467">
        <v>0</v>
      </c>
    </row>
    <row r="1523" spans="2:11" ht="19" customHeight="1">
      <c r="B1523" s="464">
        <v>46052</v>
      </c>
      <c r="C1523" s="436" t="s">
        <v>258</v>
      </c>
      <c r="D1523" s="436" t="s">
        <v>1058</v>
      </c>
      <c r="E1523" s="436">
        <v>1</v>
      </c>
      <c r="F1523" s="469"/>
      <c r="G1523" s="468" t="s">
        <v>875</v>
      </c>
      <c r="H1523" s="466" t="e">
        <f>G1523/1.1</f>
        <v>#VALUE!</v>
      </c>
      <c r="I1523" s="436"/>
      <c r="J1523" s="465">
        <v>0</v>
      </c>
      <c r="K1523" s="467">
        <v>0</v>
      </c>
    </row>
    <row r="1524" spans="2:11" ht="19" customHeight="1">
      <c r="B1524" s="464">
        <v>46052</v>
      </c>
      <c r="C1524" s="436" t="s">
        <v>254</v>
      </c>
      <c r="D1524" s="436" t="s">
        <v>254</v>
      </c>
      <c r="E1524" s="436">
        <v>3</v>
      </c>
      <c r="F1524" s="466">
        <v>14.9</v>
      </c>
      <c r="G1524" s="466">
        <v>44.7</v>
      </c>
      <c r="H1524" s="466">
        <f>G1524/1.1</f>
        <v>40.636363636363633</v>
      </c>
      <c r="I1524" s="436"/>
      <c r="J1524" s="465">
        <v>0</v>
      </c>
      <c r="K1524" s="467">
        <v>0</v>
      </c>
    </row>
    <row r="1525" spans="2:11" ht="19" customHeight="1">
      <c r="B1525" s="464">
        <v>46052</v>
      </c>
      <c r="C1525" s="436" t="s">
        <v>873</v>
      </c>
      <c r="D1525" s="436" t="s">
        <v>1048</v>
      </c>
      <c r="E1525" s="436">
        <v>3</v>
      </c>
      <c r="F1525" s="469"/>
      <c r="G1525" s="468" t="s">
        <v>875</v>
      </c>
      <c r="H1525" s="466" t="e">
        <f>G1525/1.1</f>
        <v>#VALUE!</v>
      </c>
      <c r="I1525" s="436"/>
      <c r="J1525" s="465">
        <v>0</v>
      </c>
      <c r="K1525" s="467">
        <v>0</v>
      </c>
    </row>
    <row r="1526" spans="2:11" ht="19" customHeight="1">
      <c r="B1526" s="464">
        <v>46052</v>
      </c>
      <c r="C1526" s="436" t="s">
        <v>873</v>
      </c>
      <c r="D1526" s="436" t="s">
        <v>696</v>
      </c>
      <c r="E1526" s="436">
        <v>1</v>
      </c>
      <c r="F1526" s="465">
        <v>2</v>
      </c>
      <c r="G1526" s="466">
        <v>2</v>
      </c>
      <c r="H1526" s="466">
        <f>G1526/1.1</f>
        <v>1.8181818181818181</v>
      </c>
      <c r="I1526" s="436"/>
      <c r="J1526" s="465">
        <v>0</v>
      </c>
      <c r="K1526" s="467">
        <v>0</v>
      </c>
    </row>
    <row r="1527" spans="2:11" ht="19" customHeight="1">
      <c r="B1527" s="464">
        <v>46052</v>
      </c>
      <c r="C1527" s="436" t="s">
        <v>877</v>
      </c>
      <c r="D1527" s="436" t="s">
        <v>1047</v>
      </c>
      <c r="E1527" s="436">
        <v>2</v>
      </c>
      <c r="F1527" s="469"/>
      <c r="G1527" s="468" t="s">
        <v>875</v>
      </c>
      <c r="H1527" s="466" t="e">
        <f>G1527/1.1</f>
        <v>#VALUE!</v>
      </c>
      <c r="I1527" s="436"/>
      <c r="J1527" s="465">
        <v>0</v>
      </c>
      <c r="K1527" s="467">
        <v>0</v>
      </c>
    </row>
    <row r="1528" spans="2:11" ht="19" customHeight="1">
      <c r="B1528" s="464">
        <v>46052</v>
      </c>
      <c r="C1528" s="436" t="s">
        <v>877</v>
      </c>
      <c r="D1528" s="436" t="s">
        <v>1049</v>
      </c>
      <c r="E1528" s="436">
        <v>1</v>
      </c>
      <c r="F1528" s="469"/>
      <c r="G1528" s="468" t="s">
        <v>875</v>
      </c>
      <c r="H1528" s="466" t="e">
        <f>G1528/1.1</f>
        <v>#VALUE!</v>
      </c>
      <c r="I1528" s="436"/>
      <c r="J1528" s="465">
        <v>0</v>
      </c>
      <c r="K1528" s="467">
        <v>0</v>
      </c>
    </row>
    <row r="1529" spans="2:11" ht="19" customHeight="1">
      <c r="B1529" s="464">
        <v>46052</v>
      </c>
      <c r="C1529" s="436" t="s">
        <v>266</v>
      </c>
      <c r="D1529" s="436" t="s">
        <v>250</v>
      </c>
      <c r="E1529" s="436">
        <v>2</v>
      </c>
      <c r="F1529" s="469"/>
      <c r="G1529" s="468" t="s">
        <v>875</v>
      </c>
      <c r="H1529" s="466" t="e">
        <f>G1529/1.1</f>
        <v>#VALUE!</v>
      </c>
      <c r="I1529" s="436"/>
      <c r="J1529" s="465">
        <v>0</v>
      </c>
      <c r="K1529" s="467">
        <v>0</v>
      </c>
    </row>
    <row r="1530" spans="2:11" ht="19" customHeight="1">
      <c r="B1530" s="464">
        <v>46052</v>
      </c>
      <c r="C1530" s="436" t="s">
        <v>266</v>
      </c>
      <c r="D1530" s="436" t="s">
        <v>708</v>
      </c>
      <c r="E1530" s="436">
        <v>1</v>
      </c>
      <c r="F1530" s="469"/>
      <c r="G1530" s="468" t="s">
        <v>875</v>
      </c>
      <c r="H1530" s="466" t="e">
        <f>G1530/1.1</f>
        <v>#VALUE!</v>
      </c>
      <c r="I1530" s="436"/>
      <c r="J1530" s="465">
        <v>0</v>
      </c>
      <c r="K1530" s="467">
        <v>0</v>
      </c>
    </row>
    <row r="1531" spans="2:11" ht="19" customHeight="1">
      <c r="B1531" s="464">
        <v>46052</v>
      </c>
      <c r="C1531" s="436" t="s">
        <v>258</v>
      </c>
      <c r="D1531" s="436" t="s">
        <v>882</v>
      </c>
      <c r="E1531" s="436">
        <v>1</v>
      </c>
      <c r="F1531" s="469"/>
      <c r="G1531" s="468" t="s">
        <v>875</v>
      </c>
      <c r="H1531" s="466" t="e">
        <f>G1531/1.1</f>
        <v>#VALUE!</v>
      </c>
      <c r="I1531" s="436"/>
      <c r="J1531" s="465">
        <v>0</v>
      </c>
      <c r="K1531" s="467">
        <v>0</v>
      </c>
    </row>
    <row r="1532" spans="2:11" ht="19" customHeight="1">
      <c r="B1532" s="464">
        <v>46052</v>
      </c>
      <c r="C1532" s="436" t="s">
        <v>258</v>
      </c>
      <c r="D1532" s="436" t="s">
        <v>1067</v>
      </c>
      <c r="E1532" s="436">
        <v>2</v>
      </c>
      <c r="F1532" s="469"/>
      <c r="G1532" s="468" t="s">
        <v>875</v>
      </c>
      <c r="H1532" s="466" t="e">
        <f>G1532/1.1</f>
        <v>#VALUE!</v>
      </c>
      <c r="I1532" s="436"/>
      <c r="J1532" s="465">
        <v>0</v>
      </c>
      <c r="K1532" s="467">
        <v>0</v>
      </c>
    </row>
    <row r="1533" spans="2:11" ht="19" customHeight="1">
      <c r="B1533" s="464">
        <v>46053</v>
      </c>
      <c r="C1533" s="436" t="s">
        <v>268</v>
      </c>
      <c r="D1533" s="436" t="s">
        <v>267</v>
      </c>
      <c r="E1533" s="436">
        <v>1</v>
      </c>
      <c r="F1533" s="465">
        <v>1.5</v>
      </c>
      <c r="G1533" s="466">
        <v>1.5</v>
      </c>
      <c r="H1533" s="466">
        <f>G1533/1.1</f>
        <v>1.3636363636363635</v>
      </c>
      <c r="I1533" s="436"/>
      <c r="J1533" s="465">
        <v>0</v>
      </c>
      <c r="K1533" s="467">
        <v>0</v>
      </c>
    </row>
    <row r="1534" spans="2:11" ht="19" customHeight="1">
      <c r="B1534" s="464">
        <v>46053</v>
      </c>
      <c r="C1534" s="436" t="s">
        <v>247</v>
      </c>
      <c r="D1534" s="436" t="s">
        <v>246</v>
      </c>
      <c r="E1534" s="436">
        <v>1</v>
      </c>
      <c r="F1534" s="465">
        <v>1.7</v>
      </c>
      <c r="G1534" s="466">
        <v>1.7</v>
      </c>
      <c r="H1534" s="466">
        <f>G1534/1.1</f>
        <v>1.5454545454545452</v>
      </c>
      <c r="I1534" s="436"/>
      <c r="J1534" s="465">
        <v>0</v>
      </c>
      <c r="K1534" s="467">
        <v>0</v>
      </c>
    </row>
    <row r="1535" spans="2:11" ht="19" customHeight="1">
      <c r="B1535" s="464">
        <v>46053</v>
      </c>
      <c r="C1535" s="436" t="s">
        <v>247</v>
      </c>
      <c r="D1535" s="436" t="s">
        <v>248</v>
      </c>
      <c r="E1535" s="436">
        <v>1</v>
      </c>
      <c r="F1535" s="465">
        <v>1.5</v>
      </c>
      <c r="G1535" s="466">
        <v>1.5</v>
      </c>
      <c r="H1535" s="466">
        <f>G1535/1.1</f>
        <v>1.3636363636363635</v>
      </c>
      <c r="I1535" s="436"/>
      <c r="J1535" s="465">
        <v>0</v>
      </c>
      <c r="K1535" s="467">
        <v>0</v>
      </c>
    </row>
    <row r="1536" spans="2:11" ht="19" customHeight="1">
      <c r="B1536" s="464">
        <v>46053</v>
      </c>
      <c r="C1536" s="436" t="s">
        <v>247</v>
      </c>
      <c r="D1536" s="436" t="s">
        <v>248</v>
      </c>
      <c r="E1536" s="436">
        <v>1</v>
      </c>
      <c r="F1536" s="465">
        <v>1.5</v>
      </c>
      <c r="G1536" s="466">
        <v>1.5</v>
      </c>
      <c r="H1536" s="466">
        <f>G1536/1.1</f>
        <v>1.3636363636363635</v>
      </c>
      <c r="I1536" s="436"/>
      <c r="J1536" s="465">
        <v>0</v>
      </c>
      <c r="K1536" s="467">
        <v>0</v>
      </c>
    </row>
    <row r="1537" spans="2:11" ht="19" customHeight="1">
      <c r="B1537" s="464">
        <v>46053</v>
      </c>
      <c r="C1537" s="436" t="s">
        <v>247</v>
      </c>
      <c r="D1537" s="436" t="s">
        <v>899</v>
      </c>
      <c r="E1537" s="436">
        <v>1</v>
      </c>
      <c r="F1537" s="465">
        <v>0.05</v>
      </c>
      <c r="G1537" s="466">
        <v>0.05</v>
      </c>
      <c r="H1537" s="466">
        <f>G1537/1.1</f>
        <v>4.5454545454545456E-2</v>
      </c>
      <c r="I1537" s="436"/>
      <c r="J1537" s="465">
        <v>0</v>
      </c>
      <c r="K1537" s="467">
        <v>0</v>
      </c>
    </row>
    <row r="1538" spans="2:11" ht="19" customHeight="1">
      <c r="B1538" s="464">
        <v>46053</v>
      </c>
      <c r="C1538" s="436" t="s">
        <v>862</v>
      </c>
      <c r="D1538" s="436" t="s">
        <v>257</v>
      </c>
      <c r="E1538" s="436">
        <v>1</v>
      </c>
      <c r="F1538" s="465">
        <v>1.4</v>
      </c>
      <c r="G1538" s="466">
        <v>1.4</v>
      </c>
      <c r="H1538" s="466">
        <f>G1538/1.1</f>
        <v>1.2727272727272725</v>
      </c>
      <c r="I1538" s="436"/>
      <c r="J1538" s="465">
        <v>0</v>
      </c>
      <c r="K1538" s="467">
        <v>0</v>
      </c>
    </row>
    <row r="1539" spans="2:11" ht="19" customHeight="1">
      <c r="B1539" s="464">
        <v>46053</v>
      </c>
      <c r="C1539" s="436" t="s">
        <v>268</v>
      </c>
      <c r="D1539" s="436" t="s">
        <v>859</v>
      </c>
      <c r="E1539" s="436">
        <v>1</v>
      </c>
      <c r="F1539" s="465">
        <v>0.75</v>
      </c>
      <c r="G1539" s="466">
        <v>0.75</v>
      </c>
      <c r="H1539" s="466">
        <f>G1539/1.1</f>
        <v>0.68181818181818177</v>
      </c>
      <c r="I1539" s="436"/>
      <c r="J1539" s="465">
        <v>0</v>
      </c>
      <c r="K1539" s="467">
        <v>0</v>
      </c>
    </row>
    <row r="1540" spans="2:11" ht="19" customHeight="1">
      <c r="B1540" s="464">
        <v>46053</v>
      </c>
      <c r="C1540" s="436" t="s">
        <v>247</v>
      </c>
      <c r="D1540" s="436" t="s">
        <v>246</v>
      </c>
      <c r="E1540" s="436">
        <v>1</v>
      </c>
      <c r="F1540" s="465">
        <v>1.7</v>
      </c>
      <c r="G1540" s="466">
        <v>1.7</v>
      </c>
      <c r="H1540" s="466">
        <f>G1540/1.1</f>
        <v>1.5454545454545452</v>
      </c>
      <c r="I1540" s="436"/>
      <c r="J1540" s="465">
        <v>0</v>
      </c>
      <c r="K1540" s="467">
        <v>0</v>
      </c>
    </row>
    <row r="1541" spans="2:11" ht="19" customHeight="1">
      <c r="B1541" s="464">
        <v>46053</v>
      </c>
      <c r="C1541" s="436" t="s">
        <v>247</v>
      </c>
      <c r="D1541" s="436" t="s">
        <v>248</v>
      </c>
      <c r="E1541" s="436">
        <v>1</v>
      </c>
      <c r="F1541" s="465">
        <v>1.5</v>
      </c>
      <c r="G1541" s="466">
        <v>1.5</v>
      </c>
      <c r="H1541" s="466">
        <f>G1541/1.1</f>
        <v>1.3636363636363635</v>
      </c>
      <c r="I1541" s="436"/>
      <c r="J1541" s="465">
        <v>0</v>
      </c>
      <c r="K1541" s="467">
        <v>0</v>
      </c>
    </row>
    <row r="1542" spans="2:11" ht="19" customHeight="1">
      <c r="B1542" s="464">
        <v>46053</v>
      </c>
      <c r="C1542" s="436" t="s">
        <v>247</v>
      </c>
      <c r="D1542" s="436" t="s">
        <v>246</v>
      </c>
      <c r="E1542" s="436">
        <v>1</v>
      </c>
      <c r="F1542" s="465">
        <v>1.7</v>
      </c>
      <c r="G1542" s="466">
        <v>1.7</v>
      </c>
      <c r="H1542" s="466">
        <f>G1542/1.1</f>
        <v>1.5454545454545452</v>
      </c>
      <c r="I1542" s="436"/>
      <c r="J1542" s="465">
        <v>0</v>
      </c>
      <c r="K1542" s="467">
        <v>0</v>
      </c>
    </row>
    <row r="1543" spans="2:11" ht="19" customHeight="1">
      <c r="B1543" s="464">
        <v>46053</v>
      </c>
      <c r="C1543" s="436" t="s">
        <v>247</v>
      </c>
      <c r="D1543" s="436" t="s">
        <v>248</v>
      </c>
      <c r="E1543" s="436">
        <v>2</v>
      </c>
      <c r="F1543" s="465">
        <v>1.5</v>
      </c>
      <c r="G1543" s="466">
        <v>3</v>
      </c>
      <c r="H1543" s="466">
        <f>G1543/1.1</f>
        <v>2.7272727272727271</v>
      </c>
      <c r="I1543" s="436"/>
      <c r="J1543" s="465">
        <v>0</v>
      </c>
      <c r="K1543" s="467">
        <v>0</v>
      </c>
    </row>
    <row r="1544" spans="2:11" ht="19" customHeight="1">
      <c r="B1544" s="464">
        <v>46053</v>
      </c>
      <c r="C1544" s="436" t="s">
        <v>256</v>
      </c>
      <c r="D1544" s="436" t="s">
        <v>983</v>
      </c>
      <c r="E1544" s="436">
        <v>1</v>
      </c>
      <c r="F1544" s="465">
        <v>2.75</v>
      </c>
      <c r="G1544" s="466">
        <v>2.75</v>
      </c>
      <c r="H1544" s="466">
        <f>G1544/1.1</f>
        <v>2.5</v>
      </c>
      <c r="I1544" s="436"/>
      <c r="J1544" s="465">
        <v>0</v>
      </c>
      <c r="K1544" s="467">
        <v>0</v>
      </c>
    </row>
    <row r="1545" spans="2:11" ht="19" customHeight="1">
      <c r="B1545" s="464">
        <v>46053</v>
      </c>
      <c r="C1545" s="436" t="s">
        <v>276</v>
      </c>
      <c r="D1545" s="436" t="s">
        <v>995</v>
      </c>
      <c r="E1545" s="436">
        <v>1</v>
      </c>
      <c r="F1545" s="465">
        <v>3.05</v>
      </c>
      <c r="G1545" s="466">
        <v>3.05</v>
      </c>
      <c r="H1545" s="466">
        <f>G1545/1.1</f>
        <v>2.7727272727272725</v>
      </c>
      <c r="I1545" s="436"/>
      <c r="J1545" s="465">
        <v>0</v>
      </c>
      <c r="K1545" s="467">
        <v>0</v>
      </c>
    </row>
    <row r="1546" spans="2:11" ht="19" customHeight="1">
      <c r="B1546" s="464">
        <v>46053</v>
      </c>
      <c r="C1546" s="436" t="s">
        <v>253</v>
      </c>
      <c r="D1546" s="436" t="s">
        <v>869</v>
      </c>
      <c r="E1546" s="436">
        <v>1</v>
      </c>
      <c r="F1546" s="465">
        <v>2.5</v>
      </c>
      <c r="G1546" s="466">
        <v>2.5</v>
      </c>
      <c r="H1546" s="466">
        <f>G1546/1.1</f>
        <v>2.2727272727272725</v>
      </c>
      <c r="I1546" s="436"/>
      <c r="J1546" s="465">
        <v>0</v>
      </c>
      <c r="K1546" s="467">
        <v>0</v>
      </c>
    </row>
    <row r="1547" spans="2:11" ht="19" customHeight="1">
      <c r="B1547" s="464">
        <v>46053</v>
      </c>
      <c r="C1547" s="436" t="s">
        <v>247</v>
      </c>
      <c r="D1547" s="436" t="s">
        <v>248</v>
      </c>
      <c r="E1547" s="436">
        <v>1</v>
      </c>
      <c r="F1547" s="465">
        <v>1.5</v>
      </c>
      <c r="G1547" s="466">
        <v>1.5</v>
      </c>
      <c r="H1547" s="466">
        <f>G1547/1.1</f>
        <v>1.3636363636363635</v>
      </c>
      <c r="I1547" s="436"/>
      <c r="J1547" s="465">
        <v>0</v>
      </c>
      <c r="K1547" s="467">
        <v>0</v>
      </c>
    </row>
    <row r="1548" spans="2:11" ht="19" customHeight="1">
      <c r="B1548" s="464">
        <v>46053</v>
      </c>
      <c r="C1548" s="436" t="s">
        <v>247</v>
      </c>
      <c r="D1548" s="436" t="s">
        <v>246</v>
      </c>
      <c r="E1548" s="436">
        <v>1</v>
      </c>
      <c r="F1548" s="465">
        <v>1.7</v>
      </c>
      <c r="G1548" s="466">
        <v>1.7</v>
      </c>
      <c r="H1548" s="466">
        <f>G1548/1.1</f>
        <v>1.5454545454545452</v>
      </c>
      <c r="I1548" s="436"/>
      <c r="J1548" s="465">
        <v>0</v>
      </c>
      <c r="K1548" s="467">
        <v>0</v>
      </c>
    </row>
    <row r="1549" spans="2:11" ht="19" customHeight="1">
      <c r="B1549" s="464">
        <v>46053</v>
      </c>
      <c r="C1549" s="436" t="s">
        <v>862</v>
      </c>
      <c r="D1549" s="436" t="s">
        <v>899</v>
      </c>
      <c r="E1549" s="436">
        <v>1</v>
      </c>
      <c r="F1549" s="465">
        <v>0.05</v>
      </c>
      <c r="G1549" s="466">
        <v>0.05</v>
      </c>
      <c r="H1549" s="466">
        <f>G1549/1.1</f>
        <v>4.5454545454545456E-2</v>
      </c>
      <c r="I1549" s="436"/>
      <c r="J1549" s="465">
        <v>0</v>
      </c>
      <c r="K1549" s="467">
        <v>0</v>
      </c>
    </row>
    <row r="1550" spans="2:11" ht="19" customHeight="1">
      <c r="B1550" s="464">
        <v>46053</v>
      </c>
      <c r="C1550" s="436" t="s">
        <v>328</v>
      </c>
      <c r="D1550" s="436" t="s">
        <v>739</v>
      </c>
      <c r="E1550" s="436">
        <v>1</v>
      </c>
      <c r="F1550" s="465">
        <v>5.85</v>
      </c>
      <c r="G1550" s="466">
        <v>5.85</v>
      </c>
      <c r="H1550" s="466">
        <f>G1550/1.1</f>
        <v>5.3181818181818175</v>
      </c>
      <c r="I1550" s="436"/>
      <c r="J1550" s="465">
        <v>0</v>
      </c>
      <c r="K1550" s="467">
        <v>0</v>
      </c>
    </row>
    <row r="1551" spans="2:11" ht="19" customHeight="1">
      <c r="B1551" s="464">
        <v>46053</v>
      </c>
      <c r="C1551" s="436" t="s">
        <v>327</v>
      </c>
      <c r="D1551" s="436" t="s">
        <v>817</v>
      </c>
      <c r="E1551" s="436">
        <v>1</v>
      </c>
      <c r="F1551" s="465">
        <v>4.9000000000000004</v>
      </c>
      <c r="G1551" s="466">
        <v>4.9000000000000004</v>
      </c>
      <c r="H1551" s="466">
        <f>G1551/1.1</f>
        <v>4.4545454545454541</v>
      </c>
      <c r="I1551" s="436"/>
      <c r="J1551" s="465">
        <v>0</v>
      </c>
      <c r="K1551" s="467">
        <v>0</v>
      </c>
    </row>
    <row r="1552" spans="2:11" ht="19" customHeight="1">
      <c r="B1552" s="464">
        <v>46053</v>
      </c>
      <c r="C1552" s="436" t="s">
        <v>264</v>
      </c>
      <c r="D1552" s="436" t="s">
        <v>891</v>
      </c>
      <c r="E1552" s="436">
        <v>1</v>
      </c>
      <c r="F1552" s="465">
        <v>1.4</v>
      </c>
      <c r="G1552" s="466">
        <v>1.4</v>
      </c>
      <c r="H1552" s="466">
        <f>G1552/1.1</f>
        <v>1.2727272727272725</v>
      </c>
      <c r="I1552" s="436"/>
      <c r="J1552" s="465">
        <v>0</v>
      </c>
      <c r="K1552" s="467">
        <v>0</v>
      </c>
    </row>
    <row r="1553" spans="2:11" ht="19" customHeight="1">
      <c r="B1553" s="464">
        <v>46053</v>
      </c>
      <c r="C1553" s="436" t="s">
        <v>247</v>
      </c>
      <c r="D1553" s="436" t="s">
        <v>248</v>
      </c>
      <c r="E1553" s="436">
        <v>1</v>
      </c>
      <c r="F1553" s="465">
        <v>1.5</v>
      </c>
      <c r="G1553" s="466">
        <v>1.5</v>
      </c>
      <c r="H1553" s="466">
        <f>G1553/1.1</f>
        <v>1.3636363636363635</v>
      </c>
      <c r="I1553" s="436"/>
      <c r="J1553" s="465">
        <v>0</v>
      </c>
      <c r="K1553" s="467">
        <v>0</v>
      </c>
    </row>
    <row r="1554" spans="2:11" ht="19" customHeight="1">
      <c r="B1554" s="464">
        <v>46053</v>
      </c>
      <c r="C1554" s="436" t="s">
        <v>894</v>
      </c>
      <c r="D1554" s="436" t="s">
        <v>950</v>
      </c>
      <c r="E1554" s="436">
        <v>1</v>
      </c>
      <c r="F1554" s="465">
        <v>5.7</v>
      </c>
      <c r="G1554" s="466">
        <v>5.7</v>
      </c>
      <c r="H1554" s="466">
        <f>G1554/1.1</f>
        <v>5.1818181818181817</v>
      </c>
      <c r="I1554" s="436"/>
      <c r="J1554" s="465">
        <v>0</v>
      </c>
      <c r="K1554" s="467">
        <v>0</v>
      </c>
    </row>
    <row r="1555" spans="2:11" ht="19" customHeight="1">
      <c r="B1555" s="464">
        <v>46053</v>
      </c>
      <c r="C1555" s="436" t="s">
        <v>327</v>
      </c>
      <c r="D1555" s="436" t="s">
        <v>723</v>
      </c>
      <c r="E1555" s="436">
        <v>1</v>
      </c>
      <c r="F1555" s="465">
        <v>3.1</v>
      </c>
      <c r="G1555" s="466">
        <v>3.1</v>
      </c>
      <c r="H1555" s="466">
        <f>G1555/1.1</f>
        <v>2.8181818181818179</v>
      </c>
      <c r="I1555" s="436"/>
      <c r="J1555" s="465">
        <v>0</v>
      </c>
      <c r="K1555" s="467">
        <v>0</v>
      </c>
    </row>
    <row r="1556" spans="2:11" ht="19" customHeight="1">
      <c r="B1556" s="464">
        <v>46053</v>
      </c>
      <c r="C1556" s="436" t="s">
        <v>862</v>
      </c>
      <c r="D1556" s="436" t="s">
        <v>865</v>
      </c>
      <c r="E1556" s="436">
        <v>1</v>
      </c>
      <c r="F1556" s="465">
        <v>0.05</v>
      </c>
      <c r="G1556" s="466">
        <v>0.05</v>
      </c>
      <c r="H1556" s="466">
        <f>G1556/1.1</f>
        <v>4.5454545454545456E-2</v>
      </c>
      <c r="I1556" s="436"/>
      <c r="J1556" s="465">
        <v>0</v>
      </c>
      <c r="K1556" s="467">
        <v>0</v>
      </c>
    </row>
    <row r="1557" spans="2:11" ht="19" customHeight="1">
      <c r="B1557" s="464">
        <v>46053</v>
      </c>
      <c r="C1557" s="436" t="s">
        <v>247</v>
      </c>
      <c r="D1557" s="436" t="s">
        <v>902</v>
      </c>
      <c r="E1557" s="436">
        <v>1</v>
      </c>
      <c r="F1557" s="465">
        <v>1.95</v>
      </c>
      <c r="G1557" s="466">
        <v>1.95</v>
      </c>
      <c r="H1557" s="466">
        <f>G1557/1.1</f>
        <v>1.7727272727272725</v>
      </c>
      <c r="I1557" s="436"/>
      <c r="J1557" s="465">
        <v>0</v>
      </c>
      <c r="K1557" s="467">
        <v>0</v>
      </c>
    </row>
    <row r="1558" spans="2:11" ht="19" customHeight="1">
      <c r="B1558" s="464">
        <v>46053</v>
      </c>
      <c r="C1558" s="436" t="s">
        <v>327</v>
      </c>
      <c r="D1558" s="436" t="s">
        <v>723</v>
      </c>
      <c r="E1558" s="436">
        <v>1</v>
      </c>
      <c r="F1558" s="465">
        <v>3.1</v>
      </c>
      <c r="G1558" s="466">
        <v>3.1</v>
      </c>
      <c r="H1558" s="466">
        <f>G1558/1.1</f>
        <v>2.8181818181818179</v>
      </c>
      <c r="I1558" s="436"/>
      <c r="J1558" s="465">
        <v>0</v>
      </c>
      <c r="K1558" s="467">
        <v>0</v>
      </c>
    </row>
    <row r="1559" spans="2:11" ht="19" customHeight="1">
      <c r="B1559" s="464">
        <v>46053</v>
      </c>
      <c r="C1559" s="436" t="s">
        <v>862</v>
      </c>
      <c r="D1559" s="436" t="s">
        <v>865</v>
      </c>
      <c r="E1559" s="436">
        <v>1</v>
      </c>
      <c r="F1559" s="465">
        <v>0.05</v>
      </c>
      <c r="G1559" s="466">
        <v>0.05</v>
      </c>
      <c r="H1559" s="466">
        <f>G1559/1.1</f>
        <v>4.5454545454545456E-2</v>
      </c>
      <c r="I1559" s="436"/>
      <c r="J1559" s="465">
        <v>0</v>
      </c>
      <c r="K1559" s="467">
        <v>0</v>
      </c>
    </row>
    <row r="1560" spans="2:11" ht="19" customHeight="1">
      <c r="B1560" s="464">
        <v>46053</v>
      </c>
      <c r="C1560" s="436" t="s">
        <v>247</v>
      </c>
      <c r="D1560" s="436" t="s">
        <v>246</v>
      </c>
      <c r="E1560" s="436">
        <v>2</v>
      </c>
      <c r="F1560" s="465">
        <v>1.7</v>
      </c>
      <c r="G1560" s="466">
        <v>3.4</v>
      </c>
      <c r="H1560" s="466">
        <f>G1560/1.1</f>
        <v>3.0909090909090904</v>
      </c>
      <c r="I1560" s="436"/>
      <c r="J1560" s="465">
        <v>0</v>
      </c>
      <c r="K1560" s="467">
        <v>0</v>
      </c>
    </row>
    <row r="1561" spans="2:11" ht="19" customHeight="1">
      <c r="B1561" s="464">
        <v>46053</v>
      </c>
      <c r="C1561" s="436" t="s">
        <v>247</v>
      </c>
      <c r="D1561" s="436" t="s">
        <v>248</v>
      </c>
      <c r="E1561" s="436">
        <v>1</v>
      </c>
      <c r="F1561" s="465">
        <v>1.5</v>
      </c>
      <c r="G1561" s="466">
        <v>1.5</v>
      </c>
      <c r="H1561" s="466">
        <f>G1561/1.1</f>
        <v>1.3636363636363635</v>
      </c>
      <c r="I1561" s="436"/>
      <c r="J1561" s="465">
        <v>0</v>
      </c>
      <c r="K1561" s="467">
        <v>0</v>
      </c>
    </row>
    <row r="1562" spans="2:11" ht="19" customHeight="1">
      <c r="B1562" s="464">
        <v>46053</v>
      </c>
      <c r="C1562" s="436" t="s">
        <v>247</v>
      </c>
      <c r="D1562" s="436" t="s">
        <v>257</v>
      </c>
      <c r="E1562" s="436">
        <v>1</v>
      </c>
      <c r="F1562" s="465">
        <v>1.4</v>
      </c>
      <c r="G1562" s="466">
        <v>1.4</v>
      </c>
      <c r="H1562" s="466">
        <f>G1562/1.1</f>
        <v>1.2727272727272725</v>
      </c>
      <c r="I1562" s="436"/>
      <c r="J1562" s="465">
        <v>0</v>
      </c>
      <c r="K1562" s="467">
        <v>0</v>
      </c>
    </row>
    <row r="1563" spans="2:11" ht="19" customHeight="1">
      <c r="B1563" s="464">
        <v>46053</v>
      </c>
      <c r="C1563" s="436" t="s">
        <v>268</v>
      </c>
      <c r="D1563" s="436" t="s">
        <v>267</v>
      </c>
      <c r="E1563" s="436">
        <v>1</v>
      </c>
      <c r="F1563" s="465">
        <v>1.5</v>
      </c>
      <c r="G1563" s="466">
        <v>1.5</v>
      </c>
      <c r="H1563" s="466">
        <f>G1563/1.1</f>
        <v>1.3636363636363635</v>
      </c>
      <c r="I1563" s="436"/>
      <c r="J1563" s="465">
        <v>0</v>
      </c>
      <c r="K1563" s="467">
        <v>0</v>
      </c>
    </row>
    <row r="1564" spans="2:11" ht="19" customHeight="1">
      <c r="B1564" s="464">
        <v>46053</v>
      </c>
      <c r="C1564" s="436" t="s">
        <v>247</v>
      </c>
      <c r="D1564" s="436" t="s">
        <v>246</v>
      </c>
      <c r="E1564" s="436">
        <v>1</v>
      </c>
      <c r="F1564" s="465">
        <v>1.7</v>
      </c>
      <c r="G1564" s="466">
        <v>1.7</v>
      </c>
      <c r="H1564" s="466">
        <f>G1564/1.1</f>
        <v>1.5454545454545452</v>
      </c>
      <c r="I1564" s="436"/>
      <c r="J1564" s="465">
        <v>0</v>
      </c>
      <c r="K1564" s="467">
        <v>0</v>
      </c>
    </row>
    <row r="1565" spans="2:11" ht="19" customHeight="1">
      <c r="B1565" s="464">
        <v>46054</v>
      </c>
      <c r="C1565" s="436" t="s">
        <v>268</v>
      </c>
      <c r="D1565" s="436" t="s">
        <v>860</v>
      </c>
      <c r="E1565" s="436">
        <v>1</v>
      </c>
      <c r="F1565" s="465">
        <v>2.25</v>
      </c>
      <c r="G1565" s="466">
        <v>2.25</v>
      </c>
      <c r="H1565" s="466">
        <f>G1565/1.1</f>
        <v>2.0454545454545454</v>
      </c>
      <c r="I1565" s="436"/>
      <c r="J1565" s="465">
        <v>0</v>
      </c>
      <c r="K1565" s="467">
        <v>0</v>
      </c>
    </row>
    <row r="1566" spans="2:11" ht="19" customHeight="1">
      <c r="B1566" s="464">
        <v>46054</v>
      </c>
      <c r="C1566" s="436" t="s">
        <v>247</v>
      </c>
      <c r="D1566" s="436" t="s">
        <v>257</v>
      </c>
      <c r="E1566" s="436">
        <v>1</v>
      </c>
      <c r="F1566" s="465">
        <v>1.4</v>
      </c>
      <c r="G1566" s="466">
        <v>1.4</v>
      </c>
      <c r="H1566" s="466">
        <f>G1566/1.1</f>
        <v>1.2727272727272725</v>
      </c>
      <c r="I1566" s="436"/>
      <c r="J1566" s="465">
        <v>0</v>
      </c>
      <c r="K1566" s="467">
        <v>0</v>
      </c>
    </row>
    <row r="1567" spans="2:11" ht="19" customHeight="1">
      <c r="B1567" s="464">
        <v>46054</v>
      </c>
      <c r="C1567" s="436" t="s">
        <v>247</v>
      </c>
      <c r="D1567" s="436" t="s">
        <v>902</v>
      </c>
      <c r="E1567" s="436">
        <v>1</v>
      </c>
      <c r="F1567" s="465">
        <v>1.95</v>
      </c>
      <c r="G1567" s="466">
        <v>1.95</v>
      </c>
      <c r="H1567" s="466">
        <f>G1567/1.1</f>
        <v>1.7727272727272725</v>
      </c>
      <c r="I1567" s="436"/>
      <c r="J1567" s="465">
        <v>0</v>
      </c>
      <c r="K1567" s="467">
        <v>0</v>
      </c>
    </row>
    <row r="1568" spans="2:11" ht="19" customHeight="1">
      <c r="B1568" s="464">
        <v>46054</v>
      </c>
      <c r="C1568" s="436" t="s">
        <v>247</v>
      </c>
      <c r="D1568" s="436" t="s">
        <v>257</v>
      </c>
      <c r="E1568" s="436">
        <v>1</v>
      </c>
      <c r="F1568" s="465">
        <v>1.4</v>
      </c>
      <c r="G1568" s="466">
        <v>1.4</v>
      </c>
      <c r="H1568" s="466">
        <f>G1568/1.1</f>
        <v>1.2727272727272725</v>
      </c>
      <c r="I1568" s="436"/>
      <c r="J1568" s="465">
        <v>0</v>
      </c>
      <c r="K1568" s="467">
        <v>0</v>
      </c>
    </row>
    <row r="1569" spans="2:11" ht="19" customHeight="1">
      <c r="B1569" s="464">
        <v>46054</v>
      </c>
      <c r="C1569" s="436" t="s">
        <v>862</v>
      </c>
      <c r="D1569" s="436" t="s">
        <v>863</v>
      </c>
      <c r="E1569" s="436">
        <v>1</v>
      </c>
      <c r="F1569" s="465">
        <v>0.15</v>
      </c>
      <c r="G1569" s="466">
        <v>0.15</v>
      </c>
      <c r="H1569" s="466">
        <f>G1569/1.1</f>
        <v>0.13636363636363635</v>
      </c>
      <c r="I1569" s="436"/>
      <c r="J1569" s="465">
        <v>0</v>
      </c>
      <c r="K1569" s="467">
        <v>0</v>
      </c>
    </row>
    <row r="1570" spans="2:11" ht="19" customHeight="1">
      <c r="B1570" s="464">
        <v>46054</v>
      </c>
      <c r="C1570" s="436" t="s">
        <v>247</v>
      </c>
      <c r="D1570" s="436" t="s">
        <v>246</v>
      </c>
      <c r="E1570" s="436">
        <v>1</v>
      </c>
      <c r="F1570" s="465">
        <v>1.7</v>
      </c>
      <c r="G1570" s="466">
        <v>1.7</v>
      </c>
      <c r="H1570" s="466">
        <f>G1570/1.1</f>
        <v>1.5454545454545452</v>
      </c>
      <c r="I1570" s="436"/>
      <c r="J1570" s="465">
        <v>0</v>
      </c>
      <c r="K1570" s="467">
        <v>0</v>
      </c>
    </row>
    <row r="1571" spans="2:11" ht="19" customHeight="1">
      <c r="B1571" s="464">
        <v>46054</v>
      </c>
      <c r="C1571" s="436" t="s">
        <v>862</v>
      </c>
      <c r="D1571" s="436" t="s">
        <v>863</v>
      </c>
      <c r="E1571" s="436">
        <v>1</v>
      </c>
      <c r="F1571" s="465">
        <v>0.15</v>
      </c>
      <c r="G1571" s="466">
        <v>0.15</v>
      </c>
      <c r="H1571" s="466">
        <f>G1571/1.1</f>
        <v>0.13636363636363635</v>
      </c>
      <c r="I1571" s="436"/>
      <c r="J1571" s="465">
        <v>0</v>
      </c>
      <c r="K1571" s="467">
        <v>0</v>
      </c>
    </row>
    <row r="1572" spans="2:11" ht="19" customHeight="1">
      <c r="B1572" s="464">
        <v>46054</v>
      </c>
      <c r="C1572" s="436" t="s">
        <v>247</v>
      </c>
      <c r="D1572" s="436" t="s">
        <v>246</v>
      </c>
      <c r="E1572" s="436">
        <v>1</v>
      </c>
      <c r="F1572" s="465">
        <v>1.7</v>
      </c>
      <c r="G1572" s="466">
        <v>1.7</v>
      </c>
      <c r="H1572" s="466">
        <f>G1572/1.1</f>
        <v>1.5454545454545452</v>
      </c>
      <c r="I1572" s="436"/>
      <c r="J1572" s="465">
        <v>0</v>
      </c>
      <c r="K1572" s="467">
        <v>0</v>
      </c>
    </row>
    <row r="1573" spans="2:11" ht="19" customHeight="1">
      <c r="B1573" s="464">
        <v>46054</v>
      </c>
      <c r="C1573" s="436" t="s">
        <v>253</v>
      </c>
      <c r="D1573" s="436" t="s">
        <v>869</v>
      </c>
      <c r="E1573" s="436">
        <v>1</v>
      </c>
      <c r="F1573" s="465">
        <v>2.5</v>
      </c>
      <c r="G1573" s="466">
        <v>2.5</v>
      </c>
      <c r="H1573" s="466">
        <f>G1573/1.1</f>
        <v>2.2727272727272725</v>
      </c>
      <c r="I1573" s="436"/>
      <c r="J1573" s="465">
        <v>0</v>
      </c>
      <c r="K1573" s="467">
        <v>0</v>
      </c>
    </row>
    <row r="1574" spans="2:11" ht="19" customHeight="1">
      <c r="B1574" s="464">
        <v>46054</v>
      </c>
      <c r="C1574" s="436" t="s">
        <v>268</v>
      </c>
      <c r="D1574" s="436" t="s">
        <v>858</v>
      </c>
      <c r="E1574" s="436">
        <v>2</v>
      </c>
      <c r="F1574" s="465">
        <v>0.65</v>
      </c>
      <c r="G1574" s="466">
        <v>1.3</v>
      </c>
      <c r="H1574" s="466">
        <f>G1574/1.1</f>
        <v>1.1818181818181817</v>
      </c>
      <c r="I1574" s="436"/>
      <c r="J1574" s="465">
        <v>0</v>
      </c>
      <c r="K1574" s="467">
        <v>0</v>
      </c>
    </row>
    <row r="1575" spans="2:11" ht="19" customHeight="1">
      <c r="B1575" s="464">
        <v>46054</v>
      </c>
      <c r="C1575" s="436" t="s">
        <v>268</v>
      </c>
      <c r="D1575" s="436" t="s">
        <v>859</v>
      </c>
      <c r="E1575" s="436">
        <v>2</v>
      </c>
      <c r="F1575" s="465">
        <v>0.75</v>
      </c>
      <c r="G1575" s="466">
        <v>1.5</v>
      </c>
      <c r="H1575" s="466">
        <f>G1575/1.1</f>
        <v>1.3636363636363635</v>
      </c>
      <c r="I1575" s="436"/>
      <c r="J1575" s="465">
        <v>0</v>
      </c>
      <c r="K1575" s="467">
        <v>0</v>
      </c>
    </row>
    <row r="1576" spans="2:11" ht="19" customHeight="1">
      <c r="B1576" s="464">
        <v>46054</v>
      </c>
      <c r="C1576" s="436" t="s">
        <v>247</v>
      </c>
      <c r="D1576" s="436" t="s">
        <v>248</v>
      </c>
      <c r="E1576" s="436">
        <v>2</v>
      </c>
      <c r="F1576" s="465">
        <v>1.5</v>
      </c>
      <c r="G1576" s="466">
        <v>3</v>
      </c>
      <c r="H1576" s="466">
        <f>G1576/1.1</f>
        <v>2.7272727272727271</v>
      </c>
      <c r="I1576" s="436"/>
      <c r="J1576" s="465">
        <v>0</v>
      </c>
      <c r="K1576" s="467">
        <v>0</v>
      </c>
    </row>
    <row r="1577" spans="2:11" ht="19" customHeight="1">
      <c r="B1577" s="464">
        <v>46054</v>
      </c>
      <c r="C1577" s="436" t="s">
        <v>247</v>
      </c>
      <c r="D1577" s="436" t="s">
        <v>246</v>
      </c>
      <c r="E1577" s="436">
        <v>1</v>
      </c>
      <c r="F1577" s="465">
        <v>1.7</v>
      </c>
      <c r="G1577" s="466">
        <v>1.7</v>
      </c>
      <c r="H1577" s="466">
        <f>G1577/1.1</f>
        <v>1.5454545454545452</v>
      </c>
      <c r="I1577" s="436"/>
      <c r="J1577" s="465">
        <v>0</v>
      </c>
      <c r="K1577" s="467">
        <v>0</v>
      </c>
    </row>
    <row r="1578" spans="2:11" ht="19" customHeight="1">
      <c r="B1578" s="464">
        <v>46054</v>
      </c>
      <c r="C1578" s="436" t="s">
        <v>247</v>
      </c>
      <c r="D1578" s="436" t="s">
        <v>248</v>
      </c>
      <c r="E1578" s="436">
        <v>1</v>
      </c>
      <c r="F1578" s="465">
        <v>1.5</v>
      </c>
      <c r="G1578" s="466">
        <v>1.5</v>
      </c>
      <c r="H1578" s="466">
        <f>G1578/1.1</f>
        <v>1.3636363636363635</v>
      </c>
      <c r="I1578" s="436"/>
      <c r="J1578" s="465">
        <v>0</v>
      </c>
      <c r="K1578" s="467">
        <v>0</v>
      </c>
    </row>
    <row r="1579" spans="2:11" ht="19" customHeight="1">
      <c r="B1579" s="464">
        <v>46054</v>
      </c>
      <c r="C1579" s="436" t="s">
        <v>247</v>
      </c>
      <c r="D1579" s="436" t="s">
        <v>246</v>
      </c>
      <c r="E1579" s="436">
        <v>1</v>
      </c>
      <c r="F1579" s="465">
        <v>1.7</v>
      </c>
      <c r="G1579" s="466">
        <v>1.7</v>
      </c>
      <c r="H1579" s="466">
        <f>G1579/1.1</f>
        <v>1.5454545454545452</v>
      </c>
      <c r="I1579" s="436"/>
      <c r="J1579" s="465">
        <v>0</v>
      </c>
      <c r="K1579" s="467">
        <v>0</v>
      </c>
    </row>
    <row r="1580" spans="2:11" ht="19" customHeight="1">
      <c r="B1580" s="464">
        <v>46054</v>
      </c>
      <c r="C1580" s="436" t="s">
        <v>955</v>
      </c>
      <c r="D1580" s="436" t="s">
        <v>956</v>
      </c>
      <c r="E1580" s="436">
        <v>1</v>
      </c>
      <c r="F1580" s="465">
        <v>1.75</v>
      </c>
      <c r="G1580" s="466">
        <v>1.75</v>
      </c>
      <c r="H1580" s="466">
        <f>G1580/1.1</f>
        <v>1.5909090909090908</v>
      </c>
      <c r="I1580" s="436"/>
      <c r="J1580" s="465">
        <v>0</v>
      </c>
      <c r="K1580" s="467">
        <v>0</v>
      </c>
    </row>
    <row r="1581" spans="2:11" ht="19" customHeight="1">
      <c r="B1581" s="464">
        <v>46054</v>
      </c>
      <c r="C1581" s="436" t="s">
        <v>247</v>
      </c>
      <c r="D1581" s="436" t="s">
        <v>246</v>
      </c>
      <c r="E1581" s="436">
        <v>1</v>
      </c>
      <c r="F1581" s="465">
        <v>1.7</v>
      </c>
      <c r="G1581" s="466">
        <v>1.7</v>
      </c>
      <c r="H1581" s="466">
        <f>G1581/1.1</f>
        <v>1.5454545454545452</v>
      </c>
      <c r="I1581" s="436"/>
      <c r="J1581" s="465">
        <v>0</v>
      </c>
      <c r="K1581" s="467">
        <v>0</v>
      </c>
    </row>
    <row r="1582" spans="2:11" ht="19" customHeight="1">
      <c r="B1582" s="464">
        <v>46054</v>
      </c>
      <c r="C1582" s="436" t="s">
        <v>247</v>
      </c>
      <c r="D1582" s="436" t="s">
        <v>248</v>
      </c>
      <c r="E1582" s="436">
        <v>1</v>
      </c>
      <c r="F1582" s="465">
        <v>1.5</v>
      </c>
      <c r="G1582" s="466">
        <v>1.5</v>
      </c>
      <c r="H1582" s="466">
        <f>G1582/1.1</f>
        <v>1.3636363636363635</v>
      </c>
      <c r="I1582" s="436"/>
      <c r="J1582" s="465">
        <v>0</v>
      </c>
      <c r="K1582" s="467">
        <v>0</v>
      </c>
    </row>
    <row r="1583" spans="2:11" ht="19" customHeight="1">
      <c r="B1583" s="464">
        <v>46054</v>
      </c>
      <c r="C1583" s="436" t="s">
        <v>247</v>
      </c>
      <c r="D1583" s="436" t="s">
        <v>246</v>
      </c>
      <c r="E1583" s="436">
        <v>1</v>
      </c>
      <c r="F1583" s="465">
        <v>1.7</v>
      </c>
      <c r="G1583" s="466">
        <v>1.7</v>
      </c>
      <c r="H1583" s="466">
        <f>G1583/1.1</f>
        <v>1.5454545454545452</v>
      </c>
      <c r="I1583" s="436"/>
      <c r="J1583" s="465">
        <v>0</v>
      </c>
      <c r="K1583" s="467">
        <v>0</v>
      </c>
    </row>
    <row r="1584" spans="2:11" ht="19" customHeight="1">
      <c r="B1584" s="464">
        <v>46054</v>
      </c>
      <c r="C1584" s="436" t="s">
        <v>327</v>
      </c>
      <c r="D1584" s="436" t="s">
        <v>817</v>
      </c>
      <c r="E1584" s="436">
        <v>1</v>
      </c>
      <c r="F1584" s="465">
        <v>4.9000000000000004</v>
      </c>
      <c r="G1584" s="466">
        <v>4.9000000000000004</v>
      </c>
      <c r="H1584" s="466">
        <f>G1584/1.1</f>
        <v>4.4545454545454541</v>
      </c>
      <c r="I1584" s="436"/>
      <c r="J1584" s="465">
        <v>0</v>
      </c>
      <c r="K1584" s="467">
        <v>0</v>
      </c>
    </row>
    <row r="1585" spans="2:11" ht="19" customHeight="1">
      <c r="B1585" s="464">
        <v>46054</v>
      </c>
      <c r="C1585" s="436" t="s">
        <v>264</v>
      </c>
      <c r="D1585" s="436" t="s">
        <v>891</v>
      </c>
      <c r="E1585" s="436">
        <v>1</v>
      </c>
      <c r="F1585" s="465">
        <v>1.4</v>
      </c>
      <c r="G1585" s="466">
        <v>1.4</v>
      </c>
      <c r="H1585" s="466">
        <f>G1585/1.1</f>
        <v>1.2727272727272725</v>
      </c>
      <c r="I1585" s="436"/>
      <c r="J1585" s="465">
        <v>0</v>
      </c>
      <c r="K1585" s="467">
        <v>0</v>
      </c>
    </row>
    <row r="1586" spans="2:11" ht="19" customHeight="1">
      <c r="B1586" s="464">
        <v>46054</v>
      </c>
      <c r="C1586" s="436" t="s">
        <v>251</v>
      </c>
      <c r="D1586" s="436" t="s">
        <v>742</v>
      </c>
      <c r="E1586" s="436">
        <v>1</v>
      </c>
      <c r="F1586" s="465">
        <v>2.75</v>
      </c>
      <c r="G1586" s="466">
        <v>2.75</v>
      </c>
      <c r="H1586" s="466">
        <f>G1586/1.1</f>
        <v>2.5</v>
      </c>
      <c r="I1586" s="436"/>
      <c r="J1586" s="465">
        <v>0</v>
      </c>
      <c r="K1586" s="467">
        <v>0</v>
      </c>
    </row>
    <row r="1587" spans="2:11" ht="19" customHeight="1">
      <c r="B1587" s="464">
        <v>46054</v>
      </c>
      <c r="C1587" s="436" t="s">
        <v>268</v>
      </c>
      <c r="D1587" s="436" t="s">
        <v>1005</v>
      </c>
      <c r="E1587" s="436">
        <v>1</v>
      </c>
      <c r="F1587" s="465">
        <v>2.9</v>
      </c>
      <c r="G1587" s="466">
        <v>2.9</v>
      </c>
      <c r="H1587" s="466">
        <f>G1587/1.1</f>
        <v>2.6363636363636362</v>
      </c>
      <c r="I1587" s="436"/>
      <c r="J1587" s="465">
        <v>0</v>
      </c>
      <c r="K1587" s="467">
        <v>0</v>
      </c>
    </row>
    <row r="1588" spans="2:11" ht="19" customHeight="1">
      <c r="B1588" s="464">
        <v>46054</v>
      </c>
      <c r="C1588" s="436" t="s">
        <v>247</v>
      </c>
      <c r="D1588" s="436" t="s">
        <v>248</v>
      </c>
      <c r="E1588" s="436">
        <v>2</v>
      </c>
      <c r="F1588" s="465">
        <v>1.5</v>
      </c>
      <c r="G1588" s="466">
        <v>3</v>
      </c>
      <c r="H1588" s="466">
        <f>G1588/1.1</f>
        <v>2.7272727272727271</v>
      </c>
      <c r="I1588" s="436"/>
      <c r="J1588" s="465">
        <v>0</v>
      </c>
      <c r="K1588" s="467">
        <v>0</v>
      </c>
    </row>
    <row r="1589" spans="2:11" ht="19" customHeight="1">
      <c r="B1589" s="464">
        <v>46054</v>
      </c>
      <c r="C1589" s="436" t="s">
        <v>247</v>
      </c>
      <c r="D1589" s="436" t="s">
        <v>248</v>
      </c>
      <c r="E1589" s="436">
        <v>2</v>
      </c>
      <c r="F1589" s="465">
        <v>1.5</v>
      </c>
      <c r="G1589" s="466">
        <v>3</v>
      </c>
      <c r="H1589" s="466">
        <f>G1589/1.1</f>
        <v>2.7272727272727271</v>
      </c>
      <c r="I1589" s="436"/>
      <c r="J1589" s="465">
        <v>0</v>
      </c>
      <c r="K1589" s="467">
        <v>0</v>
      </c>
    </row>
    <row r="1590" spans="2:11" ht="19" customHeight="1">
      <c r="B1590" s="464">
        <v>46054</v>
      </c>
      <c r="C1590" s="436" t="s">
        <v>247</v>
      </c>
      <c r="D1590" s="436" t="s">
        <v>246</v>
      </c>
      <c r="E1590" s="436">
        <v>2</v>
      </c>
      <c r="F1590" s="465">
        <v>1.7</v>
      </c>
      <c r="G1590" s="466">
        <v>3.4</v>
      </c>
      <c r="H1590" s="466">
        <f>G1590/1.1</f>
        <v>3.0909090909090904</v>
      </c>
      <c r="I1590" s="436"/>
      <c r="J1590" s="465">
        <v>0</v>
      </c>
      <c r="K1590" s="467">
        <v>0</v>
      </c>
    </row>
    <row r="1591" spans="2:11" ht="19" customHeight="1">
      <c r="B1591" s="464">
        <v>46054</v>
      </c>
      <c r="C1591" s="436" t="s">
        <v>247</v>
      </c>
      <c r="D1591" s="436" t="s">
        <v>246</v>
      </c>
      <c r="E1591" s="436">
        <v>1</v>
      </c>
      <c r="F1591" s="465">
        <v>1.7</v>
      </c>
      <c r="G1591" s="466">
        <v>1.7</v>
      </c>
      <c r="H1591" s="466">
        <f>G1591/1.1</f>
        <v>1.5454545454545452</v>
      </c>
      <c r="I1591" s="436"/>
      <c r="J1591" s="465">
        <v>0</v>
      </c>
      <c r="K1591" s="467">
        <v>0</v>
      </c>
    </row>
    <row r="1592" spans="2:11" ht="19" customHeight="1">
      <c r="B1592" s="464">
        <v>46054</v>
      </c>
      <c r="C1592" s="436" t="s">
        <v>862</v>
      </c>
      <c r="D1592" s="436" t="s">
        <v>899</v>
      </c>
      <c r="E1592" s="436">
        <v>1</v>
      </c>
      <c r="F1592" s="465">
        <v>0.05</v>
      </c>
      <c r="G1592" s="466">
        <v>0.05</v>
      </c>
      <c r="H1592" s="466">
        <f>G1592/1.1</f>
        <v>4.5454545454545456E-2</v>
      </c>
      <c r="I1592" s="436"/>
      <c r="J1592" s="465">
        <v>0</v>
      </c>
      <c r="K1592" s="467">
        <v>0</v>
      </c>
    </row>
    <row r="1593" spans="2:11" ht="19" customHeight="1">
      <c r="B1593" s="464">
        <v>46054</v>
      </c>
      <c r="C1593" s="436" t="s">
        <v>247</v>
      </c>
      <c r="D1593" s="436" t="s">
        <v>257</v>
      </c>
      <c r="E1593" s="436">
        <v>1</v>
      </c>
      <c r="F1593" s="465">
        <v>1.4</v>
      </c>
      <c r="G1593" s="466">
        <v>1.4</v>
      </c>
      <c r="H1593" s="466">
        <f>G1593/1.1</f>
        <v>1.2727272727272725</v>
      </c>
      <c r="I1593" s="436"/>
      <c r="J1593" s="465">
        <v>0</v>
      </c>
      <c r="K1593" s="467">
        <v>0</v>
      </c>
    </row>
    <row r="1594" spans="2:11" ht="19" customHeight="1">
      <c r="B1594" s="464">
        <v>46054</v>
      </c>
      <c r="C1594" s="436" t="s">
        <v>328</v>
      </c>
      <c r="D1594" s="436" t="s">
        <v>773</v>
      </c>
      <c r="E1594" s="436">
        <v>1</v>
      </c>
      <c r="F1594" s="465">
        <v>3.1</v>
      </c>
      <c r="G1594" s="466">
        <v>3.1</v>
      </c>
      <c r="H1594" s="466">
        <f>G1594/1.1</f>
        <v>2.8181818181818179</v>
      </c>
      <c r="I1594" s="436"/>
      <c r="J1594" s="465">
        <v>0</v>
      </c>
      <c r="K1594" s="467">
        <v>0</v>
      </c>
    </row>
    <row r="1595" spans="2:11" ht="19" customHeight="1">
      <c r="B1595" s="464">
        <v>46054</v>
      </c>
      <c r="C1595" s="436" t="s">
        <v>862</v>
      </c>
      <c r="D1595" s="436" t="s">
        <v>865</v>
      </c>
      <c r="E1595" s="436">
        <v>1</v>
      </c>
      <c r="F1595" s="465">
        <v>0.05</v>
      </c>
      <c r="G1595" s="466">
        <v>0.05</v>
      </c>
      <c r="H1595" s="466">
        <f>G1595/1.1</f>
        <v>4.5454545454545456E-2</v>
      </c>
      <c r="I1595" s="436"/>
      <c r="J1595" s="465">
        <v>0</v>
      </c>
      <c r="K1595" s="467">
        <v>0</v>
      </c>
    </row>
    <row r="1596" spans="2:11" ht="19" customHeight="1">
      <c r="B1596" s="464">
        <v>46054</v>
      </c>
      <c r="C1596" s="436" t="s">
        <v>328</v>
      </c>
      <c r="D1596" s="436" t="s">
        <v>739</v>
      </c>
      <c r="E1596" s="436">
        <v>1</v>
      </c>
      <c r="F1596" s="465">
        <v>5.85</v>
      </c>
      <c r="G1596" s="466">
        <v>5.85</v>
      </c>
      <c r="H1596" s="466">
        <f>G1596/1.1</f>
        <v>5.3181818181818175</v>
      </c>
      <c r="I1596" s="436"/>
      <c r="J1596" s="465">
        <v>0</v>
      </c>
      <c r="K1596" s="467">
        <v>0</v>
      </c>
    </row>
    <row r="1597" spans="2:11" ht="19" customHeight="1">
      <c r="B1597" s="464">
        <v>46054</v>
      </c>
      <c r="C1597" s="436" t="s">
        <v>862</v>
      </c>
      <c r="D1597" s="436" t="s">
        <v>865</v>
      </c>
      <c r="E1597" s="436">
        <v>1</v>
      </c>
      <c r="F1597" s="465">
        <v>0.05</v>
      </c>
      <c r="G1597" s="466">
        <v>0.05</v>
      </c>
      <c r="H1597" s="466">
        <f>G1597/1.1</f>
        <v>4.5454545454545456E-2</v>
      </c>
      <c r="I1597" s="436"/>
      <c r="J1597" s="465">
        <v>0</v>
      </c>
      <c r="K1597" s="467">
        <v>0</v>
      </c>
    </row>
    <row r="1598" spans="2:11" ht="19" customHeight="1">
      <c r="B1598" s="464">
        <v>46054</v>
      </c>
      <c r="C1598" s="436" t="s">
        <v>247</v>
      </c>
      <c r="D1598" s="436" t="s">
        <v>246</v>
      </c>
      <c r="E1598" s="436">
        <v>2</v>
      </c>
      <c r="F1598" s="465">
        <v>1.7</v>
      </c>
      <c r="G1598" s="466">
        <v>3.4</v>
      </c>
      <c r="H1598" s="466">
        <f>G1598/1.1</f>
        <v>3.0909090909090904</v>
      </c>
      <c r="I1598" s="436"/>
      <c r="J1598" s="465">
        <v>0</v>
      </c>
      <c r="K1598" s="467">
        <v>0</v>
      </c>
    </row>
    <row r="1599" spans="2:11" ht="19" customHeight="1">
      <c r="B1599" s="464">
        <v>46054</v>
      </c>
      <c r="C1599" s="436" t="s">
        <v>247</v>
      </c>
      <c r="D1599" s="436" t="s">
        <v>248</v>
      </c>
      <c r="E1599" s="436">
        <v>1</v>
      </c>
      <c r="F1599" s="465">
        <v>1.5</v>
      </c>
      <c r="G1599" s="466">
        <v>1.5</v>
      </c>
      <c r="H1599" s="466">
        <f>G1599/1.1</f>
        <v>1.3636363636363635</v>
      </c>
      <c r="I1599" s="436"/>
      <c r="J1599" s="465">
        <v>0</v>
      </c>
      <c r="K1599" s="467">
        <v>0</v>
      </c>
    </row>
    <row r="1600" spans="2:11" ht="19" customHeight="1">
      <c r="B1600" s="464">
        <v>46054</v>
      </c>
      <c r="C1600" s="436" t="s">
        <v>247</v>
      </c>
      <c r="D1600" s="436" t="s">
        <v>246</v>
      </c>
      <c r="E1600" s="436">
        <v>2</v>
      </c>
      <c r="F1600" s="465">
        <v>1.7</v>
      </c>
      <c r="G1600" s="466">
        <v>3.4</v>
      </c>
      <c r="H1600" s="466">
        <f>G1600/1.1</f>
        <v>3.0909090909090904</v>
      </c>
      <c r="I1600" s="436"/>
      <c r="J1600" s="465">
        <v>0</v>
      </c>
      <c r="K1600" s="467">
        <v>0</v>
      </c>
    </row>
    <row r="1601" spans="2:11" ht="19" customHeight="1">
      <c r="B1601" s="464">
        <v>46054</v>
      </c>
      <c r="C1601" s="436" t="s">
        <v>247</v>
      </c>
      <c r="D1601" s="436" t="s">
        <v>902</v>
      </c>
      <c r="E1601" s="436">
        <v>1</v>
      </c>
      <c r="F1601" s="467">
        <v>1.95</v>
      </c>
      <c r="G1601" s="466">
        <v>1.95</v>
      </c>
      <c r="H1601" s="466">
        <f>G1601/1.1</f>
        <v>1.7727272727272725</v>
      </c>
      <c r="I1601" s="436"/>
      <c r="J1601" s="465">
        <v>0</v>
      </c>
      <c r="K1601" s="467">
        <v>0</v>
      </c>
    </row>
    <row r="1602" spans="2:11" ht="19" customHeight="1">
      <c r="B1602" s="464">
        <v>46054</v>
      </c>
      <c r="C1602" s="436" t="s">
        <v>247</v>
      </c>
      <c r="D1602" s="436" t="s">
        <v>248</v>
      </c>
      <c r="E1602" s="436">
        <v>1</v>
      </c>
      <c r="F1602" s="465">
        <v>1.65</v>
      </c>
      <c r="G1602" s="466">
        <v>1.65</v>
      </c>
      <c r="H1602" s="466">
        <f>G1602/1.1</f>
        <v>1.4999999999999998</v>
      </c>
      <c r="I1602" s="436"/>
      <c r="J1602" s="465">
        <v>0</v>
      </c>
      <c r="K1602" s="467">
        <v>0</v>
      </c>
    </row>
    <row r="1603" spans="2:11" ht="19" customHeight="1">
      <c r="B1603" s="464">
        <v>46054</v>
      </c>
      <c r="C1603" s="436" t="s">
        <v>247</v>
      </c>
      <c r="D1603" s="436" t="s">
        <v>246</v>
      </c>
      <c r="E1603" s="436">
        <v>2</v>
      </c>
      <c r="F1603" s="465">
        <v>1.7</v>
      </c>
      <c r="G1603" s="466">
        <v>3.4</v>
      </c>
      <c r="H1603" s="466">
        <f>G1603/1.1</f>
        <v>3.0909090909090904</v>
      </c>
      <c r="I1603" s="436"/>
      <c r="J1603" s="465">
        <v>0</v>
      </c>
      <c r="K1603" s="467">
        <v>0</v>
      </c>
    </row>
    <row r="1604" spans="2:11" ht="19" customHeight="1">
      <c r="B1604" s="464">
        <v>46054</v>
      </c>
      <c r="C1604" s="436" t="s">
        <v>247</v>
      </c>
      <c r="D1604" s="436" t="s">
        <v>246</v>
      </c>
      <c r="E1604" s="436">
        <v>1</v>
      </c>
      <c r="F1604" s="465">
        <v>1.7</v>
      </c>
      <c r="G1604" s="466">
        <v>1.7</v>
      </c>
      <c r="H1604" s="466">
        <f>G1604/1.1</f>
        <v>1.5454545454545452</v>
      </c>
      <c r="I1604" s="436"/>
      <c r="J1604" s="465">
        <v>0</v>
      </c>
      <c r="K1604" s="467">
        <v>0</v>
      </c>
    </row>
    <row r="1605" spans="2:11" ht="19" customHeight="1">
      <c r="B1605" s="464">
        <v>46054</v>
      </c>
      <c r="C1605" s="436" t="s">
        <v>862</v>
      </c>
      <c r="D1605" s="436" t="s">
        <v>863</v>
      </c>
      <c r="E1605" s="436">
        <v>1</v>
      </c>
      <c r="F1605" s="465">
        <v>0.15</v>
      </c>
      <c r="G1605" s="466">
        <v>0.15</v>
      </c>
      <c r="H1605" s="466">
        <f>G1605/1.1</f>
        <v>0.13636363636363635</v>
      </c>
      <c r="I1605" s="436"/>
      <c r="J1605" s="465">
        <v>0</v>
      </c>
      <c r="K1605" s="467">
        <v>0</v>
      </c>
    </row>
    <row r="1606" spans="2:11" ht="19" customHeight="1">
      <c r="B1606" s="464">
        <v>46054</v>
      </c>
      <c r="C1606" s="436" t="s">
        <v>247</v>
      </c>
      <c r="D1606" s="436" t="s">
        <v>248</v>
      </c>
      <c r="E1606" s="436">
        <v>1</v>
      </c>
      <c r="F1606" s="465">
        <v>1.5</v>
      </c>
      <c r="G1606" s="466">
        <v>1.5</v>
      </c>
      <c r="H1606" s="466">
        <f>G1606/1.1</f>
        <v>1.3636363636363635</v>
      </c>
      <c r="I1606" s="436"/>
      <c r="J1606" s="465">
        <v>0</v>
      </c>
      <c r="K1606" s="467">
        <v>0</v>
      </c>
    </row>
    <row r="1607" spans="2:11" ht="19" customHeight="1">
      <c r="B1607" s="464">
        <v>46054</v>
      </c>
      <c r="C1607" s="436" t="s">
        <v>247</v>
      </c>
      <c r="D1607" s="436" t="s">
        <v>257</v>
      </c>
      <c r="E1607" s="436">
        <v>1</v>
      </c>
      <c r="F1607" s="465">
        <v>1.4</v>
      </c>
      <c r="G1607" s="466">
        <v>1.4</v>
      </c>
      <c r="H1607" s="466">
        <f>G1607/1.1</f>
        <v>1.2727272727272725</v>
      </c>
      <c r="I1607" s="436"/>
      <c r="J1607" s="465">
        <v>0</v>
      </c>
      <c r="K1607" s="467">
        <v>0</v>
      </c>
    </row>
    <row r="1608" spans="2:11" ht="19" customHeight="1">
      <c r="B1608" s="464">
        <v>46054</v>
      </c>
      <c r="C1608" s="436" t="s">
        <v>247</v>
      </c>
      <c r="D1608" s="436" t="s">
        <v>246</v>
      </c>
      <c r="E1608" s="436">
        <v>1</v>
      </c>
      <c r="F1608" s="465">
        <v>1.7</v>
      </c>
      <c r="G1608" s="466">
        <v>1.7</v>
      </c>
      <c r="H1608" s="466">
        <f>G1608/1.1</f>
        <v>1.5454545454545452</v>
      </c>
      <c r="I1608" s="436"/>
      <c r="J1608" s="465">
        <v>0</v>
      </c>
      <c r="K1608" s="467">
        <v>0</v>
      </c>
    </row>
    <row r="1609" spans="2:11" ht="19" customHeight="1">
      <c r="B1609" s="464">
        <v>46057</v>
      </c>
      <c r="C1609" s="436" t="s">
        <v>251</v>
      </c>
      <c r="D1609" s="436" t="s">
        <v>854</v>
      </c>
      <c r="E1609" s="436">
        <v>3</v>
      </c>
      <c r="F1609" s="465">
        <v>1.55</v>
      </c>
      <c r="G1609" s="466">
        <v>4.6500000000000004</v>
      </c>
      <c r="H1609" s="466">
        <f>G1609/1.1</f>
        <v>4.2272727272727275</v>
      </c>
      <c r="I1609" s="436"/>
      <c r="J1609" s="465">
        <v>0</v>
      </c>
      <c r="K1609" s="467">
        <v>0</v>
      </c>
    </row>
    <row r="1610" spans="2:11" ht="19" customHeight="1">
      <c r="B1610" s="464">
        <v>46057</v>
      </c>
      <c r="C1610" s="436" t="s">
        <v>247</v>
      </c>
      <c r="D1610" s="436" t="s">
        <v>855</v>
      </c>
      <c r="E1610" s="436">
        <v>1</v>
      </c>
      <c r="F1610" s="465">
        <v>2.5499999999999998</v>
      </c>
      <c r="G1610" s="466">
        <v>2.5499999999999998</v>
      </c>
      <c r="H1610" s="466">
        <f>G1610/1.1</f>
        <v>2.3181818181818179</v>
      </c>
      <c r="I1610" s="436"/>
      <c r="J1610" s="465">
        <v>0</v>
      </c>
      <c r="K1610" s="467">
        <v>0</v>
      </c>
    </row>
    <row r="1611" spans="2:11" ht="19" customHeight="1">
      <c r="B1611" s="464">
        <v>46057</v>
      </c>
      <c r="C1611" s="436" t="s">
        <v>247</v>
      </c>
      <c r="D1611" s="436" t="s">
        <v>246</v>
      </c>
      <c r="E1611" s="436">
        <v>1</v>
      </c>
      <c r="F1611" s="465">
        <v>1.7</v>
      </c>
      <c r="G1611" s="466">
        <v>1.7</v>
      </c>
      <c r="H1611" s="466">
        <f>G1611/1.1</f>
        <v>1.5454545454545452</v>
      </c>
      <c r="I1611" s="436"/>
      <c r="J1611" s="465">
        <v>0</v>
      </c>
      <c r="K1611" s="467">
        <v>0</v>
      </c>
    </row>
    <row r="1612" spans="2:11" ht="19" customHeight="1">
      <c r="B1612" s="464">
        <v>46057</v>
      </c>
      <c r="C1612" s="436" t="s">
        <v>247</v>
      </c>
      <c r="D1612" s="436" t="s">
        <v>248</v>
      </c>
      <c r="E1612" s="436">
        <v>1</v>
      </c>
      <c r="F1612" s="465">
        <v>1.65</v>
      </c>
      <c r="G1612" s="466">
        <v>1.65</v>
      </c>
      <c r="H1612" s="466">
        <f>G1612/1.1</f>
        <v>1.4999999999999998</v>
      </c>
      <c r="I1612" s="436"/>
      <c r="J1612" s="465">
        <v>0</v>
      </c>
      <c r="K1612" s="467">
        <v>0</v>
      </c>
    </row>
    <row r="1613" spans="2:11" ht="19" customHeight="1">
      <c r="B1613" s="464">
        <v>46057</v>
      </c>
      <c r="C1613" s="436" t="s">
        <v>253</v>
      </c>
      <c r="D1613" s="436" t="s">
        <v>869</v>
      </c>
      <c r="E1613" s="436">
        <v>1</v>
      </c>
      <c r="F1613" s="465">
        <v>2.5</v>
      </c>
      <c r="G1613" s="466">
        <v>2.5</v>
      </c>
      <c r="H1613" s="466">
        <f>G1613/1.1</f>
        <v>2.2727272727272725</v>
      </c>
      <c r="I1613" s="436"/>
      <c r="J1613" s="465">
        <v>0</v>
      </c>
      <c r="K1613" s="467">
        <v>0</v>
      </c>
    </row>
    <row r="1614" spans="2:11" ht="19" customHeight="1">
      <c r="B1614" s="464">
        <v>46057</v>
      </c>
      <c r="C1614" s="436" t="s">
        <v>254</v>
      </c>
      <c r="D1614" s="436" t="s">
        <v>254</v>
      </c>
      <c r="E1614" s="436">
        <v>1</v>
      </c>
      <c r="F1614" s="465">
        <v>14.9</v>
      </c>
      <c r="G1614" s="466">
        <v>14.9</v>
      </c>
      <c r="H1614" s="466">
        <f>G1614/1.1</f>
        <v>13.545454545454545</v>
      </c>
      <c r="I1614" s="436"/>
      <c r="J1614" s="465">
        <v>0</v>
      </c>
      <c r="K1614" s="467">
        <v>0</v>
      </c>
    </row>
    <row r="1615" spans="2:11" ht="19" customHeight="1">
      <c r="B1615" s="464">
        <v>46057</v>
      </c>
      <c r="C1615" s="436" t="s">
        <v>873</v>
      </c>
      <c r="D1615" s="436" t="s">
        <v>1068</v>
      </c>
      <c r="E1615" s="436">
        <v>1</v>
      </c>
      <c r="F1615" s="469"/>
      <c r="G1615" s="468" t="s">
        <v>875</v>
      </c>
      <c r="H1615" s="466" t="e">
        <f>G1615/1.1</f>
        <v>#VALUE!</v>
      </c>
      <c r="I1615" s="436"/>
      <c r="J1615" s="465">
        <v>0</v>
      </c>
      <c r="K1615" s="467">
        <v>0</v>
      </c>
    </row>
    <row r="1616" spans="2:11" ht="19" customHeight="1">
      <c r="B1616" s="464">
        <v>46057</v>
      </c>
      <c r="C1616" s="436" t="s">
        <v>877</v>
      </c>
      <c r="D1616" s="436" t="s">
        <v>1069</v>
      </c>
      <c r="E1616" s="436">
        <v>1</v>
      </c>
      <c r="F1616" s="465">
        <v>3</v>
      </c>
      <c r="G1616" s="466">
        <v>3</v>
      </c>
      <c r="H1616" s="466">
        <f>G1616/1.1</f>
        <v>2.7272727272727271</v>
      </c>
      <c r="I1616" s="436"/>
      <c r="J1616" s="465">
        <v>0</v>
      </c>
      <c r="K1616" s="467">
        <v>0</v>
      </c>
    </row>
    <row r="1617" spans="2:11" ht="19" customHeight="1">
      <c r="B1617" s="464">
        <v>46057</v>
      </c>
      <c r="C1617" s="436" t="s">
        <v>266</v>
      </c>
      <c r="D1617" s="436" t="s">
        <v>942</v>
      </c>
      <c r="E1617" s="436">
        <v>1</v>
      </c>
      <c r="F1617" s="469"/>
      <c r="G1617" s="468" t="s">
        <v>875</v>
      </c>
      <c r="H1617" s="466" t="e">
        <f>G1617/1.1</f>
        <v>#VALUE!</v>
      </c>
      <c r="I1617" s="436"/>
      <c r="J1617" s="465">
        <v>0</v>
      </c>
      <c r="K1617" s="467">
        <v>0</v>
      </c>
    </row>
    <row r="1618" spans="2:11" ht="19" customHeight="1">
      <c r="B1618" s="464">
        <v>46057</v>
      </c>
      <c r="C1618" s="436" t="s">
        <v>254</v>
      </c>
      <c r="D1618" s="436" t="s">
        <v>254</v>
      </c>
      <c r="E1618" s="436">
        <v>3</v>
      </c>
      <c r="F1618" s="465">
        <v>14.9</v>
      </c>
      <c r="G1618" s="466">
        <v>44.7</v>
      </c>
      <c r="H1618" s="466">
        <f>G1618/1.1</f>
        <v>40.636363636363633</v>
      </c>
      <c r="I1618" s="436"/>
      <c r="J1618" s="465">
        <v>0</v>
      </c>
      <c r="K1618" s="467">
        <v>0</v>
      </c>
    </row>
    <row r="1619" spans="2:11" ht="19" customHeight="1">
      <c r="B1619" s="464">
        <v>46057</v>
      </c>
      <c r="C1619" s="436" t="s">
        <v>873</v>
      </c>
      <c r="D1619" s="436" t="s">
        <v>1070</v>
      </c>
      <c r="E1619" s="436">
        <v>2</v>
      </c>
      <c r="F1619" s="469"/>
      <c r="G1619" s="468" t="s">
        <v>875</v>
      </c>
      <c r="H1619" s="466" t="e">
        <f>G1619/1.1</f>
        <v>#VALUE!</v>
      </c>
      <c r="I1619" s="436"/>
      <c r="J1619" s="465">
        <v>0</v>
      </c>
      <c r="K1619" s="467">
        <v>0</v>
      </c>
    </row>
    <row r="1620" spans="2:11" ht="19" customHeight="1">
      <c r="B1620" s="464">
        <v>46057</v>
      </c>
      <c r="C1620" s="436" t="s">
        <v>873</v>
      </c>
      <c r="D1620" s="436" t="s">
        <v>1071</v>
      </c>
      <c r="E1620" s="436">
        <v>1</v>
      </c>
      <c r="F1620" s="469"/>
      <c r="G1620" s="468" t="s">
        <v>875</v>
      </c>
      <c r="H1620" s="466" t="e">
        <f>G1620/1.1</f>
        <v>#VALUE!</v>
      </c>
      <c r="I1620" s="436"/>
      <c r="J1620" s="465">
        <v>0</v>
      </c>
      <c r="K1620" s="467">
        <v>0</v>
      </c>
    </row>
    <row r="1621" spans="2:11" ht="19" customHeight="1">
      <c r="B1621" s="464">
        <v>46057</v>
      </c>
      <c r="C1621" s="436" t="s">
        <v>877</v>
      </c>
      <c r="D1621" s="436" t="s">
        <v>1015</v>
      </c>
      <c r="E1621" s="436">
        <v>1</v>
      </c>
      <c r="F1621" s="469"/>
      <c r="G1621" s="468" t="s">
        <v>875</v>
      </c>
      <c r="H1621" s="466" t="e">
        <f>G1621/1.1</f>
        <v>#VALUE!</v>
      </c>
      <c r="I1621" s="436"/>
      <c r="J1621" s="465">
        <v>0</v>
      </c>
      <c r="K1621" s="467">
        <v>0</v>
      </c>
    </row>
    <row r="1622" spans="2:11" ht="19" customHeight="1">
      <c r="B1622" s="464">
        <v>46057</v>
      </c>
      <c r="C1622" s="436" t="s">
        <v>877</v>
      </c>
      <c r="D1622" s="436" t="s">
        <v>1072</v>
      </c>
      <c r="E1622" s="436">
        <v>2</v>
      </c>
      <c r="F1622" s="469"/>
      <c r="G1622" s="468" t="s">
        <v>875</v>
      </c>
      <c r="H1622" s="466" t="e">
        <f>G1622/1.1</f>
        <v>#VALUE!</v>
      </c>
      <c r="I1622" s="436"/>
      <c r="J1622" s="465">
        <v>0</v>
      </c>
      <c r="K1622" s="467">
        <v>0</v>
      </c>
    </row>
    <row r="1623" spans="2:11" ht="19" customHeight="1">
      <c r="B1623" s="464">
        <v>46057</v>
      </c>
      <c r="C1623" s="436" t="s">
        <v>266</v>
      </c>
      <c r="D1623" s="436" t="s">
        <v>991</v>
      </c>
      <c r="E1623" s="436">
        <v>1</v>
      </c>
      <c r="F1623" s="469"/>
      <c r="G1623" s="468" t="s">
        <v>875</v>
      </c>
      <c r="H1623" s="466" t="e">
        <f>G1623/1.1</f>
        <v>#VALUE!</v>
      </c>
      <c r="I1623" s="436"/>
      <c r="J1623" s="465">
        <v>0</v>
      </c>
      <c r="K1623" s="467">
        <v>0</v>
      </c>
    </row>
    <row r="1624" spans="2:11" ht="19" customHeight="1">
      <c r="B1624" s="464">
        <v>46057</v>
      </c>
      <c r="C1624" s="436" t="s">
        <v>266</v>
      </c>
      <c r="D1624" s="436" t="s">
        <v>250</v>
      </c>
      <c r="E1624" s="436">
        <v>2</v>
      </c>
      <c r="F1624" s="469"/>
      <c r="G1624" s="468" t="s">
        <v>875</v>
      </c>
      <c r="H1624" s="466" t="e">
        <f>G1624/1.1</f>
        <v>#VALUE!</v>
      </c>
      <c r="I1624" s="436"/>
      <c r="J1624" s="465">
        <v>0</v>
      </c>
      <c r="K1624" s="467">
        <v>0</v>
      </c>
    </row>
    <row r="1625" spans="2:11" ht="19" customHeight="1">
      <c r="B1625" s="464">
        <v>46057</v>
      </c>
      <c r="C1625" s="436" t="s">
        <v>258</v>
      </c>
      <c r="D1625" s="436" t="s">
        <v>972</v>
      </c>
      <c r="E1625" s="436">
        <v>1</v>
      </c>
      <c r="F1625" s="469"/>
      <c r="G1625" s="468" t="s">
        <v>875</v>
      </c>
      <c r="H1625" s="466" t="e">
        <f>G1625/1.1</f>
        <v>#VALUE!</v>
      </c>
      <c r="I1625" s="436"/>
      <c r="J1625" s="465">
        <v>0</v>
      </c>
      <c r="K1625" s="467">
        <v>0</v>
      </c>
    </row>
    <row r="1626" spans="2:11" ht="19" customHeight="1">
      <c r="B1626" s="464">
        <v>46057</v>
      </c>
      <c r="C1626" s="436" t="s">
        <v>258</v>
      </c>
      <c r="D1626" s="436" t="s">
        <v>1067</v>
      </c>
      <c r="E1626" s="436">
        <v>1</v>
      </c>
      <c r="F1626" s="469"/>
      <c r="G1626" s="468" t="s">
        <v>875</v>
      </c>
      <c r="H1626" s="466" t="e">
        <f>G1626/1.1</f>
        <v>#VALUE!</v>
      </c>
      <c r="I1626" s="436"/>
      <c r="J1626" s="465">
        <v>0</v>
      </c>
      <c r="K1626" s="467">
        <v>0</v>
      </c>
    </row>
    <row r="1627" spans="2:11" ht="19" customHeight="1">
      <c r="B1627" s="464">
        <v>46057</v>
      </c>
      <c r="C1627" s="436" t="s">
        <v>258</v>
      </c>
      <c r="D1627" s="436" t="s">
        <v>883</v>
      </c>
      <c r="E1627" s="436">
        <v>1</v>
      </c>
      <c r="F1627" s="469"/>
      <c r="G1627" s="468" t="s">
        <v>875</v>
      </c>
      <c r="H1627" s="466" t="e">
        <f>G1627/1.1</f>
        <v>#VALUE!</v>
      </c>
      <c r="I1627" s="436"/>
      <c r="J1627" s="465">
        <v>0</v>
      </c>
      <c r="K1627" s="467">
        <v>0</v>
      </c>
    </row>
    <row r="1628" spans="2:11" ht="19" customHeight="1">
      <c r="B1628" s="464">
        <v>46057</v>
      </c>
      <c r="C1628" s="436" t="s">
        <v>253</v>
      </c>
      <c r="D1628" s="436" t="s">
        <v>869</v>
      </c>
      <c r="E1628" s="436">
        <v>1</v>
      </c>
      <c r="F1628" s="465">
        <v>2.5</v>
      </c>
      <c r="G1628" s="466">
        <v>2.5</v>
      </c>
      <c r="H1628" s="466">
        <f>G1628/1.1</f>
        <v>2.2727272727272725</v>
      </c>
      <c r="I1628" s="436"/>
      <c r="J1628" s="465">
        <v>0</v>
      </c>
      <c r="K1628" s="467">
        <v>0</v>
      </c>
    </row>
    <row r="1629" spans="2:11" ht="19" customHeight="1">
      <c r="B1629" s="464">
        <v>46057</v>
      </c>
      <c r="C1629" s="436" t="s">
        <v>253</v>
      </c>
      <c r="D1629" s="436" t="s">
        <v>869</v>
      </c>
      <c r="E1629" s="436">
        <v>1</v>
      </c>
      <c r="F1629" s="465">
        <v>2.5</v>
      </c>
      <c r="G1629" s="466">
        <v>2.5</v>
      </c>
      <c r="H1629" s="466">
        <f>G1629/1.1</f>
        <v>2.2727272727272725</v>
      </c>
      <c r="I1629" s="436"/>
      <c r="J1629" s="465">
        <v>0</v>
      </c>
      <c r="K1629" s="467">
        <v>0</v>
      </c>
    </row>
    <row r="1630" spans="2:11" ht="19" customHeight="1">
      <c r="B1630" s="464">
        <v>46057</v>
      </c>
      <c r="C1630" s="436" t="s">
        <v>256</v>
      </c>
      <c r="D1630" s="436" t="s">
        <v>983</v>
      </c>
      <c r="E1630" s="436">
        <v>1</v>
      </c>
      <c r="F1630" s="465">
        <v>3</v>
      </c>
      <c r="G1630" s="466">
        <v>3</v>
      </c>
      <c r="H1630" s="466">
        <f>G1630/1.1</f>
        <v>2.7272727272727271</v>
      </c>
      <c r="I1630" s="436"/>
      <c r="J1630" s="465">
        <v>0</v>
      </c>
      <c r="K1630" s="467">
        <v>0</v>
      </c>
    </row>
    <row r="1631" spans="2:11" ht="19" customHeight="1">
      <c r="B1631" s="464">
        <v>46057</v>
      </c>
      <c r="C1631" s="436" t="s">
        <v>251</v>
      </c>
      <c r="D1631" s="436" t="s">
        <v>854</v>
      </c>
      <c r="E1631" s="436">
        <v>1</v>
      </c>
      <c r="F1631" s="465">
        <v>1.7</v>
      </c>
      <c r="G1631" s="466">
        <v>1.7</v>
      </c>
      <c r="H1631" s="466">
        <f>G1631/1.1</f>
        <v>1.5454545454545452</v>
      </c>
      <c r="I1631" s="436"/>
      <c r="J1631" s="465">
        <v>0</v>
      </c>
      <c r="K1631" s="467">
        <v>0</v>
      </c>
    </row>
    <row r="1632" spans="2:11" ht="19" customHeight="1">
      <c r="B1632" s="464">
        <v>46057</v>
      </c>
      <c r="C1632" s="436" t="s">
        <v>276</v>
      </c>
      <c r="D1632" s="436" t="s">
        <v>995</v>
      </c>
      <c r="E1632" s="436">
        <v>1</v>
      </c>
      <c r="F1632" s="465">
        <v>3.3</v>
      </c>
      <c r="G1632" s="466">
        <v>3.3</v>
      </c>
      <c r="H1632" s="466">
        <f>G1632/1.1</f>
        <v>2.9999999999999996</v>
      </c>
      <c r="I1632" s="436"/>
      <c r="J1632" s="465">
        <v>0</v>
      </c>
      <c r="K1632" s="467">
        <v>0</v>
      </c>
    </row>
    <row r="1633" spans="2:11" ht="19" customHeight="1">
      <c r="B1633" s="464">
        <v>46057</v>
      </c>
      <c r="C1633" s="436" t="s">
        <v>253</v>
      </c>
      <c r="D1633" s="436" t="s">
        <v>869</v>
      </c>
      <c r="E1633" s="436">
        <v>1</v>
      </c>
      <c r="F1633" s="465">
        <v>2.65</v>
      </c>
      <c r="G1633" s="466">
        <v>2.65</v>
      </c>
      <c r="H1633" s="466">
        <f>G1633/1.1</f>
        <v>2.4090909090909087</v>
      </c>
      <c r="I1633" s="436"/>
      <c r="J1633" s="465">
        <v>0</v>
      </c>
      <c r="K1633" s="467">
        <v>0</v>
      </c>
    </row>
    <row r="1634" spans="2:11" ht="19" customHeight="1">
      <c r="B1634" s="464">
        <v>46057</v>
      </c>
      <c r="C1634" s="436" t="s">
        <v>253</v>
      </c>
      <c r="D1634" s="436" t="s">
        <v>901</v>
      </c>
      <c r="E1634" s="436">
        <v>1</v>
      </c>
      <c r="F1634" s="465">
        <v>2.15</v>
      </c>
      <c r="G1634" s="466">
        <v>2.15</v>
      </c>
      <c r="H1634" s="466">
        <f>G1634/1.1</f>
        <v>1.9545454545454544</v>
      </c>
      <c r="I1634" s="436"/>
      <c r="J1634" s="465">
        <v>0</v>
      </c>
      <c r="K1634" s="467">
        <v>0</v>
      </c>
    </row>
    <row r="1635" spans="2:11" ht="19" customHeight="1">
      <c r="B1635" s="464">
        <v>46057</v>
      </c>
      <c r="C1635" s="436" t="s">
        <v>247</v>
      </c>
      <c r="D1635" s="436" t="s">
        <v>248</v>
      </c>
      <c r="E1635" s="436">
        <v>1</v>
      </c>
      <c r="F1635" s="465">
        <v>1.5</v>
      </c>
      <c r="G1635" s="466">
        <v>1.5</v>
      </c>
      <c r="H1635" s="466">
        <f>G1635/1.1</f>
        <v>1.3636363636363635</v>
      </c>
      <c r="I1635" s="436"/>
      <c r="J1635" s="465">
        <v>0</v>
      </c>
      <c r="K1635" s="467">
        <v>0</v>
      </c>
    </row>
    <row r="1636" spans="2:11" ht="19" customHeight="1">
      <c r="B1636" s="464">
        <v>46057</v>
      </c>
      <c r="C1636" s="436" t="s">
        <v>268</v>
      </c>
      <c r="D1636" s="436" t="s">
        <v>267</v>
      </c>
      <c r="E1636" s="436">
        <v>1</v>
      </c>
      <c r="F1636" s="465">
        <v>1.5</v>
      </c>
      <c r="G1636" s="466">
        <v>1.5</v>
      </c>
      <c r="H1636" s="466">
        <f>G1636/1.1</f>
        <v>1.3636363636363635</v>
      </c>
      <c r="I1636" s="436"/>
      <c r="J1636" s="465">
        <v>0</v>
      </c>
      <c r="K1636" s="467">
        <v>0</v>
      </c>
    </row>
    <row r="1637" spans="2:11" ht="19" customHeight="1">
      <c r="B1637" s="464">
        <v>46057</v>
      </c>
      <c r="C1637" s="436" t="s">
        <v>247</v>
      </c>
      <c r="D1637" s="436" t="s">
        <v>246</v>
      </c>
      <c r="E1637" s="436">
        <v>1</v>
      </c>
      <c r="F1637" s="465">
        <v>1.7</v>
      </c>
      <c r="G1637" s="466">
        <v>1.7</v>
      </c>
      <c r="H1637" s="466">
        <f>G1637/1.1</f>
        <v>1.5454545454545452</v>
      </c>
      <c r="I1637" s="436"/>
      <c r="J1637" s="465">
        <v>0</v>
      </c>
      <c r="K1637" s="467">
        <v>0</v>
      </c>
    </row>
    <row r="1638" spans="2:11" ht="19" customHeight="1">
      <c r="B1638" s="464">
        <v>46057</v>
      </c>
      <c r="C1638" s="436" t="s">
        <v>253</v>
      </c>
      <c r="D1638" s="436" t="s">
        <v>869</v>
      </c>
      <c r="E1638" s="436">
        <v>1</v>
      </c>
      <c r="F1638" s="465">
        <v>2.5</v>
      </c>
      <c r="G1638" s="466">
        <v>2.5</v>
      </c>
      <c r="H1638" s="466">
        <f>G1638/1.1</f>
        <v>2.2727272727272725</v>
      </c>
      <c r="I1638" s="436"/>
      <c r="J1638" s="465">
        <v>0</v>
      </c>
      <c r="K1638" s="467">
        <v>0</v>
      </c>
    </row>
    <row r="1639" spans="2:11" ht="19" customHeight="1">
      <c r="B1639" s="464">
        <v>46057</v>
      </c>
      <c r="C1639" s="436" t="s">
        <v>247</v>
      </c>
      <c r="D1639" s="436" t="s">
        <v>246</v>
      </c>
      <c r="E1639" s="436">
        <v>2</v>
      </c>
      <c r="F1639" s="465">
        <v>1.7</v>
      </c>
      <c r="G1639" s="466">
        <v>3.4</v>
      </c>
      <c r="H1639" s="466">
        <f>G1639/1.1</f>
        <v>3.0909090909090904</v>
      </c>
      <c r="I1639" s="436"/>
      <c r="J1639" s="465">
        <v>0</v>
      </c>
      <c r="K1639" s="467">
        <v>0</v>
      </c>
    </row>
    <row r="1640" spans="2:11" ht="19" customHeight="1">
      <c r="B1640" s="464">
        <v>46057</v>
      </c>
      <c r="C1640" s="436" t="s">
        <v>894</v>
      </c>
      <c r="D1640" s="436" t="s">
        <v>814</v>
      </c>
      <c r="E1640" s="436">
        <v>1</v>
      </c>
      <c r="F1640" s="466">
        <v>5.4</v>
      </c>
      <c r="G1640" s="466">
        <v>5.4</v>
      </c>
      <c r="H1640" s="466">
        <f>G1640/1.1</f>
        <v>4.9090909090909092</v>
      </c>
      <c r="I1640" s="436"/>
      <c r="J1640" s="465">
        <v>0</v>
      </c>
      <c r="K1640" s="467">
        <v>0</v>
      </c>
    </row>
    <row r="1641" spans="2:11" ht="19" customHeight="1">
      <c r="B1641" s="464">
        <v>46057</v>
      </c>
      <c r="C1641" s="436" t="s">
        <v>268</v>
      </c>
      <c r="D1641" s="436" t="s">
        <v>860</v>
      </c>
      <c r="E1641" s="436">
        <v>1</v>
      </c>
      <c r="F1641" s="465">
        <v>2.25</v>
      </c>
      <c r="G1641" s="466">
        <v>2.25</v>
      </c>
      <c r="H1641" s="466">
        <f>G1641/1.1</f>
        <v>2.0454545454545454</v>
      </c>
      <c r="I1641" s="436"/>
      <c r="J1641" s="465">
        <v>0</v>
      </c>
      <c r="K1641" s="467">
        <v>0</v>
      </c>
    </row>
    <row r="1642" spans="2:11" ht="19" customHeight="1">
      <c r="B1642" s="464">
        <v>46057</v>
      </c>
      <c r="C1642" s="436" t="s">
        <v>247</v>
      </c>
      <c r="D1642" s="436" t="s">
        <v>246</v>
      </c>
      <c r="E1642" s="436">
        <v>1</v>
      </c>
      <c r="F1642" s="465">
        <v>1.7</v>
      </c>
      <c r="G1642" s="466">
        <v>1.7</v>
      </c>
      <c r="H1642" s="466">
        <f>G1642/1.1</f>
        <v>1.5454545454545452</v>
      </c>
      <c r="I1642" s="436"/>
      <c r="J1642" s="465">
        <v>0</v>
      </c>
      <c r="K1642" s="467">
        <v>0</v>
      </c>
    </row>
    <row r="1643" spans="2:11" ht="19" customHeight="1">
      <c r="B1643" s="464">
        <v>46057</v>
      </c>
      <c r="C1643" s="436" t="s">
        <v>268</v>
      </c>
      <c r="D1643" s="436" t="s">
        <v>906</v>
      </c>
      <c r="E1643" s="436">
        <v>1</v>
      </c>
      <c r="F1643" s="465">
        <v>1.5</v>
      </c>
      <c r="G1643" s="466">
        <v>1.5</v>
      </c>
      <c r="H1643" s="466">
        <f>G1643/1.1</f>
        <v>1.3636363636363635</v>
      </c>
      <c r="I1643" s="436"/>
      <c r="J1643" s="465">
        <v>0</v>
      </c>
      <c r="K1643" s="467">
        <v>0</v>
      </c>
    </row>
    <row r="1644" spans="2:11" ht="19" customHeight="1">
      <c r="B1644" s="464">
        <v>46057</v>
      </c>
      <c r="C1644" s="436" t="s">
        <v>247</v>
      </c>
      <c r="D1644" s="436" t="s">
        <v>257</v>
      </c>
      <c r="E1644" s="436">
        <v>1</v>
      </c>
      <c r="F1644" s="465">
        <v>1.4</v>
      </c>
      <c r="G1644" s="466">
        <v>1.4</v>
      </c>
      <c r="H1644" s="466">
        <f>G1644/1.1</f>
        <v>1.2727272727272725</v>
      </c>
      <c r="I1644" s="436"/>
      <c r="J1644" s="465">
        <v>0</v>
      </c>
      <c r="K1644" s="467">
        <v>0</v>
      </c>
    </row>
    <row r="1645" spans="2:11" ht="19" customHeight="1">
      <c r="B1645" s="464">
        <v>46057</v>
      </c>
      <c r="C1645" s="436" t="s">
        <v>247</v>
      </c>
      <c r="D1645" s="436" t="s">
        <v>246</v>
      </c>
      <c r="E1645" s="436">
        <v>1</v>
      </c>
      <c r="F1645" s="465">
        <v>1.7</v>
      </c>
      <c r="G1645" s="466">
        <v>1.7</v>
      </c>
      <c r="H1645" s="466">
        <f>G1645/1.1</f>
        <v>1.5454545454545452</v>
      </c>
      <c r="I1645" s="436"/>
      <c r="J1645" s="465">
        <v>0</v>
      </c>
      <c r="K1645" s="467">
        <v>0</v>
      </c>
    </row>
    <row r="1646" spans="2:11" ht="19" customHeight="1">
      <c r="B1646" s="464">
        <v>46057</v>
      </c>
      <c r="C1646" s="436" t="s">
        <v>247</v>
      </c>
      <c r="D1646" s="436" t="s">
        <v>246</v>
      </c>
      <c r="E1646" s="436">
        <v>1</v>
      </c>
      <c r="F1646" s="465">
        <v>1.7</v>
      </c>
      <c r="G1646" s="466">
        <v>1.7</v>
      </c>
      <c r="H1646" s="466">
        <f>G1646/1.1</f>
        <v>1.5454545454545452</v>
      </c>
      <c r="I1646" s="436"/>
      <c r="J1646" s="465">
        <v>0</v>
      </c>
      <c r="K1646" s="467">
        <v>0</v>
      </c>
    </row>
    <row r="1647" spans="2:11" ht="19" customHeight="1">
      <c r="B1647" s="464">
        <v>46057</v>
      </c>
      <c r="C1647" s="436" t="s">
        <v>268</v>
      </c>
      <c r="D1647" s="436" t="s">
        <v>859</v>
      </c>
      <c r="E1647" s="436">
        <v>1</v>
      </c>
      <c r="F1647" s="465">
        <v>0.75</v>
      </c>
      <c r="G1647" s="466">
        <v>0.75</v>
      </c>
      <c r="H1647" s="466">
        <f>G1647/1.1</f>
        <v>0.68181818181818177</v>
      </c>
      <c r="I1647" s="436"/>
      <c r="J1647" s="465">
        <v>0</v>
      </c>
      <c r="K1647" s="467">
        <v>0</v>
      </c>
    </row>
    <row r="1648" spans="2:11" ht="19" customHeight="1">
      <c r="B1648" s="464">
        <v>46057</v>
      </c>
      <c r="C1648" s="436" t="s">
        <v>247</v>
      </c>
      <c r="D1648" s="436" t="s">
        <v>248</v>
      </c>
      <c r="E1648" s="436">
        <v>1</v>
      </c>
      <c r="F1648" s="465">
        <v>1.5</v>
      </c>
      <c r="G1648" s="466">
        <v>1.5</v>
      </c>
      <c r="H1648" s="466">
        <f>G1648/1.1</f>
        <v>1.3636363636363635</v>
      </c>
      <c r="I1648" s="436"/>
      <c r="J1648" s="465">
        <v>0</v>
      </c>
      <c r="K1648" s="467">
        <v>0</v>
      </c>
    </row>
    <row r="1649" spans="2:11" ht="19" customHeight="1">
      <c r="B1649" s="464">
        <v>46057</v>
      </c>
      <c r="C1649" s="436" t="s">
        <v>247</v>
      </c>
      <c r="D1649" s="436" t="s">
        <v>246</v>
      </c>
      <c r="E1649" s="436">
        <v>1</v>
      </c>
      <c r="F1649" s="465">
        <v>1.7</v>
      </c>
      <c r="G1649" s="466">
        <v>1.7</v>
      </c>
      <c r="H1649" s="466">
        <f>G1649/1.1</f>
        <v>1.5454545454545452</v>
      </c>
      <c r="I1649" s="436"/>
      <c r="J1649" s="465">
        <v>0</v>
      </c>
      <c r="K1649" s="467">
        <v>0</v>
      </c>
    </row>
    <row r="1650" spans="2:11" ht="19" customHeight="1">
      <c r="B1650" s="464">
        <v>46057</v>
      </c>
      <c r="C1650" s="436" t="s">
        <v>247</v>
      </c>
      <c r="D1650" s="436" t="s">
        <v>248</v>
      </c>
      <c r="E1650" s="436">
        <v>1</v>
      </c>
      <c r="F1650" s="465">
        <v>1.5</v>
      </c>
      <c r="G1650" s="466">
        <v>1.5</v>
      </c>
      <c r="H1650" s="466">
        <f>G1650/1.1</f>
        <v>1.3636363636363635</v>
      </c>
      <c r="I1650" s="436"/>
      <c r="J1650" s="465">
        <v>0</v>
      </c>
      <c r="K1650" s="467">
        <v>0</v>
      </c>
    </row>
    <row r="1651" spans="2:11" ht="19" customHeight="1">
      <c r="B1651" s="464">
        <v>46057</v>
      </c>
      <c r="C1651" s="436" t="s">
        <v>247</v>
      </c>
      <c r="D1651" s="436" t="s">
        <v>246</v>
      </c>
      <c r="E1651" s="436">
        <v>1</v>
      </c>
      <c r="F1651" s="465">
        <v>1.7</v>
      </c>
      <c r="G1651" s="466">
        <v>1.7</v>
      </c>
      <c r="H1651" s="466">
        <f>G1651/1.1</f>
        <v>1.5454545454545452</v>
      </c>
      <c r="I1651" s="436"/>
      <c r="J1651" s="465">
        <v>0</v>
      </c>
      <c r="K1651" s="467">
        <v>0</v>
      </c>
    </row>
    <row r="1652" spans="2:11" ht="19" customHeight="1">
      <c r="B1652" s="464">
        <v>46057</v>
      </c>
      <c r="C1652" s="436" t="s">
        <v>268</v>
      </c>
      <c r="D1652" s="436" t="s">
        <v>859</v>
      </c>
      <c r="E1652" s="436">
        <v>2</v>
      </c>
      <c r="F1652" s="465">
        <v>0.75</v>
      </c>
      <c r="G1652" s="466">
        <v>1.5</v>
      </c>
      <c r="H1652" s="466">
        <f>G1652/1.1</f>
        <v>1.3636363636363635</v>
      </c>
      <c r="I1652" s="436"/>
      <c r="J1652" s="465">
        <v>0</v>
      </c>
      <c r="K1652" s="467">
        <v>0</v>
      </c>
    </row>
    <row r="1653" spans="2:11" ht="19" customHeight="1">
      <c r="B1653" s="464">
        <v>46057</v>
      </c>
      <c r="C1653" s="436" t="s">
        <v>247</v>
      </c>
      <c r="D1653" s="436" t="s">
        <v>246</v>
      </c>
      <c r="E1653" s="436">
        <v>1</v>
      </c>
      <c r="F1653" s="466">
        <v>1.7</v>
      </c>
      <c r="G1653" s="466">
        <v>1.7</v>
      </c>
      <c r="H1653" s="466">
        <f>G1653/1.1</f>
        <v>1.5454545454545452</v>
      </c>
      <c r="I1653" s="436"/>
      <c r="J1653" s="465">
        <v>0</v>
      </c>
      <c r="K1653" s="467">
        <v>0</v>
      </c>
    </row>
    <row r="1654" spans="2:11" ht="19" customHeight="1">
      <c r="B1654" s="464">
        <v>46057</v>
      </c>
      <c r="C1654" s="436" t="s">
        <v>268</v>
      </c>
      <c r="D1654" s="436" t="s">
        <v>860</v>
      </c>
      <c r="E1654" s="436">
        <v>1</v>
      </c>
      <c r="F1654" s="465">
        <v>2.25</v>
      </c>
      <c r="G1654" s="466">
        <v>2.25</v>
      </c>
      <c r="H1654" s="466">
        <f>G1654/1.1</f>
        <v>2.0454545454545454</v>
      </c>
      <c r="I1654" s="436"/>
      <c r="J1654" s="465">
        <v>0</v>
      </c>
      <c r="K1654" s="467">
        <v>0</v>
      </c>
    </row>
    <row r="1655" spans="2:11" ht="19" customHeight="1">
      <c r="B1655" s="464">
        <v>46057</v>
      </c>
      <c r="C1655" s="436" t="s">
        <v>247</v>
      </c>
      <c r="D1655" s="436" t="s">
        <v>257</v>
      </c>
      <c r="E1655" s="436">
        <v>1</v>
      </c>
      <c r="F1655" s="465">
        <v>1.4</v>
      </c>
      <c r="G1655" s="466">
        <v>1.4</v>
      </c>
      <c r="H1655" s="466">
        <f>G1655/1.1</f>
        <v>1.2727272727272725</v>
      </c>
      <c r="I1655" s="436"/>
      <c r="J1655" s="465">
        <v>0</v>
      </c>
      <c r="K1655" s="467">
        <v>0</v>
      </c>
    </row>
    <row r="1656" spans="2:11" ht="19" customHeight="1">
      <c r="B1656" s="464">
        <v>46057</v>
      </c>
      <c r="C1656" s="436" t="s">
        <v>251</v>
      </c>
      <c r="D1656" s="436" t="s">
        <v>756</v>
      </c>
      <c r="E1656" s="436">
        <v>1</v>
      </c>
      <c r="F1656" s="465">
        <v>2.35</v>
      </c>
      <c r="G1656" s="466">
        <v>2.35</v>
      </c>
      <c r="H1656" s="466">
        <f>G1656/1.1</f>
        <v>2.1363636363636362</v>
      </c>
      <c r="I1656" s="436"/>
      <c r="J1656" s="465">
        <v>0</v>
      </c>
      <c r="K1656" s="467">
        <v>0</v>
      </c>
    </row>
    <row r="1657" spans="2:11" ht="19" customHeight="1">
      <c r="B1657" s="464">
        <v>46057</v>
      </c>
      <c r="C1657" s="436" t="s">
        <v>247</v>
      </c>
      <c r="D1657" s="436" t="s">
        <v>246</v>
      </c>
      <c r="E1657" s="436">
        <v>1</v>
      </c>
      <c r="F1657" s="465">
        <v>1.7</v>
      </c>
      <c r="G1657" s="466">
        <v>1.7</v>
      </c>
      <c r="H1657" s="466">
        <f>G1657/1.1</f>
        <v>1.5454545454545452</v>
      </c>
      <c r="I1657" s="436"/>
      <c r="J1657" s="465">
        <v>0</v>
      </c>
      <c r="K1657" s="467">
        <v>0</v>
      </c>
    </row>
    <row r="1658" spans="2:11" ht="19" customHeight="1">
      <c r="B1658" s="464">
        <v>46057</v>
      </c>
      <c r="C1658" s="436" t="s">
        <v>247</v>
      </c>
      <c r="D1658" s="436" t="s">
        <v>902</v>
      </c>
      <c r="E1658" s="436">
        <v>1</v>
      </c>
      <c r="F1658" s="465">
        <v>1.95</v>
      </c>
      <c r="G1658" s="466">
        <v>1.95</v>
      </c>
      <c r="H1658" s="466">
        <f>G1658/1.1</f>
        <v>1.7727272727272725</v>
      </c>
      <c r="I1658" s="436"/>
      <c r="J1658" s="465">
        <v>0</v>
      </c>
      <c r="K1658" s="467">
        <v>0</v>
      </c>
    </row>
    <row r="1659" spans="2:11" ht="19" customHeight="1">
      <c r="B1659" s="464">
        <v>46057</v>
      </c>
      <c r="C1659" s="436" t="s">
        <v>247</v>
      </c>
      <c r="D1659" s="436" t="s">
        <v>257</v>
      </c>
      <c r="E1659" s="436">
        <v>2</v>
      </c>
      <c r="F1659" s="465">
        <v>1.4</v>
      </c>
      <c r="G1659" s="466">
        <v>2.8</v>
      </c>
      <c r="H1659" s="466">
        <f>G1659/1.1</f>
        <v>2.545454545454545</v>
      </c>
      <c r="I1659" s="436"/>
      <c r="J1659" s="465">
        <v>0</v>
      </c>
      <c r="K1659" s="467">
        <v>0</v>
      </c>
    </row>
    <row r="1660" spans="2:11" ht="19" customHeight="1">
      <c r="B1660" s="464">
        <v>46057</v>
      </c>
      <c r="C1660" s="436" t="s">
        <v>253</v>
      </c>
      <c r="D1660" s="436" t="s">
        <v>869</v>
      </c>
      <c r="E1660" s="436">
        <v>1</v>
      </c>
      <c r="F1660" s="465">
        <v>2.5</v>
      </c>
      <c r="G1660" s="466">
        <v>2.5</v>
      </c>
      <c r="H1660" s="466">
        <f>G1660/1.1</f>
        <v>2.2727272727272725</v>
      </c>
      <c r="I1660" s="436"/>
      <c r="J1660" s="465">
        <v>0</v>
      </c>
      <c r="K1660" s="467">
        <v>0</v>
      </c>
    </row>
    <row r="1661" spans="2:11" ht="19" customHeight="1">
      <c r="B1661" s="464">
        <v>46057</v>
      </c>
      <c r="C1661" s="436" t="s">
        <v>268</v>
      </c>
      <c r="D1661" s="436" t="s">
        <v>858</v>
      </c>
      <c r="E1661" s="436">
        <v>3</v>
      </c>
      <c r="F1661" s="465">
        <v>0.65</v>
      </c>
      <c r="G1661" s="466">
        <v>1.95</v>
      </c>
      <c r="H1661" s="466">
        <f>G1661/1.1</f>
        <v>1.7727272727272725</v>
      </c>
      <c r="I1661" s="436"/>
      <c r="J1661" s="465">
        <v>0</v>
      </c>
      <c r="K1661" s="467">
        <v>0</v>
      </c>
    </row>
    <row r="1662" spans="2:11" ht="19" customHeight="1">
      <c r="B1662" s="464">
        <v>46057</v>
      </c>
      <c r="C1662" s="436" t="s">
        <v>268</v>
      </c>
      <c r="D1662" s="436" t="s">
        <v>267</v>
      </c>
      <c r="E1662" s="436">
        <v>1</v>
      </c>
      <c r="F1662" s="465">
        <v>1.5</v>
      </c>
      <c r="G1662" s="466">
        <v>1.5</v>
      </c>
      <c r="H1662" s="466">
        <f>G1662/1.1</f>
        <v>1.3636363636363635</v>
      </c>
      <c r="I1662" s="436"/>
      <c r="J1662" s="465">
        <v>0</v>
      </c>
      <c r="K1662" s="467">
        <v>0</v>
      </c>
    </row>
    <row r="1663" spans="2:11" ht="19" customHeight="1">
      <c r="B1663" s="464">
        <v>46057</v>
      </c>
      <c r="C1663" s="436" t="s">
        <v>328</v>
      </c>
      <c r="D1663" s="436" t="s">
        <v>1003</v>
      </c>
      <c r="E1663" s="436">
        <v>1</v>
      </c>
      <c r="F1663" s="465">
        <v>4.5</v>
      </c>
      <c r="G1663" s="466">
        <v>4.5</v>
      </c>
      <c r="H1663" s="466">
        <f>G1663/1.1</f>
        <v>4.0909090909090908</v>
      </c>
      <c r="I1663" s="436"/>
      <c r="J1663" s="465">
        <v>0</v>
      </c>
      <c r="K1663" s="467">
        <v>0</v>
      </c>
    </row>
    <row r="1664" spans="2:11" ht="19" customHeight="1">
      <c r="B1664" s="464">
        <v>46057</v>
      </c>
      <c r="C1664" s="436" t="s">
        <v>247</v>
      </c>
      <c r="D1664" s="436" t="s">
        <v>248</v>
      </c>
      <c r="E1664" s="436">
        <v>1</v>
      </c>
      <c r="F1664" s="465">
        <v>1.5</v>
      </c>
      <c r="G1664" s="466">
        <v>1.5</v>
      </c>
      <c r="H1664" s="466">
        <f>G1664/1.1</f>
        <v>1.3636363636363635</v>
      </c>
      <c r="I1664" s="436"/>
      <c r="J1664" s="465">
        <v>0</v>
      </c>
      <c r="K1664" s="467">
        <v>0</v>
      </c>
    </row>
    <row r="1665" spans="2:11" ht="19" customHeight="1">
      <c r="B1665" s="464">
        <v>46057</v>
      </c>
      <c r="C1665" s="436" t="s">
        <v>247</v>
      </c>
      <c r="D1665" s="436" t="s">
        <v>257</v>
      </c>
      <c r="E1665" s="436">
        <v>1</v>
      </c>
      <c r="F1665" s="465">
        <v>1.4</v>
      </c>
      <c r="G1665" s="466">
        <v>1.4</v>
      </c>
      <c r="H1665" s="466">
        <f>G1665/1.1</f>
        <v>1.2727272727272725</v>
      </c>
      <c r="I1665" s="436"/>
      <c r="J1665" s="465">
        <v>0</v>
      </c>
      <c r="K1665" s="467">
        <v>0</v>
      </c>
    </row>
    <row r="1666" spans="2:11" ht="19" customHeight="1">
      <c r="B1666" s="464">
        <v>46057</v>
      </c>
      <c r="C1666" s="436" t="s">
        <v>247</v>
      </c>
      <c r="D1666" s="436" t="s">
        <v>248</v>
      </c>
      <c r="E1666" s="436">
        <v>1</v>
      </c>
      <c r="F1666" s="465">
        <v>1.5</v>
      </c>
      <c r="G1666" s="466">
        <v>1.5</v>
      </c>
      <c r="H1666" s="466">
        <f>G1666/1.1</f>
        <v>1.3636363636363635</v>
      </c>
      <c r="I1666" s="436"/>
      <c r="J1666" s="465">
        <v>0</v>
      </c>
      <c r="K1666" s="467">
        <v>0</v>
      </c>
    </row>
    <row r="1667" spans="2:11" ht="19" customHeight="1">
      <c r="B1667" s="464">
        <v>46057</v>
      </c>
      <c r="C1667" s="436" t="s">
        <v>247</v>
      </c>
      <c r="D1667" s="436" t="s">
        <v>257</v>
      </c>
      <c r="E1667" s="436">
        <v>1</v>
      </c>
      <c r="F1667" s="465">
        <v>1.4</v>
      </c>
      <c r="G1667" s="466">
        <v>1.4</v>
      </c>
      <c r="H1667" s="466">
        <f>G1667/1.1</f>
        <v>1.2727272727272725</v>
      </c>
      <c r="I1667" s="436"/>
      <c r="J1667" s="465">
        <v>0</v>
      </c>
      <c r="K1667" s="467">
        <v>0</v>
      </c>
    </row>
    <row r="1668" spans="2:11" ht="19" customHeight="1">
      <c r="B1668" s="464">
        <v>46057</v>
      </c>
      <c r="C1668" s="436" t="s">
        <v>268</v>
      </c>
      <c r="D1668" s="436" t="s">
        <v>267</v>
      </c>
      <c r="E1668" s="436">
        <v>1</v>
      </c>
      <c r="F1668" s="465">
        <v>1.5</v>
      </c>
      <c r="G1668" s="466">
        <v>1.5</v>
      </c>
      <c r="H1668" s="466">
        <f>G1668/1.1</f>
        <v>1.3636363636363635</v>
      </c>
      <c r="I1668" s="436"/>
      <c r="J1668" s="465">
        <v>0</v>
      </c>
      <c r="K1668" s="467">
        <v>0</v>
      </c>
    </row>
    <row r="1669" spans="2:11" ht="19" customHeight="1">
      <c r="B1669" s="464">
        <v>46057</v>
      </c>
      <c r="C1669" s="436" t="s">
        <v>247</v>
      </c>
      <c r="D1669" s="436" t="s">
        <v>246</v>
      </c>
      <c r="E1669" s="436">
        <v>1</v>
      </c>
      <c r="F1669" s="465">
        <v>1.7</v>
      </c>
      <c r="G1669" s="466">
        <v>1.7</v>
      </c>
      <c r="H1669" s="466">
        <f>G1669/1.1</f>
        <v>1.5454545454545452</v>
      </c>
      <c r="I1669" s="436"/>
      <c r="J1669" s="465">
        <v>0</v>
      </c>
      <c r="K1669" s="467">
        <v>0</v>
      </c>
    </row>
    <row r="1670" spans="2:11" ht="19" customHeight="1">
      <c r="B1670" s="464">
        <v>46057</v>
      </c>
      <c r="C1670" s="436" t="s">
        <v>862</v>
      </c>
      <c r="D1670" s="436" t="s">
        <v>863</v>
      </c>
      <c r="E1670" s="436">
        <v>1</v>
      </c>
      <c r="F1670" s="465">
        <v>0.15</v>
      </c>
      <c r="G1670" s="466">
        <v>0.15</v>
      </c>
      <c r="H1670" s="466">
        <f>G1670/1.1</f>
        <v>0.13636363636363635</v>
      </c>
      <c r="I1670" s="436"/>
      <c r="J1670" s="465">
        <v>0</v>
      </c>
      <c r="K1670" s="467">
        <v>0</v>
      </c>
    </row>
    <row r="1671" spans="2:11" ht="20" customHeight="1">
      <c r="B1671" s="464">
        <v>46057</v>
      </c>
      <c r="C1671" s="436" t="s">
        <v>247</v>
      </c>
      <c r="D1671" s="470" t="s">
        <v>246</v>
      </c>
      <c r="E1671" s="436">
        <v>2</v>
      </c>
      <c r="F1671" s="465">
        <v>1.7</v>
      </c>
      <c r="G1671" s="466">
        <v>3.4</v>
      </c>
      <c r="H1671" s="466">
        <f>G1671/1.1</f>
        <v>3.0909090909090904</v>
      </c>
      <c r="I1671" s="436"/>
      <c r="J1671" s="465">
        <v>0</v>
      </c>
      <c r="K1671" s="467">
        <v>0</v>
      </c>
    </row>
    <row r="1672" spans="2:11" ht="20" customHeight="1">
      <c r="B1672" s="464">
        <v>46057</v>
      </c>
      <c r="C1672" s="436" t="s">
        <v>328</v>
      </c>
      <c r="D1672" s="470" t="s">
        <v>773</v>
      </c>
      <c r="E1672" s="436">
        <v>1</v>
      </c>
      <c r="F1672" s="465">
        <v>3.1</v>
      </c>
      <c r="G1672" s="466">
        <v>3.1</v>
      </c>
      <c r="H1672" s="466">
        <f>G1672/1.1</f>
        <v>2.8181818181818179</v>
      </c>
      <c r="I1672" s="436"/>
      <c r="J1672" s="471">
        <v>0</v>
      </c>
      <c r="K1672" s="467">
        <v>0</v>
      </c>
    </row>
    <row r="1673" spans="2:11" ht="19" customHeight="1">
      <c r="B1673" s="464">
        <v>46057</v>
      </c>
      <c r="C1673" s="436" t="s">
        <v>862</v>
      </c>
      <c r="D1673" s="436" t="s">
        <v>865</v>
      </c>
      <c r="E1673" s="436">
        <v>1</v>
      </c>
      <c r="F1673" s="465">
        <v>0.05</v>
      </c>
      <c r="G1673" s="466">
        <v>0.05</v>
      </c>
      <c r="H1673" s="466">
        <f>G1673/1.1</f>
        <v>4.5454545454545456E-2</v>
      </c>
      <c r="I1673" s="436"/>
      <c r="J1673" s="465">
        <v>0</v>
      </c>
      <c r="K1673" s="467">
        <v>0</v>
      </c>
    </row>
    <row r="1674" spans="2:11" ht="19" customHeight="1">
      <c r="B1674" s="464">
        <v>46057</v>
      </c>
      <c r="C1674" s="436" t="s">
        <v>254</v>
      </c>
      <c r="D1674" s="436" t="s">
        <v>254</v>
      </c>
      <c r="E1674" s="436">
        <v>2</v>
      </c>
      <c r="F1674" s="465">
        <v>14.9</v>
      </c>
      <c r="G1674" s="466">
        <v>29.8</v>
      </c>
      <c r="H1674" s="466">
        <f>G1674/1.1</f>
        <v>27.09090909090909</v>
      </c>
      <c r="I1674" s="436"/>
      <c r="J1674" s="465">
        <v>0</v>
      </c>
      <c r="K1674" s="467">
        <v>0</v>
      </c>
    </row>
    <row r="1675" spans="2:11" ht="19" customHeight="1">
      <c r="B1675" s="464">
        <v>46057</v>
      </c>
      <c r="C1675" s="436" t="s">
        <v>247</v>
      </c>
      <c r="D1675" s="436" t="s">
        <v>902</v>
      </c>
      <c r="E1675" s="436">
        <v>2</v>
      </c>
      <c r="F1675" s="465">
        <v>1.95</v>
      </c>
      <c r="G1675" s="466">
        <v>3.9</v>
      </c>
      <c r="H1675" s="466">
        <f>G1675/1.1</f>
        <v>3.545454545454545</v>
      </c>
      <c r="I1675" s="436"/>
      <c r="J1675" s="465">
        <v>0</v>
      </c>
      <c r="K1675" s="465">
        <v>0</v>
      </c>
    </row>
    <row r="1676" spans="2:11" ht="19" customHeight="1">
      <c r="B1676" s="464">
        <v>46057</v>
      </c>
      <c r="C1676" s="436" t="s">
        <v>251</v>
      </c>
      <c r="D1676" s="436" t="s">
        <v>250</v>
      </c>
      <c r="E1676" s="436">
        <v>2</v>
      </c>
      <c r="F1676" s="465">
        <v>1.8</v>
      </c>
      <c r="G1676" s="466">
        <v>3.6</v>
      </c>
      <c r="H1676" s="466">
        <f>G1676/1.1</f>
        <v>3.2727272727272725</v>
      </c>
      <c r="I1676" s="436"/>
      <c r="J1676" s="465">
        <v>0</v>
      </c>
      <c r="K1676" s="465">
        <v>0</v>
      </c>
    </row>
    <row r="1677" spans="2:11" ht="19" customHeight="1">
      <c r="B1677" s="464">
        <v>46057</v>
      </c>
      <c r="C1677" s="436" t="s">
        <v>256</v>
      </c>
      <c r="D1677" s="436" t="s">
        <v>679</v>
      </c>
      <c r="E1677" s="436">
        <v>1</v>
      </c>
      <c r="F1677" s="465">
        <v>10</v>
      </c>
      <c r="G1677" s="466">
        <v>10</v>
      </c>
      <c r="H1677" s="466">
        <f>G1677/1.1</f>
        <v>9.0909090909090899</v>
      </c>
      <c r="I1677" s="436"/>
      <c r="J1677" s="465">
        <v>0</v>
      </c>
      <c r="K1677" s="465">
        <v>0</v>
      </c>
    </row>
    <row r="1678" spans="2:11" ht="19" customHeight="1">
      <c r="B1678" s="464">
        <v>46057</v>
      </c>
      <c r="C1678" s="436" t="s">
        <v>256</v>
      </c>
      <c r="D1678" s="436" t="s">
        <v>697</v>
      </c>
      <c r="E1678" s="436">
        <v>1</v>
      </c>
      <c r="F1678" s="465">
        <v>10.9</v>
      </c>
      <c r="G1678" s="466">
        <v>10.9</v>
      </c>
      <c r="H1678" s="466">
        <f>G1678/1.1</f>
        <v>9.9090909090909083</v>
      </c>
      <c r="I1678" s="436"/>
      <c r="J1678" s="465">
        <v>0</v>
      </c>
      <c r="K1678" s="465">
        <v>0</v>
      </c>
    </row>
    <row r="1679" spans="2:11" ht="19" customHeight="1">
      <c r="B1679" s="464">
        <v>46057</v>
      </c>
      <c r="C1679" s="436" t="s">
        <v>256</v>
      </c>
      <c r="D1679" s="436" t="s">
        <v>754</v>
      </c>
      <c r="E1679" s="436">
        <v>1</v>
      </c>
      <c r="F1679" s="465">
        <v>4</v>
      </c>
      <c r="G1679" s="466">
        <v>4</v>
      </c>
      <c r="H1679" s="466">
        <f>G1679/1.1</f>
        <v>3.6363636363636362</v>
      </c>
      <c r="I1679" s="436"/>
      <c r="J1679" s="465">
        <v>0</v>
      </c>
      <c r="K1679" s="465">
        <v>0</v>
      </c>
    </row>
    <row r="1680" spans="2:11" ht="19" customHeight="1">
      <c r="B1680" s="464">
        <v>46057</v>
      </c>
      <c r="C1680" s="436" t="s">
        <v>256</v>
      </c>
      <c r="D1680" s="436" t="s">
        <v>870</v>
      </c>
      <c r="E1680" s="436">
        <v>1</v>
      </c>
      <c r="F1680" s="465">
        <v>8.5</v>
      </c>
      <c r="G1680" s="466">
        <v>8.5</v>
      </c>
      <c r="H1680" s="466">
        <f>G1680/1.1</f>
        <v>7.7272727272727266</v>
      </c>
      <c r="I1680" s="436"/>
      <c r="J1680" s="465">
        <v>0</v>
      </c>
      <c r="K1680" s="465">
        <v>0</v>
      </c>
    </row>
    <row r="1681" spans="2:11" ht="19" customHeight="1">
      <c r="B1681" s="464">
        <v>46057</v>
      </c>
      <c r="C1681" s="436" t="s">
        <v>253</v>
      </c>
      <c r="D1681" s="436" t="s">
        <v>869</v>
      </c>
      <c r="E1681" s="436">
        <v>2</v>
      </c>
      <c r="F1681" s="465">
        <v>2.5</v>
      </c>
      <c r="G1681" s="466">
        <v>5</v>
      </c>
      <c r="H1681" s="466">
        <f>G1681/1.1</f>
        <v>4.545454545454545</v>
      </c>
      <c r="I1681" s="436"/>
      <c r="J1681" s="465">
        <v>0</v>
      </c>
      <c r="K1681" s="465">
        <v>0</v>
      </c>
    </row>
    <row r="1682" spans="2:11" ht="19" customHeight="1">
      <c r="B1682" s="464">
        <v>46057</v>
      </c>
      <c r="C1682" s="436" t="s">
        <v>253</v>
      </c>
      <c r="D1682" s="436" t="s">
        <v>869</v>
      </c>
      <c r="E1682" s="436">
        <v>1</v>
      </c>
      <c r="F1682" s="465">
        <v>2.5</v>
      </c>
      <c r="G1682" s="466">
        <v>2.5</v>
      </c>
      <c r="H1682" s="466">
        <f>G1682/1.1</f>
        <v>2.2727272727272725</v>
      </c>
      <c r="I1682" s="436"/>
      <c r="J1682" s="465">
        <v>0</v>
      </c>
      <c r="K1682" s="465">
        <v>0</v>
      </c>
    </row>
    <row r="1683" spans="2:11" ht="19" customHeight="1">
      <c r="B1683" s="464">
        <v>46057</v>
      </c>
      <c r="C1683" s="436" t="s">
        <v>256</v>
      </c>
      <c r="D1683" s="436" t="s">
        <v>931</v>
      </c>
      <c r="E1683" s="436">
        <v>1</v>
      </c>
      <c r="F1683" s="465">
        <v>8.5</v>
      </c>
      <c r="G1683" s="466">
        <v>8.5</v>
      </c>
      <c r="H1683" s="466">
        <f>G1683/1.1</f>
        <v>7.7272727272727266</v>
      </c>
      <c r="I1683" s="436"/>
      <c r="J1683" s="465">
        <v>0</v>
      </c>
      <c r="K1683" s="465">
        <v>0</v>
      </c>
    </row>
    <row r="1684" spans="2:11" ht="19" customHeight="1">
      <c r="B1684" s="464">
        <v>46057</v>
      </c>
      <c r="C1684" s="436" t="s">
        <v>253</v>
      </c>
      <c r="D1684" s="436" t="s">
        <v>869</v>
      </c>
      <c r="E1684" s="436">
        <v>1</v>
      </c>
      <c r="F1684" s="465">
        <v>2.5</v>
      </c>
      <c r="G1684" s="466">
        <v>2.5</v>
      </c>
      <c r="H1684" s="466">
        <f>G1684/1.1</f>
        <v>2.2727272727272725</v>
      </c>
      <c r="I1684" s="436"/>
      <c r="J1684" s="465">
        <v>0</v>
      </c>
      <c r="K1684" s="465">
        <v>0</v>
      </c>
    </row>
    <row r="1685" spans="2:11" ht="19" customHeight="1">
      <c r="B1685" s="464">
        <v>46057</v>
      </c>
      <c r="C1685" s="436" t="s">
        <v>276</v>
      </c>
      <c r="D1685" s="436" t="s">
        <v>909</v>
      </c>
      <c r="E1685" s="436">
        <v>2</v>
      </c>
      <c r="F1685" s="465">
        <v>4.8499999999999996</v>
      </c>
      <c r="G1685" s="466">
        <v>9.6999999999999993</v>
      </c>
      <c r="H1685" s="466">
        <f>G1685/1.1</f>
        <v>8.8181818181818166</v>
      </c>
      <c r="I1685" s="436"/>
      <c r="J1685" s="465">
        <v>0</v>
      </c>
      <c r="K1685" s="465">
        <v>0</v>
      </c>
    </row>
    <row r="1686" spans="2:11" ht="19" customHeight="1">
      <c r="B1686" s="464">
        <v>46057</v>
      </c>
      <c r="C1686" s="436" t="s">
        <v>253</v>
      </c>
      <c r="D1686" s="436" t="s">
        <v>969</v>
      </c>
      <c r="E1686" s="436">
        <v>2</v>
      </c>
      <c r="F1686" s="465">
        <v>3.35</v>
      </c>
      <c r="G1686" s="466">
        <v>6.7</v>
      </c>
      <c r="H1686" s="466">
        <f>G1686/1.1</f>
        <v>6.0909090909090908</v>
      </c>
      <c r="I1686" s="436"/>
      <c r="J1686" s="465">
        <v>0</v>
      </c>
      <c r="K1686" s="465">
        <v>0</v>
      </c>
    </row>
    <row r="1687" spans="2:11" ht="19" customHeight="1">
      <c r="B1687" s="464">
        <v>46057</v>
      </c>
      <c r="C1687" s="436" t="s">
        <v>264</v>
      </c>
      <c r="D1687" s="436" t="s">
        <v>930</v>
      </c>
      <c r="E1687" s="436">
        <v>1</v>
      </c>
      <c r="F1687" s="465">
        <v>3.5</v>
      </c>
      <c r="G1687" s="466">
        <v>3.5</v>
      </c>
      <c r="H1687" s="466">
        <f>G1687/1.1</f>
        <v>3.1818181818181817</v>
      </c>
      <c r="I1687" s="436"/>
      <c r="J1687" s="465">
        <v>0</v>
      </c>
      <c r="K1687" s="465">
        <v>0</v>
      </c>
    </row>
    <row r="1688" spans="2:11" ht="19" customHeight="1">
      <c r="B1688" s="464">
        <v>46057</v>
      </c>
      <c r="C1688" s="436" t="s">
        <v>256</v>
      </c>
      <c r="D1688" s="436" t="s">
        <v>912</v>
      </c>
      <c r="E1688" s="436">
        <v>1</v>
      </c>
      <c r="F1688" s="465">
        <v>5.5</v>
      </c>
      <c r="G1688" s="466">
        <v>5.5</v>
      </c>
      <c r="H1688" s="466">
        <f>G1688/1.1</f>
        <v>5</v>
      </c>
      <c r="I1688" s="436"/>
      <c r="J1688" s="465">
        <v>0</v>
      </c>
      <c r="K1688" s="465">
        <v>0</v>
      </c>
    </row>
    <row r="1689" spans="2:11" ht="19" customHeight="1">
      <c r="B1689" s="464">
        <v>46057</v>
      </c>
      <c r="C1689" s="436" t="s">
        <v>326</v>
      </c>
      <c r="D1689" s="436" t="s">
        <v>1073</v>
      </c>
      <c r="E1689" s="436">
        <v>1</v>
      </c>
      <c r="F1689" s="465">
        <v>10</v>
      </c>
      <c r="G1689" s="466">
        <v>10</v>
      </c>
      <c r="H1689" s="466">
        <f>G1689/1.1</f>
        <v>9.0909090909090899</v>
      </c>
      <c r="I1689" s="436"/>
      <c r="J1689" s="465">
        <v>0</v>
      </c>
      <c r="K1689" s="465">
        <v>0</v>
      </c>
    </row>
    <row r="1690" spans="2:11" ht="19" customHeight="1">
      <c r="B1690" s="464">
        <v>46057</v>
      </c>
      <c r="C1690" s="436" t="s">
        <v>253</v>
      </c>
      <c r="D1690" s="436" t="s">
        <v>869</v>
      </c>
      <c r="E1690" s="436">
        <v>1</v>
      </c>
      <c r="F1690" s="465">
        <v>2.5</v>
      </c>
      <c r="G1690" s="466">
        <v>2.5</v>
      </c>
      <c r="H1690" s="466">
        <f>G1690/1.1</f>
        <v>2.2727272727272725</v>
      </c>
      <c r="I1690" s="436"/>
      <c r="J1690" s="465">
        <v>0</v>
      </c>
      <c r="K1690" s="465">
        <v>0</v>
      </c>
    </row>
    <row r="1691" spans="2:11" ht="19" customHeight="1">
      <c r="B1691" s="464">
        <v>46057</v>
      </c>
      <c r="C1691" s="436" t="s">
        <v>247</v>
      </c>
      <c r="D1691" s="436" t="s">
        <v>246</v>
      </c>
      <c r="E1691" s="436">
        <v>1</v>
      </c>
      <c r="F1691" s="465">
        <v>1.7</v>
      </c>
      <c r="G1691" s="466">
        <v>1.7</v>
      </c>
      <c r="H1691" s="466">
        <f>G1691/1.1</f>
        <v>1.5454545454545452</v>
      </c>
      <c r="I1691" s="436"/>
      <c r="J1691" s="465">
        <v>0</v>
      </c>
      <c r="K1691" s="465">
        <v>0</v>
      </c>
    </row>
    <row r="1692" spans="2:11" ht="19" customHeight="1">
      <c r="B1692" s="464">
        <v>46058</v>
      </c>
      <c r="C1692" s="436" t="s">
        <v>873</v>
      </c>
      <c r="D1692" s="436" t="s">
        <v>1068</v>
      </c>
      <c r="E1692" s="436">
        <v>2</v>
      </c>
      <c r="F1692" s="469"/>
      <c r="G1692" s="468" t="s">
        <v>875</v>
      </c>
      <c r="H1692" s="466" t="e">
        <f>G1692/1.1</f>
        <v>#VALUE!</v>
      </c>
      <c r="I1692" s="436"/>
      <c r="J1692" s="465">
        <v>0</v>
      </c>
      <c r="K1692" s="467">
        <v>0</v>
      </c>
    </row>
    <row r="1693" spans="2:11" ht="19" customHeight="1">
      <c r="B1693" s="464">
        <v>46058</v>
      </c>
      <c r="C1693" s="436" t="s">
        <v>877</v>
      </c>
      <c r="D1693" s="436" t="s">
        <v>1015</v>
      </c>
      <c r="E1693" s="436">
        <v>2</v>
      </c>
      <c r="F1693" s="469"/>
      <c r="G1693" s="468" t="s">
        <v>875</v>
      </c>
      <c r="H1693" s="466" t="e">
        <f>G1693/1.1</f>
        <v>#VALUE!</v>
      </c>
      <c r="I1693" s="436"/>
      <c r="J1693" s="465">
        <v>0</v>
      </c>
      <c r="K1693" s="467">
        <v>0</v>
      </c>
    </row>
    <row r="1694" spans="2:11" ht="19" customHeight="1">
      <c r="B1694" s="464">
        <v>46058</v>
      </c>
      <c r="C1694" s="436" t="s">
        <v>266</v>
      </c>
      <c r="D1694" s="436" t="s">
        <v>760</v>
      </c>
      <c r="E1694" s="436">
        <v>1</v>
      </c>
      <c r="F1694" s="469"/>
      <c r="G1694" s="468" t="s">
        <v>875</v>
      </c>
      <c r="H1694" s="466" t="e">
        <f>G1694/1.1</f>
        <v>#VALUE!</v>
      </c>
      <c r="I1694" s="436"/>
      <c r="J1694" s="465">
        <v>0</v>
      </c>
      <c r="K1694" s="467">
        <v>0</v>
      </c>
    </row>
    <row r="1695" spans="2:11" ht="19" customHeight="1">
      <c r="B1695" s="464">
        <v>46058</v>
      </c>
      <c r="C1695" s="436" t="s">
        <v>266</v>
      </c>
      <c r="D1695" s="436" t="s">
        <v>1074</v>
      </c>
      <c r="E1695" s="436">
        <v>1</v>
      </c>
      <c r="F1695" s="469"/>
      <c r="G1695" s="468" t="s">
        <v>875</v>
      </c>
      <c r="H1695" s="466" t="e">
        <f>G1695/1.1</f>
        <v>#VALUE!</v>
      </c>
      <c r="I1695" s="436"/>
      <c r="J1695" s="465">
        <v>0</v>
      </c>
      <c r="K1695" s="467">
        <v>0</v>
      </c>
    </row>
    <row r="1696" spans="2:11" ht="19" customHeight="1">
      <c r="B1696" s="464">
        <v>46058</v>
      </c>
      <c r="C1696" s="436" t="s">
        <v>254</v>
      </c>
      <c r="D1696" s="436" t="s">
        <v>254</v>
      </c>
      <c r="E1696" s="436">
        <v>1</v>
      </c>
      <c r="F1696" s="465">
        <v>14.9</v>
      </c>
      <c r="G1696" s="466">
        <v>14.9</v>
      </c>
      <c r="H1696" s="466">
        <f>G1696/1.1</f>
        <v>13.545454545454545</v>
      </c>
      <c r="I1696" s="436"/>
      <c r="J1696" s="465">
        <v>0</v>
      </c>
      <c r="K1696" s="467">
        <v>0</v>
      </c>
    </row>
    <row r="1697" spans="2:11" ht="19" customHeight="1">
      <c r="B1697" s="464">
        <v>46058</v>
      </c>
      <c r="C1697" s="436" t="s">
        <v>873</v>
      </c>
      <c r="D1697" s="436" t="s">
        <v>1068</v>
      </c>
      <c r="E1697" s="436">
        <v>1</v>
      </c>
      <c r="F1697" s="469"/>
      <c r="G1697" s="468" t="s">
        <v>875</v>
      </c>
      <c r="H1697" s="466" t="e">
        <f>G1697/1.1</f>
        <v>#VALUE!</v>
      </c>
      <c r="I1697" s="436"/>
      <c r="J1697" s="465">
        <v>0</v>
      </c>
      <c r="K1697" s="467">
        <v>0</v>
      </c>
    </row>
    <row r="1698" spans="2:11" ht="19" customHeight="1">
      <c r="B1698" s="464">
        <v>46058</v>
      </c>
      <c r="C1698" s="436" t="s">
        <v>877</v>
      </c>
      <c r="D1698" s="436" t="s">
        <v>934</v>
      </c>
      <c r="E1698" s="436">
        <v>1</v>
      </c>
      <c r="F1698" s="465">
        <v>6</v>
      </c>
      <c r="G1698" s="466">
        <v>6</v>
      </c>
      <c r="H1698" s="466">
        <f>G1698/1.1</f>
        <v>5.4545454545454541</v>
      </c>
      <c r="I1698" s="436"/>
      <c r="J1698" s="465">
        <v>0</v>
      </c>
      <c r="K1698" s="467">
        <v>0</v>
      </c>
    </row>
    <row r="1699" spans="2:11" ht="19" customHeight="1">
      <c r="B1699" s="464">
        <v>46058</v>
      </c>
      <c r="C1699" s="436" t="s">
        <v>266</v>
      </c>
      <c r="D1699" s="436" t="s">
        <v>265</v>
      </c>
      <c r="E1699" s="436">
        <v>1</v>
      </c>
      <c r="F1699" s="465">
        <v>1</v>
      </c>
      <c r="G1699" s="466">
        <v>1</v>
      </c>
      <c r="H1699" s="466">
        <f>G1699/1.1</f>
        <v>0.90909090909090906</v>
      </c>
      <c r="I1699" s="436"/>
      <c r="J1699" s="465">
        <v>0</v>
      </c>
      <c r="K1699" s="467">
        <v>0</v>
      </c>
    </row>
    <row r="1700" spans="2:11" ht="19" customHeight="1">
      <c r="B1700" s="464">
        <v>46058</v>
      </c>
      <c r="C1700" s="436" t="s">
        <v>258</v>
      </c>
      <c r="D1700" s="436" t="s">
        <v>883</v>
      </c>
      <c r="E1700" s="436">
        <v>1</v>
      </c>
      <c r="F1700" s="469"/>
      <c r="G1700" s="468" t="s">
        <v>875</v>
      </c>
      <c r="H1700" s="466" t="e">
        <f>G1700/1.1</f>
        <v>#VALUE!</v>
      </c>
      <c r="I1700" s="436"/>
      <c r="J1700" s="465">
        <v>0</v>
      </c>
      <c r="K1700" s="467">
        <v>0</v>
      </c>
    </row>
    <row r="1701" spans="2:11" ht="19" customHeight="1">
      <c r="B1701" s="464">
        <v>46058</v>
      </c>
      <c r="C1701" s="436" t="s">
        <v>247</v>
      </c>
      <c r="D1701" s="436" t="s">
        <v>919</v>
      </c>
      <c r="E1701" s="436">
        <v>1</v>
      </c>
      <c r="F1701" s="465">
        <v>1.85</v>
      </c>
      <c r="G1701" s="466">
        <v>1.85</v>
      </c>
      <c r="H1701" s="466">
        <f>G1701/1.1</f>
        <v>1.6818181818181817</v>
      </c>
      <c r="I1701" s="436"/>
      <c r="J1701" s="465">
        <v>0</v>
      </c>
      <c r="K1701" s="467">
        <v>0</v>
      </c>
    </row>
    <row r="1702" spans="2:11" ht="19" customHeight="1">
      <c r="B1702" s="464">
        <v>46058</v>
      </c>
      <c r="C1702" s="436" t="s">
        <v>254</v>
      </c>
      <c r="D1702" s="436" t="s">
        <v>254</v>
      </c>
      <c r="E1702" s="436">
        <v>1</v>
      </c>
      <c r="F1702" s="465">
        <v>14.9</v>
      </c>
      <c r="G1702" s="466">
        <v>14.9</v>
      </c>
      <c r="H1702" s="466">
        <f>G1702/1.1</f>
        <v>13.545454545454545</v>
      </c>
      <c r="I1702" s="436"/>
      <c r="J1702" s="465">
        <v>0</v>
      </c>
      <c r="K1702" s="467">
        <v>0</v>
      </c>
    </row>
    <row r="1703" spans="2:11" ht="19" customHeight="1">
      <c r="B1703" s="464">
        <v>46058</v>
      </c>
      <c r="C1703" s="436" t="s">
        <v>873</v>
      </c>
      <c r="D1703" s="436" t="s">
        <v>1075</v>
      </c>
      <c r="E1703" s="436">
        <v>1</v>
      </c>
      <c r="F1703" s="469"/>
      <c r="G1703" s="468" t="s">
        <v>875</v>
      </c>
      <c r="H1703" s="466" t="e">
        <f>G1703/1.1</f>
        <v>#VALUE!</v>
      </c>
      <c r="I1703" s="436"/>
      <c r="J1703" s="465">
        <v>0</v>
      </c>
      <c r="K1703" s="467">
        <v>0</v>
      </c>
    </row>
    <row r="1704" spans="2:11" ht="19" customHeight="1">
      <c r="B1704" s="464">
        <v>46058</v>
      </c>
      <c r="C1704" s="436" t="s">
        <v>877</v>
      </c>
      <c r="D1704" s="436" t="s">
        <v>751</v>
      </c>
      <c r="E1704" s="436">
        <v>1</v>
      </c>
      <c r="F1704" s="469"/>
      <c r="G1704" s="468" t="s">
        <v>875</v>
      </c>
      <c r="H1704" s="466" t="e">
        <f>G1704/1.1</f>
        <v>#VALUE!</v>
      </c>
      <c r="I1704" s="436"/>
      <c r="J1704" s="465">
        <v>0</v>
      </c>
      <c r="K1704" s="467">
        <v>0</v>
      </c>
    </row>
    <row r="1705" spans="2:11" ht="19" customHeight="1">
      <c r="B1705" s="464">
        <v>46058</v>
      </c>
      <c r="C1705" s="436" t="s">
        <v>266</v>
      </c>
      <c r="D1705" s="436" t="s">
        <v>250</v>
      </c>
      <c r="E1705" s="436">
        <v>1</v>
      </c>
      <c r="F1705" s="469"/>
      <c r="G1705" s="468" t="s">
        <v>875</v>
      </c>
      <c r="H1705" s="466" t="e">
        <f>G1705/1.1</f>
        <v>#VALUE!</v>
      </c>
      <c r="I1705" s="436"/>
      <c r="J1705" s="465">
        <v>0</v>
      </c>
      <c r="K1705" s="467">
        <v>0</v>
      </c>
    </row>
    <row r="1706" spans="2:11" ht="19" customHeight="1">
      <c r="B1706" s="464">
        <v>46058</v>
      </c>
      <c r="C1706" s="436" t="s">
        <v>258</v>
      </c>
      <c r="D1706" s="436" t="s">
        <v>883</v>
      </c>
      <c r="E1706" s="436">
        <v>1</v>
      </c>
      <c r="F1706" s="469"/>
      <c r="G1706" s="468" t="s">
        <v>875</v>
      </c>
      <c r="H1706" s="466" t="e">
        <f>G1706/1.1</f>
        <v>#VALUE!</v>
      </c>
      <c r="I1706" s="436"/>
      <c r="J1706" s="465">
        <v>0</v>
      </c>
      <c r="K1706" s="467">
        <v>0</v>
      </c>
    </row>
    <row r="1707" spans="2:11" ht="19" customHeight="1">
      <c r="B1707" s="464">
        <v>46058</v>
      </c>
      <c r="C1707" s="436" t="s">
        <v>247</v>
      </c>
      <c r="D1707" s="436" t="s">
        <v>248</v>
      </c>
      <c r="E1707" s="436">
        <v>1</v>
      </c>
      <c r="F1707" s="465">
        <v>1.65</v>
      </c>
      <c r="G1707" s="466">
        <v>1.65</v>
      </c>
      <c r="H1707" s="466">
        <f>G1707/1.1</f>
        <v>1.4999999999999998</v>
      </c>
      <c r="I1707" s="436"/>
      <c r="J1707" s="465">
        <v>0</v>
      </c>
      <c r="K1707" s="467">
        <v>0</v>
      </c>
    </row>
    <row r="1708" spans="2:11" ht="19" customHeight="1">
      <c r="B1708" s="464">
        <v>46058</v>
      </c>
      <c r="C1708" s="436" t="s">
        <v>254</v>
      </c>
      <c r="D1708" s="436" t="s">
        <v>254</v>
      </c>
      <c r="E1708" s="436">
        <v>1</v>
      </c>
      <c r="F1708" s="465">
        <v>14.9</v>
      </c>
      <c r="G1708" s="466">
        <v>14.9</v>
      </c>
      <c r="H1708" s="466">
        <f>G1708/1.1</f>
        <v>13.545454545454545</v>
      </c>
      <c r="I1708" s="436"/>
      <c r="J1708" s="465">
        <v>0</v>
      </c>
      <c r="K1708" s="467">
        <v>0</v>
      </c>
    </row>
    <row r="1709" spans="2:11" ht="19" customHeight="1">
      <c r="B1709" s="464">
        <v>46058</v>
      </c>
      <c r="C1709" s="436" t="s">
        <v>873</v>
      </c>
      <c r="D1709" s="436" t="s">
        <v>1068</v>
      </c>
      <c r="E1709" s="436">
        <v>1</v>
      </c>
      <c r="F1709" s="469"/>
      <c r="G1709" s="468" t="s">
        <v>875</v>
      </c>
      <c r="H1709" s="466" t="e">
        <f>G1709/1.1</f>
        <v>#VALUE!</v>
      </c>
      <c r="I1709" s="436"/>
      <c r="J1709" s="465">
        <v>0</v>
      </c>
      <c r="K1709" s="467">
        <v>0</v>
      </c>
    </row>
    <row r="1710" spans="2:11" ht="19" customHeight="1">
      <c r="B1710" s="464">
        <v>46058</v>
      </c>
      <c r="C1710" s="436" t="s">
        <v>877</v>
      </c>
      <c r="D1710" s="436" t="s">
        <v>934</v>
      </c>
      <c r="E1710" s="436">
        <v>1</v>
      </c>
      <c r="F1710" s="465">
        <v>6</v>
      </c>
      <c r="G1710" s="466">
        <v>6</v>
      </c>
      <c r="H1710" s="466">
        <f>G1710/1.1</f>
        <v>5.4545454545454541</v>
      </c>
      <c r="I1710" s="436"/>
      <c r="J1710" s="465">
        <v>0</v>
      </c>
      <c r="K1710" s="467">
        <v>0</v>
      </c>
    </row>
    <row r="1711" spans="2:11" ht="19" customHeight="1">
      <c r="B1711" s="464">
        <v>46058</v>
      </c>
      <c r="C1711" s="436" t="s">
        <v>266</v>
      </c>
      <c r="D1711" s="436" t="s">
        <v>926</v>
      </c>
      <c r="E1711" s="436">
        <v>1</v>
      </c>
      <c r="F1711" s="465">
        <v>1</v>
      </c>
      <c r="G1711" s="466">
        <v>1</v>
      </c>
      <c r="H1711" s="466">
        <f>G1711/1.1</f>
        <v>0.90909090909090906</v>
      </c>
      <c r="I1711" s="436"/>
      <c r="J1711" s="465">
        <v>0</v>
      </c>
      <c r="K1711" s="467">
        <v>0</v>
      </c>
    </row>
    <row r="1712" spans="2:11" ht="19" customHeight="1">
      <c r="B1712" s="464">
        <v>46058</v>
      </c>
      <c r="C1712" s="436" t="s">
        <v>258</v>
      </c>
      <c r="D1712" s="436" t="s">
        <v>1058</v>
      </c>
      <c r="E1712" s="436">
        <v>1</v>
      </c>
      <c r="F1712" s="469"/>
      <c r="G1712" s="468" t="s">
        <v>875</v>
      </c>
      <c r="H1712" s="466" t="e">
        <f>G1712/1.1</f>
        <v>#VALUE!</v>
      </c>
      <c r="I1712" s="436"/>
      <c r="J1712" s="465">
        <v>0</v>
      </c>
      <c r="K1712" s="467">
        <v>0</v>
      </c>
    </row>
    <row r="1713" spans="2:11" ht="19" customHeight="1">
      <c r="B1713" s="464">
        <v>46058</v>
      </c>
      <c r="C1713" s="436" t="s">
        <v>254</v>
      </c>
      <c r="D1713" s="436" t="s">
        <v>254</v>
      </c>
      <c r="E1713" s="436">
        <v>2</v>
      </c>
      <c r="F1713" s="465">
        <v>14.9</v>
      </c>
      <c r="G1713" s="466">
        <v>29.8</v>
      </c>
      <c r="H1713" s="466">
        <f>G1713/1.1</f>
        <v>27.09090909090909</v>
      </c>
      <c r="I1713" s="436"/>
      <c r="J1713" s="465">
        <v>0</v>
      </c>
      <c r="K1713" s="467">
        <v>0</v>
      </c>
    </row>
    <row r="1714" spans="2:11" ht="19" customHeight="1">
      <c r="B1714" s="464">
        <v>46058</v>
      </c>
      <c r="C1714" s="436" t="s">
        <v>873</v>
      </c>
      <c r="D1714" s="436" t="s">
        <v>1075</v>
      </c>
      <c r="E1714" s="436">
        <v>2</v>
      </c>
      <c r="F1714" s="469"/>
      <c r="G1714" s="468" t="s">
        <v>875</v>
      </c>
      <c r="H1714" s="466" t="e">
        <f>G1714/1.1</f>
        <v>#VALUE!</v>
      </c>
      <c r="I1714" s="436"/>
      <c r="J1714" s="465">
        <v>0</v>
      </c>
      <c r="K1714" s="467">
        <v>0</v>
      </c>
    </row>
    <row r="1715" spans="2:11" ht="19" customHeight="1">
      <c r="B1715" s="464">
        <v>46058</v>
      </c>
      <c r="C1715" s="436" t="s">
        <v>877</v>
      </c>
      <c r="D1715" s="436" t="s">
        <v>1069</v>
      </c>
      <c r="E1715" s="436">
        <v>2</v>
      </c>
      <c r="F1715" s="465">
        <v>3</v>
      </c>
      <c r="G1715" s="466">
        <v>6</v>
      </c>
      <c r="H1715" s="466">
        <f>G1715/1.1</f>
        <v>5.4545454545454541</v>
      </c>
      <c r="I1715" s="436"/>
      <c r="J1715" s="465">
        <v>0</v>
      </c>
      <c r="K1715" s="467">
        <v>0</v>
      </c>
    </row>
    <row r="1716" spans="2:11" ht="19" customHeight="1">
      <c r="B1716" s="464">
        <v>46058</v>
      </c>
      <c r="C1716" s="436" t="s">
        <v>266</v>
      </c>
      <c r="D1716" s="436" t="s">
        <v>926</v>
      </c>
      <c r="E1716" s="436">
        <v>1</v>
      </c>
      <c r="F1716" s="465">
        <v>1</v>
      </c>
      <c r="G1716" s="466">
        <v>1</v>
      </c>
      <c r="H1716" s="466">
        <f>G1716/1.1</f>
        <v>0.90909090909090906</v>
      </c>
      <c r="I1716" s="436"/>
      <c r="J1716" s="465">
        <v>0</v>
      </c>
      <c r="K1716" s="467">
        <v>0</v>
      </c>
    </row>
    <row r="1717" spans="2:11" ht="19" customHeight="1">
      <c r="B1717" s="464">
        <v>46058</v>
      </c>
      <c r="C1717" s="436" t="s">
        <v>266</v>
      </c>
      <c r="D1717" s="436" t="s">
        <v>991</v>
      </c>
      <c r="E1717" s="436">
        <v>1</v>
      </c>
      <c r="F1717" s="469"/>
      <c r="G1717" s="468" t="s">
        <v>875</v>
      </c>
      <c r="H1717" s="466" t="e">
        <f>G1717/1.1</f>
        <v>#VALUE!</v>
      </c>
      <c r="I1717" s="436"/>
      <c r="J1717" s="465">
        <v>0</v>
      </c>
      <c r="K1717" s="467">
        <v>0</v>
      </c>
    </row>
    <row r="1718" spans="2:11" ht="19" customHeight="1">
      <c r="B1718" s="464">
        <v>46058</v>
      </c>
      <c r="C1718" s="436" t="s">
        <v>258</v>
      </c>
      <c r="D1718" s="436" t="s">
        <v>883</v>
      </c>
      <c r="E1718" s="436">
        <v>2</v>
      </c>
      <c r="F1718" s="469"/>
      <c r="G1718" s="468" t="s">
        <v>875</v>
      </c>
      <c r="H1718" s="466" t="e">
        <f>G1718/1.1</f>
        <v>#VALUE!</v>
      </c>
      <c r="I1718" s="436"/>
      <c r="J1718" s="465">
        <v>0</v>
      </c>
      <c r="K1718" s="467">
        <v>0</v>
      </c>
    </row>
    <row r="1719" spans="2:11" ht="19" customHeight="1">
      <c r="B1719" s="464">
        <v>46058</v>
      </c>
      <c r="C1719" s="436" t="s">
        <v>254</v>
      </c>
      <c r="D1719" s="436" t="s">
        <v>254</v>
      </c>
      <c r="E1719" s="436">
        <v>5</v>
      </c>
      <c r="F1719" s="465">
        <v>14.9</v>
      </c>
      <c r="G1719" s="466">
        <v>74.5</v>
      </c>
      <c r="H1719" s="466">
        <f>G1719/1.1</f>
        <v>67.72727272727272</v>
      </c>
      <c r="I1719" s="436"/>
      <c r="J1719" s="465">
        <v>0</v>
      </c>
      <c r="K1719" s="467">
        <v>0</v>
      </c>
    </row>
    <row r="1720" spans="2:11" ht="19" customHeight="1">
      <c r="B1720" s="464">
        <v>46058</v>
      </c>
      <c r="C1720" s="436" t="s">
        <v>873</v>
      </c>
      <c r="D1720" s="436" t="s">
        <v>1075</v>
      </c>
      <c r="E1720" s="436">
        <v>1</v>
      </c>
      <c r="F1720" s="469"/>
      <c r="G1720" s="468" t="s">
        <v>875</v>
      </c>
      <c r="H1720" s="466" t="e">
        <f>G1720/1.1</f>
        <v>#VALUE!</v>
      </c>
      <c r="I1720" s="436"/>
      <c r="J1720" s="465">
        <v>0</v>
      </c>
      <c r="K1720" s="467">
        <v>0</v>
      </c>
    </row>
    <row r="1721" spans="2:11" ht="19" customHeight="1">
      <c r="B1721" s="464">
        <v>46058</v>
      </c>
      <c r="C1721" s="436" t="s">
        <v>873</v>
      </c>
      <c r="D1721" s="436" t="s">
        <v>1068</v>
      </c>
      <c r="E1721" s="436">
        <v>1</v>
      </c>
      <c r="F1721" s="469"/>
      <c r="G1721" s="468" t="s">
        <v>875</v>
      </c>
      <c r="H1721" s="466" t="e">
        <f>G1721/1.1</f>
        <v>#VALUE!</v>
      </c>
      <c r="I1721" s="436"/>
      <c r="J1721" s="465">
        <v>0</v>
      </c>
      <c r="K1721" s="467">
        <v>0</v>
      </c>
    </row>
    <row r="1722" spans="2:11" ht="19" customHeight="1">
      <c r="B1722" s="464">
        <v>46058</v>
      </c>
      <c r="C1722" s="436" t="s">
        <v>873</v>
      </c>
      <c r="D1722" s="436" t="s">
        <v>751</v>
      </c>
      <c r="E1722" s="436">
        <v>1</v>
      </c>
      <c r="F1722" s="465">
        <v>2</v>
      </c>
      <c r="G1722" s="466">
        <v>2</v>
      </c>
      <c r="H1722" s="466">
        <f>G1722/1.1</f>
        <v>1.8181818181818181</v>
      </c>
      <c r="I1722" s="436"/>
      <c r="J1722" s="465">
        <v>0</v>
      </c>
      <c r="K1722" s="467">
        <v>0</v>
      </c>
    </row>
    <row r="1723" spans="2:11" ht="19" customHeight="1">
      <c r="B1723" s="464">
        <v>46058</v>
      </c>
      <c r="C1723" s="436" t="s">
        <v>873</v>
      </c>
      <c r="D1723" s="436" t="s">
        <v>987</v>
      </c>
      <c r="E1723" s="436">
        <v>1</v>
      </c>
      <c r="F1723" s="465">
        <v>5</v>
      </c>
      <c r="G1723" s="466">
        <v>5</v>
      </c>
      <c r="H1723" s="466">
        <f>G1723/1.1</f>
        <v>4.545454545454545</v>
      </c>
      <c r="I1723" s="436"/>
      <c r="J1723" s="465">
        <v>0</v>
      </c>
      <c r="K1723" s="467">
        <v>0</v>
      </c>
    </row>
    <row r="1724" spans="2:11" ht="19" customHeight="1">
      <c r="B1724" s="464">
        <v>46058</v>
      </c>
      <c r="C1724" s="436" t="s">
        <v>873</v>
      </c>
      <c r="D1724" s="436" t="s">
        <v>1072</v>
      </c>
      <c r="E1724" s="436">
        <v>1</v>
      </c>
      <c r="F1724" s="465">
        <v>2</v>
      </c>
      <c r="G1724" s="466">
        <v>2</v>
      </c>
      <c r="H1724" s="466">
        <f>G1724/1.1</f>
        <v>1.8181818181818181</v>
      </c>
      <c r="I1724" s="436"/>
      <c r="J1724" s="465">
        <v>0</v>
      </c>
      <c r="K1724" s="467">
        <v>0</v>
      </c>
    </row>
    <row r="1725" spans="2:11" ht="19" customHeight="1">
      <c r="B1725" s="464">
        <v>46058</v>
      </c>
      <c r="C1725" s="436" t="s">
        <v>877</v>
      </c>
      <c r="D1725" s="436" t="s">
        <v>751</v>
      </c>
      <c r="E1725" s="436">
        <v>2</v>
      </c>
      <c r="F1725" s="469"/>
      <c r="G1725" s="468" t="s">
        <v>875</v>
      </c>
      <c r="H1725" s="466" t="e">
        <f>G1725/1.1</f>
        <v>#VALUE!</v>
      </c>
      <c r="I1725" s="436"/>
      <c r="J1725" s="465">
        <v>0</v>
      </c>
      <c r="K1725" s="467">
        <v>0</v>
      </c>
    </row>
    <row r="1726" spans="2:11" ht="19" customHeight="1">
      <c r="B1726" s="464">
        <v>46058</v>
      </c>
      <c r="C1726" s="436" t="s">
        <v>877</v>
      </c>
      <c r="D1726" s="436" t="s">
        <v>1069</v>
      </c>
      <c r="E1726" s="436">
        <v>1</v>
      </c>
      <c r="F1726" s="465">
        <v>3</v>
      </c>
      <c r="G1726" s="466">
        <v>3</v>
      </c>
      <c r="H1726" s="466">
        <f>G1726/1.1</f>
        <v>2.7272727272727271</v>
      </c>
      <c r="I1726" s="436"/>
      <c r="J1726" s="465">
        <v>0</v>
      </c>
      <c r="K1726" s="467">
        <v>0</v>
      </c>
    </row>
    <row r="1727" spans="2:11" ht="19" customHeight="1">
      <c r="B1727" s="464">
        <v>46058</v>
      </c>
      <c r="C1727" s="436" t="s">
        <v>877</v>
      </c>
      <c r="D1727" s="436" t="s">
        <v>934</v>
      </c>
      <c r="E1727" s="436">
        <v>1</v>
      </c>
      <c r="F1727" s="465">
        <v>6</v>
      </c>
      <c r="G1727" s="466">
        <v>6</v>
      </c>
      <c r="H1727" s="466">
        <f>G1727/1.1</f>
        <v>5.4545454545454541</v>
      </c>
      <c r="I1727" s="436"/>
      <c r="J1727" s="465">
        <v>0</v>
      </c>
      <c r="K1727" s="467">
        <v>0</v>
      </c>
    </row>
    <row r="1728" spans="2:11" ht="19" customHeight="1">
      <c r="B1728" s="464">
        <v>46058</v>
      </c>
      <c r="C1728" s="436" t="s">
        <v>877</v>
      </c>
      <c r="D1728" s="436" t="s">
        <v>1015</v>
      </c>
      <c r="E1728" s="436">
        <v>1</v>
      </c>
      <c r="F1728" s="469"/>
      <c r="G1728" s="468" t="s">
        <v>875</v>
      </c>
      <c r="H1728" s="466" t="e">
        <f>G1728/1.1</f>
        <v>#VALUE!</v>
      </c>
      <c r="I1728" s="436"/>
      <c r="J1728" s="465">
        <v>0</v>
      </c>
      <c r="K1728" s="467">
        <v>0</v>
      </c>
    </row>
    <row r="1729" spans="2:11" ht="19" customHeight="1">
      <c r="B1729" s="464">
        <v>46058</v>
      </c>
      <c r="C1729" s="436" t="s">
        <v>266</v>
      </c>
      <c r="D1729" s="436" t="s">
        <v>708</v>
      </c>
      <c r="E1729" s="436">
        <v>2</v>
      </c>
      <c r="F1729" s="469"/>
      <c r="G1729" s="468" t="s">
        <v>875</v>
      </c>
      <c r="H1729" s="466" t="e">
        <f>G1729/1.1</f>
        <v>#VALUE!</v>
      </c>
      <c r="I1729" s="436"/>
      <c r="J1729" s="465">
        <v>0</v>
      </c>
      <c r="K1729" s="467">
        <v>0</v>
      </c>
    </row>
    <row r="1730" spans="2:11" ht="19" customHeight="1">
      <c r="B1730" s="464">
        <v>46058</v>
      </c>
      <c r="C1730" s="436" t="s">
        <v>266</v>
      </c>
      <c r="D1730" s="436" t="s">
        <v>250</v>
      </c>
      <c r="E1730" s="436">
        <v>3</v>
      </c>
      <c r="F1730" s="469"/>
      <c r="G1730" s="468" t="s">
        <v>875</v>
      </c>
      <c r="H1730" s="466" t="e">
        <f>G1730/1.1</f>
        <v>#VALUE!</v>
      </c>
      <c r="I1730" s="436"/>
      <c r="J1730" s="465">
        <v>0</v>
      </c>
      <c r="K1730" s="467">
        <v>0</v>
      </c>
    </row>
    <row r="1731" spans="2:11" ht="19" customHeight="1">
      <c r="B1731" s="464">
        <v>46058</v>
      </c>
      <c r="C1731" s="436" t="s">
        <v>258</v>
      </c>
      <c r="D1731" s="436" t="s">
        <v>1067</v>
      </c>
      <c r="E1731" s="436">
        <v>3</v>
      </c>
      <c r="F1731" s="465">
        <v>2</v>
      </c>
      <c r="G1731" s="466">
        <v>6</v>
      </c>
      <c r="H1731" s="466">
        <f>G1731/1.1</f>
        <v>5.4545454545454541</v>
      </c>
      <c r="I1731" s="436"/>
      <c r="J1731" s="465">
        <v>0</v>
      </c>
      <c r="K1731" s="467">
        <v>0</v>
      </c>
    </row>
    <row r="1732" spans="2:11" ht="19" customHeight="1">
      <c r="B1732" s="464">
        <v>46058</v>
      </c>
      <c r="C1732" s="436" t="s">
        <v>258</v>
      </c>
      <c r="D1732" s="436" t="s">
        <v>972</v>
      </c>
      <c r="E1732" s="436">
        <v>2</v>
      </c>
      <c r="F1732" s="469"/>
      <c r="G1732" s="468" t="s">
        <v>875</v>
      </c>
      <c r="H1732" s="466" t="e">
        <f>G1732/1.1</f>
        <v>#VALUE!</v>
      </c>
      <c r="I1732" s="436"/>
      <c r="J1732" s="465">
        <v>0</v>
      </c>
      <c r="K1732" s="467">
        <v>0</v>
      </c>
    </row>
    <row r="1733" spans="2:11" ht="19" customHeight="1">
      <c r="B1733" s="464">
        <v>46058</v>
      </c>
      <c r="C1733" s="436" t="s">
        <v>254</v>
      </c>
      <c r="D1733" s="436" t="s">
        <v>254</v>
      </c>
      <c r="E1733" s="436">
        <v>2</v>
      </c>
      <c r="F1733" s="465">
        <v>14.9</v>
      </c>
      <c r="G1733" s="466">
        <v>29.8</v>
      </c>
      <c r="H1733" s="466">
        <f>G1733/1.1</f>
        <v>27.09090909090909</v>
      </c>
      <c r="I1733" s="436"/>
      <c r="J1733" s="465">
        <v>0</v>
      </c>
      <c r="K1733" s="467">
        <v>0</v>
      </c>
    </row>
    <row r="1734" spans="2:11" ht="19" customHeight="1">
      <c r="B1734" s="464">
        <v>46058</v>
      </c>
      <c r="C1734" s="436" t="s">
        <v>873</v>
      </c>
      <c r="D1734" s="436" t="s">
        <v>1075</v>
      </c>
      <c r="E1734" s="436">
        <v>1</v>
      </c>
      <c r="F1734" s="469"/>
      <c r="G1734" s="468" t="s">
        <v>875</v>
      </c>
      <c r="H1734" s="466" t="e">
        <f>G1734/1.1</f>
        <v>#VALUE!</v>
      </c>
      <c r="I1734" s="436"/>
      <c r="J1734" s="465">
        <v>0</v>
      </c>
      <c r="K1734" s="467">
        <v>0</v>
      </c>
    </row>
    <row r="1735" spans="2:11" ht="19" customHeight="1">
      <c r="B1735" s="464">
        <v>46058</v>
      </c>
      <c r="C1735" s="436" t="s">
        <v>873</v>
      </c>
      <c r="D1735" s="436" t="s">
        <v>1068</v>
      </c>
      <c r="E1735" s="436">
        <v>1</v>
      </c>
      <c r="F1735" s="469"/>
      <c r="G1735" s="468" t="s">
        <v>875</v>
      </c>
      <c r="H1735" s="466" t="e">
        <f>G1735/1.1</f>
        <v>#VALUE!</v>
      </c>
      <c r="I1735" s="436"/>
      <c r="J1735" s="465">
        <v>0</v>
      </c>
      <c r="K1735" s="467">
        <v>0</v>
      </c>
    </row>
    <row r="1736" spans="2:11" ht="19" customHeight="1">
      <c r="B1736" s="464">
        <v>46058</v>
      </c>
      <c r="C1736" s="436" t="s">
        <v>877</v>
      </c>
      <c r="D1736" s="436" t="s">
        <v>751</v>
      </c>
      <c r="E1736" s="436">
        <v>1</v>
      </c>
      <c r="F1736" s="469"/>
      <c r="G1736" s="468" t="s">
        <v>875</v>
      </c>
      <c r="H1736" s="466" t="e">
        <f>G1736/1.1</f>
        <v>#VALUE!</v>
      </c>
      <c r="I1736" s="436"/>
      <c r="J1736" s="465">
        <v>0</v>
      </c>
      <c r="K1736" s="467">
        <v>0</v>
      </c>
    </row>
    <row r="1737" spans="2:11" ht="19" customHeight="1">
      <c r="B1737" s="464">
        <v>46058</v>
      </c>
      <c r="C1737" s="436" t="s">
        <v>877</v>
      </c>
      <c r="D1737" s="436" t="s">
        <v>1015</v>
      </c>
      <c r="E1737" s="436">
        <v>1</v>
      </c>
      <c r="F1737" s="469"/>
      <c r="G1737" s="468" t="s">
        <v>875</v>
      </c>
      <c r="H1737" s="466" t="e">
        <f>G1737/1.1</f>
        <v>#VALUE!</v>
      </c>
      <c r="I1737" s="436"/>
      <c r="J1737" s="465">
        <v>0</v>
      </c>
      <c r="K1737" s="467">
        <v>0</v>
      </c>
    </row>
    <row r="1738" spans="2:11" ht="19" customHeight="1">
      <c r="B1738" s="464">
        <v>46058</v>
      </c>
      <c r="C1738" s="436" t="s">
        <v>266</v>
      </c>
      <c r="D1738" s="436" t="s">
        <v>250</v>
      </c>
      <c r="E1738" s="436">
        <v>1</v>
      </c>
      <c r="F1738" s="469"/>
      <c r="G1738" s="468" t="s">
        <v>875</v>
      </c>
      <c r="H1738" s="466" t="e">
        <f>G1738/1.1</f>
        <v>#VALUE!</v>
      </c>
      <c r="I1738" s="436"/>
      <c r="J1738" s="465">
        <v>0</v>
      </c>
      <c r="K1738" s="467">
        <v>0</v>
      </c>
    </row>
    <row r="1739" spans="2:11" ht="19" customHeight="1">
      <c r="B1739" s="464">
        <v>46058</v>
      </c>
      <c r="C1739" s="436" t="s">
        <v>266</v>
      </c>
      <c r="D1739" s="436" t="s">
        <v>1076</v>
      </c>
      <c r="E1739" s="436">
        <v>1</v>
      </c>
      <c r="F1739" s="469"/>
      <c r="G1739" s="468" t="s">
        <v>875</v>
      </c>
      <c r="H1739" s="466" t="e">
        <f>G1739/1.1</f>
        <v>#VALUE!</v>
      </c>
      <c r="I1739" s="436"/>
      <c r="J1739" s="465">
        <v>0</v>
      </c>
      <c r="K1739" s="467">
        <v>0</v>
      </c>
    </row>
    <row r="1740" spans="2:11" ht="19" customHeight="1">
      <c r="B1740" s="464">
        <v>46058</v>
      </c>
      <c r="C1740" s="436" t="s">
        <v>258</v>
      </c>
      <c r="D1740" s="436" t="s">
        <v>1077</v>
      </c>
      <c r="E1740" s="436">
        <v>1</v>
      </c>
      <c r="F1740" s="465">
        <v>3</v>
      </c>
      <c r="G1740" s="466">
        <v>3</v>
      </c>
      <c r="H1740" s="466">
        <f>G1740/1.1</f>
        <v>2.7272727272727271</v>
      </c>
      <c r="I1740" s="436"/>
      <c r="J1740" s="465">
        <v>0</v>
      </c>
      <c r="K1740" s="467">
        <v>0</v>
      </c>
    </row>
    <row r="1741" spans="2:11" ht="19" customHeight="1">
      <c r="B1741" s="464">
        <v>46058</v>
      </c>
      <c r="C1741" s="436" t="s">
        <v>258</v>
      </c>
      <c r="D1741" s="436" t="s">
        <v>1058</v>
      </c>
      <c r="E1741" s="436">
        <v>1</v>
      </c>
      <c r="F1741" s="469"/>
      <c r="G1741" s="468" t="s">
        <v>875</v>
      </c>
      <c r="H1741" s="466" t="e">
        <f>G1741/1.1</f>
        <v>#VALUE!</v>
      </c>
      <c r="I1741" s="436"/>
      <c r="J1741" s="465">
        <v>0</v>
      </c>
      <c r="K1741" s="467">
        <v>0</v>
      </c>
    </row>
    <row r="1742" spans="2:11" ht="19" customHeight="1">
      <c r="B1742" s="464">
        <v>46058</v>
      </c>
      <c r="C1742" s="436" t="s">
        <v>254</v>
      </c>
      <c r="D1742" s="436" t="s">
        <v>254</v>
      </c>
      <c r="E1742" s="436">
        <v>1</v>
      </c>
      <c r="F1742" s="465">
        <v>14.9</v>
      </c>
      <c r="G1742" s="466">
        <v>14.9</v>
      </c>
      <c r="H1742" s="466">
        <f>G1742/1.1</f>
        <v>13.545454545454545</v>
      </c>
      <c r="I1742" s="436"/>
      <c r="J1742" s="465">
        <v>0</v>
      </c>
      <c r="K1742" s="467">
        <v>0</v>
      </c>
    </row>
    <row r="1743" spans="2:11" ht="19" customHeight="1">
      <c r="B1743" s="464">
        <v>46058</v>
      </c>
      <c r="C1743" s="436" t="s">
        <v>873</v>
      </c>
      <c r="D1743" s="436" t="s">
        <v>1068</v>
      </c>
      <c r="E1743" s="436">
        <v>1</v>
      </c>
      <c r="F1743" s="469"/>
      <c r="G1743" s="468" t="s">
        <v>875</v>
      </c>
      <c r="H1743" s="466" t="e">
        <f>G1743/1.1</f>
        <v>#VALUE!</v>
      </c>
      <c r="I1743" s="436"/>
      <c r="J1743" s="465">
        <v>0</v>
      </c>
      <c r="K1743" s="467">
        <v>0</v>
      </c>
    </row>
    <row r="1744" spans="2:11" ht="19" customHeight="1">
      <c r="B1744" s="464">
        <v>46058</v>
      </c>
      <c r="C1744" s="436" t="s">
        <v>877</v>
      </c>
      <c r="D1744" s="436" t="s">
        <v>1072</v>
      </c>
      <c r="E1744" s="436">
        <v>1</v>
      </c>
      <c r="F1744" s="469"/>
      <c r="G1744" s="468" t="s">
        <v>875</v>
      </c>
      <c r="H1744" s="466" t="e">
        <f>G1744/1.1</f>
        <v>#VALUE!</v>
      </c>
      <c r="I1744" s="436"/>
      <c r="J1744" s="465">
        <v>0</v>
      </c>
      <c r="K1744" s="467">
        <v>0</v>
      </c>
    </row>
    <row r="1745" spans="2:11" ht="19" customHeight="1">
      <c r="B1745" s="464">
        <v>46058</v>
      </c>
      <c r="C1745" s="436" t="s">
        <v>266</v>
      </c>
      <c r="D1745" s="436" t="s">
        <v>991</v>
      </c>
      <c r="E1745" s="436">
        <v>1</v>
      </c>
      <c r="F1745" s="469"/>
      <c r="G1745" s="468" t="s">
        <v>875</v>
      </c>
      <c r="H1745" s="466" t="e">
        <f>G1745/1.1</f>
        <v>#VALUE!</v>
      </c>
      <c r="I1745" s="436"/>
      <c r="J1745" s="465">
        <v>0</v>
      </c>
      <c r="K1745" s="467">
        <v>0</v>
      </c>
    </row>
    <row r="1746" spans="2:11" ht="19" customHeight="1">
      <c r="B1746" s="464">
        <v>46058</v>
      </c>
      <c r="C1746" s="436" t="s">
        <v>258</v>
      </c>
      <c r="D1746" s="436" t="s">
        <v>1067</v>
      </c>
      <c r="E1746" s="436">
        <v>1</v>
      </c>
      <c r="F1746" s="469"/>
      <c r="G1746" s="468" t="s">
        <v>875</v>
      </c>
      <c r="H1746" s="466" t="e">
        <f>G1746/1.1</f>
        <v>#VALUE!</v>
      </c>
      <c r="I1746" s="436"/>
      <c r="J1746" s="465">
        <v>0</v>
      </c>
      <c r="K1746" s="467">
        <v>0</v>
      </c>
    </row>
    <row r="1747" spans="2:11" ht="19" customHeight="1">
      <c r="B1747" s="464">
        <v>46058</v>
      </c>
      <c r="C1747" s="436" t="s">
        <v>247</v>
      </c>
      <c r="D1747" s="436" t="s">
        <v>257</v>
      </c>
      <c r="E1747" s="436">
        <v>1</v>
      </c>
      <c r="F1747" s="465">
        <v>1.4</v>
      </c>
      <c r="G1747" s="466">
        <v>1.4</v>
      </c>
      <c r="H1747" s="466">
        <f>G1747/1.1</f>
        <v>1.2727272727272725</v>
      </c>
      <c r="I1747" s="436"/>
      <c r="J1747" s="465">
        <v>0</v>
      </c>
      <c r="K1747" s="467">
        <v>0</v>
      </c>
    </row>
    <row r="1748" spans="2:11" ht="19" customHeight="1">
      <c r="B1748" s="464">
        <v>46058</v>
      </c>
      <c r="C1748" s="436" t="s">
        <v>247</v>
      </c>
      <c r="D1748" s="436" t="s">
        <v>257</v>
      </c>
      <c r="E1748" s="436">
        <v>1</v>
      </c>
      <c r="F1748" s="465">
        <v>1.55</v>
      </c>
      <c r="G1748" s="466">
        <v>1.55</v>
      </c>
      <c r="H1748" s="466">
        <f>G1748/1.1</f>
        <v>1.4090909090909089</v>
      </c>
      <c r="I1748" s="436"/>
      <c r="J1748" s="465">
        <v>0</v>
      </c>
      <c r="K1748" s="467">
        <v>0</v>
      </c>
    </row>
    <row r="1749" spans="2:11" ht="19" customHeight="1">
      <c r="B1749" s="464">
        <v>46058</v>
      </c>
      <c r="C1749" s="436" t="s">
        <v>247</v>
      </c>
      <c r="D1749" s="436" t="s">
        <v>248</v>
      </c>
      <c r="E1749" s="436">
        <v>4</v>
      </c>
      <c r="F1749" s="465">
        <v>1.65</v>
      </c>
      <c r="G1749" s="466">
        <v>6.6</v>
      </c>
      <c r="H1749" s="466">
        <f>G1749/1.1</f>
        <v>5.9999999999999991</v>
      </c>
      <c r="I1749" s="436"/>
      <c r="J1749" s="465">
        <v>0</v>
      </c>
      <c r="K1749" s="467">
        <v>0</v>
      </c>
    </row>
    <row r="1750" spans="2:11" ht="19" customHeight="1">
      <c r="B1750" s="464">
        <v>46058</v>
      </c>
      <c r="C1750" s="436" t="s">
        <v>276</v>
      </c>
      <c r="D1750" s="436" t="s">
        <v>995</v>
      </c>
      <c r="E1750" s="436">
        <v>1</v>
      </c>
      <c r="F1750" s="465">
        <v>3.05</v>
      </c>
      <c r="G1750" s="466">
        <v>3.05</v>
      </c>
      <c r="H1750" s="466">
        <f>G1750/1.1</f>
        <v>2.7727272727272725</v>
      </c>
      <c r="I1750" s="436"/>
      <c r="J1750" s="465">
        <v>0</v>
      </c>
      <c r="K1750" s="467">
        <v>0</v>
      </c>
    </row>
    <row r="1751" spans="2:11" ht="19" customHeight="1">
      <c r="B1751" s="464">
        <v>46058</v>
      </c>
      <c r="C1751" s="436" t="s">
        <v>256</v>
      </c>
      <c r="D1751" s="436" t="s">
        <v>765</v>
      </c>
      <c r="E1751" s="436">
        <v>1</v>
      </c>
      <c r="F1751" s="465">
        <v>3.85</v>
      </c>
      <c r="G1751" s="466">
        <v>3.85</v>
      </c>
      <c r="H1751" s="466">
        <f>G1751/1.1</f>
        <v>3.5</v>
      </c>
      <c r="I1751" s="436"/>
      <c r="J1751" s="465">
        <v>0</v>
      </c>
      <c r="K1751" s="467">
        <v>0</v>
      </c>
    </row>
    <row r="1752" spans="2:11" ht="19" customHeight="1">
      <c r="B1752" s="464">
        <v>46058</v>
      </c>
      <c r="C1752" s="436" t="s">
        <v>253</v>
      </c>
      <c r="D1752" s="436" t="s">
        <v>901</v>
      </c>
      <c r="E1752" s="436">
        <v>1</v>
      </c>
      <c r="F1752" s="465">
        <v>2.15</v>
      </c>
      <c r="G1752" s="466">
        <v>2.15</v>
      </c>
      <c r="H1752" s="466">
        <f>G1752/1.1</f>
        <v>1.9545454545454544</v>
      </c>
      <c r="I1752" s="436"/>
      <c r="J1752" s="465">
        <v>0</v>
      </c>
      <c r="K1752" s="467">
        <v>0</v>
      </c>
    </row>
    <row r="1753" spans="2:11" ht="19" customHeight="1">
      <c r="B1753" s="464">
        <v>46058</v>
      </c>
      <c r="C1753" s="436" t="s">
        <v>247</v>
      </c>
      <c r="D1753" s="436" t="s">
        <v>257</v>
      </c>
      <c r="E1753" s="436">
        <v>1</v>
      </c>
      <c r="F1753" s="465">
        <v>1.55</v>
      </c>
      <c r="G1753" s="466">
        <v>1.55</v>
      </c>
      <c r="H1753" s="466">
        <f>G1753/1.1</f>
        <v>1.4090909090909089</v>
      </c>
      <c r="I1753" s="436"/>
      <c r="J1753" s="465">
        <v>0</v>
      </c>
      <c r="K1753" s="467">
        <v>0</v>
      </c>
    </row>
    <row r="1754" spans="2:11" ht="19" customHeight="1">
      <c r="B1754" s="464">
        <v>46058</v>
      </c>
      <c r="C1754" s="436" t="s">
        <v>247</v>
      </c>
      <c r="D1754" s="436" t="s">
        <v>246</v>
      </c>
      <c r="E1754" s="436">
        <v>1</v>
      </c>
      <c r="F1754" s="465">
        <v>1.7</v>
      </c>
      <c r="G1754" s="466">
        <v>1.7</v>
      </c>
      <c r="H1754" s="466">
        <f>G1754/1.1</f>
        <v>1.5454545454545452</v>
      </c>
      <c r="I1754" s="436"/>
      <c r="J1754" s="465">
        <v>0</v>
      </c>
      <c r="K1754" s="467">
        <v>0</v>
      </c>
    </row>
    <row r="1755" spans="2:11" ht="19" customHeight="1">
      <c r="B1755" s="464">
        <v>46058</v>
      </c>
      <c r="C1755" s="436" t="s">
        <v>247</v>
      </c>
      <c r="D1755" s="436" t="s">
        <v>248</v>
      </c>
      <c r="E1755" s="436">
        <v>2</v>
      </c>
      <c r="F1755" s="465">
        <v>1.5</v>
      </c>
      <c r="G1755" s="466">
        <v>3</v>
      </c>
      <c r="H1755" s="466">
        <f>G1755/1.1</f>
        <v>2.7272727272727271</v>
      </c>
      <c r="I1755" s="436"/>
      <c r="J1755" s="465">
        <v>0</v>
      </c>
      <c r="K1755" s="467">
        <v>0</v>
      </c>
    </row>
    <row r="1756" spans="2:11" ht="19" customHeight="1">
      <c r="B1756" s="464">
        <v>46058</v>
      </c>
      <c r="C1756" s="436" t="s">
        <v>247</v>
      </c>
      <c r="D1756" s="436" t="s">
        <v>246</v>
      </c>
      <c r="E1756" s="436">
        <v>1</v>
      </c>
      <c r="F1756" s="465">
        <v>1.7</v>
      </c>
      <c r="G1756" s="466">
        <v>1.7</v>
      </c>
      <c r="H1756" s="466">
        <f>G1756/1.1</f>
        <v>1.5454545454545452</v>
      </c>
      <c r="I1756" s="436"/>
      <c r="J1756" s="465">
        <v>0</v>
      </c>
      <c r="K1756" s="467">
        <v>0</v>
      </c>
    </row>
    <row r="1757" spans="2:11" ht="19" customHeight="1">
      <c r="B1757" s="464">
        <v>46058</v>
      </c>
      <c r="C1757" s="436" t="s">
        <v>256</v>
      </c>
      <c r="D1757" s="436" t="s">
        <v>983</v>
      </c>
      <c r="E1757" s="436">
        <v>1</v>
      </c>
      <c r="F1757" s="465">
        <v>2.75</v>
      </c>
      <c r="G1757" s="466">
        <v>2.75</v>
      </c>
      <c r="H1757" s="466">
        <f>G1757/1.1</f>
        <v>2.5</v>
      </c>
      <c r="I1757" s="436"/>
      <c r="J1757" s="465">
        <v>0</v>
      </c>
      <c r="K1757" s="467">
        <v>0</v>
      </c>
    </row>
    <row r="1758" spans="2:11" ht="19" customHeight="1">
      <c r="B1758" s="464">
        <v>46058</v>
      </c>
      <c r="C1758" s="436" t="s">
        <v>276</v>
      </c>
      <c r="D1758" s="436" t="s">
        <v>995</v>
      </c>
      <c r="E1758" s="436">
        <v>1</v>
      </c>
      <c r="F1758" s="465">
        <v>3.05</v>
      </c>
      <c r="G1758" s="466">
        <v>3.05</v>
      </c>
      <c r="H1758" s="466">
        <f>G1758/1.1</f>
        <v>2.7727272727272725</v>
      </c>
      <c r="I1758" s="436"/>
      <c r="J1758" s="465">
        <v>0</v>
      </c>
      <c r="K1758" s="467">
        <v>0</v>
      </c>
    </row>
    <row r="1759" spans="2:11" ht="19" customHeight="1">
      <c r="B1759" s="464">
        <v>46058</v>
      </c>
      <c r="C1759" s="436" t="s">
        <v>253</v>
      </c>
      <c r="D1759" s="436" t="s">
        <v>869</v>
      </c>
      <c r="E1759" s="436">
        <v>1</v>
      </c>
      <c r="F1759" s="467">
        <v>2.5</v>
      </c>
      <c r="G1759" s="466">
        <v>2.5</v>
      </c>
      <c r="H1759" s="466">
        <f>G1759/1.1</f>
        <v>2.2727272727272725</v>
      </c>
      <c r="I1759" s="436"/>
      <c r="J1759" s="465">
        <v>0</v>
      </c>
      <c r="K1759" s="467">
        <v>0</v>
      </c>
    </row>
    <row r="1760" spans="2:11" ht="19" customHeight="1">
      <c r="B1760" s="464">
        <v>46058</v>
      </c>
      <c r="C1760" s="436" t="s">
        <v>256</v>
      </c>
      <c r="D1760" s="436" t="s">
        <v>983</v>
      </c>
      <c r="E1760" s="436">
        <v>1</v>
      </c>
      <c r="F1760" s="465">
        <v>2.75</v>
      </c>
      <c r="G1760" s="466">
        <v>2.75</v>
      </c>
      <c r="H1760" s="466">
        <f>G1760/1.1</f>
        <v>2.5</v>
      </c>
      <c r="I1760" s="436"/>
      <c r="J1760" s="465">
        <v>0</v>
      </c>
      <c r="K1760" s="467">
        <v>0</v>
      </c>
    </row>
    <row r="1761" spans="2:11" ht="19" customHeight="1">
      <c r="B1761" s="464">
        <v>46058</v>
      </c>
      <c r="C1761" s="436" t="s">
        <v>247</v>
      </c>
      <c r="D1761" s="436" t="s">
        <v>248</v>
      </c>
      <c r="E1761" s="436">
        <v>2</v>
      </c>
      <c r="F1761" s="465">
        <v>1.5</v>
      </c>
      <c r="G1761" s="466">
        <v>3</v>
      </c>
      <c r="H1761" s="466">
        <f>G1761/1.1</f>
        <v>2.7272727272727271</v>
      </c>
      <c r="I1761" s="436"/>
      <c r="J1761" s="465">
        <v>0</v>
      </c>
      <c r="K1761" s="467">
        <v>0</v>
      </c>
    </row>
    <row r="1762" spans="2:11" ht="19" customHeight="1">
      <c r="B1762" s="464">
        <v>46058</v>
      </c>
      <c r="C1762" s="436" t="s">
        <v>268</v>
      </c>
      <c r="D1762" s="436" t="s">
        <v>267</v>
      </c>
      <c r="E1762" s="436">
        <v>1</v>
      </c>
      <c r="F1762" s="465">
        <v>1.5</v>
      </c>
      <c r="G1762" s="466">
        <v>1.5</v>
      </c>
      <c r="H1762" s="466">
        <f>G1762/1.1</f>
        <v>1.3636363636363635</v>
      </c>
      <c r="I1762" s="436"/>
      <c r="J1762" s="465">
        <v>0</v>
      </c>
      <c r="K1762" s="467">
        <v>0</v>
      </c>
    </row>
    <row r="1763" spans="2:11" ht="19" customHeight="1">
      <c r="B1763" s="464">
        <v>46058</v>
      </c>
      <c r="C1763" s="436" t="s">
        <v>247</v>
      </c>
      <c r="D1763" s="436" t="s">
        <v>246</v>
      </c>
      <c r="E1763" s="436">
        <v>1</v>
      </c>
      <c r="F1763" s="465">
        <v>1.7</v>
      </c>
      <c r="G1763" s="466">
        <v>1.7</v>
      </c>
      <c r="H1763" s="466">
        <f>G1763/1.1</f>
        <v>1.5454545454545452</v>
      </c>
      <c r="I1763" s="436"/>
      <c r="J1763" s="465">
        <v>0</v>
      </c>
      <c r="K1763" s="467">
        <v>0</v>
      </c>
    </row>
    <row r="1764" spans="2:11" ht="19" customHeight="1">
      <c r="B1764" s="464">
        <v>46058</v>
      </c>
      <c r="C1764" s="436" t="s">
        <v>268</v>
      </c>
      <c r="D1764" s="436" t="s">
        <v>860</v>
      </c>
      <c r="E1764" s="436">
        <v>1</v>
      </c>
      <c r="F1764" s="465">
        <v>2.25</v>
      </c>
      <c r="G1764" s="466">
        <v>2.25</v>
      </c>
      <c r="H1764" s="466">
        <f>G1764/1.1</f>
        <v>2.0454545454545454</v>
      </c>
      <c r="I1764" s="436"/>
      <c r="J1764" s="465">
        <v>0</v>
      </c>
      <c r="K1764" s="467">
        <v>0</v>
      </c>
    </row>
    <row r="1765" spans="2:11" ht="19" customHeight="1">
      <c r="B1765" s="464">
        <v>46058</v>
      </c>
      <c r="C1765" s="436" t="s">
        <v>247</v>
      </c>
      <c r="D1765" s="436" t="s">
        <v>246</v>
      </c>
      <c r="E1765" s="436">
        <v>1</v>
      </c>
      <c r="F1765" s="465">
        <v>1.7</v>
      </c>
      <c r="G1765" s="466">
        <v>1.7</v>
      </c>
      <c r="H1765" s="466">
        <f>G1765/1.1</f>
        <v>1.5454545454545452</v>
      </c>
      <c r="I1765" s="436"/>
      <c r="J1765" s="465">
        <v>0</v>
      </c>
      <c r="K1765" s="467">
        <v>0</v>
      </c>
    </row>
    <row r="1766" spans="2:11" ht="19" customHeight="1">
      <c r="B1766" s="464">
        <v>46058</v>
      </c>
      <c r="C1766" s="436" t="s">
        <v>247</v>
      </c>
      <c r="D1766" s="436" t="s">
        <v>248</v>
      </c>
      <c r="E1766" s="436">
        <v>1</v>
      </c>
      <c r="F1766" s="465">
        <v>1.5</v>
      </c>
      <c r="G1766" s="466">
        <v>1.5</v>
      </c>
      <c r="H1766" s="466">
        <f>G1766/1.1</f>
        <v>1.3636363636363635</v>
      </c>
      <c r="I1766" s="436"/>
      <c r="J1766" s="465">
        <v>0</v>
      </c>
      <c r="K1766" s="467">
        <v>0</v>
      </c>
    </row>
    <row r="1767" spans="2:11" ht="19" customHeight="1">
      <c r="B1767" s="464">
        <v>46058</v>
      </c>
      <c r="C1767" s="436" t="s">
        <v>247</v>
      </c>
      <c r="D1767" s="436" t="s">
        <v>855</v>
      </c>
      <c r="E1767" s="436">
        <v>1</v>
      </c>
      <c r="F1767" s="465">
        <v>2.5499999999999998</v>
      </c>
      <c r="G1767" s="466">
        <v>2.5499999999999998</v>
      </c>
      <c r="H1767" s="466">
        <f>G1767/1.1</f>
        <v>2.3181818181818179</v>
      </c>
      <c r="I1767" s="436"/>
      <c r="J1767" s="465">
        <v>0</v>
      </c>
      <c r="K1767" s="467">
        <v>0</v>
      </c>
    </row>
    <row r="1768" spans="2:11" ht="19" customHeight="1">
      <c r="B1768" s="464">
        <v>46058</v>
      </c>
      <c r="C1768" s="436" t="s">
        <v>268</v>
      </c>
      <c r="D1768" s="436" t="s">
        <v>858</v>
      </c>
      <c r="E1768" s="436">
        <v>3</v>
      </c>
      <c r="F1768" s="465">
        <v>0.65</v>
      </c>
      <c r="G1768" s="466">
        <v>1.95</v>
      </c>
      <c r="H1768" s="466">
        <f>G1768/1.1</f>
        <v>1.7727272727272725</v>
      </c>
      <c r="I1768" s="436"/>
      <c r="J1768" s="465">
        <v>0</v>
      </c>
      <c r="K1768" s="467">
        <v>0</v>
      </c>
    </row>
    <row r="1769" spans="2:11" ht="19" customHeight="1">
      <c r="B1769" s="464">
        <v>46058</v>
      </c>
      <c r="C1769" s="436" t="s">
        <v>247</v>
      </c>
      <c r="D1769" s="436" t="s">
        <v>257</v>
      </c>
      <c r="E1769" s="436">
        <v>1</v>
      </c>
      <c r="F1769" s="465">
        <v>1.4</v>
      </c>
      <c r="G1769" s="466">
        <v>1.4</v>
      </c>
      <c r="H1769" s="466">
        <f>G1769/1.1</f>
        <v>1.2727272727272725</v>
      </c>
      <c r="I1769" s="436"/>
      <c r="J1769" s="465">
        <v>0</v>
      </c>
      <c r="K1769" s="467">
        <v>0</v>
      </c>
    </row>
    <row r="1770" spans="2:11" ht="19" customHeight="1">
      <c r="B1770" s="464">
        <v>46058</v>
      </c>
      <c r="C1770" s="436" t="s">
        <v>247</v>
      </c>
      <c r="D1770" s="436" t="s">
        <v>248</v>
      </c>
      <c r="E1770" s="436">
        <v>1</v>
      </c>
      <c r="F1770" s="465">
        <v>1.5</v>
      </c>
      <c r="G1770" s="466">
        <v>1.5</v>
      </c>
      <c r="H1770" s="466">
        <f>G1770/1.1</f>
        <v>1.3636363636363635</v>
      </c>
      <c r="I1770" s="436"/>
      <c r="J1770" s="465">
        <v>0</v>
      </c>
      <c r="K1770" s="467">
        <v>0</v>
      </c>
    </row>
    <row r="1771" spans="2:11" ht="19" customHeight="1">
      <c r="B1771" s="464">
        <v>46058</v>
      </c>
      <c r="C1771" s="436" t="s">
        <v>247</v>
      </c>
      <c r="D1771" s="436" t="s">
        <v>246</v>
      </c>
      <c r="E1771" s="436">
        <v>1</v>
      </c>
      <c r="F1771" s="465">
        <v>1.7</v>
      </c>
      <c r="G1771" s="466">
        <v>1.7</v>
      </c>
      <c r="H1771" s="466">
        <f>G1771/1.1</f>
        <v>1.5454545454545452</v>
      </c>
      <c r="I1771" s="436"/>
      <c r="J1771" s="465">
        <v>0</v>
      </c>
      <c r="K1771" s="467">
        <v>0</v>
      </c>
    </row>
    <row r="1772" spans="2:11" ht="19" customHeight="1">
      <c r="B1772" s="464">
        <v>46058</v>
      </c>
      <c r="C1772" s="436" t="s">
        <v>247</v>
      </c>
      <c r="D1772" s="436" t="s">
        <v>855</v>
      </c>
      <c r="E1772" s="436">
        <v>1</v>
      </c>
      <c r="F1772" s="465">
        <v>2.5499999999999998</v>
      </c>
      <c r="G1772" s="466">
        <v>2.5499999999999998</v>
      </c>
      <c r="H1772" s="466">
        <f>G1772/1.1</f>
        <v>2.3181818181818179</v>
      </c>
      <c r="I1772" s="436"/>
      <c r="J1772" s="465">
        <v>0</v>
      </c>
      <c r="K1772" s="467">
        <v>0</v>
      </c>
    </row>
    <row r="1773" spans="2:11" ht="19" customHeight="1">
      <c r="B1773" s="464">
        <v>46058</v>
      </c>
      <c r="C1773" s="436" t="s">
        <v>247</v>
      </c>
      <c r="D1773" s="436" t="s">
        <v>246</v>
      </c>
      <c r="E1773" s="436">
        <v>1</v>
      </c>
      <c r="F1773" s="465">
        <v>1.7</v>
      </c>
      <c r="G1773" s="466">
        <v>1.7</v>
      </c>
      <c r="H1773" s="466">
        <f>G1773/1.1</f>
        <v>1.5454545454545452</v>
      </c>
      <c r="I1773" s="436"/>
      <c r="J1773" s="465">
        <v>0</v>
      </c>
      <c r="K1773" s="467">
        <v>0</v>
      </c>
    </row>
    <row r="1774" spans="2:11" ht="19" customHeight="1">
      <c r="B1774" s="464">
        <v>46058</v>
      </c>
      <c r="C1774" s="436" t="s">
        <v>251</v>
      </c>
      <c r="D1774" s="436" t="s">
        <v>265</v>
      </c>
      <c r="E1774" s="436">
        <v>1</v>
      </c>
      <c r="F1774" s="465">
        <v>2.65</v>
      </c>
      <c r="G1774" s="466">
        <v>2.65</v>
      </c>
      <c r="H1774" s="466">
        <f>G1774/1.1</f>
        <v>2.4090909090909087</v>
      </c>
      <c r="I1774" s="436"/>
      <c r="J1774" s="465">
        <v>0</v>
      </c>
      <c r="K1774" s="467">
        <v>0</v>
      </c>
    </row>
    <row r="1775" spans="2:11" ht="19" customHeight="1">
      <c r="B1775" s="464">
        <v>46058</v>
      </c>
      <c r="C1775" s="436" t="s">
        <v>948</v>
      </c>
      <c r="D1775" s="436" t="s">
        <v>949</v>
      </c>
      <c r="E1775" s="436">
        <v>2</v>
      </c>
      <c r="F1775" s="465">
        <v>7.7</v>
      </c>
      <c r="G1775" s="466">
        <v>15.4</v>
      </c>
      <c r="H1775" s="466">
        <f>G1775/1.1</f>
        <v>14</v>
      </c>
      <c r="I1775" s="436"/>
      <c r="J1775" s="465">
        <v>0</v>
      </c>
      <c r="K1775" s="467">
        <v>0</v>
      </c>
    </row>
    <row r="1776" spans="2:11" ht="19" customHeight="1">
      <c r="B1776" s="464">
        <v>46058</v>
      </c>
      <c r="C1776" s="436" t="s">
        <v>247</v>
      </c>
      <c r="D1776" s="436" t="s">
        <v>855</v>
      </c>
      <c r="E1776" s="436">
        <v>1</v>
      </c>
      <c r="F1776" s="465">
        <v>2.5499999999999998</v>
      </c>
      <c r="G1776" s="466">
        <v>2.5499999999999998</v>
      </c>
      <c r="H1776" s="466">
        <f>G1776/1.1</f>
        <v>2.3181818181818179</v>
      </c>
      <c r="I1776" s="436"/>
      <c r="J1776" s="465">
        <v>0</v>
      </c>
      <c r="K1776" s="467">
        <v>0</v>
      </c>
    </row>
    <row r="1777" spans="2:11" ht="19" customHeight="1">
      <c r="B1777" s="464">
        <v>46058</v>
      </c>
      <c r="C1777" s="436" t="s">
        <v>247</v>
      </c>
      <c r="D1777" s="436" t="s">
        <v>246</v>
      </c>
      <c r="E1777" s="436">
        <v>1</v>
      </c>
      <c r="F1777" s="465">
        <v>1.7</v>
      </c>
      <c r="G1777" s="466">
        <v>1.7</v>
      </c>
      <c r="H1777" s="466">
        <f>G1777/1.1</f>
        <v>1.5454545454545452</v>
      </c>
      <c r="I1777" s="436"/>
      <c r="J1777" s="465">
        <v>0</v>
      </c>
      <c r="K1777" s="467">
        <v>0</v>
      </c>
    </row>
    <row r="1778" spans="2:11" ht="19" customHeight="1">
      <c r="B1778" s="464">
        <v>46058</v>
      </c>
      <c r="C1778" s="436" t="s">
        <v>894</v>
      </c>
      <c r="D1778" s="436" t="s">
        <v>896</v>
      </c>
      <c r="E1778" s="436">
        <v>1</v>
      </c>
      <c r="F1778" s="465">
        <v>5.75</v>
      </c>
      <c r="G1778" s="466">
        <v>5.75</v>
      </c>
      <c r="H1778" s="466">
        <f>G1778/1.1</f>
        <v>5.2272727272727266</v>
      </c>
      <c r="I1778" s="436"/>
      <c r="J1778" s="465">
        <v>0</v>
      </c>
      <c r="K1778" s="467">
        <v>0</v>
      </c>
    </row>
    <row r="1779" spans="2:11" ht="19" customHeight="1">
      <c r="B1779" s="464">
        <v>46058</v>
      </c>
      <c r="C1779" s="436" t="s">
        <v>264</v>
      </c>
      <c r="D1779" s="436" t="s">
        <v>897</v>
      </c>
      <c r="E1779" s="436">
        <v>1</v>
      </c>
      <c r="F1779" s="465">
        <v>0.75</v>
      </c>
      <c r="G1779" s="466">
        <v>0.75</v>
      </c>
      <c r="H1779" s="466">
        <f>G1779/1.1</f>
        <v>0.68181818181818177</v>
      </c>
      <c r="I1779" s="436"/>
      <c r="J1779" s="465">
        <v>0</v>
      </c>
      <c r="K1779" s="467">
        <v>0</v>
      </c>
    </row>
    <row r="1780" spans="2:11" ht="19" customHeight="1">
      <c r="B1780" s="464">
        <v>46058</v>
      </c>
      <c r="C1780" s="436" t="s">
        <v>247</v>
      </c>
      <c r="D1780" s="436" t="s">
        <v>246</v>
      </c>
      <c r="E1780" s="436">
        <v>1</v>
      </c>
      <c r="F1780" s="465">
        <v>1.7</v>
      </c>
      <c r="G1780" s="466">
        <v>1.7</v>
      </c>
      <c r="H1780" s="466">
        <f>G1780/1.1</f>
        <v>1.5454545454545452</v>
      </c>
      <c r="I1780" s="436"/>
      <c r="J1780" s="465">
        <v>0</v>
      </c>
      <c r="K1780" s="467">
        <v>0</v>
      </c>
    </row>
    <row r="1781" spans="2:11" ht="19" customHeight="1">
      <c r="B1781" s="464">
        <v>46058</v>
      </c>
      <c r="C1781" s="436" t="s">
        <v>268</v>
      </c>
      <c r="D1781" s="436" t="s">
        <v>859</v>
      </c>
      <c r="E1781" s="436">
        <v>1</v>
      </c>
      <c r="F1781" s="465">
        <v>0.75</v>
      </c>
      <c r="G1781" s="466">
        <v>0.75</v>
      </c>
      <c r="H1781" s="466">
        <f>G1781/1.1</f>
        <v>0.68181818181818177</v>
      </c>
      <c r="I1781" s="436"/>
      <c r="J1781" s="465">
        <v>0</v>
      </c>
      <c r="K1781" s="467">
        <v>0</v>
      </c>
    </row>
    <row r="1782" spans="2:11" ht="19" customHeight="1">
      <c r="B1782" s="464">
        <v>46058</v>
      </c>
      <c r="C1782" s="436" t="s">
        <v>247</v>
      </c>
      <c r="D1782" s="436" t="s">
        <v>246</v>
      </c>
      <c r="E1782" s="436">
        <v>1</v>
      </c>
      <c r="F1782" s="465">
        <v>1.7</v>
      </c>
      <c r="G1782" s="466">
        <v>1.7</v>
      </c>
      <c r="H1782" s="466">
        <f>G1782/1.1</f>
        <v>1.5454545454545452</v>
      </c>
      <c r="I1782" s="436"/>
      <c r="J1782" s="465">
        <v>0</v>
      </c>
      <c r="K1782" s="467">
        <v>0</v>
      </c>
    </row>
    <row r="1783" spans="2:11" ht="19" customHeight="1">
      <c r="B1783" s="464">
        <v>46058</v>
      </c>
      <c r="C1783" s="436" t="s">
        <v>327</v>
      </c>
      <c r="D1783" s="436" t="s">
        <v>903</v>
      </c>
      <c r="E1783" s="436">
        <v>1</v>
      </c>
      <c r="F1783" s="465">
        <v>3.5</v>
      </c>
      <c r="G1783" s="466">
        <v>3.5</v>
      </c>
      <c r="H1783" s="466">
        <f>G1783/1.1</f>
        <v>3.1818181818181817</v>
      </c>
      <c r="I1783" s="436"/>
      <c r="J1783" s="465">
        <v>0</v>
      </c>
      <c r="K1783" s="467">
        <v>0</v>
      </c>
    </row>
    <row r="1784" spans="2:11" ht="19" customHeight="1">
      <c r="B1784" s="464">
        <v>46058</v>
      </c>
      <c r="C1784" s="436" t="s">
        <v>264</v>
      </c>
      <c r="D1784" s="436" t="s">
        <v>967</v>
      </c>
      <c r="E1784" s="436">
        <v>1</v>
      </c>
      <c r="F1784" s="465">
        <v>0.7</v>
      </c>
      <c r="G1784" s="466">
        <v>0.7</v>
      </c>
      <c r="H1784" s="466">
        <f>G1784/1.1</f>
        <v>0.63636363636363624</v>
      </c>
      <c r="I1784" s="436"/>
      <c r="J1784" s="465">
        <v>0</v>
      </c>
      <c r="K1784" s="467">
        <v>0</v>
      </c>
    </row>
    <row r="1785" spans="2:11" ht="19" customHeight="1">
      <c r="B1785" s="464">
        <v>46058</v>
      </c>
      <c r="C1785" s="436" t="s">
        <v>247</v>
      </c>
      <c r="D1785" s="436" t="s">
        <v>246</v>
      </c>
      <c r="E1785" s="436">
        <v>1</v>
      </c>
      <c r="F1785" s="465">
        <v>1.7</v>
      </c>
      <c r="G1785" s="466">
        <v>1.7</v>
      </c>
      <c r="H1785" s="466">
        <f>G1785/1.1</f>
        <v>1.5454545454545452</v>
      </c>
      <c r="I1785" s="436"/>
      <c r="J1785" s="465">
        <v>0</v>
      </c>
      <c r="K1785" s="467">
        <v>0</v>
      </c>
    </row>
    <row r="1786" spans="2:11" ht="19" customHeight="1">
      <c r="B1786" s="464">
        <v>46058</v>
      </c>
      <c r="C1786" s="436" t="s">
        <v>268</v>
      </c>
      <c r="D1786" s="436" t="s">
        <v>858</v>
      </c>
      <c r="E1786" s="436">
        <v>2</v>
      </c>
      <c r="F1786" s="465">
        <v>0.65</v>
      </c>
      <c r="G1786" s="466">
        <v>1.3</v>
      </c>
      <c r="H1786" s="466">
        <f>G1786/1.1</f>
        <v>1.1818181818181817</v>
      </c>
      <c r="I1786" s="436"/>
      <c r="J1786" s="465">
        <v>0</v>
      </c>
      <c r="K1786" s="467">
        <v>0</v>
      </c>
    </row>
    <row r="1787" spans="2:11" ht="19" customHeight="1">
      <c r="B1787" s="464">
        <v>46058</v>
      </c>
      <c r="C1787" s="436" t="s">
        <v>247</v>
      </c>
      <c r="D1787" s="436" t="s">
        <v>246</v>
      </c>
      <c r="E1787" s="436">
        <v>1</v>
      </c>
      <c r="F1787" s="465">
        <v>1.7</v>
      </c>
      <c r="G1787" s="466">
        <v>1.7</v>
      </c>
      <c r="H1787" s="466">
        <f>G1787/1.1</f>
        <v>1.5454545454545452</v>
      </c>
      <c r="I1787" s="436"/>
      <c r="J1787" s="465">
        <v>0</v>
      </c>
      <c r="K1787" s="467">
        <v>0</v>
      </c>
    </row>
    <row r="1788" spans="2:11" ht="19" customHeight="1">
      <c r="B1788" s="464">
        <v>46058</v>
      </c>
      <c r="C1788" s="436" t="s">
        <v>862</v>
      </c>
      <c r="D1788" s="436" t="s">
        <v>899</v>
      </c>
      <c r="E1788" s="436">
        <v>1</v>
      </c>
      <c r="F1788" s="465">
        <v>0.05</v>
      </c>
      <c r="G1788" s="466">
        <v>0.05</v>
      </c>
      <c r="H1788" s="466">
        <f>G1788/1.1</f>
        <v>4.5454545454545456E-2</v>
      </c>
      <c r="I1788" s="436"/>
      <c r="J1788" s="465">
        <v>0</v>
      </c>
      <c r="K1788" s="467">
        <v>0</v>
      </c>
    </row>
    <row r="1789" spans="2:11" ht="19" customHeight="1">
      <c r="B1789" s="464">
        <v>46058</v>
      </c>
      <c r="C1789" s="436" t="s">
        <v>247</v>
      </c>
      <c r="D1789" s="436" t="s">
        <v>248</v>
      </c>
      <c r="E1789" s="436">
        <v>1</v>
      </c>
      <c r="F1789" s="465">
        <v>1.5</v>
      </c>
      <c r="G1789" s="466">
        <v>1.5</v>
      </c>
      <c r="H1789" s="466">
        <f>G1789/1.1</f>
        <v>1.3636363636363635</v>
      </c>
      <c r="I1789" s="436"/>
      <c r="J1789" s="465">
        <v>0</v>
      </c>
      <c r="K1789" s="467">
        <v>0</v>
      </c>
    </row>
    <row r="1790" spans="2:11" ht="19" customHeight="1">
      <c r="B1790" s="464">
        <v>46058</v>
      </c>
      <c r="C1790" s="436" t="s">
        <v>251</v>
      </c>
      <c r="D1790" s="436" t="s">
        <v>854</v>
      </c>
      <c r="E1790" s="436">
        <v>1</v>
      </c>
      <c r="F1790" s="465">
        <v>1.55</v>
      </c>
      <c r="G1790" s="466">
        <v>1.55</v>
      </c>
      <c r="H1790" s="466">
        <f>G1790/1.1</f>
        <v>1.4090909090909089</v>
      </c>
      <c r="I1790" s="436"/>
      <c r="J1790" s="465">
        <v>0</v>
      </c>
      <c r="K1790" s="467">
        <v>0</v>
      </c>
    </row>
    <row r="1791" spans="2:11" ht="19" customHeight="1">
      <c r="B1791" s="464">
        <v>46058</v>
      </c>
      <c r="C1791" s="436" t="s">
        <v>247</v>
      </c>
      <c r="D1791" s="436" t="s">
        <v>246</v>
      </c>
      <c r="E1791" s="436">
        <v>1</v>
      </c>
      <c r="F1791" s="465">
        <v>1.7</v>
      </c>
      <c r="G1791" s="466">
        <v>1.7</v>
      </c>
      <c r="H1791" s="466">
        <f>G1791/1.1</f>
        <v>1.5454545454545452</v>
      </c>
      <c r="I1791" s="436"/>
      <c r="J1791" s="465">
        <v>0</v>
      </c>
      <c r="K1791" s="467">
        <v>0</v>
      </c>
    </row>
    <row r="1792" spans="2:11" ht="19" customHeight="1">
      <c r="B1792" s="464">
        <v>46058</v>
      </c>
      <c r="C1792" s="436" t="s">
        <v>862</v>
      </c>
      <c r="D1792" s="436" t="s">
        <v>1078</v>
      </c>
      <c r="E1792" s="436">
        <v>1</v>
      </c>
      <c r="F1792" s="465">
        <v>0.15</v>
      </c>
      <c r="G1792" s="466">
        <v>0.15</v>
      </c>
      <c r="H1792" s="466">
        <f>G1792/1.1</f>
        <v>0.13636363636363635</v>
      </c>
      <c r="I1792" s="436"/>
      <c r="J1792" s="465">
        <v>0</v>
      </c>
      <c r="K1792" s="467">
        <v>0</v>
      </c>
    </row>
    <row r="1793" spans="2:11" ht="19" customHeight="1">
      <c r="B1793" s="464">
        <v>46058</v>
      </c>
      <c r="C1793" s="436" t="s">
        <v>247</v>
      </c>
      <c r="D1793" s="436" t="s">
        <v>248</v>
      </c>
      <c r="E1793" s="436">
        <v>1</v>
      </c>
      <c r="F1793" s="465">
        <v>1.5</v>
      </c>
      <c r="G1793" s="466">
        <v>1.5</v>
      </c>
      <c r="H1793" s="466">
        <f>G1793/1.1</f>
        <v>1.3636363636363635</v>
      </c>
      <c r="I1793" s="436"/>
      <c r="J1793" s="465">
        <v>0</v>
      </c>
      <c r="K1793" s="467">
        <v>0</v>
      </c>
    </row>
    <row r="1794" spans="2:11" ht="19" customHeight="1">
      <c r="B1794" s="464">
        <v>46058</v>
      </c>
      <c r="C1794" s="436" t="s">
        <v>247</v>
      </c>
      <c r="D1794" s="436" t="s">
        <v>246</v>
      </c>
      <c r="E1794" s="436">
        <v>1</v>
      </c>
      <c r="F1794" s="465">
        <v>1.7</v>
      </c>
      <c r="G1794" s="466">
        <v>1.7</v>
      </c>
      <c r="H1794" s="466">
        <f>G1794/1.1</f>
        <v>1.5454545454545452</v>
      </c>
      <c r="I1794" s="436"/>
      <c r="J1794" s="465">
        <v>0</v>
      </c>
      <c r="K1794" s="467">
        <v>0</v>
      </c>
    </row>
    <row r="1795" spans="2:11" ht="19" customHeight="1">
      <c r="B1795" s="464">
        <v>46058</v>
      </c>
      <c r="C1795" s="436" t="s">
        <v>247</v>
      </c>
      <c r="D1795" s="436" t="s">
        <v>938</v>
      </c>
      <c r="E1795" s="436">
        <v>1</v>
      </c>
      <c r="F1795" s="465">
        <v>2.25</v>
      </c>
      <c r="G1795" s="466">
        <v>2.25</v>
      </c>
      <c r="H1795" s="466">
        <f>G1795/1.1</f>
        <v>2.0454545454545454</v>
      </c>
      <c r="I1795" s="436"/>
      <c r="J1795" s="465">
        <v>0</v>
      </c>
      <c r="K1795" s="467">
        <v>0</v>
      </c>
    </row>
    <row r="1796" spans="2:11" ht="19" customHeight="1">
      <c r="B1796" s="464">
        <v>46058</v>
      </c>
      <c r="C1796" s="436" t="s">
        <v>247</v>
      </c>
      <c r="D1796" s="436" t="s">
        <v>246</v>
      </c>
      <c r="E1796" s="436">
        <v>1</v>
      </c>
      <c r="F1796" s="465">
        <v>1.7</v>
      </c>
      <c r="G1796" s="466">
        <v>1.7</v>
      </c>
      <c r="H1796" s="466">
        <f>G1796/1.1</f>
        <v>1.5454545454545452</v>
      </c>
      <c r="I1796" s="436"/>
      <c r="J1796" s="465">
        <v>0</v>
      </c>
      <c r="K1796" s="467">
        <v>0</v>
      </c>
    </row>
    <row r="1797" spans="2:11" ht="19" customHeight="1">
      <c r="B1797" s="464">
        <v>46058</v>
      </c>
      <c r="C1797" s="436" t="s">
        <v>268</v>
      </c>
      <c r="D1797" s="436" t="s">
        <v>860</v>
      </c>
      <c r="E1797" s="436">
        <v>1</v>
      </c>
      <c r="F1797" s="465">
        <v>2.25</v>
      </c>
      <c r="G1797" s="466">
        <v>2.25</v>
      </c>
      <c r="H1797" s="466">
        <f>G1797/1.1</f>
        <v>2.0454545454545454</v>
      </c>
      <c r="I1797" s="436"/>
      <c r="J1797" s="465">
        <v>0</v>
      </c>
      <c r="K1797" s="467">
        <v>0</v>
      </c>
    </row>
    <row r="1798" spans="2:11" ht="19" customHeight="1">
      <c r="B1798" s="464">
        <v>46058</v>
      </c>
      <c r="C1798" s="436" t="s">
        <v>268</v>
      </c>
      <c r="D1798" s="436" t="s">
        <v>859</v>
      </c>
      <c r="E1798" s="436">
        <v>1</v>
      </c>
      <c r="F1798" s="465">
        <v>0.75</v>
      </c>
      <c r="G1798" s="466">
        <v>0.75</v>
      </c>
      <c r="H1798" s="466">
        <f>G1798/1.1</f>
        <v>0.68181818181818177</v>
      </c>
      <c r="I1798" s="436"/>
      <c r="J1798" s="465">
        <v>0</v>
      </c>
      <c r="K1798" s="467">
        <v>0</v>
      </c>
    </row>
    <row r="1799" spans="2:11" ht="19" customHeight="1">
      <c r="B1799" s="464">
        <v>46058</v>
      </c>
      <c r="C1799" s="436" t="s">
        <v>247</v>
      </c>
      <c r="D1799" s="436" t="s">
        <v>246</v>
      </c>
      <c r="E1799" s="436">
        <v>2</v>
      </c>
      <c r="F1799" s="465">
        <v>1.7</v>
      </c>
      <c r="G1799" s="466">
        <v>3.4</v>
      </c>
      <c r="H1799" s="466">
        <f>G1799/1.1</f>
        <v>3.0909090909090904</v>
      </c>
      <c r="I1799" s="436"/>
      <c r="J1799" s="465">
        <v>0</v>
      </c>
      <c r="K1799" s="467">
        <v>0</v>
      </c>
    </row>
    <row r="1800" spans="2:11" ht="19" customHeight="1">
      <c r="B1800" s="464">
        <v>46058</v>
      </c>
      <c r="C1800" s="436" t="s">
        <v>1079</v>
      </c>
      <c r="D1800" s="436" t="s">
        <v>1080</v>
      </c>
      <c r="E1800" s="436">
        <v>1</v>
      </c>
      <c r="F1800" s="465">
        <v>1.8</v>
      </c>
      <c r="G1800" s="466">
        <v>1.8</v>
      </c>
      <c r="H1800" s="466">
        <f>G1800/1.1</f>
        <v>1.6363636363636362</v>
      </c>
      <c r="I1800" s="436"/>
      <c r="J1800" s="465">
        <v>0</v>
      </c>
      <c r="K1800" s="467">
        <v>0</v>
      </c>
    </row>
    <row r="1801" spans="2:11" ht="19" customHeight="1">
      <c r="B1801" s="464">
        <v>46058</v>
      </c>
      <c r="C1801" s="436" t="s">
        <v>327</v>
      </c>
      <c r="D1801" s="436" t="s">
        <v>799</v>
      </c>
      <c r="E1801" s="436">
        <v>1</v>
      </c>
      <c r="F1801" s="465">
        <v>3.5</v>
      </c>
      <c r="G1801" s="466">
        <v>3.5</v>
      </c>
      <c r="H1801" s="466">
        <f>G1801/1.1</f>
        <v>3.1818181818181817</v>
      </c>
      <c r="I1801" s="436"/>
      <c r="J1801" s="465">
        <v>0</v>
      </c>
      <c r="K1801" s="467">
        <v>0</v>
      </c>
    </row>
    <row r="1802" spans="2:11" ht="19" customHeight="1">
      <c r="B1802" s="464">
        <v>46058</v>
      </c>
      <c r="C1802" s="436" t="s">
        <v>268</v>
      </c>
      <c r="D1802" s="436" t="s">
        <v>267</v>
      </c>
      <c r="E1802" s="436">
        <v>1</v>
      </c>
      <c r="F1802" s="465">
        <v>1.5</v>
      </c>
      <c r="G1802" s="466">
        <v>1.5</v>
      </c>
      <c r="H1802" s="466">
        <f>G1802/1.1</f>
        <v>1.3636363636363635</v>
      </c>
      <c r="I1802" s="436"/>
      <c r="J1802" s="465">
        <v>0</v>
      </c>
      <c r="K1802" s="467">
        <v>0</v>
      </c>
    </row>
    <row r="1803" spans="2:11" ht="19" customHeight="1">
      <c r="B1803" s="464">
        <v>46058</v>
      </c>
      <c r="C1803" s="436" t="s">
        <v>247</v>
      </c>
      <c r="D1803" s="436" t="s">
        <v>248</v>
      </c>
      <c r="E1803" s="436">
        <v>2</v>
      </c>
      <c r="F1803" s="465">
        <v>1.5</v>
      </c>
      <c r="G1803" s="466">
        <v>3</v>
      </c>
      <c r="H1803" s="466">
        <f>G1803/1.1</f>
        <v>2.7272727272727271</v>
      </c>
      <c r="I1803" s="436"/>
      <c r="J1803" s="465">
        <v>0</v>
      </c>
      <c r="K1803" s="467">
        <v>0</v>
      </c>
    </row>
    <row r="1804" spans="2:11" ht="19" customHeight="1">
      <c r="B1804" s="464">
        <v>46058</v>
      </c>
      <c r="C1804" s="436" t="s">
        <v>247</v>
      </c>
      <c r="D1804" s="436" t="s">
        <v>257</v>
      </c>
      <c r="E1804" s="436">
        <v>1</v>
      </c>
      <c r="F1804" s="465">
        <v>1.4</v>
      </c>
      <c r="G1804" s="466">
        <v>1.4</v>
      </c>
      <c r="H1804" s="466">
        <f>G1804/1.1</f>
        <v>1.2727272727272725</v>
      </c>
      <c r="I1804" s="436"/>
      <c r="J1804" s="465">
        <v>0</v>
      </c>
      <c r="K1804" s="467">
        <v>0</v>
      </c>
    </row>
    <row r="1805" spans="2:11" ht="19" customHeight="1">
      <c r="B1805" s="464">
        <v>46058</v>
      </c>
      <c r="C1805" s="436" t="s">
        <v>264</v>
      </c>
      <c r="D1805" s="436" t="s">
        <v>269</v>
      </c>
      <c r="E1805" s="436">
        <v>1</v>
      </c>
      <c r="F1805" s="465">
        <v>0.1</v>
      </c>
      <c r="G1805" s="466">
        <v>0.1</v>
      </c>
      <c r="H1805" s="466">
        <f>G1805/1.1</f>
        <v>9.0909090909090912E-2</v>
      </c>
      <c r="I1805" s="436"/>
      <c r="J1805" s="465">
        <v>0</v>
      </c>
      <c r="K1805" s="467">
        <v>0</v>
      </c>
    </row>
    <row r="1806" spans="2:11" ht="19" customHeight="1">
      <c r="B1806" s="464">
        <v>46058</v>
      </c>
      <c r="C1806" s="436" t="s">
        <v>247</v>
      </c>
      <c r="D1806" s="436" t="s">
        <v>246</v>
      </c>
      <c r="E1806" s="436">
        <v>2</v>
      </c>
      <c r="F1806" s="465">
        <v>1.7</v>
      </c>
      <c r="G1806" s="466">
        <v>3.4</v>
      </c>
      <c r="H1806" s="466">
        <f>G1806/1.1</f>
        <v>3.0909090909090904</v>
      </c>
      <c r="I1806" s="436"/>
      <c r="J1806" s="465">
        <v>0</v>
      </c>
      <c r="K1806" s="467">
        <v>0</v>
      </c>
    </row>
    <row r="1807" spans="2:11" ht="19" customHeight="1">
      <c r="B1807" s="464">
        <v>46059</v>
      </c>
      <c r="C1807" s="436" t="s">
        <v>254</v>
      </c>
      <c r="D1807" s="436" t="s">
        <v>254</v>
      </c>
      <c r="E1807" s="436">
        <v>1</v>
      </c>
      <c r="F1807" s="465">
        <v>14.9</v>
      </c>
      <c r="G1807" s="466">
        <v>14.9</v>
      </c>
      <c r="H1807" s="466">
        <f>G1807/1.1</f>
        <v>13.545454545454545</v>
      </c>
      <c r="I1807" s="436"/>
      <c r="J1807" s="465">
        <v>0</v>
      </c>
      <c r="K1807" s="467">
        <v>0</v>
      </c>
    </row>
    <row r="1808" spans="2:11" ht="19" customHeight="1">
      <c r="B1808" s="464">
        <v>46059</v>
      </c>
      <c r="C1808" s="436" t="s">
        <v>873</v>
      </c>
      <c r="D1808" s="436" t="s">
        <v>987</v>
      </c>
      <c r="E1808" s="436">
        <v>1</v>
      </c>
      <c r="F1808" s="465">
        <v>5</v>
      </c>
      <c r="G1808" s="466">
        <v>5</v>
      </c>
      <c r="H1808" s="466">
        <f>G1808/1.1</f>
        <v>4.545454545454545</v>
      </c>
      <c r="I1808" s="436"/>
      <c r="J1808" s="465">
        <v>0</v>
      </c>
      <c r="K1808" s="467">
        <v>0</v>
      </c>
    </row>
    <row r="1809" spans="2:11" ht="19" customHeight="1">
      <c r="B1809" s="464">
        <v>46059</v>
      </c>
      <c r="C1809" s="436" t="s">
        <v>877</v>
      </c>
      <c r="D1809" s="436" t="s">
        <v>1072</v>
      </c>
      <c r="E1809" s="436">
        <v>1</v>
      </c>
      <c r="F1809" s="469"/>
      <c r="G1809" s="468" t="s">
        <v>875</v>
      </c>
      <c r="H1809" s="466" t="e">
        <f>G1809/1.1</f>
        <v>#VALUE!</v>
      </c>
      <c r="I1809" s="436"/>
      <c r="J1809" s="465">
        <v>0</v>
      </c>
      <c r="K1809" s="467">
        <v>0</v>
      </c>
    </row>
    <row r="1810" spans="2:11" ht="19" customHeight="1">
      <c r="B1810" s="464">
        <v>46059</v>
      </c>
      <c r="C1810" s="436" t="s">
        <v>266</v>
      </c>
      <c r="D1810" s="436" t="s">
        <v>976</v>
      </c>
      <c r="E1810" s="436">
        <v>1</v>
      </c>
      <c r="F1810" s="465">
        <v>1</v>
      </c>
      <c r="G1810" s="466">
        <v>1</v>
      </c>
      <c r="H1810" s="466">
        <f>G1810/1.1</f>
        <v>0.90909090909090906</v>
      </c>
      <c r="I1810" s="436"/>
      <c r="J1810" s="465">
        <v>0</v>
      </c>
      <c r="K1810" s="467">
        <v>0</v>
      </c>
    </row>
    <row r="1811" spans="2:11" ht="19" customHeight="1">
      <c r="B1811" s="464">
        <v>46059</v>
      </c>
      <c r="C1811" s="436" t="s">
        <v>264</v>
      </c>
      <c r="D1811" s="436" t="s">
        <v>703</v>
      </c>
      <c r="E1811" s="436">
        <v>1</v>
      </c>
      <c r="F1811" s="465">
        <v>2</v>
      </c>
      <c r="G1811" s="466">
        <v>2</v>
      </c>
      <c r="H1811" s="466">
        <f>G1811/1.1</f>
        <v>1.8181818181818181</v>
      </c>
      <c r="I1811" s="436"/>
      <c r="J1811" s="465">
        <v>0</v>
      </c>
      <c r="K1811" s="467">
        <v>0</v>
      </c>
    </row>
    <row r="1812" spans="2:11" ht="19" customHeight="1">
      <c r="B1812" s="464">
        <v>46059</v>
      </c>
      <c r="C1812" s="436" t="s">
        <v>247</v>
      </c>
      <c r="D1812" s="436" t="s">
        <v>257</v>
      </c>
      <c r="E1812" s="436">
        <v>1</v>
      </c>
      <c r="F1812" s="465">
        <v>1.55</v>
      </c>
      <c r="G1812" s="466">
        <v>1.55</v>
      </c>
      <c r="H1812" s="466">
        <f>G1812/1.1</f>
        <v>1.4090909090909089</v>
      </c>
      <c r="I1812" s="436"/>
      <c r="J1812" s="465">
        <v>0</v>
      </c>
      <c r="K1812" s="467">
        <v>0</v>
      </c>
    </row>
    <row r="1813" spans="2:11" ht="19" customHeight="1">
      <c r="B1813" s="464">
        <v>46059</v>
      </c>
      <c r="C1813" s="436" t="s">
        <v>258</v>
      </c>
      <c r="D1813" s="436" t="s">
        <v>1081</v>
      </c>
      <c r="E1813" s="436">
        <v>1</v>
      </c>
      <c r="F1813" s="469"/>
      <c r="G1813" s="468" t="s">
        <v>875</v>
      </c>
      <c r="H1813" s="466" t="e">
        <f>G1813/1.1</f>
        <v>#VALUE!</v>
      </c>
      <c r="I1813" s="436"/>
      <c r="J1813" s="465">
        <v>0</v>
      </c>
      <c r="K1813" s="467">
        <v>0</v>
      </c>
    </row>
    <row r="1814" spans="2:11" ht="19" customHeight="1">
      <c r="B1814" s="464">
        <v>46059</v>
      </c>
      <c r="C1814" s="436" t="s">
        <v>247</v>
      </c>
      <c r="D1814" s="436" t="s">
        <v>248</v>
      </c>
      <c r="E1814" s="436">
        <v>2</v>
      </c>
      <c r="F1814" s="465">
        <v>1.8</v>
      </c>
      <c r="G1814" s="466">
        <v>3.6</v>
      </c>
      <c r="H1814" s="466">
        <f>G1814/1.1</f>
        <v>3.2727272727272725</v>
      </c>
      <c r="I1814" s="436"/>
      <c r="J1814" s="465">
        <v>0</v>
      </c>
      <c r="K1814" s="467">
        <v>0</v>
      </c>
    </row>
    <row r="1815" spans="2:11" ht="19" customHeight="1">
      <c r="B1815" s="464">
        <v>46059</v>
      </c>
      <c r="C1815" s="436" t="s">
        <v>251</v>
      </c>
      <c r="D1815" s="436" t="s">
        <v>250</v>
      </c>
      <c r="E1815" s="436">
        <v>2</v>
      </c>
      <c r="F1815" s="465">
        <v>1.95</v>
      </c>
      <c r="G1815" s="466">
        <v>3.9</v>
      </c>
      <c r="H1815" s="466">
        <f>G1815/1.1</f>
        <v>3.545454545454545</v>
      </c>
      <c r="I1815" s="436"/>
      <c r="J1815" s="465">
        <v>0</v>
      </c>
      <c r="K1815" s="467">
        <v>0</v>
      </c>
    </row>
    <row r="1816" spans="2:11" ht="19" customHeight="1">
      <c r="B1816" s="464">
        <v>46059</v>
      </c>
      <c r="C1816" s="436" t="s">
        <v>251</v>
      </c>
      <c r="D1816" s="436" t="s">
        <v>926</v>
      </c>
      <c r="E1816" s="436">
        <v>1</v>
      </c>
      <c r="F1816" s="465">
        <v>2.8</v>
      </c>
      <c r="G1816" s="466">
        <v>2.8</v>
      </c>
      <c r="H1816" s="466">
        <f>G1816/1.1</f>
        <v>2.545454545454545</v>
      </c>
      <c r="I1816" s="436"/>
      <c r="J1816" s="465">
        <v>0</v>
      </c>
      <c r="K1816" s="467">
        <v>0</v>
      </c>
    </row>
    <row r="1817" spans="2:11" ht="19" customHeight="1">
      <c r="B1817" s="464">
        <v>46059</v>
      </c>
      <c r="C1817" s="436" t="s">
        <v>275</v>
      </c>
      <c r="D1817" s="436" t="s">
        <v>674</v>
      </c>
      <c r="E1817" s="436">
        <v>1</v>
      </c>
      <c r="F1817" s="465">
        <v>6</v>
      </c>
      <c r="G1817" s="466">
        <v>6</v>
      </c>
      <c r="H1817" s="466">
        <f>G1817/1.1</f>
        <v>5.4545454545454541</v>
      </c>
      <c r="I1817" s="436"/>
      <c r="J1817" s="465">
        <v>0</v>
      </c>
      <c r="K1817" s="467">
        <v>0</v>
      </c>
    </row>
    <row r="1818" spans="2:11" ht="19" customHeight="1">
      <c r="B1818" s="464">
        <v>46059</v>
      </c>
      <c r="C1818" s="436" t="s">
        <v>264</v>
      </c>
      <c r="D1818" s="436" t="s">
        <v>1082</v>
      </c>
      <c r="E1818" s="436">
        <v>1</v>
      </c>
      <c r="F1818" s="465">
        <v>1.4</v>
      </c>
      <c r="G1818" s="466">
        <v>1.4</v>
      </c>
      <c r="H1818" s="466">
        <f>G1818/1.1</f>
        <v>1.2727272727272725</v>
      </c>
      <c r="I1818" s="436"/>
      <c r="J1818" s="465">
        <v>0</v>
      </c>
      <c r="K1818" s="467">
        <v>0</v>
      </c>
    </row>
    <row r="1819" spans="2:11" ht="19" customHeight="1">
      <c r="B1819" s="464">
        <v>46059</v>
      </c>
      <c r="C1819" s="436" t="s">
        <v>264</v>
      </c>
      <c r="D1819" s="436" t="s">
        <v>785</v>
      </c>
      <c r="E1819" s="436">
        <v>1</v>
      </c>
      <c r="F1819" s="465">
        <v>1.4</v>
      </c>
      <c r="G1819" s="466">
        <v>1.4</v>
      </c>
      <c r="H1819" s="466">
        <f>G1819/1.1</f>
        <v>1.2727272727272725</v>
      </c>
      <c r="I1819" s="436"/>
      <c r="J1819" s="465">
        <v>0</v>
      </c>
      <c r="K1819" s="467">
        <v>0</v>
      </c>
    </row>
    <row r="1820" spans="2:11" ht="19" customHeight="1">
      <c r="B1820" s="464">
        <v>46059</v>
      </c>
      <c r="C1820" s="436" t="s">
        <v>764</v>
      </c>
      <c r="D1820" s="436" t="s">
        <v>763</v>
      </c>
      <c r="E1820" s="436">
        <v>1</v>
      </c>
      <c r="F1820" s="467">
        <v>11.75</v>
      </c>
      <c r="G1820" s="466">
        <v>11.75</v>
      </c>
      <c r="H1820" s="466">
        <f>G1820/1.1</f>
        <v>10.681818181818182</v>
      </c>
      <c r="I1820" s="436"/>
      <c r="J1820" s="465">
        <v>0</v>
      </c>
      <c r="K1820" s="467">
        <v>0</v>
      </c>
    </row>
    <row r="1821" spans="2:11" ht="19" customHeight="1">
      <c r="B1821" s="464">
        <v>46059</v>
      </c>
      <c r="C1821" s="436" t="s">
        <v>277</v>
      </c>
      <c r="D1821" s="436" t="s">
        <v>954</v>
      </c>
      <c r="E1821" s="436">
        <v>1</v>
      </c>
      <c r="F1821" s="465">
        <v>13.15</v>
      </c>
      <c r="G1821" s="466">
        <v>13.15</v>
      </c>
      <c r="H1821" s="466">
        <f>G1821/1.1</f>
        <v>11.954545454545453</v>
      </c>
      <c r="I1821" s="436"/>
      <c r="J1821" s="465">
        <v>0</v>
      </c>
      <c r="K1821" s="467">
        <v>0</v>
      </c>
    </row>
    <row r="1822" spans="2:11" ht="19" customHeight="1">
      <c r="B1822" s="464">
        <v>46059</v>
      </c>
      <c r="C1822" s="436" t="s">
        <v>277</v>
      </c>
      <c r="D1822" s="436" t="s">
        <v>1044</v>
      </c>
      <c r="E1822" s="436">
        <v>1</v>
      </c>
      <c r="F1822" s="465">
        <v>9.75</v>
      </c>
      <c r="G1822" s="466">
        <v>9.75</v>
      </c>
      <c r="H1822" s="466">
        <f>G1822/1.1</f>
        <v>8.8636363636363633</v>
      </c>
      <c r="I1822" s="436"/>
      <c r="J1822" s="465">
        <v>0</v>
      </c>
      <c r="K1822" s="467">
        <v>0</v>
      </c>
    </row>
    <row r="1823" spans="2:11" ht="19" customHeight="1">
      <c r="B1823" s="464">
        <v>46059</v>
      </c>
      <c r="C1823" s="436" t="s">
        <v>247</v>
      </c>
      <c r="D1823" s="436" t="s">
        <v>257</v>
      </c>
      <c r="E1823" s="436">
        <v>1</v>
      </c>
      <c r="F1823" s="465">
        <v>1.55</v>
      </c>
      <c r="G1823" s="466">
        <v>1.55</v>
      </c>
      <c r="H1823" s="466">
        <f>G1823/1.1</f>
        <v>1.4090909090909089</v>
      </c>
      <c r="I1823" s="436"/>
      <c r="J1823" s="465">
        <v>0</v>
      </c>
      <c r="K1823" s="467">
        <v>0</v>
      </c>
    </row>
    <row r="1824" spans="2:11" ht="19" customHeight="1">
      <c r="B1824" s="464">
        <v>46059</v>
      </c>
      <c r="C1824" s="436" t="s">
        <v>253</v>
      </c>
      <c r="D1824" s="436" t="s">
        <v>869</v>
      </c>
      <c r="E1824" s="436">
        <v>1</v>
      </c>
      <c r="F1824" s="465">
        <v>2.5</v>
      </c>
      <c r="G1824" s="466">
        <v>2.5</v>
      </c>
      <c r="H1824" s="466">
        <f>G1824/1.1</f>
        <v>2.2727272727272725</v>
      </c>
      <c r="I1824" s="436"/>
      <c r="J1824" s="465">
        <v>0</v>
      </c>
      <c r="K1824" s="467">
        <v>0</v>
      </c>
    </row>
    <row r="1825" spans="2:11" ht="19" customHeight="1">
      <c r="B1825" s="464">
        <v>46059</v>
      </c>
      <c r="C1825" s="436" t="s">
        <v>247</v>
      </c>
      <c r="D1825" s="436" t="s">
        <v>246</v>
      </c>
      <c r="E1825" s="436">
        <v>1</v>
      </c>
      <c r="F1825" s="465">
        <v>1.7</v>
      </c>
      <c r="G1825" s="466">
        <v>1.7</v>
      </c>
      <c r="H1825" s="466">
        <f>G1825/1.1</f>
        <v>1.5454545454545452</v>
      </c>
      <c r="I1825" s="436"/>
      <c r="J1825" s="465">
        <v>0</v>
      </c>
      <c r="K1825" s="467">
        <v>0</v>
      </c>
    </row>
    <row r="1826" spans="2:11" ht="19" customHeight="1">
      <c r="B1826" s="464">
        <v>46059</v>
      </c>
      <c r="C1826" s="436" t="s">
        <v>268</v>
      </c>
      <c r="D1826" s="436" t="s">
        <v>267</v>
      </c>
      <c r="E1826" s="436">
        <v>1</v>
      </c>
      <c r="F1826" s="465">
        <v>1.5</v>
      </c>
      <c r="G1826" s="466">
        <v>1.5</v>
      </c>
      <c r="H1826" s="466">
        <f>G1826/1.1</f>
        <v>1.3636363636363635</v>
      </c>
      <c r="I1826" s="436"/>
      <c r="J1826" s="465">
        <v>0</v>
      </c>
      <c r="K1826" s="467">
        <v>0</v>
      </c>
    </row>
    <row r="1827" spans="2:11" ht="19" customHeight="1">
      <c r="B1827" s="464">
        <v>46059</v>
      </c>
      <c r="C1827" s="436" t="s">
        <v>251</v>
      </c>
      <c r="D1827" s="436" t="s">
        <v>1035</v>
      </c>
      <c r="E1827" s="436">
        <v>1</v>
      </c>
      <c r="F1827" s="465">
        <v>2.35</v>
      </c>
      <c r="G1827" s="466">
        <v>2.35</v>
      </c>
      <c r="H1827" s="466">
        <f>G1827/1.1</f>
        <v>2.1363636363636362</v>
      </c>
      <c r="I1827" s="436"/>
      <c r="J1827" s="465">
        <v>0</v>
      </c>
      <c r="K1827" s="467">
        <v>0</v>
      </c>
    </row>
    <row r="1828" spans="2:11" ht="19" customHeight="1">
      <c r="B1828" s="464">
        <v>46059</v>
      </c>
      <c r="C1828" s="436" t="s">
        <v>253</v>
      </c>
      <c r="D1828" s="436" t="s">
        <v>969</v>
      </c>
      <c r="E1828" s="436">
        <v>1</v>
      </c>
      <c r="F1828" s="465">
        <v>3.35</v>
      </c>
      <c r="G1828" s="466">
        <v>3.35</v>
      </c>
      <c r="H1828" s="466">
        <f>G1828/1.1</f>
        <v>3.0454545454545454</v>
      </c>
      <c r="I1828" s="436"/>
      <c r="J1828" s="465">
        <v>0</v>
      </c>
      <c r="K1828" s="467">
        <v>0</v>
      </c>
    </row>
    <row r="1829" spans="2:11" ht="19" customHeight="1">
      <c r="B1829" s="464">
        <v>46059</v>
      </c>
      <c r="C1829" s="436" t="s">
        <v>251</v>
      </c>
      <c r="D1829" s="436" t="s">
        <v>742</v>
      </c>
      <c r="E1829" s="436">
        <v>1</v>
      </c>
      <c r="F1829" s="465">
        <v>2.75</v>
      </c>
      <c r="G1829" s="466">
        <v>2.75</v>
      </c>
      <c r="H1829" s="466">
        <f>G1829/1.1</f>
        <v>2.5</v>
      </c>
      <c r="I1829" s="436"/>
      <c r="J1829" s="465">
        <v>0</v>
      </c>
      <c r="K1829" s="467">
        <v>0</v>
      </c>
    </row>
    <row r="1830" spans="2:11" ht="19" customHeight="1">
      <c r="B1830" s="464">
        <v>46059</v>
      </c>
      <c r="C1830" s="436" t="s">
        <v>276</v>
      </c>
      <c r="D1830" s="436" t="s">
        <v>857</v>
      </c>
      <c r="E1830" s="436">
        <v>3</v>
      </c>
      <c r="F1830" s="465">
        <v>3.45</v>
      </c>
      <c r="G1830" s="466">
        <v>10.35</v>
      </c>
      <c r="H1830" s="466">
        <f>G1830/1.1</f>
        <v>9.4090909090909083</v>
      </c>
      <c r="I1830" s="436"/>
      <c r="J1830" s="465">
        <v>0</v>
      </c>
      <c r="K1830" s="467">
        <v>0</v>
      </c>
    </row>
    <row r="1831" spans="2:11" ht="19" customHeight="1">
      <c r="B1831" s="464">
        <v>46059</v>
      </c>
      <c r="C1831" s="436" t="s">
        <v>276</v>
      </c>
      <c r="D1831" s="436" t="s">
        <v>1083</v>
      </c>
      <c r="E1831" s="436">
        <v>1</v>
      </c>
      <c r="F1831" s="465">
        <v>15.4</v>
      </c>
      <c r="G1831" s="466">
        <v>15.4</v>
      </c>
      <c r="H1831" s="466">
        <f>G1831/1.1</f>
        <v>14</v>
      </c>
      <c r="I1831" s="436"/>
      <c r="J1831" s="465">
        <v>0</v>
      </c>
      <c r="K1831" s="467">
        <v>0</v>
      </c>
    </row>
    <row r="1832" spans="2:11" ht="19" customHeight="1">
      <c r="B1832" s="464">
        <v>46059</v>
      </c>
      <c r="C1832" s="436" t="s">
        <v>264</v>
      </c>
      <c r="D1832" s="436" t="s">
        <v>930</v>
      </c>
      <c r="E1832" s="436">
        <v>1</v>
      </c>
      <c r="F1832" s="465">
        <v>3.75</v>
      </c>
      <c r="G1832" s="466">
        <v>3.75</v>
      </c>
      <c r="H1832" s="466">
        <f>G1832/1.1</f>
        <v>3.4090909090909087</v>
      </c>
      <c r="I1832" s="436"/>
      <c r="J1832" s="465">
        <v>0</v>
      </c>
      <c r="K1832" s="467">
        <v>0</v>
      </c>
    </row>
    <row r="1833" spans="2:11" ht="19" customHeight="1">
      <c r="B1833" s="464">
        <v>46059</v>
      </c>
      <c r="C1833" s="436" t="s">
        <v>256</v>
      </c>
      <c r="D1833" s="436" t="s">
        <v>1042</v>
      </c>
      <c r="E1833" s="436">
        <v>1</v>
      </c>
      <c r="F1833" s="465">
        <v>14.2</v>
      </c>
      <c r="G1833" s="466">
        <v>14.2</v>
      </c>
      <c r="H1833" s="466">
        <f>G1833/1.1</f>
        <v>12.909090909090908</v>
      </c>
      <c r="I1833" s="436"/>
      <c r="J1833" s="465">
        <v>0</v>
      </c>
      <c r="K1833" s="467">
        <v>0</v>
      </c>
    </row>
    <row r="1834" spans="2:11" ht="19" customHeight="1">
      <c r="B1834" s="464">
        <v>46059</v>
      </c>
      <c r="C1834" s="436" t="s">
        <v>256</v>
      </c>
      <c r="D1834" s="436" t="s">
        <v>685</v>
      </c>
      <c r="E1834" s="436">
        <v>1</v>
      </c>
      <c r="F1834" s="465">
        <v>9.25</v>
      </c>
      <c r="G1834" s="466">
        <v>9.25</v>
      </c>
      <c r="H1834" s="466">
        <f>G1834/1.1</f>
        <v>8.4090909090909083</v>
      </c>
      <c r="I1834" s="436"/>
      <c r="J1834" s="465">
        <v>0</v>
      </c>
      <c r="K1834" s="467">
        <v>0</v>
      </c>
    </row>
    <row r="1835" spans="2:11" ht="19" customHeight="1">
      <c r="B1835" s="464">
        <v>46059</v>
      </c>
      <c r="C1835" s="436" t="s">
        <v>326</v>
      </c>
      <c r="D1835" s="436" t="s">
        <v>683</v>
      </c>
      <c r="E1835" s="436">
        <v>1</v>
      </c>
      <c r="F1835" s="465">
        <v>12.25</v>
      </c>
      <c r="G1835" s="466">
        <v>12.25</v>
      </c>
      <c r="H1835" s="466">
        <f>G1835/1.1</f>
        <v>11.136363636363635</v>
      </c>
      <c r="I1835" s="436"/>
      <c r="J1835" s="465">
        <v>0</v>
      </c>
      <c r="K1835" s="467">
        <v>0</v>
      </c>
    </row>
    <row r="1836" spans="2:11" ht="19" customHeight="1">
      <c r="B1836" s="464">
        <v>46059</v>
      </c>
      <c r="C1836" s="436" t="s">
        <v>247</v>
      </c>
      <c r="D1836" s="436" t="s">
        <v>710</v>
      </c>
      <c r="E1836" s="436">
        <v>1</v>
      </c>
      <c r="F1836" s="465">
        <v>2.65</v>
      </c>
      <c r="G1836" s="466">
        <v>2.65</v>
      </c>
      <c r="H1836" s="466">
        <f>G1836/1.1</f>
        <v>2.4090909090909087</v>
      </c>
      <c r="I1836" s="436"/>
      <c r="J1836" s="465">
        <v>0</v>
      </c>
      <c r="K1836" s="467">
        <v>0</v>
      </c>
    </row>
    <row r="1837" spans="2:11" ht="19" customHeight="1">
      <c r="B1837" s="464">
        <v>46059</v>
      </c>
      <c r="C1837" s="436" t="s">
        <v>247</v>
      </c>
      <c r="D1837" s="436" t="s">
        <v>248</v>
      </c>
      <c r="E1837" s="436">
        <v>2</v>
      </c>
      <c r="F1837" s="465">
        <v>1.5</v>
      </c>
      <c r="G1837" s="466">
        <v>3</v>
      </c>
      <c r="H1837" s="466">
        <f>G1837/1.1</f>
        <v>2.7272727272727271</v>
      </c>
      <c r="I1837" s="436"/>
      <c r="J1837" s="465">
        <v>0</v>
      </c>
      <c r="K1837" s="467">
        <v>0</v>
      </c>
    </row>
    <row r="1838" spans="2:11" ht="19" customHeight="1">
      <c r="B1838" s="464">
        <v>46059</v>
      </c>
      <c r="C1838" s="436" t="s">
        <v>247</v>
      </c>
      <c r="D1838" s="436" t="s">
        <v>246</v>
      </c>
      <c r="E1838" s="436">
        <v>1</v>
      </c>
      <c r="F1838" s="465">
        <v>1.7</v>
      </c>
      <c r="G1838" s="466">
        <v>1.7</v>
      </c>
      <c r="H1838" s="466">
        <f>G1838/1.1</f>
        <v>1.5454545454545452</v>
      </c>
      <c r="I1838" s="436"/>
      <c r="J1838" s="465">
        <v>0</v>
      </c>
      <c r="K1838" s="467">
        <v>0</v>
      </c>
    </row>
    <row r="1839" spans="2:11" ht="19" customHeight="1">
      <c r="B1839" s="464">
        <v>46059</v>
      </c>
      <c r="C1839" s="436" t="s">
        <v>247</v>
      </c>
      <c r="D1839" s="436" t="s">
        <v>248</v>
      </c>
      <c r="E1839" s="436">
        <v>1</v>
      </c>
      <c r="F1839" s="465">
        <v>1.5</v>
      </c>
      <c r="G1839" s="466">
        <v>1.5</v>
      </c>
      <c r="H1839" s="466">
        <f>G1839/1.1</f>
        <v>1.3636363636363635</v>
      </c>
      <c r="I1839" s="436"/>
      <c r="J1839" s="465">
        <v>0</v>
      </c>
      <c r="K1839" s="467">
        <v>0</v>
      </c>
    </row>
    <row r="1840" spans="2:11" ht="19" customHeight="1">
      <c r="B1840" s="464">
        <v>46059</v>
      </c>
      <c r="C1840" s="436" t="s">
        <v>894</v>
      </c>
      <c r="D1840" s="436" t="s">
        <v>896</v>
      </c>
      <c r="E1840" s="436">
        <v>1</v>
      </c>
      <c r="F1840" s="465">
        <v>5.75</v>
      </c>
      <c r="G1840" s="466">
        <v>5.75</v>
      </c>
      <c r="H1840" s="466">
        <f>G1840/1.1</f>
        <v>5.2272727272727266</v>
      </c>
      <c r="I1840" s="436"/>
      <c r="J1840" s="465">
        <v>0</v>
      </c>
      <c r="K1840" s="467">
        <v>0</v>
      </c>
    </row>
    <row r="1841" spans="2:11" ht="19" customHeight="1">
      <c r="B1841" s="464">
        <v>46059</v>
      </c>
      <c r="C1841" s="436" t="s">
        <v>264</v>
      </c>
      <c r="D1841" s="436" t="s">
        <v>1084</v>
      </c>
      <c r="E1841" s="436">
        <v>1</v>
      </c>
      <c r="F1841" s="465">
        <v>0.75</v>
      </c>
      <c r="G1841" s="466">
        <v>0.75</v>
      </c>
      <c r="H1841" s="466">
        <f>G1841/1.1</f>
        <v>0.68181818181818177</v>
      </c>
      <c r="I1841" s="436"/>
      <c r="J1841" s="465">
        <v>0</v>
      </c>
      <c r="K1841" s="467">
        <v>0</v>
      </c>
    </row>
    <row r="1842" spans="2:11" ht="19" customHeight="1">
      <c r="B1842" s="464">
        <v>46059</v>
      </c>
      <c r="C1842" s="436" t="s">
        <v>247</v>
      </c>
      <c r="D1842" s="436" t="s">
        <v>248</v>
      </c>
      <c r="E1842" s="436">
        <v>2</v>
      </c>
      <c r="F1842" s="465">
        <v>1.5</v>
      </c>
      <c r="G1842" s="466">
        <v>3</v>
      </c>
      <c r="H1842" s="466">
        <f>G1842/1.1</f>
        <v>2.7272727272727271</v>
      </c>
      <c r="I1842" s="436"/>
      <c r="J1842" s="465">
        <v>0</v>
      </c>
      <c r="K1842" s="467">
        <v>0</v>
      </c>
    </row>
    <row r="1843" spans="2:11" ht="19" customHeight="1">
      <c r="B1843" s="464">
        <v>46059</v>
      </c>
      <c r="C1843" s="436" t="s">
        <v>247</v>
      </c>
      <c r="D1843" s="436" t="s">
        <v>257</v>
      </c>
      <c r="E1843" s="436">
        <v>1</v>
      </c>
      <c r="F1843" s="465">
        <v>1.4</v>
      </c>
      <c r="G1843" s="466">
        <v>1.4</v>
      </c>
      <c r="H1843" s="466">
        <f>G1843/1.1</f>
        <v>1.2727272727272725</v>
      </c>
      <c r="I1843" s="436"/>
      <c r="J1843" s="465">
        <v>0</v>
      </c>
      <c r="K1843" s="467">
        <v>0</v>
      </c>
    </row>
    <row r="1844" spans="2:11" ht="19" customHeight="1">
      <c r="B1844" s="464">
        <v>46059</v>
      </c>
      <c r="C1844" s="436" t="s">
        <v>247</v>
      </c>
      <c r="D1844" s="436" t="s">
        <v>246</v>
      </c>
      <c r="E1844" s="436">
        <v>1</v>
      </c>
      <c r="F1844" s="465">
        <v>1.7</v>
      </c>
      <c r="G1844" s="466">
        <v>1.7</v>
      </c>
      <c r="H1844" s="466">
        <f>G1844/1.1</f>
        <v>1.5454545454545452</v>
      </c>
      <c r="I1844" s="436"/>
      <c r="J1844" s="465">
        <v>0</v>
      </c>
      <c r="K1844" s="467">
        <v>0</v>
      </c>
    </row>
    <row r="1845" spans="2:11" ht="19" customHeight="1">
      <c r="B1845" s="464">
        <v>46059</v>
      </c>
      <c r="C1845" s="436" t="s">
        <v>247</v>
      </c>
      <c r="D1845" s="436" t="s">
        <v>855</v>
      </c>
      <c r="E1845" s="436">
        <v>1</v>
      </c>
      <c r="F1845" s="465">
        <v>2.5499999999999998</v>
      </c>
      <c r="G1845" s="466">
        <v>2.5499999999999998</v>
      </c>
      <c r="H1845" s="466">
        <f>G1845/1.1</f>
        <v>2.3181818181818179</v>
      </c>
      <c r="I1845" s="436"/>
      <c r="J1845" s="465">
        <v>0</v>
      </c>
      <c r="K1845" s="467">
        <v>0</v>
      </c>
    </row>
    <row r="1846" spans="2:11" ht="19" customHeight="1">
      <c r="B1846" s="464">
        <v>46059</v>
      </c>
      <c r="C1846" s="436" t="s">
        <v>894</v>
      </c>
      <c r="D1846" s="436" t="s">
        <v>1085</v>
      </c>
      <c r="E1846" s="436">
        <v>2</v>
      </c>
      <c r="F1846" s="465">
        <v>5.4</v>
      </c>
      <c r="G1846" s="466">
        <v>10.8</v>
      </c>
      <c r="H1846" s="466">
        <f>G1846/1.1</f>
        <v>9.8181818181818183</v>
      </c>
      <c r="I1846" s="436"/>
      <c r="J1846" s="465">
        <v>0</v>
      </c>
      <c r="K1846" s="467">
        <v>0</v>
      </c>
    </row>
    <row r="1847" spans="2:11" ht="19" customHeight="1">
      <c r="B1847" s="464">
        <v>46059</v>
      </c>
      <c r="C1847" s="436" t="s">
        <v>247</v>
      </c>
      <c r="D1847" s="436" t="s">
        <v>246</v>
      </c>
      <c r="E1847" s="436">
        <v>1</v>
      </c>
      <c r="F1847" s="465">
        <v>1.7</v>
      </c>
      <c r="G1847" s="466">
        <v>1.7</v>
      </c>
      <c r="H1847" s="466">
        <f>G1847/1.1</f>
        <v>1.5454545454545452</v>
      </c>
      <c r="I1847" s="436"/>
      <c r="J1847" s="465">
        <v>0</v>
      </c>
      <c r="K1847" s="467">
        <v>0</v>
      </c>
    </row>
    <row r="1848" spans="2:11" ht="19" customHeight="1">
      <c r="B1848" s="464">
        <v>46059</v>
      </c>
      <c r="C1848" s="436" t="s">
        <v>247</v>
      </c>
      <c r="D1848" s="436" t="s">
        <v>257</v>
      </c>
      <c r="E1848" s="436">
        <v>1</v>
      </c>
      <c r="F1848" s="465">
        <v>1.4</v>
      </c>
      <c r="G1848" s="466">
        <v>1.4</v>
      </c>
      <c r="H1848" s="466">
        <f>G1848/1.1</f>
        <v>1.2727272727272725</v>
      </c>
      <c r="I1848" s="436"/>
      <c r="J1848" s="465">
        <v>0</v>
      </c>
      <c r="K1848" s="467">
        <v>0</v>
      </c>
    </row>
    <row r="1849" spans="2:11" ht="19" customHeight="1">
      <c r="B1849" s="464">
        <v>46059</v>
      </c>
      <c r="C1849" s="436" t="s">
        <v>268</v>
      </c>
      <c r="D1849" s="436" t="s">
        <v>859</v>
      </c>
      <c r="E1849" s="436">
        <v>2</v>
      </c>
      <c r="F1849" s="465">
        <v>0.75</v>
      </c>
      <c r="G1849" s="466">
        <v>1.5</v>
      </c>
      <c r="H1849" s="466">
        <f>G1849/1.1</f>
        <v>1.3636363636363635</v>
      </c>
      <c r="I1849" s="436"/>
      <c r="J1849" s="465">
        <v>0</v>
      </c>
      <c r="K1849" s="467">
        <v>0</v>
      </c>
    </row>
    <row r="1850" spans="2:11" ht="19" customHeight="1">
      <c r="B1850" s="464">
        <v>46059</v>
      </c>
      <c r="C1850" s="436" t="s">
        <v>247</v>
      </c>
      <c r="D1850" s="436" t="s">
        <v>246</v>
      </c>
      <c r="E1850" s="436">
        <v>1</v>
      </c>
      <c r="F1850" s="465">
        <v>1.7</v>
      </c>
      <c r="G1850" s="466">
        <v>1.7</v>
      </c>
      <c r="H1850" s="466">
        <f>G1850/1.1</f>
        <v>1.5454545454545452</v>
      </c>
      <c r="I1850" s="436"/>
      <c r="J1850" s="465">
        <v>0</v>
      </c>
      <c r="K1850" s="467">
        <v>0</v>
      </c>
    </row>
    <row r="1851" spans="2:11" ht="19" customHeight="1">
      <c r="B1851" s="464">
        <v>46059</v>
      </c>
      <c r="C1851" s="436" t="s">
        <v>268</v>
      </c>
      <c r="D1851" s="436" t="s">
        <v>906</v>
      </c>
      <c r="E1851" s="436">
        <v>1</v>
      </c>
      <c r="F1851" s="465">
        <v>1.5</v>
      </c>
      <c r="G1851" s="466">
        <v>1.5</v>
      </c>
      <c r="H1851" s="466">
        <f>G1851/1.1</f>
        <v>1.3636363636363635</v>
      </c>
      <c r="I1851" s="436"/>
      <c r="J1851" s="465">
        <v>0</v>
      </c>
      <c r="K1851" s="467">
        <v>0</v>
      </c>
    </row>
    <row r="1852" spans="2:11" ht="19" customHeight="1">
      <c r="B1852" s="464">
        <v>46059</v>
      </c>
      <c r="C1852" s="436" t="s">
        <v>247</v>
      </c>
      <c r="D1852" s="436" t="s">
        <v>257</v>
      </c>
      <c r="E1852" s="436">
        <v>2</v>
      </c>
      <c r="F1852" s="465">
        <v>1.4</v>
      </c>
      <c r="G1852" s="466">
        <v>2.8</v>
      </c>
      <c r="H1852" s="466">
        <f>G1852/1.1</f>
        <v>2.545454545454545</v>
      </c>
      <c r="I1852" s="436"/>
      <c r="J1852" s="465">
        <v>0</v>
      </c>
      <c r="K1852" s="467">
        <v>0</v>
      </c>
    </row>
    <row r="1853" spans="2:11" ht="19" customHeight="1">
      <c r="B1853" s="464">
        <v>46059</v>
      </c>
      <c r="C1853" s="436" t="s">
        <v>247</v>
      </c>
      <c r="D1853" s="436" t="s">
        <v>902</v>
      </c>
      <c r="E1853" s="436">
        <v>1</v>
      </c>
      <c r="F1853" s="465">
        <v>1.95</v>
      </c>
      <c r="G1853" s="466">
        <v>1.95</v>
      </c>
      <c r="H1853" s="466">
        <f>G1853/1.1</f>
        <v>1.7727272727272725</v>
      </c>
      <c r="I1853" s="436"/>
      <c r="J1853" s="465">
        <v>0</v>
      </c>
      <c r="K1853" s="467">
        <v>0</v>
      </c>
    </row>
    <row r="1854" spans="2:11" ht="19" customHeight="1">
      <c r="B1854" s="464">
        <v>46059</v>
      </c>
      <c r="C1854" s="436" t="s">
        <v>268</v>
      </c>
      <c r="D1854" s="436" t="s">
        <v>860</v>
      </c>
      <c r="E1854" s="436">
        <v>1</v>
      </c>
      <c r="F1854" s="465">
        <v>2.25</v>
      </c>
      <c r="G1854" s="466">
        <v>2.25</v>
      </c>
      <c r="H1854" s="466">
        <f>G1854/1.1</f>
        <v>2.0454545454545454</v>
      </c>
      <c r="I1854" s="436"/>
      <c r="J1854" s="465">
        <v>0</v>
      </c>
      <c r="K1854" s="467">
        <v>0</v>
      </c>
    </row>
    <row r="1855" spans="2:11" ht="19" customHeight="1">
      <c r="B1855" s="464">
        <v>46059</v>
      </c>
      <c r="C1855" s="436" t="s">
        <v>268</v>
      </c>
      <c r="D1855" s="436" t="s">
        <v>859</v>
      </c>
      <c r="E1855" s="436">
        <v>1</v>
      </c>
      <c r="F1855" s="465">
        <v>0.75</v>
      </c>
      <c r="G1855" s="466">
        <v>0.75</v>
      </c>
      <c r="H1855" s="466">
        <f>G1855/1.1</f>
        <v>0.68181818181818177</v>
      </c>
      <c r="I1855" s="436"/>
      <c r="J1855" s="465">
        <v>0</v>
      </c>
      <c r="K1855" s="467">
        <v>0</v>
      </c>
    </row>
    <row r="1856" spans="2:11" ht="19" customHeight="1">
      <c r="B1856" s="464">
        <v>46059</v>
      </c>
      <c r="C1856" s="436" t="s">
        <v>247</v>
      </c>
      <c r="D1856" s="436" t="s">
        <v>246</v>
      </c>
      <c r="E1856" s="436">
        <v>2</v>
      </c>
      <c r="F1856" s="465">
        <v>1.7</v>
      </c>
      <c r="G1856" s="466">
        <v>3.4</v>
      </c>
      <c r="H1856" s="466">
        <f>G1856/1.1</f>
        <v>3.0909090909090904</v>
      </c>
      <c r="I1856" s="436"/>
      <c r="J1856" s="465">
        <v>0</v>
      </c>
      <c r="K1856" s="467">
        <v>0</v>
      </c>
    </row>
    <row r="1857" spans="2:11" ht="19" customHeight="1">
      <c r="B1857" s="464">
        <v>46059</v>
      </c>
      <c r="C1857" s="436" t="s">
        <v>327</v>
      </c>
      <c r="D1857" s="436" t="s">
        <v>723</v>
      </c>
      <c r="E1857" s="436">
        <v>1</v>
      </c>
      <c r="F1857" s="465">
        <v>3.1</v>
      </c>
      <c r="G1857" s="466">
        <v>3.1</v>
      </c>
      <c r="H1857" s="466">
        <f>G1857/1.1</f>
        <v>2.8181818181818179</v>
      </c>
      <c r="I1857" s="436"/>
      <c r="J1857" s="465">
        <v>0</v>
      </c>
      <c r="K1857" s="467">
        <v>0</v>
      </c>
    </row>
    <row r="1858" spans="2:11" ht="19" customHeight="1">
      <c r="B1858" s="464">
        <v>46059</v>
      </c>
      <c r="C1858" s="436" t="s">
        <v>247</v>
      </c>
      <c r="D1858" s="436" t="s">
        <v>246</v>
      </c>
      <c r="E1858" s="436">
        <v>1</v>
      </c>
      <c r="F1858" s="465">
        <v>1.7</v>
      </c>
      <c r="G1858" s="466">
        <v>1.7</v>
      </c>
      <c r="H1858" s="466">
        <f>G1858/1.1</f>
        <v>1.5454545454545452</v>
      </c>
      <c r="I1858" s="436"/>
      <c r="J1858" s="465">
        <v>0</v>
      </c>
      <c r="K1858" s="467">
        <v>0</v>
      </c>
    </row>
    <row r="1859" spans="2:11" ht="19" customHeight="1">
      <c r="B1859" s="464">
        <v>46059</v>
      </c>
      <c r="C1859" s="436" t="s">
        <v>268</v>
      </c>
      <c r="D1859" s="436" t="s">
        <v>859</v>
      </c>
      <c r="E1859" s="436">
        <v>1</v>
      </c>
      <c r="F1859" s="465">
        <v>0.75</v>
      </c>
      <c r="G1859" s="466">
        <v>0.75</v>
      </c>
      <c r="H1859" s="466">
        <f>G1859/1.1</f>
        <v>0.68181818181818177</v>
      </c>
      <c r="I1859" s="436"/>
      <c r="J1859" s="465">
        <v>0</v>
      </c>
      <c r="K1859" s="467">
        <v>0</v>
      </c>
    </row>
    <row r="1860" spans="2:11" ht="19" customHeight="1">
      <c r="B1860" s="464">
        <v>46059</v>
      </c>
      <c r="C1860" s="436" t="s">
        <v>247</v>
      </c>
      <c r="D1860" s="436" t="s">
        <v>246</v>
      </c>
      <c r="E1860" s="436">
        <v>1</v>
      </c>
      <c r="F1860" s="465">
        <v>1.7</v>
      </c>
      <c r="G1860" s="466">
        <v>1.7</v>
      </c>
      <c r="H1860" s="466">
        <f>G1860/1.1</f>
        <v>1.5454545454545452</v>
      </c>
      <c r="I1860" s="436"/>
      <c r="J1860" s="465">
        <v>0</v>
      </c>
      <c r="K1860" s="467">
        <v>0</v>
      </c>
    </row>
    <row r="1861" spans="2:11" ht="19" customHeight="1">
      <c r="B1861" s="464">
        <v>46059</v>
      </c>
      <c r="C1861" s="436" t="s">
        <v>247</v>
      </c>
      <c r="D1861" s="436" t="s">
        <v>246</v>
      </c>
      <c r="E1861" s="436">
        <v>1</v>
      </c>
      <c r="F1861" s="465">
        <v>1.7</v>
      </c>
      <c r="G1861" s="466">
        <v>1.7</v>
      </c>
      <c r="H1861" s="466">
        <f>G1861/1.1</f>
        <v>1.5454545454545452</v>
      </c>
      <c r="I1861" s="436"/>
      <c r="J1861" s="465">
        <v>0</v>
      </c>
      <c r="K1861" s="467">
        <v>0</v>
      </c>
    </row>
    <row r="1862" spans="2:11" ht="19" customHeight="1">
      <c r="B1862" s="464">
        <v>46059</v>
      </c>
      <c r="C1862" s="436" t="s">
        <v>268</v>
      </c>
      <c r="D1862" s="436" t="s">
        <v>267</v>
      </c>
      <c r="E1862" s="436">
        <v>1</v>
      </c>
      <c r="F1862" s="465">
        <v>1.5</v>
      </c>
      <c r="G1862" s="466">
        <v>1.5</v>
      </c>
      <c r="H1862" s="466">
        <f>G1862/1.1</f>
        <v>1.3636363636363635</v>
      </c>
      <c r="I1862" s="436"/>
      <c r="J1862" s="465">
        <v>0</v>
      </c>
      <c r="K1862" s="467">
        <v>0</v>
      </c>
    </row>
    <row r="1863" spans="2:11" ht="19" customHeight="1">
      <c r="B1863" s="464">
        <v>46059</v>
      </c>
      <c r="C1863" s="436" t="s">
        <v>268</v>
      </c>
      <c r="D1863" s="436" t="s">
        <v>860</v>
      </c>
      <c r="E1863" s="436">
        <v>1</v>
      </c>
      <c r="F1863" s="465">
        <v>2.25</v>
      </c>
      <c r="G1863" s="466">
        <v>2.25</v>
      </c>
      <c r="H1863" s="466">
        <f>G1863/1.1</f>
        <v>2.0454545454545454</v>
      </c>
      <c r="I1863" s="436"/>
      <c r="J1863" s="465">
        <v>0</v>
      </c>
      <c r="K1863" s="467">
        <v>0</v>
      </c>
    </row>
    <row r="1864" spans="2:11" ht="19" customHeight="1">
      <c r="B1864" s="464">
        <v>46059</v>
      </c>
      <c r="C1864" s="436" t="s">
        <v>247</v>
      </c>
      <c r="D1864" s="436" t="s">
        <v>257</v>
      </c>
      <c r="E1864" s="436">
        <v>2</v>
      </c>
      <c r="F1864" s="465">
        <v>1.4</v>
      </c>
      <c r="G1864" s="466">
        <v>2.8</v>
      </c>
      <c r="H1864" s="466">
        <f>G1864/1.1</f>
        <v>2.545454545454545</v>
      </c>
      <c r="I1864" s="436"/>
      <c r="J1864" s="465">
        <v>0</v>
      </c>
      <c r="K1864" s="467">
        <v>0</v>
      </c>
    </row>
    <row r="1865" spans="2:11" ht="19" customHeight="1">
      <c r="B1865" s="464">
        <v>46059</v>
      </c>
      <c r="C1865" s="436" t="s">
        <v>247</v>
      </c>
      <c r="D1865" s="436" t="s">
        <v>246</v>
      </c>
      <c r="E1865" s="436">
        <v>2</v>
      </c>
      <c r="F1865" s="465">
        <v>1.7</v>
      </c>
      <c r="G1865" s="466">
        <v>3.4</v>
      </c>
      <c r="H1865" s="466">
        <f>G1865/1.1</f>
        <v>3.0909090909090904</v>
      </c>
      <c r="I1865" s="436"/>
      <c r="J1865" s="465">
        <v>0</v>
      </c>
      <c r="K1865" s="467">
        <v>0</v>
      </c>
    </row>
    <row r="1866" spans="2:11" ht="19" customHeight="1">
      <c r="B1866" s="464">
        <v>46059</v>
      </c>
      <c r="C1866" s="436" t="s">
        <v>254</v>
      </c>
      <c r="D1866" s="436" t="s">
        <v>254</v>
      </c>
      <c r="E1866" s="436">
        <v>1</v>
      </c>
      <c r="F1866" s="465">
        <v>14.9</v>
      </c>
      <c r="G1866" s="466">
        <v>14.9</v>
      </c>
      <c r="H1866" s="466">
        <f>G1866/1.1</f>
        <v>13.545454545454545</v>
      </c>
      <c r="I1866" s="436"/>
      <c r="J1866" s="465">
        <v>0</v>
      </c>
      <c r="K1866" s="467">
        <v>0</v>
      </c>
    </row>
    <row r="1867" spans="2:11" ht="19" customHeight="1">
      <c r="B1867" s="464">
        <v>46059</v>
      </c>
      <c r="C1867" s="436" t="s">
        <v>873</v>
      </c>
      <c r="D1867" s="436" t="s">
        <v>1075</v>
      </c>
      <c r="E1867" s="436">
        <v>1</v>
      </c>
      <c r="F1867" s="469"/>
      <c r="G1867" s="468" t="s">
        <v>875</v>
      </c>
      <c r="H1867" s="466" t="e">
        <f>G1867/1.1</f>
        <v>#VALUE!</v>
      </c>
      <c r="I1867" s="436"/>
      <c r="J1867" s="465">
        <v>0</v>
      </c>
      <c r="K1867" s="467">
        <v>0</v>
      </c>
    </row>
    <row r="1868" spans="2:11" ht="19" customHeight="1">
      <c r="B1868" s="464">
        <v>46059</v>
      </c>
      <c r="C1868" s="436" t="s">
        <v>877</v>
      </c>
      <c r="D1868" s="436" t="s">
        <v>1015</v>
      </c>
      <c r="E1868" s="436">
        <v>1</v>
      </c>
      <c r="F1868" s="469"/>
      <c r="G1868" s="468" t="s">
        <v>875</v>
      </c>
      <c r="H1868" s="466" t="e">
        <f>G1868/1.1</f>
        <v>#VALUE!</v>
      </c>
      <c r="I1868" s="436"/>
      <c r="J1868" s="465">
        <v>0</v>
      </c>
      <c r="K1868" s="467">
        <v>0</v>
      </c>
    </row>
    <row r="1869" spans="2:11" ht="19" customHeight="1">
      <c r="B1869" s="464">
        <v>46059</v>
      </c>
      <c r="C1869" s="436" t="s">
        <v>266</v>
      </c>
      <c r="D1869" s="436" t="s">
        <v>976</v>
      </c>
      <c r="E1869" s="436">
        <v>1</v>
      </c>
      <c r="F1869" s="465">
        <v>1</v>
      </c>
      <c r="G1869" s="466">
        <v>1</v>
      </c>
      <c r="H1869" s="466">
        <f>G1869/1.1</f>
        <v>0.90909090909090906</v>
      </c>
      <c r="I1869" s="436"/>
      <c r="J1869" s="465">
        <v>0</v>
      </c>
      <c r="K1869" s="467">
        <v>0</v>
      </c>
    </row>
    <row r="1870" spans="2:11" ht="19" customHeight="1">
      <c r="B1870" s="464">
        <v>46059</v>
      </c>
      <c r="C1870" s="436" t="s">
        <v>266</v>
      </c>
      <c r="D1870" s="436" t="s">
        <v>1086</v>
      </c>
      <c r="E1870" s="436">
        <v>1</v>
      </c>
      <c r="F1870" s="469"/>
      <c r="G1870" s="468" t="s">
        <v>875</v>
      </c>
      <c r="H1870" s="466" t="e">
        <f>G1870/1.1</f>
        <v>#VALUE!</v>
      </c>
      <c r="I1870" s="436"/>
      <c r="J1870" s="465">
        <v>0</v>
      </c>
      <c r="K1870" s="467">
        <v>0</v>
      </c>
    </row>
    <row r="1871" spans="2:11" ht="19" customHeight="1">
      <c r="B1871" s="464">
        <v>46059</v>
      </c>
      <c r="C1871" s="436" t="s">
        <v>258</v>
      </c>
      <c r="D1871" s="436" t="s">
        <v>936</v>
      </c>
      <c r="E1871" s="436">
        <v>1</v>
      </c>
      <c r="F1871" s="469"/>
      <c r="G1871" s="468" t="s">
        <v>875</v>
      </c>
      <c r="H1871" s="466" t="e">
        <f>G1871/1.1</f>
        <v>#VALUE!</v>
      </c>
      <c r="I1871" s="436"/>
      <c r="J1871" s="465">
        <v>0</v>
      </c>
      <c r="K1871" s="467">
        <v>0</v>
      </c>
    </row>
    <row r="1872" spans="2:11" ht="19" customHeight="1">
      <c r="B1872" s="464">
        <v>46059</v>
      </c>
      <c r="C1872" s="436" t="s">
        <v>258</v>
      </c>
      <c r="D1872" s="436" t="s">
        <v>1087</v>
      </c>
      <c r="E1872" s="436">
        <v>1</v>
      </c>
      <c r="F1872" s="469"/>
      <c r="G1872" s="468" t="s">
        <v>875</v>
      </c>
      <c r="H1872" s="466" t="e">
        <f>G1872/1.1</f>
        <v>#VALUE!</v>
      </c>
      <c r="I1872" s="436"/>
      <c r="J1872" s="465">
        <v>0</v>
      </c>
      <c r="K1872" s="467">
        <v>0</v>
      </c>
    </row>
    <row r="1873" spans="2:11" ht="19" customHeight="1">
      <c r="B1873" s="464">
        <v>46059</v>
      </c>
      <c r="C1873" s="436" t="s">
        <v>254</v>
      </c>
      <c r="D1873" s="436" t="s">
        <v>254</v>
      </c>
      <c r="E1873" s="436">
        <v>1</v>
      </c>
      <c r="F1873" s="465">
        <v>14.9</v>
      </c>
      <c r="G1873" s="466">
        <v>14.9</v>
      </c>
      <c r="H1873" s="466">
        <f>G1873/1.1</f>
        <v>13.545454545454545</v>
      </c>
      <c r="I1873" s="436"/>
      <c r="J1873" s="465">
        <v>0</v>
      </c>
      <c r="K1873" s="467">
        <v>0</v>
      </c>
    </row>
    <row r="1874" spans="2:11" ht="19" customHeight="1">
      <c r="B1874" s="464">
        <v>46059</v>
      </c>
      <c r="C1874" s="436" t="s">
        <v>873</v>
      </c>
      <c r="D1874" s="436" t="s">
        <v>1068</v>
      </c>
      <c r="E1874" s="436">
        <v>1</v>
      </c>
      <c r="F1874" s="469"/>
      <c r="G1874" s="468" t="s">
        <v>875</v>
      </c>
      <c r="H1874" s="466" t="e">
        <f>G1874/1.1</f>
        <v>#VALUE!</v>
      </c>
      <c r="I1874" s="436"/>
      <c r="J1874" s="465">
        <v>0</v>
      </c>
      <c r="K1874" s="467">
        <v>0</v>
      </c>
    </row>
    <row r="1875" spans="2:11" ht="19" customHeight="1">
      <c r="B1875" s="464">
        <v>46059</v>
      </c>
      <c r="C1875" s="436" t="s">
        <v>877</v>
      </c>
      <c r="D1875" s="436" t="s">
        <v>1015</v>
      </c>
      <c r="E1875" s="436">
        <v>1</v>
      </c>
      <c r="F1875" s="469"/>
      <c r="G1875" s="468" t="s">
        <v>875</v>
      </c>
      <c r="H1875" s="466" t="e">
        <f>G1875/1.1</f>
        <v>#VALUE!</v>
      </c>
      <c r="I1875" s="436"/>
      <c r="J1875" s="465">
        <v>0</v>
      </c>
      <c r="K1875" s="467">
        <v>0</v>
      </c>
    </row>
    <row r="1876" spans="2:11" ht="19" customHeight="1">
      <c r="B1876" s="464">
        <v>46059</v>
      </c>
      <c r="C1876" s="436" t="s">
        <v>266</v>
      </c>
      <c r="D1876" s="436" t="s">
        <v>991</v>
      </c>
      <c r="E1876" s="436">
        <v>1</v>
      </c>
      <c r="F1876" s="469"/>
      <c r="G1876" s="468" t="s">
        <v>875</v>
      </c>
      <c r="H1876" s="466" t="e">
        <f>G1876/1.1</f>
        <v>#VALUE!</v>
      </c>
      <c r="I1876" s="436"/>
      <c r="J1876" s="465">
        <v>0</v>
      </c>
      <c r="K1876" s="467">
        <v>0</v>
      </c>
    </row>
    <row r="1877" spans="2:11" ht="19" customHeight="1">
      <c r="B1877" s="464">
        <v>46059</v>
      </c>
      <c r="C1877" s="436" t="s">
        <v>258</v>
      </c>
      <c r="D1877" s="436" t="s">
        <v>883</v>
      </c>
      <c r="E1877" s="436">
        <v>1</v>
      </c>
      <c r="F1877" s="469"/>
      <c r="G1877" s="468" t="s">
        <v>875</v>
      </c>
      <c r="H1877" s="466" t="e">
        <f>G1877/1.1</f>
        <v>#VALUE!</v>
      </c>
      <c r="I1877" s="436"/>
      <c r="J1877" s="465">
        <v>0</v>
      </c>
      <c r="K1877" s="467">
        <v>0</v>
      </c>
    </row>
    <row r="1878" spans="2:11" ht="19" customHeight="1">
      <c r="B1878" s="464">
        <v>46059</v>
      </c>
      <c r="C1878" s="436" t="s">
        <v>254</v>
      </c>
      <c r="D1878" s="436" t="s">
        <v>254</v>
      </c>
      <c r="E1878" s="436">
        <v>1</v>
      </c>
      <c r="F1878" s="465">
        <v>14.9</v>
      </c>
      <c r="G1878" s="466">
        <v>14.9</v>
      </c>
      <c r="H1878" s="466">
        <f>G1878/1.1</f>
        <v>13.545454545454545</v>
      </c>
      <c r="I1878" s="436"/>
      <c r="J1878" s="465">
        <v>0</v>
      </c>
      <c r="K1878" s="467">
        <v>0</v>
      </c>
    </row>
    <row r="1879" spans="2:11" ht="19" customHeight="1">
      <c r="B1879" s="464">
        <v>46059</v>
      </c>
      <c r="C1879" s="436" t="s">
        <v>873</v>
      </c>
      <c r="D1879" s="436" t="s">
        <v>1070</v>
      </c>
      <c r="E1879" s="436">
        <v>1</v>
      </c>
      <c r="F1879" s="469"/>
      <c r="G1879" s="468" t="s">
        <v>875</v>
      </c>
      <c r="H1879" s="466" t="e">
        <f>G1879/1.1</f>
        <v>#VALUE!</v>
      </c>
      <c r="I1879" s="436"/>
      <c r="J1879" s="465">
        <v>0</v>
      </c>
      <c r="K1879" s="467">
        <v>0</v>
      </c>
    </row>
    <row r="1880" spans="2:11" ht="19" customHeight="1">
      <c r="B1880" s="464">
        <v>46059</v>
      </c>
      <c r="C1880" s="436" t="s">
        <v>877</v>
      </c>
      <c r="D1880" s="436" t="s">
        <v>1015</v>
      </c>
      <c r="E1880" s="436">
        <v>1</v>
      </c>
      <c r="F1880" s="469"/>
      <c r="G1880" s="468" t="s">
        <v>875</v>
      </c>
      <c r="H1880" s="466" t="e">
        <f>G1880/1.1</f>
        <v>#VALUE!</v>
      </c>
      <c r="I1880" s="436"/>
      <c r="J1880" s="465">
        <v>0</v>
      </c>
      <c r="K1880" s="467">
        <v>0</v>
      </c>
    </row>
    <row r="1881" spans="2:11" ht="19" customHeight="1">
      <c r="B1881" s="464">
        <v>46059</v>
      </c>
      <c r="C1881" s="436" t="s">
        <v>266</v>
      </c>
      <c r="D1881" s="436" t="s">
        <v>926</v>
      </c>
      <c r="E1881" s="436">
        <v>1</v>
      </c>
      <c r="F1881" s="469"/>
      <c r="G1881" s="468" t="s">
        <v>875</v>
      </c>
      <c r="H1881" s="466" t="e">
        <f>G1881/1.1</f>
        <v>#VALUE!</v>
      </c>
      <c r="I1881" s="436"/>
      <c r="J1881" s="465">
        <v>0</v>
      </c>
      <c r="K1881" s="467">
        <v>0</v>
      </c>
    </row>
    <row r="1882" spans="2:11" ht="19" customHeight="1">
      <c r="B1882" s="464">
        <v>46059</v>
      </c>
      <c r="C1882" s="436" t="s">
        <v>258</v>
      </c>
      <c r="D1882" s="436" t="s">
        <v>883</v>
      </c>
      <c r="E1882" s="436">
        <v>1</v>
      </c>
      <c r="F1882" s="436"/>
      <c r="G1882" s="468" t="s">
        <v>875</v>
      </c>
      <c r="H1882" s="466" t="e">
        <f>G1882/1.1</f>
        <v>#VALUE!</v>
      </c>
      <c r="I1882" s="436"/>
      <c r="J1882" s="465">
        <v>0</v>
      </c>
      <c r="K1882" s="467">
        <v>0</v>
      </c>
    </row>
    <row r="1883" spans="2:11" ht="19" customHeight="1">
      <c r="B1883" s="464">
        <v>46059</v>
      </c>
      <c r="C1883" s="436" t="s">
        <v>254</v>
      </c>
      <c r="D1883" s="436" t="s">
        <v>254</v>
      </c>
      <c r="E1883" s="436">
        <v>2</v>
      </c>
      <c r="F1883" s="465">
        <v>14.9</v>
      </c>
      <c r="G1883" s="466">
        <v>29.8</v>
      </c>
      <c r="H1883" s="466">
        <f>G1883/1.1</f>
        <v>27.09090909090909</v>
      </c>
      <c r="I1883" s="436"/>
      <c r="J1883" s="465">
        <v>0</v>
      </c>
      <c r="K1883" s="467">
        <v>0</v>
      </c>
    </row>
    <row r="1884" spans="2:11" ht="19" customHeight="1">
      <c r="B1884" s="464">
        <v>46059</v>
      </c>
      <c r="C1884" s="436" t="s">
        <v>873</v>
      </c>
      <c r="D1884" s="436" t="s">
        <v>1068</v>
      </c>
      <c r="E1884" s="436">
        <v>1</v>
      </c>
      <c r="F1884" s="469"/>
      <c r="G1884" s="468" t="s">
        <v>875</v>
      </c>
      <c r="H1884" s="466" t="e">
        <f>G1884/1.1</f>
        <v>#VALUE!</v>
      </c>
      <c r="I1884" s="436"/>
      <c r="J1884" s="465">
        <v>0</v>
      </c>
      <c r="K1884" s="467">
        <v>0</v>
      </c>
    </row>
    <row r="1885" spans="2:11" ht="19" customHeight="1">
      <c r="B1885" s="464">
        <v>46059</v>
      </c>
      <c r="C1885" s="436" t="s">
        <v>873</v>
      </c>
      <c r="D1885" s="436" t="s">
        <v>1075</v>
      </c>
      <c r="E1885" s="436">
        <v>1</v>
      </c>
      <c r="F1885" s="469"/>
      <c r="G1885" s="468" t="s">
        <v>875</v>
      </c>
      <c r="H1885" s="466" t="e">
        <f>G1885/1.1</f>
        <v>#VALUE!</v>
      </c>
      <c r="I1885" s="436"/>
      <c r="J1885" s="465">
        <v>0</v>
      </c>
      <c r="K1885" s="467">
        <v>0</v>
      </c>
    </row>
    <row r="1886" spans="2:11" ht="19" customHeight="1">
      <c r="B1886" s="464">
        <v>46059</v>
      </c>
      <c r="C1886" s="436" t="s">
        <v>877</v>
      </c>
      <c r="D1886" s="436" t="s">
        <v>1015</v>
      </c>
      <c r="E1886" s="436">
        <v>1</v>
      </c>
      <c r="F1886" s="469"/>
      <c r="G1886" s="468" t="s">
        <v>875</v>
      </c>
      <c r="H1886" s="466" t="e">
        <f>G1886/1.1</f>
        <v>#VALUE!</v>
      </c>
      <c r="I1886" s="436"/>
      <c r="J1886" s="465">
        <v>0</v>
      </c>
      <c r="K1886" s="467">
        <v>0</v>
      </c>
    </row>
    <row r="1887" spans="2:11" ht="19" customHeight="1">
      <c r="B1887" s="464">
        <v>46059</v>
      </c>
      <c r="C1887" s="436" t="s">
        <v>877</v>
      </c>
      <c r="D1887" s="436" t="s">
        <v>751</v>
      </c>
      <c r="E1887" s="436">
        <v>1</v>
      </c>
      <c r="F1887" s="469"/>
      <c r="G1887" s="468" t="s">
        <v>875</v>
      </c>
      <c r="H1887" s="466" t="e">
        <f>G1887/1.1</f>
        <v>#VALUE!</v>
      </c>
      <c r="I1887" s="436"/>
      <c r="J1887" s="465">
        <v>0</v>
      </c>
      <c r="K1887" s="467">
        <v>0</v>
      </c>
    </row>
    <row r="1888" spans="2:11" ht="19" customHeight="1">
      <c r="B1888" s="464">
        <v>46059</v>
      </c>
      <c r="C1888" s="436" t="s">
        <v>266</v>
      </c>
      <c r="D1888" s="436" t="s">
        <v>991</v>
      </c>
      <c r="E1888" s="436">
        <v>1</v>
      </c>
      <c r="F1888" s="469"/>
      <c r="G1888" s="468" t="s">
        <v>875</v>
      </c>
      <c r="H1888" s="466" t="e">
        <f>G1888/1.1</f>
        <v>#VALUE!</v>
      </c>
      <c r="I1888" s="436"/>
      <c r="J1888" s="465">
        <v>0</v>
      </c>
      <c r="K1888" s="467">
        <v>0</v>
      </c>
    </row>
    <row r="1889" spans="2:11" ht="19" customHeight="1">
      <c r="B1889" s="464">
        <v>46059</v>
      </c>
      <c r="C1889" s="436" t="s">
        <v>266</v>
      </c>
      <c r="D1889" s="436" t="s">
        <v>1088</v>
      </c>
      <c r="E1889" s="436">
        <v>1</v>
      </c>
      <c r="F1889" s="469"/>
      <c r="G1889" s="468" t="s">
        <v>875</v>
      </c>
      <c r="H1889" s="466" t="e">
        <f>G1889/1.1</f>
        <v>#VALUE!</v>
      </c>
      <c r="I1889" s="436"/>
      <c r="J1889" s="465">
        <v>0</v>
      </c>
      <c r="K1889" s="467">
        <v>0</v>
      </c>
    </row>
    <row r="1890" spans="2:11" ht="19" customHeight="1">
      <c r="B1890" s="464">
        <v>46059</v>
      </c>
      <c r="C1890" s="436" t="s">
        <v>258</v>
      </c>
      <c r="D1890" s="436" t="s">
        <v>883</v>
      </c>
      <c r="E1890" s="436">
        <v>1</v>
      </c>
      <c r="F1890" s="469"/>
      <c r="G1890" s="468" t="s">
        <v>875</v>
      </c>
      <c r="H1890" s="466" t="e">
        <f>G1890/1.1</f>
        <v>#VALUE!</v>
      </c>
      <c r="I1890" s="436"/>
      <c r="J1890" s="465">
        <v>0</v>
      </c>
      <c r="K1890" s="467">
        <v>0</v>
      </c>
    </row>
    <row r="1891" spans="2:11" ht="19" customHeight="1">
      <c r="B1891" s="464">
        <v>46059</v>
      </c>
      <c r="C1891" s="436" t="s">
        <v>258</v>
      </c>
      <c r="D1891" s="436" t="s">
        <v>972</v>
      </c>
      <c r="E1891" s="436">
        <v>1</v>
      </c>
      <c r="F1891" s="469"/>
      <c r="G1891" s="468" t="s">
        <v>875</v>
      </c>
      <c r="H1891" s="466" t="e">
        <f>G1891/1.1</f>
        <v>#VALUE!</v>
      </c>
      <c r="I1891" s="436"/>
      <c r="J1891" s="465">
        <v>0</v>
      </c>
      <c r="K1891" s="467">
        <v>0</v>
      </c>
    </row>
    <row r="1892" spans="2:11" ht="19" customHeight="1">
      <c r="B1892" s="464">
        <v>46059</v>
      </c>
      <c r="C1892" s="436" t="s">
        <v>254</v>
      </c>
      <c r="D1892" s="436" t="s">
        <v>254</v>
      </c>
      <c r="E1892" s="436">
        <v>2</v>
      </c>
      <c r="F1892" s="465">
        <v>14.9</v>
      </c>
      <c r="G1892" s="466">
        <v>29.8</v>
      </c>
      <c r="H1892" s="466">
        <f>G1892/1.1</f>
        <v>27.09090909090909</v>
      </c>
      <c r="I1892" s="436"/>
      <c r="J1892" s="465">
        <v>0</v>
      </c>
      <c r="K1892" s="467">
        <v>0</v>
      </c>
    </row>
    <row r="1893" spans="2:11" ht="19" customHeight="1">
      <c r="B1893" s="464">
        <v>46059</v>
      </c>
      <c r="C1893" s="436" t="s">
        <v>873</v>
      </c>
      <c r="D1893" s="436" t="s">
        <v>1075</v>
      </c>
      <c r="E1893" s="436">
        <v>1</v>
      </c>
      <c r="F1893" s="469"/>
      <c r="G1893" s="468" t="s">
        <v>875</v>
      </c>
      <c r="H1893" s="466" t="e">
        <f>G1893/1.1</f>
        <v>#VALUE!</v>
      </c>
      <c r="I1893" s="436"/>
      <c r="J1893" s="465">
        <v>0</v>
      </c>
      <c r="K1893" s="467">
        <v>0</v>
      </c>
    </row>
    <row r="1894" spans="2:11" ht="19" customHeight="1">
      <c r="B1894" s="464">
        <v>46059</v>
      </c>
      <c r="C1894" s="436" t="s">
        <v>873</v>
      </c>
      <c r="D1894" s="436" t="s">
        <v>1070</v>
      </c>
      <c r="E1894" s="436">
        <v>1</v>
      </c>
      <c r="F1894" s="469"/>
      <c r="G1894" s="468" t="s">
        <v>875</v>
      </c>
      <c r="H1894" s="466" t="e">
        <f>G1894/1.1</f>
        <v>#VALUE!</v>
      </c>
      <c r="I1894" s="436"/>
      <c r="J1894" s="465">
        <v>0</v>
      </c>
      <c r="K1894" s="467">
        <v>0</v>
      </c>
    </row>
    <row r="1895" spans="2:11" ht="19" customHeight="1">
      <c r="B1895" s="464">
        <v>46059</v>
      </c>
      <c r="C1895" s="436" t="s">
        <v>877</v>
      </c>
      <c r="D1895" s="436" t="s">
        <v>751</v>
      </c>
      <c r="E1895" s="436">
        <v>1</v>
      </c>
      <c r="F1895" s="469"/>
      <c r="G1895" s="468" t="s">
        <v>875</v>
      </c>
      <c r="H1895" s="466" t="e">
        <f>G1895/1.1</f>
        <v>#VALUE!</v>
      </c>
      <c r="I1895" s="436"/>
      <c r="J1895" s="465">
        <v>0</v>
      </c>
      <c r="K1895" s="467">
        <v>0</v>
      </c>
    </row>
    <row r="1896" spans="2:11" ht="19" customHeight="1">
      <c r="B1896" s="464">
        <v>46059</v>
      </c>
      <c r="C1896" s="436" t="s">
        <v>877</v>
      </c>
      <c r="D1896" s="436" t="s">
        <v>1069</v>
      </c>
      <c r="E1896" s="436">
        <v>1</v>
      </c>
      <c r="F1896" s="465">
        <v>3</v>
      </c>
      <c r="G1896" s="466">
        <v>3</v>
      </c>
      <c r="H1896" s="466">
        <f>G1896/1.1</f>
        <v>2.7272727272727271</v>
      </c>
      <c r="I1896" s="436"/>
      <c r="J1896" s="465">
        <v>0</v>
      </c>
      <c r="K1896" s="467">
        <v>0</v>
      </c>
    </row>
    <row r="1897" spans="2:11" ht="19" customHeight="1">
      <c r="B1897" s="464">
        <v>46059</v>
      </c>
      <c r="C1897" s="436" t="s">
        <v>266</v>
      </c>
      <c r="D1897" s="436" t="s">
        <v>250</v>
      </c>
      <c r="E1897" s="436">
        <v>2</v>
      </c>
      <c r="F1897" s="469"/>
      <c r="G1897" s="468" t="s">
        <v>875</v>
      </c>
      <c r="H1897" s="466" t="e">
        <f>G1897/1.1</f>
        <v>#VALUE!</v>
      </c>
      <c r="I1897" s="436"/>
      <c r="J1897" s="465">
        <v>0</v>
      </c>
      <c r="K1897" s="467">
        <v>0</v>
      </c>
    </row>
    <row r="1898" spans="2:11" ht="19" customHeight="1">
      <c r="B1898" s="464">
        <v>46059</v>
      </c>
      <c r="C1898" s="436" t="s">
        <v>258</v>
      </c>
      <c r="D1898" s="436" t="s">
        <v>883</v>
      </c>
      <c r="E1898" s="436">
        <v>2</v>
      </c>
      <c r="F1898" s="469"/>
      <c r="G1898" s="468" t="s">
        <v>875</v>
      </c>
      <c r="H1898" s="466" t="e">
        <f>G1898/1.1</f>
        <v>#VALUE!</v>
      </c>
      <c r="I1898" s="436"/>
      <c r="J1898" s="465">
        <v>0</v>
      </c>
      <c r="K1898" s="467">
        <v>0</v>
      </c>
    </row>
    <row r="1899" spans="2:11" ht="19" customHeight="1">
      <c r="B1899" s="464">
        <v>46059</v>
      </c>
      <c r="C1899" s="436" t="s">
        <v>254</v>
      </c>
      <c r="D1899" s="436" t="s">
        <v>254</v>
      </c>
      <c r="E1899" s="436">
        <v>2</v>
      </c>
      <c r="F1899" s="465">
        <v>14.9</v>
      </c>
      <c r="G1899" s="466">
        <v>29.8</v>
      </c>
      <c r="H1899" s="466">
        <f>G1899/1.1</f>
        <v>27.09090909090909</v>
      </c>
      <c r="I1899" s="436"/>
      <c r="J1899" s="465">
        <v>0</v>
      </c>
      <c r="K1899" s="467">
        <v>0</v>
      </c>
    </row>
    <row r="1900" spans="2:11" ht="19" customHeight="1">
      <c r="B1900" s="464">
        <v>46059</v>
      </c>
      <c r="C1900" s="436" t="s">
        <v>873</v>
      </c>
      <c r="D1900" s="436" t="s">
        <v>1075</v>
      </c>
      <c r="E1900" s="436">
        <v>2</v>
      </c>
      <c r="F1900" s="469"/>
      <c r="G1900" s="468" t="s">
        <v>875</v>
      </c>
      <c r="H1900" s="466" t="e">
        <f>G1900/1.1</f>
        <v>#VALUE!</v>
      </c>
      <c r="I1900" s="436"/>
      <c r="J1900" s="465">
        <v>0</v>
      </c>
      <c r="K1900" s="467">
        <v>0</v>
      </c>
    </row>
    <row r="1901" spans="2:11" ht="19" customHeight="1">
      <c r="B1901" s="464">
        <v>46059</v>
      </c>
      <c r="C1901" s="436" t="s">
        <v>877</v>
      </c>
      <c r="D1901" s="436" t="s">
        <v>934</v>
      </c>
      <c r="E1901" s="436">
        <v>2</v>
      </c>
      <c r="F1901" s="465">
        <v>6</v>
      </c>
      <c r="G1901" s="466">
        <v>12</v>
      </c>
      <c r="H1901" s="466">
        <f>G1901/1.1</f>
        <v>10.909090909090908</v>
      </c>
      <c r="I1901" s="436"/>
      <c r="J1901" s="465">
        <v>0</v>
      </c>
      <c r="K1901" s="467">
        <v>0</v>
      </c>
    </row>
    <row r="1902" spans="2:11" ht="19" customHeight="1">
      <c r="B1902" s="464">
        <v>46059</v>
      </c>
      <c r="C1902" s="436" t="s">
        <v>266</v>
      </c>
      <c r="D1902" s="436" t="s">
        <v>250</v>
      </c>
      <c r="E1902" s="436">
        <v>1</v>
      </c>
      <c r="F1902" s="469"/>
      <c r="G1902" s="468" t="s">
        <v>875</v>
      </c>
      <c r="H1902" s="466" t="e">
        <f>G1902/1.1</f>
        <v>#VALUE!</v>
      </c>
      <c r="I1902" s="436"/>
      <c r="J1902" s="465">
        <v>0</v>
      </c>
      <c r="K1902" s="467">
        <v>0</v>
      </c>
    </row>
    <row r="1903" spans="2:11" ht="19" customHeight="1">
      <c r="B1903" s="464">
        <v>46059</v>
      </c>
      <c r="C1903" s="436" t="s">
        <v>266</v>
      </c>
      <c r="D1903" s="436" t="s">
        <v>1089</v>
      </c>
      <c r="E1903" s="436">
        <v>1</v>
      </c>
      <c r="F1903" s="465">
        <v>1</v>
      </c>
      <c r="G1903" s="466">
        <v>1</v>
      </c>
      <c r="H1903" s="466">
        <f>G1903/1.1</f>
        <v>0.90909090909090906</v>
      </c>
      <c r="I1903" s="436"/>
      <c r="J1903" s="465">
        <v>0</v>
      </c>
      <c r="K1903" s="467">
        <v>0</v>
      </c>
    </row>
    <row r="1904" spans="2:11" ht="19" customHeight="1">
      <c r="B1904" s="464">
        <v>46059</v>
      </c>
      <c r="C1904" s="436" t="s">
        <v>258</v>
      </c>
      <c r="D1904" s="436" t="s">
        <v>883</v>
      </c>
      <c r="E1904" s="436">
        <v>1</v>
      </c>
      <c r="F1904" s="469"/>
      <c r="G1904" s="468" t="s">
        <v>875</v>
      </c>
      <c r="H1904" s="466" t="e">
        <f>G1904/1.1</f>
        <v>#VALUE!</v>
      </c>
      <c r="I1904" s="436"/>
      <c r="J1904" s="465">
        <v>0</v>
      </c>
      <c r="K1904" s="467">
        <v>0</v>
      </c>
    </row>
    <row r="1905" spans="2:11" ht="19" customHeight="1">
      <c r="B1905" s="464">
        <v>46059</v>
      </c>
      <c r="C1905" s="436" t="s">
        <v>258</v>
      </c>
      <c r="D1905" s="436" t="s">
        <v>917</v>
      </c>
      <c r="E1905" s="436">
        <v>1</v>
      </c>
      <c r="F1905" s="469"/>
      <c r="G1905" s="468" t="s">
        <v>875</v>
      </c>
      <c r="H1905" s="466" t="e">
        <f>G1905/1.1</f>
        <v>#VALUE!</v>
      </c>
      <c r="I1905" s="436"/>
      <c r="J1905" s="465">
        <v>0</v>
      </c>
      <c r="K1905" s="467">
        <v>0</v>
      </c>
    </row>
    <row r="1906" spans="2:11" ht="19" customHeight="1">
      <c r="B1906" s="464">
        <v>46059</v>
      </c>
      <c r="C1906" s="436" t="s">
        <v>254</v>
      </c>
      <c r="D1906" s="436" t="s">
        <v>254</v>
      </c>
      <c r="E1906" s="436">
        <v>3</v>
      </c>
      <c r="F1906" s="465">
        <v>14.9</v>
      </c>
      <c r="G1906" s="466">
        <v>44.7</v>
      </c>
      <c r="H1906" s="466">
        <f>G1906/1.1</f>
        <v>40.636363636363633</v>
      </c>
      <c r="I1906" s="436"/>
      <c r="J1906" s="465">
        <v>0</v>
      </c>
      <c r="K1906" s="467">
        <v>0</v>
      </c>
    </row>
    <row r="1907" spans="2:11" ht="19" customHeight="1">
      <c r="B1907" s="464">
        <v>46059</v>
      </c>
      <c r="C1907" s="436" t="s">
        <v>873</v>
      </c>
      <c r="D1907" s="436" t="s">
        <v>987</v>
      </c>
      <c r="E1907" s="436">
        <v>2</v>
      </c>
      <c r="F1907" s="465">
        <v>5</v>
      </c>
      <c r="G1907" s="466">
        <v>10</v>
      </c>
      <c r="H1907" s="466">
        <f>G1907/1.1</f>
        <v>9.0909090909090899</v>
      </c>
      <c r="I1907" s="436"/>
      <c r="J1907" s="465">
        <v>0</v>
      </c>
      <c r="K1907" s="467">
        <v>0</v>
      </c>
    </row>
    <row r="1908" spans="2:11" ht="19" customHeight="1">
      <c r="B1908" s="464">
        <v>46059</v>
      </c>
      <c r="C1908" s="436" t="s">
        <v>873</v>
      </c>
      <c r="D1908" s="436" t="s">
        <v>1071</v>
      </c>
      <c r="E1908" s="436">
        <v>1</v>
      </c>
      <c r="F1908" s="465">
        <v>3</v>
      </c>
      <c r="G1908" s="466">
        <v>3</v>
      </c>
      <c r="H1908" s="466">
        <f>G1908/1.1</f>
        <v>2.7272727272727271</v>
      </c>
      <c r="I1908" s="436"/>
      <c r="J1908" s="465">
        <v>0</v>
      </c>
      <c r="K1908" s="467">
        <v>0</v>
      </c>
    </row>
    <row r="1909" spans="2:11" ht="19" customHeight="1">
      <c r="B1909" s="464">
        <v>46059</v>
      </c>
      <c r="C1909" s="436" t="s">
        <v>877</v>
      </c>
      <c r="D1909" s="436" t="s">
        <v>1015</v>
      </c>
      <c r="E1909" s="436">
        <v>3</v>
      </c>
      <c r="F1909" s="469"/>
      <c r="G1909" s="468" t="s">
        <v>875</v>
      </c>
      <c r="H1909" s="466" t="e">
        <f>G1909/1.1</f>
        <v>#VALUE!</v>
      </c>
      <c r="I1909" s="436"/>
      <c r="J1909" s="465">
        <v>0</v>
      </c>
      <c r="K1909" s="467">
        <v>0</v>
      </c>
    </row>
    <row r="1910" spans="2:11" ht="19" customHeight="1">
      <c r="B1910" s="464">
        <v>46059</v>
      </c>
      <c r="C1910" s="436" t="s">
        <v>266</v>
      </c>
      <c r="D1910" s="436" t="s">
        <v>1089</v>
      </c>
      <c r="E1910" s="436">
        <v>1</v>
      </c>
      <c r="F1910" s="465">
        <v>1</v>
      </c>
      <c r="G1910" s="466">
        <v>1</v>
      </c>
      <c r="H1910" s="466">
        <f>G1910/1.1</f>
        <v>0.90909090909090906</v>
      </c>
      <c r="I1910" s="436"/>
      <c r="J1910" s="465">
        <v>0</v>
      </c>
      <c r="K1910" s="467">
        <v>0</v>
      </c>
    </row>
    <row r="1911" spans="2:11" ht="19" customHeight="1">
      <c r="B1911" s="464">
        <v>46059</v>
      </c>
      <c r="C1911" s="436" t="s">
        <v>266</v>
      </c>
      <c r="D1911" s="436" t="s">
        <v>1088</v>
      </c>
      <c r="E1911" s="436">
        <v>2</v>
      </c>
      <c r="F1911" s="469"/>
      <c r="G1911" s="468" t="s">
        <v>875</v>
      </c>
      <c r="H1911" s="466" t="e">
        <f>G1911/1.1</f>
        <v>#VALUE!</v>
      </c>
      <c r="I1911" s="436"/>
      <c r="J1911" s="465">
        <v>0</v>
      </c>
      <c r="K1911" s="467">
        <v>0</v>
      </c>
    </row>
    <row r="1912" spans="2:11" ht="19" customHeight="1">
      <c r="B1912" s="464">
        <v>46059</v>
      </c>
      <c r="C1912" s="436" t="s">
        <v>258</v>
      </c>
      <c r="D1912" s="436" t="s">
        <v>882</v>
      </c>
      <c r="E1912" s="436">
        <v>2</v>
      </c>
      <c r="F1912" s="469"/>
      <c r="G1912" s="468" t="s">
        <v>875</v>
      </c>
      <c r="H1912" s="466" t="e">
        <f>G1912/1.1</f>
        <v>#VALUE!</v>
      </c>
      <c r="I1912" s="436"/>
      <c r="J1912" s="465">
        <v>0</v>
      </c>
      <c r="K1912" s="467">
        <v>0</v>
      </c>
    </row>
    <row r="1913" spans="2:11" ht="19" customHeight="1">
      <c r="B1913" s="464">
        <v>46059</v>
      </c>
      <c r="C1913" s="436" t="s">
        <v>258</v>
      </c>
      <c r="D1913" s="436" t="s">
        <v>972</v>
      </c>
      <c r="E1913" s="436">
        <v>1</v>
      </c>
      <c r="F1913" s="469"/>
      <c r="G1913" s="468" t="s">
        <v>875</v>
      </c>
      <c r="H1913" s="466" t="e">
        <f>G1913/1.1</f>
        <v>#VALUE!</v>
      </c>
      <c r="I1913" s="436"/>
      <c r="J1913" s="465">
        <v>0</v>
      </c>
      <c r="K1913" s="467">
        <v>0</v>
      </c>
    </row>
    <row r="1914" spans="2:11" ht="19" customHeight="1">
      <c r="B1914" s="464">
        <v>46060</v>
      </c>
      <c r="C1914" s="436" t="s">
        <v>327</v>
      </c>
      <c r="D1914" s="436" t="s">
        <v>723</v>
      </c>
      <c r="E1914" s="436">
        <v>1</v>
      </c>
      <c r="F1914" s="465">
        <v>3.1</v>
      </c>
      <c r="G1914" s="466">
        <v>3.1</v>
      </c>
      <c r="H1914" s="466">
        <f>G1914/1.1</f>
        <v>2.8181818181818179</v>
      </c>
      <c r="I1914" s="436"/>
      <c r="J1914" s="465">
        <v>0</v>
      </c>
      <c r="K1914" s="465">
        <v>0</v>
      </c>
    </row>
    <row r="1915" spans="2:11" ht="19" customHeight="1">
      <c r="B1915" s="464">
        <v>46060</v>
      </c>
      <c r="C1915" s="436" t="s">
        <v>862</v>
      </c>
      <c r="D1915" s="436" t="s">
        <v>865</v>
      </c>
      <c r="E1915" s="436">
        <v>1</v>
      </c>
      <c r="F1915" s="465">
        <v>0.05</v>
      </c>
      <c r="G1915" s="466">
        <v>0.05</v>
      </c>
      <c r="H1915" s="466">
        <f>G1915/1.1</f>
        <v>4.5454545454545456E-2</v>
      </c>
      <c r="I1915" s="436"/>
      <c r="J1915" s="465">
        <v>0</v>
      </c>
      <c r="K1915" s="465">
        <v>0</v>
      </c>
    </row>
    <row r="1916" spans="2:11" ht="19" customHeight="1">
      <c r="B1916" s="464">
        <v>46060</v>
      </c>
      <c r="C1916" s="436" t="s">
        <v>247</v>
      </c>
      <c r="D1916" s="436" t="s">
        <v>246</v>
      </c>
      <c r="E1916" s="436">
        <v>2</v>
      </c>
      <c r="F1916" s="465">
        <v>1.7</v>
      </c>
      <c r="G1916" s="466">
        <v>3.4</v>
      </c>
      <c r="H1916" s="466">
        <f>G1916/1.1</f>
        <v>3.0909090909090904</v>
      </c>
      <c r="I1916" s="436"/>
      <c r="J1916" s="465">
        <v>0</v>
      </c>
      <c r="K1916" s="465">
        <v>0</v>
      </c>
    </row>
    <row r="1917" spans="2:11" ht="19" customHeight="1">
      <c r="B1917" s="464">
        <v>46060</v>
      </c>
      <c r="C1917" s="436" t="s">
        <v>247</v>
      </c>
      <c r="D1917" s="436" t="s">
        <v>257</v>
      </c>
      <c r="E1917" s="436">
        <v>1</v>
      </c>
      <c r="F1917" s="465">
        <v>1.4</v>
      </c>
      <c r="G1917" s="466">
        <v>1.4</v>
      </c>
      <c r="H1917" s="466">
        <f>G1917/1.1</f>
        <v>1.2727272727272725</v>
      </c>
      <c r="I1917" s="436"/>
      <c r="J1917" s="465">
        <v>0</v>
      </c>
      <c r="K1917" s="465">
        <v>0</v>
      </c>
    </row>
    <row r="1918" spans="2:11" ht="19" customHeight="1">
      <c r="B1918" s="464">
        <v>46060</v>
      </c>
      <c r="C1918" s="436" t="s">
        <v>268</v>
      </c>
      <c r="D1918" s="436" t="s">
        <v>860</v>
      </c>
      <c r="E1918" s="436">
        <v>1</v>
      </c>
      <c r="F1918" s="465">
        <v>2.25</v>
      </c>
      <c r="G1918" s="466">
        <v>2.25</v>
      </c>
      <c r="H1918" s="466">
        <f>G1918/1.1</f>
        <v>2.0454545454545454</v>
      </c>
      <c r="I1918" s="436"/>
      <c r="J1918" s="465">
        <v>0</v>
      </c>
      <c r="K1918" s="465">
        <v>0</v>
      </c>
    </row>
    <row r="1919" spans="2:11" ht="19" customHeight="1">
      <c r="B1919" s="464">
        <v>46060</v>
      </c>
      <c r="C1919" s="436" t="s">
        <v>247</v>
      </c>
      <c r="D1919" s="436" t="s">
        <v>246</v>
      </c>
      <c r="E1919" s="436">
        <v>1</v>
      </c>
      <c r="F1919" s="465">
        <v>1.7</v>
      </c>
      <c r="G1919" s="466">
        <v>1.7</v>
      </c>
      <c r="H1919" s="466">
        <f>G1919/1.1</f>
        <v>1.5454545454545452</v>
      </c>
      <c r="I1919" s="436"/>
      <c r="J1919" s="465">
        <v>0</v>
      </c>
      <c r="K1919" s="465">
        <v>0</v>
      </c>
    </row>
    <row r="1920" spans="2:11" ht="19" customHeight="1">
      <c r="B1920" s="464">
        <v>46060</v>
      </c>
      <c r="C1920" s="436" t="s">
        <v>247</v>
      </c>
      <c r="D1920" s="436" t="s">
        <v>248</v>
      </c>
      <c r="E1920" s="436">
        <v>1</v>
      </c>
      <c r="F1920" s="465">
        <v>1.5</v>
      </c>
      <c r="G1920" s="466">
        <v>1.5</v>
      </c>
      <c r="H1920" s="466">
        <f>G1920/1.1</f>
        <v>1.3636363636363635</v>
      </c>
      <c r="I1920" s="436"/>
      <c r="J1920" s="465">
        <v>0</v>
      </c>
      <c r="K1920" s="465">
        <v>0</v>
      </c>
    </row>
    <row r="1921" spans="2:11" ht="19" customHeight="1">
      <c r="B1921" s="464">
        <v>46060</v>
      </c>
      <c r="C1921" s="436" t="s">
        <v>862</v>
      </c>
      <c r="D1921" s="436" t="s">
        <v>899</v>
      </c>
      <c r="E1921" s="436">
        <v>1</v>
      </c>
      <c r="F1921" s="465">
        <v>0.05</v>
      </c>
      <c r="G1921" s="466">
        <v>0.05</v>
      </c>
      <c r="H1921" s="466">
        <f>G1921/1.1</f>
        <v>4.5454545454545456E-2</v>
      </c>
      <c r="I1921" s="436"/>
      <c r="J1921" s="465">
        <v>0</v>
      </c>
      <c r="K1921" s="465">
        <v>0</v>
      </c>
    </row>
    <row r="1922" spans="2:11" ht="19" customHeight="1">
      <c r="B1922" s="464">
        <v>46060</v>
      </c>
      <c r="C1922" s="436" t="s">
        <v>247</v>
      </c>
      <c r="D1922" s="436" t="s">
        <v>257</v>
      </c>
      <c r="E1922" s="436">
        <v>1</v>
      </c>
      <c r="F1922" s="465">
        <v>1.4</v>
      </c>
      <c r="G1922" s="466">
        <v>1.4</v>
      </c>
      <c r="H1922" s="466">
        <f>G1922/1.1</f>
        <v>1.2727272727272725</v>
      </c>
      <c r="I1922" s="436"/>
      <c r="J1922" s="465">
        <v>0</v>
      </c>
      <c r="K1922" s="465">
        <v>0</v>
      </c>
    </row>
    <row r="1923" spans="2:11" ht="19" customHeight="1">
      <c r="B1923" s="464">
        <v>46060</v>
      </c>
      <c r="C1923" s="436" t="s">
        <v>327</v>
      </c>
      <c r="D1923" s="436" t="s">
        <v>723</v>
      </c>
      <c r="E1923" s="436">
        <v>1</v>
      </c>
      <c r="F1923" s="465">
        <v>3.1</v>
      </c>
      <c r="G1923" s="466">
        <v>3.1</v>
      </c>
      <c r="H1923" s="466">
        <f>G1923/1.1</f>
        <v>2.8181818181818179</v>
      </c>
      <c r="I1923" s="436"/>
      <c r="J1923" s="465">
        <v>0</v>
      </c>
      <c r="K1923" s="465">
        <v>0</v>
      </c>
    </row>
    <row r="1924" spans="2:11" ht="19" customHeight="1">
      <c r="B1924" s="464">
        <v>46060</v>
      </c>
      <c r="C1924" s="436" t="s">
        <v>862</v>
      </c>
      <c r="D1924" s="436" t="s">
        <v>865</v>
      </c>
      <c r="E1924" s="436">
        <v>1</v>
      </c>
      <c r="F1924" s="465">
        <v>0.05</v>
      </c>
      <c r="G1924" s="466">
        <v>0.05</v>
      </c>
      <c r="H1924" s="466">
        <f>G1924/1.1</f>
        <v>4.5454545454545456E-2</v>
      </c>
      <c r="I1924" s="436"/>
      <c r="J1924" s="465">
        <v>0</v>
      </c>
      <c r="K1924" s="465">
        <v>0</v>
      </c>
    </row>
    <row r="1925" spans="2:11" ht="19" customHeight="1">
      <c r="B1925" s="464">
        <v>46060</v>
      </c>
      <c r="C1925" s="436" t="s">
        <v>268</v>
      </c>
      <c r="D1925" s="436" t="s">
        <v>858</v>
      </c>
      <c r="E1925" s="436">
        <v>2</v>
      </c>
      <c r="F1925" s="465">
        <v>0.65</v>
      </c>
      <c r="G1925" s="466">
        <v>1.3</v>
      </c>
      <c r="H1925" s="466">
        <f>G1925/1.1</f>
        <v>1.1818181818181817</v>
      </c>
      <c r="I1925" s="436"/>
      <c r="J1925" s="465">
        <v>0</v>
      </c>
      <c r="K1925" s="465">
        <v>0</v>
      </c>
    </row>
    <row r="1926" spans="2:11" ht="19" customHeight="1">
      <c r="B1926" s="464">
        <v>46060</v>
      </c>
      <c r="C1926" s="436" t="s">
        <v>247</v>
      </c>
      <c r="D1926" s="436" t="s">
        <v>257</v>
      </c>
      <c r="E1926" s="436">
        <v>1</v>
      </c>
      <c r="F1926" s="465">
        <v>1.4</v>
      </c>
      <c r="G1926" s="466">
        <v>1.4</v>
      </c>
      <c r="H1926" s="466">
        <f>G1926/1.1</f>
        <v>1.2727272727272725</v>
      </c>
      <c r="I1926" s="436"/>
      <c r="J1926" s="465">
        <v>0</v>
      </c>
      <c r="K1926" s="465">
        <v>0</v>
      </c>
    </row>
    <row r="1927" spans="2:11" ht="19" customHeight="1">
      <c r="B1927" s="464">
        <v>46060</v>
      </c>
      <c r="C1927" s="436" t="s">
        <v>247</v>
      </c>
      <c r="D1927" s="436" t="s">
        <v>246</v>
      </c>
      <c r="E1927" s="436">
        <v>1</v>
      </c>
      <c r="F1927" s="465">
        <v>1.7</v>
      </c>
      <c r="G1927" s="466">
        <v>1.7</v>
      </c>
      <c r="H1927" s="466">
        <f>G1927/1.1</f>
        <v>1.5454545454545452</v>
      </c>
      <c r="I1927" s="436"/>
      <c r="J1927" s="465">
        <v>0</v>
      </c>
      <c r="K1927" s="465">
        <v>0</v>
      </c>
    </row>
    <row r="1928" spans="2:11" ht="19" customHeight="1">
      <c r="B1928" s="464">
        <v>46060</v>
      </c>
      <c r="C1928" s="436" t="s">
        <v>247</v>
      </c>
      <c r="D1928" s="436" t="s">
        <v>246</v>
      </c>
      <c r="E1928" s="436">
        <v>2</v>
      </c>
      <c r="F1928" s="465">
        <v>1.7</v>
      </c>
      <c r="G1928" s="466">
        <v>3.4</v>
      </c>
      <c r="H1928" s="466">
        <f>G1928/1.1</f>
        <v>3.0909090909090904</v>
      </c>
      <c r="I1928" s="436"/>
      <c r="J1928" s="465">
        <v>0</v>
      </c>
      <c r="K1928" s="465">
        <v>0</v>
      </c>
    </row>
    <row r="1929" spans="2:11" ht="19" customHeight="1">
      <c r="B1929" s="464">
        <v>46060</v>
      </c>
      <c r="C1929" s="436" t="s">
        <v>894</v>
      </c>
      <c r="D1929" s="436" t="s">
        <v>814</v>
      </c>
      <c r="E1929" s="436">
        <v>1</v>
      </c>
      <c r="F1929" s="465">
        <v>5.4</v>
      </c>
      <c r="G1929" s="466">
        <v>5.4</v>
      </c>
      <c r="H1929" s="466">
        <f>G1929/1.1</f>
        <v>4.9090909090909092</v>
      </c>
      <c r="I1929" s="436"/>
      <c r="J1929" s="465">
        <v>0</v>
      </c>
      <c r="K1929" s="465">
        <v>0</v>
      </c>
    </row>
    <row r="1930" spans="2:11" ht="19" customHeight="1">
      <c r="B1930" s="464">
        <v>46060</v>
      </c>
      <c r="C1930" s="436" t="s">
        <v>247</v>
      </c>
      <c r="D1930" s="436" t="s">
        <v>248</v>
      </c>
      <c r="E1930" s="436">
        <v>2</v>
      </c>
      <c r="F1930" s="465">
        <v>1.5</v>
      </c>
      <c r="G1930" s="466">
        <v>3</v>
      </c>
      <c r="H1930" s="466">
        <f>G1930/1.1</f>
        <v>2.7272727272727271</v>
      </c>
      <c r="I1930" s="436"/>
      <c r="J1930" s="465">
        <v>0</v>
      </c>
      <c r="K1930" s="465">
        <v>0</v>
      </c>
    </row>
    <row r="1931" spans="2:11" ht="19" customHeight="1">
      <c r="B1931" s="464">
        <v>46060</v>
      </c>
      <c r="C1931" s="436" t="s">
        <v>247</v>
      </c>
      <c r="D1931" s="436" t="s">
        <v>257</v>
      </c>
      <c r="E1931" s="436">
        <v>1</v>
      </c>
      <c r="F1931" s="465">
        <v>1.55</v>
      </c>
      <c r="G1931" s="466">
        <v>1.55</v>
      </c>
      <c r="H1931" s="466">
        <f>G1931/1.1</f>
        <v>1.4090909090909089</v>
      </c>
      <c r="I1931" s="436"/>
      <c r="J1931" s="465">
        <v>0</v>
      </c>
      <c r="K1931" s="465">
        <v>0</v>
      </c>
    </row>
    <row r="1932" spans="2:11" ht="19" customHeight="1">
      <c r="B1932" s="464">
        <v>46060</v>
      </c>
      <c r="C1932" s="436" t="s">
        <v>327</v>
      </c>
      <c r="D1932" s="436" t="s">
        <v>1090</v>
      </c>
      <c r="E1932" s="436">
        <v>1</v>
      </c>
      <c r="F1932" s="465">
        <v>5.0999999999999996</v>
      </c>
      <c r="G1932" s="466">
        <v>5.0999999999999996</v>
      </c>
      <c r="H1932" s="466">
        <f>G1932/1.1</f>
        <v>4.6363636363636358</v>
      </c>
      <c r="I1932" s="436"/>
      <c r="J1932" s="465">
        <v>0</v>
      </c>
      <c r="K1932" s="465">
        <v>0</v>
      </c>
    </row>
    <row r="1933" spans="2:11" ht="19" customHeight="1">
      <c r="B1933" s="464">
        <v>46060</v>
      </c>
      <c r="C1933" s="436" t="s">
        <v>247</v>
      </c>
      <c r="D1933" s="436" t="s">
        <v>246</v>
      </c>
      <c r="E1933" s="436">
        <v>1</v>
      </c>
      <c r="F1933" s="465">
        <v>1.7</v>
      </c>
      <c r="G1933" s="466">
        <v>1.7</v>
      </c>
      <c r="H1933" s="466">
        <f>G1933/1.1</f>
        <v>1.5454545454545452</v>
      </c>
      <c r="I1933" s="436"/>
      <c r="J1933" s="465">
        <v>0</v>
      </c>
      <c r="K1933" s="465">
        <v>0</v>
      </c>
    </row>
    <row r="1934" spans="2:11" ht="19" customHeight="1">
      <c r="B1934" s="464">
        <v>46060</v>
      </c>
      <c r="C1934" s="436" t="s">
        <v>247</v>
      </c>
      <c r="D1934" s="436" t="s">
        <v>248</v>
      </c>
      <c r="E1934" s="436">
        <v>1</v>
      </c>
      <c r="F1934" s="465">
        <v>1.5</v>
      </c>
      <c r="G1934" s="466">
        <v>1.5</v>
      </c>
      <c r="H1934" s="466">
        <f>G1934/1.1</f>
        <v>1.3636363636363635</v>
      </c>
      <c r="I1934" s="436"/>
      <c r="J1934" s="465">
        <v>0</v>
      </c>
      <c r="K1934" s="465">
        <v>0</v>
      </c>
    </row>
    <row r="1935" spans="2:11" ht="19" customHeight="1">
      <c r="B1935" s="464">
        <v>46060</v>
      </c>
      <c r="C1935" s="436" t="s">
        <v>247</v>
      </c>
      <c r="D1935" s="436" t="s">
        <v>246</v>
      </c>
      <c r="E1935" s="436">
        <v>1</v>
      </c>
      <c r="F1935" s="465">
        <v>1.7</v>
      </c>
      <c r="G1935" s="466">
        <v>1.7</v>
      </c>
      <c r="H1935" s="466">
        <f>G1935/1.1</f>
        <v>1.5454545454545452</v>
      </c>
      <c r="I1935" s="436"/>
      <c r="J1935" s="465">
        <v>0</v>
      </c>
      <c r="K1935" s="465">
        <v>0</v>
      </c>
    </row>
    <row r="1936" spans="2:11" ht="19" customHeight="1">
      <c r="B1936" s="464">
        <v>46060</v>
      </c>
      <c r="C1936" s="436" t="s">
        <v>247</v>
      </c>
      <c r="D1936" s="436" t="s">
        <v>248</v>
      </c>
      <c r="E1936" s="436">
        <v>1</v>
      </c>
      <c r="F1936" s="465">
        <v>1.5</v>
      </c>
      <c r="G1936" s="466">
        <v>1.5</v>
      </c>
      <c r="H1936" s="466">
        <f>G1936/1.1</f>
        <v>1.3636363636363635</v>
      </c>
      <c r="I1936" s="436"/>
      <c r="J1936" s="465">
        <v>0</v>
      </c>
      <c r="K1936" s="465">
        <v>0</v>
      </c>
    </row>
    <row r="1937" spans="2:11" ht="19" customHeight="1">
      <c r="B1937" s="464">
        <v>46060</v>
      </c>
      <c r="C1937" s="436" t="s">
        <v>247</v>
      </c>
      <c r="D1937" s="436" t="s">
        <v>902</v>
      </c>
      <c r="E1937" s="436">
        <v>1</v>
      </c>
      <c r="F1937" s="465">
        <v>1.95</v>
      </c>
      <c r="G1937" s="466">
        <v>1.95</v>
      </c>
      <c r="H1937" s="466">
        <f>G1937/1.1</f>
        <v>1.7727272727272725</v>
      </c>
      <c r="I1937" s="436"/>
      <c r="J1937" s="465">
        <v>0</v>
      </c>
      <c r="K1937" s="465">
        <v>0</v>
      </c>
    </row>
    <row r="1938" spans="2:11" ht="19" customHeight="1">
      <c r="B1938" s="464">
        <v>46060</v>
      </c>
      <c r="C1938" s="436" t="s">
        <v>327</v>
      </c>
      <c r="D1938" s="436" t="s">
        <v>723</v>
      </c>
      <c r="E1938" s="436">
        <v>1</v>
      </c>
      <c r="F1938" s="465">
        <v>3.1</v>
      </c>
      <c r="G1938" s="466">
        <v>3.1</v>
      </c>
      <c r="H1938" s="466">
        <f>G1938/1.1</f>
        <v>2.8181818181818179</v>
      </c>
      <c r="I1938" s="436"/>
      <c r="J1938" s="465">
        <v>0</v>
      </c>
      <c r="K1938" s="465">
        <v>0</v>
      </c>
    </row>
    <row r="1939" spans="2:11" ht="19" customHeight="1">
      <c r="B1939" s="464">
        <v>46060</v>
      </c>
      <c r="C1939" s="436" t="s">
        <v>894</v>
      </c>
      <c r="D1939" s="436" t="s">
        <v>1091</v>
      </c>
      <c r="E1939" s="436">
        <v>1</v>
      </c>
      <c r="F1939" s="465">
        <v>6.1</v>
      </c>
      <c r="G1939" s="466">
        <v>6.1</v>
      </c>
      <c r="H1939" s="466">
        <f>G1939/1.1</f>
        <v>5.545454545454545</v>
      </c>
      <c r="I1939" s="436"/>
      <c r="J1939" s="465">
        <v>0</v>
      </c>
      <c r="K1939" s="465">
        <v>0</v>
      </c>
    </row>
    <row r="1940" spans="2:11" ht="19" customHeight="1">
      <c r="B1940" s="464">
        <v>46061</v>
      </c>
      <c r="C1940" s="436" t="s">
        <v>725</v>
      </c>
      <c r="D1940" s="436" t="s">
        <v>1092</v>
      </c>
      <c r="E1940" s="436">
        <v>1</v>
      </c>
      <c r="F1940" s="465">
        <v>2.9</v>
      </c>
      <c r="G1940" s="466">
        <v>2.9</v>
      </c>
      <c r="H1940" s="466">
        <f>G1940/1.1</f>
        <v>2.6363636363636362</v>
      </c>
      <c r="I1940" s="436"/>
      <c r="J1940" s="465">
        <v>0</v>
      </c>
      <c r="K1940" s="465">
        <v>0</v>
      </c>
    </row>
    <row r="1941" spans="2:11" ht="19" customHeight="1">
      <c r="B1941" s="464">
        <v>46061</v>
      </c>
      <c r="C1941" s="436" t="s">
        <v>247</v>
      </c>
      <c r="D1941" s="436" t="s">
        <v>710</v>
      </c>
      <c r="E1941" s="436">
        <v>1</v>
      </c>
      <c r="F1941" s="465">
        <v>2.65</v>
      </c>
      <c r="G1941" s="466">
        <v>2.65</v>
      </c>
      <c r="H1941" s="466">
        <f>G1941/1.1</f>
        <v>2.4090909090909087</v>
      </c>
      <c r="I1941" s="436"/>
      <c r="J1941" s="465">
        <v>0</v>
      </c>
      <c r="K1941" s="465">
        <v>0</v>
      </c>
    </row>
    <row r="1942" spans="2:11" ht="19" customHeight="1">
      <c r="B1942" s="464">
        <v>46061</v>
      </c>
      <c r="C1942" s="436" t="s">
        <v>251</v>
      </c>
      <c r="D1942" s="436" t="s">
        <v>890</v>
      </c>
      <c r="E1942" s="436">
        <v>1</v>
      </c>
      <c r="F1942" s="465">
        <v>2.65</v>
      </c>
      <c r="G1942" s="466">
        <v>2.65</v>
      </c>
      <c r="H1942" s="466">
        <f>G1942/1.1</f>
        <v>2.4090909090909087</v>
      </c>
      <c r="I1942" s="436"/>
      <c r="J1942" s="465">
        <v>0</v>
      </c>
      <c r="K1942" s="465">
        <v>0</v>
      </c>
    </row>
    <row r="1943" spans="2:11" ht="19" customHeight="1">
      <c r="B1943" s="464">
        <v>46061</v>
      </c>
      <c r="C1943" s="436" t="s">
        <v>247</v>
      </c>
      <c r="D1943" s="436" t="s">
        <v>843</v>
      </c>
      <c r="E1943" s="436">
        <v>1</v>
      </c>
      <c r="F1943" s="465">
        <v>3.6</v>
      </c>
      <c r="G1943" s="466">
        <v>3.6</v>
      </c>
      <c r="H1943" s="466">
        <f>G1943/1.1</f>
        <v>3.2727272727272725</v>
      </c>
      <c r="I1943" s="436"/>
      <c r="J1943" s="465">
        <v>0</v>
      </c>
      <c r="K1943" s="465">
        <v>0</v>
      </c>
    </row>
    <row r="1944" spans="2:11" ht="19" customHeight="1">
      <c r="B1944" s="464">
        <v>46061</v>
      </c>
      <c r="C1944" s="436" t="s">
        <v>264</v>
      </c>
      <c r="D1944" s="436" t="s">
        <v>981</v>
      </c>
      <c r="E1944" s="436">
        <v>1</v>
      </c>
      <c r="F1944" s="465">
        <v>0.3</v>
      </c>
      <c r="G1944" s="466">
        <v>0.3</v>
      </c>
      <c r="H1944" s="466">
        <f>G1944/1.1</f>
        <v>0.27272727272727271</v>
      </c>
      <c r="I1944" s="436"/>
      <c r="J1944" s="465">
        <v>0</v>
      </c>
      <c r="K1944" s="465">
        <v>0</v>
      </c>
    </row>
    <row r="1945" spans="2:11" ht="19" customHeight="1">
      <c r="B1945" s="464">
        <v>46061</v>
      </c>
      <c r="C1945" s="436" t="s">
        <v>328</v>
      </c>
      <c r="D1945" s="436" t="s">
        <v>769</v>
      </c>
      <c r="E1945" s="436">
        <v>1</v>
      </c>
      <c r="F1945" s="465">
        <v>5.4</v>
      </c>
      <c r="G1945" s="466">
        <v>5.4</v>
      </c>
      <c r="H1945" s="466">
        <f>G1945/1.1</f>
        <v>4.9090909090909092</v>
      </c>
      <c r="I1945" s="436"/>
      <c r="J1945" s="465">
        <v>0</v>
      </c>
      <c r="K1945" s="465">
        <v>0</v>
      </c>
    </row>
    <row r="1946" spans="2:11" ht="19" customHeight="1">
      <c r="B1946" s="464">
        <v>46061</v>
      </c>
      <c r="C1946" s="436" t="s">
        <v>268</v>
      </c>
      <c r="D1946" s="436" t="s">
        <v>267</v>
      </c>
      <c r="E1946" s="436">
        <v>1</v>
      </c>
      <c r="F1946" s="465">
        <v>1.5</v>
      </c>
      <c r="G1946" s="466">
        <v>1.5</v>
      </c>
      <c r="H1946" s="466">
        <f>G1946/1.1</f>
        <v>1.3636363636363635</v>
      </c>
      <c r="I1946" s="436"/>
      <c r="J1946" s="465">
        <v>0</v>
      </c>
      <c r="K1946" s="465">
        <v>0</v>
      </c>
    </row>
    <row r="1947" spans="2:11" ht="19" customHeight="1">
      <c r="B1947" s="464">
        <v>46061</v>
      </c>
      <c r="C1947" s="436" t="s">
        <v>247</v>
      </c>
      <c r="D1947" s="436" t="s">
        <v>248</v>
      </c>
      <c r="E1947" s="436">
        <v>2</v>
      </c>
      <c r="F1947" s="465">
        <v>1.5</v>
      </c>
      <c r="G1947" s="466">
        <v>3</v>
      </c>
      <c r="H1947" s="466">
        <f>G1947/1.1</f>
        <v>2.7272727272727271</v>
      </c>
      <c r="I1947" s="436"/>
      <c r="J1947" s="465">
        <v>0</v>
      </c>
      <c r="K1947" s="465">
        <v>0</v>
      </c>
    </row>
    <row r="1948" spans="2:11" ht="19" customHeight="1">
      <c r="B1948" s="464">
        <v>46061</v>
      </c>
      <c r="C1948" s="436" t="s">
        <v>268</v>
      </c>
      <c r="D1948" s="436" t="s">
        <v>858</v>
      </c>
      <c r="E1948" s="436">
        <v>1</v>
      </c>
      <c r="F1948" s="465">
        <v>0.65</v>
      </c>
      <c r="G1948" s="466">
        <v>0.65</v>
      </c>
      <c r="H1948" s="466">
        <f>G1948/1.1</f>
        <v>0.59090909090909083</v>
      </c>
      <c r="I1948" s="436"/>
      <c r="J1948" s="465">
        <v>0</v>
      </c>
      <c r="K1948" s="465">
        <v>0</v>
      </c>
    </row>
    <row r="1949" spans="2:11" ht="19" customHeight="1">
      <c r="B1949" s="464">
        <v>46061</v>
      </c>
      <c r="C1949" s="436" t="s">
        <v>247</v>
      </c>
      <c r="D1949" s="436" t="s">
        <v>246</v>
      </c>
      <c r="E1949" s="436">
        <v>1</v>
      </c>
      <c r="F1949" s="465">
        <v>1.7</v>
      </c>
      <c r="G1949" s="466">
        <v>1.7</v>
      </c>
      <c r="H1949" s="466">
        <f>G1949/1.1</f>
        <v>1.5454545454545452</v>
      </c>
      <c r="I1949" s="436"/>
      <c r="J1949" s="465">
        <v>0</v>
      </c>
      <c r="K1949" s="465">
        <v>0</v>
      </c>
    </row>
    <row r="1950" spans="2:11" ht="19" customHeight="1">
      <c r="B1950" s="464">
        <v>46061</v>
      </c>
      <c r="C1950" s="436" t="s">
        <v>247</v>
      </c>
      <c r="D1950" s="436" t="s">
        <v>257</v>
      </c>
      <c r="E1950" s="436">
        <v>1</v>
      </c>
      <c r="F1950" s="465">
        <v>1.4</v>
      </c>
      <c r="G1950" s="466">
        <v>1.4</v>
      </c>
      <c r="H1950" s="466">
        <f>G1950/1.1</f>
        <v>1.2727272727272725</v>
      </c>
      <c r="I1950" s="436"/>
      <c r="J1950" s="465">
        <v>0</v>
      </c>
      <c r="K1950" s="465">
        <v>0</v>
      </c>
    </row>
    <row r="1951" spans="2:11" ht="19" customHeight="1">
      <c r="B1951" s="464">
        <v>46061</v>
      </c>
      <c r="C1951" s="436" t="s">
        <v>253</v>
      </c>
      <c r="D1951" s="436" t="s">
        <v>969</v>
      </c>
      <c r="E1951" s="436">
        <v>1</v>
      </c>
      <c r="F1951" s="465">
        <v>3.35</v>
      </c>
      <c r="G1951" s="466">
        <v>3.35</v>
      </c>
      <c r="H1951" s="466">
        <f>G1951/1.1</f>
        <v>3.0454545454545454</v>
      </c>
      <c r="I1951" s="436"/>
      <c r="J1951" s="465">
        <v>0</v>
      </c>
      <c r="K1951" s="465">
        <v>0</v>
      </c>
    </row>
    <row r="1952" spans="2:11" ht="19" customHeight="1">
      <c r="B1952" s="464">
        <v>46061</v>
      </c>
      <c r="C1952" s="436" t="s">
        <v>247</v>
      </c>
      <c r="D1952" s="436" t="s">
        <v>855</v>
      </c>
      <c r="E1952" s="436">
        <v>2</v>
      </c>
      <c r="F1952" s="465">
        <v>2.5499999999999998</v>
      </c>
      <c r="G1952" s="466">
        <v>5.0999999999999996</v>
      </c>
      <c r="H1952" s="466">
        <f>G1952/1.1</f>
        <v>4.6363636363636358</v>
      </c>
      <c r="I1952" s="436"/>
      <c r="J1952" s="465">
        <v>0</v>
      </c>
      <c r="K1952" s="465">
        <v>0</v>
      </c>
    </row>
    <row r="1953" spans="2:11" ht="19" customHeight="1">
      <c r="B1953" s="464">
        <v>46061</v>
      </c>
      <c r="C1953" s="436" t="s">
        <v>247</v>
      </c>
      <c r="D1953" s="436" t="s">
        <v>246</v>
      </c>
      <c r="E1953" s="436">
        <v>2</v>
      </c>
      <c r="F1953" s="465">
        <v>1.7</v>
      </c>
      <c r="G1953" s="466">
        <v>3.4</v>
      </c>
      <c r="H1953" s="466">
        <f>G1953/1.1</f>
        <v>3.0909090909090904</v>
      </c>
      <c r="I1953" s="436"/>
      <c r="J1953" s="465">
        <v>0</v>
      </c>
      <c r="K1953" s="465">
        <v>0</v>
      </c>
    </row>
    <row r="1954" spans="2:11" ht="19" customHeight="1">
      <c r="B1954" s="464">
        <v>46061</v>
      </c>
      <c r="C1954" s="436" t="s">
        <v>862</v>
      </c>
      <c r="D1954" s="436" t="s">
        <v>899</v>
      </c>
      <c r="E1954" s="436">
        <v>2</v>
      </c>
      <c r="F1954" s="465">
        <v>0.05</v>
      </c>
      <c r="G1954" s="466">
        <v>0.1</v>
      </c>
      <c r="H1954" s="466">
        <f>G1954/1.1</f>
        <v>9.0909090909090912E-2</v>
      </c>
      <c r="I1954" s="436"/>
      <c r="J1954" s="465">
        <v>0</v>
      </c>
      <c r="K1954" s="465">
        <v>0</v>
      </c>
    </row>
    <row r="1955" spans="2:11" ht="19" customHeight="1">
      <c r="B1955" s="464">
        <v>46061</v>
      </c>
      <c r="C1955" s="436" t="s">
        <v>955</v>
      </c>
      <c r="D1955" s="436" t="s">
        <v>956</v>
      </c>
      <c r="E1955" s="436">
        <v>1</v>
      </c>
      <c r="F1955" s="465">
        <v>3.25</v>
      </c>
      <c r="G1955" s="466">
        <v>3.25</v>
      </c>
      <c r="H1955" s="466">
        <f>G1955/1.1</f>
        <v>2.9545454545454541</v>
      </c>
      <c r="I1955" s="436"/>
      <c r="J1955" s="465">
        <v>0</v>
      </c>
      <c r="K1955" s="465">
        <v>0</v>
      </c>
    </row>
    <row r="1956" spans="2:11" ht="19" customHeight="1">
      <c r="B1956" s="464">
        <v>46061</v>
      </c>
      <c r="C1956" s="436" t="s">
        <v>328</v>
      </c>
      <c r="D1956" s="436" t="s">
        <v>769</v>
      </c>
      <c r="E1956" s="436">
        <v>1</v>
      </c>
      <c r="F1956" s="465">
        <v>5.4</v>
      </c>
      <c r="G1956" s="466">
        <v>5.4</v>
      </c>
      <c r="H1956" s="466">
        <f>G1956/1.1</f>
        <v>4.9090909090909092</v>
      </c>
      <c r="I1956" s="436"/>
      <c r="J1956" s="465">
        <v>0</v>
      </c>
      <c r="K1956" s="465">
        <v>0</v>
      </c>
    </row>
    <row r="1957" spans="2:11" ht="19" customHeight="1">
      <c r="B1957" s="464">
        <v>46061</v>
      </c>
      <c r="C1957" s="436" t="s">
        <v>247</v>
      </c>
      <c r="D1957" s="436" t="s">
        <v>248</v>
      </c>
      <c r="E1957" s="436">
        <v>1</v>
      </c>
      <c r="F1957" s="465">
        <v>1.5</v>
      </c>
      <c r="G1957" s="466">
        <v>1.5</v>
      </c>
      <c r="H1957" s="466">
        <f>G1957/1.1</f>
        <v>1.3636363636363635</v>
      </c>
      <c r="I1957" s="436"/>
      <c r="J1957" s="465">
        <v>0</v>
      </c>
      <c r="K1957" s="465">
        <v>0</v>
      </c>
    </row>
    <row r="1958" spans="2:11" ht="19" customHeight="1">
      <c r="B1958" s="464">
        <v>46061</v>
      </c>
      <c r="C1958" s="436" t="s">
        <v>247</v>
      </c>
      <c r="D1958" s="436" t="s">
        <v>248</v>
      </c>
      <c r="E1958" s="436">
        <v>1</v>
      </c>
      <c r="F1958" s="465">
        <v>1.5</v>
      </c>
      <c r="G1958" s="466">
        <v>1.5</v>
      </c>
      <c r="H1958" s="466">
        <f>G1958/1.1</f>
        <v>1.3636363636363635</v>
      </c>
      <c r="I1958" s="436"/>
      <c r="J1958" s="465">
        <v>0</v>
      </c>
      <c r="K1958" s="465">
        <v>0</v>
      </c>
    </row>
    <row r="1959" spans="2:11" ht="19" customHeight="1">
      <c r="B1959" s="464">
        <v>46061</v>
      </c>
      <c r="C1959" s="436" t="s">
        <v>894</v>
      </c>
      <c r="D1959" s="436" t="s">
        <v>950</v>
      </c>
      <c r="E1959" s="436">
        <v>1</v>
      </c>
      <c r="F1959" s="465">
        <v>5.7</v>
      </c>
      <c r="G1959" s="466">
        <v>5.7</v>
      </c>
      <c r="H1959" s="466">
        <f>G1959/1.1</f>
        <v>5.1818181818181817</v>
      </c>
      <c r="I1959" s="436"/>
      <c r="J1959" s="465">
        <v>0</v>
      </c>
      <c r="K1959" s="465">
        <v>0</v>
      </c>
    </row>
    <row r="1960" spans="2:11" ht="19" customHeight="1">
      <c r="B1960" s="464">
        <v>46061</v>
      </c>
      <c r="C1960" s="436" t="s">
        <v>894</v>
      </c>
      <c r="D1960" s="436" t="s">
        <v>1001</v>
      </c>
      <c r="E1960" s="436">
        <v>1</v>
      </c>
      <c r="F1960" s="465">
        <v>5.7</v>
      </c>
      <c r="G1960" s="466">
        <v>5.7</v>
      </c>
      <c r="H1960" s="466">
        <f>G1960/1.1</f>
        <v>5.1818181818181817</v>
      </c>
      <c r="I1960" s="436"/>
      <c r="J1960" s="465">
        <v>0</v>
      </c>
      <c r="K1960" s="465">
        <v>0</v>
      </c>
    </row>
    <row r="1961" spans="2:11" ht="19" customHeight="1">
      <c r="B1961" s="464">
        <v>46061</v>
      </c>
      <c r="C1961" s="436" t="s">
        <v>247</v>
      </c>
      <c r="D1961" s="436" t="s">
        <v>248</v>
      </c>
      <c r="E1961" s="436">
        <v>2</v>
      </c>
      <c r="F1961" s="465">
        <v>1.65</v>
      </c>
      <c r="G1961" s="466">
        <v>3.3</v>
      </c>
      <c r="H1961" s="466">
        <f>G1961/1.1</f>
        <v>2.9999999999999996</v>
      </c>
      <c r="I1961" s="436"/>
      <c r="J1961" s="465">
        <v>0</v>
      </c>
      <c r="K1961" s="465">
        <v>0</v>
      </c>
    </row>
    <row r="1962" spans="2:11" ht="19" customHeight="1">
      <c r="B1962" s="464">
        <v>46061</v>
      </c>
      <c r="C1962" s="436" t="s">
        <v>247</v>
      </c>
      <c r="D1962" s="436" t="s">
        <v>246</v>
      </c>
      <c r="E1962" s="436">
        <v>2</v>
      </c>
      <c r="F1962" s="465">
        <v>1.7</v>
      </c>
      <c r="G1962" s="466">
        <v>3.4</v>
      </c>
      <c r="H1962" s="466">
        <f>G1962/1.1</f>
        <v>3.0909090909090904</v>
      </c>
      <c r="I1962" s="436"/>
      <c r="J1962" s="465">
        <v>0</v>
      </c>
      <c r="K1962" s="465">
        <v>0</v>
      </c>
    </row>
    <row r="1963" spans="2:11" ht="19" customHeight="1">
      <c r="B1963" s="464">
        <v>46061</v>
      </c>
      <c r="C1963" s="436" t="s">
        <v>328</v>
      </c>
      <c r="D1963" s="436" t="s">
        <v>739</v>
      </c>
      <c r="E1963" s="436">
        <v>1</v>
      </c>
      <c r="F1963" s="465">
        <v>5.85</v>
      </c>
      <c r="G1963" s="466">
        <v>5.85</v>
      </c>
      <c r="H1963" s="466">
        <f>G1963/1.1</f>
        <v>5.3181818181818175</v>
      </c>
      <c r="I1963" s="436"/>
      <c r="J1963" s="465">
        <v>0</v>
      </c>
      <c r="K1963" s="465">
        <v>0</v>
      </c>
    </row>
    <row r="1964" spans="2:11" ht="19" customHeight="1">
      <c r="B1964" s="464">
        <v>46061</v>
      </c>
      <c r="C1964" s="436" t="s">
        <v>862</v>
      </c>
      <c r="D1964" s="436" t="s">
        <v>865</v>
      </c>
      <c r="E1964" s="436">
        <v>1</v>
      </c>
      <c r="F1964" s="465">
        <v>0.05</v>
      </c>
      <c r="G1964" s="466">
        <v>0.05</v>
      </c>
      <c r="H1964" s="466">
        <f>G1964/1.1</f>
        <v>4.5454545454545456E-2</v>
      </c>
      <c r="I1964" s="436"/>
      <c r="J1964" s="465">
        <v>0</v>
      </c>
      <c r="K1964" s="465">
        <v>0</v>
      </c>
    </row>
    <row r="1965" spans="2:11" ht="19" customHeight="1">
      <c r="B1965" s="464">
        <v>46061</v>
      </c>
      <c r="C1965" s="436" t="s">
        <v>268</v>
      </c>
      <c r="D1965" s="436" t="s">
        <v>858</v>
      </c>
      <c r="E1965" s="436">
        <v>2</v>
      </c>
      <c r="F1965" s="465">
        <v>0.65</v>
      </c>
      <c r="G1965" s="466">
        <v>1.3</v>
      </c>
      <c r="H1965" s="466">
        <f>G1965/1.1</f>
        <v>1.1818181818181817</v>
      </c>
      <c r="I1965" s="436"/>
      <c r="J1965" s="465">
        <v>0</v>
      </c>
      <c r="K1965" s="465">
        <v>0</v>
      </c>
    </row>
    <row r="1966" spans="2:11" ht="19" customHeight="1">
      <c r="B1966" s="464">
        <v>46061</v>
      </c>
      <c r="C1966" s="436" t="s">
        <v>247</v>
      </c>
      <c r="D1966" s="436" t="s">
        <v>248</v>
      </c>
      <c r="E1966" s="436">
        <v>1</v>
      </c>
      <c r="F1966" s="465">
        <v>1.5</v>
      </c>
      <c r="G1966" s="466">
        <v>1.5</v>
      </c>
      <c r="H1966" s="466">
        <f>G1966/1.1</f>
        <v>1.3636363636363635</v>
      </c>
      <c r="I1966" s="436"/>
      <c r="J1966" s="465">
        <v>0</v>
      </c>
      <c r="K1966" s="465">
        <v>0</v>
      </c>
    </row>
    <row r="1967" spans="2:11" ht="19" customHeight="1">
      <c r="B1967" s="464">
        <v>46061</v>
      </c>
      <c r="C1967" s="436" t="s">
        <v>247</v>
      </c>
      <c r="D1967" s="436" t="s">
        <v>257</v>
      </c>
      <c r="E1967" s="436">
        <v>1</v>
      </c>
      <c r="F1967" s="465">
        <v>1.4</v>
      </c>
      <c r="G1967" s="466">
        <v>1.4</v>
      </c>
      <c r="H1967" s="466">
        <f>G1967/1.1</f>
        <v>1.2727272727272725</v>
      </c>
      <c r="I1967" s="436"/>
      <c r="J1967" s="465">
        <v>0</v>
      </c>
      <c r="K1967" s="465">
        <v>0</v>
      </c>
    </row>
    <row r="1968" spans="2:11" ht="19" customHeight="1">
      <c r="B1968" s="464">
        <v>46061</v>
      </c>
      <c r="C1968" s="436" t="s">
        <v>268</v>
      </c>
      <c r="D1968" s="436" t="s">
        <v>860</v>
      </c>
      <c r="E1968" s="436">
        <v>2</v>
      </c>
      <c r="F1968" s="465">
        <v>2.25</v>
      </c>
      <c r="G1968" s="466">
        <v>4.5</v>
      </c>
      <c r="H1968" s="466">
        <f>G1968/1.1</f>
        <v>4.0909090909090908</v>
      </c>
      <c r="I1968" s="436"/>
      <c r="J1968" s="465">
        <v>0</v>
      </c>
      <c r="K1968" s="465">
        <v>0</v>
      </c>
    </row>
    <row r="1969" spans="2:11" ht="19" customHeight="1">
      <c r="B1969" s="464">
        <v>46061</v>
      </c>
      <c r="C1969" s="436" t="s">
        <v>247</v>
      </c>
      <c r="D1969" s="436" t="s">
        <v>246</v>
      </c>
      <c r="E1969" s="436">
        <v>2</v>
      </c>
      <c r="F1969" s="465">
        <v>1.7</v>
      </c>
      <c r="G1969" s="466">
        <v>3.4</v>
      </c>
      <c r="H1969" s="466">
        <f>G1969/1.1</f>
        <v>3.0909090909090904</v>
      </c>
      <c r="I1969" s="436"/>
      <c r="J1969" s="465">
        <v>0</v>
      </c>
      <c r="K1969" s="465">
        <v>0</v>
      </c>
    </row>
    <row r="1970" spans="2:11" ht="19" customHeight="1">
      <c r="B1970" s="464">
        <v>46061</v>
      </c>
      <c r="C1970" s="436" t="s">
        <v>247</v>
      </c>
      <c r="D1970" s="436" t="s">
        <v>919</v>
      </c>
      <c r="E1970" s="436">
        <v>1</v>
      </c>
      <c r="F1970" s="465">
        <v>1.8</v>
      </c>
      <c r="G1970" s="466">
        <v>1.8</v>
      </c>
      <c r="H1970" s="466">
        <f>G1970/1.1</f>
        <v>1.6363636363636362</v>
      </c>
      <c r="I1970" s="436"/>
      <c r="J1970" s="465">
        <v>0</v>
      </c>
      <c r="K1970" s="465">
        <v>0</v>
      </c>
    </row>
    <row r="1971" spans="2:11" ht="19" customHeight="1">
      <c r="B1971" s="464">
        <v>46061</v>
      </c>
      <c r="C1971" s="436" t="s">
        <v>268</v>
      </c>
      <c r="D1971" s="436" t="s">
        <v>267</v>
      </c>
      <c r="E1971" s="436">
        <v>1</v>
      </c>
      <c r="F1971" s="465">
        <v>1.5</v>
      </c>
      <c r="G1971" s="466">
        <v>1.5</v>
      </c>
      <c r="H1971" s="466">
        <f>G1971/1.1</f>
        <v>1.3636363636363635</v>
      </c>
      <c r="I1971" s="436"/>
      <c r="J1971" s="465">
        <v>0</v>
      </c>
      <c r="K1971" s="465">
        <v>0</v>
      </c>
    </row>
    <row r="1972" spans="2:11" ht="19" customHeight="1">
      <c r="B1972" s="464">
        <v>46061</v>
      </c>
      <c r="C1972" s="436" t="s">
        <v>247</v>
      </c>
      <c r="D1972" s="436" t="s">
        <v>246</v>
      </c>
      <c r="E1972" s="436">
        <v>1</v>
      </c>
      <c r="F1972" s="465">
        <v>1.7</v>
      </c>
      <c r="G1972" s="466">
        <v>1.7</v>
      </c>
      <c r="H1972" s="466">
        <f>G1972/1.1</f>
        <v>1.5454545454545452</v>
      </c>
      <c r="I1972" s="436"/>
      <c r="J1972" s="465">
        <v>0</v>
      </c>
      <c r="K1972" s="465">
        <v>0</v>
      </c>
    </row>
    <row r="1973" spans="2:11" ht="19" customHeight="1">
      <c r="B1973" s="464">
        <v>46061</v>
      </c>
      <c r="C1973" s="436" t="s">
        <v>247</v>
      </c>
      <c r="D1973" s="436" t="s">
        <v>248</v>
      </c>
      <c r="E1973" s="436">
        <v>1</v>
      </c>
      <c r="F1973" s="465">
        <v>1.5</v>
      </c>
      <c r="G1973" s="466">
        <v>1.5</v>
      </c>
      <c r="H1973" s="466">
        <f>G1973/1.1</f>
        <v>1.3636363636363635</v>
      </c>
      <c r="I1973" s="436"/>
      <c r="J1973" s="465">
        <v>0</v>
      </c>
      <c r="K1973" s="465">
        <v>0</v>
      </c>
    </row>
    <row r="1974" spans="2:11" ht="19" customHeight="1">
      <c r="B1974" s="464">
        <v>46061</v>
      </c>
      <c r="C1974" s="436" t="s">
        <v>247</v>
      </c>
      <c r="D1974" s="436" t="s">
        <v>257</v>
      </c>
      <c r="E1974" s="436">
        <v>1</v>
      </c>
      <c r="F1974" s="465">
        <v>1.4</v>
      </c>
      <c r="G1974" s="466">
        <v>1.4</v>
      </c>
      <c r="H1974" s="466">
        <f>G1974/1.1</f>
        <v>1.2727272727272725</v>
      </c>
      <c r="I1974" s="436"/>
      <c r="J1974" s="465">
        <v>0</v>
      </c>
      <c r="K1974" s="465">
        <v>0</v>
      </c>
    </row>
    <row r="1975" spans="2:11" ht="19" customHeight="1">
      <c r="B1975" s="464">
        <v>46061</v>
      </c>
      <c r="C1975" s="436" t="s">
        <v>247</v>
      </c>
      <c r="D1975" s="436" t="s">
        <v>246</v>
      </c>
      <c r="E1975" s="436">
        <v>2</v>
      </c>
      <c r="F1975" s="465">
        <v>1.7</v>
      </c>
      <c r="G1975" s="466">
        <v>3.4</v>
      </c>
      <c r="H1975" s="466">
        <f>G1975/1.1</f>
        <v>3.0909090909090904</v>
      </c>
      <c r="I1975" s="436"/>
      <c r="J1975" s="465">
        <v>0</v>
      </c>
      <c r="K1975" s="465">
        <v>0</v>
      </c>
    </row>
    <row r="1976" spans="2:11" ht="19" customHeight="1">
      <c r="B1976" s="464">
        <v>46061</v>
      </c>
      <c r="C1976" s="436" t="s">
        <v>247</v>
      </c>
      <c r="D1976" s="436" t="s">
        <v>257</v>
      </c>
      <c r="E1976" s="436">
        <v>1</v>
      </c>
      <c r="F1976" s="465">
        <v>1.4</v>
      </c>
      <c r="G1976" s="466">
        <v>1.4</v>
      </c>
      <c r="H1976" s="466">
        <f>G1976/1.1</f>
        <v>1.2727272727272725</v>
      </c>
      <c r="I1976" s="436"/>
      <c r="J1976" s="465">
        <v>0</v>
      </c>
      <c r="K1976" s="465">
        <v>0</v>
      </c>
    </row>
    <row r="1977" spans="2:11" ht="19" customHeight="1">
      <c r="B1977" s="464">
        <v>46061</v>
      </c>
      <c r="C1977" s="436" t="s">
        <v>247</v>
      </c>
      <c r="D1977" s="436" t="s">
        <v>248</v>
      </c>
      <c r="E1977" s="436">
        <v>1</v>
      </c>
      <c r="F1977" s="465">
        <v>1.5</v>
      </c>
      <c r="G1977" s="466">
        <v>1.5</v>
      </c>
      <c r="H1977" s="466">
        <f>G1977/1.1</f>
        <v>1.3636363636363635</v>
      </c>
      <c r="I1977" s="436"/>
      <c r="J1977" s="465">
        <v>0</v>
      </c>
      <c r="K1977" s="465">
        <v>0</v>
      </c>
    </row>
    <row r="1978" spans="2:11" ht="19" customHeight="1">
      <c r="B1978" s="464">
        <v>46064</v>
      </c>
      <c r="C1978" s="436" t="s">
        <v>247</v>
      </c>
      <c r="D1978" s="436" t="s">
        <v>246</v>
      </c>
      <c r="E1978" s="436">
        <v>1</v>
      </c>
      <c r="F1978" s="465">
        <v>1.7</v>
      </c>
      <c r="G1978" s="466">
        <v>1.7</v>
      </c>
      <c r="H1978" s="466">
        <f>G1978/1.1</f>
        <v>1.5454545454545452</v>
      </c>
      <c r="I1978" s="436"/>
      <c r="J1978" s="465">
        <v>0</v>
      </c>
      <c r="K1978" s="465">
        <v>0</v>
      </c>
    </row>
    <row r="1979" spans="2:11" ht="19" customHeight="1">
      <c r="B1979" s="464">
        <v>46064</v>
      </c>
      <c r="C1979" s="436" t="s">
        <v>247</v>
      </c>
      <c r="D1979" s="436" t="s">
        <v>919</v>
      </c>
      <c r="E1979" s="436">
        <v>1</v>
      </c>
      <c r="F1979" s="465">
        <v>1.7</v>
      </c>
      <c r="G1979" s="466">
        <v>1.7</v>
      </c>
      <c r="H1979" s="466">
        <f>G1979/1.1</f>
        <v>1.5454545454545452</v>
      </c>
      <c r="I1979" s="436"/>
      <c r="J1979" s="465">
        <v>0</v>
      </c>
      <c r="K1979" s="465">
        <v>0</v>
      </c>
    </row>
    <row r="1980" spans="2:11" ht="19" customHeight="1">
      <c r="B1980" s="464">
        <v>46064</v>
      </c>
      <c r="C1980" s="436" t="s">
        <v>247</v>
      </c>
      <c r="D1980" s="436" t="s">
        <v>248</v>
      </c>
      <c r="E1980" s="436">
        <v>1</v>
      </c>
      <c r="F1980" s="465">
        <v>1.65</v>
      </c>
      <c r="G1980" s="466">
        <v>1.65</v>
      </c>
      <c r="H1980" s="466">
        <f>G1980/1.1</f>
        <v>1.4999999999999998</v>
      </c>
      <c r="I1980" s="436"/>
      <c r="J1980" s="465">
        <v>0</v>
      </c>
      <c r="K1980" s="465">
        <v>0</v>
      </c>
    </row>
    <row r="1981" spans="2:11" ht="19" customHeight="1">
      <c r="B1981" s="464">
        <v>46064</v>
      </c>
      <c r="C1981" s="436" t="s">
        <v>276</v>
      </c>
      <c r="D1981" s="436" t="s">
        <v>929</v>
      </c>
      <c r="E1981" s="436">
        <v>1</v>
      </c>
      <c r="F1981" s="465">
        <v>3.75</v>
      </c>
      <c r="G1981" s="466">
        <v>3.75</v>
      </c>
      <c r="H1981" s="466">
        <f>G1981/1.1</f>
        <v>3.4090909090909087</v>
      </c>
      <c r="I1981" s="436"/>
      <c r="J1981" s="465">
        <v>0</v>
      </c>
      <c r="K1981" s="465">
        <v>0</v>
      </c>
    </row>
    <row r="1982" spans="2:11" ht="19" customHeight="1">
      <c r="B1982" s="464">
        <v>46064</v>
      </c>
      <c r="C1982" s="436" t="s">
        <v>276</v>
      </c>
      <c r="D1982" s="436" t="s">
        <v>963</v>
      </c>
      <c r="E1982" s="436">
        <v>1</v>
      </c>
      <c r="F1982" s="465">
        <v>4.75</v>
      </c>
      <c r="G1982" s="466">
        <v>4.75</v>
      </c>
      <c r="H1982" s="466">
        <f>G1982/1.1</f>
        <v>4.3181818181818175</v>
      </c>
      <c r="I1982" s="436"/>
      <c r="J1982" s="465">
        <v>0</v>
      </c>
      <c r="K1982" s="465">
        <v>0</v>
      </c>
    </row>
    <row r="1983" spans="2:11" ht="19" customHeight="1">
      <c r="B1983" s="464">
        <v>46064</v>
      </c>
      <c r="C1983" s="436" t="s">
        <v>254</v>
      </c>
      <c r="D1983" s="436" t="s">
        <v>254</v>
      </c>
      <c r="E1983" s="436">
        <v>2</v>
      </c>
      <c r="F1983" s="465">
        <v>14.9</v>
      </c>
      <c r="G1983" s="466">
        <v>29.8</v>
      </c>
      <c r="H1983" s="466">
        <f>G1983/1.1</f>
        <v>27.09090909090909</v>
      </c>
      <c r="I1983" s="436"/>
      <c r="J1983" s="465">
        <v>0</v>
      </c>
      <c r="K1983" s="465">
        <v>0</v>
      </c>
    </row>
    <row r="1984" spans="2:11" ht="19" customHeight="1">
      <c r="B1984" s="464">
        <v>46064</v>
      </c>
      <c r="C1984" s="436" t="s">
        <v>873</v>
      </c>
      <c r="D1984" s="436" t="s">
        <v>726</v>
      </c>
      <c r="E1984" s="436">
        <v>2</v>
      </c>
      <c r="F1984" s="465">
        <v>3</v>
      </c>
      <c r="G1984" s="466">
        <v>6</v>
      </c>
      <c r="H1984" s="466">
        <f>G1984/1.1</f>
        <v>5.4545454545454541</v>
      </c>
      <c r="I1984" s="436"/>
      <c r="J1984" s="465">
        <v>0</v>
      </c>
      <c r="K1984" s="465">
        <v>0</v>
      </c>
    </row>
    <row r="1985" spans="2:11" ht="19" customHeight="1">
      <c r="B1985" s="464">
        <v>46064</v>
      </c>
      <c r="C1985" s="436" t="s">
        <v>877</v>
      </c>
      <c r="D1985" s="436" t="s">
        <v>1093</v>
      </c>
      <c r="E1985" s="436">
        <v>2</v>
      </c>
      <c r="F1985" s="469"/>
      <c r="G1985" s="468" t="s">
        <v>875</v>
      </c>
      <c r="H1985" s="466" t="e">
        <f>G1985/1.1</f>
        <v>#VALUE!</v>
      </c>
      <c r="I1985" s="436"/>
      <c r="J1985" s="465">
        <v>0</v>
      </c>
      <c r="K1985" s="465">
        <v>0</v>
      </c>
    </row>
    <row r="1986" spans="2:11" ht="19" customHeight="1">
      <c r="B1986" s="464">
        <v>46064</v>
      </c>
      <c r="C1986" s="436" t="s">
        <v>266</v>
      </c>
      <c r="D1986" s="436" t="s">
        <v>250</v>
      </c>
      <c r="E1986" s="436">
        <v>1</v>
      </c>
      <c r="F1986" s="469"/>
      <c r="G1986" s="468" t="s">
        <v>875</v>
      </c>
      <c r="H1986" s="466" t="e">
        <f>G1986/1.1</f>
        <v>#VALUE!</v>
      </c>
      <c r="I1986" s="436"/>
      <c r="J1986" s="465">
        <v>0</v>
      </c>
      <c r="K1986" s="465">
        <v>0</v>
      </c>
    </row>
    <row r="1987" spans="2:11" ht="19" customHeight="1">
      <c r="B1987" s="464">
        <v>46064</v>
      </c>
      <c r="C1987" s="436" t="s">
        <v>258</v>
      </c>
      <c r="D1987" s="436" t="s">
        <v>1094</v>
      </c>
      <c r="E1987" s="436">
        <v>2</v>
      </c>
      <c r="F1987" s="469"/>
      <c r="G1987" s="468" t="s">
        <v>875</v>
      </c>
      <c r="H1987" s="466" t="e">
        <f>G1987/1.1</f>
        <v>#VALUE!</v>
      </c>
      <c r="I1987" s="436"/>
      <c r="J1987" s="465">
        <v>0</v>
      </c>
      <c r="K1987" s="465">
        <v>0</v>
      </c>
    </row>
    <row r="1988" spans="2:11" ht="19" customHeight="1">
      <c r="B1988" s="464">
        <v>46064</v>
      </c>
      <c r="C1988" s="436" t="s">
        <v>251</v>
      </c>
      <c r="D1988" s="436" t="s">
        <v>926</v>
      </c>
      <c r="E1988" s="436">
        <v>1</v>
      </c>
      <c r="F1988" s="465">
        <v>2.65</v>
      </c>
      <c r="G1988" s="466">
        <v>2.65</v>
      </c>
      <c r="H1988" s="466">
        <f>G1988/1.1</f>
        <v>2.4090909090909087</v>
      </c>
      <c r="I1988" s="436"/>
      <c r="J1988" s="465">
        <v>0</v>
      </c>
      <c r="K1988" s="465">
        <v>0</v>
      </c>
    </row>
    <row r="1989" spans="2:11" ht="19" customHeight="1">
      <c r="B1989" s="464">
        <v>46064</v>
      </c>
      <c r="C1989" s="436" t="s">
        <v>725</v>
      </c>
      <c r="D1989" s="436" t="s">
        <v>1045</v>
      </c>
      <c r="E1989" s="436">
        <v>1</v>
      </c>
      <c r="F1989" s="465">
        <v>1.75</v>
      </c>
      <c r="G1989" s="466">
        <v>1.75</v>
      </c>
      <c r="H1989" s="466">
        <f>G1989/1.1</f>
        <v>1.5909090909090908</v>
      </c>
      <c r="I1989" s="436"/>
      <c r="J1989" s="465">
        <v>0</v>
      </c>
      <c r="K1989" s="465">
        <v>0</v>
      </c>
    </row>
    <row r="1990" spans="2:11" ht="19" customHeight="1">
      <c r="B1990" s="464">
        <v>46064</v>
      </c>
      <c r="C1990" s="436" t="s">
        <v>254</v>
      </c>
      <c r="D1990" s="436" t="s">
        <v>254</v>
      </c>
      <c r="E1990" s="436">
        <v>2</v>
      </c>
      <c r="F1990" s="465">
        <v>14.9</v>
      </c>
      <c r="G1990" s="466">
        <v>29.8</v>
      </c>
      <c r="H1990" s="466">
        <f>G1990/1.1</f>
        <v>27.09090909090909</v>
      </c>
      <c r="I1990" s="436"/>
      <c r="J1990" s="465">
        <v>0</v>
      </c>
      <c r="K1990" s="465">
        <v>0</v>
      </c>
    </row>
    <row r="1991" spans="2:11" ht="19" customHeight="1">
      <c r="B1991" s="464">
        <v>46064</v>
      </c>
      <c r="C1991" s="436" t="s">
        <v>873</v>
      </c>
      <c r="D1991" s="436" t="s">
        <v>1095</v>
      </c>
      <c r="E1991" s="436">
        <v>2</v>
      </c>
      <c r="F1991" s="469"/>
      <c r="G1991" s="468" t="s">
        <v>875</v>
      </c>
      <c r="H1991" s="466" t="e">
        <f>G1991/1.1</f>
        <v>#VALUE!</v>
      </c>
      <c r="I1991" s="436"/>
      <c r="J1991" s="465">
        <v>0</v>
      </c>
      <c r="K1991" s="465">
        <v>0</v>
      </c>
    </row>
    <row r="1992" spans="2:11" ht="19" customHeight="1">
      <c r="B1992" s="464">
        <v>46064</v>
      </c>
      <c r="C1992" s="436" t="s">
        <v>877</v>
      </c>
      <c r="D1992" s="436" t="s">
        <v>1093</v>
      </c>
      <c r="E1992" s="436">
        <v>1</v>
      </c>
      <c r="F1992" s="469"/>
      <c r="G1992" s="468" t="s">
        <v>875</v>
      </c>
      <c r="H1992" s="466" t="e">
        <f>G1992/1.1</f>
        <v>#VALUE!</v>
      </c>
      <c r="I1992" s="436"/>
      <c r="J1992" s="465">
        <v>0</v>
      </c>
      <c r="K1992" s="465">
        <v>0</v>
      </c>
    </row>
    <row r="1993" spans="2:11" ht="19" customHeight="1">
      <c r="B1993" s="464">
        <v>46064</v>
      </c>
      <c r="C1993" s="436" t="s">
        <v>877</v>
      </c>
      <c r="D1993" s="436" t="s">
        <v>1096</v>
      </c>
      <c r="E1993" s="436">
        <v>1</v>
      </c>
      <c r="F1993" s="469"/>
      <c r="G1993" s="468" t="s">
        <v>875</v>
      </c>
      <c r="H1993" s="466" t="e">
        <f>G1993/1.1</f>
        <v>#VALUE!</v>
      </c>
      <c r="I1993" s="436"/>
      <c r="J1993" s="465">
        <v>0</v>
      </c>
      <c r="K1993" s="465">
        <v>0</v>
      </c>
    </row>
    <row r="1994" spans="2:11" ht="19" customHeight="1">
      <c r="B1994" s="464">
        <v>46064</v>
      </c>
      <c r="C1994" s="436" t="s">
        <v>266</v>
      </c>
      <c r="D1994" s="436" t="s">
        <v>708</v>
      </c>
      <c r="E1994" s="436">
        <v>1</v>
      </c>
      <c r="F1994" s="469"/>
      <c r="G1994" s="468" t="s">
        <v>875</v>
      </c>
      <c r="H1994" s="466" t="e">
        <f>G1994/1.1</f>
        <v>#VALUE!</v>
      </c>
      <c r="I1994" s="436"/>
      <c r="J1994" s="465">
        <v>0</v>
      </c>
      <c r="K1994" s="465">
        <v>0</v>
      </c>
    </row>
    <row r="1995" spans="2:11" ht="19" customHeight="1">
      <c r="B1995" s="464">
        <v>46064</v>
      </c>
      <c r="C1995" s="436" t="s">
        <v>266</v>
      </c>
      <c r="D1995" s="436" t="s">
        <v>927</v>
      </c>
      <c r="E1995" s="436">
        <v>1</v>
      </c>
      <c r="F1995" s="465">
        <v>1</v>
      </c>
      <c r="G1995" s="466">
        <v>1</v>
      </c>
      <c r="H1995" s="466">
        <f>G1995/1.1</f>
        <v>0.90909090909090906</v>
      </c>
      <c r="I1995" s="436"/>
      <c r="J1995" s="465">
        <v>0</v>
      </c>
      <c r="K1995" s="465">
        <v>0</v>
      </c>
    </row>
    <row r="1996" spans="2:11" ht="19" customHeight="1">
      <c r="B1996" s="464">
        <v>46064</v>
      </c>
      <c r="C1996" s="436" t="s">
        <v>258</v>
      </c>
      <c r="D1996" s="436" t="s">
        <v>883</v>
      </c>
      <c r="E1996" s="436">
        <v>2</v>
      </c>
      <c r="F1996" s="469"/>
      <c r="G1996" s="468" t="s">
        <v>875</v>
      </c>
      <c r="H1996" s="466" t="e">
        <f>G1996/1.1</f>
        <v>#VALUE!</v>
      </c>
      <c r="I1996" s="436"/>
      <c r="J1996" s="465">
        <v>0</v>
      </c>
      <c r="K1996" s="465">
        <v>0</v>
      </c>
    </row>
    <row r="1997" spans="2:11" ht="19" customHeight="1">
      <c r="B1997" s="464">
        <v>46064</v>
      </c>
      <c r="C1997" s="436" t="s">
        <v>254</v>
      </c>
      <c r="D1997" s="436" t="s">
        <v>254</v>
      </c>
      <c r="E1997" s="436">
        <v>1</v>
      </c>
      <c r="F1997" s="465">
        <v>14.9</v>
      </c>
      <c r="G1997" s="466">
        <v>14.9</v>
      </c>
      <c r="H1997" s="466">
        <f>G1997/1.1</f>
        <v>13.545454545454545</v>
      </c>
      <c r="I1997" s="436"/>
      <c r="J1997" s="465">
        <v>0</v>
      </c>
      <c r="K1997" s="465">
        <v>0</v>
      </c>
    </row>
    <row r="1998" spans="2:11" ht="19" customHeight="1">
      <c r="B1998" s="464">
        <v>46064</v>
      </c>
      <c r="C1998" s="436" t="s">
        <v>873</v>
      </c>
      <c r="D1998" s="436" t="s">
        <v>914</v>
      </c>
      <c r="E1998" s="436">
        <v>1</v>
      </c>
      <c r="F1998" s="469"/>
      <c r="G1998" s="468" t="s">
        <v>875</v>
      </c>
      <c r="H1998" s="466" t="e">
        <f>G1998/1.1</f>
        <v>#VALUE!</v>
      </c>
      <c r="I1998" s="436"/>
      <c r="J1998" s="465">
        <v>0</v>
      </c>
      <c r="K1998" s="465">
        <v>0</v>
      </c>
    </row>
    <row r="1999" spans="2:11" ht="19" customHeight="1">
      <c r="B1999" s="464">
        <v>46064</v>
      </c>
      <c r="C1999" s="436" t="s">
        <v>877</v>
      </c>
      <c r="D1999" s="436" t="s">
        <v>1093</v>
      </c>
      <c r="E1999" s="436">
        <v>1</v>
      </c>
      <c r="F1999" s="469"/>
      <c r="G1999" s="468" t="s">
        <v>875</v>
      </c>
      <c r="H1999" s="466" t="e">
        <f>G1999/1.1</f>
        <v>#VALUE!</v>
      </c>
      <c r="I1999" s="436"/>
      <c r="J1999" s="465">
        <v>0</v>
      </c>
      <c r="K1999" s="465">
        <v>0</v>
      </c>
    </row>
    <row r="2000" spans="2:11" ht="19" customHeight="1">
      <c r="B2000" s="464">
        <v>46064</v>
      </c>
      <c r="C2000" s="436" t="s">
        <v>266</v>
      </c>
      <c r="D2000" s="436" t="s">
        <v>1033</v>
      </c>
      <c r="E2000" s="436">
        <v>1</v>
      </c>
      <c r="F2000" s="469"/>
      <c r="G2000" s="468" t="s">
        <v>875</v>
      </c>
      <c r="H2000" s="466" t="e">
        <f>G2000/1.1</f>
        <v>#VALUE!</v>
      </c>
      <c r="I2000" s="436"/>
      <c r="J2000" s="465">
        <v>0</v>
      </c>
      <c r="K2000" s="465">
        <v>0</v>
      </c>
    </row>
    <row r="2001" spans="2:11" ht="19" customHeight="1">
      <c r="B2001" s="464">
        <v>46064</v>
      </c>
      <c r="C2001" s="436" t="s">
        <v>258</v>
      </c>
      <c r="D2001" s="436" t="s">
        <v>1094</v>
      </c>
      <c r="E2001" s="436">
        <v>1</v>
      </c>
      <c r="F2001" s="469"/>
      <c r="G2001" s="468" t="s">
        <v>875</v>
      </c>
      <c r="H2001" s="466" t="e">
        <f>G2001/1.1</f>
        <v>#VALUE!</v>
      </c>
      <c r="I2001" s="436"/>
      <c r="J2001" s="465">
        <v>0</v>
      </c>
      <c r="K2001" s="465">
        <v>0</v>
      </c>
    </row>
    <row r="2002" spans="2:11" ht="19" customHeight="1">
      <c r="B2002" s="464">
        <v>46064</v>
      </c>
      <c r="C2002" s="436" t="s">
        <v>328</v>
      </c>
      <c r="D2002" s="436" t="s">
        <v>739</v>
      </c>
      <c r="E2002" s="436">
        <v>1</v>
      </c>
      <c r="F2002" s="465">
        <v>4.4000000000000004</v>
      </c>
      <c r="G2002" s="466">
        <v>4.4000000000000004</v>
      </c>
      <c r="H2002" s="466">
        <f>G2002/1.1</f>
        <v>4</v>
      </c>
      <c r="I2002" s="436"/>
      <c r="J2002" s="465">
        <v>0</v>
      </c>
      <c r="K2002" s="465">
        <v>0</v>
      </c>
    </row>
    <row r="2003" spans="2:11" ht="19" customHeight="1">
      <c r="B2003" s="464">
        <v>46064</v>
      </c>
      <c r="C2003" s="436" t="s">
        <v>862</v>
      </c>
      <c r="D2003" s="436" t="s">
        <v>865</v>
      </c>
      <c r="E2003" s="436">
        <v>1</v>
      </c>
      <c r="F2003" s="465">
        <v>0.05</v>
      </c>
      <c r="G2003" s="466">
        <v>0.05</v>
      </c>
      <c r="H2003" s="466">
        <f>G2003/1.1</f>
        <v>4.5454545454545456E-2</v>
      </c>
      <c r="I2003" s="436"/>
      <c r="J2003" s="465">
        <v>0</v>
      </c>
      <c r="K2003" s="465">
        <v>0</v>
      </c>
    </row>
    <row r="2004" spans="2:11" ht="19" customHeight="1">
      <c r="B2004" s="464">
        <v>46064</v>
      </c>
      <c r="C2004" s="436" t="s">
        <v>247</v>
      </c>
      <c r="D2004" s="436" t="s">
        <v>248</v>
      </c>
      <c r="E2004" s="436">
        <v>1</v>
      </c>
      <c r="F2004" s="465">
        <v>1.5</v>
      </c>
      <c r="G2004" s="466">
        <v>1.5</v>
      </c>
      <c r="H2004" s="466">
        <f>G2004/1.1</f>
        <v>1.3636363636363635</v>
      </c>
      <c r="I2004" s="436"/>
      <c r="J2004" s="465">
        <v>0</v>
      </c>
      <c r="K2004" s="465">
        <v>0</v>
      </c>
    </row>
    <row r="2005" spans="2:11" ht="19" customHeight="1">
      <c r="B2005" s="464">
        <v>46064</v>
      </c>
      <c r="C2005" s="436" t="s">
        <v>247</v>
      </c>
      <c r="D2005" s="436" t="s">
        <v>246</v>
      </c>
      <c r="E2005" s="436">
        <v>1</v>
      </c>
      <c r="F2005" s="465">
        <v>1.7</v>
      </c>
      <c r="G2005" s="466">
        <v>1.7</v>
      </c>
      <c r="H2005" s="466">
        <f>G2005/1.1</f>
        <v>1.5454545454545452</v>
      </c>
      <c r="I2005" s="436"/>
      <c r="J2005" s="465">
        <v>0</v>
      </c>
      <c r="K2005" s="465">
        <v>0</v>
      </c>
    </row>
    <row r="2006" spans="2:11" ht="19" customHeight="1">
      <c r="B2006" s="464">
        <v>46064</v>
      </c>
      <c r="C2006" s="436" t="s">
        <v>247</v>
      </c>
      <c r="D2006" s="436" t="s">
        <v>257</v>
      </c>
      <c r="E2006" s="436">
        <v>2</v>
      </c>
      <c r="F2006" s="465">
        <v>1.4</v>
      </c>
      <c r="G2006" s="466">
        <v>2.8</v>
      </c>
      <c r="H2006" s="466">
        <f>G2006/1.1</f>
        <v>2.545454545454545</v>
      </c>
      <c r="I2006" s="436"/>
      <c r="J2006" s="465">
        <v>0</v>
      </c>
      <c r="K2006" s="465">
        <v>0</v>
      </c>
    </row>
    <row r="2007" spans="2:11" ht="19" customHeight="1">
      <c r="B2007" s="464">
        <v>46064</v>
      </c>
      <c r="C2007" s="436" t="s">
        <v>247</v>
      </c>
      <c r="D2007" s="436" t="s">
        <v>248</v>
      </c>
      <c r="E2007" s="436">
        <v>1</v>
      </c>
      <c r="F2007" s="465">
        <v>1.5</v>
      </c>
      <c r="G2007" s="466">
        <v>1.5</v>
      </c>
      <c r="H2007" s="466">
        <f>G2007/1.1</f>
        <v>1.3636363636363635</v>
      </c>
      <c r="I2007" s="436"/>
      <c r="J2007" s="465">
        <v>0</v>
      </c>
      <c r="K2007" s="465">
        <v>0</v>
      </c>
    </row>
    <row r="2008" spans="2:11" ht="19" customHeight="1">
      <c r="B2008" s="464">
        <v>46064</v>
      </c>
      <c r="C2008" s="436" t="s">
        <v>247</v>
      </c>
      <c r="D2008" s="436" t="s">
        <v>246</v>
      </c>
      <c r="E2008" s="436">
        <v>1</v>
      </c>
      <c r="F2008" s="465">
        <v>1.7</v>
      </c>
      <c r="G2008" s="466">
        <v>1.7</v>
      </c>
      <c r="H2008" s="466">
        <f>G2008/1.1</f>
        <v>1.5454545454545452</v>
      </c>
      <c r="I2008" s="436"/>
      <c r="J2008" s="465">
        <v>0</v>
      </c>
      <c r="K2008" s="465">
        <v>0</v>
      </c>
    </row>
    <row r="2009" spans="2:11" ht="19" customHeight="1">
      <c r="B2009" s="464">
        <v>46064</v>
      </c>
      <c r="C2009" s="436" t="s">
        <v>247</v>
      </c>
      <c r="D2009" s="436" t="s">
        <v>248</v>
      </c>
      <c r="E2009" s="436">
        <v>1</v>
      </c>
      <c r="F2009" s="465">
        <v>1.5</v>
      </c>
      <c r="G2009" s="466">
        <v>1.5</v>
      </c>
      <c r="H2009" s="466">
        <f>G2009/1.1</f>
        <v>1.3636363636363635</v>
      </c>
      <c r="I2009" s="436"/>
      <c r="J2009" s="465">
        <v>0</v>
      </c>
      <c r="K2009" s="465">
        <v>0</v>
      </c>
    </row>
    <row r="2010" spans="2:11" ht="19" customHeight="1">
      <c r="B2010" s="464">
        <v>46064</v>
      </c>
      <c r="C2010" s="436" t="s">
        <v>251</v>
      </c>
      <c r="D2010" s="436" t="s">
        <v>1097</v>
      </c>
      <c r="E2010" s="436">
        <v>1</v>
      </c>
      <c r="F2010" s="465">
        <v>1.95</v>
      </c>
      <c r="G2010" s="466">
        <v>1.95</v>
      </c>
      <c r="H2010" s="466">
        <f>G2010/1.1</f>
        <v>1.7727272727272725</v>
      </c>
      <c r="I2010" s="436"/>
      <c r="J2010" s="465">
        <v>0</v>
      </c>
      <c r="K2010" s="465">
        <v>0</v>
      </c>
    </row>
    <row r="2011" spans="2:11" ht="19" customHeight="1">
      <c r="B2011" s="464">
        <v>46064</v>
      </c>
      <c r="C2011" s="436" t="s">
        <v>327</v>
      </c>
      <c r="D2011" s="436" t="s">
        <v>1090</v>
      </c>
      <c r="E2011" s="436">
        <v>1</v>
      </c>
      <c r="F2011" s="465">
        <v>5.0999999999999996</v>
      </c>
      <c r="G2011" s="466">
        <v>5.0999999999999996</v>
      </c>
      <c r="H2011" s="466">
        <f>G2011/1.1</f>
        <v>4.6363636363636358</v>
      </c>
      <c r="I2011" s="436"/>
      <c r="J2011" s="465">
        <v>0</v>
      </c>
      <c r="K2011" s="465">
        <v>0</v>
      </c>
    </row>
    <row r="2012" spans="2:11" ht="19" customHeight="1">
      <c r="B2012" s="464">
        <v>46064</v>
      </c>
      <c r="C2012" s="436" t="s">
        <v>247</v>
      </c>
      <c r="D2012" s="436" t="s">
        <v>257</v>
      </c>
      <c r="E2012" s="436">
        <v>1</v>
      </c>
      <c r="F2012" s="465">
        <v>1.4</v>
      </c>
      <c r="G2012" s="466">
        <v>1.4</v>
      </c>
      <c r="H2012" s="466">
        <f>G2012/1.1</f>
        <v>1.2727272727272725</v>
      </c>
      <c r="I2012" s="436"/>
      <c r="J2012" s="465">
        <v>0</v>
      </c>
      <c r="K2012" s="465">
        <v>0</v>
      </c>
    </row>
    <row r="2013" spans="2:11" ht="19" customHeight="1">
      <c r="B2013" s="464">
        <v>46064</v>
      </c>
      <c r="C2013" s="436" t="s">
        <v>247</v>
      </c>
      <c r="D2013" s="436" t="s">
        <v>248</v>
      </c>
      <c r="E2013" s="436">
        <v>1</v>
      </c>
      <c r="F2013" s="465">
        <v>1.5</v>
      </c>
      <c r="G2013" s="466">
        <v>1.5</v>
      </c>
      <c r="H2013" s="466">
        <f>G2013/1.1</f>
        <v>1.3636363636363635</v>
      </c>
      <c r="I2013" s="436"/>
      <c r="J2013" s="465">
        <v>0</v>
      </c>
      <c r="K2013" s="465">
        <v>0</v>
      </c>
    </row>
    <row r="2014" spans="2:11" ht="19" customHeight="1">
      <c r="B2014" s="464">
        <v>46064</v>
      </c>
      <c r="C2014" s="436" t="s">
        <v>247</v>
      </c>
      <c r="D2014" s="436" t="s">
        <v>246</v>
      </c>
      <c r="E2014" s="436">
        <v>1</v>
      </c>
      <c r="F2014" s="465">
        <v>1.7</v>
      </c>
      <c r="G2014" s="466">
        <v>1.7</v>
      </c>
      <c r="H2014" s="466">
        <f>G2014/1.1</f>
        <v>1.5454545454545452</v>
      </c>
      <c r="I2014" s="436"/>
      <c r="J2014" s="465">
        <v>0</v>
      </c>
      <c r="K2014" s="465">
        <v>0</v>
      </c>
    </row>
    <row r="2015" spans="2:11" ht="19" customHeight="1">
      <c r="B2015" s="464">
        <v>46064</v>
      </c>
      <c r="C2015" s="436" t="s">
        <v>268</v>
      </c>
      <c r="D2015" s="436" t="s">
        <v>859</v>
      </c>
      <c r="E2015" s="436">
        <v>2</v>
      </c>
      <c r="F2015" s="465">
        <v>0.75</v>
      </c>
      <c r="G2015" s="466">
        <v>1.5</v>
      </c>
      <c r="H2015" s="466">
        <f>G2015/1.1</f>
        <v>1.3636363636363635</v>
      </c>
      <c r="I2015" s="436"/>
      <c r="J2015" s="465">
        <v>0</v>
      </c>
      <c r="K2015" s="465">
        <v>0</v>
      </c>
    </row>
    <row r="2016" spans="2:11" ht="19" customHeight="1">
      <c r="B2016" s="464">
        <v>46064</v>
      </c>
      <c r="C2016" s="436" t="s">
        <v>247</v>
      </c>
      <c r="D2016" s="436" t="s">
        <v>246</v>
      </c>
      <c r="E2016" s="436">
        <v>1</v>
      </c>
      <c r="F2016" s="465">
        <v>1.7</v>
      </c>
      <c r="G2016" s="466">
        <v>1.7</v>
      </c>
      <c r="H2016" s="466">
        <f>G2016/1.1</f>
        <v>1.5454545454545452</v>
      </c>
      <c r="I2016" s="436"/>
      <c r="J2016" s="465">
        <v>0</v>
      </c>
      <c r="K2016" s="465">
        <v>0</v>
      </c>
    </row>
    <row r="2017" spans="2:11" ht="19" customHeight="1">
      <c r="B2017" s="464">
        <v>46064</v>
      </c>
      <c r="C2017" s="436" t="s">
        <v>247</v>
      </c>
      <c r="D2017" s="436" t="s">
        <v>248</v>
      </c>
      <c r="E2017" s="436">
        <v>1</v>
      </c>
      <c r="F2017" s="465">
        <v>1.5</v>
      </c>
      <c r="G2017" s="466">
        <v>1.5</v>
      </c>
      <c r="H2017" s="466">
        <f>G2017/1.1</f>
        <v>1.3636363636363635</v>
      </c>
      <c r="I2017" s="436"/>
      <c r="J2017" s="465">
        <v>0</v>
      </c>
      <c r="K2017" s="465">
        <v>0</v>
      </c>
    </row>
    <row r="2018" spans="2:11" ht="19" customHeight="1">
      <c r="B2018" s="464">
        <v>46064</v>
      </c>
      <c r="C2018" s="436" t="s">
        <v>247</v>
      </c>
      <c r="D2018" s="436" t="s">
        <v>246</v>
      </c>
      <c r="E2018" s="436">
        <v>1</v>
      </c>
      <c r="F2018" s="465">
        <v>1.7</v>
      </c>
      <c r="G2018" s="466">
        <v>1.7</v>
      </c>
      <c r="H2018" s="466">
        <f>G2018/1.1</f>
        <v>1.5454545454545452</v>
      </c>
      <c r="I2018" s="436"/>
      <c r="J2018" s="465">
        <v>0</v>
      </c>
      <c r="K2018" s="465">
        <v>0</v>
      </c>
    </row>
    <row r="2019" spans="2:11" ht="19" customHeight="1">
      <c r="B2019" s="464">
        <v>46064</v>
      </c>
      <c r="C2019" s="436" t="s">
        <v>247</v>
      </c>
      <c r="D2019" s="436" t="s">
        <v>257</v>
      </c>
      <c r="E2019" s="436">
        <v>1</v>
      </c>
      <c r="F2019" s="465">
        <v>1.4</v>
      </c>
      <c r="G2019" s="466">
        <v>1.4</v>
      </c>
      <c r="H2019" s="466">
        <f>G2019/1.1</f>
        <v>1.2727272727272725</v>
      </c>
      <c r="I2019" s="436"/>
      <c r="J2019" s="465">
        <v>0</v>
      </c>
      <c r="K2019" s="465">
        <v>0</v>
      </c>
    </row>
    <row r="2020" spans="2:11" ht="19" customHeight="1">
      <c r="B2020" s="464">
        <v>46064</v>
      </c>
      <c r="C2020" s="436" t="s">
        <v>247</v>
      </c>
      <c r="D2020" s="436" t="s">
        <v>257</v>
      </c>
      <c r="E2020" s="436">
        <v>1</v>
      </c>
      <c r="F2020" s="465">
        <v>1.4</v>
      </c>
      <c r="G2020" s="466">
        <v>1.4</v>
      </c>
      <c r="H2020" s="466">
        <f>G2020/1.1</f>
        <v>1.2727272727272725</v>
      </c>
      <c r="I2020" s="436"/>
      <c r="J2020" s="465">
        <v>0</v>
      </c>
      <c r="K2020" s="465">
        <v>0</v>
      </c>
    </row>
    <row r="2021" spans="2:11" ht="19" customHeight="1">
      <c r="B2021" s="464">
        <v>46064</v>
      </c>
      <c r="C2021" s="436" t="s">
        <v>251</v>
      </c>
      <c r="D2021" s="436" t="s">
        <v>927</v>
      </c>
      <c r="E2021" s="436">
        <v>1</v>
      </c>
      <c r="F2021" s="465">
        <v>2.65</v>
      </c>
      <c r="G2021" s="466">
        <v>2.65</v>
      </c>
      <c r="H2021" s="466">
        <f>G2021/1.1</f>
        <v>2.4090909090909087</v>
      </c>
      <c r="I2021" s="436"/>
      <c r="J2021" s="465">
        <v>0</v>
      </c>
      <c r="K2021" s="465">
        <v>0</v>
      </c>
    </row>
    <row r="2022" spans="2:11" ht="19" customHeight="1">
      <c r="B2022" s="464">
        <v>46064</v>
      </c>
      <c r="C2022" s="436" t="s">
        <v>247</v>
      </c>
      <c r="D2022" s="436" t="s">
        <v>246</v>
      </c>
      <c r="E2022" s="436">
        <v>1</v>
      </c>
      <c r="F2022" s="465">
        <v>1.7</v>
      </c>
      <c r="G2022" s="466">
        <v>1.7</v>
      </c>
      <c r="H2022" s="466">
        <f>G2022/1.1</f>
        <v>1.5454545454545452</v>
      </c>
      <c r="I2022" s="436"/>
      <c r="J2022" s="465">
        <v>0</v>
      </c>
      <c r="K2022" s="465">
        <v>0</v>
      </c>
    </row>
    <row r="2023" spans="2:11" ht="19" customHeight="1">
      <c r="B2023" s="464">
        <v>46064</v>
      </c>
      <c r="C2023" s="436" t="s">
        <v>268</v>
      </c>
      <c r="D2023" s="436" t="s">
        <v>859</v>
      </c>
      <c r="E2023" s="436">
        <v>1</v>
      </c>
      <c r="F2023" s="465">
        <v>0.75</v>
      </c>
      <c r="G2023" s="466">
        <v>0.75</v>
      </c>
      <c r="H2023" s="466">
        <f>G2023/1.1</f>
        <v>0.68181818181818177</v>
      </c>
      <c r="I2023" s="436"/>
      <c r="J2023" s="465">
        <v>0</v>
      </c>
      <c r="K2023" s="465">
        <v>0</v>
      </c>
    </row>
    <row r="2024" spans="2:11" ht="19" customHeight="1">
      <c r="B2024" s="464">
        <v>46064</v>
      </c>
      <c r="C2024" s="436" t="s">
        <v>247</v>
      </c>
      <c r="D2024" s="436" t="s">
        <v>246</v>
      </c>
      <c r="E2024" s="436">
        <v>1</v>
      </c>
      <c r="F2024" s="465">
        <v>1.7</v>
      </c>
      <c r="G2024" s="466">
        <v>1.7</v>
      </c>
      <c r="H2024" s="466">
        <f>G2024/1.1</f>
        <v>1.5454545454545452</v>
      </c>
      <c r="I2024" s="436"/>
      <c r="J2024" s="465">
        <v>0</v>
      </c>
      <c r="K2024" s="465">
        <v>0</v>
      </c>
    </row>
    <row r="2025" spans="2:11" ht="19" customHeight="1">
      <c r="B2025" s="464">
        <v>46064</v>
      </c>
      <c r="C2025" s="436" t="s">
        <v>247</v>
      </c>
      <c r="D2025" s="436" t="s">
        <v>902</v>
      </c>
      <c r="E2025" s="436">
        <v>1</v>
      </c>
      <c r="F2025" s="465">
        <v>1.95</v>
      </c>
      <c r="G2025" s="466">
        <v>1.95</v>
      </c>
      <c r="H2025" s="466">
        <f>G2025/1.1</f>
        <v>1.7727272727272725</v>
      </c>
      <c r="I2025" s="436"/>
      <c r="J2025" s="465">
        <v>0</v>
      </c>
      <c r="K2025" s="465">
        <v>0</v>
      </c>
    </row>
    <row r="2026" spans="2:11" ht="19" customHeight="1">
      <c r="B2026" s="464">
        <v>46064</v>
      </c>
      <c r="C2026" s="436" t="s">
        <v>247</v>
      </c>
      <c r="D2026" s="436" t="s">
        <v>248</v>
      </c>
      <c r="E2026" s="436">
        <v>2</v>
      </c>
      <c r="F2026" s="465">
        <v>1.5</v>
      </c>
      <c r="G2026" s="466">
        <v>3</v>
      </c>
      <c r="H2026" s="466">
        <f>G2026/1.1</f>
        <v>2.7272727272727271</v>
      </c>
      <c r="I2026" s="436"/>
      <c r="J2026" s="465">
        <v>0</v>
      </c>
      <c r="K2026" s="465">
        <v>0</v>
      </c>
    </row>
    <row r="2027" spans="2:11" ht="19" customHeight="1">
      <c r="B2027" s="464">
        <v>46064</v>
      </c>
      <c r="C2027" s="436" t="s">
        <v>328</v>
      </c>
      <c r="D2027" s="436" t="s">
        <v>1098</v>
      </c>
      <c r="E2027" s="436">
        <v>1</v>
      </c>
      <c r="F2027" s="465">
        <v>5.65</v>
      </c>
      <c r="G2027" s="466">
        <v>5.65</v>
      </c>
      <c r="H2027" s="466">
        <f>G2027/1.1</f>
        <v>5.1363636363636367</v>
      </c>
      <c r="I2027" s="436"/>
      <c r="J2027" s="465">
        <v>0</v>
      </c>
      <c r="K2027" s="465">
        <v>0</v>
      </c>
    </row>
    <row r="2028" spans="2:11" ht="19" customHeight="1">
      <c r="B2028" s="464">
        <v>46064</v>
      </c>
      <c r="C2028" s="436" t="s">
        <v>327</v>
      </c>
      <c r="D2028" s="436" t="s">
        <v>903</v>
      </c>
      <c r="E2028" s="436">
        <v>1</v>
      </c>
      <c r="F2028" s="465">
        <v>3.5</v>
      </c>
      <c r="G2028" s="466">
        <v>3.5</v>
      </c>
      <c r="H2028" s="466">
        <f>G2028/1.1</f>
        <v>3.1818181818181817</v>
      </c>
      <c r="I2028" s="436"/>
      <c r="J2028" s="465">
        <v>0</v>
      </c>
      <c r="K2028" s="465">
        <v>0</v>
      </c>
    </row>
    <row r="2029" spans="2:11" ht="19" customHeight="1">
      <c r="B2029" s="464">
        <v>46064</v>
      </c>
      <c r="C2029" s="436" t="s">
        <v>328</v>
      </c>
      <c r="D2029" s="436" t="s">
        <v>773</v>
      </c>
      <c r="E2029" s="436">
        <v>1</v>
      </c>
      <c r="F2029" s="465">
        <v>3.1</v>
      </c>
      <c r="G2029" s="466">
        <v>3.1</v>
      </c>
      <c r="H2029" s="466">
        <f>G2029/1.1</f>
        <v>2.8181818181818179</v>
      </c>
      <c r="I2029" s="436"/>
      <c r="J2029" s="465">
        <v>0</v>
      </c>
      <c r="K2029" s="465">
        <v>0</v>
      </c>
    </row>
    <row r="2030" spans="2:11" ht="19" customHeight="1">
      <c r="B2030" s="464">
        <v>46064</v>
      </c>
      <c r="C2030" s="436" t="s">
        <v>247</v>
      </c>
      <c r="D2030" s="436" t="s">
        <v>902</v>
      </c>
      <c r="E2030" s="436">
        <v>1</v>
      </c>
      <c r="F2030" s="465">
        <v>1.95</v>
      </c>
      <c r="G2030" s="466">
        <v>1.95</v>
      </c>
      <c r="H2030" s="466">
        <f>G2030/1.1</f>
        <v>1.7727272727272725</v>
      </c>
      <c r="I2030" s="436"/>
      <c r="J2030" s="465">
        <v>0</v>
      </c>
      <c r="K2030" s="465">
        <v>0</v>
      </c>
    </row>
    <row r="2031" spans="2:11" ht="19" customHeight="1">
      <c r="B2031" s="464">
        <v>46064</v>
      </c>
      <c r="C2031" s="436" t="s">
        <v>247</v>
      </c>
      <c r="D2031" s="436" t="s">
        <v>248</v>
      </c>
      <c r="E2031" s="436">
        <v>2</v>
      </c>
      <c r="F2031" s="465">
        <v>1.5</v>
      </c>
      <c r="G2031" s="466">
        <v>3</v>
      </c>
      <c r="H2031" s="466">
        <f>G2031/1.1</f>
        <v>2.7272727272727271</v>
      </c>
      <c r="I2031" s="436"/>
      <c r="J2031" s="465">
        <v>0</v>
      </c>
      <c r="K2031" s="465">
        <v>0</v>
      </c>
    </row>
    <row r="2032" spans="2:11" ht="19" customHeight="1">
      <c r="B2032" s="464">
        <v>46064</v>
      </c>
      <c r="C2032" s="436" t="s">
        <v>268</v>
      </c>
      <c r="D2032" s="436" t="s">
        <v>858</v>
      </c>
      <c r="E2032" s="436">
        <v>1</v>
      </c>
      <c r="F2032" s="465">
        <v>0.65</v>
      </c>
      <c r="G2032" s="466">
        <v>0.65</v>
      </c>
      <c r="H2032" s="466">
        <f>G2032/1.1</f>
        <v>0.59090909090909083</v>
      </c>
      <c r="I2032" s="436"/>
      <c r="J2032" s="465">
        <v>0</v>
      </c>
      <c r="K2032" s="465">
        <v>0</v>
      </c>
    </row>
    <row r="2033" spans="2:11" ht="19" customHeight="1">
      <c r="B2033" s="464">
        <v>46064</v>
      </c>
      <c r="C2033" s="436" t="s">
        <v>247</v>
      </c>
      <c r="D2033" s="436" t="s">
        <v>248</v>
      </c>
      <c r="E2033" s="436">
        <v>1</v>
      </c>
      <c r="F2033" s="465">
        <v>1.5</v>
      </c>
      <c r="G2033" s="466">
        <v>1.5</v>
      </c>
      <c r="H2033" s="466">
        <f>G2033/1.1</f>
        <v>1.3636363636363635</v>
      </c>
      <c r="I2033" s="436"/>
      <c r="J2033" s="465">
        <v>0</v>
      </c>
      <c r="K2033" s="465">
        <v>0</v>
      </c>
    </row>
    <row r="2034" spans="2:11" ht="19" customHeight="1">
      <c r="B2034" s="464">
        <v>46064</v>
      </c>
      <c r="C2034" s="436" t="s">
        <v>247</v>
      </c>
      <c r="D2034" s="436" t="s">
        <v>248</v>
      </c>
      <c r="E2034" s="436">
        <v>1</v>
      </c>
      <c r="F2034" s="465">
        <v>1.5</v>
      </c>
      <c r="G2034" s="466">
        <v>1.5</v>
      </c>
      <c r="H2034" s="466">
        <f>G2034/1.1</f>
        <v>1.3636363636363635</v>
      </c>
      <c r="I2034" s="436"/>
      <c r="J2034" s="465">
        <v>0</v>
      </c>
      <c r="K2034" s="465">
        <v>0</v>
      </c>
    </row>
    <row r="2035" spans="2:11" ht="19" customHeight="1">
      <c r="B2035" s="464">
        <v>46064</v>
      </c>
      <c r="C2035" s="436" t="s">
        <v>268</v>
      </c>
      <c r="D2035" s="436" t="s">
        <v>906</v>
      </c>
      <c r="E2035" s="436">
        <v>1</v>
      </c>
      <c r="F2035" s="465">
        <v>1.5</v>
      </c>
      <c r="G2035" s="466">
        <v>1.5</v>
      </c>
      <c r="H2035" s="466">
        <f>G2035/1.1</f>
        <v>1.3636363636363635</v>
      </c>
      <c r="I2035" s="436"/>
      <c r="J2035" s="465">
        <v>0</v>
      </c>
      <c r="K2035" s="465">
        <v>0</v>
      </c>
    </row>
    <row r="2036" spans="2:11" ht="19" customHeight="1">
      <c r="B2036" s="464">
        <v>46064</v>
      </c>
      <c r="C2036" s="436" t="s">
        <v>247</v>
      </c>
      <c r="D2036" s="436" t="s">
        <v>246</v>
      </c>
      <c r="E2036" s="436">
        <v>1</v>
      </c>
      <c r="F2036" s="465">
        <v>1.7</v>
      </c>
      <c r="G2036" s="466">
        <v>1.7</v>
      </c>
      <c r="H2036" s="466">
        <f>G2036/1.1</f>
        <v>1.5454545454545452</v>
      </c>
      <c r="I2036" s="436"/>
      <c r="J2036" s="465">
        <v>0</v>
      </c>
      <c r="K2036" s="465">
        <v>0</v>
      </c>
    </row>
    <row r="2037" spans="2:11" ht="19" customHeight="1">
      <c r="B2037" s="464">
        <v>46064</v>
      </c>
      <c r="C2037" s="436" t="s">
        <v>328</v>
      </c>
      <c r="D2037" s="436" t="s">
        <v>773</v>
      </c>
      <c r="E2037" s="436">
        <v>1</v>
      </c>
      <c r="F2037" s="465">
        <v>3.1</v>
      </c>
      <c r="G2037" s="466">
        <v>3.1</v>
      </c>
      <c r="H2037" s="466">
        <f>G2037/1.1</f>
        <v>2.8181818181818179</v>
      </c>
      <c r="I2037" s="436"/>
      <c r="J2037" s="465">
        <v>0</v>
      </c>
      <c r="K2037" s="465">
        <v>0</v>
      </c>
    </row>
    <row r="2038" spans="2:11" ht="19" customHeight="1">
      <c r="B2038" s="464">
        <v>46064</v>
      </c>
      <c r="C2038" s="436" t="s">
        <v>247</v>
      </c>
      <c r="D2038" s="436" t="s">
        <v>246</v>
      </c>
      <c r="E2038" s="436">
        <v>1</v>
      </c>
      <c r="F2038" s="465">
        <v>1.7</v>
      </c>
      <c r="G2038" s="466">
        <v>1.7</v>
      </c>
      <c r="H2038" s="466">
        <f>G2038/1.1</f>
        <v>1.5454545454545452</v>
      </c>
      <c r="I2038" s="436"/>
      <c r="J2038" s="465">
        <v>0</v>
      </c>
      <c r="K2038" s="465">
        <v>0</v>
      </c>
    </row>
    <row r="2039" spans="2:11" ht="19" customHeight="1">
      <c r="B2039" s="464">
        <v>46064</v>
      </c>
      <c r="C2039" s="436" t="s">
        <v>328</v>
      </c>
      <c r="D2039" s="436" t="s">
        <v>773</v>
      </c>
      <c r="E2039" s="436">
        <v>1</v>
      </c>
      <c r="F2039" s="465">
        <v>3.1</v>
      </c>
      <c r="G2039" s="466">
        <v>3.1</v>
      </c>
      <c r="H2039" s="466">
        <f>G2039/1.1</f>
        <v>2.8181818181818179</v>
      </c>
      <c r="I2039" s="436"/>
      <c r="J2039" s="465">
        <v>0</v>
      </c>
      <c r="K2039" s="465">
        <v>0</v>
      </c>
    </row>
    <row r="2040" spans="2:11" ht="19" customHeight="1">
      <c r="B2040" s="464">
        <v>46064</v>
      </c>
      <c r="C2040" s="436" t="s">
        <v>247</v>
      </c>
      <c r="D2040" s="436" t="s">
        <v>246</v>
      </c>
      <c r="E2040" s="436">
        <v>1</v>
      </c>
      <c r="F2040" s="465">
        <v>1.7</v>
      </c>
      <c r="G2040" s="466">
        <v>1.7</v>
      </c>
      <c r="H2040" s="466">
        <f>G2040/1.1</f>
        <v>1.5454545454545452</v>
      </c>
      <c r="I2040" s="436"/>
      <c r="J2040" s="465">
        <v>0</v>
      </c>
      <c r="K2040" s="465">
        <v>0</v>
      </c>
    </row>
    <row r="2041" spans="2:11" ht="19" customHeight="1">
      <c r="B2041" s="464">
        <v>46064</v>
      </c>
      <c r="C2041" s="436" t="s">
        <v>268</v>
      </c>
      <c r="D2041" s="436" t="s">
        <v>860</v>
      </c>
      <c r="E2041" s="436">
        <v>1</v>
      </c>
      <c r="F2041" s="465">
        <v>2.25</v>
      </c>
      <c r="G2041" s="466">
        <v>2.25</v>
      </c>
      <c r="H2041" s="466">
        <f>G2041/1.1</f>
        <v>2.0454545454545454</v>
      </c>
      <c r="I2041" s="436"/>
      <c r="J2041" s="465">
        <v>0</v>
      </c>
      <c r="K2041" s="465">
        <v>0</v>
      </c>
    </row>
    <row r="2042" spans="2:11" ht="19" customHeight="1">
      <c r="B2042" s="464">
        <v>46064</v>
      </c>
      <c r="C2042" s="436" t="s">
        <v>247</v>
      </c>
      <c r="D2042" s="436" t="s">
        <v>257</v>
      </c>
      <c r="E2042" s="436">
        <v>2</v>
      </c>
      <c r="F2042" s="465">
        <v>1.4</v>
      </c>
      <c r="G2042" s="466">
        <v>2.8</v>
      </c>
      <c r="H2042" s="466">
        <f>G2042/1.1</f>
        <v>2.545454545454545</v>
      </c>
      <c r="I2042" s="436"/>
      <c r="J2042" s="465">
        <v>0</v>
      </c>
      <c r="K2042" s="465">
        <v>0</v>
      </c>
    </row>
    <row r="2043" spans="2:11" ht="19" customHeight="1">
      <c r="B2043" s="464">
        <v>46064</v>
      </c>
      <c r="C2043" s="436" t="s">
        <v>247</v>
      </c>
      <c r="D2043" s="436" t="s">
        <v>248</v>
      </c>
      <c r="E2043" s="436">
        <v>1</v>
      </c>
      <c r="F2043" s="465">
        <v>1.65</v>
      </c>
      <c r="G2043" s="466">
        <v>1.65</v>
      </c>
      <c r="H2043" s="466">
        <f>G2043/1.1</f>
        <v>1.4999999999999998</v>
      </c>
      <c r="I2043" s="436"/>
      <c r="J2043" s="465">
        <v>0</v>
      </c>
      <c r="K2043" s="465">
        <v>0</v>
      </c>
    </row>
    <row r="2044" spans="2:11" ht="19" customHeight="1">
      <c r="B2044" s="464">
        <v>46065</v>
      </c>
      <c r="C2044" s="436" t="s">
        <v>254</v>
      </c>
      <c r="D2044" s="436" t="s">
        <v>254</v>
      </c>
      <c r="E2044" s="436">
        <v>2</v>
      </c>
      <c r="F2044" s="465">
        <v>14.9</v>
      </c>
      <c r="G2044" s="466">
        <v>29.8</v>
      </c>
      <c r="H2044" s="466">
        <f>G2044/1.1</f>
        <v>27.09090909090909</v>
      </c>
      <c r="I2044" s="436"/>
      <c r="J2044" s="465">
        <v>0</v>
      </c>
      <c r="K2044" s="465">
        <v>0</v>
      </c>
    </row>
    <row r="2045" spans="2:11" ht="19" customHeight="1">
      <c r="B2045" s="464">
        <v>46065</v>
      </c>
      <c r="C2045" s="436" t="s">
        <v>873</v>
      </c>
      <c r="D2045" s="436" t="s">
        <v>914</v>
      </c>
      <c r="E2045" s="436">
        <v>1</v>
      </c>
      <c r="F2045" s="469"/>
      <c r="G2045" s="468" t="s">
        <v>875</v>
      </c>
      <c r="H2045" s="466" t="e">
        <f>G2045/1.1</f>
        <v>#VALUE!</v>
      </c>
      <c r="I2045" s="436"/>
      <c r="J2045" s="465">
        <v>0</v>
      </c>
      <c r="K2045" s="465">
        <v>0</v>
      </c>
    </row>
    <row r="2046" spans="2:11" ht="19" customHeight="1">
      <c r="B2046" s="464">
        <v>46065</v>
      </c>
      <c r="C2046" s="436" t="s">
        <v>873</v>
      </c>
      <c r="D2046" s="436" t="s">
        <v>987</v>
      </c>
      <c r="E2046" s="436">
        <v>1</v>
      </c>
      <c r="F2046" s="465">
        <v>5</v>
      </c>
      <c r="G2046" s="466">
        <v>5</v>
      </c>
      <c r="H2046" s="466">
        <f>G2046/1.1</f>
        <v>4.545454545454545</v>
      </c>
      <c r="I2046" s="436"/>
      <c r="J2046" s="465">
        <v>0</v>
      </c>
      <c r="K2046" s="465">
        <v>0</v>
      </c>
    </row>
    <row r="2047" spans="2:11" ht="19" customHeight="1">
      <c r="B2047" s="464">
        <v>46065</v>
      </c>
      <c r="C2047" s="436" t="s">
        <v>877</v>
      </c>
      <c r="D2047" s="436" t="s">
        <v>1093</v>
      </c>
      <c r="E2047" s="436">
        <v>1</v>
      </c>
      <c r="F2047" s="469"/>
      <c r="G2047" s="468" t="s">
        <v>875</v>
      </c>
      <c r="H2047" s="466" t="e">
        <f>G2047/1.1</f>
        <v>#VALUE!</v>
      </c>
      <c r="I2047" s="436"/>
      <c r="J2047" s="465">
        <v>0</v>
      </c>
      <c r="K2047" s="465">
        <v>0</v>
      </c>
    </row>
    <row r="2048" spans="2:11" ht="19" customHeight="1">
      <c r="B2048" s="464">
        <v>46065</v>
      </c>
      <c r="C2048" s="436" t="s">
        <v>877</v>
      </c>
      <c r="D2048" s="436" t="s">
        <v>1096</v>
      </c>
      <c r="E2048" s="436">
        <v>1</v>
      </c>
      <c r="F2048" s="469"/>
      <c r="G2048" s="468" t="s">
        <v>875</v>
      </c>
      <c r="H2048" s="466" t="e">
        <f>G2048/1.1</f>
        <v>#VALUE!</v>
      </c>
      <c r="I2048" s="436"/>
      <c r="J2048" s="465">
        <v>0</v>
      </c>
      <c r="K2048" s="465">
        <v>0</v>
      </c>
    </row>
    <row r="2049" spans="2:11" ht="19" customHeight="1">
      <c r="B2049" s="464">
        <v>46065</v>
      </c>
      <c r="C2049" s="436" t="s">
        <v>266</v>
      </c>
      <c r="D2049" s="436" t="s">
        <v>1099</v>
      </c>
      <c r="E2049" s="436">
        <v>2</v>
      </c>
      <c r="F2049" s="469"/>
      <c r="G2049" s="468" t="s">
        <v>875</v>
      </c>
      <c r="H2049" s="466" t="e">
        <f>G2049/1.1</f>
        <v>#VALUE!</v>
      </c>
      <c r="I2049" s="436"/>
      <c r="J2049" s="465">
        <v>0</v>
      </c>
      <c r="K2049" s="465">
        <v>0</v>
      </c>
    </row>
    <row r="2050" spans="2:11" ht="19" customHeight="1">
      <c r="B2050" s="464">
        <v>46065</v>
      </c>
      <c r="C2050" s="436" t="s">
        <v>258</v>
      </c>
      <c r="D2050" s="436" t="s">
        <v>936</v>
      </c>
      <c r="E2050" s="436">
        <v>1</v>
      </c>
      <c r="F2050" s="469"/>
      <c r="G2050" s="468" t="s">
        <v>875</v>
      </c>
      <c r="H2050" s="466" t="e">
        <f>G2050/1.1</f>
        <v>#VALUE!</v>
      </c>
      <c r="I2050" s="436"/>
      <c r="J2050" s="465">
        <v>0</v>
      </c>
      <c r="K2050" s="465">
        <v>0</v>
      </c>
    </row>
    <row r="2051" spans="2:11" ht="19" customHeight="1">
      <c r="B2051" s="464">
        <v>46065</v>
      </c>
      <c r="C2051" s="436" t="s">
        <v>258</v>
      </c>
      <c r="D2051" s="436" t="s">
        <v>257</v>
      </c>
      <c r="E2051" s="436">
        <v>1</v>
      </c>
      <c r="F2051" s="469"/>
      <c r="G2051" s="468" t="s">
        <v>875</v>
      </c>
      <c r="H2051" s="466" t="e">
        <f>G2051/1.1</f>
        <v>#VALUE!</v>
      </c>
      <c r="I2051" s="436"/>
      <c r="J2051" s="465">
        <v>0</v>
      </c>
      <c r="K2051" s="465">
        <v>0</v>
      </c>
    </row>
    <row r="2052" spans="2:11" ht="19" customHeight="1">
      <c r="B2052" s="464">
        <v>46065</v>
      </c>
      <c r="C2052" s="436" t="s">
        <v>247</v>
      </c>
      <c r="D2052" s="436" t="s">
        <v>246</v>
      </c>
      <c r="E2052" s="436">
        <v>1</v>
      </c>
      <c r="F2052" s="465">
        <v>1.7</v>
      </c>
      <c r="G2052" s="466">
        <v>1.7</v>
      </c>
      <c r="H2052" s="466">
        <f>G2052/1.1</f>
        <v>1.5454545454545452</v>
      </c>
      <c r="I2052" s="436"/>
      <c r="J2052" s="465">
        <v>0</v>
      </c>
      <c r="K2052" s="465">
        <v>0</v>
      </c>
    </row>
    <row r="2053" spans="2:11" ht="19" customHeight="1">
      <c r="B2053" s="464">
        <v>46065</v>
      </c>
      <c r="C2053" s="436" t="s">
        <v>247</v>
      </c>
      <c r="D2053" s="436" t="s">
        <v>246</v>
      </c>
      <c r="E2053" s="436">
        <v>1</v>
      </c>
      <c r="F2053" s="465">
        <v>1.7</v>
      </c>
      <c r="G2053" s="466">
        <v>1.7</v>
      </c>
      <c r="H2053" s="466">
        <f>G2053/1.1</f>
        <v>1.5454545454545452</v>
      </c>
      <c r="I2053" s="436"/>
      <c r="J2053" s="465">
        <v>0</v>
      </c>
      <c r="K2053" s="465">
        <v>0</v>
      </c>
    </row>
    <row r="2054" spans="2:11" ht="19" customHeight="1">
      <c r="B2054" s="464">
        <v>46065</v>
      </c>
      <c r="C2054" s="436" t="s">
        <v>247</v>
      </c>
      <c r="D2054" s="436" t="s">
        <v>248</v>
      </c>
      <c r="E2054" s="436">
        <v>1</v>
      </c>
      <c r="F2054" s="465">
        <v>1.5</v>
      </c>
      <c r="G2054" s="466">
        <v>1.5</v>
      </c>
      <c r="H2054" s="466">
        <f>G2054/1.1</f>
        <v>1.3636363636363635</v>
      </c>
      <c r="I2054" s="436"/>
      <c r="J2054" s="465">
        <v>0</v>
      </c>
      <c r="K2054" s="465">
        <v>0</v>
      </c>
    </row>
    <row r="2055" spans="2:11" ht="19" customHeight="1">
      <c r="B2055" s="464">
        <v>46065</v>
      </c>
      <c r="C2055" s="436" t="s">
        <v>251</v>
      </c>
      <c r="D2055" s="436" t="s">
        <v>926</v>
      </c>
      <c r="E2055" s="436">
        <v>1</v>
      </c>
      <c r="F2055" s="465">
        <v>2.65</v>
      </c>
      <c r="G2055" s="466">
        <v>2.65</v>
      </c>
      <c r="H2055" s="466">
        <f>G2055/1.1</f>
        <v>2.4090909090909087</v>
      </c>
      <c r="I2055" s="436"/>
      <c r="J2055" s="465">
        <v>0</v>
      </c>
      <c r="K2055" s="465">
        <v>0</v>
      </c>
    </row>
    <row r="2056" spans="2:11" ht="19" customHeight="1">
      <c r="B2056" s="464">
        <v>46065</v>
      </c>
      <c r="C2056" s="436" t="s">
        <v>256</v>
      </c>
      <c r="D2056" s="436" t="s">
        <v>754</v>
      </c>
      <c r="E2056" s="436">
        <v>1</v>
      </c>
      <c r="F2056" s="465">
        <v>4</v>
      </c>
      <c r="G2056" s="466">
        <v>4</v>
      </c>
      <c r="H2056" s="466">
        <f>G2056/1.1</f>
        <v>3.6363636363636362</v>
      </c>
      <c r="I2056" s="436"/>
      <c r="J2056" s="465">
        <v>0</v>
      </c>
      <c r="K2056" s="465">
        <v>0</v>
      </c>
    </row>
    <row r="2057" spans="2:11" ht="19" customHeight="1">
      <c r="B2057" s="464">
        <v>46065</v>
      </c>
      <c r="C2057" s="436" t="s">
        <v>264</v>
      </c>
      <c r="D2057" s="436" t="s">
        <v>930</v>
      </c>
      <c r="E2057" s="436">
        <v>1</v>
      </c>
      <c r="F2057" s="465">
        <v>3.5</v>
      </c>
      <c r="G2057" s="466">
        <v>3.5</v>
      </c>
      <c r="H2057" s="466">
        <f>G2057/1.1</f>
        <v>3.1818181818181817</v>
      </c>
      <c r="I2057" s="436"/>
      <c r="J2057" s="465">
        <v>0</v>
      </c>
      <c r="K2057" s="465">
        <v>0</v>
      </c>
    </row>
    <row r="2058" spans="2:11" ht="19" customHeight="1">
      <c r="B2058" s="464">
        <v>46065</v>
      </c>
      <c r="C2058" s="436" t="s">
        <v>256</v>
      </c>
      <c r="D2058" s="436" t="s">
        <v>675</v>
      </c>
      <c r="E2058" s="436">
        <v>1</v>
      </c>
      <c r="F2058" s="465">
        <v>5.5</v>
      </c>
      <c r="G2058" s="466">
        <v>5.5</v>
      </c>
      <c r="H2058" s="466">
        <f>G2058/1.1</f>
        <v>5</v>
      </c>
      <c r="I2058" s="436"/>
      <c r="J2058" s="465">
        <v>0</v>
      </c>
      <c r="K2058" s="465">
        <v>0</v>
      </c>
    </row>
    <row r="2059" spans="2:11" ht="19" customHeight="1">
      <c r="B2059" s="464">
        <v>46065</v>
      </c>
      <c r="C2059" s="436" t="s">
        <v>247</v>
      </c>
      <c r="D2059" s="436" t="s">
        <v>248</v>
      </c>
      <c r="E2059" s="436">
        <v>2</v>
      </c>
      <c r="F2059" s="465">
        <v>1.5</v>
      </c>
      <c r="G2059" s="466">
        <v>3</v>
      </c>
      <c r="H2059" s="466">
        <f>G2059/1.1</f>
        <v>2.7272727272727271</v>
      </c>
      <c r="I2059" s="436"/>
      <c r="J2059" s="465">
        <v>0</v>
      </c>
      <c r="K2059" s="465">
        <v>0</v>
      </c>
    </row>
    <row r="2060" spans="2:11" ht="19" customHeight="1">
      <c r="B2060" s="464">
        <v>46065</v>
      </c>
      <c r="C2060" s="436" t="s">
        <v>256</v>
      </c>
      <c r="D2060" s="436" t="s">
        <v>983</v>
      </c>
      <c r="E2060" s="436">
        <v>1</v>
      </c>
      <c r="F2060" s="465">
        <v>2.75</v>
      </c>
      <c r="G2060" s="466">
        <v>2.75</v>
      </c>
      <c r="H2060" s="466">
        <f>G2060/1.1</f>
        <v>2.5</v>
      </c>
      <c r="I2060" s="436"/>
      <c r="J2060" s="465">
        <v>0</v>
      </c>
      <c r="K2060" s="465">
        <v>0</v>
      </c>
    </row>
    <row r="2061" spans="2:11" ht="19" customHeight="1">
      <c r="B2061" s="464">
        <v>46065</v>
      </c>
      <c r="C2061" s="436" t="s">
        <v>253</v>
      </c>
      <c r="D2061" s="436" t="s">
        <v>869</v>
      </c>
      <c r="E2061" s="436">
        <v>1</v>
      </c>
      <c r="F2061" s="465">
        <v>2.5</v>
      </c>
      <c r="G2061" s="466">
        <v>2.5</v>
      </c>
      <c r="H2061" s="466">
        <f>G2061/1.1</f>
        <v>2.2727272727272725</v>
      </c>
      <c r="I2061" s="436"/>
      <c r="J2061" s="465">
        <v>0</v>
      </c>
      <c r="K2061" s="465">
        <v>0</v>
      </c>
    </row>
    <row r="2062" spans="2:11" ht="19" customHeight="1">
      <c r="B2062" s="464">
        <v>46065</v>
      </c>
      <c r="C2062" s="436" t="s">
        <v>276</v>
      </c>
      <c r="D2062" s="436" t="s">
        <v>995</v>
      </c>
      <c r="E2062" s="436">
        <v>1</v>
      </c>
      <c r="F2062" s="465">
        <v>3.05</v>
      </c>
      <c r="G2062" s="466">
        <v>3.05</v>
      </c>
      <c r="H2062" s="466">
        <f>G2062/1.1</f>
        <v>2.7727272727272725</v>
      </c>
      <c r="I2062" s="436"/>
      <c r="J2062" s="465">
        <v>0</v>
      </c>
      <c r="K2062" s="465">
        <v>0</v>
      </c>
    </row>
    <row r="2063" spans="2:11" ht="19" customHeight="1">
      <c r="B2063" s="464">
        <v>46065</v>
      </c>
      <c r="C2063" s="436" t="s">
        <v>247</v>
      </c>
      <c r="D2063" s="436" t="s">
        <v>248</v>
      </c>
      <c r="E2063" s="436">
        <v>1</v>
      </c>
      <c r="F2063" s="465">
        <v>1.5</v>
      </c>
      <c r="G2063" s="466">
        <v>1.5</v>
      </c>
      <c r="H2063" s="466">
        <f>G2063/1.1</f>
        <v>1.3636363636363635</v>
      </c>
      <c r="I2063" s="436"/>
      <c r="J2063" s="465">
        <v>0</v>
      </c>
      <c r="K2063" s="465">
        <v>0</v>
      </c>
    </row>
    <row r="2064" spans="2:11" ht="19" customHeight="1">
      <c r="B2064" s="464">
        <v>46065</v>
      </c>
      <c r="C2064" s="436" t="s">
        <v>251</v>
      </c>
      <c r="D2064" s="436" t="s">
        <v>1100</v>
      </c>
      <c r="E2064" s="436">
        <v>1</v>
      </c>
      <c r="F2064" s="465">
        <v>2.65</v>
      </c>
      <c r="G2064" s="466">
        <v>2.65</v>
      </c>
      <c r="H2064" s="466">
        <f>G2064/1.1</f>
        <v>2.4090909090909087</v>
      </c>
      <c r="I2064" s="436"/>
      <c r="J2064" s="465">
        <v>0</v>
      </c>
      <c r="K2064" s="465">
        <v>0</v>
      </c>
    </row>
    <row r="2065" spans="2:11" ht="19" customHeight="1">
      <c r="B2065" s="464">
        <v>46065</v>
      </c>
      <c r="C2065" s="436" t="s">
        <v>268</v>
      </c>
      <c r="D2065" s="436" t="s">
        <v>906</v>
      </c>
      <c r="E2065" s="436">
        <v>1</v>
      </c>
      <c r="F2065" s="465">
        <v>1.5</v>
      </c>
      <c r="G2065" s="466">
        <v>1.5</v>
      </c>
      <c r="H2065" s="466">
        <f>G2065/1.1</f>
        <v>1.3636363636363635</v>
      </c>
      <c r="I2065" s="436"/>
      <c r="J2065" s="465">
        <v>0</v>
      </c>
      <c r="K2065" s="465">
        <v>0</v>
      </c>
    </row>
    <row r="2066" spans="2:11" ht="19" customHeight="1">
      <c r="B2066" s="464">
        <v>46065</v>
      </c>
      <c r="C2066" s="436" t="s">
        <v>247</v>
      </c>
      <c r="D2066" s="436" t="s">
        <v>248</v>
      </c>
      <c r="E2066" s="436">
        <v>1</v>
      </c>
      <c r="F2066" s="465">
        <v>1.5</v>
      </c>
      <c r="G2066" s="466">
        <v>1.5</v>
      </c>
      <c r="H2066" s="466">
        <f>G2066/1.1</f>
        <v>1.3636363636363635</v>
      </c>
      <c r="I2066" s="436"/>
      <c r="J2066" s="465">
        <v>0</v>
      </c>
      <c r="K2066" s="465">
        <v>0</v>
      </c>
    </row>
    <row r="2067" spans="2:11" ht="19" customHeight="1">
      <c r="B2067" s="464">
        <v>46065</v>
      </c>
      <c r="C2067" s="436" t="s">
        <v>247</v>
      </c>
      <c r="D2067" s="436" t="s">
        <v>248</v>
      </c>
      <c r="E2067" s="436">
        <v>1</v>
      </c>
      <c r="F2067" s="465">
        <v>1.5</v>
      </c>
      <c r="G2067" s="466">
        <v>1.5</v>
      </c>
      <c r="H2067" s="466">
        <f>G2067/1.1</f>
        <v>1.3636363636363635</v>
      </c>
      <c r="I2067" s="436"/>
      <c r="J2067" s="465">
        <v>0</v>
      </c>
      <c r="K2067" s="465">
        <v>0</v>
      </c>
    </row>
    <row r="2068" spans="2:11" ht="19" customHeight="1">
      <c r="B2068" s="464">
        <v>46065</v>
      </c>
      <c r="C2068" s="436" t="s">
        <v>247</v>
      </c>
      <c r="D2068" s="436" t="s">
        <v>248</v>
      </c>
      <c r="E2068" s="436">
        <v>1</v>
      </c>
      <c r="F2068" s="465">
        <v>1.5</v>
      </c>
      <c r="G2068" s="466">
        <v>1.5</v>
      </c>
      <c r="H2068" s="466">
        <f>G2068/1.1</f>
        <v>1.3636363636363635</v>
      </c>
      <c r="I2068" s="436"/>
      <c r="J2068" s="465">
        <v>0</v>
      </c>
      <c r="K2068" s="465">
        <v>0</v>
      </c>
    </row>
    <row r="2069" spans="2:11" ht="19" customHeight="1">
      <c r="B2069" s="464">
        <v>46065</v>
      </c>
      <c r="C2069" s="436" t="s">
        <v>247</v>
      </c>
      <c r="D2069" s="436" t="s">
        <v>246</v>
      </c>
      <c r="E2069" s="436">
        <v>1</v>
      </c>
      <c r="F2069" s="465">
        <v>1.7</v>
      </c>
      <c r="G2069" s="466">
        <v>1.7</v>
      </c>
      <c r="H2069" s="466">
        <f>G2069/1.1</f>
        <v>1.5454545454545452</v>
      </c>
      <c r="I2069" s="436"/>
      <c r="J2069" s="465">
        <v>0</v>
      </c>
      <c r="K2069" s="465">
        <v>0</v>
      </c>
    </row>
    <row r="2070" spans="2:11" ht="19" customHeight="1">
      <c r="B2070" s="464">
        <v>46065</v>
      </c>
      <c r="C2070" s="436" t="s">
        <v>862</v>
      </c>
      <c r="D2070" s="436" t="s">
        <v>899</v>
      </c>
      <c r="E2070" s="436">
        <v>1</v>
      </c>
      <c r="F2070" s="465">
        <v>0.05</v>
      </c>
      <c r="G2070" s="466">
        <v>0.05</v>
      </c>
      <c r="H2070" s="466">
        <f>G2070/1.1</f>
        <v>4.5454545454545456E-2</v>
      </c>
      <c r="I2070" s="436"/>
      <c r="J2070" s="465">
        <v>0</v>
      </c>
      <c r="K2070" s="465">
        <v>0</v>
      </c>
    </row>
    <row r="2071" spans="2:11" ht="19" customHeight="1">
      <c r="B2071" s="464">
        <v>46065</v>
      </c>
      <c r="C2071" s="436" t="s">
        <v>247</v>
      </c>
      <c r="D2071" s="436" t="s">
        <v>246</v>
      </c>
      <c r="E2071" s="436">
        <v>1</v>
      </c>
      <c r="F2071" s="465">
        <v>1.7</v>
      </c>
      <c r="G2071" s="466">
        <v>1.7</v>
      </c>
      <c r="H2071" s="466">
        <f>G2071/1.1</f>
        <v>1.5454545454545452</v>
      </c>
      <c r="I2071" s="436"/>
      <c r="J2071" s="465">
        <v>0</v>
      </c>
      <c r="K2071" s="465">
        <v>0</v>
      </c>
    </row>
    <row r="2072" spans="2:11" ht="19" customHeight="1">
      <c r="B2072" s="464">
        <v>46065</v>
      </c>
      <c r="C2072" s="436" t="s">
        <v>247</v>
      </c>
      <c r="D2072" s="436" t="s">
        <v>246</v>
      </c>
      <c r="E2072" s="436">
        <v>1</v>
      </c>
      <c r="F2072" s="465">
        <v>1.7</v>
      </c>
      <c r="G2072" s="466">
        <v>1.7</v>
      </c>
      <c r="H2072" s="466">
        <f>G2072/1.1</f>
        <v>1.5454545454545452</v>
      </c>
      <c r="I2072" s="436"/>
      <c r="J2072" s="465">
        <v>0</v>
      </c>
      <c r="K2072" s="465">
        <v>0</v>
      </c>
    </row>
    <row r="2073" spans="2:11" ht="19" customHeight="1">
      <c r="B2073" s="464">
        <v>46065</v>
      </c>
      <c r="C2073" s="436" t="s">
        <v>247</v>
      </c>
      <c r="D2073" s="436" t="s">
        <v>246</v>
      </c>
      <c r="E2073" s="436">
        <v>1</v>
      </c>
      <c r="F2073" s="465">
        <v>1.7</v>
      </c>
      <c r="G2073" s="466">
        <v>1.7</v>
      </c>
      <c r="H2073" s="466">
        <f>G2073/1.1</f>
        <v>1.5454545454545452</v>
      </c>
      <c r="I2073" s="436"/>
      <c r="J2073" s="465">
        <v>0</v>
      </c>
      <c r="K2073" s="465">
        <v>0</v>
      </c>
    </row>
    <row r="2074" spans="2:11" ht="19" customHeight="1">
      <c r="B2074" s="464">
        <v>46065</v>
      </c>
      <c r="C2074" s="436" t="s">
        <v>328</v>
      </c>
      <c r="D2074" s="436" t="s">
        <v>739</v>
      </c>
      <c r="E2074" s="436">
        <v>1</v>
      </c>
      <c r="F2074" s="465">
        <v>5.85</v>
      </c>
      <c r="G2074" s="466">
        <v>5.85</v>
      </c>
      <c r="H2074" s="466">
        <f>G2074/1.1</f>
        <v>5.3181818181818175</v>
      </c>
      <c r="I2074" s="436"/>
      <c r="J2074" s="465">
        <v>0</v>
      </c>
      <c r="K2074" s="465">
        <v>0</v>
      </c>
    </row>
    <row r="2075" spans="2:11" ht="19" customHeight="1">
      <c r="B2075" s="464">
        <v>46065</v>
      </c>
      <c r="C2075" s="436" t="s">
        <v>247</v>
      </c>
      <c r="D2075" s="436" t="s">
        <v>246</v>
      </c>
      <c r="E2075" s="436">
        <v>1</v>
      </c>
      <c r="F2075" s="465">
        <v>1.7</v>
      </c>
      <c r="G2075" s="466">
        <v>1.7</v>
      </c>
      <c r="H2075" s="466">
        <f>G2075/1.1</f>
        <v>1.5454545454545452</v>
      </c>
      <c r="I2075" s="436"/>
      <c r="J2075" s="465">
        <v>0</v>
      </c>
      <c r="K2075" s="465">
        <v>0</v>
      </c>
    </row>
    <row r="2076" spans="2:11" ht="19" customHeight="1">
      <c r="B2076" s="464">
        <v>46065</v>
      </c>
      <c r="C2076" s="436" t="s">
        <v>247</v>
      </c>
      <c r="D2076" s="436" t="s">
        <v>855</v>
      </c>
      <c r="E2076" s="436">
        <v>1</v>
      </c>
      <c r="F2076" s="465">
        <v>2.5499999999999998</v>
      </c>
      <c r="G2076" s="466">
        <v>2.5499999999999998</v>
      </c>
      <c r="H2076" s="466">
        <f>G2076/1.1</f>
        <v>2.3181818181818179</v>
      </c>
      <c r="I2076" s="436"/>
      <c r="J2076" s="465">
        <v>0</v>
      </c>
      <c r="K2076" s="465">
        <v>0</v>
      </c>
    </row>
    <row r="2077" spans="2:11" ht="19" customHeight="1">
      <c r="B2077" s="464">
        <v>46065</v>
      </c>
      <c r="C2077" s="436" t="s">
        <v>268</v>
      </c>
      <c r="D2077" s="436" t="s">
        <v>859</v>
      </c>
      <c r="E2077" s="436">
        <v>1</v>
      </c>
      <c r="F2077" s="465">
        <v>0.75</v>
      </c>
      <c r="G2077" s="466">
        <v>0.75</v>
      </c>
      <c r="H2077" s="466">
        <f>G2077/1.1</f>
        <v>0.68181818181818177</v>
      </c>
      <c r="I2077" s="436"/>
      <c r="J2077" s="465">
        <v>0</v>
      </c>
      <c r="K2077" s="465">
        <v>0</v>
      </c>
    </row>
    <row r="2078" spans="2:11" ht="19" customHeight="1">
      <c r="B2078" s="464">
        <v>46065</v>
      </c>
      <c r="C2078" s="436" t="s">
        <v>247</v>
      </c>
      <c r="D2078" s="436" t="s">
        <v>246</v>
      </c>
      <c r="E2078" s="436">
        <v>1</v>
      </c>
      <c r="F2078" s="465">
        <v>1.7</v>
      </c>
      <c r="G2078" s="466">
        <v>1.7</v>
      </c>
      <c r="H2078" s="466">
        <f>G2078/1.1</f>
        <v>1.5454545454545452</v>
      </c>
      <c r="I2078" s="436"/>
      <c r="J2078" s="465">
        <v>0</v>
      </c>
      <c r="K2078" s="465">
        <v>0</v>
      </c>
    </row>
    <row r="2079" spans="2:11" ht="19" customHeight="1">
      <c r="B2079" s="464">
        <v>46065</v>
      </c>
      <c r="C2079" s="436" t="s">
        <v>247</v>
      </c>
      <c r="D2079" s="436" t="s">
        <v>257</v>
      </c>
      <c r="E2079" s="436">
        <v>1</v>
      </c>
      <c r="F2079" s="465">
        <v>1.4</v>
      </c>
      <c r="G2079" s="466">
        <v>1.4</v>
      </c>
      <c r="H2079" s="466">
        <f>G2079/1.1</f>
        <v>1.2727272727272725</v>
      </c>
      <c r="I2079" s="436"/>
      <c r="J2079" s="465">
        <v>0</v>
      </c>
      <c r="K2079" s="465">
        <v>0</v>
      </c>
    </row>
    <row r="2080" spans="2:11" ht="19" customHeight="1">
      <c r="B2080" s="464">
        <v>46065</v>
      </c>
      <c r="C2080" s="436" t="s">
        <v>247</v>
      </c>
      <c r="D2080" s="436" t="s">
        <v>902</v>
      </c>
      <c r="E2080" s="436">
        <v>1</v>
      </c>
      <c r="F2080" s="465">
        <v>1.95</v>
      </c>
      <c r="G2080" s="466">
        <v>1.95</v>
      </c>
      <c r="H2080" s="466">
        <f>G2080/1.1</f>
        <v>1.7727272727272725</v>
      </c>
      <c r="I2080" s="436"/>
      <c r="J2080" s="465">
        <v>0</v>
      </c>
      <c r="K2080" s="465">
        <v>0</v>
      </c>
    </row>
    <row r="2081" spans="2:11" ht="19" customHeight="1">
      <c r="B2081" s="464">
        <v>46065</v>
      </c>
      <c r="C2081" s="436" t="s">
        <v>328</v>
      </c>
      <c r="D2081" s="436" t="s">
        <v>773</v>
      </c>
      <c r="E2081" s="436">
        <v>1</v>
      </c>
      <c r="F2081" s="465">
        <v>3.1</v>
      </c>
      <c r="G2081" s="466">
        <v>3.1</v>
      </c>
      <c r="H2081" s="466">
        <f>G2081/1.1</f>
        <v>2.8181818181818179</v>
      </c>
      <c r="I2081" s="436"/>
      <c r="J2081" s="465">
        <v>0</v>
      </c>
      <c r="K2081" s="465">
        <v>0</v>
      </c>
    </row>
    <row r="2082" spans="2:11" ht="19" customHeight="1">
      <c r="B2082" s="464">
        <v>46065</v>
      </c>
      <c r="C2082" s="436" t="s">
        <v>862</v>
      </c>
      <c r="D2082" s="436" t="s">
        <v>865</v>
      </c>
      <c r="E2082" s="436">
        <v>1</v>
      </c>
      <c r="F2082" s="465">
        <v>0.05</v>
      </c>
      <c r="G2082" s="466">
        <v>0.05</v>
      </c>
      <c r="H2082" s="466">
        <f>G2082/1.1</f>
        <v>4.5454545454545456E-2</v>
      </c>
      <c r="I2082" s="436"/>
      <c r="J2082" s="465">
        <v>0</v>
      </c>
      <c r="K2082" s="465">
        <v>0</v>
      </c>
    </row>
    <row r="2083" spans="2:11" ht="19" customHeight="1">
      <c r="B2083" s="464">
        <v>46065</v>
      </c>
      <c r="C2083" s="436" t="s">
        <v>268</v>
      </c>
      <c r="D2083" s="436" t="s">
        <v>859</v>
      </c>
      <c r="E2083" s="436">
        <v>1</v>
      </c>
      <c r="F2083" s="465">
        <v>0.75</v>
      </c>
      <c r="G2083" s="466">
        <v>0.75</v>
      </c>
      <c r="H2083" s="466">
        <f>G2083/1.1</f>
        <v>0.68181818181818177</v>
      </c>
      <c r="I2083" s="436"/>
      <c r="J2083" s="465">
        <v>0</v>
      </c>
      <c r="K2083" s="465">
        <v>0</v>
      </c>
    </row>
    <row r="2084" spans="2:11" ht="19" customHeight="1">
      <c r="B2084" s="464">
        <v>46065</v>
      </c>
      <c r="C2084" s="436" t="s">
        <v>247</v>
      </c>
      <c r="D2084" s="436" t="s">
        <v>246</v>
      </c>
      <c r="E2084" s="436">
        <v>1</v>
      </c>
      <c r="F2084" s="465">
        <v>1.7</v>
      </c>
      <c r="G2084" s="466">
        <v>1.7</v>
      </c>
      <c r="H2084" s="466">
        <f>G2084/1.1</f>
        <v>1.5454545454545452</v>
      </c>
      <c r="I2084" s="436"/>
      <c r="J2084" s="465">
        <v>0</v>
      </c>
      <c r="K2084" s="465">
        <v>0</v>
      </c>
    </row>
    <row r="2085" spans="2:11" ht="19" customHeight="1">
      <c r="B2085" s="464">
        <v>46065</v>
      </c>
      <c r="C2085" s="436" t="s">
        <v>247</v>
      </c>
      <c r="D2085" s="436" t="s">
        <v>257</v>
      </c>
      <c r="E2085" s="436">
        <v>1</v>
      </c>
      <c r="F2085" s="465">
        <v>1.4</v>
      </c>
      <c r="G2085" s="466">
        <v>1.4</v>
      </c>
      <c r="H2085" s="466">
        <f>G2085/1.1</f>
        <v>1.2727272727272725</v>
      </c>
      <c r="I2085" s="436"/>
      <c r="J2085" s="465">
        <v>0</v>
      </c>
      <c r="K2085" s="465">
        <v>0</v>
      </c>
    </row>
    <row r="2086" spans="2:11" ht="19" customHeight="1">
      <c r="B2086" s="464">
        <v>46065</v>
      </c>
      <c r="C2086" s="436" t="s">
        <v>247</v>
      </c>
      <c r="D2086" s="436" t="s">
        <v>246</v>
      </c>
      <c r="E2086" s="436">
        <v>1</v>
      </c>
      <c r="F2086" s="465">
        <v>1.7</v>
      </c>
      <c r="G2086" s="466">
        <v>1.7</v>
      </c>
      <c r="H2086" s="466">
        <f>G2086/1.1</f>
        <v>1.5454545454545452</v>
      </c>
      <c r="I2086" s="436"/>
      <c r="J2086" s="465">
        <v>0</v>
      </c>
      <c r="K2086" s="465">
        <v>0</v>
      </c>
    </row>
    <row r="2087" spans="2:11" ht="19" customHeight="1">
      <c r="B2087" s="464">
        <v>46065</v>
      </c>
      <c r="C2087" s="436" t="s">
        <v>862</v>
      </c>
      <c r="D2087" s="436" t="s">
        <v>899</v>
      </c>
      <c r="E2087" s="436">
        <v>1</v>
      </c>
      <c r="F2087" s="465">
        <v>0.05</v>
      </c>
      <c r="G2087" s="466">
        <v>0.05</v>
      </c>
      <c r="H2087" s="466">
        <f>G2087/1.1</f>
        <v>4.5454545454545456E-2</v>
      </c>
      <c r="I2087" s="436"/>
      <c r="J2087" s="465">
        <v>0</v>
      </c>
      <c r="K2087" s="465">
        <v>0</v>
      </c>
    </row>
    <row r="2088" spans="2:11" ht="19" customHeight="1">
      <c r="B2088" s="464">
        <v>46065</v>
      </c>
      <c r="C2088" s="436" t="s">
        <v>327</v>
      </c>
      <c r="D2088" s="436" t="s">
        <v>1101</v>
      </c>
      <c r="E2088" s="436">
        <v>1</v>
      </c>
      <c r="F2088" s="465">
        <v>3.5</v>
      </c>
      <c r="G2088" s="466">
        <v>3.5</v>
      </c>
      <c r="H2088" s="466">
        <f>G2088/1.1</f>
        <v>3.1818181818181817</v>
      </c>
      <c r="I2088" s="436"/>
      <c r="J2088" s="465">
        <v>0</v>
      </c>
      <c r="K2088" s="465">
        <v>0</v>
      </c>
    </row>
    <row r="2089" spans="2:11" ht="19" customHeight="1">
      <c r="B2089" s="464">
        <v>46065</v>
      </c>
      <c r="C2089" s="436" t="s">
        <v>247</v>
      </c>
      <c r="D2089" s="436" t="s">
        <v>246</v>
      </c>
      <c r="E2089" s="436">
        <v>2</v>
      </c>
      <c r="F2089" s="465">
        <v>1.7</v>
      </c>
      <c r="G2089" s="466">
        <v>3.4</v>
      </c>
      <c r="H2089" s="466">
        <f>G2089/1.1</f>
        <v>3.0909090909090904</v>
      </c>
      <c r="I2089" s="436"/>
      <c r="J2089" s="465">
        <v>0</v>
      </c>
      <c r="K2089" s="465">
        <v>0</v>
      </c>
    </row>
    <row r="2090" spans="2:11" ht="19" customHeight="1">
      <c r="B2090" s="464">
        <v>46065</v>
      </c>
      <c r="C2090" s="436" t="s">
        <v>247</v>
      </c>
      <c r="D2090" s="436" t="s">
        <v>257</v>
      </c>
      <c r="E2090" s="436">
        <v>1</v>
      </c>
      <c r="F2090" s="465">
        <v>1.4</v>
      </c>
      <c r="G2090" s="466">
        <v>1.4</v>
      </c>
      <c r="H2090" s="466">
        <f>G2090/1.1</f>
        <v>1.2727272727272725</v>
      </c>
      <c r="I2090" s="436"/>
      <c r="J2090" s="465">
        <v>0</v>
      </c>
      <c r="K2090" s="465">
        <v>0</v>
      </c>
    </row>
    <row r="2091" spans="2:11" ht="19" customHeight="1">
      <c r="B2091" s="464">
        <v>46065</v>
      </c>
      <c r="C2091" s="436" t="s">
        <v>862</v>
      </c>
      <c r="D2091" s="436" t="s">
        <v>1102</v>
      </c>
      <c r="E2091" s="436">
        <v>1</v>
      </c>
      <c r="F2091" s="465">
        <v>0.15</v>
      </c>
      <c r="G2091" s="466">
        <v>0.15</v>
      </c>
      <c r="H2091" s="466">
        <f>G2091/1.1</f>
        <v>0.13636363636363635</v>
      </c>
      <c r="I2091" s="436"/>
      <c r="J2091" s="465">
        <v>0</v>
      </c>
      <c r="K2091" s="465">
        <v>0</v>
      </c>
    </row>
    <row r="2092" spans="2:11" ht="19" customHeight="1">
      <c r="B2092" s="464">
        <v>46065</v>
      </c>
      <c r="C2092" s="436" t="s">
        <v>247</v>
      </c>
      <c r="D2092" s="436" t="s">
        <v>248</v>
      </c>
      <c r="E2092" s="436">
        <v>1</v>
      </c>
      <c r="F2092" s="465">
        <v>1.5</v>
      </c>
      <c r="G2092" s="466">
        <v>1.5</v>
      </c>
      <c r="H2092" s="466">
        <f>G2092/1.1</f>
        <v>1.3636363636363635</v>
      </c>
      <c r="I2092" s="436"/>
      <c r="J2092" s="465">
        <v>0</v>
      </c>
      <c r="K2092" s="465">
        <v>0</v>
      </c>
    </row>
    <row r="2093" spans="2:11" ht="19" customHeight="1">
      <c r="B2093" s="464">
        <v>46065</v>
      </c>
      <c r="C2093" s="436" t="s">
        <v>247</v>
      </c>
      <c r="D2093" s="436" t="s">
        <v>246</v>
      </c>
      <c r="E2093" s="436">
        <v>2</v>
      </c>
      <c r="F2093" s="465">
        <v>1.7</v>
      </c>
      <c r="G2093" s="466">
        <v>3.4</v>
      </c>
      <c r="H2093" s="466">
        <f>G2093/1.1</f>
        <v>3.0909090909090904</v>
      </c>
      <c r="I2093" s="436"/>
      <c r="J2093" s="465">
        <v>0</v>
      </c>
      <c r="K2093" s="465">
        <v>0</v>
      </c>
    </row>
    <row r="2094" spans="2:11" ht="19" customHeight="1">
      <c r="B2094" s="464">
        <v>46065</v>
      </c>
      <c r="C2094" s="436" t="s">
        <v>247</v>
      </c>
      <c r="D2094" s="436" t="s">
        <v>257</v>
      </c>
      <c r="E2094" s="436">
        <v>1</v>
      </c>
      <c r="F2094" s="465">
        <v>1.4</v>
      </c>
      <c r="G2094" s="466">
        <v>1.4</v>
      </c>
      <c r="H2094" s="466">
        <f>G2094/1.1</f>
        <v>1.2727272727272725</v>
      </c>
      <c r="I2094" s="436"/>
      <c r="J2094" s="465">
        <v>0</v>
      </c>
      <c r="K2094" s="465">
        <v>0</v>
      </c>
    </row>
    <row r="2095" spans="2:11" ht="19" customHeight="1">
      <c r="B2095" s="464">
        <v>46065</v>
      </c>
      <c r="C2095" s="436" t="s">
        <v>247</v>
      </c>
      <c r="D2095" s="436" t="s">
        <v>246</v>
      </c>
      <c r="E2095" s="436">
        <v>2</v>
      </c>
      <c r="F2095" s="465">
        <v>1.7</v>
      </c>
      <c r="G2095" s="466">
        <v>3.4</v>
      </c>
      <c r="H2095" s="466">
        <f>G2095/1.1</f>
        <v>3.0909090909090904</v>
      </c>
      <c r="I2095" s="436"/>
      <c r="J2095" s="465">
        <v>0</v>
      </c>
      <c r="K2095" s="465">
        <v>0</v>
      </c>
    </row>
    <row r="2096" spans="2:11" ht="19" customHeight="1">
      <c r="B2096" s="464">
        <v>46065</v>
      </c>
      <c r="C2096" s="436" t="s">
        <v>862</v>
      </c>
      <c r="D2096" s="436" t="s">
        <v>1102</v>
      </c>
      <c r="E2096" s="436">
        <v>2</v>
      </c>
      <c r="F2096" s="465">
        <v>0.15</v>
      </c>
      <c r="G2096" s="466">
        <v>0.3</v>
      </c>
      <c r="H2096" s="466">
        <f>G2096/1.1</f>
        <v>0.27272727272727271</v>
      </c>
      <c r="I2096" s="436"/>
      <c r="J2096" s="465">
        <v>0</v>
      </c>
      <c r="K2096" s="465">
        <v>0</v>
      </c>
    </row>
    <row r="2097" spans="2:11" ht="19" customHeight="1">
      <c r="B2097" s="464">
        <v>46065</v>
      </c>
      <c r="C2097" s="436" t="s">
        <v>247</v>
      </c>
      <c r="D2097" s="436" t="s">
        <v>248</v>
      </c>
      <c r="E2097" s="436">
        <v>1</v>
      </c>
      <c r="F2097" s="465">
        <v>1.5</v>
      </c>
      <c r="G2097" s="466">
        <v>1.5</v>
      </c>
      <c r="H2097" s="466">
        <f>G2097/1.1</f>
        <v>1.3636363636363635</v>
      </c>
      <c r="I2097" s="436"/>
      <c r="J2097" s="465">
        <v>0</v>
      </c>
      <c r="K2097" s="465">
        <v>0</v>
      </c>
    </row>
    <row r="2098" spans="2:11" ht="19" customHeight="1">
      <c r="B2098" s="464">
        <v>46065</v>
      </c>
      <c r="C2098" s="436" t="s">
        <v>247</v>
      </c>
      <c r="D2098" s="436" t="s">
        <v>248</v>
      </c>
      <c r="E2098" s="436">
        <v>1</v>
      </c>
      <c r="F2098" s="465">
        <v>1.5</v>
      </c>
      <c r="G2098" s="466">
        <v>1.5</v>
      </c>
      <c r="H2098" s="466">
        <f>G2098/1.1</f>
        <v>1.3636363636363635</v>
      </c>
      <c r="I2098" s="436"/>
      <c r="J2098" s="465">
        <v>0</v>
      </c>
      <c r="K2098" s="465">
        <v>0</v>
      </c>
    </row>
    <row r="2099" spans="2:11" ht="19" customHeight="1">
      <c r="B2099" s="464">
        <v>46065</v>
      </c>
      <c r="C2099" s="436" t="s">
        <v>247</v>
      </c>
      <c r="D2099" s="436" t="s">
        <v>248</v>
      </c>
      <c r="E2099" s="436">
        <v>1</v>
      </c>
      <c r="F2099" s="465">
        <v>1.5</v>
      </c>
      <c r="G2099" s="466">
        <v>1.5</v>
      </c>
      <c r="H2099" s="466">
        <f>G2099/1.1</f>
        <v>1.3636363636363635</v>
      </c>
      <c r="I2099" s="436"/>
      <c r="J2099" s="465">
        <v>0</v>
      </c>
      <c r="K2099" s="465">
        <v>0</v>
      </c>
    </row>
    <row r="2100" spans="2:11" ht="19" customHeight="1">
      <c r="B2100" s="464">
        <v>46065</v>
      </c>
      <c r="C2100" s="436" t="s">
        <v>251</v>
      </c>
      <c r="D2100" s="436" t="s">
        <v>1103</v>
      </c>
      <c r="E2100" s="436">
        <v>1</v>
      </c>
      <c r="F2100" s="465">
        <v>2.1</v>
      </c>
      <c r="G2100" s="466">
        <v>2.1</v>
      </c>
      <c r="H2100" s="466">
        <f>G2100/1.1</f>
        <v>1.9090909090909089</v>
      </c>
      <c r="I2100" s="436"/>
      <c r="J2100" s="465">
        <v>0</v>
      </c>
      <c r="K2100" s="465">
        <v>0</v>
      </c>
    </row>
    <row r="2101" spans="2:11" ht="19" customHeight="1">
      <c r="B2101" s="464">
        <v>46065</v>
      </c>
      <c r="C2101" s="436" t="s">
        <v>327</v>
      </c>
      <c r="D2101" s="436" t="s">
        <v>799</v>
      </c>
      <c r="E2101" s="436">
        <v>1</v>
      </c>
      <c r="F2101" s="465">
        <v>3.5</v>
      </c>
      <c r="G2101" s="466">
        <v>3.5</v>
      </c>
      <c r="H2101" s="466">
        <f>G2101/1.1</f>
        <v>3.1818181818181817</v>
      </c>
      <c r="I2101" s="436"/>
      <c r="J2101" s="465">
        <v>0</v>
      </c>
      <c r="K2101" s="465">
        <v>0</v>
      </c>
    </row>
    <row r="2102" spans="2:11" ht="19" customHeight="1">
      <c r="B2102" s="464">
        <v>46065</v>
      </c>
      <c r="C2102" s="436" t="s">
        <v>253</v>
      </c>
      <c r="D2102" s="436" t="s">
        <v>869</v>
      </c>
      <c r="E2102" s="436">
        <v>4</v>
      </c>
      <c r="F2102" s="465">
        <v>2.5</v>
      </c>
      <c r="G2102" s="466">
        <v>10</v>
      </c>
      <c r="H2102" s="466">
        <f>G2102/1.1</f>
        <v>9.0909090909090899</v>
      </c>
      <c r="I2102" s="436"/>
      <c r="J2102" s="465">
        <v>0</v>
      </c>
      <c r="K2102" s="465">
        <v>0</v>
      </c>
    </row>
    <row r="2103" spans="2:11" ht="19" customHeight="1">
      <c r="B2103" s="464">
        <v>46065</v>
      </c>
      <c r="C2103" s="436" t="s">
        <v>264</v>
      </c>
      <c r="D2103" s="436" t="s">
        <v>930</v>
      </c>
      <c r="E2103" s="436">
        <v>1</v>
      </c>
      <c r="F2103" s="465">
        <v>3.5</v>
      </c>
      <c r="G2103" s="466">
        <v>3.5</v>
      </c>
      <c r="H2103" s="466">
        <f>G2103/1.1</f>
        <v>3.1818181818181817</v>
      </c>
      <c r="I2103" s="436"/>
      <c r="J2103" s="465">
        <v>0</v>
      </c>
      <c r="K2103" s="465">
        <v>0</v>
      </c>
    </row>
    <row r="2104" spans="2:11" ht="19" customHeight="1">
      <c r="B2104" s="464">
        <v>46065</v>
      </c>
      <c r="C2104" s="436" t="s">
        <v>256</v>
      </c>
      <c r="D2104" s="436" t="s">
        <v>1012</v>
      </c>
      <c r="E2104" s="436">
        <v>1</v>
      </c>
      <c r="F2104" s="465">
        <v>11.9</v>
      </c>
      <c r="G2104" s="466">
        <v>11.9</v>
      </c>
      <c r="H2104" s="466">
        <f>G2104/1.1</f>
        <v>10.818181818181818</v>
      </c>
      <c r="I2104" s="436"/>
      <c r="J2104" s="465">
        <v>0</v>
      </c>
      <c r="K2104" s="465">
        <v>0</v>
      </c>
    </row>
    <row r="2105" spans="2:11" ht="19" customHeight="1">
      <c r="B2105" s="464">
        <v>46065</v>
      </c>
      <c r="C2105" s="436" t="s">
        <v>247</v>
      </c>
      <c r="D2105" s="436" t="s">
        <v>246</v>
      </c>
      <c r="E2105" s="436">
        <v>2</v>
      </c>
      <c r="F2105" s="465">
        <v>1.7</v>
      </c>
      <c r="G2105" s="466">
        <v>3.4</v>
      </c>
      <c r="H2105" s="466">
        <f>G2105/1.1</f>
        <v>3.0909090909090904</v>
      </c>
      <c r="I2105" s="436"/>
      <c r="J2105" s="465">
        <v>0</v>
      </c>
      <c r="K2105" s="465">
        <v>0</v>
      </c>
    </row>
    <row r="2106" spans="2:11" ht="19" customHeight="1">
      <c r="B2106" s="464">
        <v>46065</v>
      </c>
      <c r="C2106" s="436" t="s">
        <v>253</v>
      </c>
      <c r="D2106" s="436" t="s">
        <v>969</v>
      </c>
      <c r="E2106" s="436">
        <v>1</v>
      </c>
      <c r="F2106" s="465">
        <v>3.5</v>
      </c>
      <c r="G2106" s="466">
        <v>3.5</v>
      </c>
      <c r="H2106" s="466">
        <f>G2106/1.1</f>
        <v>3.1818181818181817</v>
      </c>
      <c r="I2106" s="436"/>
      <c r="J2106" s="465">
        <v>0</v>
      </c>
      <c r="K2106" s="465">
        <v>0</v>
      </c>
    </row>
    <row r="2107" spans="2:11" ht="19" customHeight="1">
      <c r="B2107" s="464">
        <v>46065</v>
      </c>
      <c r="C2107" s="436" t="s">
        <v>253</v>
      </c>
      <c r="D2107" s="436" t="s">
        <v>869</v>
      </c>
      <c r="E2107" s="436">
        <v>1</v>
      </c>
      <c r="F2107" s="465">
        <v>2.65</v>
      </c>
      <c r="G2107" s="466">
        <v>2.65</v>
      </c>
      <c r="H2107" s="466">
        <f>G2107/1.1</f>
        <v>2.4090909090909087</v>
      </c>
      <c r="I2107" s="436"/>
      <c r="J2107" s="465">
        <v>0</v>
      </c>
      <c r="K2107" s="465">
        <v>0</v>
      </c>
    </row>
    <row r="2108" spans="2:11" ht="19" customHeight="1">
      <c r="B2108" s="464">
        <v>46066</v>
      </c>
      <c r="C2108" s="436" t="s">
        <v>247</v>
      </c>
      <c r="D2108" s="436" t="s">
        <v>246</v>
      </c>
      <c r="E2108" s="436">
        <v>1</v>
      </c>
      <c r="F2108" s="465">
        <v>1.7</v>
      </c>
      <c r="G2108" s="466">
        <v>1.7</v>
      </c>
      <c r="H2108" s="466">
        <f>G2108/1.1</f>
        <v>1.5454545454545452</v>
      </c>
      <c r="I2108" s="436"/>
      <c r="J2108" s="465">
        <v>0</v>
      </c>
      <c r="K2108" s="465">
        <v>0</v>
      </c>
    </row>
    <row r="2109" spans="2:11" ht="19" customHeight="1">
      <c r="B2109" s="464">
        <v>46066</v>
      </c>
      <c r="C2109" s="436" t="s">
        <v>247</v>
      </c>
      <c r="D2109" s="436" t="s">
        <v>246</v>
      </c>
      <c r="E2109" s="436">
        <v>1</v>
      </c>
      <c r="F2109" s="465">
        <v>1.7</v>
      </c>
      <c r="G2109" s="466">
        <v>1.7</v>
      </c>
      <c r="H2109" s="466">
        <f>G2109/1.1</f>
        <v>1.5454545454545452</v>
      </c>
      <c r="I2109" s="436"/>
      <c r="J2109" s="465">
        <v>0</v>
      </c>
      <c r="K2109" s="465">
        <v>0</v>
      </c>
    </row>
    <row r="2110" spans="2:11" ht="19" customHeight="1">
      <c r="B2110" s="464">
        <v>46066</v>
      </c>
      <c r="C2110" s="436" t="s">
        <v>862</v>
      </c>
      <c r="D2110" s="436" t="s">
        <v>907</v>
      </c>
      <c r="E2110" s="436">
        <v>1</v>
      </c>
      <c r="F2110" s="465">
        <v>0.15</v>
      </c>
      <c r="G2110" s="466">
        <v>0.15</v>
      </c>
      <c r="H2110" s="466">
        <f>G2110/1.1</f>
        <v>0.13636363636363635</v>
      </c>
      <c r="I2110" s="436"/>
      <c r="J2110" s="465">
        <v>0</v>
      </c>
      <c r="K2110" s="465">
        <v>0</v>
      </c>
    </row>
    <row r="2111" spans="2:11" ht="19" customHeight="1">
      <c r="B2111" s="464">
        <v>46066</v>
      </c>
      <c r="C2111" s="436" t="s">
        <v>251</v>
      </c>
      <c r="D2111" s="436" t="s">
        <v>250</v>
      </c>
      <c r="E2111" s="436">
        <v>1</v>
      </c>
      <c r="F2111" s="465">
        <v>1.8</v>
      </c>
      <c r="G2111" s="466">
        <v>1.8</v>
      </c>
      <c r="H2111" s="466">
        <f>G2111/1.1</f>
        <v>1.6363636363636362</v>
      </c>
      <c r="I2111" s="436"/>
      <c r="J2111" s="465">
        <v>0</v>
      </c>
      <c r="K2111" s="465">
        <v>0</v>
      </c>
    </row>
    <row r="2112" spans="2:11" ht="19" customHeight="1">
      <c r="B2112" s="464">
        <v>46066</v>
      </c>
      <c r="C2112" s="436" t="s">
        <v>247</v>
      </c>
      <c r="D2112" s="436" t="s">
        <v>257</v>
      </c>
      <c r="E2112" s="436">
        <v>1</v>
      </c>
      <c r="F2112" s="465">
        <v>1.55</v>
      </c>
      <c r="G2112" s="466">
        <v>1.55</v>
      </c>
      <c r="H2112" s="466">
        <f>G2112/1.1</f>
        <v>1.4090909090909089</v>
      </c>
      <c r="I2112" s="436"/>
      <c r="J2112" s="465">
        <v>0</v>
      </c>
      <c r="K2112" s="465">
        <v>0</v>
      </c>
    </row>
    <row r="2113" spans="2:11" ht="19" customHeight="1">
      <c r="B2113" s="464">
        <v>46066</v>
      </c>
      <c r="C2113" s="436" t="s">
        <v>326</v>
      </c>
      <c r="D2113" s="436" t="s">
        <v>683</v>
      </c>
      <c r="E2113" s="436">
        <v>1</v>
      </c>
      <c r="F2113" s="465">
        <v>12</v>
      </c>
      <c r="G2113" s="466">
        <v>12</v>
      </c>
      <c r="H2113" s="466">
        <f>G2113/1.1</f>
        <v>10.909090909090908</v>
      </c>
      <c r="I2113" s="436"/>
      <c r="J2113" s="465">
        <v>0</v>
      </c>
      <c r="K2113" s="465">
        <v>0</v>
      </c>
    </row>
    <row r="2114" spans="2:11" ht="19" customHeight="1">
      <c r="B2114" s="464">
        <v>46066</v>
      </c>
      <c r="C2114" s="436" t="s">
        <v>264</v>
      </c>
      <c r="D2114" s="436" t="s">
        <v>703</v>
      </c>
      <c r="E2114" s="436">
        <v>1</v>
      </c>
      <c r="F2114" s="465">
        <v>2</v>
      </c>
      <c r="G2114" s="466">
        <v>2</v>
      </c>
      <c r="H2114" s="466">
        <f>G2114/1.1</f>
        <v>1.8181818181818181</v>
      </c>
      <c r="I2114" s="436"/>
      <c r="J2114" s="465">
        <v>0</v>
      </c>
      <c r="K2114" s="465">
        <v>0</v>
      </c>
    </row>
    <row r="2115" spans="2:11" ht="19" customHeight="1">
      <c r="B2115" s="464">
        <v>46066</v>
      </c>
      <c r="C2115" s="436" t="s">
        <v>247</v>
      </c>
      <c r="D2115" s="436" t="s">
        <v>246</v>
      </c>
      <c r="E2115" s="436">
        <v>2</v>
      </c>
      <c r="F2115" s="465">
        <v>1.7</v>
      </c>
      <c r="G2115" s="466">
        <v>3.4</v>
      </c>
      <c r="H2115" s="466">
        <f>G2115/1.1</f>
        <v>3.0909090909090904</v>
      </c>
      <c r="I2115" s="436"/>
      <c r="J2115" s="465">
        <v>0</v>
      </c>
      <c r="K2115" s="465">
        <v>0</v>
      </c>
    </row>
    <row r="2116" spans="2:11" ht="19" customHeight="1">
      <c r="B2116" s="464">
        <v>46066</v>
      </c>
      <c r="C2116" s="436" t="s">
        <v>277</v>
      </c>
      <c r="D2116" s="436" t="s">
        <v>954</v>
      </c>
      <c r="E2116" s="436">
        <v>1</v>
      </c>
      <c r="F2116" s="465">
        <v>12.9</v>
      </c>
      <c r="G2116" s="466">
        <v>12.9</v>
      </c>
      <c r="H2116" s="466">
        <f>G2116/1.1</f>
        <v>11.727272727272727</v>
      </c>
      <c r="I2116" s="436"/>
      <c r="J2116" s="465">
        <v>0</v>
      </c>
      <c r="K2116" s="465">
        <v>0</v>
      </c>
    </row>
    <row r="2117" spans="2:11" ht="19" customHeight="1">
      <c r="B2117" s="464">
        <v>46066</v>
      </c>
      <c r="C2117" s="436" t="s">
        <v>247</v>
      </c>
      <c r="D2117" s="436" t="s">
        <v>246</v>
      </c>
      <c r="E2117" s="436">
        <v>1</v>
      </c>
      <c r="F2117" s="465">
        <v>1.7</v>
      </c>
      <c r="G2117" s="466">
        <v>1.7</v>
      </c>
      <c r="H2117" s="466">
        <f>G2117/1.1</f>
        <v>1.5454545454545452</v>
      </c>
      <c r="I2117" s="436"/>
      <c r="J2117" s="465">
        <v>0</v>
      </c>
      <c r="K2117" s="465">
        <v>0</v>
      </c>
    </row>
    <row r="2118" spans="2:11" ht="19" customHeight="1">
      <c r="B2118" s="464">
        <v>46066</v>
      </c>
      <c r="C2118" s="436" t="s">
        <v>862</v>
      </c>
      <c r="D2118" s="436" t="s">
        <v>907</v>
      </c>
      <c r="E2118" s="436">
        <v>1</v>
      </c>
      <c r="F2118" s="465">
        <v>0.15</v>
      </c>
      <c r="G2118" s="466">
        <v>0.15</v>
      </c>
      <c r="H2118" s="466">
        <f>G2118/1.1</f>
        <v>0.13636363636363635</v>
      </c>
      <c r="I2118" s="436"/>
      <c r="J2118" s="465">
        <v>0</v>
      </c>
      <c r="K2118" s="465">
        <v>0</v>
      </c>
    </row>
    <row r="2119" spans="2:11" ht="19" customHeight="1">
      <c r="B2119" s="464">
        <v>46066</v>
      </c>
      <c r="C2119" s="436" t="s">
        <v>268</v>
      </c>
      <c r="D2119" s="436" t="s">
        <v>859</v>
      </c>
      <c r="E2119" s="436">
        <v>1</v>
      </c>
      <c r="F2119" s="465">
        <v>0.75</v>
      </c>
      <c r="G2119" s="466">
        <v>0.75</v>
      </c>
      <c r="H2119" s="466">
        <f>G2119/1.1</f>
        <v>0.68181818181818177</v>
      </c>
      <c r="I2119" s="436"/>
      <c r="J2119" s="465">
        <v>0</v>
      </c>
      <c r="K2119" s="465">
        <v>0</v>
      </c>
    </row>
    <row r="2120" spans="2:11" ht="19" customHeight="1">
      <c r="B2120" s="464">
        <v>46066</v>
      </c>
      <c r="C2120" s="436" t="s">
        <v>247</v>
      </c>
      <c r="D2120" s="436" t="s">
        <v>248</v>
      </c>
      <c r="E2120" s="436">
        <v>1</v>
      </c>
      <c r="F2120" s="465">
        <v>1.5</v>
      </c>
      <c r="G2120" s="466">
        <v>1.5</v>
      </c>
      <c r="H2120" s="466">
        <f>G2120/1.1</f>
        <v>1.3636363636363635</v>
      </c>
      <c r="I2120" s="436"/>
      <c r="J2120" s="465">
        <v>0</v>
      </c>
      <c r="K2120" s="465">
        <v>0</v>
      </c>
    </row>
    <row r="2121" spans="2:11" ht="19" customHeight="1">
      <c r="B2121" s="464">
        <v>46066</v>
      </c>
      <c r="C2121" s="436" t="s">
        <v>247</v>
      </c>
      <c r="D2121" s="436" t="s">
        <v>248</v>
      </c>
      <c r="E2121" s="436">
        <v>1</v>
      </c>
      <c r="F2121" s="465">
        <v>1.5</v>
      </c>
      <c r="G2121" s="466">
        <v>1.5</v>
      </c>
      <c r="H2121" s="466">
        <f>G2121/1.1</f>
        <v>1.3636363636363635</v>
      </c>
      <c r="I2121" s="436"/>
      <c r="J2121" s="465">
        <v>0</v>
      </c>
      <c r="K2121" s="465">
        <v>0</v>
      </c>
    </row>
    <row r="2122" spans="2:11" ht="19" customHeight="1">
      <c r="B2122" s="464">
        <v>46066</v>
      </c>
      <c r="C2122" s="436" t="s">
        <v>253</v>
      </c>
      <c r="D2122" s="436" t="s">
        <v>869</v>
      </c>
      <c r="E2122" s="436">
        <v>1</v>
      </c>
      <c r="F2122" s="465">
        <v>2.5</v>
      </c>
      <c r="G2122" s="466">
        <v>2.5</v>
      </c>
      <c r="H2122" s="466">
        <f>G2122/1.1</f>
        <v>2.2727272727272725</v>
      </c>
      <c r="I2122" s="436"/>
      <c r="J2122" s="465">
        <v>0</v>
      </c>
      <c r="K2122" s="465">
        <v>0</v>
      </c>
    </row>
    <row r="2123" spans="2:11" ht="19" customHeight="1">
      <c r="B2123" s="464">
        <v>46066</v>
      </c>
      <c r="C2123" s="436" t="s">
        <v>251</v>
      </c>
      <c r="D2123" s="436" t="s">
        <v>265</v>
      </c>
      <c r="E2123" s="436">
        <v>1</v>
      </c>
      <c r="F2123" s="465">
        <v>2.65</v>
      </c>
      <c r="G2123" s="466">
        <v>2.65</v>
      </c>
      <c r="H2123" s="466">
        <f>G2123/1.1</f>
        <v>2.4090909090909087</v>
      </c>
      <c r="I2123" s="436"/>
      <c r="J2123" s="465">
        <v>0</v>
      </c>
      <c r="K2123" s="465">
        <v>0</v>
      </c>
    </row>
    <row r="2124" spans="2:11" ht="19" customHeight="1">
      <c r="B2124" s="464">
        <v>46066</v>
      </c>
      <c r="C2124" s="436" t="s">
        <v>247</v>
      </c>
      <c r="D2124" s="436" t="s">
        <v>248</v>
      </c>
      <c r="E2124" s="436">
        <v>1</v>
      </c>
      <c r="F2124" s="465">
        <v>1.5</v>
      </c>
      <c r="G2124" s="466">
        <v>1.5</v>
      </c>
      <c r="H2124" s="466">
        <f>G2124/1.1</f>
        <v>1.3636363636363635</v>
      </c>
      <c r="I2124" s="436"/>
      <c r="J2124" s="465">
        <v>0</v>
      </c>
      <c r="K2124" s="465">
        <v>0</v>
      </c>
    </row>
    <row r="2125" spans="2:11" ht="19" customHeight="1">
      <c r="B2125" s="464">
        <v>46066</v>
      </c>
      <c r="C2125" s="436" t="s">
        <v>247</v>
      </c>
      <c r="D2125" s="436" t="s">
        <v>248</v>
      </c>
      <c r="E2125" s="436">
        <v>2</v>
      </c>
      <c r="F2125" s="465">
        <v>1.5</v>
      </c>
      <c r="G2125" s="466">
        <v>3</v>
      </c>
      <c r="H2125" s="466">
        <f>G2125/1.1</f>
        <v>2.7272727272727271</v>
      </c>
      <c r="I2125" s="436"/>
      <c r="J2125" s="465">
        <v>0</v>
      </c>
      <c r="K2125" s="465">
        <v>0</v>
      </c>
    </row>
    <row r="2126" spans="2:11" ht="19" customHeight="1">
      <c r="B2126" s="464">
        <v>46066</v>
      </c>
      <c r="C2126" s="436" t="s">
        <v>247</v>
      </c>
      <c r="D2126" s="436" t="s">
        <v>855</v>
      </c>
      <c r="E2126" s="436">
        <v>1</v>
      </c>
      <c r="F2126" s="465">
        <v>2.5499999999999998</v>
      </c>
      <c r="G2126" s="466">
        <v>2.5499999999999998</v>
      </c>
      <c r="H2126" s="466">
        <f>G2126/1.1</f>
        <v>2.3181818181818179</v>
      </c>
      <c r="I2126" s="436"/>
      <c r="J2126" s="465">
        <v>0</v>
      </c>
      <c r="K2126" s="465">
        <v>0</v>
      </c>
    </row>
    <row r="2127" spans="2:11" ht="19" customHeight="1">
      <c r="B2127" s="464">
        <v>46066</v>
      </c>
      <c r="C2127" s="436" t="s">
        <v>247</v>
      </c>
      <c r="D2127" s="436" t="s">
        <v>246</v>
      </c>
      <c r="E2127" s="436">
        <v>1</v>
      </c>
      <c r="F2127" s="465">
        <v>1.7</v>
      </c>
      <c r="G2127" s="466">
        <v>1.7</v>
      </c>
      <c r="H2127" s="466">
        <f>G2127/1.1</f>
        <v>1.5454545454545452</v>
      </c>
      <c r="I2127" s="436"/>
      <c r="J2127" s="465">
        <v>0</v>
      </c>
      <c r="K2127" s="465">
        <v>0</v>
      </c>
    </row>
    <row r="2128" spans="2:11" ht="19" customHeight="1">
      <c r="B2128" s="464">
        <v>46066</v>
      </c>
      <c r="C2128" s="436" t="s">
        <v>247</v>
      </c>
      <c r="D2128" s="436" t="s">
        <v>248</v>
      </c>
      <c r="E2128" s="436">
        <v>1</v>
      </c>
      <c r="F2128" s="465">
        <v>1.5</v>
      </c>
      <c r="G2128" s="466">
        <v>1.5</v>
      </c>
      <c r="H2128" s="466">
        <f>G2128/1.1</f>
        <v>1.3636363636363635</v>
      </c>
      <c r="I2128" s="436"/>
      <c r="J2128" s="465">
        <v>0</v>
      </c>
      <c r="K2128" s="465">
        <v>0</v>
      </c>
    </row>
    <row r="2129" spans="2:11" ht="19" customHeight="1">
      <c r="B2129" s="464">
        <v>46066</v>
      </c>
      <c r="C2129" s="436" t="s">
        <v>894</v>
      </c>
      <c r="D2129" s="436" t="s">
        <v>896</v>
      </c>
      <c r="E2129" s="436">
        <v>1</v>
      </c>
      <c r="F2129" s="465">
        <v>5.75</v>
      </c>
      <c r="G2129" s="466">
        <v>5.75</v>
      </c>
      <c r="H2129" s="466">
        <f>G2129/1.1</f>
        <v>5.2272727272727266</v>
      </c>
      <c r="I2129" s="436"/>
      <c r="J2129" s="465">
        <v>0</v>
      </c>
      <c r="K2129" s="465">
        <v>0</v>
      </c>
    </row>
    <row r="2130" spans="2:11" ht="19" customHeight="1">
      <c r="B2130" s="464">
        <v>46066</v>
      </c>
      <c r="C2130" s="436" t="s">
        <v>247</v>
      </c>
      <c r="D2130" s="436" t="s">
        <v>248</v>
      </c>
      <c r="E2130" s="436">
        <v>1</v>
      </c>
      <c r="F2130" s="465">
        <v>1.5</v>
      </c>
      <c r="G2130" s="466">
        <v>1.5</v>
      </c>
      <c r="H2130" s="466">
        <f>G2130/1.1</f>
        <v>1.3636363636363635</v>
      </c>
      <c r="I2130" s="436"/>
      <c r="J2130" s="465">
        <v>0</v>
      </c>
      <c r="K2130" s="465">
        <v>0</v>
      </c>
    </row>
    <row r="2131" spans="2:11" ht="19" customHeight="1">
      <c r="B2131" s="464">
        <v>46066</v>
      </c>
      <c r="C2131" s="436" t="s">
        <v>268</v>
      </c>
      <c r="D2131" s="436" t="s">
        <v>858</v>
      </c>
      <c r="E2131" s="436">
        <v>2</v>
      </c>
      <c r="F2131" s="465">
        <v>0.65</v>
      </c>
      <c r="G2131" s="466">
        <v>1.3</v>
      </c>
      <c r="H2131" s="466">
        <f>G2131/1.1</f>
        <v>1.1818181818181817</v>
      </c>
      <c r="I2131" s="436"/>
      <c r="J2131" s="465">
        <v>0</v>
      </c>
      <c r="K2131" s="465">
        <v>0</v>
      </c>
    </row>
    <row r="2132" spans="2:11" ht="19" customHeight="1">
      <c r="B2132" s="464">
        <v>46066</v>
      </c>
      <c r="C2132" s="436" t="s">
        <v>247</v>
      </c>
      <c r="D2132" s="436" t="s">
        <v>257</v>
      </c>
      <c r="E2132" s="436">
        <v>1</v>
      </c>
      <c r="F2132" s="465">
        <v>1.4</v>
      </c>
      <c r="G2132" s="466">
        <v>1.4</v>
      </c>
      <c r="H2132" s="466">
        <f>G2132/1.1</f>
        <v>1.2727272727272725</v>
      </c>
      <c r="I2132" s="436"/>
      <c r="J2132" s="465">
        <v>0</v>
      </c>
      <c r="K2132" s="465">
        <v>0</v>
      </c>
    </row>
    <row r="2133" spans="2:11" ht="19" customHeight="1">
      <c r="B2133" s="464">
        <v>46066</v>
      </c>
      <c r="C2133" s="436" t="s">
        <v>247</v>
      </c>
      <c r="D2133" s="436" t="s">
        <v>248</v>
      </c>
      <c r="E2133" s="436">
        <v>1</v>
      </c>
      <c r="F2133" s="465">
        <v>1.5</v>
      </c>
      <c r="G2133" s="466">
        <v>1.5</v>
      </c>
      <c r="H2133" s="466">
        <f>G2133/1.1</f>
        <v>1.3636363636363635</v>
      </c>
      <c r="I2133" s="436"/>
      <c r="J2133" s="465">
        <v>0</v>
      </c>
      <c r="K2133" s="465">
        <v>0</v>
      </c>
    </row>
    <row r="2134" spans="2:11" ht="19" customHeight="1">
      <c r="B2134" s="464">
        <v>46066</v>
      </c>
      <c r="C2134" s="436" t="s">
        <v>327</v>
      </c>
      <c r="D2134" s="436" t="s">
        <v>1007</v>
      </c>
      <c r="E2134" s="436">
        <v>1</v>
      </c>
      <c r="F2134" s="465">
        <v>4.5999999999999996</v>
      </c>
      <c r="G2134" s="466">
        <v>4.5999999999999996</v>
      </c>
      <c r="H2134" s="466">
        <f>G2134/1.1</f>
        <v>4.1818181818181808</v>
      </c>
      <c r="I2134" s="436"/>
      <c r="J2134" s="465">
        <v>0</v>
      </c>
      <c r="K2134" s="465">
        <v>0</v>
      </c>
    </row>
    <row r="2135" spans="2:11" ht="19" customHeight="1">
      <c r="B2135" s="464">
        <v>46066</v>
      </c>
      <c r="C2135" s="436" t="s">
        <v>247</v>
      </c>
      <c r="D2135" s="436" t="s">
        <v>246</v>
      </c>
      <c r="E2135" s="436">
        <v>1</v>
      </c>
      <c r="F2135" s="465">
        <v>1.7</v>
      </c>
      <c r="G2135" s="466">
        <v>1.7</v>
      </c>
      <c r="H2135" s="466">
        <f>G2135/1.1</f>
        <v>1.5454545454545452</v>
      </c>
      <c r="I2135" s="436"/>
      <c r="J2135" s="465">
        <v>0</v>
      </c>
      <c r="K2135" s="465">
        <v>0</v>
      </c>
    </row>
    <row r="2136" spans="2:11" ht="19" customHeight="1">
      <c r="B2136" s="464">
        <v>46066</v>
      </c>
      <c r="C2136" s="436" t="s">
        <v>247</v>
      </c>
      <c r="D2136" s="436" t="s">
        <v>257</v>
      </c>
      <c r="E2136" s="436">
        <v>1</v>
      </c>
      <c r="F2136" s="465">
        <v>1.4</v>
      </c>
      <c r="G2136" s="466">
        <v>1.4</v>
      </c>
      <c r="H2136" s="466">
        <f>G2136/1.1</f>
        <v>1.2727272727272725</v>
      </c>
      <c r="I2136" s="436"/>
      <c r="J2136" s="465">
        <v>0</v>
      </c>
      <c r="K2136" s="465">
        <v>0</v>
      </c>
    </row>
    <row r="2137" spans="2:11" ht="19" customHeight="1">
      <c r="B2137" s="464">
        <v>46066</v>
      </c>
      <c r="C2137" s="436" t="s">
        <v>247</v>
      </c>
      <c r="D2137" s="436" t="s">
        <v>248</v>
      </c>
      <c r="E2137" s="436">
        <v>1</v>
      </c>
      <c r="F2137" s="465">
        <v>1.5</v>
      </c>
      <c r="G2137" s="466">
        <v>1.5</v>
      </c>
      <c r="H2137" s="466">
        <f>G2137/1.1</f>
        <v>1.3636363636363635</v>
      </c>
      <c r="I2137" s="436"/>
      <c r="J2137" s="465">
        <v>0</v>
      </c>
      <c r="K2137" s="465">
        <v>0</v>
      </c>
    </row>
    <row r="2138" spans="2:11" ht="19" customHeight="1">
      <c r="B2138" s="464">
        <v>46066</v>
      </c>
      <c r="C2138" s="436" t="s">
        <v>247</v>
      </c>
      <c r="D2138" s="436" t="s">
        <v>902</v>
      </c>
      <c r="E2138" s="436">
        <v>1</v>
      </c>
      <c r="F2138" s="465">
        <v>1.95</v>
      </c>
      <c r="G2138" s="466">
        <v>1.95</v>
      </c>
      <c r="H2138" s="466">
        <f>G2138/1.1</f>
        <v>1.7727272727272725</v>
      </c>
      <c r="I2138" s="436"/>
      <c r="J2138" s="465">
        <v>0</v>
      </c>
      <c r="K2138" s="465">
        <v>0</v>
      </c>
    </row>
    <row r="2139" spans="2:11" ht="19" customHeight="1">
      <c r="B2139" s="464">
        <v>46066</v>
      </c>
      <c r="C2139" s="436" t="s">
        <v>268</v>
      </c>
      <c r="D2139" s="436" t="s">
        <v>859</v>
      </c>
      <c r="E2139" s="436">
        <v>1</v>
      </c>
      <c r="F2139" s="465">
        <v>0.75</v>
      </c>
      <c r="G2139" s="466">
        <v>0.75</v>
      </c>
      <c r="H2139" s="466">
        <f>G2139/1.1</f>
        <v>0.68181818181818177</v>
      </c>
      <c r="I2139" s="436"/>
      <c r="J2139" s="465">
        <v>0</v>
      </c>
      <c r="K2139" s="465">
        <v>0</v>
      </c>
    </row>
    <row r="2140" spans="2:11" ht="19" customHeight="1">
      <c r="B2140" s="464">
        <v>46066</v>
      </c>
      <c r="C2140" s="436" t="s">
        <v>247</v>
      </c>
      <c r="D2140" s="436" t="s">
        <v>246</v>
      </c>
      <c r="E2140" s="436">
        <v>1</v>
      </c>
      <c r="F2140" s="465">
        <v>1.7</v>
      </c>
      <c r="G2140" s="466">
        <v>1.7</v>
      </c>
      <c r="H2140" s="466">
        <f>G2140/1.1</f>
        <v>1.5454545454545452</v>
      </c>
      <c r="I2140" s="436"/>
      <c r="J2140" s="465">
        <v>0</v>
      </c>
      <c r="K2140" s="465">
        <v>0</v>
      </c>
    </row>
    <row r="2141" spans="2:11" ht="19" customHeight="1">
      <c r="B2141" s="464">
        <v>46066</v>
      </c>
      <c r="C2141" s="436" t="s">
        <v>247</v>
      </c>
      <c r="D2141" s="436" t="s">
        <v>257</v>
      </c>
      <c r="E2141" s="436">
        <v>1</v>
      </c>
      <c r="F2141" s="465">
        <v>1.4</v>
      </c>
      <c r="G2141" s="466">
        <v>1.4</v>
      </c>
      <c r="H2141" s="466">
        <f>G2141/1.1</f>
        <v>1.2727272727272725</v>
      </c>
      <c r="I2141" s="436"/>
      <c r="J2141" s="465">
        <v>0</v>
      </c>
      <c r="K2141" s="465">
        <v>0</v>
      </c>
    </row>
    <row r="2142" spans="2:11" ht="19" customHeight="1">
      <c r="B2142" s="464">
        <v>46066</v>
      </c>
      <c r="C2142" s="436" t="s">
        <v>247</v>
      </c>
      <c r="D2142" s="436" t="s">
        <v>246</v>
      </c>
      <c r="E2142" s="436">
        <v>1</v>
      </c>
      <c r="F2142" s="465">
        <v>1.7</v>
      </c>
      <c r="G2142" s="466">
        <v>1.7</v>
      </c>
      <c r="H2142" s="466">
        <f>G2142/1.1</f>
        <v>1.5454545454545452</v>
      </c>
      <c r="I2142" s="436"/>
      <c r="J2142" s="465">
        <v>0</v>
      </c>
      <c r="K2142" s="465">
        <v>0</v>
      </c>
    </row>
    <row r="2143" spans="2:11" ht="19" customHeight="1">
      <c r="B2143" s="464">
        <v>46066</v>
      </c>
      <c r="C2143" s="436" t="s">
        <v>247</v>
      </c>
      <c r="D2143" s="436" t="s">
        <v>919</v>
      </c>
      <c r="E2143" s="436">
        <v>1</v>
      </c>
      <c r="F2143" s="465">
        <v>1.7</v>
      </c>
      <c r="G2143" s="466">
        <v>1.7</v>
      </c>
      <c r="H2143" s="466">
        <f>G2143/1.1</f>
        <v>1.5454545454545452</v>
      </c>
      <c r="I2143" s="436"/>
      <c r="J2143" s="465">
        <v>0</v>
      </c>
      <c r="K2143" s="465">
        <v>0</v>
      </c>
    </row>
    <row r="2144" spans="2:11" ht="19" customHeight="1">
      <c r="B2144" s="464">
        <v>46066</v>
      </c>
      <c r="C2144" s="436" t="s">
        <v>247</v>
      </c>
      <c r="D2144" s="436" t="s">
        <v>246</v>
      </c>
      <c r="E2144" s="436">
        <v>1</v>
      </c>
      <c r="F2144" s="465">
        <v>1.7</v>
      </c>
      <c r="G2144" s="466">
        <v>1.7</v>
      </c>
      <c r="H2144" s="466">
        <f>G2144/1.1</f>
        <v>1.5454545454545452</v>
      </c>
      <c r="I2144" s="436"/>
      <c r="J2144" s="465">
        <v>0</v>
      </c>
      <c r="K2144" s="465">
        <v>0</v>
      </c>
    </row>
    <row r="2145" spans="2:11" ht="19" customHeight="1">
      <c r="B2145" s="464">
        <v>46066</v>
      </c>
      <c r="C2145" s="436" t="s">
        <v>247</v>
      </c>
      <c r="D2145" s="436" t="s">
        <v>257</v>
      </c>
      <c r="E2145" s="436">
        <v>1</v>
      </c>
      <c r="F2145" s="465">
        <v>1.4</v>
      </c>
      <c r="G2145" s="466">
        <v>1.4</v>
      </c>
      <c r="H2145" s="466">
        <f>G2145/1.1</f>
        <v>1.2727272727272725</v>
      </c>
      <c r="I2145" s="436"/>
      <c r="J2145" s="465">
        <v>0</v>
      </c>
      <c r="K2145" s="465">
        <v>0</v>
      </c>
    </row>
    <row r="2146" spans="2:11" ht="19" customHeight="1">
      <c r="B2146" s="464">
        <v>46066</v>
      </c>
      <c r="C2146" s="436" t="s">
        <v>247</v>
      </c>
      <c r="D2146" s="436" t="s">
        <v>710</v>
      </c>
      <c r="E2146" s="436">
        <v>1</v>
      </c>
      <c r="F2146" s="465">
        <v>2.65</v>
      </c>
      <c r="G2146" s="466">
        <v>2.65</v>
      </c>
      <c r="H2146" s="466">
        <f>G2146/1.1</f>
        <v>2.4090909090909087</v>
      </c>
      <c r="I2146" s="436"/>
      <c r="J2146" s="465">
        <v>0</v>
      </c>
      <c r="K2146" s="465">
        <v>0</v>
      </c>
    </row>
    <row r="2147" spans="2:11" ht="19" customHeight="1">
      <c r="B2147" s="464">
        <v>46066</v>
      </c>
      <c r="C2147" s="436" t="s">
        <v>328</v>
      </c>
      <c r="D2147" s="436" t="s">
        <v>761</v>
      </c>
      <c r="E2147" s="436">
        <v>1</v>
      </c>
      <c r="F2147" s="465">
        <v>3.1</v>
      </c>
      <c r="G2147" s="466">
        <v>3.1</v>
      </c>
      <c r="H2147" s="466">
        <f>G2147/1.1</f>
        <v>2.8181818181818179</v>
      </c>
      <c r="I2147" s="436"/>
      <c r="J2147" s="465">
        <v>0</v>
      </c>
      <c r="K2147" s="465">
        <v>0</v>
      </c>
    </row>
    <row r="2148" spans="2:11" ht="19" customHeight="1">
      <c r="B2148" s="464">
        <v>46066</v>
      </c>
      <c r="C2148" s="436" t="s">
        <v>328</v>
      </c>
      <c r="D2148" s="436" t="s">
        <v>861</v>
      </c>
      <c r="E2148" s="436">
        <v>1</v>
      </c>
      <c r="F2148" s="465">
        <v>3.25</v>
      </c>
      <c r="G2148" s="466">
        <v>3.25</v>
      </c>
      <c r="H2148" s="466">
        <f>G2148/1.1</f>
        <v>2.9545454545454541</v>
      </c>
      <c r="I2148" s="436"/>
      <c r="J2148" s="465">
        <v>0</v>
      </c>
      <c r="K2148" s="465">
        <v>0</v>
      </c>
    </row>
    <row r="2149" spans="2:11" ht="19" customHeight="1">
      <c r="B2149" s="464">
        <v>46066</v>
      </c>
      <c r="C2149" s="436" t="s">
        <v>247</v>
      </c>
      <c r="D2149" s="436" t="s">
        <v>246</v>
      </c>
      <c r="E2149" s="436">
        <v>1</v>
      </c>
      <c r="F2149" s="465">
        <v>5.0999999999999996</v>
      </c>
      <c r="G2149" s="466">
        <v>5.0999999999999996</v>
      </c>
      <c r="H2149" s="466">
        <f>G2149/1.1</f>
        <v>4.6363636363636358</v>
      </c>
      <c r="I2149" s="436"/>
      <c r="J2149" s="465">
        <v>0</v>
      </c>
      <c r="K2149" s="465">
        <v>0</v>
      </c>
    </row>
    <row r="2150" spans="2:11" ht="19" customHeight="1">
      <c r="B2150" s="464">
        <v>46066</v>
      </c>
      <c r="C2150" s="436" t="s">
        <v>268</v>
      </c>
      <c r="D2150" s="436" t="s">
        <v>906</v>
      </c>
      <c r="E2150" s="436">
        <v>1</v>
      </c>
      <c r="F2150" s="465">
        <v>1.5</v>
      </c>
      <c r="G2150" s="466">
        <v>1.5</v>
      </c>
      <c r="H2150" s="466">
        <f>G2150/1.1</f>
        <v>1.3636363636363635</v>
      </c>
      <c r="I2150" s="436"/>
      <c r="J2150" s="465">
        <v>0</v>
      </c>
      <c r="K2150" s="465">
        <v>0</v>
      </c>
    </row>
    <row r="2151" spans="2:11" ht="19" customHeight="1">
      <c r="B2151" s="464">
        <v>46066</v>
      </c>
      <c r="C2151" s="436" t="s">
        <v>247</v>
      </c>
      <c r="D2151" s="436" t="s">
        <v>257</v>
      </c>
      <c r="E2151" s="436">
        <v>1</v>
      </c>
      <c r="F2151" s="465">
        <v>1.4</v>
      </c>
      <c r="G2151" s="466">
        <v>1.4</v>
      </c>
      <c r="H2151" s="466">
        <f>G2151/1.1</f>
        <v>1.2727272727272725</v>
      </c>
      <c r="I2151" s="436"/>
      <c r="J2151" s="465">
        <v>0</v>
      </c>
      <c r="K2151" s="465">
        <v>0</v>
      </c>
    </row>
    <row r="2152" spans="2:11" ht="19" customHeight="1">
      <c r="B2152" s="464">
        <v>46066</v>
      </c>
      <c r="C2152" s="436" t="s">
        <v>247</v>
      </c>
      <c r="D2152" s="436" t="s">
        <v>248</v>
      </c>
      <c r="E2152" s="436">
        <v>1</v>
      </c>
      <c r="F2152" s="465">
        <v>1.5</v>
      </c>
      <c r="G2152" s="466">
        <v>1.5</v>
      </c>
      <c r="H2152" s="466">
        <f>G2152/1.1</f>
        <v>1.3636363636363635</v>
      </c>
      <c r="I2152" s="436"/>
      <c r="J2152" s="465">
        <v>0</v>
      </c>
      <c r="K2152" s="465">
        <v>0</v>
      </c>
    </row>
    <row r="2153" spans="2:11" ht="19" customHeight="1">
      <c r="B2153" s="464">
        <v>46066</v>
      </c>
      <c r="C2153" s="436" t="s">
        <v>268</v>
      </c>
      <c r="D2153" s="436" t="s">
        <v>859</v>
      </c>
      <c r="E2153" s="436">
        <v>2</v>
      </c>
      <c r="F2153" s="465">
        <v>0.75</v>
      </c>
      <c r="G2153" s="466">
        <v>1.5</v>
      </c>
      <c r="H2153" s="466">
        <f>G2153/1.1</f>
        <v>1.3636363636363635</v>
      </c>
      <c r="I2153" s="436"/>
      <c r="J2153" s="465">
        <v>0</v>
      </c>
      <c r="K2153" s="465">
        <v>0</v>
      </c>
    </row>
    <row r="2154" spans="2:11" ht="19" customHeight="1">
      <c r="B2154" s="464">
        <v>46066</v>
      </c>
      <c r="C2154" s="436" t="s">
        <v>247</v>
      </c>
      <c r="D2154" s="436" t="s">
        <v>248</v>
      </c>
      <c r="E2154" s="436">
        <v>1</v>
      </c>
      <c r="F2154" s="465">
        <v>1.5</v>
      </c>
      <c r="G2154" s="466">
        <v>1.5</v>
      </c>
      <c r="H2154" s="466">
        <f>G2154/1.1</f>
        <v>1.3636363636363635</v>
      </c>
      <c r="I2154" s="436"/>
      <c r="J2154" s="465">
        <v>0</v>
      </c>
      <c r="K2154" s="465">
        <v>0</v>
      </c>
    </row>
    <row r="2155" spans="2:11" ht="19" customHeight="1">
      <c r="B2155" s="464">
        <v>46066</v>
      </c>
      <c r="C2155" s="436" t="s">
        <v>247</v>
      </c>
      <c r="D2155" s="436" t="s">
        <v>257</v>
      </c>
      <c r="E2155" s="436">
        <v>1</v>
      </c>
      <c r="F2155" s="465">
        <v>1.4</v>
      </c>
      <c r="G2155" s="466">
        <v>1.4</v>
      </c>
      <c r="H2155" s="466">
        <f>G2155/1.1</f>
        <v>1.2727272727272725</v>
      </c>
      <c r="I2155" s="436"/>
      <c r="J2155" s="465">
        <v>0</v>
      </c>
      <c r="K2155" s="465">
        <v>0</v>
      </c>
    </row>
    <row r="2156" spans="2:11" ht="19" customHeight="1">
      <c r="B2156" s="464">
        <v>46066</v>
      </c>
      <c r="C2156" s="436" t="s">
        <v>264</v>
      </c>
      <c r="D2156" s="436" t="s">
        <v>269</v>
      </c>
      <c r="E2156" s="436">
        <v>1</v>
      </c>
      <c r="F2156" s="465">
        <v>0.1</v>
      </c>
      <c r="G2156" s="466">
        <v>0.1</v>
      </c>
      <c r="H2156" s="466">
        <f>G2156/1.1</f>
        <v>9.0909090909090912E-2</v>
      </c>
      <c r="I2156" s="436"/>
      <c r="J2156" s="465">
        <v>0</v>
      </c>
      <c r="K2156" s="465">
        <v>0</v>
      </c>
    </row>
    <row r="2157" spans="2:11" ht="19" customHeight="1">
      <c r="B2157" s="464">
        <v>46066</v>
      </c>
      <c r="C2157" s="436" t="s">
        <v>247</v>
      </c>
      <c r="D2157" s="436" t="s">
        <v>246</v>
      </c>
      <c r="E2157" s="436">
        <v>1</v>
      </c>
      <c r="F2157" s="465">
        <v>1.7</v>
      </c>
      <c r="G2157" s="466">
        <v>1.7</v>
      </c>
      <c r="H2157" s="466">
        <f>G2157/1.1</f>
        <v>1.5454545454545452</v>
      </c>
      <c r="I2157" s="436"/>
      <c r="J2157" s="465">
        <v>0</v>
      </c>
      <c r="K2157" s="465">
        <v>0</v>
      </c>
    </row>
    <row r="2158" spans="2:11" ht="19" customHeight="1">
      <c r="B2158" s="464">
        <v>46066</v>
      </c>
      <c r="C2158" s="436" t="s">
        <v>268</v>
      </c>
      <c r="D2158" s="436" t="s">
        <v>906</v>
      </c>
      <c r="E2158" s="436">
        <v>1</v>
      </c>
      <c r="F2158" s="465">
        <v>1.5</v>
      </c>
      <c r="G2158" s="466">
        <v>1.5</v>
      </c>
      <c r="H2158" s="466">
        <f>G2158/1.1</f>
        <v>1.3636363636363635</v>
      </c>
      <c r="I2158" s="436"/>
      <c r="J2158" s="465">
        <v>0</v>
      </c>
      <c r="K2158" s="465">
        <v>0</v>
      </c>
    </row>
    <row r="2159" spans="2:11" ht="19" customHeight="1">
      <c r="B2159" s="464">
        <v>46066</v>
      </c>
      <c r="C2159" s="436" t="s">
        <v>247</v>
      </c>
      <c r="D2159" s="436" t="s">
        <v>248</v>
      </c>
      <c r="E2159" s="436">
        <v>1</v>
      </c>
      <c r="F2159" s="465">
        <v>1.5</v>
      </c>
      <c r="G2159" s="466">
        <v>1.5</v>
      </c>
      <c r="H2159" s="466">
        <f>G2159/1.1</f>
        <v>1.3636363636363635</v>
      </c>
      <c r="I2159" s="436"/>
      <c r="J2159" s="465">
        <v>0</v>
      </c>
      <c r="K2159" s="465">
        <v>0</v>
      </c>
    </row>
    <row r="2160" spans="2:11" ht="19" customHeight="1">
      <c r="B2160" s="464">
        <v>46066</v>
      </c>
      <c r="C2160" s="436" t="s">
        <v>247</v>
      </c>
      <c r="D2160" s="436" t="s">
        <v>246</v>
      </c>
      <c r="E2160" s="436">
        <v>2</v>
      </c>
      <c r="F2160" s="465">
        <v>1.7</v>
      </c>
      <c r="G2160" s="466">
        <v>3.4</v>
      </c>
      <c r="H2160" s="466">
        <f>G2160/1.1</f>
        <v>3.0909090909090904</v>
      </c>
      <c r="I2160" s="436"/>
      <c r="J2160" s="465">
        <v>0</v>
      </c>
      <c r="K2160" s="465">
        <v>0</v>
      </c>
    </row>
    <row r="2161" spans="2:11" ht="19" customHeight="1">
      <c r="B2161" s="464">
        <v>46066</v>
      </c>
      <c r="C2161" s="436" t="s">
        <v>328</v>
      </c>
      <c r="D2161" s="436" t="s">
        <v>739</v>
      </c>
      <c r="E2161" s="436">
        <v>1</v>
      </c>
      <c r="F2161" s="465">
        <v>5.85</v>
      </c>
      <c r="G2161" s="466">
        <v>5.85</v>
      </c>
      <c r="H2161" s="466">
        <f>G2161/1.1</f>
        <v>5.3181818181818175</v>
      </c>
      <c r="I2161" s="436"/>
      <c r="J2161" s="465">
        <v>0</v>
      </c>
      <c r="K2161" s="465">
        <v>0</v>
      </c>
    </row>
    <row r="2162" spans="2:11" ht="19" customHeight="1">
      <c r="B2162" s="464">
        <v>46066</v>
      </c>
      <c r="C2162" s="436" t="s">
        <v>247</v>
      </c>
      <c r="D2162" s="436" t="s">
        <v>246</v>
      </c>
      <c r="E2162" s="436">
        <v>2</v>
      </c>
      <c r="F2162" s="465">
        <v>1.7</v>
      </c>
      <c r="G2162" s="466">
        <v>3.4</v>
      </c>
      <c r="H2162" s="466">
        <f>G2162/1.1</f>
        <v>3.0909090909090904</v>
      </c>
      <c r="I2162" s="436"/>
      <c r="J2162" s="465">
        <v>0</v>
      </c>
      <c r="K2162" s="465">
        <v>0</v>
      </c>
    </row>
    <row r="2163" spans="2:11" ht="19" customHeight="1">
      <c r="B2163" s="464">
        <v>46066</v>
      </c>
      <c r="C2163" s="436" t="s">
        <v>247</v>
      </c>
      <c r="D2163" s="436" t="s">
        <v>843</v>
      </c>
      <c r="E2163" s="436">
        <v>1</v>
      </c>
      <c r="F2163" s="465">
        <v>3.6</v>
      </c>
      <c r="G2163" s="466">
        <v>3.6</v>
      </c>
      <c r="H2163" s="466">
        <f>G2163/1.1</f>
        <v>3.2727272727272725</v>
      </c>
      <c r="I2163" s="436"/>
      <c r="J2163" s="465">
        <v>0</v>
      </c>
      <c r="K2163" s="465">
        <v>0</v>
      </c>
    </row>
    <row r="2164" spans="2:11" ht="19" customHeight="1">
      <c r="B2164" s="464">
        <v>46066</v>
      </c>
      <c r="C2164" s="436" t="s">
        <v>254</v>
      </c>
      <c r="D2164" s="436" t="s">
        <v>254</v>
      </c>
      <c r="E2164" s="436">
        <v>4</v>
      </c>
      <c r="F2164" s="465">
        <v>14.9</v>
      </c>
      <c r="G2164" s="466">
        <v>59.6</v>
      </c>
      <c r="H2164" s="466">
        <f>G2164/1.1</f>
        <v>54.18181818181818</v>
      </c>
      <c r="I2164" s="436"/>
      <c r="J2164" s="465">
        <v>0</v>
      </c>
      <c r="K2164" s="465">
        <v>0</v>
      </c>
    </row>
    <row r="2165" spans="2:11" ht="19" customHeight="1">
      <c r="B2165" s="464">
        <v>46066</v>
      </c>
      <c r="C2165" s="436" t="s">
        <v>873</v>
      </c>
      <c r="D2165" s="436" t="s">
        <v>987</v>
      </c>
      <c r="E2165" s="436">
        <v>2</v>
      </c>
      <c r="F2165" s="465">
        <v>5</v>
      </c>
      <c r="G2165" s="466">
        <v>10</v>
      </c>
      <c r="H2165" s="466">
        <f>G2165/1.1</f>
        <v>9.0909090909090899</v>
      </c>
      <c r="I2165" s="436"/>
      <c r="J2165" s="465">
        <v>0</v>
      </c>
      <c r="K2165" s="465">
        <v>0</v>
      </c>
    </row>
    <row r="2166" spans="2:11" ht="19" customHeight="1">
      <c r="B2166" s="464">
        <v>46066</v>
      </c>
      <c r="C2166" s="436" t="s">
        <v>873</v>
      </c>
      <c r="D2166" s="436" t="s">
        <v>914</v>
      </c>
      <c r="E2166" s="436">
        <v>1</v>
      </c>
      <c r="F2166" s="469"/>
      <c r="G2166" s="468" t="s">
        <v>875</v>
      </c>
      <c r="H2166" s="466" t="e">
        <f>G2166/1.1</f>
        <v>#VALUE!</v>
      </c>
      <c r="I2166" s="436"/>
      <c r="J2166" s="465">
        <v>0</v>
      </c>
      <c r="K2166" s="465">
        <v>0</v>
      </c>
    </row>
    <row r="2167" spans="2:11" ht="19" customHeight="1">
      <c r="B2167" s="464">
        <v>46066</v>
      </c>
      <c r="C2167" s="436" t="s">
        <v>873</v>
      </c>
      <c r="D2167" s="436" t="s">
        <v>1095</v>
      </c>
      <c r="E2167" s="436">
        <v>1</v>
      </c>
      <c r="F2167" s="469"/>
      <c r="G2167" s="468" t="s">
        <v>875</v>
      </c>
      <c r="H2167" s="466" t="e">
        <f>G2167/1.1</f>
        <v>#VALUE!</v>
      </c>
      <c r="I2167" s="436"/>
      <c r="J2167" s="465">
        <v>0</v>
      </c>
      <c r="K2167" s="465">
        <v>0</v>
      </c>
    </row>
    <row r="2168" spans="2:11" ht="19" customHeight="1">
      <c r="B2168" s="464">
        <v>46066</v>
      </c>
      <c r="C2168" s="436" t="s">
        <v>877</v>
      </c>
      <c r="D2168" s="436" t="s">
        <v>1104</v>
      </c>
      <c r="E2168" s="436">
        <v>3</v>
      </c>
      <c r="F2168" s="465">
        <v>3</v>
      </c>
      <c r="G2168" s="466">
        <v>9</v>
      </c>
      <c r="H2168" s="466">
        <f>G2168/1.1</f>
        <v>8.1818181818181817</v>
      </c>
      <c r="I2168" s="436"/>
      <c r="J2168" s="465">
        <v>0</v>
      </c>
      <c r="K2168" s="465">
        <v>0</v>
      </c>
    </row>
    <row r="2169" spans="2:11" ht="19" customHeight="1">
      <c r="B2169" s="464">
        <v>46066</v>
      </c>
      <c r="C2169" s="436" t="s">
        <v>877</v>
      </c>
      <c r="D2169" s="436" t="s">
        <v>1105</v>
      </c>
      <c r="E2169" s="436">
        <v>1</v>
      </c>
      <c r="F2169" s="465">
        <v>3</v>
      </c>
      <c r="G2169" s="466">
        <v>3</v>
      </c>
      <c r="H2169" s="466">
        <f>G2169/1.1</f>
        <v>2.7272727272727271</v>
      </c>
      <c r="I2169" s="436"/>
      <c r="J2169" s="465">
        <v>0</v>
      </c>
      <c r="K2169" s="465">
        <v>0</v>
      </c>
    </row>
    <row r="2170" spans="2:11" ht="19" customHeight="1">
      <c r="B2170" s="464">
        <v>46066</v>
      </c>
      <c r="C2170" s="436" t="s">
        <v>266</v>
      </c>
      <c r="D2170" s="436" t="s">
        <v>996</v>
      </c>
      <c r="E2170" s="436">
        <v>1</v>
      </c>
      <c r="F2170" s="469"/>
      <c r="G2170" s="468" t="s">
        <v>875</v>
      </c>
      <c r="H2170" s="466" t="e">
        <f>G2170/1.1</f>
        <v>#VALUE!</v>
      </c>
      <c r="I2170" s="436"/>
      <c r="J2170" s="465">
        <v>0</v>
      </c>
      <c r="K2170" s="465">
        <v>0</v>
      </c>
    </row>
    <row r="2171" spans="2:11" ht="19" customHeight="1">
      <c r="B2171" s="464">
        <v>46066</v>
      </c>
      <c r="C2171" s="436" t="s">
        <v>266</v>
      </c>
      <c r="D2171" s="436" t="s">
        <v>942</v>
      </c>
      <c r="E2171" s="436">
        <v>1</v>
      </c>
      <c r="F2171" s="469"/>
      <c r="G2171" s="468" t="s">
        <v>875</v>
      </c>
      <c r="H2171" s="466" t="e">
        <f>G2171/1.1</f>
        <v>#VALUE!</v>
      </c>
      <c r="I2171" s="436"/>
      <c r="J2171" s="465">
        <v>0</v>
      </c>
      <c r="K2171" s="465">
        <v>0</v>
      </c>
    </row>
    <row r="2172" spans="2:11" ht="19" customHeight="1">
      <c r="B2172" s="464">
        <v>46066</v>
      </c>
      <c r="C2172" s="436" t="s">
        <v>266</v>
      </c>
      <c r="D2172" s="436" t="s">
        <v>250</v>
      </c>
      <c r="E2172" s="436">
        <v>1</v>
      </c>
      <c r="F2172" s="469"/>
      <c r="G2172" s="468" t="s">
        <v>875</v>
      </c>
      <c r="H2172" s="466" t="e">
        <f>G2172/1.1</f>
        <v>#VALUE!</v>
      </c>
      <c r="I2172" s="436"/>
      <c r="J2172" s="465">
        <v>0</v>
      </c>
      <c r="K2172" s="465">
        <v>0</v>
      </c>
    </row>
    <row r="2173" spans="2:11" ht="19" customHeight="1">
      <c r="B2173" s="464">
        <v>46066</v>
      </c>
      <c r="C2173" s="436" t="s">
        <v>266</v>
      </c>
      <c r="D2173" s="436" t="s">
        <v>1106</v>
      </c>
      <c r="E2173" s="436">
        <v>1</v>
      </c>
      <c r="F2173" s="469"/>
      <c r="G2173" s="468" t="s">
        <v>875</v>
      </c>
      <c r="H2173" s="466" t="e">
        <f>G2173/1.1</f>
        <v>#VALUE!</v>
      </c>
      <c r="I2173" s="436"/>
      <c r="J2173" s="465">
        <v>0</v>
      </c>
      <c r="K2173" s="465">
        <v>0</v>
      </c>
    </row>
    <row r="2174" spans="2:11" ht="19" customHeight="1">
      <c r="B2174" s="464">
        <v>46066</v>
      </c>
      <c r="C2174" s="436" t="s">
        <v>258</v>
      </c>
      <c r="D2174" s="436" t="s">
        <v>883</v>
      </c>
      <c r="E2174" s="436">
        <v>2</v>
      </c>
      <c r="F2174" s="469"/>
      <c r="G2174" s="468" t="s">
        <v>875</v>
      </c>
      <c r="H2174" s="466" t="e">
        <f>G2174/1.1</f>
        <v>#VALUE!</v>
      </c>
      <c r="I2174" s="436"/>
      <c r="J2174" s="465">
        <v>0</v>
      </c>
      <c r="K2174" s="465">
        <v>0</v>
      </c>
    </row>
    <row r="2175" spans="2:11" ht="19" customHeight="1">
      <c r="B2175" s="464">
        <v>46066</v>
      </c>
      <c r="C2175" s="436" t="s">
        <v>258</v>
      </c>
      <c r="D2175" s="436" t="s">
        <v>246</v>
      </c>
      <c r="E2175" s="436">
        <v>2</v>
      </c>
      <c r="F2175" s="469"/>
      <c r="G2175" s="468" t="s">
        <v>875</v>
      </c>
      <c r="H2175" s="466" t="e">
        <f>G2175/1.1</f>
        <v>#VALUE!</v>
      </c>
      <c r="I2175" s="436"/>
      <c r="J2175" s="465">
        <v>0</v>
      </c>
      <c r="K2175" s="465">
        <v>0</v>
      </c>
    </row>
    <row r="2176" spans="2:11" ht="19" customHeight="1">
      <c r="B2176" s="464">
        <v>46066</v>
      </c>
      <c r="C2176" s="436" t="s">
        <v>254</v>
      </c>
      <c r="D2176" s="436" t="s">
        <v>254</v>
      </c>
      <c r="E2176" s="436">
        <v>2</v>
      </c>
      <c r="F2176" s="465">
        <v>14.9</v>
      </c>
      <c r="G2176" s="466">
        <v>29.8</v>
      </c>
      <c r="H2176" s="466">
        <f>G2176/1.1</f>
        <v>27.09090909090909</v>
      </c>
      <c r="I2176" s="436"/>
      <c r="J2176" s="465">
        <v>0</v>
      </c>
      <c r="K2176" s="465">
        <v>0</v>
      </c>
    </row>
    <row r="2177" spans="2:11" ht="19" customHeight="1">
      <c r="B2177" s="464">
        <v>46066</v>
      </c>
      <c r="C2177" s="436" t="s">
        <v>873</v>
      </c>
      <c r="D2177" s="436" t="s">
        <v>987</v>
      </c>
      <c r="E2177" s="436">
        <v>1</v>
      </c>
      <c r="F2177" s="465">
        <v>5</v>
      </c>
      <c r="G2177" s="466">
        <v>5</v>
      </c>
      <c r="H2177" s="466">
        <f>G2177/1.1</f>
        <v>4.545454545454545</v>
      </c>
      <c r="I2177" s="436"/>
      <c r="J2177" s="465">
        <v>0</v>
      </c>
      <c r="K2177" s="465">
        <v>0</v>
      </c>
    </row>
    <row r="2178" spans="2:11" ht="19" customHeight="1">
      <c r="B2178" s="464">
        <v>46066</v>
      </c>
      <c r="C2178" s="436" t="s">
        <v>873</v>
      </c>
      <c r="D2178" s="436" t="s">
        <v>914</v>
      </c>
      <c r="E2178" s="436">
        <v>1</v>
      </c>
      <c r="F2178" s="469"/>
      <c r="G2178" s="468" t="s">
        <v>875</v>
      </c>
      <c r="H2178" s="466" t="e">
        <f>G2178/1.1</f>
        <v>#VALUE!</v>
      </c>
      <c r="I2178" s="436"/>
      <c r="J2178" s="465">
        <v>0</v>
      </c>
      <c r="K2178" s="465">
        <v>0</v>
      </c>
    </row>
    <row r="2179" spans="2:11" ht="19" customHeight="1">
      <c r="B2179" s="464">
        <v>46066</v>
      </c>
      <c r="C2179" s="436" t="s">
        <v>877</v>
      </c>
      <c r="D2179" s="436" t="s">
        <v>1105</v>
      </c>
      <c r="E2179" s="436">
        <v>1</v>
      </c>
      <c r="F2179" s="465">
        <v>3</v>
      </c>
      <c r="G2179" s="466">
        <v>3</v>
      </c>
      <c r="H2179" s="466">
        <f>G2179/1.1</f>
        <v>2.7272727272727271</v>
      </c>
      <c r="I2179" s="436"/>
      <c r="J2179" s="465">
        <v>0</v>
      </c>
      <c r="K2179" s="465">
        <v>0</v>
      </c>
    </row>
    <row r="2180" spans="2:11" ht="19" customHeight="1">
      <c r="B2180" s="464">
        <v>46066</v>
      </c>
      <c r="C2180" s="436" t="s">
        <v>877</v>
      </c>
      <c r="D2180" s="436" t="s">
        <v>1096</v>
      </c>
      <c r="E2180" s="436">
        <v>1</v>
      </c>
      <c r="F2180" s="469"/>
      <c r="G2180" s="468" t="s">
        <v>875</v>
      </c>
      <c r="H2180" s="466" t="e">
        <f>G2180/1.1</f>
        <v>#VALUE!</v>
      </c>
      <c r="I2180" s="436"/>
      <c r="J2180" s="465">
        <v>0</v>
      </c>
      <c r="K2180" s="465">
        <v>0</v>
      </c>
    </row>
    <row r="2181" spans="2:11" ht="19" customHeight="1">
      <c r="B2181" s="464">
        <v>46066</v>
      </c>
      <c r="C2181" s="436" t="s">
        <v>266</v>
      </c>
      <c r="D2181" s="436" t="s">
        <v>1107</v>
      </c>
      <c r="E2181" s="436">
        <v>1</v>
      </c>
      <c r="F2181" s="469"/>
      <c r="G2181" s="468" t="s">
        <v>875</v>
      </c>
      <c r="H2181" s="466" t="e">
        <f>G2181/1.1</f>
        <v>#VALUE!</v>
      </c>
      <c r="I2181" s="436"/>
      <c r="J2181" s="465">
        <v>0</v>
      </c>
      <c r="K2181" s="465">
        <v>0</v>
      </c>
    </row>
    <row r="2182" spans="2:11" ht="19" customHeight="1">
      <c r="B2182" s="464">
        <v>46066</v>
      </c>
      <c r="C2182" s="436" t="s">
        <v>266</v>
      </c>
      <c r="D2182" s="436" t="s">
        <v>926</v>
      </c>
      <c r="E2182" s="436">
        <v>1</v>
      </c>
      <c r="F2182" s="465">
        <v>1</v>
      </c>
      <c r="G2182" s="466">
        <v>1</v>
      </c>
      <c r="H2182" s="466">
        <f>G2182/1.1</f>
        <v>0.90909090909090906</v>
      </c>
      <c r="I2182" s="436"/>
      <c r="J2182" s="465">
        <v>0</v>
      </c>
      <c r="K2182" s="465">
        <v>0</v>
      </c>
    </row>
    <row r="2183" spans="2:11" ht="19" customHeight="1">
      <c r="B2183" s="464">
        <v>46066</v>
      </c>
      <c r="C2183" s="436" t="s">
        <v>258</v>
      </c>
      <c r="D2183" s="436" t="s">
        <v>883</v>
      </c>
      <c r="E2183" s="436">
        <v>1</v>
      </c>
      <c r="F2183" s="469"/>
      <c r="G2183" s="468" t="s">
        <v>875</v>
      </c>
      <c r="H2183" s="466" t="e">
        <f>G2183/1.1</f>
        <v>#VALUE!</v>
      </c>
      <c r="I2183" s="436"/>
      <c r="J2183" s="465">
        <v>0</v>
      </c>
      <c r="K2183" s="465">
        <v>0</v>
      </c>
    </row>
    <row r="2184" spans="2:11" ht="19" customHeight="1">
      <c r="B2184" s="464">
        <v>46066</v>
      </c>
      <c r="C2184" s="436" t="s">
        <v>258</v>
      </c>
      <c r="D2184" s="436" t="s">
        <v>1028</v>
      </c>
      <c r="E2184" s="436">
        <v>1</v>
      </c>
      <c r="F2184" s="469"/>
      <c r="G2184" s="468" t="s">
        <v>875</v>
      </c>
      <c r="H2184" s="466" t="e">
        <f>G2184/1.1</f>
        <v>#VALUE!</v>
      </c>
      <c r="I2184" s="436"/>
      <c r="J2184" s="465">
        <v>0</v>
      </c>
      <c r="K2184" s="465">
        <v>0</v>
      </c>
    </row>
    <row r="2185" spans="2:11" ht="19" customHeight="1">
      <c r="B2185" s="464">
        <v>46066</v>
      </c>
      <c r="C2185" s="436" t="s">
        <v>254</v>
      </c>
      <c r="D2185" s="436" t="s">
        <v>254</v>
      </c>
      <c r="E2185" s="436">
        <v>1</v>
      </c>
      <c r="F2185" s="465">
        <v>14.9</v>
      </c>
      <c r="G2185" s="466">
        <v>14.9</v>
      </c>
      <c r="H2185" s="466">
        <f>G2185/1.1</f>
        <v>13.545454545454545</v>
      </c>
      <c r="I2185" s="436"/>
      <c r="J2185" s="465">
        <v>0</v>
      </c>
      <c r="K2185" s="465">
        <v>0</v>
      </c>
    </row>
    <row r="2186" spans="2:11" ht="19" customHeight="1">
      <c r="B2186" s="464">
        <v>46066</v>
      </c>
      <c r="C2186" s="436" t="s">
        <v>873</v>
      </c>
      <c r="D2186" s="436" t="s">
        <v>1108</v>
      </c>
      <c r="E2186" s="436">
        <v>1</v>
      </c>
      <c r="F2186" s="469"/>
      <c r="G2186" s="468" t="s">
        <v>875</v>
      </c>
      <c r="H2186" s="466" t="e">
        <f>G2186/1.1</f>
        <v>#VALUE!</v>
      </c>
      <c r="I2186" s="436"/>
      <c r="J2186" s="465">
        <v>0</v>
      </c>
      <c r="K2186" s="465">
        <v>0</v>
      </c>
    </row>
    <row r="2187" spans="2:11" ht="19" customHeight="1">
      <c r="B2187" s="464">
        <v>46066</v>
      </c>
      <c r="C2187" s="436" t="s">
        <v>877</v>
      </c>
      <c r="D2187" s="436" t="s">
        <v>1105</v>
      </c>
      <c r="E2187" s="436">
        <v>1</v>
      </c>
      <c r="F2187" s="465">
        <v>3</v>
      </c>
      <c r="G2187" s="466">
        <v>3</v>
      </c>
      <c r="H2187" s="466">
        <f>G2187/1.1</f>
        <v>2.7272727272727271</v>
      </c>
      <c r="I2187" s="436"/>
      <c r="J2187" s="465">
        <v>0</v>
      </c>
      <c r="K2187" s="465">
        <v>0</v>
      </c>
    </row>
    <row r="2188" spans="2:11" ht="19" customHeight="1">
      <c r="B2188" s="464">
        <v>46066</v>
      </c>
      <c r="C2188" s="436" t="s">
        <v>266</v>
      </c>
      <c r="D2188" s="436" t="s">
        <v>708</v>
      </c>
      <c r="E2188" s="436">
        <v>1</v>
      </c>
      <c r="F2188" s="469"/>
      <c r="G2188" s="468" t="s">
        <v>875</v>
      </c>
      <c r="H2188" s="466" t="e">
        <f>G2188/1.1</f>
        <v>#VALUE!</v>
      </c>
      <c r="I2188" s="436"/>
      <c r="J2188" s="465">
        <v>0</v>
      </c>
      <c r="K2188" s="465">
        <v>0</v>
      </c>
    </row>
    <row r="2189" spans="2:11" ht="19" customHeight="1">
      <c r="B2189" s="464">
        <v>46066</v>
      </c>
      <c r="C2189" s="436" t="s">
        <v>258</v>
      </c>
      <c r="D2189" s="436" t="s">
        <v>883</v>
      </c>
      <c r="E2189" s="436">
        <v>1</v>
      </c>
      <c r="F2189" s="469"/>
      <c r="G2189" s="468" t="s">
        <v>875</v>
      </c>
      <c r="H2189" s="466" t="e">
        <f>G2189/1.1</f>
        <v>#VALUE!</v>
      </c>
      <c r="I2189" s="436"/>
      <c r="J2189" s="465">
        <v>0</v>
      </c>
      <c r="K2189" s="465">
        <v>0</v>
      </c>
    </row>
    <row r="2190" spans="2:11" ht="19" customHeight="1">
      <c r="B2190" s="464">
        <v>46066</v>
      </c>
      <c r="C2190" s="436" t="s">
        <v>254</v>
      </c>
      <c r="D2190" s="436" t="s">
        <v>254</v>
      </c>
      <c r="E2190" s="436">
        <v>2</v>
      </c>
      <c r="F2190" s="465">
        <v>14.9</v>
      </c>
      <c r="G2190" s="466">
        <v>29.8</v>
      </c>
      <c r="H2190" s="466">
        <f>G2190/1.1</f>
        <v>27.09090909090909</v>
      </c>
      <c r="I2190" s="436"/>
      <c r="J2190" s="465">
        <v>0</v>
      </c>
      <c r="K2190" s="465">
        <v>0</v>
      </c>
    </row>
    <row r="2191" spans="2:11" ht="19" customHeight="1">
      <c r="B2191" s="464">
        <v>46066</v>
      </c>
      <c r="C2191" s="436" t="s">
        <v>873</v>
      </c>
      <c r="D2191" s="436" t="s">
        <v>1108</v>
      </c>
      <c r="E2191" s="436">
        <v>2</v>
      </c>
      <c r="F2191" s="469"/>
      <c r="G2191" s="468" t="s">
        <v>875</v>
      </c>
      <c r="H2191" s="466" t="e">
        <f>G2191/1.1</f>
        <v>#VALUE!</v>
      </c>
      <c r="I2191" s="436"/>
      <c r="J2191" s="465">
        <v>0</v>
      </c>
      <c r="K2191" s="465">
        <v>0</v>
      </c>
    </row>
    <row r="2192" spans="2:11" ht="19" customHeight="1">
      <c r="B2192" s="464">
        <v>46066</v>
      </c>
      <c r="C2192" s="436" t="s">
        <v>877</v>
      </c>
      <c r="D2192" s="436" t="s">
        <v>1093</v>
      </c>
      <c r="E2192" s="436">
        <v>2</v>
      </c>
      <c r="F2192" s="469"/>
      <c r="G2192" s="468" t="s">
        <v>875</v>
      </c>
      <c r="H2192" s="466" t="e">
        <f>G2192/1.1</f>
        <v>#VALUE!</v>
      </c>
      <c r="I2192" s="436"/>
      <c r="J2192" s="465">
        <v>0</v>
      </c>
      <c r="K2192" s="465">
        <v>0</v>
      </c>
    </row>
    <row r="2193" spans="2:11" ht="19" customHeight="1">
      <c r="B2193" s="464">
        <v>46066</v>
      </c>
      <c r="C2193" s="436" t="s">
        <v>266</v>
      </c>
      <c r="D2193" s="436" t="s">
        <v>250</v>
      </c>
      <c r="E2193" s="436">
        <v>2</v>
      </c>
      <c r="F2193" s="469"/>
      <c r="G2193" s="468" t="s">
        <v>875</v>
      </c>
      <c r="H2193" s="466" t="e">
        <f>G2193/1.1</f>
        <v>#VALUE!</v>
      </c>
      <c r="I2193" s="436"/>
      <c r="J2193" s="465">
        <v>0</v>
      </c>
      <c r="K2193" s="465">
        <v>0</v>
      </c>
    </row>
    <row r="2194" spans="2:11" ht="19" customHeight="1">
      <c r="B2194" s="464">
        <v>46066</v>
      </c>
      <c r="C2194" s="436" t="s">
        <v>258</v>
      </c>
      <c r="D2194" s="436" t="s">
        <v>1109</v>
      </c>
      <c r="E2194" s="436">
        <v>2</v>
      </c>
      <c r="F2194" s="469"/>
      <c r="G2194" s="468" t="s">
        <v>875</v>
      </c>
      <c r="H2194" s="466" t="e">
        <f>G2194/1.1</f>
        <v>#VALUE!</v>
      </c>
      <c r="I2194" s="436"/>
      <c r="J2194" s="465">
        <v>0</v>
      </c>
      <c r="K2194" s="465">
        <v>0</v>
      </c>
    </row>
    <row r="2195" spans="2:11" ht="19" customHeight="1">
      <c r="B2195" s="464">
        <v>46066</v>
      </c>
      <c r="C2195" s="436" t="s">
        <v>254</v>
      </c>
      <c r="D2195" s="436" t="s">
        <v>254</v>
      </c>
      <c r="E2195" s="436">
        <v>2</v>
      </c>
      <c r="F2195" s="465">
        <v>14.9</v>
      </c>
      <c r="G2195" s="466">
        <v>29.8</v>
      </c>
      <c r="H2195" s="466">
        <f>G2195/1.1</f>
        <v>27.09090909090909</v>
      </c>
      <c r="I2195" s="436"/>
      <c r="J2195" s="465">
        <v>0</v>
      </c>
      <c r="K2195" s="465">
        <v>0</v>
      </c>
    </row>
    <row r="2196" spans="2:11" ht="19" customHeight="1">
      <c r="B2196" s="464">
        <v>46066</v>
      </c>
      <c r="C2196" s="436" t="s">
        <v>873</v>
      </c>
      <c r="D2196" s="436" t="s">
        <v>987</v>
      </c>
      <c r="E2196" s="436">
        <v>1</v>
      </c>
      <c r="F2196" s="465">
        <v>5</v>
      </c>
      <c r="G2196" s="466">
        <v>5</v>
      </c>
      <c r="H2196" s="466">
        <f>G2196/1.1</f>
        <v>4.545454545454545</v>
      </c>
      <c r="I2196" s="436"/>
      <c r="J2196" s="465">
        <v>0</v>
      </c>
      <c r="K2196" s="465">
        <v>0</v>
      </c>
    </row>
    <row r="2197" spans="2:11" ht="19" customHeight="1">
      <c r="B2197" s="464">
        <v>46066</v>
      </c>
      <c r="C2197" s="436" t="s">
        <v>873</v>
      </c>
      <c r="D2197" s="436" t="s">
        <v>1095</v>
      </c>
      <c r="E2197" s="436">
        <v>1</v>
      </c>
      <c r="F2197" s="469"/>
      <c r="G2197" s="468" t="s">
        <v>875</v>
      </c>
      <c r="H2197" s="466" t="e">
        <f>G2197/1.1</f>
        <v>#VALUE!</v>
      </c>
      <c r="I2197" s="436"/>
      <c r="J2197" s="465">
        <v>0</v>
      </c>
      <c r="K2197" s="465">
        <v>0</v>
      </c>
    </row>
    <row r="2198" spans="2:11" ht="19" customHeight="1">
      <c r="B2198" s="464">
        <v>46066</v>
      </c>
      <c r="C2198" s="436" t="s">
        <v>877</v>
      </c>
      <c r="D2198" s="436" t="s">
        <v>1093</v>
      </c>
      <c r="E2198" s="436">
        <v>2</v>
      </c>
      <c r="F2198" s="469"/>
      <c r="G2198" s="468" t="s">
        <v>875</v>
      </c>
      <c r="H2198" s="466" t="e">
        <f>G2198/1.1</f>
        <v>#VALUE!</v>
      </c>
      <c r="I2198" s="436"/>
      <c r="J2198" s="465">
        <v>0</v>
      </c>
      <c r="K2198" s="465">
        <v>0</v>
      </c>
    </row>
    <row r="2199" spans="2:11" ht="19" customHeight="1">
      <c r="B2199" s="464">
        <v>46066</v>
      </c>
      <c r="C2199" s="436" t="s">
        <v>266</v>
      </c>
      <c r="D2199" s="436" t="s">
        <v>676</v>
      </c>
      <c r="E2199" s="436">
        <v>2</v>
      </c>
      <c r="F2199" s="465">
        <v>2.95</v>
      </c>
      <c r="G2199" s="466">
        <v>5.9</v>
      </c>
      <c r="H2199" s="466">
        <f>G2199/1.1</f>
        <v>5.3636363636363633</v>
      </c>
      <c r="I2199" s="436"/>
      <c r="J2199" s="465">
        <v>0</v>
      </c>
      <c r="K2199" s="465">
        <v>0</v>
      </c>
    </row>
    <row r="2200" spans="2:11" ht="19" customHeight="1">
      <c r="B2200" s="464">
        <v>46066</v>
      </c>
      <c r="C2200" s="436" t="s">
        <v>258</v>
      </c>
      <c r="D2200" s="436" t="s">
        <v>883</v>
      </c>
      <c r="E2200" s="436">
        <v>1</v>
      </c>
      <c r="F2200" s="469"/>
      <c r="G2200" s="468" t="s">
        <v>875</v>
      </c>
      <c r="H2200" s="466" t="e">
        <f>G2200/1.1</f>
        <v>#VALUE!</v>
      </c>
      <c r="I2200" s="436"/>
      <c r="J2200" s="465">
        <v>0</v>
      </c>
      <c r="K2200" s="465">
        <v>0</v>
      </c>
    </row>
    <row r="2201" spans="2:11" ht="19" customHeight="1">
      <c r="B2201" s="464">
        <v>46066</v>
      </c>
      <c r="C2201" s="436" t="s">
        <v>258</v>
      </c>
      <c r="D2201" s="436" t="s">
        <v>992</v>
      </c>
      <c r="E2201" s="436">
        <v>1</v>
      </c>
      <c r="F2201" s="469"/>
      <c r="G2201" s="468" t="s">
        <v>875</v>
      </c>
      <c r="H2201" s="466" t="e">
        <f>G2201/1.1</f>
        <v>#VALUE!</v>
      </c>
      <c r="I2201" s="436"/>
      <c r="J2201" s="465">
        <v>0</v>
      </c>
      <c r="K2201" s="465">
        <v>0</v>
      </c>
    </row>
    <row r="2202" spans="2:11" ht="19" customHeight="1">
      <c r="B2202" s="464">
        <v>46066</v>
      </c>
      <c r="C2202" s="436" t="s">
        <v>254</v>
      </c>
      <c r="D2202" s="436" t="s">
        <v>254</v>
      </c>
      <c r="E2202" s="436">
        <v>1</v>
      </c>
      <c r="F2202" s="465">
        <v>14.9</v>
      </c>
      <c r="G2202" s="466">
        <v>14.9</v>
      </c>
      <c r="H2202" s="466">
        <f>G2202/1.1</f>
        <v>13.545454545454545</v>
      </c>
      <c r="I2202" s="436"/>
      <c r="J2202" s="465">
        <v>0</v>
      </c>
      <c r="K2202" s="465">
        <v>0</v>
      </c>
    </row>
    <row r="2203" spans="2:11" ht="19" customHeight="1">
      <c r="B2203" s="464">
        <v>46066</v>
      </c>
      <c r="C2203" s="436" t="s">
        <v>873</v>
      </c>
      <c r="D2203" s="436" t="s">
        <v>1095</v>
      </c>
      <c r="E2203" s="436">
        <v>1</v>
      </c>
      <c r="F2203" s="469"/>
      <c r="G2203" s="468" t="s">
        <v>875</v>
      </c>
      <c r="H2203" s="466" t="e">
        <f>G2203/1.1</f>
        <v>#VALUE!</v>
      </c>
      <c r="I2203" s="436"/>
      <c r="J2203" s="465">
        <v>0</v>
      </c>
      <c r="K2203" s="465">
        <v>0</v>
      </c>
    </row>
    <row r="2204" spans="2:11" ht="19" customHeight="1">
      <c r="B2204" s="464">
        <v>46066</v>
      </c>
      <c r="C2204" s="436" t="s">
        <v>877</v>
      </c>
      <c r="D2204" s="436" t="s">
        <v>1105</v>
      </c>
      <c r="E2204" s="436">
        <v>1</v>
      </c>
      <c r="F2204" s="465">
        <v>3</v>
      </c>
      <c r="G2204" s="466">
        <v>3</v>
      </c>
      <c r="H2204" s="466">
        <f>G2204/1.1</f>
        <v>2.7272727272727271</v>
      </c>
      <c r="I2204" s="436"/>
      <c r="J2204" s="465">
        <v>0</v>
      </c>
      <c r="K2204" s="465">
        <v>0</v>
      </c>
    </row>
    <row r="2205" spans="2:11" ht="19" customHeight="1">
      <c r="B2205" s="464">
        <v>46066</v>
      </c>
      <c r="C2205" s="436" t="s">
        <v>266</v>
      </c>
      <c r="D2205" s="436" t="s">
        <v>1110</v>
      </c>
      <c r="E2205" s="436">
        <v>1</v>
      </c>
      <c r="F2205" s="469"/>
      <c r="G2205" s="468" t="s">
        <v>875</v>
      </c>
      <c r="H2205" s="466" t="e">
        <f>G2205/1.1</f>
        <v>#VALUE!</v>
      </c>
      <c r="I2205" s="436"/>
      <c r="J2205" s="465">
        <v>0</v>
      </c>
      <c r="K2205" s="465">
        <v>0</v>
      </c>
    </row>
    <row r="2206" spans="2:11" ht="19" customHeight="1">
      <c r="B2206" s="464">
        <v>46066</v>
      </c>
      <c r="C2206" s="436" t="s">
        <v>258</v>
      </c>
      <c r="D2206" s="436" t="s">
        <v>1058</v>
      </c>
      <c r="E2206" s="436">
        <v>1</v>
      </c>
      <c r="F2206" s="469"/>
      <c r="G2206" s="468" t="s">
        <v>875</v>
      </c>
      <c r="H2206" s="466" t="e">
        <f>G2206/1.1</f>
        <v>#VALUE!</v>
      </c>
      <c r="I2206" s="436"/>
      <c r="J2206" s="465">
        <v>0</v>
      </c>
      <c r="K2206" s="465">
        <v>0</v>
      </c>
    </row>
    <row r="2207" spans="2:11" ht="19" customHeight="1">
      <c r="B2207" s="464">
        <v>46067</v>
      </c>
      <c r="C2207" s="436" t="s">
        <v>247</v>
      </c>
      <c r="D2207" s="436" t="s">
        <v>248</v>
      </c>
      <c r="E2207" s="436">
        <v>1</v>
      </c>
      <c r="F2207" s="465">
        <v>1.5</v>
      </c>
      <c r="G2207" s="466">
        <v>1.5</v>
      </c>
      <c r="H2207" s="466">
        <f>G2207/1.1</f>
        <v>1.3636363636363635</v>
      </c>
      <c r="I2207" s="436"/>
      <c r="J2207" s="465">
        <v>0</v>
      </c>
      <c r="K2207" s="465">
        <v>0</v>
      </c>
    </row>
    <row r="2208" spans="2:11" ht="19" customHeight="1">
      <c r="B2208" s="464">
        <v>46067</v>
      </c>
      <c r="C2208" s="436" t="s">
        <v>247</v>
      </c>
      <c r="D2208" s="436" t="s">
        <v>246</v>
      </c>
      <c r="E2208" s="436">
        <v>1</v>
      </c>
      <c r="F2208" s="465">
        <v>1.7</v>
      </c>
      <c r="G2208" s="466">
        <v>1.7</v>
      </c>
      <c r="H2208" s="466">
        <f>G2208/1.1</f>
        <v>1.5454545454545452</v>
      </c>
      <c r="I2208" s="436"/>
      <c r="J2208" s="465">
        <v>0</v>
      </c>
      <c r="K2208" s="465">
        <v>0</v>
      </c>
    </row>
    <row r="2209" spans="2:11" ht="19" customHeight="1">
      <c r="B2209" s="464">
        <v>46067</v>
      </c>
      <c r="C2209" s="436" t="s">
        <v>251</v>
      </c>
      <c r="D2209" s="436" t="s">
        <v>742</v>
      </c>
      <c r="E2209" s="436">
        <v>1</v>
      </c>
      <c r="F2209" s="465">
        <v>2.75</v>
      </c>
      <c r="G2209" s="466">
        <v>2.75</v>
      </c>
      <c r="H2209" s="466">
        <f>G2209/1.1</f>
        <v>2.5</v>
      </c>
      <c r="I2209" s="436"/>
      <c r="J2209" s="465">
        <v>0</v>
      </c>
      <c r="K2209" s="465">
        <v>0</v>
      </c>
    </row>
    <row r="2210" spans="2:11" ht="19" customHeight="1">
      <c r="B2210" s="464">
        <v>46067</v>
      </c>
      <c r="C2210" s="436" t="s">
        <v>894</v>
      </c>
      <c r="D2210" s="436" t="s">
        <v>814</v>
      </c>
      <c r="E2210" s="436">
        <v>1</v>
      </c>
      <c r="F2210" s="465">
        <v>5.4</v>
      </c>
      <c r="G2210" s="466">
        <v>5.4</v>
      </c>
      <c r="H2210" s="466">
        <f>G2210/1.1</f>
        <v>4.9090909090909092</v>
      </c>
      <c r="I2210" s="436"/>
      <c r="J2210" s="465">
        <v>0</v>
      </c>
      <c r="K2210" s="465">
        <v>0</v>
      </c>
    </row>
    <row r="2211" spans="2:11" ht="19" customHeight="1">
      <c r="B2211" s="464">
        <v>46067</v>
      </c>
      <c r="C2211" s="436" t="s">
        <v>247</v>
      </c>
      <c r="D2211" s="436" t="s">
        <v>248</v>
      </c>
      <c r="E2211" s="436">
        <v>1</v>
      </c>
      <c r="F2211" s="465">
        <v>1.5</v>
      </c>
      <c r="G2211" s="466">
        <v>1.5</v>
      </c>
      <c r="H2211" s="466">
        <f>G2211/1.1</f>
        <v>1.3636363636363635</v>
      </c>
      <c r="I2211" s="436"/>
      <c r="J2211" s="465">
        <v>0</v>
      </c>
      <c r="K2211" s="465">
        <v>0</v>
      </c>
    </row>
    <row r="2212" spans="2:11" ht="19" customHeight="1">
      <c r="B2212" s="464">
        <v>46067</v>
      </c>
      <c r="C2212" s="436" t="s">
        <v>862</v>
      </c>
      <c r="D2212" s="436" t="s">
        <v>899</v>
      </c>
      <c r="E2212" s="436">
        <v>1</v>
      </c>
      <c r="F2212" s="465">
        <v>0.05</v>
      </c>
      <c r="G2212" s="466">
        <v>0.05</v>
      </c>
      <c r="H2212" s="466">
        <f>G2212/1.1</f>
        <v>4.5454545454545456E-2</v>
      </c>
      <c r="I2212" s="436"/>
      <c r="J2212" s="465">
        <v>0</v>
      </c>
      <c r="K2212" s="465">
        <v>0</v>
      </c>
    </row>
    <row r="2213" spans="2:11" ht="19" customHeight="1">
      <c r="B2213" s="464">
        <v>46067</v>
      </c>
      <c r="C2213" s="436" t="s">
        <v>253</v>
      </c>
      <c r="D2213" s="436" t="s">
        <v>965</v>
      </c>
      <c r="E2213" s="436">
        <v>1</v>
      </c>
      <c r="F2213" s="465">
        <v>2.5</v>
      </c>
      <c r="G2213" s="466">
        <v>2.5</v>
      </c>
      <c r="H2213" s="466">
        <f>G2213/1.1</f>
        <v>2.2727272727272725</v>
      </c>
      <c r="I2213" s="436"/>
      <c r="J2213" s="465">
        <v>0</v>
      </c>
      <c r="K2213" s="465">
        <v>0</v>
      </c>
    </row>
    <row r="2214" spans="2:11" ht="19" customHeight="1">
      <c r="B2214" s="464">
        <v>46067</v>
      </c>
      <c r="C2214" s="436" t="s">
        <v>247</v>
      </c>
      <c r="D2214" s="436" t="s">
        <v>246</v>
      </c>
      <c r="E2214" s="436">
        <v>1</v>
      </c>
      <c r="F2214" s="465">
        <v>1.7</v>
      </c>
      <c r="G2214" s="466">
        <v>1.7</v>
      </c>
      <c r="H2214" s="466">
        <f>G2214/1.1</f>
        <v>1.5454545454545452</v>
      </c>
      <c r="I2214" s="436"/>
      <c r="J2214" s="465">
        <v>0</v>
      </c>
      <c r="K2214" s="465">
        <v>0</v>
      </c>
    </row>
    <row r="2215" spans="2:11" ht="19" customHeight="1">
      <c r="B2215" s="464">
        <v>46067</v>
      </c>
      <c r="C2215" s="436" t="s">
        <v>862</v>
      </c>
      <c r="D2215" s="436" t="s">
        <v>863</v>
      </c>
      <c r="E2215" s="436">
        <v>1</v>
      </c>
      <c r="F2215" s="465">
        <v>0.15</v>
      </c>
      <c r="G2215" s="466">
        <v>0.15</v>
      </c>
      <c r="H2215" s="466">
        <f>G2215/1.1</f>
        <v>0.13636363636363635</v>
      </c>
      <c r="I2215" s="436"/>
      <c r="J2215" s="465">
        <v>0</v>
      </c>
      <c r="K2215" s="465">
        <v>0</v>
      </c>
    </row>
    <row r="2216" spans="2:11" ht="19" customHeight="1">
      <c r="B2216" s="464">
        <v>46067</v>
      </c>
      <c r="C2216" s="436" t="s">
        <v>268</v>
      </c>
      <c r="D2216" s="436" t="s">
        <v>858</v>
      </c>
      <c r="E2216" s="436">
        <v>1</v>
      </c>
      <c r="F2216" s="465">
        <v>0.65</v>
      </c>
      <c r="G2216" s="466">
        <v>0.65</v>
      </c>
      <c r="H2216" s="466">
        <f>G2216/1.1</f>
        <v>0.59090909090909083</v>
      </c>
      <c r="I2216" s="436"/>
      <c r="J2216" s="465">
        <v>0</v>
      </c>
      <c r="K2216" s="465">
        <v>0</v>
      </c>
    </row>
    <row r="2217" spans="2:11" ht="19" customHeight="1">
      <c r="B2217" s="464">
        <v>46067</v>
      </c>
      <c r="C2217" s="436" t="s">
        <v>247</v>
      </c>
      <c r="D2217" s="436" t="s">
        <v>246</v>
      </c>
      <c r="E2217" s="436">
        <v>3</v>
      </c>
      <c r="F2217" s="465">
        <v>1.7</v>
      </c>
      <c r="G2217" s="466">
        <v>5.0999999999999996</v>
      </c>
      <c r="H2217" s="466">
        <f>G2217/1.1</f>
        <v>4.6363636363636358</v>
      </c>
      <c r="I2217" s="436"/>
      <c r="J2217" s="465">
        <v>0</v>
      </c>
      <c r="K2217" s="465">
        <v>0</v>
      </c>
    </row>
    <row r="2218" spans="2:11" ht="19" customHeight="1">
      <c r="B2218" s="464">
        <v>46067</v>
      </c>
      <c r="C2218" s="436" t="s">
        <v>894</v>
      </c>
      <c r="D2218" s="436" t="s">
        <v>1001</v>
      </c>
      <c r="E2218" s="436">
        <v>1</v>
      </c>
      <c r="F2218" s="465">
        <v>5.7</v>
      </c>
      <c r="G2218" s="466">
        <v>5.7</v>
      </c>
      <c r="H2218" s="466">
        <f>G2218/1.1</f>
        <v>5.1818181818181817</v>
      </c>
      <c r="I2218" s="436"/>
      <c r="J2218" s="465">
        <v>0</v>
      </c>
      <c r="K2218" s="465">
        <v>0</v>
      </c>
    </row>
    <row r="2219" spans="2:11" ht="19" customHeight="1">
      <c r="B2219" s="464">
        <v>46067</v>
      </c>
      <c r="C2219" s="436" t="s">
        <v>247</v>
      </c>
      <c r="D2219" s="436" t="s">
        <v>257</v>
      </c>
      <c r="E2219" s="436">
        <v>1</v>
      </c>
      <c r="F2219" s="465">
        <v>1.4</v>
      </c>
      <c r="G2219" s="466">
        <v>1.4</v>
      </c>
      <c r="H2219" s="466">
        <f>G2219/1.1</f>
        <v>1.2727272727272725</v>
      </c>
      <c r="I2219" s="436"/>
      <c r="J2219" s="465">
        <v>0</v>
      </c>
      <c r="K2219" s="465">
        <v>0</v>
      </c>
    </row>
    <row r="2220" spans="2:11" ht="19" customHeight="1">
      <c r="B2220" s="464">
        <v>46067</v>
      </c>
      <c r="C2220" s="436" t="s">
        <v>327</v>
      </c>
      <c r="D2220" s="436" t="s">
        <v>856</v>
      </c>
      <c r="E2220" s="436">
        <v>1</v>
      </c>
      <c r="F2220" s="465">
        <v>3.5</v>
      </c>
      <c r="G2220" s="466">
        <v>3.5</v>
      </c>
      <c r="H2220" s="466">
        <f>G2220/1.1</f>
        <v>3.1818181818181817</v>
      </c>
      <c r="I2220" s="436"/>
      <c r="J2220" s="465">
        <v>0</v>
      </c>
      <c r="K2220" s="465">
        <v>0</v>
      </c>
    </row>
    <row r="2221" spans="2:11" ht="19" customHeight="1">
      <c r="B2221" s="464">
        <v>46067</v>
      </c>
      <c r="C2221" s="436" t="s">
        <v>327</v>
      </c>
      <c r="D2221" s="436" t="s">
        <v>1007</v>
      </c>
      <c r="E2221" s="436">
        <v>1</v>
      </c>
      <c r="F2221" s="465">
        <v>4.5999999999999996</v>
      </c>
      <c r="G2221" s="466">
        <v>4.5999999999999996</v>
      </c>
      <c r="H2221" s="466">
        <f>G2221/1.1</f>
        <v>4.1818181818181808</v>
      </c>
      <c r="I2221" s="436"/>
      <c r="J2221" s="465">
        <v>0</v>
      </c>
      <c r="K2221" s="465">
        <v>0</v>
      </c>
    </row>
    <row r="2222" spans="2:11" ht="19" customHeight="1">
      <c r="B2222" s="464">
        <v>46067</v>
      </c>
      <c r="C2222" s="436" t="s">
        <v>251</v>
      </c>
      <c r="D2222" s="436" t="s">
        <v>742</v>
      </c>
      <c r="E2222" s="436">
        <v>1</v>
      </c>
      <c r="F2222" s="465">
        <v>2.75</v>
      </c>
      <c r="G2222" s="466">
        <v>2.75</v>
      </c>
      <c r="H2222" s="466">
        <f>G2222/1.1</f>
        <v>2.5</v>
      </c>
      <c r="I2222" s="436"/>
      <c r="J2222" s="465">
        <v>0</v>
      </c>
      <c r="K2222" s="465">
        <v>0</v>
      </c>
    </row>
    <row r="2223" spans="2:11" ht="19" customHeight="1">
      <c r="B2223" s="464">
        <v>46067</v>
      </c>
      <c r="C2223" s="436" t="s">
        <v>247</v>
      </c>
      <c r="D2223" s="436" t="s">
        <v>257</v>
      </c>
      <c r="E2223" s="436">
        <v>1</v>
      </c>
      <c r="F2223" s="465">
        <v>1.4</v>
      </c>
      <c r="G2223" s="466">
        <v>1.4</v>
      </c>
      <c r="H2223" s="466">
        <f>G2223/1.1</f>
        <v>1.2727272727272725</v>
      </c>
      <c r="I2223" s="436"/>
      <c r="J2223" s="465">
        <v>0</v>
      </c>
      <c r="K2223" s="465">
        <v>0</v>
      </c>
    </row>
    <row r="2224" spans="2:11" ht="19" customHeight="1">
      <c r="B2224" s="464">
        <v>46067</v>
      </c>
      <c r="C2224" s="436" t="s">
        <v>247</v>
      </c>
      <c r="D2224" s="436" t="s">
        <v>246</v>
      </c>
      <c r="E2224" s="436">
        <v>1</v>
      </c>
      <c r="F2224" s="465">
        <v>1.7</v>
      </c>
      <c r="G2224" s="466">
        <v>1.7</v>
      </c>
      <c r="H2224" s="466">
        <f>G2224/1.1</f>
        <v>1.5454545454545452</v>
      </c>
      <c r="I2224" s="436"/>
      <c r="J2224" s="465">
        <v>0</v>
      </c>
      <c r="K2224" s="465">
        <v>0</v>
      </c>
    </row>
    <row r="2225" spans="2:11" ht="19" customHeight="1">
      <c r="B2225" s="464">
        <v>46067</v>
      </c>
      <c r="C2225" s="436" t="s">
        <v>247</v>
      </c>
      <c r="D2225" s="436" t="s">
        <v>246</v>
      </c>
      <c r="E2225" s="436">
        <v>2</v>
      </c>
      <c r="F2225" s="465">
        <v>1.7</v>
      </c>
      <c r="G2225" s="466">
        <v>3.4</v>
      </c>
      <c r="H2225" s="466">
        <f>G2225/1.1</f>
        <v>3.0909090909090904</v>
      </c>
      <c r="I2225" s="436"/>
      <c r="J2225" s="465">
        <v>0</v>
      </c>
      <c r="K2225" s="465">
        <v>0</v>
      </c>
    </row>
    <row r="2226" spans="2:11" ht="19" customHeight="1">
      <c r="B2226" s="464">
        <v>46067</v>
      </c>
      <c r="C2226" s="436" t="s">
        <v>894</v>
      </c>
      <c r="D2226" s="436" t="s">
        <v>1001</v>
      </c>
      <c r="E2226" s="436">
        <v>1</v>
      </c>
      <c r="F2226" s="465">
        <v>5.7</v>
      </c>
      <c r="G2226" s="466">
        <v>5.7</v>
      </c>
      <c r="H2226" s="466">
        <f>G2226/1.1</f>
        <v>5.1818181818181817</v>
      </c>
      <c r="I2226" s="436"/>
      <c r="J2226" s="465">
        <v>0</v>
      </c>
      <c r="K2226" s="465">
        <v>0</v>
      </c>
    </row>
    <row r="2227" spans="2:11" ht="19" customHeight="1">
      <c r="B2227" s="464">
        <v>46067</v>
      </c>
      <c r="C2227" s="436" t="s">
        <v>268</v>
      </c>
      <c r="D2227" s="436" t="s">
        <v>267</v>
      </c>
      <c r="E2227" s="436">
        <v>1</v>
      </c>
      <c r="F2227" s="465">
        <v>1.5</v>
      </c>
      <c r="G2227" s="466">
        <v>1.5</v>
      </c>
      <c r="H2227" s="466">
        <f>G2227/1.1</f>
        <v>1.3636363636363635</v>
      </c>
      <c r="I2227" s="436"/>
      <c r="J2227" s="465">
        <v>0</v>
      </c>
      <c r="K2227" s="465">
        <v>0</v>
      </c>
    </row>
    <row r="2228" spans="2:11" ht="19" customHeight="1">
      <c r="B2228" s="464">
        <v>46067</v>
      </c>
      <c r="C2228" s="436" t="s">
        <v>247</v>
      </c>
      <c r="D2228" s="436" t="s">
        <v>246</v>
      </c>
      <c r="E2228" s="436">
        <v>1</v>
      </c>
      <c r="F2228" s="465">
        <v>1.7</v>
      </c>
      <c r="G2228" s="466">
        <v>1.7</v>
      </c>
      <c r="H2228" s="466">
        <f>G2228/1.1</f>
        <v>1.5454545454545452</v>
      </c>
      <c r="I2228" s="436"/>
      <c r="J2228" s="465">
        <v>0</v>
      </c>
      <c r="K2228" s="465">
        <v>0</v>
      </c>
    </row>
    <row r="2229" spans="2:11" ht="19" customHeight="1">
      <c r="B2229" s="464">
        <v>46067</v>
      </c>
      <c r="C2229" s="436" t="s">
        <v>268</v>
      </c>
      <c r="D2229" s="436" t="s">
        <v>267</v>
      </c>
      <c r="E2229" s="436">
        <v>1</v>
      </c>
      <c r="F2229" s="465">
        <v>1.5</v>
      </c>
      <c r="G2229" s="466">
        <v>1.5</v>
      </c>
      <c r="H2229" s="466">
        <f>G2229/1.1</f>
        <v>1.3636363636363635</v>
      </c>
      <c r="I2229" s="436"/>
      <c r="J2229" s="465">
        <v>0</v>
      </c>
      <c r="K2229" s="465">
        <v>0</v>
      </c>
    </row>
    <row r="2230" spans="2:11" ht="19" customHeight="1">
      <c r="B2230" s="464">
        <v>46067</v>
      </c>
      <c r="C2230" s="436" t="s">
        <v>247</v>
      </c>
      <c r="D2230" s="436" t="s">
        <v>246</v>
      </c>
      <c r="E2230" s="436">
        <v>1</v>
      </c>
      <c r="F2230" s="465">
        <v>1.7</v>
      </c>
      <c r="G2230" s="466">
        <v>1.7</v>
      </c>
      <c r="H2230" s="466">
        <f>G2230/1.1</f>
        <v>1.5454545454545452</v>
      </c>
      <c r="I2230" s="436"/>
      <c r="J2230" s="465">
        <v>0</v>
      </c>
      <c r="K2230" s="465">
        <v>0</v>
      </c>
    </row>
    <row r="2231" spans="2:11" ht="19" customHeight="1">
      <c r="B2231" s="464">
        <v>46067</v>
      </c>
      <c r="C2231" s="436" t="s">
        <v>268</v>
      </c>
      <c r="D2231" s="436" t="s">
        <v>859</v>
      </c>
      <c r="E2231" s="436">
        <v>1</v>
      </c>
      <c r="F2231" s="465">
        <v>0.75</v>
      </c>
      <c r="G2231" s="466">
        <v>0.75</v>
      </c>
      <c r="H2231" s="466">
        <f>G2231/1.1</f>
        <v>0.68181818181818177</v>
      </c>
      <c r="I2231" s="436"/>
      <c r="J2231" s="465">
        <v>0</v>
      </c>
      <c r="K2231" s="465">
        <v>0</v>
      </c>
    </row>
    <row r="2232" spans="2:11" ht="19" customHeight="1">
      <c r="B2232" s="464">
        <v>46067</v>
      </c>
      <c r="C2232" s="436" t="s">
        <v>247</v>
      </c>
      <c r="D2232" s="436" t="s">
        <v>246</v>
      </c>
      <c r="E2232" s="436">
        <v>1</v>
      </c>
      <c r="F2232" s="465">
        <v>1.7</v>
      </c>
      <c r="G2232" s="466">
        <v>1.7</v>
      </c>
      <c r="H2232" s="466">
        <f>G2232/1.1</f>
        <v>1.5454545454545452</v>
      </c>
      <c r="I2232" s="436"/>
      <c r="J2232" s="465">
        <v>0</v>
      </c>
      <c r="K2232" s="465">
        <v>0</v>
      </c>
    </row>
    <row r="2233" spans="2:11" ht="19" customHeight="1">
      <c r="B2233" s="464">
        <v>46067</v>
      </c>
      <c r="C2233" s="436" t="s">
        <v>328</v>
      </c>
      <c r="D2233" s="436" t="s">
        <v>773</v>
      </c>
      <c r="E2233" s="436">
        <v>1</v>
      </c>
      <c r="F2233" s="465">
        <v>3.1</v>
      </c>
      <c r="G2233" s="466">
        <v>3.1</v>
      </c>
      <c r="H2233" s="466">
        <f>G2233/1.1</f>
        <v>2.8181818181818179</v>
      </c>
      <c r="I2233" s="436"/>
      <c r="J2233" s="465">
        <v>0</v>
      </c>
      <c r="K2233" s="465">
        <v>0</v>
      </c>
    </row>
    <row r="2234" spans="2:11" ht="19" customHeight="1">
      <c r="B2234" s="464">
        <v>46067</v>
      </c>
      <c r="C2234" s="436" t="s">
        <v>862</v>
      </c>
      <c r="D2234" s="436" t="s">
        <v>865</v>
      </c>
      <c r="E2234" s="436">
        <v>1</v>
      </c>
      <c r="F2234" s="465">
        <v>0.05</v>
      </c>
      <c r="G2234" s="466">
        <v>0.05</v>
      </c>
      <c r="H2234" s="466">
        <f>G2234/1.1</f>
        <v>4.5454545454545456E-2</v>
      </c>
      <c r="I2234" s="436"/>
      <c r="J2234" s="465">
        <v>0</v>
      </c>
      <c r="K2234" s="465">
        <v>0</v>
      </c>
    </row>
    <row r="2235" spans="2:11" ht="19" customHeight="1">
      <c r="B2235" s="464">
        <v>46067</v>
      </c>
      <c r="C2235" s="436" t="s">
        <v>268</v>
      </c>
      <c r="D2235" s="436" t="s">
        <v>859</v>
      </c>
      <c r="E2235" s="436">
        <v>1</v>
      </c>
      <c r="F2235" s="465">
        <v>0.75</v>
      </c>
      <c r="G2235" s="466">
        <v>0.75</v>
      </c>
      <c r="H2235" s="466">
        <f>G2235/1.1</f>
        <v>0.68181818181818177</v>
      </c>
      <c r="I2235" s="436"/>
      <c r="J2235" s="465">
        <v>0</v>
      </c>
      <c r="K2235" s="465">
        <v>0</v>
      </c>
    </row>
    <row r="2236" spans="2:11" ht="19" customHeight="1">
      <c r="B2236" s="464">
        <v>46067</v>
      </c>
      <c r="C2236" s="436" t="s">
        <v>247</v>
      </c>
      <c r="D2236" s="436" t="s">
        <v>257</v>
      </c>
      <c r="E2236" s="436">
        <v>2</v>
      </c>
      <c r="F2236" s="465">
        <v>1.4</v>
      </c>
      <c r="G2236" s="466">
        <v>2.8</v>
      </c>
      <c r="H2236" s="466">
        <f>G2236/1.1</f>
        <v>2.545454545454545</v>
      </c>
      <c r="I2236" s="436"/>
      <c r="J2236" s="465">
        <v>0</v>
      </c>
      <c r="K2236" s="465">
        <v>0</v>
      </c>
    </row>
    <row r="2237" spans="2:11" ht="19" customHeight="1">
      <c r="B2237" s="464">
        <v>46067</v>
      </c>
      <c r="C2237" s="436" t="s">
        <v>247</v>
      </c>
      <c r="D2237" s="436" t="s">
        <v>257</v>
      </c>
      <c r="E2237" s="436">
        <v>1</v>
      </c>
      <c r="F2237" s="465">
        <v>1.4</v>
      </c>
      <c r="G2237" s="466">
        <v>1.4</v>
      </c>
      <c r="H2237" s="466">
        <f>G2237/1.1</f>
        <v>1.2727272727272725</v>
      </c>
      <c r="I2237" s="436"/>
      <c r="J2237" s="465">
        <v>0</v>
      </c>
      <c r="K2237" s="465">
        <v>0</v>
      </c>
    </row>
    <row r="2238" spans="2:11" ht="19" customHeight="1">
      <c r="B2238" s="464">
        <v>46067</v>
      </c>
      <c r="C2238" s="436" t="s">
        <v>247</v>
      </c>
      <c r="D2238" s="436" t="s">
        <v>246</v>
      </c>
      <c r="E2238" s="436">
        <v>2</v>
      </c>
      <c r="F2238" s="465">
        <v>1.7</v>
      </c>
      <c r="G2238" s="466">
        <v>3.4</v>
      </c>
      <c r="H2238" s="466">
        <f>G2238/1.1</f>
        <v>3.0909090909090904</v>
      </c>
      <c r="I2238" s="436"/>
      <c r="J2238" s="465">
        <v>0</v>
      </c>
      <c r="K2238" s="465">
        <v>0</v>
      </c>
    </row>
    <row r="2239" spans="2:11" ht="19" customHeight="1">
      <c r="B2239" s="464">
        <v>46067</v>
      </c>
      <c r="C2239" s="436" t="s">
        <v>328</v>
      </c>
      <c r="D2239" s="436" t="s">
        <v>773</v>
      </c>
      <c r="E2239" s="436">
        <v>1</v>
      </c>
      <c r="F2239" s="465">
        <v>3.1</v>
      </c>
      <c r="G2239" s="466">
        <v>3.1</v>
      </c>
      <c r="H2239" s="466">
        <f>G2239/1.1</f>
        <v>2.8181818181818179</v>
      </c>
      <c r="I2239" s="436"/>
      <c r="J2239" s="465">
        <v>0</v>
      </c>
      <c r="K2239" s="465">
        <v>0</v>
      </c>
    </row>
    <row r="2240" spans="2:11" ht="19" customHeight="1">
      <c r="B2240" s="464">
        <v>46067</v>
      </c>
      <c r="C2240" s="436" t="s">
        <v>862</v>
      </c>
      <c r="D2240" s="436" t="s">
        <v>865</v>
      </c>
      <c r="E2240" s="436">
        <v>1</v>
      </c>
      <c r="F2240" s="465">
        <v>0.05</v>
      </c>
      <c r="G2240" s="466">
        <v>0.05</v>
      </c>
      <c r="H2240" s="466">
        <f>G2240/1.1</f>
        <v>4.5454545454545456E-2</v>
      </c>
      <c r="I2240" s="436"/>
      <c r="J2240" s="465">
        <v>0</v>
      </c>
      <c r="K2240" s="465">
        <v>0</v>
      </c>
    </row>
    <row r="2241" spans="2:11" ht="19" customHeight="1">
      <c r="B2241" s="464">
        <v>46067</v>
      </c>
      <c r="C2241" s="436" t="s">
        <v>247</v>
      </c>
      <c r="D2241" s="436" t="s">
        <v>248</v>
      </c>
      <c r="E2241" s="436">
        <v>1</v>
      </c>
      <c r="F2241" s="465">
        <v>1.5</v>
      </c>
      <c r="G2241" s="466">
        <v>1.5</v>
      </c>
      <c r="H2241" s="466">
        <f>G2241/1.1</f>
        <v>1.3636363636363635</v>
      </c>
      <c r="I2241" s="436"/>
      <c r="J2241" s="465">
        <v>0</v>
      </c>
      <c r="K2241" s="465">
        <v>0</v>
      </c>
    </row>
    <row r="2242" spans="2:11" ht="19" customHeight="1">
      <c r="B2242" s="464">
        <v>46067</v>
      </c>
      <c r="C2242" s="436" t="s">
        <v>247</v>
      </c>
      <c r="D2242" s="436" t="s">
        <v>246</v>
      </c>
      <c r="E2242" s="436">
        <v>1</v>
      </c>
      <c r="F2242" s="465">
        <v>1.7</v>
      </c>
      <c r="G2242" s="466">
        <v>1.7</v>
      </c>
      <c r="H2242" s="466">
        <f>G2242/1.1</f>
        <v>1.5454545454545452</v>
      </c>
      <c r="I2242" s="436"/>
      <c r="J2242" s="465">
        <v>0</v>
      </c>
      <c r="K2242" s="465">
        <v>0</v>
      </c>
    </row>
    <row r="2243" spans="2:11" ht="19" customHeight="1">
      <c r="B2243" s="464">
        <v>46067</v>
      </c>
      <c r="C2243" s="436" t="s">
        <v>247</v>
      </c>
      <c r="D2243" s="436" t="s">
        <v>248</v>
      </c>
      <c r="E2243" s="436">
        <v>1</v>
      </c>
      <c r="F2243" s="465">
        <v>1.5</v>
      </c>
      <c r="G2243" s="466">
        <v>1.5</v>
      </c>
      <c r="H2243" s="466">
        <f>G2243/1.1</f>
        <v>1.3636363636363635</v>
      </c>
      <c r="I2243" s="436"/>
      <c r="J2243" s="465">
        <v>0</v>
      </c>
      <c r="K2243" s="465">
        <v>0</v>
      </c>
    </row>
    <row r="2244" spans="2:11" ht="19" customHeight="1">
      <c r="B2244" s="464">
        <v>46067</v>
      </c>
      <c r="C2244" s="436" t="s">
        <v>247</v>
      </c>
      <c r="D2244" s="436" t="s">
        <v>248</v>
      </c>
      <c r="E2244" s="436">
        <v>1</v>
      </c>
      <c r="F2244" s="465">
        <v>1.5</v>
      </c>
      <c r="G2244" s="466">
        <v>1.5</v>
      </c>
      <c r="H2244" s="466">
        <f>G2244/1.1</f>
        <v>1.3636363636363635</v>
      </c>
      <c r="I2244" s="436"/>
      <c r="J2244" s="465">
        <v>0</v>
      </c>
      <c r="K2244" s="465">
        <v>0</v>
      </c>
    </row>
    <row r="2245" spans="2:11" ht="19" customHeight="1">
      <c r="B2245" s="464">
        <v>46067</v>
      </c>
      <c r="C2245" s="436" t="s">
        <v>894</v>
      </c>
      <c r="D2245" s="436" t="s">
        <v>946</v>
      </c>
      <c r="E2245" s="436">
        <v>1</v>
      </c>
      <c r="F2245" s="465">
        <v>6.4</v>
      </c>
      <c r="G2245" s="466">
        <v>6.4</v>
      </c>
      <c r="H2245" s="466">
        <f>G2245/1.1</f>
        <v>5.8181818181818183</v>
      </c>
      <c r="I2245" s="436"/>
      <c r="J2245" s="465">
        <v>0</v>
      </c>
      <c r="K2245" s="465">
        <v>0</v>
      </c>
    </row>
    <row r="2246" spans="2:11" ht="19" customHeight="1">
      <c r="B2246" s="464">
        <v>46067</v>
      </c>
      <c r="C2246" s="436" t="s">
        <v>251</v>
      </c>
      <c r="D2246" s="436" t="s">
        <v>265</v>
      </c>
      <c r="E2246" s="436">
        <v>1</v>
      </c>
      <c r="F2246" s="465">
        <v>2.65</v>
      </c>
      <c r="G2246" s="466">
        <v>2.65</v>
      </c>
      <c r="H2246" s="466">
        <f>G2246/1.1</f>
        <v>2.4090909090909087</v>
      </c>
      <c r="I2246" s="436"/>
      <c r="J2246" s="465">
        <v>0</v>
      </c>
      <c r="K2246" s="465">
        <v>0</v>
      </c>
    </row>
    <row r="2247" spans="2:11" ht="19" customHeight="1">
      <c r="B2247" s="464">
        <v>46067</v>
      </c>
      <c r="C2247" s="436" t="s">
        <v>894</v>
      </c>
      <c r="D2247" s="436" t="s">
        <v>1001</v>
      </c>
      <c r="E2247" s="436">
        <v>2</v>
      </c>
      <c r="F2247" s="465">
        <v>5.7</v>
      </c>
      <c r="G2247" s="466">
        <v>11.4</v>
      </c>
      <c r="H2247" s="466">
        <f>G2247/1.1</f>
        <v>10.363636363636363</v>
      </c>
      <c r="I2247" s="436"/>
      <c r="J2247" s="465">
        <v>0</v>
      </c>
      <c r="K2247" s="465">
        <v>0</v>
      </c>
    </row>
    <row r="2248" spans="2:11" ht="19" customHeight="1">
      <c r="B2248" s="464">
        <v>46067</v>
      </c>
      <c r="C2248" s="436" t="s">
        <v>894</v>
      </c>
      <c r="D2248" s="436" t="s">
        <v>946</v>
      </c>
      <c r="E2248" s="436">
        <v>1</v>
      </c>
      <c r="F2248" s="465">
        <v>6.4</v>
      </c>
      <c r="G2248" s="466">
        <v>6.4</v>
      </c>
      <c r="H2248" s="466">
        <f>G2248/1.1</f>
        <v>5.8181818181818183</v>
      </c>
      <c r="I2248" s="436"/>
      <c r="J2248" s="465">
        <v>0</v>
      </c>
      <c r="K2248" s="465">
        <v>0</v>
      </c>
    </row>
    <row r="2249" spans="2:11" ht="19" customHeight="1">
      <c r="B2249" s="464">
        <v>46067</v>
      </c>
      <c r="C2249" s="436" t="s">
        <v>247</v>
      </c>
      <c r="D2249" s="436" t="s">
        <v>246</v>
      </c>
      <c r="E2249" s="436">
        <v>1</v>
      </c>
      <c r="F2249" s="465">
        <v>1.7</v>
      </c>
      <c r="G2249" s="466">
        <v>1.7</v>
      </c>
      <c r="H2249" s="466">
        <f>G2249/1.1</f>
        <v>1.5454545454545452</v>
      </c>
      <c r="I2249" s="436"/>
      <c r="J2249" s="465">
        <v>0</v>
      </c>
      <c r="K2249" s="465">
        <v>0</v>
      </c>
    </row>
    <row r="2250" spans="2:11" ht="19" customHeight="1">
      <c r="B2250" s="464">
        <v>46067</v>
      </c>
      <c r="C2250" s="436" t="s">
        <v>862</v>
      </c>
      <c r="D2250" s="436" t="s">
        <v>899</v>
      </c>
      <c r="E2250" s="436">
        <v>1</v>
      </c>
      <c r="F2250" s="465">
        <v>0.05</v>
      </c>
      <c r="G2250" s="466">
        <v>0.05</v>
      </c>
      <c r="H2250" s="466">
        <f>G2250/1.1</f>
        <v>4.5454545454545456E-2</v>
      </c>
      <c r="I2250" s="436"/>
      <c r="J2250" s="465">
        <v>0</v>
      </c>
      <c r="K2250" s="465">
        <v>0</v>
      </c>
    </row>
    <row r="2251" spans="2:11" ht="19" customHeight="1">
      <c r="B2251" s="464">
        <v>46067</v>
      </c>
      <c r="C2251" s="436" t="s">
        <v>247</v>
      </c>
      <c r="D2251" s="436" t="s">
        <v>248</v>
      </c>
      <c r="E2251" s="436">
        <v>1</v>
      </c>
      <c r="F2251" s="465">
        <v>1.65</v>
      </c>
      <c r="G2251" s="466">
        <v>1.65</v>
      </c>
      <c r="H2251" s="466">
        <f>G2251/1.1</f>
        <v>1.4999999999999998</v>
      </c>
      <c r="I2251" s="436"/>
      <c r="J2251" s="465">
        <v>0</v>
      </c>
      <c r="K2251" s="465">
        <v>0</v>
      </c>
    </row>
    <row r="2252" spans="2:11" ht="19" customHeight="1">
      <c r="B2252" s="464">
        <v>46067</v>
      </c>
      <c r="C2252" s="436" t="s">
        <v>862</v>
      </c>
      <c r="D2252" s="436" t="s">
        <v>899</v>
      </c>
      <c r="E2252" s="436">
        <v>1</v>
      </c>
      <c r="F2252" s="465">
        <v>0.05</v>
      </c>
      <c r="G2252" s="466">
        <v>0.05</v>
      </c>
      <c r="H2252" s="466">
        <f>G2252/1.1</f>
        <v>4.5454545454545456E-2</v>
      </c>
      <c r="I2252" s="436"/>
      <c r="J2252" s="465">
        <v>0</v>
      </c>
      <c r="K2252" s="465">
        <v>0</v>
      </c>
    </row>
    <row r="2253" spans="2:11" ht="19" customHeight="1">
      <c r="B2253" s="464">
        <v>46067</v>
      </c>
      <c r="C2253" s="436" t="s">
        <v>247</v>
      </c>
      <c r="D2253" s="436" t="s">
        <v>246</v>
      </c>
      <c r="E2253" s="436">
        <v>3</v>
      </c>
      <c r="F2253" s="465">
        <v>1.7</v>
      </c>
      <c r="G2253" s="466">
        <v>5.0999999999999996</v>
      </c>
      <c r="H2253" s="466">
        <f>G2253/1.1</f>
        <v>4.6363636363636358</v>
      </c>
      <c r="I2253" s="436"/>
      <c r="J2253" s="465">
        <v>0</v>
      </c>
      <c r="K2253" s="465">
        <v>0</v>
      </c>
    </row>
    <row r="2254" spans="2:11" ht="19" customHeight="1">
      <c r="B2254" s="464">
        <v>46067</v>
      </c>
      <c r="C2254" s="436" t="s">
        <v>264</v>
      </c>
      <c r="D2254" s="436" t="s">
        <v>269</v>
      </c>
      <c r="E2254" s="436">
        <v>2</v>
      </c>
      <c r="F2254" s="465">
        <v>0.1</v>
      </c>
      <c r="G2254" s="466">
        <v>0.2</v>
      </c>
      <c r="H2254" s="466">
        <f>G2254/1.1</f>
        <v>0.18181818181818182</v>
      </c>
      <c r="I2254" s="436"/>
      <c r="J2254" s="465">
        <v>0</v>
      </c>
      <c r="K2254" s="465">
        <v>0</v>
      </c>
    </row>
    <row r="2255" spans="2:11" ht="19" customHeight="1">
      <c r="B2255" s="464">
        <v>46067</v>
      </c>
      <c r="C2255" s="436" t="s">
        <v>253</v>
      </c>
      <c r="D2255" s="436" t="s">
        <v>869</v>
      </c>
      <c r="E2255" s="436">
        <v>2</v>
      </c>
      <c r="F2255" s="465">
        <v>2.65</v>
      </c>
      <c r="G2255" s="466">
        <v>5.3</v>
      </c>
      <c r="H2255" s="466">
        <f>G2255/1.1</f>
        <v>4.8181818181818175</v>
      </c>
      <c r="I2255" s="436"/>
      <c r="J2255" s="465">
        <v>0</v>
      </c>
      <c r="K2255" s="465">
        <v>0</v>
      </c>
    </row>
    <row r="2256" spans="2:11" ht="19" customHeight="1">
      <c r="B2256" s="464">
        <v>46067</v>
      </c>
      <c r="C2256" s="436" t="s">
        <v>251</v>
      </c>
      <c r="D2256" s="436" t="s">
        <v>926</v>
      </c>
      <c r="E2256" s="436">
        <v>1</v>
      </c>
      <c r="F2256" s="465">
        <v>2.8</v>
      </c>
      <c r="G2256" s="466">
        <v>2.8</v>
      </c>
      <c r="H2256" s="466">
        <f>G2256/1.1</f>
        <v>2.545454545454545</v>
      </c>
      <c r="I2256" s="436"/>
      <c r="J2256" s="465">
        <v>0</v>
      </c>
      <c r="K2256" s="465">
        <v>0</v>
      </c>
    </row>
    <row r="2257" spans="2:11" ht="19" customHeight="1">
      <c r="B2257" s="464">
        <v>46067</v>
      </c>
      <c r="C2257" s="436" t="s">
        <v>251</v>
      </c>
      <c r="D2257" s="436" t="s">
        <v>1100</v>
      </c>
      <c r="E2257" s="436">
        <v>2</v>
      </c>
      <c r="F2257" s="465">
        <v>2.8</v>
      </c>
      <c r="G2257" s="466">
        <v>5.6</v>
      </c>
      <c r="H2257" s="466">
        <f>G2257/1.1</f>
        <v>5.0909090909090899</v>
      </c>
      <c r="I2257" s="436"/>
      <c r="J2257" s="465">
        <v>0</v>
      </c>
      <c r="K2257" s="465">
        <v>0</v>
      </c>
    </row>
    <row r="2258" spans="2:11" ht="19" customHeight="1">
      <c r="B2258" s="464">
        <v>46067</v>
      </c>
      <c r="C2258" s="436" t="s">
        <v>276</v>
      </c>
      <c r="D2258" s="436" t="s">
        <v>995</v>
      </c>
      <c r="E2258" s="436">
        <v>1</v>
      </c>
      <c r="F2258" s="465">
        <v>3.3</v>
      </c>
      <c r="G2258" s="466">
        <v>3.3</v>
      </c>
      <c r="H2258" s="466">
        <f>G2258/1.1</f>
        <v>2.9999999999999996</v>
      </c>
      <c r="I2258" s="436"/>
      <c r="J2258" s="465">
        <v>0</v>
      </c>
      <c r="K2258" s="465">
        <v>0</v>
      </c>
    </row>
    <row r="2259" spans="2:11" ht="19" customHeight="1">
      <c r="B2259" s="464">
        <v>46067</v>
      </c>
      <c r="C2259" s="436" t="s">
        <v>253</v>
      </c>
      <c r="D2259" s="436" t="s">
        <v>901</v>
      </c>
      <c r="E2259" s="436">
        <v>1</v>
      </c>
      <c r="F2259" s="465">
        <v>2.15</v>
      </c>
      <c r="G2259" s="466">
        <v>2.15</v>
      </c>
      <c r="H2259" s="466">
        <f>G2259/1.1</f>
        <v>1.9545454545454544</v>
      </c>
      <c r="I2259" s="436"/>
      <c r="J2259" s="465">
        <v>0</v>
      </c>
      <c r="K2259" s="465">
        <v>0</v>
      </c>
    </row>
    <row r="2260" spans="2:11" ht="19" customHeight="1">
      <c r="B2260" s="464">
        <v>46067</v>
      </c>
      <c r="C2260" s="436" t="s">
        <v>253</v>
      </c>
      <c r="D2260" s="436" t="s">
        <v>687</v>
      </c>
      <c r="E2260" s="436">
        <v>1</v>
      </c>
      <c r="F2260" s="465">
        <v>2.95</v>
      </c>
      <c r="G2260" s="466">
        <v>2.95</v>
      </c>
      <c r="H2260" s="466">
        <f>G2260/1.1</f>
        <v>2.6818181818181817</v>
      </c>
      <c r="I2260" s="436"/>
      <c r="J2260" s="465">
        <v>0</v>
      </c>
      <c r="K2260" s="465">
        <v>0</v>
      </c>
    </row>
    <row r="2261" spans="2:11" ht="19" customHeight="1">
      <c r="B2261" s="464">
        <v>46067</v>
      </c>
      <c r="C2261" s="436" t="s">
        <v>253</v>
      </c>
      <c r="D2261" s="436" t="s">
        <v>804</v>
      </c>
      <c r="E2261" s="436">
        <v>1</v>
      </c>
      <c r="F2261" s="465">
        <v>3.1</v>
      </c>
      <c r="G2261" s="466">
        <v>3.1</v>
      </c>
      <c r="H2261" s="466">
        <f>G2261/1.1</f>
        <v>2.8181818181818179</v>
      </c>
      <c r="I2261" s="436"/>
      <c r="J2261" s="465">
        <v>0</v>
      </c>
      <c r="K2261" s="465">
        <v>0</v>
      </c>
    </row>
    <row r="2262" spans="2:11" ht="19" customHeight="1">
      <c r="B2262" s="464">
        <v>46067</v>
      </c>
      <c r="C2262" s="436" t="s">
        <v>253</v>
      </c>
      <c r="D2262" s="436" t="s">
        <v>869</v>
      </c>
      <c r="E2262" s="436">
        <v>1</v>
      </c>
      <c r="F2262" s="465">
        <v>2.65</v>
      </c>
      <c r="G2262" s="466">
        <v>2.65</v>
      </c>
      <c r="H2262" s="466">
        <f>G2262/1.1</f>
        <v>2.4090909090909087</v>
      </c>
      <c r="I2262" s="436"/>
      <c r="J2262" s="465">
        <v>0</v>
      </c>
      <c r="K2262" s="465">
        <v>0</v>
      </c>
    </row>
    <row r="2263" spans="2:11" ht="19" customHeight="1">
      <c r="B2263" s="464">
        <v>46067</v>
      </c>
      <c r="C2263" s="436" t="s">
        <v>256</v>
      </c>
      <c r="D2263" s="436" t="s">
        <v>983</v>
      </c>
      <c r="E2263" s="436">
        <v>1</v>
      </c>
      <c r="F2263" s="465">
        <v>5.85</v>
      </c>
      <c r="G2263" s="466">
        <v>5.85</v>
      </c>
      <c r="H2263" s="466">
        <f>G2263/1.1</f>
        <v>5.3181818181818175</v>
      </c>
      <c r="I2263" s="436"/>
      <c r="J2263" s="465">
        <v>0</v>
      </c>
      <c r="K2263" s="465">
        <v>0</v>
      </c>
    </row>
    <row r="2264" spans="2:11" ht="19" customHeight="1">
      <c r="B2264" s="464">
        <v>46067</v>
      </c>
      <c r="C2264" s="436" t="s">
        <v>251</v>
      </c>
      <c r="D2264" s="436" t="s">
        <v>926</v>
      </c>
      <c r="E2264" s="436">
        <v>1</v>
      </c>
      <c r="F2264" s="465">
        <v>2.8</v>
      </c>
      <c r="G2264" s="466">
        <v>2.8</v>
      </c>
      <c r="H2264" s="466">
        <f>G2264/1.1</f>
        <v>2.545454545454545</v>
      </c>
      <c r="I2264" s="436"/>
      <c r="J2264" s="465">
        <v>0</v>
      </c>
      <c r="K2264" s="465">
        <v>0</v>
      </c>
    </row>
    <row r="2265" spans="2:11" ht="19" customHeight="1">
      <c r="B2265" s="464">
        <v>46067</v>
      </c>
      <c r="C2265" s="436" t="s">
        <v>253</v>
      </c>
      <c r="D2265" s="436" t="s">
        <v>869</v>
      </c>
      <c r="E2265" s="436">
        <v>1</v>
      </c>
      <c r="F2265" s="465">
        <v>2.65</v>
      </c>
      <c r="G2265" s="466">
        <v>2.65</v>
      </c>
      <c r="H2265" s="466">
        <f>G2265/1.1</f>
        <v>2.4090909090909087</v>
      </c>
      <c r="I2265" s="436"/>
      <c r="J2265" s="465">
        <v>0</v>
      </c>
      <c r="K2265" s="465">
        <v>0</v>
      </c>
    </row>
    <row r="2266" spans="2:11" ht="19" customHeight="1">
      <c r="B2266" s="464">
        <v>46067</v>
      </c>
      <c r="C2266" s="436" t="s">
        <v>253</v>
      </c>
      <c r="D2266" s="436" t="s">
        <v>869</v>
      </c>
      <c r="E2266" s="436">
        <v>2</v>
      </c>
      <c r="F2266" s="465">
        <v>2.65</v>
      </c>
      <c r="G2266" s="466">
        <v>5.3</v>
      </c>
      <c r="H2266" s="466">
        <f>G2266/1.1</f>
        <v>4.8181818181818175</v>
      </c>
      <c r="I2266" s="436"/>
      <c r="J2266" s="465">
        <v>0</v>
      </c>
      <c r="K2266" s="465">
        <v>0</v>
      </c>
    </row>
    <row r="2267" spans="2:11" ht="19" customHeight="1">
      <c r="B2267" s="464">
        <v>46067</v>
      </c>
      <c r="C2267" s="436" t="s">
        <v>253</v>
      </c>
      <c r="D2267" s="436" t="s">
        <v>869</v>
      </c>
      <c r="E2267" s="436">
        <v>2</v>
      </c>
      <c r="F2267" s="465">
        <v>2.5</v>
      </c>
      <c r="G2267" s="466">
        <v>5</v>
      </c>
      <c r="H2267" s="466">
        <f>G2267/1.1</f>
        <v>4.545454545454545</v>
      </c>
      <c r="I2267" s="436"/>
      <c r="J2267" s="465">
        <v>0</v>
      </c>
      <c r="K2267" s="465">
        <v>0</v>
      </c>
    </row>
    <row r="2268" spans="2:11" ht="19" customHeight="1">
      <c r="B2268" s="464">
        <v>46067</v>
      </c>
      <c r="C2268" s="436" t="s">
        <v>253</v>
      </c>
      <c r="D2268" s="436" t="s">
        <v>965</v>
      </c>
      <c r="E2268" s="436">
        <v>1</v>
      </c>
      <c r="F2268" s="465">
        <v>2.5</v>
      </c>
      <c r="G2268" s="466">
        <v>2.5</v>
      </c>
      <c r="H2268" s="466">
        <f>G2268/1.1</f>
        <v>2.2727272727272725</v>
      </c>
      <c r="I2268" s="436"/>
      <c r="J2268" s="465">
        <v>0</v>
      </c>
      <c r="K2268" s="465">
        <v>0</v>
      </c>
    </row>
    <row r="2269" spans="2:11" ht="19" customHeight="1">
      <c r="B2269" s="464">
        <v>46067</v>
      </c>
      <c r="C2269" s="436" t="s">
        <v>256</v>
      </c>
      <c r="D2269" s="436" t="s">
        <v>262</v>
      </c>
      <c r="E2269" s="436">
        <v>1</v>
      </c>
      <c r="F2269" s="465">
        <v>11.9</v>
      </c>
      <c r="G2269" s="466">
        <v>11.9</v>
      </c>
      <c r="H2269" s="466">
        <f>G2269/1.1</f>
        <v>10.818181818181818</v>
      </c>
      <c r="I2269" s="436"/>
      <c r="J2269" s="465">
        <v>0</v>
      </c>
      <c r="K2269" s="465">
        <v>0</v>
      </c>
    </row>
    <row r="2270" spans="2:11" ht="19" customHeight="1">
      <c r="B2270" s="464">
        <v>46067</v>
      </c>
      <c r="C2270" s="436" t="s">
        <v>256</v>
      </c>
      <c r="D2270" s="436" t="s">
        <v>255</v>
      </c>
      <c r="E2270" s="436">
        <v>1</v>
      </c>
      <c r="F2270" s="465">
        <v>5.6</v>
      </c>
      <c r="G2270" s="466">
        <v>5.6</v>
      </c>
      <c r="H2270" s="466">
        <f>G2270/1.1</f>
        <v>5.0909090909090899</v>
      </c>
      <c r="I2270" s="436"/>
      <c r="J2270" s="465">
        <v>0</v>
      </c>
      <c r="K2270" s="465">
        <v>0</v>
      </c>
    </row>
    <row r="2271" spans="2:11" ht="19" customHeight="1">
      <c r="B2271" s="464">
        <v>46067</v>
      </c>
      <c r="C2271" s="436" t="s">
        <v>275</v>
      </c>
      <c r="D2271" s="436" t="s">
        <v>1111</v>
      </c>
      <c r="E2271" s="436">
        <v>1</v>
      </c>
      <c r="F2271" s="465">
        <v>6.5</v>
      </c>
      <c r="G2271" s="466">
        <v>6.5</v>
      </c>
      <c r="H2271" s="466">
        <f>G2271/1.1</f>
        <v>5.9090909090909083</v>
      </c>
      <c r="I2271" s="436"/>
      <c r="J2271" s="465">
        <v>0</v>
      </c>
      <c r="K2271" s="465">
        <v>0</v>
      </c>
    </row>
    <row r="2272" spans="2:11" ht="19" customHeight="1">
      <c r="B2272" s="464">
        <v>46067</v>
      </c>
      <c r="C2272" s="436" t="s">
        <v>275</v>
      </c>
      <c r="D2272" s="436" t="s">
        <v>1084</v>
      </c>
      <c r="E2272" s="436">
        <v>1</v>
      </c>
      <c r="F2272" s="465">
        <v>6.5</v>
      </c>
      <c r="G2272" s="466">
        <v>6.5</v>
      </c>
      <c r="H2272" s="466">
        <f>G2272/1.1</f>
        <v>5.9090909090909083</v>
      </c>
      <c r="I2272" s="436"/>
      <c r="J2272" s="465">
        <v>0</v>
      </c>
      <c r="K2272" s="465">
        <v>0</v>
      </c>
    </row>
    <row r="2273" spans="2:11" ht="19" customHeight="1">
      <c r="B2273" s="464">
        <v>46067</v>
      </c>
      <c r="C2273" s="436" t="s">
        <v>275</v>
      </c>
      <c r="D2273" s="436" t="s">
        <v>933</v>
      </c>
      <c r="E2273" s="436">
        <v>2</v>
      </c>
      <c r="F2273" s="465">
        <v>5.25</v>
      </c>
      <c r="G2273" s="466">
        <v>10.5</v>
      </c>
      <c r="H2273" s="466">
        <f>G2273/1.1</f>
        <v>9.545454545454545</v>
      </c>
      <c r="I2273" s="436"/>
      <c r="J2273" s="465">
        <v>0</v>
      </c>
      <c r="K2273" s="465">
        <v>0</v>
      </c>
    </row>
    <row r="2274" spans="2:11" ht="19" customHeight="1">
      <c r="B2274" s="464">
        <v>46067</v>
      </c>
      <c r="C2274" s="436" t="s">
        <v>264</v>
      </c>
      <c r="D2274" s="436" t="s">
        <v>930</v>
      </c>
      <c r="E2274" s="436">
        <v>1</v>
      </c>
      <c r="F2274" s="465">
        <v>3.5</v>
      </c>
      <c r="G2274" s="466">
        <v>3.5</v>
      </c>
      <c r="H2274" s="466">
        <f>G2274/1.1</f>
        <v>3.1818181818181817</v>
      </c>
      <c r="I2274" s="436"/>
      <c r="J2274" s="465">
        <v>0</v>
      </c>
      <c r="K2274" s="465">
        <v>0</v>
      </c>
    </row>
    <row r="2275" spans="2:11" ht="19" customHeight="1">
      <c r="B2275" s="464">
        <v>46067</v>
      </c>
      <c r="C2275" s="436" t="s">
        <v>256</v>
      </c>
      <c r="D2275" s="436" t="s">
        <v>262</v>
      </c>
      <c r="E2275" s="436">
        <v>1</v>
      </c>
      <c r="F2275" s="465">
        <v>11.9</v>
      </c>
      <c r="G2275" s="466">
        <v>11.9</v>
      </c>
      <c r="H2275" s="466">
        <f>G2275/1.1</f>
        <v>10.818181818181818</v>
      </c>
      <c r="I2275" s="436"/>
      <c r="J2275" s="465">
        <v>0</v>
      </c>
      <c r="K2275" s="465">
        <v>0</v>
      </c>
    </row>
    <row r="2276" spans="2:11" ht="19" customHeight="1">
      <c r="B2276" s="464">
        <v>46067</v>
      </c>
      <c r="C2276" s="436" t="s">
        <v>256</v>
      </c>
      <c r="D2276" s="436" t="s">
        <v>738</v>
      </c>
      <c r="E2276" s="436">
        <v>1</v>
      </c>
      <c r="F2276" s="465">
        <v>7.9</v>
      </c>
      <c r="G2276" s="466">
        <v>7.9</v>
      </c>
      <c r="H2276" s="466">
        <f>G2276/1.1</f>
        <v>7.1818181818181817</v>
      </c>
      <c r="I2276" s="436"/>
      <c r="J2276" s="465">
        <v>0</v>
      </c>
      <c r="K2276" s="465">
        <v>0</v>
      </c>
    </row>
    <row r="2277" spans="2:11" ht="19" customHeight="1">
      <c r="B2277" s="464">
        <v>46067</v>
      </c>
      <c r="C2277" s="436" t="s">
        <v>256</v>
      </c>
      <c r="D2277" s="436" t="s">
        <v>932</v>
      </c>
      <c r="E2277" s="436">
        <v>1</v>
      </c>
      <c r="F2277" s="465">
        <v>8.5</v>
      </c>
      <c r="G2277" s="466">
        <v>8.5</v>
      </c>
      <c r="H2277" s="466">
        <f>G2277/1.1</f>
        <v>7.7272727272727266</v>
      </c>
      <c r="I2277" s="436"/>
      <c r="J2277" s="465">
        <v>0</v>
      </c>
      <c r="K2277" s="465">
        <v>0</v>
      </c>
    </row>
    <row r="2278" spans="2:11" ht="19" customHeight="1">
      <c r="B2278" s="464">
        <v>46067</v>
      </c>
      <c r="C2278" s="436" t="s">
        <v>256</v>
      </c>
      <c r="D2278" s="436" t="s">
        <v>1112</v>
      </c>
      <c r="E2278" s="436">
        <v>1</v>
      </c>
      <c r="F2278" s="465">
        <v>9.5</v>
      </c>
      <c r="G2278" s="466">
        <v>9.5</v>
      </c>
      <c r="H2278" s="466">
        <f>G2278/1.1</f>
        <v>8.6363636363636349</v>
      </c>
      <c r="I2278" s="436"/>
      <c r="J2278" s="465">
        <v>0</v>
      </c>
      <c r="K2278" s="465">
        <v>0</v>
      </c>
    </row>
    <row r="2279" spans="2:11" ht="19" customHeight="1">
      <c r="B2279" s="464">
        <v>46067</v>
      </c>
      <c r="C2279" s="436" t="s">
        <v>256</v>
      </c>
      <c r="D2279" s="436" t="s">
        <v>1113</v>
      </c>
      <c r="E2279" s="436">
        <v>1</v>
      </c>
      <c r="F2279" s="465">
        <v>9</v>
      </c>
      <c r="G2279" s="466">
        <v>9</v>
      </c>
      <c r="H2279" s="466">
        <f>G2279/1.1</f>
        <v>8.1818181818181817</v>
      </c>
      <c r="I2279" s="436"/>
      <c r="J2279" s="465">
        <v>0</v>
      </c>
      <c r="K2279" s="465">
        <v>0</v>
      </c>
    </row>
    <row r="2280" spans="2:11" ht="19" customHeight="1">
      <c r="B2280" s="464">
        <v>46067</v>
      </c>
      <c r="C2280" s="436" t="s">
        <v>321</v>
      </c>
      <c r="D2280" s="436" t="s">
        <v>793</v>
      </c>
      <c r="E2280" s="436">
        <v>1</v>
      </c>
      <c r="F2280" s="465">
        <v>6.95</v>
      </c>
      <c r="G2280" s="466">
        <v>6.95</v>
      </c>
      <c r="H2280" s="466">
        <f>G2280/1.1</f>
        <v>6.3181818181818175</v>
      </c>
      <c r="I2280" s="436"/>
      <c r="J2280" s="465">
        <v>0</v>
      </c>
      <c r="K2280" s="465">
        <v>0</v>
      </c>
    </row>
    <row r="2281" spans="2:11" ht="19" customHeight="1">
      <c r="B2281" s="464">
        <v>46067</v>
      </c>
      <c r="C2281" s="436" t="s">
        <v>251</v>
      </c>
      <c r="D2281" s="436" t="s">
        <v>250</v>
      </c>
      <c r="E2281" s="436">
        <v>1</v>
      </c>
      <c r="F2281" s="465">
        <v>2.0499999999999998</v>
      </c>
      <c r="G2281" s="466">
        <v>2.0499999999999998</v>
      </c>
      <c r="H2281" s="466">
        <f>G2281/1.1</f>
        <v>1.8636363636363633</v>
      </c>
      <c r="I2281" s="436"/>
      <c r="J2281" s="465">
        <v>0</v>
      </c>
      <c r="K2281" s="465">
        <v>0</v>
      </c>
    </row>
    <row r="2282" spans="2:11" ht="19" customHeight="1">
      <c r="B2282" s="464">
        <v>46067</v>
      </c>
      <c r="C2282" s="436" t="s">
        <v>253</v>
      </c>
      <c r="D2282" s="436" t="s">
        <v>676</v>
      </c>
      <c r="E2282" s="436">
        <v>1</v>
      </c>
      <c r="F2282" s="465">
        <v>2.95</v>
      </c>
      <c r="G2282" s="466">
        <v>2.95</v>
      </c>
      <c r="H2282" s="466">
        <f>G2282/1.1</f>
        <v>2.6818181818181817</v>
      </c>
      <c r="I2282" s="436"/>
      <c r="J2282" s="465">
        <v>0</v>
      </c>
      <c r="K2282" s="465">
        <v>0</v>
      </c>
    </row>
    <row r="2283" spans="2:11" ht="19" customHeight="1">
      <c r="B2283" s="464">
        <v>46067</v>
      </c>
      <c r="C2283" s="436" t="s">
        <v>321</v>
      </c>
      <c r="D2283" s="436" t="s">
        <v>910</v>
      </c>
      <c r="E2283" s="436">
        <v>1</v>
      </c>
      <c r="F2283" s="465">
        <v>4</v>
      </c>
      <c r="G2283" s="466">
        <v>4</v>
      </c>
      <c r="H2283" s="466">
        <f>G2283/1.1</f>
        <v>3.6363636363636362</v>
      </c>
      <c r="I2283" s="436"/>
      <c r="J2283" s="465">
        <v>0</v>
      </c>
      <c r="K2283" s="465">
        <v>0</v>
      </c>
    </row>
    <row r="2284" spans="2:11" ht="19" customHeight="1">
      <c r="B2284" s="464">
        <v>46067</v>
      </c>
      <c r="C2284" s="436" t="s">
        <v>276</v>
      </c>
      <c r="D2284" s="436" t="s">
        <v>1052</v>
      </c>
      <c r="E2284" s="436">
        <v>2</v>
      </c>
      <c r="F2284" s="465">
        <v>3.25</v>
      </c>
      <c r="G2284" s="466">
        <v>6.5</v>
      </c>
      <c r="H2284" s="466">
        <f>G2284/1.1</f>
        <v>5.9090909090909083</v>
      </c>
      <c r="I2284" s="436"/>
      <c r="J2284" s="465">
        <v>0</v>
      </c>
      <c r="K2284" s="465">
        <v>0</v>
      </c>
    </row>
    <row r="2285" spans="2:11" ht="19" customHeight="1">
      <c r="B2285" s="464">
        <v>46067</v>
      </c>
      <c r="C2285" s="436" t="s">
        <v>251</v>
      </c>
      <c r="D2285" s="436" t="s">
        <v>1065</v>
      </c>
      <c r="E2285" s="436">
        <v>2</v>
      </c>
      <c r="F2285" s="465">
        <v>2.75</v>
      </c>
      <c r="G2285" s="466">
        <v>5.5</v>
      </c>
      <c r="H2285" s="466">
        <f>G2285/1.1</f>
        <v>5</v>
      </c>
      <c r="I2285" s="436"/>
      <c r="J2285" s="465">
        <v>0</v>
      </c>
      <c r="K2285" s="465">
        <v>0</v>
      </c>
    </row>
    <row r="2286" spans="2:11" ht="19" customHeight="1">
      <c r="B2286" s="464">
        <v>46067</v>
      </c>
      <c r="C2286" s="436" t="s">
        <v>253</v>
      </c>
      <c r="D2286" s="436" t="s">
        <v>676</v>
      </c>
      <c r="E2286" s="436">
        <v>1</v>
      </c>
      <c r="F2286" s="465">
        <v>2.95</v>
      </c>
      <c r="G2286" s="466">
        <v>2.95</v>
      </c>
      <c r="H2286" s="466">
        <f>G2286/1.1</f>
        <v>2.6818181818181817</v>
      </c>
      <c r="I2286" s="436"/>
      <c r="J2286" s="465">
        <v>0</v>
      </c>
      <c r="K2286" s="465">
        <v>0</v>
      </c>
    </row>
    <row r="2287" spans="2:11" ht="19" customHeight="1">
      <c r="B2287" s="464">
        <v>46067</v>
      </c>
      <c r="C2287" s="436" t="s">
        <v>253</v>
      </c>
      <c r="D2287" s="436" t="s">
        <v>901</v>
      </c>
      <c r="E2287" s="436">
        <v>1</v>
      </c>
      <c r="F2287" s="465">
        <v>2.15</v>
      </c>
      <c r="G2287" s="466">
        <v>2.15</v>
      </c>
      <c r="H2287" s="466">
        <f>G2287/1.1</f>
        <v>1.9545454545454544</v>
      </c>
      <c r="I2287" s="436"/>
      <c r="J2287" s="465">
        <v>0</v>
      </c>
      <c r="K2287" s="465">
        <v>0</v>
      </c>
    </row>
    <row r="2288" spans="2:11" ht="19" customHeight="1">
      <c r="B2288" s="464">
        <v>46067</v>
      </c>
      <c r="C2288" s="436" t="s">
        <v>256</v>
      </c>
      <c r="D2288" s="436" t="s">
        <v>678</v>
      </c>
      <c r="E2288" s="436">
        <v>1</v>
      </c>
      <c r="F2288" s="465">
        <v>7.15</v>
      </c>
      <c r="G2288" s="466">
        <v>7.15</v>
      </c>
      <c r="H2288" s="466">
        <f>G2288/1.1</f>
        <v>6.5</v>
      </c>
      <c r="I2288" s="436"/>
      <c r="J2288" s="465">
        <v>0</v>
      </c>
      <c r="K2288" s="465">
        <v>0</v>
      </c>
    </row>
    <row r="2289" spans="2:11" ht="19" customHeight="1">
      <c r="B2289" s="464">
        <v>46067</v>
      </c>
      <c r="C2289" s="436" t="s">
        <v>253</v>
      </c>
      <c r="D2289" s="436" t="s">
        <v>869</v>
      </c>
      <c r="E2289" s="436">
        <v>2</v>
      </c>
      <c r="F2289" s="465">
        <v>2.65</v>
      </c>
      <c r="G2289" s="466">
        <v>5.3</v>
      </c>
      <c r="H2289" s="466">
        <f>G2289/1.1</f>
        <v>4.8181818181818175</v>
      </c>
      <c r="I2289" s="436"/>
      <c r="J2289" s="465">
        <v>0</v>
      </c>
      <c r="K2289" s="465">
        <v>0</v>
      </c>
    </row>
    <row r="2290" spans="2:11" ht="19" customHeight="1">
      <c r="B2290" s="464">
        <v>46067</v>
      </c>
      <c r="C2290" s="436" t="s">
        <v>276</v>
      </c>
      <c r="D2290" s="436" t="s">
        <v>1052</v>
      </c>
      <c r="E2290" s="436">
        <v>1</v>
      </c>
      <c r="F2290" s="465">
        <v>3.4</v>
      </c>
      <c r="G2290" s="466">
        <v>3.4</v>
      </c>
      <c r="H2290" s="466">
        <f>G2290/1.1</f>
        <v>3.0909090909090904</v>
      </c>
      <c r="I2290" s="436"/>
      <c r="J2290" s="465">
        <v>0</v>
      </c>
      <c r="K2290" s="465">
        <v>0</v>
      </c>
    </row>
    <row r="2291" spans="2:11" ht="19" customHeight="1">
      <c r="B2291" s="464">
        <v>46067</v>
      </c>
      <c r="C2291" s="436" t="s">
        <v>276</v>
      </c>
      <c r="D2291" s="436" t="s">
        <v>909</v>
      </c>
      <c r="E2291" s="436">
        <v>1</v>
      </c>
      <c r="F2291" s="465">
        <v>5</v>
      </c>
      <c r="G2291" s="466">
        <v>5</v>
      </c>
      <c r="H2291" s="466">
        <f>G2291/1.1</f>
        <v>4.545454545454545</v>
      </c>
      <c r="I2291" s="436"/>
      <c r="J2291" s="465">
        <v>0</v>
      </c>
      <c r="K2291" s="465">
        <v>0</v>
      </c>
    </row>
    <row r="2292" spans="2:11" ht="19" customHeight="1">
      <c r="B2292" s="464">
        <v>46067</v>
      </c>
      <c r="C2292" s="436" t="s">
        <v>264</v>
      </c>
      <c r="D2292" s="436" t="s">
        <v>930</v>
      </c>
      <c r="E2292" s="436">
        <v>1</v>
      </c>
      <c r="F2292" s="465">
        <v>3.75</v>
      </c>
      <c r="G2292" s="466">
        <v>3.75</v>
      </c>
      <c r="H2292" s="466">
        <f>G2292/1.1</f>
        <v>3.4090909090909087</v>
      </c>
      <c r="I2292" s="436"/>
      <c r="J2292" s="465">
        <v>0</v>
      </c>
      <c r="K2292" s="465">
        <v>0</v>
      </c>
    </row>
    <row r="2293" spans="2:11" ht="19" customHeight="1">
      <c r="B2293" s="464">
        <v>46067</v>
      </c>
      <c r="C2293" s="436" t="s">
        <v>256</v>
      </c>
      <c r="D2293" s="436" t="s">
        <v>952</v>
      </c>
      <c r="E2293" s="436">
        <v>1</v>
      </c>
      <c r="F2293" s="465">
        <v>7.75</v>
      </c>
      <c r="G2293" s="466">
        <v>7.75</v>
      </c>
      <c r="H2293" s="466">
        <f>G2293/1.1</f>
        <v>7.045454545454545</v>
      </c>
      <c r="I2293" s="436"/>
      <c r="J2293" s="465">
        <v>0</v>
      </c>
      <c r="K2293" s="465">
        <v>0</v>
      </c>
    </row>
    <row r="2294" spans="2:11" ht="19" customHeight="1">
      <c r="B2294" s="464">
        <v>46067</v>
      </c>
      <c r="C2294" s="436" t="s">
        <v>256</v>
      </c>
      <c r="D2294" s="436" t="s">
        <v>1114</v>
      </c>
      <c r="E2294" s="436">
        <v>1</v>
      </c>
      <c r="F2294" s="465">
        <v>0.25</v>
      </c>
      <c r="G2294" s="466">
        <v>0.25</v>
      </c>
      <c r="H2294" s="466">
        <f>G2294/1.1</f>
        <v>0.22727272727272727</v>
      </c>
      <c r="I2294" s="436"/>
      <c r="J2294" s="465">
        <v>0</v>
      </c>
      <c r="K2294" s="465">
        <v>0</v>
      </c>
    </row>
    <row r="2295" spans="2:11" ht="19" customHeight="1">
      <c r="B2295" s="464">
        <v>46067</v>
      </c>
      <c r="C2295" s="436" t="s">
        <v>256</v>
      </c>
      <c r="D2295" s="436" t="s">
        <v>931</v>
      </c>
      <c r="E2295" s="436">
        <v>2</v>
      </c>
      <c r="F2295" s="465">
        <v>1.7</v>
      </c>
      <c r="G2295" s="466">
        <v>3.4</v>
      </c>
      <c r="H2295" s="466">
        <f>G2295/1.1</f>
        <v>3.0909090909090904</v>
      </c>
      <c r="I2295" s="436"/>
      <c r="J2295" s="465">
        <v>0</v>
      </c>
      <c r="K2295" s="465">
        <v>0</v>
      </c>
    </row>
    <row r="2296" spans="2:11" ht="19" customHeight="1">
      <c r="B2296" s="464">
        <v>46067</v>
      </c>
      <c r="C2296" s="436" t="s">
        <v>256</v>
      </c>
      <c r="D2296" s="436" t="s">
        <v>870</v>
      </c>
      <c r="E2296" s="436">
        <v>2</v>
      </c>
      <c r="F2296" s="465">
        <v>1.7</v>
      </c>
      <c r="G2296" s="466">
        <v>3.4</v>
      </c>
      <c r="H2296" s="466">
        <f>G2296/1.1</f>
        <v>3.0909090909090904</v>
      </c>
      <c r="I2296" s="436"/>
      <c r="J2296" s="465">
        <v>0</v>
      </c>
      <c r="K2296" s="465">
        <v>0</v>
      </c>
    </row>
    <row r="2297" spans="2:11" ht="19" customHeight="1">
      <c r="B2297" s="464">
        <v>46067</v>
      </c>
      <c r="C2297" s="436" t="s">
        <v>256</v>
      </c>
      <c r="D2297" s="436" t="s">
        <v>932</v>
      </c>
      <c r="E2297" s="436">
        <v>2</v>
      </c>
      <c r="F2297" s="465">
        <v>1.7</v>
      </c>
      <c r="G2297" s="466">
        <v>3.4</v>
      </c>
      <c r="H2297" s="466">
        <f>G2297/1.1</f>
        <v>3.0909090909090904</v>
      </c>
      <c r="I2297" s="436"/>
      <c r="J2297" s="465">
        <v>0</v>
      </c>
      <c r="K2297" s="465">
        <v>0</v>
      </c>
    </row>
    <row r="2298" spans="2:11" ht="19" customHeight="1">
      <c r="B2298" s="464">
        <v>46067</v>
      </c>
      <c r="C2298" s="436" t="s">
        <v>256</v>
      </c>
      <c r="D2298" s="436" t="s">
        <v>1064</v>
      </c>
      <c r="E2298" s="436">
        <v>1</v>
      </c>
      <c r="F2298" s="465">
        <v>10.15</v>
      </c>
      <c r="G2298" s="466">
        <v>10.15</v>
      </c>
      <c r="H2298" s="466">
        <f>G2298/1.1</f>
        <v>9.2272727272727266</v>
      </c>
      <c r="I2298" s="436"/>
      <c r="J2298" s="465">
        <v>0</v>
      </c>
      <c r="K2298" s="465">
        <v>0</v>
      </c>
    </row>
    <row r="2299" spans="2:11" ht="19" customHeight="1">
      <c r="B2299" s="464">
        <v>46067</v>
      </c>
      <c r="C2299" s="436" t="s">
        <v>256</v>
      </c>
      <c r="D2299" s="436" t="s">
        <v>255</v>
      </c>
      <c r="E2299" s="436">
        <v>1</v>
      </c>
      <c r="F2299" s="465">
        <v>5.85</v>
      </c>
      <c r="G2299" s="466">
        <v>5.85</v>
      </c>
      <c r="H2299" s="466">
        <f>G2299/1.1</f>
        <v>5.3181818181818175</v>
      </c>
      <c r="I2299" s="436"/>
      <c r="J2299" s="465">
        <v>0</v>
      </c>
      <c r="K2299" s="465">
        <v>0</v>
      </c>
    </row>
    <row r="2300" spans="2:11" ht="19" customHeight="1">
      <c r="B2300" s="464">
        <v>46067</v>
      </c>
      <c r="C2300" s="436" t="s">
        <v>275</v>
      </c>
      <c r="D2300" s="436" t="s">
        <v>1115</v>
      </c>
      <c r="E2300" s="436">
        <v>1</v>
      </c>
      <c r="F2300" s="465">
        <v>5.25</v>
      </c>
      <c r="G2300" s="466">
        <v>5.25</v>
      </c>
      <c r="H2300" s="466">
        <f>G2300/1.1</f>
        <v>4.7727272727272725</v>
      </c>
      <c r="I2300" s="436"/>
      <c r="J2300" s="465">
        <v>0</v>
      </c>
      <c r="K2300" s="465">
        <v>0</v>
      </c>
    </row>
    <row r="2301" spans="2:11" ht="19" customHeight="1">
      <c r="B2301" s="464">
        <v>46067</v>
      </c>
      <c r="C2301" s="436" t="s">
        <v>275</v>
      </c>
      <c r="D2301" s="436" t="s">
        <v>674</v>
      </c>
      <c r="E2301" s="436">
        <v>1</v>
      </c>
      <c r="F2301" s="465">
        <v>5.75</v>
      </c>
      <c r="G2301" s="466">
        <v>5.75</v>
      </c>
      <c r="H2301" s="466">
        <f>G2301/1.1</f>
        <v>5.2272727272727266</v>
      </c>
      <c r="I2301" s="436"/>
      <c r="J2301" s="465">
        <v>0</v>
      </c>
      <c r="K2301" s="465">
        <v>0</v>
      </c>
    </row>
    <row r="2302" spans="2:11" ht="19" customHeight="1">
      <c r="B2302" s="464">
        <v>46067</v>
      </c>
      <c r="C2302" s="436" t="s">
        <v>253</v>
      </c>
      <c r="D2302" s="436" t="s">
        <v>1116</v>
      </c>
      <c r="E2302" s="436">
        <v>1</v>
      </c>
      <c r="F2302" s="465">
        <v>2.5</v>
      </c>
      <c r="G2302" s="466">
        <v>2.5</v>
      </c>
      <c r="H2302" s="466">
        <f>G2302/1.1</f>
        <v>2.2727272727272725</v>
      </c>
      <c r="I2302" s="436"/>
      <c r="J2302" s="465">
        <v>0</v>
      </c>
      <c r="K2302" s="465">
        <v>0</v>
      </c>
    </row>
    <row r="2303" spans="2:11" ht="19" customHeight="1">
      <c r="B2303" s="464">
        <v>46067</v>
      </c>
      <c r="C2303" s="436" t="s">
        <v>253</v>
      </c>
      <c r="D2303" s="436" t="s">
        <v>969</v>
      </c>
      <c r="E2303" s="436">
        <v>4</v>
      </c>
      <c r="F2303" s="465">
        <v>3.35</v>
      </c>
      <c r="G2303" s="466">
        <v>13.4</v>
      </c>
      <c r="H2303" s="466">
        <f>G2303/1.1</f>
        <v>12.181818181818182</v>
      </c>
      <c r="I2303" s="436"/>
      <c r="J2303" s="465">
        <v>0</v>
      </c>
      <c r="K2303" s="465">
        <v>0</v>
      </c>
    </row>
    <row r="2304" spans="2:11" ht="19" customHeight="1">
      <c r="B2304" s="464">
        <v>46067</v>
      </c>
      <c r="C2304" s="436" t="s">
        <v>256</v>
      </c>
      <c r="D2304" s="436" t="s">
        <v>255</v>
      </c>
      <c r="E2304" s="436">
        <v>1</v>
      </c>
      <c r="F2304" s="465">
        <v>5.6</v>
      </c>
      <c r="G2304" s="466">
        <v>5.6</v>
      </c>
      <c r="H2304" s="466">
        <f>G2304/1.1</f>
        <v>5.0909090909090899</v>
      </c>
      <c r="I2304" s="436"/>
      <c r="J2304" s="465">
        <v>0</v>
      </c>
      <c r="K2304" s="465">
        <v>0</v>
      </c>
    </row>
    <row r="2305" spans="2:11" ht="19" customHeight="1">
      <c r="B2305" s="464">
        <v>46067</v>
      </c>
      <c r="C2305" s="436" t="s">
        <v>264</v>
      </c>
      <c r="D2305" s="436" t="s">
        <v>930</v>
      </c>
      <c r="E2305" s="436">
        <v>1</v>
      </c>
      <c r="F2305" s="465">
        <v>3.5</v>
      </c>
      <c r="G2305" s="466">
        <v>3.5</v>
      </c>
      <c r="H2305" s="466">
        <f>G2305/1.1</f>
        <v>3.1818181818181817</v>
      </c>
      <c r="I2305" s="436"/>
      <c r="J2305" s="465">
        <v>0</v>
      </c>
      <c r="K2305" s="465">
        <v>0</v>
      </c>
    </row>
    <row r="2306" spans="2:11" ht="19" customHeight="1">
      <c r="B2306" s="464">
        <v>46067</v>
      </c>
      <c r="C2306" s="436" t="s">
        <v>256</v>
      </c>
      <c r="D2306" s="436" t="s">
        <v>685</v>
      </c>
      <c r="E2306" s="436">
        <v>1</v>
      </c>
      <c r="F2306" s="465">
        <v>9</v>
      </c>
      <c r="G2306" s="466">
        <v>9</v>
      </c>
      <c r="H2306" s="466">
        <f>G2306/1.1</f>
        <v>8.1818181818181817</v>
      </c>
      <c r="I2306" s="436"/>
      <c r="J2306" s="465">
        <v>0</v>
      </c>
      <c r="K2306" s="465">
        <v>0</v>
      </c>
    </row>
    <row r="2307" spans="2:11" ht="19" customHeight="1">
      <c r="B2307" s="464">
        <v>46067</v>
      </c>
      <c r="C2307" s="436" t="s">
        <v>256</v>
      </c>
      <c r="D2307" s="436" t="s">
        <v>1112</v>
      </c>
      <c r="E2307" s="436">
        <v>1</v>
      </c>
      <c r="F2307" s="465">
        <v>9.5</v>
      </c>
      <c r="G2307" s="466">
        <v>9.5</v>
      </c>
      <c r="H2307" s="466">
        <f>G2307/1.1</f>
        <v>8.6363636363636349</v>
      </c>
      <c r="I2307" s="436"/>
      <c r="J2307" s="465">
        <v>0</v>
      </c>
      <c r="K2307" s="465">
        <v>0</v>
      </c>
    </row>
    <row r="2308" spans="2:11" ht="19" customHeight="1">
      <c r="B2308" s="464">
        <v>46067</v>
      </c>
      <c r="C2308" s="436" t="s">
        <v>256</v>
      </c>
      <c r="D2308" s="436" t="s">
        <v>262</v>
      </c>
      <c r="E2308" s="436">
        <v>1</v>
      </c>
      <c r="F2308" s="465">
        <v>11.9</v>
      </c>
      <c r="G2308" s="466">
        <v>11.9</v>
      </c>
      <c r="H2308" s="466">
        <f>G2308/1.1</f>
        <v>10.818181818181818</v>
      </c>
      <c r="I2308" s="436"/>
      <c r="J2308" s="465">
        <v>0</v>
      </c>
      <c r="K2308" s="465">
        <v>0</v>
      </c>
    </row>
    <row r="2309" spans="2:11" ht="19" customHeight="1">
      <c r="B2309" s="464">
        <v>46067</v>
      </c>
      <c r="C2309" s="436" t="s">
        <v>323</v>
      </c>
      <c r="D2309" s="436" t="s">
        <v>1117</v>
      </c>
      <c r="E2309" s="436">
        <v>1</v>
      </c>
      <c r="F2309" s="465">
        <v>9.9</v>
      </c>
      <c r="G2309" s="466">
        <v>9.9</v>
      </c>
      <c r="H2309" s="466">
        <f>G2309/1.1</f>
        <v>9</v>
      </c>
      <c r="I2309" s="436"/>
      <c r="J2309" s="465">
        <v>0</v>
      </c>
      <c r="K2309" s="465">
        <v>0</v>
      </c>
    </row>
    <row r="2310" spans="2:11" ht="19" customHeight="1">
      <c r="B2310" s="464">
        <v>46067</v>
      </c>
      <c r="C2310" s="436" t="s">
        <v>275</v>
      </c>
      <c r="D2310" s="436" t="s">
        <v>933</v>
      </c>
      <c r="E2310" s="436">
        <v>1</v>
      </c>
      <c r="F2310" s="465">
        <v>5.25</v>
      </c>
      <c r="G2310" s="466">
        <v>5.25</v>
      </c>
      <c r="H2310" s="466">
        <f>G2310/1.1</f>
        <v>4.7727272727272725</v>
      </c>
      <c r="I2310" s="436"/>
      <c r="J2310" s="465">
        <v>0</v>
      </c>
      <c r="K2310" s="465">
        <v>0</v>
      </c>
    </row>
    <row r="2311" spans="2:11" ht="19" customHeight="1">
      <c r="B2311" s="464">
        <v>46067</v>
      </c>
      <c r="C2311" s="436" t="s">
        <v>253</v>
      </c>
      <c r="D2311" s="436" t="s">
        <v>969</v>
      </c>
      <c r="E2311" s="436">
        <v>1</v>
      </c>
      <c r="F2311" s="465">
        <v>3.35</v>
      </c>
      <c r="G2311" s="466">
        <v>3.35</v>
      </c>
      <c r="H2311" s="466">
        <f>G2311/1.1</f>
        <v>3.0454545454545454</v>
      </c>
      <c r="I2311" s="436"/>
      <c r="J2311" s="465">
        <v>0</v>
      </c>
      <c r="K2311" s="465">
        <v>0</v>
      </c>
    </row>
    <row r="2312" spans="2:11" ht="19" customHeight="1">
      <c r="B2312" s="464">
        <v>46067</v>
      </c>
      <c r="C2312" s="436" t="s">
        <v>276</v>
      </c>
      <c r="D2312" s="436" t="s">
        <v>1052</v>
      </c>
      <c r="E2312" s="436">
        <v>1</v>
      </c>
      <c r="F2312" s="465">
        <v>3.25</v>
      </c>
      <c r="G2312" s="466">
        <v>3.25</v>
      </c>
      <c r="H2312" s="466">
        <f>G2312/1.1</f>
        <v>2.9545454545454541</v>
      </c>
      <c r="I2312" s="436"/>
      <c r="J2312" s="465">
        <v>0</v>
      </c>
      <c r="K2312" s="465">
        <v>0</v>
      </c>
    </row>
    <row r="2313" spans="2:11" ht="19" customHeight="1">
      <c r="B2313" s="464">
        <v>46067</v>
      </c>
      <c r="C2313" s="436" t="s">
        <v>247</v>
      </c>
      <c r="D2313" s="436" t="s">
        <v>855</v>
      </c>
      <c r="E2313" s="436">
        <v>1</v>
      </c>
      <c r="F2313" s="465">
        <v>2.5499999999999998</v>
      </c>
      <c r="G2313" s="466">
        <v>2.5499999999999998</v>
      </c>
      <c r="H2313" s="466">
        <f>G2313/1.1</f>
        <v>2.3181818181818179</v>
      </c>
      <c r="I2313" s="436"/>
      <c r="J2313" s="465">
        <v>0</v>
      </c>
      <c r="K2313" s="465">
        <v>0</v>
      </c>
    </row>
    <row r="2314" spans="2:11" ht="19" customHeight="1">
      <c r="B2314" s="464">
        <v>46067</v>
      </c>
      <c r="C2314" s="436" t="s">
        <v>247</v>
      </c>
      <c r="D2314" s="436" t="s">
        <v>248</v>
      </c>
      <c r="E2314" s="436">
        <v>1</v>
      </c>
      <c r="F2314" s="465">
        <v>1.65</v>
      </c>
      <c r="G2314" s="466">
        <v>1.65</v>
      </c>
      <c r="H2314" s="466">
        <f>G2314/1.1</f>
        <v>1.4999999999999998</v>
      </c>
      <c r="I2314" s="436"/>
      <c r="J2314" s="465">
        <v>0</v>
      </c>
      <c r="K2314" s="465">
        <v>0</v>
      </c>
    </row>
    <row r="2315" spans="2:11" ht="19" customHeight="1">
      <c r="B2315" s="464">
        <v>46067</v>
      </c>
      <c r="C2315" s="436" t="s">
        <v>264</v>
      </c>
      <c r="D2315" s="436" t="s">
        <v>930</v>
      </c>
      <c r="E2315" s="436">
        <v>1</v>
      </c>
      <c r="F2315" s="465">
        <v>3.5</v>
      </c>
      <c r="G2315" s="466">
        <v>3.5</v>
      </c>
      <c r="H2315" s="466">
        <f>G2315/1.1</f>
        <v>3.1818181818181817</v>
      </c>
      <c r="I2315" s="436"/>
      <c r="J2315" s="465">
        <v>0</v>
      </c>
      <c r="K2315" s="465">
        <v>0</v>
      </c>
    </row>
    <row r="2316" spans="2:11" ht="19" customHeight="1">
      <c r="B2316" s="464">
        <v>46067</v>
      </c>
      <c r="C2316" s="436" t="s">
        <v>256</v>
      </c>
      <c r="D2316" s="436" t="s">
        <v>1064</v>
      </c>
      <c r="E2316" s="436">
        <v>1</v>
      </c>
      <c r="F2316" s="465">
        <v>9.9</v>
      </c>
      <c r="G2316" s="466">
        <v>9.9</v>
      </c>
      <c r="H2316" s="466">
        <f>G2316/1.1</f>
        <v>9</v>
      </c>
      <c r="I2316" s="436"/>
      <c r="J2316" s="465">
        <v>0</v>
      </c>
      <c r="K2316" s="465">
        <v>0</v>
      </c>
    </row>
    <row r="2317" spans="2:11" ht="19" customHeight="1">
      <c r="B2317" s="464">
        <v>46067</v>
      </c>
      <c r="C2317" s="436" t="s">
        <v>256</v>
      </c>
      <c r="D2317" s="436" t="s">
        <v>931</v>
      </c>
      <c r="E2317" s="436">
        <v>2</v>
      </c>
      <c r="F2317" s="465">
        <v>1.7</v>
      </c>
      <c r="G2317" s="466">
        <v>3.4</v>
      </c>
      <c r="H2317" s="466">
        <f>G2317/1.1</f>
        <v>3.0909090909090904</v>
      </c>
      <c r="I2317" s="436"/>
      <c r="J2317" s="465">
        <v>0</v>
      </c>
      <c r="K2317" s="465">
        <v>0</v>
      </c>
    </row>
    <row r="2318" spans="2:11" ht="19" customHeight="1">
      <c r="B2318" s="464">
        <v>46067</v>
      </c>
      <c r="C2318" s="436" t="s">
        <v>256</v>
      </c>
      <c r="D2318" s="436" t="s">
        <v>870</v>
      </c>
      <c r="E2318" s="436">
        <v>2</v>
      </c>
      <c r="F2318" s="465">
        <v>1.7</v>
      </c>
      <c r="G2318" s="466">
        <v>3.4</v>
      </c>
      <c r="H2318" s="466">
        <f>G2318/1.1</f>
        <v>3.0909090909090904</v>
      </c>
      <c r="I2318" s="436"/>
      <c r="J2318" s="465">
        <v>0</v>
      </c>
      <c r="K2318" s="465">
        <v>0</v>
      </c>
    </row>
    <row r="2319" spans="2:11" ht="19" customHeight="1">
      <c r="B2319" s="464">
        <v>46067</v>
      </c>
      <c r="C2319" s="436" t="s">
        <v>256</v>
      </c>
      <c r="D2319" s="436" t="s">
        <v>932</v>
      </c>
      <c r="E2319" s="436">
        <v>2</v>
      </c>
      <c r="F2319" s="465">
        <v>1.7</v>
      </c>
      <c r="G2319" s="466">
        <v>3.4</v>
      </c>
      <c r="H2319" s="466">
        <f>G2319/1.1</f>
        <v>3.0909090909090904</v>
      </c>
      <c r="I2319" s="436"/>
      <c r="J2319" s="465">
        <v>0</v>
      </c>
      <c r="K2319" s="465">
        <v>0</v>
      </c>
    </row>
    <row r="2320" spans="2:11" ht="19" customHeight="1">
      <c r="B2320" s="464">
        <v>46067</v>
      </c>
      <c r="C2320" s="436" t="s">
        <v>256</v>
      </c>
      <c r="D2320" s="436" t="s">
        <v>751</v>
      </c>
      <c r="E2320" s="436">
        <v>1</v>
      </c>
      <c r="F2320" s="465">
        <v>7.9</v>
      </c>
      <c r="G2320" s="466">
        <v>7.9</v>
      </c>
      <c r="H2320" s="466">
        <f>G2320/1.1</f>
        <v>7.1818181818181817</v>
      </c>
      <c r="I2320" s="436"/>
      <c r="J2320" s="465">
        <v>0</v>
      </c>
      <c r="K2320" s="465">
        <v>0</v>
      </c>
    </row>
    <row r="2321" spans="2:11" ht="19" customHeight="1">
      <c r="B2321" s="464">
        <v>46067</v>
      </c>
      <c r="C2321" s="436" t="s">
        <v>247</v>
      </c>
      <c r="D2321" s="436" t="s">
        <v>246</v>
      </c>
      <c r="E2321" s="436">
        <v>2</v>
      </c>
      <c r="F2321" s="465">
        <v>1.7</v>
      </c>
      <c r="G2321" s="466">
        <v>3.4</v>
      </c>
      <c r="H2321" s="466">
        <f>G2321/1.1</f>
        <v>3.0909090909090904</v>
      </c>
      <c r="I2321" s="436"/>
      <c r="J2321" s="465">
        <v>0</v>
      </c>
      <c r="K2321" s="465">
        <v>0</v>
      </c>
    </row>
    <row r="2322" spans="2:11" ht="19" customHeight="1">
      <c r="B2322" s="464">
        <v>46067</v>
      </c>
      <c r="C2322" s="436" t="s">
        <v>247</v>
      </c>
      <c r="D2322" s="436" t="s">
        <v>248</v>
      </c>
      <c r="E2322" s="436">
        <v>2</v>
      </c>
      <c r="F2322" s="465">
        <v>1.65</v>
      </c>
      <c r="G2322" s="466">
        <v>3.3</v>
      </c>
      <c r="H2322" s="466">
        <f>G2322/1.1</f>
        <v>2.9999999999999996</v>
      </c>
      <c r="I2322" s="436"/>
      <c r="J2322" s="465">
        <v>0</v>
      </c>
      <c r="K2322" s="465">
        <v>0</v>
      </c>
    </row>
    <row r="2323" spans="2:11" ht="19" customHeight="1">
      <c r="B2323" s="464">
        <v>46067</v>
      </c>
      <c r="C2323" s="436" t="s">
        <v>253</v>
      </c>
      <c r="D2323" s="436" t="s">
        <v>965</v>
      </c>
      <c r="E2323" s="436">
        <v>2</v>
      </c>
      <c r="F2323" s="465">
        <v>2.5</v>
      </c>
      <c r="G2323" s="466">
        <v>5</v>
      </c>
      <c r="H2323" s="466">
        <f>G2323/1.1</f>
        <v>4.545454545454545</v>
      </c>
      <c r="I2323" s="436"/>
      <c r="J2323" s="465">
        <v>0</v>
      </c>
      <c r="K2323" s="465">
        <v>0</v>
      </c>
    </row>
    <row r="2324" spans="2:11" ht="19" customHeight="1">
      <c r="B2324" s="464">
        <v>46067</v>
      </c>
      <c r="C2324" s="436" t="s">
        <v>251</v>
      </c>
      <c r="D2324" s="436" t="s">
        <v>265</v>
      </c>
      <c r="E2324" s="436">
        <v>2</v>
      </c>
      <c r="F2324" s="465">
        <v>2.65</v>
      </c>
      <c r="G2324" s="466">
        <v>5.3</v>
      </c>
      <c r="H2324" s="466">
        <f>G2324/1.1</f>
        <v>4.8181818181818175</v>
      </c>
      <c r="I2324" s="436"/>
      <c r="J2324" s="465">
        <v>0</v>
      </c>
      <c r="K2324" s="465">
        <v>0</v>
      </c>
    </row>
    <row r="2325" spans="2:11" ht="19" customHeight="1">
      <c r="B2325" s="464">
        <v>46067</v>
      </c>
      <c r="C2325" s="436" t="s">
        <v>256</v>
      </c>
      <c r="D2325" s="436" t="s">
        <v>1042</v>
      </c>
      <c r="E2325" s="436">
        <v>1</v>
      </c>
      <c r="F2325" s="465">
        <v>13.95</v>
      </c>
      <c r="G2325" s="466">
        <v>13.95</v>
      </c>
      <c r="H2325" s="466">
        <f>G2325/1.1</f>
        <v>12.68181818181818</v>
      </c>
      <c r="I2325" s="436"/>
      <c r="J2325" s="465">
        <v>0</v>
      </c>
      <c r="K2325" s="465">
        <v>0</v>
      </c>
    </row>
    <row r="2326" spans="2:11" ht="19" customHeight="1">
      <c r="B2326" s="464">
        <v>46067</v>
      </c>
      <c r="C2326" s="436" t="s">
        <v>264</v>
      </c>
      <c r="D2326" s="436" t="s">
        <v>1118</v>
      </c>
      <c r="E2326" s="436" t="s">
        <v>1119</v>
      </c>
      <c r="F2326" s="465">
        <v>4.6500000000000004</v>
      </c>
      <c r="G2326" s="466">
        <v>4.6500000000000004</v>
      </c>
      <c r="H2326" s="466">
        <f>G2326/1.1</f>
        <v>4.2272727272727275</v>
      </c>
      <c r="I2326" s="436"/>
      <c r="J2326" s="465">
        <v>0</v>
      </c>
      <c r="K2326" s="465">
        <v>0</v>
      </c>
    </row>
    <row r="2327" spans="2:11" ht="19" customHeight="1">
      <c r="B2327" s="464">
        <v>46067</v>
      </c>
      <c r="C2327" s="436" t="s">
        <v>256</v>
      </c>
      <c r="D2327" s="436" t="s">
        <v>678</v>
      </c>
      <c r="E2327" s="436">
        <v>1</v>
      </c>
      <c r="F2327" s="465">
        <v>6.9</v>
      </c>
      <c r="G2327" s="466">
        <v>6.9</v>
      </c>
      <c r="H2327" s="466">
        <f>G2327/1.1</f>
        <v>6.2727272727272725</v>
      </c>
      <c r="I2327" s="436"/>
      <c r="J2327" s="465">
        <v>0</v>
      </c>
      <c r="K2327" s="465">
        <v>0</v>
      </c>
    </row>
    <row r="2328" spans="2:11" ht="19" customHeight="1">
      <c r="B2328" s="464">
        <v>46067</v>
      </c>
      <c r="C2328" s="436" t="s">
        <v>256</v>
      </c>
      <c r="D2328" s="436" t="s">
        <v>675</v>
      </c>
      <c r="E2328" s="436">
        <v>1</v>
      </c>
      <c r="F2328" s="465">
        <v>5.5</v>
      </c>
      <c r="G2328" s="466">
        <v>5.5</v>
      </c>
      <c r="H2328" s="466">
        <f>G2328/1.1</f>
        <v>5</v>
      </c>
      <c r="I2328" s="436"/>
      <c r="J2328" s="465">
        <v>0</v>
      </c>
      <c r="K2328" s="465">
        <v>0</v>
      </c>
    </row>
    <row r="2329" spans="2:11" ht="19" customHeight="1">
      <c r="B2329" s="464">
        <v>46067</v>
      </c>
      <c r="C2329" s="436" t="s">
        <v>256</v>
      </c>
      <c r="D2329" s="436" t="s">
        <v>931</v>
      </c>
      <c r="E2329" s="436">
        <v>1</v>
      </c>
      <c r="F2329" s="465">
        <v>8.5</v>
      </c>
      <c r="G2329" s="466">
        <v>8.5</v>
      </c>
      <c r="H2329" s="466">
        <f>G2329/1.1</f>
        <v>7.7272727272727266</v>
      </c>
      <c r="I2329" s="436"/>
      <c r="J2329" s="465">
        <v>0</v>
      </c>
      <c r="K2329" s="465">
        <v>0</v>
      </c>
    </row>
    <row r="2330" spans="2:11" ht="19" customHeight="1">
      <c r="B2330" s="464">
        <v>46067</v>
      </c>
      <c r="C2330" s="436" t="s">
        <v>256</v>
      </c>
      <c r="D2330" s="436" t="s">
        <v>255</v>
      </c>
      <c r="E2330" s="436">
        <v>1</v>
      </c>
      <c r="F2330" s="465">
        <v>5.6</v>
      </c>
      <c r="G2330" s="466">
        <v>5.6</v>
      </c>
      <c r="H2330" s="466">
        <f>G2330/1.1</f>
        <v>5.0909090909090899</v>
      </c>
      <c r="I2330" s="436"/>
      <c r="J2330" s="465">
        <v>0</v>
      </c>
      <c r="K2330" s="465">
        <v>0</v>
      </c>
    </row>
    <row r="2331" spans="2:11" ht="19" customHeight="1">
      <c r="B2331" s="464">
        <v>46067</v>
      </c>
      <c r="C2331" s="436" t="s">
        <v>264</v>
      </c>
      <c r="D2331" s="436" t="s">
        <v>930</v>
      </c>
      <c r="E2331" s="436">
        <v>1</v>
      </c>
      <c r="F2331" s="465">
        <v>3.5</v>
      </c>
      <c r="G2331" s="466">
        <v>3.5</v>
      </c>
      <c r="H2331" s="466">
        <f>G2331/1.1</f>
        <v>3.1818181818181817</v>
      </c>
      <c r="I2331" s="436"/>
      <c r="J2331" s="465">
        <v>0</v>
      </c>
      <c r="K2331" s="465">
        <v>0</v>
      </c>
    </row>
    <row r="2332" spans="2:11" ht="19" customHeight="1">
      <c r="B2332" s="464">
        <v>46068</v>
      </c>
      <c r="C2332" s="436" t="s">
        <v>247</v>
      </c>
      <c r="D2332" s="436" t="s">
        <v>246</v>
      </c>
      <c r="E2332" s="436">
        <v>1</v>
      </c>
      <c r="F2332" s="465">
        <v>1.7</v>
      </c>
      <c r="G2332" s="466">
        <v>1.7</v>
      </c>
      <c r="H2332" s="466">
        <f>G2332/1.1</f>
        <v>1.5454545454545452</v>
      </c>
      <c r="I2332" s="436"/>
      <c r="J2332" s="465">
        <v>0</v>
      </c>
      <c r="K2332" s="465">
        <v>0</v>
      </c>
    </row>
    <row r="2333" spans="2:11" ht="19" customHeight="1">
      <c r="B2333" s="464">
        <v>46068</v>
      </c>
      <c r="C2333" s="436" t="s">
        <v>327</v>
      </c>
      <c r="D2333" s="436" t="s">
        <v>856</v>
      </c>
      <c r="E2333" s="436">
        <v>1</v>
      </c>
      <c r="F2333" s="465">
        <v>3.5</v>
      </c>
      <c r="G2333" s="466">
        <v>3.5</v>
      </c>
      <c r="H2333" s="466">
        <f>G2333/1.1</f>
        <v>3.1818181818181817</v>
      </c>
      <c r="I2333" s="436"/>
      <c r="J2333" s="465">
        <v>0</v>
      </c>
      <c r="K2333" s="465">
        <v>0</v>
      </c>
    </row>
    <row r="2334" spans="2:11" ht="19" customHeight="1">
      <c r="B2334" s="464">
        <v>46068</v>
      </c>
      <c r="C2334" s="436" t="s">
        <v>253</v>
      </c>
      <c r="D2334" s="436" t="s">
        <v>687</v>
      </c>
      <c r="E2334" s="436">
        <v>1</v>
      </c>
      <c r="F2334" s="465">
        <v>2.95</v>
      </c>
      <c r="G2334" s="466">
        <v>2.95</v>
      </c>
      <c r="H2334" s="466">
        <f>G2334/1.1</f>
        <v>2.6818181818181817</v>
      </c>
      <c r="I2334" s="436"/>
      <c r="J2334" s="465">
        <v>0</v>
      </c>
      <c r="K2334" s="465">
        <v>0</v>
      </c>
    </row>
    <row r="2335" spans="2:11" ht="19" customHeight="1">
      <c r="B2335" s="464">
        <v>46068</v>
      </c>
      <c r="C2335" s="436" t="s">
        <v>247</v>
      </c>
      <c r="D2335" s="436" t="s">
        <v>246</v>
      </c>
      <c r="E2335" s="436">
        <v>1</v>
      </c>
      <c r="F2335" s="465">
        <v>1.7</v>
      </c>
      <c r="G2335" s="466">
        <v>1.7</v>
      </c>
      <c r="H2335" s="466">
        <f>G2335/1.1</f>
        <v>1.5454545454545452</v>
      </c>
      <c r="I2335" s="436"/>
      <c r="J2335" s="465">
        <v>0</v>
      </c>
      <c r="K2335" s="465">
        <v>0</v>
      </c>
    </row>
    <row r="2336" spans="2:11" ht="19" customHeight="1">
      <c r="B2336" s="464">
        <v>46068</v>
      </c>
      <c r="C2336" s="436" t="s">
        <v>251</v>
      </c>
      <c r="D2336" s="436" t="s">
        <v>265</v>
      </c>
      <c r="E2336" s="436">
        <v>1</v>
      </c>
      <c r="F2336" s="465">
        <v>2.65</v>
      </c>
      <c r="G2336" s="466">
        <v>2.65</v>
      </c>
      <c r="H2336" s="466">
        <f>G2336/1.1</f>
        <v>2.4090909090909087</v>
      </c>
      <c r="I2336" s="436"/>
      <c r="J2336" s="465">
        <v>0</v>
      </c>
      <c r="K2336" s="465">
        <v>0</v>
      </c>
    </row>
    <row r="2337" spans="2:11" ht="19" customHeight="1">
      <c r="B2337" s="464">
        <v>46068</v>
      </c>
      <c r="C2337" s="436" t="s">
        <v>247</v>
      </c>
      <c r="D2337" s="436" t="s">
        <v>257</v>
      </c>
      <c r="E2337" s="436">
        <v>1</v>
      </c>
      <c r="F2337" s="465">
        <v>1.4</v>
      </c>
      <c r="G2337" s="466">
        <v>1.4</v>
      </c>
      <c r="H2337" s="466">
        <f>G2337/1.1</f>
        <v>1.2727272727272725</v>
      </c>
      <c r="I2337" s="436"/>
      <c r="J2337" s="465">
        <v>0</v>
      </c>
      <c r="K2337" s="465">
        <v>0</v>
      </c>
    </row>
    <row r="2338" spans="2:11" ht="19" customHeight="1">
      <c r="B2338" s="464">
        <v>46068</v>
      </c>
      <c r="C2338" s="436" t="s">
        <v>327</v>
      </c>
      <c r="D2338" s="436" t="s">
        <v>799</v>
      </c>
      <c r="E2338" s="436">
        <v>1</v>
      </c>
      <c r="F2338" s="465">
        <v>3.5</v>
      </c>
      <c r="G2338" s="466">
        <v>3.5</v>
      </c>
      <c r="H2338" s="466">
        <f>G2338/1.1</f>
        <v>3.1818181818181817</v>
      </c>
      <c r="I2338" s="436"/>
      <c r="J2338" s="465">
        <v>0</v>
      </c>
      <c r="K2338" s="465">
        <v>0</v>
      </c>
    </row>
    <row r="2339" spans="2:11" ht="19" customHeight="1">
      <c r="B2339" s="464">
        <v>46068</v>
      </c>
      <c r="C2339" s="436" t="s">
        <v>247</v>
      </c>
      <c r="D2339" s="436" t="s">
        <v>246</v>
      </c>
      <c r="E2339" s="436">
        <v>1</v>
      </c>
      <c r="F2339" s="465">
        <v>1.7</v>
      </c>
      <c r="G2339" s="466">
        <v>1.7</v>
      </c>
      <c r="H2339" s="466">
        <f>G2339/1.1</f>
        <v>1.5454545454545452</v>
      </c>
      <c r="I2339" s="436"/>
      <c r="J2339" s="465">
        <v>0</v>
      </c>
      <c r="K2339" s="465">
        <v>0</v>
      </c>
    </row>
    <row r="2340" spans="2:11" ht="19" customHeight="1">
      <c r="B2340" s="464">
        <v>46068</v>
      </c>
      <c r="C2340" s="436" t="s">
        <v>328</v>
      </c>
      <c r="D2340" s="436" t="s">
        <v>861</v>
      </c>
      <c r="E2340" s="436">
        <v>1</v>
      </c>
      <c r="F2340" s="465">
        <v>3.25</v>
      </c>
      <c r="G2340" s="466">
        <v>3.25</v>
      </c>
      <c r="H2340" s="466">
        <f>G2340/1.1</f>
        <v>2.9545454545454541</v>
      </c>
      <c r="I2340" s="436"/>
      <c r="J2340" s="465">
        <v>0</v>
      </c>
      <c r="K2340" s="465">
        <v>0</v>
      </c>
    </row>
    <row r="2341" spans="2:11" ht="19" customHeight="1">
      <c r="B2341" s="464">
        <v>46068</v>
      </c>
      <c r="C2341" s="436" t="s">
        <v>247</v>
      </c>
      <c r="D2341" s="436" t="s">
        <v>246</v>
      </c>
      <c r="E2341" s="436">
        <v>2</v>
      </c>
      <c r="F2341" s="465">
        <v>1.7</v>
      </c>
      <c r="G2341" s="466">
        <v>3.4</v>
      </c>
      <c r="H2341" s="466">
        <f>G2341/1.1</f>
        <v>3.0909090909090904</v>
      </c>
      <c r="I2341" s="436"/>
      <c r="J2341" s="465">
        <v>0</v>
      </c>
      <c r="K2341" s="465">
        <v>0</v>
      </c>
    </row>
    <row r="2342" spans="2:11" ht="19" customHeight="1">
      <c r="B2342" s="464">
        <v>46068</v>
      </c>
      <c r="C2342" s="436" t="s">
        <v>268</v>
      </c>
      <c r="D2342" s="436" t="s">
        <v>267</v>
      </c>
      <c r="E2342" s="436">
        <v>1</v>
      </c>
      <c r="F2342" s="465">
        <v>1.5</v>
      </c>
      <c r="G2342" s="466">
        <v>1.5</v>
      </c>
      <c r="H2342" s="466">
        <f>G2342/1.1</f>
        <v>1.3636363636363635</v>
      </c>
      <c r="I2342" s="436"/>
      <c r="J2342" s="465">
        <v>0</v>
      </c>
      <c r="K2342" s="465">
        <v>0</v>
      </c>
    </row>
    <row r="2343" spans="2:11" ht="19" customHeight="1">
      <c r="B2343" s="464">
        <v>46068</v>
      </c>
      <c r="C2343" s="436" t="s">
        <v>251</v>
      </c>
      <c r="D2343" s="436" t="s">
        <v>926</v>
      </c>
      <c r="E2343" s="436">
        <v>1</v>
      </c>
      <c r="F2343" s="465">
        <v>2.65</v>
      </c>
      <c r="G2343" s="466">
        <v>2.65</v>
      </c>
      <c r="H2343" s="466">
        <f>G2343/1.1</f>
        <v>2.4090909090909087</v>
      </c>
      <c r="I2343" s="436"/>
      <c r="J2343" s="465">
        <v>0</v>
      </c>
      <c r="K2343" s="465">
        <v>0</v>
      </c>
    </row>
    <row r="2344" spans="2:11" ht="19" customHeight="1">
      <c r="B2344" s="464">
        <v>46068</v>
      </c>
      <c r="C2344" s="436" t="s">
        <v>247</v>
      </c>
      <c r="D2344" s="436" t="s">
        <v>246</v>
      </c>
      <c r="E2344" s="436">
        <v>2</v>
      </c>
      <c r="F2344" s="465">
        <v>1.7</v>
      </c>
      <c r="G2344" s="466">
        <v>3.4</v>
      </c>
      <c r="H2344" s="466">
        <f>G2344/1.1</f>
        <v>3.0909090909090904</v>
      </c>
      <c r="I2344" s="436"/>
      <c r="J2344" s="465">
        <v>0</v>
      </c>
      <c r="K2344" s="465">
        <v>0</v>
      </c>
    </row>
    <row r="2345" spans="2:11" ht="19" customHeight="1">
      <c r="B2345" s="464">
        <v>46068</v>
      </c>
      <c r="C2345" s="436" t="s">
        <v>328</v>
      </c>
      <c r="D2345" s="436" t="s">
        <v>1002</v>
      </c>
      <c r="E2345" s="436">
        <v>1</v>
      </c>
      <c r="F2345" s="465">
        <v>4.8499999999999996</v>
      </c>
      <c r="G2345" s="466">
        <v>4.8499999999999996</v>
      </c>
      <c r="H2345" s="466">
        <f>G2345/1.1</f>
        <v>4.4090909090909083</v>
      </c>
      <c r="I2345" s="436"/>
      <c r="J2345" s="465">
        <v>0</v>
      </c>
      <c r="K2345" s="465">
        <v>0</v>
      </c>
    </row>
    <row r="2346" spans="2:11" ht="19" customHeight="1">
      <c r="B2346" s="464">
        <v>46068</v>
      </c>
      <c r="C2346" s="436" t="s">
        <v>247</v>
      </c>
      <c r="D2346" s="436" t="s">
        <v>246</v>
      </c>
      <c r="E2346" s="436">
        <v>3</v>
      </c>
      <c r="F2346" s="465">
        <v>1.7</v>
      </c>
      <c r="G2346" s="466">
        <v>5.0999999999999996</v>
      </c>
      <c r="H2346" s="466">
        <f>G2346/1.1</f>
        <v>4.6363636363636358</v>
      </c>
      <c r="I2346" s="436"/>
      <c r="J2346" s="465">
        <v>0</v>
      </c>
      <c r="K2346" s="465">
        <v>0</v>
      </c>
    </row>
    <row r="2347" spans="2:11" ht="19" customHeight="1">
      <c r="B2347" s="464">
        <v>46068</v>
      </c>
      <c r="C2347" s="436" t="s">
        <v>894</v>
      </c>
      <c r="D2347" s="436" t="s">
        <v>1120</v>
      </c>
      <c r="E2347" s="436">
        <v>1</v>
      </c>
      <c r="F2347" s="465">
        <v>7.85</v>
      </c>
      <c r="G2347" s="466">
        <v>7.85</v>
      </c>
      <c r="H2347" s="466">
        <f>G2347/1.1</f>
        <v>7.1363636363636358</v>
      </c>
      <c r="I2347" s="436"/>
      <c r="J2347" s="465">
        <v>0</v>
      </c>
      <c r="K2347" s="465">
        <v>0</v>
      </c>
    </row>
    <row r="2348" spans="2:11" ht="19" customHeight="1">
      <c r="B2348" s="464">
        <v>46068</v>
      </c>
      <c r="C2348" s="436" t="s">
        <v>247</v>
      </c>
      <c r="D2348" s="436" t="s">
        <v>246</v>
      </c>
      <c r="E2348" s="436">
        <v>1</v>
      </c>
      <c r="F2348" s="465">
        <v>1.7</v>
      </c>
      <c r="G2348" s="466">
        <v>1.7</v>
      </c>
      <c r="H2348" s="466">
        <f>G2348/1.1</f>
        <v>1.5454545454545452</v>
      </c>
      <c r="I2348" s="436"/>
      <c r="J2348" s="465">
        <v>0</v>
      </c>
      <c r="K2348" s="465">
        <v>0</v>
      </c>
    </row>
    <row r="2349" spans="2:11" ht="19" customHeight="1">
      <c r="B2349" s="464">
        <v>46068</v>
      </c>
      <c r="C2349" s="436" t="s">
        <v>247</v>
      </c>
      <c r="D2349" s="436" t="s">
        <v>248</v>
      </c>
      <c r="E2349" s="436">
        <v>1</v>
      </c>
      <c r="F2349" s="465">
        <v>1.5</v>
      </c>
      <c r="G2349" s="466">
        <v>1.5</v>
      </c>
      <c r="H2349" s="466">
        <f>G2349/1.1</f>
        <v>1.3636363636363635</v>
      </c>
      <c r="I2349" s="436"/>
      <c r="J2349" s="465">
        <v>0</v>
      </c>
      <c r="K2349" s="465">
        <v>0</v>
      </c>
    </row>
    <row r="2350" spans="2:11" ht="19" customHeight="1">
      <c r="B2350" s="464">
        <v>46068</v>
      </c>
      <c r="C2350" s="436" t="s">
        <v>862</v>
      </c>
      <c r="D2350" s="436" t="s">
        <v>899</v>
      </c>
      <c r="E2350" s="436">
        <v>1</v>
      </c>
      <c r="F2350" s="465">
        <v>0.05</v>
      </c>
      <c r="G2350" s="466">
        <v>0.05</v>
      </c>
      <c r="H2350" s="466">
        <f>G2350/1.1</f>
        <v>4.5454545454545456E-2</v>
      </c>
      <c r="I2350" s="436"/>
      <c r="J2350" s="465">
        <v>0</v>
      </c>
      <c r="K2350" s="465">
        <v>0</v>
      </c>
    </row>
    <row r="2351" spans="2:11" ht="19" customHeight="1">
      <c r="B2351" s="464">
        <v>46068</v>
      </c>
      <c r="C2351" s="436" t="s">
        <v>247</v>
      </c>
      <c r="D2351" s="436" t="s">
        <v>246</v>
      </c>
      <c r="E2351" s="436">
        <v>1</v>
      </c>
      <c r="F2351" s="465">
        <v>1.7</v>
      </c>
      <c r="G2351" s="466">
        <v>1.7</v>
      </c>
      <c r="H2351" s="466">
        <f>G2351/1.1</f>
        <v>1.5454545454545452</v>
      </c>
      <c r="I2351" s="436"/>
      <c r="J2351" s="465">
        <v>0</v>
      </c>
      <c r="K2351" s="465">
        <v>0</v>
      </c>
    </row>
    <row r="2352" spans="2:11" ht="19" customHeight="1">
      <c r="B2352" s="464">
        <v>46068</v>
      </c>
      <c r="C2352" s="436" t="s">
        <v>247</v>
      </c>
      <c r="D2352" s="436" t="s">
        <v>248</v>
      </c>
      <c r="E2352" s="436">
        <v>1</v>
      </c>
      <c r="F2352" s="465">
        <v>1.5</v>
      </c>
      <c r="G2352" s="466">
        <v>1.5</v>
      </c>
      <c r="H2352" s="466">
        <f>G2352/1.1</f>
        <v>1.3636363636363635</v>
      </c>
      <c r="I2352" s="436"/>
      <c r="J2352" s="465">
        <v>0</v>
      </c>
      <c r="K2352" s="465">
        <v>0</v>
      </c>
    </row>
    <row r="2353" spans="2:11" ht="19" customHeight="1">
      <c r="B2353" s="464">
        <v>46068</v>
      </c>
      <c r="C2353" s="436" t="s">
        <v>894</v>
      </c>
      <c r="D2353" s="436" t="s">
        <v>896</v>
      </c>
      <c r="E2353" s="436">
        <v>1</v>
      </c>
      <c r="F2353" s="465">
        <v>5.75</v>
      </c>
      <c r="G2353" s="466">
        <v>5.75</v>
      </c>
      <c r="H2353" s="466">
        <f>G2353/1.1</f>
        <v>5.2272727272727266</v>
      </c>
      <c r="I2353" s="436"/>
      <c r="J2353" s="465">
        <v>0</v>
      </c>
      <c r="K2353" s="465">
        <v>0</v>
      </c>
    </row>
    <row r="2354" spans="2:11" ht="19" customHeight="1">
      <c r="B2354" s="464">
        <v>46068</v>
      </c>
      <c r="C2354" s="436" t="s">
        <v>247</v>
      </c>
      <c r="D2354" s="436" t="s">
        <v>257</v>
      </c>
      <c r="E2354" s="436">
        <v>1</v>
      </c>
      <c r="F2354" s="465">
        <v>1.4</v>
      </c>
      <c r="G2354" s="466">
        <v>1.4</v>
      </c>
      <c r="H2354" s="466">
        <f>G2354/1.1</f>
        <v>1.2727272727272725</v>
      </c>
      <c r="I2354" s="436"/>
      <c r="J2354" s="465">
        <v>0</v>
      </c>
      <c r="K2354" s="465">
        <v>0</v>
      </c>
    </row>
    <row r="2355" spans="2:11" ht="19" customHeight="1">
      <c r="B2355" s="464">
        <v>46068</v>
      </c>
      <c r="C2355" s="436" t="s">
        <v>247</v>
      </c>
      <c r="D2355" s="436" t="s">
        <v>246</v>
      </c>
      <c r="E2355" s="436">
        <v>1</v>
      </c>
      <c r="F2355" s="465">
        <v>1.7</v>
      </c>
      <c r="G2355" s="466">
        <v>1.7</v>
      </c>
      <c r="H2355" s="466">
        <f>G2355/1.1</f>
        <v>1.5454545454545452</v>
      </c>
      <c r="I2355" s="436"/>
      <c r="J2355" s="465">
        <v>0</v>
      </c>
      <c r="K2355" s="465">
        <v>0</v>
      </c>
    </row>
    <row r="2356" spans="2:11" ht="19" customHeight="1">
      <c r="B2356" s="464">
        <v>46068</v>
      </c>
      <c r="C2356" s="436" t="s">
        <v>862</v>
      </c>
      <c r="D2356" s="436" t="s">
        <v>863</v>
      </c>
      <c r="E2356" s="436">
        <v>2</v>
      </c>
      <c r="F2356" s="465">
        <v>0.15</v>
      </c>
      <c r="G2356" s="466">
        <v>0.3</v>
      </c>
      <c r="H2356" s="466">
        <f>G2356/1.1</f>
        <v>0.27272727272727271</v>
      </c>
      <c r="I2356" s="436"/>
      <c r="J2356" s="465">
        <v>0</v>
      </c>
      <c r="K2356" s="465">
        <v>0</v>
      </c>
    </row>
    <row r="2357" spans="2:11" ht="19" customHeight="1">
      <c r="B2357" s="464">
        <v>46068</v>
      </c>
      <c r="C2357" s="436" t="s">
        <v>268</v>
      </c>
      <c r="D2357" s="436" t="s">
        <v>859</v>
      </c>
      <c r="E2357" s="436">
        <v>1</v>
      </c>
      <c r="F2357" s="465">
        <v>0.75</v>
      </c>
      <c r="G2357" s="466">
        <v>0.75</v>
      </c>
      <c r="H2357" s="466">
        <f>G2357/1.1</f>
        <v>0.68181818181818177</v>
      </c>
      <c r="I2357" s="436"/>
      <c r="J2357" s="465">
        <v>0</v>
      </c>
      <c r="K2357" s="465">
        <v>0</v>
      </c>
    </row>
    <row r="2358" spans="2:11" ht="19" customHeight="1">
      <c r="B2358" s="464">
        <v>46068</v>
      </c>
      <c r="C2358" s="436" t="s">
        <v>247</v>
      </c>
      <c r="D2358" s="436" t="s">
        <v>246</v>
      </c>
      <c r="E2358" s="436">
        <v>1</v>
      </c>
      <c r="F2358" s="465">
        <v>1.7</v>
      </c>
      <c r="G2358" s="466">
        <v>1.7</v>
      </c>
      <c r="H2358" s="466">
        <f>G2358/1.1</f>
        <v>1.5454545454545452</v>
      </c>
      <c r="I2358" s="436"/>
      <c r="J2358" s="465">
        <v>0</v>
      </c>
      <c r="K2358" s="465">
        <v>0</v>
      </c>
    </row>
    <row r="2359" spans="2:11" ht="19" customHeight="1">
      <c r="B2359" s="464">
        <v>46068</v>
      </c>
      <c r="C2359" s="436" t="s">
        <v>894</v>
      </c>
      <c r="D2359" s="436" t="s">
        <v>895</v>
      </c>
      <c r="E2359" s="436">
        <v>2</v>
      </c>
      <c r="F2359" s="465">
        <v>7.1</v>
      </c>
      <c r="G2359" s="466">
        <v>14.2</v>
      </c>
      <c r="H2359" s="466">
        <f>G2359/1.1</f>
        <v>12.909090909090908</v>
      </c>
      <c r="I2359" s="436"/>
      <c r="J2359" s="465">
        <v>0</v>
      </c>
      <c r="K2359" s="465">
        <v>0</v>
      </c>
    </row>
    <row r="2360" spans="2:11" ht="19" customHeight="1">
      <c r="B2360" s="464">
        <v>46068</v>
      </c>
      <c r="C2360" s="436" t="s">
        <v>328</v>
      </c>
      <c r="D2360" s="436" t="s">
        <v>1098</v>
      </c>
      <c r="E2360" s="436">
        <v>1</v>
      </c>
      <c r="F2360" s="465">
        <v>5.65</v>
      </c>
      <c r="G2360" s="466">
        <v>5.65</v>
      </c>
      <c r="H2360" s="466">
        <f>G2360/1.1</f>
        <v>5.1363636363636367</v>
      </c>
      <c r="I2360" s="436"/>
      <c r="J2360" s="465">
        <v>0</v>
      </c>
      <c r="K2360" s="465">
        <v>0</v>
      </c>
    </row>
    <row r="2361" spans="2:11" ht="19" customHeight="1">
      <c r="B2361" s="464">
        <v>46068</v>
      </c>
      <c r="C2361" s="436" t="s">
        <v>894</v>
      </c>
      <c r="D2361" s="436" t="s">
        <v>1001</v>
      </c>
      <c r="E2361" s="436">
        <v>1</v>
      </c>
      <c r="F2361" s="465">
        <v>5.7</v>
      </c>
      <c r="G2361" s="466">
        <v>5.7</v>
      </c>
      <c r="H2361" s="466">
        <f>G2361/1.1</f>
        <v>5.1818181818181817</v>
      </c>
      <c r="I2361" s="436"/>
      <c r="J2361" s="465">
        <v>0</v>
      </c>
      <c r="K2361" s="465">
        <v>0</v>
      </c>
    </row>
    <row r="2362" spans="2:11" ht="19" customHeight="1">
      <c r="B2362" s="464">
        <v>46068</v>
      </c>
      <c r="C2362" s="436" t="s">
        <v>247</v>
      </c>
      <c r="D2362" s="436" t="s">
        <v>246</v>
      </c>
      <c r="E2362" s="436">
        <v>2</v>
      </c>
      <c r="F2362" s="465">
        <v>1.7</v>
      </c>
      <c r="G2362" s="466">
        <v>3.4</v>
      </c>
      <c r="H2362" s="466">
        <f>G2362/1.1</f>
        <v>3.0909090909090904</v>
      </c>
      <c r="I2362" s="436"/>
      <c r="J2362" s="465">
        <v>0</v>
      </c>
      <c r="K2362" s="465">
        <v>0</v>
      </c>
    </row>
    <row r="2363" spans="2:11" ht="19" customHeight="1">
      <c r="B2363" s="464">
        <v>46068</v>
      </c>
      <c r="C2363" s="436" t="s">
        <v>327</v>
      </c>
      <c r="D2363" s="436" t="s">
        <v>723</v>
      </c>
      <c r="E2363" s="436">
        <v>1</v>
      </c>
      <c r="F2363" s="465">
        <v>3.1</v>
      </c>
      <c r="G2363" s="466">
        <v>3.1</v>
      </c>
      <c r="H2363" s="466">
        <f>G2363/1.1</f>
        <v>2.8181818181818179</v>
      </c>
      <c r="I2363" s="436"/>
      <c r="J2363" s="465">
        <v>0</v>
      </c>
      <c r="K2363" s="465">
        <v>0</v>
      </c>
    </row>
    <row r="2364" spans="2:11" ht="19" customHeight="1">
      <c r="B2364" s="464">
        <v>46068</v>
      </c>
      <c r="C2364" s="436" t="s">
        <v>862</v>
      </c>
      <c r="D2364" s="436" t="s">
        <v>865</v>
      </c>
      <c r="E2364" s="436">
        <v>1</v>
      </c>
      <c r="F2364" s="465">
        <v>0.05</v>
      </c>
      <c r="G2364" s="466">
        <v>0.05</v>
      </c>
      <c r="H2364" s="466">
        <f>G2364/1.1</f>
        <v>4.5454545454545456E-2</v>
      </c>
      <c r="I2364" s="436"/>
      <c r="J2364" s="465">
        <v>0</v>
      </c>
      <c r="K2364" s="465">
        <v>0</v>
      </c>
    </row>
    <row r="2365" spans="2:11" ht="19" customHeight="1">
      <c r="B2365" s="464">
        <v>46068</v>
      </c>
      <c r="C2365" s="436" t="s">
        <v>268</v>
      </c>
      <c r="D2365" s="436" t="s">
        <v>859</v>
      </c>
      <c r="E2365" s="436">
        <v>1</v>
      </c>
      <c r="F2365" s="465">
        <v>0.75</v>
      </c>
      <c r="G2365" s="466">
        <v>0.75</v>
      </c>
      <c r="H2365" s="466">
        <f>G2365/1.1</f>
        <v>0.68181818181818177</v>
      </c>
      <c r="I2365" s="436"/>
      <c r="J2365" s="465">
        <v>0</v>
      </c>
      <c r="K2365" s="465">
        <v>0</v>
      </c>
    </row>
    <row r="2366" spans="2:11" ht="19" customHeight="1">
      <c r="B2366" s="464">
        <v>46068</v>
      </c>
      <c r="C2366" s="436" t="s">
        <v>247</v>
      </c>
      <c r="D2366" s="436" t="s">
        <v>257</v>
      </c>
      <c r="E2366" s="436">
        <v>2</v>
      </c>
      <c r="F2366" s="465">
        <v>1.4</v>
      </c>
      <c r="G2366" s="466">
        <v>2.8</v>
      </c>
      <c r="H2366" s="466">
        <f>G2366/1.1</f>
        <v>2.545454545454545</v>
      </c>
      <c r="I2366" s="436"/>
      <c r="J2366" s="465">
        <v>0</v>
      </c>
      <c r="K2366" s="465">
        <v>0</v>
      </c>
    </row>
    <row r="2367" spans="2:11" ht="19" customHeight="1">
      <c r="B2367" s="464">
        <v>46068</v>
      </c>
      <c r="C2367" s="436" t="s">
        <v>327</v>
      </c>
      <c r="D2367" s="436" t="s">
        <v>723</v>
      </c>
      <c r="E2367" s="436">
        <v>1</v>
      </c>
      <c r="F2367" s="465">
        <v>3.1</v>
      </c>
      <c r="G2367" s="466">
        <v>3.1</v>
      </c>
      <c r="H2367" s="466">
        <f>G2367/1.1</f>
        <v>2.8181818181818179</v>
      </c>
      <c r="I2367" s="436"/>
      <c r="J2367" s="465">
        <v>0</v>
      </c>
      <c r="K2367" s="465">
        <v>0</v>
      </c>
    </row>
    <row r="2368" spans="2:11" ht="19" customHeight="1">
      <c r="B2368" s="464">
        <v>46068</v>
      </c>
      <c r="C2368" s="436" t="s">
        <v>862</v>
      </c>
      <c r="D2368" s="436" t="s">
        <v>865</v>
      </c>
      <c r="E2368" s="436">
        <v>1</v>
      </c>
      <c r="F2368" s="465">
        <v>0.05</v>
      </c>
      <c r="G2368" s="466">
        <v>0.05</v>
      </c>
      <c r="H2368" s="466">
        <f>G2368/1.1</f>
        <v>4.5454545454545456E-2</v>
      </c>
      <c r="I2368" s="436"/>
      <c r="J2368" s="465">
        <v>0</v>
      </c>
      <c r="K2368" s="465">
        <v>0</v>
      </c>
    </row>
    <row r="2369" spans="2:11" ht="19" customHeight="1">
      <c r="B2369" s="464">
        <v>46068</v>
      </c>
      <c r="C2369" s="436" t="s">
        <v>247</v>
      </c>
      <c r="D2369" s="436" t="s">
        <v>246</v>
      </c>
      <c r="E2369" s="436">
        <v>1</v>
      </c>
      <c r="F2369" s="465">
        <v>1.7</v>
      </c>
      <c r="G2369" s="466">
        <v>1.7</v>
      </c>
      <c r="H2369" s="466">
        <f>G2369/1.1</f>
        <v>1.5454545454545452</v>
      </c>
      <c r="I2369" s="436"/>
      <c r="J2369" s="465">
        <v>0</v>
      </c>
      <c r="K2369" s="465">
        <v>0</v>
      </c>
    </row>
    <row r="2370" spans="2:11" ht="19" customHeight="1">
      <c r="B2370" s="464">
        <v>46068</v>
      </c>
      <c r="C2370" s="436" t="s">
        <v>251</v>
      </c>
      <c r="D2370" s="436" t="s">
        <v>742</v>
      </c>
      <c r="E2370" s="436">
        <v>1</v>
      </c>
      <c r="F2370" s="465">
        <v>2.75</v>
      </c>
      <c r="G2370" s="466">
        <v>2.75</v>
      </c>
      <c r="H2370" s="466">
        <f>G2370/1.1</f>
        <v>2.5</v>
      </c>
      <c r="I2370" s="436"/>
      <c r="J2370" s="465">
        <v>0</v>
      </c>
      <c r="K2370" s="465">
        <v>0</v>
      </c>
    </row>
    <row r="2371" spans="2:11" ht="19" customHeight="1">
      <c r="B2371" s="464">
        <v>46068</v>
      </c>
      <c r="C2371" s="436" t="s">
        <v>327</v>
      </c>
      <c r="D2371" s="436" t="s">
        <v>939</v>
      </c>
      <c r="E2371" s="436">
        <v>1</v>
      </c>
      <c r="F2371" s="465">
        <v>4.8499999999999996</v>
      </c>
      <c r="G2371" s="466">
        <v>4.8499999999999996</v>
      </c>
      <c r="H2371" s="466">
        <f>G2371/1.1</f>
        <v>4.4090909090909083</v>
      </c>
      <c r="I2371" s="436"/>
      <c r="J2371" s="465">
        <v>0</v>
      </c>
      <c r="K2371" s="465">
        <v>0</v>
      </c>
    </row>
    <row r="2372" spans="2:11" ht="19" customHeight="1">
      <c r="B2372" s="464">
        <v>46068</v>
      </c>
      <c r="C2372" s="436" t="s">
        <v>268</v>
      </c>
      <c r="D2372" s="436" t="s">
        <v>267</v>
      </c>
      <c r="E2372" s="436">
        <v>1</v>
      </c>
      <c r="F2372" s="465">
        <v>1.5</v>
      </c>
      <c r="G2372" s="466">
        <v>1.5</v>
      </c>
      <c r="H2372" s="466">
        <f>G2372/1.1</f>
        <v>1.3636363636363635</v>
      </c>
      <c r="I2372" s="436"/>
      <c r="J2372" s="465">
        <v>0</v>
      </c>
      <c r="K2372" s="465">
        <v>0</v>
      </c>
    </row>
    <row r="2373" spans="2:11" ht="19" customHeight="1">
      <c r="B2373" s="464">
        <v>46068</v>
      </c>
      <c r="C2373" s="436" t="s">
        <v>247</v>
      </c>
      <c r="D2373" s="436" t="s">
        <v>246</v>
      </c>
      <c r="E2373" s="436">
        <v>1</v>
      </c>
      <c r="F2373" s="465">
        <v>1.7</v>
      </c>
      <c r="G2373" s="466">
        <v>1.7</v>
      </c>
      <c r="H2373" s="466">
        <f>G2373/1.1</f>
        <v>1.5454545454545452</v>
      </c>
      <c r="I2373" s="436"/>
      <c r="J2373" s="465">
        <v>0</v>
      </c>
      <c r="K2373" s="465">
        <v>0</v>
      </c>
    </row>
    <row r="2374" spans="2:11" ht="19" customHeight="1">
      <c r="B2374" s="464">
        <v>46068</v>
      </c>
      <c r="C2374" s="436" t="s">
        <v>894</v>
      </c>
      <c r="D2374" s="436" t="s">
        <v>1001</v>
      </c>
      <c r="E2374" s="436">
        <v>1</v>
      </c>
      <c r="F2374" s="465">
        <v>5.7</v>
      </c>
      <c r="G2374" s="466">
        <v>5.7</v>
      </c>
      <c r="H2374" s="466">
        <f>G2374/1.1</f>
        <v>5.1818181818181817</v>
      </c>
      <c r="I2374" s="436"/>
      <c r="J2374" s="465">
        <v>0</v>
      </c>
      <c r="K2374" s="465">
        <v>0</v>
      </c>
    </row>
    <row r="2375" spans="2:11" ht="19" customHeight="1">
      <c r="B2375" s="464">
        <v>46068</v>
      </c>
      <c r="C2375" s="436" t="s">
        <v>268</v>
      </c>
      <c r="D2375" s="436" t="s">
        <v>267</v>
      </c>
      <c r="E2375" s="436">
        <v>2</v>
      </c>
      <c r="F2375" s="465">
        <v>1.5</v>
      </c>
      <c r="G2375" s="466">
        <v>3</v>
      </c>
      <c r="H2375" s="466">
        <f>G2375/1.1</f>
        <v>2.7272727272727271</v>
      </c>
      <c r="I2375" s="436"/>
      <c r="J2375" s="465">
        <v>0</v>
      </c>
      <c r="K2375" s="465">
        <v>0</v>
      </c>
    </row>
    <row r="2376" spans="2:11" ht="19" customHeight="1">
      <c r="B2376" s="464">
        <v>46068</v>
      </c>
      <c r="C2376" s="436" t="s">
        <v>247</v>
      </c>
      <c r="D2376" s="436" t="s">
        <v>246</v>
      </c>
      <c r="E2376" s="436">
        <v>1</v>
      </c>
      <c r="F2376" s="465">
        <v>1.7</v>
      </c>
      <c r="G2376" s="466">
        <v>1.7</v>
      </c>
      <c r="H2376" s="466">
        <f>G2376/1.1</f>
        <v>1.5454545454545452</v>
      </c>
      <c r="I2376" s="436"/>
      <c r="J2376" s="465">
        <v>0</v>
      </c>
      <c r="K2376" s="465">
        <v>0</v>
      </c>
    </row>
    <row r="2377" spans="2:11" ht="19" customHeight="1">
      <c r="B2377" s="464">
        <v>46068</v>
      </c>
      <c r="C2377" s="436" t="s">
        <v>247</v>
      </c>
      <c r="D2377" s="436" t="s">
        <v>248</v>
      </c>
      <c r="E2377" s="436">
        <v>1</v>
      </c>
      <c r="F2377" s="465">
        <v>1.5</v>
      </c>
      <c r="G2377" s="466">
        <v>1.5</v>
      </c>
      <c r="H2377" s="466">
        <f>G2377/1.1</f>
        <v>1.3636363636363635</v>
      </c>
      <c r="I2377" s="436"/>
      <c r="J2377" s="465">
        <v>0</v>
      </c>
      <c r="K2377" s="465">
        <v>0</v>
      </c>
    </row>
    <row r="2378" spans="2:11" ht="19" customHeight="1">
      <c r="B2378" s="464">
        <v>46068</v>
      </c>
      <c r="C2378" s="436" t="s">
        <v>247</v>
      </c>
      <c r="D2378" s="436" t="s">
        <v>246</v>
      </c>
      <c r="E2378" s="436">
        <v>2</v>
      </c>
      <c r="F2378" s="465">
        <v>1.7</v>
      </c>
      <c r="G2378" s="466">
        <v>3.4</v>
      </c>
      <c r="H2378" s="466">
        <f>G2378/1.1</f>
        <v>3.0909090909090904</v>
      </c>
      <c r="I2378" s="436"/>
      <c r="J2378" s="465">
        <v>0</v>
      </c>
      <c r="K2378" s="465">
        <v>0</v>
      </c>
    </row>
    <row r="2379" spans="2:11" ht="19" customHeight="1">
      <c r="B2379" s="464">
        <v>46068</v>
      </c>
      <c r="C2379" s="436" t="s">
        <v>247</v>
      </c>
      <c r="D2379" s="436" t="s">
        <v>248</v>
      </c>
      <c r="E2379" s="436">
        <v>4</v>
      </c>
      <c r="F2379" s="465">
        <v>1.5</v>
      </c>
      <c r="G2379" s="466">
        <v>6</v>
      </c>
      <c r="H2379" s="466">
        <f>G2379/1.1</f>
        <v>5.4545454545454541</v>
      </c>
      <c r="I2379" s="436"/>
      <c r="J2379" s="465">
        <v>0</v>
      </c>
      <c r="K2379" s="465">
        <v>0</v>
      </c>
    </row>
    <row r="2380" spans="2:11" ht="19" customHeight="1">
      <c r="B2380" s="464">
        <v>46068</v>
      </c>
      <c r="C2380" s="436" t="s">
        <v>247</v>
      </c>
      <c r="D2380" s="436" t="s">
        <v>257</v>
      </c>
      <c r="E2380" s="436">
        <v>1</v>
      </c>
      <c r="F2380" s="465">
        <v>1.4</v>
      </c>
      <c r="G2380" s="466">
        <v>1.4</v>
      </c>
      <c r="H2380" s="466">
        <f>G2380/1.1</f>
        <v>1.2727272727272725</v>
      </c>
      <c r="I2380" s="436"/>
      <c r="J2380" s="465">
        <v>0</v>
      </c>
      <c r="K2380" s="465">
        <v>0</v>
      </c>
    </row>
    <row r="2381" spans="2:11" ht="19" customHeight="1">
      <c r="B2381" s="464">
        <v>46068</v>
      </c>
      <c r="C2381" s="436" t="s">
        <v>247</v>
      </c>
      <c r="D2381" s="436" t="s">
        <v>248</v>
      </c>
      <c r="E2381" s="436">
        <v>1</v>
      </c>
      <c r="F2381" s="465">
        <v>1.5</v>
      </c>
      <c r="G2381" s="466">
        <v>1.5</v>
      </c>
      <c r="H2381" s="466">
        <f>G2381/1.1</f>
        <v>1.3636363636363635</v>
      </c>
      <c r="I2381" s="436"/>
      <c r="J2381" s="465">
        <v>0</v>
      </c>
      <c r="K2381" s="465">
        <v>0</v>
      </c>
    </row>
    <row r="2382" spans="2:11" ht="19" customHeight="1">
      <c r="B2382" s="464">
        <v>46068</v>
      </c>
      <c r="C2382" s="436" t="s">
        <v>247</v>
      </c>
      <c r="D2382" s="436" t="s">
        <v>248</v>
      </c>
      <c r="E2382" s="436">
        <v>1</v>
      </c>
      <c r="F2382" s="465">
        <v>1.5</v>
      </c>
      <c r="G2382" s="466">
        <v>1.5</v>
      </c>
      <c r="H2382" s="466">
        <f>G2382/1.1</f>
        <v>1.3636363636363635</v>
      </c>
      <c r="I2382" s="436"/>
      <c r="J2382" s="465">
        <v>0</v>
      </c>
      <c r="K2382" s="465">
        <v>0</v>
      </c>
    </row>
    <row r="2383" spans="2:11" ht="19" customHeight="1">
      <c r="B2383" s="464">
        <v>46068</v>
      </c>
      <c r="C2383" s="436" t="s">
        <v>247</v>
      </c>
      <c r="D2383" s="436" t="s">
        <v>257</v>
      </c>
      <c r="E2383" s="436">
        <v>1</v>
      </c>
      <c r="F2383" s="465">
        <v>1.4</v>
      </c>
      <c r="G2383" s="466">
        <v>1.4</v>
      </c>
      <c r="H2383" s="466">
        <f>G2383/1.1</f>
        <v>1.2727272727272725</v>
      </c>
      <c r="I2383" s="436"/>
      <c r="J2383" s="465">
        <v>0</v>
      </c>
      <c r="K2383" s="465">
        <v>0</v>
      </c>
    </row>
    <row r="2384" spans="2:11" ht="19" customHeight="1">
      <c r="B2384" s="464">
        <v>46068</v>
      </c>
      <c r="C2384" s="436" t="s">
        <v>268</v>
      </c>
      <c r="D2384" s="436" t="s">
        <v>858</v>
      </c>
      <c r="E2384" s="436">
        <v>2</v>
      </c>
      <c r="F2384" s="465">
        <v>0.65</v>
      </c>
      <c r="G2384" s="466">
        <v>1.3</v>
      </c>
      <c r="H2384" s="466">
        <f>G2384/1.1</f>
        <v>1.1818181818181817</v>
      </c>
      <c r="I2384" s="436"/>
      <c r="J2384" s="465">
        <v>0</v>
      </c>
      <c r="K2384" s="465">
        <v>0</v>
      </c>
    </row>
    <row r="2385" spans="2:11" ht="19" customHeight="1">
      <c r="B2385" s="464">
        <v>46068</v>
      </c>
      <c r="C2385" s="436" t="s">
        <v>247</v>
      </c>
      <c r="D2385" s="436" t="s">
        <v>248</v>
      </c>
      <c r="E2385" s="436">
        <v>1</v>
      </c>
      <c r="F2385" s="465">
        <v>1.5</v>
      </c>
      <c r="G2385" s="466">
        <v>1.5</v>
      </c>
      <c r="H2385" s="466">
        <f>G2385/1.1</f>
        <v>1.3636363636363635</v>
      </c>
      <c r="I2385" s="436"/>
      <c r="J2385" s="465">
        <v>0</v>
      </c>
      <c r="K2385" s="465">
        <v>0</v>
      </c>
    </row>
    <row r="2386" spans="2:11" ht="19" customHeight="1">
      <c r="B2386" s="464">
        <v>46068</v>
      </c>
      <c r="C2386" s="436" t="s">
        <v>247</v>
      </c>
      <c r="D2386" s="436" t="s">
        <v>248</v>
      </c>
      <c r="E2386" s="436">
        <v>1</v>
      </c>
      <c r="F2386" s="465">
        <v>1.5</v>
      </c>
      <c r="G2386" s="466">
        <v>1.5</v>
      </c>
      <c r="H2386" s="466">
        <f>G2386/1.1</f>
        <v>1.3636363636363635</v>
      </c>
      <c r="I2386" s="436"/>
      <c r="J2386" s="465">
        <v>0</v>
      </c>
      <c r="K2386" s="465">
        <v>0</v>
      </c>
    </row>
    <row r="2387" spans="2:11" ht="19" customHeight="1">
      <c r="B2387" s="464">
        <v>46068</v>
      </c>
      <c r="C2387" s="436" t="s">
        <v>247</v>
      </c>
      <c r="D2387" s="436" t="s">
        <v>257</v>
      </c>
      <c r="E2387" s="436">
        <v>1</v>
      </c>
      <c r="F2387" s="465">
        <v>1.55</v>
      </c>
      <c r="G2387" s="466">
        <v>1.55</v>
      </c>
      <c r="H2387" s="466">
        <f>G2387/1.1</f>
        <v>1.4090909090909089</v>
      </c>
      <c r="I2387" s="436"/>
      <c r="J2387" s="465">
        <v>0</v>
      </c>
      <c r="K2387" s="465">
        <v>0</v>
      </c>
    </row>
    <row r="2388" spans="2:11" ht="19" customHeight="1">
      <c r="B2388" s="464">
        <v>46068</v>
      </c>
      <c r="C2388" s="436" t="s">
        <v>253</v>
      </c>
      <c r="D2388" s="436" t="s">
        <v>901</v>
      </c>
      <c r="E2388" s="436">
        <v>1</v>
      </c>
      <c r="F2388" s="465">
        <v>2.15</v>
      </c>
      <c r="G2388" s="466">
        <v>2.15</v>
      </c>
      <c r="H2388" s="466">
        <f>G2388/1.1</f>
        <v>1.9545454545454544</v>
      </c>
      <c r="I2388" s="436"/>
      <c r="J2388" s="465">
        <v>0</v>
      </c>
      <c r="K2388" s="465">
        <v>0</v>
      </c>
    </row>
    <row r="2389" spans="2:11" ht="19" customHeight="1">
      <c r="B2389" s="464">
        <v>46068</v>
      </c>
      <c r="C2389" s="436" t="s">
        <v>253</v>
      </c>
      <c r="D2389" s="436" t="s">
        <v>869</v>
      </c>
      <c r="E2389" s="436">
        <v>2</v>
      </c>
      <c r="F2389" s="465">
        <v>2.5</v>
      </c>
      <c r="G2389" s="466">
        <v>5</v>
      </c>
      <c r="H2389" s="466">
        <f>G2389/1.1</f>
        <v>4.545454545454545</v>
      </c>
      <c r="I2389" s="436"/>
      <c r="J2389" s="465">
        <v>0</v>
      </c>
      <c r="K2389" s="465">
        <v>0</v>
      </c>
    </row>
    <row r="2390" spans="2:11" ht="19" customHeight="1">
      <c r="B2390" s="464">
        <v>46068</v>
      </c>
      <c r="C2390" s="436" t="s">
        <v>247</v>
      </c>
      <c r="D2390" s="436" t="s">
        <v>855</v>
      </c>
      <c r="E2390" s="436">
        <v>1</v>
      </c>
      <c r="F2390" s="465">
        <v>2.5499999999999998</v>
      </c>
      <c r="G2390" s="466">
        <v>2.5499999999999998</v>
      </c>
      <c r="H2390" s="466">
        <f>G2390/1.1</f>
        <v>2.3181818181818179</v>
      </c>
      <c r="I2390" s="436"/>
      <c r="J2390" s="465">
        <v>0</v>
      </c>
      <c r="K2390" s="465">
        <v>0</v>
      </c>
    </row>
    <row r="2391" spans="2:11" ht="19" customHeight="1">
      <c r="B2391" s="464">
        <v>46068</v>
      </c>
      <c r="C2391" s="436" t="s">
        <v>275</v>
      </c>
      <c r="D2391" s="436" t="s">
        <v>897</v>
      </c>
      <c r="E2391" s="436">
        <v>1</v>
      </c>
      <c r="F2391" s="465">
        <v>6.5</v>
      </c>
      <c r="G2391" s="466">
        <v>6.5</v>
      </c>
      <c r="H2391" s="466">
        <f>G2391/1.1</f>
        <v>5.9090909090909083</v>
      </c>
      <c r="I2391" s="436"/>
      <c r="J2391" s="465">
        <v>0</v>
      </c>
      <c r="K2391" s="465">
        <v>0</v>
      </c>
    </row>
    <row r="2392" spans="2:11" ht="19" customHeight="1">
      <c r="B2392" s="464">
        <v>46068</v>
      </c>
      <c r="C2392" s="436" t="s">
        <v>264</v>
      </c>
      <c r="D2392" s="436" t="s">
        <v>930</v>
      </c>
      <c r="E2392" s="436">
        <v>1</v>
      </c>
      <c r="F2392" s="465">
        <v>3.5</v>
      </c>
      <c r="G2392" s="466">
        <v>3.5</v>
      </c>
      <c r="H2392" s="466">
        <f>G2392/1.1</f>
        <v>3.1818181818181817</v>
      </c>
      <c r="I2392" s="436"/>
      <c r="J2392" s="465">
        <v>0</v>
      </c>
      <c r="K2392" s="465">
        <v>0</v>
      </c>
    </row>
    <row r="2393" spans="2:11" ht="19" customHeight="1">
      <c r="B2393" s="464">
        <v>46068</v>
      </c>
      <c r="C2393" s="436" t="s">
        <v>321</v>
      </c>
      <c r="D2393" s="436" t="s">
        <v>1121</v>
      </c>
      <c r="E2393" s="436">
        <v>1</v>
      </c>
      <c r="F2393" s="465">
        <v>6.95</v>
      </c>
      <c r="G2393" s="466">
        <v>6.95</v>
      </c>
      <c r="H2393" s="466">
        <f>G2393/1.1</f>
        <v>6.3181818181818175</v>
      </c>
      <c r="I2393" s="436"/>
      <c r="J2393" s="465">
        <v>0</v>
      </c>
      <c r="K2393" s="465">
        <v>0</v>
      </c>
    </row>
    <row r="2394" spans="2:11" ht="19" customHeight="1">
      <c r="B2394" s="464">
        <v>46068</v>
      </c>
      <c r="C2394" s="436" t="s">
        <v>256</v>
      </c>
      <c r="D2394" s="436" t="s">
        <v>1113</v>
      </c>
      <c r="E2394" s="436">
        <v>1</v>
      </c>
      <c r="F2394" s="465">
        <v>9.9</v>
      </c>
      <c r="G2394" s="466">
        <v>9.9</v>
      </c>
      <c r="H2394" s="466">
        <f>G2394/1.1</f>
        <v>9</v>
      </c>
      <c r="I2394" s="436"/>
      <c r="J2394" s="465">
        <v>0</v>
      </c>
      <c r="K2394" s="465">
        <v>0</v>
      </c>
    </row>
    <row r="2395" spans="2:11" ht="19" customHeight="1">
      <c r="B2395" s="464">
        <v>46068</v>
      </c>
      <c r="C2395" s="436" t="s">
        <v>251</v>
      </c>
      <c r="D2395" s="436" t="s">
        <v>927</v>
      </c>
      <c r="E2395" s="436">
        <v>1</v>
      </c>
      <c r="F2395" s="465">
        <v>2.65</v>
      </c>
      <c r="G2395" s="466">
        <v>2.65</v>
      </c>
      <c r="H2395" s="466">
        <f>G2395/1.1</f>
        <v>2.4090909090909087</v>
      </c>
      <c r="I2395" s="436"/>
      <c r="J2395" s="465">
        <v>0</v>
      </c>
      <c r="K2395" s="465">
        <v>0</v>
      </c>
    </row>
    <row r="2396" spans="2:11" ht="19" customHeight="1">
      <c r="B2396" s="464">
        <v>46068</v>
      </c>
      <c r="C2396" s="436" t="s">
        <v>253</v>
      </c>
      <c r="D2396" s="436" t="s">
        <v>869</v>
      </c>
      <c r="E2396" s="436">
        <v>4</v>
      </c>
      <c r="F2396" s="465">
        <v>2.5</v>
      </c>
      <c r="G2396" s="466">
        <v>10</v>
      </c>
      <c r="H2396" s="466">
        <f>G2396/1.1</f>
        <v>9.0909090909090899</v>
      </c>
      <c r="I2396" s="436"/>
      <c r="J2396" s="465">
        <v>0</v>
      </c>
      <c r="K2396" s="465">
        <v>0</v>
      </c>
    </row>
    <row r="2397" spans="2:11" ht="19" customHeight="1">
      <c r="B2397" s="464">
        <v>46068</v>
      </c>
      <c r="C2397" s="436" t="s">
        <v>321</v>
      </c>
      <c r="D2397" s="436" t="s">
        <v>734</v>
      </c>
      <c r="E2397" s="436">
        <v>1</v>
      </c>
      <c r="F2397" s="465">
        <v>20</v>
      </c>
      <c r="G2397" s="466">
        <v>20</v>
      </c>
      <c r="H2397" s="466">
        <f>G2397/1.1</f>
        <v>18.18181818181818</v>
      </c>
      <c r="I2397" s="436"/>
      <c r="J2397" s="465">
        <v>0</v>
      </c>
      <c r="K2397" s="465">
        <v>0</v>
      </c>
    </row>
    <row r="2398" spans="2:11" ht="19" customHeight="1">
      <c r="B2398" s="464">
        <v>46068</v>
      </c>
      <c r="C2398" s="436" t="s">
        <v>256</v>
      </c>
      <c r="D2398" s="436" t="s">
        <v>685</v>
      </c>
      <c r="E2398" s="436">
        <v>1</v>
      </c>
      <c r="F2398" s="465">
        <v>9.25</v>
      </c>
      <c r="G2398" s="466">
        <v>9.25</v>
      </c>
      <c r="H2398" s="466">
        <f>G2398/1.1</f>
        <v>8.4090909090909083</v>
      </c>
      <c r="I2398" s="436"/>
      <c r="J2398" s="465">
        <v>0</v>
      </c>
      <c r="K2398" s="465">
        <v>0</v>
      </c>
    </row>
    <row r="2399" spans="2:11" ht="19" customHeight="1">
      <c r="B2399" s="464">
        <v>46068</v>
      </c>
      <c r="C2399" s="436" t="s">
        <v>256</v>
      </c>
      <c r="D2399" s="436" t="s">
        <v>262</v>
      </c>
      <c r="E2399" s="436">
        <v>1</v>
      </c>
      <c r="F2399" s="465">
        <v>12.15</v>
      </c>
      <c r="G2399" s="466">
        <v>12.15</v>
      </c>
      <c r="H2399" s="466">
        <f>G2399/1.1</f>
        <v>11.045454545454545</v>
      </c>
      <c r="I2399" s="436"/>
      <c r="J2399" s="465">
        <v>0</v>
      </c>
      <c r="K2399" s="465">
        <v>0</v>
      </c>
    </row>
    <row r="2400" spans="2:11" ht="19" customHeight="1">
      <c r="B2400" s="464">
        <v>46068</v>
      </c>
      <c r="C2400" s="436" t="s">
        <v>251</v>
      </c>
      <c r="D2400" s="436" t="s">
        <v>722</v>
      </c>
      <c r="E2400" s="436">
        <v>1</v>
      </c>
      <c r="F2400" s="465">
        <v>2.8</v>
      </c>
      <c r="G2400" s="466">
        <v>2.8</v>
      </c>
      <c r="H2400" s="466">
        <f>G2400/1.1</f>
        <v>2.545454545454545</v>
      </c>
      <c r="I2400" s="436"/>
      <c r="J2400" s="465">
        <v>0</v>
      </c>
      <c r="K2400" s="465">
        <v>0</v>
      </c>
    </row>
    <row r="2401" spans="2:11" ht="19" customHeight="1">
      <c r="B2401" s="464">
        <v>46068</v>
      </c>
      <c r="C2401" s="436" t="s">
        <v>253</v>
      </c>
      <c r="D2401" s="436" t="s">
        <v>901</v>
      </c>
      <c r="E2401" s="436">
        <v>1</v>
      </c>
      <c r="F2401" s="465">
        <v>2.2999999999999998</v>
      </c>
      <c r="G2401" s="466">
        <v>2.2999999999999998</v>
      </c>
      <c r="H2401" s="466">
        <f>G2401/1.1</f>
        <v>2.0909090909090904</v>
      </c>
      <c r="I2401" s="436"/>
      <c r="J2401" s="465">
        <v>0</v>
      </c>
      <c r="K2401" s="465">
        <v>0</v>
      </c>
    </row>
    <row r="2402" spans="2:11" ht="19" customHeight="1">
      <c r="B2402" s="464">
        <v>46068</v>
      </c>
      <c r="C2402" s="436" t="s">
        <v>276</v>
      </c>
      <c r="D2402" s="436" t="s">
        <v>1017</v>
      </c>
      <c r="E2402" s="436">
        <v>2</v>
      </c>
      <c r="F2402" s="465">
        <v>4.75</v>
      </c>
      <c r="G2402" s="466">
        <v>9.5</v>
      </c>
      <c r="H2402" s="466">
        <f>G2402/1.1</f>
        <v>8.6363636363636349</v>
      </c>
      <c r="I2402" s="436"/>
      <c r="J2402" s="465">
        <v>0</v>
      </c>
      <c r="K2402" s="465">
        <v>0</v>
      </c>
    </row>
    <row r="2403" spans="2:11" ht="19" customHeight="1">
      <c r="B2403" s="464">
        <v>46068</v>
      </c>
      <c r="C2403" s="436" t="s">
        <v>276</v>
      </c>
      <c r="D2403" s="436" t="s">
        <v>995</v>
      </c>
      <c r="E2403" s="436">
        <v>2</v>
      </c>
      <c r="F2403" s="465">
        <v>3.05</v>
      </c>
      <c r="G2403" s="466">
        <v>6.1</v>
      </c>
      <c r="H2403" s="466">
        <f>G2403/1.1</f>
        <v>5.545454545454545</v>
      </c>
      <c r="I2403" s="436"/>
      <c r="J2403" s="465">
        <v>0</v>
      </c>
      <c r="K2403" s="465">
        <v>0</v>
      </c>
    </row>
    <row r="2404" spans="2:11" ht="19" customHeight="1">
      <c r="B2404" s="464">
        <v>46068</v>
      </c>
      <c r="C2404" s="436" t="s">
        <v>256</v>
      </c>
      <c r="D2404" s="436" t="s">
        <v>1042</v>
      </c>
      <c r="E2404" s="436">
        <v>1</v>
      </c>
      <c r="F2404" s="465">
        <v>13.95</v>
      </c>
      <c r="G2404" s="466">
        <v>13.95</v>
      </c>
      <c r="H2404" s="466">
        <f>G2404/1.1</f>
        <v>12.68181818181818</v>
      </c>
      <c r="I2404" s="436"/>
      <c r="J2404" s="465">
        <v>0</v>
      </c>
      <c r="K2404" s="465">
        <v>0</v>
      </c>
    </row>
    <row r="2405" spans="2:11" ht="19" customHeight="1">
      <c r="B2405" s="464">
        <v>46068</v>
      </c>
      <c r="C2405" s="436" t="s">
        <v>264</v>
      </c>
      <c r="D2405" s="436" t="s">
        <v>1118</v>
      </c>
      <c r="E2405" s="436" t="s">
        <v>1119</v>
      </c>
      <c r="F2405" s="465">
        <v>4.6500000000000004</v>
      </c>
      <c r="G2405" s="466">
        <v>4.6500000000000004</v>
      </c>
      <c r="H2405" s="466">
        <f>G2405/1.1</f>
        <v>4.2272727272727275</v>
      </c>
      <c r="I2405" s="436"/>
      <c r="J2405" s="465">
        <v>0</v>
      </c>
      <c r="K2405" s="465">
        <v>0</v>
      </c>
    </row>
    <row r="2406" spans="2:11" ht="19" customHeight="1">
      <c r="B2406" s="464">
        <v>46068</v>
      </c>
      <c r="C2406" s="436" t="s">
        <v>264</v>
      </c>
      <c r="D2406" s="436" t="s">
        <v>930</v>
      </c>
      <c r="E2406" s="436">
        <v>1</v>
      </c>
      <c r="F2406" s="465">
        <v>3.5</v>
      </c>
      <c r="G2406" s="466">
        <v>3.5</v>
      </c>
      <c r="H2406" s="466">
        <f>G2406/1.1</f>
        <v>3.1818181818181817</v>
      </c>
      <c r="I2406" s="436"/>
      <c r="J2406" s="465">
        <v>0</v>
      </c>
      <c r="K2406" s="465">
        <v>0</v>
      </c>
    </row>
    <row r="2407" spans="2:11" ht="19" customHeight="1">
      <c r="B2407" s="464">
        <v>46068</v>
      </c>
      <c r="C2407" s="436" t="s">
        <v>256</v>
      </c>
      <c r="D2407" s="436" t="s">
        <v>738</v>
      </c>
      <c r="E2407" s="436">
        <v>1</v>
      </c>
      <c r="F2407" s="465">
        <v>7.9</v>
      </c>
      <c r="G2407" s="466">
        <v>7.9</v>
      </c>
      <c r="H2407" s="466">
        <f>G2407/1.1</f>
        <v>7.1818181818181817</v>
      </c>
      <c r="I2407" s="436"/>
      <c r="J2407" s="465">
        <v>0</v>
      </c>
      <c r="K2407" s="465">
        <v>0</v>
      </c>
    </row>
    <row r="2408" spans="2:11" ht="19" customHeight="1">
      <c r="B2408" s="464">
        <v>46068</v>
      </c>
      <c r="C2408" s="436" t="s">
        <v>253</v>
      </c>
      <c r="D2408" s="436" t="s">
        <v>901</v>
      </c>
      <c r="E2408" s="436">
        <v>1</v>
      </c>
      <c r="F2408" s="465">
        <v>2.15</v>
      </c>
      <c r="G2408" s="466">
        <v>2.15</v>
      </c>
      <c r="H2408" s="466">
        <f>G2408/1.1</f>
        <v>1.9545454545454544</v>
      </c>
      <c r="I2408" s="436"/>
      <c r="J2408" s="465">
        <v>0</v>
      </c>
      <c r="K2408" s="465">
        <v>0</v>
      </c>
    </row>
    <row r="2409" spans="2:11" ht="19" customHeight="1">
      <c r="B2409" s="464">
        <v>46068</v>
      </c>
      <c r="C2409" s="436" t="s">
        <v>247</v>
      </c>
      <c r="D2409" s="436" t="s">
        <v>246</v>
      </c>
      <c r="E2409" s="436">
        <v>1</v>
      </c>
      <c r="F2409" s="465">
        <v>1.85</v>
      </c>
      <c r="G2409" s="466">
        <v>1.85</v>
      </c>
      <c r="H2409" s="466">
        <f>G2409/1.1</f>
        <v>1.6818181818181817</v>
      </c>
      <c r="I2409" s="436"/>
      <c r="J2409" s="465">
        <v>0</v>
      </c>
      <c r="K2409" s="465">
        <v>0</v>
      </c>
    </row>
    <row r="2410" spans="2:11" ht="19" customHeight="1">
      <c r="B2410" s="464">
        <v>46068</v>
      </c>
      <c r="C2410" s="436" t="s">
        <v>862</v>
      </c>
      <c r="D2410" s="436" t="s">
        <v>899</v>
      </c>
      <c r="E2410" s="436">
        <v>1</v>
      </c>
      <c r="F2410" s="465">
        <v>0.05</v>
      </c>
      <c r="G2410" s="466">
        <v>0.05</v>
      </c>
      <c r="H2410" s="466">
        <f>G2410/1.1</f>
        <v>4.5454545454545456E-2</v>
      </c>
      <c r="I2410" s="436"/>
      <c r="J2410" s="465">
        <v>0</v>
      </c>
      <c r="K2410" s="465">
        <v>0</v>
      </c>
    </row>
    <row r="2411" spans="2:11" ht="19" customHeight="1">
      <c r="B2411" s="464">
        <v>46068</v>
      </c>
      <c r="C2411" s="436" t="s">
        <v>247</v>
      </c>
      <c r="D2411" s="436" t="s">
        <v>257</v>
      </c>
      <c r="E2411" s="436">
        <v>1</v>
      </c>
      <c r="F2411" s="465">
        <v>1.7</v>
      </c>
      <c r="G2411" s="466">
        <v>1.7</v>
      </c>
      <c r="H2411" s="466">
        <f>G2411/1.1</f>
        <v>1.5454545454545452</v>
      </c>
      <c r="I2411" s="436"/>
      <c r="J2411" s="465">
        <v>0</v>
      </c>
      <c r="K2411" s="465">
        <v>0</v>
      </c>
    </row>
    <row r="2412" spans="2:11" ht="19" customHeight="1">
      <c r="B2412" s="464">
        <v>46068</v>
      </c>
      <c r="C2412" s="436" t="s">
        <v>264</v>
      </c>
      <c r="D2412" s="436" t="s">
        <v>269</v>
      </c>
      <c r="E2412" s="436">
        <v>1</v>
      </c>
      <c r="F2412" s="465">
        <v>0.1</v>
      </c>
      <c r="G2412" s="466">
        <v>0.1</v>
      </c>
      <c r="H2412" s="466">
        <f>G2412/1.1</f>
        <v>9.0909090909090912E-2</v>
      </c>
      <c r="I2412" s="436"/>
      <c r="J2412" s="465">
        <v>0</v>
      </c>
      <c r="K2412" s="465">
        <v>0</v>
      </c>
    </row>
    <row r="2413" spans="2:11" ht="19" customHeight="1">
      <c r="B2413" s="464">
        <v>46068</v>
      </c>
      <c r="C2413" s="436" t="s">
        <v>277</v>
      </c>
      <c r="D2413" s="436" t="s">
        <v>915</v>
      </c>
      <c r="E2413" s="436">
        <v>1</v>
      </c>
      <c r="F2413" s="465">
        <v>11.15</v>
      </c>
      <c r="G2413" s="466">
        <v>11.15</v>
      </c>
      <c r="H2413" s="466">
        <f>G2413/1.1</f>
        <v>10.136363636363637</v>
      </c>
      <c r="I2413" s="436"/>
      <c r="J2413" s="465">
        <v>0</v>
      </c>
      <c r="K2413" s="465">
        <v>0</v>
      </c>
    </row>
    <row r="2414" spans="2:11" ht="19" customHeight="1">
      <c r="B2414" s="464">
        <v>46068</v>
      </c>
      <c r="C2414" s="436" t="s">
        <v>247</v>
      </c>
      <c r="D2414" s="436" t="s">
        <v>248</v>
      </c>
      <c r="E2414" s="436">
        <v>1</v>
      </c>
      <c r="F2414" s="465">
        <v>1.65</v>
      </c>
      <c r="G2414" s="466">
        <v>1.65</v>
      </c>
      <c r="H2414" s="466">
        <f>G2414/1.1</f>
        <v>1.4999999999999998</v>
      </c>
      <c r="I2414" s="436"/>
      <c r="J2414" s="465">
        <v>0</v>
      </c>
      <c r="K2414" s="465">
        <v>0</v>
      </c>
    </row>
    <row r="2415" spans="2:11" ht="19" customHeight="1">
      <c r="B2415" s="464">
        <v>46068</v>
      </c>
      <c r="C2415" s="436" t="s">
        <v>247</v>
      </c>
      <c r="D2415" s="436" t="s">
        <v>246</v>
      </c>
      <c r="E2415" s="436">
        <v>2</v>
      </c>
      <c r="F2415" s="465">
        <v>1.7</v>
      </c>
      <c r="G2415" s="466">
        <v>3.4</v>
      </c>
      <c r="H2415" s="466">
        <f>G2415/1.1</f>
        <v>3.0909090909090904</v>
      </c>
      <c r="I2415" s="436"/>
      <c r="J2415" s="465">
        <v>0</v>
      </c>
      <c r="K2415" s="465">
        <v>0</v>
      </c>
    </row>
    <row r="2416" spans="2:11" ht="19" customHeight="1">
      <c r="B2416" s="464">
        <v>46068</v>
      </c>
      <c r="C2416" s="436" t="s">
        <v>253</v>
      </c>
      <c r="D2416" s="436" t="s">
        <v>869</v>
      </c>
      <c r="E2416" s="436">
        <v>1</v>
      </c>
      <c r="F2416" s="465">
        <v>2.5</v>
      </c>
      <c r="G2416" s="466">
        <v>2.5</v>
      </c>
      <c r="H2416" s="466">
        <f>G2416/1.1</f>
        <v>2.2727272727272725</v>
      </c>
      <c r="I2416" s="436"/>
      <c r="J2416" s="465">
        <v>0</v>
      </c>
      <c r="K2416" s="465">
        <v>0</v>
      </c>
    </row>
    <row r="2417" spans="2:11" ht="19" customHeight="1">
      <c r="B2417" s="464">
        <v>46068</v>
      </c>
      <c r="C2417" s="436" t="s">
        <v>247</v>
      </c>
      <c r="D2417" s="436" t="s">
        <v>855</v>
      </c>
      <c r="E2417" s="436">
        <v>2</v>
      </c>
      <c r="F2417" s="465">
        <v>2.5499999999999998</v>
      </c>
      <c r="G2417" s="466">
        <v>5.0999999999999996</v>
      </c>
      <c r="H2417" s="466">
        <f>G2417/1.1</f>
        <v>4.6363636363636358</v>
      </c>
      <c r="I2417" s="436"/>
      <c r="J2417" s="465">
        <v>0</v>
      </c>
      <c r="K2417" s="465">
        <v>0</v>
      </c>
    </row>
    <row r="2418" spans="2:11" ht="19" customHeight="1">
      <c r="B2418" s="464">
        <v>46071</v>
      </c>
      <c r="C2418" s="436" t="s">
        <v>254</v>
      </c>
      <c r="D2418" s="436" t="s">
        <v>254</v>
      </c>
      <c r="E2418" s="436">
        <v>4</v>
      </c>
      <c r="F2418" s="465">
        <v>14.9</v>
      </c>
      <c r="G2418" s="466">
        <v>59.6</v>
      </c>
      <c r="H2418" s="466">
        <f>G2418/1.1</f>
        <v>54.18181818181818</v>
      </c>
      <c r="I2418" s="436"/>
      <c r="J2418" s="465">
        <v>0</v>
      </c>
      <c r="K2418" s="465">
        <v>0</v>
      </c>
    </row>
    <row r="2419" spans="2:11" ht="19" customHeight="1">
      <c r="B2419" s="464">
        <v>46071</v>
      </c>
      <c r="C2419" s="436" t="s">
        <v>873</v>
      </c>
      <c r="D2419" s="436" t="s">
        <v>970</v>
      </c>
      <c r="E2419" s="436">
        <v>3</v>
      </c>
      <c r="F2419" s="469"/>
      <c r="G2419" s="468" t="s">
        <v>875</v>
      </c>
      <c r="H2419" s="466" t="e">
        <f>G2419/1.1</f>
        <v>#VALUE!</v>
      </c>
      <c r="I2419" s="436"/>
      <c r="J2419" s="465">
        <v>0</v>
      </c>
      <c r="K2419" s="465">
        <v>0</v>
      </c>
    </row>
    <row r="2420" spans="2:11" ht="19" customHeight="1">
      <c r="B2420" s="464">
        <v>46071</v>
      </c>
      <c r="C2420" s="436" t="s">
        <v>873</v>
      </c>
      <c r="D2420" s="436" t="s">
        <v>726</v>
      </c>
      <c r="E2420" s="436">
        <v>1</v>
      </c>
      <c r="F2420" s="465">
        <v>3</v>
      </c>
      <c r="G2420" s="466">
        <v>3</v>
      </c>
      <c r="H2420" s="466">
        <f>G2420/1.1</f>
        <v>2.7272727272727271</v>
      </c>
      <c r="I2420" s="436"/>
      <c r="J2420" s="465">
        <v>0</v>
      </c>
      <c r="K2420" s="465">
        <v>0</v>
      </c>
    </row>
    <row r="2421" spans="2:11" ht="19" customHeight="1">
      <c r="B2421" s="464">
        <v>46071</v>
      </c>
      <c r="C2421" s="436" t="s">
        <v>877</v>
      </c>
      <c r="D2421" s="436" t="s">
        <v>971</v>
      </c>
      <c r="E2421" s="436">
        <v>1</v>
      </c>
      <c r="F2421" s="465">
        <v>3</v>
      </c>
      <c r="G2421" s="466">
        <v>3</v>
      </c>
      <c r="H2421" s="466">
        <f>G2421/1.1</f>
        <v>2.7272727272727271</v>
      </c>
      <c r="I2421" s="436"/>
      <c r="J2421" s="465">
        <v>0</v>
      </c>
      <c r="K2421" s="465">
        <v>0</v>
      </c>
    </row>
    <row r="2422" spans="2:11" ht="19" customHeight="1">
      <c r="B2422" s="464">
        <v>46071</v>
      </c>
      <c r="C2422" s="436" t="s">
        <v>877</v>
      </c>
      <c r="D2422" s="436" t="s">
        <v>1122</v>
      </c>
      <c r="E2422" s="436">
        <v>1</v>
      </c>
      <c r="F2422" s="469"/>
      <c r="G2422" s="468" t="s">
        <v>875</v>
      </c>
      <c r="H2422" s="466" t="e">
        <f>G2422/1.1</f>
        <v>#VALUE!</v>
      </c>
      <c r="I2422" s="436"/>
      <c r="J2422" s="465">
        <v>0</v>
      </c>
      <c r="K2422" s="465">
        <v>0</v>
      </c>
    </row>
    <row r="2423" spans="2:11" ht="19" customHeight="1">
      <c r="B2423" s="464">
        <v>46071</v>
      </c>
      <c r="C2423" s="436" t="s">
        <v>877</v>
      </c>
      <c r="D2423" s="436" t="s">
        <v>1123</v>
      </c>
      <c r="E2423" s="436">
        <v>1</v>
      </c>
      <c r="F2423" s="469"/>
      <c r="G2423" s="468" t="s">
        <v>875</v>
      </c>
      <c r="H2423" s="466" t="e">
        <f>G2423/1.1</f>
        <v>#VALUE!</v>
      </c>
      <c r="I2423" s="436"/>
      <c r="J2423" s="465">
        <v>0</v>
      </c>
      <c r="K2423" s="465">
        <v>0</v>
      </c>
    </row>
    <row r="2424" spans="2:11" ht="19" customHeight="1">
      <c r="B2424" s="464">
        <v>46071</v>
      </c>
      <c r="C2424" s="436" t="s">
        <v>877</v>
      </c>
      <c r="D2424" s="436" t="s">
        <v>986</v>
      </c>
      <c r="E2424" s="436">
        <v>1</v>
      </c>
      <c r="F2424" s="465">
        <v>5</v>
      </c>
      <c r="G2424" s="466">
        <v>5</v>
      </c>
      <c r="H2424" s="466">
        <f>G2424/1.1</f>
        <v>4.545454545454545</v>
      </c>
      <c r="I2424" s="436"/>
      <c r="J2424" s="465">
        <v>0</v>
      </c>
      <c r="K2424" s="465">
        <v>0</v>
      </c>
    </row>
    <row r="2425" spans="2:11" ht="19" customHeight="1">
      <c r="B2425" s="464">
        <v>46071</v>
      </c>
      <c r="C2425" s="436" t="s">
        <v>266</v>
      </c>
      <c r="D2425" s="436" t="s">
        <v>250</v>
      </c>
      <c r="E2425" s="436">
        <v>3</v>
      </c>
      <c r="F2425" s="469"/>
      <c r="G2425" s="468" t="s">
        <v>875</v>
      </c>
      <c r="H2425" s="466" t="e">
        <f>G2425/1.1</f>
        <v>#VALUE!</v>
      </c>
      <c r="I2425" s="436"/>
      <c r="J2425" s="465">
        <v>0</v>
      </c>
      <c r="K2425" s="465">
        <v>0</v>
      </c>
    </row>
    <row r="2426" spans="2:11" ht="19" customHeight="1">
      <c r="B2426" s="464">
        <v>46071</v>
      </c>
      <c r="C2426" s="436" t="s">
        <v>266</v>
      </c>
      <c r="D2426" s="436" t="s">
        <v>265</v>
      </c>
      <c r="E2426" s="436">
        <v>1</v>
      </c>
      <c r="F2426" s="465">
        <v>1</v>
      </c>
      <c r="G2426" s="466">
        <v>1</v>
      </c>
      <c r="H2426" s="466">
        <f>G2426/1.1</f>
        <v>0.90909090909090906</v>
      </c>
      <c r="I2426" s="436"/>
      <c r="J2426" s="465">
        <v>0</v>
      </c>
      <c r="K2426" s="465">
        <v>0</v>
      </c>
    </row>
    <row r="2427" spans="2:11" ht="19" customHeight="1">
      <c r="B2427" s="464">
        <v>46071</v>
      </c>
      <c r="C2427" s="436" t="s">
        <v>258</v>
      </c>
      <c r="D2427" s="436" t="s">
        <v>883</v>
      </c>
      <c r="E2427" s="436">
        <v>1</v>
      </c>
      <c r="F2427" s="469"/>
      <c r="G2427" s="468" t="s">
        <v>875</v>
      </c>
      <c r="H2427" s="466" t="e">
        <f>G2427/1.1</f>
        <v>#VALUE!</v>
      </c>
      <c r="I2427" s="436"/>
      <c r="J2427" s="465">
        <v>0</v>
      </c>
      <c r="K2427" s="465">
        <v>0</v>
      </c>
    </row>
    <row r="2428" spans="2:11" ht="19" customHeight="1">
      <c r="B2428" s="464">
        <v>46071</v>
      </c>
      <c r="C2428" s="436" t="s">
        <v>258</v>
      </c>
      <c r="D2428" s="436" t="s">
        <v>972</v>
      </c>
      <c r="E2428" s="436">
        <v>1</v>
      </c>
      <c r="F2428" s="469"/>
      <c r="G2428" s="468" t="s">
        <v>875</v>
      </c>
      <c r="H2428" s="466" t="e">
        <f>G2428/1.1</f>
        <v>#VALUE!</v>
      </c>
      <c r="I2428" s="436"/>
      <c r="J2428" s="465">
        <v>0</v>
      </c>
      <c r="K2428" s="465">
        <v>0</v>
      </c>
    </row>
    <row r="2429" spans="2:11" ht="19" customHeight="1">
      <c r="B2429" s="464">
        <v>46071</v>
      </c>
      <c r="C2429" s="436" t="s">
        <v>258</v>
      </c>
      <c r="D2429" s="436" t="s">
        <v>246</v>
      </c>
      <c r="E2429" s="436">
        <v>2</v>
      </c>
      <c r="F2429" s="469"/>
      <c r="G2429" s="468" t="s">
        <v>875</v>
      </c>
      <c r="H2429" s="466" t="e">
        <f>G2429/1.1</f>
        <v>#VALUE!</v>
      </c>
      <c r="I2429" s="436"/>
      <c r="J2429" s="465">
        <v>0</v>
      </c>
      <c r="K2429" s="465">
        <v>0</v>
      </c>
    </row>
    <row r="2430" spans="2:11" ht="19" customHeight="1">
      <c r="B2430" s="464">
        <v>46071</v>
      </c>
      <c r="C2430" s="436" t="s">
        <v>254</v>
      </c>
      <c r="D2430" s="436" t="s">
        <v>254</v>
      </c>
      <c r="E2430" s="436">
        <v>1</v>
      </c>
      <c r="F2430" s="465">
        <v>14.9</v>
      </c>
      <c r="G2430" s="466">
        <v>14.9</v>
      </c>
      <c r="H2430" s="466">
        <f>G2430/1.1</f>
        <v>13.545454545454545</v>
      </c>
      <c r="I2430" s="436"/>
      <c r="J2430" s="465">
        <v>0</v>
      </c>
      <c r="K2430" s="465">
        <v>0</v>
      </c>
    </row>
    <row r="2431" spans="2:11" ht="19" customHeight="1">
      <c r="B2431" s="464">
        <v>46071</v>
      </c>
      <c r="C2431" s="436" t="s">
        <v>873</v>
      </c>
      <c r="D2431" s="436" t="s">
        <v>726</v>
      </c>
      <c r="E2431" s="436">
        <v>1</v>
      </c>
      <c r="F2431" s="465">
        <v>3</v>
      </c>
      <c r="G2431" s="466">
        <v>3</v>
      </c>
      <c r="H2431" s="466">
        <f>G2431/1.1</f>
        <v>2.7272727272727271</v>
      </c>
      <c r="I2431" s="436"/>
      <c r="J2431" s="465">
        <v>0</v>
      </c>
      <c r="K2431" s="465">
        <v>0</v>
      </c>
    </row>
    <row r="2432" spans="2:11" ht="19" customHeight="1">
      <c r="B2432" s="464">
        <v>46071</v>
      </c>
      <c r="C2432" s="436" t="s">
        <v>877</v>
      </c>
      <c r="D2432" s="436" t="s">
        <v>1124</v>
      </c>
      <c r="E2432" s="436">
        <v>1</v>
      </c>
      <c r="F2432" s="469"/>
      <c r="G2432" s="468" t="s">
        <v>875</v>
      </c>
      <c r="H2432" s="466" t="e">
        <f>G2432/1.1</f>
        <v>#VALUE!</v>
      </c>
      <c r="I2432" s="436"/>
      <c r="J2432" s="465">
        <v>0</v>
      </c>
      <c r="K2432" s="465">
        <v>0</v>
      </c>
    </row>
    <row r="2433" spans="2:11" ht="19" customHeight="1">
      <c r="B2433" s="464">
        <v>46071</v>
      </c>
      <c r="C2433" s="436" t="s">
        <v>266</v>
      </c>
      <c r="D2433" s="436" t="s">
        <v>1125</v>
      </c>
      <c r="E2433" s="436">
        <v>1</v>
      </c>
      <c r="F2433" s="469"/>
      <c r="G2433" s="468" t="s">
        <v>875</v>
      </c>
      <c r="H2433" s="466" t="e">
        <f>G2433/1.1</f>
        <v>#VALUE!</v>
      </c>
      <c r="I2433" s="436"/>
      <c r="J2433" s="465">
        <v>0</v>
      </c>
      <c r="K2433" s="465">
        <v>0</v>
      </c>
    </row>
    <row r="2434" spans="2:11" ht="19" customHeight="1">
      <c r="B2434" s="464">
        <v>46071</v>
      </c>
      <c r="C2434" s="436" t="s">
        <v>258</v>
      </c>
      <c r="D2434" s="436" t="s">
        <v>1126</v>
      </c>
      <c r="E2434" s="436">
        <v>1</v>
      </c>
      <c r="F2434" s="469"/>
      <c r="G2434" s="468" t="s">
        <v>875</v>
      </c>
      <c r="H2434" s="466" t="e">
        <f>G2434/1.1</f>
        <v>#VALUE!</v>
      </c>
      <c r="I2434" s="436"/>
      <c r="J2434" s="465">
        <v>0</v>
      </c>
      <c r="K2434" s="465">
        <v>0</v>
      </c>
    </row>
    <row r="2435" spans="2:11" ht="19" customHeight="1">
      <c r="B2435" s="464">
        <v>46071</v>
      </c>
      <c r="C2435" s="436" t="s">
        <v>254</v>
      </c>
      <c r="D2435" s="436" t="s">
        <v>254</v>
      </c>
      <c r="E2435" s="436">
        <v>2</v>
      </c>
      <c r="F2435" s="465">
        <v>14.9</v>
      </c>
      <c r="G2435" s="466">
        <v>29.8</v>
      </c>
      <c r="H2435" s="466">
        <f>G2435/1.1</f>
        <v>27.09090909090909</v>
      </c>
      <c r="I2435" s="436"/>
      <c r="J2435" s="465">
        <v>0</v>
      </c>
      <c r="K2435" s="465">
        <v>0</v>
      </c>
    </row>
    <row r="2436" spans="2:11" ht="19" customHeight="1">
      <c r="B2436" s="464">
        <v>46071</v>
      </c>
      <c r="C2436" s="436" t="s">
        <v>873</v>
      </c>
      <c r="D2436" s="436" t="s">
        <v>1127</v>
      </c>
      <c r="E2436" s="436">
        <v>1</v>
      </c>
      <c r="F2436" s="465">
        <v>5</v>
      </c>
      <c r="G2436" s="466">
        <v>5</v>
      </c>
      <c r="H2436" s="466">
        <f>G2436/1.1</f>
        <v>4.545454545454545</v>
      </c>
      <c r="I2436" s="436"/>
      <c r="J2436" s="465">
        <v>0</v>
      </c>
      <c r="K2436" s="465">
        <v>0</v>
      </c>
    </row>
    <row r="2437" spans="2:11" ht="19" customHeight="1">
      <c r="B2437" s="464">
        <v>46071</v>
      </c>
      <c r="C2437" s="436" t="s">
        <v>873</v>
      </c>
      <c r="D2437" s="436" t="s">
        <v>726</v>
      </c>
      <c r="E2437" s="436">
        <v>1</v>
      </c>
      <c r="F2437" s="465">
        <v>3</v>
      </c>
      <c r="G2437" s="466">
        <v>3</v>
      </c>
      <c r="H2437" s="466">
        <f>G2437/1.1</f>
        <v>2.7272727272727271</v>
      </c>
      <c r="I2437" s="436"/>
      <c r="J2437" s="465">
        <v>0</v>
      </c>
      <c r="K2437" s="465">
        <v>0</v>
      </c>
    </row>
    <row r="2438" spans="2:11" ht="19" customHeight="1">
      <c r="B2438" s="464">
        <v>46071</v>
      </c>
      <c r="C2438" s="436" t="s">
        <v>877</v>
      </c>
      <c r="D2438" s="436" t="s">
        <v>1124</v>
      </c>
      <c r="E2438" s="436">
        <v>1</v>
      </c>
      <c r="F2438" s="469"/>
      <c r="G2438" s="468" t="s">
        <v>875</v>
      </c>
      <c r="H2438" s="466" t="e">
        <f>G2438/1.1</f>
        <v>#VALUE!</v>
      </c>
      <c r="I2438" s="436"/>
      <c r="J2438" s="465">
        <v>0</v>
      </c>
      <c r="K2438" s="465">
        <v>0</v>
      </c>
    </row>
    <row r="2439" spans="2:11" ht="19" customHeight="1">
      <c r="B2439" s="464">
        <v>46071</v>
      </c>
      <c r="C2439" s="436" t="s">
        <v>877</v>
      </c>
      <c r="D2439" s="436" t="s">
        <v>971</v>
      </c>
      <c r="E2439" s="436">
        <v>1</v>
      </c>
      <c r="F2439" s="465">
        <v>3</v>
      </c>
      <c r="G2439" s="466">
        <v>3</v>
      </c>
      <c r="H2439" s="466">
        <f>G2439/1.1</f>
        <v>2.7272727272727271</v>
      </c>
      <c r="I2439" s="436"/>
      <c r="J2439" s="465">
        <v>0</v>
      </c>
      <c r="K2439" s="465">
        <v>0</v>
      </c>
    </row>
    <row r="2440" spans="2:11" ht="19" customHeight="1">
      <c r="B2440" s="464">
        <v>46071</v>
      </c>
      <c r="C2440" s="436" t="s">
        <v>266</v>
      </c>
      <c r="D2440" s="436" t="s">
        <v>250</v>
      </c>
      <c r="E2440" s="436">
        <v>1</v>
      </c>
      <c r="F2440" s="469"/>
      <c r="G2440" s="468" t="s">
        <v>875</v>
      </c>
      <c r="H2440" s="466" t="e">
        <f>G2440/1.1</f>
        <v>#VALUE!</v>
      </c>
      <c r="I2440" s="436"/>
      <c r="J2440" s="465">
        <v>0</v>
      </c>
      <c r="K2440" s="465">
        <v>0</v>
      </c>
    </row>
    <row r="2441" spans="2:11" ht="19" customHeight="1">
      <c r="B2441" s="464">
        <v>46071</v>
      </c>
      <c r="C2441" s="436" t="s">
        <v>266</v>
      </c>
      <c r="D2441" s="436" t="s">
        <v>991</v>
      </c>
      <c r="E2441" s="436">
        <v>1</v>
      </c>
      <c r="F2441" s="469"/>
      <c r="G2441" s="468" t="s">
        <v>875</v>
      </c>
      <c r="H2441" s="466" t="e">
        <f>G2441/1.1</f>
        <v>#VALUE!</v>
      </c>
      <c r="I2441" s="436"/>
      <c r="J2441" s="465">
        <v>0</v>
      </c>
      <c r="K2441" s="465">
        <v>0</v>
      </c>
    </row>
    <row r="2442" spans="2:11" ht="19" customHeight="1">
      <c r="B2442" s="464">
        <v>46071</v>
      </c>
      <c r="C2442" s="436" t="s">
        <v>258</v>
      </c>
      <c r="D2442" s="436" t="s">
        <v>883</v>
      </c>
      <c r="E2442" s="436">
        <v>1</v>
      </c>
      <c r="F2442" s="469"/>
      <c r="G2442" s="468" t="s">
        <v>875</v>
      </c>
      <c r="H2442" s="466" t="e">
        <f>G2442/1.1</f>
        <v>#VALUE!</v>
      </c>
      <c r="I2442" s="436"/>
      <c r="J2442" s="465">
        <v>0</v>
      </c>
      <c r="K2442" s="465">
        <v>0</v>
      </c>
    </row>
    <row r="2443" spans="2:11" ht="19" customHeight="1">
      <c r="B2443" s="464">
        <v>46071</v>
      </c>
      <c r="C2443" s="436" t="s">
        <v>258</v>
      </c>
      <c r="D2443" s="436" t="s">
        <v>882</v>
      </c>
      <c r="E2443" s="436">
        <v>1</v>
      </c>
      <c r="F2443" s="469"/>
      <c r="G2443" s="468" t="s">
        <v>875</v>
      </c>
      <c r="H2443" s="466" t="e">
        <f>G2443/1.1</f>
        <v>#VALUE!</v>
      </c>
      <c r="I2443" s="436"/>
      <c r="J2443" s="465">
        <v>0</v>
      </c>
      <c r="K2443" s="465">
        <v>0</v>
      </c>
    </row>
    <row r="2444" spans="2:11" ht="19" customHeight="1">
      <c r="B2444" s="464">
        <v>46071</v>
      </c>
      <c r="C2444" s="436" t="s">
        <v>254</v>
      </c>
      <c r="D2444" s="436" t="s">
        <v>254</v>
      </c>
      <c r="E2444" s="436">
        <v>1</v>
      </c>
      <c r="F2444" s="465">
        <v>14.9</v>
      </c>
      <c r="G2444" s="466">
        <v>14.9</v>
      </c>
      <c r="H2444" s="466">
        <f>G2444/1.1</f>
        <v>13.545454545454545</v>
      </c>
      <c r="I2444" s="436"/>
      <c r="J2444" s="465">
        <v>0</v>
      </c>
      <c r="K2444" s="465">
        <v>0</v>
      </c>
    </row>
    <row r="2445" spans="2:11" ht="19" customHeight="1">
      <c r="B2445" s="464">
        <v>46071</v>
      </c>
      <c r="C2445" s="436" t="s">
        <v>873</v>
      </c>
      <c r="D2445" s="436" t="s">
        <v>1127</v>
      </c>
      <c r="E2445" s="436">
        <v>1</v>
      </c>
      <c r="F2445" s="465">
        <v>5</v>
      </c>
      <c r="G2445" s="466">
        <v>5</v>
      </c>
      <c r="H2445" s="466">
        <f>G2445/1.1</f>
        <v>4.545454545454545</v>
      </c>
      <c r="I2445" s="436"/>
      <c r="J2445" s="465">
        <v>0</v>
      </c>
      <c r="K2445" s="465">
        <v>0</v>
      </c>
    </row>
    <row r="2446" spans="2:11" ht="19" customHeight="1">
      <c r="B2446" s="464">
        <v>46071</v>
      </c>
      <c r="C2446" s="436" t="s">
        <v>877</v>
      </c>
      <c r="D2446" s="436" t="s">
        <v>1122</v>
      </c>
      <c r="E2446" s="436">
        <v>1</v>
      </c>
      <c r="F2446" s="469"/>
      <c r="G2446" s="468" t="s">
        <v>875</v>
      </c>
      <c r="H2446" s="466" t="e">
        <f>G2446/1.1</f>
        <v>#VALUE!</v>
      </c>
      <c r="I2446" s="436"/>
      <c r="J2446" s="465">
        <v>0</v>
      </c>
      <c r="K2446" s="465">
        <v>0</v>
      </c>
    </row>
    <row r="2447" spans="2:11" ht="19" customHeight="1">
      <c r="B2447" s="464">
        <v>46071</v>
      </c>
      <c r="C2447" s="436" t="s">
        <v>266</v>
      </c>
      <c r="D2447" s="436" t="s">
        <v>250</v>
      </c>
      <c r="E2447" s="436">
        <v>1</v>
      </c>
      <c r="F2447" s="469"/>
      <c r="G2447" s="468" t="s">
        <v>875</v>
      </c>
      <c r="H2447" s="466" t="e">
        <f>G2447/1.1</f>
        <v>#VALUE!</v>
      </c>
      <c r="I2447" s="436"/>
      <c r="J2447" s="465">
        <v>0</v>
      </c>
      <c r="K2447" s="465">
        <v>0</v>
      </c>
    </row>
    <row r="2448" spans="2:11" ht="19" customHeight="1">
      <c r="B2448" s="464">
        <v>46071</v>
      </c>
      <c r="C2448" s="436" t="s">
        <v>266</v>
      </c>
      <c r="D2448" s="436" t="s">
        <v>1066</v>
      </c>
      <c r="E2448" s="436">
        <v>1</v>
      </c>
      <c r="F2448" s="469"/>
      <c r="G2448" s="468" t="s">
        <v>875</v>
      </c>
      <c r="H2448" s="466" t="e">
        <f>G2448/1.1</f>
        <v>#VALUE!</v>
      </c>
      <c r="I2448" s="436"/>
      <c r="J2448" s="465">
        <v>0</v>
      </c>
      <c r="K2448" s="465">
        <v>0</v>
      </c>
    </row>
    <row r="2449" spans="2:11" ht="19" customHeight="1">
      <c r="B2449" s="464">
        <v>46071</v>
      </c>
      <c r="C2449" s="436" t="s">
        <v>258</v>
      </c>
      <c r="D2449" s="436" t="s">
        <v>1128</v>
      </c>
      <c r="E2449" s="436">
        <v>1</v>
      </c>
      <c r="F2449" s="465">
        <v>3</v>
      </c>
      <c r="G2449" s="466">
        <v>3</v>
      </c>
      <c r="H2449" s="466">
        <f>G2449/1.1</f>
        <v>2.7272727272727271</v>
      </c>
      <c r="I2449" s="436"/>
      <c r="J2449" s="465">
        <v>0</v>
      </c>
      <c r="K2449" s="465">
        <v>0</v>
      </c>
    </row>
    <row r="2450" spans="2:11" ht="19" customHeight="1">
      <c r="B2450" s="464">
        <v>46071</v>
      </c>
      <c r="C2450" s="436" t="s">
        <v>247</v>
      </c>
      <c r="D2450" s="436" t="s">
        <v>246</v>
      </c>
      <c r="E2450" s="436">
        <v>2</v>
      </c>
      <c r="F2450" s="465">
        <v>1.7</v>
      </c>
      <c r="G2450" s="466">
        <v>3.4</v>
      </c>
      <c r="H2450" s="466">
        <f>G2450/1.1</f>
        <v>3.0909090909090904</v>
      </c>
      <c r="I2450" s="436"/>
      <c r="J2450" s="465">
        <v>0</v>
      </c>
      <c r="K2450" s="465">
        <v>0</v>
      </c>
    </row>
    <row r="2451" spans="2:11" ht="19" customHeight="1">
      <c r="B2451" s="464">
        <v>46071</v>
      </c>
      <c r="C2451" s="436" t="s">
        <v>328</v>
      </c>
      <c r="D2451" s="436" t="s">
        <v>735</v>
      </c>
      <c r="E2451" s="436">
        <v>1</v>
      </c>
      <c r="F2451" s="465">
        <v>3.1</v>
      </c>
      <c r="G2451" s="466">
        <v>3.1</v>
      </c>
      <c r="H2451" s="466">
        <f>G2451/1.1</f>
        <v>2.8181818181818179</v>
      </c>
      <c r="I2451" s="436"/>
      <c r="J2451" s="465">
        <v>0</v>
      </c>
      <c r="K2451" s="465">
        <v>0</v>
      </c>
    </row>
    <row r="2452" spans="2:11" ht="19" customHeight="1">
      <c r="B2452" s="464">
        <v>46071</v>
      </c>
      <c r="C2452" s="436" t="s">
        <v>247</v>
      </c>
      <c r="D2452" s="436" t="s">
        <v>248</v>
      </c>
      <c r="E2452" s="436">
        <v>1</v>
      </c>
      <c r="F2452" s="465">
        <v>1.5</v>
      </c>
      <c r="G2452" s="466">
        <v>1.5</v>
      </c>
      <c r="H2452" s="466">
        <f>G2452/1.1</f>
        <v>1.3636363636363635</v>
      </c>
      <c r="I2452" s="436"/>
      <c r="J2452" s="465">
        <v>0</v>
      </c>
      <c r="K2452" s="465">
        <v>0</v>
      </c>
    </row>
    <row r="2453" spans="2:11" ht="19" customHeight="1">
      <c r="B2453" s="464">
        <v>46071</v>
      </c>
      <c r="C2453" s="436" t="s">
        <v>247</v>
      </c>
      <c r="D2453" s="436" t="s">
        <v>257</v>
      </c>
      <c r="E2453" s="436">
        <v>1</v>
      </c>
      <c r="F2453" s="465">
        <v>1.4</v>
      </c>
      <c r="G2453" s="466">
        <v>1.4</v>
      </c>
      <c r="H2453" s="466">
        <f>G2453/1.1</f>
        <v>1.2727272727272725</v>
      </c>
      <c r="I2453" s="436"/>
      <c r="J2453" s="465">
        <v>0</v>
      </c>
      <c r="K2453" s="465">
        <v>0</v>
      </c>
    </row>
    <row r="2454" spans="2:11" ht="19" customHeight="1">
      <c r="B2454" s="464">
        <v>46071</v>
      </c>
      <c r="C2454" s="436" t="s">
        <v>247</v>
      </c>
      <c r="D2454" s="436" t="s">
        <v>248</v>
      </c>
      <c r="E2454" s="436">
        <v>1</v>
      </c>
      <c r="F2454" s="465">
        <v>1.5</v>
      </c>
      <c r="G2454" s="466">
        <v>1.5</v>
      </c>
      <c r="H2454" s="466">
        <f>G2454/1.1</f>
        <v>1.3636363636363635</v>
      </c>
      <c r="I2454" s="436"/>
      <c r="J2454" s="465">
        <v>0</v>
      </c>
      <c r="K2454" s="465">
        <v>0</v>
      </c>
    </row>
    <row r="2455" spans="2:11" ht="19" customHeight="1">
      <c r="B2455" s="464">
        <v>46071</v>
      </c>
      <c r="C2455" s="436" t="s">
        <v>247</v>
      </c>
      <c r="D2455" s="436" t="s">
        <v>246</v>
      </c>
      <c r="E2455" s="436">
        <v>2</v>
      </c>
      <c r="F2455" s="465">
        <v>1.7</v>
      </c>
      <c r="G2455" s="466">
        <v>3.4</v>
      </c>
      <c r="H2455" s="466">
        <f>G2455/1.1</f>
        <v>3.0909090909090904</v>
      </c>
      <c r="I2455" s="436"/>
      <c r="J2455" s="465">
        <v>0</v>
      </c>
      <c r="K2455" s="465">
        <v>0</v>
      </c>
    </row>
    <row r="2456" spans="2:11" ht="19" customHeight="1">
      <c r="B2456" s="464">
        <v>46071</v>
      </c>
      <c r="C2456" s="436" t="s">
        <v>247</v>
      </c>
      <c r="D2456" s="436" t="s">
        <v>248</v>
      </c>
      <c r="E2456" s="436">
        <v>1</v>
      </c>
      <c r="F2456" s="465">
        <v>1.5</v>
      </c>
      <c r="G2456" s="466">
        <v>1.5</v>
      </c>
      <c r="H2456" s="466">
        <f>G2456/1.1</f>
        <v>1.3636363636363635</v>
      </c>
      <c r="I2456" s="436"/>
      <c r="J2456" s="465">
        <v>0</v>
      </c>
      <c r="K2456" s="465">
        <v>0</v>
      </c>
    </row>
    <row r="2457" spans="2:11" ht="19" customHeight="1">
      <c r="B2457" s="464">
        <v>46071</v>
      </c>
      <c r="C2457" s="436" t="s">
        <v>251</v>
      </c>
      <c r="D2457" s="436" t="s">
        <v>742</v>
      </c>
      <c r="E2457" s="436">
        <v>1</v>
      </c>
      <c r="F2457" s="465">
        <v>2.75</v>
      </c>
      <c r="G2457" s="466">
        <v>2.75</v>
      </c>
      <c r="H2457" s="466">
        <f>G2457/1.1</f>
        <v>2.5</v>
      </c>
      <c r="I2457" s="436"/>
      <c r="J2457" s="465">
        <v>0</v>
      </c>
      <c r="K2457" s="465">
        <v>0</v>
      </c>
    </row>
    <row r="2458" spans="2:11" ht="19" customHeight="1">
      <c r="B2458" s="464">
        <v>46071</v>
      </c>
      <c r="C2458" s="436" t="s">
        <v>268</v>
      </c>
      <c r="D2458" s="436" t="s">
        <v>267</v>
      </c>
      <c r="E2458" s="436">
        <v>1</v>
      </c>
      <c r="F2458" s="465">
        <v>1.5</v>
      </c>
      <c r="G2458" s="466">
        <v>1.5</v>
      </c>
      <c r="H2458" s="466">
        <f>G2458/1.1</f>
        <v>1.3636363636363635</v>
      </c>
      <c r="I2458" s="436"/>
      <c r="J2458" s="465">
        <v>0</v>
      </c>
      <c r="K2458" s="465">
        <v>0</v>
      </c>
    </row>
    <row r="2459" spans="2:11" ht="19" customHeight="1">
      <c r="B2459" s="464">
        <v>46071</v>
      </c>
      <c r="C2459" s="436" t="s">
        <v>247</v>
      </c>
      <c r="D2459" s="436" t="s">
        <v>257</v>
      </c>
      <c r="E2459" s="436">
        <v>1</v>
      </c>
      <c r="F2459" s="465">
        <v>1.4</v>
      </c>
      <c r="G2459" s="466">
        <v>1.4</v>
      </c>
      <c r="H2459" s="466">
        <f>G2459/1.1</f>
        <v>1.2727272727272725</v>
      </c>
      <c r="I2459" s="436"/>
      <c r="J2459" s="465">
        <v>0</v>
      </c>
      <c r="K2459" s="465">
        <v>0</v>
      </c>
    </row>
    <row r="2460" spans="2:11" ht="19" customHeight="1">
      <c r="B2460" s="464">
        <v>46071</v>
      </c>
      <c r="C2460" s="436" t="s">
        <v>247</v>
      </c>
      <c r="D2460" s="436" t="s">
        <v>257</v>
      </c>
      <c r="E2460" s="436">
        <v>1</v>
      </c>
      <c r="F2460" s="465">
        <v>1.4</v>
      </c>
      <c r="G2460" s="466">
        <v>1.4</v>
      </c>
      <c r="H2460" s="466">
        <f>G2460/1.1</f>
        <v>1.2727272727272725</v>
      </c>
      <c r="I2460" s="436"/>
      <c r="J2460" s="465">
        <v>0</v>
      </c>
      <c r="K2460" s="465">
        <v>0</v>
      </c>
    </row>
    <row r="2461" spans="2:11" ht="19" customHeight="1">
      <c r="B2461" s="464">
        <v>46071</v>
      </c>
      <c r="C2461" s="436" t="s">
        <v>247</v>
      </c>
      <c r="D2461" s="436" t="s">
        <v>246</v>
      </c>
      <c r="E2461" s="436">
        <v>1</v>
      </c>
      <c r="F2461" s="465">
        <v>1.7</v>
      </c>
      <c r="G2461" s="466">
        <v>1.7</v>
      </c>
      <c r="H2461" s="466">
        <f>G2461/1.1</f>
        <v>1.5454545454545452</v>
      </c>
      <c r="I2461" s="436"/>
      <c r="J2461" s="465">
        <v>0</v>
      </c>
      <c r="K2461" s="465">
        <v>0</v>
      </c>
    </row>
    <row r="2462" spans="2:11" ht="19" customHeight="1">
      <c r="B2462" s="464">
        <v>46071</v>
      </c>
      <c r="C2462" s="436" t="s">
        <v>247</v>
      </c>
      <c r="D2462" s="436" t="s">
        <v>248</v>
      </c>
      <c r="E2462" s="436">
        <v>1</v>
      </c>
      <c r="F2462" s="465">
        <v>1.5</v>
      </c>
      <c r="G2462" s="466">
        <v>1.5</v>
      </c>
      <c r="H2462" s="466">
        <f>G2462/1.1</f>
        <v>1.3636363636363635</v>
      </c>
      <c r="I2462" s="436"/>
      <c r="J2462" s="465">
        <v>0</v>
      </c>
      <c r="K2462" s="465">
        <v>0</v>
      </c>
    </row>
    <row r="2463" spans="2:11" ht="19" customHeight="1">
      <c r="B2463" s="464">
        <v>46071</v>
      </c>
      <c r="C2463" s="436" t="s">
        <v>247</v>
      </c>
      <c r="D2463" s="436" t="s">
        <v>257</v>
      </c>
      <c r="E2463" s="436">
        <v>2</v>
      </c>
      <c r="F2463" s="465">
        <v>1.4</v>
      </c>
      <c r="G2463" s="466">
        <v>2.8</v>
      </c>
      <c r="H2463" s="466">
        <f>G2463/1.1</f>
        <v>2.545454545454545</v>
      </c>
      <c r="I2463" s="436"/>
      <c r="J2463" s="465">
        <v>0</v>
      </c>
      <c r="K2463" s="465">
        <v>0</v>
      </c>
    </row>
    <row r="2464" spans="2:11" ht="19" customHeight="1">
      <c r="B2464" s="464">
        <v>46071</v>
      </c>
      <c r="C2464" s="436" t="s">
        <v>268</v>
      </c>
      <c r="D2464" s="436" t="s">
        <v>859</v>
      </c>
      <c r="E2464" s="436">
        <v>1</v>
      </c>
      <c r="F2464" s="465">
        <v>0.75</v>
      </c>
      <c r="G2464" s="466">
        <v>0.75</v>
      </c>
      <c r="H2464" s="466">
        <f>G2464/1.1</f>
        <v>0.68181818181818177</v>
      </c>
      <c r="I2464" s="436"/>
      <c r="J2464" s="465">
        <v>0</v>
      </c>
      <c r="K2464" s="465">
        <v>0</v>
      </c>
    </row>
    <row r="2465" spans="2:11" ht="19" customHeight="1">
      <c r="B2465" s="464">
        <v>46071</v>
      </c>
      <c r="C2465" s="436" t="s">
        <v>247</v>
      </c>
      <c r="D2465" s="436" t="s">
        <v>257</v>
      </c>
      <c r="E2465" s="436">
        <v>1</v>
      </c>
      <c r="F2465" s="465">
        <v>1.4</v>
      </c>
      <c r="G2465" s="466">
        <v>1.4</v>
      </c>
      <c r="H2465" s="466">
        <f>G2465/1.1</f>
        <v>1.2727272727272725</v>
      </c>
      <c r="I2465" s="436"/>
      <c r="J2465" s="465">
        <v>0</v>
      </c>
      <c r="K2465" s="465">
        <v>0</v>
      </c>
    </row>
    <row r="2466" spans="2:11" ht="19" customHeight="1">
      <c r="B2466" s="464">
        <v>46071</v>
      </c>
      <c r="C2466" s="436" t="s">
        <v>247</v>
      </c>
      <c r="D2466" s="436" t="s">
        <v>902</v>
      </c>
      <c r="E2466" s="436">
        <v>1</v>
      </c>
      <c r="F2466" s="465">
        <v>1.95</v>
      </c>
      <c r="G2466" s="466">
        <v>1.95</v>
      </c>
      <c r="H2466" s="466">
        <f>G2466/1.1</f>
        <v>1.7727272727272725</v>
      </c>
      <c r="I2466" s="436"/>
      <c r="J2466" s="465">
        <v>0</v>
      </c>
      <c r="K2466" s="465">
        <v>0</v>
      </c>
    </row>
    <row r="2467" spans="2:11" ht="19" customHeight="1">
      <c r="B2467" s="464">
        <v>46071</v>
      </c>
      <c r="C2467" s="436" t="s">
        <v>268</v>
      </c>
      <c r="D2467" s="436" t="s">
        <v>267</v>
      </c>
      <c r="E2467" s="436">
        <v>1</v>
      </c>
      <c r="F2467" s="465">
        <v>1.5</v>
      </c>
      <c r="G2467" s="466">
        <v>1.5</v>
      </c>
      <c r="H2467" s="466">
        <f>G2467/1.1</f>
        <v>1.3636363636363635</v>
      </c>
      <c r="I2467" s="436"/>
      <c r="J2467" s="465">
        <v>0</v>
      </c>
      <c r="K2467" s="465">
        <v>0</v>
      </c>
    </row>
    <row r="2468" spans="2:11" ht="19" customHeight="1">
      <c r="B2468" s="464">
        <v>46071</v>
      </c>
      <c r="C2468" s="436" t="s">
        <v>247</v>
      </c>
      <c r="D2468" s="436" t="s">
        <v>248</v>
      </c>
      <c r="E2468" s="436">
        <v>1</v>
      </c>
      <c r="F2468" s="465">
        <v>1.5</v>
      </c>
      <c r="G2468" s="466">
        <v>1.5</v>
      </c>
      <c r="H2468" s="466">
        <f>G2468/1.1</f>
        <v>1.3636363636363635</v>
      </c>
      <c r="I2468" s="436"/>
      <c r="J2468" s="465">
        <v>0</v>
      </c>
      <c r="K2468" s="465">
        <v>0</v>
      </c>
    </row>
    <row r="2469" spans="2:11" ht="19" customHeight="1">
      <c r="B2469" s="464">
        <v>46071</v>
      </c>
      <c r="C2469" s="436" t="s">
        <v>247</v>
      </c>
      <c r="D2469" s="436" t="s">
        <v>248</v>
      </c>
      <c r="E2469" s="436">
        <v>1</v>
      </c>
      <c r="F2469" s="465">
        <v>1.5</v>
      </c>
      <c r="G2469" s="466">
        <v>1.5</v>
      </c>
      <c r="H2469" s="466">
        <f>G2469/1.1</f>
        <v>1.3636363636363635</v>
      </c>
      <c r="I2469" s="436"/>
      <c r="J2469" s="465">
        <v>0</v>
      </c>
      <c r="K2469" s="465">
        <v>0</v>
      </c>
    </row>
    <row r="2470" spans="2:11" ht="19" customHeight="1">
      <c r="B2470" s="464">
        <v>46071</v>
      </c>
      <c r="C2470" s="436" t="s">
        <v>247</v>
      </c>
      <c r="D2470" s="436" t="s">
        <v>246</v>
      </c>
      <c r="E2470" s="436">
        <v>2</v>
      </c>
      <c r="F2470" s="465">
        <v>1.7</v>
      </c>
      <c r="G2470" s="466">
        <v>3.4</v>
      </c>
      <c r="H2470" s="466">
        <f>G2470/1.1</f>
        <v>3.0909090909090904</v>
      </c>
      <c r="I2470" s="436"/>
      <c r="J2470" s="465">
        <v>0</v>
      </c>
      <c r="K2470" s="465">
        <v>0</v>
      </c>
    </row>
    <row r="2471" spans="2:11" ht="19" customHeight="1">
      <c r="B2471" s="464">
        <v>46071</v>
      </c>
      <c r="C2471" s="436" t="s">
        <v>328</v>
      </c>
      <c r="D2471" s="436" t="s">
        <v>773</v>
      </c>
      <c r="E2471" s="436">
        <v>1</v>
      </c>
      <c r="F2471" s="465">
        <v>3.1</v>
      </c>
      <c r="G2471" s="466">
        <v>3.1</v>
      </c>
      <c r="H2471" s="466">
        <f>G2471/1.1</f>
        <v>2.8181818181818179</v>
      </c>
      <c r="I2471" s="436"/>
      <c r="J2471" s="465">
        <v>0</v>
      </c>
      <c r="K2471" s="465">
        <v>0</v>
      </c>
    </row>
    <row r="2472" spans="2:11" ht="19" customHeight="1">
      <c r="B2472" s="464">
        <v>46071</v>
      </c>
      <c r="C2472" s="436" t="s">
        <v>862</v>
      </c>
      <c r="D2472" s="436" t="s">
        <v>865</v>
      </c>
      <c r="E2472" s="436">
        <v>1</v>
      </c>
      <c r="F2472" s="465">
        <v>0.05</v>
      </c>
      <c r="G2472" s="466">
        <v>0.05</v>
      </c>
      <c r="H2472" s="466">
        <f>G2472/1.1</f>
        <v>4.5454545454545456E-2</v>
      </c>
      <c r="I2472" s="436"/>
      <c r="J2472" s="465">
        <v>0</v>
      </c>
      <c r="K2472" s="465">
        <v>0</v>
      </c>
    </row>
    <row r="2473" spans="2:11" ht="19" customHeight="1">
      <c r="B2473" s="464">
        <v>46071</v>
      </c>
      <c r="C2473" s="436" t="s">
        <v>268</v>
      </c>
      <c r="D2473" s="436" t="s">
        <v>860</v>
      </c>
      <c r="E2473" s="436">
        <v>1</v>
      </c>
      <c r="F2473" s="465">
        <v>2.25</v>
      </c>
      <c r="G2473" s="466">
        <v>2.25</v>
      </c>
      <c r="H2473" s="466">
        <f>G2473/1.1</f>
        <v>2.0454545454545454</v>
      </c>
      <c r="I2473" s="436"/>
      <c r="J2473" s="465">
        <v>0</v>
      </c>
      <c r="K2473" s="465">
        <v>0</v>
      </c>
    </row>
    <row r="2474" spans="2:11" ht="19" customHeight="1">
      <c r="B2474" s="464">
        <v>46071</v>
      </c>
      <c r="C2474" s="436" t="s">
        <v>247</v>
      </c>
      <c r="D2474" s="436" t="s">
        <v>246</v>
      </c>
      <c r="E2474" s="436">
        <v>1</v>
      </c>
      <c r="F2474" s="465">
        <v>1.7</v>
      </c>
      <c r="G2474" s="466">
        <v>1.7</v>
      </c>
      <c r="H2474" s="466">
        <f>G2474/1.1</f>
        <v>1.5454545454545452</v>
      </c>
      <c r="I2474" s="436"/>
      <c r="J2474" s="465">
        <v>0</v>
      </c>
      <c r="K2474" s="465">
        <v>0</v>
      </c>
    </row>
    <row r="2475" spans="2:11" ht="19" customHeight="1">
      <c r="B2475" s="464">
        <v>46071</v>
      </c>
      <c r="C2475" s="436" t="s">
        <v>247</v>
      </c>
      <c r="D2475" s="436" t="s">
        <v>248</v>
      </c>
      <c r="E2475" s="436">
        <v>1</v>
      </c>
      <c r="F2475" s="465">
        <v>1.65</v>
      </c>
      <c r="G2475" s="466">
        <v>1.65</v>
      </c>
      <c r="H2475" s="466">
        <f>G2475/1.1</f>
        <v>1.4999999999999998</v>
      </c>
      <c r="I2475" s="436"/>
      <c r="J2475" s="465">
        <v>0</v>
      </c>
      <c r="K2475" s="465">
        <v>0</v>
      </c>
    </row>
    <row r="2476" spans="2:11" ht="19" customHeight="1">
      <c r="B2476" s="464">
        <v>46071</v>
      </c>
      <c r="C2476" s="436" t="s">
        <v>251</v>
      </c>
      <c r="D2476" s="436" t="s">
        <v>250</v>
      </c>
      <c r="E2476" s="436">
        <v>1</v>
      </c>
      <c r="F2476" s="465">
        <v>1.8</v>
      </c>
      <c r="G2476" s="466">
        <v>1.8</v>
      </c>
      <c r="H2476" s="466">
        <f>G2476/1.1</f>
        <v>1.6363636363636362</v>
      </c>
      <c r="I2476" s="436"/>
      <c r="J2476" s="465">
        <v>0</v>
      </c>
      <c r="K2476" s="465">
        <v>0</v>
      </c>
    </row>
    <row r="2477" spans="2:11" ht="19" customHeight="1">
      <c r="B2477" s="464">
        <v>46071</v>
      </c>
      <c r="C2477" s="436" t="s">
        <v>253</v>
      </c>
      <c r="D2477" s="436" t="s">
        <v>869</v>
      </c>
      <c r="E2477" s="436">
        <v>2</v>
      </c>
      <c r="F2477" s="465">
        <v>2.5</v>
      </c>
      <c r="G2477" s="466">
        <v>5</v>
      </c>
      <c r="H2477" s="466">
        <f>G2477/1.1</f>
        <v>4.545454545454545</v>
      </c>
      <c r="I2477" s="436"/>
      <c r="J2477" s="465">
        <v>0</v>
      </c>
      <c r="K2477" s="465">
        <v>0</v>
      </c>
    </row>
    <row r="2478" spans="2:11" ht="19" customHeight="1">
      <c r="B2478" s="464">
        <v>46071</v>
      </c>
      <c r="C2478" s="436" t="s">
        <v>264</v>
      </c>
      <c r="D2478" s="436" t="s">
        <v>930</v>
      </c>
      <c r="E2478" s="436">
        <v>2</v>
      </c>
      <c r="F2478" s="465">
        <v>3.5</v>
      </c>
      <c r="G2478" s="466">
        <v>7</v>
      </c>
      <c r="H2478" s="466">
        <f>G2478/1.1</f>
        <v>6.3636363636363633</v>
      </c>
      <c r="I2478" s="436"/>
      <c r="J2478" s="465">
        <v>0</v>
      </c>
      <c r="K2478" s="465">
        <v>0</v>
      </c>
    </row>
    <row r="2479" spans="2:11" ht="19" customHeight="1">
      <c r="B2479" s="464">
        <v>46071</v>
      </c>
      <c r="C2479" s="436" t="s">
        <v>247</v>
      </c>
      <c r="D2479" s="436" t="s">
        <v>855</v>
      </c>
      <c r="E2479" s="436">
        <v>1</v>
      </c>
      <c r="F2479" s="465">
        <v>2.5499999999999998</v>
      </c>
      <c r="G2479" s="466">
        <v>2.5499999999999998</v>
      </c>
      <c r="H2479" s="466">
        <f>G2479/1.1</f>
        <v>2.3181818181818179</v>
      </c>
      <c r="I2479" s="436"/>
      <c r="J2479" s="465">
        <v>0</v>
      </c>
      <c r="K2479" s="465">
        <v>0</v>
      </c>
    </row>
    <row r="2480" spans="2:11" ht="19" customHeight="1">
      <c r="B2480" s="464">
        <v>46071</v>
      </c>
      <c r="C2480" s="436" t="s">
        <v>251</v>
      </c>
      <c r="D2480" s="436" t="s">
        <v>926</v>
      </c>
      <c r="E2480" s="436">
        <v>1</v>
      </c>
      <c r="F2480" s="465">
        <v>2.8</v>
      </c>
      <c r="G2480" s="466">
        <v>2.8</v>
      </c>
      <c r="H2480" s="466">
        <f>G2480/1.1</f>
        <v>2.545454545454545</v>
      </c>
      <c r="I2480" s="436"/>
      <c r="J2480" s="465">
        <v>0</v>
      </c>
      <c r="K2480" s="465">
        <v>0</v>
      </c>
    </row>
    <row r="2481" spans="2:11" ht="19" customHeight="1">
      <c r="B2481" s="464">
        <v>46071</v>
      </c>
      <c r="C2481" s="436" t="s">
        <v>253</v>
      </c>
      <c r="D2481" s="436" t="s">
        <v>804</v>
      </c>
      <c r="E2481" s="436">
        <v>1</v>
      </c>
      <c r="F2481" s="465">
        <v>3.1</v>
      </c>
      <c r="G2481" s="466">
        <v>3.1</v>
      </c>
      <c r="H2481" s="466">
        <f>G2481/1.1</f>
        <v>2.8181818181818179</v>
      </c>
      <c r="I2481" s="436"/>
      <c r="J2481" s="465">
        <v>0</v>
      </c>
      <c r="K2481" s="465">
        <v>0</v>
      </c>
    </row>
    <row r="2482" spans="2:11" ht="19" customHeight="1">
      <c r="B2482" s="464">
        <v>46071</v>
      </c>
      <c r="C2482" s="436" t="s">
        <v>256</v>
      </c>
      <c r="D2482" s="436" t="s">
        <v>678</v>
      </c>
      <c r="E2482" s="436">
        <v>1</v>
      </c>
      <c r="F2482" s="465">
        <v>7.15</v>
      </c>
      <c r="G2482" s="466">
        <v>7.15</v>
      </c>
      <c r="H2482" s="466">
        <f>G2482/1.1</f>
        <v>6.5</v>
      </c>
      <c r="I2482" s="436"/>
      <c r="J2482" s="465">
        <v>0</v>
      </c>
      <c r="K2482" s="465">
        <v>0</v>
      </c>
    </row>
    <row r="2483" spans="2:11" ht="19" customHeight="1">
      <c r="B2483" s="464">
        <v>46071</v>
      </c>
      <c r="C2483" s="436" t="s">
        <v>264</v>
      </c>
      <c r="D2483" s="436" t="s">
        <v>930</v>
      </c>
      <c r="E2483" s="436">
        <v>1</v>
      </c>
      <c r="F2483" s="465">
        <v>3.75</v>
      </c>
      <c r="G2483" s="466">
        <v>3.75</v>
      </c>
      <c r="H2483" s="466">
        <f>G2483/1.1</f>
        <v>3.4090909090909087</v>
      </c>
      <c r="I2483" s="436"/>
      <c r="J2483" s="465">
        <v>0</v>
      </c>
      <c r="K2483" s="465">
        <v>0</v>
      </c>
    </row>
    <row r="2484" spans="2:11" ht="19" customHeight="1">
      <c r="B2484" s="464">
        <v>46071</v>
      </c>
      <c r="C2484" s="436" t="s">
        <v>256</v>
      </c>
      <c r="D2484" s="436" t="s">
        <v>679</v>
      </c>
      <c r="E2484" s="436">
        <v>1</v>
      </c>
      <c r="F2484" s="465">
        <v>10.25</v>
      </c>
      <c r="G2484" s="466">
        <v>10.25</v>
      </c>
      <c r="H2484" s="466">
        <f>G2484/1.1</f>
        <v>9.3181818181818166</v>
      </c>
      <c r="I2484" s="436"/>
      <c r="J2484" s="465">
        <v>0</v>
      </c>
      <c r="K2484" s="465">
        <v>0</v>
      </c>
    </row>
    <row r="2485" spans="2:11" ht="19" customHeight="1">
      <c r="B2485" s="464">
        <v>46071</v>
      </c>
      <c r="C2485" s="436" t="s">
        <v>256</v>
      </c>
      <c r="D2485" s="436" t="s">
        <v>255</v>
      </c>
      <c r="E2485" s="436">
        <v>1</v>
      </c>
      <c r="F2485" s="465">
        <v>5.85</v>
      </c>
      <c r="G2485" s="466">
        <v>5.85</v>
      </c>
      <c r="H2485" s="466">
        <f>G2485/1.1</f>
        <v>5.3181818181818175</v>
      </c>
      <c r="I2485" s="436"/>
      <c r="J2485" s="465">
        <v>0</v>
      </c>
      <c r="K2485" s="465">
        <v>0</v>
      </c>
    </row>
    <row r="2486" spans="2:11" ht="19" customHeight="1">
      <c r="B2486" s="464">
        <v>46071</v>
      </c>
      <c r="C2486" s="436" t="s">
        <v>251</v>
      </c>
      <c r="D2486" s="436" t="s">
        <v>250</v>
      </c>
      <c r="E2486" s="436">
        <v>1</v>
      </c>
      <c r="F2486" s="465">
        <v>1.8</v>
      </c>
      <c r="G2486" s="466">
        <v>1.8</v>
      </c>
      <c r="H2486" s="466">
        <f>G2486/1.1</f>
        <v>1.6363636363636362</v>
      </c>
      <c r="I2486" s="436"/>
      <c r="J2486" s="465">
        <v>0</v>
      </c>
      <c r="K2486" s="465">
        <v>0</v>
      </c>
    </row>
    <row r="2487" spans="2:11" ht="19" customHeight="1">
      <c r="B2487" s="464">
        <v>46071</v>
      </c>
      <c r="C2487" s="436" t="s">
        <v>321</v>
      </c>
      <c r="D2487" s="436" t="s">
        <v>910</v>
      </c>
      <c r="E2487" s="436">
        <v>1</v>
      </c>
      <c r="F2487" s="465">
        <v>4</v>
      </c>
      <c r="G2487" s="466">
        <v>4</v>
      </c>
      <c r="H2487" s="466">
        <f>G2487/1.1</f>
        <v>3.6363636363636362</v>
      </c>
      <c r="I2487" s="436"/>
      <c r="J2487" s="465">
        <v>0</v>
      </c>
      <c r="K2487" s="465">
        <v>0</v>
      </c>
    </row>
    <row r="2488" spans="2:11" ht="19" customHeight="1">
      <c r="B2488" s="464">
        <v>46071</v>
      </c>
      <c r="C2488" s="436" t="s">
        <v>253</v>
      </c>
      <c r="D2488" s="436" t="s">
        <v>869</v>
      </c>
      <c r="E2488" s="436">
        <v>1</v>
      </c>
      <c r="F2488" s="465">
        <v>2.5</v>
      </c>
      <c r="G2488" s="466">
        <v>2.5</v>
      </c>
      <c r="H2488" s="466">
        <f>G2488/1.1</f>
        <v>2.2727272727272725</v>
      </c>
      <c r="I2488" s="436"/>
      <c r="J2488" s="465">
        <v>0</v>
      </c>
      <c r="K2488" s="465">
        <v>0</v>
      </c>
    </row>
    <row r="2489" spans="2:11" ht="19" customHeight="1">
      <c r="B2489" s="464">
        <v>46071</v>
      </c>
      <c r="C2489" s="436" t="s">
        <v>251</v>
      </c>
      <c r="D2489" s="436" t="s">
        <v>945</v>
      </c>
      <c r="E2489" s="436">
        <v>1</v>
      </c>
      <c r="F2489" s="465">
        <v>2.65</v>
      </c>
      <c r="G2489" s="466">
        <v>2.65</v>
      </c>
      <c r="H2489" s="466">
        <f>G2489/1.1</f>
        <v>2.4090909090909087</v>
      </c>
      <c r="I2489" s="436"/>
      <c r="J2489" s="465">
        <v>0</v>
      </c>
      <c r="K2489" s="465">
        <v>0</v>
      </c>
    </row>
    <row r="2490" spans="2:11" ht="19" customHeight="1">
      <c r="B2490" s="464">
        <v>46071</v>
      </c>
      <c r="C2490" s="436" t="s">
        <v>256</v>
      </c>
      <c r="D2490" s="436" t="s">
        <v>952</v>
      </c>
      <c r="E2490" s="436">
        <v>1</v>
      </c>
      <c r="F2490" s="465">
        <v>7.5</v>
      </c>
      <c r="G2490" s="466">
        <v>7.5</v>
      </c>
      <c r="H2490" s="466">
        <f>G2490/1.1</f>
        <v>6.8181818181818175</v>
      </c>
      <c r="I2490" s="436"/>
      <c r="J2490" s="465">
        <v>0</v>
      </c>
      <c r="K2490" s="465">
        <v>0</v>
      </c>
    </row>
    <row r="2491" spans="2:11" ht="19" customHeight="1">
      <c r="B2491" s="464">
        <v>46071</v>
      </c>
      <c r="C2491" s="436" t="s">
        <v>277</v>
      </c>
      <c r="D2491" s="436" t="s">
        <v>915</v>
      </c>
      <c r="E2491" s="436">
        <v>1</v>
      </c>
      <c r="F2491" s="465">
        <v>10.9</v>
      </c>
      <c r="G2491" s="466">
        <v>10.9</v>
      </c>
      <c r="H2491" s="466">
        <f>G2491/1.1</f>
        <v>9.9090909090909083</v>
      </c>
      <c r="I2491" s="436"/>
      <c r="J2491" s="465">
        <v>0</v>
      </c>
      <c r="K2491" s="465">
        <v>0</v>
      </c>
    </row>
    <row r="2492" spans="2:11" ht="19" customHeight="1">
      <c r="B2492" s="464">
        <v>46071</v>
      </c>
      <c r="C2492" s="436" t="s">
        <v>247</v>
      </c>
      <c r="D2492" s="436" t="s">
        <v>246</v>
      </c>
      <c r="E2492" s="436">
        <v>1</v>
      </c>
      <c r="F2492" s="465">
        <v>1.85</v>
      </c>
      <c r="G2492" s="466">
        <v>1.85</v>
      </c>
      <c r="H2492" s="466">
        <f>G2492/1.1</f>
        <v>1.6818181818181817</v>
      </c>
      <c r="I2492" s="436"/>
      <c r="J2492" s="465">
        <v>0</v>
      </c>
      <c r="K2492" s="465">
        <v>0</v>
      </c>
    </row>
    <row r="2493" spans="2:11" ht="19" customHeight="1">
      <c r="B2493" s="464">
        <v>46071</v>
      </c>
      <c r="C2493" s="436" t="s">
        <v>247</v>
      </c>
      <c r="D2493" s="436" t="s">
        <v>248</v>
      </c>
      <c r="E2493" s="436">
        <v>1</v>
      </c>
      <c r="F2493" s="465">
        <v>1.8</v>
      </c>
      <c r="G2493" s="466">
        <v>1.8</v>
      </c>
      <c r="H2493" s="466">
        <f>G2493/1.1</f>
        <v>1.6363636363636362</v>
      </c>
      <c r="I2493" s="436"/>
      <c r="J2493" s="465">
        <v>0</v>
      </c>
      <c r="K2493" s="465">
        <v>0</v>
      </c>
    </row>
    <row r="2494" spans="2:11" ht="19" customHeight="1">
      <c r="B2494" s="464">
        <v>46071</v>
      </c>
      <c r="C2494" s="436" t="s">
        <v>253</v>
      </c>
      <c r="D2494" s="436" t="s">
        <v>869</v>
      </c>
      <c r="E2494" s="436">
        <v>1</v>
      </c>
      <c r="F2494" s="465">
        <v>2.65</v>
      </c>
      <c r="G2494" s="466">
        <v>2.65</v>
      </c>
      <c r="H2494" s="466">
        <f>G2494/1.1</f>
        <v>2.4090909090909087</v>
      </c>
      <c r="I2494" s="436"/>
      <c r="J2494" s="465">
        <v>0</v>
      </c>
      <c r="K2494" s="465">
        <v>0</v>
      </c>
    </row>
    <row r="2495" spans="2:11" ht="19" customHeight="1">
      <c r="B2495" s="464">
        <v>46071</v>
      </c>
      <c r="C2495" s="436" t="s">
        <v>251</v>
      </c>
      <c r="D2495" s="436" t="s">
        <v>265</v>
      </c>
      <c r="E2495" s="436">
        <v>2</v>
      </c>
      <c r="F2495" s="465">
        <v>2.8</v>
      </c>
      <c r="G2495" s="466">
        <v>5.6</v>
      </c>
      <c r="H2495" s="466">
        <f>G2495/1.1</f>
        <v>5.0909090909090899</v>
      </c>
      <c r="I2495" s="436"/>
      <c r="J2495" s="465">
        <v>0</v>
      </c>
      <c r="K2495" s="465">
        <v>0</v>
      </c>
    </row>
    <row r="2496" spans="2:11" ht="19" customHeight="1">
      <c r="B2496" s="464">
        <v>46071</v>
      </c>
      <c r="C2496" s="436" t="s">
        <v>264</v>
      </c>
      <c r="D2496" s="436" t="s">
        <v>930</v>
      </c>
      <c r="E2496" s="436">
        <v>1</v>
      </c>
      <c r="F2496" s="465">
        <v>3.75</v>
      </c>
      <c r="G2496" s="466">
        <v>3.75</v>
      </c>
      <c r="H2496" s="466">
        <f>G2496/1.1</f>
        <v>3.4090909090909087</v>
      </c>
      <c r="I2496" s="436"/>
      <c r="J2496" s="465">
        <v>0</v>
      </c>
      <c r="K2496" s="465">
        <v>0</v>
      </c>
    </row>
    <row r="2497" spans="2:11" ht="19" customHeight="1">
      <c r="B2497" s="464">
        <v>46071</v>
      </c>
      <c r="C2497" s="436" t="s">
        <v>326</v>
      </c>
      <c r="D2497" s="436" t="s">
        <v>1129</v>
      </c>
      <c r="E2497" s="436">
        <v>1</v>
      </c>
      <c r="F2497" s="465">
        <v>10.25</v>
      </c>
      <c r="G2497" s="466">
        <v>10.25</v>
      </c>
      <c r="H2497" s="466">
        <f>G2497/1.1</f>
        <v>9.3181818181818166</v>
      </c>
      <c r="I2497" s="436"/>
      <c r="J2497" s="465">
        <v>0</v>
      </c>
      <c r="K2497" s="465">
        <v>0</v>
      </c>
    </row>
    <row r="2498" spans="2:11" ht="19" customHeight="1">
      <c r="B2498" s="464">
        <v>46071</v>
      </c>
      <c r="C2498" s="436" t="s">
        <v>256</v>
      </c>
      <c r="D2498" s="436" t="s">
        <v>675</v>
      </c>
      <c r="E2498" s="436">
        <v>1</v>
      </c>
      <c r="F2498" s="465">
        <v>5.75</v>
      </c>
      <c r="G2498" s="466">
        <v>5.75</v>
      </c>
      <c r="H2498" s="466">
        <f>G2498/1.1</f>
        <v>5.2272727272727266</v>
      </c>
      <c r="I2498" s="436"/>
      <c r="J2498" s="465">
        <v>0</v>
      </c>
      <c r="K2498" s="465">
        <v>0</v>
      </c>
    </row>
    <row r="2499" spans="2:11" ht="19" customHeight="1">
      <c r="B2499" s="464">
        <v>46071</v>
      </c>
      <c r="C2499" s="436" t="s">
        <v>256</v>
      </c>
      <c r="D2499" s="436" t="s">
        <v>738</v>
      </c>
      <c r="E2499" s="436">
        <v>1</v>
      </c>
      <c r="F2499" s="465">
        <v>8.15</v>
      </c>
      <c r="G2499" s="466">
        <v>8.15</v>
      </c>
      <c r="H2499" s="466">
        <f>G2499/1.1</f>
        <v>7.4090909090909092</v>
      </c>
      <c r="I2499" s="436"/>
      <c r="J2499" s="465">
        <v>0</v>
      </c>
      <c r="K2499" s="465">
        <v>0</v>
      </c>
    </row>
    <row r="2500" spans="2:11" ht="19" customHeight="1">
      <c r="B2500" s="464">
        <v>46071</v>
      </c>
      <c r="C2500" s="436" t="s">
        <v>256</v>
      </c>
      <c r="D2500" s="436" t="s">
        <v>1114</v>
      </c>
      <c r="E2500" s="436">
        <v>1</v>
      </c>
      <c r="F2500" s="465">
        <v>0.25</v>
      </c>
      <c r="G2500" s="466">
        <v>0.25</v>
      </c>
      <c r="H2500" s="466">
        <f>G2500/1.1</f>
        <v>0.22727272727272727</v>
      </c>
      <c r="I2500" s="436"/>
      <c r="J2500" s="465">
        <v>0</v>
      </c>
      <c r="K2500" s="465">
        <v>0</v>
      </c>
    </row>
    <row r="2501" spans="2:11" ht="19" customHeight="1">
      <c r="B2501" s="464">
        <v>46071</v>
      </c>
      <c r="C2501" s="436" t="s">
        <v>256</v>
      </c>
      <c r="D2501" s="436" t="s">
        <v>931</v>
      </c>
      <c r="E2501" s="436">
        <v>2</v>
      </c>
      <c r="F2501" s="465">
        <v>1.7</v>
      </c>
      <c r="G2501" s="466">
        <v>3.4</v>
      </c>
      <c r="H2501" s="466">
        <f>G2501/1.1</f>
        <v>3.0909090909090904</v>
      </c>
      <c r="I2501" s="436"/>
      <c r="J2501" s="465">
        <v>0</v>
      </c>
      <c r="K2501" s="465">
        <v>0</v>
      </c>
    </row>
    <row r="2502" spans="2:11" ht="19" customHeight="1">
      <c r="B2502" s="464">
        <v>46071</v>
      </c>
      <c r="C2502" s="436" t="s">
        <v>256</v>
      </c>
      <c r="D2502" s="436" t="s">
        <v>870</v>
      </c>
      <c r="E2502" s="436">
        <v>2</v>
      </c>
      <c r="F2502" s="465">
        <v>1.7</v>
      </c>
      <c r="G2502" s="466">
        <v>3.4</v>
      </c>
      <c r="H2502" s="466">
        <f>G2502/1.1</f>
        <v>3.0909090909090904</v>
      </c>
      <c r="I2502" s="436"/>
      <c r="J2502" s="465">
        <v>0</v>
      </c>
      <c r="K2502" s="465">
        <v>0</v>
      </c>
    </row>
    <row r="2503" spans="2:11" ht="19" customHeight="1">
      <c r="B2503" s="464">
        <v>46071</v>
      </c>
      <c r="C2503" s="436" t="s">
        <v>256</v>
      </c>
      <c r="D2503" s="436" t="s">
        <v>932</v>
      </c>
      <c r="E2503" s="436">
        <v>2</v>
      </c>
      <c r="F2503" s="465">
        <v>1.7</v>
      </c>
      <c r="G2503" s="466">
        <v>3.4</v>
      </c>
      <c r="H2503" s="466">
        <f>G2503/1.1</f>
        <v>3.0909090909090904</v>
      </c>
      <c r="I2503" s="436"/>
      <c r="J2503" s="465">
        <v>0</v>
      </c>
      <c r="K2503" s="465">
        <v>0</v>
      </c>
    </row>
    <row r="2504" spans="2:11" ht="19" customHeight="1">
      <c r="B2504" s="464">
        <v>46071</v>
      </c>
      <c r="C2504" s="436" t="s">
        <v>247</v>
      </c>
      <c r="D2504" s="436" t="s">
        <v>246</v>
      </c>
      <c r="E2504" s="436">
        <v>1</v>
      </c>
      <c r="F2504" s="465">
        <v>1.7</v>
      </c>
      <c r="G2504" s="466">
        <v>1.7</v>
      </c>
      <c r="H2504" s="466">
        <f>G2504/1.1</f>
        <v>1.5454545454545452</v>
      </c>
      <c r="I2504" s="436"/>
      <c r="J2504" s="465">
        <v>0</v>
      </c>
      <c r="K2504" s="465">
        <v>0</v>
      </c>
    </row>
    <row r="2505" spans="2:11" ht="19" customHeight="1">
      <c r="B2505" s="464">
        <v>46071</v>
      </c>
      <c r="C2505" s="436" t="s">
        <v>862</v>
      </c>
      <c r="D2505" s="436" t="s">
        <v>899</v>
      </c>
      <c r="E2505" s="436">
        <v>1</v>
      </c>
      <c r="F2505" s="465">
        <v>0.05</v>
      </c>
      <c r="G2505" s="466">
        <v>0.05</v>
      </c>
      <c r="H2505" s="466">
        <f>G2505/1.1</f>
        <v>4.5454545454545456E-2</v>
      </c>
      <c r="I2505" s="436"/>
      <c r="J2505" s="465">
        <v>0</v>
      </c>
      <c r="K2505" s="465">
        <v>0</v>
      </c>
    </row>
    <row r="2506" spans="2:11" ht="19" customHeight="1">
      <c r="B2506" s="464">
        <v>46071</v>
      </c>
      <c r="C2506" s="436" t="s">
        <v>247</v>
      </c>
      <c r="D2506" s="436" t="s">
        <v>246</v>
      </c>
      <c r="E2506" s="436">
        <v>1</v>
      </c>
      <c r="F2506" s="465">
        <v>1.7</v>
      </c>
      <c r="G2506" s="466">
        <v>1.7</v>
      </c>
      <c r="H2506" s="466">
        <f>G2506/1.1</f>
        <v>1.5454545454545452</v>
      </c>
      <c r="I2506" s="436"/>
      <c r="J2506" s="465">
        <v>0</v>
      </c>
      <c r="K2506" s="465">
        <v>0</v>
      </c>
    </row>
    <row r="2507" spans="2:11" ht="19" customHeight="1">
      <c r="B2507" s="464">
        <v>46071</v>
      </c>
      <c r="C2507" s="436" t="s">
        <v>275</v>
      </c>
      <c r="D2507" s="436" t="s">
        <v>1130</v>
      </c>
      <c r="E2507" s="436">
        <v>1</v>
      </c>
      <c r="F2507" s="465">
        <v>4.75</v>
      </c>
      <c r="G2507" s="466">
        <v>4.75</v>
      </c>
      <c r="H2507" s="466">
        <f>G2507/1.1</f>
        <v>4.3181818181818175</v>
      </c>
      <c r="I2507" s="436"/>
      <c r="J2507" s="465">
        <v>0</v>
      </c>
      <c r="K2507" s="465">
        <v>0</v>
      </c>
    </row>
    <row r="2508" spans="2:11" ht="19" customHeight="1">
      <c r="B2508" s="464">
        <v>46071</v>
      </c>
      <c r="C2508" s="436" t="s">
        <v>253</v>
      </c>
      <c r="D2508" s="436" t="s">
        <v>869</v>
      </c>
      <c r="E2508" s="436">
        <v>1</v>
      </c>
      <c r="F2508" s="465">
        <v>2.5</v>
      </c>
      <c r="G2508" s="466">
        <v>2.5</v>
      </c>
      <c r="H2508" s="466">
        <f>G2508/1.1</f>
        <v>2.2727272727272725</v>
      </c>
      <c r="I2508" s="436"/>
      <c r="J2508" s="465">
        <v>0</v>
      </c>
      <c r="K2508" s="465">
        <v>0</v>
      </c>
    </row>
    <row r="2509" spans="2:11" ht="19" customHeight="1">
      <c r="B2509" s="464">
        <v>46071</v>
      </c>
      <c r="C2509" s="436" t="s">
        <v>253</v>
      </c>
      <c r="D2509" s="436" t="s">
        <v>676</v>
      </c>
      <c r="E2509" s="436">
        <v>1</v>
      </c>
      <c r="F2509" s="465">
        <v>2.95</v>
      </c>
      <c r="G2509" s="466">
        <v>2.95</v>
      </c>
      <c r="H2509" s="466">
        <f>G2509/1.1</f>
        <v>2.6818181818181817</v>
      </c>
      <c r="I2509" s="436"/>
      <c r="J2509" s="465">
        <v>0</v>
      </c>
      <c r="K2509" s="465">
        <v>0</v>
      </c>
    </row>
    <row r="2510" spans="2:11" ht="19" customHeight="1">
      <c r="B2510" s="464">
        <v>46071</v>
      </c>
      <c r="C2510" s="436" t="s">
        <v>264</v>
      </c>
      <c r="D2510" s="436" t="s">
        <v>930</v>
      </c>
      <c r="E2510" s="436">
        <v>1</v>
      </c>
      <c r="F2510" s="465">
        <v>3.5</v>
      </c>
      <c r="G2510" s="466">
        <v>3.5</v>
      </c>
      <c r="H2510" s="466">
        <f>G2510/1.1</f>
        <v>3.1818181818181817</v>
      </c>
      <c r="I2510" s="436"/>
      <c r="J2510" s="465">
        <v>0</v>
      </c>
      <c r="K2510" s="465">
        <v>0</v>
      </c>
    </row>
    <row r="2511" spans="2:11" ht="19" customHeight="1">
      <c r="B2511" s="464">
        <v>46071</v>
      </c>
      <c r="C2511" s="436" t="s">
        <v>256</v>
      </c>
      <c r="D2511" s="436" t="s">
        <v>262</v>
      </c>
      <c r="E2511" s="436">
        <v>1</v>
      </c>
      <c r="F2511" s="465">
        <v>11.9</v>
      </c>
      <c r="G2511" s="466">
        <v>11.9</v>
      </c>
      <c r="H2511" s="466">
        <f>G2511/1.1</f>
        <v>10.818181818181818</v>
      </c>
      <c r="I2511" s="436"/>
      <c r="J2511" s="465">
        <v>0</v>
      </c>
      <c r="K2511" s="465">
        <v>0</v>
      </c>
    </row>
    <row r="2512" spans="2:11" ht="19" customHeight="1">
      <c r="B2512" s="464">
        <v>46071</v>
      </c>
      <c r="C2512" s="436" t="s">
        <v>256</v>
      </c>
      <c r="D2512" s="436" t="s">
        <v>679</v>
      </c>
      <c r="E2512" s="436">
        <v>1</v>
      </c>
      <c r="F2512" s="465">
        <v>10</v>
      </c>
      <c r="G2512" s="466">
        <v>10</v>
      </c>
      <c r="H2512" s="466">
        <f>G2512/1.1</f>
        <v>9.0909090909090899</v>
      </c>
      <c r="I2512" s="436"/>
      <c r="J2512" s="465">
        <v>0</v>
      </c>
      <c r="K2512" s="465">
        <v>0</v>
      </c>
    </row>
    <row r="2513" spans="2:11" ht="19" customHeight="1">
      <c r="B2513" s="464">
        <v>46071</v>
      </c>
      <c r="C2513" s="436" t="s">
        <v>247</v>
      </c>
      <c r="D2513" s="436" t="s">
        <v>246</v>
      </c>
      <c r="E2513" s="436">
        <v>2</v>
      </c>
      <c r="F2513" s="465">
        <v>1.85</v>
      </c>
      <c r="G2513" s="466">
        <v>3.7</v>
      </c>
      <c r="H2513" s="466">
        <f>G2513/1.1</f>
        <v>3.3636363636363633</v>
      </c>
      <c r="I2513" s="436"/>
      <c r="J2513" s="465">
        <v>0</v>
      </c>
      <c r="K2513" s="465">
        <v>0</v>
      </c>
    </row>
    <row r="2514" spans="2:11" ht="19" customHeight="1">
      <c r="B2514" s="464">
        <v>46071</v>
      </c>
      <c r="C2514" s="436" t="s">
        <v>251</v>
      </c>
      <c r="D2514" s="436" t="s">
        <v>1131</v>
      </c>
      <c r="E2514" s="436">
        <v>1</v>
      </c>
      <c r="F2514" s="465">
        <v>2.2000000000000002</v>
      </c>
      <c r="G2514" s="466">
        <v>2.2000000000000002</v>
      </c>
      <c r="H2514" s="466">
        <f>G2514/1.1</f>
        <v>2</v>
      </c>
      <c r="I2514" s="436"/>
      <c r="J2514" s="465">
        <v>0</v>
      </c>
      <c r="K2514" s="465">
        <v>0</v>
      </c>
    </row>
    <row r="2515" spans="2:11" ht="19" customHeight="1">
      <c r="B2515" s="464">
        <v>46071</v>
      </c>
      <c r="C2515" s="436" t="s">
        <v>253</v>
      </c>
      <c r="D2515" s="436" t="s">
        <v>687</v>
      </c>
      <c r="E2515" s="436">
        <v>1</v>
      </c>
      <c r="F2515" s="465">
        <v>3.1</v>
      </c>
      <c r="G2515" s="466">
        <v>3.1</v>
      </c>
      <c r="H2515" s="466">
        <f>G2515/1.1</f>
        <v>2.8181818181818179</v>
      </c>
      <c r="I2515" s="436"/>
      <c r="J2515" s="465">
        <v>0</v>
      </c>
      <c r="K2515" s="465">
        <v>0</v>
      </c>
    </row>
    <row r="2516" spans="2:11" ht="19" customHeight="1">
      <c r="B2516" s="464">
        <v>46072</v>
      </c>
      <c r="C2516" s="436" t="s">
        <v>254</v>
      </c>
      <c r="D2516" s="436" t="s">
        <v>254</v>
      </c>
      <c r="E2516" s="436">
        <v>1</v>
      </c>
      <c r="F2516" s="465">
        <v>14.9</v>
      </c>
      <c r="G2516" s="466">
        <v>14.9</v>
      </c>
      <c r="H2516" s="466">
        <f>G2516/1.1</f>
        <v>13.545454545454545</v>
      </c>
      <c r="I2516" s="436"/>
      <c r="J2516" s="465">
        <v>0</v>
      </c>
      <c r="K2516" s="465">
        <v>0</v>
      </c>
    </row>
    <row r="2517" spans="2:11" ht="19" customHeight="1">
      <c r="B2517" s="464">
        <v>46072</v>
      </c>
      <c r="C2517" s="436" t="s">
        <v>873</v>
      </c>
      <c r="D2517" s="436" t="s">
        <v>1132</v>
      </c>
      <c r="E2517" s="436">
        <v>1</v>
      </c>
      <c r="F2517" s="469"/>
      <c r="G2517" s="468" t="s">
        <v>875</v>
      </c>
      <c r="H2517" s="466" t="e">
        <f>G2517/1.1</f>
        <v>#VALUE!</v>
      </c>
      <c r="I2517" s="436"/>
      <c r="J2517" s="465">
        <v>0</v>
      </c>
      <c r="K2517" s="465">
        <v>0</v>
      </c>
    </row>
    <row r="2518" spans="2:11" ht="19" customHeight="1">
      <c r="B2518" s="464">
        <v>46072</v>
      </c>
      <c r="C2518" s="436" t="s">
        <v>877</v>
      </c>
      <c r="D2518" s="436" t="s">
        <v>1122</v>
      </c>
      <c r="E2518" s="436">
        <v>1</v>
      </c>
      <c r="F2518" s="469"/>
      <c r="G2518" s="468" t="s">
        <v>875</v>
      </c>
      <c r="H2518" s="466" t="e">
        <f>G2518/1.1</f>
        <v>#VALUE!</v>
      </c>
      <c r="I2518" s="436"/>
      <c r="J2518" s="465">
        <v>0</v>
      </c>
      <c r="K2518" s="465">
        <v>0</v>
      </c>
    </row>
    <row r="2519" spans="2:11" ht="19" customHeight="1">
      <c r="B2519" s="464">
        <v>46072</v>
      </c>
      <c r="C2519" s="436" t="s">
        <v>266</v>
      </c>
      <c r="D2519" s="436" t="s">
        <v>1066</v>
      </c>
      <c r="E2519" s="436">
        <v>1</v>
      </c>
      <c r="F2519" s="469"/>
      <c r="G2519" s="468" t="s">
        <v>875</v>
      </c>
      <c r="H2519" s="466" t="e">
        <f>G2519/1.1</f>
        <v>#VALUE!</v>
      </c>
      <c r="I2519" s="436"/>
      <c r="J2519" s="465">
        <v>0</v>
      </c>
      <c r="K2519" s="465">
        <v>0</v>
      </c>
    </row>
    <row r="2520" spans="2:11" ht="19" customHeight="1">
      <c r="B2520" s="464">
        <v>46072</v>
      </c>
      <c r="C2520" s="436" t="s">
        <v>258</v>
      </c>
      <c r="D2520" s="436" t="s">
        <v>1058</v>
      </c>
      <c r="E2520" s="436">
        <v>1</v>
      </c>
      <c r="F2520" s="469"/>
      <c r="G2520" s="468" t="s">
        <v>875</v>
      </c>
      <c r="H2520" s="466" t="e">
        <f>G2520/1.1</f>
        <v>#VALUE!</v>
      </c>
      <c r="I2520" s="436"/>
      <c r="J2520" s="465">
        <v>0</v>
      </c>
      <c r="K2520" s="465">
        <v>0</v>
      </c>
    </row>
    <row r="2521" spans="2:11" ht="19" customHeight="1">
      <c r="B2521" s="464">
        <v>46072</v>
      </c>
      <c r="C2521" s="436" t="s">
        <v>247</v>
      </c>
      <c r="D2521" s="436" t="s">
        <v>257</v>
      </c>
      <c r="E2521" s="436">
        <v>1</v>
      </c>
      <c r="F2521" s="465">
        <v>1.55</v>
      </c>
      <c r="G2521" s="466">
        <v>1.55</v>
      </c>
      <c r="H2521" s="466">
        <f>G2521/1.1</f>
        <v>1.4090909090909089</v>
      </c>
      <c r="I2521" s="436"/>
      <c r="J2521" s="465">
        <v>0</v>
      </c>
      <c r="K2521" s="465">
        <v>0</v>
      </c>
    </row>
    <row r="2522" spans="2:11" ht="19" customHeight="1">
      <c r="B2522" s="464">
        <v>46072</v>
      </c>
      <c r="C2522" s="436" t="s">
        <v>254</v>
      </c>
      <c r="D2522" s="436" t="s">
        <v>254</v>
      </c>
      <c r="E2522" s="436">
        <v>4</v>
      </c>
      <c r="F2522" s="465">
        <v>14.9</v>
      </c>
      <c r="G2522" s="466">
        <v>59.6</v>
      </c>
      <c r="H2522" s="466">
        <f>G2522/1.1</f>
        <v>54.18181818181818</v>
      </c>
      <c r="I2522" s="436"/>
      <c r="J2522" s="465">
        <v>0</v>
      </c>
      <c r="K2522" s="465">
        <v>0</v>
      </c>
    </row>
    <row r="2523" spans="2:11" ht="19" customHeight="1">
      <c r="B2523" s="464">
        <v>46072</v>
      </c>
      <c r="C2523" s="436" t="s">
        <v>873</v>
      </c>
      <c r="D2523" s="436" t="s">
        <v>970</v>
      </c>
      <c r="E2523" s="436">
        <v>3</v>
      </c>
      <c r="F2523" s="469"/>
      <c r="G2523" s="468" t="s">
        <v>875</v>
      </c>
      <c r="H2523" s="466" t="e">
        <f>G2523/1.1</f>
        <v>#VALUE!</v>
      </c>
      <c r="I2523" s="436"/>
      <c r="J2523" s="465">
        <v>0</v>
      </c>
      <c r="K2523" s="465">
        <v>0</v>
      </c>
    </row>
    <row r="2524" spans="2:11" ht="19" customHeight="1">
      <c r="B2524" s="464">
        <v>46072</v>
      </c>
      <c r="C2524" s="436" t="s">
        <v>873</v>
      </c>
      <c r="D2524" s="436" t="s">
        <v>726</v>
      </c>
      <c r="E2524" s="436">
        <v>1</v>
      </c>
      <c r="F2524" s="465">
        <v>3</v>
      </c>
      <c r="G2524" s="466">
        <v>3</v>
      </c>
      <c r="H2524" s="466">
        <f>G2524/1.1</f>
        <v>2.7272727272727271</v>
      </c>
      <c r="I2524" s="436"/>
      <c r="J2524" s="465">
        <v>0</v>
      </c>
      <c r="K2524" s="465">
        <v>0</v>
      </c>
    </row>
    <row r="2525" spans="2:11" ht="19" customHeight="1">
      <c r="B2525" s="464">
        <v>46072</v>
      </c>
      <c r="C2525" s="436" t="s">
        <v>877</v>
      </c>
      <c r="D2525" s="436" t="s">
        <v>1122</v>
      </c>
      <c r="E2525" s="436">
        <v>2</v>
      </c>
      <c r="F2525" s="469"/>
      <c r="G2525" s="468" t="s">
        <v>875</v>
      </c>
      <c r="H2525" s="466" t="e">
        <f>G2525/1.1</f>
        <v>#VALUE!</v>
      </c>
      <c r="I2525" s="436"/>
      <c r="J2525" s="465">
        <v>0</v>
      </c>
      <c r="K2525" s="465">
        <v>0</v>
      </c>
    </row>
    <row r="2526" spans="2:11" ht="19" customHeight="1">
      <c r="B2526" s="464">
        <v>46072</v>
      </c>
      <c r="C2526" s="436" t="s">
        <v>877</v>
      </c>
      <c r="D2526" s="436" t="s">
        <v>1123</v>
      </c>
      <c r="E2526" s="436">
        <v>2</v>
      </c>
      <c r="F2526" s="469"/>
      <c r="G2526" s="468" t="s">
        <v>875</v>
      </c>
      <c r="H2526" s="466" t="e">
        <f>G2526/1.1</f>
        <v>#VALUE!</v>
      </c>
      <c r="I2526" s="436"/>
      <c r="J2526" s="465">
        <v>0</v>
      </c>
      <c r="K2526" s="465">
        <v>0</v>
      </c>
    </row>
    <row r="2527" spans="2:11" ht="19" customHeight="1">
      <c r="B2527" s="464">
        <v>46072</v>
      </c>
      <c r="C2527" s="436" t="s">
        <v>266</v>
      </c>
      <c r="D2527" s="436" t="s">
        <v>250</v>
      </c>
      <c r="E2527" s="436">
        <v>2</v>
      </c>
      <c r="F2527" s="469"/>
      <c r="G2527" s="468" t="s">
        <v>875</v>
      </c>
      <c r="H2527" s="466" t="e">
        <f>G2527/1.1</f>
        <v>#VALUE!</v>
      </c>
      <c r="I2527" s="436"/>
      <c r="J2527" s="465">
        <v>0</v>
      </c>
      <c r="K2527" s="465">
        <v>0</v>
      </c>
    </row>
    <row r="2528" spans="2:11" ht="19" customHeight="1">
      <c r="B2528" s="464">
        <v>46072</v>
      </c>
      <c r="C2528" s="436" t="s">
        <v>266</v>
      </c>
      <c r="D2528" s="436" t="s">
        <v>708</v>
      </c>
      <c r="E2528" s="436">
        <v>2</v>
      </c>
      <c r="F2528" s="469"/>
      <c r="G2528" s="468" t="s">
        <v>875</v>
      </c>
      <c r="H2528" s="466" t="e">
        <f>G2528/1.1</f>
        <v>#VALUE!</v>
      </c>
      <c r="I2528" s="436"/>
      <c r="J2528" s="465">
        <v>0</v>
      </c>
      <c r="K2528" s="465">
        <v>0</v>
      </c>
    </row>
    <row r="2529" spans="2:11" ht="19" customHeight="1">
      <c r="B2529" s="464">
        <v>46072</v>
      </c>
      <c r="C2529" s="436" t="s">
        <v>258</v>
      </c>
      <c r="D2529" s="436" t="s">
        <v>1050</v>
      </c>
      <c r="E2529" s="436">
        <v>1</v>
      </c>
      <c r="F2529" s="469"/>
      <c r="G2529" s="468" t="s">
        <v>875</v>
      </c>
      <c r="H2529" s="466" t="e">
        <f>G2529/1.1</f>
        <v>#VALUE!</v>
      </c>
      <c r="I2529" s="436"/>
      <c r="J2529" s="465">
        <v>0</v>
      </c>
      <c r="K2529" s="465">
        <v>0</v>
      </c>
    </row>
    <row r="2530" spans="2:11" ht="19" customHeight="1">
      <c r="B2530" s="464">
        <v>46072</v>
      </c>
      <c r="C2530" s="436" t="s">
        <v>258</v>
      </c>
      <c r="D2530" s="436" t="s">
        <v>1077</v>
      </c>
      <c r="E2530" s="436">
        <v>1</v>
      </c>
      <c r="F2530" s="465">
        <v>3</v>
      </c>
      <c r="G2530" s="466">
        <v>3</v>
      </c>
      <c r="H2530" s="466">
        <f>G2530/1.1</f>
        <v>2.7272727272727271</v>
      </c>
      <c r="I2530" s="436"/>
      <c r="J2530" s="465">
        <v>0</v>
      </c>
      <c r="K2530" s="465">
        <v>0</v>
      </c>
    </row>
    <row r="2531" spans="2:11" ht="19" customHeight="1">
      <c r="B2531" s="464">
        <v>46072</v>
      </c>
      <c r="C2531" s="436" t="s">
        <v>258</v>
      </c>
      <c r="D2531" s="436" t="s">
        <v>1028</v>
      </c>
      <c r="E2531" s="436">
        <v>1</v>
      </c>
      <c r="F2531" s="469"/>
      <c r="G2531" s="468" t="s">
        <v>875</v>
      </c>
      <c r="H2531" s="466" t="e">
        <f>G2531/1.1</f>
        <v>#VALUE!</v>
      </c>
      <c r="I2531" s="436"/>
      <c r="J2531" s="465">
        <v>0</v>
      </c>
      <c r="K2531" s="465">
        <v>0</v>
      </c>
    </row>
    <row r="2532" spans="2:11" ht="19" customHeight="1">
      <c r="B2532" s="464">
        <v>46072</v>
      </c>
      <c r="C2532" s="436" t="s">
        <v>258</v>
      </c>
      <c r="D2532" s="436" t="s">
        <v>257</v>
      </c>
      <c r="E2532" s="436">
        <v>1</v>
      </c>
      <c r="F2532" s="469"/>
      <c r="G2532" s="468" t="s">
        <v>875</v>
      </c>
      <c r="H2532" s="466" t="e">
        <f>G2532/1.1</f>
        <v>#VALUE!</v>
      </c>
      <c r="I2532" s="436"/>
      <c r="J2532" s="465">
        <v>0</v>
      </c>
      <c r="K2532" s="465">
        <v>0</v>
      </c>
    </row>
    <row r="2533" spans="2:11" ht="19" customHeight="1">
      <c r="B2533" s="464">
        <v>46072</v>
      </c>
      <c r="C2533" s="436" t="s">
        <v>254</v>
      </c>
      <c r="D2533" s="436" t="s">
        <v>254</v>
      </c>
      <c r="E2533" s="436">
        <v>2</v>
      </c>
      <c r="F2533" s="465">
        <v>14.9</v>
      </c>
      <c r="G2533" s="466">
        <v>29.8</v>
      </c>
      <c r="H2533" s="466">
        <f>G2533/1.1</f>
        <v>27.09090909090909</v>
      </c>
      <c r="I2533" s="436"/>
      <c r="J2533" s="465">
        <v>0</v>
      </c>
      <c r="K2533" s="465">
        <v>0</v>
      </c>
    </row>
    <row r="2534" spans="2:11" ht="19" customHeight="1">
      <c r="B2534" s="464">
        <v>46072</v>
      </c>
      <c r="C2534" s="436" t="s">
        <v>873</v>
      </c>
      <c r="D2534" s="436" t="s">
        <v>1132</v>
      </c>
      <c r="E2534" s="436">
        <v>2</v>
      </c>
      <c r="F2534" s="469"/>
      <c r="G2534" s="468" t="s">
        <v>875</v>
      </c>
      <c r="H2534" s="466" t="e">
        <f>G2534/1.1</f>
        <v>#VALUE!</v>
      </c>
      <c r="I2534" s="436"/>
      <c r="J2534" s="465">
        <v>0</v>
      </c>
      <c r="K2534" s="465">
        <v>0</v>
      </c>
    </row>
    <row r="2535" spans="2:11" ht="19" customHeight="1">
      <c r="B2535" s="464">
        <v>46072</v>
      </c>
      <c r="C2535" s="436" t="s">
        <v>877</v>
      </c>
      <c r="D2535" s="436" t="s">
        <v>1122</v>
      </c>
      <c r="E2535" s="436">
        <v>2</v>
      </c>
      <c r="F2535" s="469"/>
      <c r="G2535" s="468" t="s">
        <v>875</v>
      </c>
      <c r="H2535" s="466" t="e">
        <f>G2535/1.1</f>
        <v>#VALUE!</v>
      </c>
      <c r="I2535" s="436"/>
      <c r="J2535" s="465">
        <v>0</v>
      </c>
      <c r="K2535" s="465">
        <v>0</v>
      </c>
    </row>
    <row r="2536" spans="2:11" ht="19" customHeight="1">
      <c r="B2536" s="464">
        <v>46072</v>
      </c>
      <c r="C2536" s="436" t="s">
        <v>266</v>
      </c>
      <c r="D2536" s="436" t="s">
        <v>250</v>
      </c>
      <c r="E2536" s="436">
        <v>2</v>
      </c>
      <c r="F2536" s="469"/>
      <c r="G2536" s="468" t="s">
        <v>875</v>
      </c>
      <c r="H2536" s="466" t="e">
        <f>G2536/1.1</f>
        <v>#VALUE!</v>
      </c>
      <c r="I2536" s="436"/>
      <c r="J2536" s="465">
        <v>0</v>
      </c>
      <c r="K2536" s="465">
        <v>0</v>
      </c>
    </row>
    <row r="2537" spans="2:11" ht="19" customHeight="1">
      <c r="B2537" s="464">
        <v>46072</v>
      </c>
      <c r="C2537" s="436" t="s">
        <v>258</v>
      </c>
      <c r="D2537" s="436" t="s">
        <v>936</v>
      </c>
      <c r="E2537" s="436">
        <v>2</v>
      </c>
      <c r="F2537" s="469"/>
      <c r="G2537" s="468" t="s">
        <v>875</v>
      </c>
      <c r="H2537" s="466" t="e">
        <f>G2537/1.1</f>
        <v>#VALUE!</v>
      </c>
      <c r="I2537" s="436"/>
      <c r="J2537" s="465">
        <v>0</v>
      </c>
      <c r="K2537" s="465">
        <v>0</v>
      </c>
    </row>
    <row r="2538" spans="2:11" ht="19" customHeight="1">
      <c r="B2538" s="464">
        <v>46072</v>
      </c>
      <c r="C2538" s="436" t="s">
        <v>254</v>
      </c>
      <c r="D2538" s="436" t="s">
        <v>254</v>
      </c>
      <c r="E2538" s="436">
        <v>1</v>
      </c>
      <c r="F2538" s="465">
        <v>14.9</v>
      </c>
      <c r="G2538" s="466">
        <v>14.9</v>
      </c>
      <c r="H2538" s="466">
        <f>G2538/1.1</f>
        <v>13.545454545454545</v>
      </c>
      <c r="I2538" s="436"/>
      <c r="J2538" s="465">
        <v>0</v>
      </c>
      <c r="K2538" s="465">
        <v>0</v>
      </c>
    </row>
    <row r="2539" spans="2:11" ht="19" customHeight="1">
      <c r="B2539" s="464">
        <v>46072</v>
      </c>
      <c r="C2539" s="436" t="s">
        <v>873</v>
      </c>
      <c r="D2539" s="436" t="s">
        <v>1133</v>
      </c>
      <c r="E2539" s="436">
        <v>1</v>
      </c>
      <c r="F2539" s="469"/>
      <c r="G2539" s="468" t="s">
        <v>875</v>
      </c>
      <c r="H2539" s="466" t="e">
        <f>G2539/1.1</f>
        <v>#VALUE!</v>
      </c>
      <c r="I2539" s="436"/>
      <c r="J2539" s="465">
        <v>0</v>
      </c>
      <c r="K2539" s="465">
        <v>0</v>
      </c>
    </row>
    <row r="2540" spans="2:11" ht="19" customHeight="1">
      <c r="B2540" s="464">
        <v>46072</v>
      </c>
      <c r="C2540" s="436" t="s">
        <v>877</v>
      </c>
      <c r="D2540" s="436" t="s">
        <v>1122</v>
      </c>
      <c r="E2540" s="436">
        <v>1</v>
      </c>
      <c r="F2540" s="469"/>
      <c r="G2540" s="468" t="s">
        <v>875</v>
      </c>
      <c r="H2540" s="466" t="e">
        <f>G2540/1.1</f>
        <v>#VALUE!</v>
      </c>
      <c r="I2540" s="436"/>
      <c r="J2540" s="465">
        <v>0</v>
      </c>
      <c r="K2540" s="465">
        <v>0</v>
      </c>
    </row>
    <row r="2541" spans="2:11" ht="19" customHeight="1">
      <c r="B2541" s="464">
        <v>46072</v>
      </c>
      <c r="C2541" s="436" t="s">
        <v>266</v>
      </c>
      <c r="D2541" s="436" t="s">
        <v>250</v>
      </c>
      <c r="E2541" s="436">
        <v>1</v>
      </c>
      <c r="F2541" s="469"/>
      <c r="G2541" s="468" t="s">
        <v>875</v>
      </c>
      <c r="H2541" s="466" t="e">
        <f>G2541/1.1</f>
        <v>#VALUE!</v>
      </c>
      <c r="I2541" s="436"/>
      <c r="J2541" s="465">
        <v>0</v>
      </c>
      <c r="K2541" s="465">
        <v>0</v>
      </c>
    </row>
    <row r="2542" spans="2:11" ht="19" customHeight="1">
      <c r="B2542" s="464">
        <v>46072</v>
      </c>
      <c r="C2542" s="436" t="s">
        <v>258</v>
      </c>
      <c r="D2542" s="436" t="s">
        <v>972</v>
      </c>
      <c r="E2542" s="436">
        <v>1</v>
      </c>
      <c r="F2542" s="469"/>
      <c r="G2542" s="468" t="s">
        <v>875</v>
      </c>
      <c r="H2542" s="466" t="e">
        <f>G2542/1.1</f>
        <v>#VALUE!</v>
      </c>
      <c r="I2542" s="436"/>
      <c r="J2542" s="465">
        <v>0</v>
      </c>
      <c r="K2542" s="465">
        <v>0</v>
      </c>
    </row>
    <row r="2543" spans="2:11" ht="19" customHeight="1">
      <c r="B2543" s="464">
        <v>46072</v>
      </c>
      <c r="C2543" s="436" t="s">
        <v>254</v>
      </c>
      <c r="D2543" s="436" t="s">
        <v>254</v>
      </c>
      <c r="E2543" s="436">
        <v>3</v>
      </c>
      <c r="F2543" s="465">
        <v>14.9</v>
      </c>
      <c r="G2543" s="466">
        <v>44.7</v>
      </c>
      <c r="H2543" s="466">
        <f>G2543/1.1</f>
        <v>40.636363636363633</v>
      </c>
      <c r="I2543" s="436"/>
      <c r="J2543" s="465">
        <v>0</v>
      </c>
      <c r="K2543" s="465">
        <v>0</v>
      </c>
    </row>
    <row r="2544" spans="2:11" ht="19" customHeight="1">
      <c r="B2544" s="464">
        <v>46072</v>
      </c>
      <c r="C2544" s="436" t="s">
        <v>873</v>
      </c>
      <c r="D2544" s="436" t="s">
        <v>1132</v>
      </c>
      <c r="E2544" s="436">
        <v>1</v>
      </c>
      <c r="F2544" s="469"/>
      <c r="G2544" s="468" t="s">
        <v>875</v>
      </c>
      <c r="H2544" s="466" t="e">
        <f>G2544/1.1</f>
        <v>#VALUE!</v>
      </c>
      <c r="I2544" s="436"/>
      <c r="J2544" s="465">
        <v>0</v>
      </c>
      <c r="K2544" s="465">
        <v>0</v>
      </c>
    </row>
    <row r="2545" spans="2:11" ht="19" customHeight="1">
      <c r="B2545" s="464">
        <v>46072</v>
      </c>
      <c r="C2545" s="436" t="s">
        <v>873</v>
      </c>
      <c r="D2545" s="436" t="s">
        <v>970</v>
      </c>
      <c r="E2545" s="436">
        <v>1</v>
      </c>
      <c r="F2545" s="469"/>
      <c r="G2545" s="468" t="s">
        <v>875</v>
      </c>
      <c r="H2545" s="466" t="e">
        <f>G2545/1.1</f>
        <v>#VALUE!</v>
      </c>
      <c r="I2545" s="436"/>
      <c r="J2545" s="465">
        <v>0</v>
      </c>
      <c r="K2545" s="465">
        <v>0</v>
      </c>
    </row>
    <row r="2546" spans="2:11" ht="19" customHeight="1">
      <c r="B2546" s="464">
        <v>46072</v>
      </c>
      <c r="C2546" s="436" t="s">
        <v>873</v>
      </c>
      <c r="D2546" s="436" t="s">
        <v>1127</v>
      </c>
      <c r="E2546" s="436">
        <v>1</v>
      </c>
      <c r="F2546" s="465">
        <v>5</v>
      </c>
      <c r="G2546" s="466">
        <v>5</v>
      </c>
      <c r="H2546" s="466">
        <f>G2546/1.1</f>
        <v>4.545454545454545</v>
      </c>
      <c r="I2546" s="436"/>
      <c r="J2546" s="465">
        <v>0</v>
      </c>
      <c r="K2546" s="465">
        <v>0</v>
      </c>
    </row>
    <row r="2547" spans="2:11" ht="19" customHeight="1">
      <c r="B2547" s="464">
        <v>46072</v>
      </c>
      <c r="C2547" s="436" t="s">
        <v>877</v>
      </c>
      <c r="D2547" s="436" t="s">
        <v>1122</v>
      </c>
      <c r="E2547" s="436">
        <v>1</v>
      </c>
      <c r="F2547" s="469"/>
      <c r="G2547" s="468" t="s">
        <v>875</v>
      </c>
      <c r="H2547" s="466" t="e">
        <f>G2547/1.1</f>
        <v>#VALUE!</v>
      </c>
      <c r="I2547" s="436"/>
      <c r="J2547" s="465">
        <v>0</v>
      </c>
      <c r="K2547" s="465">
        <v>0</v>
      </c>
    </row>
    <row r="2548" spans="2:11" ht="19" customHeight="1">
      <c r="B2548" s="464">
        <v>46072</v>
      </c>
      <c r="C2548" s="436" t="s">
        <v>877</v>
      </c>
      <c r="D2548" s="436" t="s">
        <v>1123</v>
      </c>
      <c r="E2548" s="436">
        <v>1</v>
      </c>
      <c r="F2548" s="469"/>
      <c r="G2548" s="468" t="s">
        <v>875</v>
      </c>
      <c r="H2548" s="466" t="e">
        <f>G2548/1.1</f>
        <v>#VALUE!</v>
      </c>
      <c r="I2548" s="436"/>
      <c r="J2548" s="465">
        <v>0</v>
      </c>
      <c r="K2548" s="465">
        <v>0</v>
      </c>
    </row>
    <row r="2549" spans="2:11" ht="19" customHeight="1">
      <c r="B2549" s="464">
        <v>46072</v>
      </c>
      <c r="C2549" s="436" t="s">
        <v>877</v>
      </c>
      <c r="D2549" s="436" t="s">
        <v>1124</v>
      </c>
      <c r="E2549" s="436">
        <v>1</v>
      </c>
      <c r="F2549" s="469"/>
      <c r="G2549" s="468" t="s">
        <v>875</v>
      </c>
      <c r="H2549" s="466" t="e">
        <f>G2549/1.1</f>
        <v>#VALUE!</v>
      </c>
      <c r="I2549" s="436"/>
      <c r="J2549" s="465">
        <v>0</v>
      </c>
      <c r="K2549" s="465">
        <v>0</v>
      </c>
    </row>
    <row r="2550" spans="2:11" ht="19" customHeight="1">
      <c r="B2550" s="464">
        <v>46072</v>
      </c>
      <c r="C2550" s="436" t="s">
        <v>266</v>
      </c>
      <c r="D2550" s="436" t="s">
        <v>265</v>
      </c>
      <c r="E2550" s="436">
        <v>1</v>
      </c>
      <c r="F2550" s="465">
        <v>1</v>
      </c>
      <c r="G2550" s="466">
        <v>1</v>
      </c>
      <c r="H2550" s="466">
        <f>G2550/1.1</f>
        <v>0.90909090909090906</v>
      </c>
      <c r="I2550" s="436"/>
      <c r="J2550" s="465">
        <v>0</v>
      </c>
      <c r="K2550" s="465">
        <v>0</v>
      </c>
    </row>
    <row r="2551" spans="2:11" ht="19" customHeight="1">
      <c r="B2551" s="464">
        <v>46072</v>
      </c>
      <c r="C2551" s="436" t="s">
        <v>266</v>
      </c>
      <c r="D2551" s="436" t="s">
        <v>1066</v>
      </c>
      <c r="E2551" s="436">
        <v>2</v>
      </c>
      <c r="F2551" s="469"/>
      <c r="G2551" s="468" t="s">
        <v>875</v>
      </c>
      <c r="H2551" s="466" t="e">
        <f>G2551/1.1</f>
        <v>#VALUE!</v>
      </c>
      <c r="I2551" s="436"/>
      <c r="J2551" s="465">
        <v>0</v>
      </c>
      <c r="K2551" s="465">
        <v>0</v>
      </c>
    </row>
    <row r="2552" spans="2:11" ht="19" customHeight="1">
      <c r="B2552" s="464">
        <v>46072</v>
      </c>
      <c r="C2552" s="436" t="s">
        <v>258</v>
      </c>
      <c r="D2552" s="436" t="s">
        <v>917</v>
      </c>
      <c r="E2552" s="436">
        <v>2</v>
      </c>
      <c r="F2552" s="469"/>
      <c r="G2552" s="468" t="s">
        <v>875</v>
      </c>
      <c r="H2552" s="466" t="e">
        <f>G2552/1.1</f>
        <v>#VALUE!</v>
      </c>
      <c r="I2552" s="436"/>
      <c r="J2552" s="465">
        <v>0</v>
      </c>
      <c r="K2552" s="465">
        <v>0</v>
      </c>
    </row>
    <row r="2553" spans="2:11" ht="19" customHeight="1">
      <c r="B2553" s="464">
        <v>46072</v>
      </c>
      <c r="C2553" s="436" t="s">
        <v>258</v>
      </c>
      <c r="D2553" s="436" t="s">
        <v>882</v>
      </c>
      <c r="E2553" s="436">
        <v>1</v>
      </c>
      <c r="F2553" s="469"/>
      <c r="G2553" s="468" t="s">
        <v>875</v>
      </c>
      <c r="H2553" s="466" t="e">
        <f>G2553/1.1</f>
        <v>#VALUE!</v>
      </c>
      <c r="I2553" s="436"/>
      <c r="J2553" s="465">
        <v>0</v>
      </c>
      <c r="K2553" s="465">
        <v>0</v>
      </c>
    </row>
    <row r="2554" spans="2:11" ht="19" customHeight="1">
      <c r="B2554" s="464">
        <v>46072</v>
      </c>
      <c r="C2554" s="436" t="s">
        <v>253</v>
      </c>
      <c r="D2554" s="436" t="s">
        <v>687</v>
      </c>
      <c r="E2554" s="436">
        <v>1</v>
      </c>
      <c r="F2554" s="465">
        <v>2.95</v>
      </c>
      <c r="G2554" s="466">
        <v>2.95</v>
      </c>
      <c r="H2554" s="466">
        <f>G2554/1.1</f>
        <v>2.6818181818181817</v>
      </c>
      <c r="I2554" s="436"/>
      <c r="J2554" s="465">
        <v>0</v>
      </c>
      <c r="K2554" s="465">
        <v>0</v>
      </c>
    </row>
    <row r="2555" spans="2:11" ht="19" customHeight="1">
      <c r="B2555" s="464">
        <v>46072</v>
      </c>
      <c r="C2555" s="436" t="s">
        <v>247</v>
      </c>
      <c r="D2555" s="436" t="s">
        <v>248</v>
      </c>
      <c r="E2555" s="436">
        <v>1</v>
      </c>
      <c r="F2555" s="465">
        <v>1.5</v>
      </c>
      <c r="G2555" s="466">
        <v>1.5</v>
      </c>
      <c r="H2555" s="466">
        <f>G2555/1.1</f>
        <v>1.3636363636363635</v>
      </c>
      <c r="I2555" s="436"/>
      <c r="J2555" s="465">
        <v>0</v>
      </c>
      <c r="K2555" s="465">
        <v>0</v>
      </c>
    </row>
    <row r="2556" spans="2:11" ht="19" customHeight="1">
      <c r="B2556" s="464">
        <v>46072</v>
      </c>
      <c r="C2556" s="436" t="s">
        <v>247</v>
      </c>
      <c r="D2556" s="436" t="s">
        <v>246</v>
      </c>
      <c r="E2556" s="436">
        <v>1</v>
      </c>
      <c r="F2556" s="465">
        <v>1.7</v>
      </c>
      <c r="G2556" s="466">
        <v>1.7</v>
      </c>
      <c r="H2556" s="466">
        <f>G2556/1.1</f>
        <v>1.5454545454545452</v>
      </c>
      <c r="I2556" s="436"/>
      <c r="J2556" s="465">
        <v>0</v>
      </c>
      <c r="K2556" s="465">
        <v>0</v>
      </c>
    </row>
    <row r="2557" spans="2:11" ht="19" customHeight="1">
      <c r="B2557" s="464">
        <v>46072</v>
      </c>
      <c r="C2557" s="436" t="s">
        <v>251</v>
      </c>
      <c r="D2557" s="436" t="s">
        <v>742</v>
      </c>
      <c r="E2557" s="436">
        <v>1</v>
      </c>
      <c r="F2557" s="465">
        <v>2.75</v>
      </c>
      <c r="G2557" s="466">
        <v>2.75</v>
      </c>
      <c r="H2557" s="466">
        <f>G2557/1.1</f>
        <v>2.5</v>
      </c>
      <c r="I2557" s="436"/>
      <c r="J2557" s="465">
        <v>0</v>
      </c>
      <c r="K2557" s="465">
        <v>0</v>
      </c>
    </row>
    <row r="2558" spans="2:11" ht="19" customHeight="1">
      <c r="B2558" s="464">
        <v>46072</v>
      </c>
      <c r="C2558" s="436" t="s">
        <v>327</v>
      </c>
      <c r="D2558" s="436" t="s">
        <v>723</v>
      </c>
      <c r="E2558" s="436">
        <v>1</v>
      </c>
      <c r="F2558" s="465">
        <v>3.1</v>
      </c>
      <c r="G2558" s="466">
        <v>3.1</v>
      </c>
      <c r="H2558" s="466">
        <f>G2558/1.1</f>
        <v>2.8181818181818179</v>
      </c>
      <c r="I2558" s="436"/>
      <c r="J2558" s="465">
        <v>0</v>
      </c>
      <c r="K2558" s="465">
        <v>0</v>
      </c>
    </row>
    <row r="2559" spans="2:11" ht="19" customHeight="1">
      <c r="B2559" s="464">
        <v>46072</v>
      </c>
      <c r="C2559" s="436" t="s">
        <v>328</v>
      </c>
      <c r="D2559" s="436" t="s">
        <v>776</v>
      </c>
      <c r="E2559" s="436">
        <v>1</v>
      </c>
      <c r="F2559" s="465">
        <v>8.9</v>
      </c>
      <c r="G2559" s="466">
        <v>8.9</v>
      </c>
      <c r="H2559" s="466">
        <f>G2559/1.1</f>
        <v>8.0909090909090899</v>
      </c>
      <c r="I2559" s="436"/>
      <c r="J2559" s="465">
        <v>0</v>
      </c>
      <c r="K2559" s="465">
        <v>0</v>
      </c>
    </row>
    <row r="2560" spans="2:11" ht="19" customHeight="1">
      <c r="B2560" s="464">
        <v>46072</v>
      </c>
      <c r="C2560" s="436" t="s">
        <v>247</v>
      </c>
      <c r="D2560" s="436" t="s">
        <v>248</v>
      </c>
      <c r="E2560" s="436">
        <v>2</v>
      </c>
      <c r="F2560" s="465">
        <v>1.5</v>
      </c>
      <c r="G2560" s="466">
        <v>3</v>
      </c>
      <c r="H2560" s="466">
        <f>G2560/1.1</f>
        <v>2.7272727272727271</v>
      </c>
      <c r="I2560" s="436"/>
      <c r="J2560" s="465">
        <v>0</v>
      </c>
      <c r="K2560" s="465">
        <v>0</v>
      </c>
    </row>
    <row r="2561" spans="2:11" ht="19" customHeight="1">
      <c r="B2561" s="464">
        <v>46072</v>
      </c>
      <c r="C2561" s="436" t="s">
        <v>247</v>
      </c>
      <c r="D2561" s="436" t="s">
        <v>248</v>
      </c>
      <c r="E2561" s="436">
        <v>2</v>
      </c>
      <c r="F2561" s="465">
        <v>1.5</v>
      </c>
      <c r="G2561" s="466">
        <v>3</v>
      </c>
      <c r="H2561" s="466">
        <f>G2561/1.1</f>
        <v>2.7272727272727271</v>
      </c>
      <c r="I2561" s="436"/>
      <c r="J2561" s="465">
        <v>0</v>
      </c>
      <c r="K2561" s="465">
        <v>0</v>
      </c>
    </row>
    <row r="2562" spans="2:11" ht="19" customHeight="1">
      <c r="B2562" s="464">
        <v>46072</v>
      </c>
      <c r="C2562" s="436" t="s">
        <v>247</v>
      </c>
      <c r="D2562" s="436" t="s">
        <v>246</v>
      </c>
      <c r="E2562" s="436">
        <v>1</v>
      </c>
      <c r="F2562" s="465">
        <v>1.7</v>
      </c>
      <c r="G2562" s="466">
        <v>1.7</v>
      </c>
      <c r="H2562" s="466">
        <f>G2562/1.1</f>
        <v>1.5454545454545452</v>
      </c>
      <c r="I2562" s="436"/>
      <c r="J2562" s="465">
        <v>0</v>
      </c>
      <c r="K2562" s="465">
        <v>0</v>
      </c>
    </row>
    <row r="2563" spans="2:11" ht="19" customHeight="1">
      <c r="B2563" s="464">
        <v>46072</v>
      </c>
      <c r="C2563" s="436" t="s">
        <v>247</v>
      </c>
      <c r="D2563" s="436" t="s">
        <v>257</v>
      </c>
      <c r="E2563" s="436">
        <v>1</v>
      </c>
      <c r="F2563" s="465">
        <v>1.4</v>
      </c>
      <c r="G2563" s="466">
        <v>1.4</v>
      </c>
      <c r="H2563" s="466">
        <f>G2563/1.1</f>
        <v>1.2727272727272725</v>
      </c>
      <c r="I2563" s="436"/>
      <c r="J2563" s="465">
        <v>0</v>
      </c>
      <c r="K2563" s="465">
        <v>0</v>
      </c>
    </row>
    <row r="2564" spans="2:11" ht="19" customHeight="1">
      <c r="B2564" s="464">
        <v>46072</v>
      </c>
      <c r="C2564" s="436" t="s">
        <v>268</v>
      </c>
      <c r="D2564" s="436" t="s">
        <v>858</v>
      </c>
      <c r="E2564" s="436">
        <v>2</v>
      </c>
      <c r="F2564" s="465">
        <v>0.65</v>
      </c>
      <c r="G2564" s="466">
        <v>1.3</v>
      </c>
      <c r="H2564" s="466">
        <f>G2564/1.1</f>
        <v>1.1818181818181817</v>
      </c>
      <c r="I2564" s="436"/>
      <c r="J2564" s="465">
        <v>0</v>
      </c>
      <c r="K2564" s="465">
        <v>0</v>
      </c>
    </row>
    <row r="2565" spans="2:11" ht="19" customHeight="1">
      <c r="B2565" s="464">
        <v>46072</v>
      </c>
      <c r="C2565" s="436" t="s">
        <v>247</v>
      </c>
      <c r="D2565" s="436" t="s">
        <v>248</v>
      </c>
      <c r="E2565" s="436">
        <v>1</v>
      </c>
      <c r="F2565" s="465">
        <v>1.5</v>
      </c>
      <c r="G2565" s="466">
        <v>1.5</v>
      </c>
      <c r="H2565" s="466">
        <f>G2565/1.1</f>
        <v>1.3636363636363635</v>
      </c>
      <c r="I2565" s="436"/>
      <c r="J2565" s="465">
        <v>0</v>
      </c>
      <c r="K2565" s="465">
        <v>0</v>
      </c>
    </row>
    <row r="2566" spans="2:11" ht="19" customHeight="1">
      <c r="B2566" s="464">
        <v>46072</v>
      </c>
      <c r="C2566" s="436" t="s">
        <v>247</v>
      </c>
      <c r="D2566" s="436" t="s">
        <v>257</v>
      </c>
      <c r="E2566" s="436">
        <v>1</v>
      </c>
      <c r="F2566" s="465">
        <v>1.4</v>
      </c>
      <c r="G2566" s="466">
        <v>1.4</v>
      </c>
      <c r="H2566" s="466">
        <f>G2566/1.1</f>
        <v>1.2727272727272725</v>
      </c>
      <c r="I2566" s="436"/>
      <c r="J2566" s="465">
        <v>0</v>
      </c>
      <c r="K2566" s="465">
        <v>0</v>
      </c>
    </row>
    <row r="2567" spans="2:11" ht="19" customHeight="1">
      <c r="B2567" s="464">
        <v>46072</v>
      </c>
      <c r="C2567" s="436" t="s">
        <v>247</v>
      </c>
      <c r="D2567" s="436" t="s">
        <v>257</v>
      </c>
      <c r="E2567" s="436">
        <v>1</v>
      </c>
      <c r="F2567" s="465">
        <v>1.4</v>
      </c>
      <c r="G2567" s="466">
        <v>1.4</v>
      </c>
      <c r="H2567" s="466">
        <f>G2567/1.1</f>
        <v>1.2727272727272725</v>
      </c>
      <c r="I2567" s="436"/>
      <c r="J2567" s="465">
        <v>0</v>
      </c>
      <c r="K2567" s="465">
        <v>0</v>
      </c>
    </row>
    <row r="2568" spans="2:11" ht="19" customHeight="1">
      <c r="B2568" s="464">
        <v>46072</v>
      </c>
      <c r="C2568" s="436" t="s">
        <v>268</v>
      </c>
      <c r="D2568" s="436" t="s">
        <v>859</v>
      </c>
      <c r="E2568" s="436">
        <v>1</v>
      </c>
      <c r="F2568" s="465">
        <v>0.75</v>
      </c>
      <c r="G2568" s="466">
        <v>0.75</v>
      </c>
      <c r="H2568" s="466">
        <f>G2568/1.1</f>
        <v>0.68181818181818177</v>
      </c>
      <c r="I2568" s="436"/>
      <c r="J2568" s="465">
        <v>0</v>
      </c>
      <c r="K2568" s="465">
        <v>0</v>
      </c>
    </row>
    <row r="2569" spans="2:11" ht="19" customHeight="1">
      <c r="B2569" s="464">
        <v>46072</v>
      </c>
      <c r="C2569" s="436" t="s">
        <v>268</v>
      </c>
      <c r="D2569" s="436" t="s">
        <v>859</v>
      </c>
      <c r="E2569" s="436">
        <v>1</v>
      </c>
      <c r="F2569" s="465">
        <v>0.75</v>
      </c>
      <c r="G2569" s="466">
        <v>0.75</v>
      </c>
      <c r="H2569" s="466">
        <f>G2569/1.1</f>
        <v>0.68181818181818177</v>
      </c>
      <c r="I2569" s="436"/>
      <c r="J2569" s="465">
        <v>0</v>
      </c>
      <c r="K2569" s="465">
        <v>0</v>
      </c>
    </row>
    <row r="2570" spans="2:11" ht="19" customHeight="1">
      <c r="B2570" s="464">
        <v>46072</v>
      </c>
      <c r="C2570" s="436" t="s">
        <v>247</v>
      </c>
      <c r="D2570" s="436" t="s">
        <v>246</v>
      </c>
      <c r="E2570" s="436">
        <v>1</v>
      </c>
      <c r="F2570" s="465">
        <v>1.7</v>
      </c>
      <c r="G2570" s="466">
        <v>1.7</v>
      </c>
      <c r="H2570" s="466">
        <f>G2570/1.1</f>
        <v>1.5454545454545452</v>
      </c>
      <c r="I2570" s="436"/>
      <c r="J2570" s="465">
        <v>0</v>
      </c>
      <c r="K2570" s="465">
        <v>0</v>
      </c>
    </row>
    <row r="2571" spans="2:11" ht="19" customHeight="1">
      <c r="B2571" s="464">
        <v>46072</v>
      </c>
      <c r="C2571" s="436" t="s">
        <v>247</v>
      </c>
      <c r="D2571" s="436" t="s">
        <v>257</v>
      </c>
      <c r="E2571" s="436">
        <v>1</v>
      </c>
      <c r="F2571" s="465">
        <v>1.4</v>
      </c>
      <c r="G2571" s="466">
        <v>1.4</v>
      </c>
      <c r="H2571" s="466">
        <f>G2571/1.1</f>
        <v>1.2727272727272725</v>
      </c>
      <c r="I2571" s="436"/>
      <c r="J2571" s="465">
        <v>0</v>
      </c>
      <c r="K2571" s="465">
        <v>0</v>
      </c>
    </row>
    <row r="2572" spans="2:11" ht="19" customHeight="1">
      <c r="B2572" s="464">
        <v>46072</v>
      </c>
      <c r="C2572" s="436" t="s">
        <v>247</v>
      </c>
      <c r="D2572" s="436" t="s">
        <v>248</v>
      </c>
      <c r="E2572" s="436">
        <v>2</v>
      </c>
      <c r="F2572" s="465">
        <v>1.5</v>
      </c>
      <c r="G2572" s="466">
        <v>3</v>
      </c>
      <c r="H2572" s="466">
        <f>G2572/1.1</f>
        <v>2.7272727272727271</v>
      </c>
      <c r="I2572" s="436"/>
      <c r="J2572" s="465">
        <v>0</v>
      </c>
      <c r="K2572" s="465">
        <v>0</v>
      </c>
    </row>
    <row r="2573" spans="2:11" ht="19" customHeight="1">
      <c r="B2573" s="464">
        <v>46072</v>
      </c>
      <c r="C2573" s="436" t="s">
        <v>247</v>
      </c>
      <c r="D2573" s="436" t="s">
        <v>246</v>
      </c>
      <c r="E2573" s="436">
        <v>2</v>
      </c>
      <c r="F2573" s="465">
        <v>1.7</v>
      </c>
      <c r="G2573" s="466">
        <v>3.4</v>
      </c>
      <c r="H2573" s="466">
        <f>G2573/1.1</f>
        <v>3.0909090909090904</v>
      </c>
      <c r="I2573" s="436"/>
      <c r="J2573" s="465">
        <v>0</v>
      </c>
      <c r="K2573" s="465">
        <v>0</v>
      </c>
    </row>
    <row r="2574" spans="2:11" ht="19" customHeight="1">
      <c r="B2574" s="464">
        <v>46072</v>
      </c>
      <c r="C2574" s="436" t="s">
        <v>247</v>
      </c>
      <c r="D2574" s="436" t="s">
        <v>248</v>
      </c>
      <c r="E2574" s="436">
        <v>1</v>
      </c>
      <c r="F2574" s="465">
        <v>1.5</v>
      </c>
      <c r="G2574" s="466">
        <v>1.5</v>
      </c>
      <c r="H2574" s="466">
        <f>G2574/1.1</f>
        <v>1.3636363636363635</v>
      </c>
      <c r="I2574" s="436"/>
      <c r="J2574" s="465">
        <v>0</v>
      </c>
      <c r="K2574" s="465">
        <v>0</v>
      </c>
    </row>
    <row r="2575" spans="2:11" ht="19" customHeight="1">
      <c r="B2575" s="464">
        <v>46072</v>
      </c>
      <c r="C2575" s="436" t="s">
        <v>268</v>
      </c>
      <c r="D2575" s="436" t="s">
        <v>860</v>
      </c>
      <c r="E2575" s="436">
        <v>1</v>
      </c>
      <c r="F2575" s="465">
        <v>2.25</v>
      </c>
      <c r="G2575" s="466">
        <v>2.25</v>
      </c>
      <c r="H2575" s="466">
        <f>G2575/1.1</f>
        <v>2.0454545454545454</v>
      </c>
      <c r="I2575" s="436"/>
      <c r="J2575" s="465">
        <v>0</v>
      </c>
      <c r="K2575" s="465">
        <v>0</v>
      </c>
    </row>
    <row r="2576" spans="2:11" ht="19" customHeight="1">
      <c r="B2576" s="464">
        <v>46072</v>
      </c>
      <c r="C2576" s="436" t="s">
        <v>247</v>
      </c>
      <c r="D2576" s="436" t="s">
        <v>246</v>
      </c>
      <c r="E2576" s="436">
        <v>1</v>
      </c>
      <c r="F2576" s="465">
        <v>1.7</v>
      </c>
      <c r="G2576" s="466">
        <v>1.7</v>
      </c>
      <c r="H2576" s="466">
        <f>G2576/1.1</f>
        <v>1.5454545454545452</v>
      </c>
      <c r="I2576" s="436"/>
      <c r="J2576" s="465">
        <v>0</v>
      </c>
      <c r="K2576" s="465">
        <v>0</v>
      </c>
    </row>
    <row r="2577" spans="2:11" ht="19" customHeight="1">
      <c r="B2577" s="464">
        <v>46072</v>
      </c>
      <c r="C2577" s="436" t="s">
        <v>247</v>
      </c>
      <c r="D2577" s="436" t="s">
        <v>257</v>
      </c>
      <c r="E2577" s="436">
        <v>1</v>
      </c>
      <c r="F2577" s="465">
        <v>1.4</v>
      </c>
      <c r="G2577" s="466">
        <v>1.4</v>
      </c>
      <c r="H2577" s="466">
        <f>G2577/1.1</f>
        <v>1.2727272727272725</v>
      </c>
      <c r="I2577" s="436"/>
      <c r="J2577" s="465">
        <v>0</v>
      </c>
      <c r="K2577" s="465">
        <v>0</v>
      </c>
    </row>
    <row r="2578" spans="2:11" ht="19" customHeight="1">
      <c r="B2578" s="464">
        <v>46072</v>
      </c>
      <c r="C2578" s="436" t="s">
        <v>247</v>
      </c>
      <c r="D2578" s="436" t="s">
        <v>246</v>
      </c>
      <c r="E2578" s="436">
        <v>2</v>
      </c>
      <c r="F2578" s="465">
        <v>1.7</v>
      </c>
      <c r="G2578" s="466">
        <v>3.4</v>
      </c>
      <c r="H2578" s="466">
        <f>G2578/1.1</f>
        <v>3.0909090909090904</v>
      </c>
      <c r="I2578" s="436"/>
      <c r="J2578" s="465">
        <v>0</v>
      </c>
      <c r="K2578" s="465">
        <v>0</v>
      </c>
    </row>
    <row r="2579" spans="2:11" ht="19" customHeight="1">
      <c r="B2579" s="464">
        <v>46072</v>
      </c>
      <c r="C2579" s="436" t="s">
        <v>276</v>
      </c>
      <c r="D2579" s="436" t="s">
        <v>963</v>
      </c>
      <c r="E2579" s="436">
        <v>1</v>
      </c>
      <c r="F2579" s="465">
        <v>4.75</v>
      </c>
      <c r="G2579" s="466">
        <v>4.75</v>
      </c>
      <c r="H2579" s="466">
        <f>G2579/1.1</f>
        <v>4.3181818181818175</v>
      </c>
      <c r="I2579" s="436"/>
      <c r="J2579" s="465">
        <v>0</v>
      </c>
      <c r="K2579" s="465">
        <v>0</v>
      </c>
    </row>
    <row r="2580" spans="2:11" ht="19" customHeight="1">
      <c r="B2580" s="464">
        <v>46072</v>
      </c>
      <c r="C2580" s="436" t="s">
        <v>251</v>
      </c>
      <c r="D2580" s="436" t="s">
        <v>250</v>
      </c>
      <c r="E2580" s="436">
        <v>1</v>
      </c>
      <c r="F2580" s="465">
        <v>1.8</v>
      </c>
      <c r="G2580" s="466">
        <v>1.8</v>
      </c>
      <c r="H2580" s="466">
        <f>G2580/1.1</f>
        <v>1.6363636363636362</v>
      </c>
      <c r="I2580" s="436"/>
      <c r="J2580" s="465">
        <v>0</v>
      </c>
      <c r="K2580" s="465">
        <v>0</v>
      </c>
    </row>
    <row r="2581" spans="2:11" ht="19" customHeight="1">
      <c r="B2581" s="464">
        <v>46072</v>
      </c>
      <c r="C2581" s="436" t="s">
        <v>277</v>
      </c>
      <c r="D2581" s="436" t="s">
        <v>954</v>
      </c>
      <c r="E2581" s="436">
        <v>1</v>
      </c>
      <c r="F2581" s="465">
        <v>12.9</v>
      </c>
      <c r="G2581" s="466">
        <v>12.9</v>
      </c>
      <c r="H2581" s="466">
        <f>G2581/1.1</f>
        <v>11.727272727272727</v>
      </c>
      <c r="I2581" s="436"/>
      <c r="J2581" s="465">
        <v>0</v>
      </c>
      <c r="K2581" s="465">
        <v>0</v>
      </c>
    </row>
    <row r="2582" spans="2:11" ht="19" customHeight="1">
      <c r="B2582" s="464">
        <v>46072</v>
      </c>
      <c r="C2582" s="436" t="s">
        <v>256</v>
      </c>
      <c r="D2582" s="436" t="s">
        <v>262</v>
      </c>
      <c r="E2582" s="436">
        <v>1</v>
      </c>
      <c r="F2582" s="465">
        <v>11.9</v>
      </c>
      <c r="G2582" s="466">
        <v>11.9</v>
      </c>
      <c r="H2582" s="466">
        <f>G2582/1.1</f>
        <v>10.818181818181818</v>
      </c>
      <c r="I2582" s="436"/>
      <c r="J2582" s="465">
        <v>0</v>
      </c>
      <c r="K2582" s="465">
        <v>0</v>
      </c>
    </row>
    <row r="2583" spans="2:11" ht="19" customHeight="1">
      <c r="B2583" s="464">
        <v>46072</v>
      </c>
      <c r="C2583" s="436" t="s">
        <v>247</v>
      </c>
      <c r="D2583" s="436" t="s">
        <v>248</v>
      </c>
      <c r="E2583" s="436">
        <v>2</v>
      </c>
      <c r="F2583" s="465">
        <v>1.65</v>
      </c>
      <c r="G2583" s="466">
        <v>3.3</v>
      </c>
      <c r="H2583" s="466">
        <f>G2583/1.1</f>
        <v>2.9999999999999996</v>
      </c>
      <c r="I2583" s="436"/>
      <c r="J2583" s="465">
        <v>0</v>
      </c>
      <c r="K2583" s="465">
        <v>0</v>
      </c>
    </row>
    <row r="2584" spans="2:11" ht="19" customHeight="1">
      <c r="B2584" s="464">
        <v>46072</v>
      </c>
      <c r="C2584" s="436" t="s">
        <v>275</v>
      </c>
      <c r="D2584" s="436" t="s">
        <v>951</v>
      </c>
      <c r="E2584" s="436">
        <v>1</v>
      </c>
      <c r="F2584" s="465">
        <v>5.25</v>
      </c>
      <c r="G2584" s="466">
        <v>5.25</v>
      </c>
      <c r="H2584" s="466">
        <f>G2584/1.1</f>
        <v>4.7727272727272725</v>
      </c>
      <c r="I2584" s="436"/>
      <c r="J2584" s="465">
        <v>0</v>
      </c>
      <c r="K2584" s="465">
        <v>0</v>
      </c>
    </row>
    <row r="2585" spans="2:11" ht="19" customHeight="1">
      <c r="B2585" s="464">
        <v>46072</v>
      </c>
      <c r="C2585" s="436" t="s">
        <v>264</v>
      </c>
      <c r="D2585" s="436" t="s">
        <v>1134</v>
      </c>
      <c r="E2585" s="436">
        <v>1</v>
      </c>
      <c r="F2585" s="469"/>
      <c r="G2585" s="468" t="s">
        <v>875</v>
      </c>
      <c r="H2585" s="466" t="e">
        <f>G2585/1.1</f>
        <v>#VALUE!</v>
      </c>
      <c r="I2585" s="436"/>
      <c r="J2585" s="465">
        <v>0</v>
      </c>
      <c r="K2585" s="465">
        <v>0</v>
      </c>
    </row>
    <row r="2586" spans="2:11" ht="19" customHeight="1">
      <c r="B2586" s="464">
        <v>46072</v>
      </c>
      <c r="C2586" s="436" t="s">
        <v>264</v>
      </c>
      <c r="D2586" s="436" t="s">
        <v>1135</v>
      </c>
      <c r="E2586" s="436">
        <v>1</v>
      </c>
      <c r="F2586" s="465">
        <v>1</v>
      </c>
      <c r="G2586" s="466">
        <v>1</v>
      </c>
      <c r="H2586" s="466">
        <f>G2586/1.1</f>
        <v>0.90909090909090906</v>
      </c>
      <c r="I2586" s="436"/>
      <c r="J2586" s="465">
        <v>0</v>
      </c>
      <c r="K2586" s="465">
        <v>0</v>
      </c>
    </row>
    <row r="2587" spans="2:11" ht="19" customHeight="1">
      <c r="B2587" s="464">
        <v>46072</v>
      </c>
      <c r="C2587" s="436" t="s">
        <v>264</v>
      </c>
      <c r="D2587" s="436" t="s">
        <v>1136</v>
      </c>
      <c r="E2587" s="436">
        <v>1</v>
      </c>
      <c r="F2587" s="465">
        <v>1</v>
      </c>
      <c r="G2587" s="466">
        <v>1</v>
      </c>
      <c r="H2587" s="466">
        <f>G2587/1.1</f>
        <v>0.90909090909090906</v>
      </c>
      <c r="I2587" s="436"/>
      <c r="J2587" s="465">
        <v>0</v>
      </c>
      <c r="K2587" s="465">
        <v>0</v>
      </c>
    </row>
    <row r="2588" spans="2:11" ht="19" customHeight="1">
      <c r="B2588" s="464">
        <v>46072</v>
      </c>
      <c r="C2588" s="436" t="s">
        <v>247</v>
      </c>
      <c r="D2588" s="436" t="s">
        <v>257</v>
      </c>
      <c r="E2588" s="436">
        <v>1</v>
      </c>
      <c r="F2588" s="465">
        <v>1.7</v>
      </c>
      <c r="G2588" s="466">
        <v>1.7</v>
      </c>
      <c r="H2588" s="466">
        <f>G2588/1.1</f>
        <v>1.5454545454545452</v>
      </c>
      <c r="I2588" s="436"/>
      <c r="J2588" s="465">
        <v>0</v>
      </c>
      <c r="K2588" s="465">
        <v>0</v>
      </c>
    </row>
    <row r="2589" spans="2:11" ht="19" customHeight="1">
      <c r="B2589" s="464">
        <v>46072</v>
      </c>
      <c r="C2589" s="436" t="s">
        <v>247</v>
      </c>
      <c r="D2589" s="436" t="s">
        <v>248</v>
      </c>
      <c r="E2589" s="436">
        <v>1</v>
      </c>
      <c r="F2589" s="465">
        <v>1.8</v>
      </c>
      <c r="G2589" s="466">
        <v>1.8</v>
      </c>
      <c r="H2589" s="466">
        <f>G2589/1.1</f>
        <v>1.6363636363636362</v>
      </c>
      <c r="I2589" s="436"/>
      <c r="J2589" s="465">
        <v>0</v>
      </c>
      <c r="K2589" s="465">
        <v>0</v>
      </c>
    </row>
    <row r="2590" spans="2:11" ht="19" customHeight="1">
      <c r="B2590" s="464">
        <v>46072</v>
      </c>
      <c r="C2590" s="436" t="s">
        <v>251</v>
      </c>
      <c r="D2590" s="436" t="s">
        <v>265</v>
      </c>
      <c r="E2590" s="436">
        <v>1</v>
      </c>
      <c r="F2590" s="465">
        <v>2.8</v>
      </c>
      <c r="G2590" s="466">
        <v>2.8</v>
      </c>
      <c r="H2590" s="466">
        <f>G2590/1.1</f>
        <v>2.545454545454545</v>
      </c>
      <c r="I2590" s="436"/>
      <c r="J2590" s="465">
        <v>0</v>
      </c>
      <c r="K2590" s="465">
        <v>0</v>
      </c>
    </row>
    <row r="2591" spans="2:11" ht="19" customHeight="1">
      <c r="B2591" s="464">
        <v>46072</v>
      </c>
      <c r="C2591" s="436" t="s">
        <v>253</v>
      </c>
      <c r="D2591" s="436" t="s">
        <v>869</v>
      </c>
      <c r="E2591" s="436">
        <v>1</v>
      </c>
      <c r="F2591" s="465">
        <v>2.65</v>
      </c>
      <c r="G2591" s="466">
        <v>2.65</v>
      </c>
      <c r="H2591" s="466">
        <f>G2591/1.1</f>
        <v>2.4090909090909087</v>
      </c>
      <c r="I2591" s="436"/>
      <c r="J2591" s="465">
        <v>0</v>
      </c>
      <c r="K2591" s="465">
        <v>0</v>
      </c>
    </row>
    <row r="2592" spans="2:11" ht="19" customHeight="1">
      <c r="B2592" s="464">
        <v>46072</v>
      </c>
      <c r="C2592" s="436" t="s">
        <v>256</v>
      </c>
      <c r="D2592" s="436" t="s">
        <v>262</v>
      </c>
      <c r="E2592" s="436">
        <v>1</v>
      </c>
      <c r="F2592" s="465">
        <v>12.15</v>
      </c>
      <c r="G2592" s="466">
        <v>12.15</v>
      </c>
      <c r="H2592" s="466">
        <f>G2592/1.1</f>
        <v>11.045454545454545</v>
      </c>
      <c r="I2592" s="436"/>
      <c r="J2592" s="465">
        <v>0</v>
      </c>
      <c r="K2592" s="465">
        <v>0</v>
      </c>
    </row>
    <row r="2593" spans="2:11" ht="19" customHeight="1">
      <c r="B2593" s="464">
        <v>46072</v>
      </c>
      <c r="C2593" s="436" t="s">
        <v>326</v>
      </c>
      <c r="D2593" s="436" t="s">
        <v>1063</v>
      </c>
      <c r="E2593" s="436">
        <v>1</v>
      </c>
      <c r="F2593" s="465">
        <v>15.25</v>
      </c>
      <c r="G2593" s="466">
        <v>15.25</v>
      </c>
      <c r="H2593" s="466">
        <f>G2593/1.1</f>
        <v>13.863636363636363</v>
      </c>
      <c r="I2593" s="436"/>
      <c r="J2593" s="465">
        <v>0</v>
      </c>
      <c r="K2593" s="465">
        <v>0</v>
      </c>
    </row>
    <row r="2594" spans="2:11" ht="19" customHeight="1">
      <c r="B2594" s="464">
        <v>46072</v>
      </c>
      <c r="C2594" s="436" t="s">
        <v>251</v>
      </c>
      <c r="D2594" s="436" t="s">
        <v>265</v>
      </c>
      <c r="E2594" s="436">
        <v>1</v>
      </c>
      <c r="F2594" s="465">
        <v>2.65</v>
      </c>
      <c r="G2594" s="466">
        <v>2.65</v>
      </c>
      <c r="H2594" s="466">
        <f>G2594/1.1</f>
        <v>2.4090909090909087</v>
      </c>
      <c r="I2594" s="436"/>
      <c r="J2594" s="465">
        <v>0</v>
      </c>
      <c r="K2594" s="465">
        <v>0</v>
      </c>
    </row>
    <row r="2595" spans="2:11" ht="19" customHeight="1">
      <c r="B2595" s="464">
        <v>46072</v>
      </c>
      <c r="C2595" s="436" t="s">
        <v>253</v>
      </c>
      <c r="D2595" s="436" t="s">
        <v>869</v>
      </c>
      <c r="E2595" s="436">
        <v>2</v>
      </c>
      <c r="F2595" s="465">
        <v>2.5</v>
      </c>
      <c r="G2595" s="466">
        <v>5</v>
      </c>
      <c r="H2595" s="466">
        <f>G2595/1.1</f>
        <v>4.545454545454545</v>
      </c>
      <c r="I2595" s="436"/>
      <c r="J2595" s="465">
        <v>0</v>
      </c>
      <c r="K2595" s="465">
        <v>0</v>
      </c>
    </row>
    <row r="2596" spans="2:11" ht="19" customHeight="1">
      <c r="B2596" s="464">
        <v>46072</v>
      </c>
      <c r="C2596" s="436" t="s">
        <v>256</v>
      </c>
      <c r="D2596" s="436" t="s">
        <v>747</v>
      </c>
      <c r="E2596" s="436">
        <v>1</v>
      </c>
      <c r="F2596" s="465">
        <v>8.5</v>
      </c>
      <c r="G2596" s="466">
        <v>8.5</v>
      </c>
      <c r="H2596" s="466">
        <f>G2596/1.1</f>
        <v>7.7272727272727266</v>
      </c>
      <c r="I2596" s="436"/>
      <c r="J2596" s="465">
        <v>0</v>
      </c>
      <c r="K2596" s="465">
        <v>0</v>
      </c>
    </row>
    <row r="2597" spans="2:11" ht="19" customHeight="1">
      <c r="B2597" s="464">
        <v>46072</v>
      </c>
      <c r="C2597" s="436" t="s">
        <v>256</v>
      </c>
      <c r="D2597" s="436" t="s">
        <v>912</v>
      </c>
      <c r="E2597" s="436">
        <v>1</v>
      </c>
      <c r="F2597" s="465">
        <v>5.5</v>
      </c>
      <c r="G2597" s="466">
        <v>5.5</v>
      </c>
      <c r="H2597" s="466">
        <f>G2597/1.1</f>
        <v>5</v>
      </c>
      <c r="I2597" s="436"/>
      <c r="J2597" s="465">
        <v>0</v>
      </c>
      <c r="K2597" s="465">
        <v>0</v>
      </c>
    </row>
    <row r="2598" spans="2:11" ht="19" customHeight="1">
      <c r="B2598" s="464">
        <v>46072</v>
      </c>
      <c r="C2598" s="436" t="s">
        <v>256</v>
      </c>
      <c r="D2598" s="436" t="s">
        <v>679</v>
      </c>
      <c r="E2598" s="436">
        <v>1</v>
      </c>
      <c r="F2598" s="465">
        <v>10</v>
      </c>
      <c r="G2598" s="466">
        <v>10</v>
      </c>
      <c r="H2598" s="466">
        <f>G2598/1.1</f>
        <v>9.0909090909090899</v>
      </c>
      <c r="I2598" s="436"/>
      <c r="J2598" s="465">
        <v>0</v>
      </c>
      <c r="K2598" s="465">
        <v>0</v>
      </c>
    </row>
    <row r="2599" spans="2:11" ht="19" customHeight="1">
      <c r="B2599" s="464">
        <v>46072</v>
      </c>
      <c r="C2599" s="436" t="s">
        <v>277</v>
      </c>
      <c r="D2599" s="436" t="s">
        <v>1044</v>
      </c>
      <c r="E2599" s="436">
        <v>1</v>
      </c>
      <c r="F2599" s="465">
        <v>9.5</v>
      </c>
      <c r="G2599" s="466">
        <v>9.5</v>
      </c>
      <c r="H2599" s="466">
        <f>G2599/1.1</f>
        <v>8.6363636363636349</v>
      </c>
      <c r="I2599" s="436"/>
      <c r="J2599" s="465">
        <v>0</v>
      </c>
      <c r="K2599" s="465">
        <v>0</v>
      </c>
    </row>
    <row r="2600" spans="2:11" ht="19" customHeight="1">
      <c r="B2600" s="464">
        <v>46072</v>
      </c>
      <c r="C2600" s="436" t="s">
        <v>256</v>
      </c>
      <c r="D2600" s="436" t="s">
        <v>255</v>
      </c>
      <c r="E2600" s="436">
        <v>1</v>
      </c>
      <c r="F2600" s="465">
        <v>5.6</v>
      </c>
      <c r="G2600" s="466">
        <v>5.6</v>
      </c>
      <c r="H2600" s="466">
        <f>G2600/1.1</f>
        <v>5.0909090909090899</v>
      </c>
      <c r="I2600" s="436"/>
      <c r="J2600" s="465">
        <v>0</v>
      </c>
      <c r="K2600" s="465">
        <v>0</v>
      </c>
    </row>
    <row r="2601" spans="2:11" ht="19" customHeight="1">
      <c r="B2601" s="464">
        <v>46072</v>
      </c>
      <c r="C2601" s="436" t="s">
        <v>321</v>
      </c>
      <c r="D2601" s="436" t="s">
        <v>910</v>
      </c>
      <c r="E2601" s="436">
        <v>1</v>
      </c>
      <c r="F2601" s="465">
        <v>4</v>
      </c>
      <c r="G2601" s="466">
        <v>4</v>
      </c>
      <c r="H2601" s="466">
        <f>G2601/1.1</f>
        <v>3.6363636363636362</v>
      </c>
      <c r="I2601" s="436"/>
      <c r="J2601" s="465">
        <v>0</v>
      </c>
      <c r="K2601" s="465">
        <v>0</v>
      </c>
    </row>
    <row r="2602" spans="2:11" ht="19" customHeight="1">
      <c r="B2602" s="464">
        <v>46072</v>
      </c>
      <c r="C2602" s="436" t="s">
        <v>276</v>
      </c>
      <c r="D2602" s="436" t="s">
        <v>995</v>
      </c>
      <c r="E2602" s="436">
        <v>2</v>
      </c>
      <c r="F2602" s="465">
        <v>3.05</v>
      </c>
      <c r="G2602" s="466">
        <v>6.1</v>
      </c>
      <c r="H2602" s="466">
        <f>G2602/1.1</f>
        <v>5.545454545454545</v>
      </c>
      <c r="I2602" s="436"/>
      <c r="J2602" s="465">
        <v>0</v>
      </c>
      <c r="K2602" s="465">
        <v>0</v>
      </c>
    </row>
    <row r="2603" spans="2:11" ht="19" customHeight="1">
      <c r="B2603" s="464">
        <v>46072</v>
      </c>
      <c r="C2603" s="436" t="s">
        <v>268</v>
      </c>
      <c r="D2603" s="436" t="s">
        <v>858</v>
      </c>
      <c r="E2603" s="436">
        <v>2</v>
      </c>
      <c r="F2603" s="465">
        <v>0.65</v>
      </c>
      <c r="G2603" s="466">
        <v>1.3</v>
      </c>
      <c r="H2603" s="466">
        <f>G2603/1.1</f>
        <v>1.1818181818181817</v>
      </c>
      <c r="I2603" s="436"/>
      <c r="J2603" s="465">
        <v>0</v>
      </c>
      <c r="K2603" s="465">
        <v>0</v>
      </c>
    </row>
    <row r="2604" spans="2:11" ht="19" customHeight="1">
      <c r="B2604" s="464">
        <v>46072</v>
      </c>
      <c r="C2604" s="436" t="s">
        <v>268</v>
      </c>
      <c r="D2604" s="436" t="s">
        <v>267</v>
      </c>
      <c r="E2604" s="436">
        <v>1</v>
      </c>
      <c r="F2604" s="465">
        <v>1.5</v>
      </c>
      <c r="G2604" s="466">
        <v>1.5</v>
      </c>
      <c r="H2604" s="466">
        <f>G2604/1.1</f>
        <v>1.3636363636363635</v>
      </c>
      <c r="I2604" s="436"/>
      <c r="J2604" s="465">
        <v>0</v>
      </c>
      <c r="K2604" s="465">
        <v>0</v>
      </c>
    </row>
    <row r="2605" spans="2:11" ht="19" customHeight="1">
      <c r="B2605" s="464">
        <v>46072</v>
      </c>
      <c r="C2605" s="436" t="s">
        <v>247</v>
      </c>
      <c r="D2605" s="436" t="s">
        <v>246</v>
      </c>
      <c r="E2605" s="436">
        <v>1</v>
      </c>
      <c r="F2605" s="465">
        <v>1.7</v>
      </c>
      <c r="G2605" s="466">
        <v>1.7</v>
      </c>
      <c r="H2605" s="466">
        <f>G2605/1.1</f>
        <v>1.5454545454545452</v>
      </c>
      <c r="I2605" s="436"/>
      <c r="J2605" s="465">
        <v>0</v>
      </c>
      <c r="K2605" s="465">
        <v>0</v>
      </c>
    </row>
    <row r="2606" spans="2:11" ht="19" customHeight="1">
      <c r="B2606" s="464">
        <v>46072</v>
      </c>
      <c r="C2606" s="436" t="s">
        <v>247</v>
      </c>
      <c r="D2606" s="436" t="s">
        <v>248</v>
      </c>
      <c r="E2606" s="436">
        <v>1</v>
      </c>
      <c r="F2606" s="465">
        <v>1.5</v>
      </c>
      <c r="G2606" s="466">
        <v>1.5</v>
      </c>
      <c r="H2606" s="466">
        <f>G2606/1.1</f>
        <v>1.3636363636363635</v>
      </c>
      <c r="I2606" s="436"/>
      <c r="J2606" s="465">
        <v>0</v>
      </c>
      <c r="K2606" s="465">
        <v>0</v>
      </c>
    </row>
    <row r="2607" spans="2:11" ht="19" customHeight="1">
      <c r="B2607" s="464">
        <v>46072</v>
      </c>
      <c r="C2607" s="436" t="s">
        <v>247</v>
      </c>
      <c r="D2607" s="436" t="s">
        <v>248</v>
      </c>
      <c r="E2607" s="436">
        <v>1</v>
      </c>
      <c r="F2607" s="465">
        <v>1.5</v>
      </c>
      <c r="G2607" s="466">
        <v>1.5</v>
      </c>
      <c r="H2607" s="466">
        <f>G2607/1.1</f>
        <v>1.3636363636363635</v>
      </c>
      <c r="I2607" s="436"/>
      <c r="J2607" s="465">
        <v>0</v>
      </c>
      <c r="K2607" s="465">
        <v>0</v>
      </c>
    </row>
    <row r="2608" spans="2:11" ht="19" customHeight="1">
      <c r="B2608" s="464">
        <v>46072</v>
      </c>
      <c r="C2608" s="436" t="s">
        <v>253</v>
      </c>
      <c r="D2608" s="436" t="s">
        <v>901</v>
      </c>
      <c r="E2608" s="436">
        <v>1</v>
      </c>
      <c r="F2608" s="465">
        <v>2.15</v>
      </c>
      <c r="G2608" s="466">
        <v>2.15</v>
      </c>
      <c r="H2608" s="466">
        <f>G2608/1.1</f>
        <v>1.9545454545454544</v>
      </c>
      <c r="I2608" s="436"/>
      <c r="J2608" s="465">
        <v>0</v>
      </c>
      <c r="K2608" s="465">
        <v>0</v>
      </c>
    </row>
    <row r="2609" spans="2:11" ht="19" customHeight="1">
      <c r="B2609" s="464">
        <v>46072</v>
      </c>
      <c r="C2609" s="436" t="s">
        <v>253</v>
      </c>
      <c r="D2609" s="436" t="s">
        <v>1137</v>
      </c>
      <c r="E2609" s="436">
        <v>2</v>
      </c>
      <c r="F2609" s="465">
        <v>2.5</v>
      </c>
      <c r="G2609" s="466">
        <v>5</v>
      </c>
      <c r="H2609" s="466">
        <f>G2609/1.1</f>
        <v>4.545454545454545</v>
      </c>
      <c r="I2609" s="436"/>
      <c r="J2609" s="465">
        <v>0</v>
      </c>
      <c r="K2609" s="465">
        <v>0</v>
      </c>
    </row>
    <row r="2610" spans="2:11" ht="19" customHeight="1">
      <c r="B2610" s="464">
        <v>46072</v>
      </c>
      <c r="C2610" s="436" t="s">
        <v>256</v>
      </c>
      <c r="D2610" s="436" t="s">
        <v>1114</v>
      </c>
      <c r="E2610" s="436">
        <v>1</v>
      </c>
      <c r="F2610" s="465">
        <v>10</v>
      </c>
      <c r="G2610" s="466">
        <v>10</v>
      </c>
      <c r="H2610" s="466">
        <f>G2610/1.1</f>
        <v>9.0909090909090899</v>
      </c>
      <c r="I2610" s="436"/>
      <c r="J2610" s="465">
        <v>0</v>
      </c>
      <c r="K2610" s="465">
        <v>0</v>
      </c>
    </row>
    <row r="2611" spans="2:11" ht="19" customHeight="1">
      <c r="B2611" s="464">
        <v>46072</v>
      </c>
      <c r="C2611" s="436" t="s">
        <v>256</v>
      </c>
      <c r="D2611" s="436" t="s">
        <v>931</v>
      </c>
      <c r="E2611" s="436">
        <v>2</v>
      </c>
      <c r="F2611" s="465">
        <v>1.7</v>
      </c>
      <c r="G2611" s="466">
        <v>3.4</v>
      </c>
      <c r="H2611" s="466">
        <f>G2611/1.1</f>
        <v>3.0909090909090904</v>
      </c>
      <c r="I2611" s="436"/>
      <c r="J2611" s="465">
        <v>0</v>
      </c>
      <c r="K2611" s="465">
        <v>0</v>
      </c>
    </row>
    <row r="2612" spans="2:11" ht="19" customHeight="1">
      <c r="B2612" s="464">
        <v>46072</v>
      </c>
      <c r="C2612" s="436" t="s">
        <v>256</v>
      </c>
      <c r="D2612" s="436" t="s">
        <v>870</v>
      </c>
      <c r="E2612" s="436">
        <v>2</v>
      </c>
      <c r="F2612" s="465">
        <v>1.7</v>
      </c>
      <c r="G2612" s="466">
        <v>3.4</v>
      </c>
      <c r="H2612" s="466">
        <f>G2612/1.1</f>
        <v>3.0909090909090904</v>
      </c>
      <c r="I2612" s="436"/>
      <c r="J2612" s="465">
        <v>0</v>
      </c>
      <c r="K2612" s="465">
        <v>0</v>
      </c>
    </row>
    <row r="2613" spans="2:11" ht="19" customHeight="1">
      <c r="B2613" s="464">
        <v>46072</v>
      </c>
      <c r="C2613" s="436" t="s">
        <v>256</v>
      </c>
      <c r="D2613" s="436" t="s">
        <v>932</v>
      </c>
      <c r="E2613" s="436">
        <v>2</v>
      </c>
      <c r="F2613" s="465">
        <v>1.7</v>
      </c>
      <c r="G2613" s="466">
        <v>3.4</v>
      </c>
      <c r="H2613" s="466">
        <f>G2613/1.1</f>
        <v>3.0909090909090904</v>
      </c>
      <c r="I2613" s="436"/>
      <c r="J2613" s="465">
        <v>0</v>
      </c>
      <c r="K2613" s="465">
        <v>0</v>
      </c>
    </row>
    <row r="2614" spans="2:11" ht="19" customHeight="1">
      <c r="B2614" s="464">
        <v>46072</v>
      </c>
      <c r="C2614" s="436" t="s">
        <v>256</v>
      </c>
      <c r="D2614" s="436" t="s">
        <v>675</v>
      </c>
      <c r="E2614" s="436">
        <v>1</v>
      </c>
      <c r="F2614" s="465">
        <v>5.5</v>
      </c>
      <c r="G2614" s="466">
        <v>5.5</v>
      </c>
      <c r="H2614" s="466">
        <f>G2614/1.1</f>
        <v>5</v>
      </c>
      <c r="I2614" s="436"/>
      <c r="J2614" s="465">
        <v>0</v>
      </c>
      <c r="K2614" s="465">
        <v>0</v>
      </c>
    </row>
    <row r="2615" spans="2:11" ht="19" customHeight="1">
      <c r="B2615" s="464">
        <v>46072</v>
      </c>
      <c r="C2615" s="436" t="s">
        <v>256</v>
      </c>
      <c r="D2615" s="436" t="s">
        <v>678</v>
      </c>
      <c r="E2615" s="436">
        <v>1</v>
      </c>
      <c r="F2615" s="465">
        <v>6.9</v>
      </c>
      <c r="G2615" s="466">
        <v>6.9</v>
      </c>
      <c r="H2615" s="466">
        <f>G2615/1.1</f>
        <v>6.2727272727272725</v>
      </c>
      <c r="I2615" s="436"/>
      <c r="J2615" s="465">
        <v>0</v>
      </c>
      <c r="K2615" s="465">
        <v>0</v>
      </c>
    </row>
    <row r="2616" spans="2:11" ht="19" customHeight="1">
      <c r="B2616" s="464">
        <v>46072</v>
      </c>
      <c r="C2616" s="436" t="s">
        <v>247</v>
      </c>
      <c r="D2616" s="436" t="s">
        <v>246</v>
      </c>
      <c r="E2616" s="436">
        <v>1</v>
      </c>
      <c r="F2616" s="465">
        <v>1.7</v>
      </c>
      <c r="G2616" s="466">
        <v>1.7</v>
      </c>
      <c r="H2616" s="466">
        <f>G2616/1.1</f>
        <v>1.5454545454545452</v>
      </c>
      <c r="I2616" s="436"/>
      <c r="J2616" s="465">
        <v>0</v>
      </c>
      <c r="K2616" s="465">
        <v>0</v>
      </c>
    </row>
    <row r="2617" spans="2:11" ht="19" customHeight="1">
      <c r="B2617" s="464">
        <v>46072</v>
      </c>
      <c r="C2617" s="436" t="s">
        <v>247</v>
      </c>
      <c r="D2617" s="436" t="s">
        <v>248</v>
      </c>
      <c r="E2617" s="436">
        <v>1</v>
      </c>
      <c r="F2617" s="465">
        <v>1.65</v>
      </c>
      <c r="G2617" s="466">
        <v>1.65</v>
      </c>
      <c r="H2617" s="466">
        <f>G2617/1.1</f>
        <v>1.4999999999999998</v>
      </c>
      <c r="I2617" s="436"/>
      <c r="J2617" s="465">
        <v>0</v>
      </c>
      <c r="K2617" s="465">
        <v>0</v>
      </c>
    </row>
    <row r="2618" spans="2:11" ht="19" customHeight="1">
      <c r="B2618" s="464">
        <v>46072</v>
      </c>
      <c r="C2618" s="436" t="s">
        <v>254</v>
      </c>
      <c r="D2618" s="436" t="s">
        <v>254</v>
      </c>
      <c r="E2618" s="436">
        <v>1</v>
      </c>
      <c r="F2618" s="465">
        <v>14.9</v>
      </c>
      <c r="G2618" s="466">
        <v>14.9</v>
      </c>
      <c r="H2618" s="466">
        <f>G2618/1.1</f>
        <v>13.545454545454545</v>
      </c>
      <c r="I2618" s="436"/>
      <c r="J2618" s="465">
        <v>0</v>
      </c>
      <c r="K2618" s="465">
        <v>0</v>
      </c>
    </row>
    <row r="2619" spans="2:11" ht="19" customHeight="1">
      <c r="B2619" s="464">
        <v>46072</v>
      </c>
      <c r="C2619" s="436" t="s">
        <v>873</v>
      </c>
      <c r="D2619" s="436" t="s">
        <v>970</v>
      </c>
      <c r="E2619" s="436">
        <v>1</v>
      </c>
      <c r="F2619" s="469"/>
      <c r="G2619" s="468" t="s">
        <v>875</v>
      </c>
      <c r="H2619" s="466" t="e">
        <f>G2619/1.1</f>
        <v>#VALUE!</v>
      </c>
      <c r="I2619" s="436"/>
      <c r="J2619" s="465">
        <v>0</v>
      </c>
      <c r="K2619" s="465">
        <v>0</v>
      </c>
    </row>
    <row r="2620" spans="2:11" ht="19" customHeight="1">
      <c r="B2620" s="464">
        <v>46072</v>
      </c>
      <c r="C2620" s="436" t="s">
        <v>877</v>
      </c>
      <c r="D2620" s="436" t="s">
        <v>1123</v>
      </c>
      <c r="E2620" s="436">
        <v>1</v>
      </c>
      <c r="F2620" s="469"/>
      <c r="G2620" s="468" t="s">
        <v>875</v>
      </c>
      <c r="H2620" s="466" t="e">
        <f>G2620/1.1</f>
        <v>#VALUE!</v>
      </c>
      <c r="I2620" s="436"/>
      <c r="J2620" s="465">
        <v>0</v>
      </c>
      <c r="K2620" s="465">
        <v>0</v>
      </c>
    </row>
    <row r="2621" spans="2:11" ht="19" customHeight="1">
      <c r="B2621" s="464">
        <v>46072</v>
      </c>
      <c r="C2621" s="436" t="s">
        <v>266</v>
      </c>
      <c r="D2621" s="436" t="s">
        <v>265</v>
      </c>
      <c r="E2621" s="436">
        <v>1</v>
      </c>
      <c r="F2621" s="465">
        <v>1</v>
      </c>
      <c r="G2621" s="466">
        <v>1</v>
      </c>
      <c r="H2621" s="466">
        <f>G2621/1.1</f>
        <v>0.90909090909090906</v>
      </c>
      <c r="I2621" s="436"/>
      <c r="J2621" s="465">
        <v>0</v>
      </c>
      <c r="K2621" s="465">
        <v>0</v>
      </c>
    </row>
    <row r="2622" spans="2:11" ht="19" customHeight="1">
      <c r="B2622" s="464">
        <v>46072</v>
      </c>
      <c r="C2622" s="436" t="s">
        <v>258</v>
      </c>
      <c r="D2622" s="436" t="s">
        <v>257</v>
      </c>
      <c r="E2622" s="436">
        <v>1</v>
      </c>
      <c r="F2622" s="469"/>
      <c r="G2622" s="468" t="s">
        <v>875</v>
      </c>
      <c r="H2622" s="466" t="e">
        <f>G2622/1.1</f>
        <v>#VALUE!</v>
      </c>
      <c r="I2622" s="436"/>
      <c r="J2622" s="465">
        <v>0</v>
      </c>
      <c r="K2622" s="465">
        <v>0</v>
      </c>
    </row>
    <row r="2623" spans="2:11" ht="19" customHeight="1">
      <c r="B2623" s="464">
        <v>46072</v>
      </c>
      <c r="C2623" s="436" t="s">
        <v>254</v>
      </c>
      <c r="D2623" s="436" t="s">
        <v>254</v>
      </c>
      <c r="E2623" s="436">
        <v>1</v>
      </c>
      <c r="F2623" s="465">
        <v>14.9</v>
      </c>
      <c r="G2623" s="466">
        <v>14.9</v>
      </c>
      <c r="H2623" s="466">
        <f>G2623/1.1</f>
        <v>13.545454545454545</v>
      </c>
      <c r="I2623" s="436"/>
      <c r="J2623" s="465">
        <v>0</v>
      </c>
      <c r="K2623" s="465">
        <v>0</v>
      </c>
    </row>
    <row r="2624" spans="2:11" ht="19" customHeight="1">
      <c r="B2624" s="464">
        <v>46072</v>
      </c>
      <c r="C2624" s="436" t="s">
        <v>873</v>
      </c>
      <c r="D2624" s="436" t="s">
        <v>1133</v>
      </c>
      <c r="E2624" s="436">
        <v>1</v>
      </c>
      <c r="F2624" s="469"/>
      <c r="G2624" s="468" t="s">
        <v>875</v>
      </c>
      <c r="H2624" s="466" t="e">
        <f>G2624/1.1</f>
        <v>#VALUE!</v>
      </c>
      <c r="I2624" s="436"/>
      <c r="J2624" s="465">
        <v>0</v>
      </c>
      <c r="K2624" s="465">
        <v>0</v>
      </c>
    </row>
    <row r="2625" spans="2:11" ht="19" customHeight="1">
      <c r="B2625" s="464">
        <v>46072</v>
      </c>
      <c r="C2625" s="436" t="s">
        <v>877</v>
      </c>
      <c r="D2625" s="436" t="s">
        <v>1124</v>
      </c>
      <c r="E2625" s="436">
        <v>1</v>
      </c>
      <c r="F2625" s="469"/>
      <c r="G2625" s="468" t="s">
        <v>875</v>
      </c>
      <c r="H2625" s="466" t="e">
        <f>G2625/1.1</f>
        <v>#VALUE!</v>
      </c>
      <c r="I2625" s="436"/>
      <c r="J2625" s="465">
        <v>0</v>
      </c>
      <c r="K2625" s="465">
        <v>0</v>
      </c>
    </row>
    <row r="2626" spans="2:11" ht="19" customHeight="1">
      <c r="B2626" s="464">
        <v>46072</v>
      </c>
      <c r="C2626" s="436" t="s">
        <v>266</v>
      </c>
      <c r="D2626" s="436" t="s">
        <v>708</v>
      </c>
      <c r="E2626" s="436">
        <v>1</v>
      </c>
      <c r="F2626" s="469"/>
      <c r="G2626" s="468" t="s">
        <v>875</v>
      </c>
      <c r="H2626" s="466" t="e">
        <f>G2626/1.1</f>
        <v>#VALUE!</v>
      </c>
      <c r="I2626" s="436"/>
      <c r="J2626" s="465">
        <v>0</v>
      </c>
      <c r="K2626" s="465">
        <v>0</v>
      </c>
    </row>
    <row r="2627" spans="2:11" ht="19" customHeight="1">
      <c r="B2627" s="464">
        <v>46072</v>
      </c>
      <c r="C2627" s="436" t="s">
        <v>258</v>
      </c>
      <c r="D2627" s="436" t="s">
        <v>972</v>
      </c>
      <c r="E2627" s="436">
        <v>1</v>
      </c>
      <c r="F2627" s="469"/>
      <c r="G2627" s="468" t="s">
        <v>875</v>
      </c>
      <c r="H2627" s="466" t="e">
        <f>G2627/1.1</f>
        <v>#VALUE!</v>
      </c>
      <c r="I2627" s="436"/>
      <c r="J2627" s="465">
        <v>0</v>
      </c>
      <c r="K2627" s="465">
        <v>0</v>
      </c>
    </row>
    <row r="2628" spans="2:11" ht="19" customHeight="1">
      <c r="B2628" s="464">
        <v>46073</v>
      </c>
      <c r="C2628" s="436" t="s">
        <v>247</v>
      </c>
      <c r="D2628" s="436" t="s">
        <v>257</v>
      </c>
      <c r="E2628" s="436">
        <v>1</v>
      </c>
      <c r="F2628" s="465">
        <v>1.55</v>
      </c>
      <c r="G2628" s="466">
        <v>1.55</v>
      </c>
      <c r="H2628" s="466">
        <f>G2628/1.1</f>
        <v>1.4090909090909089</v>
      </c>
      <c r="I2628" s="436"/>
      <c r="J2628" s="465">
        <v>0</v>
      </c>
      <c r="K2628" s="465">
        <v>0</v>
      </c>
    </row>
    <row r="2629" spans="2:11" ht="19" customHeight="1">
      <c r="B2629" s="464">
        <v>46073</v>
      </c>
      <c r="C2629" s="436" t="s">
        <v>247</v>
      </c>
      <c r="D2629" s="436" t="s">
        <v>248</v>
      </c>
      <c r="E2629" s="436">
        <v>1</v>
      </c>
      <c r="F2629" s="465">
        <v>1.65</v>
      </c>
      <c r="G2629" s="466">
        <v>1.65</v>
      </c>
      <c r="H2629" s="466">
        <f>G2629/1.1</f>
        <v>1.4999999999999998</v>
      </c>
      <c r="I2629" s="436"/>
      <c r="J2629" s="465">
        <v>0</v>
      </c>
      <c r="K2629" s="465">
        <v>0</v>
      </c>
    </row>
    <row r="2630" spans="2:11" ht="19" customHeight="1">
      <c r="B2630" s="464">
        <v>46073</v>
      </c>
      <c r="C2630" s="436" t="s">
        <v>247</v>
      </c>
      <c r="D2630" s="436" t="s">
        <v>246</v>
      </c>
      <c r="E2630" s="436">
        <v>1</v>
      </c>
      <c r="F2630" s="465">
        <v>1.7</v>
      </c>
      <c r="G2630" s="466">
        <v>1.7</v>
      </c>
      <c r="H2630" s="466">
        <f>G2630/1.1</f>
        <v>1.5454545454545452</v>
      </c>
      <c r="I2630" s="436"/>
      <c r="J2630" s="465">
        <v>0</v>
      </c>
      <c r="K2630" s="465">
        <v>0</v>
      </c>
    </row>
    <row r="2631" spans="2:11" ht="19" customHeight="1">
      <c r="B2631" s="464">
        <v>46073</v>
      </c>
      <c r="C2631" s="436" t="s">
        <v>253</v>
      </c>
      <c r="D2631" s="436" t="s">
        <v>687</v>
      </c>
      <c r="E2631" s="436">
        <v>1</v>
      </c>
      <c r="F2631" s="465">
        <v>2.95</v>
      </c>
      <c r="G2631" s="466">
        <v>2.95</v>
      </c>
      <c r="H2631" s="466">
        <f>G2631/1.1</f>
        <v>2.6818181818181817</v>
      </c>
      <c r="I2631" s="436"/>
      <c r="J2631" s="465">
        <v>0</v>
      </c>
      <c r="K2631" s="465">
        <v>0</v>
      </c>
    </row>
    <row r="2632" spans="2:11" ht="19" customHeight="1">
      <c r="B2632" s="464">
        <v>46073</v>
      </c>
      <c r="C2632" s="436" t="s">
        <v>264</v>
      </c>
      <c r="D2632" s="436" t="s">
        <v>930</v>
      </c>
      <c r="E2632" s="436">
        <v>1</v>
      </c>
      <c r="F2632" s="465">
        <v>3.5</v>
      </c>
      <c r="G2632" s="466">
        <v>3.5</v>
      </c>
      <c r="H2632" s="466">
        <f>G2632/1.1</f>
        <v>3.1818181818181817</v>
      </c>
      <c r="I2632" s="436"/>
      <c r="J2632" s="465">
        <v>0</v>
      </c>
      <c r="K2632" s="465">
        <v>0</v>
      </c>
    </row>
    <row r="2633" spans="2:11" ht="19" customHeight="1">
      <c r="B2633" s="464">
        <v>46073</v>
      </c>
      <c r="C2633" s="436" t="s">
        <v>253</v>
      </c>
      <c r="D2633" s="436" t="s">
        <v>869</v>
      </c>
      <c r="E2633" s="436">
        <v>1</v>
      </c>
      <c r="F2633" s="465">
        <v>2.5</v>
      </c>
      <c r="G2633" s="466">
        <v>2.5</v>
      </c>
      <c r="H2633" s="466">
        <f>G2633/1.1</f>
        <v>2.2727272727272725</v>
      </c>
      <c r="I2633" s="436"/>
      <c r="J2633" s="465">
        <v>0</v>
      </c>
      <c r="K2633" s="465">
        <v>0</v>
      </c>
    </row>
    <row r="2634" spans="2:11" ht="19" customHeight="1">
      <c r="B2634" s="464">
        <v>46073</v>
      </c>
      <c r="C2634" s="436" t="s">
        <v>253</v>
      </c>
      <c r="D2634" s="436" t="s">
        <v>869</v>
      </c>
      <c r="E2634" s="436">
        <v>1</v>
      </c>
      <c r="F2634" s="465">
        <v>2.5</v>
      </c>
      <c r="G2634" s="466">
        <v>2.5</v>
      </c>
      <c r="H2634" s="466">
        <f>G2634/1.1</f>
        <v>2.2727272727272725</v>
      </c>
      <c r="I2634" s="436"/>
      <c r="J2634" s="465">
        <v>0</v>
      </c>
      <c r="K2634" s="465">
        <v>0</v>
      </c>
    </row>
    <row r="2635" spans="2:11" ht="19" customHeight="1">
      <c r="B2635" s="464">
        <v>46073</v>
      </c>
      <c r="C2635" s="436" t="s">
        <v>268</v>
      </c>
      <c r="D2635" s="436" t="s">
        <v>860</v>
      </c>
      <c r="E2635" s="436">
        <v>1</v>
      </c>
      <c r="F2635" s="465">
        <v>2.25</v>
      </c>
      <c r="G2635" s="466">
        <v>2.25</v>
      </c>
      <c r="H2635" s="466">
        <f>G2635/1.1</f>
        <v>2.0454545454545454</v>
      </c>
      <c r="I2635" s="436"/>
      <c r="J2635" s="465">
        <v>0</v>
      </c>
      <c r="K2635" s="465">
        <v>0</v>
      </c>
    </row>
    <row r="2636" spans="2:11" ht="19" customHeight="1">
      <c r="B2636" s="464">
        <v>46073</v>
      </c>
      <c r="C2636" s="436" t="s">
        <v>247</v>
      </c>
      <c r="D2636" s="436" t="s">
        <v>246</v>
      </c>
      <c r="E2636" s="436">
        <v>1</v>
      </c>
      <c r="F2636" s="465">
        <v>1.7</v>
      </c>
      <c r="G2636" s="466">
        <v>1.7</v>
      </c>
      <c r="H2636" s="466">
        <f>G2636/1.1</f>
        <v>1.5454545454545452</v>
      </c>
      <c r="I2636" s="436"/>
      <c r="J2636" s="465">
        <v>0</v>
      </c>
      <c r="K2636" s="465">
        <v>0</v>
      </c>
    </row>
    <row r="2637" spans="2:11" ht="19" customHeight="1">
      <c r="B2637" s="464">
        <v>46073</v>
      </c>
      <c r="C2637" s="436" t="s">
        <v>247</v>
      </c>
      <c r="D2637" s="436" t="s">
        <v>257</v>
      </c>
      <c r="E2637" s="436">
        <v>1</v>
      </c>
      <c r="F2637" s="465">
        <v>1.4</v>
      </c>
      <c r="G2637" s="466">
        <v>1.4</v>
      </c>
      <c r="H2637" s="466">
        <f>G2637/1.1</f>
        <v>1.2727272727272725</v>
      </c>
      <c r="I2637" s="436"/>
      <c r="J2637" s="465">
        <v>0</v>
      </c>
      <c r="K2637" s="465">
        <v>0</v>
      </c>
    </row>
    <row r="2638" spans="2:11" ht="19" customHeight="1">
      <c r="B2638" s="464">
        <v>46073</v>
      </c>
      <c r="C2638" s="436" t="s">
        <v>247</v>
      </c>
      <c r="D2638" s="436" t="s">
        <v>248</v>
      </c>
      <c r="E2638" s="436">
        <v>1</v>
      </c>
      <c r="F2638" s="465">
        <v>1.5</v>
      </c>
      <c r="G2638" s="466">
        <v>1.5</v>
      </c>
      <c r="H2638" s="466">
        <f>G2638/1.1</f>
        <v>1.3636363636363635</v>
      </c>
      <c r="I2638" s="436"/>
      <c r="J2638" s="465">
        <v>0</v>
      </c>
      <c r="K2638" s="465">
        <v>0</v>
      </c>
    </row>
    <row r="2639" spans="2:11" ht="19" customHeight="1">
      <c r="B2639" s="464">
        <v>46073</v>
      </c>
      <c r="C2639" s="436" t="s">
        <v>247</v>
      </c>
      <c r="D2639" s="436" t="s">
        <v>246</v>
      </c>
      <c r="E2639" s="436">
        <v>1</v>
      </c>
      <c r="F2639" s="465">
        <v>1.7</v>
      </c>
      <c r="G2639" s="466">
        <v>1.7</v>
      </c>
      <c r="H2639" s="466">
        <f>G2639/1.1</f>
        <v>1.5454545454545452</v>
      </c>
      <c r="I2639" s="436"/>
      <c r="J2639" s="465">
        <v>0</v>
      </c>
      <c r="K2639" s="465">
        <v>0</v>
      </c>
    </row>
    <row r="2640" spans="2:11" ht="19" customHeight="1">
      <c r="B2640" s="464">
        <v>46073</v>
      </c>
      <c r="C2640" s="436" t="s">
        <v>247</v>
      </c>
      <c r="D2640" s="436" t="s">
        <v>248</v>
      </c>
      <c r="E2640" s="436">
        <v>1</v>
      </c>
      <c r="F2640" s="465">
        <v>1.5</v>
      </c>
      <c r="G2640" s="466">
        <v>1.5</v>
      </c>
      <c r="H2640" s="466">
        <f>G2640/1.1</f>
        <v>1.3636363636363635</v>
      </c>
      <c r="I2640" s="436"/>
      <c r="J2640" s="465">
        <v>0</v>
      </c>
      <c r="K2640" s="465">
        <v>0</v>
      </c>
    </row>
    <row r="2641" spans="2:11" ht="19" customHeight="1">
      <c r="B2641" s="464">
        <v>46073</v>
      </c>
      <c r="C2641" s="436" t="s">
        <v>247</v>
      </c>
      <c r="D2641" s="436" t="s">
        <v>902</v>
      </c>
      <c r="E2641" s="436">
        <v>1</v>
      </c>
      <c r="F2641" s="465">
        <v>1.95</v>
      </c>
      <c r="G2641" s="466">
        <v>1.95</v>
      </c>
      <c r="H2641" s="466">
        <f>G2641/1.1</f>
        <v>1.7727272727272725</v>
      </c>
      <c r="I2641" s="436"/>
      <c r="J2641" s="465">
        <v>0</v>
      </c>
      <c r="K2641" s="465">
        <v>0</v>
      </c>
    </row>
    <row r="2642" spans="2:11" ht="19" customHeight="1">
      <c r="B2642" s="464">
        <v>46073</v>
      </c>
      <c r="C2642" s="436" t="s">
        <v>268</v>
      </c>
      <c r="D2642" s="436" t="s">
        <v>859</v>
      </c>
      <c r="E2642" s="436">
        <v>1</v>
      </c>
      <c r="F2642" s="465">
        <v>0.75</v>
      </c>
      <c r="G2642" s="466">
        <v>0.75</v>
      </c>
      <c r="H2642" s="466">
        <f>G2642/1.1</f>
        <v>0.68181818181818177</v>
      </c>
      <c r="I2642" s="436"/>
      <c r="J2642" s="465">
        <v>0</v>
      </c>
      <c r="K2642" s="465">
        <v>0</v>
      </c>
    </row>
    <row r="2643" spans="2:11" ht="19" customHeight="1">
      <c r="B2643" s="464">
        <v>46073</v>
      </c>
      <c r="C2643" s="436" t="s">
        <v>247</v>
      </c>
      <c r="D2643" s="436" t="s">
        <v>257</v>
      </c>
      <c r="E2643" s="436">
        <v>1</v>
      </c>
      <c r="F2643" s="465">
        <v>1.4</v>
      </c>
      <c r="G2643" s="466">
        <v>1.4</v>
      </c>
      <c r="H2643" s="466">
        <f>G2643/1.1</f>
        <v>1.2727272727272725</v>
      </c>
      <c r="I2643" s="436"/>
      <c r="J2643" s="465">
        <v>0</v>
      </c>
      <c r="K2643" s="465">
        <v>0</v>
      </c>
    </row>
    <row r="2644" spans="2:11" ht="19" customHeight="1">
      <c r="B2644" s="464">
        <v>46073</v>
      </c>
      <c r="C2644" s="436" t="s">
        <v>268</v>
      </c>
      <c r="D2644" s="436" t="s">
        <v>858</v>
      </c>
      <c r="E2644" s="436">
        <v>2</v>
      </c>
      <c r="F2644" s="465">
        <v>0.65</v>
      </c>
      <c r="G2644" s="466">
        <v>1.3</v>
      </c>
      <c r="H2644" s="466">
        <f>G2644/1.1</f>
        <v>1.1818181818181817</v>
      </c>
      <c r="I2644" s="436"/>
      <c r="J2644" s="465">
        <v>0</v>
      </c>
      <c r="K2644" s="465">
        <v>0</v>
      </c>
    </row>
    <row r="2645" spans="2:11" ht="19" customHeight="1">
      <c r="B2645" s="464">
        <v>46073</v>
      </c>
      <c r="C2645" s="436" t="s">
        <v>268</v>
      </c>
      <c r="D2645" s="436" t="s">
        <v>267</v>
      </c>
      <c r="E2645" s="436">
        <v>2</v>
      </c>
      <c r="F2645" s="465">
        <v>1.5</v>
      </c>
      <c r="G2645" s="466">
        <v>3</v>
      </c>
      <c r="H2645" s="466">
        <f>G2645/1.1</f>
        <v>2.7272727272727271</v>
      </c>
      <c r="I2645" s="436"/>
      <c r="J2645" s="465">
        <v>0</v>
      </c>
      <c r="K2645" s="465">
        <v>0</v>
      </c>
    </row>
    <row r="2646" spans="2:11" ht="19" customHeight="1">
      <c r="B2646" s="464">
        <v>46073</v>
      </c>
      <c r="C2646" s="436" t="s">
        <v>247</v>
      </c>
      <c r="D2646" s="436" t="s">
        <v>246</v>
      </c>
      <c r="E2646" s="436">
        <v>3</v>
      </c>
      <c r="F2646" s="465">
        <v>1.7</v>
      </c>
      <c r="G2646" s="466">
        <v>5.0999999999999996</v>
      </c>
      <c r="H2646" s="466">
        <f>G2646/1.1</f>
        <v>4.6363636363636358</v>
      </c>
      <c r="I2646" s="436"/>
      <c r="J2646" s="465">
        <v>0</v>
      </c>
      <c r="K2646" s="465">
        <v>0</v>
      </c>
    </row>
    <row r="2647" spans="2:11" ht="19" customHeight="1">
      <c r="B2647" s="464">
        <v>46073</v>
      </c>
      <c r="C2647" s="436" t="s">
        <v>327</v>
      </c>
      <c r="D2647" s="436" t="s">
        <v>856</v>
      </c>
      <c r="E2647" s="436">
        <v>1</v>
      </c>
      <c r="F2647" s="465">
        <v>3.5</v>
      </c>
      <c r="G2647" s="466">
        <v>3.5</v>
      </c>
      <c r="H2647" s="466">
        <f>G2647/1.1</f>
        <v>3.1818181818181817</v>
      </c>
      <c r="I2647" s="436"/>
      <c r="J2647" s="465">
        <v>0</v>
      </c>
      <c r="K2647" s="465">
        <v>0</v>
      </c>
    </row>
    <row r="2648" spans="2:11" ht="19" customHeight="1">
      <c r="B2648" s="464">
        <v>46073</v>
      </c>
      <c r="C2648" s="436" t="s">
        <v>268</v>
      </c>
      <c r="D2648" s="436" t="s">
        <v>859</v>
      </c>
      <c r="E2648" s="436">
        <v>1</v>
      </c>
      <c r="F2648" s="465">
        <v>0.75</v>
      </c>
      <c r="G2648" s="466">
        <v>0.75</v>
      </c>
      <c r="H2648" s="466">
        <f>G2648/1.1</f>
        <v>0.68181818181818177</v>
      </c>
      <c r="I2648" s="436"/>
      <c r="J2648" s="465">
        <v>0</v>
      </c>
      <c r="K2648" s="465">
        <v>0</v>
      </c>
    </row>
    <row r="2649" spans="2:11" ht="19" customHeight="1">
      <c r="B2649" s="464">
        <v>46073</v>
      </c>
      <c r="C2649" s="436" t="s">
        <v>268</v>
      </c>
      <c r="D2649" s="436" t="s">
        <v>267</v>
      </c>
      <c r="E2649" s="436">
        <v>1</v>
      </c>
      <c r="F2649" s="465">
        <v>1.5</v>
      </c>
      <c r="G2649" s="466">
        <v>1.5</v>
      </c>
      <c r="H2649" s="466">
        <f>G2649/1.1</f>
        <v>1.3636363636363635</v>
      </c>
      <c r="I2649" s="436"/>
      <c r="J2649" s="465">
        <v>0</v>
      </c>
      <c r="K2649" s="465">
        <v>0</v>
      </c>
    </row>
    <row r="2650" spans="2:11" ht="19" customHeight="1">
      <c r="B2650" s="464">
        <v>46073</v>
      </c>
      <c r="C2650" s="436" t="s">
        <v>247</v>
      </c>
      <c r="D2650" s="436" t="s">
        <v>246</v>
      </c>
      <c r="E2650" s="436">
        <v>2</v>
      </c>
      <c r="F2650" s="465">
        <v>1.7</v>
      </c>
      <c r="G2650" s="466">
        <v>3.4</v>
      </c>
      <c r="H2650" s="466">
        <f>G2650/1.1</f>
        <v>3.0909090909090904</v>
      </c>
      <c r="I2650" s="436"/>
      <c r="J2650" s="465">
        <v>0</v>
      </c>
      <c r="K2650" s="465">
        <v>0</v>
      </c>
    </row>
    <row r="2651" spans="2:11" ht="19" customHeight="1">
      <c r="B2651" s="464">
        <v>46073</v>
      </c>
      <c r="C2651" s="436" t="s">
        <v>247</v>
      </c>
      <c r="D2651" s="436" t="s">
        <v>246</v>
      </c>
      <c r="E2651" s="436">
        <v>1</v>
      </c>
      <c r="F2651" s="465">
        <v>1.7</v>
      </c>
      <c r="G2651" s="466">
        <v>1.7</v>
      </c>
      <c r="H2651" s="466">
        <f>G2651/1.1</f>
        <v>1.5454545454545452</v>
      </c>
      <c r="I2651" s="436"/>
      <c r="J2651" s="465">
        <v>0</v>
      </c>
      <c r="K2651" s="465">
        <v>0</v>
      </c>
    </row>
    <row r="2652" spans="2:11" ht="19" customHeight="1">
      <c r="B2652" s="464">
        <v>46073</v>
      </c>
      <c r="C2652" s="436" t="s">
        <v>247</v>
      </c>
      <c r="D2652" s="436" t="s">
        <v>248</v>
      </c>
      <c r="E2652" s="436">
        <v>1</v>
      </c>
      <c r="F2652" s="465">
        <v>1.5</v>
      </c>
      <c r="G2652" s="466">
        <v>1.5</v>
      </c>
      <c r="H2652" s="466">
        <f>G2652/1.1</f>
        <v>1.3636363636363635</v>
      </c>
      <c r="I2652" s="436"/>
      <c r="J2652" s="465">
        <v>0</v>
      </c>
      <c r="K2652" s="465">
        <v>0</v>
      </c>
    </row>
    <row r="2653" spans="2:11" ht="19" customHeight="1">
      <c r="B2653" s="464">
        <v>46073</v>
      </c>
      <c r="C2653" s="436" t="s">
        <v>268</v>
      </c>
      <c r="D2653" s="436" t="s">
        <v>267</v>
      </c>
      <c r="E2653" s="436">
        <v>1</v>
      </c>
      <c r="F2653" s="465">
        <v>1.5</v>
      </c>
      <c r="G2653" s="466">
        <v>1.5</v>
      </c>
      <c r="H2653" s="466">
        <f>G2653/1.1</f>
        <v>1.3636363636363635</v>
      </c>
      <c r="I2653" s="436"/>
      <c r="J2653" s="465">
        <v>0</v>
      </c>
      <c r="K2653" s="465">
        <v>0</v>
      </c>
    </row>
    <row r="2654" spans="2:11" ht="19" customHeight="1">
      <c r="B2654" s="464">
        <v>46073</v>
      </c>
      <c r="C2654" s="436" t="s">
        <v>247</v>
      </c>
      <c r="D2654" s="436" t="s">
        <v>248</v>
      </c>
      <c r="E2654" s="436">
        <v>1</v>
      </c>
      <c r="F2654" s="465">
        <v>1.5</v>
      </c>
      <c r="G2654" s="466">
        <v>1.5</v>
      </c>
      <c r="H2654" s="466">
        <f>G2654/1.1</f>
        <v>1.3636363636363635</v>
      </c>
      <c r="I2654" s="436"/>
      <c r="J2654" s="465">
        <v>0</v>
      </c>
      <c r="K2654" s="465">
        <v>0</v>
      </c>
    </row>
    <row r="2655" spans="2:11" ht="19" customHeight="1">
      <c r="B2655" s="464">
        <v>46073</v>
      </c>
      <c r="C2655" s="436" t="s">
        <v>247</v>
      </c>
      <c r="D2655" s="436" t="s">
        <v>246</v>
      </c>
      <c r="E2655" s="436">
        <v>2</v>
      </c>
      <c r="F2655" s="465">
        <v>1.7</v>
      </c>
      <c r="G2655" s="466">
        <v>3.4</v>
      </c>
      <c r="H2655" s="466">
        <f>G2655/1.1</f>
        <v>3.0909090909090904</v>
      </c>
      <c r="I2655" s="436"/>
      <c r="J2655" s="465">
        <v>0</v>
      </c>
      <c r="K2655" s="465">
        <v>0</v>
      </c>
    </row>
    <row r="2656" spans="2:11" ht="19" customHeight="1">
      <c r="B2656" s="464">
        <v>46073</v>
      </c>
      <c r="C2656" s="436" t="s">
        <v>247</v>
      </c>
      <c r="D2656" s="436" t="s">
        <v>248</v>
      </c>
      <c r="E2656" s="436">
        <v>1</v>
      </c>
      <c r="F2656" s="465">
        <v>1.5</v>
      </c>
      <c r="G2656" s="466">
        <v>1.5</v>
      </c>
      <c r="H2656" s="466">
        <f>G2656/1.1</f>
        <v>1.3636363636363635</v>
      </c>
      <c r="I2656" s="436"/>
      <c r="J2656" s="465">
        <v>0</v>
      </c>
      <c r="K2656" s="465">
        <v>0</v>
      </c>
    </row>
    <row r="2657" spans="2:11" ht="19" customHeight="1">
      <c r="B2657" s="464">
        <v>46073</v>
      </c>
      <c r="C2657" s="436" t="s">
        <v>268</v>
      </c>
      <c r="D2657" s="436" t="s">
        <v>860</v>
      </c>
      <c r="E2657" s="436">
        <v>1</v>
      </c>
      <c r="F2657" s="465">
        <v>2.25</v>
      </c>
      <c r="G2657" s="466">
        <v>2.25</v>
      </c>
      <c r="H2657" s="466">
        <f>G2657/1.1</f>
        <v>2.0454545454545454</v>
      </c>
      <c r="I2657" s="436"/>
      <c r="J2657" s="465">
        <v>0</v>
      </c>
      <c r="K2657" s="465">
        <v>0</v>
      </c>
    </row>
    <row r="2658" spans="2:11" ht="19" customHeight="1">
      <c r="B2658" s="464">
        <v>46073</v>
      </c>
      <c r="C2658" s="436" t="s">
        <v>247</v>
      </c>
      <c r="D2658" s="436" t="s">
        <v>246</v>
      </c>
      <c r="E2658" s="436">
        <v>1</v>
      </c>
      <c r="F2658" s="465">
        <v>1.7</v>
      </c>
      <c r="G2658" s="466">
        <v>1.7</v>
      </c>
      <c r="H2658" s="466">
        <f>G2658/1.1</f>
        <v>1.5454545454545452</v>
      </c>
      <c r="I2658" s="436"/>
      <c r="J2658" s="465">
        <v>0</v>
      </c>
      <c r="K2658" s="465">
        <v>0</v>
      </c>
    </row>
    <row r="2659" spans="2:11" ht="19" customHeight="1">
      <c r="B2659" s="464">
        <v>46073</v>
      </c>
      <c r="C2659" s="436" t="s">
        <v>247</v>
      </c>
      <c r="D2659" s="436" t="s">
        <v>246</v>
      </c>
      <c r="E2659" s="436">
        <v>2</v>
      </c>
      <c r="F2659" s="465">
        <v>1.7</v>
      </c>
      <c r="G2659" s="466">
        <v>3.4</v>
      </c>
      <c r="H2659" s="466">
        <f>G2659/1.1</f>
        <v>3.0909090909090904</v>
      </c>
      <c r="I2659" s="436"/>
      <c r="J2659" s="465">
        <v>0</v>
      </c>
      <c r="K2659" s="465">
        <v>0</v>
      </c>
    </row>
    <row r="2660" spans="2:11" ht="19" customHeight="1">
      <c r="B2660" s="464">
        <v>46073</v>
      </c>
      <c r="C2660" s="436" t="s">
        <v>247</v>
      </c>
      <c r="D2660" s="436" t="s">
        <v>248</v>
      </c>
      <c r="E2660" s="436">
        <v>1</v>
      </c>
      <c r="F2660" s="465">
        <v>1.65</v>
      </c>
      <c r="G2660" s="466">
        <v>1.65</v>
      </c>
      <c r="H2660" s="466">
        <f>G2660/1.1</f>
        <v>1.4999999999999998</v>
      </c>
      <c r="I2660" s="436"/>
      <c r="J2660" s="465">
        <v>0</v>
      </c>
      <c r="K2660" s="465">
        <v>0</v>
      </c>
    </row>
    <row r="2661" spans="2:11" ht="19" customHeight="1">
      <c r="B2661" s="464">
        <v>46073</v>
      </c>
      <c r="C2661" s="436" t="s">
        <v>276</v>
      </c>
      <c r="D2661" s="436" t="s">
        <v>909</v>
      </c>
      <c r="E2661" s="436">
        <v>2</v>
      </c>
      <c r="F2661" s="465">
        <v>4.8499999999999996</v>
      </c>
      <c r="G2661" s="466">
        <v>9.6999999999999993</v>
      </c>
      <c r="H2661" s="466">
        <f>G2661/1.1</f>
        <v>8.8181818181818166</v>
      </c>
      <c r="I2661" s="436"/>
      <c r="J2661" s="465">
        <v>0</v>
      </c>
      <c r="K2661" s="465">
        <v>0</v>
      </c>
    </row>
    <row r="2662" spans="2:11" ht="19" customHeight="1">
      <c r="B2662" s="464">
        <v>46073</v>
      </c>
      <c r="C2662" s="436" t="s">
        <v>264</v>
      </c>
      <c r="D2662" s="436" t="s">
        <v>930</v>
      </c>
      <c r="E2662" s="436">
        <v>1</v>
      </c>
      <c r="F2662" s="465">
        <v>3.5</v>
      </c>
      <c r="G2662" s="466">
        <v>3.5</v>
      </c>
      <c r="H2662" s="466">
        <f>G2662/1.1</f>
        <v>3.1818181818181817</v>
      </c>
      <c r="I2662" s="436"/>
      <c r="J2662" s="465">
        <v>0</v>
      </c>
      <c r="K2662" s="465">
        <v>0</v>
      </c>
    </row>
    <row r="2663" spans="2:11" ht="19" customHeight="1">
      <c r="B2663" s="464">
        <v>46073</v>
      </c>
      <c r="C2663" s="436" t="s">
        <v>321</v>
      </c>
      <c r="D2663" s="436" t="s">
        <v>953</v>
      </c>
      <c r="E2663" s="436">
        <v>1</v>
      </c>
      <c r="F2663" s="465">
        <v>10</v>
      </c>
      <c r="G2663" s="466">
        <v>10</v>
      </c>
      <c r="H2663" s="466">
        <f>G2663/1.1</f>
        <v>9.0909090909090899</v>
      </c>
      <c r="I2663" s="436"/>
      <c r="J2663" s="465">
        <v>0</v>
      </c>
      <c r="K2663" s="465">
        <v>0</v>
      </c>
    </row>
    <row r="2664" spans="2:11" ht="19" customHeight="1">
      <c r="B2664" s="464">
        <v>46073</v>
      </c>
      <c r="C2664" s="436" t="s">
        <v>253</v>
      </c>
      <c r="D2664" s="436" t="s">
        <v>965</v>
      </c>
      <c r="E2664" s="436">
        <v>2</v>
      </c>
      <c r="F2664" s="465">
        <v>2.5</v>
      </c>
      <c r="G2664" s="466">
        <v>5</v>
      </c>
      <c r="H2664" s="466">
        <f>G2664/1.1</f>
        <v>4.545454545454545</v>
      </c>
      <c r="I2664" s="436"/>
      <c r="J2664" s="465">
        <v>0</v>
      </c>
      <c r="K2664" s="465">
        <v>0</v>
      </c>
    </row>
    <row r="2665" spans="2:11" ht="19" customHeight="1">
      <c r="B2665" s="464">
        <v>46073</v>
      </c>
      <c r="C2665" s="436" t="s">
        <v>253</v>
      </c>
      <c r="D2665" s="436" t="s">
        <v>676</v>
      </c>
      <c r="E2665" s="436">
        <v>1</v>
      </c>
      <c r="F2665" s="465">
        <v>2.95</v>
      </c>
      <c r="G2665" s="466">
        <v>2.95</v>
      </c>
      <c r="H2665" s="466">
        <f>G2665/1.1</f>
        <v>2.6818181818181817</v>
      </c>
      <c r="I2665" s="436"/>
      <c r="J2665" s="465">
        <v>0</v>
      </c>
      <c r="K2665" s="465">
        <v>0</v>
      </c>
    </row>
    <row r="2666" spans="2:11" ht="19" customHeight="1">
      <c r="B2666" s="464">
        <v>46073</v>
      </c>
      <c r="C2666" s="436" t="s">
        <v>251</v>
      </c>
      <c r="D2666" s="436" t="s">
        <v>926</v>
      </c>
      <c r="E2666" s="436">
        <v>1</v>
      </c>
      <c r="F2666" s="465">
        <v>2.65</v>
      </c>
      <c r="G2666" s="466">
        <v>2.65</v>
      </c>
      <c r="H2666" s="466">
        <f>G2666/1.1</f>
        <v>2.4090909090909087</v>
      </c>
      <c r="I2666" s="436"/>
      <c r="J2666" s="465">
        <v>0</v>
      </c>
      <c r="K2666" s="465">
        <v>0</v>
      </c>
    </row>
    <row r="2667" spans="2:11" ht="19" customHeight="1">
      <c r="B2667" s="464">
        <v>46073</v>
      </c>
      <c r="C2667" s="436" t="s">
        <v>264</v>
      </c>
      <c r="D2667" s="436" t="s">
        <v>930</v>
      </c>
      <c r="E2667" s="436">
        <v>1</v>
      </c>
      <c r="F2667" s="465">
        <v>3.5</v>
      </c>
      <c r="G2667" s="466">
        <v>3.5</v>
      </c>
      <c r="H2667" s="466">
        <f>G2667/1.1</f>
        <v>3.1818181818181817</v>
      </c>
      <c r="I2667" s="436"/>
      <c r="J2667" s="465">
        <v>0</v>
      </c>
      <c r="K2667" s="465">
        <v>0</v>
      </c>
    </row>
    <row r="2668" spans="2:11" ht="19" customHeight="1">
      <c r="B2668" s="464">
        <v>46073</v>
      </c>
      <c r="C2668" s="436" t="s">
        <v>256</v>
      </c>
      <c r="D2668" s="436" t="s">
        <v>697</v>
      </c>
      <c r="E2668" s="436">
        <v>1</v>
      </c>
      <c r="F2668" s="465">
        <v>10.9</v>
      </c>
      <c r="G2668" s="466">
        <v>10.9</v>
      </c>
      <c r="H2668" s="466">
        <f>G2668/1.1</f>
        <v>9.9090909090909083</v>
      </c>
      <c r="I2668" s="436"/>
      <c r="J2668" s="465">
        <v>0</v>
      </c>
      <c r="K2668" s="465">
        <v>0</v>
      </c>
    </row>
    <row r="2669" spans="2:11" ht="19" customHeight="1">
      <c r="B2669" s="464">
        <v>46073</v>
      </c>
      <c r="C2669" s="436" t="s">
        <v>256</v>
      </c>
      <c r="D2669" s="436" t="s">
        <v>262</v>
      </c>
      <c r="E2669" s="436">
        <v>1</v>
      </c>
      <c r="F2669" s="465">
        <v>11.9</v>
      </c>
      <c r="G2669" s="466">
        <v>11.9</v>
      </c>
      <c r="H2669" s="466">
        <f>G2669/1.1</f>
        <v>10.818181818181818</v>
      </c>
      <c r="I2669" s="436"/>
      <c r="J2669" s="465">
        <v>0</v>
      </c>
      <c r="K2669" s="465">
        <v>0</v>
      </c>
    </row>
    <row r="2670" spans="2:11" ht="19" customHeight="1">
      <c r="B2670" s="464">
        <v>46073</v>
      </c>
      <c r="C2670" s="436" t="s">
        <v>256</v>
      </c>
      <c r="D2670" s="436" t="s">
        <v>1113</v>
      </c>
      <c r="E2670" s="436">
        <v>1</v>
      </c>
      <c r="F2670" s="465">
        <v>9.9</v>
      </c>
      <c r="G2670" s="466">
        <v>9.9</v>
      </c>
      <c r="H2670" s="466">
        <f>G2670/1.1</f>
        <v>9</v>
      </c>
      <c r="I2670" s="436"/>
      <c r="J2670" s="465">
        <v>0</v>
      </c>
      <c r="K2670" s="465">
        <v>0</v>
      </c>
    </row>
    <row r="2671" spans="2:11" ht="19" customHeight="1">
      <c r="B2671" s="464">
        <v>46073</v>
      </c>
      <c r="C2671" s="436" t="s">
        <v>256</v>
      </c>
      <c r="D2671" s="436" t="s">
        <v>870</v>
      </c>
      <c r="E2671" s="436">
        <v>1</v>
      </c>
      <c r="F2671" s="465">
        <v>8.5</v>
      </c>
      <c r="G2671" s="466">
        <v>8.5</v>
      </c>
      <c r="H2671" s="466">
        <f>G2671/1.1</f>
        <v>7.7272727272727266</v>
      </c>
      <c r="I2671" s="436"/>
      <c r="J2671" s="465">
        <v>0</v>
      </c>
      <c r="K2671" s="465">
        <v>0</v>
      </c>
    </row>
    <row r="2672" spans="2:11" ht="19" customHeight="1">
      <c r="B2672" s="464">
        <v>46073</v>
      </c>
      <c r="C2672" s="436" t="s">
        <v>256</v>
      </c>
      <c r="D2672" s="436" t="s">
        <v>675</v>
      </c>
      <c r="E2672" s="436">
        <v>2</v>
      </c>
      <c r="F2672" s="465">
        <v>5.5</v>
      </c>
      <c r="G2672" s="466">
        <v>11</v>
      </c>
      <c r="H2672" s="466">
        <f>G2672/1.1</f>
        <v>10</v>
      </c>
      <c r="I2672" s="436"/>
      <c r="J2672" s="465">
        <v>0</v>
      </c>
      <c r="K2672" s="465">
        <v>0</v>
      </c>
    </row>
    <row r="2673" spans="2:11" ht="19" customHeight="1">
      <c r="B2673" s="464">
        <v>46073</v>
      </c>
      <c r="C2673" s="436" t="s">
        <v>275</v>
      </c>
      <c r="D2673" s="436" t="s">
        <v>897</v>
      </c>
      <c r="E2673" s="436">
        <v>1</v>
      </c>
      <c r="F2673" s="465">
        <v>6.5</v>
      </c>
      <c r="G2673" s="466">
        <v>6.5</v>
      </c>
      <c r="H2673" s="466">
        <f>G2673/1.1</f>
        <v>5.9090909090909083</v>
      </c>
      <c r="I2673" s="436"/>
      <c r="J2673" s="465">
        <v>0</v>
      </c>
      <c r="K2673" s="465">
        <v>0</v>
      </c>
    </row>
    <row r="2674" spans="2:11" ht="19" customHeight="1">
      <c r="B2674" s="464">
        <v>46073</v>
      </c>
      <c r="C2674" s="436" t="s">
        <v>275</v>
      </c>
      <c r="D2674" s="436" t="s">
        <v>951</v>
      </c>
      <c r="E2674" s="436">
        <v>2</v>
      </c>
      <c r="F2674" s="465">
        <v>5.25</v>
      </c>
      <c r="G2674" s="466">
        <v>10.5</v>
      </c>
      <c r="H2674" s="466">
        <f>G2674/1.1</f>
        <v>9.545454545454545</v>
      </c>
      <c r="I2674" s="436"/>
      <c r="J2674" s="465">
        <v>0</v>
      </c>
      <c r="K2674" s="465">
        <v>0</v>
      </c>
    </row>
    <row r="2675" spans="2:11" ht="19" customHeight="1">
      <c r="B2675" s="464">
        <v>46073</v>
      </c>
      <c r="C2675" s="436" t="s">
        <v>276</v>
      </c>
      <c r="D2675" s="436" t="s">
        <v>1017</v>
      </c>
      <c r="E2675" s="436">
        <v>4</v>
      </c>
      <c r="F2675" s="465">
        <v>4.9000000000000004</v>
      </c>
      <c r="G2675" s="466">
        <v>19.600000000000001</v>
      </c>
      <c r="H2675" s="466">
        <f>G2675/1.1</f>
        <v>17.818181818181817</v>
      </c>
      <c r="I2675" s="436"/>
      <c r="J2675" s="465">
        <v>0</v>
      </c>
      <c r="K2675" s="465">
        <v>0</v>
      </c>
    </row>
    <row r="2676" spans="2:11" ht="19" customHeight="1">
      <c r="B2676" s="464">
        <v>46073</v>
      </c>
      <c r="C2676" s="436" t="s">
        <v>256</v>
      </c>
      <c r="D2676" s="436" t="s">
        <v>738</v>
      </c>
      <c r="E2676" s="436">
        <v>1</v>
      </c>
      <c r="F2676" s="465">
        <v>8.15</v>
      </c>
      <c r="G2676" s="466">
        <v>8.15</v>
      </c>
      <c r="H2676" s="466">
        <f>G2676/1.1</f>
        <v>7.4090909090909092</v>
      </c>
      <c r="I2676" s="436"/>
      <c r="J2676" s="465">
        <v>0</v>
      </c>
      <c r="K2676" s="465">
        <v>0</v>
      </c>
    </row>
    <row r="2677" spans="2:11" ht="19" customHeight="1">
      <c r="B2677" s="464">
        <v>46073</v>
      </c>
      <c r="C2677" s="436" t="s">
        <v>256</v>
      </c>
      <c r="D2677" s="436" t="s">
        <v>255</v>
      </c>
      <c r="E2677" s="436">
        <v>1</v>
      </c>
      <c r="F2677" s="465">
        <v>5.85</v>
      </c>
      <c r="G2677" s="466">
        <v>5.85</v>
      </c>
      <c r="H2677" s="466">
        <f>G2677/1.1</f>
        <v>5.3181818181818175</v>
      </c>
      <c r="I2677" s="436"/>
      <c r="J2677" s="465">
        <v>0</v>
      </c>
      <c r="K2677" s="465">
        <v>0</v>
      </c>
    </row>
    <row r="2678" spans="2:11" ht="19" customHeight="1">
      <c r="B2678" s="464">
        <v>46073</v>
      </c>
      <c r="C2678" s="436" t="s">
        <v>247</v>
      </c>
      <c r="D2678" s="436" t="s">
        <v>246</v>
      </c>
      <c r="E2678" s="436">
        <v>1</v>
      </c>
      <c r="F2678" s="465">
        <v>1.7</v>
      </c>
      <c r="G2678" s="466">
        <v>1.7</v>
      </c>
      <c r="H2678" s="466">
        <f>G2678/1.1</f>
        <v>1.5454545454545452</v>
      </c>
      <c r="I2678" s="436"/>
      <c r="J2678" s="465">
        <v>0</v>
      </c>
      <c r="K2678" s="465">
        <v>0</v>
      </c>
    </row>
    <row r="2679" spans="2:11" ht="19" customHeight="1">
      <c r="B2679" s="464">
        <v>46073</v>
      </c>
      <c r="C2679" s="436" t="s">
        <v>247</v>
      </c>
      <c r="D2679" s="436" t="s">
        <v>248</v>
      </c>
      <c r="E2679" s="436">
        <v>1</v>
      </c>
      <c r="F2679" s="465">
        <v>1.65</v>
      </c>
      <c r="G2679" s="466">
        <v>1.65</v>
      </c>
      <c r="H2679" s="466">
        <f>G2679/1.1</f>
        <v>1.4999999999999998</v>
      </c>
      <c r="I2679" s="436"/>
      <c r="J2679" s="465">
        <v>0</v>
      </c>
      <c r="K2679" s="465">
        <v>0</v>
      </c>
    </row>
    <row r="2680" spans="2:11" ht="19" customHeight="1">
      <c r="B2680" s="464">
        <v>46073</v>
      </c>
      <c r="C2680" s="436" t="s">
        <v>247</v>
      </c>
      <c r="D2680" s="436" t="s">
        <v>902</v>
      </c>
      <c r="E2680" s="436">
        <v>1</v>
      </c>
      <c r="F2680" s="465">
        <v>1.95</v>
      </c>
      <c r="G2680" s="466">
        <v>1.95</v>
      </c>
      <c r="H2680" s="466">
        <f>G2680/1.1</f>
        <v>1.7727272727272725</v>
      </c>
      <c r="I2680" s="436"/>
      <c r="J2680" s="465">
        <v>0</v>
      </c>
      <c r="K2680" s="465">
        <v>0</v>
      </c>
    </row>
    <row r="2681" spans="2:11" ht="19" customHeight="1">
      <c r="B2681" s="464">
        <v>46073</v>
      </c>
      <c r="C2681" s="436" t="s">
        <v>253</v>
      </c>
      <c r="D2681" s="436" t="s">
        <v>869</v>
      </c>
      <c r="E2681" s="436">
        <v>2</v>
      </c>
      <c r="F2681" s="465">
        <v>2.5</v>
      </c>
      <c r="G2681" s="466">
        <v>5</v>
      </c>
      <c r="H2681" s="466">
        <f>G2681/1.1</f>
        <v>4.545454545454545</v>
      </c>
      <c r="I2681" s="436"/>
      <c r="J2681" s="465">
        <v>0</v>
      </c>
      <c r="K2681" s="465">
        <v>0</v>
      </c>
    </row>
    <row r="2682" spans="2:11" ht="19" customHeight="1">
      <c r="B2682" s="464">
        <v>46073</v>
      </c>
      <c r="C2682" s="436" t="s">
        <v>251</v>
      </c>
      <c r="D2682" s="436" t="s">
        <v>250</v>
      </c>
      <c r="E2682" s="436">
        <v>1</v>
      </c>
      <c r="F2682" s="465">
        <v>1.8</v>
      </c>
      <c r="G2682" s="466">
        <v>1.8</v>
      </c>
      <c r="H2682" s="466">
        <f>G2682/1.1</f>
        <v>1.6363636363636362</v>
      </c>
      <c r="I2682" s="436"/>
      <c r="J2682" s="465">
        <v>0</v>
      </c>
      <c r="K2682" s="465">
        <v>0</v>
      </c>
    </row>
    <row r="2683" spans="2:11" ht="19" customHeight="1">
      <c r="B2683" s="464">
        <v>46073</v>
      </c>
      <c r="C2683" s="436" t="s">
        <v>264</v>
      </c>
      <c r="D2683" s="436" t="s">
        <v>930</v>
      </c>
      <c r="E2683" s="436">
        <v>1</v>
      </c>
      <c r="F2683" s="465">
        <v>3.5</v>
      </c>
      <c r="G2683" s="466">
        <v>3.5</v>
      </c>
      <c r="H2683" s="466">
        <f>G2683/1.1</f>
        <v>3.1818181818181817</v>
      </c>
      <c r="I2683" s="436"/>
      <c r="J2683" s="465">
        <v>0</v>
      </c>
      <c r="K2683" s="465">
        <v>0</v>
      </c>
    </row>
    <row r="2684" spans="2:11" ht="19" customHeight="1">
      <c r="B2684" s="464">
        <v>46073</v>
      </c>
      <c r="C2684" s="436" t="s">
        <v>764</v>
      </c>
      <c r="D2684" s="436" t="s">
        <v>1138</v>
      </c>
      <c r="E2684" s="436">
        <v>1</v>
      </c>
      <c r="F2684" s="465">
        <v>10</v>
      </c>
      <c r="G2684" s="466">
        <v>10</v>
      </c>
      <c r="H2684" s="466">
        <f>G2684/1.1</f>
        <v>9.0909090909090899</v>
      </c>
      <c r="I2684" s="436"/>
      <c r="J2684" s="465">
        <v>0</v>
      </c>
      <c r="K2684" s="465">
        <v>0</v>
      </c>
    </row>
    <row r="2685" spans="2:11" ht="19" customHeight="1">
      <c r="B2685" s="464">
        <v>46073</v>
      </c>
      <c r="C2685" s="436" t="s">
        <v>326</v>
      </c>
      <c r="D2685" s="436" t="s">
        <v>1139</v>
      </c>
      <c r="E2685" s="436">
        <v>1</v>
      </c>
      <c r="F2685" s="465">
        <v>10</v>
      </c>
      <c r="G2685" s="466">
        <v>10</v>
      </c>
      <c r="H2685" s="466">
        <f>G2685/1.1</f>
        <v>9.0909090909090899</v>
      </c>
      <c r="I2685" s="436"/>
      <c r="J2685" s="465">
        <v>0</v>
      </c>
      <c r="K2685" s="465">
        <v>0</v>
      </c>
    </row>
    <row r="2686" spans="2:11" ht="19" customHeight="1">
      <c r="B2686" s="464">
        <v>46073</v>
      </c>
      <c r="C2686" s="436" t="s">
        <v>256</v>
      </c>
      <c r="D2686" s="436" t="s">
        <v>751</v>
      </c>
      <c r="E2686" s="436">
        <v>1</v>
      </c>
      <c r="F2686" s="465">
        <v>7.9</v>
      </c>
      <c r="G2686" s="466">
        <v>7.9</v>
      </c>
      <c r="H2686" s="466">
        <f>G2686/1.1</f>
        <v>7.1818181818181817</v>
      </c>
      <c r="I2686" s="436"/>
      <c r="J2686" s="465">
        <v>0</v>
      </c>
      <c r="K2686" s="465">
        <v>0</v>
      </c>
    </row>
    <row r="2687" spans="2:11" ht="19" customHeight="1">
      <c r="B2687" s="464">
        <v>46073</v>
      </c>
      <c r="C2687" s="436" t="s">
        <v>256</v>
      </c>
      <c r="D2687" s="436" t="s">
        <v>262</v>
      </c>
      <c r="E2687" s="436">
        <v>1</v>
      </c>
      <c r="F2687" s="465">
        <v>11.9</v>
      </c>
      <c r="G2687" s="466">
        <v>11.9</v>
      </c>
      <c r="H2687" s="466">
        <f>G2687/1.1</f>
        <v>10.818181818181818</v>
      </c>
      <c r="I2687" s="436"/>
      <c r="J2687" s="465">
        <v>0</v>
      </c>
      <c r="K2687" s="465">
        <v>0</v>
      </c>
    </row>
    <row r="2688" spans="2:11" ht="19" customHeight="1">
      <c r="B2688" s="464">
        <v>46073</v>
      </c>
      <c r="C2688" s="436" t="s">
        <v>251</v>
      </c>
      <c r="D2688" s="436" t="s">
        <v>265</v>
      </c>
      <c r="E2688" s="436">
        <v>1</v>
      </c>
      <c r="F2688" s="465">
        <v>2.65</v>
      </c>
      <c r="G2688" s="466">
        <v>2.65</v>
      </c>
      <c r="H2688" s="466">
        <f>G2688/1.1</f>
        <v>2.4090909090909087</v>
      </c>
      <c r="I2688" s="436"/>
      <c r="J2688" s="465">
        <v>0</v>
      </c>
      <c r="K2688" s="465">
        <v>0</v>
      </c>
    </row>
    <row r="2689" spans="2:11" ht="19" customHeight="1">
      <c r="B2689" s="464">
        <v>46073</v>
      </c>
      <c r="C2689" s="436" t="s">
        <v>327</v>
      </c>
      <c r="D2689" s="436" t="s">
        <v>905</v>
      </c>
      <c r="E2689" s="436">
        <v>1</v>
      </c>
      <c r="F2689" s="465">
        <v>5.95</v>
      </c>
      <c r="G2689" s="466">
        <v>5.95</v>
      </c>
      <c r="H2689" s="466">
        <f>G2689/1.1</f>
        <v>5.4090909090909092</v>
      </c>
      <c r="I2689" s="436"/>
      <c r="J2689" s="465">
        <v>0</v>
      </c>
      <c r="K2689" s="465">
        <v>0</v>
      </c>
    </row>
    <row r="2690" spans="2:11" ht="19" customHeight="1">
      <c r="B2690" s="464">
        <v>46073</v>
      </c>
      <c r="C2690" s="436" t="s">
        <v>253</v>
      </c>
      <c r="D2690" s="436" t="s">
        <v>869</v>
      </c>
      <c r="E2690" s="436">
        <v>2</v>
      </c>
      <c r="F2690" s="465">
        <v>2.5</v>
      </c>
      <c r="G2690" s="466">
        <v>5</v>
      </c>
      <c r="H2690" s="466">
        <f>G2690/1.1</f>
        <v>4.545454545454545</v>
      </c>
      <c r="I2690" s="436"/>
      <c r="J2690" s="465">
        <v>0</v>
      </c>
      <c r="K2690" s="465">
        <v>0</v>
      </c>
    </row>
    <row r="2691" spans="2:11" ht="19" customHeight="1">
      <c r="B2691" s="464">
        <v>46074</v>
      </c>
      <c r="C2691" s="436" t="s">
        <v>328</v>
      </c>
      <c r="D2691" s="436" t="s">
        <v>861</v>
      </c>
      <c r="E2691" s="436">
        <v>1</v>
      </c>
      <c r="F2691" s="465">
        <v>3.25</v>
      </c>
      <c r="G2691" s="466">
        <v>3.25</v>
      </c>
      <c r="H2691" s="466">
        <f>G2691/1.1</f>
        <v>2.9545454545454541</v>
      </c>
      <c r="I2691" s="436"/>
      <c r="J2691" s="465">
        <v>0</v>
      </c>
      <c r="K2691" s="465">
        <v>0</v>
      </c>
    </row>
    <row r="2692" spans="2:11" ht="19" customHeight="1">
      <c r="B2692" s="464">
        <v>46074</v>
      </c>
      <c r="C2692" s="436" t="s">
        <v>327</v>
      </c>
      <c r="D2692" s="436" t="s">
        <v>903</v>
      </c>
      <c r="E2692" s="436">
        <v>1</v>
      </c>
      <c r="F2692" s="465">
        <v>3.5</v>
      </c>
      <c r="G2692" s="466">
        <v>3.5</v>
      </c>
      <c r="H2692" s="466">
        <f>G2692/1.1</f>
        <v>3.1818181818181817</v>
      </c>
      <c r="I2692" s="436"/>
      <c r="J2692" s="465">
        <v>0</v>
      </c>
      <c r="K2692" s="465">
        <v>0</v>
      </c>
    </row>
    <row r="2693" spans="2:11" ht="19" customHeight="1">
      <c r="B2693" s="464">
        <v>46074</v>
      </c>
      <c r="C2693" s="436" t="s">
        <v>251</v>
      </c>
      <c r="D2693" s="436" t="s">
        <v>265</v>
      </c>
      <c r="E2693" s="436">
        <v>1</v>
      </c>
      <c r="F2693" s="465">
        <v>2.65</v>
      </c>
      <c r="G2693" s="466">
        <v>2.65</v>
      </c>
      <c r="H2693" s="466">
        <f>G2693/1.1</f>
        <v>2.4090909090909087</v>
      </c>
      <c r="I2693" s="436"/>
      <c r="J2693" s="465">
        <v>0</v>
      </c>
      <c r="K2693" s="465">
        <v>0</v>
      </c>
    </row>
    <row r="2694" spans="2:11" ht="19" customHeight="1">
      <c r="B2694" s="464">
        <v>46074</v>
      </c>
      <c r="C2694" s="436" t="s">
        <v>251</v>
      </c>
      <c r="D2694" s="436" t="s">
        <v>945</v>
      </c>
      <c r="E2694" s="436">
        <v>1</v>
      </c>
      <c r="F2694" s="465">
        <v>2.65</v>
      </c>
      <c r="G2694" s="466">
        <v>2.65</v>
      </c>
      <c r="H2694" s="466">
        <f>G2694/1.1</f>
        <v>2.4090909090909087</v>
      </c>
      <c r="I2694" s="436"/>
      <c r="J2694" s="465">
        <v>0</v>
      </c>
      <c r="K2694" s="465">
        <v>0</v>
      </c>
    </row>
    <row r="2695" spans="2:11" ht="19" customHeight="1">
      <c r="B2695" s="464">
        <v>46074</v>
      </c>
      <c r="C2695" s="436" t="s">
        <v>247</v>
      </c>
      <c r="D2695" s="436" t="s">
        <v>257</v>
      </c>
      <c r="E2695" s="436">
        <v>1</v>
      </c>
      <c r="F2695" s="465">
        <v>1.4</v>
      </c>
      <c r="G2695" s="466">
        <v>1.4</v>
      </c>
      <c r="H2695" s="466">
        <f>G2695/1.1</f>
        <v>1.2727272727272725</v>
      </c>
      <c r="I2695" s="436"/>
      <c r="J2695" s="465">
        <v>0</v>
      </c>
      <c r="K2695" s="465">
        <v>0</v>
      </c>
    </row>
    <row r="2696" spans="2:11" ht="19" customHeight="1">
      <c r="B2696" s="464">
        <v>46074</v>
      </c>
      <c r="C2696" s="436" t="s">
        <v>253</v>
      </c>
      <c r="D2696" s="436" t="s">
        <v>869</v>
      </c>
      <c r="E2696" s="436">
        <v>1</v>
      </c>
      <c r="F2696" s="465">
        <v>2.5</v>
      </c>
      <c r="G2696" s="466">
        <v>2.5</v>
      </c>
      <c r="H2696" s="466">
        <f>G2696/1.1</f>
        <v>2.2727272727272725</v>
      </c>
      <c r="I2696" s="436"/>
      <c r="J2696" s="465">
        <v>0</v>
      </c>
      <c r="K2696" s="465">
        <v>0</v>
      </c>
    </row>
    <row r="2697" spans="2:11" ht="19" customHeight="1">
      <c r="B2697" s="464">
        <v>46074</v>
      </c>
      <c r="C2697" s="436" t="s">
        <v>327</v>
      </c>
      <c r="D2697" s="436" t="s">
        <v>723</v>
      </c>
      <c r="E2697" s="436">
        <v>1</v>
      </c>
      <c r="F2697" s="465">
        <v>3.1</v>
      </c>
      <c r="G2697" s="466">
        <v>3.1</v>
      </c>
      <c r="H2697" s="466">
        <f>G2697/1.1</f>
        <v>2.8181818181818179</v>
      </c>
      <c r="I2697" s="436"/>
      <c r="J2697" s="465">
        <v>0</v>
      </c>
      <c r="K2697" s="465">
        <v>0</v>
      </c>
    </row>
    <row r="2698" spans="2:11" ht="19" customHeight="1">
      <c r="B2698" s="464">
        <v>46074</v>
      </c>
      <c r="C2698" s="436" t="s">
        <v>247</v>
      </c>
      <c r="D2698" s="436" t="s">
        <v>248</v>
      </c>
      <c r="E2698" s="436">
        <v>2</v>
      </c>
      <c r="F2698" s="465">
        <v>1.5</v>
      </c>
      <c r="G2698" s="466">
        <v>3</v>
      </c>
      <c r="H2698" s="466">
        <f>G2698/1.1</f>
        <v>2.7272727272727271</v>
      </c>
      <c r="I2698" s="436"/>
      <c r="J2698" s="465">
        <v>0</v>
      </c>
      <c r="K2698" s="465">
        <v>0</v>
      </c>
    </row>
    <row r="2699" spans="2:11" ht="19" customHeight="1">
      <c r="B2699" s="464">
        <v>46074</v>
      </c>
      <c r="C2699" s="436" t="s">
        <v>251</v>
      </c>
      <c r="D2699" s="436" t="s">
        <v>854</v>
      </c>
      <c r="E2699" s="436">
        <v>1</v>
      </c>
      <c r="F2699" s="465">
        <v>1.55</v>
      </c>
      <c r="G2699" s="466">
        <v>1.55</v>
      </c>
      <c r="H2699" s="466">
        <f>G2699/1.1</f>
        <v>1.4090909090909089</v>
      </c>
      <c r="I2699" s="436"/>
      <c r="J2699" s="465">
        <v>0</v>
      </c>
      <c r="K2699" s="465">
        <v>0</v>
      </c>
    </row>
    <row r="2700" spans="2:11" ht="19" customHeight="1">
      <c r="B2700" s="464">
        <v>46074</v>
      </c>
      <c r="C2700" s="436" t="s">
        <v>276</v>
      </c>
      <c r="D2700" s="436" t="s">
        <v>1140</v>
      </c>
      <c r="E2700" s="436">
        <v>1</v>
      </c>
      <c r="F2700" s="465">
        <v>4.05</v>
      </c>
      <c r="G2700" s="466">
        <v>4.05</v>
      </c>
      <c r="H2700" s="466">
        <f>G2700/1.1</f>
        <v>3.6818181818181812</v>
      </c>
      <c r="I2700" s="436"/>
      <c r="J2700" s="465">
        <v>0</v>
      </c>
      <c r="K2700" s="465">
        <v>0</v>
      </c>
    </row>
    <row r="2701" spans="2:11" ht="19" customHeight="1">
      <c r="B2701" s="464">
        <v>46074</v>
      </c>
      <c r="C2701" s="436" t="s">
        <v>247</v>
      </c>
      <c r="D2701" s="436" t="s">
        <v>855</v>
      </c>
      <c r="E2701" s="436">
        <v>1</v>
      </c>
      <c r="F2701" s="465">
        <v>2.5499999999999998</v>
      </c>
      <c r="G2701" s="466">
        <v>2.5499999999999998</v>
      </c>
      <c r="H2701" s="466">
        <f>G2701/1.1</f>
        <v>2.3181818181818179</v>
      </c>
      <c r="I2701" s="436"/>
      <c r="J2701" s="465">
        <v>0</v>
      </c>
      <c r="K2701" s="465">
        <v>0</v>
      </c>
    </row>
    <row r="2702" spans="2:11" ht="19" customHeight="1">
      <c r="B2702" s="464">
        <v>46074</v>
      </c>
      <c r="C2702" s="436" t="s">
        <v>328</v>
      </c>
      <c r="D2702" s="436" t="s">
        <v>739</v>
      </c>
      <c r="E2702" s="436">
        <v>2</v>
      </c>
      <c r="F2702" s="465">
        <v>5.85</v>
      </c>
      <c r="G2702" s="466">
        <v>11.7</v>
      </c>
      <c r="H2702" s="466">
        <f>G2702/1.1</f>
        <v>10.636363636363635</v>
      </c>
      <c r="I2702" s="436"/>
      <c r="J2702" s="465">
        <v>0</v>
      </c>
      <c r="K2702" s="465">
        <v>0</v>
      </c>
    </row>
    <row r="2703" spans="2:11" ht="19" customHeight="1">
      <c r="B2703" s="464">
        <v>46074</v>
      </c>
      <c r="C2703" s="436" t="s">
        <v>894</v>
      </c>
      <c r="D2703" s="436" t="s">
        <v>1001</v>
      </c>
      <c r="E2703" s="436">
        <v>1</v>
      </c>
      <c r="F2703" s="465">
        <v>5.7</v>
      </c>
      <c r="G2703" s="466">
        <v>5.7</v>
      </c>
      <c r="H2703" s="466">
        <f>G2703/1.1</f>
        <v>5.1818181818181817</v>
      </c>
      <c r="I2703" s="436"/>
      <c r="J2703" s="465">
        <v>0</v>
      </c>
      <c r="K2703" s="465">
        <v>0</v>
      </c>
    </row>
    <row r="2704" spans="2:11" ht="19" customHeight="1">
      <c r="B2704" s="464">
        <v>46074</v>
      </c>
      <c r="C2704" s="436" t="s">
        <v>247</v>
      </c>
      <c r="D2704" s="436" t="s">
        <v>257</v>
      </c>
      <c r="E2704" s="436">
        <v>1</v>
      </c>
      <c r="F2704" s="465">
        <v>1.4</v>
      </c>
      <c r="G2704" s="466">
        <v>1.4</v>
      </c>
      <c r="H2704" s="466">
        <f>G2704/1.1</f>
        <v>1.2727272727272725</v>
      </c>
      <c r="I2704" s="436"/>
      <c r="J2704" s="465">
        <v>0</v>
      </c>
      <c r="K2704" s="465">
        <v>0</v>
      </c>
    </row>
    <row r="2705" spans="2:11" ht="19" customHeight="1">
      <c r="B2705" s="464">
        <v>46074</v>
      </c>
      <c r="C2705" s="436" t="s">
        <v>247</v>
      </c>
      <c r="D2705" s="436" t="s">
        <v>246</v>
      </c>
      <c r="E2705" s="436">
        <v>1</v>
      </c>
      <c r="F2705" s="465">
        <v>1.7</v>
      </c>
      <c r="G2705" s="466">
        <v>1.7</v>
      </c>
      <c r="H2705" s="466">
        <f>G2705/1.1</f>
        <v>1.5454545454545452</v>
      </c>
      <c r="I2705" s="436"/>
      <c r="J2705" s="465">
        <v>0</v>
      </c>
      <c r="K2705" s="465">
        <v>0</v>
      </c>
    </row>
    <row r="2706" spans="2:11" ht="19" customHeight="1">
      <c r="B2706" s="464">
        <v>46074</v>
      </c>
      <c r="C2706" s="436" t="s">
        <v>247</v>
      </c>
      <c r="D2706" s="436" t="s">
        <v>246</v>
      </c>
      <c r="E2706" s="436">
        <v>1</v>
      </c>
      <c r="F2706" s="465">
        <v>1.7</v>
      </c>
      <c r="G2706" s="466">
        <v>1.7</v>
      </c>
      <c r="H2706" s="466">
        <f>G2706/1.1</f>
        <v>1.5454545454545452</v>
      </c>
      <c r="I2706" s="436"/>
      <c r="J2706" s="465">
        <v>0</v>
      </c>
      <c r="K2706" s="465">
        <v>0</v>
      </c>
    </row>
    <row r="2707" spans="2:11" ht="19" customHeight="1">
      <c r="B2707" s="464">
        <v>46074</v>
      </c>
      <c r="C2707" s="436" t="s">
        <v>247</v>
      </c>
      <c r="D2707" s="436" t="s">
        <v>248</v>
      </c>
      <c r="E2707" s="436">
        <v>1</v>
      </c>
      <c r="F2707" s="465">
        <v>1.5</v>
      </c>
      <c r="G2707" s="466">
        <v>1.5</v>
      </c>
      <c r="H2707" s="466">
        <f>G2707/1.1</f>
        <v>1.3636363636363635</v>
      </c>
      <c r="I2707" s="436"/>
      <c r="J2707" s="465">
        <v>0</v>
      </c>
      <c r="K2707" s="465">
        <v>0</v>
      </c>
    </row>
    <row r="2708" spans="2:11" ht="19" customHeight="1">
      <c r="B2708" s="464">
        <v>46074</v>
      </c>
      <c r="C2708" s="436" t="s">
        <v>264</v>
      </c>
      <c r="D2708" s="436" t="s">
        <v>269</v>
      </c>
      <c r="E2708" s="436">
        <v>1</v>
      </c>
      <c r="F2708" s="465">
        <v>0.1</v>
      </c>
      <c r="G2708" s="466">
        <v>0.1</v>
      </c>
      <c r="H2708" s="466">
        <f>G2708/1.1</f>
        <v>9.0909090909090912E-2</v>
      </c>
      <c r="I2708" s="436"/>
      <c r="J2708" s="465">
        <v>0</v>
      </c>
      <c r="K2708" s="465">
        <v>0</v>
      </c>
    </row>
    <row r="2709" spans="2:11" ht="19" customHeight="1">
      <c r="B2709" s="464">
        <v>46074</v>
      </c>
      <c r="C2709" s="436" t="s">
        <v>268</v>
      </c>
      <c r="D2709" s="436" t="s">
        <v>860</v>
      </c>
      <c r="E2709" s="436">
        <v>1</v>
      </c>
      <c r="F2709" s="465">
        <v>2.25</v>
      </c>
      <c r="G2709" s="466">
        <v>2.25</v>
      </c>
      <c r="H2709" s="466">
        <f>G2709/1.1</f>
        <v>2.0454545454545454</v>
      </c>
      <c r="I2709" s="436"/>
      <c r="J2709" s="465">
        <v>0</v>
      </c>
      <c r="K2709" s="465">
        <v>0</v>
      </c>
    </row>
    <row r="2710" spans="2:11" ht="19" customHeight="1">
      <c r="B2710" s="464">
        <v>46074</v>
      </c>
      <c r="C2710" s="436" t="s">
        <v>247</v>
      </c>
      <c r="D2710" s="436" t="s">
        <v>246</v>
      </c>
      <c r="E2710" s="436">
        <v>1</v>
      </c>
      <c r="F2710" s="465">
        <v>1.7</v>
      </c>
      <c r="G2710" s="466">
        <v>1.7</v>
      </c>
      <c r="H2710" s="466">
        <f>G2710/1.1</f>
        <v>1.5454545454545452</v>
      </c>
      <c r="I2710" s="436"/>
      <c r="J2710" s="465">
        <v>0</v>
      </c>
      <c r="K2710" s="465">
        <v>0</v>
      </c>
    </row>
    <row r="2711" spans="2:11" ht="19" customHeight="1">
      <c r="B2711" s="464">
        <v>46074</v>
      </c>
      <c r="C2711" s="436" t="s">
        <v>268</v>
      </c>
      <c r="D2711" s="436" t="s">
        <v>859</v>
      </c>
      <c r="E2711" s="436">
        <v>1</v>
      </c>
      <c r="F2711" s="465">
        <v>0.75</v>
      </c>
      <c r="G2711" s="466">
        <v>0.75</v>
      </c>
      <c r="H2711" s="466">
        <f>G2711/1.1</f>
        <v>0.68181818181818177</v>
      </c>
      <c r="I2711" s="436"/>
      <c r="J2711" s="465">
        <v>0</v>
      </c>
      <c r="K2711" s="465">
        <v>0</v>
      </c>
    </row>
    <row r="2712" spans="2:11" ht="19" customHeight="1">
      <c r="B2712" s="464">
        <v>46074</v>
      </c>
      <c r="C2712" s="436" t="s">
        <v>247</v>
      </c>
      <c r="D2712" s="436" t="s">
        <v>246</v>
      </c>
      <c r="E2712" s="436">
        <v>1</v>
      </c>
      <c r="F2712" s="465">
        <v>1.7</v>
      </c>
      <c r="G2712" s="466">
        <v>1.7</v>
      </c>
      <c r="H2712" s="466">
        <f>G2712/1.1</f>
        <v>1.5454545454545452</v>
      </c>
      <c r="I2712" s="436"/>
      <c r="J2712" s="465">
        <v>0</v>
      </c>
      <c r="K2712" s="465">
        <v>0</v>
      </c>
    </row>
    <row r="2713" spans="2:11" ht="19" customHeight="1">
      <c r="B2713" s="464">
        <v>46074</v>
      </c>
      <c r="C2713" s="436" t="s">
        <v>247</v>
      </c>
      <c r="D2713" s="436" t="s">
        <v>246</v>
      </c>
      <c r="E2713" s="436">
        <v>1</v>
      </c>
      <c r="F2713" s="465">
        <v>1.7</v>
      </c>
      <c r="G2713" s="466">
        <v>1.7</v>
      </c>
      <c r="H2713" s="466">
        <f>G2713/1.1</f>
        <v>1.5454545454545452</v>
      </c>
      <c r="I2713" s="436"/>
      <c r="J2713" s="465">
        <v>0</v>
      </c>
      <c r="K2713" s="465">
        <v>0</v>
      </c>
    </row>
    <row r="2714" spans="2:11" ht="19" customHeight="1">
      <c r="B2714" s="464">
        <v>46074</v>
      </c>
      <c r="C2714" s="436" t="s">
        <v>862</v>
      </c>
      <c r="D2714" s="436" t="s">
        <v>863</v>
      </c>
      <c r="E2714" s="436">
        <v>1</v>
      </c>
      <c r="F2714" s="465">
        <v>0.15</v>
      </c>
      <c r="G2714" s="466">
        <v>0.15</v>
      </c>
      <c r="H2714" s="466">
        <f>G2714/1.1</f>
        <v>0.13636363636363635</v>
      </c>
      <c r="I2714" s="436"/>
      <c r="J2714" s="465">
        <v>0</v>
      </c>
      <c r="K2714" s="465">
        <v>0</v>
      </c>
    </row>
    <row r="2715" spans="2:11" ht="19" customHeight="1">
      <c r="B2715" s="464">
        <v>46074</v>
      </c>
      <c r="C2715" s="436" t="s">
        <v>247</v>
      </c>
      <c r="D2715" s="436" t="s">
        <v>257</v>
      </c>
      <c r="E2715" s="436">
        <v>1</v>
      </c>
      <c r="F2715" s="465">
        <v>1.4</v>
      </c>
      <c r="G2715" s="466">
        <v>1.4</v>
      </c>
      <c r="H2715" s="466">
        <f>G2715/1.1</f>
        <v>1.2727272727272725</v>
      </c>
      <c r="I2715" s="436"/>
      <c r="J2715" s="465">
        <v>0</v>
      </c>
      <c r="K2715" s="465">
        <v>0</v>
      </c>
    </row>
    <row r="2716" spans="2:11" ht="19" customHeight="1">
      <c r="B2716" s="464">
        <v>46074</v>
      </c>
      <c r="C2716" s="436" t="s">
        <v>247</v>
      </c>
      <c r="D2716" s="436" t="s">
        <v>246</v>
      </c>
      <c r="E2716" s="436">
        <v>1</v>
      </c>
      <c r="F2716" s="465">
        <v>1.7</v>
      </c>
      <c r="G2716" s="466">
        <v>1.7</v>
      </c>
      <c r="H2716" s="466">
        <f>G2716/1.1</f>
        <v>1.5454545454545452</v>
      </c>
      <c r="I2716" s="436"/>
      <c r="J2716" s="465">
        <v>0</v>
      </c>
      <c r="K2716" s="465">
        <v>0</v>
      </c>
    </row>
    <row r="2717" spans="2:11" ht="19" customHeight="1">
      <c r="B2717" s="464">
        <v>46074</v>
      </c>
      <c r="C2717" s="436" t="s">
        <v>862</v>
      </c>
      <c r="D2717" s="436" t="s">
        <v>899</v>
      </c>
      <c r="E2717" s="436">
        <v>1</v>
      </c>
      <c r="F2717" s="465">
        <v>0.05</v>
      </c>
      <c r="G2717" s="466">
        <v>0.05</v>
      </c>
      <c r="H2717" s="466">
        <f>G2717/1.1</f>
        <v>4.5454545454545456E-2</v>
      </c>
      <c r="I2717" s="436"/>
      <c r="J2717" s="465">
        <v>0</v>
      </c>
      <c r="K2717" s="465">
        <v>0</v>
      </c>
    </row>
    <row r="2718" spans="2:11" ht="19" customHeight="1">
      <c r="B2718" s="464">
        <v>46074</v>
      </c>
      <c r="C2718" s="436" t="s">
        <v>268</v>
      </c>
      <c r="D2718" s="436" t="s">
        <v>860</v>
      </c>
      <c r="E2718" s="436">
        <v>1</v>
      </c>
      <c r="F2718" s="465">
        <v>2.25</v>
      </c>
      <c r="G2718" s="466">
        <v>2.25</v>
      </c>
      <c r="H2718" s="466">
        <f>G2718/1.1</f>
        <v>2.0454545454545454</v>
      </c>
      <c r="I2718" s="436"/>
      <c r="J2718" s="465">
        <v>0</v>
      </c>
      <c r="K2718" s="465">
        <v>0</v>
      </c>
    </row>
    <row r="2719" spans="2:11" ht="19" customHeight="1">
      <c r="B2719" s="464">
        <v>46074</v>
      </c>
      <c r="C2719" s="436" t="s">
        <v>247</v>
      </c>
      <c r="D2719" s="436" t="s">
        <v>246</v>
      </c>
      <c r="E2719" s="436">
        <v>2</v>
      </c>
      <c r="F2719" s="465">
        <v>1.7</v>
      </c>
      <c r="G2719" s="466">
        <v>3.4</v>
      </c>
      <c r="H2719" s="466">
        <f>G2719/1.1</f>
        <v>3.0909090909090904</v>
      </c>
      <c r="I2719" s="436"/>
      <c r="J2719" s="465">
        <v>0</v>
      </c>
      <c r="K2719" s="465">
        <v>0</v>
      </c>
    </row>
    <row r="2720" spans="2:11" ht="19" customHeight="1">
      <c r="B2720" s="464">
        <v>46074</v>
      </c>
      <c r="C2720" s="436" t="s">
        <v>247</v>
      </c>
      <c r="D2720" s="436" t="s">
        <v>257</v>
      </c>
      <c r="E2720" s="436">
        <v>2</v>
      </c>
      <c r="F2720" s="465">
        <v>1.4</v>
      </c>
      <c r="G2720" s="466">
        <v>2.8</v>
      </c>
      <c r="H2720" s="466">
        <f>G2720/1.1</f>
        <v>2.545454545454545</v>
      </c>
      <c r="I2720" s="436"/>
      <c r="J2720" s="465">
        <v>0</v>
      </c>
      <c r="K2720" s="465">
        <v>0</v>
      </c>
    </row>
    <row r="2721" spans="2:11" ht="19" customHeight="1">
      <c r="B2721" s="464">
        <v>46074</v>
      </c>
      <c r="C2721" s="436" t="s">
        <v>327</v>
      </c>
      <c r="D2721" s="436" t="s">
        <v>723</v>
      </c>
      <c r="E2721" s="436">
        <v>2</v>
      </c>
      <c r="F2721" s="465">
        <v>3.1</v>
      </c>
      <c r="G2721" s="466">
        <v>6.2</v>
      </c>
      <c r="H2721" s="466">
        <f>G2721/1.1</f>
        <v>5.6363636363636358</v>
      </c>
      <c r="I2721" s="436"/>
      <c r="J2721" s="465">
        <v>0</v>
      </c>
      <c r="K2721" s="465">
        <v>0</v>
      </c>
    </row>
    <row r="2722" spans="2:11" ht="19" customHeight="1">
      <c r="B2722" s="464">
        <v>46074</v>
      </c>
      <c r="C2722" s="436" t="s">
        <v>862</v>
      </c>
      <c r="D2722" s="436" t="s">
        <v>865</v>
      </c>
      <c r="E2722" s="436">
        <v>2</v>
      </c>
      <c r="F2722" s="465">
        <v>0.05</v>
      </c>
      <c r="G2722" s="466">
        <v>0.1</v>
      </c>
      <c r="H2722" s="466">
        <f>G2722/1.1</f>
        <v>9.0909090909090912E-2</v>
      </c>
      <c r="I2722" s="436"/>
      <c r="J2722" s="465">
        <v>0</v>
      </c>
      <c r="K2722" s="465">
        <v>0</v>
      </c>
    </row>
    <row r="2723" spans="2:11" ht="19" customHeight="1">
      <c r="B2723" s="464">
        <v>46074</v>
      </c>
      <c r="C2723" s="436" t="s">
        <v>327</v>
      </c>
      <c r="D2723" s="436" t="s">
        <v>723</v>
      </c>
      <c r="E2723" s="436">
        <v>1</v>
      </c>
      <c r="F2723" s="465">
        <v>3.1</v>
      </c>
      <c r="G2723" s="466">
        <v>3.1</v>
      </c>
      <c r="H2723" s="466">
        <f>G2723/1.1</f>
        <v>2.8181818181818179</v>
      </c>
      <c r="I2723" s="436"/>
      <c r="J2723" s="465">
        <v>0</v>
      </c>
      <c r="K2723" s="465">
        <v>0</v>
      </c>
    </row>
    <row r="2724" spans="2:11" ht="19" customHeight="1">
      <c r="B2724" s="464">
        <v>46074</v>
      </c>
      <c r="C2724" s="436" t="s">
        <v>862</v>
      </c>
      <c r="D2724" s="436" t="s">
        <v>865</v>
      </c>
      <c r="E2724" s="436">
        <v>1</v>
      </c>
      <c r="F2724" s="465">
        <v>0.05</v>
      </c>
      <c r="G2724" s="466">
        <v>0.05</v>
      </c>
      <c r="H2724" s="466">
        <f>G2724/1.1</f>
        <v>4.5454545454545456E-2</v>
      </c>
      <c r="I2724" s="436"/>
      <c r="J2724" s="465">
        <v>0</v>
      </c>
      <c r="K2724" s="465">
        <v>0</v>
      </c>
    </row>
    <row r="2725" spans="2:11" ht="19" customHeight="1">
      <c r="B2725" s="464">
        <v>46074</v>
      </c>
      <c r="C2725" s="436" t="s">
        <v>247</v>
      </c>
      <c r="D2725" s="436" t="s">
        <v>246</v>
      </c>
      <c r="E2725" s="436">
        <v>2</v>
      </c>
      <c r="F2725" s="465">
        <v>1.7</v>
      </c>
      <c r="G2725" s="466">
        <v>3.4</v>
      </c>
      <c r="H2725" s="466">
        <f>G2725/1.1</f>
        <v>3.0909090909090904</v>
      </c>
      <c r="I2725" s="436"/>
      <c r="J2725" s="465">
        <v>0</v>
      </c>
      <c r="K2725" s="465">
        <v>0</v>
      </c>
    </row>
    <row r="2726" spans="2:11" ht="19" customHeight="1">
      <c r="B2726" s="464">
        <v>46074</v>
      </c>
      <c r="C2726" s="436" t="s">
        <v>268</v>
      </c>
      <c r="D2726" s="436" t="s">
        <v>860</v>
      </c>
      <c r="E2726" s="436">
        <v>2</v>
      </c>
      <c r="F2726" s="465">
        <v>2.25</v>
      </c>
      <c r="G2726" s="466">
        <v>4.5</v>
      </c>
      <c r="H2726" s="466">
        <f>G2726/1.1</f>
        <v>4.0909090909090908</v>
      </c>
      <c r="I2726" s="436"/>
      <c r="J2726" s="465">
        <v>0</v>
      </c>
      <c r="K2726" s="465">
        <v>0</v>
      </c>
    </row>
    <row r="2727" spans="2:11" ht="19" customHeight="1">
      <c r="B2727" s="464">
        <v>46074</v>
      </c>
      <c r="C2727" s="436" t="s">
        <v>247</v>
      </c>
      <c r="D2727" s="436" t="s">
        <v>246</v>
      </c>
      <c r="E2727" s="436">
        <v>2</v>
      </c>
      <c r="F2727" s="465">
        <v>1.7</v>
      </c>
      <c r="G2727" s="466">
        <v>3.4</v>
      </c>
      <c r="H2727" s="466">
        <f>G2727/1.1</f>
        <v>3.0909090909090904</v>
      </c>
      <c r="I2727" s="436"/>
      <c r="J2727" s="465">
        <v>0</v>
      </c>
      <c r="K2727" s="465">
        <v>0</v>
      </c>
    </row>
    <row r="2728" spans="2:11" ht="19" customHeight="1">
      <c r="B2728" s="464">
        <v>46074</v>
      </c>
      <c r="C2728" s="436" t="s">
        <v>247</v>
      </c>
      <c r="D2728" s="436" t="s">
        <v>257</v>
      </c>
      <c r="E2728" s="436">
        <v>1</v>
      </c>
      <c r="F2728" s="465">
        <v>1.4</v>
      </c>
      <c r="G2728" s="466">
        <v>1.4</v>
      </c>
      <c r="H2728" s="466">
        <f>G2728/1.1</f>
        <v>1.2727272727272725</v>
      </c>
      <c r="I2728" s="436"/>
      <c r="J2728" s="465">
        <v>0</v>
      </c>
      <c r="K2728" s="465">
        <v>0</v>
      </c>
    </row>
    <row r="2729" spans="2:11" ht="19" customHeight="1">
      <c r="B2729" s="464">
        <v>46074</v>
      </c>
      <c r="C2729" s="436" t="s">
        <v>247</v>
      </c>
      <c r="D2729" s="436" t="s">
        <v>248</v>
      </c>
      <c r="E2729" s="436">
        <v>1</v>
      </c>
      <c r="F2729" s="465">
        <v>1.5</v>
      </c>
      <c r="G2729" s="466">
        <v>1.5</v>
      </c>
      <c r="H2729" s="466">
        <f>G2729/1.1</f>
        <v>1.3636363636363635</v>
      </c>
      <c r="I2729" s="436"/>
      <c r="J2729" s="465">
        <v>0</v>
      </c>
      <c r="K2729" s="465">
        <v>0</v>
      </c>
    </row>
    <row r="2730" spans="2:11" ht="19" customHeight="1">
      <c r="B2730" s="464">
        <v>46074</v>
      </c>
      <c r="C2730" s="436" t="s">
        <v>256</v>
      </c>
      <c r="D2730" s="436" t="s">
        <v>262</v>
      </c>
      <c r="E2730" s="436">
        <v>1</v>
      </c>
      <c r="F2730" s="465">
        <v>12.15</v>
      </c>
      <c r="G2730" s="466">
        <v>12.15</v>
      </c>
      <c r="H2730" s="466">
        <f>G2730/1.1</f>
        <v>11.045454545454545</v>
      </c>
      <c r="I2730" s="436"/>
      <c r="J2730" s="465">
        <v>0</v>
      </c>
      <c r="K2730" s="465">
        <v>0</v>
      </c>
    </row>
    <row r="2731" spans="2:11" ht="19" customHeight="1">
      <c r="B2731" s="464">
        <v>46074</v>
      </c>
      <c r="C2731" s="436" t="s">
        <v>264</v>
      </c>
      <c r="D2731" s="436" t="s">
        <v>930</v>
      </c>
      <c r="E2731" s="436">
        <v>1</v>
      </c>
      <c r="F2731" s="465">
        <v>3.75</v>
      </c>
      <c r="G2731" s="466">
        <v>3.75</v>
      </c>
      <c r="H2731" s="466">
        <f>G2731/1.1</f>
        <v>3.4090909090909087</v>
      </c>
      <c r="I2731" s="436"/>
      <c r="J2731" s="465">
        <v>0</v>
      </c>
      <c r="K2731" s="465">
        <v>0</v>
      </c>
    </row>
    <row r="2732" spans="2:11" ht="19" customHeight="1">
      <c r="B2732" s="464">
        <v>46074</v>
      </c>
      <c r="C2732" s="436" t="s">
        <v>251</v>
      </c>
      <c r="D2732" s="436" t="s">
        <v>265</v>
      </c>
      <c r="E2732" s="436">
        <v>1</v>
      </c>
      <c r="F2732" s="465">
        <v>2.8</v>
      </c>
      <c r="G2732" s="466">
        <v>2.8</v>
      </c>
      <c r="H2732" s="466">
        <f>G2732/1.1</f>
        <v>2.545454545454545</v>
      </c>
      <c r="I2732" s="436"/>
      <c r="J2732" s="465">
        <v>0</v>
      </c>
      <c r="K2732" s="465">
        <v>0</v>
      </c>
    </row>
    <row r="2733" spans="2:11" ht="19" customHeight="1">
      <c r="B2733" s="464">
        <v>46074</v>
      </c>
      <c r="C2733" s="436" t="s">
        <v>253</v>
      </c>
      <c r="D2733" s="436" t="s">
        <v>942</v>
      </c>
      <c r="E2733" s="436">
        <v>1</v>
      </c>
      <c r="F2733" s="465">
        <v>2.65</v>
      </c>
      <c r="G2733" s="466">
        <v>2.65</v>
      </c>
      <c r="H2733" s="466">
        <f>G2733/1.1</f>
        <v>2.4090909090909087</v>
      </c>
      <c r="I2733" s="436"/>
      <c r="J2733" s="465">
        <v>0</v>
      </c>
      <c r="K2733" s="465">
        <v>0</v>
      </c>
    </row>
    <row r="2734" spans="2:11" ht="19" customHeight="1">
      <c r="B2734" s="464">
        <v>46074</v>
      </c>
      <c r="C2734" s="436" t="s">
        <v>247</v>
      </c>
      <c r="D2734" s="436" t="s">
        <v>248</v>
      </c>
      <c r="E2734" s="436">
        <v>1</v>
      </c>
      <c r="F2734" s="465">
        <v>1.65</v>
      </c>
      <c r="G2734" s="466">
        <v>1.65</v>
      </c>
      <c r="H2734" s="466">
        <f>G2734/1.1</f>
        <v>1.4999999999999998</v>
      </c>
      <c r="I2734" s="436"/>
      <c r="J2734" s="465">
        <v>0</v>
      </c>
      <c r="K2734" s="465">
        <v>0</v>
      </c>
    </row>
    <row r="2735" spans="2:11" ht="19" customHeight="1">
      <c r="B2735" s="464">
        <v>46074</v>
      </c>
      <c r="C2735" s="436" t="s">
        <v>275</v>
      </c>
      <c r="D2735" s="436" t="s">
        <v>674</v>
      </c>
      <c r="E2735" s="436">
        <v>1</v>
      </c>
      <c r="F2735" s="465">
        <v>5.75</v>
      </c>
      <c r="G2735" s="466">
        <v>5.75</v>
      </c>
      <c r="H2735" s="466">
        <f>G2735/1.1</f>
        <v>5.2272727272727266</v>
      </c>
      <c r="I2735" s="436"/>
      <c r="J2735" s="465">
        <v>0</v>
      </c>
      <c r="K2735" s="465">
        <v>0</v>
      </c>
    </row>
    <row r="2736" spans="2:11" ht="19" customHeight="1">
      <c r="B2736" s="464">
        <v>46074</v>
      </c>
      <c r="C2736" s="436" t="s">
        <v>275</v>
      </c>
      <c r="D2736" s="436" t="s">
        <v>1084</v>
      </c>
      <c r="E2736" s="436">
        <v>1</v>
      </c>
      <c r="F2736" s="465">
        <v>6.5</v>
      </c>
      <c r="G2736" s="466">
        <v>6.5</v>
      </c>
      <c r="H2736" s="466">
        <f>G2736/1.1</f>
        <v>5.9090909090909083</v>
      </c>
      <c r="I2736" s="436"/>
      <c r="J2736" s="465">
        <v>0</v>
      </c>
      <c r="K2736" s="465">
        <v>0</v>
      </c>
    </row>
    <row r="2737" spans="2:11" ht="19" customHeight="1">
      <c r="B2737" s="464">
        <v>46074</v>
      </c>
      <c r="C2737" s="436" t="s">
        <v>275</v>
      </c>
      <c r="D2737" s="436" t="s">
        <v>897</v>
      </c>
      <c r="E2737" s="436">
        <v>1</v>
      </c>
      <c r="F2737" s="465">
        <v>6.5</v>
      </c>
      <c r="G2737" s="466">
        <v>6.5</v>
      </c>
      <c r="H2737" s="466">
        <f>G2737/1.1</f>
        <v>5.9090909090909083</v>
      </c>
      <c r="I2737" s="436"/>
      <c r="J2737" s="465">
        <v>0</v>
      </c>
      <c r="K2737" s="465">
        <v>0</v>
      </c>
    </row>
    <row r="2738" spans="2:11" ht="19" customHeight="1">
      <c r="B2738" s="464">
        <v>46074</v>
      </c>
      <c r="C2738" s="436" t="s">
        <v>251</v>
      </c>
      <c r="D2738" s="436" t="s">
        <v>250</v>
      </c>
      <c r="E2738" s="436">
        <v>3</v>
      </c>
      <c r="F2738" s="465">
        <v>1.8</v>
      </c>
      <c r="G2738" s="466">
        <v>5.4</v>
      </c>
      <c r="H2738" s="466">
        <f>G2738/1.1</f>
        <v>4.9090909090909092</v>
      </c>
      <c r="I2738" s="436"/>
      <c r="J2738" s="465">
        <v>0</v>
      </c>
      <c r="K2738" s="465">
        <v>0</v>
      </c>
    </row>
    <row r="2739" spans="2:11" ht="19" customHeight="1">
      <c r="B2739" s="464">
        <v>46074</v>
      </c>
      <c r="C2739" s="436" t="s">
        <v>251</v>
      </c>
      <c r="D2739" s="436" t="s">
        <v>945</v>
      </c>
      <c r="E2739" s="436">
        <v>1</v>
      </c>
      <c r="F2739" s="465">
        <v>2.65</v>
      </c>
      <c r="G2739" s="466">
        <v>2.65</v>
      </c>
      <c r="H2739" s="466">
        <f>G2739/1.1</f>
        <v>2.4090909090909087</v>
      </c>
      <c r="I2739" s="436"/>
      <c r="J2739" s="465">
        <v>0</v>
      </c>
      <c r="K2739" s="465">
        <v>0</v>
      </c>
    </row>
    <row r="2740" spans="2:11" ht="19" customHeight="1">
      <c r="B2740" s="464">
        <v>46074</v>
      </c>
      <c r="C2740" s="436" t="s">
        <v>277</v>
      </c>
      <c r="D2740" s="436" t="s">
        <v>954</v>
      </c>
      <c r="E2740" s="436">
        <v>1</v>
      </c>
      <c r="F2740" s="465">
        <v>12.9</v>
      </c>
      <c r="G2740" s="466">
        <v>12.9</v>
      </c>
      <c r="H2740" s="466">
        <f>G2740/1.1</f>
        <v>11.727272727272727</v>
      </c>
      <c r="I2740" s="436"/>
      <c r="J2740" s="465">
        <v>0</v>
      </c>
      <c r="K2740" s="465">
        <v>0</v>
      </c>
    </row>
    <row r="2741" spans="2:11" ht="19" customHeight="1">
      <c r="B2741" s="464">
        <v>46074</v>
      </c>
      <c r="C2741" s="436" t="s">
        <v>326</v>
      </c>
      <c r="D2741" s="436" t="s">
        <v>1139</v>
      </c>
      <c r="E2741" s="436">
        <v>1</v>
      </c>
      <c r="F2741" s="465">
        <v>10</v>
      </c>
      <c r="G2741" s="466">
        <v>10</v>
      </c>
      <c r="H2741" s="466">
        <f>G2741/1.1</f>
        <v>9.0909090909090899</v>
      </c>
      <c r="I2741" s="436"/>
      <c r="J2741" s="465">
        <v>0</v>
      </c>
      <c r="K2741" s="465">
        <v>0</v>
      </c>
    </row>
    <row r="2742" spans="2:11" ht="19" customHeight="1">
      <c r="B2742" s="464">
        <v>46074</v>
      </c>
      <c r="C2742" s="436" t="s">
        <v>326</v>
      </c>
      <c r="D2742" s="436" t="s">
        <v>1073</v>
      </c>
      <c r="E2742" s="436">
        <v>1</v>
      </c>
      <c r="F2742" s="465">
        <v>10</v>
      </c>
      <c r="G2742" s="466">
        <v>10</v>
      </c>
      <c r="H2742" s="466">
        <f>G2742/1.1</f>
        <v>9.0909090909090899</v>
      </c>
      <c r="I2742" s="436"/>
      <c r="J2742" s="465">
        <v>0</v>
      </c>
      <c r="K2742" s="465">
        <v>0</v>
      </c>
    </row>
    <row r="2743" spans="2:11" ht="19" customHeight="1">
      <c r="B2743" s="464">
        <v>46074</v>
      </c>
      <c r="C2743" s="436" t="s">
        <v>764</v>
      </c>
      <c r="D2743" s="436" t="s">
        <v>763</v>
      </c>
      <c r="E2743" s="436">
        <v>1</v>
      </c>
      <c r="F2743" s="465">
        <v>11.5</v>
      </c>
      <c r="G2743" s="466">
        <v>11.5</v>
      </c>
      <c r="H2743" s="466">
        <f>G2743/1.1</f>
        <v>10.454545454545453</v>
      </c>
      <c r="I2743" s="436"/>
      <c r="J2743" s="465">
        <v>0</v>
      </c>
      <c r="K2743" s="465">
        <v>0</v>
      </c>
    </row>
    <row r="2744" spans="2:11" ht="19" customHeight="1">
      <c r="B2744" s="464">
        <v>46074</v>
      </c>
      <c r="C2744" s="436" t="s">
        <v>256</v>
      </c>
      <c r="D2744" s="436" t="s">
        <v>255</v>
      </c>
      <c r="E2744" s="436">
        <v>1</v>
      </c>
      <c r="F2744" s="465">
        <v>5.6</v>
      </c>
      <c r="G2744" s="466">
        <v>5.6</v>
      </c>
      <c r="H2744" s="466">
        <f>G2744/1.1</f>
        <v>5.0909090909090899</v>
      </c>
      <c r="I2744" s="436"/>
      <c r="J2744" s="465">
        <v>0</v>
      </c>
      <c r="K2744" s="465">
        <v>0</v>
      </c>
    </row>
    <row r="2745" spans="2:11" ht="19" customHeight="1">
      <c r="B2745" s="464">
        <v>46074</v>
      </c>
      <c r="C2745" s="436" t="s">
        <v>276</v>
      </c>
      <c r="D2745" s="436" t="s">
        <v>1141</v>
      </c>
      <c r="E2745" s="436">
        <v>1</v>
      </c>
      <c r="F2745" s="465">
        <v>9.1</v>
      </c>
      <c r="G2745" s="466">
        <v>9.1</v>
      </c>
      <c r="H2745" s="466">
        <f>G2745/1.1</f>
        <v>8.2727272727272716</v>
      </c>
      <c r="I2745" s="436"/>
      <c r="J2745" s="465">
        <v>0</v>
      </c>
      <c r="K2745" s="465">
        <v>0</v>
      </c>
    </row>
    <row r="2746" spans="2:11" ht="19" customHeight="1">
      <c r="B2746" s="464">
        <v>46074</v>
      </c>
      <c r="C2746" s="436" t="s">
        <v>251</v>
      </c>
      <c r="D2746" s="436" t="s">
        <v>250</v>
      </c>
      <c r="E2746" s="436">
        <v>1</v>
      </c>
      <c r="F2746" s="465">
        <v>1.8</v>
      </c>
      <c r="G2746" s="466">
        <v>1.8</v>
      </c>
      <c r="H2746" s="466">
        <f>G2746/1.1</f>
        <v>1.6363636363636362</v>
      </c>
      <c r="I2746" s="436"/>
      <c r="J2746" s="465">
        <v>0</v>
      </c>
      <c r="K2746" s="465">
        <v>0</v>
      </c>
    </row>
    <row r="2747" spans="2:11" ht="19" customHeight="1">
      <c r="B2747" s="464">
        <v>46074</v>
      </c>
      <c r="C2747" s="436" t="s">
        <v>247</v>
      </c>
      <c r="D2747" s="436" t="s">
        <v>257</v>
      </c>
      <c r="E2747" s="436">
        <v>3</v>
      </c>
      <c r="F2747" s="465">
        <v>1.55</v>
      </c>
      <c r="G2747" s="466">
        <v>4.6500000000000004</v>
      </c>
      <c r="H2747" s="466">
        <f>G2747/1.1</f>
        <v>4.2272727272727275</v>
      </c>
      <c r="I2747" s="436"/>
      <c r="J2747" s="465">
        <v>0</v>
      </c>
      <c r="K2747" s="465">
        <v>0</v>
      </c>
    </row>
    <row r="2748" spans="2:11" ht="19" customHeight="1">
      <c r="B2748" s="464">
        <v>46074</v>
      </c>
      <c r="C2748" s="436" t="s">
        <v>277</v>
      </c>
      <c r="D2748" s="436" t="s">
        <v>915</v>
      </c>
      <c r="E2748" s="436">
        <v>1</v>
      </c>
      <c r="F2748" s="465">
        <v>10.9</v>
      </c>
      <c r="G2748" s="466">
        <v>10.9</v>
      </c>
      <c r="H2748" s="466">
        <f>G2748/1.1</f>
        <v>9.9090909090909083</v>
      </c>
      <c r="I2748" s="436"/>
      <c r="J2748" s="465">
        <v>0</v>
      </c>
      <c r="K2748" s="465">
        <v>0</v>
      </c>
    </row>
    <row r="2749" spans="2:11" ht="19" customHeight="1">
      <c r="B2749" s="464">
        <v>46074</v>
      </c>
      <c r="C2749" s="436" t="s">
        <v>764</v>
      </c>
      <c r="D2749" s="436" t="s">
        <v>763</v>
      </c>
      <c r="E2749" s="436">
        <v>1</v>
      </c>
      <c r="F2749" s="465">
        <v>11.5</v>
      </c>
      <c r="G2749" s="466">
        <v>11.5</v>
      </c>
      <c r="H2749" s="466">
        <f>G2749/1.1</f>
        <v>10.454545454545453</v>
      </c>
      <c r="I2749" s="436"/>
      <c r="J2749" s="465">
        <v>0</v>
      </c>
      <c r="K2749" s="465">
        <v>0</v>
      </c>
    </row>
    <row r="2750" spans="2:11" ht="19" customHeight="1">
      <c r="B2750" s="464">
        <v>46074</v>
      </c>
      <c r="C2750" s="436" t="s">
        <v>256</v>
      </c>
      <c r="D2750" s="436" t="s">
        <v>679</v>
      </c>
      <c r="E2750" s="436">
        <v>1</v>
      </c>
      <c r="F2750" s="465">
        <v>10</v>
      </c>
      <c r="G2750" s="466">
        <v>10</v>
      </c>
      <c r="H2750" s="466">
        <f>G2750/1.1</f>
        <v>9.0909090909090899</v>
      </c>
      <c r="I2750" s="436"/>
      <c r="J2750" s="465">
        <v>0</v>
      </c>
      <c r="K2750" s="465">
        <v>0</v>
      </c>
    </row>
    <row r="2751" spans="2:11" ht="19" customHeight="1">
      <c r="B2751" s="464">
        <v>46074</v>
      </c>
      <c r="C2751" s="436" t="s">
        <v>323</v>
      </c>
      <c r="D2751" s="436" t="s">
        <v>684</v>
      </c>
      <c r="E2751" s="436">
        <v>1</v>
      </c>
      <c r="F2751" s="465">
        <v>9.9</v>
      </c>
      <c r="G2751" s="466">
        <v>9.9</v>
      </c>
      <c r="H2751" s="466">
        <f>G2751/1.1</f>
        <v>9</v>
      </c>
      <c r="I2751" s="436"/>
      <c r="J2751" s="465">
        <v>0</v>
      </c>
      <c r="K2751" s="465">
        <v>0</v>
      </c>
    </row>
    <row r="2752" spans="2:11" ht="19" customHeight="1">
      <c r="B2752" s="464">
        <v>46074</v>
      </c>
      <c r="C2752" s="436" t="s">
        <v>251</v>
      </c>
      <c r="D2752" s="436" t="s">
        <v>250</v>
      </c>
      <c r="E2752" s="436">
        <v>1</v>
      </c>
      <c r="F2752" s="465">
        <v>1.8</v>
      </c>
      <c r="G2752" s="466">
        <v>1.8</v>
      </c>
      <c r="H2752" s="466">
        <f>G2752/1.1</f>
        <v>1.6363636363636362</v>
      </c>
      <c r="I2752" s="436"/>
      <c r="J2752" s="465">
        <v>0</v>
      </c>
      <c r="K2752" s="465">
        <v>0</v>
      </c>
    </row>
    <row r="2753" spans="2:11" ht="19" customHeight="1">
      <c r="B2753" s="464">
        <v>46074</v>
      </c>
      <c r="C2753" s="436" t="s">
        <v>251</v>
      </c>
      <c r="D2753" s="436" t="s">
        <v>926</v>
      </c>
      <c r="E2753" s="436">
        <v>1</v>
      </c>
      <c r="F2753" s="465">
        <v>2.65</v>
      </c>
      <c r="G2753" s="466">
        <v>2.65</v>
      </c>
      <c r="H2753" s="466">
        <f>G2753/1.1</f>
        <v>2.4090909090909087</v>
      </c>
      <c r="I2753" s="436"/>
      <c r="J2753" s="465">
        <v>0</v>
      </c>
      <c r="K2753" s="465">
        <v>0</v>
      </c>
    </row>
    <row r="2754" spans="2:11" ht="19" customHeight="1">
      <c r="B2754" s="464">
        <v>46074</v>
      </c>
      <c r="C2754" s="436" t="s">
        <v>251</v>
      </c>
      <c r="D2754" s="436" t="s">
        <v>945</v>
      </c>
      <c r="E2754" s="436">
        <v>1</v>
      </c>
      <c r="F2754" s="465">
        <v>2.65</v>
      </c>
      <c r="G2754" s="466">
        <v>2.65</v>
      </c>
      <c r="H2754" s="466">
        <f>G2754/1.1</f>
        <v>2.4090909090909087</v>
      </c>
      <c r="I2754" s="436"/>
      <c r="J2754" s="465">
        <v>0</v>
      </c>
      <c r="K2754" s="465">
        <v>0</v>
      </c>
    </row>
    <row r="2755" spans="2:11" ht="19" customHeight="1">
      <c r="B2755" s="464">
        <v>46074</v>
      </c>
      <c r="C2755" s="436" t="s">
        <v>251</v>
      </c>
      <c r="D2755" s="436" t="s">
        <v>957</v>
      </c>
      <c r="E2755" s="436">
        <v>1</v>
      </c>
      <c r="F2755" s="465">
        <v>2.65</v>
      </c>
      <c r="G2755" s="466">
        <v>2.65</v>
      </c>
      <c r="H2755" s="466">
        <f>G2755/1.1</f>
        <v>2.4090909090909087</v>
      </c>
      <c r="I2755" s="436"/>
      <c r="J2755" s="465">
        <v>0</v>
      </c>
      <c r="K2755" s="465">
        <v>0</v>
      </c>
    </row>
    <row r="2756" spans="2:11" ht="19" customHeight="1">
      <c r="B2756" s="464">
        <v>46074</v>
      </c>
      <c r="C2756" s="436" t="s">
        <v>275</v>
      </c>
      <c r="D2756" s="436" t="s">
        <v>1077</v>
      </c>
      <c r="E2756" s="436">
        <v>1</v>
      </c>
      <c r="F2756" s="465">
        <v>6.5</v>
      </c>
      <c r="G2756" s="466">
        <v>6.5</v>
      </c>
      <c r="H2756" s="466">
        <f>G2756/1.1</f>
        <v>5.9090909090909083</v>
      </c>
      <c r="I2756" s="436"/>
      <c r="J2756" s="465">
        <v>0</v>
      </c>
      <c r="K2756" s="465">
        <v>0</v>
      </c>
    </row>
    <row r="2757" spans="2:11" ht="19" customHeight="1">
      <c r="B2757" s="464">
        <v>46074</v>
      </c>
      <c r="C2757" s="436" t="s">
        <v>275</v>
      </c>
      <c r="D2757" s="436" t="s">
        <v>897</v>
      </c>
      <c r="E2757" s="436">
        <v>2</v>
      </c>
      <c r="F2757" s="465">
        <v>6.5</v>
      </c>
      <c r="G2757" s="466">
        <v>13</v>
      </c>
      <c r="H2757" s="466">
        <f>G2757/1.1</f>
        <v>11.818181818181817</v>
      </c>
      <c r="I2757" s="436"/>
      <c r="J2757" s="465">
        <v>0</v>
      </c>
      <c r="K2757" s="465">
        <v>0</v>
      </c>
    </row>
    <row r="2758" spans="2:11" ht="19" customHeight="1">
      <c r="B2758" s="464">
        <v>46074</v>
      </c>
      <c r="C2758" s="436" t="s">
        <v>764</v>
      </c>
      <c r="D2758" s="436" t="s">
        <v>1142</v>
      </c>
      <c r="E2758" s="436">
        <v>1</v>
      </c>
      <c r="F2758" s="465">
        <v>15.9</v>
      </c>
      <c r="G2758" s="466">
        <v>15.9</v>
      </c>
      <c r="H2758" s="466">
        <f>G2758/1.1</f>
        <v>14.454545454545453</v>
      </c>
      <c r="I2758" s="436"/>
      <c r="J2758" s="465">
        <v>0</v>
      </c>
      <c r="K2758" s="465">
        <v>0</v>
      </c>
    </row>
    <row r="2759" spans="2:11" ht="19" customHeight="1">
      <c r="B2759" s="464">
        <v>46074</v>
      </c>
      <c r="C2759" s="436" t="s">
        <v>256</v>
      </c>
      <c r="D2759" s="436" t="s">
        <v>679</v>
      </c>
      <c r="E2759" s="436">
        <v>1</v>
      </c>
      <c r="F2759" s="465">
        <v>10</v>
      </c>
      <c r="G2759" s="466">
        <v>10</v>
      </c>
      <c r="H2759" s="466">
        <f>G2759/1.1</f>
        <v>9.0909090909090899</v>
      </c>
      <c r="I2759" s="436"/>
      <c r="J2759" s="465">
        <v>0</v>
      </c>
      <c r="K2759" s="465">
        <v>0</v>
      </c>
    </row>
    <row r="2760" spans="2:11" ht="19" customHeight="1">
      <c r="B2760" s="464">
        <v>46074</v>
      </c>
      <c r="C2760" s="436" t="s">
        <v>764</v>
      </c>
      <c r="D2760" s="436" t="s">
        <v>763</v>
      </c>
      <c r="E2760" s="436">
        <v>1</v>
      </c>
      <c r="F2760" s="465">
        <v>11.5</v>
      </c>
      <c r="G2760" s="466">
        <v>11.5</v>
      </c>
      <c r="H2760" s="466">
        <f>G2760/1.1</f>
        <v>10.454545454545453</v>
      </c>
      <c r="I2760" s="436"/>
      <c r="J2760" s="465">
        <v>0</v>
      </c>
      <c r="K2760" s="465">
        <v>0</v>
      </c>
    </row>
    <row r="2761" spans="2:11" ht="19" customHeight="1">
      <c r="B2761" s="464">
        <v>46074</v>
      </c>
      <c r="C2761" s="436" t="s">
        <v>264</v>
      </c>
      <c r="D2761" s="436" t="s">
        <v>983</v>
      </c>
      <c r="E2761" s="436">
        <v>1</v>
      </c>
      <c r="F2761" s="465">
        <v>2.75</v>
      </c>
      <c r="G2761" s="466">
        <v>2.75</v>
      </c>
      <c r="H2761" s="466">
        <f>G2761/1.1</f>
        <v>2.5</v>
      </c>
      <c r="I2761" s="436"/>
      <c r="J2761" s="465">
        <v>0</v>
      </c>
      <c r="K2761" s="465">
        <v>0</v>
      </c>
    </row>
    <row r="2762" spans="2:11" ht="19" customHeight="1">
      <c r="B2762" s="464">
        <v>46074</v>
      </c>
      <c r="C2762" s="436" t="s">
        <v>323</v>
      </c>
      <c r="D2762" s="436" t="s">
        <v>684</v>
      </c>
      <c r="E2762" s="436">
        <v>1</v>
      </c>
      <c r="F2762" s="465">
        <v>9.9</v>
      </c>
      <c r="G2762" s="466">
        <v>9.9</v>
      </c>
      <c r="H2762" s="466">
        <f>G2762/1.1</f>
        <v>9</v>
      </c>
      <c r="I2762" s="436"/>
      <c r="J2762" s="465">
        <v>0</v>
      </c>
      <c r="K2762" s="465">
        <v>0</v>
      </c>
    </row>
    <row r="2763" spans="2:11" ht="19" customHeight="1">
      <c r="B2763" s="464">
        <v>46074</v>
      </c>
      <c r="C2763" s="436" t="s">
        <v>326</v>
      </c>
      <c r="D2763" s="436" t="s">
        <v>1063</v>
      </c>
      <c r="E2763" s="436">
        <v>1</v>
      </c>
      <c r="F2763" s="465">
        <v>15</v>
      </c>
      <c r="G2763" s="466">
        <v>15</v>
      </c>
      <c r="H2763" s="466">
        <f>G2763/1.1</f>
        <v>13.636363636363635</v>
      </c>
      <c r="I2763" s="436"/>
      <c r="J2763" s="465">
        <v>0</v>
      </c>
      <c r="K2763" s="465">
        <v>0</v>
      </c>
    </row>
    <row r="2764" spans="2:11" ht="19" customHeight="1">
      <c r="B2764" s="464">
        <v>46074</v>
      </c>
      <c r="C2764" s="436" t="s">
        <v>256</v>
      </c>
      <c r="D2764" s="436" t="s">
        <v>697</v>
      </c>
      <c r="E2764" s="436">
        <v>1</v>
      </c>
      <c r="F2764" s="465">
        <v>10.9</v>
      </c>
      <c r="G2764" s="466">
        <v>10.9</v>
      </c>
      <c r="H2764" s="466">
        <f>G2764/1.1</f>
        <v>9.9090909090909083</v>
      </c>
      <c r="I2764" s="436"/>
      <c r="J2764" s="465">
        <v>0</v>
      </c>
      <c r="K2764" s="465">
        <v>0</v>
      </c>
    </row>
    <row r="2765" spans="2:11" ht="19" customHeight="1">
      <c r="B2765" s="464">
        <v>46074</v>
      </c>
      <c r="C2765" s="436" t="s">
        <v>256</v>
      </c>
      <c r="D2765" s="436" t="s">
        <v>255</v>
      </c>
      <c r="E2765" s="436">
        <v>1</v>
      </c>
      <c r="F2765" s="465">
        <v>5.6</v>
      </c>
      <c r="G2765" s="466">
        <v>5.6</v>
      </c>
      <c r="H2765" s="466">
        <f>G2765/1.1</f>
        <v>5.0909090909090899</v>
      </c>
      <c r="I2765" s="436"/>
      <c r="J2765" s="465">
        <v>0</v>
      </c>
      <c r="K2765" s="465">
        <v>0</v>
      </c>
    </row>
    <row r="2766" spans="2:11" ht="19" customHeight="1">
      <c r="B2766" s="464">
        <v>46074</v>
      </c>
      <c r="C2766" s="436" t="s">
        <v>247</v>
      </c>
      <c r="D2766" s="436" t="s">
        <v>257</v>
      </c>
      <c r="E2766" s="436">
        <v>1</v>
      </c>
      <c r="F2766" s="465">
        <v>1.55</v>
      </c>
      <c r="G2766" s="466">
        <v>1.55</v>
      </c>
      <c r="H2766" s="466">
        <f>G2766/1.1</f>
        <v>1.4090909090909089</v>
      </c>
      <c r="I2766" s="436"/>
      <c r="J2766" s="465">
        <v>0</v>
      </c>
      <c r="K2766" s="465">
        <v>0</v>
      </c>
    </row>
    <row r="2767" spans="2:11" ht="19" customHeight="1">
      <c r="B2767" s="464">
        <v>46074</v>
      </c>
      <c r="C2767" s="436" t="s">
        <v>264</v>
      </c>
      <c r="D2767" s="436" t="s">
        <v>269</v>
      </c>
      <c r="E2767" s="436">
        <v>1</v>
      </c>
      <c r="F2767" s="465">
        <v>0.1</v>
      </c>
      <c r="G2767" s="466">
        <v>0.1</v>
      </c>
      <c r="H2767" s="466">
        <f>G2767/1.1</f>
        <v>9.0909090909090912E-2</v>
      </c>
      <c r="I2767" s="436"/>
      <c r="J2767" s="465">
        <v>0</v>
      </c>
      <c r="K2767" s="465">
        <v>0</v>
      </c>
    </row>
    <row r="2768" spans="2:11" ht="19" customHeight="1">
      <c r="B2768" s="464">
        <v>46074</v>
      </c>
      <c r="C2768" s="436" t="s">
        <v>247</v>
      </c>
      <c r="D2768" s="436" t="s">
        <v>246</v>
      </c>
      <c r="E2768" s="436">
        <v>2</v>
      </c>
      <c r="F2768" s="465">
        <v>1.7</v>
      </c>
      <c r="G2768" s="466">
        <v>3.4</v>
      </c>
      <c r="H2768" s="466">
        <f>G2768/1.1</f>
        <v>3.0909090909090904</v>
      </c>
      <c r="I2768" s="436"/>
      <c r="J2768" s="465">
        <v>0</v>
      </c>
      <c r="K2768" s="465">
        <v>0</v>
      </c>
    </row>
    <row r="2769" spans="2:11" ht="19" customHeight="1">
      <c r="B2769" s="464">
        <v>46074</v>
      </c>
      <c r="C2769" s="436" t="s">
        <v>862</v>
      </c>
      <c r="D2769" s="436" t="s">
        <v>863</v>
      </c>
      <c r="E2769" s="436">
        <v>2</v>
      </c>
      <c r="F2769" s="465">
        <v>0.15</v>
      </c>
      <c r="G2769" s="466">
        <v>0.3</v>
      </c>
      <c r="H2769" s="466">
        <f>G2769/1.1</f>
        <v>0.27272727272727271</v>
      </c>
      <c r="I2769" s="436"/>
      <c r="J2769" s="465">
        <v>0</v>
      </c>
      <c r="K2769" s="465">
        <v>0</v>
      </c>
    </row>
    <row r="2770" spans="2:11" ht="19" customHeight="1">
      <c r="B2770" s="464">
        <v>46074</v>
      </c>
      <c r="C2770" s="436" t="s">
        <v>253</v>
      </c>
      <c r="D2770" s="436" t="s">
        <v>687</v>
      </c>
      <c r="E2770" s="436">
        <v>1</v>
      </c>
      <c r="F2770" s="465">
        <v>3.1</v>
      </c>
      <c r="G2770" s="466">
        <v>3.1</v>
      </c>
      <c r="H2770" s="466">
        <f>G2770/1.1</f>
        <v>2.8181818181818179</v>
      </c>
      <c r="I2770" s="436"/>
      <c r="J2770" s="465">
        <v>0</v>
      </c>
      <c r="K2770" s="465">
        <v>0</v>
      </c>
    </row>
    <row r="2771" spans="2:11" ht="19" customHeight="1">
      <c r="B2771" s="464">
        <v>46074</v>
      </c>
      <c r="C2771" s="436" t="s">
        <v>251</v>
      </c>
      <c r="D2771" s="436" t="s">
        <v>926</v>
      </c>
      <c r="E2771" s="436">
        <v>1</v>
      </c>
      <c r="F2771" s="465">
        <v>2.8</v>
      </c>
      <c r="G2771" s="466">
        <v>2.8</v>
      </c>
      <c r="H2771" s="466">
        <f>G2771/1.1</f>
        <v>2.545454545454545</v>
      </c>
      <c r="I2771" s="436"/>
      <c r="J2771" s="465">
        <v>0</v>
      </c>
      <c r="K2771" s="465">
        <v>0</v>
      </c>
    </row>
    <row r="2772" spans="2:11" ht="19" customHeight="1">
      <c r="B2772" s="464">
        <v>46074</v>
      </c>
      <c r="C2772" s="436" t="s">
        <v>276</v>
      </c>
      <c r="D2772" s="436" t="s">
        <v>995</v>
      </c>
      <c r="E2772" s="436">
        <v>1</v>
      </c>
      <c r="F2772" s="465">
        <v>3.3</v>
      </c>
      <c r="G2772" s="466">
        <v>3.3</v>
      </c>
      <c r="H2772" s="466">
        <f>G2772/1.1</f>
        <v>2.9999999999999996</v>
      </c>
      <c r="I2772" s="436"/>
      <c r="J2772" s="465">
        <v>0</v>
      </c>
      <c r="K2772" s="465">
        <v>0</v>
      </c>
    </row>
    <row r="2773" spans="2:11" ht="19" customHeight="1">
      <c r="B2773" s="464">
        <v>46074</v>
      </c>
      <c r="C2773" s="436" t="s">
        <v>256</v>
      </c>
      <c r="D2773" s="436" t="s">
        <v>255</v>
      </c>
      <c r="E2773" s="436">
        <v>1</v>
      </c>
      <c r="F2773" s="465">
        <v>5.85</v>
      </c>
      <c r="G2773" s="466">
        <v>5.85</v>
      </c>
      <c r="H2773" s="466">
        <f>G2773/1.1</f>
        <v>5.3181818181818175</v>
      </c>
      <c r="I2773" s="436"/>
      <c r="J2773" s="465">
        <v>0</v>
      </c>
      <c r="K2773" s="465">
        <v>0</v>
      </c>
    </row>
    <row r="2774" spans="2:11" ht="19" customHeight="1">
      <c r="B2774" s="464">
        <v>46074</v>
      </c>
      <c r="C2774" s="436" t="s">
        <v>251</v>
      </c>
      <c r="D2774" s="436" t="s">
        <v>900</v>
      </c>
      <c r="E2774" s="436">
        <v>1</v>
      </c>
      <c r="F2774" s="465">
        <v>2.9</v>
      </c>
      <c r="G2774" s="466">
        <v>2.9</v>
      </c>
      <c r="H2774" s="466">
        <f>G2774/1.1</f>
        <v>2.6363636363636362</v>
      </c>
      <c r="I2774" s="436"/>
      <c r="J2774" s="465">
        <v>0</v>
      </c>
      <c r="K2774" s="465">
        <v>0</v>
      </c>
    </row>
    <row r="2775" spans="2:11" ht="19" customHeight="1">
      <c r="B2775" s="464">
        <v>46074</v>
      </c>
      <c r="C2775" s="436" t="s">
        <v>247</v>
      </c>
      <c r="D2775" s="436" t="s">
        <v>248</v>
      </c>
      <c r="E2775" s="436">
        <v>2</v>
      </c>
      <c r="F2775" s="465">
        <v>1.8</v>
      </c>
      <c r="G2775" s="466">
        <v>3.6</v>
      </c>
      <c r="H2775" s="466">
        <f>G2775/1.1</f>
        <v>3.2727272727272725</v>
      </c>
      <c r="I2775" s="436"/>
      <c r="J2775" s="465">
        <v>0</v>
      </c>
      <c r="K2775" s="465">
        <v>0</v>
      </c>
    </row>
    <row r="2776" spans="2:11" ht="19" customHeight="1">
      <c r="B2776" s="464">
        <v>46074</v>
      </c>
      <c r="C2776" s="436" t="s">
        <v>862</v>
      </c>
      <c r="D2776" s="436" t="s">
        <v>899</v>
      </c>
      <c r="E2776" s="436">
        <v>2</v>
      </c>
      <c r="F2776" s="465">
        <v>0.05</v>
      </c>
      <c r="G2776" s="466">
        <v>0.1</v>
      </c>
      <c r="H2776" s="466">
        <f>G2776/1.1</f>
        <v>9.0909090909090912E-2</v>
      </c>
      <c r="I2776" s="436"/>
      <c r="J2776" s="465">
        <v>0</v>
      </c>
      <c r="K2776" s="465">
        <v>0</v>
      </c>
    </row>
    <row r="2777" spans="2:11" ht="19" customHeight="1">
      <c r="B2777" s="464">
        <v>46074</v>
      </c>
      <c r="C2777" s="436" t="s">
        <v>253</v>
      </c>
      <c r="D2777" s="436" t="s">
        <v>869</v>
      </c>
      <c r="E2777" s="436">
        <v>1</v>
      </c>
      <c r="F2777" s="465">
        <v>2.5</v>
      </c>
      <c r="G2777" s="466">
        <v>2.5</v>
      </c>
      <c r="H2777" s="466">
        <f>G2777/1.1</f>
        <v>2.2727272727272725</v>
      </c>
      <c r="I2777" s="436"/>
      <c r="J2777" s="465">
        <v>0</v>
      </c>
      <c r="K2777" s="465">
        <v>0</v>
      </c>
    </row>
    <row r="2778" spans="2:11" ht="19" customHeight="1">
      <c r="B2778" s="464">
        <v>46074</v>
      </c>
      <c r="C2778" s="436" t="s">
        <v>253</v>
      </c>
      <c r="D2778" s="436" t="s">
        <v>969</v>
      </c>
      <c r="E2778" s="436">
        <v>2</v>
      </c>
      <c r="F2778" s="465">
        <v>3.5</v>
      </c>
      <c r="G2778" s="466">
        <v>7</v>
      </c>
      <c r="H2778" s="466">
        <f>G2778/1.1</f>
        <v>6.3636363636363633</v>
      </c>
      <c r="I2778" s="436"/>
      <c r="J2778" s="465">
        <v>0</v>
      </c>
      <c r="K2778" s="465">
        <v>0</v>
      </c>
    </row>
    <row r="2779" spans="2:11" ht="19" customHeight="1">
      <c r="B2779" s="464">
        <v>46074</v>
      </c>
      <c r="C2779" s="436" t="s">
        <v>251</v>
      </c>
      <c r="D2779" s="436" t="s">
        <v>250</v>
      </c>
      <c r="E2779" s="436">
        <v>1</v>
      </c>
      <c r="F2779" s="465">
        <v>2.0499999999999998</v>
      </c>
      <c r="G2779" s="466">
        <v>2.0499999999999998</v>
      </c>
      <c r="H2779" s="466">
        <f>G2779/1.1</f>
        <v>1.8636363636363633</v>
      </c>
      <c r="I2779" s="436"/>
      <c r="J2779" s="465">
        <v>0</v>
      </c>
      <c r="K2779" s="465">
        <v>0</v>
      </c>
    </row>
    <row r="2780" spans="2:11" ht="19" customHeight="1">
      <c r="B2780" s="464">
        <v>46074</v>
      </c>
      <c r="C2780" s="436" t="s">
        <v>253</v>
      </c>
      <c r="D2780" s="436" t="s">
        <v>869</v>
      </c>
      <c r="E2780" s="436">
        <v>3</v>
      </c>
      <c r="F2780" s="465">
        <v>2.65</v>
      </c>
      <c r="G2780" s="466">
        <v>7.95</v>
      </c>
      <c r="H2780" s="466">
        <f>G2780/1.1</f>
        <v>7.2272727272727266</v>
      </c>
      <c r="I2780" s="436"/>
      <c r="J2780" s="465">
        <v>0</v>
      </c>
      <c r="K2780" s="465">
        <v>0</v>
      </c>
    </row>
    <row r="2781" spans="2:11" ht="19" customHeight="1">
      <c r="B2781" s="464">
        <v>46074</v>
      </c>
      <c r="C2781" s="436" t="s">
        <v>264</v>
      </c>
      <c r="D2781" s="436" t="s">
        <v>983</v>
      </c>
      <c r="E2781" s="436">
        <v>1</v>
      </c>
      <c r="F2781" s="465">
        <v>3</v>
      </c>
      <c r="G2781" s="466">
        <v>3</v>
      </c>
      <c r="H2781" s="466">
        <f>G2781/1.1</f>
        <v>2.7272727272727271</v>
      </c>
      <c r="I2781" s="436"/>
      <c r="J2781" s="465">
        <v>0</v>
      </c>
      <c r="K2781" s="465">
        <v>0</v>
      </c>
    </row>
    <row r="2782" spans="2:11" ht="19" customHeight="1">
      <c r="B2782" s="464">
        <v>46074</v>
      </c>
      <c r="C2782" s="436" t="s">
        <v>247</v>
      </c>
      <c r="D2782" s="436" t="s">
        <v>248</v>
      </c>
      <c r="E2782" s="436">
        <v>2</v>
      </c>
      <c r="F2782" s="465">
        <v>1.65</v>
      </c>
      <c r="G2782" s="466">
        <v>3.3</v>
      </c>
      <c r="H2782" s="466">
        <f>G2782/1.1</f>
        <v>2.9999999999999996</v>
      </c>
      <c r="I2782" s="436"/>
      <c r="J2782" s="465">
        <v>0</v>
      </c>
      <c r="K2782" s="465">
        <v>0</v>
      </c>
    </row>
    <row r="2783" spans="2:11" ht="19" customHeight="1">
      <c r="B2783" s="464">
        <v>46074</v>
      </c>
      <c r="C2783" s="436" t="s">
        <v>275</v>
      </c>
      <c r="D2783" s="436" t="s">
        <v>674</v>
      </c>
      <c r="E2783" s="436">
        <v>1</v>
      </c>
      <c r="F2783" s="465">
        <v>6</v>
      </c>
      <c r="G2783" s="466">
        <v>6</v>
      </c>
      <c r="H2783" s="466">
        <f>G2783/1.1</f>
        <v>5.4545454545454541</v>
      </c>
      <c r="I2783" s="436"/>
      <c r="J2783" s="465">
        <v>0</v>
      </c>
      <c r="K2783" s="465">
        <v>0</v>
      </c>
    </row>
    <row r="2784" spans="2:11" ht="19" customHeight="1">
      <c r="B2784" s="464">
        <v>46074</v>
      </c>
      <c r="C2784" s="436" t="s">
        <v>247</v>
      </c>
      <c r="D2784" s="436" t="s">
        <v>246</v>
      </c>
      <c r="E2784" s="436">
        <v>1</v>
      </c>
      <c r="F2784" s="465">
        <v>1.85</v>
      </c>
      <c r="G2784" s="466">
        <v>1.85</v>
      </c>
      <c r="H2784" s="466">
        <f>G2784/1.1</f>
        <v>1.6818181818181817</v>
      </c>
      <c r="I2784" s="436"/>
      <c r="J2784" s="465">
        <v>0</v>
      </c>
      <c r="K2784" s="465">
        <v>0</v>
      </c>
    </row>
    <row r="2785" spans="2:11" ht="19" customHeight="1">
      <c r="B2785" s="464">
        <v>46074</v>
      </c>
      <c r="C2785" s="436" t="s">
        <v>251</v>
      </c>
      <c r="D2785" s="436" t="s">
        <v>265</v>
      </c>
      <c r="E2785" s="436">
        <v>1</v>
      </c>
      <c r="F2785" s="465">
        <v>2.8</v>
      </c>
      <c r="G2785" s="466">
        <v>2.8</v>
      </c>
      <c r="H2785" s="466">
        <f>G2785/1.1</f>
        <v>2.545454545454545</v>
      </c>
      <c r="I2785" s="436"/>
      <c r="J2785" s="465">
        <v>0</v>
      </c>
      <c r="K2785" s="465">
        <v>0</v>
      </c>
    </row>
    <row r="2786" spans="2:11" ht="19" customHeight="1">
      <c r="B2786" s="464">
        <v>46074</v>
      </c>
      <c r="C2786" s="436" t="s">
        <v>251</v>
      </c>
      <c r="D2786" s="436" t="s">
        <v>945</v>
      </c>
      <c r="E2786" s="436">
        <v>1</v>
      </c>
      <c r="F2786" s="465">
        <v>2.8</v>
      </c>
      <c r="G2786" s="466">
        <v>2.8</v>
      </c>
      <c r="H2786" s="466">
        <f>G2786/1.1</f>
        <v>2.545454545454545</v>
      </c>
      <c r="I2786" s="436"/>
      <c r="J2786" s="465">
        <v>0</v>
      </c>
      <c r="K2786" s="465">
        <v>0</v>
      </c>
    </row>
    <row r="2787" spans="2:11" ht="19" customHeight="1">
      <c r="B2787" s="464">
        <v>46074</v>
      </c>
      <c r="C2787" s="436" t="s">
        <v>264</v>
      </c>
      <c r="D2787" s="436" t="s">
        <v>930</v>
      </c>
      <c r="E2787" s="436">
        <v>1</v>
      </c>
      <c r="F2787" s="465">
        <v>3.75</v>
      </c>
      <c r="G2787" s="466">
        <v>3.75</v>
      </c>
      <c r="H2787" s="466">
        <f>G2787/1.1</f>
        <v>3.4090909090909087</v>
      </c>
      <c r="I2787" s="436"/>
      <c r="J2787" s="465">
        <v>0</v>
      </c>
      <c r="K2787" s="465">
        <v>0</v>
      </c>
    </row>
    <row r="2788" spans="2:11" ht="19" customHeight="1">
      <c r="B2788" s="464">
        <v>46074</v>
      </c>
      <c r="C2788" s="436" t="s">
        <v>326</v>
      </c>
      <c r="D2788" s="436" t="s">
        <v>683</v>
      </c>
      <c r="E2788" s="436">
        <v>1</v>
      </c>
      <c r="F2788" s="465">
        <v>12.25</v>
      </c>
      <c r="G2788" s="466">
        <v>12.25</v>
      </c>
      <c r="H2788" s="466">
        <f>G2788/1.1</f>
        <v>11.136363636363635</v>
      </c>
      <c r="I2788" s="436"/>
      <c r="J2788" s="465">
        <v>0</v>
      </c>
      <c r="K2788" s="465">
        <v>0</v>
      </c>
    </row>
    <row r="2789" spans="2:11" ht="19" customHeight="1">
      <c r="B2789" s="464">
        <v>46074</v>
      </c>
      <c r="C2789" s="436" t="s">
        <v>256</v>
      </c>
      <c r="D2789" s="436" t="s">
        <v>1114</v>
      </c>
      <c r="E2789" s="436">
        <v>1</v>
      </c>
      <c r="F2789" s="465">
        <v>0.05</v>
      </c>
      <c r="G2789" s="466">
        <v>0.05</v>
      </c>
      <c r="H2789" s="466">
        <f>G2789/1.1</f>
        <v>4.5454545454545456E-2</v>
      </c>
      <c r="I2789" s="436"/>
      <c r="J2789" s="465">
        <v>0</v>
      </c>
      <c r="K2789" s="465">
        <v>0</v>
      </c>
    </row>
    <row r="2790" spans="2:11" ht="19" customHeight="1">
      <c r="B2790" s="464">
        <v>46074</v>
      </c>
      <c r="C2790" s="436" t="s">
        <v>256</v>
      </c>
      <c r="D2790" s="436" t="s">
        <v>931</v>
      </c>
      <c r="E2790" s="436">
        <v>2</v>
      </c>
      <c r="F2790" s="465">
        <v>1.7</v>
      </c>
      <c r="G2790" s="466">
        <v>3.4</v>
      </c>
      <c r="H2790" s="466">
        <f>G2790/1.1</f>
        <v>3.0909090909090904</v>
      </c>
      <c r="I2790" s="436"/>
      <c r="J2790" s="465">
        <v>0</v>
      </c>
      <c r="K2790" s="465">
        <v>0</v>
      </c>
    </row>
    <row r="2791" spans="2:11" ht="19" customHeight="1">
      <c r="B2791" s="464">
        <v>46074</v>
      </c>
      <c r="C2791" s="436" t="s">
        <v>256</v>
      </c>
      <c r="D2791" s="436" t="s">
        <v>870</v>
      </c>
      <c r="E2791" s="436">
        <v>2</v>
      </c>
      <c r="F2791" s="465">
        <v>1.7</v>
      </c>
      <c r="G2791" s="466">
        <v>3.4</v>
      </c>
      <c r="H2791" s="466">
        <f>G2791/1.1</f>
        <v>3.0909090909090904</v>
      </c>
      <c r="I2791" s="436"/>
      <c r="J2791" s="465">
        <v>0</v>
      </c>
      <c r="K2791" s="465">
        <v>0</v>
      </c>
    </row>
    <row r="2792" spans="2:11" ht="19" customHeight="1">
      <c r="B2792" s="464">
        <v>46074</v>
      </c>
      <c r="C2792" s="436" t="s">
        <v>256</v>
      </c>
      <c r="D2792" s="436" t="s">
        <v>932</v>
      </c>
      <c r="E2792" s="436">
        <v>2</v>
      </c>
      <c r="F2792" s="465">
        <v>1.7</v>
      </c>
      <c r="G2792" s="466">
        <v>3.4</v>
      </c>
      <c r="H2792" s="466">
        <f>G2792/1.1</f>
        <v>3.0909090909090904</v>
      </c>
      <c r="I2792" s="436"/>
      <c r="J2792" s="465">
        <v>0</v>
      </c>
      <c r="K2792" s="465">
        <v>0</v>
      </c>
    </row>
    <row r="2793" spans="2:11" ht="19" customHeight="1">
      <c r="B2793" s="464">
        <v>46074</v>
      </c>
      <c r="C2793" s="436" t="s">
        <v>256</v>
      </c>
      <c r="D2793" s="436" t="s">
        <v>912</v>
      </c>
      <c r="E2793" s="436">
        <v>1</v>
      </c>
      <c r="F2793" s="465">
        <v>5.75</v>
      </c>
      <c r="G2793" s="466">
        <v>5.75</v>
      </c>
      <c r="H2793" s="466">
        <f>G2793/1.1</f>
        <v>5.2272727272727266</v>
      </c>
      <c r="I2793" s="436"/>
      <c r="J2793" s="465">
        <v>0</v>
      </c>
      <c r="K2793" s="465">
        <v>0</v>
      </c>
    </row>
    <row r="2794" spans="2:11" ht="19" customHeight="1">
      <c r="B2794" s="464">
        <v>46074</v>
      </c>
      <c r="C2794" s="436" t="s">
        <v>247</v>
      </c>
      <c r="D2794" s="436" t="s">
        <v>257</v>
      </c>
      <c r="E2794" s="436">
        <v>1</v>
      </c>
      <c r="F2794" s="465">
        <v>1.55</v>
      </c>
      <c r="G2794" s="466">
        <v>1.55</v>
      </c>
      <c r="H2794" s="466">
        <f>G2794/1.1</f>
        <v>1.4090909090909089</v>
      </c>
      <c r="I2794" s="436"/>
      <c r="J2794" s="465">
        <v>0</v>
      </c>
      <c r="K2794" s="465">
        <v>0</v>
      </c>
    </row>
    <row r="2795" spans="2:11" ht="19" customHeight="1">
      <c r="B2795" s="464">
        <v>46074</v>
      </c>
      <c r="C2795" s="436" t="s">
        <v>251</v>
      </c>
      <c r="D2795" s="436" t="s">
        <v>250</v>
      </c>
      <c r="E2795" s="436">
        <v>1</v>
      </c>
      <c r="F2795" s="465">
        <v>1.8</v>
      </c>
      <c r="G2795" s="466">
        <v>1.8</v>
      </c>
      <c r="H2795" s="466">
        <f>G2795/1.1</f>
        <v>1.6363636363636362</v>
      </c>
      <c r="I2795" s="436"/>
      <c r="J2795" s="465">
        <v>0</v>
      </c>
      <c r="K2795" s="465">
        <v>0</v>
      </c>
    </row>
    <row r="2796" spans="2:11" ht="19" customHeight="1">
      <c r="B2796" s="464">
        <v>46074</v>
      </c>
      <c r="C2796" s="436" t="s">
        <v>276</v>
      </c>
      <c r="D2796" s="436" t="s">
        <v>1141</v>
      </c>
      <c r="E2796" s="436">
        <v>1</v>
      </c>
      <c r="F2796" s="465">
        <v>9.1</v>
      </c>
      <c r="G2796" s="466">
        <v>9.1</v>
      </c>
      <c r="H2796" s="466">
        <f>G2796/1.1</f>
        <v>8.2727272727272716</v>
      </c>
      <c r="I2796" s="436"/>
      <c r="J2796" s="465">
        <v>0</v>
      </c>
      <c r="K2796" s="465">
        <v>0</v>
      </c>
    </row>
    <row r="2797" spans="2:11" ht="19" customHeight="1">
      <c r="B2797" s="464">
        <v>46074</v>
      </c>
      <c r="C2797" s="436" t="s">
        <v>275</v>
      </c>
      <c r="D2797" s="436" t="s">
        <v>1084</v>
      </c>
      <c r="E2797" s="436">
        <v>1</v>
      </c>
      <c r="F2797" s="465">
        <v>6.5</v>
      </c>
      <c r="G2797" s="466">
        <v>6.5</v>
      </c>
      <c r="H2797" s="466">
        <f>G2797/1.1</f>
        <v>5.9090909090909083</v>
      </c>
      <c r="I2797" s="436"/>
      <c r="J2797" s="465">
        <v>0</v>
      </c>
      <c r="K2797" s="465">
        <v>0</v>
      </c>
    </row>
    <row r="2798" spans="2:11" ht="19" customHeight="1">
      <c r="B2798" s="464">
        <v>46074</v>
      </c>
      <c r="C2798" s="436" t="s">
        <v>247</v>
      </c>
      <c r="D2798" s="436" t="s">
        <v>855</v>
      </c>
      <c r="E2798" s="436">
        <v>1</v>
      </c>
      <c r="F2798" s="465">
        <v>3.25</v>
      </c>
      <c r="G2798" s="466">
        <v>3.25</v>
      </c>
      <c r="H2798" s="466">
        <f>G2798/1.1</f>
        <v>2.9545454545454541</v>
      </c>
      <c r="I2798" s="436"/>
      <c r="J2798" s="465">
        <v>0</v>
      </c>
      <c r="K2798" s="465">
        <v>0</v>
      </c>
    </row>
    <row r="2799" spans="2:11" ht="19" customHeight="1">
      <c r="B2799" s="464">
        <v>46074</v>
      </c>
      <c r="C2799" s="436" t="s">
        <v>264</v>
      </c>
      <c r="D2799" s="436" t="s">
        <v>930</v>
      </c>
      <c r="E2799" s="436">
        <v>1</v>
      </c>
      <c r="F2799" s="465">
        <v>3.5</v>
      </c>
      <c r="G2799" s="466">
        <v>3.5</v>
      </c>
      <c r="H2799" s="466">
        <f>G2799/1.1</f>
        <v>3.1818181818181817</v>
      </c>
      <c r="I2799" s="436"/>
      <c r="J2799" s="465">
        <v>0</v>
      </c>
      <c r="K2799" s="465">
        <v>0</v>
      </c>
    </row>
    <row r="2800" spans="2:11" ht="19" customHeight="1">
      <c r="B2800" s="464">
        <v>46074</v>
      </c>
      <c r="C2800" s="436" t="s">
        <v>256</v>
      </c>
      <c r="D2800" s="436" t="s">
        <v>1114</v>
      </c>
      <c r="E2800" s="436">
        <v>1</v>
      </c>
      <c r="F2800" s="465">
        <v>-0.2</v>
      </c>
      <c r="G2800" s="466">
        <v>-0.2</v>
      </c>
      <c r="H2800" s="466">
        <f>G2800/1.1</f>
        <v>-0.18181818181818182</v>
      </c>
      <c r="I2800" s="436"/>
      <c r="J2800" s="465">
        <v>0</v>
      </c>
      <c r="K2800" s="465">
        <v>0</v>
      </c>
    </row>
    <row r="2801" spans="2:11" ht="19" customHeight="1">
      <c r="B2801" s="464">
        <v>46074</v>
      </c>
      <c r="C2801" s="436" t="s">
        <v>256</v>
      </c>
      <c r="D2801" s="436" t="s">
        <v>931</v>
      </c>
      <c r="E2801" s="436">
        <v>2</v>
      </c>
      <c r="F2801" s="465">
        <v>1.7</v>
      </c>
      <c r="G2801" s="466">
        <v>3.4</v>
      </c>
      <c r="H2801" s="466">
        <f>G2801/1.1</f>
        <v>3.0909090909090904</v>
      </c>
      <c r="I2801" s="436"/>
      <c r="J2801" s="465">
        <v>0</v>
      </c>
      <c r="K2801" s="465">
        <v>0</v>
      </c>
    </row>
    <row r="2802" spans="2:11" ht="19" customHeight="1">
      <c r="B2802" s="464">
        <v>46074</v>
      </c>
      <c r="C2802" s="436" t="s">
        <v>256</v>
      </c>
      <c r="D2802" s="436" t="s">
        <v>870</v>
      </c>
      <c r="E2802" s="436">
        <v>2</v>
      </c>
      <c r="F2802" s="465">
        <v>1.7</v>
      </c>
      <c r="G2802" s="466">
        <v>3.4</v>
      </c>
      <c r="H2802" s="466">
        <f>G2802/1.1</f>
        <v>3.0909090909090904</v>
      </c>
      <c r="I2802" s="436"/>
      <c r="J2802" s="465">
        <v>0</v>
      </c>
      <c r="K2802" s="465">
        <v>0</v>
      </c>
    </row>
    <row r="2803" spans="2:11" ht="19" customHeight="1">
      <c r="B2803" s="464">
        <v>46074</v>
      </c>
      <c r="C2803" s="436" t="s">
        <v>256</v>
      </c>
      <c r="D2803" s="436" t="s">
        <v>932</v>
      </c>
      <c r="E2803" s="436">
        <v>2</v>
      </c>
      <c r="F2803" s="465">
        <v>1.7</v>
      </c>
      <c r="G2803" s="466">
        <v>3.4</v>
      </c>
      <c r="H2803" s="466">
        <f>G2803/1.1</f>
        <v>3.0909090909090904</v>
      </c>
      <c r="I2803" s="436"/>
      <c r="J2803" s="465">
        <v>0</v>
      </c>
      <c r="K2803" s="465">
        <v>0</v>
      </c>
    </row>
    <row r="2804" spans="2:11" ht="19" customHeight="1">
      <c r="B2804" s="464">
        <v>46074</v>
      </c>
      <c r="C2804" s="436" t="s">
        <v>256</v>
      </c>
      <c r="D2804" s="436" t="s">
        <v>255</v>
      </c>
      <c r="E2804" s="436">
        <v>1</v>
      </c>
      <c r="F2804" s="465">
        <v>5.6</v>
      </c>
      <c r="G2804" s="466">
        <v>5.6</v>
      </c>
      <c r="H2804" s="466">
        <f>G2804/1.1</f>
        <v>5.0909090909090899</v>
      </c>
      <c r="I2804" s="436"/>
      <c r="J2804" s="465">
        <v>0</v>
      </c>
      <c r="K2804" s="465">
        <v>0</v>
      </c>
    </row>
    <row r="2805" spans="2:11" ht="19" customHeight="1">
      <c r="B2805" s="464">
        <v>46074</v>
      </c>
      <c r="C2805" s="436" t="s">
        <v>323</v>
      </c>
      <c r="D2805" s="436" t="s">
        <v>684</v>
      </c>
      <c r="E2805" s="436">
        <v>1</v>
      </c>
      <c r="F2805" s="465">
        <v>9.9</v>
      </c>
      <c r="G2805" s="466">
        <v>9.9</v>
      </c>
      <c r="H2805" s="466">
        <f>G2805/1.1</f>
        <v>9</v>
      </c>
      <c r="I2805" s="436"/>
      <c r="J2805" s="465">
        <v>0</v>
      </c>
      <c r="K2805" s="465">
        <v>0</v>
      </c>
    </row>
    <row r="2806" spans="2:11" ht="19" customHeight="1">
      <c r="B2806" s="464">
        <v>46074</v>
      </c>
      <c r="C2806" s="436" t="s">
        <v>253</v>
      </c>
      <c r="D2806" s="436" t="s">
        <v>869</v>
      </c>
      <c r="E2806" s="436">
        <v>2</v>
      </c>
      <c r="F2806" s="465">
        <v>2.5</v>
      </c>
      <c r="G2806" s="466">
        <v>5</v>
      </c>
      <c r="H2806" s="466">
        <f>G2806/1.1</f>
        <v>4.545454545454545</v>
      </c>
      <c r="I2806" s="436"/>
      <c r="J2806" s="465">
        <v>0</v>
      </c>
      <c r="K2806" s="465">
        <v>0</v>
      </c>
    </row>
    <row r="2807" spans="2:11" ht="19" customHeight="1">
      <c r="B2807" s="464">
        <v>46074</v>
      </c>
      <c r="C2807" s="436" t="s">
        <v>253</v>
      </c>
      <c r="D2807" s="436" t="s">
        <v>676</v>
      </c>
      <c r="E2807" s="436">
        <v>1</v>
      </c>
      <c r="F2807" s="465">
        <v>2.95</v>
      </c>
      <c r="G2807" s="466">
        <v>2.95</v>
      </c>
      <c r="H2807" s="466">
        <f>G2807/1.1</f>
        <v>2.6818181818181817</v>
      </c>
      <c r="I2807" s="436"/>
      <c r="J2807" s="465">
        <v>0</v>
      </c>
      <c r="K2807" s="465">
        <v>0</v>
      </c>
    </row>
    <row r="2808" spans="2:11" ht="19" customHeight="1">
      <c r="B2808" s="464">
        <v>46074</v>
      </c>
      <c r="C2808" s="436" t="s">
        <v>321</v>
      </c>
      <c r="D2808" s="436" t="s">
        <v>1143</v>
      </c>
      <c r="E2808" s="436">
        <v>1</v>
      </c>
      <c r="F2808" s="465">
        <v>4</v>
      </c>
      <c r="G2808" s="466">
        <v>4</v>
      </c>
      <c r="H2808" s="466">
        <f>G2808/1.1</f>
        <v>3.6363636363636362</v>
      </c>
      <c r="I2808" s="436"/>
      <c r="J2808" s="465">
        <v>0</v>
      </c>
      <c r="K2808" s="465">
        <v>0</v>
      </c>
    </row>
    <row r="2809" spans="2:11" ht="19" customHeight="1">
      <c r="B2809" s="464">
        <v>46074</v>
      </c>
      <c r="C2809" s="436" t="s">
        <v>264</v>
      </c>
      <c r="D2809" s="436" t="s">
        <v>930</v>
      </c>
      <c r="E2809" s="436">
        <v>1</v>
      </c>
      <c r="F2809" s="465">
        <v>3.5</v>
      </c>
      <c r="G2809" s="466">
        <v>3.5</v>
      </c>
      <c r="H2809" s="466">
        <f>G2809/1.1</f>
        <v>3.1818181818181817</v>
      </c>
      <c r="I2809" s="436"/>
      <c r="J2809" s="465">
        <v>0</v>
      </c>
      <c r="K2809" s="465">
        <v>0</v>
      </c>
    </row>
    <row r="2810" spans="2:11" ht="19" customHeight="1">
      <c r="B2810" s="464">
        <v>46074</v>
      </c>
      <c r="C2810" s="436" t="s">
        <v>256</v>
      </c>
      <c r="D2810" s="436" t="s">
        <v>675</v>
      </c>
      <c r="E2810" s="436">
        <v>1</v>
      </c>
      <c r="F2810" s="465">
        <v>5.5</v>
      </c>
      <c r="G2810" s="466">
        <v>5.5</v>
      </c>
      <c r="H2810" s="466">
        <f>G2810/1.1</f>
        <v>5</v>
      </c>
      <c r="I2810" s="436"/>
      <c r="J2810" s="465">
        <v>0</v>
      </c>
      <c r="K2810" s="465">
        <v>0</v>
      </c>
    </row>
    <row r="2811" spans="2:11" ht="19" customHeight="1">
      <c r="B2811" s="464">
        <v>46074</v>
      </c>
      <c r="C2811" s="436" t="s">
        <v>256</v>
      </c>
      <c r="D2811" s="436" t="s">
        <v>1113</v>
      </c>
      <c r="E2811" s="436">
        <v>1</v>
      </c>
      <c r="F2811" s="465">
        <v>9.9</v>
      </c>
      <c r="G2811" s="466">
        <v>9.9</v>
      </c>
      <c r="H2811" s="466">
        <f>G2811/1.1</f>
        <v>9</v>
      </c>
      <c r="I2811" s="436"/>
      <c r="J2811" s="465">
        <v>0</v>
      </c>
      <c r="K2811" s="465">
        <v>0</v>
      </c>
    </row>
    <row r="2812" spans="2:11" ht="19" customHeight="1">
      <c r="B2812" s="464">
        <v>46074</v>
      </c>
      <c r="C2812" s="436" t="s">
        <v>276</v>
      </c>
      <c r="D2812" s="436" t="s">
        <v>995</v>
      </c>
      <c r="E2812" s="436">
        <v>1</v>
      </c>
      <c r="F2812" s="465">
        <v>3.05</v>
      </c>
      <c r="G2812" s="466">
        <v>3.05</v>
      </c>
      <c r="H2812" s="466">
        <f>G2812/1.1</f>
        <v>2.7727272727272725</v>
      </c>
      <c r="I2812" s="436"/>
      <c r="J2812" s="465">
        <v>0</v>
      </c>
      <c r="K2812" s="465">
        <v>0</v>
      </c>
    </row>
    <row r="2813" spans="2:11" ht="19" customHeight="1">
      <c r="B2813" s="464">
        <v>46074</v>
      </c>
      <c r="C2813" s="436" t="s">
        <v>253</v>
      </c>
      <c r="D2813" s="436" t="s">
        <v>901</v>
      </c>
      <c r="E2813" s="436">
        <v>1</v>
      </c>
      <c r="F2813" s="465">
        <v>2.15</v>
      </c>
      <c r="G2813" s="466">
        <v>2.15</v>
      </c>
      <c r="H2813" s="466">
        <f>G2813/1.1</f>
        <v>1.9545454545454544</v>
      </c>
      <c r="I2813" s="436"/>
      <c r="J2813" s="465">
        <v>0</v>
      </c>
      <c r="K2813" s="465">
        <v>0</v>
      </c>
    </row>
    <row r="2814" spans="2:11" ht="19" customHeight="1">
      <c r="B2814" s="464">
        <v>46074</v>
      </c>
      <c r="C2814" s="436" t="s">
        <v>275</v>
      </c>
      <c r="D2814" s="436" t="s">
        <v>933</v>
      </c>
      <c r="E2814" s="436">
        <v>1</v>
      </c>
      <c r="F2814" s="465">
        <v>5.25</v>
      </c>
      <c r="G2814" s="466">
        <v>5.25</v>
      </c>
      <c r="H2814" s="466">
        <f>G2814/1.1</f>
        <v>4.7727272727272725</v>
      </c>
      <c r="I2814" s="436"/>
      <c r="J2814" s="465">
        <v>0</v>
      </c>
      <c r="K2814" s="465">
        <v>0</v>
      </c>
    </row>
    <row r="2815" spans="2:11" ht="19" customHeight="1">
      <c r="B2815" s="464">
        <v>46074</v>
      </c>
      <c r="C2815" s="436" t="s">
        <v>256</v>
      </c>
      <c r="D2815" s="436" t="s">
        <v>255</v>
      </c>
      <c r="E2815" s="436">
        <v>1</v>
      </c>
      <c r="F2815" s="465">
        <v>5.6</v>
      </c>
      <c r="G2815" s="466">
        <v>5.6</v>
      </c>
      <c r="H2815" s="466">
        <f>G2815/1.1</f>
        <v>5.0909090909090899</v>
      </c>
      <c r="I2815" s="436"/>
      <c r="J2815" s="465">
        <v>0</v>
      </c>
      <c r="K2815" s="465">
        <v>0</v>
      </c>
    </row>
    <row r="2816" spans="2:11" ht="19" customHeight="1">
      <c r="B2816" s="464">
        <v>46074</v>
      </c>
      <c r="C2816" s="436" t="s">
        <v>256</v>
      </c>
      <c r="D2816" s="436" t="s">
        <v>678</v>
      </c>
      <c r="E2816" s="436">
        <v>1</v>
      </c>
      <c r="F2816" s="465">
        <v>6.9</v>
      </c>
      <c r="G2816" s="466">
        <v>6.9</v>
      </c>
      <c r="H2816" s="466">
        <f>G2816/1.1</f>
        <v>6.2727272727272725</v>
      </c>
      <c r="I2816" s="436"/>
      <c r="J2816" s="465">
        <v>0</v>
      </c>
      <c r="K2816" s="465">
        <v>0</v>
      </c>
    </row>
    <row r="2817" spans="2:11" ht="19" customHeight="1">
      <c r="B2817" s="464">
        <v>46074</v>
      </c>
      <c r="C2817" s="436" t="s">
        <v>264</v>
      </c>
      <c r="D2817" s="436" t="s">
        <v>930</v>
      </c>
      <c r="E2817" s="436">
        <v>1</v>
      </c>
      <c r="F2817" s="465">
        <v>3.5</v>
      </c>
      <c r="G2817" s="466">
        <v>3.5</v>
      </c>
      <c r="H2817" s="466">
        <f>G2817/1.1</f>
        <v>3.1818181818181817</v>
      </c>
      <c r="I2817" s="436"/>
      <c r="J2817" s="465">
        <v>0</v>
      </c>
      <c r="K2817" s="465">
        <v>0</v>
      </c>
    </row>
    <row r="2818" spans="2:11" ht="19" customHeight="1">
      <c r="B2818" s="464">
        <v>46074</v>
      </c>
      <c r="C2818" s="436" t="s">
        <v>256</v>
      </c>
      <c r="D2818" s="436" t="s">
        <v>931</v>
      </c>
      <c r="E2818" s="436">
        <v>2</v>
      </c>
      <c r="F2818" s="465">
        <v>1.7</v>
      </c>
      <c r="G2818" s="466">
        <v>3.4</v>
      </c>
      <c r="H2818" s="466">
        <f>G2818/1.1</f>
        <v>3.0909090909090904</v>
      </c>
      <c r="I2818" s="436"/>
      <c r="J2818" s="465">
        <v>0</v>
      </c>
      <c r="K2818" s="465">
        <v>0</v>
      </c>
    </row>
    <row r="2819" spans="2:11" ht="19" customHeight="1">
      <c r="B2819" s="464">
        <v>46074</v>
      </c>
      <c r="C2819" s="436" t="s">
        <v>256</v>
      </c>
      <c r="D2819" s="436" t="s">
        <v>870</v>
      </c>
      <c r="E2819" s="436">
        <v>2</v>
      </c>
      <c r="F2819" s="465">
        <v>1.7</v>
      </c>
      <c r="G2819" s="466">
        <v>3.4</v>
      </c>
      <c r="H2819" s="466">
        <f>G2819/1.1</f>
        <v>3.0909090909090904</v>
      </c>
      <c r="I2819" s="436"/>
      <c r="J2819" s="465">
        <v>0</v>
      </c>
      <c r="K2819" s="465">
        <v>0</v>
      </c>
    </row>
    <row r="2820" spans="2:11" ht="19" customHeight="1">
      <c r="B2820" s="464">
        <v>46074</v>
      </c>
      <c r="C2820" s="436" t="s">
        <v>256</v>
      </c>
      <c r="D2820" s="436" t="s">
        <v>932</v>
      </c>
      <c r="E2820" s="436">
        <v>2</v>
      </c>
      <c r="F2820" s="465">
        <v>1.7</v>
      </c>
      <c r="G2820" s="466">
        <v>3.4</v>
      </c>
      <c r="H2820" s="466">
        <f>G2820/1.1</f>
        <v>3.0909090909090904</v>
      </c>
      <c r="I2820" s="436"/>
      <c r="J2820" s="465">
        <v>0</v>
      </c>
      <c r="K2820" s="465">
        <v>0</v>
      </c>
    </row>
    <row r="2821" spans="2:11" ht="19" customHeight="1">
      <c r="B2821" s="464">
        <v>46074</v>
      </c>
      <c r="C2821" s="436" t="s">
        <v>256</v>
      </c>
      <c r="D2821" s="436" t="s">
        <v>262</v>
      </c>
      <c r="E2821" s="436">
        <v>1</v>
      </c>
      <c r="F2821" s="465">
        <v>11.9</v>
      </c>
      <c r="G2821" s="466">
        <v>11.9</v>
      </c>
      <c r="H2821" s="466">
        <f>G2821/1.1</f>
        <v>10.818181818181818</v>
      </c>
      <c r="I2821" s="436"/>
      <c r="J2821" s="465">
        <v>0</v>
      </c>
      <c r="K2821" s="465">
        <v>0</v>
      </c>
    </row>
    <row r="2822" spans="2:11" ht="19" customHeight="1">
      <c r="B2822" s="464">
        <v>46074</v>
      </c>
      <c r="C2822" s="436" t="s">
        <v>247</v>
      </c>
      <c r="D2822" s="436" t="s">
        <v>248</v>
      </c>
      <c r="E2822" s="436">
        <v>1</v>
      </c>
      <c r="F2822" s="465">
        <v>1.65</v>
      </c>
      <c r="G2822" s="466">
        <v>1.65</v>
      </c>
      <c r="H2822" s="466">
        <f>G2822/1.1</f>
        <v>1.4999999999999998</v>
      </c>
      <c r="I2822" s="436"/>
      <c r="J2822" s="465">
        <v>0</v>
      </c>
      <c r="K2822" s="465">
        <v>0</v>
      </c>
    </row>
    <row r="2823" spans="2:11" ht="19" customHeight="1">
      <c r="B2823" s="464">
        <v>46074</v>
      </c>
      <c r="C2823" s="436" t="s">
        <v>253</v>
      </c>
      <c r="D2823" s="436" t="s">
        <v>901</v>
      </c>
      <c r="E2823" s="436">
        <v>3</v>
      </c>
      <c r="F2823" s="465">
        <v>2.2999999999999998</v>
      </c>
      <c r="G2823" s="466">
        <v>6.9</v>
      </c>
      <c r="H2823" s="466">
        <f>G2823/1.1</f>
        <v>6.2727272727272725</v>
      </c>
      <c r="I2823" s="436"/>
      <c r="J2823" s="465">
        <v>0</v>
      </c>
      <c r="K2823" s="465">
        <v>0</v>
      </c>
    </row>
    <row r="2824" spans="2:11" ht="19" customHeight="1">
      <c r="B2824" s="464">
        <v>46074</v>
      </c>
      <c r="C2824" s="436" t="s">
        <v>264</v>
      </c>
      <c r="D2824" s="436" t="s">
        <v>930</v>
      </c>
      <c r="E2824" s="436">
        <v>1</v>
      </c>
      <c r="F2824" s="465">
        <v>3.75</v>
      </c>
      <c r="G2824" s="466">
        <v>3.75</v>
      </c>
      <c r="H2824" s="466">
        <f>G2824/1.1</f>
        <v>3.4090909090909087</v>
      </c>
      <c r="I2824" s="436"/>
      <c r="J2824" s="465">
        <v>0</v>
      </c>
      <c r="K2824" s="465">
        <v>0</v>
      </c>
    </row>
    <row r="2825" spans="2:11" ht="19" customHeight="1">
      <c r="B2825" s="464">
        <v>46074</v>
      </c>
      <c r="C2825" s="436" t="s">
        <v>256</v>
      </c>
      <c r="D2825" s="436" t="s">
        <v>1113</v>
      </c>
      <c r="E2825" s="436">
        <v>1</v>
      </c>
      <c r="F2825" s="465">
        <v>10.15</v>
      </c>
      <c r="G2825" s="466">
        <v>10.15</v>
      </c>
      <c r="H2825" s="466">
        <f>G2825/1.1</f>
        <v>9.2272727272727266</v>
      </c>
      <c r="I2825" s="436"/>
      <c r="J2825" s="465">
        <v>0</v>
      </c>
      <c r="K2825" s="465">
        <v>0</v>
      </c>
    </row>
    <row r="2826" spans="2:11" ht="19" customHeight="1">
      <c r="B2826" s="464">
        <v>46074</v>
      </c>
      <c r="C2826" s="436" t="s">
        <v>256</v>
      </c>
      <c r="D2826" s="436" t="s">
        <v>675</v>
      </c>
      <c r="E2826" s="436">
        <v>1</v>
      </c>
      <c r="F2826" s="465">
        <v>5.75</v>
      </c>
      <c r="G2826" s="466">
        <v>5.75</v>
      </c>
      <c r="H2826" s="466">
        <f>G2826/1.1</f>
        <v>5.2272727272727266</v>
      </c>
      <c r="I2826" s="436"/>
      <c r="J2826" s="465">
        <v>0</v>
      </c>
      <c r="K2826" s="465">
        <v>0</v>
      </c>
    </row>
    <row r="2827" spans="2:11" ht="19" customHeight="1">
      <c r="B2827" s="464">
        <v>46074</v>
      </c>
      <c r="C2827" s="436" t="s">
        <v>256</v>
      </c>
      <c r="D2827" s="436" t="s">
        <v>262</v>
      </c>
      <c r="E2827" s="436">
        <v>1</v>
      </c>
      <c r="F2827" s="465">
        <v>12.15</v>
      </c>
      <c r="G2827" s="466">
        <v>12.15</v>
      </c>
      <c r="H2827" s="466">
        <f>G2827/1.1</f>
        <v>11.045454545454545</v>
      </c>
      <c r="I2827" s="436"/>
      <c r="J2827" s="465">
        <v>0</v>
      </c>
      <c r="K2827" s="465">
        <v>0</v>
      </c>
    </row>
    <row r="2828" spans="2:11" ht="19" customHeight="1">
      <c r="B2828" s="464">
        <v>46074</v>
      </c>
      <c r="C2828" s="436" t="s">
        <v>247</v>
      </c>
      <c r="D2828" s="436" t="s">
        <v>902</v>
      </c>
      <c r="E2828" s="436">
        <v>1</v>
      </c>
      <c r="F2828" s="465">
        <v>1.95</v>
      </c>
      <c r="G2828" s="466">
        <v>1.95</v>
      </c>
      <c r="H2828" s="466">
        <f>G2828/1.1</f>
        <v>1.7727272727272725</v>
      </c>
      <c r="I2828" s="436"/>
      <c r="J2828" s="465">
        <v>0</v>
      </c>
      <c r="K2828" s="465">
        <v>0</v>
      </c>
    </row>
    <row r="2829" spans="2:11" ht="19" customHeight="1">
      <c r="B2829" s="464">
        <v>46074</v>
      </c>
      <c r="C2829" s="436" t="s">
        <v>862</v>
      </c>
      <c r="D2829" s="436" t="s">
        <v>863</v>
      </c>
      <c r="E2829" s="436">
        <v>1</v>
      </c>
      <c r="F2829" s="465">
        <v>0.15</v>
      </c>
      <c r="G2829" s="466">
        <v>0.15</v>
      </c>
      <c r="H2829" s="466">
        <f>G2829/1.1</f>
        <v>0.13636363636363635</v>
      </c>
      <c r="I2829" s="436"/>
      <c r="J2829" s="465">
        <v>0</v>
      </c>
      <c r="K2829" s="465">
        <v>0</v>
      </c>
    </row>
    <row r="2830" spans="2:11" ht="19" customHeight="1">
      <c r="B2830" s="464">
        <v>46075</v>
      </c>
      <c r="C2830" s="436" t="s">
        <v>247</v>
      </c>
      <c r="D2830" s="436" t="s">
        <v>902</v>
      </c>
      <c r="E2830" s="436">
        <v>1</v>
      </c>
      <c r="F2830" s="465">
        <v>1.95</v>
      </c>
      <c r="G2830" s="466">
        <v>1.95</v>
      </c>
      <c r="H2830" s="466">
        <f>G2830/1.1</f>
        <v>1.7727272727272725</v>
      </c>
      <c r="I2830" s="436"/>
      <c r="J2830" s="465">
        <v>0</v>
      </c>
      <c r="K2830" s="465">
        <v>0</v>
      </c>
    </row>
    <row r="2831" spans="2:11" ht="19" customHeight="1">
      <c r="B2831" s="464">
        <v>46075</v>
      </c>
      <c r="C2831" s="436" t="s">
        <v>247</v>
      </c>
      <c r="D2831" s="436" t="s">
        <v>248</v>
      </c>
      <c r="E2831" s="436">
        <v>1</v>
      </c>
      <c r="F2831" s="465">
        <v>1.5</v>
      </c>
      <c r="G2831" s="466">
        <v>1.5</v>
      </c>
      <c r="H2831" s="466">
        <f>G2831/1.1</f>
        <v>1.3636363636363635</v>
      </c>
      <c r="I2831" s="436"/>
      <c r="J2831" s="465">
        <v>0</v>
      </c>
      <c r="K2831" s="465">
        <v>0</v>
      </c>
    </row>
    <row r="2832" spans="2:11" ht="19" customHeight="1">
      <c r="B2832" s="464">
        <v>46075</v>
      </c>
      <c r="C2832" s="436" t="s">
        <v>251</v>
      </c>
      <c r="D2832" s="436" t="s">
        <v>742</v>
      </c>
      <c r="E2832" s="436">
        <v>1</v>
      </c>
      <c r="F2832" s="465">
        <v>2.75</v>
      </c>
      <c r="G2832" s="466">
        <v>2.75</v>
      </c>
      <c r="H2832" s="466">
        <f>G2832/1.1</f>
        <v>2.5</v>
      </c>
      <c r="I2832" s="436"/>
      <c r="J2832" s="465">
        <v>0</v>
      </c>
      <c r="K2832" s="465">
        <v>0</v>
      </c>
    </row>
    <row r="2833" spans="2:11" ht="19" customHeight="1">
      <c r="B2833" s="464">
        <v>46075</v>
      </c>
      <c r="C2833" s="436" t="s">
        <v>894</v>
      </c>
      <c r="D2833" s="436" t="s">
        <v>896</v>
      </c>
      <c r="E2833" s="436">
        <v>1</v>
      </c>
      <c r="F2833" s="465">
        <v>5.75</v>
      </c>
      <c r="G2833" s="466">
        <v>5.75</v>
      </c>
      <c r="H2833" s="466">
        <f>G2833/1.1</f>
        <v>5.2272727272727266</v>
      </c>
      <c r="I2833" s="436"/>
      <c r="J2833" s="465">
        <v>0</v>
      </c>
      <c r="K2833" s="465">
        <v>0</v>
      </c>
    </row>
    <row r="2834" spans="2:11" ht="19" customHeight="1">
      <c r="B2834" s="464">
        <v>46075</v>
      </c>
      <c r="C2834" s="436" t="s">
        <v>328</v>
      </c>
      <c r="D2834" s="436" t="s">
        <v>861</v>
      </c>
      <c r="E2834" s="436">
        <v>1</v>
      </c>
      <c r="F2834" s="465">
        <v>3.25</v>
      </c>
      <c r="G2834" s="466">
        <v>3.25</v>
      </c>
      <c r="H2834" s="466">
        <f>G2834/1.1</f>
        <v>2.9545454545454541</v>
      </c>
      <c r="I2834" s="436"/>
      <c r="J2834" s="465">
        <v>0</v>
      </c>
      <c r="K2834" s="465">
        <v>0</v>
      </c>
    </row>
    <row r="2835" spans="2:11" ht="19" customHeight="1">
      <c r="B2835" s="464">
        <v>46075</v>
      </c>
      <c r="C2835" s="436" t="s">
        <v>268</v>
      </c>
      <c r="D2835" s="436" t="s">
        <v>267</v>
      </c>
      <c r="E2835" s="436">
        <v>1</v>
      </c>
      <c r="F2835" s="465">
        <v>1.5</v>
      </c>
      <c r="G2835" s="466">
        <v>1.5</v>
      </c>
      <c r="H2835" s="466">
        <f>G2835/1.1</f>
        <v>1.3636363636363635</v>
      </c>
      <c r="I2835" s="436"/>
      <c r="J2835" s="465">
        <v>0</v>
      </c>
      <c r="K2835" s="465">
        <v>0</v>
      </c>
    </row>
    <row r="2836" spans="2:11" ht="19" customHeight="1">
      <c r="B2836" s="464">
        <v>46075</v>
      </c>
      <c r="C2836" s="436" t="s">
        <v>247</v>
      </c>
      <c r="D2836" s="436" t="s">
        <v>246</v>
      </c>
      <c r="E2836" s="436">
        <v>1</v>
      </c>
      <c r="F2836" s="465">
        <v>1.7</v>
      </c>
      <c r="G2836" s="466">
        <v>1.7</v>
      </c>
      <c r="H2836" s="466">
        <f>G2836/1.1</f>
        <v>1.5454545454545452</v>
      </c>
      <c r="I2836" s="436"/>
      <c r="J2836" s="465">
        <v>0</v>
      </c>
      <c r="K2836" s="465">
        <v>0</v>
      </c>
    </row>
    <row r="2837" spans="2:11" ht="19" customHeight="1">
      <c r="B2837" s="464">
        <v>46075</v>
      </c>
      <c r="C2837" s="436" t="s">
        <v>251</v>
      </c>
      <c r="D2837" s="436" t="s">
        <v>926</v>
      </c>
      <c r="E2837" s="436">
        <v>1</v>
      </c>
      <c r="F2837" s="465">
        <v>2.65</v>
      </c>
      <c r="G2837" s="466">
        <v>2.65</v>
      </c>
      <c r="H2837" s="466">
        <f>G2837/1.1</f>
        <v>2.4090909090909087</v>
      </c>
      <c r="I2837" s="436"/>
      <c r="J2837" s="465">
        <v>0</v>
      </c>
      <c r="K2837" s="465">
        <v>0</v>
      </c>
    </row>
    <row r="2838" spans="2:11" ht="19" customHeight="1">
      <c r="B2838" s="464">
        <v>46075</v>
      </c>
      <c r="C2838" s="436" t="s">
        <v>327</v>
      </c>
      <c r="D2838" s="436" t="s">
        <v>939</v>
      </c>
      <c r="E2838" s="436">
        <v>1</v>
      </c>
      <c r="F2838" s="465">
        <v>4.8499999999999996</v>
      </c>
      <c r="G2838" s="466">
        <v>4.8499999999999996</v>
      </c>
      <c r="H2838" s="466">
        <f>G2838/1.1</f>
        <v>4.4090909090909083</v>
      </c>
      <c r="I2838" s="436"/>
      <c r="J2838" s="465">
        <v>0</v>
      </c>
      <c r="K2838" s="465">
        <v>0</v>
      </c>
    </row>
    <row r="2839" spans="2:11" ht="19" customHeight="1">
      <c r="B2839" s="464">
        <v>46075</v>
      </c>
      <c r="C2839" s="436" t="s">
        <v>264</v>
      </c>
      <c r="D2839" s="436" t="s">
        <v>891</v>
      </c>
      <c r="E2839" s="436">
        <v>1</v>
      </c>
      <c r="F2839" s="465">
        <v>1.4</v>
      </c>
      <c r="G2839" s="466">
        <v>1.4</v>
      </c>
      <c r="H2839" s="466">
        <f>G2839/1.1</f>
        <v>1.2727272727272725</v>
      </c>
      <c r="I2839" s="436"/>
      <c r="J2839" s="465">
        <v>0</v>
      </c>
      <c r="K2839" s="465">
        <v>0</v>
      </c>
    </row>
    <row r="2840" spans="2:11" ht="19" customHeight="1">
      <c r="B2840" s="464">
        <v>46075</v>
      </c>
      <c r="C2840" s="436" t="s">
        <v>251</v>
      </c>
      <c r="D2840" s="436" t="s">
        <v>265</v>
      </c>
      <c r="E2840" s="436">
        <v>1</v>
      </c>
      <c r="F2840" s="465">
        <v>2.65</v>
      </c>
      <c r="G2840" s="466">
        <v>2.65</v>
      </c>
      <c r="H2840" s="466">
        <f>G2840/1.1</f>
        <v>2.4090909090909087</v>
      </c>
      <c r="I2840" s="436"/>
      <c r="J2840" s="465">
        <v>0</v>
      </c>
      <c r="K2840" s="465">
        <v>0</v>
      </c>
    </row>
    <row r="2841" spans="2:11" ht="19" customHeight="1">
      <c r="B2841" s="464">
        <v>46075</v>
      </c>
      <c r="C2841" s="436" t="s">
        <v>247</v>
      </c>
      <c r="D2841" s="436" t="s">
        <v>257</v>
      </c>
      <c r="E2841" s="436">
        <v>1</v>
      </c>
      <c r="F2841" s="465">
        <v>1.4</v>
      </c>
      <c r="G2841" s="466">
        <v>1.4</v>
      </c>
      <c r="H2841" s="466">
        <f>G2841/1.1</f>
        <v>1.2727272727272725</v>
      </c>
      <c r="I2841" s="436"/>
      <c r="J2841" s="465">
        <v>0</v>
      </c>
      <c r="K2841" s="465">
        <v>0</v>
      </c>
    </row>
    <row r="2842" spans="2:11" ht="19" customHeight="1">
      <c r="B2842" s="464">
        <v>46075</v>
      </c>
      <c r="C2842" s="436" t="s">
        <v>948</v>
      </c>
      <c r="D2842" s="436" t="s">
        <v>819</v>
      </c>
      <c r="E2842" s="436">
        <v>1</v>
      </c>
      <c r="F2842" s="465">
        <v>8.6999999999999993</v>
      </c>
      <c r="G2842" s="466">
        <v>8.6999999999999993</v>
      </c>
      <c r="H2842" s="466">
        <f>G2842/1.1</f>
        <v>7.9090909090909074</v>
      </c>
      <c r="I2842" s="436"/>
      <c r="J2842" s="465">
        <v>0</v>
      </c>
      <c r="K2842" s="465">
        <v>0</v>
      </c>
    </row>
    <row r="2843" spans="2:11" ht="19" customHeight="1">
      <c r="B2843" s="464">
        <v>46075</v>
      </c>
      <c r="C2843" s="436" t="s">
        <v>247</v>
      </c>
      <c r="D2843" s="436" t="s">
        <v>248</v>
      </c>
      <c r="E2843" s="436">
        <v>1</v>
      </c>
      <c r="F2843" s="465">
        <v>1.5</v>
      </c>
      <c r="G2843" s="466">
        <v>1.5</v>
      </c>
      <c r="H2843" s="466">
        <f>G2843/1.1</f>
        <v>1.3636363636363635</v>
      </c>
      <c r="I2843" s="436"/>
      <c r="J2843" s="465">
        <v>0</v>
      </c>
      <c r="K2843" s="465">
        <v>0</v>
      </c>
    </row>
    <row r="2844" spans="2:11" ht="19" customHeight="1">
      <c r="B2844" s="464">
        <v>46075</v>
      </c>
      <c r="C2844" s="436" t="s">
        <v>247</v>
      </c>
      <c r="D2844" s="436" t="s">
        <v>710</v>
      </c>
      <c r="E2844" s="436">
        <v>1</v>
      </c>
      <c r="F2844" s="465">
        <v>2.65</v>
      </c>
      <c r="G2844" s="466">
        <v>2.65</v>
      </c>
      <c r="H2844" s="466">
        <f>G2844/1.1</f>
        <v>2.4090909090909087</v>
      </c>
      <c r="I2844" s="436"/>
      <c r="J2844" s="465">
        <v>0</v>
      </c>
      <c r="K2844" s="465">
        <v>0</v>
      </c>
    </row>
    <row r="2845" spans="2:11" ht="19" customHeight="1">
      <c r="B2845" s="464">
        <v>46075</v>
      </c>
      <c r="C2845" s="436" t="s">
        <v>251</v>
      </c>
      <c r="D2845" s="436" t="s">
        <v>926</v>
      </c>
      <c r="E2845" s="436">
        <v>1</v>
      </c>
      <c r="F2845" s="465">
        <v>2.65</v>
      </c>
      <c r="G2845" s="466">
        <v>2.65</v>
      </c>
      <c r="H2845" s="466">
        <f>G2845/1.1</f>
        <v>2.4090909090909087</v>
      </c>
      <c r="I2845" s="436"/>
      <c r="J2845" s="465">
        <v>0</v>
      </c>
      <c r="K2845" s="465">
        <v>0</v>
      </c>
    </row>
    <row r="2846" spans="2:11" ht="19" customHeight="1">
      <c r="B2846" s="464">
        <v>46075</v>
      </c>
      <c r="C2846" s="436" t="s">
        <v>251</v>
      </c>
      <c r="D2846" s="436" t="s">
        <v>742</v>
      </c>
      <c r="E2846" s="436">
        <v>2</v>
      </c>
      <c r="F2846" s="465">
        <v>2.75</v>
      </c>
      <c r="G2846" s="466">
        <v>5.5</v>
      </c>
      <c r="H2846" s="466">
        <f>G2846/1.1</f>
        <v>5</v>
      </c>
      <c r="I2846" s="436"/>
      <c r="J2846" s="465">
        <v>0</v>
      </c>
      <c r="K2846" s="465">
        <v>0</v>
      </c>
    </row>
    <row r="2847" spans="2:11" ht="19" customHeight="1">
      <c r="B2847" s="464">
        <v>46075</v>
      </c>
      <c r="C2847" s="436" t="s">
        <v>328</v>
      </c>
      <c r="D2847" s="436" t="s">
        <v>761</v>
      </c>
      <c r="E2847" s="436">
        <v>1</v>
      </c>
      <c r="F2847" s="465">
        <v>3.1</v>
      </c>
      <c r="G2847" s="466">
        <v>3.1</v>
      </c>
      <c r="H2847" s="466">
        <f>G2847/1.1</f>
        <v>2.8181818181818179</v>
      </c>
      <c r="I2847" s="436"/>
      <c r="J2847" s="465">
        <v>0</v>
      </c>
      <c r="K2847" s="465">
        <v>0</v>
      </c>
    </row>
    <row r="2848" spans="2:11" ht="19" customHeight="1">
      <c r="B2848" s="464">
        <v>46075</v>
      </c>
      <c r="C2848" s="436" t="s">
        <v>327</v>
      </c>
      <c r="D2848" s="436" t="s">
        <v>1144</v>
      </c>
      <c r="E2848" s="436">
        <v>1</v>
      </c>
      <c r="F2848" s="465">
        <v>4.9000000000000004</v>
      </c>
      <c r="G2848" s="466">
        <v>4.9000000000000004</v>
      </c>
      <c r="H2848" s="466">
        <f>G2848/1.1</f>
        <v>4.4545454545454541</v>
      </c>
      <c r="I2848" s="436"/>
      <c r="J2848" s="465">
        <v>0</v>
      </c>
      <c r="K2848" s="465">
        <v>0</v>
      </c>
    </row>
    <row r="2849" spans="2:11" ht="19" customHeight="1">
      <c r="B2849" s="464">
        <v>46075</v>
      </c>
      <c r="C2849" s="436" t="s">
        <v>264</v>
      </c>
      <c r="D2849" s="436" t="s">
        <v>891</v>
      </c>
      <c r="E2849" s="436">
        <v>1</v>
      </c>
      <c r="F2849" s="465">
        <v>1.4</v>
      </c>
      <c r="G2849" s="466">
        <v>1.4</v>
      </c>
      <c r="H2849" s="466">
        <f>G2849/1.1</f>
        <v>1.2727272727272725</v>
      </c>
      <c r="I2849" s="436"/>
      <c r="J2849" s="465">
        <v>0</v>
      </c>
      <c r="K2849" s="465">
        <v>0</v>
      </c>
    </row>
    <row r="2850" spans="2:11" ht="19" customHeight="1">
      <c r="B2850" s="464">
        <v>46075</v>
      </c>
      <c r="C2850" s="436" t="s">
        <v>327</v>
      </c>
      <c r="D2850" s="436" t="s">
        <v>712</v>
      </c>
      <c r="E2850" s="436">
        <v>1</v>
      </c>
      <c r="F2850" s="465">
        <v>3.5</v>
      </c>
      <c r="G2850" s="466">
        <v>3.5</v>
      </c>
      <c r="H2850" s="466">
        <f>G2850/1.1</f>
        <v>3.1818181818181817</v>
      </c>
      <c r="I2850" s="436"/>
      <c r="J2850" s="465">
        <v>0</v>
      </c>
      <c r="K2850" s="465">
        <v>0</v>
      </c>
    </row>
    <row r="2851" spans="2:11" ht="19" customHeight="1">
      <c r="B2851" s="464">
        <v>46075</v>
      </c>
      <c r="C2851" s="436" t="s">
        <v>264</v>
      </c>
      <c r="D2851" s="436" t="s">
        <v>891</v>
      </c>
      <c r="E2851" s="436">
        <v>1</v>
      </c>
      <c r="F2851" s="465">
        <v>1.4</v>
      </c>
      <c r="G2851" s="466">
        <v>1.4</v>
      </c>
      <c r="H2851" s="466">
        <f>G2851/1.1</f>
        <v>1.2727272727272725</v>
      </c>
      <c r="I2851" s="436"/>
      <c r="J2851" s="465">
        <v>0</v>
      </c>
      <c r="K2851" s="465">
        <v>0</v>
      </c>
    </row>
    <row r="2852" spans="2:11" ht="19" customHeight="1">
      <c r="B2852" s="464">
        <v>46075</v>
      </c>
      <c r="C2852" s="436" t="s">
        <v>327</v>
      </c>
      <c r="D2852" s="436" t="s">
        <v>939</v>
      </c>
      <c r="E2852" s="436">
        <v>1</v>
      </c>
      <c r="F2852" s="465">
        <v>4.8499999999999996</v>
      </c>
      <c r="G2852" s="466">
        <v>4.8499999999999996</v>
      </c>
      <c r="H2852" s="466">
        <f>G2852/1.1</f>
        <v>4.4090909090909083</v>
      </c>
      <c r="I2852" s="436"/>
      <c r="J2852" s="465">
        <v>0</v>
      </c>
      <c r="K2852" s="465">
        <v>0</v>
      </c>
    </row>
    <row r="2853" spans="2:11" ht="19" customHeight="1">
      <c r="B2853" s="464">
        <v>46075</v>
      </c>
      <c r="C2853" s="436" t="s">
        <v>264</v>
      </c>
      <c r="D2853" s="436" t="s">
        <v>891</v>
      </c>
      <c r="E2853" s="436">
        <v>1</v>
      </c>
      <c r="F2853" s="465">
        <v>1.4</v>
      </c>
      <c r="G2853" s="466">
        <v>1.4</v>
      </c>
      <c r="H2853" s="466">
        <f>G2853/1.1</f>
        <v>1.2727272727272725</v>
      </c>
      <c r="I2853" s="436"/>
      <c r="J2853" s="465">
        <v>0</v>
      </c>
      <c r="K2853" s="465">
        <v>0</v>
      </c>
    </row>
    <row r="2854" spans="2:11" ht="19" customHeight="1">
      <c r="B2854" s="464">
        <v>46075</v>
      </c>
      <c r="C2854" s="436" t="s">
        <v>247</v>
      </c>
      <c r="D2854" s="436" t="s">
        <v>248</v>
      </c>
      <c r="E2854" s="436">
        <v>1</v>
      </c>
      <c r="F2854" s="465">
        <v>1.5</v>
      </c>
      <c r="G2854" s="466">
        <v>1.5</v>
      </c>
      <c r="H2854" s="466">
        <f>G2854/1.1</f>
        <v>1.3636363636363635</v>
      </c>
      <c r="I2854" s="436"/>
      <c r="J2854" s="465">
        <v>0</v>
      </c>
      <c r="K2854" s="465">
        <v>0</v>
      </c>
    </row>
    <row r="2855" spans="2:11" ht="19" customHeight="1">
      <c r="B2855" s="464">
        <v>46075</v>
      </c>
      <c r="C2855" s="436" t="s">
        <v>247</v>
      </c>
      <c r="D2855" s="436" t="s">
        <v>246</v>
      </c>
      <c r="E2855" s="436">
        <v>1</v>
      </c>
      <c r="F2855" s="465">
        <v>1.7</v>
      </c>
      <c r="G2855" s="466">
        <v>1.7</v>
      </c>
      <c r="H2855" s="466">
        <f>G2855/1.1</f>
        <v>1.5454545454545452</v>
      </c>
      <c r="I2855" s="436"/>
      <c r="J2855" s="465">
        <v>0</v>
      </c>
      <c r="K2855" s="465">
        <v>0</v>
      </c>
    </row>
    <row r="2856" spans="2:11" ht="19" customHeight="1">
      <c r="B2856" s="464">
        <v>46075</v>
      </c>
      <c r="C2856" s="436" t="s">
        <v>328</v>
      </c>
      <c r="D2856" s="436" t="s">
        <v>1145</v>
      </c>
      <c r="E2856" s="436">
        <v>1</v>
      </c>
      <c r="F2856" s="465">
        <v>5.65</v>
      </c>
      <c r="G2856" s="466">
        <v>5.65</v>
      </c>
      <c r="H2856" s="466">
        <f>G2856/1.1</f>
        <v>5.1363636363636367</v>
      </c>
      <c r="I2856" s="436"/>
      <c r="J2856" s="465">
        <v>0</v>
      </c>
      <c r="K2856" s="465">
        <v>0</v>
      </c>
    </row>
    <row r="2857" spans="2:11" ht="19" customHeight="1">
      <c r="B2857" s="464">
        <v>46075</v>
      </c>
      <c r="C2857" s="436" t="s">
        <v>894</v>
      </c>
      <c r="D2857" s="436" t="s">
        <v>946</v>
      </c>
      <c r="E2857" s="436">
        <v>1</v>
      </c>
      <c r="F2857" s="465">
        <v>6.4</v>
      </c>
      <c r="G2857" s="466">
        <v>6.4</v>
      </c>
      <c r="H2857" s="466">
        <f>G2857/1.1</f>
        <v>5.8181818181818183</v>
      </c>
      <c r="I2857" s="436"/>
      <c r="J2857" s="465">
        <v>0</v>
      </c>
      <c r="K2857" s="465">
        <v>0</v>
      </c>
    </row>
    <row r="2858" spans="2:11" ht="19" customHeight="1">
      <c r="B2858" s="464">
        <v>46075</v>
      </c>
      <c r="C2858" s="436" t="s">
        <v>264</v>
      </c>
      <c r="D2858" s="436" t="s">
        <v>1146</v>
      </c>
      <c r="E2858" s="436">
        <v>1</v>
      </c>
      <c r="F2858" s="465">
        <v>2.1</v>
      </c>
      <c r="G2858" s="466">
        <v>2.1</v>
      </c>
      <c r="H2858" s="466">
        <f>G2858/1.1</f>
        <v>1.9090909090909089</v>
      </c>
      <c r="I2858" s="436"/>
      <c r="J2858" s="465">
        <v>0</v>
      </c>
      <c r="K2858" s="465">
        <v>0</v>
      </c>
    </row>
    <row r="2859" spans="2:11" ht="19" customHeight="1">
      <c r="B2859" s="464">
        <v>46075</v>
      </c>
      <c r="C2859" s="436" t="s">
        <v>247</v>
      </c>
      <c r="D2859" s="436" t="s">
        <v>246</v>
      </c>
      <c r="E2859" s="436">
        <v>2</v>
      </c>
      <c r="F2859" s="465">
        <v>1.7</v>
      </c>
      <c r="G2859" s="466">
        <v>3.4</v>
      </c>
      <c r="H2859" s="466">
        <f>G2859/1.1</f>
        <v>3.0909090909090904</v>
      </c>
      <c r="I2859" s="436"/>
      <c r="J2859" s="465">
        <v>0</v>
      </c>
      <c r="K2859" s="465">
        <v>0</v>
      </c>
    </row>
    <row r="2860" spans="2:11" ht="19" customHeight="1">
      <c r="B2860" s="464">
        <v>46075</v>
      </c>
      <c r="C2860" s="436" t="s">
        <v>327</v>
      </c>
      <c r="D2860" s="436" t="s">
        <v>939</v>
      </c>
      <c r="E2860" s="436">
        <v>1</v>
      </c>
      <c r="F2860" s="465">
        <v>4.8499999999999996</v>
      </c>
      <c r="G2860" s="466">
        <v>4.8499999999999996</v>
      </c>
      <c r="H2860" s="466">
        <f>G2860/1.1</f>
        <v>4.4090909090909083</v>
      </c>
      <c r="I2860" s="436"/>
      <c r="J2860" s="465">
        <v>0</v>
      </c>
      <c r="K2860" s="465">
        <v>0</v>
      </c>
    </row>
    <row r="2861" spans="2:11" ht="19" customHeight="1">
      <c r="B2861" s="464">
        <v>46075</v>
      </c>
      <c r="C2861" s="436" t="s">
        <v>268</v>
      </c>
      <c r="D2861" s="436" t="s">
        <v>859</v>
      </c>
      <c r="E2861" s="436">
        <v>1</v>
      </c>
      <c r="F2861" s="465">
        <v>0.75</v>
      </c>
      <c r="G2861" s="466">
        <v>0.75</v>
      </c>
      <c r="H2861" s="466">
        <f>G2861/1.1</f>
        <v>0.68181818181818177</v>
      </c>
      <c r="I2861" s="436"/>
      <c r="J2861" s="465">
        <v>0</v>
      </c>
      <c r="K2861" s="465">
        <v>0</v>
      </c>
    </row>
    <row r="2862" spans="2:11" ht="19" customHeight="1">
      <c r="B2862" s="464">
        <v>46075</v>
      </c>
      <c r="C2862" s="436" t="s">
        <v>247</v>
      </c>
      <c r="D2862" s="436" t="s">
        <v>248</v>
      </c>
      <c r="E2862" s="436">
        <v>1</v>
      </c>
      <c r="F2862" s="465">
        <v>1.5</v>
      </c>
      <c r="G2862" s="466">
        <v>1.5</v>
      </c>
      <c r="H2862" s="466">
        <f>G2862/1.1</f>
        <v>1.3636363636363635</v>
      </c>
      <c r="I2862" s="436"/>
      <c r="J2862" s="465">
        <v>0</v>
      </c>
      <c r="K2862" s="465">
        <v>0</v>
      </c>
    </row>
    <row r="2863" spans="2:11" ht="19" customHeight="1">
      <c r="B2863" s="464">
        <v>46075</v>
      </c>
      <c r="C2863" s="436" t="s">
        <v>247</v>
      </c>
      <c r="D2863" s="436" t="s">
        <v>248</v>
      </c>
      <c r="E2863" s="436">
        <v>1</v>
      </c>
      <c r="F2863" s="465">
        <v>1.5</v>
      </c>
      <c r="G2863" s="466">
        <v>1.5</v>
      </c>
      <c r="H2863" s="466">
        <f>G2863/1.1</f>
        <v>1.3636363636363635</v>
      </c>
      <c r="I2863" s="436"/>
      <c r="J2863" s="465">
        <v>0</v>
      </c>
      <c r="K2863" s="465">
        <v>0</v>
      </c>
    </row>
    <row r="2864" spans="2:11" ht="19" customHeight="1">
      <c r="B2864" s="464">
        <v>46075</v>
      </c>
      <c r="C2864" s="436" t="s">
        <v>894</v>
      </c>
      <c r="D2864" s="436" t="s">
        <v>946</v>
      </c>
      <c r="E2864" s="436">
        <v>1</v>
      </c>
      <c r="F2864" s="465">
        <v>6.4</v>
      </c>
      <c r="G2864" s="466">
        <v>6.4</v>
      </c>
      <c r="H2864" s="466">
        <f>G2864/1.1</f>
        <v>5.8181818181818183</v>
      </c>
      <c r="I2864" s="436"/>
      <c r="J2864" s="465">
        <v>0</v>
      </c>
      <c r="K2864" s="465">
        <v>0</v>
      </c>
    </row>
    <row r="2865" spans="2:11" ht="19" customHeight="1">
      <c r="B2865" s="464">
        <v>46075</v>
      </c>
      <c r="C2865" s="436" t="s">
        <v>264</v>
      </c>
      <c r="D2865" s="436" t="s">
        <v>1147</v>
      </c>
      <c r="E2865" s="436">
        <v>1</v>
      </c>
      <c r="F2865" s="465">
        <v>2.35</v>
      </c>
      <c r="G2865" s="466">
        <v>2.35</v>
      </c>
      <c r="H2865" s="466">
        <f>G2865/1.1</f>
        <v>2.1363636363636362</v>
      </c>
      <c r="I2865" s="436"/>
      <c r="J2865" s="465">
        <v>0</v>
      </c>
      <c r="K2865" s="465">
        <v>0</v>
      </c>
    </row>
    <row r="2866" spans="2:11" ht="19" customHeight="1">
      <c r="B2866" s="464">
        <v>46075</v>
      </c>
      <c r="C2866" s="436" t="s">
        <v>247</v>
      </c>
      <c r="D2866" s="436" t="s">
        <v>246</v>
      </c>
      <c r="E2866" s="436">
        <v>1</v>
      </c>
      <c r="F2866" s="465">
        <v>1.7</v>
      </c>
      <c r="G2866" s="466">
        <v>1.7</v>
      </c>
      <c r="H2866" s="466">
        <f>G2866/1.1</f>
        <v>1.5454545454545452</v>
      </c>
      <c r="I2866" s="436"/>
      <c r="J2866" s="465">
        <v>0</v>
      </c>
      <c r="K2866" s="465">
        <v>0</v>
      </c>
    </row>
    <row r="2867" spans="2:11" ht="19" customHeight="1">
      <c r="B2867" s="464">
        <v>46075</v>
      </c>
      <c r="C2867" s="436" t="s">
        <v>268</v>
      </c>
      <c r="D2867" s="436" t="s">
        <v>858</v>
      </c>
      <c r="E2867" s="436">
        <v>2</v>
      </c>
      <c r="F2867" s="465">
        <v>0.65</v>
      </c>
      <c r="G2867" s="466">
        <v>1.3</v>
      </c>
      <c r="H2867" s="466">
        <f>G2867/1.1</f>
        <v>1.1818181818181817</v>
      </c>
      <c r="I2867" s="436"/>
      <c r="J2867" s="465">
        <v>0</v>
      </c>
      <c r="K2867" s="465">
        <v>0</v>
      </c>
    </row>
    <row r="2868" spans="2:11" ht="19" customHeight="1">
      <c r="B2868" s="464">
        <v>46075</v>
      </c>
      <c r="C2868" s="436" t="s">
        <v>247</v>
      </c>
      <c r="D2868" s="436" t="s">
        <v>257</v>
      </c>
      <c r="E2868" s="436">
        <v>1</v>
      </c>
      <c r="F2868" s="465">
        <v>1.4</v>
      </c>
      <c r="G2868" s="466">
        <v>1.4</v>
      </c>
      <c r="H2868" s="466">
        <f>G2868/1.1</f>
        <v>1.2727272727272725</v>
      </c>
      <c r="I2868" s="436"/>
      <c r="J2868" s="465">
        <v>0</v>
      </c>
      <c r="K2868" s="465">
        <v>0</v>
      </c>
    </row>
    <row r="2869" spans="2:11" ht="19" customHeight="1">
      <c r="B2869" s="464">
        <v>46075</v>
      </c>
      <c r="C2869" s="436" t="s">
        <v>247</v>
      </c>
      <c r="D2869" s="436" t="s">
        <v>248</v>
      </c>
      <c r="E2869" s="436">
        <v>1</v>
      </c>
      <c r="F2869" s="465">
        <v>1.5</v>
      </c>
      <c r="G2869" s="466">
        <v>1.5</v>
      </c>
      <c r="H2869" s="466">
        <f>G2869/1.1</f>
        <v>1.3636363636363635</v>
      </c>
      <c r="I2869" s="436"/>
      <c r="J2869" s="465">
        <v>0</v>
      </c>
      <c r="K2869" s="465">
        <v>0</v>
      </c>
    </row>
    <row r="2870" spans="2:11" ht="19" customHeight="1">
      <c r="B2870" s="464">
        <v>46075</v>
      </c>
      <c r="C2870" s="436" t="s">
        <v>328</v>
      </c>
      <c r="D2870" s="436" t="s">
        <v>773</v>
      </c>
      <c r="E2870" s="436">
        <v>1</v>
      </c>
      <c r="F2870" s="465">
        <v>3.1</v>
      </c>
      <c r="G2870" s="466">
        <v>3.1</v>
      </c>
      <c r="H2870" s="466">
        <f>G2870/1.1</f>
        <v>2.8181818181818179</v>
      </c>
      <c r="I2870" s="436"/>
      <c r="J2870" s="465">
        <v>0</v>
      </c>
      <c r="K2870" s="465">
        <v>0</v>
      </c>
    </row>
    <row r="2871" spans="2:11" ht="19" customHeight="1">
      <c r="B2871" s="464">
        <v>46075</v>
      </c>
      <c r="C2871" s="436" t="s">
        <v>862</v>
      </c>
      <c r="D2871" s="436" t="s">
        <v>865</v>
      </c>
      <c r="E2871" s="436">
        <v>1</v>
      </c>
      <c r="F2871" s="465">
        <v>0.05</v>
      </c>
      <c r="G2871" s="466">
        <v>0.05</v>
      </c>
      <c r="H2871" s="466">
        <f>G2871/1.1</f>
        <v>4.5454545454545456E-2</v>
      </c>
      <c r="I2871" s="436"/>
      <c r="J2871" s="465">
        <v>0</v>
      </c>
      <c r="K2871" s="465">
        <v>0</v>
      </c>
    </row>
    <row r="2872" spans="2:11" ht="19" customHeight="1">
      <c r="B2872" s="464">
        <v>46075</v>
      </c>
      <c r="C2872" s="436" t="s">
        <v>247</v>
      </c>
      <c r="D2872" s="436" t="s">
        <v>246</v>
      </c>
      <c r="E2872" s="436">
        <v>2</v>
      </c>
      <c r="F2872" s="465">
        <v>1.7</v>
      </c>
      <c r="G2872" s="466">
        <v>3.4</v>
      </c>
      <c r="H2872" s="466">
        <f>G2872/1.1</f>
        <v>3.0909090909090904</v>
      </c>
      <c r="I2872" s="436"/>
      <c r="J2872" s="465">
        <v>0</v>
      </c>
      <c r="K2872" s="465">
        <v>0</v>
      </c>
    </row>
    <row r="2873" spans="2:11" ht="19" customHeight="1">
      <c r="B2873" s="464">
        <v>46075</v>
      </c>
      <c r="C2873" s="436" t="s">
        <v>247</v>
      </c>
      <c r="D2873" s="436" t="s">
        <v>246</v>
      </c>
      <c r="E2873" s="436">
        <v>1</v>
      </c>
      <c r="F2873" s="465">
        <v>1.7</v>
      </c>
      <c r="G2873" s="466">
        <v>1.7</v>
      </c>
      <c r="H2873" s="466">
        <f>G2873/1.1</f>
        <v>1.5454545454545452</v>
      </c>
      <c r="I2873" s="436"/>
      <c r="J2873" s="465">
        <v>0</v>
      </c>
      <c r="K2873" s="465">
        <v>0</v>
      </c>
    </row>
    <row r="2874" spans="2:11" ht="19" customHeight="1">
      <c r="B2874" s="464">
        <v>46075</v>
      </c>
      <c r="C2874" s="436" t="s">
        <v>247</v>
      </c>
      <c r="D2874" s="436" t="s">
        <v>248</v>
      </c>
      <c r="E2874" s="436">
        <v>1</v>
      </c>
      <c r="F2874" s="465">
        <v>1.5</v>
      </c>
      <c r="G2874" s="466">
        <v>1.5</v>
      </c>
      <c r="H2874" s="466">
        <f>G2874/1.1</f>
        <v>1.3636363636363635</v>
      </c>
      <c r="I2874" s="436"/>
      <c r="J2874" s="465">
        <v>0</v>
      </c>
      <c r="K2874" s="465">
        <v>0</v>
      </c>
    </row>
    <row r="2875" spans="2:11" ht="19" customHeight="1">
      <c r="B2875" s="464">
        <v>46075</v>
      </c>
      <c r="C2875" s="436" t="s">
        <v>247</v>
      </c>
      <c r="D2875" s="436" t="s">
        <v>246</v>
      </c>
      <c r="E2875" s="436">
        <v>1</v>
      </c>
      <c r="F2875" s="465">
        <v>1.7</v>
      </c>
      <c r="G2875" s="466">
        <v>1.7</v>
      </c>
      <c r="H2875" s="466">
        <f>G2875/1.1</f>
        <v>1.5454545454545452</v>
      </c>
      <c r="I2875" s="436"/>
      <c r="J2875" s="465">
        <v>0</v>
      </c>
      <c r="K2875" s="465">
        <v>0</v>
      </c>
    </row>
    <row r="2876" spans="2:11" ht="19" customHeight="1">
      <c r="B2876" s="464">
        <v>46075</v>
      </c>
      <c r="C2876" s="436" t="s">
        <v>268</v>
      </c>
      <c r="D2876" s="436" t="s">
        <v>858</v>
      </c>
      <c r="E2876" s="436">
        <v>1</v>
      </c>
      <c r="F2876" s="465">
        <v>0.65</v>
      </c>
      <c r="G2876" s="466">
        <v>0.65</v>
      </c>
      <c r="H2876" s="466">
        <f>G2876/1.1</f>
        <v>0.59090909090909083</v>
      </c>
      <c r="I2876" s="436"/>
      <c r="J2876" s="465">
        <v>0</v>
      </c>
      <c r="K2876" s="465">
        <v>0</v>
      </c>
    </row>
    <row r="2877" spans="2:11" ht="19" customHeight="1">
      <c r="B2877" s="464">
        <v>46075</v>
      </c>
      <c r="C2877" s="436" t="s">
        <v>247</v>
      </c>
      <c r="D2877" s="436" t="s">
        <v>257</v>
      </c>
      <c r="E2877" s="436">
        <v>1</v>
      </c>
      <c r="F2877" s="465">
        <v>1.55</v>
      </c>
      <c r="G2877" s="466">
        <v>1.55</v>
      </c>
      <c r="H2877" s="466">
        <f>G2877/1.1</f>
        <v>1.4090909090909089</v>
      </c>
      <c r="I2877" s="436"/>
      <c r="J2877" s="465">
        <v>0</v>
      </c>
      <c r="K2877" s="465">
        <v>0</v>
      </c>
    </row>
    <row r="2878" spans="2:11" ht="19" customHeight="1">
      <c r="B2878" s="464">
        <v>46075</v>
      </c>
      <c r="C2878" s="436" t="s">
        <v>247</v>
      </c>
      <c r="D2878" s="436" t="s">
        <v>248</v>
      </c>
      <c r="E2878" s="436">
        <v>1</v>
      </c>
      <c r="F2878" s="465">
        <v>1.5</v>
      </c>
      <c r="G2878" s="466">
        <v>1.5</v>
      </c>
      <c r="H2878" s="466">
        <f>G2878/1.1</f>
        <v>1.3636363636363635</v>
      </c>
      <c r="I2878" s="436"/>
      <c r="J2878" s="465">
        <v>0</v>
      </c>
      <c r="K2878" s="465">
        <v>0</v>
      </c>
    </row>
    <row r="2879" spans="2:11" ht="19" customHeight="1">
      <c r="B2879" s="464">
        <v>46075</v>
      </c>
      <c r="C2879" s="436" t="s">
        <v>247</v>
      </c>
      <c r="D2879" s="436" t="s">
        <v>257</v>
      </c>
      <c r="E2879" s="436">
        <v>1</v>
      </c>
      <c r="F2879" s="465">
        <v>1.4</v>
      </c>
      <c r="G2879" s="466">
        <v>1.4</v>
      </c>
      <c r="H2879" s="466">
        <f>G2879/1.1</f>
        <v>1.2727272727272725</v>
      </c>
      <c r="I2879" s="436"/>
      <c r="J2879" s="465">
        <v>0</v>
      </c>
      <c r="K2879" s="465">
        <v>0</v>
      </c>
    </row>
    <row r="2880" spans="2:11" ht="19" customHeight="1">
      <c r="B2880" s="464">
        <v>46075</v>
      </c>
      <c r="C2880" s="436" t="s">
        <v>247</v>
      </c>
      <c r="D2880" s="436" t="s">
        <v>257</v>
      </c>
      <c r="E2880" s="436">
        <v>3</v>
      </c>
      <c r="F2880" s="465">
        <v>1.55</v>
      </c>
      <c r="G2880" s="466">
        <v>4.6500000000000004</v>
      </c>
      <c r="H2880" s="466">
        <f>G2880/1.1</f>
        <v>4.2272727272727275</v>
      </c>
      <c r="I2880" s="436"/>
      <c r="J2880" s="465">
        <v>0</v>
      </c>
      <c r="K2880" s="465">
        <v>0</v>
      </c>
    </row>
    <row r="2881" spans="2:11" ht="19" customHeight="1">
      <c r="B2881" s="464">
        <v>46075</v>
      </c>
      <c r="C2881" s="436" t="s">
        <v>862</v>
      </c>
      <c r="D2881" s="436" t="s">
        <v>863</v>
      </c>
      <c r="E2881" s="436">
        <v>3</v>
      </c>
      <c r="F2881" s="465">
        <v>0.15</v>
      </c>
      <c r="G2881" s="466">
        <v>0.45</v>
      </c>
      <c r="H2881" s="466">
        <f>G2881/1.1</f>
        <v>0.40909090909090906</v>
      </c>
      <c r="I2881" s="436"/>
      <c r="J2881" s="465">
        <v>0</v>
      </c>
      <c r="K2881" s="465">
        <v>0</v>
      </c>
    </row>
    <row r="2882" spans="2:11" ht="19" customHeight="1">
      <c r="B2882" s="464">
        <v>46075</v>
      </c>
      <c r="C2882" s="436" t="s">
        <v>251</v>
      </c>
      <c r="D2882" s="436" t="s">
        <v>742</v>
      </c>
      <c r="E2882" s="436">
        <v>1</v>
      </c>
      <c r="F2882" s="465">
        <v>3.5</v>
      </c>
      <c r="G2882" s="466">
        <v>3.5</v>
      </c>
      <c r="H2882" s="466">
        <f>G2882/1.1</f>
        <v>3.1818181818181817</v>
      </c>
      <c r="I2882" s="436"/>
      <c r="J2882" s="465">
        <v>0</v>
      </c>
      <c r="K2882" s="465">
        <v>0</v>
      </c>
    </row>
    <row r="2883" spans="2:11" ht="19" customHeight="1">
      <c r="B2883" s="464">
        <v>46075</v>
      </c>
      <c r="C2883" s="436" t="s">
        <v>275</v>
      </c>
      <c r="D2883" s="436" t="s">
        <v>868</v>
      </c>
      <c r="E2883" s="436">
        <v>1</v>
      </c>
      <c r="F2883" s="465">
        <v>4.75</v>
      </c>
      <c r="G2883" s="466">
        <v>4.75</v>
      </c>
      <c r="H2883" s="466">
        <f>G2883/1.1</f>
        <v>4.3181818181818175</v>
      </c>
      <c r="I2883" s="436"/>
      <c r="J2883" s="465">
        <v>0</v>
      </c>
      <c r="K2883" s="465">
        <v>0</v>
      </c>
    </row>
    <row r="2884" spans="2:11" ht="19" customHeight="1">
      <c r="B2884" s="464">
        <v>46075</v>
      </c>
      <c r="C2884" s="436" t="s">
        <v>275</v>
      </c>
      <c r="D2884" s="436" t="s">
        <v>1077</v>
      </c>
      <c r="E2884" s="436">
        <v>1</v>
      </c>
      <c r="F2884" s="465">
        <v>6.75</v>
      </c>
      <c r="G2884" s="466">
        <v>6.75</v>
      </c>
      <c r="H2884" s="466">
        <f>G2884/1.1</f>
        <v>6.1363636363636358</v>
      </c>
      <c r="I2884" s="436"/>
      <c r="J2884" s="465">
        <v>0</v>
      </c>
      <c r="K2884" s="465">
        <v>0</v>
      </c>
    </row>
    <row r="2885" spans="2:11" ht="19" customHeight="1">
      <c r="B2885" s="464">
        <v>46075</v>
      </c>
      <c r="C2885" s="436" t="s">
        <v>253</v>
      </c>
      <c r="D2885" s="436" t="s">
        <v>687</v>
      </c>
      <c r="E2885" s="436">
        <v>4</v>
      </c>
      <c r="F2885" s="465">
        <v>3.1</v>
      </c>
      <c r="G2885" s="466">
        <v>12.4</v>
      </c>
      <c r="H2885" s="466">
        <f>G2885/1.1</f>
        <v>11.272727272727272</v>
      </c>
      <c r="I2885" s="436"/>
      <c r="J2885" s="465">
        <v>0</v>
      </c>
      <c r="K2885" s="465">
        <v>0</v>
      </c>
    </row>
    <row r="2886" spans="2:11" ht="19" customHeight="1">
      <c r="B2886" s="464">
        <v>46075</v>
      </c>
      <c r="C2886" s="436" t="s">
        <v>256</v>
      </c>
      <c r="D2886" s="436" t="s">
        <v>262</v>
      </c>
      <c r="E2886" s="436">
        <v>1</v>
      </c>
      <c r="F2886" s="465">
        <v>12.15</v>
      </c>
      <c r="G2886" s="466">
        <v>12.15</v>
      </c>
      <c r="H2886" s="466">
        <f>G2886/1.1</f>
        <v>11.045454545454545</v>
      </c>
      <c r="I2886" s="436"/>
      <c r="J2886" s="465">
        <v>0</v>
      </c>
      <c r="K2886" s="465">
        <v>0</v>
      </c>
    </row>
    <row r="2887" spans="2:11" ht="19" customHeight="1">
      <c r="B2887" s="464">
        <v>46075</v>
      </c>
      <c r="C2887" s="436" t="s">
        <v>256</v>
      </c>
      <c r="D2887" s="436" t="s">
        <v>751</v>
      </c>
      <c r="E2887" s="436">
        <v>1</v>
      </c>
      <c r="F2887" s="465">
        <v>8.15</v>
      </c>
      <c r="G2887" s="466">
        <v>8.15</v>
      </c>
      <c r="H2887" s="466">
        <f>G2887/1.1</f>
        <v>7.4090909090909092</v>
      </c>
      <c r="I2887" s="436"/>
      <c r="J2887" s="465">
        <v>0</v>
      </c>
      <c r="K2887" s="465">
        <v>0</v>
      </c>
    </row>
    <row r="2888" spans="2:11" ht="19" customHeight="1">
      <c r="B2888" s="464">
        <v>46075</v>
      </c>
      <c r="C2888" s="436" t="s">
        <v>256</v>
      </c>
      <c r="D2888" s="436" t="s">
        <v>931</v>
      </c>
      <c r="E2888" s="436">
        <v>1</v>
      </c>
      <c r="F2888" s="465">
        <v>8.75</v>
      </c>
      <c r="G2888" s="466">
        <v>8.75</v>
      </c>
      <c r="H2888" s="466">
        <f>G2888/1.1</f>
        <v>7.9545454545454541</v>
      </c>
      <c r="I2888" s="436"/>
      <c r="J2888" s="465">
        <v>0</v>
      </c>
      <c r="K2888" s="465">
        <v>0</v>
      </c>
    </row>
    <row r="2889" spans="2:11" ht="19" customHeight="1">
      <c r="B2889" s="464">
        <v>46075</v>
      </c>
      <c r="C2889" s="436" t="s">
        <v>264</v>
      </c>
      <c r="D2889" s="436" t="s">
        <v>930</v>
      </c>
      <c r="E2889" s="436">
        <v>2</v>
      </c>
      <c r="F2889" s="465">
        <v>3.75</v>
      </c>
      <c r="G2889" s="466">
        <v>7.5</v>
      </c>
      <c r="H2889" s="466">
        <f>G2889/1.1</f>
        <v>6.8181818181818175</v>
      </c>
      <c r="I2889" s="436"/>
      <c r="J2889" s="465">
        <v>0</v>
      </c>
      <c r="K2889" s="465">
        <v>0</v>
      </c>
    </row>
    <row r="2890" spans="2:11" ht="19" customHeight="1">
      <c r="B2890" s="464">
        <v>46075</v>
      </c>
      <c r="C2890" s="436" t="s">
        <v>321</v>
      </c>
      <c r="D2890" s="436" t="s">
        <v>953</v>
      </c>
      <c r="E2890" s="436">
        <v>1</v>
      </c>
      <c r="F2890" s="465">
        <v>10.25</v>
      </c>
      <c r="G2890" s="466">
        <v>10.25</v>
      </c>
      <c r="H2890" s="466">
        <f>G2890/1.1</f>
        <v>9.3181818181818166</v>
      </c>
      <c r="I2890" s="436"/>
      <c r="J2890" s="465">
        <v>0</v>
      </c>
      <c r="K2890" s="465">
        <v>0</v>
      </c>
    </row>
    <row r="2891" spans="2:11" ht="19" customHeight="1">
      <c r="B2891" s="464">
        <v>46075</v>
      </c>
      <c r="C2891" s="436" t="s">
        <v>253</v>
      </c>
      <c r="D2891" s="436" t="s">
        <v>1148</v>
      </c>
      <c r="E2891" s="436">
        <v>2</v>
      </c>
      <c r="F2891" s="465">
        <v>3.35</v>
      </c>
      <c r="G2891" s="466">
        <v>6.7</v>
      </c>
      <c r="H2891" s="466">
        <f>G2891/1.1</f>
        <v>6.0909090909090908</v>
      </c>
      <c r="I2891" s="436"/>
      <c r="J2891" s="465">
        <v>0</v>
      </c>
      <c r="K2891" s="465">
        <v>0</v>
      </c>
    </row>
    <row r="2892" spans="2:11" ht="19" customHeight="1">
      <c r="B2892" s="464">
        <v>46075</v>
      </c>
      <c r="C2892" s="436" t="s">
        <v>247</v>
      </c>
      <c r="D2892" s="436" t="s">
        <v>248</v>
      </c>
      <c r="E2892" s="436">
        <v>2</v>
      </c>
      <c r="F2892" s="465">
        <v>1.65</v>
      </c>
      <c r="G2892" s="466">
        <v>3.3</v>
      </c>
      <c r="H2892" s="466">
        <f>G2892/1.1</f>
        <v>2.9999999999999996</v>
      </c>
      <c r="I2892" s="436"/>
      <c r="J2892" s="465">
        <v>0</v>
      </c>
      <c r="K2892" s="465">
        <v>0</v>
      </c>
    </row>
    <row r="2893" spans="2:11" ht="19" customHeight="1">
      <c r="B2893" s="464">
        <v>46075</v>
      </c>
      <c r="C2893" s="436" t="s">
        <v>275</v>
      </c>
      <c r="D2893" s="436" t="s">
        <v>1084</v>
      </c>
      <c r="E2893" s="436">
        <v>1</v>
      </c>
      <c r="F2893" s="465">
        <v>6.5</v>
      </c>
      <c r="G2893" s="466">
        <v>6.5</v>
      </c>
      <c r="H2893" s="466">
        <f>G2893/1.1</f>
        <v>5.9090909090909083</v>
      </c>
      <c r="I2893" s="436"/>
      <c r="J2893" s="465">
        <v>0</v>
      </c>
      <c r="K2893" s="465">
        <v>0</v>
      </c>
    </row>
    <row r="2894" spans="2:11" ht="19" customHeight="1">
      <c r="B2894" s="464">
        <v>46075</v>
      </c>
      <c r="C2894" s="436" t="s">
        <v>326</v>
      </c>
      <c r="D2894" s="436" t="s">
        <v>1063</v>
      </c>
      <c r="E2894" s="436">
        <v>1</v>
      </c>
      <c r="F2894" s="465">
        <v>15</v>
      </c>
      <c r="G2894" s="466">
        <v>15</v>
      </c>
      <c r="H2894" s="466">
        <f>G2894/1.1</f>
        <v>13.636363636363635</v>
      </c>
      <c r="I2894" s="436"/>
      <c r="J2894" s="465">
        <v>0</v>
      </c>
      <c r="K2894" s="465">
        <v>0</v>
      </c>
    </row>
    <row r="2895" spans="2:11" ht="19" customHeight="1">
      <c r="B2895" s="464">
        <v>46075</v>
      </c>
      <c r="C2895" s="436" t="s">
        <v>256</v>
      </c>
      <c r="D2895" s="436" t="s">
        <v>931</v>
      </c>
      <c r="E2895" s="436">
        <v>2</v>
      </c>
      <c r="F2895" s="465">
        <v>1.7</v>
      </c>
      <c r="G2895" s="466">
        <v>3.4</v>
      </c>
      <c r="H2895" s="466">
        <f>G2895/1.1</f>
        <v>3.0909090909090904</v>
      </c>
      <c r="I2895" s="436"/>
      <c r="J2895" s="465">
        <v>0</v>
      </c>
      <c r="K2895" s="465">
        <v>0</v>
      </c>
    </row>
    <row r="2896" spans="2:11" ht="19" customHeight="1">
      <c r="B2896" s="464">
        <v>46075</v>
      </c>
      <c r="C2896" s="436" t="s">
        <v>256</v>
      </c>
      <c r="D2896" s="436" t="s">
        <v>870</v>
      </c>
      <c r="E2896" s="436">
        <v>2</v>
      </c>
      <c r="F2896" s="465">
        <v>1.7</v>
      </c>
      <c r="G2896" s="466">
        <v>3.4</v>
      </c>
      <c r="H2896" s="466">
        <f>G2896/1.1</f>
        <v>3.0909090909090904</v>
      </c>
      <c r="I2896" s="436"/>
      <c r="J2896" s="465">
        <v>0</v>
      </c>
      <c r="K2896" s="465">
        <v>0</v>
      </c>
    </row>
    <row r="2897" spans="2:11" ht="19" customHeight="1">
      <c r="B2897" s="464">
        <v>46075</v>
      </c>
      <c r="C2897" s="436" t="s">
        <v>256</v>
      </c>
      <c r="D2897" s="436" t="s">
        <v>932</v>
      </c>
      <c r="E2897" s="436">
        <v>2</v>
      </c>
      <c r="F2897" s="465">
        <v>1.7</v>
      </c>
      <c r="G2897" s="466">
        <v>3.4</v>
      </c>
      <c r="H2897" s="466">
        <f>G2897/1.1</f>
        <v>3.0909090909090904</v>
      </c>
      <c r="I2897" s="436"/>
      <c r="J2897" s="465">
        <v>0</v>
      </c>
      <c r="K2897" s="465">
        <v>0</v>
      </c>
    </row>
    <row r="2898" spans="2:11" ht="19" customHeight="1">
      <c r="B2898" s="464">
        <v>46075</v>
      </c>
      <c r="C2898" s="436" t="s">
        <v>256</v>
      </c>
      <c r="D2898" s="436" t="s">
        <v>1012</v>
      </c>
      <c r="E2898" s="436">
        <v>1</v>
      </c>
      <c r="F2898" s="465">
        <v>11.9</v>
      </c>
      <c r="G2898" s="466">
        <v>11.9</v>
      </c>
      <c r="H2898" s="466">
        <f>G2898/1.1</f>
        <v>10.818181818181818</v>
      </c>
      <c r="I2898" s="436"/>
      <c r="J2898" s="465">
        <v>0</v>
      </c>
      <c r="K2898" s="465">
        <v>0</v>
      </c>
    </row>
    <row r="2899" spans="2:11" ht="19" customHeight="1">
      <c r="B2899" s="464">
        <v>46075</v>
      </c>
      <c r="C2899" s="436" t="s">
        <v>264</v>
      </c>
      <c r="D2899" s="436" t="s">
        <v>930</v>
      </c>
      <c r="E2899" s="436">
        <v>1</v>
      </c>
      <c r="F2899" s="465">
        <v>3.5</v>
      </c>
      <c r="G2899" s="466">
        <v>3.5</v>
      </c>
      <c r="H2899" s="466">
        <f>G2899/1.1</f>
        <v>3.1818181818181817</v>
      </c>
      <c r="I2899" s="436"/>
      <c r="J2899" s="465">
        <v>0</v>
      </c>
      <c r="K2899" s="465">
        <v>0</v>
      </c>
    </row>
    <row r="2900" spans="2:11" ht="19" customHeight="1">
      <c r="B2900" s="464">
        <v>46075</v>
      </c>
      <c r="C2900" s="436" t="s">
        <v>247</v>
      </c>
      <c r="D2900" s="436" t="s">
        <v>257</v>
      </c>
      <c r="E2900" s="436">
        <v>1</v>
      </c>
      <c r="F2900" s="465">
        <v>1.55</v>
      </c>
      <c r="G2900" s="466">
        <v>1.55</v>
      </c>
      <c r="H2900" s="466">
        <f>G2900/1.1</f>
        <v>1.4090909090909089</v>
      </c>
      <c r="I2900" s="436"/>
      <c r="J2900" s="465">
        <v>0</v>
      </c>
      <c r="K2900" s="465">
        <v>0</v>
      </c>
    </row>
    <row r="2901" spans="2:11" ht="19" customHeight="1">
      <c r="B2901" s="464">
        <v>46075</v>
      </c>
      <c r="C2901" s="436" t="s">
        <v>725</v>
      </c>
      <c r="D2901" s="436" t="s">
        <v>1149</v>
      </c>
      <c r="E2901" s="436">
        <v>2</v>
      </c>
      <c r="F2901" s="465">
        <v>1.75</v>
      </c>
      <c r="G2901" s="466">
        <v>3.5</v>
      </c>
      <c r="H2901" s="466">
        <f>G2901/1.1</f>
        <v>3.1818181818181817</v>
      </c>
      <c r="I2901" s="436"/>
      <c r="J2901" s="465">
        <v>0</v>
      </c>
      <c r="K2901" s="465">
        <v>0</v>
      </c>
    </row>
    <row r="2902" spans="2:11" ht="19" customHeight="1">
      <c r="B2902" s="464">
        <v>46075</v>
      </c>
      <c r="C2902" s="436" t="s">
        <v>247</v>
      </c>
      <c r="D2902" s="436" t="s">
        <v>248</v>
      </c>
      <c r="E2902" s="436">
        <v>1</v>
      </c>
      <c r="F2902" s="465">
        <v>1.65</v>
      </c>
      <c r="G2902" s="466">
        <v>1.65</v>
      </c>
      <c r="H2902" s="466">
        <f>G2902/1.1</f>
        <v>1.4999999999999998</v>
      </c>
      <c r="I2902" s="436"/>
      <c r="J2902" s="465">
        <v>0</v>
      </c>
      <c r="K2902" s="465">
        <v>0</v>
      </c>
    </row>
    <row r="2903" spans="2:11" ht="19" customHeight="1">
      <c r="B2903" s="464">
        <v>46075</v>
      </c>
      <c r="C2903" s="436" t="s">
        <v>276</v>
      </c>
      <c r="D2903" s="436" t="s">
        <v>1083</v>
      </c>
      <c r="E2903" s="436">
        <v>1</v>
      </c>
      <c r="F2903" s="465">
        <v>15.15</v>
      </c>
      <c r="G2903" s="466">
        <v>15.15</v>
      </c>
      <c r="H2903" s="466">
        <f>G2903/1.1</f>
        <v>13.772727272727272</v>
      </c>
      <c r="I2903" s="436"/>
      <c r="J2903" s="465">
        <v>0</v>
      </c>
      <c r="K2903" s="465">
        <v>0</v>
      </c>
    </row>
    <row r="2904" spans="2:11" ht="19" customHeight="1">
      <c r="B2904" s="464">
        <v>46075</v>
      </c>
      <c r="C2904" s="436" t="s">
        <v>275</v>
      </c>
      <c r="D2904" s="436" t="s">
        <v>883</v>
      </c>
      <c r="E2904" s="436">
        <v>1</v>
      </c>
      <c r="F2904" s="465">
        <v>5.25</v>
      </c>
      <c r="G2904" s="466">
        <v>5.25</v>
      </c>
      <c r="H2904" s="466">
        <f>G2904/1.1</f>
        <v>4.7727272727272725</v>
      </c>
      <c r="I2904" s="436"/>
      <c r="J2904" s="465">
        <v>0</v>
      </c>
      <c r="K2904" s="465">
        <v>0</v>
      </c>
    </row>
    <row r="2905" spans="2:11" ht="19" customHeight="1">
      <c r="B2905" s="464">
        <v>46075</v>
      </c>
      <c r="C2905" s="436" t="s">
        <v>264</v>
      </c>
      <c r="D2905" s="436" t="s">
        <v>703</v>
      </c>
      <c r="E2905" s="436">
        <v>1</v>
      </c>
      <c r="F2905" s="465">
        <v>2</v>
      </c>
      <c r="G2905" s="466">
        <v>2</v>
      </c>
      <c r="H2905" s="466">
        <f>G2905/1.1</f>
        <v>1.8181818181818181</v>
      </c>
      <c r="I2905" s="436"/>
      <c r="J2905" s="465">
        <v>0</v>
      </c>
      <c r="K2905" s="465">
        <v>0</v>
      </c>
    </row>
    <row r="2906" spans="2:11" ht="19" customHeight="1">
      <c r="B2906" s="464">
        <v>46075</v>
      </c>
      <c r="C2906" s="436" t="s">
        <v>256</v>
      </c>
      <c r="D2906" s="436" t="s">
        <v>751</v>
      </c>
      <c r="E2906" s="436">
        <v>1</v>
      </c>
      <c r="F2906" s="465">
        <v>7.9</v>
      </c>
      <c r="G2906" s="466">
        <v>7.9</v>
      </c>
      <c r="H2906" s="466">
        <f>G2906/1.1</f>
        <v>7.1818181818181817</v>
      </c>
      <c r="I2906" s="436"/>
      <c r="J2906" s="465">
        <v>0</v>
      </c>
      <c r="K2906" s="465">
        <v>0</v>
      </c>
    </row>
    <row r="2907" spans="2:11" ht="19" customHeight="1">
      <c r="B2907" s="464">
        <v>46075</v>
      </c>
      <c r="C2907" s="436" t="s">
        <v>256</v>
      </c>
      <c r="D2907" s="436" t="s">
        <v>952</v>
      </c>
      <c r="E2907" s="436">
        <v>1</v>
      </c>
      <c r="F2907" s="465">
        <v>7.5</v>
      </c>
      <c r="G2907" s="466">
        <v>7.5</v>
      </c>
      <c r="H2907" s="466">
        <f>G2907/1.1</f>
        <v>6.8181818181818175</v>
      </c>
      <c r="I2907" s="436"/>
      <c r="J2907" s="465">
        <v>0</v>
      </c>
      <c r="K2907" s="465">
        <v>0</v>
      </c>
    </row>
    <row r="2908" spans="2:11" ht="19" customHeight="1">
      <c r="B2908" s="464">
        <v>46075</v>
      </c>
      <c r="C2908" s="436" t="s">
        <v>256</v>
      </c>
      <c r="D2908" s="436" t="s">
        <v>1042</v>
      </c>
      <c r="E2908" s="436">
        <v>1</v>
      </c>
      <c r="F2908" s="465">
        <v>13.95</v>
      </c>
      <c r="G2908" s="466">
        <v>13.95</v>
      </c>
      <c r="H2908" s="466">
        <f>G2908/1.1</f>
        <v>12.68181818181818</v>
      </c>
      <c r="I2908" s="436"/>
      <c r="J2908" s="465">
        <v>0</v>
      </c>
      <c r="K2908" s="465">
        <v>0</v>
      </c>
    </row>
    <row r="2909" spans="2:11" ht="19" customHeight="1">
      <c r="B2909" s="464">
        <v>46075</v>
      </c>
      <c r="C2909" s="436" t="s">
        <v>321</v>
      </c>
      <c r="D2909" s="436" t="s">
        <v>1150</v>
      </c>
      <c r="E2909" s="436">
        <v>1</v>
      </c>
      <c r="F2909" s="465">
        <v>9.9</v>
      </c>
      <c r="G2909" s="466">
        <v>9.9</v>
      </c>
      <c r="H2909" s="466">
        <f>G2909/1.1</f>
        <v>9</v>
      </c>
      <c r="I2909" s="436"/>
      <c r="J2909" s="465">
        <v>0</v>
      </c>
      <c r="K2909" s="465">
        <v>0</v>
      </c>
    </row>
    <row r="2910" spans="2:11" ht="19" customHeight="1">
      <c r="B2910" s="464">
        <v>46075</v>
      </c>
      <c r="C2910" s="436" t="s">
        <v>253</v>
      </c>
      <c r="D2910" s="436" t="s">
        <v>869</v>
      </c>
      <c r="E2910" s="436">
        <v>1</v>
      </c>
      <c r="F2910" s="465">
        <v>2.5</v>
      </c>
      <c r="G2910" s="466">
        <v>2.5</v>
      </c>
      <c r="H2910" s="466">
        <f>G2910/1.1</f>
        <v>2.2727272727272725</v>
      </c>
      <c r="I2910" s="436"/>
      <c r="J2910" s="465">
        <v>0</v>
      </c>
      <c r="K2910" s="465">
        <v>0</v>
      </c>
    </row>
    <row r="2911" spans="2:11" ht="19" customHeight="1">
      <c r="B2911" s="464">
        <v>46075</v>
      </c>
      <c r="C2911" s="436" t="s">
        <v>276</v>
      </c>
      <c r="D2911" s="436" t="s">
        <v>995</v>
      </c>
      <c r="E2911" s="436">
        <v>1</v>
      </c>
      <c r="F2911" s="465">
        <v>3.05</v>
      </c>
      <c r="G2911" s="466">
        <v>3.05</v>
      </c>
      <c r="H2911" s="466">
        <f>G2911/1.1</f>
        <v>2.7727272727272725</v>
      </c>
      <c r="I2911" s="436"/>
      <c r="J2911" s="465">
        <v>0</v>
      </c>
      <c r="K2911" s="465">
        <v>0</v>
      </c>
    </row>
    <row r="2912" spans="2:11" ht="19" customHeight="1">
      <c r="B2912" s="464">
        <v>46075</v>
      </c>
      <c r="C2912" s="436" t="s">
        <v>321</v>
      </c>
      <c r="D2912" s="436" t="s">
        <v>694</v>
      </c>
      <c r="E2912" s="436">
        <v>1</v>
      </c>
      <c r="F2912" s="465">
        <v>4</v>
      </c>
      <c r="G2912" s="466">
        <v>4</v>
      </c>
      <c r="H2912" s="466">
        <f>G2912/1.1</f>
        <v>3.6363636363636362</v>
      </c>
      <c r="I2912" s="436"/>
      <c r="J2912" s="465">
        <v>0</v>
      </c>
      <c r="K2912" s="465">
        <v>0</v>
      </c>
    </row>
    <row r="2913" spans="2:11" ht="19" customHeight="1">
      <c r="B2913" s="464">
        <v>46075</v>
      </c>
      <c r="C2913" s="436" t="s">
        <v>247</v>
      </c>
      <c r="D2913" s="436" t="s">
        <v>248</v>
      </c>
      <c r="E2913" s="436">
        <v>2</v>
      </c>
      <c r="F2913" s="465">
        <v>1.65</v>
      </c>
      <c r="G2913" s="466">
        <v>3.3</v>
      </c>
      <c r="H2913" s="466">
        <f>G2913/1.1</f>
        <v>2.9999999999999996</v>
      </c>
      <c r="I2913" s="436"/>
      <c r="J2913" s="465">
        <v>0</v>
      </c>
      <c r="K2913" s="465">
        <v>0</v>
      </c>
    </row>
    <row r="2914" spans="2:11" ht="19" customHeight="1">
      <c r="B2914" s="464">
        <v>46075</v>
      </c>
      <c r="C2914" s="436" t="s">
        <v>247</v>
      </c>
      <c r="D2914" s="436" t="s">
        <v>902</v>
      </c>
      <c r="E2914" s="436">
        <v>1</v>
      </c>
      <c r="F2914" s="465">
        <v>1.95</v>
      </c>
      <c r="G2914" s="466">
        <v>1.95</v>
      </c>
      <c r="H2914" s="466">
        <f>G2914/1.1</f>
        <v>1.7727272727272725</v>
      </c>
      <c r="I2914" s="436"/>
      <c r="J2914" s="465">
        <v>0</v>
      </c>
      <c r="K2914" s="465">
        <v>0</v>
      </c>
    </row>
    <row r="2915" spans="2:11" ht="19" customHeight="1">
      <c r="B2915" s="464">
        <v>46075</v>
      </c>
      <c r="C2915" s="436" t="s">
        <v>247</v>
      </c>
      <c r="D2915" s="436" t="s">
        <v>257</v>
      </c>
      <c r="E2915" s="436">
        <v>1</v>
      </c>
      <c r="F2915" s="465">
        <v>1.55</v>
      </c>
      <c r="G2915" s="466">
        <v>1.55</v>
      </c>
      <c r="H2915" s="466">
        <f>G2915/1.1</f>
        <v>1.4090909090909089</v>
      </c>
      <c r="I2915" s="436"/>
      <c r="J2915" s="465">
        <v>0</v>
      </c>
      <c r="K2915" s="465">
        <v>0</v>
      </c>
    </row>
    <row r="2916" spans="2:11" ht="19" customHeight="1">
      <c r="B2916" s="464">
        <v>46075</v>
      </c>
      <c r="C2916" s="436" t="s">
        <v>275</v>
      </c>
      <c r="D2916" s="436" t="s">
        <v>1084</v>
      </c>
      <c r="E2916" s="436">
        <v>1</v>
      </c>
      <c r="F2916" s="465">
        <v>6.5</v>
      </c>
      <c r="G2916" s="466">
        <v>6.5</v>
      </c>
      <c r="H2916" s="466">
        <f>G2916/1.1</f>
        <v>5.9090909090909083</v>
      </c>
      <c r="I2916" s="436"/>
      <c r="J2916" s="465">
        <v>0</v>
      </c>
      <c r="K2916" s="465">
        <v>0</v>
      </c>
    </row>
    <row r="2917" spans="2:11" ht="19" customHeight="1">
      <c r="B2917" s="464">
        <v>46075</v>
      </c>
      <c r="C2917" s="436" t="s">
        <v>275</v>
      </c>
      <c r="D2917" s="436" t="s">
        <v>883</v>
      </c>
      <c r="E2917" s="436">
        <v>3</v>
      </c>
      <c r="F2917" s="465">
        <v>5.25</v>
      </c>
      <c r="G2917" s="466">
        <v>15.75</v>
      </c>
      <c r="H2917" s="466">
        <f>G2917/1.1</f>
        <v>14.318181818181817</v>
      </c>
      <c r="I2917" s="436"/>
      <c r="J2917" s="465">
        <v>0</v>
      </c>
      <c r="K2917" s="465">
        <v>0</v>
      </c>
    </row>
    <row r="2918" spans="2:11" ht="19" customHeight="1">
      <c r="B2918" s="464">
        <v>46075</v>
      </c>
      <c r="C2918" s="436" t="s">
        <v>253</v>
      </c>
      <c r="D2918" s="436" t="s">
        <v>676</v>
      </c>
      <c r="E2918" s="436">
        <v>2</v>
      </c>
      <c r="F2918" s="465">
        <v>2.95</v>
      </c>
      <c r="G2918" s="466">
        <v>5.9</v>
      </c>
      <c r="H2918" s="466">
        <f>G2918/1.1</f>
        <v>5.3636363636363633</v>
      </c>
      <c r="I2918" s="436"/>
      <c r="J2918" s="465">
        <v>0</v>
      </c>
      <c r="K2918" s="465">
        <v>0</v>
      </c>
    </row>
    <row r="2919" spans="2:11" ht="19" customHeight="1">
      <c r="B2919" s="464">
        <v>46075</v>
      </c>
      <c r="C2919" s="436" t="s">
        <v>276</v>
      </c>
      <c r="D2919" s="436" t="s">
        <v>857</v>
      </c>
      <c r="E2919" s="436">
        <v>1</v>
      </c>
      <c r="F2919" s="465">
        <v>3.3</v>
      </c>
      <c r="G2919" s="466">
        <v>3.3</v>
      </c>
      <c r="H2919" s="466">
        <f>G2919/1.1</f>
        <v>2.9999999999999996</v>
      </c>
      <c r="I2919" s="436"/>
      <c r="J2919" s="465">
        <v>0</v>
      </c>
      <c r="K2919" s="465">
        <v>0</v>
      </c>
    </row>
    <row r="2920" spans="2:11" ht="19" customHeight="1">
      <c r="B2920" s="464">
        <v>46075</v>
      </c>
      <c r="C2920" s="436" t="s">
        <v>251</v>
      </c>
      <c r="D2920" s="436" t="s">
        <v>926</v>
      </c>
      <c r="E2920" s="436">
        <v>4</v>
      </c>
      <c r="F2920" s="465">
        <v>2.65</v>
      </c>
      <c r="G2920" s="466">
        <v>10.6</v>
      </c>
      <c r="H2920" s="466">
        <f>G2920/1.1</f>
        <v>9.6363636363636349</v>
      </c>
      <c r="I2920" s="436"/>
      <c r="J2920" s="465">
        <v>0</v>
      </c>
      <c r="K2920" s="465">
        <v>0</v>
      </c>
    </row>
    <row r="2921" spans="2:11" ht="19" customHeight="1">
      <c r="B2921" s="464">
        <v>46075</v>
      </c>
      <c r="C2921" s="436" t="s">
        <v>253</v>
      </c>
      <c r="D2921" s="436" t="s">
        <v>965</v>
      </c>
      <c r="E2921" s="436">
        <v>1</v>
      </c>
      <c r="F2921" s="465">
        <v>2.5</v>
      </c>
      <c r="G2921" s="466">
        <v>2.5</v>
      </c>
      <c r="H2921" s="466">
        <f>G2921/1.1</f>
        <v>2.2727272727272725</v>
      </c>
      <c r="I2921" s="436"/>
      <c r="J2921" s="465">
        <v>0</v>
      </c>
      <c r="K2921" s="465">
        <v>0</v>
      </c>
    </row>
    <row r="2922" spans="2:11" ht="19" customHeight="1">
      <c r="B2922" s="464">
        <v>46075</v>
      </c>
      <c r="C2922" s="436" t="s">
        <v>251</v>
      </c>
      <c r="D2922" s="436" t="s">
        <v>250</v>
      </c>
      <c r="E2922" s="436">
        <v>1</v>
      </c>
      <c r="F2922" s="465">
        <v>1.8</v>
      </c>
      <c r="G2922" s="466">
        <v>1.8</v>
      </c>
      <c r="H2922" s="466">
        <f>G2922/1.1</f>
        <v>1.6363636363636362</v>
      </c>
      <c r="I2922" s="436"/>
      <c r="J2922" s="465">
        <v>0</v>
      </c>
      <c r="K2922" s="465">
        <v>0</v>
      </c>
    </row>
    <row r="2923" spans="2:11" ht="19" customHeight="1">
      <c r="B2923" s="464">
        <v>46075</v>
      </c>
      <c r="C2923" s="436" t="s">
        <v>256</v>
      </c>
      <c r="D2923" s="436" t="s">
        <v>738</v>
      </c>
      <c r="E2923" s="436">
        <v>1</v>
      </c>
      <c r="F2923" s="465">
        <v>7.9</v>
      </c>
      <c r="G2923" s="466">
        <v>7.9</v>
      </c>
      <c r="H2923" s="466">
        <f>G2923/1.1</f>
        <v>7.1818181818181817</v>
      </c>
      <c r="I2923" s="436"/>
      <c r="J2923" s="465">
        <v>0</v>
      </c>
      <c r="K2923" s="465">
        <v>0</v>
      </c>
    </row>
    <row r="2924" spans="2:11" ht="19" customHeight="1">
      <c r="B2924" s="464">
        <v>46075</v>
      </c>
      <c r="C2924" s="436" t="s">
        <v>264</v>
      </c>
      <c r="D2924" s="436" t="s">
        <v>930</v>
      </c>
      <c r="E2924" s="436">
        <v>2</v>
      </c>
      <c r="F2924" s="465">
        <v>3.5</v>
      </c>
      <c r="G2924" s="466">
        <v>7</v>
      </c>
      <c r="H2924" s="466">
        <f>G2924/1.1</f>
        <v>6.3636363636363633</v>
      </c>
      <c r="I2924" s="436"/>
      <c r="J2924" s="465">
        <v>0</v>
      </c>
      <c r="K2924" s="465">
        <v>0</v>
      </c>
    </row>
    <row r="2925" spans="2:11" ht="19" customHeight="1">
      <c r="B2925" s="464">
        <v>46075</v>
      </c>
      <c r="C2925" s="436" t="s">
        <v>256</v>
      </c>
      <c r="D2925" s="436" t="s">
        <v>931</v>
      </c>
      <c r="E2925" s="436">
        <v>4</v>
      </c>
      <c r="F2925" s="465">
        <v>1.7</v>
      </c>
      <c r="G2925" s="466">
        <v>6.8</v>
      </c>
      <c r="H2925" s="466">
        <f>G2925/1.1</f>
        <v>6.1818181818181808</v>
      </c>
      <c r="I2925" s="436"/>
      <c r="J2925" s="465">
        <v>0</v>
      </c>
      <c r="K2925" s="465">
        <v>0</v>
      </c>
    </row>
    <row r="2926" spans="2:11" ht="19" customHeight="1">
      <c r="B2926" s="464">
        <v>46075</v>
      </c>
      <c r="C2926" s="436" t="s">
        <v>256</v>
      </c>
      <c r="D2926" s="436" t="s">
        <v>870</v>
      </c>
      <c r="E2926" s="436">
        <v>4</v>
      </c>
      <c r="F2926" s="465">
        <v>1.7</v>
      </c>
      <c r="G2926" s="466">
        <v>6.8</v>
      </c>
      <c r="H2926" s="466">
        <f>G2926/1.1</f>
        <v>6.1818181818181808</v>
      </c>
      <c r="I2926" s="436"/>
      <c r="J2926" s="465">
        <v>0</v>
      </c>
      <c r="K2926" s="465">
        <v>0</v>
      </c>
    </row>
    <row r="2927" spans="2:11" ht="19" customHeight="1">
      <c r="B2927" s="464">
        <v>46075</v>
      </c>
      <c r="C2927" s="436" t="s">
        <v>256</v>
      </c>
      <c r="D2927" s="436" t="s">
        <v>932</v>
      </c>
      <c r="E2927" s="436">
        <v>4</v>
      </c>
      <c r="F2927" s="465">
        <v>1.7</v>
      </c>
      <c r="G2927" s="466">
        <v>6.8</v>
      </c>
      <c r="H2927" s="466">
        <f>G2927/1.1</f>
        <v>6.1818181818181808</v>
      </c>
      <c r="I2927" s="436"/>
      <c r="J2927" s="465">
        <v>0</v>
      </c>
      <c r="K2927" s="465">
        <v>0</v>
      </c>
    </row>
    <row r="2928" spans="2:11" ht="19" customHeight="1">
      <c r="B2928" s="464">
        <v>46075</v>
      </c>
      <c r="C2928" s="436" t="s">
        <v>256</v>
      </c>
      <c r="D2928" s="436" t="s">
        <v>912</v>
      </c>
      <c r="E2928" s="436">
        <v>2</v>
      </c>
      <c r="F2928" s="465">
        <v>5.5</v>
      </c>
      <c r="G2928" s="466">
        <v>11</v>
      </c>
      <c r="H2928" s="466">
        <f>G2928/1.1</f>
        <v>10</v>
      </c>
      <c r="I2928" s="436"/>
      <c r="J2928" s="465">
        <v>0</v>
      </c>
      <c r="K2928" s="465">
        <v>0</v>
      </c>
    </row>
    <row r="2929" spans="2:11" ht="19" customHeight="1">
      <c r="B2929" s="464">
        <v>46075</v>
      </c>
      <c r="C2929" s="436" t="s">
        <v>256</v>
      </c>
      <c r="D2929" s="436" t="s">
        <v>255</v>
      </c>
      <c r="E2929" s="436">
        <v>2</v>
      </c>
      <c r="F2929" s="465">
        <v>5.6</v>
      </c>
      <c r="G2929" s="466">
        <v>11.2</v>
      </c>
      <c r="H2929" s="466">
        <f>G2929/1.1</f>
        <v>10.18181818181818</v>
      </c>
      <c r="I2929" s="436"/>
      <c r="J2929" s="465">
        <v>0</v>
      </c>
      <c r="K2929" s="465">
        <v>0</v>
      </c>
    </row>
    <row r="2930" spans="2:11" ht="19" customHeight="1">
      <c r="B2930" s="464">
        <v>46075</v>
      </c>
      <c r="C2930" s="436" t="s">
        <v>256</v>
      </c>
      <c r="D2930" s="436" t="s">
        <v>1042</v>
      </c>
      <c r="E2930" s="436">
        <v>2</v>
      </c>
      <c r="F2930" s="465">
        <v>13.95</v>
      </c>
      <c r="G2930" s="466">
        <v>27.9</v>
      </c>
      <c r="H2930" s="466">
        <f>G2930/1.1</f>
        <v>25.36363636363636</v>
      </c>
      <c r="I2930" s="436"/>
      <c r="J2930" s="465">
        <v>0</v>
      </c>
      <c r="K2930" s="465">
        <v>0</v>
      </c>
    </row>
    <row r="2931" spans="2:11" ht="19" customHeight="1">
      <c r="B2931" s="464">
        <v>46075</v>
      </c>
      <c r="C2931" s="436" t="s">
        <v>256</v>
      </c>
      <c r="D2931" s="436" t="s">
        <v>262</v>
      </c>
      <c r="E2931" s="436">
        <v>2</v>
      </c>
      <c r="F2931" s="465">
        <v>11.9</v>
      </c>
      <c r="G2931" s="466">
        <v>23.8</v>
      </c>
      <c r="H2931" s="466">
        <f>G2931/1.1</f>
        <v>21.636363636363637</v>
      </c>
      <c r="I2931" s="436"/>
      <c r="J2931" s="465">
        <v>0</v>
      </c>
      <c r="K2931" s="465">
        <v>0</v>
      </c>
    </row>
    <row r="2932" spans="2:11" ht="19" customHeight="1">
      <c r="B2932" s="464">
        <v>46075</v>
      </c>
      <c r="C2932" s="436" t="s">
        <v>253</v>
      </c>
      <c r="D2932" s="436" t="s">
        <v>869</v>
      </c>
      <c r="E2932" s="436">
        <v>3</v>
      </c>
      <c r="F2932" s="465">
        <v>2.65</v>
      </c>
      <c r="G2932" s="466">
        <v>7.95</v>
      </c>
      <c r="H2932" s="466">
        <f>G2932/1.1</f>
        <v>7.2272727272727266</v>
      </c>
      <c r="I2932" s="436"/>
      <c r="J2932" s="465">
        <v>0</v>
      </c>
      <c r="K2932" s="465">
        <v>0</v>
      </c>
    </row>
    <row r="2933" spans="2:11" ht="19" customHeight="1">
      <c r="B2933" s="464">
        <v>46075</v>
      </c>
      <c r="C2933" s="436" t="s">
        <v>253</v>
      </c>
      <c r="D2933" s="436" t="s">
        <v>676</v>
      </c>
      <c r="E2933" s="436">
        <v>1</v>
      </c>
      <c r="F2933" s="465">
        <v>2.95</v>
      </c>
      <c r="G2933" s="466">
        <v>2.95</v>
      </c>
      <c r="H2933" s="466">
        <f>G2933/1.1</f>
        <v>2.6818181818181817</v>
      </c>
      <c r="I2933" s="436"/>
      <c r="J2933" s="465">
        <v>0</v>
      </c>
      <c r="K2933" s="465">
        <v>0</v>
      </c>
    </row>
    <row r="2934" spans="2:11" ht="19" customHeight="1">
      <c r="B2934" s="464">
        <v>46075</v>
      </c>
      <c r="C2934" s="436" t="s">
        <v>251</v>
      </c>
      <c r="D2934" s="436" t="s">
        <v>265</v>
      </c>
      <c r="E2934" s="436">
        <v>2</v>
      </c>
      <c r="F2934" s="465">
        <v>2.65</v>
      </c>
      <c r="G2934" s="466">
        <v>5.3</v>
      </c>
      <c r="H2934" s="466">
        <f>G2934/1.1</f>
        <v>4.8181818181818175</v>
      </c>
      <c r="I2934" s="436"/>
      <c r="J2934" s="465">
        <v>0</v>
      </c>
      <c r="K2934" s="465">
        <v>0</v>
      </c>
    </row>
    <row r="2935" spans="2:11" ht="19" customHeight="1">
      <c r="B2935" s="464">
        <v>46075</v>
      </c>
      <c r="C2935" s="436" t="s">
        <v>251</v>
      </c>
      <c r="D2935" s="436" t="s">
        <v>722</v>
      </c>
      <c r="E2935" s="436">
        <v>1</v>
      </c>
      <c r="F2935" s="465">
        <v>2.65</v>
      </c>
      <c r="G2935" s="466">
        <v>2.65</v>
      </c>
      <c r="H2935" s="466">
        <f>G2935/1.1</f>
        <v>2.4090909090909087</v>
      </c>
      <c r="I2935" s="436"/>
      <c r="J2935" s="465">
        <v>0</v>
      </c>
      <c r="K2935" s="465">
        <v>0</v>
      </c>
    </row>
    <row r="2936" spans="2:11" ht="19" customHeight="1">
      <c r="B2936" s="464">
        <v>46075</v>
      </c>
      <c r="C2936" s="436" t="s">
        <v>256</v>
      </c>
      <c r="D2936" s="436" t="s">
        <v>262</v>
      </c>
      <c r="E2936" s="436">
        <v>1</v>
      </c>
      <c r="F2936" s="465">
        <v>11.9</v>
      </c>
      <c r="G2936" s="466">
        <v>11.9</v>
      </c>
      <c r="H2936" s="466">
        <f>G2936/1.1</f>
        <v>10.818181818181818</v>
      </c>
      <c r="I2936" s="436"/>
      <c r="J2936" s="465">
        <v>0</v>
      </c>
      <c r="K2936" s="465">
        <v>0</v>
      </c>
    </row>
    <row r="2937" spans="2:11" ht="19" customHeight="1">
      <c r="B2937" s="464">
        <v>46075</v>
      </c>
      <c r="C2937" s="436" t="s">
        <v>256</v>
      </c>
      <c r="D2937" s="436" t="s">
        <v>1114</v>
      </c>
      <c r="E2937" s="436">
        <v>1</v>
      </c>
      <c r="F2937" s="465">
        <v>-0.2</v>
      </c>
      <c r="G2937" s="466">
        <v>-0.2</v>
      </c>
      <c r="H2937" s="466">
        <f>G2937/1.1</f>
        <v>-0.18181818181818182</v>
      </c>
      <c r="I2937" s="436"/>
      <c r="J2937" s="465">
        <v>0</v>
      </c>
      <c r="K2937" s="465">
        <v>0</v>
      </c>
    </row>
    <row r="2938" spans="2:11" ht="19" customHeight="1">
      <c r="B2938" s="464">
        <v>46075</v>
      </c>
      <c r="C2938" s="436" t="s">
        <v>256</v>
      </c>
      <c r="D2938" s="436" t="s">
        <v>931</v>
      </c>
      <c r="E2938" s="436">
        <v>2</v>
      </c>
      <c r="F2938" s="465">
        <v>1.7</v>
      </c>
      <c r="G2938" s="466">
        <v>3.4</v>
      </c>
      <c r="H2938" s="466">
        <f>G2938/1.1</f>
        <v>3.0909090909090904</v>
      </c>
      <c r="I2938" s="436"/>
      <c r="J2938" s="465">
        <v>0</v>
      </c>
      <c r="K2938" s="465">
        <v>0</v>
      </c>
    </row>
    <row r="2939" spans="2:11" ht="19" customHeight="1">
      <c r="B2939" s="464">
        <v>46075</v>
      </c>
      <c r="C2939" s="436" t="s">
        <v>256</v>
      </c>
      <c r="D2939" s="436" t="s">
        <v>870</v>
      </c>
      <c r="E2939" s="436">
        <v>2</v>
      </c>
      <c r="F2939" s="465">
        <v>1.7</v>
      </c>
      <c r="G2939" s="466">
        <v>3.4</v>
      </c>
      <c r="H2939" s="466">
        <f>G2939/1.1</f>
        <v>3.0909090909090904</v>
      </c>
      <c r="I2939" s="436"/>
      <c r="J2939" s="465">
        <v>0</v>
      </c>
      <c r="K2939" s="465">
        <v>0</v>
      </c>
    </row>
    <row r="2940" spans="2:11" ht="19" customHeight="1">
      <c r="B2940" s="464">
        <v>46075</v>
      </c>
      <c r="C2940" s="436" t="s">
        <v>256</v>
      </c>
      <c r="D2940" s="436" t="s">
        <v>932</v>
      </c>
      <c r="E2940" s="436">
        <v>2</v>
      </c>
      <c r="F2940" s="465">
        <v>1.7</v>
      </c>
      <c r="G2940" s="466">
        <v>3.4</v>
      </c>
      <c r="H2940" s="466">
        <f>G2940/1.1</f>
        <v>3.0909090909090904</v>
      </c>
      <c r="I2940" s="436"/>
      <c r="J2940" s="465">
        <v>0</v>
      </c>
      <c r="K2940" s="465">
        <v>0</v>
      </c>
    </row>
    <row r="2941" spans="2:11" ht="19" customHeight="1">
      <c r="B2941" s="464">
        <v>46075</v>
      </c>
      <c r="C2941" s="436" t="s">
        <v>326</v>
      </c>
      <c r="D2941" s="436" t="s">
        <v>1063</v>
      </c>
      <c r="E2941" s="436">
        <v>1</v>
      </c>
      <c r="F2941" s="465">
        <v>15</v>
      </c>
      <c r="G2941" s="466">
        <v>15</v>
      </c>
      <c r="H2941" s="466">
        <f>G2941/1.1</f>
        <v>13.636363636363635</v>
      </c>
      <c r="I2941" s="436"/>
      <c r="J2941" s="465">
        <v>0</v>
      </c>
      <c r="K2941" s="465">
        <v>0</v>
      </c>
    </row>
    <row r="2942" spans="2:11" ht="19" customHeight="1">
      <c r="B2942" s="464">
        <v>46075</v>
      </c>
      <c r="C2942" s="436" t="s">
        <v>256</v>
      </c>
      <c r="D2942" s="436" t="s">
        <v>1042</v>
      </c>
      <c r="E2942" s="436">
        <v>1</v>
      </c>
      <c r="F2942" s="465">
        <v>13.95</v>
      </c>
      <c r="G2942" s="466">
        <v>13.95</v>
      </c>
      <c r="H2942" s="466">
        <f>G2942/1.1</f>
        <v>12.68181818181818</v>
      </c>
      <c r="I2942" s="436"/>
      <c r="J2942" s="465">
        <v>0</v>
      </c>
      <c r="K2942" s="465">
        <v>0</v>
      </c>
    </row>
    <row r="2943" spans="2:11" ht="19" customHeight="1">
      <c r="B2943" s="464">
        <v>46075</v>
      </c>
      <c r="C2943" s="436" t="s">
        <v>264</v>
      </c>
      <c r="D2943" s="436" t="s">
        <v>930</v>
      </c>
      <c r="E2943" s="436">
        <v>1</v>
      </c>
      <c r="F2943" s="465">
        <v>3.5</v>
      </c>
      <c r="G2943" s="466">
        <v>3.5</v>
      </c>
      <c r="H2943" s="466">
        <f>G2943/1.1</f>
        <v>3.1818181818181817</v>
      </c>
      <c r="I2943" s="436"/>
      <c r="J2943" s="465">
        <v>0</v>
      </c>
      <c r="K2943" s="465">
        <v>0</v>
      </c>
    </row>
    <row r="2944" spans="2:11" ht="19" customHeight="1">
      <c r="B2944" s="464">
        <v>46075</v>
      </c>
      <c r="C2944" s="436" t="s">
        <v>256</v>
      </c>
      <c r="D2944" s="436" t="s">
        <v>255</v>
      </c>
      <c r="E2944" s="436">
        <v>1</v>
      </c>
      <c r="F2944" s="465">
        <v>5.6</v>
      </c>
      <c r="G2944" s="466">
        <v>5.6</v>
      </c>
      <c r="H2944" s="466">
        <f>G2944/1.1</f>
        <v>5.0909090909090899</v>
      </c>
      <c r="I2944" s="436"/>
      <c r="J2944" s="465">
        <v>0</v>
      </c>
      <c r="K2944" s="465">
        <v>0</v>
      </c>
    </row>
    <row r="2945" spans="2:11" ht="19" customHeight="1">
      <c r="B2945" s="464">
        <v>46075</v>
      </c>
      <c r="C2945" s="436" t="s">
        <v>247</v>
      </c>
      <c r="D2945" s="436" t="s">
        <v>246</v>
      </c>
      <c r="E2945" s="436">
        <v>1</v>
      </c>
      <c r="F2945" s="465">
        <v>1.7</v>
      </c>
      <c r="G2945" s="466">
        <v>1.7</v>
      </c>
      <c r="H2945" s="466">
        <f>G2945/1.1</f>
        <v>1.5454545454545452</v>
      </c>
      <c r="I2945" s="436"/>
      <c r="J2945" s="465">
        <v>0</v>
      </c>
      <c r="K2945" s="465">
        <v>0</v>
      </c>
    </row>
    <row r="2946" spans="2:11" ht="19" customHeight="1">
      <c r="B2946" s="464">
        <v>46075</v>
      </c>
      <c r="C2946" s="436" t="s">
        <v>247</v>
      </c>
      <c r="D2946" s="436" t="s">
        <v>248</v>
      </c>
      <c r="E2946" s="436">
        <v>1</v>
      </c>
      <c r="F2946" s="465">
        <v>1.65</v>
      </c>
      <c r="G2946" s="466">
        <v>1.65</v>
      </c>
      <c r="H2946" s="466">
        <f>G2946/1.1</f>
        <v>1.4999999999999998</v>
      </c>
      <c r="I2946" s="436"/>
      <c r="J2946" s="465">
        <v>0</v>
      </c>
      <c r="K2946" s="465">
        <v>0</v>
      </c>
    </row>
    <row r="2947" spans="2:11" ht="19" customHeight="1">
      <c r="B2947" s="464">
        <v>46075</v>
      </c>
      <c r="C2947" s="436" t="s">
        <v>275</v>
      </c>
      <c r="D2947" s="436" t="s">
        <v>674</v>
      </c>
      <c r="E2947" s="436">
        <v>1</v>
      </c>
      <c r="F2947" s="465">
        <v>5.75</v>
      </c>
      <c r="G2947" s="466">
        <v>5.75</v>
      </c>
      <c r="H2947" s="466">
        <f>G2947/1.1</f>
        <v>5.2272727272727266</v>
      </c>
      <c r="I2947" s="436"/>
      <c r="J2947" s="465">
        <v>0</v>
      </c>
      <c r="K2947" s="465">
        <v>0</v>
      </c>
    </row>
    <row r="2948" spans="2:11" ht="19" customHeight="1">
      <c r="B2948" s="464">
        <v>46075</v>
      </c>
      <c r="C2948" s="436" t="s">
        <v>275</v>
      </c>
      <c r="D2948" s="436" t="s">
        <v>1151</v>
      </c>
      <c r="E2948" s="436">
        <v>1</v>
      </c>
      <c r="F2948" s="465">
        <v>5.25</v>
      </c>
      <c r="G2948" s="466">
        <v>5.25</v>
      </c>
      <c r="H2948" s="466">
        <f>G2948/1.1</f>
        <v>4.7727272727272725</v>
      </c>
      <c r="I2948" s="436"/>
      <c r="J2948" s="465">
        <v>0</v>
      </c>
      <c r="K2948" s="465">
        <v>0</v>
      </c>
    </row>
    <row r="2949" spans="2:11" ht="19" customHeight="1">
      <c r="B2949" s="464">
        <v>46075</v>
      </c>
      <c r="C2949" s="436" t="s">
        <v>275</v>
      </c>
      <c r="D2949" s="436" t="s">
        <v>897</v>
      </c>
      <c r="E2949" s="436">
        <v>1</v>
      </c>
      <c r="F2949" s="465">
        <v>6.5</v>
      </c>
      <c r="G2949" s="466">
        <v>6.5</v>
      </c>
      <c r="H2949" s="466">
        <f>G2949/1.1</f>
        <v>5.9090909090909083</v>
      </c>
      <c r="I2949" s="436"/>
      <c r="J2949" s="465">
        <v>0</v>
      </c>
      <c r="K2949" s="465">
        <v>0</v>
      </c>
    </row>
    <row r="2950" spans="2:11" ht="19" customHeight="1">
      <c r="B2950" s="464">
        <v>46075</v>
      </c>
      <c r="C2950" s="436" t="s">
        <v>253</v>
      </c>
      <c r="D2950" s="436" t="s">
        <v>869</v>
      </c>
      <c r="E2950" s="436">
        <v>1</v>
      </c>
      <c r="F2950" s="465">
        <v>2.65</v>
      </c>
      <c r="G2950" s="466">
        <v>2.65</v>
      </c>
      <c r="H2950" s="466">
        <f>G2950/1.1</f>
        <v>2.4090909090909087</v>
      </c>
      <c r="I2950" s="436"/>
      <c r="J2950" s="465">
        <v>0</v>
      </c>
      <c r="K2950" s="465">
        <v>0</v>
      </c>
    </row>
    <row r="2951" spans="2:11" ht="19" customHeight="1">
      <c r="B2951" s="464">
        <v>46075</v>
      </c>
      <c r="C2951" s="436" t="s">
        <v>276</v>
      </c>
      <c r="D2951" s="436" t="s">
        <v>857</v>
      </c>
      <c r="E2951" s="436">
        <v>1</v>
      </c>
      <c r="F2951" s="465">
        <v>3.45</v>
      </c>
      <c r="G2951" s="466">
        <v>3.45</v>
      </c>
      <c r="H2951" s="466">
        <f>G2951/1.1</f>
        <v>3.1363636363636362</v>
      </c>
      <c r="I2951" s="436"/>
      <c r="J2951" s="465">
        <v>0</v>
      </c>
      <c r="K2951" s="465">
        <v>0</v>
      </c>
    </row>
    <row r="2952" spans="2:11" ht="19" customHeight="1">
      <c r="B2952" s="464">
        <v>46075</v>
      </c>
      <c r="C2952" s="436" t="s">
        <v>256</v>
      </c>
      <c r="D2952" s="436" t="s">
        <v>255</v>
      </c>
      <c r="E2952" s="436">
        <v>1</v>
      </c>
      <c r="F2952" s="465">
        <v>5.85</v>
      </c>
      <c r="G2952" s="466">
        <v>5.85</v>
      </c>
      <c r="H2952" s="466">
        <f>G2952/1.1</f>
        <v>5.3181818181818175</v>
      </c>
      <c r="I2952" s="436"/>
      <c r="J2952" s="465">
        <v>0</v>
      </c>
      <c r="K2952" s="465">
        <v>0</v>
      </c>
    </row>
    <row r="2953" spans="2:11" ht="19" customHeight="1">
      <c r="B2953" s="464">
        <v>46075</v>
      </c>
      <c r="C2953" s="436" t="s">
        <v>251</v>
      </c>
      <c r="D2953" s="436" t="s">
        <v>890</v>
      </c>
      <c r="E2953" s="436">
        <v>1</v>
      </c>
      <c r="F2953" s="465">
        <v>2.8</v>
      </c>
      <c r="G2953" s="466">
        <v>2.8</v>
      </c>
      <c r="H2953" s="466">
        <f>G2953/1.1</f>
        <v>2.545454545454545</v>
      </c>
      <c r="I2953" s="436"/>
      <c r="J2953" s="465">
        <v>0</v>
      </c>
      <c r="K2953" s="465">
        <v>0</v>
      </c>
    </row>
    <row r="2954" spans="2:11" ht="19" customHeight="1">
      <c r="B2954" s="464">
        <v>46075</v>
      </c>
      <c r="C2954" s="436" t="s">
        <v>253</v>
      </c>
      <c r="D2954" s="436" t="s">
        <v>1152</v>
      </c>
      <c r="E2954" s="436">
        <v>1</v>
      </c>
      <c r="F2954" s="465">
        <v>3.65</v>
      </c>
      <c r="G2954" s="466">
        <v>3.65</v>
      </c>
      <c r="H2954" s="466">
        <f>G2954/1.1</f>
        <v>3.3181818181818179</v>
      </c>
      <c r="I2954" s="436"/>
      <c r="J2954" s="465">
        <v>0</v>
      </c>
      <c r="K2954" s="465">
        <v>0</v>
      </c>
    </row>
    <row r="2955" spans="2:11" ht="19" customHeight="1">
      <c r="B2955" s="464">
        <v>46075</v>
      </c>
      <c r="C2955" s="436" t="s">
        <v>251</v>
      </c>
      <c r="D2955" s="436" t="s">
        <v>265</v>
      </c>
      <c r="E2955" s="436">
        <v>1</v>
      </c>
      <c r="F2955" s="465">
        <v>2.8</v>
      </c>
      <c r="G2955" s="466">
        <v>2.8</v>
      </c>
      <c r="H2955" s="466">
        <f>G2955/1.1</f>
        <v>2.545454545454545</v>
      </c>
      <c r="I2955" s="436"/>
      <c r="J2955" s="465">
        <v>0</v>
      </c>
      <c r="K2955" s="465">
        <v>0</v>
      </c>
    </row>
    <row r="2956" spans="2:11" ht="19" customHeight="1">
      <c r="B2956" s="464">
        <v>46075</v>
      </c>
      <c r="C2956" s="436" t="s">
        <v>247</v>
      </c>
      <c r="D2956" s="436" t="s">
        <v>248</v>
      </c>
      <c r="E2956" s="436">
        <v>1</v>
      </c>
      <c r="F2956" s="465">
        <v>1.8</v>
      </c>
      <c r="G2956" s="466">
        <v>1.8</v>
      </c>
      <c r="H2956" s="466">
        <f>G2956/1.1</f>
        <v>1.6363636363636362</v>
      </c>
      <c r="I2956" s="436"/>
      <c r="J2956" s="465">
        <v>0</v>
      </c>
      <c r="K2956" s="465">
        <v>0</v>
      </c>
    </row>
    <row r="2957" spans="2:11" ht="19" customHeight="1">
      <c r="B2957" s="464">
        <v>46075</v>
      </c>
      <c r="C2957" s="436" t="s">
        <v>256</v>
      </c>
      <c r="D2957" s="436" t="s">
        <v>870</v>
      </c>
      <c r="E2957" s="436">
        <v>1</v>
      </c>
      <c r="F2957" s="465">
        <v>8.75</v>
      </c>
      <c r="G2957" s="466">
        <v>8.75</v>
      </c>
      <c r="H2957" s="466">
        <f>G2957/1.1</f>
        <v>7.9545454545454541</v>
      </c>
      <c r="I2957" s="436"/>
      <c r="J2957" s="465">
        <v>0</v>
      </c>
      <c r="K2957" s="465">
        <v>0</v>
      </c>
    </row>
    <row r="2958" spans="2:11" ht="19" customHeight="1">
      <c r="B2958" s="464">
        <v>46075</v>
      </c>
      <c r="C2958" s="436" t="s">
        <v>256</v>
      </c>
      <c r="D2958" s="436" t="s">
        <v>255</v>
      </c>
      <c r="E2958" s="436">
        <v>1</v>
      </c>
      <c r="F2958" s="465">
        <v>5.85</v>
      </c>
      <c r="G2958" s="466">
        <v>5.85</v>
      </c>
      <c r="H2958" s="466">
        <f>G2958/1.1</f>
        <v>5.3181818181818175</v>
      </c>
      <c r="I2958" s="436"/>
      <c r="J2958" s="465">
        <v>0</v>
      </c>
      <c r="K2958" s="465">
        <v>0</v>
      </c>
    </row>
    <row r="2959" spans="2:11" ht="19" customHeight="1">
      <c r="B2959" s="464">
        <v>46075</v>
      </c>
      <c r="C2959" s="436" t="s">
        <v>253</v>
      </c>
      <c r="D2959" s="436" t="s">
        <v>676</v>
      </c>
      <c r="E2959" s="436">
        <v>1</v>
      </c>
      <c r="F2959" s="465">
        <v>2.95</v>
      </c>
      <c r="G2959" s="466">
        <v>2.95</v>
      </c>
      <c r="H2959" s="466">
        <f>G2959/1.1</f>
        <v>2.6818181818181817</v>
      </c>
      <c r="I2959" s="436"/>
      <c r="J2959" s="465">
        <v>0</v>
      </c>
      <c r="K2959" s="465">
        <v>0</v>
      </c>
    </row>
    <row r="2960" spans="2:11" ht="19" customHeight="1">
      <c r="B2960" s="464">
        <v>46075</v>
      </c>
      <c r="C2960" s="436" t="s">
        <v>247</v>
      </c>
      <c r="D2960" s="436" t="s">
        <v>246</v>
      </c>
      <c r="E2960" s="436">
        <v>1</v>
      </c>
      <c r="F2960" s="465">
        <v>1.7</v>
      </c>
      <c r="G2960" s="466">
        <v>1.7</v>
      </c>
      <c r="H2960" s="466">
        <f>G2960/1.1</f>
        <v>1.5454545454545452</v>
      </c>
      <c r="I2960" s="436"/>
      <c r="J2960" s="465">
        <v>0</v>
      </c>
      <c r="K2960" s="465">
        <v>0</v>
      </c>
    </row>
    <row r="2961" spans="2:11" ht="19" customHeight="1">
      <c r="B2961" s="464">
        <v>46075</v>
      </c>
      <c r="C2961" s="436" t="s">
        <v>275</v>
      </c>
      <c r="D2961" s="436" t="s">
        <v>1153</v>
      </c>
      <c r="E2961" s="436">
        <v>1</v>
      </c>
      <c r="F2961" s="465">
        <v>3</v>
      </c>
      <c r="G2961" s="466">
        <v>3</v>
      </c>
      <c r="H2961" s="466">
        <f>G2961/1.1</f>
        <v>2.7272727272727271</v>
      </c>
      <c r="I2961" s="436"/>
      <c r="J2961" s="465">
        <v>0</v>
      </c>
      <c r="K2961" s="465">
        <v>0</v>
      </c>
    </row>
    <row r="2962" spans="2:11" ht="19" customHeight="1">
      <c r="B2962" s="464">
        <v>46075</v>
      </c>
      <c r="C2962" s="436" t="s">
        <v>764</v>
      </c>
      <c r="D2962" s="436" t="s">
        <v>1142</v>
      </c>
      <c r="E2962" s="436">
        <v>1</v>
      </c>
      <c r="F2962" s="465">
        <v>15.9</v>
      </c>
      <c r="G2962" s="466">
        <v>15.9</v>
      </c>
      <c r="H2962" s="466">
        <f>G2962/1.1</f>
        <v>14.454545454545453</v>
      </c>
      <c r="I2962" s="436"/>
      <c r="J2962" s="465">
        <v>0</v>
      </c>
      <c r="K2962" s="465">
        <v>0</v>
      </c>
    </row>
    <row r="2963" spans="2:11" ht="19" customHeight="1">
      <c r="B2963" s="464">
        <v>46075</v>
      </c>
      <c r="C2963" s="436" t="s">
        <v>725</v>
      </c>
      <c r="D2963" s="436" t="s">
        <v>1060</v>
      </c>
      <c r="E2963" s="436">
        <v>1</v>
      </c>
      <c r="F2963" s="465">
        <v>5.3</v>
      </c>
      <c r="G2963" s="466">
        <v>5.3</v>
      </c>
      <c r="H2963" s="466">
        <f>G2963/1.1</f>
        <v>4.8181818181818175</v>
      </c>
      <c r="I2963" s="436"/>
      <c r="J2963" s="465">
        <v>0</v>
      </c>
      <c r="K2963" s="465">
        <v>0</v>
      </c>
    </row>
    <row r="2964" spans="2:11" ht="19" customHeight="1">
      <c r="B2964" s="464">
        <v>46075</v>
      </c>
      <c r="C2964" s="436" t="s">
        <v>247</v>
      </c>
      <c r="D2964" s="436" t="s">
        <v>257</v>
      </c>
      <c r="E2964" s="436">
        <v>2</v>
      </c>
      <c r="F2964" s="465">
        <v>1.55</v>
      </c>
      <c r="G2964" s="466">
        <v>3.1</v>
      </c>
      <c r="H2964" s="466">
        <f>G2964/1.1</f>
        <v>2.8181818181818179</v>
      </c>
      <c r="I2964" s="436"/>
      <c r="J2964" s="465">
        <v>0</v>
      </c>
      <c r="K2964" s="465">
        <v>0</v>
      </c>
    </row>
    <row r="2965" spans="2:11" ht="19" customHeight="1">
      <c r="B2965" s="464">
        <v>46075</v>
      </c>
      <c r="C2965" s="436" t="s">
        <v>276</v>
      </c>
      <c r="D2965" s="436" t="s">
        <v>1017</v>
      </c>
      <c r="E2965" s="436">
        <v>1</v>
      </c>
      <c r="F2965" s="465">
        <v>4.75</v>
      </c>
      <c r="G2965" s="466">
        <v>4.75</v>
      </c>
      <c r="H2965" s="466">
        <f>G2965/1.1</f>
        <v>4.3181818181818175</v>
      </c>
      <c r="I2965" s="436"/>
      <c r="J2965" s="465">
        <v>0</v>
      </c>
      <c r="K2965" s="465">
        <v>0</v>
      </c>
    </row>
    <row r="2966" spans="2:11" ht="19" customHeight="1">
      <c r="B2966" s="464">
        <v>46075</v>
      </c>
      <c r="C2966" s="436" t="s">
        <v>251</v>
      </c>
      <c r="D2966" s="436" t="s">
        <v>250</v>
      </c>
      <c r="E2966" s="436">
        <v>1</v>
      </c>
      <c r="F2966" s="465">
        <v>1.8</v>
      </c>
      <c r="G2966" s="466">
        <v>1.8</v>
      </c>
      <c r="H2966" s="466">
        <f>G2966/1.1</f>
        <v>1.6363636363636362</v>
      </c>
      <c r="I2966" s="436"/>
      <c r="J2966" s="465">
        <v>0</v>
      </c>
      <c r="K2966" s="465">
        <v>0</v>
      </c>
    </row>
    <row r="2967" spans="2:11" ht="19" customHeight="1">
      <c r="B2967" s="464">
        <v>46075</v>
      </c>
      <c r="C2967" s="436" t="s">
        <v>326</v>
      </c>
      <c r="D2967" s="436" t="s">
        <v>1063</v>
      </c>
      <c r="E2967" s="436">
        <v>1</v>
      </c>
      <c r="F2967" s="465">
        <v>15</v>
      </c>
      <c r="G2967" s="466">
        <v>15</v>
      </c>
      <c r="H2967" s="466">
        <f>G2967/1.1</f>
        <v>13.636363636363635</v>
      </c>
      <c r="I2967" s="436"/>
      <c r="J2967" s="465">
        <v>0</v>
      </c>
      <c r="K2967" s="465">
        <v>0</v>
      </c>
    </row>
    <row r="2968" spans="2:11" ht="19" customHeight="1">
      <c r="B2968" s="464">
        <v>46075</v>
      </c>
      <c r="C2968" s="436" t="s">
        <v>264</v>
      </c>
      <c r="D2968" s="436" t="s">
        <v>930</v>
      </c>
      <c r="E2968" s="436">
        <v>1</v>
      </c>
      <c r="F2968" s="465">
        <v>3.5</v>
      </c>
      <c r="G2968" s="466">
        <v>3.5</v>
      </c>
      <c r="H2968" s="466">
        <f>G2968/1.1</f>
        <v>3.1818181818181817</v>
      </c>
      <c r="I2968" s="436"/>
      <c r="J2968" s="465">
        <v>0</v>
      </c>
      <c r="K2968" s="465">
        <v>0</v>
      </c>
    </row>
    <row r="2969" spans="2:11" ht="19" customHeight="1">
      <c r="B2969" s="464">
        <v>46075</v>
      </c>
      <c r="C2969" s="436" t="s">
        <v>256</v>
      </c>
      <c r="D2969" s="436" t="s">
        <v>952</v>
      </c>
      <c r="E2969" s="436">
        <v>1</v>
      </c>
      <c r="F2969" s="465">
        <v>7.5</v>
      </c>
      <c r="G2969" s="466">
        <v>7.5</v>
      </c>
      <c r="H2969" s="466">
        <f>G2969/1.1</f>
        <v>6.8181818181818175</v>
      </c>
      <c r="I2969" s="436"/>
      <c r="J2969" s="465">
        <v>0</v>
      </c>
      <c r="K2969" s="465">
        <v>0</v>
      </c>
    </row>
    <row r="2970" spans="2:11" ht="19" customHeight="1">
      <c r="B2970" s="464">
        <v>46075</v>
      </c>
      <c r="C2970" s="436" t="s">
        <v>256</v>
      </c>
      <c r="D2970" s="436" t="s">
        <v>1114</v>
      </c>
      <c r="E2970" s="436">
        <v>1</v>
      </c>
      <c r="F2970" s="465">
        <v>-0.2</v>
      </c>
      <c r="G2970" s="466">
        <v>-0.2</v>
      </c>
      <c r="H2970" s="466">
        <f>G2970/1.1</f>
        <v>-0.18181818181818182</v>
      </c>
      <c r="I2970" s="436"/>
      <c r="J2970" s="465">
        <v>0</v>
      </c>
      <c r="K2970" s="465">
        <v>0</v>
      </c>
    </row>
    <row r="2971" spans="2:11" ht="19" customHeight="1">
      <c r="B2971" s="464">
        <v>46075</v>
      </c>
      <c r="C2971" s="436" t="s">
        <v>256</v>
      </c>
      <c r="D2971" s="436" t="s">
        <v>931</v>
      </c>
      <c r="E2971" s="436">
        <v>2</v>
      </c>
      <c r="F2971" s="465">
        <v>1.7</v>
      </c>
      <c r="G2971" s="466">
        <v>3.4</v>
      </c>
      <c r="H2971" s="466">
        <f>G2971/1.1</f>
        <v>3.0909090909090904</v>
      </c>
      <c r="I2971" s="436"/>
      <c r="J2971" s="465">
        <v>0</v>
      </c>
      <c r="K2971" s="465">
        <v>0</v>
      </c>
    </row>
    <row r="2972" spans="2:11" ht="19" customHeight="1">
      <c r="B2972" s="464">
        <v>46075</v>
      </c>
      <c r="C2972" s="436" t="s">
        <v>256</v>
      </c>
      <c r="D2972" s="436" t="s">
        <v>870</v>
      </c>
      <c r="E2972" s="436">
        <v>2</v>
      </c>
      <c r="F2972" s="465">
        <v>1.7</v>
      </c>
      <c r="G2972" s="466">
        <v>3.4</v>
      </c>
      <c r="H2972" s="466">
        <f>G2972/1.1</f>
        <v>3.0909090909090904</v>
      </c>
      <c r="I2972" s="436"/>
      <c r="J2972" s="465">
        <v>0</v>
      </c>
      <c r="K2972" s="465">
        <v>0</v>
      </c>
    </row>
    <row r="2973" spans="2:11" ht="19" customHeight="1">
      <c r="B2973" s="464">
        <v>46075</v>
      </c>
      <c r="C2973" s="436" t="s">
        <v>256</v>
      </c>
      <c r="D2973" s="436" t="s">
        <v>932</v>
      </c>
      <c r="E2973" s="436">
        <v>2</v>
      </c>
      <c r="F2973" s="465">
        <v>1.7</v>
      </c>
      <c r="G2973" s="466">
        <v>3.4</v>
      </c>
      <c r="H2973" s="466">
        <f>G2973/1.1</f>
        <v>3.0909090909090904</v>
      </c>
      <c r="I2973" s="436"/>
      <c r="J2973" s="465">
        <v>0</v>
      </c>
      <c r="K2973" s="465">
        <v>0</v>
      </c>
    </row>
    <row r="2974" spans="2:11" ht="19" customHeight="1">
      <c r="B2974" s="464">
        <v>46092</v>
      </c>
      <c r="C2974" s="436" t="s">
        <v>254</v>
      </c>
      <c r="D2974" s="436" t="s">
        <v>254</v>
      </c>
      <c r="E2974" s="436">
        <v>1</v>
      </c>
      <c r="F2974" s="465">
        <v>14</v>
      </c>
      <c r="G2974" s="466">
        <v>14</v>
      </c>
      <c r="H2974" s="466">
        <f>G2974/1.1</f>
        <v>12.727272727272727</v>
      </c>
      <c r="I2974" s="436"/>
      <c r="J2974" s="465">
        <v>0</v>
      </c>
      <c r="K2974" s="465">
        <v>0</v>
      </c>
    </row>
    <row r="2975" spans="2:11" ht="19" customHeight="1">
      <c r="B2975" s="464">
        <v>46092</v>
      </c>
      <c r="C2975" s="436" t="s">
        <v>877</v>
      </c>
      <c r="D2975" s="436" t="s">
        <v>1154</v>
      </c>
      <c r="E2975" s="436">
        <v>1</v>
      </c>
      <c r="F2975" s="469"/>
      <c r="G2975" s="468" t="s">
        <v>875</v>
      </c>
      <c r="H2975" s="466" t="e">
        <f>G2975/1.1</f>
        <v>#VALUE!</v>
      </c>
      <c r="I2975" s="436"/>
      <c r="J2975" s="465">
        <v>0</v>
      </c>
      <c r="K2975" s="465">
        <v>0</v>
      </c>
    </row>
    <row r="2976" spans="2:11" ht="19" customHeight="1">
      <c r="B2976" s="464">
        <v>46092</v>
      </c>
      <c r="C2976" s="436" t="s">
        <v>266</v>
      </c>
      <c r="D2976" s="436" t="s">
        <v>250</v>
      </c>
      <c r="E2976" s="436">
        <v>1</v>
      </c>
      <c r="F2976" s="469"/>
      <c r="G2976" s="468" t="s">
        <v>875</v>
      </c>
      <c r="H2976" s="466" t="e">
        <f>G2976/1.1</f>
        <v>#VALUE!</v>
      </c>
      <c r="I2976" s="436"/>
      <c r="J2976" s="465">
        <v>0</v>
      </c>
      <c r="K2976" s="465">
        <v>0</v>
      </c>
    </row>
    <row r="2977" spans="2:11" ht="19" customHeight="1">
      <c r="B2977" s="464">
        <v>46092</v>
      </c>
      <c r="C2977" s="436" t="s">
        <v>258</v>
      </c>
      <c r="D2977" s="436" t="s">
        <v>917</v>
      </c>
      <c r="E2977" s="436">
        <v>1</v>
      </c>
      <c r="F2977" s="469"/>
      <c r="G2977" s="468" t="s">
        <v>875</v>
      </c>
      <c r="H2977" s="466" t="e">
        <f>G2977/1.1</f>
        <v>#VALUE!</v>
      </c>
      <c r="I2977" s="436"/>
      <c r="J2977" s="465">
        <v>0</v>
      </c>
      <c r="K2977" s="465">
        <v>0</v>
      </c>
    </row>
    <row r="2978" spans="2:11" ht="19" customHeight="1">
      <c r="B2978" s="464">
        <v>46092</v>
      </c>
      <c r="C2978" s="436" t="s">
        <v>254</v>
      </c>
      <c r="D2978" s="436" t="s">
        <v>254</v>
      </c>
      <c r="E2978" s="436">
        <v>1</v>
      </c>
      <c r="F2978" s="465">
        <v>14.9</v>
      </c>
      <c r="G2978" s="466">
        <v>14.9</v>
      </c>
      <c r="H2978" s="466">
        <f>G2978/1.1</f>
        <v>13.545454545454545</v>
      </c>
      <c r="I2978" s="436"/>
      <c r="J2978" s="465">
        <v>0</v>
      </c>
      <c r="K2978" s="465">
        <v>0</v>
      </c>
    </row>
    <row r="2979" spans="2:11" ht="19" customHeight="1">
      <c r="B2979" s="464">
        <v>46092</v>
      </c>
      <c r="C2979" s="436" t="s">
        <v>873</v>
      </c>
      <c r="D2979" s="436" t="s">
        <v>1155</v>
      </c>
      <c r="E2979" s="436">
        <v>1</v>
      </c>
      <c r="F2979" s="469"/>
      <c r="G2979" s="468" t="s">
        <v>875</v>
      </c>
      <c r="H2979" s="466" t="e">
        <f>G2979/1.1</f>
        <v>#VALUE!</v>
      </c>
      <c r="I2979" s="436"/>
      <c r="J2979" s="465">
        <v>0</v>
      </c>
      <c r="K2979" s="465">
        <v>0</v>
      </c>
    </row>
    <row r="2980" spans="2:11" ht="19" customHeight="1">
      <c r="B2980" s="464">
        <v>46092</v>
      </c>
      <c r="C2980" s="436" t="s">
        <v>877</v>
      </c>
      <c r="D2980" s="436" t="s">
        <v>1156</v>
      </c>
      <c r="E2980" s="436">
        <v>1</v>
      </c>
      <c r="F2980" s="465">
        <v>3</v>
      </c>
      <c r="G2980" s="466">
        <v>3</v>
      </c>
      <c r="H2980" s="466">
        <f>G2980/1.1</f>
        <v>2.7272727272727271</v>
      </c>
      <c r="I2980" s="436"/>
      <c r="J2980" s="465">
        <v>0</v>
      </c>
      <c r="K2980" s="465">
        <v>0</v>
      </c>
    </row>
    <row r="2981" spans="2:11" ht="19" customHeight="1">
      <c r="B2981" s="464">
        <v>46092</v>
      </c>
      <c r="C2981" s="436" t="s">
        <v>266</v>
      </c>
      <c r="D2981" s="436" t="s">
        <v>708</v>
      </c>
      <c r="E2981" s="436">
        <v>1</v>
      </c>
      <c r="F2981" s="469"/>
      <c r="G2981" s="468" t="s">
        <v>875</v>
      </c>
      <c r="H2981" s="466" t="e">
        <f>G2981/1.1</f>
        <v>#VALUE!</v>
      </c>
      <c r="I2981" s="436"/>
      <c r="J2981" s="465">
        <v>0</v>
      </c>
      <c r="K2981" s="465">
        <v>0</v>
      </c>
    </row>
    <row r="2982" spans="2:11" ht="19" customHeight="1">
      <c r="B2982" s="464">
        <v>46092</v>
      </c>
      <c r="C2982" s="436" t="s">
        <v>258</v>
      </c>
      <c r="D2982" s="436" t="s">
        <v>257</v>
      </c>
      <c r="E2982" s="436">
        <v>1</v>
      </c>
      <c r="F2982" s="469"/>
      <c r="G2982" s="468" t="s">
        <v>875</v>
      </c>
      <c r="H2982" s="466" t="e">
        <f>G2982/1.1</f>
        <v>#VALUE!</v>
      </c>
      <c r="I2982" s="436"/>
      <c r="J2982" s="465">
        <v>0</v>
      </c>
      <c r="K2982" s="465">
        <v>0</v>
      </c>
    </row>
    <row r="2983" spans="2:11" ht="19" customHeight="1">
      <c r="B2983" s="464">
        <v>46092</v>
      </c>
      <c r="C2983" s="436" t="s">
        <v>254</v>
      </c>
      <c r="D2983" s="436" t="s">
        <v>254</v>
      </c>
      <c r="E2983" s="436">
        <v>2</v>
      </c>
      <c r="F2983" s="465">
        <v>14.9</v>
      </c>
      <c r="G2983" s="466">
        <v>29.8</v>
      </c>
      <c r="H2983" s="466">
        <f>G2983/1.1</f>
        <v>27.09090909090909</v>
      </c>
      <c r="I2983" s="436"/>
      <c r="J2983" s="465">
        <v>0</v>
      </c>
      <c r="K2983" s="465">
        <v>0</v>
      </c>
    </row>
    <row r="2984" spans="2:11" ht="19" customHeight="1">
      <c r="B2984" s="464">
        <v>46092</v>
      </c>
      <c r="C2984" s="436" t="s">
        <v>873</v>
      </c>
      <c r="D2984" s="436" t="s">
        <v>1155</v>
      </c>
      <c r="E2984" s="436">
        <v>2</v>
      </c>
      <c r="F2984" s="469"/>
      <c r="G2984" s="468" t="s">
        <v>875</v>
      </c>
      <c r="H2984" s="466" t="e">
        <f>G2984/1.1</f>
        <v>#VALUE!</v>
      </c>
      <c r="I2984" s="436"/>
      <c r="J2984" s="465">
        <v>0</v>
      </c>
      <c r="K2984" s="465">
        <v>0</v>
      </c>
    </row>
    <row r="2985" spans="2:11" ht="19" customHeight="1">
      <c r="B2985" s="464">
        <v>46092</v>
      </c>
      <c r="C2985" s="436" t="s">
        <v>877</v>
      </c>
      <c r="D2985" s="436" t="s">
        <v>1157</v>
      </c>
      <c r="E2985" s="436">
        <v>2</v>
      </c>
      <c r="F2985" s="469"/>
      <c r="G2985" s="468" t="s">
        <v>875</v>
      </c>
      <c r="H2985" s="466" t="e">
        <f>G2985/1.1</f>
        <v>#VALUE!</v>
      </c>
      <c r="I2985" s="436"/>
      <c r="J2985" s="465">
        <v>0</v>
      </c>
      <c r="K2985" s="465">
        <v>0</v>
      </c>
    </row>
    <row r="2986" spans="2:11" ht="19" customHeight="1">
      <c r="B2986" s="464">
        <v>46092</v>
      </c>
      <c r="C2986" s="436" t="s">
        <v>266</v>
      </c>
      <c r="D2986" s="436" t="s">
        <v>250</v>
      </c>
      <c r="E2986" s="436">
        <v>2</v>
      </c>
      <c r="F2986" s="469"/>
      <c r="G2986" s="468" t="s">
        <v>875</v>
      </c>
      <c r="H2986" s="466" t="e">
        <f>G2986/1.1</f>
        <v>#VALUE!</v>
      </c>
      <c r="I2986" s="436"/>
      <c r="J2986" s="465">
        <v>0</v>
      </c>
      <c r="K2986" s="465">
        <v>0</v>
      </c>
    </row>
    <row r="2987" spans="2:11" ht="19" customHeight="1">
      <c r="B2987" s="464">
        <v>46092</v>
      </c>
      <c r="C2987" s="436" t="s">
        <v>258</v>
      </c>
      <c r="D2987" s="436" t="s">
        <v>917</v>
      </c>
      <c r="E2987" s="436">
        <v>1</v>
      </c>
      <c r="F2987" s="469"/>
      <c r="G2987" s="468" t="s">
        <v>875</v>
      </c>
      <c r="H2987" s="466" t="e">
        <f>G2987/1.1</f>
        <v>#VALUE!</v>
      </c>
      <c r="I2987" s="436"/>
      <c r="J2987" s="465">
        <v>0</v>
      </c>
      <c r="K2987" s="465">
        <v>0</v>
      </c>
    </row>
    <row r="2988" spans="2:11" ht="19" customHeight="1">
      <c r="B2988" s="464">
        <v>46092</v>
      </c>
      <c r="C2988" s="436" t="s">
        <v>258</v>
      </c>
      <c r="D2988" s="436" t="s">
        <v>1058</v>
      </c>
      <c r="E2988" s="436">
        <v>1</v>
      </c>
      <c r="F2988" s="469"/>
      <c r="G2988" s="468" t="s">
        <v>875</v>
      </c>
      <c r="H2988" s="466" t="e">
        <f>G2988/1.1</f>
        <v>#VALUE!</v>
      </c>
      <c r="I2988" s="436"/>
      <c r="J2988" s="465">
        <v>0</v>
      </c>
      <c r="K2988" s="465">
        <v>0</v>
      </c>
    </row>
    <row r="2989" spans="2:11" ht="19" customHeight="1">
      <c r="B2989" s="464">
        <v>46092</v>
      </c>
      <c r="C2989" s="436" t="s">
        <v>254</v>
      </c>
      <c r="D2989" s="436" t="s">
        <v>254</v>
      </c>
      <c r="E2989" s="436">
        <v>2</v>
      </c>
      <c r="F2989" s="465">
        <v>14.9</v>
      </c>
      <c r="G2989" s="466">
        <v>29.8</v>
      </c>
      <c r="H2989" s="466">
        <f>G2989/1.1</f>
        <v>27.09090909090909</v>
      </c>
      <c r="I2989" s="436"/>
      <c r="J2989" s="465">
        <v>0</v>
      </c>
      <c r="K2989" s="465">
        <v>0</v>
      </c>
    </row>
    <row r="2990" spans="2:11" ht="19" customHeight="1">
      <c r="B2990" s="464">
        <v>46092</v>
      </c>
      <c r="C2990" s="436" t="s">
        <v>873</v>
      </c>
      <c r="D2990" s="436" t="s">
        <v>1158</v>
      </c>
      <c r="E2990" s="436">
        <v>1</v>
      </c>
      <c r="F2990" s="469"/>
      <c r="G2990" s="468" t="s">
        <v>875</v>
      </c>
      <c r="H2990" s="466" t="e">
        <f>G2990/1.1</f>
        <v>#VALUE!</v>
      </c>
      <c r="I2990" s="436"/>
      <c r="J2990" s="465">
        <v>0</v>
      </c>
      <c r="K2990" s="465">
        <v>0</v>
      </c>
    </row>
    <row r="2991" spans="2:11" ht="19" customHeight="1">
      <c r="B2991" s="464">
        <v>46092</v>
      </c>
      <c r="C2991" s="436" t="s">
        <v>873</v>
      </c>
      <c r="D2991" s="436" t="s">
        <v>1155</v>
      </c>
      <c r="E2991" s="436">
        <v>1</v>
      </c>
      <c r="F2991" s="469"/>
      <c r="G2991" s="468" t="s">
        <v>875</v>
      </c>
      <c r="H2991" s="466" t="e">
        <f>G2991/1.1</f>
        <v>#VALUE!</v>
      </c>
      <c r="I2991" s="436"/>
      <c r="J2991" s="465">
        <v>0</v>
      </c>
      <c r="K2991" s="465">
        <v>0</v>
      </c>
    </row>
    <row r="2992" spans="2:11" ht="19" customHeight="1">
      <c r="B2992" s="464">
        <v>46092</v>
      </c>
      <c r="C2992" s="436" t="s">
        <v>877</v>
      </c>
      <c r="D2992" s="436" t="s">
        <v>1156</v>
      </c>
      <c r="E2992" s="436">
        <v>1</v>
      </c>
      <c r="F2992" s="465">
        <v>3</v>
      </c>
      <c r="G2992" s="466">
        <v>3</v>
      </c>
      <c r="H2992" s="466">
        <f>G2992/1.1</f>
        <v>2.7272727272727271</v>
      </c>
      <c r="I2992" s="436"/>
      <c r="J2992" s="465">
        <v>0</v>
      </c>
      <c r="K2992" s="465">
        <v>0</v>
      </c>
    </row>
    <row r="2993" spans="2:11" ht="19" customHeight="1">
      <c r="B2993" s="464">
        <v>46092</v>
      </c>
      <c r="C2993" s="436" t="s">
        <v>877</v>
      </c>
      <c r="D2993" s="436" t="s">
        <v>1159</v>
      </c>
      <c r="E2993" s="436">
        <v>1</v>
      </c>
      <c r="F2993" s="469"/>
      <c r="G2993" s="468" t="s">
        <v>875</v>
      </c>
      <c r="H2993" s="466" t="e">
        <f>G2993/1.1</f>
        <v>#VALUE!</v>
      </c>
      <c r="I2993" s="436"/>
      <c r="J2993" s="465">
        <v>0</v>
      </c>
      <c r="K2993" s="465">
        <v>0</v>
      </c>
    </row>
    <row r="2994" spans="2:11" ht="19" customHeight="1">
      <c r="B2994" s="464">
        <v>46092</v>
      </c>
      <c r="C2994" s="436" t="s">
        <v>266</v>
      </c>
      <c r="D2994" s="436" t="s">
        <v>250</v>
      </c>
      <c r="E2994" s="436">
        <v>1</v>
      </c>
      <c r="F2994" s="469"/>
      <c r="G2994" s="468" t="s">
        <v>875</v>
      </c>
      <c r="H2994" s="466" t="e">
        <f>G2994/1.1</f>
        <v>#VALUE!</v>
      </c>
      <c r="I2994" s="436"/>
      <c r="J2994" s="465">
        <v>0</v>
      </c>
      <c r="K2994" s="465">
        <v>0</v>
      </c>
    </row>
    <row r="2995" spans="2:11" ht="19" customHeight="1">
      <c r="B2995" s="464">
        <v>46092</v>
      </c>
      <c r="C2995" s="436" t="s">
        <v>266</v>
      </c>
      <c r="D2995" s="436" t="s">
        <v>1160</v>
      </c>
      <c r="E2995" s="436">
        <v>1</v>
      </c>
      <c r="F2995" s="465">
        <v>1</v>
      </c>
      <c r="G2995" s="466">
        <v>1</v>
      </c>
      <c r="H2995" s="466">
        <f>G2995/1.1</f>
        <v>0.90909090909090906</v>
      </c>
      <c r="I2995" s="436"/>
      <c r="J2995" s="465">
        <v>0</v>
      </c>
      <c r="K2995" s="465">
        <v>0</v>
      </c>
    </row>
    <row r="2996" spans="2:11" ht="19" customHeight="1">
      <c r="B2996" s="464">
        <v>46092</v>
      </c>
      <c r="C2996" s="436" t="s">
        <v>258</v>
      </c>
      <c r="D2996" s="436" t="s">
        <v>917</v>
      </c>
      <c r="E2996" s="436">
        <v>1</v>
      </c>
      <c r="F2996" s="469"/>
      <c r="G2996" s="468" t="s">
        <v>875</v>
      </c>
      <c r="H2996" s="466" t="e">
        <f>G2996/1.1</f>
        <v>#VALUE!</v>
      </c>
      <c r="I2996" s="436"/>
      <c r="J2996" s="465">
        <v>0</v>
      </c>
      <c r="K2996" s="465">
        <v>0</v>
      </c>
    </row>
    <row r="2997" spans="2:11" ht="19" customHeight="1">
      <c r="B2997" s="464">
        <v>46092</v>
      </c>
      <c r="C2997" s="436" t="s">
        <v>258</v>
      </c>
      <c r="D2997" s="436" t="s">
        <v>1058</v>
      </c>
      <c r="E2997" s="436">
        <v>1</v>
      </c>
      <c r="F2997" s="469"/>
      <c r="G2997" s="468" t="s">
        <v>875</v>
      </c>
      <c r="H2997" s="466" t="e">
        <f>G2997/1.1</f>
        <v>#VALUE!</v>
      </c>
      <c r="I2997" s="436"/>
      <c r="J2997" s="465">
        <v>0</v>
      </c>
      <c r="K2997" s="465">
        <v>0</v>
      </c>
    </row>
    <row r="2998" spans="2:11" ht="19" customHeight="1">
      <c r="B2998" s="464">
        <v>46092</v>
      </c>
      <c r="C2998" s="436" t="s">
        <v>254</v>
      </c>
      <c r="D2998" s="436" t="s">
        <v>254</v>
      </c>
      <c r="E2998" s="436">
        <v>2</v>
      </c>
      <c r="F2998" s="465">
        <v>14.9</v>
      </c>
      <c r="G2998" s="466">
        <v>29.8</v>
      </c>
      <c r="H2998" s="466">
        <f>G2998/1.1</f>
        <v>27.09090909090909</v>
      </c>
      <c r="I2998" s="436"/>
      <c r="J2998" s="465">
        <v>0</v>
      </c>
      <c r="K2998" s="465">
        <v>0</v>
      </c>
    </row>
    <row r="2999" spans="2:11" ht="19" customHeight="1">
      <c r="B2999" s="464">
        <v>46092</v>
      </c>
      <c r="C2999" s="436" t="s">
        <v>873</v>
      </c>
      <c r="D2999" s="436" t="s">
        <v>1158</v>
      </c>
      <c r="E2999" s="436">
        <v>2</v>
      </c>
      <c r="F2999" s="469"/>
      <c r="G2999" s="468" t="s">
        <v>875</v>
      </c>
      <c r="H2999" s="466" t="e">
        <f>G2999/1.1</f>
        <v>#VALUE!</v>
      </c>
      <c r="I2999" s="436"/>
      <c r="J2999" s="465">
        <v>0</v>
      </c>
      <c r="K2999" s="465">
        <v>0</v>
      </c>
    </row>
    <row r="3000" spans="2:11" ht="19" customHeight="1">
      <c r="B3000" s="464">
        <v>46092</v>
      </c>
      <c r="C3000" s="436" t="s">
        <v>877</v>
      </c>
      <c r="D3000" s="436" t="s">
        <v>1157</v>
      </c>
      <c r="E3000" s="436">
        <v>1</v>
      </c>
      <c r="F3000" s="469"/>
      <c r="G3000" s="468" t="s">
        <v>875</v>
      </c>
      <c r="H3000" s="466" t="e">
        <f>G3000/1.1</f>
        <v>#VALUE!</v>
      </c>
      <c r="I3000" s="436"/>
      <c r="J3000" s="465">
        <v>0</v>
      </c>
      <c r="K3000" s="465">
        <v>0</v>
      </c>
    </row>
    <row r="3001" spans="2:11" ht="19" customHeight="1">
      <c r="B3001" s="464">
        <v>46092</v>
      </c>
      <c r="C3001" s="436" t="s">
        <v>877</v>
      </c>
      <c r="D3001" s="436" t="s">
        <v>1159</v>
      </c>
      <c r="E3001" s="436">
        <v>1</v>
      </c>
      <c r="F3001" s="469"/>
      <c r="G3001" s="468" t="s">
        <v>875</v>
      </c>
      <c r="H3001" s="466" t="e">
        <f>G3001/1.1</f>
        <v>#VALUE!</v>
      </c>
      <c r="I3001" s="436"/>
      <c r="J3001" s="465">
        <v>0</v>
      </c>
      <c r="K3001" s="465">
        <v>0</v>
      </c>
    </row>
    <row r="3002" spans="2:11" ht="19" customHeight="1">
      <c r="B3002" s="464">
        <v>46092</v>
      </c>
      <c r="C3002" s="436" t="s">
        <v>266</v>
      </c>
      <c r="D3002" s="436" t="s">
        <v>991</v>
      </c>
      <c r="E3002" s="436">
        <v>2</v>
      </c>
      <c r="F3002" s="469"/>
      <c r="G3002" s="468" t="s">
        <v>875</v>
      </c>
      <c r="H3002" s="466" t="e">
        <f>G3002/1.1</f>
        <v>#VALUE!</v>
      </c>
      <c r="I3002" s="436"/>
      <c r="J3002" s="465">
        <v>0</v>
      </c>
      <c r="K3002" s="465">
        <v>0</v>
      </c>
    </row>
    <row r="3003" spans="2:11" ht="19" customHeight="1">
      <c r="B3003" s="464">
        <v>46092</v>
      </c>
      <c r="C3003" s="436" t="s">
        <v>258</v>
      </c>
      <c r="D3003" s="436" t="s">
        <v>917</v>
      </c>
      <c r="E3003" s="436">
        <v>1</v>
      </c>
      <c r="F3003" s="469"/>
      <c r="G3003" s="468" t="s">
        <v>875</v>
      </c>
      <c r="H3003" s="466" t="e">
        <f>G3003/1.1</f>
        <v>#VALUE!</v>
      </c>
      <c r="I3003" s="436"/>
      <c r="J3003" s="465">
        <v>0</v>
      </c>
      <c r="K3003" s="465">
        <v>0</v>
      </c>
    </row>
    <row r="3004" spans="2:11" ht="19" customHeight="1">
      <c r="B3004" s="464">
        <v>46092</v>
      </c>
      <c r="C3004" s="436" t="s">
        <v>258</v>
      </c>
      <c r="D3004" s="436" t="s">
        <v>248</v>
      </c>
      <c r="E3004" s="436">
        <v>1</v>
      </c>
      <c r="F3004" s="469"/>
      <c r="G3004" s="468" t="s">
        <v>875</v>
      </c>
      <c r="H3004" s="466" t="e">
        <f>G3004/1.1</f>
        <v>#VALUE!</v>
      </c>
      <c r="I3004" s="436"/>
      <c r="J3004" s="465">
        <v>0</v>
      </c>
      <c r="K3004" s="465">
        <v>0</v>
      </c>
    </row>
    <row r="3005" spans="2:11" ht="19" customHeight="1">
      <c r="B3005" s="464">
        <v>46092</v>
      </c>
      <c r="C3005" s="436" t="s">
        <v>254</v>
      </c>
      <c r="D3005" s="436" t="s">
        <v>254</v>
      </c>
      <c r="E3005" s="436">
        <v>2</v>
      </c>
      <c r="F3005" s="465">
        <v>14.9</v>
      </c>
      <c r="G3005" s="466">
        <v>29.8</v>
      </c>
      <c r="H3005" s="466">
        <f>G3005/1.1</f>
        <v>27.09090909090909</v>
      </c>
      <c r="I3005" s="436"/>
      <c r="J3005" s="465">
        <v>0</v>
      </c>
      <c r="K3005" s="465">
        <v>0</v>
      </c>
    </row>
    <row r="3006" spans="2:11" ht="19" customHeight="1">
      <c r="B3006" s="464">
        <v>46092</v>
      </c>
      <c r="C3006" s="436" t="s">
        <v>873</v>
      </c>
      <c r="D3006" s="436" t="s">
        <v>1161</v>
      </c>
      <c r="E3006" s="436">
        <v>1</v>
      </c>
      <c r="F3006" s="465">
        <v>3</v>
      </c>
      <c r="G3006" s="466">
        <v>3</v>
      </c>
      <c r="H3006" s="466">
        <f>G3006/1.1</f>
        <v>2.7272727272727271</v>
      </c>
      <c r="I3006" s="436"/>
      <c r="J3006" s="465">
        <v>0</v>
      </c>
      <c r="K3006" s="465">
        <v>0</v>
      </c>
    </row>
    <row r="3007" spans="2:11" ht="19" customHeight="1">
      <c r="B3007" s="464">
        <v>46092</v>
      </c>
      <c r="C3007" s="436" t="s">
        <v>873</v>
      </c>
      <c r="D3007" s="436" t="s">
        <v>1155</v>
      </c>
      <c r="E3007" s="436">
        <v>1</v>
      </c>
      <c r="F3007" s="469"/>
      <c r="G3007" s="468" t="s">
        <v>875</v>
      </c>
      <c r="H3007" s="466" t="e">
        <f>G3007/1.1</f>
        <v>#VALUE!</v>
      </c>
      <c r="I3007" s="436"/>
      <c r="J3007" s="465">
        <v>0</v>
      </c>
      <c r="K3007" s="465">
        <v>0</v>
      </c>
    </row>
    <row r="3008" spans="2:11" ht="19" customHeight="1">
      <c r="B3008" s="464">
        <v>46092</v>
      </c>
      <c r="C3008" s="436" t="s">
        <v>251</v>
      </c>
      <c r="D3008" s="436" t="s">
        <v>945</v>
      </c>
      <c r="E3008" s="436">
        <v>1</v>
      </c>
      <c r="F3008" s="465">
        <v>2.8</v>
      </c>
      <c r="G3008" s="466">
        <v>2.8</v>
      </c>
      <c r="H3008" s="466">
        <f>G3008/1.1</f>
        <v>2.545454545454545</v>
      </c>
      <c r="I3008" s="436"/>
      <c r="J3008" s="465">
        <v>0</v>
      </c>
      <c r="K3008" s="465">
        <v>0</v>
      </c>
    </row>
    <row r="3009" spans="2:11" ht="19" customHeight="1">
      <c r="B3009" s="464">
        <v>46092</v>
      </c>
      <c r="C3009" s="436" t="s">
        <v>266</v>
      </c>
      <c r="D3009" s="436" t="s">
        <v>265</v>
      </c>
      <c r="E3009" s="436">
        <v>1</v>
      </c>
      <c r="F3009" s="465">
        <v>1</v>
      </c>
      <c r="G3009" s="466">
        <v>1</v>
      </c>
      <c r="H3009" s="466">
        <f>G3009/1.1</f>
        <v>0.90909090909090906</v>
      </c>
      <c r="I3009" s="436"/>
      <c r="J3009" s="465">
        <v>0</v>
      </c>
      <c r="K3009" s="465">
        <v>0</v>
      </c>
    </row>
    <row r="3010" spans="2:11" ht="19" customHeight="1">
      <c r="B3010" s="464">
        <v>46092</v>
      </c>
      <c r="C3010" s="436" t="s">
        <v>266</v>
      </c>
      <c r="D3010" s="436" t="s">
        <v>976</v>
      </c>
      <c r="E3010" s="436">
        <v>1</v>
      </c>
      <c r="F3010" s="465">
        <v>1</v>
      </c>
      <c r="G3010" s="466">
        <v>1</v>
      </c>
      <c r="H3010" s="466">
        <f>G3010/1.1</f>
        <v>0.90909090909090906</v>
      </c>
      <c r="I3010" s="436"/>
      <c r="J3010" s="465">
        <v>0</v>
      </c>
      <c r="K3010" s="465">
        <v>0</v>
      </c>
    </row>
    <row r="3011" spans="2:11" ht="19" customHeight="1">
      <c r="B3011" s="464">
        <v>46092</v>
      </c>
      <c r="C3011" s="436" t="s">
        <v>258</v>
      </c>
      <c r="D3011" s="436" t="s">
        <v>917</v>
      </c>
      <c r="E3011" s="436">
        <v>2</v>
      </c>
      <c r="F3011" s="469"/>
      <c r="G3011" s="468" t="s">
        <v>875</v>
      </c>
      <c r="H3011" s="466" t="e">
        <f>G3011/1.1</f>
        <v>#VALUE!</v>
      </c>
      <c r="I3011" s="436"/>
      <c r="J3011" s="465">
        <v>0</v>
      </c>
      <c r="K3011" s="465">
        <v>0</v>
      </c>
    </row>
    <row r="3012" spans="2:11" ht="19" customHeight="1">
      <c r="B3012" s="464">
        <v>46092</v>
      </c>
      <c r="C3012" s="436" t="s">
        <v>256</v>
      </c>
      <c r="D3012" s="436" t="s">
        <v>679</v>
      </c>
      <c r="E3012" s="436">
        <v>1</v>
      </c>
      <c r="F3012" s="465">
        <v>10.25</v>
      </c>
      <c r="G3012" s="466">
        <v>10.25</v>
      </c>
      <c r="H3012" s="466">
        <f>G3012/1.1</f>
        <v>9.3181818181818166</v>
      </c>
      <c r="I3012" s="436"/>
      <c r="J3012" s="465">
        <v>0</v>
      </c>
      <c r="K3012" s="465">
        <v>0</v>
      </c>
    </row>
    <row r="3013" spans="2:11" ht="19" customHeight="1">
      <c r="B3013" s="464">
        <v>46092</v>
      </c>
      <c r="C3013" s="436" t="s">
        <v>877</v>
      </c>
      <c r="D3013" s="436" t="s">
        <v>1156</v>
      </c>
      <c r="E3013" s="436">
        <v>1</v>
      </c>
      <c r="F3013" s="465">
        <v>3</v>
      </c>
      <c r="G3013" s="466">
        <v>3</v>
      </c>
      <c r="H3013" s="466">
        <f>G3013/1.1</f>
        <v>2.7272727272727271</v>
      </c>
      <c r="I3013" s="436"/>
      <c r="J3013" s="465">
        <v>0</v>
      </c>
      <c r="K3013" s="465">
        <v>0</v>
      </c>
    </row>
    <row r="3014" spans="2:11" ht="19" customHeight="1">
      <c r="B3014" s="464">
        <v>46092</v>
      </c>
      <c r="C3014" s="436" t="s">
        <v>877</v>
      </c>
      <c r="D3014" s="436" t="s">
        <v>1159</v>
      </c>
      <c r="E3014" s="436">
        <v>1</v>
      </c>
      <c r="F3014" s="469"/>
      <c r="G3014" s="468" t="s">
        <v>875</v>
      </c>
      <c r="H3014" s="466" t="e">
        <f>G3014/1.1</f>
        <v>#VALUE!</v>
      </c>
      <c r="I3014" s="436"/>
      <c r="J3014" s="465">
        <v>0</v>
      </c>
      <c r="K3014" s="465">
        <v>0</v>
      </c>
    </row>
    <row r="3015" spans="2:11" ht="19" customHeight="1">
      <c r="B3015" s="464">
        <v>46092</v>
      </c>
      <c r="C3015" s="436" t="s">
        <v>254</v>
      </c>
      <c r="D3015" s="436" t="s">
        <v>254</v>
      </c>
      <c r="E3015" s="436">
        <v>1</v>
      </c>
      <c r="F3015" s="465">
        <v>14.9</v>
      </c>
      <c r="G3015" s="466">
        <v>14.9</v>
      </c>
      <c r="H3015" s="466">
        <f>G3015/1.1</f>
        <v>13.545454545454545</v>
      </c>
      <c r="I3015" s="436"/>
      <c r="J3015" s="465">
        <v>0</v>
      </c>
      <c r="K3015" s="465">
        <v>0</v>
      </c>
    </row>
    <row r="3016" spans="2:11" ht="19" customHeight="1">
      <c r="B3016" s="464">
        <v>46092</v>
      </c>
      <c r="C3016" s="436" t="s">
        <v>873</v>
      </c>
      <c r="D3016" s="436" t="s">
        <v>1161</v>
      </c>
      <c r="E3016" s="436">
        <v>1</v>
      </c>
      <c r="F3016" s="465">
        <v>3</v>
      </c>
      <c r="G3016" s="466">
        <v>3</v>
      </c>
      <c r="H3016" s="466">
        <f>G3016/1.1</f>
        <v>2.7272727272727271</v>
      </c>
      <c r="I3016" s="436"/>
      <c r="J3016" s="465">
        <v>0</v>
      </c>
      <c r="K3016" s="465">
        <v>0</v>
      </c>
    </row>
    <row r="3017" spans="2:11" ht="19" customHeight="1">
      <c r="B3017" s="464">
        <v>46092</v>
      </c>
      <c r="C3017" s="436" t="s">
        <v>877</v>
      </c>
      <c r="D3017" s="436" t="s">
        <v>1159</v>
      </c>
      <c r="E3017" s="436">
        <v>1</v>
      </c>
      <c r="F3017" s="469"/>
      <c r="G3017" s="468" t="s">
        <v>875</v>
      </c>
      <c r="H3017" s="466" t="e">
        <f>G3017/1.1</f>
        <v>#VALUE!</v>
      </c>
      <c r="I3017" s="436"/>
      <c r="J3017" s="465">
        <v>0</v>
      </c>
      <c r="K3017" s="465">
        <v>0</v>
      </c>
    </row>
    <row r="3018" spans="2:11" ht="19" customHeight="1">
      <c r="B3018" s="464">
        <v>46092</v>
      </c>
      <c r="C3018" s="436" t="s">
        <v>266</v>
      </c>
      <c r="D3018" s="436" t="s">
        <v>890</v>
      </c>
      <c r="E3018" s="436">
        <v>1</v>
      </c>
      <c r="F3018" s="469"/>
      <c r="G3018" s="468" t="s">
        <v>875</v>
      </c>
      <c r="H3018" s="466" t="e">
        <f>G3018/1.1</f>
        <v>#VALUE!</v>
      </c>
      <c r="I3018" s="436"/>
      <c r="J3018" s="465">
        <v>0</v>
      </c>
      <c r="K3018" s="465">
        <v>0</v>
      </c>
    </row>
    <row r="3019" spans="2:11" ht="19" customHeight="1">
      <c r="B3019" s="464">
        <v>46092</v>
      </c>
      <c r="C3019" s="436" t="s">
        <v>258</v>
      </c>
      <c r="D3019" s="436" t="s">
        <v>1058</v>
      </c>
      <c r="E3019" s="436">
        <v>1</v>
      </c>
      <c r="F3019" s="469"/>
      <c r="G3019" s="468" t="s">
        <v>875</v>
      </c>
      <c r="H3019" s="466" t="e">
        <f>G3019/1.1</f>
        <v>#VALUE!</v>
      </c>
      <c r="I3019" s="436"/>
      <c r="J3019" s="465">
        <v>0</v>
      </c>
      <c r="K3019" s="465">
        <v>0</v>
      </c>
    </row>
    <row r="3020" spans="2:11" ht="19" customHeight="1">
      <c r="B3020" s="464">
        <v>46092</v>
      </c>
      <c r="C3020" s="436" t="s">
        <v>247</v>
      </c>
      <c r="D3020" s="436" t="s">
        <v>257</v>
      </c>
      <c r="E3020" s="436">
        <v>1</v>
      </c>
      <c r="F3020" s="465">
        <v>1.55</v>
      </c>
      <c r="G3020" s="466">
        <v>1.55</v>
      </c>
      <c r="H3020" s="466">
        <f>G3020/1.1</f>
        <v>1.4090909090909089</v>
      </c>
      <c r="I3020" s="436"/>
      <c r="J3020" s="465">
        <v>0</v>
      </c>
      <c r="K3020" s="465">
        <v>0</v>
      </c>
    </row>
    <row r="3021" spans="2:11" ht="19" customHeight="1">
      <c r="B3021" s="464">
        <v>46092</v>
      </c>
      <c r="C3021" s="436" t="s">
        <v>253</v>
      </c>
      <c r="D3021" s="436" t="s">
        <v>676</v>
      </c>
      <c r="E3021" s="436">
        <v>2</v>
      </c>
      <c r="F3021" s="465">
        <v>2.95</v>
      </c>
      <c r="G3021" s="466">
        <v>5.9</v>
      </c>
      <c r="H3021" s="466">
        <f>G3021/1.1</f>
        <v>5.3636363636363633</v>
      </c>
      <c r="I3021" s="436"/>
      <c r="J3021" s="465">
        <v>0</v>
      </c>
      <c r="K3021" s="465">
        <v>0</v>
      </c>
    </row>
    <row r="3022" spans="2:11" ht="19" customHeight="1">
      <c r="B3022" s="464">
        <v>46092</v>
      </c>
      <c r="C3022" s="436" t="s">
        <v>277</v>
      </c>
      <c r="D3022" s="436" t="s">
        <v>954</v>
      </c>
      <c r="E3022" s="436">
        <v>1</v>
      </c>
      <c r="F3022" s="465">
        <v>12.9</v>
      </c>
      <c r="G3022" s="466">
        <v>12.9</v>
      </c>
      <c r="H3022" s="466">
        <f>G3022/1.1</f>
        <v>11.727272727272727</v>
      </c>
      <c r="I3022" s="436"/>
      <c r="J3022" s="465">
        <v>0</v>
      </c>
      <c r="K3022" s="465">
        <v>0</v>
      </c>
    </row>
    <row r="3023" spans="2:11" ht="19" customHeight="1">
      <c r="B3023" s="464">
        <v>46092</v>
      </c>
      <c r="C3023" s="436" t="s">
        <v>253</v>
      </c>
      <c r="D3023" s="436" t="s">
        <v>869</v>
      </c>
      <c r="E3023" s="436">
        <v>1</v>
      </c>
      <c r="F3023" s="465">
        <v>2.5</v>
      </c>
      <c r="G3023" s="466">
        <v>2.5</v>
      </c>
      <c r="H3023" s="466">
        <f>G3023/1.1</f>
        <v>2.2727272727272725</v>
      </c>
      <c r="I3023" s="436"/>
      <c r="J3023" s="465">
        <v>0</v>
      </c>
      <c r="K3023" s="465">
        <v>0</v>
      </c>
    </row>
    <row r="3024" spans="2:11" ht="19" customHeight="1">
      <c r="B3024" s="464">
        <v>46092</v>
      </c>
      <c r="C3024" s="436" t="s">
        <v>251</v>
      </c>
      <c r="D3024" s="436" t="s">
        <v>926</v>
      </c>
      <c r="E3024" s="436">
        <v>1</v>
      </c>
      <c r="F3024" s="465">
        <v>2.65</v>
      </c>
      <c r="G3024" s="466">
        <v>2.65</v>
      </c>
      <c r="H3024" s="466">
        <f>G3024/1.1</f>
        <v>2.4090909090909087</v>
      </c>
      <c r="I3024" s="436"/>
      <c r="J3024" s="465">
        <v>0</v>
      </c>
      <c r="K3024" s="465">
        <v>0</v>
      </c>
    </row>
    <row r="3025" spans="2:11" ht="19" customHeight="1">
      <c r="B3025" s="464">
        <v>46092</v>
      </c>
      <c r="C3025" s="436" t="s">
        <v>256</v>
      </c>
      <c r="D3025" s="436" t="s">
        <v>912</v>
      </c>
      <c r="E3025" s="436">
        <v>1</v>
      </c>
      <c r="F3025" s="465">
        <v>5.5</v>
      </c>
      <c r="G3025" s="466">
        <v>5.5</v>
      </c>
      <c r="H3025" s="466">
        <f>G3025/1.1</f>
        <v>5</v>
      </c>
      <c r="I3025" s="436"/>
      <c r="J3025" s="465">
        <v>0</v>
      </c>
      <c r="K3025" s="465">
        <v>0</v>
      </c>
    </row>
    <row r="3026" spans="2:11" ht="19" customHeight="1">
      <c r="B3026" s="464">
        <v>46092</v>
      </c>
      <c r="C3026" s="436" t="s">
        <v>256</v>
      </c>
      <c r="D3026" s="436" t="s">
        <v>1042</v>
      </c>
      <c r="E3026" s="436">
        <v>1</v>
      </c>
      <c r="F3026" s="465">
        <v>13.95</v>
      </c>
      <c r="G3026" s="466">
        <v>13.95</v>
      </c>
      <c r="H3026" s="466">
        <f>G3026/1.1</f>
        <v>12.68181818181818</v>
      </c>
      <c r="I3026" s="436"/>
      <c r="J3026" s="465">
        <v>0</v>
      </c>
      <c r="K3026" s="465">
        <v>0</v>
      </c>
    </row>
    <row r="3027" spans="2:11" ht="19" customHeight="1">
      <c r="B3027" s="464">
        <v>46092</v>
      </c>
      <c r="C3027" s="436" t="s">
        <v>264</v>
      </c>
      <c r="D3027" s="436" t="s">
        <v>1162</v>
      </c>
      <c r="E3027" s="436">
        <v>1</v>
      </c>
      <c r="F3027" s="465">
        <v>4.6500000000000004</v>
      </c>
      <c r="G3027" s="466">
        <v>4.6500000000000004</v>
      </c>
      <c r="H3027" s="466">
        <f>G3027/1.1</f>
        <v>4.2272727272727275</v>
      </c>
      <c r="I3027" s="436"/>
      <c r="J3027" s="465">
        <v>0</v>
      </c>
      <c r="K3027" s="465">
        <v>0</v>
      </c>
    </row>
    <row r="3028" spans="2:11" ht="19" customHeight="1">
      <c r="B3028" s="464">
        <v>46092</v>
      </c>
      <c r="C3028" s="436" t="s">
        <v>247</v>
      </c>
      <c r="D3028" s="436" t="s">
        <v>902</v>
      </c>
      <c r="E3028" s="436">
        <v>1</v>
      </c>
      <c r="F3028" s="465">
        <v>2</v>
      </c>
      <c r="G3028" s="466">
        <v>2</v>
      </c>
      <c r="H3028" s="466">
        <f>G3028/1.1</f>
        <v>1.8181818181818181</v>
      </c>
      <c r="I3028" s="436"/>
      <c r="J3028" s="465">
        <v>0</v>
      </c>
      <c r="K3028" s="465">
        <v>0</v>
      </c>
    </row>
    <row r="3029" spans="2:11" ht="19" customHeight="1">
      <c r="B3029" s="464">
        <v>46092</v>
      </c>
      <c r="C3029" s="436" t="s">
        <v>253</v>
      </c>
      <c r="D3029" s="436" t="s">
        <v>965</v>
      </c>
      <c r="E3029" s="436">
        <v>1</v>
      </c>
      <c r="F3029" s="465">
        <v>2.65</v>
      </c>
      <c r="G3029" s="466">
        <v>2.65</v>
      </c>
      <c r="H3029" s="466">
        <f>G3029/1.1</f>
        <v>2.4090909090909087</v>
      </c>
      <c r="I3029" s="436"/>
      <c r="J3029" s="465">
        <v>0</v>
      </c>
      <c r="K3029" s="465">
        <v>0</v>
      </c>
    </row>
    <row r="3030" spans="2:11" ht="19" customHeight="1">
      <c r="B3030" s="464">
        <v>46092</v>
      </c>
      <c r="C3030" s="436" t="s">
        <v>275</v>
      </c>
      <c r="D3030" s="436" t="s">
        <v>1084</v>
      </c>
      <c r="E3030" s="436">
        <v>1</v>
      </c>
      <c r="F3030" s="465">
        <v>6.5</v>
      </c>
      <c r="G3030" s="466">
        <v>6.5</v>
      </c>
      <c r="H3030" s="466">
        <f>G3030/1.1</f>
        <v>5.9090909090909083</v>
      </c>
      <c r="I3030" s="436"/>
      <c r="J3030" s="465">
        <v>0</v>
      </c>
      <c r="K3030" s="465">
        <v>0</v>
      </c>
    </row>
    <row r="3031" spans="2:11" ht="19" customHeight="1">
      <c r="B3031" s="464">
        <v>46092</v>
      </c>
      <c r="C3031" s="436" t="s">
        <v>253</v>
      </c>
      <c r="D3031" s="436" t="s">
        <v>676</v>
      </c>
      <c r="E3031" s="436">
        <v>2</v>
      </c>
      <c r="F3031" s="465">
        <v>2.95</v>
      </c>
      <c r="G3031" s="466">
        <v>5.9</v>
      </c>
      <c r="H3031" s="466">
        <f>G3031/1.1</f>
        <v>5.3636363636363633</v>
      </c>
      <c r="I3031" s="436"/>
      <c r="J3031" s="465">
        <v>0</v>
      </c>
      <c r="K3031" s="465">
        <v>0</v>
      </c>
    </row>
    <row r="3032" spans="2:11" ht="19" customHeight="1">
      <c r="B3032" s="464">
        <v>46092</v>
      </c>
      <c r="C3032" s="436" t="s">
        <v>326</v>
      </c>
      <c r="D3032" s="436" t="s">
        <v>683</v>
      </c>
      <c r="E3032" s="436">
        <v>1</v>
      </c>
      <c r="F3032" s="465">
        <v>12</v>
      </c>
      <c r="G3032" s="466">
        <v>12</v>
      </c>
      <c r="H3032" s="466">
        <f>G3032/1.1</f>
        <v>10.909090909090908</v>
      </c>
      <c r="I3032" s="436"/>
      <c r="J3032" s="465">
        <v>0</v>
      </c>
      <c r="K3032" s="465">
        <v>0</v>
      </c>
    </row>
    <row r="3033" spans="2:11" ht="19" customHeight="1">
      <c r="B3033" s="464">
        <v>46092</v>
      </c>
      <c r="C3033" s="436" t="s">
        <v>275</v>
      </c>
      <c r="D3033" s="436" t="s">
        <v>1077</v>
      </c>
      <c r="E3033" s="436">
        <v>1</v>
      </c>
      <c r="F3033" s="465">
        <v>6.5</v>
      </c>
      <c r="G3033" s="466">
        <v>6.5</v>
      </c>
      <c r="H3033" s="466">
        <f>G3033/1.1</f>
        <v>5.9090909090909083</v>
      </c>
      <c r="I3033" s="436"/>
      <c r="J3033" s="465">
        <v>0</v>
      </c>
      <c r="K3033" s="465">
        <v>0</v>
      </c>
    </row>
    <row r="3034" spans="2:11" ht="19" customHeight="1">
      <c r="B3034" s="464">
        <v>46092</v>
      </c>
      <c r="C3034" s="436" t="s">
        <v>276</v>
      </c>
      <c r="D3034" s="436" t="s">
        <v>909</v>
      </c>
      <c r="E3034" s="436">
        <v>1</v>
      </c>
      <c r="F3034" s="465">
        <v>4.8499999999999996</v>
      </c>
      <c r="G3034" s="466">
        <v>4.8499999999999996</v>
      </c>
      <c r="H3034" s="466">
        <f>G3034/1.1</f>
        <v>4.4090909090909083</v>
      </c>
      <c r="I3034" s="436"/>
      <c r="J3034" s="465">
        <v>0</v>
      </c>
      <c r="K3034" s="465">
        <v>0</v>
      </c>
    </row>
    <row r="3035" spans="2:11" ht="19" customHeight="1">
      <c r="B3035" s="464">
        <v>46092</v>
      </c>
      <c r="C3035" s="436" t="s">
        <v>256</v>
      </c>
      <c r="D3035" s="436" t="s">
        <v>1114</v>
      </c>
      <c r="E3035" s="436">
        <v>1</v>
      </c>
      <c r="F3035" s="465">
        <v>-0.2</v>
      </c>
      <c r="G3035" s="466">
        <v>-0.2</v>
      </c>
      <c r="H3035" s="466">
        <f>G3035/1.1</f>
        <v>-0.18181818181818182</v>
      </c>
      <c r="I3035" s="436"/>
      <c r="J3035" s="465">
        <v>0</v>
      </c>
      <c r="K3035" s="465">
        <v>0</v>
      </c>
    </row>
    <row r="3036" spans="2:11" ht="19" customHeight="1">
      <c r="B3036" s="464">
        <v>46092</v>
      </c>
      <c r="C3036" s="436" t="s">
        <v>256</v>
      </c>
      <c r="D3036" s="436" t="s">
        <v>931</v>
      </c>
      <c r="E3036" s="436">
        <v>2</v>
      </c>
      <c r="F3036" s="465">
        <v>1.7</v>
      </c>
      <c r="G3036" s="466">
        <v>3.4</v>
      </c>
      <c r="H3036" s="466">
        <f>G3036/1.1</f>
        <v>3.0909090909090904</v>
      </c>
      <c r="I3036" s="436"/>
      <c r="J3036" s="465">
        <v>0</v>
      </c>
      <c r="K3036" s="465">
        <v>0</v>
      </c>
    </row>
    <row r="3037" spans="2:11" ht="19" customHeight="1">
      <c r="B3037" s="464">
        <v>46092</v>
      </c>
      <c r="C3037" s="436" t="s">
        <v>256</v>
      </c>
      <c r="D3037" s="436" t="s">
        <v>870</v>
      </c>
      <c r="E3037" s="436">
        <v>2</v>
      </c>
      <c r="F3037" s="465">
        <v>1.7</v>
      </c>
      <c r="G3037" s="466">
        <v>3.4</v>
      </c>
      <c r="H3037" s="466">
        <f>G3037/1.1</f>
        <v>3.0909090909090904</v>
      </c>
      <c r="I3037" s="436"/>
      <c r="J3037" s="465">
        <v>0</v>
      </c>
      <c r="K3037" s="465">
        <v>0</v>
      </c>
    </row>
    <row r="3038" spans="2:11" ht="19" customHeight="1">
      <c r="B3038" s="464">
        <v>46092</v>
      </c>
      <c r="C3038" s="436" t="s">
        <v>256</v>
      </c>
      <c r="D3038" s="436" t="s">
        <v>932</v>
      </c>
      <c r="E3038" s="436">
        <v>2</v>
      </c>
      <c r="F3038" s="465">
        <v>1.7</v>
      </c>
      <c r="G3038" s="466">
        <v>3.4</v>
      </c>
      <c r="H3038" s="466">
        <f>G3038/1.1</f>
        <v>3.0909090909090904</v>
      </c>
      <c r="I3038" s="436"/>
      <c r="J3038" s="465">
        <v>0</v>
      </c>
      <c r="K3038" s="465">
        <v>0</v>
      </c>
    </row>
    <row r="3039" spans="2:11" ht="19" customHeight="1">
      <c r="B3039" s="464">
        <v>46092</v>
      </c>
      <c r="C3039" s="436" t="s">
        <v>247</v>
      </c>
      <c r="D3039" s="436" t="s">
        <v>248</v>
      </c>
      <c r="E3039" s="436">
        <v>2</v>
      </c>
      <c r="F3039" s="465">
        <v>1.8</v>
      </c>
      <c r="G3039" s="466">
        <v>3.6</v>
      </c>
      <c r="H3039" s="466">
        <f>G3039/1.1</f>
        <v>3.2727272727272725</v>
      </c>
      <c r="I3039" s="436"/>
      <c r="J3039" s="465">
        <v>0</v>
      </c>
      <c r="K3039" s="465">
        <v>0</v>
      </c>
    </row>
    <row r="3040" spans="2:11" ht="19" customHeight="1">
      <c r="B3040" s="464">
        <v>46092</v>
      </c>
      <c r="C3040" s="436" t="s">
        <v>251</v>
      </c>
      <c r="D3040" s="436" t="s">
        <v>926</v>
      </c>
      <c r="E3040" s="436">
        <v>1</v>
      </c>
      <c r="F3040" s="465">
        <v>2.8</v>
      </c>
      <c r="G3040" s="466">
        <v>2.8</v>
      </c>
      <c r="H3040" s="466">
        <f>G3040/1.1</f>
        <v>2.545454545454545</v>
      </c>
      <c r="I3040" s="436"/>
      <c r="J3040" s="465">
        <v>0</v>
      </c>
      <c r="K3040" s="465">
        <v>0</v>
      </c>
    </row>
    <row r="3041" spans="2:11" ht="19" customHeight="1">
      <c r="B3041" s="464">
        <v>46092</v>
      </c>
      <c r="C3041" s="436" t="s">
        <v>251</v>
      </c>
      <c r="D3041" s="436" t="s">
        <v>708</v>
      </c>
      <c r="E3041" s="436">
        <v>1</v>
      </c>
      <c r="F3041" s="465">
        <v>2.2000000000000002</v>
      </c>
      <c r="G3041" s="466">
        <v>2.2000000000000002</v>
      </c>
      <c r="H3041" s="466">
        <f>G3041/1.1</f>
        <v>2</v>
      </c>
      <c r="I3041" s="436"/>
      <c r="J3041" s="465">
        <v>0</v>
      </c>
      <c r="K3041" s="465">
        <v>0</v>
      </c>
    </row>
    <row r="3042" spans="2:11" ht="19" customHeight="1">
      <c r="B3042" s="464">
        <v>46092</v>
      </c>
      <c r="C3042" s="436" t="s">
        <v>253</v>
      </c>
      <c r="D3042" s="436" t="s">
        <v>965</v>
      </c>
      <c r="E3042" s="436">
        <v>1</v>
      </c>
      <c r="F3042" s="465">
        <v>2.65</v>
      </c>
      <c r="G3042" s="466">
        <v>2.65</v>
      </c>
      <c r="H3042" s="466">
        <f>G3042/1.1</f>
        <v>2.4090909090909087</v>
      </c>
      <c r="I3042" s="436"/>
      <c r="J3042" s="465">
        <v>0</v>
      </c>
      <c r="K3042" s="465">
        <v>0</v>
      </c>
    </row>
    <row r="3043" spans="2:11" ht="19" customHeight="1">
      <c r="B3043" s="464">
        <v>46092</v>
      </c>
      <c r="C3043" s="436" t="s">
        <v>253</v>
      </c>
      <c r="D3043" s="436" t="s">
        <v>869</v>
      </c>
      <c r="E3043" s="436">
        <v>1</v>
      </c>
      <c r="F3043" s="465">
        <v>2.65</v>
      </c>
      <c r="G3043" s="466">
        <v>2.65</v>
      </c>
      <c r="H3043" s="466">
        <f>G3043/1.1</f>
        <v>2.4090909090909087</v>
      </c>
      <c r="I3043" s="436"/>
      <c r="J3043" s="465">
        <v>0</v>
      </c>
      <c r="K3043" s="465">
        <v>0</v>
      </c>
    </row>
    <row r="3044" spans="2:11" ht="19" customHeight="1">
      <c r="B3044" s="464">
        <v>46092</v>
      </c>
      <c r="C3044" s="436" t="s">
        <v>256</v>
      </c>
      <c r="D3044" s="436" t="s">
        <v>255</v>
      </c>
      <c r="E3044" s="436">
        <v>1</v>
      </c>
      <c r="F3044" s="465">
        <v>5.85</v>
      </c>
      <c r="G3044" s="466">
        <v>5.85</v>
      </c>
      <c r="H3044" s="466">
        <f>G3044/1.1</f>
        <v>5.3181818181818175</v>
      </c>
      <c r="I3044" s="436"/>
      <c r="J3044" s="465">
        <v>0</v>
      </c>
      <c r="K3044" s="465">
        <v>0</v>
      </c>
    </row>
    <row r="3045" spans="2:11" ht="19" customHeight="1">
      <c r="B3045" s="464">
        <v>46092</v>
      </c>
      <c r="C3045" s="436" t="s">
        <v>264</v>
      </c>
      <c r="D3045" s="436" t="s">
        <v>703</v>
      </c>
      <c r="E3045" s="436">
        <v>1</v>
      </c>
      <c r="F3045" s="465">
        <v>2.25</v>
      </c>
      <c r="G3045" s="466">
        <v>2.25</v>
      </c>
      <c r="H3045" s="466">
        <f>G3045/1.1</f>
        <v>2.0454545454545454</v>
      </c>
      <c r="I3045" s="436"/>
      <c r="J3045" s="465">
        <v>0</v>
      </c>
      <c r="K3045" s="465">
        <v>0</v>
      </c>
    </row>
    <row r="3046" spans="2:11" ht="19" customHeight="1">
      <c r="B3046" s="464">
        <v>46092</v>
      </c>
      <c r="C3046" s="436" t="s">
        <v>256</v>
      </c>
      <c r="D3046" s="436" t="s">
        <v>675</v>
      </c>
      <c r="E3046" s="436">
        <v>1</v>
      </c>
      <c r="F3046" s="465">
        <v>5.75</v>
      </c>
      <c r="G3046" s="466">
        <v>5.75</v>
      </c>
      <c r="H3046" s="466">
        <f>G3046/1.1</f>
        <v>5.2272727272727266</v>
      </c>
      <c r="I3046" s="436"/>
      <c r="J3046" s="465">
        <v>0</v>
      </c>
      <c r="K3046" s="465">
        <v>0</v>
      </c>
    </row>
    <row r="3047" spans="2:11" ht="19" customHeight="1">
      <c r="B3047" s="464">
        <v>46092</v>
      </c>
      <c r="C3047" s="436" t="s">
        <v>247</v>
      </c>
      <c r="D3047" s="436" t="s">
        <v>257</v>
      </c>
      <c r="E3047" s="436">
        <v>2</v>
      </c>
      <c r="F3047" s="465">
        <v>1.55</v>
      </c>
      <c r="G3047" s="466">
        <v>3.1</v>
      </c>
      <c r="H3047" s="466">
        <f>G3047/1.1</f>
        <v>2.8181818181818179</v>
      </c>
      <c r="I3047" s="436"/>
      <c r="J3047" s="465">
        <v>0</v>
      </c>
      <c r="K3047" s="465">
        <v>0</v>
      </c>
    </row>
    <row r="3048" spans="2:11" ht="19" customHeight="1">
      <c r="B3048" s="464">
        <v>46092</v>
      </c>
      <c r="C3048" s="436" t="s">
        <v>247</v>
      </c>
      <c r="D3048" s="436" t="s">
        <v>248</v>
      </c>
      <c r="E3048" s="436">
        <v>3</v>
      </c>
      <c r="F3048" s="465">
        <v>1.65</v>
      </c>
      <c r="G3048" s="466">
        <v>4.95</v>
      </c>
      <c r="H3048" s="466">
        <f>G3048/1.1</f>
        <v>4.5</v>
      </c>
      <c r="I3048" s="436"/>
      <c r="J3048" s="465">
        <v>0</v>
      </c>
      <c r="K3048" s="465">
        <v>0</v>
      </c>
    </row>
    <row r="3049" spans="2:11" ht="19" customHeight="1">
      <c r="B3049" s="464">
        <v>46092</v>
      </c>
      <c r="C3049" s="436" t="s">
        <v>247</v>
      </c>
      <c r="D3049" s="436" t="s">
        <v>246</v>
      </c>
      <c r="E3049" s="436">
        <v>1</v>
      </c>
      <c r="F3049" s="465">
        <v>1.7</v>
      </c>
      <c r="G3049" s="466">
        <v>1.7</v>
      </c>
      <c r="H3049" s="466">
        <f>G3049/1.1</f>
        <v>1.5454545454545452</v>
      </c>
      <c r="I3049" s="436"/>
      <c r="J3049" s="465">
        <v>0</v>
      </c>
      <c r="K3049" s="465">
        <v>0</v>
      </c>
    </row>
    <row r="3050" spans="2:11" ht="19" customHeight="1">
      <c r="B3050" s="464">
        <v>46092</v>
      </c>
      <c r="C3050" s="436" t="s">
        <v>247</v>
      </c>
      <c r="D3050" s="436" t="s">
        <v>257</v>
      </c>
      <c r="E3050" s="436">
        <v>1</v>
      </c>
      <c r="F3050" s="465">
        <v>1.4</v>
      </c>
      <c r="G3050" s="466">
        <v>1.4</v>
      </c>
      <c r="H3050" s="466">
        <f>G3050/1.1</f>
        <v>1.2727272727272725</v>
      </c>
      <c r="I3050" s="436"/>
      <c r="J3050" s="465">
        <v>0</v>
      </c>
      <c r="K3050" s="465">
        <v>0</v>
      </c>
    </row>
    <row r="3051" spans="2:11" ht="19" customHeight="1">
      <c r="B3051" s="464">
        <v>46092</v>
      </c>
      <c r="C3051" s="436" t="s">
        <v>247</v>
      </c>
      <c r="D3051" s="436" t="s">
        <v>246</v>
      </c>
      <c r="E3051" s="436">
        <v>1</v>
      </c>
      <c r="F3051" s="465">
        <v>1.7</v>
      </c>
      <c r="G3051" s="466">
        <v>1.7</v>
      </c>
      <c r="H3051" s="466">
        <f>G3051/1.1</f>
        <v>1.5454545454545452</v>
      </c>
      <c r="I3051" s="436"/>
      <c r="J3051" s="465">
        <v>0</v>
      </c>
      <c r="K3051" s="465">
        <v>0</v>
      </c>
    </row>
    <row r="3052" spans="2:11" ht="19" customHeight="1">
      <c r="B3052" s="464">
        <v>46092</v>
      </c>
      <c r="C3052" s="436" t="s">
        <v>247</v>
      </c>
      <c r="D3052" s="436" t="s">
        <v>248</v>
      </c>
      <c r="E3052" s="436">
        <v>1</v>
      </c>
      <c r="F3052" s="465">
        <v>1.5</v>
      </c>
      <c r="G3052" s="466">
        <v>1.5</v>
      </c>
      <c r="H3052" s="466">
        <f>G3052/1.1</f>
        <v>1.3636363636363635</v>
      </c>
      <c r="I3052" s="436"/>
      <c r="J3052" s="465">
        <v>0</v>
      </c>
      <c r="K3052" s="465">
        <v>0</v>
      </c>
    </row>
    <row r="3053" spans="2:11" ht="19" customHeight="1">
      <c r="B3053" s="464">
        <v>46092</v>
      </c>
      <c r="C3053" s="436" t="s">
        <v>247</v>
      </c>
      <c r="D3053" s="436" t="s">
        <v>246</v>
      </c>
      <c r="E3053" s="436">
        <v>1</v>
      </c>
      <c r="F3053" s="465">
        <v>1.7</v>
      </c>
      <c r="G3053" s="466">
        <v>1.7</v>
      </c>
      <c r="H3053" s="466">
        <f>G3053/1.1</f>
        <v>1.5454545454545452</v>
      </c>
      <c r="I3053" s="436"/>
      <c r="J3053" s="465">
        <v>0</v>
      </c>
      <c r="K3053" s="465">
        <v>0</v>
      </c>
    </row>
    <row r="3054" spans="2:11" ht="19" customHeight="1">
      <c r="B3054" s="464">
        <v>46092</v>
      </c>
      <c r="C3054" s="436" t="s">
        <v>247</v>
      </c>
      <c r="D3054" s="436" t="s">
        <v>248</v>
      </c>
      <c r="E3054" s="436">
        <v>2</v>
      </c>
      <c r="F3054" s="465">
        <v>1.5</v>
      </c>
      <c r="G3054" s="466">
        <v>3</v>
      </c>
      <c r="H3054" s="466">
        <f>G3054/1.1</f>
        <v>2.7272727272727271</v>
      </c>
      <c r="I3054" s="436"/>
      <c r="J3054" s="465">
        <v>0</v>
      </c>
      <c r="K3054" s="465">
        <v>0</v>
      </c>
    </row>
    <row r="3055" spans="2:11" ht="19" customHeight="1">
      <c r="B3055" s="464">
        <v>46092</v>
      </c>
      <c r="C3055" s="436" t="s">
        <v>268</v>
      </c>
      <c r="D3055" s="436" t="s">
        <v>267</v>
      </c>
      <c r="E3055" s="436">
        <v>1</v>
      </c>
      <c r="F3055" s="465">
        <v>1.5</v>
      </c>
      <c r="G3055" s="466">
        <v>1.5</v>
      </c>
      <c r="H3055" s="466">
        <f>G3055/1.1</f>
        <v>1.3636363636363635</v>
      </c>
      <c r="I3055" s="436"/>
      <c r="J3055" s="465">
        <v>0</v>
      </c>
      <c r="K3055" s="465">
        <v>0</v>
      </c>
    </row>
    <row r="3056" spans="2:11" ht="19" customHeight="1">
      <c r="B3056" s="464">
        <v>46092</v>
      </c>
      <c r="C3056" s="436" t="s">
        <v>247</v>
      </c>
      <c r="D3056" s="436" t="s">
        <v>246</v>
      </c>
      <c r="E3056" s="436">
        <v>1</v>
      </c>
      <c r="F3056" s="465">
        <v>1.7</v>
      </c>
      <c r="G3056" s="466">
        <v>1.7</v>
      </c>
      <c r="H3056" s="466">
        <f>G3056/1.1</f>
        <v>1.5454545454545452</v>
      </c>
      <c r="I3056" s="436"/>
      <c r="J3056" s="465">
        <v>0</v>
      </c>
      <c r="K3056" s="465">
        <v>0</v>
      </c>
    </row>
    <row r="3057" spans="2:11" ht="19" customHeight="1">
      <c r="B3057" s="464">
        <v>46092</v>
      </c>
      <c r="C3057" s="436" t="s">
        <v>862</v>
      </c>
      <c r="D3057" s="436" t="s">
        <v>907</v>
      </c>
      <c r="E3057" s="436">
        <v>1</v>
      </c>
      <c r="F3057" s="465">
        <v>0.15</v>
      </c>
      <c r="G3057" s="466">
        <v>0.15</v>
      </c>
      <c r="H3057" s="466">
        <f>G3057/1.1</f>
        <v>0.13636363636363635</v>
      </c>
      <c r="I3057" s="436"/>
      <c r="J3057" s="465">
        <v>0</v>
      </c>
      <c r="K3057" s="465">
        <v>0</v>
      </c>
    </row>
    <row r="3058" spans="2:11" ht="19" customHeight="1">
      <c r="B3058" s="464">
        <v>46092</v>
      </c>
      <c r="C3058" s="436" t="s">
        <v>247</v>
      </c>
      <c r="D3058" s="436" t="s">
        <v>246</v>
      </c>
      <c r="E3058" s="436">
        <v>1</v>
      </c>
      <c r="F3058" s="465">
        <v>1.7</v>
      </c>
      <c r="G3058" s="466">
        <v>1.7</v>
      </c>
      <c r="H3058" s="466">
        <f>G3058/1.1</f>
        <v>1.5454545454545452</v>
      </c>
      <c r="I3058" s="436"/>
      <c r="J3058" s="465">
        <v>0</v>
      </c>
      <c r="K3058" s="465">
        <v>0</v>
      </c>
    </row>
    <row r="3059" spans="2:11" ht="19" customHeight="1">
      <c r="B3059" s="464">
        <v>46092</v>
      </c>
      <c r="C3059" s="436" t="s">
        <v>247</v>
      </c>
      <c r="D3059" s="436" t="s">
        <v>257</v>
      </c>
      <c r="E3059" s="436">
        <v>1</v>
      </c>
      <c r="F3059" s="465">
        <v>1.4</v>
      </c>
      <c r="G3059" s="466">
        <v>1.4</v>
      </c>
      <c r="H3059" s="466">
        <f>G3059/1.1</f>
        <v>1.2727272727272725</v>
      </c>
      <c r="I3059" s="436"/>
      <c r="J3059" s="465">
        <v>0</v>
      </c>
      <c r="K3059" s="465">
        <v>0</v>
      </c>
    </row>
    <row r="3060" spans="2:11" ht="19" customHeight="1">
      <c r="B3060" s="464">
        <v>46092</v>
      </c>
      <c r="C3060" s="436" t="s">
        <v>268</v>
      </c>
      <c r="D3060" s="436" t="s">
        <v>860</v>
      </c>
      <c r="E3060" s="436">
        <v>1</v>
      </c>
      <c r="F3060" s="465">
        <v>2.25</v>
      </c>
      <c r="G3060" s="466">
        <v>2.25</v>
      </c>
      <c r="H3060" s="466">
        <f>G3060/1.1</f>
        <v>2.0454545454545454</v>
      </c>
      <c r="I3060" s="436"/>
      <c r="J3060" s="465">
        <v>0</v>
      </c>
      <c r="K3060" s="465">
        <v>0</v>
      </c>
    </row>
    <row r="3061" spans="2:11" ht="19" customHeight="1">
      <c r="B3061" s="464">
        <v>46092</v>
      </c>
      <c r="C3061" s="436" t="s">
        <v>253</v>
      </c>
      <c r="D3061" s="436" t="s">
        <v>676</v>
      </c>
      <c r="E3061" s="436">
        <v>1</v>
      </c>
      <c r="F3061" s="465">
        <v>2.95</v>
      </c>
      <c r="G3061" s="466">
        <v>2.95</v>
      </c>
      <c r="H3061" s="466">
        <f>G3061/1.1</f>
        <v>2.6818181818181817</v>
      </c>
      <c r="I3061" s="436"/>
      <c r="J3061" s="465">
        <v>0</v>
      </c>
      <c r="K3061" s="465">
        <v>0</v>
      </c>
    </row>
    <row r="3062" spans="2:11" ht="19" customHeight="1">
      <c r="B3062" s="464">
        <v>46092</v>
      </c>
      <c r="C3062" s="436" t="s">
        <v>948</v>
      </c>
      <c r="D3062" s="436" t="s">
        <v>829</v>
      </c>
      <c r="E3062" s="436">
        <v>1</v>
      </c>
      <c r="F3062" s="465">
        <v>8.6999999999999993</v>
      </c>
      <c r="G3062" s="466">
        <v>8.6999999999999993</v>
      </c>
      <c r="H3062" s="466">
        <f>G3062/1.1</f>
        <v>7.9090909090909074</v>
      </c>
      <c r="I3062" s="436"/>
      <c r="J3062" s="465">
        <v>0</v>
      </c>
      <c r="K3062" s="465">
        <v>0</v>
      </c>
    </row>
    <row r="3063" spans="2:11" ht="19" customHeight="1">
      <c r="B3063" s="464">
        <v>46092</v>
      </c>
      <c r="C3063" s="436" t="s">
        <v>247</v>
      </c>
      <c r="D3063" s="436" t="s">
        <v>246</v>
      </c>
      <c r="E3063" s="436">
        <v>1</v>
      </c>
      <c r="F3063" s="465">
        <v>1.7</v>
      </c>
      <c r="G3063" s="466">
        <v>1.7</v>
      </c>
      <c r="H3063" s="466">
        <f>G3063/1.1</f>
        <v>1.5454545454545452</v>
      </c>
      <c r="I3063" s="436"/>
      <c r="J3063" s="465">
        <v>0</v>
      </c>
      <c r="K3063" s="465">
        <v>0</v>
      </c>
    </row>
    <row r="3064" spans="2:11" ht="19" customHeight="1">
      <c r="B3064" s="464">
        <v>46092</v>
      </c>
      <c r="C3064" s="436" t="s">
        <v>862</v>
      </c>
      <c r="D3064" s="436" t="s">
        <v>899</v>
      </c>
      <c r="E3064" s="436">
        <v>1</v>
      </c>
      <c r="F3064" s="465">
        <v>0.05</v>
      </c>
      <c r="G3064" s="466">
        <v>0.05</v>
      </c>
      <c r="H3064" s="466">
        <f>G3064/1.1</f>
        <v>4.5454545454545456E-2</v>
      </c>
      <c r="I3064" s="436"/>
      <c r="J3064" s="465">
        <v>0</v>
      </c>
      <c r="K3064" s="465">
        <v>0</v>
      </c>
    </row>
    <row r="3065" spans="2:11" ht="19" customHeight="1">
      <c r="B3065" s="464">
        <v>46092</v>
      </c>
      <c r="C3065" s="436" t="s">
        <v>247</v>
      </c>
      <c r="D3065" s="436" t="s">
        <v>248</v>
      </c>
      <c r="E3065" s="436">
        <v>2</v>
      </c>
      <c r="F3065" s="465">
        <v>1.5</v>
      </c>
      <c r="G3065" s="466">
        <v>3</v>
      </c>
      <c r="H3065" s="466">
        <f>G3065/1.1</f>
        <v>2.7272727272727271</v>
      </c>
      <c r="I3065" s="436"/>
      <c r="J3065" s="465">
        <v>0</v>
      </c>
      <c r="K3065" s="465">
        <v>0</v>
      </c>
    </row>
    <row r="3066" spans="2:11" ht="19" customHeight="1">
      <c r="B3066" s="464">
        <v>46092</v>
      </c>
      <c r="C3066" s="436" t="s">
        <v>247</v>
      </c>
      <c r="D3066" s="436" t="s">
        <v>246</v>
      </c>
      <c r="E3066" s="436">
        <v>1</v>
      </c>
      <c r="F3066" s="465">
        <v>1.7</v>
      </c>
      <c r="G3066" s="466">
        <v>1.7</v>
      </c>
      <c r="H3066" s="466">
        <f>G3066/1.1</f>
        <v>1.5454545454545452</v>
      </c>
      <c r="I3066" s="436"/>
      <c r="J3066" s="465">
        <v>0</v>
      </c>
      <c r="K3066" s="465">
        <v>0</v>
      </c>
    </row>
    <row r="3067" spans="2:11" ht="19" customHeight="1">
      <c r="B3067" s="464">
        <v>46092</v>
      </c>
      <c r="C3067" s="436" t="s">
        <v>247</v>
      </c>
      <c r="D3067" s="436" t="s">
        <v>246</v>
      </c>
      <c r="E3067" s="436">
        <v>1</v>
      </c>
      <c r="F3067" s="465">
        <v>1.7</v>
      </c>
      <c r="G3067" s="466">
        <v>1.7</v>
      </c>
      <c r="H3067" s="466">
        <f>G3067/1.1</f>
        <v>1.5454545454545452</v>
      </c>
      <c r="I3067" s="436"/>
      <c r="J3067" s="465">
        <v>0</v>
      </c>
      <c r="K3067" s="465">
        <v>0</v>
      </c>
    </row>
    <row r="3068" spans="2:11" ht="19" customHeight="1">
      <c r="B3068" s="464">
        <v>46092</v>
      </c>
      <c r="C3068" s="436" t="s">
        <v>247</v>
      </c>
      <c r="D3068" s="436" t="s">
        <v>902</v>
      </c>
      <c r="E3068" s="436">
        <v>1</v>
      </c>
      <c r="F3068" s="465">
        <v>1.95</v>
      </c>
      <c r="G3068" s="466">
        <v>1.95</v>
      </c>
      <c r="H3068" s="466">
        <f>G3068/1.1</f>
        <v>1.7727272727272725</v>
      </c>
      <c r="I3068" s="436"/>
      <c r="J3068" s="465">
        <v>0</v>
      </c>
      <c r="K3068" s="465">
        <v>0</v>
      </c>
    </row>
    <row r="3069" spans="2:11" ht="19" customHeight="1">
      <c r="B3069" s="464">
        <v>46092</v>
      </c>
      <c r="C3069" s="436" t="s">
        <v>268</v>
      </c>
      <c r="D3069" s="436" t="s">
        <v>859</v>
      </c>
      <c r="E3069" s="436">
        <v>1</v>
      </c>
      <c r="F3069" s="465">
        <v>0.75</v>
      </c>
      <c r="G3069" s="466">
        <v>0.75</v>
      </c>
      <c r="H3069" s="466">
        <f>G3069/1.1</f>
        <v>0.68181818181818177</v>
      </c>
      <c r="I3069" s="436"/>
      <c r="J3069" s="465">
        <v>0</v>
      </c>
      <c r="K3069" s="465">
        <v>0</v>
      </c>
    </row>
    <row r="3070" spans="2:11" ht="19" customHeight="1">
      <c r="B3070" s="464">
        <v>46092</v>
      </c>
      <c r="C3070" s="436" t="s">
        <v>247</v>
      </c>
      <c r="D3070" s="436" t="s">
        <v>257</v>
      </c>
      <c r="E3070" s="436">
        <v>1</v>
      </c>
      <c r="F3070" s="465">
        <v>1.4</v>
      </c>
      <c r="G3070" s="466">
        <v>1.4</v>
      </c>
      <c r="H3070" s="466">
        <f>G3070/1.1</f>
        <v>1.2727272727272725</v>
      </c>
      <c r="I3070" s="436"/>
      <c r="J3070" s="465">
        <v>0</v>
      </c>
      <c r="K3070" s="465">
        <v>0</v>
      </c>
    </row>
    <row r="3071" spans="2:11" ht="19" customHeight="1">
      <c r="B3071" s="464">
        <v>46092</v>
      </c>
      <c r="C3071" s="436" t="s">
        <v>328</v>
      </c>
      <c r="D3071" s="436" t="s">
        <v>769</v>
      </c>
      <c r="E3071" s="436">
        <v>1</v>
      </c>
      <c r="F3071" s="465">
        <v>5.4</v>
      </c>
      <c r="G3071" s="466">
        <v>5.4</v>
      </c>
      <c r="H3071" s="466">
        <f>G3071/1.1</f>
        <v>4.9090909090909092</v>
      </c>
      <c r="I3071" s="436"/>
      <c r="J3071" s="465">
        <v>0</v>
      </c>
      <c r="K3071" s="465">
        <v>0</v>
      </c>
    </row>
    <row r="3072" spans="2:11" ht="19" customHeight="1">
      <c r="B3072" s="464">
        <v>46092</v>
      </c>
      <c r="C3072" s="436" t="s">
        <v>247</v>
      </c>
      <c r="D3072" s="436" t="s">
        <v>246</v>
      </c>
      <c r="E3072" s="436">
        <v>1</v>
      </c>
      <c r="F3072" s="465">
        <v>1.7</v>
      </c>
      <c r="G3072" s="466">
        <v>1.7</v>
      </c>
      <c r="H3072" s="466">
        <f>G3072/1.1</f>
        <v>1.5454545454545452</v>
      </c>
      <c r="I3072" s="436"/>
      <c r="J3072" s="465">
        <v>0</v>
      </c>
      <c r="K3072" s="465">
        <v>0</v>
      </c>
    </row>
    <row r="3073" spans="2:11" ht="19" customHeight="1">
      <c r="B3073" s="464">
        <v>46092</v>
      </c>
      <c r="C3073" s="436" t="s">
        <v>247</v>
      </c>
      <c r="D3073" s="436" t="s">
        <v>248</v>
      </c>
      <c r="E3073" s="436">
        <v>1</v>
      </c>
      <c r="F3073" s="465">
        <v>1.5</v>
      </c>
      <c r="G3073" s="466">
        <v>1.5</v>
      </c>
      <c r="H3073" s="466">
        <f>G3073/1.1</f>
        <v>1.3636363636363635</v>
      </c>
      <c r="I3073" s="436"/>
      <c r="J3073" s="465">
        <v>0</v>
      </c>
      <c r="K3073" s="465">
        <v>0</v>
      </c>
    </row>
    <row r="3074" spans="2:11" ht="19" customHeight="1">
      <c r="B3074" s="464">
        <v>46092</v>
      </c>
      <c r="C3074" s="436" t="s">
        <v>247</v>
      </c>
      <c r="D3074" s="436" t="s">
        <v>246</v>
      </c>
      <c r="E3074" s="436">
        <v>1</v>
      </c>
      <c r="F3074" s="465">
        <v>1.7</v>
      </c>
      <c r="G3074" s="466">
        <v>1.7</v>
      </c>
      <c r="H3074" s="466">
        <f>G3074/1.1</f>
        <v>1.5454545454545452</v>
      </c>
      <c r="I3074" s="436"/>
      <c r="J3074" s="465">
        <v>0</v>
      </c>
      <c r="K3074" s="465">
        <v>0</v>
      </c>
    </row>
    <row r="3075" spans="2:11" ht="19" customHeight="1">
      <c r="B3075" s="464">
        <v>46092</v>
      </c>
      <c r="C3075" s="436" t="s">
        <v>247</v>
      </c>
      <c r="D3075" s="436" t="s">
        <v>257</v>
      </c>
      <c r="E3075" s="436">
        <v>1</v>
      </c>
      <c r="F3075" s="465">
        <v>1.4</v>
      </c>
      <c r="G3075" s="466">
        <v>1.4</v>
      </c>
      <c r="H3075" s="466">
        <f>G3075/1.1</f>
        <v>1.2727272727272725</v>
      </c>
      <c r="I3075" s="436"/>
      <c r="J3075" s="465">
        <v>0</v>
      </c>
      <c r="K3075" s="465">
        <v>0</v>
      </c>
    </row>
    <row r="3076" spans="2:11" ht="19" customHeight="1">
      <c r="B3076" s="464">
        <v>46092</v>
      </c>
      <c r="C3076" s="436" t="s">
        <v>247</v>
      </c>
      <c r="D3076" s="436" t="s">
        <v>257</v>
      </c>
      <c r="E3076" s="436">
        <v>1</v>
      </c>
      <c r="F3076" s="465">
        <v>1.4</v>
      </c>
      <c r="G3076" s="466">
        <v>1.4</v>
      </c>
      <c r="H3076" s="466">
        <f>G3076/1.1</f>
        <v>1.2727272727272725</v>
      </c>
      <c r="I3076" s="436"/>
      <c r="J3076" s="465">
        <v>0</v>
      </c>
      <c r="K3076" s="465">
        <v>0</v>
      </c>
    </row>
    <row r="3077" spans="2:11" ht="19" customHeight="1">
      <c r="B3077" s="464">
        <v>46092</v>
      </c>
      <c r="C3077" s="436" t="s">
        <v>725</v>
      </c>
      <c r="D3077" s="436" t="s">
        <v>1010</v>
      </c>
      <c r="E3077" s="436">
        <v>1</v>
      </c>
      <c r="F3077" s="465">
        <v>2.5</v>
      </c>
      <c r="G3077" s="466">
        <v>2.5</v>
      </c>
      <c r="H3077" s="466">
        <f>G3077/1.1</f>
        <v>2.2727272727272725</v>
      </c>
      <c r="I3077" s="436"/>
      <c r="J3077" s="465">
        <v>0</v>
      </c>
      <c r="K3077" s="465">
        <v>0</v>
      </c>
    </row>
    <row r="3078" spans="2:11" ht="19" customHeight="1">
      <c r="B3078" s="464">
        <v>46092</v>
      </c>
      <c r="C3078" s="436" t="s">
        <v>328</v>
      </c>
      <c r="D3078" s="436" t="s">
        <v>773</v>
      </c>
      <c r="E3078" s="436">
        <v>1</v>
      </c>
      <c r="F3078" s="465">
        <v>3.1</v>
      </c>
      <c r="G3078" s="466">
        <v>3.1</v>
      </c>
      <c r="H3078" s="466">
        <f>G3078/1.1</f>
        <v>2.8181818181818179</v>
      </c>
      <c r="I3078" s="436"/>
      <c r="J3078" s="465">
        <v>0</v>
      </c>
      <c r="K3078" s="465">
        <v>0</v>
      </c>
    </row>
    <row r="3079" spans="2:11" ht="19" customHeight="1">
      <c r="B3079" s="464">
        <v>46092</v>
      </c>
      <c r="C3079" s="436" t="s">
        <v>862</v>
      </c>
      <c r="D3079" s="436" t="s">
        <v>865</v>
      </c>
      <c r="E3079" s="436">
        <v>1</v>
      </c>
      <c r="F3079" s="465">
        <v>0.05</v>
      </c>
      <c r="G3079" s="466">
        <v>0.05</v>
      </c>
      <c r="H3079" s="466">
        <f>G3079/1.1</f>
        <v>4.5454545454545456E-2</v>
      </c>
      <c r="I3079" s="436"/>
      <c r="J3079" s="465">
        <v>0</v>
      </c>
      <c r="K3079" s="465">
        <v>0</v>
      </c>
    </row>
    <row r="3080" spans="2:11" ht="19" customHeight="1">
      <c r="B3080" s="464">
        <v>46092</v>
      </c>
      <c r="C3080" s="436" t="s">
        <v>247</v>
      </c>
      <c r="D3080" s="436" t="s">
        <v>246</v>
      </c>
      <c r="E3080" s="436">
        <v>1</v>
      </c>
      <c r="F3080" s="465">
        <v>1.7</v>
      </c>
      <c r="G3080" s="466">
        <v>1.7</v>
      </c>
      <c r="H3080" s="466">
        <f>G3080/1.1</f>
        <v>1.5454545454545452</v>
      </c>
      <c r="I3080" s="436"/>
      <c r="J3080" s="465">
        <v>0</v>
      </c>
      <c r="K3080" s="465">
        <v>0</v>
      </c>
    </row>
    <row r="3081" spans="2:11" ht="19" customHeight="1">
      <c r="B3081" s="464">
        <v>46093</v>
      </c>
      <c r="C3081" s="436" t="s">
        <v>254</v>
      </c>
      <c r="D3081" s="436" t="s">
        <v>254</v>
      </c>
      <c r="E3081" s="436">
        <v>2</v>
      </c>
      <c r="F3081" s="465">
        <v>14.9</v>
      </c>
      <c r="G3081" s="466">
        <v>29.8</v>
      </c>
      <c r="H3081" s="466">
        <f>G3081/1.1</f>
        <v>27.09090909090909</v>
      </c>
      <c r="I3081" s="436"/>
      <c r="J3081" s="465">
        <v>0</v>
      </c>
      <c r="K3081" s="465">
        <v>0</v>
      </c>
    </row>
    <row r="3082" spans="2:11" ht="19" customHeight="1">
      <c r="B3082" s="464">
        <v>46093</v>
      </c>
      <c r="C3082" s="436" t="s">
        <v>873</v>
      </c>
      <c r="D3082" s="436" t="s">
        <v>1155</v>
      </c>
      <c r="E3082" s="436">
        <v>1</v>
      </c>
      <c r="F3082" s="469"/>
      <c r="G3082" s="468" t="s">
        <v>875</v>
      </c>
      <c r="H3082" s="466" t="e">
        <f>G3082/1.1</f>
        <v>#VALUE!</v>
      </c>
      <c r="I3082" s="436"/>
      <c r="J3082" s="465">
        <v>0</v>
      </c>
      <c r="K3082" s="465">
        <v>0</v>
      </c>
    </row>
    <row r="3083" spans="2:11" ht="19" customHeight="1">
      <c r="B3083" s="464">
        <v>46093</v>
      </c>
      <c r="C3083" s="436" t="s">
        <v>873</v>
      </c>
      <c r="D3083" s="436" t="s">
        <v>1163</v>
      </c>
      <c r="E3083" s="436">
        <v>1</v>
      </c>
      <c r="F3083" s="469"/>
      <c r="G3083" s="468" t="s">
        <v>875</v>
      </c>
      <c r="H3083" s="466" t="e">
        <f>G3083/1.1</f>
        <v>#VALUE!</v>
      </c>
      <c r="I3083" s="436"/>
      <c r="J3083" s="465">
        <v>0</v>
      </c>
      <c r="K3083" s="465">
        <v>0</v>
      </c>
    </row>
    <row r="3084" spans="2:11" ht="19" customHeight="1">
      <c r="B3084" s="464">
        <v>46093</v>
      </c>
      <c r="C3084" s="436" t="s">
        <v>877</v>
      </c>
      <c r="D3084" s="436" t="s">
        <v>1157</v>
      </c>
      <c r="E3084" s="436">
        <v>1</v>
      </c>
      <c r="F3084" s="469"/>
      <c r="G3084" s="468" t="s">
        <v>875</v>
      </c>
      <c r="H3084" s="466" t="e">
        <f>G3084/1.1</f>
        <v>#VALUE!</v>
      </c>
      <c r="I3084" s="436"/>
      <c r="J3084" s="465">
        <v>0</v>
      </c>
      <c r="K3084" s="465">
        <v>0</v>
      </c>
    </row>
    <row r="3085" spans="2:11" ht="19" customHeight="1">
      <c r="B3085" s="464">
        <v>46093</v>
      </c>
      <c r="C3085" s="436" t="s">
        <v>877</v>
      </c>
      <c r="D3085" s="436" t="s">
        <v>1156</v>
      </c>
      <c r="E3085" s="436">
        <v>1</v>
      </c>
      <c r="F3085" s="465">
        <v>3</v>
      </c>
      <c r="G3085" s="466">
        <v>3</v>
      </c>
      <c r="H3085" s="466">
        <f>G3085/1.1</f>
        <v>2.7272727272727271</v>
      </c>
      <c r="I3085" s="436"/>
      <c r="J3085" s="465">
        <v>0</v>
      </c>
      <c r="K3085" s="465">
        <v>0</v>
      </c>
    </row>
    <row r="3086" spans="2:11" ht="19" customHeight="1">
      <c r="B3086" s="464">
        <v>46093</v>
      </c>
      <c r="C3086" s="436" t="s">
        <v>266</v>
      </c>
      <c r="D3086" s="436" t="s">
        <v>250</v>
      </c>
      <c r="E3086" s="436">
        <v>2</v>
      </c>
      <c r="F3086" s="469"/>
      <c r="G3086" s="468" t="s">
        <v>875</v>
      </c>
      <c r="H3086" s="466" t="e">
        <f>G3086/1.1</f>
        <v>#VALUE!</v>
      </c>
      <c r="I3086" s="436"/>
      <c r="J3086" s="465">
        <v>0</v>
      </c>
      <c r="K3086" s="465">
        <v>0</v>
      </c>
    </row>
    <row r="3087" spans="2:11" ht="19" customHeight="1">
      <c r="B3087" s="464">
        <v>46093</v>
      </c>
      <c r="C3087" s="436" t="s">
        <v>258</v>
      </c>
      <c r="D3087" s="436" t="s">
        <v>917</v>
      </c>
      <c r="E3087" s="436">
        <v>1</v>
      </c>
      <c r="F3087" s="469"/>
      <c r="G3087" s="468" t="s">
        <v>875</v>
      </c>
      <c r="H3087" s="466" t="e">
        <f>G3087/1.1</f>
        <v>#VALUE!</v>
      </c>
      <c r="I3087" s="436"/>
      <c r="J3087" s="465">
        <v>0</v>
      </c>
      <c r="K3087" s="465">
        <v>0</v>
      </c>
    </row>
    <row r="3088" spans="2:11" ht="19" customHeight="1">
      <c r="B3088" s="464">
        <v>46093</v>
      </c>
      <c r="C3088" s="436" t="s">
        <v>258</v>
      </c>
      <c r="D3088" s="436" t="s">
        <v>1058</v>
      </c>
      <c r="E3088" s="436">
        <v>1</v>
      </c>
      <c r="F3088" s="469"/>
      <c r="G3088" s="468" t="s">
        <v>875</v>
      </c>
      <c r="H3088" s="466" t="e">
        <f>G3088/1.1</f>
        <v>#VALUE!</v>
      </c>
      <c r="I3088" s="436"/>
      <c r="J3088" s="465">
        <v>0</v>
      </c>
      <c r="K3088" s="465">
        <v>0</v>
      </c>
    </row>
    <row r="3089" spans="2:11" ht="19" customHeight="1">
      <c r="B3089" s="464">
        <v>46093</v>
      </c>
      <c r="C3089" s="436" t="s">
        <v>254</v>
      </c>
      <c r="D3089" s="436" t="s">
        <v>254</v>
      </c>
      <c r="E3089" s="436">
        <v>1</v>
      </c>
      <c r="F3089" s="465">
        <v>14.9</v>
      </c>
      <c r="G3089" s="466">
        <v>14.9</v>
      </c>
      <c r="H3089" s="466">
        <f>G3089/1.1</f>
        <v>13.545454545454545</v>
      </c>
      <c r="I3089" s="436"/>
      <c r="J3089" s="465">
        <v>0</v>
      </c>
      <c r="K3089" s="465">
        <v>0</v>
      </c>
    </row>
    <row r="3090" spans="2:11" ht="19" customHeight="1">
      <c r="B3090" s="464">
        <v>46093</v>
      </c>
      <c r="C3090" s="436" t="s">
        <v>873</v>
      </c>
      <c r="D3090" s="436" t="s">
        <v>1158</v>
      </c>
      <c r="E3090" s="436">
        <v>1</v>
      </c>
      <c r="F3090" s="469"/>
      <c r="G3090" s="468" t="s">
        <v>875</v>
      </c>
      <c r="H3090" s="466" t="e">
        <f>G3090/1.1</f>
        <v>#VALUE!</v>
      </c>
      <c r="I3090" s="436"/>
      <c r="J3090" s="465">
        <v>0</v>
      </c>
      <c r="K3090" s="465">
        <v>0</v>
      </c>
    </row>
    <row r="3091" spans="2:11" ht="19" customHeight="1">
      <c r="B3091" s="464">
        <v>46093</v>
      </c>
      <c r="C3091" s="436" t="s">
        <v>877</v>
      </c>
      <c r="D3091" s="436" t="s">
        <v>1154</v>
      </c>
      <c r="E3091" s="436">
        <v>1</v>
      </c>
      <c r="F3091" s="469"/>
      <c r="G3091" s="468" t="s">
        <v>875</v>
      </c>
      <c r="H3091" s="466" t="e">
        <f>G3091/1.1</f>
        <v>#VALUE!</v>
      </c>
      <c r="I3091" s="436"/>
      <c r="J3091" s="465">
        <v>0</v>
      </c>
      <c r="K3091" s="465">
        <v>0</v>
      </c>
    </row>
    <row r="3092" spans="2:11" ht="19" customHeight="1">
      <c r="B3092" s="464">
        <v>46093</v>
      </c>
      <c r="C3092" s="436" t="s">
        <v>266</v>
      </c>
      <c r="D3092" s="436" t="s">
        <v>926</v>
      </c>
      <c r="E3092" s="436">
        <v>1</v>
      </c>
      <c r="F3092" s="465">
        <v>1</v>
      </c>
      <c r="G3092" s="466">
        <v>1</v>
      </c>
      <c r="H3092" s="466">
        <f>G3092/1.1</f>
        <v>0.90909090909090906</v>
      </c>
      <c r="I3092" s="436"/>
      <c r="J3092" s="465">
        <v>0</v>
      </c>
      <c r="K3092" s="465">
        <v>0</v>
      </c>
    </row>
    <row r="3093" spans="2:11" ht="19" customHeight="1">
      <c r="B3093" s="464">
        <v>46093</v>
      </c>
      <c r="C3093" s="436" t="s">
        <v>258</v>
      </c>
      <c r="D3093" s="436" t="s">
        <v>917</v>
      </c>
      <c r="E3093" s="436">
        <v>1</v>
      </c>
      <c r="F3093" s="469"/>
      <c r="G3093" s="468" t="s">
        <v>875</v>
      </c>
      <c r="H3093" s="466" t="e">
        <f>G3093/1.1</f>
        <v>#VALUE!</v>
      </c>
      <c r="I3093" s="436"/>
      <c r="J3093" s="465">
        <v>0</v>
      </c>
      <c r="K3093" s="465">
        <v>0</v>
      </c>
    </row>
    <row r="3094" spans="2:11" ht="19" customHeight="1">
      <c r="B3094" s="464">
        <v>46093</v>
      </c>
      <c r="C3094" s="436" t="s">
        <v>254</v>
      </c>
      <c r="D3094" s="436" t="s">
        <v>254</v>
      </c>
      <c r="E3094" s="436">
        <v>5</v>
      </c>
      <c r="F3094" s="465">
        <v>14.9</v>
      </c>
      <c r="G3094" s="466">
        <v>74.5</v>
      </c>
      <c r="H3094" s="466">
        <f>G3094/1.1</f>
        <v>67.72727272727272</v>
      </c>
      <c r="I3094" s="436"/>
      <c r="J3094" s="465">
        <v>0</v>
      </c>
      <c r="K3094" s="465">
        <v>0</v>
      </c>
    </row>
    <row r="3095" spans="2:11" ht="19" customHeight="1">
      <c r="B3095" s="464">
        <v>46093</v>
      </c>
      <c r="C3095" s="436" t="s">
        <v>873</v>
      </c>
      <c r="D3095" s="436" t="s">
        <v>1164</v>
      </c>
      <c r="E3095" s="436">
        <v>4</v>
      </c>
      <c r="F3095" s="465">
        <v>5</v>
      </c>
      <c r="G3095" s="466">
        <v>20</v>
      </c>
      <c r="H3095" s="466">
        <f>G3095/1.1</f>
        <v>18.18181818181818</v>
      </c>
      <c r="I3095" s="436"/>
      <c r="J3095" s="465">
        <v>0</v>
      </c>
      <c r="K3095" s="465">
        <v>0</v>
      </c>
    </row>
    <row r="3096" spans="2:11" ht="19" customHeight="1">
      <c r="B3096" s="464">
        <v>46093</v>
      </c>
      <c r="C3096" s="436" t="s">
        <v>873</v>
      </c>
      <c r="D3096" s="436" t="s">
        <v>1163</v>
      </c>
      <c r="E3096" s="436">
        <v>1</v>
      </c>
      <c r="F3096" s="469"/>
      <c r="G3096" s="468" t="s">
        <v>875</v>
      </c>
      <c r="H3096" s="466" t="e">
        <f>G3096/1.1</f>
        <v>#VALUE!</v>
      </c>
      <c r="I3096" s="436"/>
      <c r="J3096" s="465">
        <v>0</v>
      </c>
      <c r="K3096" s="465">
        <v>0</v>
      </c>
    </row>
    <row r="3097" spans="2:11" ht="19" customHeight="1">
      <c r="B3097" s="464">
        <v>46093</v>
      </c>
      <c r="C3097" s="436" t="s">
        <v>877</v>
      </c>
      <c r="D3097" s="436" t="s">
        <v>1154</v>
      </c>
      <c r="E3097" s="436">
        <v>4</v>
      </c>
      <c r="F3097" s="469"/>
      <c r="G3097" s="468" t="s">
        <v>875</v>
      </c>
      <c r="H3097" s="466" t="e">
        <f>G3097/1.1</f>
        <v>#VALUE!</v>
      </c>
      <c r="I3097" s="436"/>
      <c r="J3097" s="465">
        <v>0</v>
      </c>
      <c r="K3097" s="465">
        <v>0</v>
      </c>
    </row>
    <row r="3098" spans="2:11" ht="19" customHeight="1">
      <c r="B3098" s="464">
        <v>46093</v>
      </c>
      <c r="C3098" s="436" t="s">
        <v>877</v>
      </c>
      <c r="D3098" s="436" t="s">
        <v>1156</v>
      </c>
      <c r="E3098" s="436">
        <v>1</v>
      </c>
      <c r="F3098" s="465">
        <v>3</v>
      </c>
      <c r="G3098" s="466">
        <v>3</v>
      </c>
      <c r="H3098" s="466">
        <f>G3098/1.1</f>
        <v>2.7272727272727271</v>
      </c>
      <c r="I3098" s="436"/>
      <c r="J3098" s="465">
        <v>0</v>
      </c>
      <c r="K3098" s="465">
        <v>0</v>
      </c>
    </row>
    <row r="3099" spans="2:11" ht="19" customHeight="1">
      <c r="B3099" s="464">
        <v>46093</v>
      </c>
      <c r="C3099" s="436" t="s">
        <v>266</v>
      </c>
      <c r="D3099" s="436" t="s">
        <v>250</v>
      </c>
      <c r="E3099" s="436">
        <v>2</v>
      </c>
      <c r="F3099" s="469"/>
      <c r="G3099" s="468" t="s">
        <v>875</v>
      </c>
      <c r="H3099" s="466" t="e">
        <f>G3099/1.1</f>
        <v>#VALUE!</v>
      </c>
      <c r="I3099" s="436"/>
      <c r="J3099" s="465">
        <v>0</v>
      </c>
      <c r="K3099" s="465">
        <v>0</v>
      </c>
    </row>
    <row r="3100" spans="2:11" ht="19" customHeight="1">
      <c r="B3100" s="464">
        <v>46093</v>
      </c>
      <c r="C3100" s="436" t="s">
        <v>266</v>
      </c>
      <c r="D3100" s="436" t="s">
        <v>708</v>
      </c>
      <c r="E3100" s="436">
        <v>3</v>
      </c>
      <c r="F3100" s="469"/>
      <c r="G3100" s="468" t="s">
        <v>875</v>
      </c>
      <c r="H3100" s="466" t="e">
        <f>G3100/1.1</f>
        <v>#VALUE!</v>
      </c>
      <c r="I3100" s="436"/>
      <c r="J3100" s="465">
        <v>0</v>
      </c>
      <c r="K3100" s="465">
        <v>0</v>
      </c>
    </row>
    <row r="3101" spans="2:11" ht="19" customHeight="1">
      <c r="B3101" s="464">
        <v>46093</v>
      </c>
      <c r="C3101" s="436" t="s">
        <v>258</v>
      </c>
      <c r="D3101" s="436" t="s">
        <v>1058</v>
      </c>
      <c r="E3101" s="436">
        <v>1</v>
      </c>
      <c r="F3101" s="469"/>
      <c r="G3101" s="468" t="s">
        <v>875</v>
      </c>
      <c r="H3101" s="466" t="e">
        <f>G3101/1.1</f>
        <v>#VALUE!</v>
      </c>
      <c r="I3101" s="436"/>
      <c r="J3101" s="465">
        <v>0</v>
      </c>
      <c r="K3101" s="465">
        <v>0</v>
      </c>
    </row>
    <row r="3102" spans="2:11" ht="19" customHeight="1">
      <c r="B3102" s="464">
        <v>46093</v>
      </c>
      <c r="C3102" s="436" t="s">
        <v>258</v>
      </c>
      <c r="D3102" s="436" t="s">
        <v>883</v>
      </c>
      <c r="E3102" s="436">
        <v>4</v>
      </c>
      <c r="F3102" s="469"/>
      <c r="G3102" s="468" t="s">
        <v>875</v>
      </c>
      <c r="H3102" s="466" t="e">
        <f>G3102/1.1</f>
        <v>#VALUE!</v>
      </c>
      <c r="I3102" s="436"/>
      <c r="J3102" s="465">
        <v>0</v>
      </c>
      <c r="K3102" s="465">
        <v>0</v>
      </c>
    </row>
    <row r="3103" spans="2:11" ht="19" customHeight="1">
      <c r="B3103" s="464">
        <v>46093</v>
      </c>
      <c r="C3103" s="436" t="s">
        <v>254</v>
      </c>
      <c r="D3103" s="436" t="s">
        <v>254</v>
      </c>
      <c r="E3103" s="436">
        <v>1</v>
      </c>
      <c r="F3103" s="465">
        <v>14.9</v>
      </c>
      <c r="G3103" s="466">
        <v>14.9</v>
      </c>
      <c r="H3103" s="466">
        <f>G3103/1.1</f>
        <v>13.545454545454545</v>
      </c>
      <c r="I3103" s="436"/>
      <c r="J3103" s="465">
        <v>0</v>
      </c>
      <c r="K3103" s="465">
        <v>0</v>
      </c>
    </row>
    <row r="3104" spans="2:11" ht="19" customHeight="1">
      <c r="B3104" s="464">
        <v>46093</v>
      </c>
      <c r="C3104" s="436" t="s">
        <v>873</v>
      </c>
      <c r="D3104" s="436" t="s">
        <v>1158</v>
      </c>
      <c r="E3104" s="436">
        <v>1</v>
      </c>
      <c r="F3104" s="469"/>
      <c r="G3104" s="468" t="s">
        <v>875</v>
      </c>
      <c r="H3104" s="466" t="e">
        <f>G3104/1.1</f>
        <v>#VALUE!</v>
      </c>
      <c r="I3104" s="436"/>
      <c r="J3104" s="465">
        <v>0</v>
      </c>
      <c r="K3104" s="465">
        <v>0</v>
      </c>
    </row>
    <row r="3105" spans="2:11" ht="19" customHeight="1">
      <c r="B3105" s="464">
        <v>46093</v>
      </c>
      <c r="C3105" s="436" t="s">
        <v>877</v>
      </c>
      <c r="D3105" s="436" t="s">
        <v>1165</v>
      </c>
      <c r="E3105" s="436">
        <v>1</v>
      </c>
      <c r="F3105" s="465">
        <v>5</v>
      </c>
      <c r="G3105" s="466">
        <v>5</v>
      </c>
      <c r="H3105" s="466">
        <f>G3105/1.1</f>
        <v>4.545454545454545</v>
      </c>
      <c r="I3105" s="436"/>
      <c r="J3105" s="465">
        <v>0</v>
      </c>
      <c r="K3105" s="465">
        <v>0</v>
      </c>
    </row>
    <row r="3106" spans="2:11" ht="19" customHeight="1">
      <c r="B3106" s="464">
        <v>46093</v>
      </c>
      <c r="C3106" s="436" t="s">
        <v>266</v>
      </c>
      <c r="D3106" s="436" t="s">
        <v>250</v>
      </c>
      <c r="E3106" s="436">
        <v>1</v>
      </c>
      <c r="F3106" s="469"/>
      <c r="G3106" s="468" t="s">
        <v>875</v>
      </c>
      <c r="H3106" s="466" t="e">
        <f>G3106/1.1</f>
        <v>#VALUE!</v>
      </c>
      <c r="I3106" s="436"/>
      <c r="J3106" s="465">
        <v>0</v>
      </c>
      <c r="K3106" s="465">
        <v>0</v>
      </c>
    </row>
    <row r="3107" spans="2:11" ht="19" customHeight="1">
      <c r="B3107" s="464">
        <v>46093</v>
      </c>
      <c r="C3107" s="436" t="s">
        <v>258</v>
      </c>
      <c r="D3107" s="436" t="s">
        <v>883</v>
      </c>
      <c r="E3107" s="436">
        <v>1</v>
      </c>
      <c r="F3107" s="469"/>
      <c r="G3107" s="468" t="s">
        <v>875</v>
      </c>
      <c r="H3107" s="466" t="e">
        <f>G3107/1.1</f>
        <v>#VALUE!</v>
      </c>
      <c r="I3107" s="436"/>
      <c r="J3107" s="465">
        <v>0</v>
      </c>
      <c r="K3107" s="465">
        <v>0</v>
      </c>
    </row>
    <row r="3108" spans="2:11" ht="19" customHeight="1">
      <c r="B3108" s="464">
        <v>46093</v>
      </c>
      <c r="C3108" s="436" t="s">
        <v>251</v>
      </c>
      <c r="D3108" s="436" t="s">
        <v>265</v>
      </c>
      <c r="E3108" s="436">
        <v>1</v>
      </c>
      <c r="F3108" s="465">
        <v>2.65</v>
      </c>
      <c r="G3108" s="466">
        <v>2.65</v>
      </c>
      <c r="H3108" s="466">
        <f>G3108/1.1</f>
        <v>2.4090909090909087</v>
      </c>
      <c r="I3108" s="436"/>
      <c r="J3108" s="465">
        <v>0</v>
      </c>
      <c r="K3108" s="465">
        <v>0</v>
      </c>
    </row>
    <row r="3109" spans="2:11" ht="19" customHeight="1">
      <c r="B3109" s="464">
        <v>46093</v>
      </c>
      <c r="C3109" s="436" t="s">
        <v>247</v>
      </c>
      <c r="D3109" s="436" t="s">
        <v>902</v>
      </c>
      <c r="E3109" s="436">
        <v>2</v>
      </c>
      <c r="F3109" s="465">
        <v>2</v>
      </c>
      <c r="G3109" s="466">
        <v>4</v>
      </c>
      <c r="H3109" s="466">
        <f>G3109/1.1</f>
        <v>3.6363636363636362</v>
      </c>
      <c r="I3109" s="436"/>
      <c r="J3109" s="465">
        <v>0</v>
      </c>
      <c r="K3109" s="465">
        <v>0</v>
      </c>
    </row>
    <row r="3110" spans="2:11" ht="19" customHeight="1">
      <c r="B3110" s="464">
        <v>46093</v>
      </c>
      <c r="C3110" s="436" t="s">
        <v>251</v>
      </c>
      <c r="D3110" s="436" t="s">
        <v>708</v>
      </c>
      <c r="E3110" s="436">
        <v>2</v>
      </c>
      <c r="F3110" s="465">
        <v>2.2000000000000002</v>
      </c>
      <c r="G3110" s="466">
        <v>4.4000000000000004</v>
      </c>
      <c r="H3110" s="466">
        <f>G3110/1.1</f>
        <v>4</v>
      </c>
      <c r="I3110" s="436"/>
      <c r="J3110" s="465">
        <v>0</v>
      </c>
      <c r="K3110" s="465">
        <v>0</v>
      </c>
    </row>
    <row r="3111" spans="2:11" ht="19" customHeight="1">
      <c r="B3111" s="464">
        <v>46093</v>
      </c>
      <c r="C3111" s="436" t="s">
        <v>256</v>
      </c>
      <c r="D3111" s="436" t="s">
        <v>679</v>
      </c>
      <c r="E3111" s="436">
        <v>1</v>
      </c>
      <c r="F3111" s="465">
        <v>10.25</v>
      </c>
      <c r="G3111" s="466">
        <v>10.25</v>
      </c>
      <c r="H3111" s="466">
        <f>G3111/1.1</f>
        <v>9.3181818181818166</v>
      </c>
      <c r="I3111" s="436"/>
      <c r="J3111" s="465">
        <v>0</v>
      </c>
      <c r="K3111" s="465">
        <v>0</v>
      </c>
    </row>
    <row r="3112" spans="2:11" ht="19" customHeight="1">
      <c r="B3112" s="464">
        <v>46093</v>
      </c>
      <c r="C3112" s="436" t="s">
        <v>264</v>
      </c>
      <c r="D3112" s="436" t="s">
        <v>930</v>
      </c>
      <c r="E3112" s="436">
        <v>1</v>
      </c>
      <c r="F3112" s="465">
        <v>3.75</v>
      </c>
      <c r="G3112" s="466">
        <v>3.75</v>
      </c>
      <c r="H3112" s="466">
        <f>G3112/1.1</f>
        <v>3.4090909090909087</v>
      </c>
      <c r="I3112" s="436"/>
      <c r="J3112" s="465">
        <v>0</v>
      </c>
      <c r="K3112" s="465">
        <v>0</v>
      </c>
    </row>
    <row r="3113" spans="2:11" ht="19" customHeight="1">
      <c r="B3113" s="464">
        <v>46093</v>
      </c>
      <c r="C3113" s="436" t="s">
        <v>256</v>
      </c>
      <c r="D3113" s="436" t="s">
        <v>675</v>
      </c>
      <c r="E3113" s="436">
        <v>1</v>
      </c>
      <c r="F3113" s="465">
        <v>5.75</v>
      </c>
      <c r="G3113" s="466">
        <v>5.75</v>
      </c>
      <c r="H3113" s="466">
        <f>G3113/1.1</f>
        <v>5.2272727272727266</v>
      </c>
      <c r="I3113" s="436"/>
      <c r="J3113" s="465">
        <v>0</v>
      </c>
      <c r="K3113" s="465">
        <v>0</v>
      </c>
    </row>
    <row r="3114" spans="2:11" ht="19" customHeight="1">
      <c r="B3114" s="464">
        <v>46093</v>
      </c>
      <c r="C3114" s="436" t="s">
        <v>256</v>
      </c>
      <c r="D3114" s="436" t="s">
        <v>932</v>
      </c>
      <c r="E3114" s="436">
        <v>1</v>
      </c>
      <c r="F3114" s="465">
        <v>8.75</v>
      </c>
      <c r="G3114" s="466">
        <v>8.75</v>
      </c>
      <c r="H3114" s="466">
        <f>G3114/1.1</f>
        <v>7.9545454545454541</v>
      </c>
      <c r="I3114" s="436"/>
      <c r="J3114" s="465">
        <v>0</v>
      </c>
      <c r="K3114" s="465">
        <v>0</v>
      </c>
    </row>
    <row r="3115" spans="2:11" ht="19" customHeight="1">
      <c r="B3115" s="464">
        <v>46093</v>
      </c>
      <c r="C3115" s="436" t="s">
        <v>247</v>
      </c>
      <c r="D3115" s="436" t="s">
        <v>248</v>
      </c>
      <c r="E3115" s="436">
        <v>1</v>
      </c>
      <c r="F3115" s="465">
        <v>1.65</v>
      </c>
      <c r="G3115" s="466">
        <v>1.65</v>
      </c>
      <c r="H3115" s="466">
        <f>G3115/1.1</f>
        <v>1.4999999999999998</v>
      </c>
      <c r="I3115" s="436"/>
      <c r="J3115" s="465">
        <v>0</v>
      </c>
      <c r="K3115" s="465">
        <v>0</v>
      </c>
    </row>
    <row r="3116" spans="2:11" ht="19" customHeight="1">
      <c r="B3116" s="464">
        <v>46093</v>
      </c>
      <c r="C3116" s="436" t="s">
        <v>247</v>
      </c>
      <c r="D3116" s="436" t="s">
        <v>919</v>
      </c>
      <c r="E3116" s="436">
        <v>2</v>
      </c>
      <c r="F3116" s="465">
        <v>1.7</v>
      </c>
      <c r="G3116" s="466">
        <v>3.4</v>
      </c>
      <c r="H3116" s="466">
        <f>G3116/1.1</f>
        <v>3.0909090909090904</v>
      </c>
      <c r="I3116" s="436"/>
      <c r="J3116" s="465">
        <v>0</v>
      </c>
      <c r="K3116" s="465">
        <v>0</v>
      </c>
    </row>
    <row r="3117" spans="2:11" ht="19" customHeight="1">
      <c r="B3117" s="464">
        <v>46093</v>
      </c>
      <c r="C3117" s="436" t="s">
        <v>247</v>
      </c>
      <c r="D3117" s="436" t="s">
        <v>248</v>
      </c>
      <c r="E3117" s="436">
        <v>1</v>
      </c>
      <c r="F3117" s="465">
        <v>1.5</v>
      </c>
      <c r="G3117" s="466">
        <v>1.5</v>
      </c>
      <c r="H3117" s="466">
        <f>G3117/1.1</f>
        <v>1.3636363636363635</v>
      </c>
      <c r="I3117" s="436"/>
      <c r="J3117" s="465">
        <v>0</v>
      </c>
      <c r="K3117" s="465">
        <v>0</v>
      </c>
    </row>
    <row r="3118" spans="2:11" ht="19" customHeight="1">
      <c r="B3118" s="464">
        <v>46093</v>
      </c>
      <c r="C3118" s="436" t="s">
        <v>247</v>
      </c>
      <c r="D3118" s="436" t="s">
        <v>248</v>
      </c>
      <c r="E3118" s="436">
        <v>2</v>
      </c>
      <c r="F3118" s="465">
        <v>1.5</v>
      </c>
      <c r="G3118" s="466">
        <v>3</v>
      </c>
      <c r="H3118" s="466">
        <f>G3118/1.1</f>
        <v>2.7272727272727271</v>
      </c>
      <c r="I3118" s="436"/>
      <c r="J3118" s="465">
        <v>0</v>
      </c>
      <c r="K3118" s="465">
        <v>0</v>
      </c>
    </row>
    <row r="3119" spans="2:11" ht="19" customHeight="1">
      <c r="B3119" s="464">
        <v>46093</v>
      </c>
      <c r="C3119" s="436" t="s">
        <v>268</v>
      </c>
      <c r="D3119" s="436" t="s">
        <v>858</v>
      </c>
      <c r="E3119" s="436">
        <v>1</v>
      </c>
      <c r="F3119" s="465">
        <v>0.65</v>
      </c>
      <c r="G3119" s="466">
        <v>0.65</v>
      </c>
      <c r="H3119" s="466">
        <f>G3119/1.1</f>
        <v>0.59090909090909083</v>
      </c>
      <c r="I3119" s="436"/>
      <c r="J3119" s="465">
        <v>0</v>
      </c>
      <c r="K3119" s="465">
        <v>0</v>
      </c>
    </row>
    <row r="3120" spans="2:11" ht="19" customHeight="1">
      <c r="B3120" s="464">
        <v>46093</v>
      </c>
      <c r="C3120" s="436" t="s">
        <v>247</v>
      </c>
      <c r="D3120" s="436" t="s">
        <v>246</v>
      </c>
      <c r="E3120" s="436">
        <v>1</v>
      </c>
      <c r="F3120" s="465">
        <v>1.7</v>
      </c>
      <c r="G3120" s="466">
        <v>1.7</v>
      </c>
      <c r="H3120" s="466">
        <f>G3120/1.1</f>
        <v>1.5454545454545452</v>
      </c>
      <c r="I3120" s="436"/>
      <c r="J3120" s="465">
        <v>0</v>
      </c>
      <c r="K3120" s="465">
        <v>0</v>
      </c>
    </row>
    <row r="3121" spans="2:11" ht="19" customHeight="1">
      <c r="B3121" s="464">
        <v>46093</v>
      </c>
      <c r="C3121" s="436" t="s">
        <v>247</v>
      </c>
      <c r="D3121" s="436" t="s">
        <v>246</v>
      </c>
      <c r="E3121" s="436">
        <v>1</v>
      </c>
      <c r="F3121" s="465">
        <v>1.7</v>
      </c>
      <c r="G3121" s="466">
        <v>1.7</v>
      </c>
      <c r="H3121" s="466">
        <f>G3121/1.1</f>
        <v>1.5454545454545452</v>
      </c>
      <c r="I3121" s="436"/>
      <c r="J3121" s="465">
        <v>0</v>
      </c>
      <c r="K3121" s="465">
        <v>0</v>
      </c>
    </row>
    <row r="3122" spans="2:11" ht="19" customHeight="1">
      <c r="B3122" s="464">
        <v>46093</v>
      </c>
      <c r="C3122" s="436" t="s">
        <v>247</v>
      </c>
      <c r="D3122" s="436" t="s">
        <v>257</v>
      </c>
      <c r="E3122" s="436">
        <v>1</v>
      </c>
      <c r="F3122" s="465">
        <v>1.4</v>
      </c>
      <c r="G3122" s="466">
        <v>1.4</v>
      </c>
      <c r="H3122" s="466">
        <f>G3122/1.1</f>
        <v>1.2727272727272725</v>
      </c>
      <c r="I3122" s="436"/>
      <c r="J3122" s="465">
        <v>0</v>
      </c>
      <c r="K3122" s="465">
        <v>0</v>
      </c>
    </row>
    <row r="3123" spans="2:11" ht="19" customHeight="1">
      <c r="B3123" s="464">
        <v>46093</v>
      </c>
      <c r="C3123" s="436" t="s">
        <v>268</v>
      </c>
      <c r="D3123" s="436" t="s">
        <v>859</v>
      </c>
      <c r="E3123" s="436">
        <v>1</v>
      </c>
      <c r="F3123" s="465">
        <v>0.75</v>
      </c>
      <c r="G3123" s="466">
        <v>0.75</v>
      </c>
      <c r="H3123" s="466">
        <f>G3123/1.1</f>
        <v>0.68181818181818177</v>
      </c>
      <c r="I3123" s="436"/>
      <c r="J3123" s="465">
        <v>0</v>
      </c>
      <c r="K3123" s="465">
        <v>0</v>
      </c>
    </row>
    <row r="3124" spans="2:11" ht="19" customHeight="1">
      <c r="B3124" s="464">
        <v>46093</v>
      </c>
      <c r="C3124" s="436" t="s">
        <v>247</v>
      </c>
      <c r="D3124" s="436" t="s">
        <v>257</v>
      </c>
      <c r="E3124" s="436">
        <v>1</v>
      </c>
      <c r="F3124" s="465">
        <v>1.4</v>
      </c>
      <c r="G3124" s="466">
        <v>1.4</v>
      </c>
      <c r="H3124" s="466">
        <f>G3124/1.1</f>
        <v>1.2727272727272725</v>
      </c>
      <c r="I3124" s="436"/>
      <c r="J3124" s="465">
        <v>0</v>
      </c>
      <c r="K3124" s="465">
        <v>0</v>
      </c>
    </row>
    <row r="3125" spans="2:11" ht="19" customHeight="1">
      <c r="B3125" s="464">
        <v>46093</v>
      </c>
      <c r="C3125" s="436" t="s">
        <v>247</v>
      </c>
      <c r="D3125" s="436" t="s">
        <v>246</v>
      </c>
      <c r="E3125" s="436">
        <v>1</v>
      </c>
      <c r="F3125" s="465">
        <v>1.7</v>
      </c>
      <c r="G3125" s="466">
        <v>1.7</v>
      </c>
      <c r="H3125" s="466">
        <f>G3125/1.1</f>
        <v>1.5454545454545452</v>
      </c>
      <c r="I3125" s="436"/>
      <c r="J3125" s="465">
        <v>0</v>
      </c>
      <c r="K3125" s="465">
        <v>0</v>
      </c>
    </row>
    <row r="3126" spans="2:11" ht="19" customHeight="1">
      <c r="B3126" s="464">
        <v>46093</v>
      </c>
      <c r="C3126" s="436" t="s">
        <v>247</v>
      </c>
      <c r="D3126" s="436" t="s">
        <v>246</v>
      </c>
      <c r="E3126" s="436">
        <v>2</v>
      </c>
      <c r="F3126" s="465">
        <v>1.7</v>
      </c>
      <c r="G3126" s="466">
        <v>3.4</v>
      </c>
      <c r="H3126" s="466">
        <f>G3126/1.1</f>
        <v>3.0909090909090904</v>
      </c>
      <c r="I3126" s="436"/>
      <c r="J3126" s="465">
        <v>0</v>
      </c>
      <c r="K3126" s="465">
        <v>0</v>
      </c>
    </row>
    <row r="3127" spans="2:11" ht="19" customHeight="1">
      <c r="B3127" s="464">
        <v>46093</v>
      </c>
      <c r="C3127" s="436" t="s">
        <v>862</v>
      </c>
      <c r="D3127" s="436" t="s">
        <v>899</v>
      </c>
      <c r="E3127" s="436">
        <v>1</v>
      </c>
      <c r="F3127" s="465">
        <v>0.05</v>
      </c>
      <c r="G3127" s="466">
        <v>0.05</v>
      </c>
      <c r="H3127" s="466">
        <f>G3127/1.1</f>
        <v>4.5454545454545456E-2</v>
      </c>
      <c r="I3127" s="436"/>
      <c r="J3127" s="465">
        <v>0</v>
      </c>
      <c r="K3127" s="465">
        <v>0</v>
      </c>
    </row>
    <row r="3128" spans="2:11" ht="19" customHeight="1">
      <c r="B3128" s="464">
        <v>46093</v>
      </c>
      <c r="C3128" s="436" t="s">
        <v>328</v>
      </c>
      <c r="D3128" s="436" t="s">
        <v>787</v>
      </c>
      <c r="E3128" s="436">
        <v>1</v>
      </c>
      <c r="F3128" s="465">
        <v>4.75</v>
      </c>
      <c r="G3128" s="466">
        <v>4.75</v>
      </c>
      <c r="H3128" s="466">
        <f>G3128/1.1</f>
        <v>4.3181818181818175</v>
      </c>
      <c r="I3128" s="436"/>
      <c r="J3128" s="465">
        <v>0</v>
      </c>
      <c r="K3128" s="465">
        <v>0</v>
      </c>
    </row>
    <row r="3129" spans="2:11" ht="19" customHeight="1">
      <c r="B3129" s="464">
        <v>46093</v>
      </c>
      <c r="C3129" s="436" t="s">
        <v>327</v>
      </c>
      <c r="D3129" s="436" t="s">
        <v>856</v>
      </c>
      <c r="E3129" s="436">
        <v>1</v>
      </c>
      <c r="F3129" s="465">
        <v>3.5</v>
      </c>
      <c r="G3129" s="466">
        <v>3.5</v>
      </c>
      <c r="H3129" s="466">
        <f>G3129/1.1</f>
        <v>3.1818181818181817</v>
      </c>
      <c r="I3129" s="436"/>
      <c r="J3129" s="465">
        <v>0</v>
      </c>
      <c r="K3129" s="465">
        <v>0</v>
      </c>
    </row>
    <row r="3130" spans="2:11" ht="19" customHeight="1">
      <c r="B3130" s="464">
        <v>46093</v>
      </c>
      <c r="C3130" s="436" t="s">
        <v>268</v>
      </c>
      <c r="D3130" s="436" t="s">
        <v>267</v>
      </c>
      <c r="E3130" s="436">
        <v>1</v>
      </c>
      <c r="F3130" s="465">
        <v>1.5</v>
      </c>
      <c r="G3130" s="466">
        <v>1.5</v>
      </c>
      <c r="H3130" s="466">
        <f>G3130/1.1</f>
        <v>1.3636363636363635</v>
      </c>
      <c r="I3130" s="436"/>
      <c r="J3130" s="465">
        <v>0</v>
      </c>
      <c r="K3130" s="465">
        <v>0</v>
      </c>
    </row>
    <row r="3131" spans="2:11" ht="19" customHeight="1">
      <c r="B3131" s="464">
        <v>46093</v>
      </c>
      <c r="C3131" s="436" t="s">
        <v>247</v>
      </c>
      <c r="D3131" s="436" t="s">
        <v>246</v>
      </c>
      <c r="E3131" s="436">
        <v>1</v>
      </c>
      <c r="F3131" s="465">
        <v>1.7</v>
      </c>
      <c r="G3131" s="466">
        <v>1.7</v>
      </c>
      <c r="H3131" s="466">
        <f>G3131/1.1</f>
        <v>1.5454545454545452</v>
      </c>
      <c r="I3131" s="436"/>
      <c r="J3131" s="465">
        <v>0</v>
      </c>
      <c r="K3131" s="465">
        <v>0</v>
      </c>
    </row>
    <row r="3132" spans="2:11" ht="19" customHeight="1">
      <c r="B3132" s="464">
        <v>46093</v>
      </c>
      <c r="C3132" s="436" t="s">
        <v>247</v>
      </c>
      <c r="D3132" s="436" t="s">
        <v>246</v>
      </c>
      <c r="E3132" s="436">
        <v>1</v>
      </c>
      <c r="F3132" s="465">
        <v>1.7</v>
      </c>
      <c r="G3132" s="466">
        <v>1.7</v>
      </c>
      <c r="H3132" s="466">
        <f>G3132/1.1</f>
        <v>1.5454545454545452</v>
      </c>
      <c r="I3132" s="436"/>
      <c r="J3132" s="465">
        <v>0</v>
      </c>
      <c r="K3132" s="465">
        <v>0</v>
      </c>
    </row>
    <row r="3133" spans="2:11" ht="19" customHeight="1">
      <c r="B3133" s="464">
        <v>46093</v>
      </c>
      <c r="C3133" s="436" t="s">
        <v>862</v>
      </c>
      <c r="D3133" s="436" t="s">
        <v>863</v>
      </c>
      <c r="E3133" s="436">
        <v>1</v>
      </c>
      <c r="F3133" s="465">
        <v>0.15</v>
      </c>
      <c r="G3133" s="466">
        <v>0.15</v>
      </c>
      <c r="H3133" s="466">
        <f>G3133/1.1</f>
        <v>0.13636363636363635</v>
      </c>
      <c r="I3133" s="436"/>
      <c r="J3133" s="465">
        <v>0</v>
      </c>
      <c r="K3133" s="465">
        <v>0</v>
      </c>
    </row>
    <row r="3134" spans="2:11" ht="19" customHeight="1">
      <c r="B3134" s="464">
        <v>46093</v>
      </c>
      <c r="C3134" s="436" t="s">
        <v>247</v>
      </c>
      <c r="D3134" s="436" t="s">
        <v>248</v>
      </c>
      <c r="E3134" s="436">
        <v>1</v>
      </c>
      <c r="F3134" s="465">
        <v>1.5</v>
      </c>
      <c r="G3134" s="466">
        <v>1.5</v>
      </c>
      <c r="H3134" s="466">
        <f>G3134/1.1</f>
        <v>1.3636363636363635</v>
      </c>
      <c r="I3134" s="436"/>
      <c r="J3134" s="465">
        <v>0</v>
      </c>
      <c r="K3134" s="465">
        <v>0</v>
      </c>
    </row>
    <row r="3135" spans="2:11" ht="19" customHeight="1">
      <c r="B3135" s="464">
        <v>46093</v>
      </c>
      <c r="C3135" s="436" t="s">
        <v>247</v>
      </c>
      <c r="D3135" s="436" t="s">
        <v>246</v>
      </c>
      <c r="E3135" s="436">
        <v>1</v>
      </c>
      <c r="F3135" s="465">
        <v>1.7</v>
      </c>
      <c r="G3135" s="466">
        <v>1.7</v>
      </c>
      <c r="H3135" s="466">
        <f>G3135/1.1</f>
        <v>1.5454545454545452</v>
      </c>
      <c r="I3135" s="436"/>
      <c r="J3135" s="465">
        <v>0</v>
      </c>
      <c r="K3135" s="465">
        <v>0</v>
      </c>
    </row>
    <row r="3136" spans="2:11" ht="19" customHeight="1">
      <c r="B3136" s="464">
        <v>46093</v>
      </c>
      <c r="C3136" s="436" t="s">
        <v>268</v>
      </c>
      <c r="D3136" s="436" t="s">
        <v>267</v>
      </c>
      <c r="E3136" s="436">
        <v>1</v>
      </c>
      <c r="F3136" s="465">
        <v>1.5</v>
      </c>
      <c r="G3136" s="466">
        <v>1.5</v>
      </c>
      <c r="H3136" s="466">
        <f>G3136/1.1</f>
        <v>1.3636363636363635</v>
      </c>
      <c r="I3136" s="436"/>
      <c r="J3136" s="465">
        <v>0</v>
      </c>
      <c r="K3136" s="465">
        <v>0</v>
      </c>
    </row>
    <row r="3137" spans="2:11" ht="19" customHeight="1">
      <c r="B3137" s="464">
        <v>46093</v>
      </c>
      <c r="C3137" s="436" t="s">
        <v>251</v>
      </c>
      <c r="D3137" s="436" t="s">
        <v>1103</v>
      </c>
      <c r="E3137" s="436">
        <v>1</v>
      </c>
      <c r="F3137" s="465">
        <v>2.1</v>
      </c>
      <c r="G3137" s="466">
        <v>2.1</v>
      </c>
      <c r="H3137" s="466">
        <f>G3137/1.1</f>
        <v>1.9090909090909089</v>
      </c>
      <c r="I3137" s="436"/>
      <c r="J3137" s="465">
        <v>0</v>
      </c>
      <c r="K3137" s="465">
        <v>0</v>
      </c>
    </row>
    <row r="3138" spans="2:11" ht="19" customHeight="1">
      <c r="B3138" s="464">
        <v>46093</v>
      </c>
      <c r="C3138" s="436" t="s">
        <v>327</v>
      </c>
      <c r="D3138" s="436" t="s">
        <v>799</v>
      </c>
      <c r="E3138" s="436">
        <v>1</v>
      </c>
      <c r="F3138" s="465">
        <v>3.5</v>
      </c>
      <c r="G3138" s="466">
        <v>3.5</v>
      </c>
      <c r="H3138" s="466">
        <f>G3138/1.1</f>
        <v>3.1818181818181817</v>
      </c>
      <c r="I3138" s="436"/>
      <c r="J3138" s="465">
        <v>0</v>
      </c>
      <c r="K3138" s="465">
        <v>0</v>
      </c>
    </row>
    <row r="3139" spans="2:11" ht="19" customHeight="1">
      <c r="B3139" s="464">
        <v>46093</v>
      </c>
      <c r="C3139" s="436" t="s">
        <v>247</v>
      </c>
      <c r="D3139" s="436" t="s">
        <v>902</v>
      </c>
      <c r="E3139" s="436">
        <v>1</v>
      </c>
      <c r="F3139" s="465">
        <v>1.95</v>
      </c>
      <c r="G3139" s="466">
        <v>1.95</v>
      </c>
      <c r="H3139" s="466">
        <f>G3139/1.1</f>
        <v>1.7727272727272725</v>
      </c>
      <c r="I3139" s="436"/>
      <c r="J3139" s="465">
        <v>0</v>
      </c>
      <c r="K3139" s="465">
        <v>0</v>
      </c>
    </row>
    <row r="3140" spans="2:11" ht="19" customHeight="1">
      <c r="B3140" s="464">
        <v>46093</v>
      </c>
      <c r="C3140" s="436" t="s">
        <v>247</v>
      </c>
      <c r="D3140" s="436" t="s">
        <v>246</v>
      </c>
      <c r="E3140" s="436">
        <v>2</v>
      </c>
      <c r="F3140" s="465">
        <v>1.7</v>
      </c>
      <c r="G3140" s="466">
        <v>3.4</v>
      </c>
      <c r="H3140" s="466">
        <f>G3140/1.1</f>
        <v>3.0909090909090904</v>
      </c>
      <c r="I3140" s="436"/>
      <c r="J3140" s="465">
        <v>0</v>
      </c>
      <c r="K3140" s="465">
        <v>0</v>
      </c>
    </row>
    <row r="3141" spans="2:11" ht="19" customHeight="1">
      <c r="B3141" s="464">
        <v>46093</v>
      </c>
      <c r="C3141" s="436" t="s">
        <v>256</v>
      </c>
      <c r="D3141" s="436" t="s">
        <v>255</v>
      </c>
      <c r="E3141" s="436">
        <v>1</v>
      </c>
      <c r="F3141" s="465">
        <v>5.6</v>
      </c>
      <c r="G3141" s="466">
        <v>5.6</v>
      </c>
      <c r="H3141" s="466">
        <f>G3141/1.1</f>
        <v>5.0909090909090899</v>
      </c>
      <c r="I3141" s="436"/>
      <c r="J3141" s="465">
        <v>0</v>
      </c>
      <c r="K3141" s="465">
        <v>0</v>
      </c>
    </row>
    <row r="3142" spans="2:11" ht="19" customHeight="1">
      <c r="B3142" s="464">
        <v>46093</v>
      </c>
      <c r="C3142" s="436" t="s">
        <v>251</v>
      </c>
      <c r="D3142" s="436" t="s">
        <v>1166</v>
      </c>
      <c r="E3142" s="436">
        <v>1</v>
      </c>
      <c r="F3142" s="465">
        <v>2.65</v>
      </c>
      <c r="G3142" s="466">
        <v>2.65</v>
      </c>
      <c r="H3142" s="466">
        <f>G3142/1.1</f>
        <v>2.4090909090909087</v>
      </c>
      <c r="I3142" s="436"/>
      <c r="J3142" s="465">
        <v>0</v>
      </c>
      <c r="K3142" s="465">
        <v>0</v>
      </c>
    </row>
    <row r="3143" spans="2:11" ht="19" customHeight="1">
      <c r="B3143" s="464">
        <v>46093</v>
      </c>
      <c r="C3143" s="436" t="s">
        <v>251</v>
      </c>
      <c r="D3143" s="436" t="s">
        <v>1166</v>
      </c>
      <c r="E3143" s="436">
        <v>1</v>
      </c>
      <c r="F3143" s="465">
        <v>2.65</v>
      </c>
      <c r="G3143" s="466">
        <v>2.65</v>
      </c>
      <c r="H3143" s="466">
        <f>G3143/1.1</f>
        <v>2.4090909090909087</v>
      </c>
      <c r="I3143" s="436"/>
      <c r="J3143" s="465">
        <v>0</v>
      </c>
      <c r="K3143" s="465">
        <v>0</v>
      </c>
    </row>
    <row r="3144" spans="2:11" ht="19" customHeight="1">
      <c r="B3144" s="464">
        <v>46093</v>
      </c>
      <c r="C3144" s="436" t="s">
        <v>256</v>
      </c>
      <c r="D3144" s="436" t="s">
        <v>678</v>
      </c>
      <c r="E3144" s="436">
        <v>1</v>
      </c>
      <c r="F3144" s="465">
        <v>6.9</v>
      </c>
      <c r="G3144" s="466">
        <v>6.9</v>
      </c>
      <c r="H3144" s="466">
        <f>G3144/1.1</f>
        <v>6.2727272727272725</v>
      </c>
      <c r="I3144" s="436"/>
      <c r="J3144" s="465">
        <v>0</v>
      </c>
      <c r="K3144" s="465">
        <v>0</v>
      </c>
    </row>
    <row r="3145" spans="2:11" ht="19" customHeight="1">
      <c r="B3145" s="464">
        <v>46093</v>
      </c>
      <c r="C3145" s="436" t="s">
        <v>251</v>
      </c>
      <c r="D3145" s="436" t="s">
        <v>708</v>
      </c>
      <c r="E3145" s="436">
        <v>1</v>
      </c>
      <c r="F3145" s="465">
        <v>1.95</v>
      </c>
      <c r="G3145" s="466">
        <v>1.95</v>
      </c>
      <c r="H3145" s="466">
        <f>G3145/1.1</f>
        <v>1.7727272727272725</v>
      </c>
      <c r="I3145" s="436"/>
      <c r="J3145" s="465">
        <v>0</v>
      </c>
      <c r="K3145" s="465">
        <v>0</v>
      </c>
    </row>
    <row r="3146" spans="2:11" ht="19" customHeight="1">
      <c r="B3146" s="464">
        <v>46093</v>
      </c>
      <c r="C3146" s="436" t="s">
        <v>253</v>
      </c>
      <c r="D3146" s="436" t="s">
        <v>869</v>
      </c>
      <c r="E3146" s="436">
        <v>1</v>
      </c>
      <c r="F3146" s="465">
        <v>2.5</v>
      </c>
      <c r="G3146" s="466">
        <v>2.5</v>
      </c>
      <c r="H3146" s="466">
        <f>G3146/1.1</f>
        <v>2.2727272727272725</v>
      </c>
      <c r="I3146" s="436"/>
      <c r="J3146" s="465">
        <v>0</v>
      </c>
      <c r="K3146" s="465">
        <v>0</v>
      </c>
    </row>
    <row r="3147" spans="2:11" ht="19" customHeight="1">
      <c r="B3147" s="464">
        <v>46094</v>
      </c>
      <c r="C3147" s="436" t="s">
        <v>254</v>
      </c>
      <c r="D3147" s="436" t="s">
        <v>254</v>
      </c>
      <c r="E3147" s="436">
        <v>2</v>
      </c>
      <c r="F3147" s="465">
        <v>14.9</v>
      </c>
      <c r="G3147" s="466">
        <v>29.8</v>
      </c>
      <c r="H3147" s="466">
        <f>G3147/1.1</f>
        <v>27.09090909090909</v>
      </c>
      <c r="I3147" s="436"/>
      <c r="J3147" s="465">
        <v>0</v>
      </c>
      <c r="K3147" s="465">
        <v>0</v>
      </c>
    </row>
    <row r="3148" spans="2:11" ht="19" customHeight="1">
      <c r="B3148" s="464">
        <v>46094</v>
      </c>
      <c r="C3148" s="436" t="s">
        <v>873</v>
      </c>
      <c r="D3148" s="436" t="s">
        <v>1163</v>
      </c>
      <c r="E3148" s="436">
        <v>1</v>
      </c>
      <c r="F3148" s="469"/>
      <c r="G3148" s="468" t="s">
        <v>875</v>
      </c>
      <c r="H3148" s="466" t="e">
        <f>G3148/1.1</f>
        <v>#VALUE!</v>
      </c>
      <c r="I3148" s="436"/>
      <c r="J3148" s="465">
        <v>0</v>
      </c>
      <c r="K3148" s="465">
        <v>0</v>
      </c>
    </row>
    <row r="3149" spans="2:11" ht="19" customHeight="1">
      <c r="B3149" s="464">
        <v>46094</v>
      </c>
      <c r="C3149" s="436" t="s">
        <v>873</v>
      </c>
      <c r="D3149" s="436" t="s">
        <v>1155</v>
      </c>
      <c r="E3149" s="436">
        <v>1</v>
      </c>
      <c r="F3149" s="469"/>
      <c r="G3149" s="468" t="s">
        <v>875</v>
      </c>
      <c r="H3149" s="466" t="e">
        <f>G3149/1.1</f>
        <v>#VALUE!</v>
      </c>
      <c r="I3149" s="436"/>
      <c r="J3149" s="465">
        <v>0</v>
      </c>
      <c r="K3149" s="465">
        <v>0</v>
      </c>
    </row>
    <row r="3150" spans="2:11" ht="19" customHeight="1">
      <c r="B3150" s="464">
        <v>46094</v>
      </c>
      <c r="C3150" s="436" t="s">
        <v>877</v>
      </c>
      <c r="D3150" s="436" t="s">
        <v>1157</v>
      </c>
      <c r="E3150" s="436">
        <v>2</v>
      </c>
      <c r="F3150" s="469"/>
      <c r="G3150" s="468" t="s">
        <v>875</v>
      </c>
      <c r="H3150" s="466" t="e">
        <f>G3150/1.1</f>
        <v>#VALUE!</v>
      </c>
      <c r="I3150" s="436"/>
      <c r="J3150" s="465">
        <v>0</v>
      </c>
      <c r="K3150" s="465">
        <v>0</v>
      </c>
    </row>
    <row r="3151" spans="2:11" ht="19" customHeight="1">
      <c r="B3151" s="464">
        <v>46094</v>
      </c>
      <c r="C3151" s="436" t="s">
        <v>266</v>
      </c>
      <c r="D3151" s="436" t="s">
        <v>250</v>
      </c>
      <c r="E3151" s="436">
        <v>2</v>
      </c>
      <c r="F3151" s="469"/>
      <c r="G3151" s="468" t="s">
        <v>875</v>
      </c>
      <c r="H3151" s="466" t="e">
        <f>G3151/1.1</f>
        <v>#VALUE!</v>
      </c>
      <c r="I3151" s="436"/>
      <c r="J3151" s="465">
        <v>0</v>
      </c>
      <c r="K3151" s="465">
        <v>0</v>
      </c>
    </row>
    <row r="3152" spans="2:11" ht="19" customHeight="1">
      <c r="B3152" s="464">
        <v>46094</v>
      </c>
      <c r="C3152" s="436" t="s">
        <v>258</v>
      </c>
      <c r="D3152" s="436" t="s">
        <v>883</v>
      </c>
      <c r="E3152" s="436">
        <v>1</v>
      </c>
      <c r="F3152" s="469"/>
      <c r="G3152" s="468" t="s">
        <v>875</v>
      </c>
      <c r="H3152" s="466" t="e">
        <f>G3152/1.1</f>
        <v>#VALUE!</v>
      </c>
      <c r="I3152" s="436"/>
      <c r="J3152" s="465">
        <v>0</v>
      </c>
      <c r="K3152" s="465">
        <v>0</v>
      </c>
    </row>
    <row r="3153" spans="2:11" ht="19" customHeight="1">
      <c r="B3153" s="464">
        <v>46094</v>
      </c>
      <c r="C3153" s="436" t="s">
        <v>258</v>
      </c>
      <c r="D3153" s="436" t="s">
        <v>1058</v>
      </c>
      <c r="E3153" s="436">
        <v>1</v>
      </c>
      <c r="F3153" s="469"/>
      <c r="G3153" s="468" t="s">
        <v>875</v>
      </c>
      <c r="H3153" s="466" t="e">
        <f>G3153/1.1</f>
        <v>#VALUE!</v>
      </c>
      <c r="I3153" s="436"/>
      <c r="J3153" s="465">
        <v>0</v>
      </c>
      <c r="K3153" s="465">
        <v>0</v>
      </c>
    </row>
    <row r="3154" spans="2:11" ht="19" customHeight="1">
      <c r="B3154" s="464">
        <v>46094</v>
      </c>
      <c r="C3154" s="436" t="s">
        <v>264</v>
      </c>
      <c r="D3154" s="436" t="s">
        <v>930</v>
      </c>
      <c r="E3154" s="436">
        <v>1</v>
      </c>
      <c r="F3154" s="465">
        <v>3.5</v>
      </c>
      <c r="G3154" s="466">
        <v>3.5</v>
      </c>
      <c r="H3154" s="466">
        <f>G3154/1.1</f>
        <v>3.1818181818181817</v>
      </c>
      <c r="I3154" s="436"/>
      <c r="J3154" s="465">
        <v>0</v>
      </c>
      <c r="K3154" s="465">
        <v>0</v>
      </c>
    </row>
    <row r="3155" spans="2:11" ht="19" customHeight="1">
      <c r="B3155" s="464">
        <v>46094</v>
      </c>
      <c r="C3155" s="436" t="s">
        <v>264</v>
      </c>
      <c r="D3155" s="436" t="s">
        <v>983</v>
      </c>
      <c r="E3155" s="436">
        <v>1</v>
      </c>
      <c r="F3155" s="465">
        <v>2.75</v>
      </c>
      <c r="G3155" s="466">
        <v>2.75</v>
      </c>
      <c r="H3155" s="466">
        <f>G3155/1.1</f>
        <v>2.5</v>
      </c>
      <c r="I3155" s="436"/>
      <c r="J3155" s="465">
        <v>0</v>
      </c>
      <c r="K3155" s="465">
        <v>0</v>
      </c>
    </row>
    <row r="3156" spans="2:11" ht="19" customHeight="1">
      <c r="B3156" s="464">
        <v>46094</v>
      </c>
      <c r="C3156" s="436" t="s">
        <v>256</v>
      </c>
      <c r="D3156" s="436" t="s">
        <v>931</v>
      </c>
      <c r="E3156" s="436">
        <v>1</v>
      </c>
      <c r="F3156" s="465">
        <v>8.5</v>
      </c>
      <c r="G3156" s="466">
        <v>8.5</v>
      </c>
      <c r="H3156" s="466">
        <f>G3156/1.1</f>
        <v>7.7272727272727266</v>
      </c>
      <c r="I3156" s="436"/>
      <c r="J3156" s="465">
        <v>0</v>
      </c>
      <c r="K3156" s="465">
        <v>0</v>
      </c>
    </row>
    <row r="3157" spans="2:11" ht="19" customHeight="1">
      <c r="B3157" s="464">
        <v>46094</v>
      </c>
      <c r="C3157" s="436" t="s">
        <v>247</v>
      </c>
      <c r="D3157" s="436" t="s">
        <v>257</v>
      </c>
      <c r="E3157" s="436">
        <v>1</v>
      </c>
      <c r="F3157" s="465">
        <v>1.55</v>
      </c>
      <c r="G3157" s="466">
        <v>1.55</v>
      </c>
      <c r="H3157" s="466">
        <f>G3157/1.1</f>
        <v>1.4090909090909089</v>
      </c>
      <c r="I3157" s="436"/>
      <c r="J3157" s="465">
        <v>0</v>
      </c>
      <c r="K3157" s="465">
        <v>0</v>
      </c>
    </row>
    <row r="3158" spans="2:11" ht="19" customHeight="1">
      <c r="B3158" s="464">
        <v>46094</v>
      </c>
      <c r="C3158" s="436" t="s">
        <v>247</v>
      </c>
      <c r="D3158" s="436" t="s">
        <v>248</v>
      </c>
      <c r="E3158" s="436">
        <v>1</v>
      </c>
      <c r="F3158" s="465">
        <v>1.65</v>
      </c>
      <c r="G3158" s="466">
        <v>1.65</v>
      </c>
      <c r="H3158" s="466">
        <f>G3158/1.1</f>
        <v>1.4999999999999998</v>
      </c>
      <c r="I3158" s="436"/>
      <c r="J3158" s="465">
        <v>0</v>
      </c>
      <c r="K3158" s="465">
        <v>0</v>
      </c>
    </row>
    <row r="3159" spans="2:11" ht="19" customHeight="1">
      <c r="B3159" s="464">
        <v>46094</v>
      </c>
      <c r="C3159" s="436" t="s">
        <v>254</v>
      </c>
      <c r="D3159" s="436" t="s">
        <v>254</v>
      </c>
      <c r="E3159" s="436">
        <v>2</v>
      </c>
      <c r="F3159" s="465">
        <v>14.9</v>
      </c>
      <c r="G3159" s="466">
        <v>29.8</v>
      </c>
      <c r="H3159" s="466">
        <f>G3159/1.1</f>
        <v>27.09090909090909</v>
      </c>
      <c r="I3159" s="436"/>
      <c r="J3159" s="465">
        <v>0</v>
      </c>
      <c r="K3159" s="465">
        <v>0</v>
      </c>
    </row>
    <row r="3160" spans="2:11" ht="19" customHeight="1">
      <c r="B3160" s="464">
        <v>46094</v>
      </c>
      <c r="C3160" s="436" t="s">
        <v>873</v>
      </c>
      <c r="D3160" s="436" t="s">
        <v>1167</v>
      </c>
      <c r="E3160" s="436">
        <v>1</v>
      </c>
      <c r="F3160" s="469"/>
      <c r="G3160" s="468" t="s">
        <v>875</v>
      </c>
      <c r="H3160" s="466" t="e">
        <f>G3160/1.1</f>
        <v>#VALUE!</v>
      </c>
      <c r="I3160" s="436"/>
      <c r="J3160" s="465">
        <v>0</v>
      </c>
      <c r="K3160" s="465">
        <v>0</v>
      </c>
    </row>
    <row r="3161" spans="2:11" ht="19" customHeight="1">
      <c r="B3161" s="464">
        <v>46094</v>
      </c>
      <c r="C3161" s="436" t="s">
        <v>873</v>
      </c>
      <c r="D3161" s="436" t="s">
        <v>1164</v>
      </c>
      <c r="E3161" s="436">
        <v>1</v>
      </c>
      <c r="F3161" s="465">
        <v>5</v>
      </c>
      <c r="G3161" s="466">
        <v>5</v>
      </c>
      <c r="H3161" s="466">
        <f>G3161/1.1</f>
        <v>4.545454545454545</v>
      </c>
      <c r="I3161" s="436"/>
      <c r="J3161" s="465">
        <v>0</v>
      </c>
      <c r="K3161" s="465">
        <v>0</v>
      </c>
    </row>
    <row r="3162" spans="2:11" ht="19" customHeight="1">
      <c r="B3162" s="464">
        <v>46094</v>
      </c>
      <c r="C3162" s="436" t="s">
        <v>877</v>
      </c>
      <c r="D3162" s="436" t="s">
        <v>1155</v>
      </c>
      <c r="E3162" s="436">
        <v>1</v>
      </c>
      <c r="F3162" s="469"/>
      <c r="G3162" s="468" t="s">
        <v>875</v>
      </c>
      <c r="H3162" s="466" t="e">
        <f>G3162/1.1</f>
        <v>#VALUE!</v>
      </c>
      <c r="I3162" s="436"/>
      <c r="J3162" s="465">
        <v>0</v>
      </c>
      <c r="K3162" s="465">
        <v>0</v>
      </c>
    </row>
    <row r="3163" spans="2:11" ht="19" customHeight="1">
      <c r="B3163" s="464">
        <v>46094</v>
      </c>
      <c r="C3163" s="436" t="s">
        <v>877</v>
      </c>
      <c r="D3163" s="436" t="s">
        <v>1154</v>
      </c>
      <c r="E3163" s="436">
        <v>1</v>
      </c>
      <c r="F3163" s="469"/>
      <c r="G3163" s="468" t="s">
        <v>875</v>
      </c>
      <c r="H3163" s="466" t="e">
        <f>G3163/1.1</f>
        <v>#VALUE!</v>
      </c>
      <c r="I3163" s="436"/>
      <c r="J3163" s="465">
        <v>0</v>
      </c>
      <c r="K3163" s="465">
        <v>0</v>
      </c>
    </row>
    <row r="3164" spans="2:11" ht="19" customHeight="1">
      <c r="B3164" s="464">
        <v>46094</v>
      </c>
      <c r="C3164" s="436" t="s">
        <v>266</v>
      </c>
      <c r="D3164" s="436" t="s">
        <v>991</v>
      </c>
      <c r="E3164" s="436">
        <v>2</v>
      </c>
      <c r="F3164" s="469"/>
      <c r="G3164" s="468" t="s">
        <v>875</v>
      </c>
      <c r="H3164" s="466" t="e">
        <f>G3164/1.1</f>
        <v>#VALUE!</v>
      </c>
      <c r="I3164" s="436"/>
      <c r="J3164" s="465">
        <v>0</v>
      </c>
      <c r="K3164" s="465">
        <v>0</v>
      </c>
    </row>
    <row r="3165" spans="2:11" ht="19" customHeight="1">
      <c r="B3165" s="464">
        <v>46094</v>
      </c>
      <c r="C3165" s="436" t="s">
        <v>258</v>
      </c>
      <c r="D3165" s="436" t="s">
        <v>1058</v>
      </c>
      <c r="E3165" s="436">
        <v>1</v>
      </c>
      <c r="F3165" s="469"/>
      <c r="G3165" s="468" t="s">
        <v>875</v>
      </c>
      <c r="H3165" s="466" t="e">
        <f>G3165/1.1</f>
        <v>#VALUE!</v>
      </c>
      <c r="I3165" s="436"/>
      <c r="J3165" s="465">
        <v>0</v>
      </c>
      <c r="K3165" s="465">
        <v>0</v>
      </c>
    </row>
    <row r="3166" spans="2:11" ht="19" customHeight="1">
      <c r="B3166" s="464">
        <v>46094</v>
      </c>
      <c r="C3166" s="436" t="s">
        <v>256</v>
      </c>
      <c r="D3166" s="436" t="s">
        <v>1168</v>
      </c>
      <c r="E3166" s="436">
        <v>1</v>
      </c>
      <c r="F3166" s="465">
        <v>9.9</v>
      </c>
      <c r="G3166" s="466">
        <v>9.9</v>
      </c>
      <c r="H3166" s="466">
        <f>G3166/1.1</f>
        <v>9</v>
      </c>
      <c r="I3166" s="436"/>
      <c r="J3166" s="465">
        <v>0</v>
      </c>
      <c r="K3166" s="465">
        <v>0</v>
      </c>
    </row>
    <row r="3167" spans="2:11" ht="19" customHeight="1">
      <c r="B3167" s="464">
        <v>46094</v>
      </c>
      <c r="C3167" s="436" t="s">
        <v>254</v>
      </c>
      <c r="D3167" s="436" t="s">
        <v>254</v>
      </c>
      <c r="E3167" s="436">
        <v>4</v>
      </c>
      <c r="F3167" s="465">
        <v>14.9</v>
      </c>
      <c r="G3167" s="466">
        <v>59.6</v>
      </c>
      <c r="H3167" s="466">
        <f>G3167/1.1</f>
        <v>54.18181818181818</v>
      </c>
      <c r="I3167" s="436"/>
      <c r="J3167" s="465">
        <v>0</v>
      </c>
      <c r="K3167" s="465">
        <v>0</v>
      </c>
    </row>
    <row r="3168" spans="2:11" ht="19" customHeight="1">
      <c r="B3168" s="464">
        <v>46094</v>
      </c>
      <c r="C3168" s="436" t="s">
        <v>873</v>
      </c>
      <c r="D3168" s="436" t="s">
        <v>1163</v>
      </c>
      <c r="E3168" s="436">
        <v>2</v>
      </c>
      <c r="F3168" s="469"/>
      <c r="G3168" s="468" t="s">
        <v>875</v>
      </c>
      <c r="H3168" s="466" t="e">
        <f>G3168/1.1</f>
        <v>#VALUE!</v>
      </c>
      <c r="I3168" s="436"/>
      <c r="J3168" s="465">
        <v>0</v>
      </c>
      <c r="K3168" s="465">
        <v>0</v>
      </c>
    </row>
    <row r="3169" spans="2:11" ht="19" customHeight="1">
      <c r="B3169" s="464">
        <v>46094</v>
      </c>
      <c r="C3169" s="436" t="s">
        <v>873</v>
      </c>
      <c r="D3169" s="436" t="s">
        <v>1164</v>
      </c>
      <c r="E3169" s="436">
        <v>1</v>
      </c>
      <c r="F3169" s="465">
        <v>5</v>
      </c>
      <c r="G3169" s="466">
        <v>5</v>
      </c>
      <c r="H3169" s="466">
        <f>G3169/1.1</f>
        <v>4.545454545454545</v>
      </c>
      <c r="I3169" s="436"/>
      <c r="J3169" s="465">
        <v>0</v>
      </c>
      <c r="K3169" s="465">
        <v>0</v>
      </c>
    </row>
    <row r="3170" spans="2:11" ht="19" customHeight="1">
      <c r="B3170" s="464">
        <v>46094</v>
      </c>
      <c r="C3170" s="436" t="s">
        <v>873</v>
      </c>
      <c r="D3170" s="436" t="s">
        <v>1169</v>
      </c>
      <c r="E3170" s="436">
        <v>1</v>
      </c>
      <c r="F3170" s="465">
        <v>3</v>
      </c>
      <c r="G3170" s="466">
        <v>3</v>
      </c>
      <c r="H3170" s="466">
        <f>G3170/1.1</f>
        <v>2.7272727272727271</v>
      </c>
      <c r="I3170" s="436"/>
      <c r="J3170" s="465">
        <v>0</v>
      </c>
      <c r="K3170" s="465">
        <v>0</v>
      </c>
    </row>
    <row r="3171" spans="2:11" ht="19" customHeight="1">
      <c r="B3171" s="464">
        <v>46094</v>
      </c>
      <c r="C3171" s="436" t="s">
        <v>877</v>
      </c>
      <c r="D3171" s="436" t="s">
        <v>1157</v>
      </c>
      <c r="E3171" s="436">
        <v>2</v>
      </c>
      <c r="F3171" s="469"/>
      <c r="G3171" s="468" t="s">
        <v>875</v>
      </c>
      <c r="H3171" s="466" t="e">
        <f>G3171/1.1</f>
        <v>#VALUE!</v>
      </c>
      <c r="I3171" s="436"/>
      <c r="J3171" s="465">
        <v>0</v>
      </c>
      <c r="K3171" s="465">
        <v>0</v>
      </c>
    </row>
    <row r="3172" spans="2:11" ht="19" customHeight="1">
      <c r="B3172" s="464">
        <v>46094</v>
      </c>
      <c r="C3172" s="436" t="s">
        <v>877</v>
      </c>
      <c r="D3172" s="436" t="s">
        <v>1154</v>
      </c>
      <c r="E3172" s="436">
        <v>2</v>
      </c>
      <c r="F3172" s="469"/>
      <c r="G3172" s="468" t="s">
        <v>875</v>
      </c>
      <c r="H3172" s="466" t="e">
        <f>G3172/1.1</f>
        <v>#VALUE!</v>
      </c>
      <c r="I3172" s="436"/>
      <c r="J3172" s="465">
        <v>0</v>
      </c>
      <c r="K3172" s="465">
        <v>0</v>
      </c>
    </row>
    <row r="3173" spans="2:11" ht="19" customHeight="1">
      <c r="B3173" s="464">
        <v>46094</v>
      </c>
      <c r="C3173" s="436" t="s">
        <v>266</v>
      </c>
      <c r="D3173" s="436" t="s">
        <v>942</v>
      </c>
      <c r="E3173" s="436">
        <v>1</v>
      </c>
      <c r="F3173" s="469"/>
      <c r="G3173" s="468" t="s">
        <v>875</v>
      </c>
      <c r="H3173" s="466" t="e">
        <f>G3173/1.1</f>
        <v>#VALUE!</v>
      </c>
      <c r="I3173" s="436"/>
      <c r="J3173" s="465">
        <v>0</v>
      </c>
      <c r="K3173" s="465">
        <v>0</v>
      </c>
    </row>
    <row r="3174" spans="2:11" ht="19" customHeight="1">
      <c r="B3174" s="464">
        <v>46094</v>
      </c>
      <c r="C3174" s="436" t="s">
        <v>266</v>
      </c>
      <c r="D3174" s="436" t="s">
        <v>250</v>
      </c>
      <c r="E3174" s="436">
        <v>1</v>
      </c>
      <c r="F3174" s="469"/>
      <c r="G3174" s="468" t="s">
        <v>875</v>
      </c>
      <c r="H3174" s="466" t="e">
        <f>G3174/1.1</f>
        <v>#VALUE!</v>
      </c>
      <c r="I3174" s="436"/>
      <c r="J3174" s="465">
        <v>0</v>
      </c>
      <c r="K3174" s="465">
        <v>0</v>
      </c>
    </row>
    <row r="3175" spans="2:11" ht="19" customHeight="1">
      <c r="B3175" s="464">
        <v>46094</v>
      </c>
      <c r="C3175" s="436" t="s">
        <v>266</v>
      </c>
      <c r="D3175" s="436" t="s">
        <v>1066</v>
      </c>
      <c r="E3175" s="436">
        <v>2</v>
      </c>
      <c r="F3175" s="469"/>
      <c r="G3175" s="468" t="s">
        <v>875</v>
      </c>
      <c r="H3175" s="466" t="e">
        <f>G3175/1.1</f>
        <v>#VALUE!</v>
      </c>
      <c r="I3175" s="436"/>
      <c r="J3175" s="465">
        <v>0</v>
      </c>
      <c r="K3175" s="465">
        <v>0</v>
      </c>
    </row>
    <row r="3176" spans="2:11" ht="19" customHeight="1">
      <c r="B3176" s="464">
        <v>46094</v>
      </c>
      <c r="C3176" s="436" t="s">
        <v>258</v>
      </c>
      <c r="D3176" s="436" t="s">
        <v>883</v>
      </c>
      <c r="E3176" s="436">
        <v>2</v>
      </c>
      <c r="F3176" s="469"/>
      <c r="G3176" s="468" t="s">
        <v>875</v>
      </c>
      <c r="H3176" s="466" t="e">
        <f>G3176/1.1</f>
        <v>#VALUE!</v>
      </c>
      <c r="I3176" s="436"/>
      <c r="J3176" s="465">
        <v>0</v>
      </c>
      <c r="K3176" s="465">
        <v>0</v>
      </c>
    </row>
    <row r="3177" spans="2:11" ht="19" customHeight="1">
      <c r="B3177" s="464">
        <v>46094</v>
      </c>
      <c r="C3177" s="436" t="s">
        <v>258</v>
      </c>
      <c r="D3177" s="436" t="s">
        <v>1058</v>
      </c>
      <c r="E3177" s="436">
        <v>2</v>
      </c>
      <c r="F3177" s="469"/>
      <c r="G3177" s="468" t="s">
        <v>875</v>
      </c>
      <c r="H3177" s="466" t="e">
        <f>G3177/1.1</f>
        <v>#VALUE!</v>
      </c>
      <c r="I3177" s="436"/>
      <c r="J3177" s="465">
        <v>0</v>
      </c>
      <c r="K3177" s="465">
        <v>0</v>
      </c>
    </row>
    <row r="3178" spans="2:11" ht="19" customHeight="1">
      <c r="B3178" s="464">
        <v>46094</v>
      </c>
      <c r="C3178" s="436" t="s">
        <v>254</v>
      </c>
      <c r="D3178" s="436" t="s">
        <v>254</v>
      </c>
      <c r="E3178" s="436">
        <v>2</v>
      </c>
      <c r="F3178" s="465">
        <v>14.9</v>
      </c>
      <c r="G3178" s="466">
        <v>29.8</v>
      </c>
      <c r="H3178" s="466">
        <f>G3178/1.1</f>
        <v>27.09090909090909</v>
      </c>
      <c r="I3178" s="436"/>
      <c r="J3178" s="465">
        <v>0</v>
      </c>
      <c r="K3178" s="465">
        <v>0</v>
      </c>
    </row>
    <row r="3179" spans="2:11" ht="19" customHeight="1">
      <c r="B3179" s="464">
        <v>46094</v>
      </c>
      <c r="C3179" s="436" t="s">
        <v>873</v>
      </c>
      <c r="D3179" s="436" t="s">
        <v>1163</v>
      </c>
      <c r="E3179" s="436">
        <v>1</v>
      </c>
      <c r="F3179" s="469"/>
      <c r="G3179" s="468" t="s">
        <v>875</v>
      </c>
      <c r="H3179" s="466" t="e">
        <f>G3179/1.1</f>
        <v>#VALUE!</v>
      </c>
      <c r="I3179" s="436"/>
      <c r="J3179" s="465">
        <v>0</v>
      </c>
      <c r="K3179" s="465">
        <v>0</v>
      </c>
    </row>
    <row r="3180" spans="2:11" ht="19" customHeight="1">
      <c r="B3180" s="464">
        <v>46094</v>
      </c>
      <c r="C3180" s="436" t="s">
        <v>873</v>
      </c>
      <c r="D3180" s="436" t="s">
        <v>1155</v>
      </c>
      <c r="E3180" s="436">
        <v>1</v>
      </c>
      <c r="F3180" s="469"/>
      <c r="G3180" s="468" t="s">
        <v>875</v>
      </c>
      <c r="H3180" s="466" t="e">
        <f>G3180/1.1</f>
        <v>#VALUE!</v>
      </c>
      <c r="I3180" s="436"/>
      <c r="J3180" s="465">
        <v>0</v>
      </c>
      <c r="K3180" s="465">
        <v>0</v>
      </c>
    </row>
    <row r="3181" spans="2:11" ht="19" customHeight="1">
      <c r="B3181" s="464">
        <v>46094</v>
      </c>
      <c r="C3181" s="436" t="s">
        <v>877</v>
      </c>
      <c r="D3181" s="436" t="s">
        <v>1157</v>
      </c>
      <c r="E3181" s="436">
        <v>1</v>
      </c>
      <c r="F3181" s="469"/>
      <c r="G3181" s="468" t="s">
        <v>875</v>
      </c>
      <c r="H3181" s="466" t="e">
        <f>G3181/1.1</f>
        <v>#VALUE!</v>
      </c>
      <c r="I3181" s="436"/>
      <c r="J3181" s="465">
        <v>0</v>
      </c>
      <c r="K3181" s="465">
        <v>0</v>
      </c>
    </row>
    <row r="3182" spans="2:11" ht="19" customHeight="1">
      <c r="B3182" s="464">
        <v>46094</v>
      </c>
      <c r="C3182" s="436" t="s">
        <v>877</v>
      </c>
      <c r="D3182" s="436" t="s">
        <v>1156</v>
      </c>
      <c r="E3182" s="436">
        <v>1</v>
      </c>
      <c r="F3182" s="465">
        <v>3</v>
      </c>
      <c r="G3182" s="466">
        <v>3</v>
      </c>
      <c r="H3182" s="466">
        <f>G3182/1.1</f>
        <v>2.7272727272727271</v>
      </c>
      <c r="I3182" s="436"/>
      <c r="J3182" s="465">
        <v>0</v>
      </c>
      <c r="K3182" s="465">
        <v>0</v>
      </c>
    </row>
    <row r="3183" spans="2:11" ht="19" customHeight="1">
      <c r="B3183" s="464">
        <v>46094</v>
      </c>
      <c r="C3183" s="436" t="s">
        <v>266</v>
      </c>
      <c r="D3183" s="436" t="s">
        <v>804</v>
      </c>
      <c r="E3183" s="436">
        <v>1</v>
      </c>
      <c r="F3183" s="469"/>
      <c r="G3183" s="468" t="s">
        <v>875</v>
      </c>
      <c r="H3183" s="466" t="e">
        <f>G3183/1.1</f>
        <v>#VALUE!</v>
      </c>
      <c r="I3183" s="436"/>
      <c r="J3183" s="465">
        <v>0</v>
      </c>
      <c r="K3183" s="465">
        <v>0</v>
      </c>
    </row>
    <row r="3184" spans="2:11" ht="19" customHeight="1">
      <c r="B3184" s="464">
        <v>46094</v>
      </c>
      <c r="C3184" s="436" t="s">
        <v>266</v>
      </c>
      <c r="D3184" s="436" t="s">
        <v>250</v>
      </c>
      <c r="E3184" s="436">
        <v>1</v>
      </c>
      <c r="F3184" s="469"/>
      <c r="G3184" s="468" t="s">
        <v>875</v>
      </c>
      <c r="H3184" s="466" t="e">
        <f>G3184/1.1</f>
        <v>#VALUE!</v>
      </c>
      <c r="I3184" s="436"/>
      <c r="J3184" s="465">
        <v>0</v>
      </c>
      <c r="K3184" s="465">
        <v>0</v>
      </c>
    </row>
    <row r="3185" spans="2:11" ht="19" customHeight="1">
      <c r="B3185" s="464">
        <v>46094</v>
      </c>
      <c r="C3185" s="436" t="s">
        <v>247</v>
      </c>
      <c r="D3185" s="436" t="s">
        <v>246</v>
      </c>
      <c r="E3185" s="436">
        <v>1</v>
      </c>
      <c r="F3185" s="465">
        <v>1.7</v>
      </c>
      <c r="G3185" s="466">
        <v>1.7</v>
      </c>
      <c r="H3185" s="466">
        <f>G3185/1.1</f>
        <v>1.5454545454545452</v>
      </c>
      <c r="I3185" s="436"/>
      <c r="J3185" s="465">
        <v>0</v>
      </c>
      <c r="K3185" s="465">
        <v>0</v>
      </c>
    </row>
    <row r="3186" spans="2:11" ht="19" customHeight="1">
      <c r="B3186" s="464">
        <v>46094</v>
      </c>
      <c r="C3186" s="436" t="s">
        <v>247</v>
      </c>
      <c r="D3186" s="436" t="s">
        <v>246</v>
      </c>
      <c r="E3186" s="436">
        <v>1</v>
      </c>
      <c r="F3186" s="465">
        <v>1.7</v>
      </c>
      <c r="G3186" s="466">
        <v>1.7</v>
      </c>
      <c r="H3186" s="466">
        <f>G3186/1.1</f>
        <v>1.5454545454545452</v>
      </c>
      <c r="I3186" s="436"/>
      <c r="J3186" s="465">
        <v>0</v>
      </c>
      <c r="K3186" s="465">
        <v>0</v>
      </c>
    </row>
    <row r="3187" spans="2:11" ht="19" customHeight="1">
      <c r="B3187" s="464">
        <v>46094</v>
      </c>
      <c r="C3187" s="436" t="s">
        <v>256</v>
      </c>
      <c r="D3187" s="436" t="s">
        <v>255</v>
      </c>
      <c r="E3187" s="436">
        <v>1</v>
      </c>
      <c r="F3187" s="465">
        <v>5.6</v>
      </c>
      <c r="G3187" s="466">
        <v>5.6</v>
      </c>
      <c r="H3187" s="466">
        <f>G3187/1.1</f>
        <v>5.0909090909090899</v>
      </c>
      <c r="I3187" s="436"/>
      <c r="J3187" s="465">
        <v>0</v>
      </c>
      <c r="K3187" s="465">
        <v>0</v>
      </c>
    </row>
    <row r="3188" spans="2:11" ht="19" customHeight="1">
      <c r="B3188" s="464">
        <v>46094</v>
      </c>
      <c r="C3188" s="436" t="s">
        <v>328</v>
      </c>
      <c r="D3188" s="436" t="s">
        <v>1038</v>
      </c>
      <c r="E3188" s="436">
        <v>1</v>
      </c>
      <c r="F3188" s="465">
        <v>11.85</v>
      </c>
      <c r="G3188" s="466">
        <v>11.85</v>
      </c>
      <c r="H3188" s="466">
        <f>G3188/1.1</f>
        <v>10.772727272727272</v>
      </c>
      <c r="I3188" s="436"/>
      <c r="J3188" s="465">
        <v>0</v>
      </c>
      <c r="K3188" s="465">
        <v>0</v>
      </c>
    </row>
    <row r="3189" spans="2:11" ht="19" customHeight="1">
      <c r="B3189" s="464">
        <v>46094</v>
      </c>
      <c r="C3189" s="436" t="s">
        <v>327</v>
      </c>
      <c r="D3189" s="436" t="s">
        <v>817</v>
      </c>
      <c r="E3189" s="436">
        <v>1</v>
      </c>
      <c r="F3189" s="465">
        <v>4.9000000000000004</v>
      </c>
      <c r="G3189" s="466">
        <v>4.9000000000000004</v>
      </c>
      <c r="H3189" s="466">
        <f>G3189/1.1</f>
        <v>4.4545454545454541</v>
      </c>
      <c r="I3189" s="436"/>
      <c r="J3189" s="465">
        <v>0</v>
      </c>
      <c r="K3189" s="465">
        <v>0</v>
      </c>
    </row>
    <row r="3190" spans="2:11" ht="19" customHeight="1">
      <c r="B3190" s="464">
        <v>46094</v>
      </c>
      <c r="C3190" s="436" t="s">
        <v>264</v>
      </c>
      <c r="D3190" s="436" t="s">
        <v>891</v>
      </c>
      <c r="E3190" s="436">
        <v>1</v>
      </c>
      <c r="F3190" s="465">
        <v>1.4</v>
      </c>
      <c r="G3190" s="466">
        <v>1.4</v>
      </c>
      <c r="H3190" s="466">
        <f>G3190/1.1</f>
        <v>1.2727272727272725</v>
      </c>
      <c r="I3190" s="436"/>
      <c r="J3190" s="465">
        <v>0</v>
      </c>
      <c r="K3190" s="465">
        <v>0</v>
      </c>
    </row>
    <row r="3191" spans="2:11" ht="19" customHeight="1">
      <c r="B3191" s="464">
        <v>46094</v>
      </c>
      <c r="C3191" s="436" t="s">
        <v>251</v>
      </c>
      <c r="D3191" s="436" t="s">
        <v>927</v>
      </c>
      <c r="E3191" s="436">
        <v>1</v>
      </c>
      <c r="F3191" s="465">
        <v>2.65</v>
      </c>
      <c r="G3191" s="466">
        <v>2.65</v>
      </c>
      <c r="H3191" s="466">
        <f>G3191/1.1</f>
        <v>2.4090909090909087</v>
      </c>
      <c r="I3191" s="436"/>
      <c r="J3191" s="465">
        <v>0</v>
      </c>
      <c r="K3191" s="465">
        <v>0</v>
      </c>
    </row>
    <row r="3192" spans="2:11" ht="19" customHeight="1">
      <c r="B3192" s="464">
        <v>46094</v>
      </c>
      <c r="C3192" s="436" t="s">
        <v>251</v>
      </c>
      <c r="D3192" s="436" t="s">
        <v>957</v>
      </c>
      <c r="E3192" s="436">
        <v>2</v>
      </c>
      <c r="F3192" s="465">
        <v>2.65</v>
      </c>
      <c r="G3192" s="466">
        <v>5.3</v>
      </c>
      <c r="H3192" s="466">
        <f>G3192/1.1</f>
        <v>4.8181818181818175</v>
      </c>
      <c r="I3192" s="436"/>
      <c r="J3192" s="465">
        <v>0</v>
      </c>
      <c r="K3192" s="465">
        <v>0</v>
      </c>
    </row>
    <row r="3193" spans="2:11" ht="19" customHeight="1">
      <c r="B3193" s="464">
        <v>46094</v>
      </c>
      <c r="C3193" s="436" t="s">
        <v>247</v>
      </c>
      <c r="D3193" s="436" t="s">
        <v>257</v>
      </c>
      <c r="E3193" s="436">
        <v>1</v>
      </c>
      <c r="F3193" s="465">
        <v>1.4</v>
      </c>
      <c r="G3193" s="466">
        <v>1.4</v>
      </c>
      <c r="H3193" s="466">
        <f>G3193/1.1</f>
        <v>1.2727272727272725</v>
      </c>
      <c r="I3193" s="436"/>
      <c r="J3193" s="465">
        <v>0</v>
      </c>
      <c r="K3193" s="465">
        <v>0</v>
      </c>
    </row>
    <row r="3194" spans="2:11" ht="19" customHeight="1">
      <c r="B3194" s="464">
        <v>46094</v>
      </c>
      <c r="C3194" s="436" t="s">
        <v>247</v>
      </c>
      <c r="D3194" s="436" t="s">
        <v>246</v>
      </c>
      <c r="E3194" s="436">
        <v>1</v>
      </c>
      <c r="F3194" s="465">
        <v>1.7</v>
      </c>
      <c r="G3194" s="466">
        <v>1.7</v>
      </c>
      <c r="H3194" s="466">
        <f>G3194/1.1</f>
        <v>1.5454545454545452</v>
      </c>
      <c r="I3194" s="436"/>
      <c r="J3194" s="465">
        <v>0</v>
      </c>
      <c r="K3194" s="465">
        <v>0</v>
      </c>
    </row>
    <row r="3195" spans="2:11" ht="19" customHeight="1">
      <c r="B3195" s="464">
        <v>46094</v>
      </c>
      <c r="C3195" s="436" t="s">
        <v>251</v>
      </c>
      <c r="D3195" s="436" t="s">
        <v>926</v>
      </c>
      <c r="E3195" s="436">
        <v>1</v>
      </c>
      <c r="F3195" s="465">
        <v>2.65</v>
      </c>
      <c r="G3195" s="466">
        <v>2.65</v>
      </c>
      <c r="H3195" s="466">
        <f>G3195/1.1</f>
        <v>2.4090909090909087</v>
      </c>
      <c r="I3195" s="436"/>
      <c r="J3195" s="465">
        <v>0</v>
      </c>
      <c r="K3195" s="465">
        <v>0</v>
      </c>
    </row>
    <row r="3196" spans="2:11" ht="19" customHeight="1">
      <c r="B3196" s="464">
        <v>46094</v>
      </c>
      <c r="C3196" s="436" t="s">
        <v>328</v>
      </c>
      <c r="D3196" s="436" t="s">
        <v>1098</v>
      </c>
      <c r="E3196" s="436">
        <v>1</v>
      </c>
      <c r="F3196" s="465">
        <v>5.65</v>
      </c>
      <c r="G3196" s="466">
        <v>5.65</v>
      </c>
      <c r="H3196" s="466">
        <f>G3196/1.1</f>
        <v>5.1363636363636367</v>
      </c>
      <c r="I3196" s="436"/>
      <c r="J3196" s="465">
        <v>0</v>
      </c>
      <c r="K3196" s="465">
        <v>0</v>
      </c>
    </row>
    <row r="3197" spans="2:11" ht="19" customHeight="1">
      <c r="B3197" s="464">
        <v>46094</v>
      </c>
      <c r="C3197" s="436" t="s">
        <v>894</v>
      </c>
      <c r="D3197" s="436" t="s">
        <v>1001</v>
      </c>
      <c r="E3197" s="436">
        <v>2</v>
      </c>
      <c r="F3197" s="465">
        <v>5.7</v>
      </c>
      <c r="G3197" s="466">
        <v>11.4</v>
      </c>
      <c r="H3197" s="466">
        <f>G3197/1.1</f>
        <v>10.363636363636363</v>
      </c>
      <c r="I3197" s="436"/>
      <c r="J3197" s="465">
        <v>0</v>
      </c>
      <c r="K3197" s="465">
        <v>0</v>
      </c>
    </row>
    <row r="3198" spans="2:11" ht="19" customHeight="1">
      <c r="B3198" s="464">
        <v>46094</v>
      </c>
      <c r="C3198" s="436" t="s">
        <v>247</v>
      </c>
      <c r="D3198" s="436" t="s">
        <v>248</v>
      </c>
      <c r="E3198" s="436">
        <v>2</v>
      </c>
      <c r="F3198" s="465">
        <v>1.5</v>
      </c>
      <c r="G3198" s="466">
        <v>3</v>
      </c>
      <c r="H3198" s="466">
        <f>G3198/1.1</f>
        <v>2.7272727272727271</v>
      </c>
      <c r="I3198" s="436"/>
      <c r="J3198" s="465">
        <v>0</v>
      </c>
      <c r="K3198" s="465">
        <v>0</v>
      </c>
    </row>
    <row r="3199" spans="2:11" ht="19" customHeight="1">
      <c r="B3199" s="464">
        <v>46094</v>
      </c>
      <c r="C3199" s="436" t="s">
        <v>247</v>
      </c>
      <c r="D3199" s="436" t="s">
        <v>248</v>
      </c>
      <c r="E3199" s="436">
        <v>1</v>
      </c>
      <c r="F3199" s="465">
        <v>1.5</v>
      </c>
      <c r="G3199" s="466">
        <v>1.5</v>
      </c>
      <c r="H3199" s="466">
        <f>G3199/1.1</f>
        <v>1.3636363636363635</v>
      </c>
      <c r="I3199" s="436"/>
      <c r="J3199" s="465">
        <v>0</v>
      </c>
      <c r="K3199" s="465">
        <v>0</v>
      </c>
    </row>
    <row r="3200" spans="2:11" ht="19" customHeight="1">
      <c r="B3200" s="464">
        <v>46094</v>
      </c>
      <c r="C3200" s="436" t="s">
        <v>268</v>
      </c>
      <c r="D3200" s="436" t="s">
        <v>859</v>
      </c>
      <c r="E3200" s="436">
        <v>1</v>
      </c>
      <c r="F3200" s="465">
        <v>0.75</v>
      </c>
      <c r="G3200" s="466">
        <v>0.75</v>
      </c>
      <c r="H3200" s="466">
        <f>G3200/1.1</f>
        <v>0.68181818181818177</v>
      </c>
      <c r="I3200" s="436"/>
      <c r="J3200" s="465">
        <v>0</v>
      </c>
      <c r="K3200" s="465">
        <v>0</v>
      </c>
    </row>
    <row r="3201" spans="2:11" ht="19" customHeight="1">
      <c r="B3201" s="464">
        <v>46094</v>
      </c>
      <c r="C3201" s="436" t="s">
        <v>268</v>
      </c>
      <c r="D3201" s="436" t="s">
        <v>267</v>
      </c>
      <c r="E3201" s="436">
        <v>1</v>
      </c>
      <c r="F3201" s="465">
        <v>1.5</v>
      </c>
      <c r="G3201" s="466">
        <v>1.5</v>
      </c>
      <c r="H3201" s="466">
        <f>G3201/1.1</f>
        <v>1.3636363636363635</v>
      </c>
      <c r="I3201" s="436"/>
      <c r="J3201" s="465">
        <v>0</v>
      </c>
      <c r="K3201" s="465">
        <v>0</v>
      </c>
    </row>
    <row r="3202" spans="2:11" ht="19" customHeight="1">
      <c r="B3202" s="464">
        <v>46094</v>
      </c>
      <c r="C3202" s="436" t="s">
        <v>247</v>
      </c>
      <c r="D3202" s="436" t="s">
        <v>1008</v>
      </c>
      <c r="E3202" s="436">
        <v>1</v>
      </c>
      <c r="F3202" s="465">
        <v>1.65</v>
      </c>
      <c r="G3202" s="466">
        <v>1.65</v>
      </c>
      <c r="H3202" s="466">
        <f>G3202/1.1</f>
        <v>1.4999999999999998</v>
      </c>
      <c r="I3202" s="436"/>
      <c r="J3202" s="465">
        <v>0</v>
      </c>
      <c r="K3202" s="465">
        <v>0</v>
      </c>
    </row>
    <row r="3203" spans="2:11" ht="19" customHeight="1">
      <c r="B3203" s="464">
        <v>46094</v>
      </c>
      <c r="C3203" s="436" t="s">
        <v>247</v>
      </c>
      <c r="D3203" s="436" t="s">
        <v>246</v>
      </c>
      <c r="E3203" s="436">
        <v>1</v>
      </c>
      <c r="F3203" s="465">
        <v>1.7</v>
      </c>
      <c r="G3203" s="466">
        <v>1.7</v>
      </c>
      <c r="H3203" s="466">
        <f>G3203/1.1</f>
        <v>1.5454545454545452</v>
      </c>
      <c r="I3203" s="436"/>
      <c r="J3203" s="465">
        <v>0</v>
      </c>
      <c r="K3203" s="465">
        <v>0</v>
      </c>
    </row>
    <row r="3204" spans="2:11" ht="19" customHeight="1">
      <c r="B3204" s="464">
        <v>46094</v>
      </c>
      <c r="C3204" s="436" t="s">
        <v>268</v>
      </c>
      <c r="D3204" s="436" t="s">
        <v>1170</v>
      </c>
      <c r="E3204" s="436">
        <v>1</v>
      </c>
      <c r="F3204" s="465">
        <v>2.25</v>
      </c>
      <c r="G3204" s="466">
        <v>2.25</v>
      </c>
      <c r="H3204" s="466">
        <f>G3204/1.1</f>
        <v>2.0454545454545454</v>
      </c>
      <c r="I3204" s="436"/>
      <c r="J3204" s="465">
        <v>0</v>
      </c>
      <c r="K3204" s="465">
        <v>0</v>
      </c>
    </row>
    <row r="3205" spans="2:11" ht="19" customHeight="1">
      <c r="B3205" s="464">
        <v>46094</v>
      </c>
      <c r="C3205" s="436" t="s">
        <v>247</v>
      </c>
      <c r="D3205" s="436" t="s">
        <v>246</v>
      </c>
      <c r="E3205" s="436">
        <v>2</v>
      </c>
      <c r="F3205" s="465">
        <v>1.7</v>
      </c>
      <c r="G3205" s="466">
        <v>3.4</v>
      </c>
      <c r="H3205" s="466">
        <f>G3205/1.1</f>
        <v>3.0909090909090904</v>
      </c>
      <c r="I3205" s="436"/>
      <c r="J3205" s="465">
        <v>0</v>
      </c>
      <c r="K3205" s="465">
        <v>0</v>
      </c>
    </row>
    <row r="3206" spans="2:11" ht="19" customHeight="1">
      <c r="B3206" s="464">
        <v>46094</v>
      </c>
      <c r="C3206" s="436" t="s">
        <v>247</v>
      </c>
      <c r="D3206" s="436" t="s">
        <v>257</v>
      </c>
      <c r="E3206" s="436">
        <v>1</v>
      </c>
      <c r="F3206" s="465">
        <v>1.4</v>
      </c>
      <c r="G3206" s="466">
        <v>1.4</v>
      </c>
      <c r="H3206" s="466">
        <f>G3206/1.1</f>
        <v>1.2727272727272725</v>
      </c>
      <c r="I3206" s="436"/>
      <c r="J3206" s="465">
        <v>0</v>
      </c>
      <c r="K3206" s="465">
        <v>0</v>
      </c>
    </row>
    <row r="3207" spans="2:11" ht="19" customHeight="1">
      <c r="B3207" s="464">
        <v>46094</v>
      </c>
      <c r="C3207" s="436" t="s">
        <v>247</v>
      </c>
      <c r="D3207" s="436" t="s">
        <v>248</v>
      </c>
      <c r="E3207" s="436">
        <v>1</v>
      </c>
      <c r="F3207" s="465">
        <v>1.5</v>
      </c>
      <c r="G3207" s="466">
        <v>1.5</v>
      </c>
      <c r="H3207" s="466">
        <f>G3207/1.1</f>
        <v>1.3636363636363635</v>
      </c>
      <c r="I3207" s="436"/>
      <c r="J3207" s="465">
        <v>0</v>
      </c>
      <c r="K3207" s="465">
        <v>0</v>
      </c>
    </row>
    <row r="3208" spans="2:11" ht="19" customHeight="1">
      <c r="B3208" s="464">
        <v>46094</v>
      </c>
      <c r="C3208" s="436" t="s">
        <v>247</v>
      </c>
      <c r="D3208" s="436" t="s">
        <v>246</v>
      </c>
      <c r="E3208" s="436">
        <v>2</v>
      </c>
      <c r="F3208" s="465">
        <v>1.7</v>
      </c>
      <c r="G3208" s="466">
        <v>3.4</v>
      </c>
      <c r="H3208" s="466">
        <f>G3208/1.1</f>
        <v>3.0909090909090904</v>
      </c>
      <c r="I3208" s="436"/>
      <c r="J3208" s="465">
        <v>0</v>
      </c>
      <c r="K3208" s="465">
        <v>0</v>
      </c>
    </row>
    <row r="3209" spans="2:11" ht="19" customHeight="1">
      <c r="B3209" s="464">
        <v>46095</v>
      </c>
      <c r="C3209" s="436" t="s">
        <v>253</v>
      </c>
      <c r="D3209" s="436" t="s">
        <v>869</v>
      </c>
      <c r="E3209" s="436">
        <v>1</v>
      </c>
      <c r="F3209" s="465">
        <v>2.5</v>
      </c>
      <c r="G3209" s="466">
        <v>2.5</v>
      </c>
      <c r="H3209" s="466">
        <f>G3209/1.1</f>
        <v>2.2727272727272725</v>
      </c>
      <c r="I3209" s="436"/>
      <c r="J3209" s="465">
        <v>0</v>
      </c>
      <c r="K3209" s="465">
        <v>0</v>
      </c>
    </row>
    <row r="3210" spans="2:11" ht="19" customHeight="1">
      <c r="B3210" s="464">
        <v>46095</v>
      </c>
      <c r="C3210" s="436" t="s">
        <v>251</v>
      </c>
      <c r="D3210" s="436" t="s">
        <v>854</v>
      </c>
      <c r="E3210" s="436">
        <v>2</v>
      </c>
      <c r="F3210" s="465">
        <v>1.55</v>
      </c>
      <c r="G3210" s="466">
        <v>3.1</v>
      </c>
      <c r="H3210" s="466">
        <f>G3210/1.1</f>
        <v>2.8181818181818179</v>
      </c>
      <c r="I3210" s="436"/>
      <c r="J3210" s="465">
        <v>0</v>
      </c>
      <c r="K3210" s="465">
        <v>0</v>
      </c>
    </row>
    <row r="3211" spans="2:11" ht="19" customHeight="1">
      <c r="B3211" s="464">
        <v>46095</v>
      </c>
      <c r="C3211" s="436" t="s">
        <v>247</v>
      </c>
      <c r="D3211" s="436" t="s">
        <v>248</v>
      </c>
      <c r="E3211" s="436">
        <v>1</v>
      </c>
      <c r="F3211" s="465">
        <v>1.5</v>
      </c>
      <c r="G3211" s="466">
        <v>1.5</v>
      </c>
      <c r="H3211" s="466">
        <f>G3211/1.1</f>
        <v>1.3636363636363635</v>
      </c>
      <c r="I3211" s="436"/>
      <c r="J3211" s="465">
        <v>0</v>
      </c>
      <c r="K3211" s="465">
        <v>0</v>
      </c>
    </row>
    <row r="3212" spans="2:11" ht="19" customHeight="1">
      <c r="B3212" s="464">
        <v>46095</v>
      </c>
      <c r="C3212" s="436" t="s">
        <v>247</v>
      </c>
      <c r="D3212" s="436" t="s">
        <v>257</v>
      </c>
      <c r="E3212" s="436">
        <v>1</v>
      </c>
      <c r="F3212" s="465">
        <v>1.4</v>
      </c>
      <c r="G3212" s="466">
        <v>1.4</v>
      </c>
      <c r="H3212" s="466">
        <f>G3212/1.1</f>
        <v>1.2727272727272725</v>
      </c>
      <c r="I3212" s="436"/>
      <c r="J3212" s="465">
        <v>0</v>
      </c>
      <c r="K3212" s="465">
        <v>0</v>
      </c>
    </row>
    <row r="3213" spans="2:11" ht="19" customHeight="1">
      <c r="B3213" s="464">
        <v>46095</v>
      </c>
      <c r="C3213" s="436" t="s">
        <v>268</v>
      </c>
      <c r="D3213" s="436" t="s">
        <v>858</v>
      </c>
      <c r="E3213" s="436">
        <v>4</v>
      </c>
      <c r="F3213" s="465">
        <v>0.65</v>
      </c>
      <c r="G3213" s="466">
        <v>2.6</v>
      </c>
      <c r="H3213" s="466">
        <f>G3213/1.1</f>
        <v>2.3636363636363633</v>
      </c>
      <c r="I3213" s="436"/>
      <c r="J3213" s="465">
        <v>0</v>
      </c>
      <c r="K3213" s="465">
        <v>0</v>
      </c>
    </row>
    <row r="3214" spans="2:11" ht="19" customHeight="1">
      <c r="B3214" s="464">
        <v>46095</v>
      </c>
      <c r="C3214" s="436" t="s">
        <v>247</v>
      </c>
      <c r="D3214" s="436" t="s">
        <v>246</v>
      </c>
      <c r="E3214" s="436">
        <v>1</v>
      </c>
      <c r="F3214" s="465">
        <v>1.7</v>
      </c>
      <c r="G3214" s="466">
        <v>1.7</v>
      </c>
      <c r="H3214" s="466">
        <f>G3214/1.1</f>
        <v>1.5454545454545452</v>
      </c>
      <c r="I3214" s="436"/>
      <c r="J3214" s="465">
        <v>0</v>
      </c>
      <c r="K3214" s="465">
        <v>0</v>
      </c>
    </row>
    <row r="3215" spans="2:11" ht="19" customHeight="1">
      <c r="B3215" s="464">
        <v>46095</v>
      </c>
      <c r="C3215" s="436" t="s">
        <v>247</v>
      </c>
      <c r="D3215" s="436" t="s">
        <v>246</v>
      </c>
      <c r="E3215" s="436">
        <v>1</v>
      </c>
      <c r="F3215" s="465">
        <v>1.7</v>
      </c>
      <c r="G3215" s="466">
        <v>1.7</v>
      </c>
      <c r="H3215" s="466">
        <f>G3215/1.1</f>
        <v>1.5454545454545452</v>
      </c>
      <c r="I3215" s="436"/>
      <c r="J3215" s="465">
        <v>0</v>
      </c>
      <c r="K3215" s="465">
        <v>0</v>
      </c>
    </row>
    <row r="3216" spans="2:11" ht="19" customHeight="1">
      <c r="B3216" s="464">
        <v>46095</v>
      </c>
      <c r="C3216" s="436" t="s">
        <v>253</v>
      </c>
      <c r="D3216" s="436" t="s">
        <v>969</v>
      </c>
      <c r="E3216" s="436">
        <v>2</v>
      </c>
      <c r="F3216" s="465">
        <v>3.35</v>
      </c>
      <c r="G3216" s="466">
        <v>6.7</v>
      </c>
      <c r="H3216" s="466">
        <f>G3216/1.1</f>
        <v>6.0909090909090908</v>
      </c>
      <c r="I3216" s="436"/>
      <c r="J3216" s="465">
        <v>0</v>
      </c>
      <c r="K3216" s="465">
        <v>0</v>
      </c>
    </row>
    <row r="3217" spans="2:11" ht="19" customHeight="1">
      <c r="B3217" s="464">
        <v>46095</v>
      </c>
      <c r="C3217" s="436" t="s">
        <v>247</v>
      </c>
      <c r="D3217" s="436" t="s">
        <v>257</v>
      </c>
      <c r="E3217" s="436">
        <v>1</v>
      </c>
      <c r="F3217" s="465">
        <v>1.4</v>
      </c>
      <c r="G3217" s="466">
        <v>1.4</v>
      </c>
      <c r="H3217" s="466">
        <f>G3217/1.1</f>
        <v>1.2727272727272725</v>
      </c>
      <c r="I3217" s="436"/>
      <c r="J3217" s="465">
        <v>0</v>
      </c>
      <c r="K3217" s="465">
        <v>0</v>
      </c>
    </row>
    <row r="3218" spans="2:11" ht="19" customHeight="1">
      <c r="B3218" s="464">
        <v>46095</v>
      </c>
      <c r="C3218" s="436" t="s">
        <v>247</v>
      </c>
      <c r="D3218" s="436" t="s">
        <v>246</v>
      </c>
      <c r="E3218" s="436">
        <v>2</v>
      </c>
      <c r="F3218" s="465">
        <v>1.7</v>
      </c>
      <c r="G3218" s="466">
        <v>3.4</v>
      </c>
      <c r="H3218" s="466">
        <f>G3218/1.1</f>
        <v>3.0909090909090904</v>
      </c>
      <c r="I3218" s="436"/>
      <c r="J3218" s="465">
        <v>0</v>
      </c>
      <c r="K3218" s="465">
        <v>0</v>
      </c>
    </row>
    <row r="3219" spans="2:11" ht="19" customHeight="1">
      <c r="B3219" s="464">
        <v>46095</v>
      </c>
      <c r="C3219" s="436" t="s">
        <v>862</v>
      </c>
      <c r="D3219" s="436" t="s">
        <v>899</v>
      </c>
      <c r="E3219" s="436">
        <v>1</v>
      </c>
      <c r="F3219" s="465">
        <v>0.05</v>
      </c>
      <c r="G3219" s="466">
        <v>0.05</v>
      </c>
      <c r="H3219" s="466">
        <f>G3219/1.1</f>
        <v>4.5454545454545456E-2</v>
      </c>
      <c r="I3219" s="436"/>
      <c r="J3219" s="465">
        <v>0</v>
      </c>
      <c r="K3219" s="465">
        <v>0</v>
      </c>
    </row>
    <row r="3220" spans="2:11" ht="19" customHeight="1">
      <c r="B3220" s="464">
        <v>46095</v>
      </c>
      <c r="C3220" s="436" t="s">
        <v>268</v>
      </c>
      <c r="D3220" s="436" t="s">
        <v>1171</v>
      </c>
      <c r="E3220" s="436">
        <v>1</v>
      </c>
      <c r="F3220" s="465">
        <v>1.5</v>
      </c>
      <c r="G3220" s="466">
        <v>1.5</v>
      </c>
      <c r="H3220" s="466">
        <f>G3220/1.1</f>
        <v>1.3636363636363635</v>
      </c>
      <c r="I3220" s="436"/>
      <c r="J3220" s="465">
        <v>0</v>
      </c>
      <c r="K3220" s="465">
        <v>0</v>
      </c>
    </row>
    <row r="3221" spans="2:11" ht="19" customHeight="1">
      <c r="B3221" s="464">
        <v>46095</v>
      </c>
      <c r="C3221" s="436" t="s">
        <v>894</v>
      </c>
      <c r="D3221" s="436" t="s">
        <v>1001</v>
      </c>
      <c r="E3221" s="436">
        <v>1</v>
      </c>
      <c r="F3221" s="465">
        <v>5.7</v>
      </c>
      <c r="G3221" s="466">
        <v>5.7</v>
      </c>
      <c r="H3221" s="466">
        <f>G3221/1.1</f>
        <v>5.1818181818181817</v>
      </c>
      <c r="I3221" s="436"/>
      <c r="J3221" s="465">
        <v>0</v>
      </c>
      <c r="K3221" s="465">
        <v>0</v>
      </c>
    </row>
    <row r="3222" spans="2:11" ht="19" customHeight="1">
      <c r="B3222" s="464">
        <v>46095</v>
      </c>
      <c r="C3222" s="436" t="s">
        <v>268</v>
      </c>
      <c r="D3222" s="436" t="s">
        <v>860</v>
      </c>
      <c r="E3222" s="436">
        <v>2</v>
      </c>
      <c r="F3222" s="465">
        <v>2.25</v>
      </c>
      <c r="G3222" s="466">
        <v>4.5</v>
      </c>
      <c r="H3222" s="466">
        <f>G3222/1.1</f>
        <v>4.0909090909090908</v>
      </c>
      <c r="I3222" s="436"/>
      <c r="J3222" s="465">
        <v>0</v>
      </c>
      <c r="K3222" s="465">
        <v>0</v>
      </c>
    </row>
    <row r="3223" spans="2:11" ht="19" customHeight="1">
      <c r="B3223" s="464">
        <v>46095</v>
      </c>
      <c r="C3223" s="436" t="s">
        <v>247</v>
      </c>
      <c r="D3223" s="436" t="s">
        <v>246</v>
      </c>
      <c r="E3223" s="436">
        <v>2</v>
      </c>
      <c r="F3223" s="465">
        <v>1.7</v>
      </c>
      <c r="G3223" s="466">
        <v>3.4</v>
      </c>
      <c r="H3223" s="466">
        <f>G3223/1.1</f>
        <v>3.0909090909090904</v>
      </c>
      <c r="I3223" s="436"/>
      <c r="J3223" s="465">
        <v>0</v>
      </c>
      <c r="K3223" s="465">
        <v>0</v>
      </c>
    </row>
    <row r="3224" spans="2:11" ht="19" customHeight="1">
      <c r="B3224" s="464">
        <v>46095</v>
      </c>
      <c r="C3224" s="436" t="s">
        <v>725</v>
      </c>
      <c r="D3224" s="436" t="s">
        <v>1172</v>
      </c>
      <c r="E3224" s="436">
        <v>1</v>
      </c>
      <c r="F3224" s="465">
        <v>2.2000000000000002</v>
      </c>
      <c r="G3224" s="466">
        <v>2.2000000000000002</v>
      </c>
      <c r="H3224" s="466">
        <f>G3224/1.1</f>
        <v>2</v>
      </c>
      <c r="I3224" s="436"/>
      <c r="J3224" s="465">
        <v>0</v>
      </c>
      <c r="K3224" s="465">
        <v>0</v>
      </c>
    </row>
    <row r="3225" spans="2:11" ht="19" customHeight="1">
      <c r="B3225" s="464">
        <v>46095</v>
      </c>
      <c r="C3225" s="436" t="s">
        <v>894</v>
      </c>
      <c r="D3225" s="436" t="s">
        <v>814</v>
      </c>
      <c r="E3225" s="436">
        <v>1</v>
      </c>
      <c r="F3225" s="465">
        <v>5.4</v>
      </c>
      <c r="G3225" s="466">
        <v>5.4</v>
      </c>
      <c r="H3225" s="466">
        <f>G3225/1.1</f>
        <v>4.9090909090909092</v>
      </c>
      <c r="I3225" s="436"/>
      <c r="J3225" s="465">
        <v>0</v>
      </c>
      <c r="K3225" s="465">
        <v>0</v>
      </c>
    </row>
    <row r="3226" spans="2:11" ht="19" customHeight="1">
      <c r="B3226" s="464">
        <v>46095</v>
      </c>
      <c r="C3226" s="436" t="s">
        <v>862</v>
      </c>
      <c r="D3226" s="436" t="s">
        <v>899</v>
      </c>
      <c r="E3226" s="436">
        <v>1</v>
      </c>
      <c r="F3226" s="465">
        <v>0.05</v>
      </c>
      <c r="G3226" s="466">
        <v>0.05</v>
      </c>
      <c r="H3226" s="466">
        <f>G3226/1.1</f>
        <v>4.5454545454545456E-2</v>
      </c>
      <c r="I3226" s="436"/>
      <c r="J3226" s="465">
        <v>0</v>
      </c>
      <c r="K3226" s="465">
        <v>0</v>
      </c>
    </row>
    <row r="3227" spans="2:11" ht="19" customHeight="1">
      <c r="B3227" s="464">
        <v>46095</v>
      </c>
      <c r="C3227" s="436" t="s">
        <v>247</v>
      </c>
      <c r="D3227" s="436" t="s">
        <v>246</v>
      </c>
      <c r="E3227" s="436">
        <v>2</v>
      </c>
      <c r="F3227" s="465">
        <v>1.7</v>
      </c>
      <c r="G3227" s="466">
        <v>3.4</v>
      </c>
      <c r="H3227" s="466">
        <f>G3227/1.1</f>
        <v>3.0909090909090904</v>
      </c>
      <c r="I3227" s="436"/>
      <c r="J3227" s="465">
        <v>0</v>
      </c>
      <c r="K3227" s="465">
        <v>0</v>
      </c>
    </row>
    <row r="3228" spans="2:11" ht="19" customHeight="1">
      <c r="B3228" s="464">
        <v>46095</v>
      </c>
      <c r="C3228" s="436" t="s">
        <v>862</v>
      </c>
      <c r="D3228" s="436" t="s">
        <v>899</v>
      </c>
      <c r="E3228" s="436">
        <v>1</v>
      </c>
      <c r="F3228" s="465">
        <v>0.05</v>
      </c>
      <c r="G3228" s="466">
        <v>0.05</v>
      </c>
      <c r="H3228" s="466">
        <f>G3228/1.1</f>
        <v>4.5454545454545456E-2</v>
      </c>
      <c r="I3228" s="436"/>
      <c r="J3228" s="465">
        <v>0</v>
      </c>
      <c r="K3228" s="465">
        <v>0</v>
      </c>
    </row>
    <row r="3229" spans="2:11" ht="19" customHeight="1">
      <c r="B3229" s="464">
        <v>46095</v>
      </c>
      <c r="C3229" s="436" t="s">
        <v>328</v>
      </c>
      <c r="D3229" s="436" t="s">
        <v>735</v>
      </c>
      <c r="E3229" s="436">
        <v>1</v>
      </c>
      <c r="F3229" s="465">
        <v>3.1</v>
      </c>
      <c r="G3229" s="466">
        <v>3.1</v>
      </c>
      <c r="H3229" s="466">
        <f>G3229/1.1</f>
        <v>2.8181818181818179</v>
      </c>
      <c r="I3229" s="436"/>
      <c r="J3229" s="465">
        <v>0</v>
      </c>
      <c r="K3229" s="465">
        <v>0</v>
      </c>
    </row>
    <row r="3230" spans="2:11" ht="19" customHeight="1">
      <c r="B3230" s="464">
        <v>46095</v>
      </c>
      <c r="C3230" s="436" t="s">
        <v>327</v>
      </c>
      <c r="D3230" s="436" t="s">
        <v>723</v>
      </c>
      <c r="E3230" s="436">
        <v>1</v>
      </c>
      <c r="F3230" s="465">
        <v>3.1</v>
      </c>
      <c r="G3230" s="466">
        <v>3.1</v>
      </c>
      <c r="H3230" s="466">
        <f>G3230/1.1</f>
        <v>2.8181818181818179</v>
      </c>
      <c r="I3230" s="436"/>
      <c r="J3230" s="465">
        <v>0</v>
      </c>
      <c r="K3230" s="465">
        <v>0</v>
      </c>
    </row>
    <row r="3231" spans="2:11" ht="19" customHeight="1">
      <c r="B3231" s="464">
        <v>46095</v>
      </c>
      <c r="C3231" s="436" t="s">
        <v>268</v>
      </c>
      <c r="D3231" s="436" t="s">
        <v>859</v>
      </c>
      <c r="E3231" s="436">
        <v>1</v>
      </c>
      <c r="F3231" s="465">
        <v>0.75</v>
      </c>
      <c r="G3231" s="466">
        <v>0.75</v>
      </c>
      <c r="H3231" s="466">
        <f>G3231/1.1</f>
        <v>0.68181818181818177</v>
      </c>
      <c r="I3231" s="436"/>
      <c r="J3231" s="465">
        <v>0</v>
      </c>
      <c r="K3231" s="465">
        <v>0</v>
      </c>
    </row>
    <row r="3232" spans="2:11" ht="19" customHeight="1">
      <c r="B3232" s="464">
        <v>46095</v>
      </c>
      <c r="C3232" s="436" t="s">
        <v>247</v>
      </c>
      <c r="D3232" s="436" t="s">
        <v>246</v>
      </c>
      <c r="E3232" s="436">
        <v>1</v>
      </c>
      <c r="F3232" s="465">
        <v>1.7</v>
      </c>
      <c r="G3232" s="466">
        <v>1.7</v>
      </c>
      <c r="H3232" s="466">
        <f>G3232/1.1</f>
        <v>1.5454545454545452</v>
      </c>
      <c r="I3232" s="436"/>
      <c r="J3232" s="465">
        <v>0</v>
      </c>
      <c r="K3232" s="465">
        <v>0</v>
      </c>
    </row>
    <row r="3233" spans="2:11" ht="19" customHeight="1">
      <c r="B3233" s="464">
        <v>46095</v>
      </c>
      <c r="C3233" s="436" t="s">
        <v>247</v>
      </c>
      <c r="D3233" s="436" t="s">
        <v>257</v>
      </c>
      <c r="E3233" s="436">
        <v>1</v>
      </c>
      <c r="F3233" s="465">
        <v>1.4</v>
      </c>
      <c r="G3233" s="466">
        <v>1.4</v>
      </c>
      <c r="H3233" s="466">
        <f>G3233/1.1</f>
        <v>1.2727272727272725</v>
      </c>
      <c r="I3233" s="436"/>
      <c r="J3233" s="465">
        <v>0</v>
      </c>
      <c r="K3233" s="465">
        <v>0</v>
      </c>
    </row>
    <row r="3234" spans="2:11" ht="19" customHeight="1">
      <c r="B3234" s="464">
        <v>46095</v>
      </c>
      <c r="C3234" s="436" t="s">
        <v>247</v>
      </c>
      <c r="D3234" s="436" t="s">
        <v>246</v>
      </c>
      <c r="E3234" s="436">
        <v>1</v>
      </c>
      <c r="F3234" s="465">
        <v>1.7</v>
      </c>
      <c r="G3234" s="466">
        <v>1.7</v>
      </c>
      <c r="H3234" s="466">
        <f>G3234/1.1</f>
        <v>1.5454545454545452</v>
      </c>
      <c r="I3234" s="436"/>
      <c r="J3234" s="465">
        <v>0</v>
      </c>
      <c r="K3234" s="465">
        <v>0</v>
      </c>
    </row>
    <row r="3235" spans="2:11" ht="19" customHeight="1">
      <c r="B3235" s="464">
        <v>46095</v>
      </c>
      <c r="C3235" s="436" t="s">
        <v>327</v>
      </c>
      <c r="D3235" s="436" t="s">
        <v>723</v>
      </c>
      <c r="E3235" s="436">
        <v>1</v>
      </c>
      <c r="F3235" s="465">
        <v>3.1</v>
      </c>
      <c r="G3235" s="466">
        <v>3.1</v>
      </c>
      <c r="H3235" s="466">
        <f>G3235/1.1</f>
        <v>2.8181818181818179</v>
      </c>
      <c r="I3235" s="436"/>
      <c r="J3235" s="465">
        <v>0</v>
      </c>
      <c r="K3235" s="465">
        <v>0</v>
      </c>
    </row>
    <row r="3236" spans="2:11" ht="19" customHeight="1">
      <c r="B3236" s="464">
        <v>46095</v>
      </c>
      <c r="C3236" s="436" t="s">
        <v>328</v>
      </c>
      <c r="D3236" s="436" t="s">
        <v>773</v>
      </c>
      <c r="E3236" s="436">
        <v>1</v>
      </c>
      <c r="F3236" s="465">
        <v>3.1</v>
      </c>
      <c r="G3236" s="466">
        <v>3.1</v>
      </c>
      <c r="H3236" s="466">
        <f>G3236/1.1</f>
        <v>2.8181818181818179</v>
      </c>
      <c r="I3236" s="436"/>
      <c r="J3236" s="465">
        <v>0</v>
      </c>
      <c r="K3236" s="465">
        <v>0</v>
      </c>
    </row>
    <row r="3237" spans="2:11" ht="19" customHeight="1">
      <c r="B3237" s="464">
        <v>46095</v>
      </c>
      <c r="C3237" s="436" t="s">
        <v>247</v>
      </c>
      <c r="D3237" s="436" t="s">
        <v>246</v>
      </c>
      <c r="E3237" s="436">
        <v>2</v>
      </c>
      <c r="F3237" s="465">
        <v>1.7</v>
      </c>
      <c r="G3237" s="466">
        <v>3.4</v>
      </c>
      <c r="H3237" s="466">
        <f>G3237/1.1</f>
        <v>3.0909090909090904</v>
      </c>
      <c r="I3237" s="436"/>
      <c r="J3237" s="465">
        <v>0</v>
      </c>
      <c r="K3237" s="465">
        <v>0</v>
      </c>
    </row>
    <row r="3238" spans="2:11" ht="19" customHeight="1">
      <c r="B3238" s="464">
        <v>46095</v>
      </c>
      <c r="C3238" s="436" t="s">
        <v>862</v>
      </c>
      <c r="D3238" s="436" t="s">
        <v>865</v>
      </c>
      <c r="E3238" s="436">
        <v>1</v>
      </c>
      <c r="F3238" s="465">
        <v>0.05</v>
      </c>
      <c r="G3238" s="466">
        <v>0.05</v>
      </c>
      <c r="H3238" s="466">
        <f>G3238/1.1</f>
        <v>4.5454545454545456E-2</v>
      </c>
      <c r="I3238" s="436"/>
      <c r="J3238" s="465">
        <v>0</v>
      </c>
      <c r="K3238" s="465">
        <v>0</v>
      </c>
    </row>
    <row r="3239" spans="2:11" ht="19" customHeight="1">
      <c r="B3239" s="464">
        <v>46095</v>
      </c>
      <c r="C3239" s="436" t="s">
        <v>247</v>
      </c>
      <c r="D3239" s="436" t="s">
        <v>248</v>
      </c>
      <c r="E3239" s="436">
        <v>1</v>
      </c>
      <c r="F3239" s="465">
        <v>1.5</v>
      </c>
      <c r="G3239" s="466">
        <v>1.5</v>
      </c>
      <c r="H3239" s="466">
        <f>G3239/1.1</f>
        <v>1.3636363636363635</v>
      </c>
      <c r="I3239" s="436"/>
      <c r="J3239" s="465">
        <v>0</v>
      </c>
      <c r="K3239" s="465">
        <v>0</v>
      </c>
    </row>
    <row r="3240" spans="2:11" ht="19" customHeight="1">
      <c r="B3240" s="464">
        <v>46095</v>
      </c>
      <c r="C3240" s="436" t="s">
        <v>247</v>
      </c>
      <c r="D3240" s="436" t="s">
        <v>248</v>
      </c>
      <c r="E3240" s="436">
        <v>1</v>
      </c>
      <c r="F3240" s="465">
        <v>1.5</v>
      </c>
      <c r="G3240" s="466">
        <v>1.5</v>
      </c>
      <c r="H3240" s="466">
        <f>G3240/1.1</f>
        <v>1.3636363636363635</v>
      </c>
      <c r="I3240" s="436"/>
      <c r="J3240" s="465">
        <v>0</v>
      </c>
      <c r="K3240" s="465">
        <v>0</v>
      </c>
    </row>
    <row r="3241" spans="2:11" ht="19" customHeight="1">
      <c r="B3241" s="464">
        <v>46095</v>
      </c>
      <c r="C3241" s="436" t="s">
        <v>276</v>
      </c>
      <c r="D3241" s="436" t="s">
        <v>995</v>
      </c>
      <c r="E3241" s="436">
        <v>3</v>
      </c>
      <c r="F3241" s="465">
        <v>3.05</v>
      </c>
      <c r="G3241" s="466">
        <v>9.15</v>
      </c>
      <c r="H3241" s="466">
        <f>G3241/1.1</f>
        <v>8.3181818181818183</v>
      </c>
      <c r="I3241" s="436"/>
      <c r="J3241" s="465">
        <v>0</v>
      </c>
      <c r="K3241" s="465">
        <v>0</v>
      </c>
    </row>
    <row r="3242" spans="2:11" ht="19" customHeight="1">
      <c r="B3242" s="464">
        <v>46095</v>
      </c>
      <c r="C3242" s="436" t="s">
        <v>247</v>
      </c>
      <c r="D3242" s="436" t="s">
        <v>248</v>
      </c>
      <c r="E3242" s="436">
        <v>1</v>
      </c>
      <c r="F3242" s="465">
        <v>1.65</v>
      </c>
      <c r="G3242" s="466">
        <v>1.65</v>
      </c>
      <c r="H3242" s="466">
        <f>G3242/1.1</f>
        <v>1.4999999999999998</v>
      </c>
      <c r="I3242" s="436"/>
      <c r="J3242" s="465">
        <v>0</v>
      </c>
      <c r="K3242" s="465">
        <v>0</v>
      </c>
    </row>
    <row r="3243" spans="2:11" ht="19" customHeight="1">
      <c r="B3243" s="464">
        <v>46095</v>
      </c>
      <c r="C3243" s="436" t="s">
        <v>256</v>
      </c>
      <c r="D3243" s="436" t="s">
        <v>912</v>
      </c>
      <c r="E3243" s="436">
        <v>1</v>
      </c>
      <c r="F3243" s="465">
        <v>5.5</v>
      </c>
      <c r="G3243" s="466">
        <v>5.5</v>
      </c>
      <c r="H3243" s="466">
        <f>G3243/1.1</f>
        <v>5</v>
      </c>
      <c r="I3243" s="436"/>
      <c r="J3243" s="465">
        <v>0</v>
      </c>
      <c r="K3243" s="465">
        <v>0</v>
      </c>
    </row>
    <row r="3244" spans="2:11" ht="19" customHeight="1">
      <c r="B3244" s="464">
        <v>46095</v>
      </c>
      <c r="C3244" s="436" t="s">
        <v>256</v>
      </c>
      <c r="D3244" s="436" t="s">
        <v>870</v>
      </c>
      <c r="E3244" s="436">
        <v>1</v>
      </c>
      <c r="F3244" s="465">
        <v>8.5</v>
      </c>
      <c r="G3244" s="466">
        <v>8.5</v>
      </c>
      <c r="H3244" s="466">
        <f>G3244/1.1</f>
        <v>7.7272727272727266</v>
      </c>
      <c r="I3244" s="436"/>
      <c r="J3244" s="465">
        <v>0</v>
      </c>
      <c r="K3244" s="465">
        <v>0</v>
      </c>
    </row>
    <row r="3245" spans="2:11" ht="19" customHeight="1">
      <c r="B3245" s="464">
        <v>46095</v>
      </c>
      <c r="C3245" s="436" t="s">
        <v>256</v>
      </c>
      <c r="D3245" s="436" t="s">
        <v>675</v>
      </c>
      <c r="E3245" s="436">
        <v>1</v>
      </c>
      <c r="F3245" s="465">
        <v>5.5</v>
      </c>
      <c r="G3245" s="466">
        <v>5.5</v>
      </c>
      <c r="H3245" s="466">
        <f>G3245/1.1</f>
        <v>5</v>
      </c>
      <c r="I3245" s="436"/>
      <c r="J3245" s="465">
        <v>0</v>
      </c>
      <c r="K3245" s="465">
        <v>0</v>
      </c>
    </row>
    <row r="3246" spans="2:11" ht="19" customHeight="1">
      <c r="B3246" s="464">
        <v>46095</v>
      </c>
      <c r="C3246" s="436" t="s">
        <v>277</v>
      </c>
      <c r="D3246" s="436" t="s">
        <v>1044</v>
      </c>
      <c r="E3246" s="436">
        <v>1</v>
      </c>
      <c r="F3246" s="465">
        <v>9.5</v>
      </c>
      <c r="G3246" s="466">
        <v>9.5</v>
      </c>
      <c r="H3246" s="466">
        <f>G3246/1.1</f>
        <v>8.6363636363636349</v>
      </c>
      <c r="I3246" s="436"/>
      <c r="J3246" s="465">
        <v>0</v>
      </c>
      <c r="K3246" s="465">
        <v>0</v>
      </c>
    </row>
    <row r="3247" spans="2:11" ht="19" customHeight="1">
      <c r="B3247" s="464">
        <v>46095</v>
      </c>
      <c r="C3247" s="436" t="s">
        <v>251</v>
      </c>
      <c r="D3247" s="436" t="s">
        <v>1173</v>
      </c>
      <c r="E3247" s="436">
        <v>1</v>
      </c>
      <c r="F3247" s="465">
        <v>2.4500000000000002</v>
      </c>
      <c r="G3247" s="466">
        <v>2.4500000000000002</v>
      </c>
      <c r="H3247" s="466">
        <f>G3247/1.1</f>
        <v>2.2272727272727271</v>
      </c>
      <c r="I3247" s="436"/>
      <c r="J3247" s="465">
        <v>0</v>
      </c>
      <c r="K3247" s="465">
        <v>0</v>
      </c>
    </row>
    <row r="3248" spans="2:11" ht="19" customHeight="1">
      <c r="B3248" s="464">
        <v>46095</v>
      </c>
      <c r="C3248" s="436" t="s">
        <v>247</v>
      </c>
      <c r="D3248" s="436" t="s">
        <v>248</v>
      </c>
      <c r="E3248" s="436">
        <v>1</v>
      </c>
      <c r="F3248" s="465">
        <v>1.65</v>
      </c>
      <c r="G3248" s="466">
        <v>1.65</v>
      </c>
      <c r="H3248" s="466">
        <f>G3248/1.1</f>
        <v>1.4999999999999998</v>
      </c>
      <c r="I3248" s="436"/>
      <c r="J3248" s="465">
        <v>0</v>
      </c>
      <c r="K3248" s="465">
        <v>0</v>
      </c>
    </row>
    <row r="3249" spans="2:11" ht="19" customHeight="1">
      <c r="B3249" s="464">
        <v>46095</v>
      </c>
      <c r="C3249" s="436" t="s">
        <v>253</v>
      </c>
      <c r="D3249" s="436" t="s">
        <v>965</v>
      </c>
      <c r="E3249" s="436">
        <v>1</v>
      </c>
      <c r="F3249" s="465">
        <v>2.5</v>
      </c>
      <c r="G3249" s="466">
        <v>2.5</v>
      </c>
      <c r="H3249" s="466">
        <f>G3249/1.1</f>
        <v>2.2727272727272725</v>
      </c>
      <c r="I3249" s="436"/>
      <c r="J3249" s="465">
        <v>0</v>
      </c>
      <c r="K3249" s="465">
        <v>0</v>
      </c>
    </row>
    <row r="3250" spans="2:11" ht="19" customHeight="1">
      <c r="B3250" s="464">
        <v>46095</v>
      </c>
      <c r="C3250" s="436" t="s">
        <v>247</v>
      </c>
      <c r="D3250" s="436" t="s">
        <v>248</v>
      </c>
      <c r="E3250" s="436">
        <v>1</v>
      </c>
      <c r="F3250" s="465">
        <v>1.65</v>
      </c>
      <c r="G3250" s="466">
        <v>1.65</v>
      </c>
      <c r="H3250" s="466">
        <f>G3250/1.1</f>
        <v>1.4999999999999998</v>
      </c>
      <c r="I3250" s="436"/>
      <c r="J3250" s="465">
        <v>0</v>
      </c>
      <c r="K3250" s="465">
        <v>0</v>
      </c>
    </row>
    <row r="3251" spans="2:11" ht="19" customHeight="1">
      <c r="B3251" s="464">
        <v>46095</v>
      </c>
      <c r="C3251" s="436" t="s">
        <v>253</v>
      </c>
      <c r="D3251" s="436" t="s">
        <v>901</v>
      </c>
      <c r="E3251" s="436">
        <v>1</v>
      </c>
      <c r="F3251" s="465">
        <v>2.15</v>
      </c>
      <c r="G3251" s="466">
        <v>2.15</v>
      </c>
      <c r="H3251" s="466">
        <f>G3251/1.1</f>
        <v>1.9545454545454544</v>
      </c>
      <c r="I3251" s="436"/>
      <c r="J3251" s="465">
        <v>0</v>
      </c>
      <c r="K3251" s="465">
        <v>0</v>
      </c>
    </row>
    <row r="3252" spans="2:11" ht="19" customHeight="1">
      <c r="B3252" s="464">
        <v>46095</v>
      </c>
      <c r="C3252" s="436" t="s">
        <v>275</v>
      </c>
      <c r="D3252" s="436" t="s">
        <v>1115</v>
      </c>
      <c r="E3252" s="436">
        <v>1</v>
      </c>
      <c r="F3252" s="465">
        <v>5.25</v>
      </c>
      <c r="G3252" s="466">
        <v>5.25</v>
      </c>
      <c r="H3252" s="466">
        <f>G3252/1.1</f>
        <v>4.7727272727272725</v>
      </c>
      <c r="I3252" s="436"/>
      <c r="J3252" s="465">
        <v>0</v>
      </c>
      <c r="K3252" s="465">
        <v>0</v>
      </c>
    </row>
    <row r="3253" spans="2:11" ht="19" customHeight="1">
      <c r="B3253" s="464">
        <v>46095</v>
      </c>
      <c r="C3253" s="436" t="s">
        <v>253</v>
      </c>
      <c r="D3253" s="436" t="s">
        <v>869</v>
      </c>
      <c r="E3253" s="436">
        <v>2</v>
      </c>
      <c r="F3253" s="465">
        <v>2.5</v>
      </c>
      <c r="G3253" s="466">
        <v>5</v>
      </c>
      <c r="H3253" s="466">
        <f>G3253/1.1</f>
        <v>4.545454545454545</v>
      </c>
      <c r="I3253" s="436"/>
      <c r="J3253" s="465">
        <v>0</v>
      </c>
      <c r="K3253" s="465">
        <v>0</v>
      </c>
    </row>
    <row r="3254" spans="2:11" ht="19" customHeight="1">
      <c r="B3254" s="464">
        <v>46095</v>
      </c>
      <c r="C3254" s="436" t="s">
        <v>251</v>
      </c>
      <c r="D3254" s="436" t="s">
        <v>265</v>
      </c>
      <c r="E3254" s="436">
        <v>1</v>
      </c>
      <c r="F3254" s="465">
        <v>2.65</v>
      </c>
      <c r="G3254" s="466">
        <v>2.65</v>
      </c>
      <c r="H3254" s="466">
        <f>G3254/1.1</f>
        <v>2.4090909090909087</v>
      </c>
      <c r="I3254" s="436"/>
      <c r="J3254" s="465">
        <v>0</v>
      </c>
      <c r="K3254" s="465">
        <v>0</v>
      </c>
    </row>
    <row r="3255" spans="2:11" ht="19" customHeight="1">
      <c r="B3255" s="464">
        <v>46095</v>
      </c>
      <c r="C3255" s="436" t="s">
        <v>264</v>
      </c>
      <c r="D3255" s="436" t="s">
        <v>930</v>
      </c>
      <c r="E3255" s="436">
        <v>1</v>
      </c>
      <c r="F3255" s="465">
        <v>3.5</v>
      </c>
      <c r="G3255" s="466">
        <v>3.5</v>
      </c>
      <c r="H3255" s="466">
        <f>G3255/1.1</f>
        <v>3.1818181818181817</v>
      </c>
      <c r="I3255" s="436"/>
      <c r="J3255" s="465">
        <v>0</v>
      </c>
      <c r="K3255" s="465">
        <v>0</v>
      </c>
    </row>
    <row r="3256" spans="2:11" ht="19" customHeight="1">
      <c r="B3256" s="464">
        <v>46095</v>
      </c>
      <c r="C3256" s="436" t="s">
        <v>256</v>
      </c>
      <c r="D3256" s="436" t="s">
        <v>262</v>
      </c>
      <c r="E3256" s="436">
        <v>1</v>
      </c>
      <c r="F3256" s="465">
        <v>11.9</v>
      </c>
      <c r="G3256" s="466">
        <v>11.9</v>
      </c>
      <c r="H3256" s="466">
        <f>G3256/1.1</f>
        <v>10.818181818181818</v>
      </c>
      <c r="I3256" s="436"/>
      <c r="J3256" s="465">
        <v>0</v>
      </c>
      <c r="K3256" s="465">
        <v>0</v>
      </c>
    </row>
    <row r="3257" spans="2:11" ht="19" customHeight="1">
      <c r="B3257" s="464">
        <v>46095</v>
      </c>
      <c r="C3257" s="436" t="s">
        <v>256</v>
      </c>
      <c r="D3257" s="436" t="s">
        <v>1114</v>
      </c>
      <c r="E3257" s="436">
        <v>1</v>
      </c>
      <c r="F3257" s="465">
        <v>-0.2</v>
      </c>
      <c r="G3257" s="466">
        <v>-0.2</v>
      </c>
      <c r="H3257" s="466">
        <f>G3257/1.1</f>
        <v>-0.18181818181818182</v>
      </c>
      <c r="I3257" s="436"/>
      <c r="J3257" s="465">
        <v>0</v>
      </c>
      <c r="K3257" s="465">
        <v>0</v>
      </c>
    </row>
    <row r="3258" spans="2:11" ht="19" customHeight="1">
      <c r="B3258" s="464">
        <v>46095</v>
      </c>
      <c r="C3258" s="436" t="s">
        <v>256</v>
      </c>
      <c r="D3258" s="436" t="s">
        <v>931</v>
      </c>
      <c r="E3258" s="436">
        <v>2</v>
      </c>
      <c r="F3258" s="465">
        <v>1.7</v>
      </c>
      <c r="G3258" s="466">
        <v>3.4</v>
      </c>
      <c r="H3258" s="466">
        <f>G3258/1.1</f>
        <v>3.0909090909090904</v>
      </c>
      <c r="I3258" s="436"/>
      <c r="J3258" s="465">
        <v>0</v>
      </c>
      <c r="K3258" s="465">
        <v>0</v>
      </c>
    </row>
    <row r="3259" spans="2:11" ht="19" customHeight="1">
      <c r="B3259" s="464">
        <v>46095</v>
      </c>
      <c r="C3259" s="436" t="s">
        <v>256</v>
      </c>
      <c r="D3259" s="436" t="s">
        <v>870</v>
      </c>
      <c r="E3259" s="436">
        <v>2</v>
      </c>
      <c r="F3259" s="465">
        <v>1.7</v>
      </c>
      <c r="G3259" s="466">
        <v>3.4</v>
      </c>
      <c r="H3259" s="466">
        <f>G3259/1.1</f>
        <v>3.0909090909090904</v>
      </c>
      <c r="I3259" s="436"/>
      <c r="J3259" s="465">
        <v>0</v>
      </c>
      <c r="K3259" s="465">
        <v>0</v>
      </c>
    </row>
    <row r="3260" spans="2:11" ht="19" customHeight="1">
      <c r="B3260" s="464">
        <v>46095</v>
      </c>
      <c r="C3260" s="436" t="s">
        <v>256</v>
      </c>
      <c r="D3260" s="436" t="s">
        <v>932</v>
      </c>
      <c r="E3260" s="436">
        <v>2</v>
      </c>
      <c r="F3260" s="465">
        <v>1.7</v>
      </c>
      <c r="G3260" s="466">
        <v>3.4</v>
      </c>
      <c r="H3260" s="466">
        <f>G3260/1.1</f>
        <v>3.0909090909090904</v>
      </c>
      <c r="I3260" s="436"/>
      <c r="J3260" s="465">
        <v>0</v>
      </c>
      <c r="K3260" s="465">
        <v>0</v>
      </c>
    </row>
    <row r="3261" spans="2:11" ht="19" customHeight="1">
      <c r="B3261" s="464">
        <v>46095</v>
      </c>
      <c r="C3261" s="436" t="s">
        <v>256</v>
      </c>
      <c r="D3261" s="436" t="s">
        <v>255</v>
      </c>
      <c r="E3261" s="436">
        <v>1</v>
      </c>
      <c r="F3261" s="465">
        <v>5.6</v>
      </c>
      <c r="G3261" s="466">
        <v>5.6</v>
      </c>
      <c r="H3261" s="466">
        <f>G3261/1.1</f>
        <v>5.0909090909090899</v>
      </c>
      <c r="I3261" s="436"/>
      <c r="J3261" s="465">
        <v>0</v>
      </c>
      <c r="K3261" s="465">
        <v>0</v>
      </c>
    </row>
    <row r="3262" spans="2:11" ht="19" customHeight="1">
      <c r="B3262" s="464">
        <v>46095</v>
      </c>
      <c r="C3262" s="436" t="s">
        <v>251</v>
      </c>
      <c r="D3262" s="436" t="s">
        <v>926</v>
      </c>
      <c r="E3262" s="436">
        <v>1</v>
      </c>
      <c r="F3262" s="465">
        <v>2.65</v>
      </c>
      <c r="G3262" s="466">
        <v>2.65</v>
      </c>
      <c r="H3262" s="466">
        <f>G3262/1.1</f>
        <v>2.4090909090909087</v>
      </c>
      <c r="I3262" s="436"/>
      <c r="J3262" s="465">
        <v>0</v>
      </c>
      <c r="K3262" s="465">
        <v>0</v>
      </c>
    </row>
    <row r="3263" spans="2:11" ht="19" customHeight="1">
      <c r="B3263" s="464">
        <v>46095</v>
      </c>
      <c r="C3263" s="436" t="s">
        <v>253</v>
      </c>
      <c r="D3263" s="436" t="s">
        <v>901</v>
      </c>
      <c r="E3263" s="436">
        <v>1</v>
      </c>
      <c r="F3263" s="465">
        <v>2.5</v>
      </c>
      <c r="G3263" s="466">
        <v>2.5</v>
      </c>
      <c r="H3263" s="466">
        <f>G3263/1.1</f>
        <v>2.2727272727272725</v>
      </c>
      <c r="I3263" s="436"/>
      <c r="J3263" s="465">
        <v>0</v>
      </c>
      <c r="K3263" s="465">
        <v>0</v>
      </c>
    </row>
    <row r="3264" spans="2:11" ht="19" customHeight="1">
      <c r="B3264" s="464">
        <v>46095</v>
      </c>
      <c r="C3264" s="436" t="s">
        <v>264</v>
      </c>
      <c r="D3264" s="436" t="s">
        <v>930</v>
      </c>
      <c r="E3264" s="436">
        <v>1</v>
      </c>
      <c r="F3264" s="465">
        <v>3.5</v>
      </c>
      <c r="G3264" s="466">
        <v>3.5</v>
      </c>
      <c r="H3264" s="466">
        <f>G3264/1.1</f>
        <v>3.1818181818181817</v>
      </c>
      <c r="I3264" s="436"/>
      <c r="J3264" s="465">
        <v>0</v>
      </c>
      <c r="K3264" s="465">
        <v>0</v>
      </c>
    </row>
    <row r="3265" spans="2:11" ht="19" customHeight="1">
      <c r="B3265" s="464">
        <v>46095</v>
      </c>
      <c r="C3265" s="436" t="s">
        <v>256</v>
      </c>
      <c r="D3265" s="436" t="s">
        <v>986</v>
      </c>
      <c r="E3265" s="436">
        <v>1</v>
      </c>
      <c r="F3265" s="465">
        <v>14</v>
      </c>
      <c r="G3265" s="466">
        <v>14</v>
      </c>
      <c r="H3265" s="466">
        <f>G3265/1.1</f>
        <v>12.727272727272727</v>
      </c>
      <c r="I3265" s="436"/>
      <c r="J3265" s="465">
        <v>0</v>
      </c>
      <c r="K3265" s="465">
        <v>0</v>
      </c>
    </row>
    <row r="3266" spans="2:11" ht="19" customHeight="1">
      <c r="B3266" s="464">
        <v>46095</v>
      </c>
      <c r="C3266" s="436" t="s">
        <v>256</v>
      </c>
      <c r="D3266" s="436" t="s">
        <v>262</v>
      </c>
      <c r="E3266" s="436">
        <v>1</v>
      </c>
      <c r="F3266" s="465">
        <v>11.9</v>
      </c>
      <c r="G3266" s="466">
        <v>11.9</v>
      </c>
      <c r="H3266" s="466">
        <f>G3266/1.1</f>
        <v>10.818181818181818</v>
      </c>
      <c r="I3266" s="436"/>
      <c r="J3266" s="465">
        <v>0</v>
      </c>
      <c r="K3266" s="465">
        <v>0</v>
      </c>
    </row>
    <row r="3267" spans="2:11" ht="19" customHeight="1">
      <c r="B3267" s="464">
        <v>46095</v>
      </c>
      <c r="C3267" s="436" t="s">
        <v>256</v>
      </c>
      <c r="D3267" s="436" t="s">
        <v>1042</v>
      </c>
      <c r="E3267" s="436">
        <v>1</v>
      </c>
      <c r="F3267" s="465">
        <v>13.95</v>
      </c>
      <c r="G3267" s="466">
        <v>13.95</v>
      </c>
      <c r="H3267" s="466">
        <f>G3267/1.1</f>
        <v>12.68181818181818</v>
      </c>
      <c r="I3267" s="436"/>
      <c r="J3267" s="465">
        <v>0</v>
      </c>
      <c r="K3267" s="465">
        <v>0</v>
      </c>
    </row>
    <row r="3268" spans="2:11" ht="19" customHeight="1">
      <c r="B3268" s="464">
        <v>46095</v>
      </c>
      <c r="C3268" s="436" t="s">
        <v>321</v>
      </c>
      <c r="D3268" s="436" t="s">
        <v>1150</v>
      </c>
      <c r="E3268" s="436">
        <v>1</v>
      </c>
      <c r="F3268" s="465">
        <v>9.9</v>
      </c>
      <c r="G3268" s="466">
        <v>9.9</v>
      </c>
      <c r="H3268" s="466">
        <f>G3268/1.1</f>
        <v>9</v>
      </c>
      <c r="I3268" s="436"/>
      <c r="J3268" s="465">
        <v>0</v>
      </c>
      <c r="K3268" s="465">
        <v>0</v>
      </c>
    </row>
    <row r="3269" spans="2:11" ht="19" customHeight="1">
      <c r="B3269" s="464">
        <v>46095</v>
      </c>
      <c r="C3269" s="436" t="s">
        <v>256</v>
      </c>
      <c r="D3269" s="436" t="s">
        <v>1168</v>
      </c>
      <c r="E3269" s="436">
        <v>1</v>
      </c>
      <c r="F3269" s="465">
        <v>9.9</v>
      </c>
      <c r="G3269" s="466">
        <v>9.9</v>
      </c>
      <c r="H3269" s="466">
        <f>G3269/1.1</f>
        <v>9</v>
      </c>
      <c r="I3269" s="436"/>
      <c r="J3269" s="465">
        <v>0</v>
      </c>
      <c r="K3269" s="465">
        <v>0</v>
      </c>
    </row>
    <row r="3270" spans="2:11" ht="19" customHeight="1">
      <c r="B3270" s="464">
        <v>46095</v>
      </c>
      <c r="C3270" s="436" t="s">
        <v>275</v>
      </c>
      <c r="D3270" s="436" t="s">
        <v>933</v>
      </c>
      <c r="E3270" s="436">
        <v>1</v>
      </c>
      <c r="F3270" s="465">
        <v>5.25</v>
      </c>
      <c r="G3270" s="466">
        <v>5.25</v>
      </c>
      <c r="H3270" s="466">
        <f>G3270/1.1</f>
        <v>4.7727272727272725</v>
      </c>
      <c r="I3270" s="436"/>
      <c r="J3270" s="465">
        <v>0</v>
      </c>
      <c r="K3270" s="465">
        <v>0</v>
      </c>
    </row>
    <row r="3271" spans="2:11" ht="19" customHeight="1">
      <c r="B3271" s="464">
        <v>46095</v>
      </c>
      <c r="C3271" s="436" t="s">
        <v>251</v>
      </c>
      <c r="D3271" s="436" t="s">
        <v>250</v>
      </c>
      <c r="E3271" s="436">
        <v>1</v>
      </c>
      <c r="F3271" s="465">
        <v>3.6</v>
      </c>
      <c r="G3271" s="466">
        <v>3.6</v>
      </c>
      <c r="H3271" s="466">
        <f>G3271/1.1</f>
        <v>3.2727272727272725</v>
      </c>
      <c r="I3271" s="436"/>
      <c r="J3271" s="465">
        <v>0</v>
      </c>
      <c r="K3271" s="465">
        <v>0</v>
      </c>
    </row>
    <row r="3272" spans="2:11" ht="19" customHeight="1">
      <c r="B3272" s="464">
        <v>46095</v>
      </c>
      <c r="C3272" s="436" t="s">
        <v>275</v>
      </c>
      <c r="D3272" s="436" t="s">
        <v>1084</v>
      </c>
      <c r="E3272" s="436">
        <v>1</v>
      </c>
      <c r="F3272" s="465">
        <v>6.5</v>
      </c>
      <c r="G3272" s="466">
        <v>6.5</v>
      </c>
      <c r="H3272" s="466">
        <f>G3272/1.1</f>
        <v>5.9090909090909083</v>
      </c>
      <c r="I3272" s="436"/>
      <c r="J3272" s="465">
        <v>0</v>
      </c>
      <c r="K3272" s="465">
        <v>0</v>
      </c>
    </row>
    <row r="3273" spans="2:11" ht="19" customHeight="1">
      <c r="B3273" s="464">
        <v>46095</v>
      </c>
      <c r="C3273" s="436" t="s">
        <v>264</v>
      </c>
      <c r="D3273" s="436" t="s">
        <v>930</v>
      </c>
      <c r="E3273" s="436">
        <v>1</v>
      </c>
      <c r="F3273" s="465">
        <v>3.5</v>
      </c>
      <c r="G3273" s="466">
        <v>3.5</v>
      </c>
      <c r="H3273" s="466">
        <f>G3273/1.1</f>
        <v>3.1818181818181817</v>
      </c>
      <c r="I3273" s="436"/>
      <c r="J3273" s="465">
        <v>0</v>
      </c>
      <c r="K3273" s="465">
        <v>0</v>
      </c>
    </row>
    <row r="3274" spans="2:11" ht="19" customHeight="1">
      <c r="B3274" s="464">
        <v>46095</v>
      </c>
      <c r="C3274" s="436" t="s">
        <v>256</v>
      </c>
      <c r="D3274" s="436" t="s">
        <v>1114</v>
      </c>
      <c r="E3274" s="436">
        <v>1</v>
      </c>
      <c r="F3274" s="465">
        <v>-0.2</v>
      </c>
      <c r="G3274" s="466">
        <v>-0.2</v>
      </c>
      <c r="H3274" s="466">
        <f>G3274/1.1</f>
        <v>-0.18181818181818182</v>
      </c>
      <c r="I3274" s="436"/>
      <c r="J3274" s="465">
        <v>0</v>
      </c>
      <c r="K3274" s="465">
        <v>0</v>
      </c>
    </row>
    <row r="3275" spans="2:11" ht="19" customHeight="1">
      <c r="B3275" s="464">
        <v>46095</v>
      </c>
      <c r="C3275" s="436" t="s">
        <v>256</v>
      </c>
      <c r="D3275" s="436" t="s">
        <v>931</v>
      </c>
      <c r="E3275" s="436">
        <v>2</v>
      </c>
      <c r="F3275" s="465">
        <v>1.7</v>
      </c>
      <c r="G3275" s="466">
        <v>3.4</v>
      </c>
      <c r="H3275" s="466">
        <f>G3275/1.1</f>
        <v>3.0909090909090904</v>
      </c>
      <c r="I3275" s="436"/>
      <c r="J3275" s="465">
        <v>0</v>
      </c>
      <c r="K3275" s="465">
        <v>0</v>
      </c>
    </row>
    <row r="3276" spans="2:11" ht="19" customHeight="1">
      <c r="B3276" s="464">
        <v>46095</v>
      </c>
      <c r="C3276" s="436" t="s">
        <v>256</v>
      </c>
      <c r="D3276" s="436" t="s">
        <v>870</v>
      </c>
      <c r="E3276" s="436">
        <v>2</v>
      </c>
      <c r="F3276" s="465">
        <v>1.7</v>
      </c>
      <c r="G3276" s="466">
        <v>3.4</v>
      </c>
      <c r="H3276" s="466">
        <f>G3276/1.1</f>
        <v>3.0909090909090904</v>
      </c>
      <c r="I3276" s="436"/>
      <c r="J3276" s="465">
        <v>0</v>
      </c>
      <c r="K3276" s="465">
        <v>0</v>
      </c>
    </row>
    <row r="3277" spans="2:11" ht="19" customHeight="1">
      <c r="B3277" s="464">
        <v>46095</v>
      </c>
      <c r="C3277" s="436" t="s">
        <v>256</v>
      </c>
      <c r="D3277" s="436" t="s">
        <v>932</v>
      </c>
      <c r="E3277" s="436">
        <v>2</v>
      </c>
      <c r="F3277" s="465">
        <v>1.7</v>
      </c>
      <c r="G3277" s="466">
        <v>3.4</v>
      </c>
      <c r="H3277" s="466">
        <f>G3277/1.1</f>
        <v>3.0909090909090904</v>
      </c>
      <c r="I3277" s="436"/>
      <c r="J3277" s="465">
        <v>0</v>
      </c>
      <c r="K3277" s="465">
        <v>0</v>
      </c>
    </row>
    <row r="3278" spans="2:11" ht="19" customHeight="1">
      <c r="B3278" s="464">
        <v>46095</v>
      </c>
      <c r="C3278" s="436" t="s">
        <v>256</v>
      </c>
      <c r="D3278" s="436" t="s">
        <v>675</v>
      </c>
      <c r="E3278" s="436">
        <v>1</v>
      </c>
      <c r="F3278" s="465">
        <v>5.5</v>
      </c>
      <c r="G3278" s="466">
        <v>5.5</v>
      </c>
      <c r="H3278" s="466">
        <f>G3278/1.1</f>
        <v>5</v>
      </c>
      <c r="I3278" s="436"/>
      <c r="J3278" s="465">
        <v>0</v>
      </c>
      <c r="K3278" s="465">
        <v>0</v>
      </c>
    </row>
    <row r="3279" spans="2:11" ht="19" customHeight="1">
      <c r="B3279" s="464">
        <v>46095</v>
      </c>
      <c r="C3279" s="436" t="s">
        <v>247</v>
      </c>
      <c r="D3279" s="436" t="s">
        <v>246</v>
      </c>
      <c r="E3279" s="436">
        <v>2</v>
      </c>
      <c r="F3279" s="465">
        <v>1.7</v>
      </c>
      <c r="G3279" s="466">
        <v>3.4</v>
      </c>
      <c r="H3279" s="466">
        <f>G3279/1.1</f>
        <v>3.0909090909090904</v>
      </c>
      <c r="I3279" s="436"/>
      <c r="J3279" s="465">
        <v>0</v>
      </c>
      <c r="K3279" s="465">
        <v>0</v>
      </c>
    </row>
    <row r="3280" spans="2:11" ht="19" customHeight="1">
      <c r="B3280" s="464">
        <v>46095</v>
      </c>
      <c r="C3280" s="436" t="s">
        <v>247</v>
      </c>
      <c r="D3280" s="436" t="s">
        <v>1008</v>
      </c>
      <c r="E3280" s="436">
        <v>1</v>
      </c>
      <c r="F3280" s="465">
        <v>1</v>
      </c>
      <c r="G3280" s="466">
        <v>1</v>
      </c>
      <c r="H3280" s="466">
        <f>G3280/1.1</f>
        <v>0.90909090909090906</v>
      </c>
      <c r="I3280" s="436"/>
      <c r="J3280" s="465">
        <v>0</v>
      </c>
      <c r="K3280" s="465">
        <v>0</v>
      </c>
    </row>
    <row r="3281" spans="2:11" ht="19" customHeight="1">
      <c r="B3281" s="464">
        <v>46095</v>
      </c>
      <c r="C3281" s="436" t="s">
        <v>862</v>
      </c>
      <c r="D3281" s="436" t="s">
        <v>899</v>
      </c>
      <c r="E3281" s="436">
        <v>1</v>
      </c>
      <c r="F3281" s="465">
        <v>0.05</v>
      </c>
      <c r="G3281" s="466">
        <v>0.05</v>
      </c>
      <c r="H3281" s="466">
        <f>G3281/1.1</f>
        <v>4.5454545454545456E-2</v>
      </c>
      <c r="I3281" s="436"/>
      <c r="J3281" s="465">
        <v>0</v>
      </c>
      <c r="K3281" s="465">
        <v>0</v>
      </c>
    </row>
    <row r="3282" spans="2:11" ht="19" customHeight="1">
      <c r="B3282" s="464">
        <v>46095</v>
      </c>
      <c r="C3282" s="436" t="s">
        <v>247</v>
      </c>
      <c r="D3282" s="436" t="s">
        <v>902</v>
      </c>
      <c r="E3282" s="436">
        <v>1</v>
      </c>
      <c r="F3282" s="465">
        <v>1.95</v>
      </c>
      <c r="G3282" s="466">
        <v>1.95</v>
      </c>
      <c r="H3282" s="466">
        <f>G3282/1.1</f>
        <v>1.7727272727272725</v>
      </c>
      <c r="I3282" s="436"/>
      <c r="J3282" s="465">
        <v>0</v>
      </c>
      <c r="K3282" s="465">
        <v>0</v>
      </c>
    </row>
    <row r="3283" spans="2:11" ht="19" customHeight="1">
      <c r="B3283" s="464">
        <v>46095</v>
      </c>
      <c r="C3283" s="436" t="s">
        <v>862</v>
      </c>
      <c r="D3283" s="436" t="s">
        <v>863</v>
      </c>
      <c r="E3283" s="436">
        <v>1</v>
      </c>
      <c r="F3283" s="465">
        <v>0.15</v>
      </c>
      <c r="G3283" s="466">
        <v>0.15</v>
      </c>
      <c r="H3283" s="466">
        <f>G3283/1.1</f>
        <v>0.13636363636363635</v>
      </c>
      <c r="I3283" s="436"/>
      <c r="J3283" s="465">
        <v>0</v>
      </c>
      <c r="K3283" s="465">
        <v>0</v>
      </c>
    </row>
    <row r="3284" spans="2:11" ht="19" customHeight="1">
      <c r="B3284" s="464">
        <v>46095</v>
      </c>
      <c r="C3284" s="436" t="s">
        <v>247</v>
      </c>
      <c r="D3284" s="436" t="s">
        <v>248</v>
      </c>
      <c r="E3284" s="436">
        <v>1</v>
      </c>
      <c r="F3284" s="465">
        <v>1.65</v>
      </c>
      <c r="G3284" s="466">
        <v>1.65</v>
      </c>
      <c r="H3284" s="466">
        <f>G3284/1.1</f>
        <v>1.4999999999999998</v>
      </c>
      <c r="I3284" s="436"/>
      <c r="J3284" s="465">
        <v>0</v>
      </c>
      <c r="K3284" s="465">
        <v>0</v>
      </c>
    </row>
    <row r="3285" spans="2:11" ht="19" customHeight="1">
      <c r="B3285" s="464">
        <v>46095</v>
      </c>
      <c r="C3285" s="436" t="s">
        <v>253</v>
      </c>
      <c r="D3285" s="436" t="s">
        <v>965</v>
      </c>
      <c r="E3285" s="436">
        <v>2</v>
      </c>
      <c r="F3285" s="465">
        <v>2.5</v>
      </c>
      <c r="G3285" s="466">
        <v>5</v>
      </c>
      <c r="H3285" s="466">
        <f>G3285/1.1</f>
        <v>4.545454545454545</v>
      </c>
      <c r="I3285" s="436"/>
      <c r="J3285" s="465">
        <v>0</v>
      </c>
      <c r="K3285" s="465">
        <v>0</v>
      </c>
    </row>
    <row r="3286" spans="2:11" ht="19" customHeight="1">
      <c r="B3286" s="464">
        <v>46095</v>
      </c>
      <c r="C3286" s="436" t="s">
        <v>256</v>
      </c>
      <c r="D3286" s="436" t="s">
        <v>912</v>
      </c>
      <c r="E3286" s="436">
        <v>2</v>
      </c>
      <c r="F3286" s="465">
        <v>5.5</v>
      </c>
      <c r="G3286" s="466">
        <v>11</v>
      </c>
      <c r="H3286" s="466">
        <f>G3286/1.1</f>
        <v>10</v>
      </c>
      <c r="I3286" s="436"/>
      <c r="J3286" s="465">
        <v>0</v>
      </c>
      <c r="K3286" s="465">
        <v>0</v>
      </c>
    </row>
    <row r="3287" spans="2:11" ht="19" customHeight="1">
      <c r="B3287" s="464">
        <v>46095</v>
      </c>
      <c r="C3287" s="436" t="s">
        <v>321</v>
      </c>
      <c r="D3287" s="436" t="s">
        <v>728</v>
      </c>
      <c r="E3287" s="436">
        <v>1</v>
      </c>
      <c r="F3287" s="465">
        <v>8.9</v>
      </c>
      <c r="G3287" s="466">
        <v>8.9</v>
      </c>
      <c r="H3287" s="466">
        <f>G3287/1.1</f>
        <v>8.0909090909090899</v>
      </c>
      <c r="I3287" s="436"/>
      <c r="J3287" s="465">
        <v>0</v>
      </c>
      <c r="K3287" s="465">
        <v>0</v>
      </c>
    </row>
    <row r="3288" spans="2:11" ht="19" customHeight="1">
      <c r="B3288" s="464">
        <v>46095</v>
      </c>
      <c r="C3288" s="436" t="s">
        <v>256</v>
      </c>
      <c r="D3288" s="436" t="s">
        <v>262</v>
      </c>
      <c r="E3288" s="436">
        <v>1</v>
      </c>
      <c r="F3288" s="465">
        <v>11.9</v>
      </c>
      <c r="G3288" s="466">
        <v>11.9</v>
      </c>
      <c r="H3288" s="466">
        <f>G3288/1.1</f>
        <v>10.818181818181818</v>
      </c>
      <c r="I3288" s="436"/>
      <c r="J3288" s="465">
        <v>0</v>
      </c>
      <c r="K3288" s="465">
        <v>0</v>
      </c>
    </row>
    <row r="3289" spans="2:11" ht="19" customHeight="1">
      <c r="B3289" s="464">
        <v>46095</v>
      </c>
      <c r="C3289" s="436" t="s">
        <v>253</v>
      </c>
      <c r="D3289" s="436" t="s">
        <v>969</v>
      </c>
      <c r="E3289" s="436">
        <v>1</v>
      </c>
      <c r="F3289" s="465">
        <v>3.5</v>
      </c>
      <c r="G3289" s="466">
        <v>3.5</v>
      </c>
      <c r="H3289" s="466">
        <f>G3289/1.1</f>
        <v>3.1818181818181817</v>
      </c>
      <c r="I3289" s="436"/>
      <c r="J3289" s="465">
        <v>0</v>
      </c>
      <c r="K3289" s="465">
        <v>0</v>
      </c>
    </row>
    <row r="3290" spans="2:11" ht="19" customHeight="1">
      <c r="B3290" s="464">
        <v>46095</v>
      </c>
      <c r="C3290" s="436" t="s">
        <v>276</v>
      </c>
      <c r="D3290" s="436" t="s">
        <v>929</v>
      </c>
      <c r="E3290" s="436">
        <v>1</v>
      </c>
      <c r="F3290" s="465">
        <v>3.9</v>
      </c>
      <c r="G3290" s="466">
        <v>3.9</v>
      </c>
      <c r="H3290" s="466">
        <f>G3290/1.1</f>
        <v>3.545454545454545</v>
      </c>
      <c r="I3290" s="436"/>
      <c r="J3290" s="465">
        <v>0</v>
      </c>
      <c r="K3290" s="465">
        <v>0</v>
      </c>
    </row>
    <row r="3291" spans="2:11" ht="19" customHeight="1">
      <c r="B3291" s="464">
        <v>46095</v>
      </c>
      <c r="C3291" s="436" t="s">
        <v>251</v>
      </c>
      <c r="D3291" s="436" t="s">
        <v>926</v>
      </c>
      <c r="E3291" s="436">
        <v>2</v>
      </c>
      <c r="F3291" s="465">
        <v>2.8</v>
      </c>
      <c r="G3291" s="466">
        <v>5.6</v>
      </c>
      <c r="H3291" s="466">
        <f>G3291/1.1</f>
        <v>5.0909090909090899</v>
      </c>
      <c r="I3291" s="436"/>
      <c r="J3291" s="465">
        <v>0</v>
      </c>
      <c r="K3291" s="465">
        <v>0</v>
      </c>
    </row>
    <row r="3292" spans="2:11" ht="19" customHeight="1">
      <c r="B3292" s="464">
        <v>46095</v>
      </c>
      <c r="C3292" s="436" t="s">
        <v>256</v>
      </c>
      <c r="D3292" s="436" t="s">
        <v>678</v>
      </c>
      <c r="E3292" s="436">
        <v>1</v>
      </c>
      <c r="F3292" s="465">
        <v>7.15</v>
      </c>
      <c r="G3292" s="466">
        <v>7.15</v>
      </c>
      <c r="H3292" s="466">
        <f>G3292/1.1</f>
        <v>6.5</v>
      </c>
      <c r="I3292" s="436"/>
      <c r="J3292" s="465">
        <v>0</v>
      </c>
      <c r="K3292" s="465">
        <v>0</v>
      </c>
    </row>
    <row r="3293" spans="2:11" ht="19" customHeight="1">
      <c r="B3293" s="464">
        <v>46095</v>
      </c>
      <c r="C3293" s="436" t="s">
        <v>256</v>
      </c>
      <c r="D3293" s="436" t="s">
        <v>255</v>
      </c>
      <c r="E3293" s="436">
        <v>1</v>
      </c>
      <c r="F3293" s="465">
        <v>5.85</v>
      </c>
      <c r="G3293" s="466">
        <v>5.85</v>
      </c>
      <c r="H3293" s="466">
        <f>G3293/1.1</f>
        <v>5.3181818181818175</v>
      </c>
      <c r="I3293" s="436"/>
      <c r="J3293" s="465">
        <v>0</v>
      </c>
      <c r="K3293" s="465">
        <v>0</v>
      </c>
    </row>
    <row r="3294" spans="2:11" ht="19" customHeight="1">
      <c r="B3294" s="464">
        <v>46095</v>
      </c>
      <c r="C3294" s="436" t="s">
        <v>247</v>
      </c>
      <c r="D3294" s="436" t="s">
        <v>710</v>
      </c>
      <c r="E3294" s="436">
        <v>2</v>
      </c>
      <c r="F3294" s="465">
        <v>2.65</v>
      </c>
      <c r="G3294" s="466">
        <v>5.3</v>
      </c>
      <c r="H3294" s="466">
        <f>G3294/1.1</f>
        <v>4.8181818181818175</v>
      </c>
      <c r="I3294" s="436"/>
      <c r="J3294" s="465">
        <v>0</v>
      </c>
      <c r="K3294" s="465">
        <v>0</v>
      </c>
    </row>
    <row r="3295" spans="2:11" ht="19" customHeight="1">
      <c r="B3295" s="464">
        <v>46095</v>
      </c>
      <c r="C3295" s="436" t="s">
        <v>256</v>
      </c>
      <c r="D3295" s="436" t="s">
        <v>255</v>
      </c>
      <c r="E3295" s="436">
        <v>1</v>
      </c>
      <c r="F3295" s="465">
        <v>5.6</v>
      </c>
      <c r="G3295" s="466">
        <v>5.6</v>
      </c>
      <c r="H3295" s="466">
        <f>G3295/1.1</f>
        <v>5.0909090909090899</v>
      </c>
      <c r="I3295" s="436"/>
      <c r="J3295" s="465">
        <v>0</v>
      </c>
      <c r="K3295" s="465">
        <v>0</v>
      </c>
    </row>
    <row r="3296" spans="2:11" ht="19" customHeight="1">
      <c r="B3296" s="464">
        <v>46095</v>
      </c>
      <c r="C3296" s="436" t="s">
        <v>253</v>
      </c>
      <c r="D3296" s="436" t="s">
        <v>901</v>
      </c>
      <c r="E3296" s="436">
        <v>1</v>
      </c>
      <c r="F3296" s="465">
        <v>2.15</v>
      </c>
      <c r="G3296" s="466">
        <v>2.15</v>
      </c>
      <c r="H3296" s="466">
        <f>G3296/1.1</f>
        <v>1.9545454545454544</v>
      </c>
      <c r="I3296" s="436"/>
      <c r="J3296" s="465">
        <v>0</v>
      </c>
      <c r="K3296" s="465">
        <v>0</v>
      </c>
    </row>
    <row r="3297" spans="2:11" ht="19" customHeight="1">
      <c r="B3297" s="464">
        <v>46095</v>
      </c>
      <c r="C3297" s="436" t="s">
        <v>253</v>
      </c>
      <c r="D3297" s="436" t="s">
        <v>869</v>
      </c>
      <c r="E3297" s="436">
        <v>1</v>
      </c>
      <c r="F3297" s="465">
        <v>2.5</v>
      </c>
      <c r="G3297" s="466">
        <v>2.5</v>
      </c>
      <c r="H3297" s="466">
        <f>G3297/1.1</f>
        <v>2.2727272727272725</v>
      </c>
      <c r="I3297" s="436"/>
      <c r="J3297" s="465">
        <v>0</v>
      </c>
      <c r="K3297" s="465">
        <v>0</v>
      </c>
    </row>
    <row r="3298" spans="2:11" ht="19" customHeight="1">
      <c r="B3298" s="464">
        <v>46095</v>
      </c>
      <c r="C3298" s="436" t="s">
        <v>251</v>
      </c>
      <c r="D3298" s="436" t="s">
        <v>927</v>
      </c>
      <c r="E3298" s="436">
        <v>1</v>
      </c>
      <c r="F3298" s="465">
        <v>2.65</v>
      </c>
      <c r="G3298" s="466">
        <v>2.65</v>
      </c>
      <c r="H3298" s="466">
        <f>G3298/1.1</f>
        <v>2.4090909090909087</v>
      </c>
      <c r="I3298" s="436"/>
      <c r="J3298" s="465">
        <v>0</v>
      </c>
      <c r="K3298" s="465">
        <v>0</v>
      </c>
    </row>
    <row r="3299" spans="2:11" ht="19" customHeight="1">
      <c r="B3299" s="464">
        <v>46095</v>
      </c>
      <c r="C3299" s="436" t="s">
        <v>253</v>
      </c>
      <c r="D3299" s="436" t="s">
        <v>869</v>
      </c>
      <c r="E3299" s="436">
        <v>1</v>
      </c>
      <c r="F3299" s="465">
        <v>2.5</v>
      </c>
      <c r="G3299" s="466">
        <v>2.5</v>
      </c>
      <c r="H3299" s="466">
        <f>G3299/1.1</f>
        <v>2.2727272727272725</v>
      </c>
      <c r="I3299" s="436"/>
      <c r="J3299" s="465">
        <v>0</v>
      </c>
      <c r="K3299" s="465">
        <v>0</v>
      </c>
    </row>
    <row r="3300" spans="2:11" ht="19" customHeight="1">
      <c r="B3300" s="464">
        <v>46095</v>
      </c>
      <c r="C3300" s="436" t="s">
        <v>276</v>
      </c>
      <c r="D3300" s="436" t="s">
        <v>1017</v>
      </c>
      <c r="E3300" s="436">
        <v>1</v>
      </c>
      <c r="F3300" s="465">
        <v>4.75</v>
      </c>
      <c r="G3300" s="466">
        <v>4.75</v>
      </c>
      <c r="H3300" s="466">
        <f>G3300/1.1</f>
        <v>4.3181818181818175</v>
      </c>
      <c r="I3300" s="436"/>
      <c r="J3300" s="465">
        <v>0</v>
      </c>
      <c r="K3300" s="465">
        <v>0</v>
      </c>
    </row>
    <row r="3301" spans="2:11" ht="19" customHeight="1">
      <c r="B3301" s="464">
        <v>46095</v>
      </c>
      <c r="C3301" s="436" t="s">
        <v>264</v>
      </c>
      <c r="D3301" s="436" t="s">
        <v>703</v>
      </c>
      <c r="E3301" s="436">
        <v>1</v>
      </c>
      <c r="F3301" s="465">
        <v>2</v>
      </c>
      <c r="G3301" s="466">
        <v>2</v>
      </c>
      <c r="H3301" s="466">
        <f>G3301/1.1</f>
        <v>1.8181818181818181</v>
      </c>
      <c r="I3301" s="436"/>
      <c r="J3301" s="465">
        <v>0</v>
      </c>
      <c r="K3301" s="465">
        <v>0</v>
      </c>
    </row>
    <row r="3302" spans="2:11" ht="19" customHeight="1">
      <c r="B3302" s="464">
        <v>46095</v>
      </c>
      <c r="C3302" s="436" t="s">
        <v>256</v>
      </c>
      <c r="D3302" s="436" t="s">
        <v>675</v>
      </c>
      <c r="E3302" s="436">
        <v>1</v>
      </c>
      <c r="F3302" s="465">
        <v>5.5</v>
      </c>
      <c r="G3302" s="466">
        <v>5.5</v>
      </c>
      <c r="H3302" s="466">
        <f>G3302/1.1</f>
        <v>5</v>
      </c>
      <c r="I3302" s="436"/>
      <c r="J3302" s="465">
        <v>0</v>
      </c>
      <c r="K3302" s="465">
        <v>0</v>
      </c>
    </row>
    <row r="3303" spans="2:11" ht="19" customHeight="1">
      <c r="B3303" s="464">
        <v>46095</v>
      </c>
      <c r="C3303" s="436" t="s">
        <v>253</v>
      </c>
      <c r="D3303" s="436" t="s">
        <v>869</v>
      </c>
      <c r="E3303" s="436">
        <v>1</v>
      </c>
      <c r="F3303" s="465">
        <v>2.5</v>
      </c>
      <c r="G3303" s="466">
        <v>2.5</v>
      </c>
      <c r="H3303" s="466">
        <f>G3303/1.1</f>
        <v>2.2727272727272725</v>
      </c>
      <c r="I3303" s="436"/>
      <c r="J3303" s="465">
        <v>0</v>
      </c>
      <c r="K3303" s="465">
        <v>0</v>
      </c>
    </row>
    <row r="3304" spans="2:11" ht="19" customHeight="1">
      <c r="B3304" s="464">
        <v>46096</v>
      </c>
      <c r="C3304" s="436" t="s">
        <v>247</v>
      </c>
      <c r="D3304" s="436" t="s">
        <v>902</v>
      </c>
      <c r="E3304" s="436">
        <v>1</v>
      </c>
      <c r="F3304" s="465">
        <v>1.95</v>
      </c>
      <c r="G3304" s="466">
        <v>1.95</v>
      </c>
      <c r="H3304" s="466">
        <f>G3304/1.1</f>
        <v>1.7727272727272725</v>
      </c>
      <c r="I3304" s="436"/>
      <c r="J3304" s="465">
        <v>0</v>
      </c>
      <c r="K3304" s="465">
        <v>0</v>
      </c>
    </row>
    <row r="3305" spans="2:11" ht="19" customHeight="1">
      <c r="B3305" s="464">
        <v>46096</v>
      </c>
      <c r="C3305" s="436" t="s">
        <v>328</v>
      </c>
      <c r="D3305" s="436" t="s">
        <v>761</v>
      </c>
      <c r="E3305" s="436">
        <v>1</v>
      </c>
      <c r="F3305" s="465">
        <v>3.1</v>
      </c>
      <c r="G3305" s="466">
        <v>3.1</v>
      </c>
      <c r="H3305" s="466">
        <f>G3305/1.1</f>
        <v>2.8181818181818179</v>
      </c>
      <c r="I3305" s="436"/>
      <c r="J3305" s="465">
        <v>0</v>
      </c>
      <c r="K3305" s="465">
        <v>0</v>
      </c>
    </row>
    <row r="3306" spans="2:11" ht="19" customHeight="1">
      <c r="B3306" s="464">
        <v>46096</v>
      </c>
      <c r="C3306" s="436" t="s">
        <v>247</v>
      </c>
      <c r="D3306" s="436" t="s">
        <v>246</v>
      </c>
      <c r="E3306" s="436">
        <v>2</v>
      </c>
      <c r="F3306" s="465">
        <v>1.7</v>
      </c>
      <c r="G3306" s="466">
        <v>3.4</v>
      </c>
      <c r="H3306" s="466">
        <f>G3306/1.1</f>
        <v>3.0909090909090904</v>
      </c>
      <c r="I3306" s="436"/>
      <c r="J3306" s="465">
        <v>0</v>
      </c>
      <c r="K3306" s="465">
        <v>0</v>
      </c>
    </row>
    <row r="3307" spans="2:11" ht="19" customHeight="1">
      <c r="B3307" s="464">
        <v>46096</v>
      </c>
      <c r="C3307" s="436" t="s">
        <v>247</v>
      </c>
      <c r="D3307" s="436" t="s">
        <v>246</v>
      </c>
      <c r="E3307" s="436">
        <v>2</v>
      </c>
      <c r="F3307" s="465">
        <v>1.7</v>
      </c>
      <c r="G3307" s="466">
        <v>3.4</v>
      </c>
      <c r="H3307" s="466">
        <f>G3307/1.1</f>
        <v>3.0909090909090904</v>
      </c>
      <c r="I3307" s="436"/>
      <c r="J3307" s="465">
        <v>0</v>
      </c>
      <c r="K3307" s="465">
        <v>0</v>
      </c>
    </row>
    <row r="3308" spans="2:11" ht="19" customHeight="1">
      <c r="B3308" s="464">
        <v>46096</v>
      </c>
      <c r="C3308" s="436" t="s">
        <v>247</v>
      </c>
      <c r="D3308" s="436" t="s">
        <v>246</v>
      </c>
      <c r="E3308" s="436">
        <v>1</v>
      </c>
      <c r="F3308" s="465">
        <v>1.7</v>
      </c>
      <c r="G3308" s="466">
        <v>1.7</v>
      </c>
      <c r="H3308" s="466">
        <f>G3308/1.1</f>
        <v>1.5454545454545452</v>
      </c>
      <c r="I3308" s="436"/>
      <c r="J3308" s="465">
        <v>0</v>
      </c>
      <c r="K3308" s="465">
        <v>0</v>
      </c>
    </row>
    <row r="3309" spans="2:11" ht="19" customHeight="1">
      <c r="B3309" s="464">
        <v>46096</v>
      </c>
      <c r="C3309" s="436" t="s">
        <v>894</v>
      </c>
      <c r="D3309" s="436" t="s">
        <v>946</v>
      </c>
      <c r="E3309" s="436">
        <v>1</v>
      </c>
      <c r="F3309" s="465">
        <v>6.4</v>
      </c>
      <c r="G3309" s="466">
        <v>6.4</v>
      </c>
      <c r="H3309" s="466">
        <f>G3309/1.1</f>
        <v>5.8181818181818183</v>
      </c>
      <c r="I3309" s="436"/>
      <c r="J3309" s="465">
        <v>0</v>
      </c>
      <c r="K3309" s="465">
        <v>0</v>
      </c>
    </row>
    <row r="3310" spans="2:11" ht="19" customHeight="1">
      <c r="B3310" s="464">
        <v>46096</v>
      </c>
      <c r="C3310" s="436" t="s">
        <v>264</v>
      </c>
      <c r="D3310" s="436" t="s">
        <v>947</v>
      </c>
      <c r="E3310" s="436">
        <v>1</v>
      </c>
      <c r="F3310" s="465">
        <v>2</v>
      </c>
      <c r="G3310" s="466">
        <v>2</v>
      </c>
      <c r="H3310" s="466">
        <f>G3310/1.1</f>
        <v>1.8181818181818181</v>
      </c>
      <c r="I3310" s="436"/>
      <c r="J3310" s="465">
        <v>0</v>
      </c>
      <c r="K3310" s="465">
        <v>0</v>
      </c>
    </row>
    <row r="3311" spans="2:11" ht="19" customHeight="1">
      <c r="B3311" s="464">
        <v>46096</v>
      </c>
      <c r="C3311" s="436" t="s">
        <v>894</v>
      </c>
      <c r="D3311" s="436" t="s">
        <v>1001</v>
      </c>
      <c r="E3311" s="436">
        <v>1</v>
      </c>
      <c r="F3311" s="465">
        <v>5.7</v>
      </c>
      <c r="G3311" s="466">
        <v>5.7</v>
      </c>
      <c r="H3311" s="466">
        <f>G3311/1.1</f>
        <v>5.1818181818181817</v>
      </c>
      <c r="I3311" s="436"/>
      <c r="J3311" s="465">
        <v>0</v>
      </c>
      <c r="K3311" s="465">
        <v>0</v>
      </c>
    </row>
    <row r="3312" spans="2:11" ht="19" customHeight="1">
      <c r="B3312" s="464">
        <v>46096</v>
      </c>
      <c r="C3312" s="436" t="s">
        <v>253</v>
      </c>
      <c r="D3312" s="436" t="s">
        <v>901</v>
      </c>
      <c r="E3312" s="436">
        <v>1</v>
      </c>
      <c r="F3312" s="465">
        <v>2.15</v>
      </c>
      <c r="G3312" s="466">
        <v>2.15</v>
      </c>
      <c r="H3312" s="466">
        <f>G3312/1.1</f>
        <v>1.9545454545454544</v>
      </c>
      <c r="I3312" s="436"/>
      <c r="J3312" s="465">
        <v>0</v>
      </c>
      <c r="K3312" s="465">
        <v>0</v>
      </c>
    </row>
    <row r="3313" spans="2:11" ht="19" customHeight="1">
      <c r="B3313" s="464">
        <v>46096</v>
      </c>
      <c r="C3313" s="436" t="s">
        <v>247</v>
      </c>
      <c r="D3313" s="436" t="s">
        <v>246</v>
      </c>
      <c r="E3313" s="436">
        <v>1</v>
      </c>
      <c r="F3313" s="465">
        <v>1.7</v>
      </c>
      <c r="G3313" s="466">
        <v>1.7</v>
      </c>
      <c r="H3313" s="466">
        <f>G3313/1.1</f>
        <v>1.5454545454545452</v>
      </c>
      <c r="I3313" s="436"/>
      <c r="J3313" s="465">
        <v>0</v>
      </c>
      <c r="K3313" s="465">
        <v>0</v>
      </c>
    </row>
    <row r="3314" spans="2:11" ht="19" customHeight="1">
      <c r="B3314" s="464">
        <v>46096</v>
      </c>
      <c r="C3314" s="436" t="s">
        <v>251</v>
      </c>
      <c r="D3314" s="436" t="s">
        <v>742</v>
      </c>
      <c r="E3314" s="436">
        <v>1</v>
      </c>
      <c r="F3314" s="465">
        <v>2.75</v>
      </c>
      <c r="G3314" s="466">
        <v>2.75</v>
      </c>
      <c r="H3314" s="466">
        <f>G3314/1.1</f>
        <v>2.5</v>
      </c>
      <c r="I3314" s="436"/>
      <c r="J3314" s="465">
        <v>0</v>
      </c>
      <c r="K3314" s="465">
        <v>0</v>
      </c>
    </row>
    <row r="3315" spans="2:11" ht="19" customHeight="1">
      <c r="B3315" s="464">
        <v>46096</v>
      </c>
      <c r="C3315" s="436" t="s">
        <v>327</v>
      </c>
      <c r="D3315" s="436" t="s">
        <v>723</v>
      </c>
      <c r="E3315" s="436">
        <v>1</v>
      </c>
      <c r="F3315" s="465">
        <v>3.1</v>
      </c>
      <c r="G3315" s="466">
        <v>3.1</v>
      </c>
      <c r="H3315" s="466">
        <f>G3315/1.1</f>
        <v>2.8181818181818179</v>
      </c>
      <c r="I3315" s="436"/>
      <c r="J3315" s="465">
        <v>0</v>
      </c>
      <c r="K3315" s="465">
        <v>0</v>
      </c>
    </row>
    <row r="3316" spans="2:11" ht="19" customHeight="1">
      <c r="B3316" s="464">
        <v>46096</v>
      </c>
      <c r="C3316" s="436" t="s">
        <v>247</v>
      </c>
      <c r="D3316" s="436" t="s">
        <v>248</v>
      </c>
      <c r="E3316" s="436">
        <v>2</v>
      </c>
      <c r="F3316" s="465">
        <v>1.5</v>
      </c>
      <c r="G3316" s="466">
        <v>3</v>
      </c>
      <c r="H3316" s="466">
        <f>G3316/1.1</f>
        <v>2.7272727272727271</v>
      </c>
      <c r="I3316" s="436"/>
      <c r="J3316" s="465">
        <v>0</v>
      </c>
      <c r="K3316" s="465">
        <v>0</v>
      </c>
    </row>
    <row r="3317" spans="2:11" ht="19" customHeight="1">
      <c r="B3317" s="464">
        <v>46096</v>
      </c>
      <c r="C3317" s="436" t="s">
        <v>862</v>
      </c>
      <c r="D3317" s="436" t="s">
        <v>1174</v>
      </c>
      <c r="E3317" s="436">
        <v>2</v>
      </c>
      <c r="F3317" s="465">
        <v>0.15</v>
      </c>
      <c r="G3317" s="466">
        <v>0.3</v>
      </c>
      <c r="H3317" s="466">
        <f>G3317/1.1</f>
        <v>0.27272727272727271</v>
      </c>
      <c r="I3317" s="436"/>
      <c r="J3317" s="465">
        <v>0</v>
      </c>
      <c r="K3317" s="465">
        <v>0</v>
      </c>
    </row>
    <row r="3318" spans="2:11" ht="19" customHeight="1">
      <c r="B3318" s="464">
        <v>46096</v>
      </c>
      <c r="C3318" s="436" t="s">
        <v>268</v>
      </c>
      <c r="D3318" s="436" t="s">
        <v>858</v>
      </c>
      <c r="E3318" s="436">
        <v>3</v>
      </c>
      <c r="F3318" s="465">
        <v>0.65</v>
      </c>
      <c r="G3318" s="466">
        <v>1.95</v>
      </c>
      <c r="H3318" s="466">
        <f>G3318/1.1</f>
        <v>1.7727272727272725</v>
      </c>
      <c r="I3318" s="436"/>
      <c r="J3318" s="465">
        <v>0</v>
      </c>
      <c r="K3318" s="465">
        <v>0</v>
      </c>
    </row>
    <row r="3319" spans="2:11" ht="19" customHeight="1">
      <c r="B3319" s="464">
        <v>46096</v>
      </c>
      <c r="C3319" s="436" t="s">
        <v>247</v>
      </c>
      <c r="D3319" s="436" t="s">
        <v>257</v>
      </c>
      <c r="E3319" s="436">
        <v>1</v>
      </c>
      <c r="F3319" s="465">
        <v>1.4</v>
      </c>
      <c r="G3319" s="466">
        <v>1.4</v>
      </c>
      <c r="H3319" s="466">
        <f>G3319/1.1</f>
        <v>1.2727272727272725</v>
      </c>
      <c r="I3319" s="436"/>
      <c r="J3319" s="465">
        <v>0</v>
      </c>
      <c r="K3319" s="465">
        <v>0</v>
      </c>
    </row>
    <row r="3320" spans="2:11" ht="19" customHeight="1">
      <c r="B3320" s="464">
        <v>46096</v>
      </c>
      <c r="C3320" s="436" t="s">
        <v>247</v>
      </c>
      <c r="D3320" s="436" t="s">
        <v>248</v>
      </c>
      <c r="E3320" s="436">
        <v>1</v>
      </c>
      <c r="F3320" s="465">
        <v>1.5</v>
      </c>
      <c r="G3320" s="466">
        <v>1.5</v>
      </c>
      <c r="H3320" s="466">
        <f>G3320/1.1</f>
        <v>1.3636363636363635</v>
      </c>
      <c r="I3320" s="436"/>
      <c r="J3320" s="465">
        <v>0</v>
      </c>
      <c r="K3320" s="465">
        <v>0</v>
      </c>
    </row>
    <row r="3321" spans="2:11" ht="19" customHeight="1">
      <c r="B3321" s="464">
        <v>46096</v>
      </c>
      <c r="C3321" s="436" t="s">
        <v>247</v>
      </c>
      <c r="D3321" s="436" t="s">
        <v>904</v>
      </c>
      <c r="E3321" s="436">
        <v>1</v>
      </c>
      <c r="F3321" s="465">
        <v>2.0499999999999998</v>
      </c>
      <c r="G3321" s="466">
        <v>2.0499999999999998</v>
      </c>
      <c r="H3321" s="466">
        <f>G3321/1.1</f>
        <v>1.8636363636363633</v>
      </c>
      <c r="I3321" s="436"/>
      <c r="J3321" s="465">
        <v>0</v>
      </c>
      <c r="K3321" s="465">
        <v>0</v>
      </c>
    </row>
    <row r="3322" spans="2:11" ht="19" customHeight="1">
      <c r="B3322" s="464">
        <v>46096</v>
      </c>
      <c r="C3322" s="436" t="s">
        <v>251</v>
      </c>
      <c r="D3322" s="436" t="s">
        <v>265</v>
      </c>
      <c r="E3322" s="436">
        <v>1</v>
      </c>
      <c r="F3322" s="465">
        <v>2.65</v>
      </c>
      <c r="G3322" s="466">
        <v>2.65</v>
      </c>
      <c r="H3322" s="466">
        <f>G3322/1.1</f>
        <v>2.4090909090909087</v>
      </c>
      <c r="I3322" s="436"/>
      <c r="J3322" s="465">
        <v>0</v>
      </c>
      <c r="K3322" s="465">
        <v>0</v>
      </c>
    </row>
    <row r="3323" spans="2:11" ht="19" customHeight="1">
      <c r="B3323" s="464">
        <v>46096</v>
      </c>
      <c r="C3323" s="436" t="s">
        <v>948</v>
      </c>
      <c r="D3323" s="436" t="s">
        <v>828</v>
      </c>
      <c r="E3323" s="436">
        <v>1</v>
      </c>
      <c r="F3323" s="465">
        <v>8.15</v>
      </c>
      <c r="G3323" s="466">
        <v>8.15</v>
      </c>
      <c r="H3323" s="466">
        <f>G3323/1.1</f>
        <v>7.4090909090909092</v>
      </c>
      <c r="I3323" s="436"/>
      <c r="J3323" s="465">
        <v>0</v>
      </c>
      <c r="K3323" s="465">
        <v>0</v>
      </c>
    </row>
    <row r="3324" spans="2:11" ht="19" customHeight="1">
      <c r="B3324" s="464">
        <v>46096</v>
      </c>
      <c r="C3324" s="436" t="s">
        <v>247</v>
      </c>
      <c r="D3324" s="436" t="s">
        <v>246</v>
      </c>
      <c r="E3324" s="436">
        <v>1</v>
      </c>
      <c r="F3324" s="465">
        <v>1.7</v>
      </c>
      <c r="G3324" s="466">
        <v>1.7</v>
      </c>
      <c r="H3324" s="466">
        <f>G3324/1.1</f>
        <v>1.5454545454545452</v>
      </c>
      <c r="I3324" s="436"/>
      <c r="J3324" s="465">
        <v>0</v>
      </c>
      <c r="K3324" s="465">
        <v>0</v>
      </c>
    </row>
    <row r="3325" spans="2:11" ht="19" customHeight="1">
      <c r="B3325" s="464">
        <v>46096</v>
      </c>
      <c r="C3325" s="436" t="s">
        <v>247</v>
      </c>
      <c r="D3325" s="436" t="s">
        <v>257</v>
      </c>
      <c r="E3325" s="436">
        <v>1</v>
      </c>
      <c r="F3325" s="465">
        <v>1.4</v>
      </c>
      <c r="G3325" s="466">
        <v>1.4</v>
      </c>
      <c r="H3325" s="466">
        <f>G3325/1.1</f>
        <v>1.2727272727272725</v>
      </c>
      <c r="I3325" s="436"/>
      <c r="J3325" s="465">
        <v>0</v>
      </c>
      <c r="K3325" s="465">
        <v>0</v>
      </c>
    </row>
    <row r="3326" spans="2:11" ht="19" customHeight="1">
      <c r="B3326" s="464">
        <v>46096</v>
      </c>
      <c r="C3326" s="436" t="s">
        <v>268</v>
      </c>
      <c r="D3326" s="436" t="s">
        <v>267</v>
      </c>
      <c r="E3326" s="436">
        <v>1</v>
      </c>
      <c r="F3326" s="465">
        <v>1.5</v>
      </c>
      <c r="G3326" s="466">
        <v>1.5</v>
      </c>
      <c r="H3326" s="466">
        <f>G3326/1.1</f>
        <v>1.3636363636363635</v>
      </c>
      <c r="I3326" s="436"/>
      <c r="J3326" s="465">
        <v>0</v>
      </c>
      <c r="K3326" s="465">
        <v>0</v>
      </c>
    </row>
    <row r="3327" spans="2:11" ht="19" customHeight="1">
      <c r="B3327" s="464">
        <v>46096</v>
      </c>
      <c r="C3327" s="436" t="s">
        <v>251</v>
      </c>
      <c r="D3327" s="436" t="s">
        <v>854</v>
      </c>
      <c r="E3327" s="436">
        <v>1</v>
      </c>
      <c r="F3327" s="465">
        <v>1.55</v>
      </c>
      <c r="G3327" s="466">
        <v>1.55</v>
      </c>
      <c r="H3327" s="466">
        <f>G3327/1.1</f>
        <v>1.4090909090909089</v>
      </c>
      <c r="I3327" s="436"/>
      <c r="J3327" s="465">
        <v>0</v>
      </c>
      <c r="K3327" s="465">
        <v>0</v>
      </c>
    </row>
    <row r="3328" spans="2:11" ht="19" customHeight="1">
      <c r="B3328" s="464">
        <v>46096</v>
      </c>
      <c r="C3328" s="436" t="s">
        <v>247</v>
      </c>
      <c r="D3328" s="436" t="s">
        <v>246</v>
      </c>
      <c r="E3328" s="436">
        <v>2</v>
      </c>
      <c r="F3328" s="465">
        <v>1.7</v>
      </c>
      <c r="G3328" s="466">
        <v>3.4</v>
      </c>
      <c r="H3328" s="466">
        <f>G3328/1.1</f>
        <v>3.0909090909090904</v>
      </c>
      <c r="I3328" s="436"/>
      <c r="J3328" s="465">
        <v>0</v>
      </c>
      <c r="K3328" s="465">
        <v>0</v>
      </c>
    </row>
    <row r="3329" spans="2:11" ht="19" customHeight="1">
      <c r="B3329" s="464">
        <v>46096</v>
      </c>
      <c r="C3329" s="436" t="s">
        <v>247</v>
      </c>
      <c r="D3329" s="436" t="s">
        <v>248</v>
      </c>
      <c r="E3329" s="436">
        <v>1</v>
      </c>
      <c r="F3329" s="465">
        <v>1.5</v>
      </c>
      <c r="G3329" s="466">
        <v>1.5</v>
      </c>
      <c r="H3329" s="466">
        <f>G3329/1.1</f>
        <v>1.3636363636363635</v>
      </c>
      <c r="I3329" s="436"/>
      <c r="J3329" s="465">
        <v>0</v>
      </c>
      <c r="K3329" s="465">
        <v>0</v>
      </c>
    </row>
    <row r="3330" spans="2:11" ht="19" customHeight="1">
      <c r="B3330" s="464">
        <v>46096</v>
      </c>
      <c r="C3330" s="436" t="s">
        <v>894</v>
      </c>
      <c r="D3330" s="436" t="s">
        <v>1001</v>
      </c>
      <c r="E3330" s="436">
        <v>1</v>
      </c>
      <c r="F3330" s="465">
        <v>5.7</v>
      </c>
      <c r="G3330" s="466">
        <v>5.7</v>
      </c>
      <c r="H3330" s="466">
        <f>G3330/1.1</f>
        <v>5.1818181818181817</v>
      </c>
      <c r="I3330" s="436"/>
      <c r="J3330" s="465">
        <v>0</v>
      </c>
      <c r="K3330" s="465">
        <v>0</v>
      </c>
    </row>
    <row r="3331" spans="2:11" ht="19" customHeight="1">
      <c r="B3331" s="464">
        <v>46096</v>
      </c>
      <c r="C3331" s="436" t="s">
        <v>328</v>
      </c>
      <c r="D3331" s="436" t="s">
        <v>761</v>
      </c>
      <c r="E3331" s="436">
        <v>1</v>
      </c>
      <c r="F3331" s="465">
        <v>3.1</v>
      </c>
      <c r="G3331" s="466">
        <v>3.1</v>
      </c>
      <c r="H3331" s="466">
        <f>G3331/1.1</f>
        <v>2.8181818181818179</v>
      </c>
      <c r="I3331" s="436"/>
      <c r="J3331" s="465">
        <v>0</v>
      </c>
      <c r="K3331" s="465">
        <v>0</v>
      </c>
    </row>
    <row r="3332" spans="2:11" ht="19" customHeight="1">
      <c r="B3332" s="464">
        <v>46096</v>
      </c>
      <c r="C3332" s="436" t="s">
        <v>247</v>
      </c>
      <c r="D3332" s="436" t="s">
        <v>246</v>
      </c>
      <c r="E3332" s="436">
        <v>1</v>
      </c>
      <c r="F3332" s="465">
        <v>1.7</v>
      </c>
      <c r="G3332" s="466">
        <v>1.7</v>
      </c>
      <c r="H3332" s="466">
        <f>G3332/1.1</f>
        <v>1.5454545454545452</v>
      </c>
      <c r="I3332" s="436"/>
      <c r="J3332" s="465">
        <v>0</v>
      </c>
      <c r="K3332" s="465">
        <v>0</v>
      </c>
    </row>
    <row r="3333" spans="2:11" ht="19" customHeight="1">
      <c r="B3333" s="464">
        <v>46096</v>
      </c>
      <c r="C3333" s="436" t="s">
        <v>862</v>
      </c>
      <c r="D3333" s="436" t="s">
        <v>1102</v>
      </c>
      <c r="E3333" s="436">
        <v>1</v>
      </c>
      <c r="F3333" s="465">
        <v>0.15</v>
      </c>
      <c r="G3333" s="466">
        <v>0.15</v>
      </c>
      <c r="H3333" s="466">
        <f>G3333/1.1</f>
        <v>0.13636363636363635</v>
      </c>
      <c r="I3333" s="436"/>
      <c r="J3333" s="465">
        <v>0</v>
      </c>
      <c r="K3333" s="465">
        <v>0</v>
      </c>
    </row>
    <row r="3334" spans="2:11" ht="19" customHeight="1">
      <c r="B3334" s="464">
        <v>46096</v>
      </c>
      <c r="C3334" s="436" t="s">
        <v>268</v>
      </c>
      <c r="D3334" s="436" t="s">
        <v>267</v>
      </c>
      <c r="E3334" s="436">
        <v>1</v>
      </c>
      <c r="F3334" s="465">
        <v>1.5</v>
      </c>
      <c r="G3334" s="466">
        <v>1.5</v>
      </c>
      <c r="H3334" s="466">
        <f>G3334/1.1</f>
        <v>1.3636363636363635</v>
      </c>
      <c r="I3334" s="436"/>
      <c r="J3334" s="465">
        <v>0</v>
      </c>
      <c r="K3334" s="465">
        <v>0</v>
      </c>
    </row>
    <row r="3335" spans="2:11" ht="19" customHeight="1">
      <c r="B3335" s="464">
        <v>46096</v>
      </c>
      <c r="C3335" s="436" t="s">
        <v>268</v>
      </c>
      <c r="D3335" s="436" t="s">
        <v>860</v>
      </c>
      <c r="E3335" s="436">
        <v>2</v>
      </c>
      <c r="F3335" s="465">
        <v>2.25</v>
      </c>
      <c r="G3335" s="466">
        <v>4.5</v>
      </c>
      <c r="H3335" s="466">
        <f>G3335/1.1</f>
        <v>4.0909090909090908</v>
      </c>
      <c r="I3335" s="436"/>
      <c r="J3335" s="465">
        <v>0</v>
      </c>
      <c r="K3335" s="465">
        <v>0</v>
      </c>
    </row>
    <row r="3336" spans="2:11" ht="19" customHeight="1">
      <c r="B3336" s="464">
        <v>46096</v>
      </c>
      <c r="C3336" s="436" t="s">
        <v>247</v>
      </c>
      <c r="D3336" s="436" t="s">
        <v>246</v>
      </c>
      <c r="E3336" s="436">
        <v>1</v>
      </c>
      <c r="F3336" s="465">
        <v>1.7</v>
      </c>
      <c r="G3336" s="466">
        <v>1.7</v>
      </c>
      <c r="H3336" s="466">
        <f>G3336/1.1</f>
        <v>1.5454545454545452</v>
      </c>
      <c r="I3336" s="436"/>
      <c r="J3336" s="465">
        <v>0</v>
      </c>
      <c r="K3336" s="465">
        <v>0</v>
      </c>
    </row>
    <row r="3337" spans="2:11" ht="19" customHeight="1">
      <c r="B3337" s="464">
        <v>46096</v>
      </c>
      <c r="C3337" s="436" t="s">
        <v>862</v>
      </c>
      <c r="D3337" s="436" t="s">
        <v>899</v>
      </c>
      <c r="E3337" s="436">
        <v>1</v>
      </c>
      <c r="F3337" s="465">
        <v>0.05</v>
      </c>
      <c r="G3337" s="466">
        <v>0.05</v>
      </c>
      <c r="H3337" s="466">
        <f>G3337/1.1</f>
        <v>4.5454545454545456E-2</v>
      </c>
      <c r="I3337" s="436"/>
      <c r="J3337" s="465">
        <v>0</v>
      </c>
      <c r="K3337" s="465">
        <v>0</v>
      </c>
    </row>
    <row r="3338" spans="2:11" ht="19" customHeight="1">
      <c r="B3338" s="464">
        <v>46096</v>
      </c>
      <c r="C3338" s="436" t="s">
        <v>247</v>
      </c>
      <c r="D3338" s="436" t="s">
        <v>246</v>
      </c>
      <c r="E3338" s="436">
        <v>2</v>
      </c>
      <c r="F3338" s="465">
        <v>1.7</v>
      </c>
      <c r="G3338" s="466">
        <v>3.4</v>
      </c>
      <c r="H3338" s="466">
        <f>G3338/1.1</f>
        <v>3.0909090909090904</v>
      </c>
      <c r="I3338" s="436"/>
      <c r="J3338" s="465">
        <v>0</v>
      </c>
      <c r="K3338" s="465">
        <v>0</v>
      </c>
    </row>
    <row r="3339" spans="2:11" ht="19" customHeight="1">
      <c r="B3339" s="464">
        <v>46096</v>
      </c>
      <c r="C3339" s="436" t="s">
        <v>247</v>
      </c>
      <c r="D3339" s="436" t="s">
        <v>246</v>
      </c>
      <c r="E3339" s="436">
        <v>1</v>
      </c>
      <c r="F3339" s="465">
        <v>1.7</v>
      </c>
      <c r="G3339" s="466">
        <v>1.7</v>
      </c>
      <c r="H3339" s="466">
        <f>G3339/1.1</f>
        <v>1.5454545454545452</v>
      </c>
      <c r="I3339" s="436"/>
      <c r="J3339" s="465">
        <v>0</v>
      </c>
      <c r="K3339" s="465">
        <v>0</v>
      </c>
    </row>
    <row r="3340" spans="2:11" ht="19" customHeight="1">
      <c r="B3340" s="464">
        <v>46096</v>
      </c>
      <c r="C3340" s="436" t="s">
        <v>247</v>
      </c>
      <c r="D3340" s="436" t="s">
        <v>919</v>
      </c>
      <c r="E3340" s="436">
        <v>1</v>
      </c>
      <c r="F3340" s="465">
        <v>1.7</v>
      </c>
      <c r="G3340" s="466">
        <v>1.7</v>
      </c>
      <c r="H3340" s="466">
        <f>G3340/1.1</f>
        <v>1.5454545454545452</v>
      </c>
      <c r="I3340" s="436"/>
      <c r="J3340" s="465">
        <v>0</v>
      </c>
      <c r="K3340" s="465">
        <v>0</v>
      </c>
    </row>
    <row r="3341" spans="2:11" ht="19" customHeight="1">
      <c r="B3341" s="464">
        <v>46096</v>
      </c>
      <c r="C3341" s="436" t="s">
        <v>328</v>
      </c>
      <c r="D3341" s="436" t="s">
        <v>761</v>
      </c>
      <c r="E3341" s="436">
        <v>1</v>
      </c>
      <c r="F3341" s="465">
        <v>3.1</v>
      </c>
      <c r="G3341" s="466">
        <v>3.1</v>
      </c>
      <c r="H3341" s="466">
        <f>G3341/1.1</f>
        <v>2.8181818181818179</v>
      </c>
      <c r="I3341" s="436"/>
      <c r="J3341" s="465">
        <v>0</v>
      </c>
      <c r="K3341" s="465">
        <v>0</v>
      </c>
    </row>
    <row r="3342" spans="2:11" ht="19" customHeight="1">
      <c r="B3342" s="464">
        <v>46096</v>
      </c>
      <c r="C3342" s="436" t="s">
        <v>327</v>
      </c>
      <c r="D3342" s="436" t="s">
        <v>723</v>
      </c>
      <c r="E3342" s="436">
        <v>1</v>
      </c>
      <c r="F3342" s="465">
        <v>3.1</v>
      </c>
      <c r="G3342" s="466">
        <v>3.1</v>
      </c>
      <c r="H3342" s="466">
        <f>G3342/1.1</f>
        <v>2.8181818181818179</v>
      </c>
      <c r="I3342" s="436"/>
      <c r="J3342" s="465">
        <v>0</v>
      </c>
      <c r="K3342" s="465">
        <v>0</v>
      </c>
    </row>
    <row r="3343" spans="2:11" ht="19" customHeight="1">
      <c r="B3343" s="464">
        <v>46096</v>
      </c>
      <c r="C3343" s="436" t="s">
        <v>268</v>
      </c>
      <c r="D3343" s="436" t="s">
        <v>859</v>
      </c>
      <c r="E3343" s="436">
        <v>1</v>
      </c>
      <c r="F3343" s="465">
        <v>0.75</v>
      </c>
      <c r="G3343" s="466">
        <v>0.75</v>
      </c>
      <c r="H3343" s="466">
        <f>G3343/1.1</f>
        <v>0.68181818181818177</v>
      </c>
      <c r="I3343" s="436"/>
      <c r="J3343" s="465">
        <v>0</v>
      </c>
      <c r="K3343" s="465">
        <v>0</v>
      </c>
    </row>
    <row r="3344" spans="2:11" ht="19" customHeight="1">
      <c r="B3344" s="464">
        <v>46096</v>
      </c>
      <c r="C3344" s="436" t="s">
        <v>247</v>
      </c>
      <c r="D3344" s="436" t="s">
        <v>248</v>
      </c>
      <c r="E3344" s="436">
        <v>1</v>
      </c>
      <c r="F3344" s="465">
        <v>1.5</v>
      </c>
      <c r="G3344" s="466">
        <v>1.5</v>
      </c>
      <c r="H3344" s="466">
        <f>G3344/1.1</f>
        <v>1.3636363636363635</v>
      </c>
      <c r="I3344" s="436"/>
      <c r="J3344" s="465">
        <v>0</v>
      </c>
      <c r="K3344" s="465">
        <v>0</v>
      </c>
    </row>
    <row r="3345" spans="2:11" ht="19" customHeight="1">
      <c r="B3345" s="464">
        <v>46096</v>
      </c>
      <c r="C3345" s="436" t="s">
        <v>327</v>
      </c>
      <c r="D3345" s="436" t="s">
        <v>1007</v>
      </c>
      <c r="E3345" s="436">
        <v>1</v>
      </c>
      <c r="F3345" s="465">
        <v>4.5999999999999996</v>
      </c>
      <c r="G3345" s="466">
        <v>4.5999999999999996</v>
      </c>
      <c r="H3345" s="466">
        <f>G3345/1.1</f>
        <v>4.1818181818181808</v>
      </c>
      <c r="I3345" s="436"/>
      <c r="J3345" s="465">
        <v>0</v>
      </c>
      <c r="K3345" s="465">
        <v>0</v>
      </c>
    </row>
    <row r="3346" spans="2:11" ht="19" customHeight="1">
      <c r="B3346" s="464">
        <v>46096</v>
      </c>
      <c r="C3346" s="436" t="s">
        <v>327</v>
      </c>
      <c r="D3346" s="436" t="s">
        <v>856</v>
      </c>
      <c r="E3346" s="436">
        <v>1</v>
      </c>
      <c r="F3346" s="465">
        <v>3.5</v>
      </c>
      <c r="G3346" s="466">
        <v>3.5</v>
      </c>
      <c r="H3346" s="466">
        <f>G3346/1.1</f>
        <v>3.1818181818181817</v>
      </c>
      <c r="I3346" s="436"/>
      <c r="J3346" s="465">
        <v>0</v>
      </c>
      <c r="K3346" s="465">
        <v>0</v>
      </c>
    </row>
    <row r="3347" spans="2:11" ht="19" customHeight="1">
      <c r="B3347" s="464">
        <v>46096</v>
      </c>
      <c r="C3347" s="436" t="s">
        <v>247</v>
      </c>
      <c r="D3347" s="436" t="s">
        <v>710</v>
      </c>
      <c r="E3347" s="436">
        <v>2</v>
      </c>
      <c r="F3347" s="465">
        <v>2.65</v>
      </c>
      <c r="G3347" s="466">
        <v>5.3</v>
      </c>
      <c r="H3347" s="466">
        <f>G3347/1.1</f>
        <v>4.8181818181818175</v>
      </c>
      <c r="I3347" s="436"/>
      <c r="J3347" s="465">
        <v>0</v>
      </c>
      <c r="K3347" s="465">
        <v>0</v>
      </c>
    </row>
    <row r="3348" spans="2:11" ht="19" customHeight="1">
      <c r="B3348" s="464">
        <v>46096</v>
      </c>
      <c r="C3348" s="436" t="s">
        <v>268</v>
      </c>
      <c r="D3348" s="436" t="s">
        <v>906</v>
      </c>
      <c r="E3348" s="436">
        <v>1</v>
      </c>
      <c r="F3348" s="465">
        <v>1.5</v>
      </c>
      <c r="G3348" s="466">
        <v>1.5</v>
      </c>
      <c r="H3348" s="466">
        <f>G3348/1.1</f>
        <v>1.3636363636363635</v>
      </c>
      <c r="I3348" s="436"/>
      <c r="J3348" s="465">
        <v>0</v>
      </c>
      <c r="K3348" s="465">
        <v>0</v>
      </c>
    </row>
    <row r="3349" spans="2:11" ht="19" customHeight="1">
      <c r="B3349" s="464">
        <v>46096</v>
      </c>
      <c r="C3349" s="436" t="s">
        <v>247</v>
      </c>
      <c r="D3349" s="436" t="s">
        <v>257</v>
      </c>
      <c r="E3349" s="436">
        <v>2</v>
      </c>
      <c r="F3349" s="465">
        <v>1.4</v>
      </c>
      <c r="G3349" s="466">
        <v>2.8</v>
      </c>
      <c r="H3349" s="466">
        <f>G3349/1.1</f>
        <v>2.545454545454545</v>
      </c>
      <c r="I3349" s="436"/>
      <c r="J3349" s="465">
        <v>0</v>
      </c>
      <c r="K3349" s="465">
        <v>0</v>
      </c>
    </row>
    <row r="3350" spans="2:11" ht="19" customHeight="1">
      <c r="B3350" s="464">
        <v>46096</v>
      </c>
      <c r="C3350" s="436" t="s">
        <v>251</v>
      </c>
      <c r="D3350" s="436" t="s">
        <v>742</v>
      </c>
      <c r="E3350" s="436">
        <v>1</v>
      </c>
      <c r="F3350" s="465">
        <v>2.75</v>
      </c>
      <c r="G3350" s="466">
        <v>2.75</v>
      </c>
      <c r="H3350" s="466">
        <f>G3350/1.1</f>
        <v>2.5</v>
      </c>
      <c r="I3350" s="436"/>
      <c r="J3350" s="465">
        <v>0</v>
      </c>
      <c r="K3350" s="465">
        <v>0</v>
      </c>
    </row>
    <row r="3351" spans="2:11" ht="19" customHeight="1">
      <c r="B3351" s="464">
        <v>46096</v>
      </c>
      <c r="C3351" s="436" t="s">
        <v>247</v>
      </c>
      <c r="D3351" s="436" t="s">
        <v>246</v>
      </c>
      <c r="E3351" s="436">
        <v>2</v>
      </c>
      <c r="F3351" s="465">
        <v>1.7</v>
      </c>
      <c r="G3351" s="466">
        <v>3.4</v>
      </c>
      <c r="H3351" s="466">
        <f>G3351/1.1</f>
        <v>3.0909090909090904</v>
      </c>
      <c r="I3351" s="436"/>
      <c r="J3351" s="465">
        <v>0</v>
      </c>
      <c r="K3351" s="465">
        <v>0</v>
      </c>
    </row>
    <row r="3352" spans="2:11" ht="19" customHeight="1">
      <c r="B3352" s="464">
        <v>46096</v>
      </c>
      <c r="C3352" s="436" t="s">
        <v>862</v>
      </c>
      <c r="D3352" s="436" t="s">
        <v>899</v>
      </c>
      <c r="E3352" s="436">
        <v>1</v>
      </c>
      <c r="F3352" s="465">
        <v>0.05</v>
      </c>
      <c r="G3352" s="466">
        <v>0.05</v>
      </c>
      <c r="H3352" s="466">
        <f>G3352/1.1</f>
        <v>4.5454545454545456E-2</v>
      </c>
      <c r="I3352" s="436"/>
      <c r="J3352" s="465">
        <v>0</v>
      </c>
      <c r="K3352" s="465">
        <v>0</v>
      </c>
    </row>
    <row r="3353" spans="2:11" ht="19" customHeight="1">
      <c r="B3353" s="464">
        <v>46096</v>
      </c>
      <c r="C3353" s="436" t="s">
        <v>862</v>
      </c>
      <c r="D3353" s="436" t="s">
        <v>863</v>
      </c>
      <c r="E3353" s="436">
        <v>1</v>
      </c>
      <c r="F3353" s="465">
        <v>0.15</v>
      </c>
      <c r="G3353" s="466">
        <v>0.15</v>
      </c>
      <c r="H3353" s="466">
        <f>G3353/1.1</f>
        <v>0.13636363636363635</v>
      </c>
      <c r="I3353" s="436"/>
      <c r="J3353" s="465">
        <v>0</v>
      </c>
      <c r="K3353" s="465">
        <v>0</v>
      </c>
    </row>
    <row r="3354" spans="2:11" ht="19" customHeight="1">
      <c r="B3354" s="464">
        <v>46096</v>
      </c>
      <c r="C3354" s="436" t="s">
        <v>247</v>
      </c>
      <c r="D3354" s="436" t="s">
        <v>246</v>
      </c>
      <c r="E3354" s="436">
        <v>2</v>
      </c>
      <c r="F3354" s="465">
        <v>1.7</v>
      </c>
      <c r="G3354" s="466">
        <v>3.4</v>
      </c>
      <c r="H3354" s="466">
        <f>G3354/1.1</f>
        <v>3.0909090909090904</v>
      </c>
      <c r="I3354" s="436"/>
      <c r="J3354" s="465">
        <v>0</v>
      </c>
      <c r="K3354" s="465">
        <v>0</v>
      </c>
    </row>
    <row r="3355" spans="2:11" ht="19" customHeight="1">
      <c r="B3355" s="464">
        <v>46096</v>
      </c>
      <c r="C3355" s="436" t="s">
        <v>327</v>
      </c>
      <c r="D3355" s="436" t="s">
        <v>723</v>
      </c>
      <c r="E3355" s="436">
        <v>1</v>
      </c>
      <c r="F3355" s="465">
        <v>3.1</v>
      </c>
      <c r="G3355" s="466">
        <v>3.1</v>
      </c>
      <c r="H3355" s="466">
        <f>G3355/1.1</f>
        <v>2.8181818181818179</v>
      </c>
      <c r="I3355" s="436"/>
      <c r="J3355" s="465">
        <v>0</v>
      </c>
      <c r="K3355" s="465">
        <v>0</v>
      </c>
    </row>
    <row r="3356" spans="2:11" ht="19" customHeight="1">
      <c r="B3356" s="464">
        <v>46096</v>
      </c>
      <c r="C3356" s="436" t="s">
        <v>862</v>
      </c>
      <c r="D3356" s="436" t="s">
        <v>865</v>
      </c>
      <c r="E3356" s="436">
        <v>1</v>
      </c>
      <c r="F3356" s="465">
        <v>0.05</v>
      </c>
      <c r="G3356" s="466">
        <v>0.05</v>
      </c>
      <c r="H3356" s="466">
        <f>G3356/1.1</f>
        <v>4.5454545454545456E-2</v>
      </c>
      <c r="I3356" s="436"/>
      <c r="J3356" s="465">
        <v>0</v>
      </c>
      <c r="K3356" s="465">
        <v>0</v>
      </c>
    </row>
    <row r="3357" spans="2:11" ht="19" customHeight="1">
      <c r="B3357" s="464">
        <v>46096</v>
      </c>
      <c r="C3357" s="436" t="s">
        <v>268</v>
      </c>
      <c r="D3357" s="436" t="s">
        <v>859</v>
      </c>
      <c r="E3357" s="436">
        <v>1</v>
      </c>
      <c r="F3357" s="465">
        <v>0.75</v>
      </c>
      <c r="G3357" s="466">
        <v>0.75</v>
      </c>
      <c r="H3357" s="466">
        <f>G3357/1.1</f>
        <v>0.68181818181818177</v>
      </c>
      <c r="I3357" s="436"/>
      <c r="J3357" s="465">
        <v>0</v>
      </c>
      <c r="K3357" s="465">
        <v>0</v>
      </c>
    </row>
    <row r="3358" spans="2:11" ht="19" customHeight="1">
      <c r="B3358" s="464">
        <v>46096</v>
      </c>
      <c r="C3358" s="436" t="s">
        <v>247</v>
      </c>
      <c r="D3358" s="436" t="s">
        <v>246</v>
      </c>
      <c r="E3358" s="436">
        <v>1</v>
      </c>
      <c r="F3358" s="465">
        <v>1.7</v>
      </c>
      <c r="G3358" s="466">
        <v>1.7</v>
      </c>
      <c r="H3358" s="466">
        <f>G3358/1.1</f>
        <v>1.5454545454545452</v>
      </c>
      <c r="I3358" s="436"/>
      <c r="J3358" s="465">
        <v>0</v>
      </c>
      <c r="K3358" s="465">
        <v>0</v>
      </c>
    </row>
    <row r="3359" spans="2:11" ht="19" customHeight="1">
      <c r="B3359" s="464">
        <v>46096</v>
      </c>
      <c r="C3359" s="436" t="s">
        <v>327</v>
      </c>
      <c r="D3359" s="436" t="s">
        <v>723</v>
      </c>
      <c r="E3359" s="436">
        <v>2</v>
      </c>
      <c r="F3359" s="465">
        <v>3.1</v>
      </c>
      <c r="G3359" s="466">
        <v>6.2</v>
      </c>
      <c r="H3359" s="466">
        <f>G3359/1.1</f>
        <v>5.6363636363636358</v>
      </c>
      <c r="I3359" s="436"/>
      <c r="J3359" s="465">
        <v>0</v>
      </c>
      <c r="K3359" s="465">
        <v>0</v>
      </c>
    </row>
    <row r="3360" spans="2:11" ht="19" customHeight="1">
      <c r="B3360" s="464">
        <v>46096</v>
      </c>
      <c r="C3360" s="436" t="s">
        <v>862</v>
      </c>
      <c r="D3360" s="436" t="s">
        <v>865</v>
      </c>
      <c r="E3360" s="436">
        <v>2</v>
      </c>
      <c r="F3360" s="465">
        <v>0.05</v>
      </c>
      <c r="G3360" s="466">
        <v>0.1</v>
      </c>
      <c r="H3360" s="466">
        <f>G3360/1.1</f>
        <v>9.0909090909090912E-2</v>
      </c>
      <c r="I3360" s="436"/>
      <c r="J3360" s="465">
        <v>0</v>
      </c>
      <c r="K3360" s="465">
        <v>0</v>
      </c>
    </row>
    <row r="3361" spans="2:11" ht="19" customHeight="1">
      <c r="B3361" s="464">
        <v>46096</v>
      </c>
      <c r="C3361" s="436" t="s">
        <v>268</v>
      </c>
      <c r="D3361" s="436" t="s">
        <v>860</v>
      </c>
      <c r="E3361" s="436">
        <v>1</v>
      </c>
      <c r="F3361" s="465">
        <v>2.25</v>
      </c>
      <c r="G3361" s="466">
        <v>2.25</v>
      </c>
      <c r="H3361" s="466">
        <f>G3361/1.1</f>
        <v>2.0454545454545454</v>
      </c>
      <c r="I3361" s="436"/>
      <c r="J3361" s="465">
        <v>0</v>
      </c>
      <c r="K3361" s="465">
        <v>0</v>
      </c>
    </row>
    <row r="3362" spans="2:11" ht="19" customHeight="1">
      <c r="B3362" s="464">
        <v>46096</v>
      </c>
      <c r="C3362" s="436" t="s">
        <v>268</v>
      </c>
      <c r="D3362" s="436" t="s">
        <v>859</v>
      </c>
      <c r="E3362" s="436">
        <v>1</v>
      </c>
      <c r="F3362" s="465">
        <v>0.75</v>
      </c>
      <c r="G3362" s="466">
        <v>0.75</v>
      </c>
      <c r="H3362" s="466">
        <f>G3362/1.1</f>
        <v>0.68181818181818177</v>
      </c>
      <c r="I3362" s="436"/>
      <c r="J3362" s="465">
        <v>0</v>
      </c>
      <c r="K3362" s="465">
        <v>0</v>
      </c>
    </row>
    <row r="3363" spans="2:11" ht="19" customHeight="1">
      <c r="B3363" s="464">
        <v>46096</v>
      </c>
      <c r="C3363" s="436" t="s">
        <v>247</v>
      </c>
      <c r="D3363" s="436" t="s">
        <v>246</v>
      </c>
      <c r="E3363" s="436">
        <v>1</v>
      </c>
      <c r="F3363" s="465">
        <v>1.7</v>
      </c>
      <c r="G3363" s="466">
        <v>1.7</v>
      </c>
      <c r="H3363" s="466">
        <f>G3363/1.1</f>
        <v>1.5454545454545452</v>
      </c>
      <c r="I3363" s="436"/>
      <c r="J3363" s="465">
        <v>0</v>
      </c>
      <c r="K3363" s="465">
        <v>0</v>
      </c>
    </row>
    <row r="3364" spans="2:11" ht="19" customHeight="1">
      <c r="B3364" s="464">
        <v>46096</v>
      </c>
      <c r="C3364" s="436" t="s">
        <v>862</v>
      </c>
      <c r="D3364" s="436" t="s">
        <v>899</v>
      </c>
      <c r="E3364" s="436">
        <v>1</v>
      </c>
      <c r="F3364" s="465">
        <v>0.05</v>
      </c>
      <c r="G3364" s="466">
        <v>0.05</v>
      </c>
      <c r="H3364" s="466">
        <f>G3364/1.1</f>
        <v>4.5454545454545456E-2</v>
      </c>
      <c r="I3364" s="436"/>
      <c r="J3364" s="465">
        <v>0</v>
      </c>
      <c r="K3364" s="465">
        <v>0</v>
      </c>
    </row>
    <row r="3365" spans="2:11" ht="19" customHeight="1">
      <c r="B3365" s="464">
        <v>46096</v>
      </c>
      <c r="C3365" s="436" t="s">
        <v>247</v>
      </c>
      <c r="D3365" s="436" t="s">
        <v>246</v>
      </c>
      <c r="E3365" s="436">
        <v>2</v>
      </c>
      <c r="F3365" s="465">
        <v>1.7</v>
      </c>
      <c r="G3365" s="466">
        <v>3.4</v>
      </c>
      <c r="H3365" s="466">
        <f>G3365/1.1</f>
        <v>3.0909090909090904</v>
      </c>
      <c r="I3365" s="436"/>
      <c r="J3365" s="465">
        <v>0</v>
      </c>
      <c r="K3365" s="465">
        <v>0</v>
      </c>
    </row>
    <row r="3366" spans="2:11" ht="19" customHeight="1">
      <c r="B3366" s="464">
        <v>46096</v>
      </c>
      <c r="C3366" s="436" t="s">
        <v>247</v>
      </c>
      <c r="D3366" s="436" t="s">
        <v>248</v>
      </c>
      <c r="E3366" s="436">
        <v>1</v>
      </c>
      <c r="F3366" s="465">
        <v>1.5</v>
      </c>
      <c r="G3366" s="466">
        <v>1.5</v>
      </c>
      <c r="H3366" s="466">
        <f>G3366/1.1</f>
        <v>1.3636363636363635</v>
      </c>
      <c r="I3366" s="436"/>
      <c r="J3366" s="465">
        <v>0</v>
      </c>
      <c r="K3366" s="465">
        <v>0</v>
      </c>
    </row>
    <row r="3367" spans="2:11" ht="19" customHeight="1">
      <c r="B3367" s="464">
        <v>46099</v>
      </c>
      <c r="C3367" s="436" t="s">
        <v>247</v>
      </c>
      <c r="D3367" s="436" t="s">
        <v>246</v>
      </c>
      <c r="E3367" s="436">
        <v>1</v>
      </c>
      <c r="F3367" s="465">
        <v>1.7</v>
      </c>
      <c r="G3367" s="466">
        <v>1.7</v>
      </c>
      <c r="H3367" s="466">
        <f>G3367/1.1</f>
        <v>1.5454545454545452</v>
      </c>
      <c r="I3367" s="436"/>
      <c r="J3367" s="465">
        <v>0</v>
      </c>
      <c r="K3367" s="465">
        <v>0</v>
      </c>
    </row>
    <row r="3368" spans="2:11" ht="19" customHeight="1">
      <c r="B3368" s="464">
        <v>46099</v>
      </c>
      <c r="C3368" s="436" t="s">
        <v>862</v>
      </c>
      <c r="D3368" s="436" t="s">
        <v>899</v>
      </c>
      <c r="E3368" s="436">
        <v>1</v>
      </c>
      <c r="F3368" s="465">
        <v>0.05</v>
      </c>
      <c r="G3368" s="466">
        <v>0.05</v>
      </c>
      <c r="H3368" s="466">
        <f>G3368/1.1</f>
        <v>4.5454545454545456E-2</v>
      </c>
      <c r="I3368" s="436"/>
      <c r="J3368" s="465">
        <v>0</v>
      </c>
      <c r="K3368" s="465">
        <v>0</v>
      </c>
    </row>
    <row r="3369" spans="2:11" ht="19" customHeight="1">
      <c r="B3369" s="464">
        <v>46099</v>
      </c>
      <c r="C3369" s="436" t="s">
        <v>247</v>
      </c>
      <c r="D3369" s="436" t="s">
        <v>855</v>
      </c>
      <c r="E3369" s="436">
        <v>1</v>
      </c>
      <c r="F3369" s="465">
        <v>2.5499999999999998</v>
      </c>
      <c r="G3369" s="466">
        <v>2.5499999999999998</v>
      </c>
      <c r="H3369" s="466">
        <f>G3369/1.1</f>
        <v>2.3181818181818179</v>
      </c>
      <c r="I3369" s="436"/>
      <c r="J3369" s="465">
        <v>0</v>
      </c>
      <c r="K3369" s="465">
        <v>0</v>
      </c>
    </row>
    <row r="3370" spans="2:11" ht="19" customHeight="1">
      <c r="B3370" s="464">
        <v>46099</v>
      </c>
      <c r="C3370" s="436" t="s">
        <v>276</v>
      </c>
      <c r="D3370" s="436" t="s">
        <v>857</v>
      </c>
      <c r="E3370" s="436">
        <v>1</v>
      </c>
      <c r="F3370" s="465">
        <v>3.3</v>
      </c>
      <c r="G3370" s="466">
        <v>3.3</v>
      </c>
      <c r="H3370" s="466">
        <f>G3370/1.1</f>
        <v>2.9999999999999996</v>
      </c>
      <c r="I3370" s="436"/>
      <c r="J3370" s="465">
        <v>0</v>
      </c>
      <c r="K3370" s="465">
        <v>0</v>
      </c>
    </row>
    <row r="3371" spans="2:11" ht="19" customHeight="1">
      <c r="B3371" s="464">
        <v>46099</v>
      </c>
      <c r="C3371" s="436" t="s">
        <v>327</v>
      </c>
      <c r="D3371" s="436" t="s">
        <v>723</v>
      </c>
      <c r="E3371" s="436">
        <v>1</v>
      </c>
      <c r="F3371" s="465">
        <v>3.1</v>
      </c>
      <c r="G3371" s="466">
        <v>3.1</v>
      </c>
      <c r="H3371" s="466">
        <f>G3371/1.1</f>
        <v>2.8181818181818179</v>
      </c>
      <c r="I3371" s="436"/>
      <c r="J3371" s="465">
        <v>0</v>
      </c>
      <c r="K3371" s="465">
        <v>0</v>
      </c>
    </row>
    <row r="3372" spans="2:11" ht="19" customHeight="1">
      <c r="B3372" s="464">
        <v>46099</v>
      </c>
      <c r="C3372" s="436" t="s">
        <v>247</v>
      </c>
      <c r="D3372" s="436" t="s">
        <v>246</v>
      </c>
      <c r="E3372" s="436">
        <v>1</v>
      </c>
      <c r="F3372" s="465">
        <v>1.7</v>
      </c>
      <c r="G3372" s="466">
        <v>1.7</v>
      </c>
      <c r="H3372" s="466">
        <f>G3372/1.1</f>
        <v>1.5454545454545452</v>
      </c>
      <c r="I3372" s="436"/>
      <c r="J3372" s="465">
        <v>0</v>
      </c>
      <c r="K3372" s="465">
        <v>0</v>
      </c>
    </row>
    <row r="3373" spans="2:11" ht="19" customHeight="1">
      <c r="B3373" s="464">
        <v>46099</v>
      </c>
      <c r="C3373" s="436" t="s">
        <v>256</v>
      </c>
      <c r="D3373" s="436" t="s">
        <v>255</v>
      </c>
      <c r="E3373" s="436">
        <v>1</v>
      </c>
      <c r="F3373" s="465">
        <v>5.6</v>
      </c>
      <c r="G3373" s="466">
        <v>5.6</v>
      </c>
      <c r="H3373" s="466">
        <f>G3373/1.1</f>
        <v>5.0909090909090899</v>
      </c>
      <c r="I3373" s="436"/>
      <c r="J3373" s="465">
        <v>0</v>
      </c>
      <c r="K3373" s="465">
        <v>0</v>
      </c>
    </row>
    <row r="3374" spans="2:11" ht="19" customHeight="1">
      <c r="B3374" s="464">
        <v>46099</v>
      </c>
      <c r="C3374" s="436" t="s">
        <v>251</v>
      </c>
      <c r="D3374" s="436" t="s">
        <v>957</v>
      </c>
      <c r="E3374" s="436">
        <v>1</v>
      </c>
      <c r="F3374" s="465">
        <v>2.65</v>
      </c>
      <c r="G3374" s="466">
        <v>2.65</v>
      </c>
      <c r="H3374" s="466">
        <f>G3374/1.1</f>
        <v>2.4090909090909087</v>
      </c>
      <c r="I3374" s="436"/>
      <c r="J3374" s="465">
        <v>0</v>
      </c>
      <c r="K3374" s="465">
        <v>0</v>
      </c>
    </row>
    <row r="3375" spans="2:11" ht="19" customHeight="1">
      <c r="B3375" s="464">
        <v>46099</v>
      </c>
      <c r="C3375" s="436" t="s">
        <v>894</v>
      </c>
      <c r="D3375" s="436" t="s">
        <v>814</v>
      </c>
      <c r="E3375" s="436">
        <v>1</v>
      </c>
      <c r="F3375" s="465">
        <v>5.4</v>
      </c>
      <c r="G3375" s="466">
        <v>5.4</v>
      </c>
      <c r="H3375" s="466">
        <f>G3375/1.1</f>
        <v>4.9090909090909092</v>
      </c>
      <c r="I3375" s="436"/>
      <c r="J3375" s="465">
        <v>0</v>
      </c>
      <c r="K3375" s="465">
        <v>0</v>
      </c>
    </row>
    <row r="3376" spans="2:11" ht="19" customHeight="1">
      <c r="B3376" s="464">
        <v>46099</v>
      </c>
      <c r="C3376" s="436" t="s">
        <v>247</v>
      </c>
      <c r="D3376" s="436" t="s">
        <v>257</v>
      </c>
      <c r="E3376" s="436">
        <v>1</v>
      </c>
      <c r="F3376" s="465">
        <v>1.4</v>
      </c>
      <c r="G3376" s="466">
        <v>1.4</v>
      </c>
      <c r="H3376" s="466">
        <f>G3376/1.1</f>
        <v>1.2727272727272725</v>
      </c>
      <c r="I3376" s="436"/>
      <c r="J3376" s="465">
        <v>0</v>
      </c>
      <c r="K3376" s="465">
        <v>0</v>
      </c>
    </row>
    <row r="3377" spans="2:11" ht="19" customHeight="1">
      <c r="B3377" s="464">
        <v>46099</v>
      </c>
      <c r="C3377" s="436" t="s">
        <v>247</v>
      </c>
      <c r="D3377" s="436" t="s">
        <v>248</v>
      </c>
      <c r="E3377" s="436">
        <v>1</v>
      </c>
      <c r="F3377" s="465">
        <v>1.5</v>
      </c>
      <c r="G3377" s="466">
        <v>1.5</v>
      </c>
      <c r="H3377" s="466">
        <f>G3377/1.1</f>
        <v>1.3636363636363635</v>
      </c>
      <c r="I3377" s="436"/>
      <c r="J3377" s="465">
        <v>0</v>
      </c>
      <c r="K3377" s="465">
        <v>0</v>
      </c>
    </row>
    <row r="3378" spans="2:11" ht="19" customHeight="1">
      <c r="B3378" s="464">
        <v>46099</v>
      </c>
      <c r="C3378" s="436" t="s">
        <v>268</v>
      </c>
      <c r="D3378" s="436" t="s">
        <v>859</v>
      </c>
      <c r="E3378" s="436">
        <v>2</v>
      </c>
      <c r="F3378" s="465">
        <v>0.75</v>
      </c>
      <c r="G3378" s="466">
        <v>1.5</v>
      </c>
      <c r="H3378" s="466">
        <f>G3378/1.1</f>
        <v>1.3636363636363635</v>
      </c>
      <c r="I3378" s="436"/>
      <c r="J3378" s="465">
        <v>0</v>
      </c>
      <c r="K3378" s="465">
        <v>0</v>
      </c>
    </row>
    <row r="3379" spans="2:11" ht="19" customHeight="1">
      <c r="B3379" s="464">
        <v>46099</v>
      </c>
      <c r="C3379" s="436" t="s">
        <v>247</v>
      </c>
      <c r="D3379" s="436" t="s">
        <v>257</v>
      </c>
      <c r="E3379" s="436">
        <v>1</v>
      </c>
      <c r="F3379" s="465">
        <v>1.4</v>
      </c>
      <c r="G3379" s="466">
        <v>1.4</v>
      </c>
      <c r="H3379" s="466">
        <f>G3379/1.1</f>
        <v>1.2727272727272725</v>
      </c>
      <c r="I3379" s="436"/>
      <c r="J3379" s="465">
        <v>0</v>
      </c>
      <c r="K3379" s="465">
        <v>0</v>
      </c>
    </row>
    <row r="3380" spans="2:11" ht="19" customHeight="1">
      <c r="B3380" s="464">
        <v>46099</v>
      </c>
      <c r="C3380" s="436" t="s">
        <v>247</v>
      </c>
      <c r="D3380" s="436" t="s">
        <v>246</v>
      </c>
      <c r="E3380" s="436">
        <v>1</v>
      </c>
      <c r="F3380" s="465">
        <v>1.7</v>
      </c>
      <c r="G3380" s="466">
        <v>1.7</v>
      </c>
      <c r="H3380" s="466">
        <f>G3380/1.1</f>
        <v>1.5454545454545452</v>
      </c>
      <c r="I3380" s="436"/>
      <c r="J3380" s="465">
        <v>0</v>
      </c>
      <c r="K3380" s="465">
        <v>0</v>
      </c>
    </row>
    <row r="3381" spans="2:11" ht="19" customHeight="1">
      <c r="B3381" s="464">
        <v>46099</v>
      </c>
      <c r="C3381" s="436" t="s">
        <v>247</v>
      </c>
      <c r="D3381" s="436" t="s">
        <v>248</v>
      </c>
      <c r="E3381" s="436">
        <v>1</v>
      </c>
      <c r="F3381" s="465">
        <v>1.5</v>
      </c>
      <c r="G3381" s="466">
        <v>1.5</v>
      </c>
      <c r="H3381" s="466">
        <f>G3381/1.1</f>
        <v>1.3636363636363635</v>
      </c>
      <c r="I3381" s="436"/>
      <c r="J3381" s="465">
        <v>0</v>
      </c>
      <c r="K3381" s="465">
        <v>0</v>
      </c>
    </row>
    <row r="3382" spans="2:11" ht="19" customHeight="1">
      <c r="B3382" s="464">
        <v>46099</v>
      </c>
      <c r="C3382" s="436" t="s">
        <v>247</v>
      </c>
      <c r="D3382" s="436" t="s">
        <v>248</v>
      </c>
      <c r="E3382" s="436">
        <v>2</v>
      </c>
      <c r="F3382" s="465">
        <v>1.5</v>
      </c>
      <c r="G3382" s="466">
        <v>3</v>
      </c>
      <c r="H3382" s="466">
        <f>G3382/1.1</f>
        <v>2.7272727272727271</v>
      </c>
      <c r="I3382" s="436"/>
      <c r="J3382" s="465">
        <v>0</v>
      </c>
      <c r="K3382" s="465">
        <v>0</v>
      </c>
    </row>
    <row r="3383" spans="2:11" ht="19" customHeight="1">
      <c r="B3383" s="464">
        <v>46099</v>
      </c>
      <c r="C3383" s="436" t="s">
        <v>268</v>
      </c>
      <c r="D3383" s="436" t="s">
        <v>859</v>
      </c>
      <c r="E3383" s="436">
        <v>1</v>
      </c>
      <c r="F3383" s="465">
        <v>0.75</v>
      </c>
      <c r="G3383" s="466">
        <v>0.75</v>
      </c>
      <c r="H3383" s="466">
        <f>G3383/1.1</f>
        <v>0.68181818181818177</v>
      </c>
      <c r="I3383" s="436"/>
      <c r="J3383" s="465">
        <v>0</v>
      </c>
      <c r="K3383" s="465">
        <v>0</v>
      </c>
    </row>
    <row r="3384" spans="2:11" ht="19" customHeight="1">
      <c r="B3384" s="464">
        <v>46099</v>
      </c>
      <c r="C3384" s="436" t="s">
        <v>247</v>
      </c>
      <c r="D3384" s="436" t="s">
        <v>248</v>
      </c>
      <c r="E3384" s="436">
        <v>1</v>
      </c>
      <c r="F3384" s="465">
        <v>1.5</v>
      </c>
      <c r="G3384" s="466">
        <v>1.5</v>
      </c>
      <c r="H3384" s="466">
        <f>G3384/1.1</f>
        <v>1.3636363636363635</v>
      </c>
      <c r="I3384" s="436"/>
      <c r="J3384" s="465">
        <v>0</v>
      </c>
      <c r="K3384" s="465">
        <v>0</v>
      </c>
    </row>
    <row r="3385" spans="2:11" ht="19" customHeight="1">
      <c r="B3385" s="464">
        <v>46099</v>
      </c>
      <c r="C3385" s="436" t="s">
        <v>268</v>
      </c>
      <c r="D3385" s="436" t="s">
        <v>267</v>
      </c>
      <c r="E3385" s="436">
        <v>1</v>
      </c>
      <c r="F3385" s="465">
        <v>1.5</v>
      </c>
      <c r="G3385" s="466">
        <v>1.5</v>
      </c>
      <c r="H3385" s="466">
        <f>G3385/1.1</f>
        <v>1.3636363636363635</v>
      </c>
      <c r="I3385" s="436"/>
      <c r="J3385" s="465">
        <v>0</v>
      </c>
      <c r="K3385" s="465">
        <v>0</v>
      </c>
    </row>
    <row r="3386" spans="2:11" ht="19" customHeight="1">
      <c r="B3386" s="464">
        <v>46099</v>
      </c>
      <c r="C3386" s="436" t="s">
        <v>247</v>
      </c>
      <c r="D3386" s="436" t="s">
        <v>246</v>
      </c>
      <c r="E3386" s="436">
        <v>1</v>
      </c>
      <c r="F3386" s="465">
        <v>1.7</v>
      </c>
      <c r="G3386" s="466">
        <v>1.7</v>
      </c>
      <c r="H3386" s="466">
        <f>G3386/1.1</f>
        <v>1.5454545454545452</v>
      </c>
      <c r="I3386" s="436"/>
      <c r="J3386" s="465">
        <v>0</v>
      </c>
      <c r="K3386" s="465">
        <v>0</v>
      </c>
    </row>
    <row r="3387" spans="2:11" ht="19" customHeight="1">
      <c r="B3387" s="464">
        <v>46099</v>
      </c>
      <c r="C3387" s="436" t="s">
        <v>247</v>
      </c>
      <c r="D3387" s="436" t="s">
        <v>246</v>
      </c>
      <c r="E3387" s="436">
        <v>1</v>
      </c>
      <c r="F3387" s="465">
        <v>1.7</v>
      </c>
      <c r="G3387" s="466">
        <v>1.7</v>
      </c>
      <c r="H3387" s="466">
        <f>G3387/1.1</f>
        <v>1.5454545454545452</v>
      </c>
      <c r="I3387" s="436"/>
      <c r="J3387" s="465">
        <v>0</v>
      </c>
      <c r="K3387" s="465">
        <v>0</v>
      </c>
    </row>
    <row r="3388" spans="2:11" ht="19" customHeight="1">
      <c r="B3388" s="464">
        <v>46099</v>
      </c>
      <c r="C3388" s="436" t="s">
        <v>247</v>
      </c>
      <c r="D3388" s="436" t="s">
        <v>257</v>
      </c>
      <c r="E3388" s="436">
        <v>1</v>
      </c>
      <c r="F3388" s="465">
        <v>1.4</v>
      </c>
      <c r="G3388" s="466">
        <v>1.4</v>
      </c>
      <c r="H3388" s="466">
        <f>G3388/1.1</f>
        <v>1.2727272727272725</v>
      </c>
      <c r="I3388" s="436"/>
      <c r="J3388" s="465">
        <v>0</v>
      </c>
      <c r="K3388" s="465">
        <v>0</v>
      </c>
    </row>
    <row r="3389" spans="2:11" ht="19" customHeight="1">
      <c r="B3389" s="464">
        <v>46099</v>
      </c>
      <c r="C3389" s="436" t="s">
        <v>862</v>
      </c>
      <c r="D3389" s="436" t="s">
        <v>863</v>
      </c>
      <c r="E3389" s="436">
        <v>2</v>
      </c>
      <c r="F3389" s="465">
        <v>0.15</v>
      </c>
      <c r="G3389" s="466">
        <v>0.3</v>
      </c>
      <c r="H3389" s="466">
        <f>G3389/1.1</f>
        <v>0.27272727272727271</v>
      </c>
      <c r="I3389" s="436"/>
      <c r="J3389" s="465">
        <v>0</v>
      </c>
      <c r="K3389" s="465">
        <v>0</v>
      </c>
    </row>
    <row r="3390" spans="2:11" ht="19" customHeight="1">
      <c r="B3390" s="464">
        <v>46099</v>
      </c>
      <c r="C3390" s="436" t="s">
        <v>247</v>
      </c>
      <c r="D3390" s="436" t="s">
        <v>855</v>
      </c>
      <c r="E3390" s="436">
        <v>1</v>
      </c>
      <c r="F3390" s="465">
        <v>2.5499999999999998</v>
      </c>
      <c r="G3390" s="466">
        <v>2.5499999999999998</v>
      </c>
      <c r="H3390" s="466">
        <f>G3390/1.1</f>
        <v>2.3181818181818179</v>
      </c>
      <c r="I3390" s="436"/>
      <c r="J3390" s="465">
        <v>0</v>
      </c>
      <c r="K3390" s="465">
        <v>0</v>
      </c>
    </row>
    <row r="3391" spans="2:11" ht="19" customHeight="1">
      <c r="B3391" s="464">
        <v>46099</v>
      </c>
      <c r="C3391" s="436" t="s">
        <v>247</v>
      </c>
      <c r="D3391" s="436" t="s">
        <v>248</v>
      </c>
      <c r="E3391" s="436">
        <v>1</v>
      </c>
      <c r="F3391" s="465">
        <v>1.5</v>
      </c>
      <c r="G3391" s="466">
        <v>1.5</v>
      </c>
      <c r="H3391" s="466">
        <f>G3391/1.1</f>
        <v>1.3636363636363635</v>
      </c>
      <c r="I3391" s="436"/>
      <c r="J3391" s="465">
        <v>0</v>
      </c>
      <c r="K3391" s="465">
        <v>0</v>
      </c>
    </row>
    <row r="3392" spans="2:11" ht="19" customHeight="1">
      <c r="B3392" s="464">
        <v>46099</v>
      </c>
      <c r="C3392" s="436" t="s">
        <v>268</v>
      </c>
      <c r="D3392" s="436" t="s">
        <v>859</v>
      </c>
      <c r="E3392" s="436">
        <v>1</v>
      </c>
      <c r="F3392" s="465">
        <v>0.75</v>
      </c>
      <c r="G3392" s="466">
        <v>0.75</v>
      </c>
      <c r="H3392" s="466">
        <f>G3392/1.1</f>
        <v>0.68181818181818177</v>
      </c>
      <c r="I3392" s="436"/>
      <c r="J3392" s="465">
        <v>0</v>
      </c>
      <c r="K3392" s="465">
        <v>0</v>
      </c>
    </row>
    <row r="3393" spans="2:11" ht="19" customHeight="1">
      <c r="B3393" s="464">
        <v>46099</v>
      </c>
      <c r="C3393" s="436" t="s">
        <v>247</v>
      </c>
      <c r="D3393" s="436" t="s">
        <v>246</v>
      </c>
      <c r="E3393" s="436">
        <v>2</v>
      </c>
      <c r="F3393" s="465">
        <v>1.7</v>
      </c>
      <c r="G3393" s="466">
        <v>3.4</v>
      </c>
      <c r="H3393" s="466">
        <f>G3393/1.1</f>
        <v>3.0909090909090904</v>
      </c>
      <c r="I3393" s="436"/>
      <c r="J3393" s="465">
        <v>0</v>
      </c>
      <c r="K3393" s="465">
        <v>0</v>
      </c>
    </row>
    <row r="3394" spans="2:11" ht="19" customHeight="1">
      <c r="B3394" s="464">
        <v>46099</v>
      </c>
      <c r="C3394" s="436" t="s">
        <v>247</v>
      </c>
      <c r="D3394" s="436" t="s">
        <v>257</v>
      </c>
      <c r="E3394" s="436">
        <v>1</v>
      </c>
      <c r="F3394" s="465">
        <v>1.4</v>
      </c>
      <c r="G3394" s="466">
        <v>1.4</v>
      </c>
      <c r="H3394" s="466">
        <f>G3394/1.1</f>
        <v>1.2727272727272725</v>
      </c>
      <c r="I3394" s="436"/>
      <c r="J3394" s="465">
        <v>0</v>
      </c>
      <c r="K3394" s="465">
        <v>0</v>
      </c>
    </row>
    <row r="3395" spans="2:11" ht="19" customHeight="1">
      <c r="B3395" s="464">
        <v>46099</v>
      </c>
      <c r="C3395" s="436" t="s">
        <v>247</v>
      </c>
      <c r="D3395" s="436" t="s">
        <v>246</v>
      </c>
      <c r="E3395" s="436">
        <v>1</v>
      </c>
      <c r="F3395" s="465">
        <v>1.7</v>
      </c>
      <c r="G3395" s="466">
        <v>1.7</v>
      </c>
      <c r="H3395" s="466">
        <f>G3395/1.1</f>
        <v>1.5454545454545452</v>
      </c>
      <c r="I3395" s="436"/>
      <c r="J3395" s="465">
        <v>0</v>
      </c>
      <c r="K3395" s="465">
        <v>0</v>
      </c>
    </row>
    <row r="3396" spans="2:11" ht="19" customHeight="1">
      <c r="B3396" s="464">
        <v>46099</v>
      </c>
      <c r="C3396" s="436" t="s">
        <v>247</v>
      </c>
      <c r="D3396" s="436" t="s">
        <v>246</v>
      </c>
      <c r="E3396" s="436">
        <v>1</v>
      </c>
      <c r="F3396" s="465">
        <v>1.7</v>
      </c>
      <c r="G3396" s="466">
        <v>1.7</v>
      </c>
      <c r="H3396" s="466">
        <f>G3396/1.1</f>
        <v>1.5454545454545452</v>
      </c>
      <c r="I3396" s="436"/>
      <c r="J3396" s="465">
        <v>0</v>
      </c>
      <c r="K3396" s="465">
        <v>0</v>
      </c>
    </row>
    <row r="3397" spans="2:11" ht="19" customHeight="1">
      <c r="B3397" s="464">
        <v>46099</v>
      </c>
      <c r="C3397" s="436" t="s">
        <v>247</v>
      </c>
      <c r="D3397" s="436" t="s">
        <v>855</v>
      </c>
      <c r="E3397" s="436">
        <v>1</v>
      </c>
      <c r="F3397" s="465">
        <v>2.5499999999999998</v>
      </c>
      <c r="G3397" s="466">
        <v>2.5499999999999998</v>
      </c>
      <c r="H3397" s="466">
        <f>G3397/1.1</f>
        <v>2.3181818181818179</v>
      </c>
      <c r="I3397" s="436"/>
      <c r="J3397" s="465">
        <v>0</v>
      </c>
      <c r="K3397" s="465">
        <v>0</v>
      </c>
    </row>
    <row r="3398" spans="2:11" ht="19" customHeight="1">
      <c r="B3398" s="464">
        <v>46099</v>
      </c>
      <c r="C3398" s="436" t="s">
        <v>321</v>
      </c>
      <c r="D3398" s="436" t="s">
        <v>728</v>
      </c>
      <c r="E3398" s="436">
        <v>1</v>
      </c>
      <c r="F3398" s="465">
        <v>9.15</v>
      </c>
      <c r="G3398" s="466">
        <v>9.15</v>
      </c>
      <c r="H3398" s="466">
        <f>G3398/1.1</f>
        <v>8.3181818181818183</v>
      </c>
      <c r="I3398" s="436"/>
      <c r="J3398" s="465">
        <v>0</v>
      </c>
      <c r="K3398" s="465">
        <v>0</v>
      </c>
    </row>
    <row r="3399" spans="2:11" ht="19" customHeight="1">
      <c r="B3399" s="464">
        <v>46099</v>
      </c>
      <c r="C3399" s="436" t="s">
        <v>264</v>
      </c>
      <c r="D3399" s="436" t="s">
        <v>703</v>
      </c>
      <c r="E3399" s="436">
        <v>1</v>
      </c>
      <c r="F3399" s="465">
        <v>2.25</v>
      </c>
      <c r="G3399" s="466">
        <v>2.25</v>
      </c>
      <c r="H3399" s="466">
        <f>G3399/1.1</f>
        <v>2.0454545454545454</v>
      </c>
      <c r="I3399" s="436"/>
      <c r="J3399" s="465">
        <v>0</v>
      </c>
      <c r="K3399" s="465">
        <v>0</v>
      </c>
    </row>
    <row r="3400" spans="2:11" ht="19" customHeight="1">
      <c r="B3400" s="464">
        <v>46099</v>
      </c>
      <c r="C3400" s="436" t="s">
        <v>264</v>
      </c>
      <c r="D3400" s="436" t="s">
        <v>1175</v>
      </c>
      <c r="E3400" s="436">
        <v>1</v>
      </c>
      <c r="F3400" s="465">
        <v>1.75</v>
      </c>
      <c r="G3400" s="466">
        <v>1.75</v>
      </c>
      <c r="H3400" s="466">
        <f>G3400/1.1</f>
        <v>1.5909090909090908</v>
      </c>
      <c r="I3400" s="436"/>
      <c r="J3400" s="465">
        <v>0</v>
      </c>
      <c r="K3400" s="465">
        <v>0</v>
      </c>
    </row>
    <row r="3401" spans="2:11" ht="19" customHeight="1">
      <c r="B3401" s="464">
        <v>46099</v>
      </c>
      <c r="C3401" s="436" t="s">
        <v>256</v>
      </c>
      <c r="D3401" s="436" t="s">
        <v>255</v>
      </c>
      <c r="E3401" s="436">
        <v>1</v>
      </c>
      <c r="F3401" s="465">
        <v>5.85</v>
      </c>
      <c r="G3401" s="466">
        <v>5.85</v>
      </c>
      <c r="H3401" s="466">
        <f>G3401/1.1</f>
        <v>5.3181818181818175</v>
      </c>
      <c r="I3401" s="436"/>
      <c r="J3401" s="465">
        <v>0</v>
      </c>
      <c r="K3401" s="465">
        <v>0</v>
      </c>
    </row>
    <row r="3402" spans="2:11" ht="19" customHeight="1">
      <c r="B3402" s="464">
        <v>46099</v>
      </c>
      <c r="C3402" s="436" t="s">
        <v>251</v>
      </c>
      <c r="D3402" s="436" t="s">
        <v>926</v>
      </c>
      <c r="E3402" s="436">
        <v>1</v>
      </c>
      <c r="F3402" s="465">
        <v>2.8</v>
      </c>
      <c r="G3402" s="466">
        <v>2.8</v>
      </c>
      <c r="H3402" s="466">
        <f>G3402/1.1</f>
        <v>2.545454545454545</v>
      </c>
      <c r="I3402" s="436"/>
      <c r="J3402" s="465">
        <v>0</v>
      </c>
      <c r="K3402" s="465">
        <v>0</v>
      </c>
    </row>
    <row r="3403" spans="2:11" ht="19" customHeight="1">
      <c r="B3403" s="464">
        <v>46099</v>
      </c>
      <c r="C3403" s="436" t="s">
        <v>251</v>
      </c>
      <c r="D3403" s="436" t="s">
        <v>265</v>
      </c>
      <c r="E3403" s="436">
        <v>1</v>
      </c>
      <c r="F3403" s="465">
        <v>2.8</v>
      </c>
      <c r="G3403" s="466">
        <v>2.8</v>
      </c>
      <c r="H3403" s="466">
        <f>G3403/1.1</f>
        <v>2.545454545454545</v>
      </c>
      <c r="I3403" s="436"/>
      <c r="J3403" s="465">
        <v>0</v>
      </c>
      <c r="K3403" s="465">
        <v>0</v>
      </c>
    </row>
    <row r="3404" spans="2:11" ht="19" customHeight="1">
      <c r="B3404" s="464">
        <v>46099</v>
      </c>
      <c r="C3404" s="436" t="s">
        <v>328</v>
      </c>
      <c r="D3404" s="436" t="s">
        <v>773</v>
      </c>
      <c r="E3404" s="436">
        <v>1</v>
      </c>
      <c r="F3404" s="465">
        <v>3.25</v>
      </c>
      <c r="G3404" s="466">
        <v>3.25</v>
      </c>
      <c r="H3404" s="466">
        <f>G3404/1.1</f>
        <v>2.9545454545454541</v>
      </c>
      <c r="I3404" s="436"/>
      <c r="J3404" s="465">
        <v>0</v>
      </c>
      <c r="K3404" s="465">
        <v>0</v>
      </c>
    </row>
    <row r="3405" spans="2:11" ht="19" customHeight="1">
      <c r="B3405" s="464">
        <v>46099</v>
      </c>
      <c r="C3405" s="436" t="s">
        <v>862</v>
      </c>
      <c r="D3405" s="436" t="s">
        <v>865</v>
      </c>
      <c r="E3405" s="436">
        <v>1</v>
      </c>
      <c r="F3405" s="465">
        <v>0.05</v>
      </c>
      <c r="G3405" s="466">
        <v>0.05</v>
      </c>
      <c r="H3405" s="466">
        <f>G3405/1.1</f>
        <v>4.5454545454545456E-2</v>
      </c>
      <c r="I3405" s="436"/>
      <c r="J3405" s="465">
        <v>0</v>
      </c>
      <c r="K3405" s="465">
        <v>0</v>
      </c>
    </row>
    <row r="3406" spans="2:11" ht="19" customHeight="1">
      <c r="B3406" s="464">
        <v>46099</v>
      </c>
      <c r="C3406" s="436" t="s">
        <v>247</v>
      </c>
      <c r="D3406" s="436" t="s">
        <v>248</v>
      </c>
      <c r="E3406" s="436">
        <v>1</v>
      </c>
      <c r="F3406" s="465">
        <v>1.5</v>
      </c>
      <c r="G3406" s="466">
        <v>1.5</v>
      </c>
      <c r="H3406" s="466">
        <f>G3406/1.1</f>
        <v>1.3636363636363635</v>
      </c>
      <c r="I3406" s="436"/>
      <c r="J3406" s="465">
        <v>0</v>
      </c>
      <c r="K3406" s="465">
        <v>0</v>
      </c>
    </row>
    <row r="3407" spans="2:11" ht="19" customHeight="1">
      <c r="B3407" s="464">
        <v>46099</v>
      </c>
      <c r="C3407" s="436" t="s">
        <v>276</v>
      </c>
      <c r="D3407" s="436" t="s">
        <v>1140</v>
      </c>
      <c r="E3407" s="436">
        <v>1</v>
      </c>
      <c r="F3407" s="465">
        <v>4.05</v>
      </c>
      <c r="G3407" s="466">
        <v>4.05</v>
      </c>
      <c r="H3407" s="466">
        <f>G3407/1.1</f>
        <v>3.6818181818181812</v>
      </c>
      <c r="I3407" s="436"/>
      <c r="J3407" s="465">
        <v>0</v>
      </c>
      <c r="K3407" s="465">
        <v>0</v>
      </c>
    </row>
    <row r="3408" spans="2:11" ht="19" customHeight="1">
      <c r="B3408" s="464">
        <v>46099</v>
      </c>
      <c r="C3408" s="436" t="s">
        <v>253</v>
      </c>
      <c r="D3408" s="436" t="s">
        <v>901</v>
      </c>
      <c r="E3408" s="436">
        <v>1</v>
      </c>
      <c r="F3408" s="465">
        <v>2.15</v>
      </c>
      <c r="G3408" s="466">
        <v>2.15</v>
      </c>
      <c r="H3408" s="466">
        <f>G3408/1.1</f>
        <v>1.9545454545454544</v>
      </c>
      <c r="I3408" s="436"/>
      <c r="J3408" s="465">
        <v>0</v>
      </c>
      <c r="K3408" s="465">
        <v>0</v>
      </c>
    </row>
    <row r="3409" spans="2:11" ht="19" customHeight="1">
      <c r="B3409" s="464">
        <v>46099</v>
      </c>
      <c r="C3409" s="436" t="s">
        <v>254</v>
      </c>
      <c r="D3409" s="436" t="s">
        <v>254</v>
      </c>
      <c r="E3409" s="436">
        <v>1</v>
      </c>
      <c r="F3409" s="465">
        <v>14.9</v>
      </c>
      <c r="G3409" s="466">
        <v>14.9</v>
      </c>
      <c r="H3409" s="466">
        <f>G3409/1.1</f>
        <v>13.545454545454545</v>
      </c>
      <c r="I3409" s="436"/>
      <c r="J3409" s="465">
        <v>0</v>
      </c>
      <c r="K3409" s="465">
        <v>0</v>
      </c>
    </row>
    <row r="3410" spans="2:11" ht="19" customHeight="1">
      <c r="B3410" s="464">
        <v>46099</v>
      </c>
      <c r="C3410" s="436" t="s">
        <v>873</v>
      </c>
      <c r="D3410" s="436" t="s">
        <v>1026</v>
      </c>
      <c r="E3410" s="436">
        <v>1</v>
      </c>
      <c r="F3410" s="469"/>
      <c r="G3410" s="468" t="s">
        <v>875</v>
      </c>
      <c r="H3410" s="466" t="e">
        <f>G3410/1.1</f>
        <v>#VALUE!</v>
      </c>
      <c r="I3410" s="436"/>
      <c r="J3410" s="465">
        <v>0</v>
      </c>
      <c r="K3410" s="465">
        <v>0</v>
      </c>
    </row>
    <row r="3411" spans="2:11" ht="19" customHeight="1">
      <c r="B3411" s="464">
        <v>46099</v>
      </c>
      <c r="C3411" s="436" t="s">
        <v>877</v>
      </c>
      <c r="D3411" s="436" t="s">
        <v>1176</v>
      </c>
      <c r="E3411" s="436">
        <v>1</v>
      </c>
      <c r="F3411" s="469"/>
      <c r="G3411" s="468" t="s">
        <v>875</v>
      </c>
      <c r="H3411" s="466" t="e">
        <f>G3411/1.1</f>
        <v>#VALUE!</v>
      </c>
      <c r="I3411" s="436"/>
      <c r="J3411" s="465">
        <v>0</v>
      </c>
      <c r="K3411" s="465">
        <v>0</v>
      </c>
    </row>
    <row r="3412" spans="2:11" ht="19" customHeight="1">
      <c r="B3412" s="464">
        <v>46099</v>
      </c>
      <c r="C3412" s="436" t="s">
        <v>266</v>
      </c>
      <c r="D3412" s="436" t="s">
        <v>250</v>
      </c>
      <c r="E3412" s="436">
        <v>1</v>
      </c>
      <c r="F3412" s="469"/>
      <c r="G3412" s="468" t="s">
        <v>875</v>
      </c>
      <c r="H3412" s="466" t="e">
        <f>G3412/1.1</f>
        <v>#VALUE!</v>
      </c>
      <c r="I3412" s="436"/>
      <c r="J3412" s="465">
        <v>0</v>
      </c>
      <c r="K3412" s="465">
        <v>0</v>
      </c>
    </row>
    <row r="3413" spans="2:11" ht="19" customHeight="1">
      <c r="B3413" s="464">
        <v>46099</v>
      </c>
      <c r="C3413" s="436" t="s">
        <v>258</v>
      </c>
      <c r="D3413" s="436" t="s">
        <v>257</v>
      </c>
      <c r="E3413" s="436">
        <v>1</v>
      </c>
      <c r="F3413" s="469"/>
      <c r="G3413" s="468" t="s">
        <v>875</v>
      </c>
      <c r="H3413" s="466" t="e">
        <f>G3413/1.1</f>
        <v>#VALUE!</v>
      </c>
      <c r="I3413" s="436"/>
      <c r="J3413" s="465">
        <v>0</v>
      </c>
      <c r="K3413" s="465">
        <v>0</v>
      </c>
    </row>
    <row r="3414" spans="2:11" ht="19" customHeight="1">
      <c r="B3414" s="464">
        <v>46099</v>
      </c>
      <c r="C3414" s="436" t="s">
        <v>247</v>
      </c>
      <c r="D3414" s="436" t="s">
        <v>248</v>
      </c>
      <c r="E3414" s="436">
        <v>1</v>
      </c>
      <c r="F3414" s="465">
        <v>1.5</v>
      </c>
      <c r="G3414" s="466">
        <v>1.5</v>
      </c>
      <c r="H3414" s="466">
        <f>G3414/1.1</f>
        <v>1.3636363636363635</v>
      </c>
      <c r="I3414" s="436"/>
      <c r="J3414" s="465">
        <v>0</v>
      </c>
      <c r="K3414" s="465">
        <v>0</v>
      </c>
    </row>
    <row r="3415" spans="2:11" ht="19" customHeight="1">
      <c r="B3415" s="464">
        <v>46099</v>
      </c>
      <c r="C3415" s="436" t="s">
        <v>276</v>
      </c>
      <c r="D3415" s="436" t="s">
        <v>1017</v>
      </c>
      <c r="E3415" s="436">
        <v>1</v>
      </c>
      <c r="F3415" s="465">
        <v>4.1500000000000004</v>
      </c>
      <c r="G3415" s="466">
        <v>4.1500000000000004</v>
      </c>
      <c r="H3415" s="466">
        <f>G3415/1.1</f>
        <v>3.7727272727272729</v>
      </c>
      <c r="I3415" s="436"/>
      <c r="J3415" s="465">
        <v>0</v>
      </c>
      <c r="K3415" s="465">
        <v>0</v>
      </c>
    </row>
    <row r="3416" spans="2:11" ht="19" customHeight="1">
      <c r="B3416" s="464">
        <v>46099</v>
      </c>
      <c r="C3416" s="436" t="s">
        <v>764</v>
      </c>
      <c r="D3416" s="436" t="s">
        <v>1138</v>
      </c>
      <c r="E3416" s="436">
        <v>1</v>
      </c>
      <c r="F3416" s="465">
        <v>10</v>
      </c>
      <c r="G3416" s="466">
        <v>10</v>
      </c>
      <c r="H3416" s="466">
        <f>G3416/1.1</f>
        <v>9.0909090909090899</v>
      </c>
      <c r="I3416" s="436"/>
      <c r="J3416" s="465">
        <v>0</v>
      </c>
      <c r="K3416" s="465">
        <v>0</v>
      </c>
    </row>
    <row r="3417" spans="2:11" ht="19" customHeight="1">
      <c r="B3417" s="464">
        <v>46099</v>
      </c>
      <c r="C3417" s="436" t="s">
        <v>264</v>
      </c>
      <c r="D3417" s="436" t="s">
        <v>1177</v>
      </c>
      <c r="E3417" s="436">
        <v>1</v>
      </c>
      <c r="F3417" s="465">
        <v>1</v>
      </c>
      <c r="G3417" s="466">
        <v>1</v>
      </c>
      <c r="H3417" s="466">
        <f>G3417/1.1</f>
        <v>0.90909090909090906</v>
      </c>
      <c r="I3417" s="436"/>
      <c r="J3417" s="465">
        <v>0</v>
      </c>
      <c r="K3417" s="465">
        <v>0</v>
      </c>
    </row>
    <row r="3418" spans="2:11" ht="19" customHeight="1">
      <c r="B3418" s="464">
        <v>46099</v>
      </c>
      <c r="C3418" s="436" t="s">
        <v>264</v>
      </c>
      <c r="D3418" s="436" t="s">
        <v>983</v>
      </c>
      <c r="E3418" s="436">
        <v>1</v>
      </c>
      <c r="F3418" s="465">
        <v>2.75</v>
      </c>
      <c r="G3418" s="466">
        <v>2.75</v>
      </c>
      <c r="H3418" s="466">
        <f>G3418/1.1</f>
        <v>2.5</v>
      </c>
      <c r="I3418" s="436"/>
      <c r="J3418" s="465">
        <v>0</v>
      </c>
      <c r="K3418" s="465">
        <v>0</v>
      </c>
    </row>
    <row r="3419" spans="2:11" ht="19" customHeight="1">
      <c r="B3419" s="464">
        <v>46099</v>
      </c>
      <c r="C3419" s="436" t="s">
        <v>254</v>
      </c>
      <c r="D3419" s="436" t="s">
        <v>254</v>
      </c>
      <c r="E3419" s="436">
        <v>2</v>
      </c>
      <c r="F3419" s="465">
        <v>14.9</v>
      </c>
      <c r="G3419" s="466">
        <v>29.8</v>
      </c>
      <c r="H3419" s="466">
        <f>G3419/1.1</f>
        <v>27.09090909090909</v>
      </c>
      <c r="I3419" s="436"/>
      <c r="J3419" s="465">
        <v>0</v>
      </c>
      <c r="K3419" s="465">
        <v>0</v>
      </c>
    </row>
    <row r="3420" spans="2:11" ht="19" customHeight="1">
      <c r="B3420" s="464">
        <v>46099</v>
      </c>
      <c r="C3420" s="436" t="s">
        <v>873</v>
      </c>
      <c r="D3420" s="436" t="s">
        <v>1178</v>
      </c>
      <c r="E3420" s="436">
        <v>2</v>
      </c>
      <c r="F3420" s="465">
        <v>3</v>
      </c>
      <c r="G3420" s="466">
        <v>6</v>
      </c>
      <c r="H3420" s="466">
        <f>G3420/1.1</f>
        <v>5.4545454545454541</v>
      </c>
      <c r="I3420" s="436"/>
      <c r="J3420" s="465">
        <v>0</v>
      </c>
      <c r="K3420" s="465">
        <v>0</v>
      </c>
    </row>
    <row r="3421" spans="2:11" ht="19" customHeight="1">
      <c r="B3421" s="464">
        <v>46099</v>
      </c>
      <c r="C3421" s="436" t="s">
        <v>877</v>
      </c>
      <c r="D3421" s="436" t="s">
        <v>1176</v>
      </c>
      <c r="E3421" s="436">
        <v>1</v>
      </c>
      <c r="F3421" s="469"/>
      <c r="G3421" s="468" t="s">
        <v>875</v>
      </c>
      <c r="H3421" s="466" t="e">
        <f>G3421/1.1</f>
        <v>#VALUE!</v>
      </c>
      <c r="I3421" s="436"/>
      <c r="J3421" s="465">
        <v>0</v>
      </c>
      <c r="K3421" s="465">
        <v>0</v>
      </c>
    </row>
    <row r="3422" spans="2:11" ht="19" customHeight="1">
      <c r="B3422" s="464">
        <v>46099</v>
      </c>
      <c r="C3422" s="436" t="s">
        <v>877</v>
      </c>
      <c r="D3422" s="436" t="s">
        <v>1179</v>
      </c>
      <c r="E3422" s="436">
        <v>1</v>
      </c>
      <c r="F3422" s="469"/>
      <c r="G3422" s="468" t="s">
        <v>875</v>
      </c>
      <c r="H3422" s="466" t="e">
        <f>G3422/1.1</f>
        <v>#VALUE!</v>
      </c>
      <c r="I3422" s="436"/>
      <c r="J3422" s="465">
        <v>0</v>
      </c>
      <c r="K3422" s="465">
        <v>0</v>
      </c>
    </row>
    <row r="3423" spans="2:11" ht="19" customHeight="1">
      <c r="B3423" s="464">
        <v>46099</v>
      </c>
      <c r="C3423" s="436" t="s">
        <v>266</v>
      </c>
      <c r="D3423" s="436" t="s">
        <v>890</v>
      </c>
      <c r="E3423" s="436">
        <v>1</v>
      </c>
      <c r="F3423" s="465">
        <v>1</v>
      </c>
      <c r="G3423" s="466">
        <v>1</v>
      </c>
      <c r="H3423" s="466">
        <f>G3423/1.1</f>
        <v>0.90909090909090906</v>
      </c>
      <c r="I3423" s="436"/>
      <c r="J3423" s="465">
        <v>0</v>
      </c>
      <c r="K3423" s="465">
        <v>0</v>
      </c>
    </row>
    <row r="3424" spans="2:11" ht="19" customHeight="1">
      <c r="B3424" s="464">
        <v>46099</v>
      </c>
      <c r="C3424" s="436" t="s">
        <v>266</v>
      </c>
      <c r="D3424" s="436" t="s">
        <v>1180</v>
      </c>
      <c r="E3424" s="436">
        <v>1</v>
      </c>
      <c r="F3424" s="469"/>
      <c r="G3424" s="468" t="s">
        <v>875</v>
      </c>
      <c r="H3424" s="466" t="e">
        <f>G3424/1.1</f>
        <v>#VALUE!</v>
      </c>
      <c r="I3424" s="436"/>
      <c r="J3424" s="465">
        <v>0</v>
      </c>
      <c r="K3424" s="465">
        <v>0</v>
      </c>
    </row>
    <row r="3425" spans="2:11" ht="19" customHeight="1">
      <c r="B3425" s="464">
        <v>46099</v>
      </c>
      <c r="C3425" s="436" t="s">
        <v>258</v>
      </c>
      <c r="D3425" s="436" t="s">
        <v>1115</v>
      </c>
      <c r="E3425" s="436">
        <v>1</v>
      </c>
      <c r="F3425" s="469"/>
      <c r="G3425" s="468" t="s">
        <v>875</v>
      </c>
      <c r="H3425" s="466" t="e">
        <f>G3425/1.1</f>
        <v>#VALUE!</v>
      </c>
      <c r="I3425" s="436"/>
      <c r="J3425" s="465">
        <v>0</v>
      </c>
      <c r="K3425" s="465">
        <v>0</v>
      </c>
    </row>
    <row r="3426" spans="2:11" ht="19" customHeight="1">
      <c r="B3426" s="464">
        <v>46099</v>
      </c>
      <c r="C3426" s="436" t="s">
        <v>258</v>
      </c>
      <c r="D3426" s="436" t="s">
        <v>1084</v>
      </c>
      <c r="E3426" s="436">
        <v>1</v>
      </c>
      <c r="F3426" s="469"/>
      <c r="G3426" s="468" t="s">
        <v>875</v>
      </c>
      <c r="H3426" s="466" t="e">
        <f>G3426/1.1</f>
        <v>#VALUE!</v>
      </c>
      <c r="I3426" s="436"/>
      <c r="J3426" s="465">
        <v>0</v>
      </c>
      <c r="K3426" s="465">
        <v>0</v>
      </c>
    </row>
    <row r="3427" spans="2:11" ht="19" customHeight="1">
      <c r="B3427" s="464">
        <v>46099</v>
      </c>
      <c r="C3427" s="436" t="s">
        <v>247</v>
      </c>
      <c r="D3427" s="436" t="s">
        <v>246</v>
      </c>
      <c r="E3427" s="436">
        <v>1</v>
      </c>
      <c r="F3427" s="465">
        <v>1.7</v>
      </c>
      <c r="G3427" s="466">
        <v>1.7</v>
      </c>
      <c r="H3427" s="466">
        <f>G3427/1.1</f>
        <v>1.5454545454545452</v>
      </c>
      <c r="I3427" s="436"/>
      <c r="J3427" s="465">
        <v>0</v>
      </c>
      <c r="K3427" s="465">
        <v>0</v>
      </c>
    </row>
    <row r="3428" spans="2:11" ht="19" customHeight="1">
      <c r="B3428" s="464">
        <v>46099</v>
      </c>
      <c r="C3428" s="436" t="s">
        <v>253</v>
      </c>
      <c r="D3428" s="436" t="s">
        <v>687</v>
      </c>
      <c r="E3428" s="436">
        <v>1</v>
      </c>
      <c r="F3428" s="465">
        <v>2.95</v>
      </c>
      <c r="G3428" s="466">
        <v>2.95</v>
      </c>
      <c r="H3428" s="466">
        <f>G3428/1.1</f>
        <v>2.6818181818181817</v>
      </c>
      <c r="I3428" s="436"/>
      <c r="J3428" s="465">
        <v>0</v>
      </c>
      <c r="K3428" s="465">
        <v>0</v>
      </c>
    </row>
    <row r="3429" spans="2:11" ht="19" customHeight="1">
      <c r="B3429" s="464">
        <v>46099</v>
      </c>
      <c r="C3429" s="436" t="s">
        <v>253</v>
      </c>
      <c r="D3429" s="436" t="s">
        <v>969</v>
      </c>
      <c r="E3429" s="436">
        <v>2</v>
      </c>
      <c r="F3429" s="465">
        <v>3.35</v>
      </c>
      <c r="G3429" s="466">
        <v>6.7</v>
      </c>
      <c r="H3429" s="466">
        <f>G3429/1.1</f>
        <v>6.0909090909090908</v>
      </c>
      <c r="I3429" s="436"/>
      <c r="J3429" s="465">
        <v>0</v>
      </c>
      <c r="K3429" s="465">
        <v>0</v>
      </c>
    </row>
    <row r="3430" spans="2:11" ht="19" customHeight="1">
      <c r="B3430" s="464">
        <v>46099</v>
      </c>
      <c r="C3430" s="436" t="s">
        <v>247</v>
      </c>
      <c r="D3430" s="436" t="s">
        <v>248</v>
      </c>
      <c r="E3430" s="436">
        <v>1</v>
      </c>
      <c r="F3430" s="465">
        <v>1.65</v>
      </c>
      <c r="G3430" s="466">
        <v>1.65</v>
      </c>
      <c r="H3430" s="466">
        <f>G3430/1.1</f>
        <v>1.4999999999999998</v>
      </c>
      <c r="I3430" s="436"/>
      <c r="J3430" s="465">
        <v>0</v>
      </c>
      <c r="K3430" s="465">
        <v>0</v>
      </c>
    </row>
    <row r="3431" spans="2:11" ht="19" customHeight="1">
      <c r="B3431" s="464">
        <v>46099</v>
      </c>
      <c r="C3431" s="436" t="s">
        <v>275</v>
      </c>
      <c r="D3431" s="436" t="s">
        <v>1084</v>
      </c>
      <c r="E3431" s="436">
        <v>1</v>
      </c>
      <c r="F3431" s="465">
        <v>6.5</v>
      </c>
      <c r="G3431" s="466">
        <v>6.5</v>
      </c>
      <c r="H3431" s="466">
        <f>G3431/1.1</f>
        <v>5.9090909090909083</v>
      </c>
      <c r="I3431" s="436"/>
      <c r="J3431" s="465">
        <v>0</v>
      </c>
      <c r="K3431" s="465">
        <v>0</v>
      </c>
    </row>
    <row r="3432" spans="2:11" ht="19" customHeight="1">
      <c r="B3432" s="464">
        <v>46099</v>
      </c>
      <c r="C3432" s="436" t="s">
        <v>264</v>
      </c>
      <c r="D3432" s="436" t="s">
        <v>930</v>
      </c>
      <c r="E3432" s="436">
        <v>1</v>
      </c>
      <c r="F3432" s="465">
        <v>3.5</v>
      </c>
      <c r="G3432" s="466">
        <v>3.5</v>
      </c>
      <c r="H3432" s="466">
        <f>G3432/1.1</f>
        <v>3.1818181818181817</v>
      </c>
      <c r="I3432" s="436"/>
      <c r="J3432" s="465">
        <v>0</v>
      </c>
      <c r="K3432" s="465">
        <v>0</v>
      </c>
    </row>
    <row r="3433" spans="2:11" ht="19" customHeight="1">
      <c r="B3433" s="464">
        <v>46099</v>
      </c>
      <c r="C3433" s="436" t="s">
        <v>256</v>
      </c>
      <c r="D3433" s="436" t="s">
        <v>1114</v>
      </c>
      <c r="E3433" s="436">
        <v>1</v>
      </c>
      <c r="F3433" s="465">
        <v>-0.2</v>
      </c>
      <c r="G3433" s="466">
        <v>-0.2</v>
      </c>
      <c r="H3433" s="466">
        <f>G3433/1.1</f>
        <v>-0.18181818181818182</v>
      </c>
      <c r="I3433" s="436"/>
      <c r="J3433" s="465">
        <v>0</v>
      </c>
      <c r="K3433" s="465">
        <v>0</v>
      </c>
    </row>
    <row r="3434" spans="2:11" ht="19" customHeight="1">
      <c r="B3434" s="464">
        <v>46099</v>
      </c>
      <c r="C3434" s="436" t="s">
        <v>256</v>
      </c>
      <c r="D3434" s="436" t="s">
        <v>931</v>
      </c>
      <c r="E3434" s="436">
        <v>2</v>
      </c>
      <c r="F3434" s="465">
        <v>1.7</v>
      </c>
      <c r="G3434" s="466">
        <v>3.4</v>
      </c>
      <c r="H3434" s="466">
        <f>G3434/1.1</f>
        <v>3.0909090909090904</v>
      </c>
      <c r="I3434" s="436"/>
      <c r="J3434" s="465">
        <v>0</v>
      </c>
      <c r="K3434" s="465">
        <v>0</v>
      </c>
    </row>
    <row r="3435" spans="2:11" ht="19" customHeight="1">
      <c r="B3435" s="464">
        <v>46099</v>
      </c>
      <c r="C3435" s="436" t="s">
        <v>256</v>
      </c>
      <c r="D3435" s="436" t="s">
        <v>870</v>
      </c>
      <c r="E3435" s="436">
        <v>2</v>
      </c>
      <c r="F3435" s="465">
        <v>1.7</v>
      </c>
      <c r="G3435" s="466">
        <v>3.4</v>
      </c>
      <c r="H3435" s="466">
        <f>G3435/1.1</f>
        <v>3.0909090909090904</v>
      </c>
      <c r="I3435" s="436"/>
      <c r="J3435" s="465">
        <v>0</v>
      </c>
      <c r="K3435" s="465">
        <v>0</v>
      </c>
    </row>
    <row r="3436" spans="2:11" ht="19" customHeight="1">
      <c r="B3436" s="464">
        <v>46099</v>
      </c>
      <c r="C3436" s="436" t="s">
        <v>256</v>
      </c>
      <c r="D3436" s="436" t="s">
        <v>932</v>
      </c>
      <c r="E3436" s="436">
        <v>2</v>
      </c>
      <c r="F3436" s="465">
        <v>1.7</v>
      </c>
      <c r="G3436" s="466">
        <v>3.4</v>
      </c>
      <c r="H3436" s="466">
        <f>G3436/1.1</f>
        <v>3.0909090909090904</v>
      </c>
      <c r="I3436" s="436"/>
      <c r="J3436" s="465">
        <v>0</v>
      </c>
      <c r="K3436" s="465">
        <v>0</v>
      </c>
    </row>
    <row r="3437" spans="2:11" ht="19" customHeight="1">
      <c r="B3437" s="464">
        <v>46099</v>
      </c>
      <c r="C3437" s="436" t="s">
        <v>326</v>
      </c>
      <c r="D3437" s="436" t="s">
        <v>683</v>
      </c>
      <c r="E3437" s="436">
        <v>1</v>
      </c>
      <c r="F3437" s="465">
        <v>12</v>
      </c>
      <c r="G3437" s="466">
        <v>12</v>
      </c>
      <c r="H3437" s="466">
        <f>G3437/1.1</f>
        <v>10.909090909090908</v>
      </c>
      <c r="I3437" s="436"/>
      <c r="J3437" s="465">
        <v>0</v>
      </c>
      <c r="K3437" s="465">
        <v>0</v>
      </c>
    </row>
    <row r="3438" spans="2:11" ht="19" customHeight="1">
      <c r="B3438" s="464">
        <v>46099</v>
      </c>
      <c r="C3438" s="436" t="s">
        <v>256</v>
      </c>
      <c r="D3438" s="436" t="s">
        <v>952</v>
      </c>
      <c r="E3438" s="436">
        <v>1</v>
      </c>
      <c r="F3438" s="465">
        <v>7.5</v>
      </c>
      <c r="G3438" s="466">
        <v>7.5</v>
      </c>
      <c r="H3438" s="466">
        <f>G3438/1.1</f>
        <v>6.8181818181818175</v>
      </c>
      <c r="I3438" s="436"/>
      <c r="J3438" s="465">
        <v>0</v>
      </c>
      <c r="K3438" s="465">
        <v>0</v>
      </c>
    </row>
    <row r="3439" spans="2:11" ht="19" customHeight="1">
      <c r="B3439" s="464">
        <v>46099</v>
      </c>
      <c r="C3439" s="436" t="s">
        <v>247</v>
      </c>
      <c r="D3439" s="436" t="s">
        <v>246</v>
      </c>
      <c r="E3439" s="436">
        <v>1</v>
      </c>
      <c r="F3439" s="465">
        <v>1.7</v>
      </c>
      <c r="G3439" s="466">
        <v>1.7</v>
      </c>
      <c r="H3439" s="466">
        <f>G3439/1.1</f>
        <v>1.5454545454545452</v>
      </c>
      <c r="I3439" s="436"/>
      <c r="J3439" s="465">
        <v>0</v>
      </c>
      <c r="K3439" s="465">
        <v>0</v>
      </c>
    </row>
    <row r="3440" spans="2:11" ht="19" customHeight="1">
      <c r="B3440" s="464">
        <v>46099</v>
      </c>
      <c r="C3440" s="436" t="s">
        <v>247</v>
      </c>
      <c r="D3440" s="436" t="s">
        <v>248</v>
      </c>
      <c r="E3440" s="436">
        <v>1</v>
      </c>
      <c r="F3440" s="465">
        <v>1.65</v>
      </c>
      <c r="G3440" s="466">
        <v>1.65</v>
      </c>
      <c r="H3440" s="466">
        <f>G3440/1.1</f>
        <v>1.4999999999999998</v>
      </c>
      <c r="I3440" s="436"/>
      <c r="J3440" s="465">
        <v>0</v>
      </c>
      <c r="K3440" s="465">
        <v>0</v>
      </c>
    </row>
    <row r="3441" spans="2:11" ht="19" customHeight="1">
      <c r="B3441" s="464">
        <v>46099</v>
      </c>
      <c r="C3441" s="436" t="s">
        <v>247</v>
      </c>
      <c r="D3441" s="436" t="s">
        <v>246</v>
      </c>
      <c r="E3441" s="436">
        <v>1</v>
      </c>
      <c r="F3441" s="465">
        <v>1.7</v>
      </c>
      <c r="G3441" s="466">
        <v>1.7</v>
      </c>
      <c r="H3441" s="466">
        <f>G3441/1.1</f>
        <v>1.5454545454545452</v>
      </c>
      <c r="I3441" s="436"/>
      <c r="J3441" s="465">
        <v>0</v>
      </c>
      <c r="K3441" s="465">
        <v>0</v>
      </c>
    </row>
    <row r="3442" spans="2:11" ht="19" customHeight="1">
      <c r="B3442" s="464">
        <v>46099</v>
      </c>
      <c r="C3442" s="436" t="s">
        <v>862</v>
      </c>
      <c r="D3442" s="436" t="s">
        <v>899</v>
      </c>
      <c r="E3442" s="436">
        <v>1</v>
      </c>
      <c r="F3442" s="465">
        <v>0.05</v>
      </c>
      <c r="G3442" s="466">
        <v>0.05</v>
      </c>
      <c r="H3442" s="466">
        <f>G3442/1.1</f>
        <v>4.5454545454545456E-2</v>
      </c>
      <c r="I3442" s="436"/>
      <c r="J3442" s="465">
        <v>0</v>
      </c>
      <c r="K3442" s="465">
        <v>0</v>
      </c>
    </row>
    <row r="3443" spans="2:11" ht="19" customHeight="1">
      <c r="B3443" s="464">
        <v>46099</v>
      </c>
      <c r="C3443" s="436" t="s">
        <v>253</v>
      </c>
      <c r="D3443" s="436" t="s">
        <v>869</v>
      </c>
      <c r="E3443" s="436">
        <v>2</v>
      </c>
      <c r="F3443" s="465">
        <v>2.5</v>
      </c>
      <c r="G3443" s="466">
        <v>5</v>
      </c>
      <c r="H3443" s="466">
        <f>G3443/1.1</f>
        <v>4.545454545454545</v>
      </c>
      <c r="I3443" s="436"/>
      <c r="J3443" s="465">
        <v>0</v>
      </c>
      <c r="K3443" s="465">
        <v>0</v>
      </c>
    </row>
    <row r="3444" spans="2:11" ht="19" customHeight="1">
      <c r="B3444" s="464">
        <v>46099</v>
      </c>
      <c r="C3444" s="436" t="s">
        <v>256</v>
      </c>
      <c r="D3444" s="436" t="s">
        <v>675</v>
      </c>
      <c r="E3444" s="436">
        <v>1</v>
      </c>
      <c r="F3444" s="465">
        <v>5.5</v>
      </c>
      <c r="G3444" s="466">
        <v>5.5</v>
      </c>
      <c r="H3444" s="466">
        <f>G3444/1.1</f>
        <v>5</v>
      </c>
      <c r="I3444" s="436"/>
      <c r="J3444" s="465">
        <v>0</v>
      </c>
      <c r="K3444" s="465">
        <v>0</v>
      </c>
    </row>
    <row r="3445" spans="2:11" ht="19" customHeight="1">
      <c r="B3445" s="464">
        <v>46099</v>
      </c>
      <c r="C3445" s="436" t="s">
        <v>256</v>
      </c>
      <c r="D3445" s="436" t="s">
        <v>1012</v>
      </c>
      <c r="E3445" s="436">
        <v>1</v>
      </c>
      <c r="F3445" s="465">
        <v>11.9</v>
      </c>
      <c r="G3445" s="466">
        <v>11.9</v>
      </c>
      <c r="H3445" s="466">
        <f>G3445/1.1</f>
        <v>10.818181818181818</v>
      </c>
      <c r="I3445" s="436"/>
      <c r="J3445" s="465">
        <v>0</v>
      </c>
      <c r="K3445" s="465">
        <v>0</v>
      </c>
    </row>
    <row r="3446" spans="2:11" ht="19" customHeight="1">
      <c r="B3446" s="464">
        <v>46099</v>
      </c>
      <c r="C3446" s="436" t="s">
        <v>256</v>
      </c>
      <c r="D3446" s="436" t="s">
        <v>255</v>
      </c>
      <c r="E3446" s="436">
        <v>1</v>
      </c>
      <c r="F3446" s="465">
        <v>5.6</v>
      </c>
      <c r="G3446" s="466">
        <v>5.6</v>
      </c>
      <c r="H3446" s="466">
        <f>G3446/1.1</f>
        <v>5.0909090909090899</v>
      </c>
      <c r="I3446" s="436"/>
      <c r="J3446" s="465">
        <v>0</v>
      </c>
      <c r="K3446" s="465">
        <v>0</v>
      </c>
    </row>
    <row r="3447" spans="2:11" ht="19" customHeight="1">
      <c r="B3447" s="464">
        <v>46099</v>
      </c>
      <c r="C3447" s="436" t="s">
        <v>256</v>
      </c>
      <c r="D3447" s="436" t="s">
        <v>262</v>
      </c>
      <c r="E3447" s="436">
        <v>1</v>
      </c>
      <c r="F3447" s="465">
        <v>11.9</v>
      </c>
      <c r="G3447" s="466">
        <v>11.9</v>
      </c>
      <c r="H3447" s="466">
        <f>G3447/1.1</f>
        <v>10.818181818181818</v>
      </c>
      <c r="I3447" s="436"/>
      <c r="J3447" s="465">
        <v>0</v>
      </c>
      <c r="K3447" s="465">
        <v>0</v>
      </c>
    </row>
    <row r="3448" spans="2:11" ht="19" customHeight="1">
      <c r="B3448" s="464">
        <v>46099</v>
      </c>
      <c r="C3448" s="436" t="s">
        <v>251</v>
      </c>
      <c r="D3448" s="436" t="s">
        <v>708</v>
      </c>
      <c r="E3448" s="436">
        <v>1</v>
      </c>
      <c r="F3448" s="465">
        <v>1.95</v>
      </c>
      <c r="G3448" s="466">
        <v>1.95</v>
      </c>
      <c r="H3448" s="466">
        <f>G3448/1.1</f>
        <v>1.7727272727272725</v>
      </c>
      <c r="I3448" s="436"/>
      <c r="J3448" s="465">
        <v>0</v>
      </c>
      <c r="K3448" s="465">
        <v>0</v>
      </c>
    </row>
    <row r="3449" spans="2:11" ht="19" customHeight="1">
      <c r="B3449" s="464">
        <v>46099</v>
      </c>
      <c r="C3449" s="436" t="s">
        <v>253</v>
      </c>
      <c r="D3449" s="436" t="s">
        <v>901</v>
      </c>
      <c r="E3449" s="436">
        <v>1</v>
      </c>
      <c r="F3449" s="465">
        <v>2.15</v>
      </c>
      <c r="G3449" s="466">
        <v>2.15</v>
      </c>
      <c r="H3449" s="466">
        <f>G3449/1.1</f>
        <v>1.9545454545454544</v>
      </c>
      <c r="I3449" s="436"/>
      <c r="J3449" s="465">
        <v>0</v>
      </c>
      <c r="K3449" s="465">
        <v>0</v>
      </c>
    </row>
    <row r="3450" spans="2:11" ht="19" customHeight="1">
      <c r="B3450" s="464">
        <v>46099</v>
      </c>
      <c r="C3450" s="436" t="s">
        <v>253</v>
      </c>
      <c r="D3450" s="436" t="s">
        <v>1152</v>
      </c>
      <c r="E3450" s="436">
        <v>1</v>
      </c>
      <c r="F3450" s="465">
        <v>3.5</v>
      </c>
      <c r="G3450" s="466">
        <v>3.5</v>
      </c>
      <c r="H3450" s="466">
        <f>G3450/1.1</f>
        <v>3.1818181818181817</v>
      </c>
      <c r="I3450" s="436"/>
      <c r="J3450" s="465">
        <v>0</v>
      </c>
      <c r="K3450" s="465">
        <v>0</v>
      </c>
    </row>
    <row r="3451" spans="2:11" ht="19" customHeight="1">
      <c r="B3451" s="464">
        <v>46099</v>
      </c>
      <c r="C3451" s="436" t="s">
        <v>253</v>
      </c>
      <c r="D3451" s="436" t="s">
        <v>869</v>
      </c>
      <c r="E3451" s="436">
        <v>1</v>
      </c>
      <c r="F3451" s="465">
        <v>2.5</v>
      </c>
      <c r="G3451" s="466">
        <v>2.5</v>
      </c>
      <c r="H3451" s="466">
        <f>G3451/1.1</f>
        <v>2.2727272727272725</v>
      </c>
      <c r="I3451" s="436"/>
      <c r="J3451" s="465">
        <v>0</v>
      </c>
      <c r="K3451" s="465">
        <v>0</v>
      </c>
    </row>
    <row r="3452" spans="2:11" ht="19" customHeight="1">
      <c r="B3452" s="464">
        <v>46099</v>
      </c>
      <c r="C3452" s="436" t="s">
        <v>251</v>
      </c>
      <c r="D3452" s="436" t="s">
        <v>722</v>
      </c>
      <c r="E3452" s="436">
        <v>1</v>
      </c>
      <c r="F3452" s="465">
        <v>2.65</v>
      </c>
      <c r="G3452" s="466">
        <v>2.65</v>
      </c>
      <c r="H3452" s="466">
        <f>G3452/1.1</f>
        <v>2.4090909090909087</v>
      </c>
      <c r="I3452" s="436"/>
      <c r="J3452" s="465">
        <v>0</v>
      </c>
      <c r="K3452" s="465">
        <v>0</v>
      </c>
    </row>
    <row r="3453" spans="2:11" ht="19" customHeight="1">
      <c r="B3453" s="464">
        <v>46099</v>
      </c>
      <c r="C3453" s="436" t="s">
        <v>254</v>
      </c>
      <c r="D3453" s="436" t="s">
        <v>254</v>
      </c>
      <c r="E3453" s="436">
        <v>2</v>
      </c>
      <c r="F3453" s="465">
        <v>14.9</v>
      </c>
      <c r="G3453" s="466">
        <v>29.8</v>
      </c>
      <c r="H3453" s="466">
        <f>G3453/1.1</f>
        <v>27.09090909090909</v>
      </c>
      <c r="I3453" s="436"/>
      <c r="J3453" s="465">
        <v>0</v>
      </c>
      <c r="K3453" s="465">
        <v>0</v>
      </c>
    </row>
    <row r="3454" spans="2:11" ht="19" customHeight="1">
      <c r="B3454" s="464">
        <v>46099</v>
      </c>
      <c r="C3454" s="436" t="s">
        <v>873</v>
      </c>
      <c r="D3454" s="436" t="s">
        <v>1026</v>
      </c>
      <c r="E3454" s="436">
        <v>2</v>
      </c>
      <c r="F3454" s="469"/>
      <c r="G3454" s="468" t="s">
        <v>875</v>
      </c>
      <c r="H3454" s="466" t="e">
        <f>G3454/1.1</f>
        <v>#VALUE!</v>
      </c>
      <c r="I3454" s="436"/>
      <c r="J3454" s="465">
        <v>0</v>
      </c>
      <c r="K3454" s="465">
        <v>0</v>
      </c>
    </row>
    <row r="3455" spans="2:11" ht="19" customHeight="1">
      <c r="B3455" s="464">
        <v>46099</v>
      </c>
      <c r="C3455" s="436" t="s">
        <v>877</v>
      </c>
      <c r="D3455" s="436" t="s">
        <v>1176</v>
      </c>
      <c r="E3455" s="436">
        <v>2</v>
      </c>
      <c r="F3455" s="469"/>
      <c r="G3455" s="468" t="s">
        <v>875</v>
      </c>
      <c r="H3455" s="466" t="e">
        <f>G3455/1.1</f>
        <v>#VALUE!</v>
      </c>
      <c r="I3455" s="436"/>
      <c r="J3455" s="465">
        <v>0</v>
      </c>
      <c r="K3455" s="465">
        <v>0</v>
      </c>
    </row>
    <row r="3456" spans="2:11" ht="19" customHeight="1">
      <c r="B3456" s="464">
        <v>46099</v>
      </c>
      <c r="C3456" s="436" t="s">
        <v>266</v>
      </c>
      <c r="D3456" s="436" t="s">
        <v>250</v>
      </c>
      <c r="E3456" s="436">
        <v>2</v>
      </c>
      <c r="F3456" s="469"/>
      <c r="G3456" s="468" t="s">
        <v>875</v>
      </c>
      <c r="H3456" s="466" t="e">
        <f>G3456/1.1</f>
        <v>#VALUE!</v>
      </c>
      <c r="I3456" s="436"/>
      <c r="J3456" s="465">
        <v>0</v>
      </c>
      <c r="K3456" s="465">
        <v>0</v>
      </c>
    </row>
    <row r="3457" spans="2:11" ht="19" customHeight="1">
      <c r="B3457" s="464">
        <v>46099</v>
      </c>
      <c r="C3457" s="436" t="s">
        <v>254</v>
      </c>
      <c r="D3457" s="436" t="s">
        <v>254</v>
      </c>
      <c r="E3457" s="436">
        <v>3</v>
      </c>
      <c r="F3457" s="465">
        <v>14.9</v>
      </c>
      <c r="G3457" s="466">
        <v>44.7</v>
      </c>
      <c r="H3457" s="466">
        <f>G3457/1.1</f>
        <v>40.636363636363633</v>
      </c>
      <c r="I3457" s="436"/>
      <c r="J3457" s="465">
        <v>0</v>
      </c>
      <c r="K3457" s="465">
        <v>0</v>
      </c>
    </row>
    <row r="3458" spans="2:11" ht="19" customHeight="1">
      <c r="B3458" s="464">
        <v>46099</v>
      </c>
      <c r="C3458" s="436" t="s">
        <v>873</v>
      </c>
      <c r="D3458" s="436" t="s">
        <v>1181</v>
      </c>
      <c r="E3458" s="436">
        <v>2</v>
      </c>
      <c r="F3458" s="469"/>
      <c r="G3458" s="468" t="s">
        <v>875</v>
      </c>
      <c r="H3458" s="466" t="e">
        <f>G3458/1.1</f>
        <v>#VALUE!</v>
      </c>
      <c r="I3458" s="436"/>
      <c r="J3458" s="465">
        <v>0</v>
      </c>
      <c r="K3458" s="465">
        <v>0</v>
      </c>
    </row>
    <row r="3459" spans="2:11" ht="19" customHeight="1">
      <c r="B3459" s="464">
        <v>46099</v>
      </c>
      <c r="C3459" s="436" t="s">
        <v>873</v>
      </c>
      <c r="D3459" s="436" t="s">
        <v>1026</v>
      </c>
      <c r="E3459" s="436">
        <v>1</v>
      </c>
      <c r="F3459" s="469"/>
      <c r="G3459" s="468" t="s">
        <v>875</v>
      </c>
      <c r="H3459" s="466" t="e">
        <f>G3459/1.1</f>
        <v>#VALUE!</v>
      </c>
      <c r="I3459" s="436"/>
      <c r="J3459" s="465">
        <v>0</v>
      </c>
      <c r="K3459" s="465">
        <v>0</v>
      </c>
    </row>
    <row r="3460" spans="2:11" ht="19" customHeight="1">
      <c r="B3460" s="464">
        <v>46099</v>
      </c>
      <c r="C3460" s="436" t="s">
        <v>877</v>
      </c>
      <c r="D3460" s="436" t="s">
        <v>1176</v>
      </c>
      <c r="E3460" s="436">
        <v>1</v>
      </c>
      <c r="F3460" s="469"/>
      <c r="G3460" s="468" t="s">
        <v>875</v>
      </c>
      <c r="H3460" s="466" t="e">
        <f>G3460/1.1</f>
        <v>#VALUE!</v>
      </c>
      <c r="I3460" s="436"/>
      <c r="J3460" s="465">
        <v>0</v>
      </c>
      <c r="K3460" s="465">
        <v>0</v>
      </c>
    </row>
    <row r="3461" spans="2:11" ht="19" customHeight="1">
      <c r="B3461" s="464">
        <v>46099</v>
      </c>
      <c r="C3461" s="436" t="s">
        <v>877</v>
      </c>
      <c r="D3461" s="436" t="s">
        <v>1182</v>
      </c>
      <c r="E3461" s="436">
        <v>1</v>
      </c>
      <c r="F3461" s="465">
        <v>3</v>
      </c>
      <c r="G3461" s="466">
        <v>3</v>
      </c>
      <c r="H3461" s="466">
        <f>G3461/1.1</f>
        <v>2.7272727272727271</v>
      </c>
      <c r="I3461" s="436"/>
      <c r="J3461" s="465">
        <v>0</v>
      </c>
      <c r="K3461" s="465">
        <v>0</v>
      </c>
    </row>
    <row r="3462" spans="2:11" ht="19" customHeight="1">
      <c r="B3462" s="464">
        <v>46099</v>
      </c>
      <c r="C3462" s="436" t="s">
        <v>877</v>
      </c>
      <c r="D3462" s="436" t="s">
        <v>1183</v>
      </c>
      <c r="E3462" s="436">
        <v>1</v>
      </c>
      <c r="F3462" s="469"/>
      <c r="G3462" s="468" t="s">
        <v>875</v>
      </c>
      <c r="H3462" s="466" t="e">
        <f>G3462/1.1</f>
        <v>#VALUE!</v>
      </c>
      <c r="I3462" s="436"/>
      <c r="J3462" s="465">
        <v>0</v>
      </c>
      <c r="K3462" s="465">
        <v>0</v>
      </c>
    </row>
    <row r="3463" spans="2:11" ht="19" customHeight="1">
      <c r="B3463" s="464">
        <v>46099</v>
      </c>
      <c r="C3463" s="436" t="s">
        <v>266</v>
      </c>
      <c r="D3463" s="436" t="s">
        <v>991</v>
      </c>
      <c r="E3463" s="436">
        <v>1</v>
      </c>
      <c r="F3463" s="469"/>
      <c r="G3463" s="468" t="s">
        <v>875</v>
      </c>
      <c r="H3463" s="466" t="e">
        <f>G3463/1.1</f>
        <v>#VALUE!</v>
      </c>
      <c r="I3463" s="436"/>
      <c r="J3463" s="465">
        <v>0</v>
      </c>
      <c r="K3463" s="465">
        <v>0</v>
      </c>
    </row>
    <row r="3464" spans="2:11" ht="19" customHeight="1">
      <c r="B3464" s="464">
        <v>46099</v>
      </c>
      <c r="C3464" s="436" t="s">
        <v>266</v>
      </c>
      <c r="D3464" s="436" t="s">
        <v>250</v>
      </c>
      <c r="E3464" s="436">
        <v>2</v>
      </c>
      <c r="F3464" s="469"/>
      <c r="G3464" s="468" t="s">
        <v>875</v>
      </c>
      <c r="H3464" s="466" t="e">
        <f>G3464/1.1</f>
        <v>#VALUE!</v>
      </c>
      <c r="I3464" s="436"/>
      <c r="J3464" s="465">
        <v>0</v>
      </c>
      <c r="K3464" s="465">
        <v>0</v>
      </c>
    </row>
    <row r="3465" spans="2:11" ht="19" customHeight="1">
      <c r="B3465" s="464">
        <v>46099</v>
      </c>
      <c r="C3465" s="436" t="s">
        <v>258</v>
      </c>
      <c r="D3465" s="436" t="s">
        <v>745</v>
      </c>
      <c r="E3465" s="436">
        <v>1</v>
      </c>
      <c r="F3465" s="469"/>
      <c r="G3465" s="468" t="s">
        <v>875</v>
      </c>
      <c r="H3465" s="466" t="e">
        <f>G3465/1.1</f>
        <v>#VALUE!</v>
      </c>
      <c r="I3465" s="436"/>
      <c r="J3465" s="465">
        <v>0</v>
      </c>
      <c r="K3465" s="465">
        <v>0</v>
      </c>
    </row>
    <row r="3466" spans="2:11" ht="19" customHeight="1">
      <c r="B3466" s="464">
        <v>46099</v>
      </c>
      <c r="C3466" s="436" t="s">
        <v>258</v>
      </c>
      <c r="D3466" s="436" t="s">
        <v>972</v>
      </c>
      <c r="E3466" s="436">
        <v>1</v>
      </c>
      <c r="F3466" s="469"/>
      <c r="G3466" s="468" t="s">
        <v>875</v>
      </c>
      <c r="H3466" s="466" t="e">
        <f>G3466/1.1</f>
        <v>#VALUE!</v>
      </c>
      <c r="I3466" s="436"/>
      <c r="J3466" s="465">
        <v>0</v>
      </c>
      <c r="K3466" s="465">
        <v>0</v>
      </c>
    </row>
    <row r="3467" spans="2:11" ht="19" customHeight="1">
      <c r="B3467" s="464">
        <v>46099</v>
      </c>
      <c r="C3467" s="436" t="s">
        <v>254</v>
      </c>
      <c r="D3467" s="436" t="s">
        <v>254</v>
      </c>
      <c r="E3467" s="436">
        <v>5</v>
      </c>
      <c r="F3467" s="465">
        <v>14.9</v>
      </c>
      <c r="G3467" s="466">
        <v>74.5</v>
      </c>
      <c r="H3467" s="466">
        <f>G3467/1.1</f>
        <v>67.72727272727272</v>
      </c>
      <c r="I3467" s="436"/>
      <c r="J3467" s="465">
        <v>0</v>
      </c>
      <c r="K3467" s="465">
        <v>0</v>
      </c>
    </row>
    <row r="3468" spans="2:11" ht="19" customHeight="1">
      <c r="B3468" s="464">
        <v>46099</v>
      </c>
      <c r="C3468" s="436" t="s">
        <v>873</v>
      </c>
      <c r="D3468" s="436" t="s">
        <v>1181</v>
      </c>
      <c r="E3468" s="436">
        <v>3</v>
      </c>
      <c r="F3468" s="469"/>
      <c r="G3468" s="468" t="s">
        <v>875</v>
      </c>
      <c r="H3468" s="466" t="e">
        <f>G3468/1.1</f>
        <v>#VALUE!</v>
      </c>
      <c r="I3468" s="436"/>
      <c r="J3468" s="465">
        <v>0</v>
      </c>
      <c r="K3468" s="465">
        <v>0</v>
      </c>
    </row>
    <row r="3469" spans="2:11" ht="19" customHeight="1">
      <c r="B3469" s="464">
        <v>46099</v>
      </c>
      <c r="C3469" s="436" t="s">
        <v>873</v>
      </c>
      <c r="D3469" s="436" t="s">
        <v>1026</v>
      </c>
      <c r="E3469" s="436">
        <v>1</v>
      </c>
      <c r="F3469" s="469"/>
      <c r="G3469" s="468" t="s">
        <v>875</v>
      </c>
      <c r="H3469" s="466" t="e">
        <f>G3469/1.1</f>
        <v>#VALUE!</v>
      </c>
      <c r="I3469" s="436"/>
      <c r="J3469" s="465">
        <v>0</v>
      </c>
      <c r="K3469" s="465">
        <v>0</v>
      </c>
    </row>
    <row r="3470" spans="2:11" ht="19" customHeight="1">
      <c r="B3470" s="464">
        <v>46099</v>
      </c>
      <c r="C3470" s="436" t="s">
        <v>873</v>
      </c>
      <c r="D3470" s="436" t="s">
        <v>1178</v>
      </c>
      <c r="E3470" s="436">
        <v>1</v>
      </c>
      <c r="F3470" s="465">
        <v>3</v>
      </c>
      <c r="G3470" s="466">
        <v>3</v>
      </c>
      <c r="H3470" s="466">
        <f>G3470/1.1</f>
        <v>2.7272727272727271</v>
      </c>
      <c r="I3470" s="436"/>
      <c r="J3470" s="465">
        <v>0</v>
      </c>
      <c r="K3470" s="465">
        <v>0</v>
      </c>
    </row>
    <row r="3471" spans="2:11" ht="19" customHeight="1">
      <c r="B3471" s="464">
        <v>46099</v>
      </c>
      <c r="C3471" s="436" t="s">
        <v>877</v>
      </c>
      <c r="D3471" s="436" t="s">
        <v>1183</v>
      </c>
      <c r="E3471" s="436">
        <v>3</v>
      </c>
      <c r="F3471" s="469"/>
      <c r="G3471" s="468" t="s">
        <v>875</v>
      </c>
      <c r="H3471" s="466" t="e">
        <f>G3471/1.1</f>
        <v>#VALUE!</v>
      </c>
      <c r="I3471" s="436"/>
      <c r="J3471" s="465">
        <v>0</v>
      </c>
      <c r="K3471" s="465">
        <v>0</v>
      </c>
    </row>
    <row r="3472" spans="2:11" ht="19" customHeight="1">
      <c r="B3472" s="464">
        <v>46099</v>
      </c>
      <c r="C3472" s="436" t="s">
        <v>877</v>
      </c>
      <c r="D3472" s="436" t="s">
        <v>1182</v>
      </c>
      <c r="E3472" s="436">
        <v>1</v>
      </c>
      <c r="F3472" s="465">
        <v>3</v>
      </c>
      <c r="G3472" s="466">
        <v>3</v>
      </c>
      <c r="H3472" s="466">
        <f>G3472/1.1</f>
        <v>2.7272727272727271</v>
      </c>
      <c r="I3472" s="436"/>
      <c r="J3472" s="465">
        <v>0</v>
      </c>
      <c r="K3472" s="465">
        <v>0</v>
      </c>
    </row>
    <row r="3473" spans="2:11" ht="19" customHeight="1">
      <c r="B3473" s="464">
        <v>46099</v>
      </c>
      <c r="C3473" s="436" t="s">
        <v>877</v>
      </c>
      <c r="D3473" s="436" t="s">
        <v>1179</v>
      </c>
      <c r="E3473" s="436">
        <v>1</v>
      </c>
      <c r="F3473" s="469"/>
      <c r="G3473" s="468" t="s">
        <v>875</v>
      </c>
      <c r="H3473" s="466" t="e">
        <f>G3473/1.1</f>
        <v>#VALUE!</v>
      </c>
      <c r="I3473" s="436"/>
      <c r="J3473" s="465">
        <v>0</v>
      </c>
      <c r="K3473" s="465">
        <v>0</v>
      </c>
    </row>
    <row r="3474" spans="2:11" ht="19" customHeight="1">
      <c r="B3474" s="464">
        <v>46099</v>
      </c>
      <c r="C3474" s="436" t="s">
        <v>266</v>
      </c>
      <c r="D3474" s="436" t="s">
        <v>991</v>
      </c>
      <c r="E3474" s="436">
        <v>1</v>
      </c>
      <c r="F3474" s="469"/>
      <c r="G3474" s="468" t="s">
        <v>875</v>
      </c>
      <c r="H3474" s="466" t="e">
        <f>G3474/1.1</f>
        <v>#VALUE!</v>
      </c>
      <c r="I3474" s="436"/>
      <c r="J3474" s="465">
        <v>0</v>
      </c>
      <c r="K3474" s="465">
        <v>0</v>
      </c>
    </row>
    <row r="3475" spans="2:11" ht="19" customHeight="1">
      <c r="B3475" s="464">
        <v>46099</v>
      </c>
      <c r="C3475" s="436" t="s">
        <v>266</v>
      </c>
      <c r="D3475" s="436" t="s">
        <v>708</v>
      </c>
      <c r="E3475" s="436">
        <v>2</v>
      </c>
      <c r="F3475" s="469"/>
      <c r="G3475" s="468" t="s">
        <v>875</v>
      </c>
      <c r="H3475" s="466" t="e">
        <f>G3475/1.1</f>
        <v>#VALUE!</v>
      </c>
      <c r="I3475" s="436"/>
      <c r="J3475" s="465">
        <v>0</v>
      </c>
      <c r="K3475" s="465">
        <v>0</v>
      </c>
    </row>
    <row r="3476" spans="2:11" ht="19" customHeight="1">
      <c r="B3476" s="464">
        <v>46099</v>
      </c>
      <c r="C3476" s="436" t="s">
        <v>266</v>
      </c>
      <c r="D3476" s="436" t="s">
        <v>935</v>
      </c>
      <c r="E3476" s="436">
        <v>2</v>
      </c>
      <c r="F3476" s="469"/>
      <c r="G3476" s="468" t="s">
        <v>875</v>
      </c>
      <c r="H3476" s="466" t="e">
        <f>G3476/1.1</f>
        <v>#VALUE!</v>
      </c>
      <c r="I3476" s="436"/>
      <c r="J3476" s="465">
        <v>0</v>
      </c>
      <c r="K3476" s="465">
        <v>0</v>
      </c>
    </row>
    <row r="3477" spans="2:11" ht="19" customHeight="1">
      <c r="B3477" s="464">
        <v>46099</v>
      </c>
      <c r="C3477" s="436" t="s">
        <v>258</v>
      </c>
      <c r="D3477" s="436" t="s">
        <v>745</v>
      </c>
      <c r="E3477" s="436">
        <v>2</v>
      </c>
      <c r="F3477" s="469"/>
      <c r="G3477" s="468" t="s">
        <v>875</v>
      </c>
      <c r="H3477" s="466" t="e">
        <f>G3477/1.1</f>
        <v>#VALUE!</v>
      </c>
      <c r="I3477" s="436"/>
      <c r="J3477" s="465">
        <v>0</v>
      </c>
      <c r="K3477" s="465">
        <v>0</v>
      </c>
    </row>
    <row r="3478" spans="2:11" ht="19" customHeight="1">
      <c r="B3478" s="464">
        <v>46099</v>
      </c>
      <c r="C3478" s="436" t="s">
        <v>258</v>
      </c>
      <c r="D3478" s="436" t="s">
        <v>972</v>
      </c>
      <c r="E3478" s="436">
        <v>3</v>
      </c>
      <c r="F3478" s="469"/>
      <c r="G3478" s="468" t="s">
        <v>875</v>
      </c>
      <c r="H3478" s="466" t="e">
        <f>G3478/1.1</f>
        <v>#VALUE!</v>
      </c>
      <c r="I3478" s="436"/>
      <c r="J3478" s="465">
        <v>0</v>
      </c>
      <c r="K3478" s="465">
        <v>0</v>
      </c>
    </row>
    <row r="3479" spans="2:11" ht="19" customHeight="1">
      <c r="B3479" s="464">
        <v>46099</v>
      </c>
      <c r="C3479" s="436" t="s">
        <v>254</v>
      </c>
      <c r="D3479" s="436" t="s">
        <v>254</v>
      </c>
      <c r="E3479" s="436">
        <v>3</v>
      </c>
      <c r="F3479" s="465">
        <v>14.9</v>
      </c>
      <c r="G3479" s="466">
        <v>44.7</v>
      </c>
      <c r="H3479" s="466">
        <f>G3479/1.1</f>
        <v>40.636363636363633</v>
      </c>
      <c r="I3479" s="436"/>
      <c r="J3479" s="465">
        <v>0</v>
      </c>
      <c r="K3479" s="465">
        <v>0</v>
      </c>
    </row>
    <row r="3480" spans="2:11" ht="19" customHeight="1">
      <c r="B3480" s="464">
        <v>46099</v>
      </c>
      <c r="C3480" s="436" t="s">
        <v>873</v>
      </c>
      <c r="D3480" s="436" t="s">
        <v>1068</v>
      </c>
      <c r="E3480" s="436">
        <v>1</v>
      </c>
      <c r="F3480" s="469"/>
      <c r="G3480" s="468" t="s">
        <v>875</v>
      </c>
      <c r="H3480" s="466" t="e">
        <f>G3480/1.1</f>
        <v>#VALUE!</v>
      </c>
      <c r="I3480" s="436"/>
      <c r="J3480" s="465">
        <v>0</v>
      </c>
      <c r="K3480" s="465">
        <v>0</v>
      </c>
    </row>
    <row r="3481" spans="2:11" ht="19" customHeight="1">
      <c r="B3481" s="464">
        <v>46099</v>
      </c>
      <c r="C3481" s="436" t="s">
        <v>873</v>
      </c>
      <c r="D3481" s="436" t="s">
        <v>1127</v>
      </c>
      <c r="E3481" s="436">
        <v>1</v>
      </c>
      <c r="F3481" s="465">
        <v>5</v>
      </c>
      <c r="G3481" s="466">
        <v>5</v>
      </c>
      <c r="H3481" s="466">
        <f>G3481/1.1</f>
        <v>4.545454545454545</v>
      </c>
      <c r="I3481" s="436"/>
      <c r="J3481" s="465">
        <v>0</v>
      </c>
      <c r="K3481" s="465">
        <v>0</v>
      </c>
    </row>
    <row r="3482" spans="2:11" ht="19" customHeight="1">
      <c r="B3482" s="464">
        <v>46099</v>
      </c>
      <c r="C3482" s="436" t="s">
        <v>873</v>
      </c>
      <c r="D3482" s="436" t="s">
        <v>1026</v>
      </c>
      <c r="E3482" s="436">
        <v>1</v>
      </c>
      <c r="F3482" s="469"/>
      <c r="G3482" s="468" t="s">
        <v>875</v>
      </c>
      <c r="H3482" s="466" t="e">
        <f>G3482/1.1</f>
        <v>#VALUE!</v>
      </c>
      <c r="I3482" s="436"/>
      <c r="J3482" s="465">
        <v>0</v>
      </c>
      <c r="K3482" s="465">
        <v>0</v>
      </c>
    </row>
    <row r="3483" spans="2:11" ht="19" customHeight="1">
      <c r="B3483" s="464">
        <v>46099</v>
      </c>
      <c r="C3483" s="436" t="s">
        <v>877</v>
      </c>
      <c r="D3483" s="436" t="s">
        <v>1182</v>
      </c>
      <c r="E3483" s="436">
        <v>2</v>
      </c>
      <c r="F3483" s="465">
        <v>3</v>
      </c>
      <c r="G3483" s="466">
        <v>6</v>
      </c>
      <c r="H3483" s="466">
        <f>G3483/1.1</f>
        <v>5.4545454545454541</v>
      </c>
      <c r="I3483" s="436"/>
      <c r="J3483" s="465">
        <v>0</v>
      </c>
      <c r="K3483" s="465">
        <v>0</v>
      </c>
    </row>
    <row r="3484" spans="2:11" ht="19" customHeight="1">
      <c r="B3484" s="464">
        <v>46099</v>
      </c>
      <c r="C3484" s="436" t="s">
        <v>877</v>
      </c>
      <c r="D3484" s="436" t="s">
        <v>1183</v>
      </c>
      <c r="E3484" s="436">
        <v>1</v>
      </c>
      <c r="F3484" s="469"/>
      <c r="G3484" s="468" t="s">
        <v>875</v>
      </c>
      <c r="H3484" s="466" t="e">
        <f>G3484/1.1</f>
        <v>#VALUE!</v>
      </c>
      <c r="I3484" s="436"/>
      <c r="J3484" s="465">
        <v>0</v>
      </c>
      <c r="K3484" s="465">
        <v>0</v>
      </c>
    </row>
    <row r="3485" spans="2:11" ht="19" customHeight="1">
      <c r="B3485" s="464">
        <v>46099</v>
      </c>
      <c r="C3485" s="436" t="s">
        <v>266</v>
      </c>
      <c r="D3485" s="436" t="s">
        <v>1184</v>
      </c>
      <c r="E3485" s="436">
        <v>1</v>
      </c>
      <c r="F3485" s="469"/>
      <c r="G3485" s="468" t="s">
        <v>875</v>
      </c>
      <c r="H3485" s="466" t="e">
        <f>G3485/1.1</f>
        <v>#VALUE!</v>
      </c>
      <c r="I3485" s="436"/>
      <c r="J3485" s="465">
        <v>0</v>
      </c>
      <c r="K3485" s="465">
        <v>0</v>
      </c>
    </row>
    <row r="3486" spans="2:11" ht="19" customHeight="1">
      <c r="B3486" s="464">
        <v>46099</v>
      </c>
      <c r="C3486" s="436" t="s">
        <v>266</v>
      </c>
      <c r="D3486" s="436" t="s">
        <v>942</v>
      </c>
      <c r="E3486" s="436">
        <v>1</v>
      </c>
      <c r="F3486" s="469"/>
      <c r="G3486" s="468" t="s">
        <v>875</v>
      </c>
      <c r="H3486" s="466" t="e">
        <f>G3486/1.1</f>
        <v>#VALUE!</v>
      </c>
      <c r="I3486" s="436"/>
      <c r="J3486" s="465">
        <v>0</v>
      </c>
      <c r="K3486" s="465">
        <v>0</v>
      </c>
    </row>
    <row r="3487" spans="2:11" ht="19" customHeight="1">
      <c r="B3487" s="464">
        <v>46099</v>
      </c>
      <c r="C3487" s="436" t="s">
        <v>266</v>
      </c>
      <c r="D3487" s="436" t="s">
        <v>676</v>
      </c>
      <c r="E3487" s="436">
        <v>1</v>
      </c>
      <c r="F3487" s="469"/>
      <c r="G3487" s="468" t="s">
        <v>875</v>
      </c>
      <c r="H3487" s="466" t="e">
        <f>G3487/1.1</f>
        <v>#VALUE!</v>
      </c>
      <c r="I3487" s="436"/>
      <c r="J3487" s="465">
        <v>0</v>
      </c>
      <c r="K3487" s="465">
        <v>0</v>
      </c>
    </row>
    <row r="3488" spans="2:11" ht="19" customHeight="1">
      <c r="B3488" s="464">
        <v>46099</v>
      </c>
      <c r="C3488" s="436" t="s">
        <v>266</v>
      </c>
      <c r="D3488" s="436" t="s">
        <v>250</v>
      </c>
      <c r="E3488" s="436">
        <v>1</v>
      </c>
      <c r="F3488" s="469"/>
      <c r="G3488" s="468" t="s">
        <v>875</v>
      </c>
      <c r="H3488" s="466" t="e">
        <f>G3488/1.1</f>
        <v>#VALUE!</v>
      </c>
      <c r="I3488" s="436"/>
      <c r="J3488" s="465">
        <v>0</v>
      </c>
      <c r="K3488" s="465">
        <v>0</v>
      </c>
    </row>
    <row r="3489" spans="2:11" ht="19" customHeight="1">
      <c r="B3489" s="464">
        <v>46099</v>
      </c>
      <c r="C3489" s="436" t="s">
        <v>254</v>
      </c>
      <c r="D3489" s="436" t="s">
        <v>254</v>
      </c>
      <c r="E3489" s="436">
        <v>2</v>
      </c>
      <c r="F3489" s="465">
        <v>14.9</v>
      </c>
      <c r="G3489" s="466">
        <v>29.8</v>
      </c>
      <c r="H3489" s="466">
        <f>G3489/1.1</f>
        <v>27.09090909090909</v>
      </c>
      <c r="I3489" s="436"/>
      <c r="J3489" s="465">
        <v>0</v>
      </c>
      <c r="K3489" s="465">
        <v>0</v>
      </c>
    </row>
    <row r="3490" spans="2:11" ht="19" customHeight="1">
      <c r="B3490" s="464">
        <v>46099</v>
      </c>
      <c r="C3490" s="436" t="s">
        <v>873</v>
      </c>
      <c r="D3490" s="436" t="s">
        <v>1068</v>
      </c>
      <c r="E3490" s="436">
        <v>1</v>
      </c>
      <c r="F3490" s="469"/>
      <c r="G3490" s="468" t="s">
        <v>875</v>
      </c>
      <c r="H3490" s="466" t="e">
        <f>G3490/1.1</f>
        <v>#VALUE!</v>
      </c>
      <c r="I3490" s="436"/>
      <c r="J3490" s="465">
        <v>0</v>
      </c>
      <c r="K3490" s="465">
        <v>0</v>
      </c>
    </row>
    <row r="3491" spans="2:11" ht="19" customHeight="1">
      <c r="B3491" s="464">
        <v>46099</v>
      </c>
      <c r="C3491" s="436" t="s">
        <v>873</v>
      </c>
      <c r="D3491" s="436" t="s">
        <v>1026</v>
      </c>
      <c r="E3491" s="436">
        <v>1</v>
      </c>
      <c r="F3491" s="469"/>
      <c r="G3491" s="468" t="s">
        <v>875</v>
      </c>
      <c r="H3491" s="466" t="e">
        <f>G3491/1.1</f>
        <v>#VALUE!</v>
      </c>
      <c r="I3491" s="436"/>
      <c r="J3491" s="465">
        <v>0</v>
      </c>
      <c r="K3491" s="465">
        <v>0</v>
      </c>
    </row>
    <row r="3492" spans="2:11" ht="19" customHeight="1">
      <c r="B3492" s="464">
        <v>46099</v>
      </c>
      <c r="C3492" s="436" t="s">
        <v>877</v>
      </c>
      <c r="D3492" s="436" t="s">
        <v>1183</v>
      </c>
      <c r="E3492" s="436">
        <v>1</v>
      </c>
      <c r="F3492" s="469"/>
      <c r="G3492" s="468" t="s">
        <v>875</v>
      </c>
      <c r="H3492" s="466" t="e">
        <f>G3492/1.1</f>
        <v>#VALUE!</v>
      </c>
      <c r="I3492" s="436"/>
      <c r="J3492" s="465">
        <v>0</v>
      </c>
      <c r="K3492" s="465">
        <v>0</v>
      </c>
    </row>
    <row r="3493" spans="2:11" ht="19" customHeight="1">
      <c r="B3493" s="464">
        <v>46099</v>
      </c>
      <c r="C3493" s="436" t="s">
        <v>877</v>
      </c>
      <c r="D3493" s="436" t="s">
        <v>1176</v>
      </c>
      <c r="E3493" s="436">
        <v>1</v>
      </c>
      <c r="F3493" s="469"/>
      <c r="G3493" s="468" t="s">
        <v>875</v>
      </c>
      <c r="H3493" s="466" t="e">
        <f>G3493/1.1</f>
        <v>#VALUE!</v>
      </c>
      <c r="I3493" s="436"/>
      <c r="J3493" s="465">
        <v>0</v>
      </c>
      <c r="K3493" s="465">
        <v>0</v>
      </c>
    </row>
    <row r="3494" spans="2:11" ht="19" customHeight="1">
      <c r="B3494" s="464">
        <v>46099</v>
      </c>
      <c r="C3494" s="436" t="s">
        <v>266</v>
      </c>
      <c r="D3494" s="436" t="s">
        <v>1184</v>
      </c>
      <c r="E3494" s="436">
        <v>1</v>
      </c>
      <c r="F3494" s="469"/>
      <c r="G3494" s="468" t="s">
        <v>875</v>
      </c>
      <c r="H3494" s="466" t="e">
        <f>G3494/1.1</f>
        <v>#VALUE!</v>
      </c>
      <c r="I3494" s="436"/>
      <c r="J3494" s="465">
        <v>0</v>
      </c>
      <c r="K3494" s="465">
        <v>0</v>
      </c>
    </row>
    <row r="3495" spans="2:11" ht="19" customHeight="1">
      <c r="B3495" s="464">
        <v>46099</v>
      </c>
      <c r="C3495" s="436" t="s">
        <v>266</v>
      </c>
      <c r="D3495" s="436" t="s">
        <v>1066</v>
      </c>
      <c r="E3495" s="436">
        <v>1</v>
      </c>
      <c r="F3495" s="469"/>
      <c r="G3495" s="468" t="s">
        <v>875</v>
      </c>
      <c r="H3495" s="466" t="e">
        <f>G3495/1.1</f>
        <v>#VALUE!</v>
      </c>
      <c r="I3495" s="436"/>
      <c r="J3495" s="465">
        <v>0</v>
      </c>
      <c r="K3495" s="465">
        <v>0</v>
      </c>
    </row>
    <row r="3496" spans="2:11" ht="19" customHeight="1">
      <c r="B3496" s="464">
        <v>46099</v>
      </c>
      <c r="C3496" s="436" t="s">
        <v>258</v>
      </c>
      <c r="D3496" s="436" t="s">
        <v>1058</v>
      </c>
      <c r="E3496" s="436">
        <v>2</v>
      </c>
      <c r="F3496" s="469"/>
      <c r="G3496" s="468" t="s">
        <v>875</v>
      </c>
      <c r="H3496" s="466" t="e">
        <f>G3496/1.1</f>
        <v>#VALUE!</v>
      </c>
      <c r="I3496" s="436"/>
      <c r="J3496" s="465">
        <v>0</v>
      </c>
      <c r="K3496" s="465">
        <v>0</v>
      </c>
    </row>
    <row r="3497" spans="2:11" ht="19" customHeight="1">
      <c r="B3497" s="464">
        <v>46099</v>
      </c>
      <c r="C3497" s="436" t="s">
        <v>254</v>
      </c>
      <c r="D3497" s="436" t="s">
        <v>254</v>
      </c>
      <c r="E3497" s="436">
        <v>2</v>
      </c>
      <c r="F3497" s="465">
        <v>14.9</v>
      </c>
      <c r="G3497" s="466">
        <v>29.8</v>
      </c>
      <c r="H3497" s="466">
        <f>G3497/1.1</f>
        <v>27.09090909090909</v>
      </c>
      <c r="I3497" s="436"/>
      <c r="J3497" s="465">
        <v>0</v>
      </c>
      <c r="K3497" s="465">
        <v>0</v>
      </c>
    </row>
    <row r="3498" spans="2:11" ht="19" customHeight="1">
      <c r="B3498" s="464">
        <v>46099</v>
      </c>
      <c r="C3498" s="436" t="s">
        <v>873</v>
      </c>
      <c r="D3498" s="436" t="s">
        <v>1026</v>
      </c>
      <c r="E3498" s="436">
        <v>1</v>
      </c>
      <c r="F3498" s="469"/>
      <c r="G3498" s="468" t="s">
        <v>875</v>
      </c>
      <c r="H3498" s="466" t="e">
        <f>G3498/1.1</f>
        <v>#VALUE!</v>
      </c>
      <c r="I3498" s="436"/>
      <c r="J3498" s="465">
        <v>0</v>
      </c>
      <c r="K3498" s="465">
        <v>0</v>
      </c>
    </row>
    <row r="3499" spans="2:11" ht="19" customHeight="1">
      <c r="B3499" s="464">
        <v>46099</v>
      </c>
      <c r="C3499" s="436" t="s">
        <v>873</v>
      </c>
      <c r="D3499" s="436" t="s">
        <v>1127</v>
      </c>
      <c r="E3499" s="436">
        <v>1</v>
      </c>
      <c r="F3499" s="465">
        <v>5</v>
      </c>
      <c r="G3499" s="466">
        <v>5</v>
      </c>
      <c r="H3499" s="466">
        <f>G3499/1.1</f>
        <v>4.545454545454545</v>
      </c>
      <c r="I3499" s="436"/>
      <c r="J3499" s="465">
        <v>0</v>
      </c>
      <c r="K3499" s="465">
        <v>0</v>
      </c>
    </row>
    <row r="3500" spans="2:11" ht="19" customHeight="1">
      <c r="B3500" s="464">
        <v>46099</v>
      </c>
      <c r="C3500" s="436" t="s">
        <v>877</v>
      </c>
      <c r="D3500" s="436" t="s">
        <v>1182</v>
      </c>
      <c r="E3500" s="436">
        <v>1</v>
      </c>
      <c r="F3500" s="465">
        <v>3</v>
      </c>
      <c r="G3500" s="466">
        <v>3</v>
      </c>
      <c r="H3500" s="466">
        <f>G3500/1.1</f>
        <v>2.7272727272727271</v>
      </c>
      <c r="I3500" s="436"/>
      <c r="J3500" s="465">
        <v>0</v>
      </c>
      <c r="K3500" s="465">
        <v>0</v>
      </c>
    </row>
    <row r="3501" spans="2:11" ht="19" customHeight="1">
      <c r="B3501" s="464">
        <v>46099</v>
      </c>
      <c r="C3501" s="436" t="s">
        <v>877</v>
      </c>
      <c r="D3501" s="436" t="s">
        <v>1179</v>
      </c>
      <c r="E3501" s="436">
        <v>1</v>
      </c>
      <c r="F3501" s="469"/>
      <c r="G3501" s="468" t="s">
        <v>875</v>
      </c>
      <c r="H3501" s="466" t="e">
        <f>G3501/1.1</f>
        <v>#VALUE!</v>
      </c>
      <c r="I3501" s="436"/>
      <c r="J3501" s="465">
        <v>0</v>
      </c>
      <c r="K3501" s="465">
        <v>0</v>
      </c>
    </row>
    <row r="3502" spans="2:11" ht="19" customHeight="1">
      <c r="B3502" s="464">
        <v>46099</v>
      </c>
      <c r="C3502" s="436" t="s">
        <v>266</v>
      </c>
      <c r="D3502" s="436" t="s">
        <v>250</v>
      </c>
      <c r="E3502" s="436">
        <v>2</v>
      </c>
      <c r="F3502" s="469"/>
      <c r="G3502" s="468" t="s">
        <v>875</v>
      </c>
      <c r="H3502" s="466" t="e">
        <f>G3502/1.1</f>
        <v>#VALUE!</v>
      </c>
      <c r="I3502" s="436"/>
      <c r="J3502" s="465">
        <v>0</v>
      </c>
      <c r="K3502" s="465">
        <v>0</v>
      </c>
    </row>
    <row r="3503" spans="2:11" ht="19" customHeight="1">
      <c r="B3503" s="464">
        <v>46099</v>
      </c>
      <c r="C3503" s="436" t="s">
        <v>254</v>
      </c>
      <c r="D3503" s="436" t="s">
        <v>254</v>
      </c>
      <c r="E3503" s="436">
        <v>2</v>
      </c>
      <c r="F3503" s="465">
        <v>14.9</v>
      </c>
      <c r="G3503" s="466">
        <v>29.8</v>
      </c>
      <c r="H3503" s="466">
        <f>G3503/1.1</f>
        <v>27.09090909090909</v>
      </c>
      <c r="I3503" s="436"/>
      <c r="J3503" s="465">
        <v>0</v>
      </c>
      <c r="K3503" s="465">
        <v>0</v>
      </c>
    </row>
    <row r="3504" spans="2:11" ht="19" customHeight="1">
      <c r="B3504" s="464">
        <v>46099</v>
      </c>
      <c r="C3504" s="436" t="s">
        <v>873</v>
      </c>
      <c r="D3504" s="436" t="s">
        <v>1026</v>
      </c>
      <c r="E3504" s="436">
        <v>1</v>
      </c>
      <c r="F3504" s="469"/>
      <c r="G3504" s="468" t="s">
        <v>875</v>
      </c>
      <c r="H3504" s="466" t="e">
        <f>G3504/1.1</f>
        <v>#VALUE!</v>
      </c>
      <c r="I3504" s="436"/>
      <c r="J3504" s="465">
        <v>0</v>
      </c>
      <c r="K3504" s="465">
        <v>0</v>
      </c>
    </row>
    <row r="3505" spans="2:11" ht="19" customHeight="1">
      <c r="B3505" s="464">
        <v>46099</v>
      </c>
      <c r="C3505" s="436" t="s">
        <v>873</v>
      </c>
      <c r="D3505" s="436" t="s">
        <v>1181</v>
      </c>
      <c r="E3505" s="436">
        <v>1</v>
      </c>
      <c r="F3505" s="469"/>
      <c r="G3505" s="468" t="s">
        <v>875</v>
      </c>
      <c r="H3505" s="466" t="e">
        <f>G3505/1.1</f>
        <v>#VALUE!</v>
      </c>
      <c r="I3505" s="436"/>
      <c r="J3505" s="465">
        <v>0</v>
      </c>
      <c r="K3505" s="465">
        <v>0</v>
      </c>
    </row>
    <row r="3506" spans="2:11" ht="19" customHeight="1">
      <c r="B3506" s="464">
        <v>46099</v>
      </c>
      <c r="C3506" s="436" t="s">
        <v>877</v>
      </c>
      <c r="D3506" s="436" t="s">
        <v>1183</v>
      </c>
      <c r="E3506" s="436">
        <v>1</v>
      </c>
      <c r="F3506" s="469"/>
      <c r="G3506" s="468" t="s">
        <v>875</v>
      </c>
      <c r="H3506" s="466" t="e">
        <f>G3506/1.1</f>
        <v>#VALUE!</v>
      </c>
      <c r="I3506" s="436"/>
      <c r="J3506" s="465">
        <v>0</v>
      </c>
      <c r="K3506" s="465">
        <v>0</v>
      </c>
    </row>
    <row r="3507" spans="2:11" ht="19" customHeight="1">
      <c r="B3507" s="464">
        <v>46099</v>
      </c>
      <c r="C3507" s="436" t="s">
        <v>877</v>
      </c>
      <c r="D3507" s="436" t="s">
        <v>1176</v>
      </c>
      <c r="E3507" s="436">
        <v>1</v>
      </c>
      <c r="F3507" s="469"/>
      <c r="G3507" s="468" t="s">
        <v>875</v>
      </c>
      <c r="H3507" s="466" t="e">
        <f>G3507/1.1</f>
        <v>#VALUE!</v>
      </c>
      <c r="I3507" s="436"/>
      <c r="J3507" s="465">
        <v>0</v>
      </c>
      <c r="K3507" s="465">
        <v>0</v>
      </c>
    </row>
    <row r="3508" spans="2:11" ht="19" customHeight="1">
      <c r="B3508" s="464">
        <v>46099</v>
      </c>
      <c r="C3508" s="436" t="s">
        <v>266</v>
      </c>
      <c r="D3508" s="436" t="s">
        <v>265</v>
      </c>
      <c r="E3508" s="436">
        <v>1</v>
      </c>
      <c r="F3508" s="469"/>
      <c r="G3508" s="468" t="s">
        <v>875</v>
      </c>
      <c r="H3508" s="466" t="e">
        <f>G3508/1.1</f>
        <v>#VALUE!</v>
      </c>
      <c r="I3508" s="436"/>
      <c r="J3508" s="465">
        <v>0</v>
      </c>
      <c r="K3508" s="465">
        <v>0</v>
      </c>
    </row>
    <row r="3509" spans="2:11" ht="19" customHeight="1">
      <c r="B3509" s="464">
        <v>46099</v>
      </c>
      <c r="C3509" s="436" t="s">
        <v>266</v>
      </c>
      <c r="D3509" s="436" t="s">
        <v>708</v>
      </c>
      <c r="E3509" s="436">
        <v>1</v>
      </c>
      <c r="F3509" s="469"/>
      <c r="G3509" s="468" t="s">
        <v>875</v>
      </c>
      <c r="H3509" s="466" t="e">
        <f>G3509/1.1</f>
        <v>#VALUE!</v>
      </c>
      <c r="I3509" s="436"/>
      <c r="J3509" s="465">
        <v>0</v>
      </c>
      <c r="K3509" s="465">
        <v>0</v>
      </c>
    </row>
    <row r="3510" spans="2:11" ht="19" customHeight="1">
      <c r="B3510" s="464">
        <v>46099</v>
      </c>
      <c r="C3510" s="436" t="s">
        <v>258</v>
      </c>
      <c r="D3510" s="436" t="s">
        <v>1058</v>
      </c>
      <c r="E3510" s="436">
        <v>2</v>
      </c>
      <c r="F3510" s="469"/>
      <c r="G3510" s="468" t="s">
        <v>875</v>
      </c>
      <c r="H3510" s="466" t="e">
        <f>G3510/1.1</f>
        <v>#VALUE!</v>
      </c>
      <c r="I3510" s="436"/>
      <c r="J3510" s="465">
        <v>0</v>
      </c>
      <c r="K3510" s="465">
        <v>0</v>
      </c>
    </row>
    <row r="3511" spans="2:11" ht="19" customHeight="1">
      <c r="B3511" s="464">
        <v>46099</v>
      </c>
      <c r="C3511" s="436" t="s">
        <v>254</v>
      </c>
      <c r="D3511" s="436" t="s">
        <v>254</v>
      </c>
      <c r="E3511" s="436">
        <v>1</v>
      </c>
      <c r="F3511" s="465">
        <v>14.9</v>
      </c>
      <c r="G3511" s="466">
        <v>14.9</v>
      </c>
      <c r="H3511" s="466">
        <f>G3511/1.1</f>
        <v>13.545454545454545</v>
      </c>
      <c r="I3511" s="436"/>
      <c r="J3511" s="465">
        <v>0</v>
      </c>
      <c r="K3511" s="465">
        <v>0</v>
      </c>
    </row>
    <row r="3512" spans="2:11" ht="19" customHeight="1">
      <c r="B3512" s="464">
        <v>46099</v>
      </c>
      <c r="C3512" s="436" t="s">
        <v>873</v>
      </c>
      <c r="D3512" s="436" t="s">
        <v>1068</v>
      </c>
      <c r="E3512" s="436">
        <v>1</v>
      </c>
      <c r="F3512" s="469"/>
      <c r="G3512" s="468" t="s">
        <v>875</v>
      </c>
      <c r="H3512" s="466" t="e">
        <f>G3512/1.1</f>
        <v>#VALUE!</v>
      </c>
      <c r="I3512" s="436"/>
      <c r="J3512" s="465">
        <v>0</v>
      </c>
      <c r="K3512" s="465">
        <v>0</v>
      </c>
    </row>
    <row r="3513" spans="2:11" ht="19" customHeight="1">
      <c r="B3513" s="464">
        <v>46099</v>
      </c>
      <c r="C3513" s="436" t="s">
        <v>877</v>
      </c>
      <c r="D3513" s="436" t="s">
        <v>1176</v>
      </c>
      <c r="E3513" s="436">
        <v>1</v>
      </c>
      <c r="F3513" s="469"/>
      <c r="G3513" s="468" t="s">
        <v>875</v>
      </c>
      <c r="H3513" s="466" t="e">
        <f>G3513/1.1</f>
        <v>#VALUE!</v>
      </c>
      <c r="I3513" s="436"/>
      <c r="J3513" s="465">
        <v>0</v>
      </c>
      <c r="K3513" s="465">
        <v>0</v>
      </c>
    </row>
    <row r="3514" spans="2:11" ht="19" customHeight="1">
      <c r="B3514" s="464">
        <v>46099</v>
      </c>
      <c r="C3514" s="436" t="s">
        <v>266</v>
      </c>
      <c r="D3514" s="436" t="s">
        <v>250</v>
      </c>
      <c r="E3514" s="436">
        <v>1</v>
      </c>
      <c r="F3514" s="469"/>
      <c r="G3514" s="468" t="s">
        <v>875</v>
      </c>
      <c r="H3514" s="466" t="e">
        <f>G3514/1.1</f>
        <v>#VALUE!</v>
      </c>
      <c r="I3514" s="436"/>
      <c r="J3514" s="465">
        <v>0</v>
      </c>
      <c r="K3514" s="465">
        <v>0</v>
      </c>
    </row>
    <row r="3515" spans="2:11" ht="19" customHeight="1">
      <c r="B3515" s="464">
        <v>46099</v>
      </c>
      <c r="C3515" s="436" t="s">
        <v>258</v>
      </c>
      <c r="D3515" s="436" t="s">
        <v>248</v>
      </c>
      <c r="E3515" s="436">
        <v>1</v>
      </c>
      <c r="F3515" s="469"/>
      <c r="G3515" s="468" t="s">
        <v>875</v>
      </c>
      <c r="H3515" s="466" t="e">
        <f>G3515/1.1</f>
        <v>#VALUE!</v>
      </c>
      <c r="I3515" s="436"/>
      <c r="J3515" s="465">
        <v>0</v>
      </c>
      <c r="K3515" s="465">
        <v>0</v>
      </c>
    </row>
    <row r="3516" spans="2:11" ht="19" customHeight="1">
      <c r="B3516" s="464">
        <v>46099</v>
      </c>
      <c r="C3516" s="436" t="s">
        <v>254</v>
      </c>
      <c r="D3516" s="436" t="s">
        <v>254</v>
      </c>
      <c r="E3516" s="436">
        <v>1</v>
      </c>
      <c r="F3516" s="465">
        <v>14.9</v>
      </c>
      <c r="G3516" s="466">
        <v>14.9</v>
      </c>
      <c r="H3516" s="466">
        <f>G3516/1.1</f>
        <v>13.545454545454545</v>
      </c>
      <c r="I3516" s="436"/>
      <c r="J3516" s="465">
        <v>0</v>
      </c>
      <c r="K3516" s="465">
        <v>0</v>
      </c>
    </row>
    <row r="3517" spans="2:11" ht="19" customHeight="1">
      <c r="B3517" s="464">
        <v>46099</v>
      </c>
      <c r="C3517" s="436" t="s">
        <v>873</v>
      </c>
      <c r="D3517" s="436" t="s">
        <v>1181</v>
      </c>
      <c r="E3517" s="436">
        <v>1</v>
      </c>
      <c r="F3517" s="469"/>
      <c r="G3517" s="468" t="s">
        <v>875</v>
      </c>
      <c r="H3517" s="466" t="e">
        <f>G3517/1.1</f>
        <v>#VALUE!</v>
      </c>
      <c r="I3517" s="436"/>
      <c r="J3517" s="465">
        <v>0</v>
      </c>
      <c r="K3517" s="465">
        <v>0</v>
      </c>
    </row>
    <row r="3518" spans="2:11" ht="19" customHeight="1">
      <c r="B3518" s="464">
        <v>46099</v>
      </c>
      <c r="C3518" s="436" t="s">
        <v>877</v>
      </c>
      <c r="D3518" s="436" t="s">
        <v>1182</v>
      </c>
      <c r="E3518" s="436">
        <v>1</v>
      </c>
      <c r="F3518" s="465">
        <v>3</v>
      </c>
      <c r="G3518" s="466">
        <v>3</v>
      </c>
      <c r="H3518" s="466">
        <f>G3518/1.1</f>
        <v>2.7272727272727271</v>
      </c>
      <c r="I3518" s="436"/>
      <c r="J3518" s="465">
        <v>0</v>
      </c>
      <c r="K3518" s="465">
        <v>0</v>
      </c>
    </row>
    <row r="3519" spans="2:11" ht="19" customHeight="1">
      <c r="B3519" s="464">
        <v>46099</v>
      </c>
      <c r="C3519" s="436" t="s">
        <v>266</v>
      </c>
      <c r="D3519" s="436" t="s">
        <v>708</v>
      </c>
      <c r="E3519" s="436">
        <v>1</v>
      </c>
      <c r="F3519" s="469"/>
      <c r="G3519" s="468" t="s">
        <v>875</v>
      </c>
      <c r="H3519" s="466" t="e">
        <f>G3519/1.1</f>
        <v>#VALUE!</v>
      </c>
      <c r="I3519" s="436"/>
      <c r="J3519" s="465">
        <v>0</v>
      </c>
      <c r="K3519" s="465">
        <v>0</v>
      </c>
    </row>
    <row r="3520" spans="2:11" ht="19" customHeight="1">
      <c r="B3520" s="464">
        <v>46099</v>
      </c>
      <c r="C3520" s="436" t="s">
        <v>258</v>
      </c>
      <c r="D3520" s="436" t="s">
        <v>1058</v>
      </c>
      <c r="E3520" s="436">
        <v>1</v>
      </c>
      <c r="F3520" s="469"/>
      <c r="G3520" s="468" t="s">
        <v>875</v>
      </c>
      <c r="H3520" s="466" t="e">
        <f>G3520/1.1</f>
        <v>#VALUE!</v>
      </c>
      <c r="I3520" s="436"/>
      <c r="J3520" s="465">
        <v>0</v>
      </c>
      <c r="K3520" s="465">
        <v>0</v>
      </c>
    </row>
    <row r="3521" spans="2:11" ht="19" customHeight="1">
      <c r="B3521" s="464">
        <v>46099</v>
      </c>
      <c r="C3521" s="436" t="s">
        <v>254</v>
      </c>
      <c r="D3521" s="436" t="s">
        <v>254</v>
      </c>
      <c r="E3521" s="436">
        <v>2</v>
      </c>
      <c r="F3521" s="465">
        <v>14.9</v>
      </c>
      <c r="G3521" s="466">
        <v>29.8</v>
      </c>
      <c r="H3521" s="466">
        <f>G3521/1.1</f>
        <v>27.09090909090909</v>
      </c>
      <c r="I3521" s="436"/>
      <c r="J3521" s="465">
        <v>0</v>
      </c>
      <c r="K3521" s="465">
        <v>0</v>
      </c>
    </row>
    <row r="3522" spans="2:11" ht="19" customHeight="1">
      <c r="B3522" s="464">
        <v>46099</v>
      </c>
      <c r="C3522" s="436" t="s">
        <v>873</v>
      </c>
      <c r="D3522" s="436" t="s">
        <v>1026</v>
      </c>
      <c r="E3522" s="436">
        <v>2</v>
      </c>
      <c r="F3522" s="469"/>
      <c r="G3522" s="468" t="s">
        <v>875</v>
      </c>
      <c r="H3522" s="466" t="e">
        <f>G3522/1.1</f>
        <v>#VALUE!</v>
      </c>
      <c r="I3522" s="436"/>
      <c r="J3522" s="465">
        <v>0</v>
      </c>
      <c r="K3522" s="465">
        <v>0</v>
      </c>
    </row>
    <row r="3523" spans="2:11" ht="19" customHeight="1">
      <c r="B3523" s="464">
        <v>46099</v>
      </c>
      <c r="C3523" s="436" t="s">
        <v>877</v>
      </c>
      <c r="D3523" s="436" t="s">
        <v>1179</v>
      </c>
      <c r="E3523" s="436">
        <v>1</v>
      </c>
      <c r="F3523" s="469"/>
      <c r="G3523" s="468" t="s">
        <v>875</v>
      </c>
      <c r="H3523" s="466" t="e">
        <f>G3523/1.1</f>
        <v>#VALUE!</v>
      </c>
      <c r="I3523" s="436"/>
      <c r="J3523" s="465">
        <v>0</v>
      </c>
      <c r="K3523" s="465">
        <v>0</v>
      </c>
    </row>
    <row r="3524" spans="2:11" ht="19" customHeight="1">
      <c r="B3524" s="464">
        <v>46099</v>
      </c>
      <c r="C3524" s="436" t="s">
        <v>877</v>
      </c>
      <c r="D3524" s="436" t="s">
        <v>1182</v>
      </c>
      <c r="E3524" s="436">
        <v>1</v>
      </c>
      <c r="F3524" s="465">
        <v>3</v>
      </c>
      <c r="G3524" s="466">
        <v>3</v>
      </c>
      <c r="H3524" s="466">
        <f>G3524/1.1</f>
        <v>2.7272727272727271</v>
      </c>
      <c r="I3524" s="436"/>
      <c r="J3524" s="465">
        <v>0</v>
      </c>
      <c r="K3524" s="465">
        <v>0</v>
      </c>
    </row>
    <row r="3525" spans="2:11" ht="19" customHeight="1">
      <c r="B3525" s="464">
        <v>46099</v>
      </c>
      <c r="C3525" s="436" t="s">
        <v>266</v>
      </c>
      <c r="D3525" s="436" t="s">
        <v>250</v>
      </c>
      <c r="E3525" s="436">
        <v>2</v>
      </c>
      <c r="F3525" s="469"/>
      <c r="G3525" s="468" t="s">
        <v>875</v>
      </c>
      <c r="H3525" s="466" t="e">
        <f>G3525/1.1</f>
        <v>#VALUE!</v>
      </c>
      <c r="I3525" s="436"/>
      <c r="J3525" s="465">
        <v>0</v>
      </c>
      <c r="K3525" s="465">
        <v>0</v>
      </c>
    </row>
    <row r="3526" spans="2:11" ht="19" customHeight="1">
      <c r="B3526" s="464">
        <v>46099</v>
      </c>
      <c r="C3526" s="436" t="s">
        <v>258</v>
      </c>
      <c r="D3526" s="436" t="s">
        <v>1185</v>
      </c>
      <c r="E3526" s="436">
        <v>2</v>
      </c>
      <c r="F3526" s="469"/>
      <c r="G3526" s="468" t="s">
        <v>875</v>
      </c>
      <c r="H3526" s="466" t="e">
        <f>G3526/1.1</f>
        <v>#VALUE!</v>
      </c>
      <c r="I3526" s="436"/>
      <c r="J3526" s="465">
        <v>0</v>
      </c>
      <c r="K3526" s="465">
        <v>0</v>
      </c>
    </row>
    <row r="3527" spans="2:11" ht="19" customHeight="1">
      <c r="B3527" s="464">
        <v>46100</v>
      </c>
      <c r="C3527" s="436" t="s">
        <v>247</v>
      </c>
      <c r="D3527" s="436" t="s">
        <v>257</v>
      </c>
      <c r="E3527" s="436">
        <v>1</v>
      </c>
      <c r="F3527" s="465">
        <v>1.4</v>
      </c>
      <c r="G3527" s="466">
        <v>1.4</v>
      </c>
      <c r="H3527" s="466">
        <f>G3527/1.1</f>
        <v>1.2727272727272725</v>
      </c>
      <c r="I3527" s="436"/>
      <c r="J3527" s="465">
        <v>0</v>
      </c>
      <c r="K3527" s="465">
        <v>0</v>
      </c>
    </row>
    <row r="3528" spans="2:11" ht="19" customHeight="1">
      <c r="B3528" s="464">
        <v>46100</v>
      </c>
      <c r="C3528" s="436" t="s">
        <v>264</v>
      </c>
      <c r="D3528" s="436" t="s">
        <v>269</v>
      </c>
      <c r="E3528" s="436">
        <v>1</v>
      </c>
      <c r="F3528" s="465">
        <v>0.1</v>
      </c>
      <c r="G3528" s="466">
        <v>0.1</v>
      </c>
      <c r="H3528" s="466">
        <f>G3528/1.1</f>
        <v>9.0909090909090912E-2</v>
      </c>
      <c r="I3528" s="436"/>
      <c r="J3528" s="465">
        <v>0</v>
      </c>
      <c r="K3528" s="465">
        <v>0</v>
      </c>
    </row>
    <row r="3529" spans="2:11" ht="19" customHeight="1">
      <c r="B3529" s="464">
        <v>46100</v>
      </c>
      <c r="C3529" s="436" t="s">
        <v>247</v>
      </c>
      <c r="D3529" s="436" t="s">
        <v>248</v>
      </c>
      <c r="E3529" s="436">
        <v>1</v>
      </c>
      <c r="F3529" s="465">
        <v>1.5</v>
      </c>
      <c r="G3529" s="466">
        <v>1.5</v>
      </c>
      <c r="H3529" s="466">
        <f>G3529/1.1</f>
        <v>1.3636363636363635</v>
      </c>
      <c r="I3529" s="436"/>
      <c r="J3529" s="465">
        <v>0</v>
      </c>
      <c r="K3529" s="465">
        <v>0</v>
      </c>
    </row>
    <row r="3530" spans="2:11" ht="19" customHeight="1">
      <c r="B3530" s="464">
        <v>46100</v>
      </c>
      <c r="C3530" s="436" t="s">
        <v>321</v>
      </c>
      <c r="D3530" s="436" t="s">
        <v>910</v>
      </c>
      <c r="E3530" s="436">
        <v>1</v>
      </c>
      <c r="F3530" s="465">
        <v>4</v>
      </c>
      <c r="G3530" s="466">
        <v>4</v>
      </c>
      <c r="H3530" s="466">
        <f>G3530/1.1</f>
        <v>3.6363636363636362</v>
      </c>
      <c r="I3530" s="436"/>
      <c r="J3530" s="465">
        <v>0</v>
      </c>
      <c r="K3530" s="465">
        <v>0</v>
      </c>
    </row>
    <row r="3531" spans="2:11" ht="19" customHeight="1">
      <c r="B3531" s="464">
        <v>46100</v>
      </c>
      <c r="C3531" s="436" t="s">
        <v>247</v>
      </c>
      <c r="D3531" s="436" t="s">
        <v>246</v>
      </c>
      <c r="E3531" s="436">
        <v>2</v>
      </c>
      <c r="F3531" s="465">
        <v>1.7</v>
      </c>
      <c r="G3531" s="466">
        <v>3.4</v>
      </c>
      <c r="H3531" s="466">
        <f>G3531/1.1</f>
        <v>3.0909090909090904</v>
      </c>
      <c r="I3531" s="436"/>
      <c r="J3531" s="465">
        <v>0</v>
      </c>
      <c r="K3531" s="465">
        <v>0</v>
      </c>
    </row>
    <row r="3532" spans="2:11" ht="19" customHeight="1">
      <c r="B3532" s="464">
        <v>46100</v>
      </c>
      <c r="C3532" s="436" t="s">
        <v>251</v>
      </c>
      <c r="D3532" s="436" t="s">
        <v>854</v>
      </c>
      <c r="E3532" s="436">
        <v>1</v>
      </c>
      <c r="F3532" s="465">
        <v>1.55</v>
      </c>
      <c r="G3532" s="466">
        <v>1.55</v>
      </c>
      <c r="H3532" s="466">
        <f>G3532/1.1</f>
        <v>1.4090909090909089</v>
      </c>
      <c r="I3532" s="436"/>
      <c r="J3532" s="465">
        <v>0</v>
      </c>
      <c r="K3532" s="465">
        <v>0</v>
      </c>
    </row>
    <row r="3533" spans="2:11" ht="19" customHeight="1">
      <c r="B3533" s="464">
        <v>46100</v>
      </c>
      <c r="C3533" s="436" t="s">
        <v>327</v>
      </c>
      <c r="D3533" s="436" t="s">
        <v>939</v>
      </c>
      <c r="E3533" s="436">
        <v>1</v>
      </c>
      <c r="F3533" s="465">
        <v>4.8499999999999996</v>
      </c>
      <c r="G3533" s="466">
        <v>4.8499999999999996</v>
      </c>
      <c r="H3533" s="466">
        <f>G3533/1.1</f>
        <v>4.4090909090909083</v>
      </c>
      <c r="I3533" s="436"/>
      <c r="J3533" s="465">
        <v>0</v>
      </c>
      <c r="K3533" s="465">
        <v>0</v>
      </c>
    </row>
    <row r="3534" spans="2:11" ht="19" customHeight="1">
      <c r="B3534" s="464">
        <v>46100</v>
      </c>
      <c r="C3534" s="436" t="s">
        <v>264</v>
      </c>
      <c r="D3534" s="436" t="s">
        <v>891</v>
      </c>
      <c r="E3534" s="436">
        <v>1</v>
      </c>
      <c r="F3534" s="465">
        <v>1.4</v>
      </c>
      <c r="G3534" s="466">
        <v>1.4</v>
      </c>
      <c r="H3534" s="466">
        <f>G3534/1.1</f>
        <v>1.2727272727272725</v>
      </c>
      <c r="I3534" s="436"/>
      <c r="J3534" s="465">
        <v>0</v>
      </c>
      <c r="K3534" s="465">
        <v>0</v>
      </c>
    </row>
    <row r="3535" spans="2:11" ht="19" customHeight="1">
      <c r="B3535" s="464">
        <v>46100</v>
      </c>
      <c r="C3535" s="436" t="s">
        <v>327</v>
      </c>
      <c r="D3535" s="436" t="s">
        <v>817</v>
      </c>
      <c r="E3535" s="436">
        <v>1</v>
      </c>
      <c r="F3535" s="465">
        <v>4.9000000000000004</v>
      </c>
      <c r="G3535" s="466">
        <v>4.9000000000000004</v>
      </c>
      <c r="H3535" s="466">
        <f>G3535/1.1</f>
        <v>4.4545454545454541</v>
      </c>
      <c r="I3535" s="436"/>
      <c r="J3535" s="465">
        <v>0</v>
      </c>
      <c r="K3535" s="465">
        <v>0</v>
      </c>
    </row>
    <row r="3536" spans="2:11" ht="19" customHeight="1">
      <c r="B3536" s="464">
        <v>46100</v>
      </c>
      <c r="C3536" s="436" t="s">
        <v>264</v>
      </c>
      <c r="D3536" s="436" t="s">
        <v>1186</v>
      </c>
      <c r="E3536" s="436">
        <v>1</v>
      </c>
      <c r="F3536" s="465">
        <v>0.7</v>
      </c>
      <c r="G3536" s="466">
        <v>0.7</v>
      </c>
      <c r="H3536" s="466">
        <f>G3536/1.1</f>
        <v>0.63636363636363624</v>
      </c>
      <c r="I3536" s="436"/>
      <c r="J3536" s="465">
        <v>0</v>
      </c>
      <c r="K3536" s="465">
        <v>0</v>
      </c>
    </row>
    <row r="3537" spans="2:11" ht="19" customHeight="1">
      <c r="B3537" s="464">
        <v>46100</v>
      </c>
      <c r="C3537" s="436" t="s">
        <v>264</v>
      </c>
      <c r="D3537" s="436" t="s">
        <v>1187</v>
      </c>
      <c r="E3537" s="436">
        <v>1</v>
      </c>
      <c r="F3537" s="465">
        <v>0.75</v>
      </c>
      <c r="G3537" s="466">
        <v>0.75</v>
      </c>
      <c r="H3537" s="466">
        <f>G3537/1.1</f>
        <v>0.68181818181818177</v>
      </c>
      <c r="I3537" s="436"/>
      <c r="J3537" s="465">
        <v>0</v>
      </c>
      <c r="K3537" s="465">
        <v>0</v>
      </c>
    </row>
    <row r="3538" spans="2:11" ht="19" customHeight="1">
      <c r="B3538" s="464">
        <v>46100</v>
      </c>
      <c r="C3538" s="436" t="s">
        <v>247</v>
      </c>
      <c r="D3538" s="436" t="s">
        <v>246</v>
      </c>
      <c r="E3538" s="436">
        <v>1</v>
      </c>
      <c r="F3538" s="465">
        <v>1.7</v>
      </c>
      <c r="G3538" s="466">
        <v>1.7</v>
      </c>
      <c r="H3538" s="466">
        <f>G3538/1.1</f>
        <v>1.5454545454545452</v>
      </c>
      <c r="I3538" s="436"/>
      <c r="J3538" s="465">
        <v>0</v>
      </c>
      <c r="K3538" s="465">
        <v>0</v>
      </c>
    </row>
    <row r="3539" spans="2:11" ht="19" customHeight="1">
      <c r="B3539" s="464">
        <v>46100</v>
      </c>
      <c r="C3539" s="436" t="s">
        <v>268</v>
      </c>
      <c r="D3539" s="436" t="s">
        <v>858</v>
      </c>
      <c r="E3539" s="436">
        <v>2</v>
      </c>
      <c r="F3539" s="465">
        <v>0.65</v>
      </c>
      <c r="G3539" s="466">
        <v>1.3</v>
      </c>
      <c r="H3539" s="466">
        <f>G3539/1.1</f>
        <v>1.1818181818181817</v>
      </c>
      <c r="I3539" s="436"/>
      <c r="J3539" s="465">
        <v>0</v>
      </c>
      <c r="K3539" s="465">
        <v>0</v>
      </c>
    </row>
    <row r="3540" spans="2:11" ht="19" customHeight="1">
      <c r="B3540" s="464">
        <v>46100</v>
      </c>
      <c r="C3540" s="436" t="s">
        <v>247</v>
      </c>
      <c r="D3540" s="436" t="s">
        <v>257</v>
      </c>
      <c r="E3540" s="436">
        <v>1</v>
      </c>
      <c r="F3540" s="465">
        <v>1.4</v>
      </c>
      <c r="G3540" s="466">
        <v>1.4</v>
      </c>
      <c r="H3540" s="466">
        <f>G3540/1.1</f>
        <v>1.2727272727272725</v>
      </c>
      <c r="I3540" s="436"/>
      <c r="J3540" s="465">
        <v>0</v>
      </c>
      <c r="K3540" s="465">
        <v>0</v>
      </c>
    </row>
    <row r="3541" spans="2:11" ht="19" customHeight="1">
      <c r="B3541" s="464">
        <v>46100</v>
      </c>
      <c r="C3541" s="436" t="s">
        <v>247</v>
      </c>
      <c r="D3541" s="436" t="s">
        <v>248</v>
      </c>
      <c r="E3541" s="436">
        <v>1</v>
      </c>
      <c r="F3541" s="465">
        <v>1.5</v>
      </c>
      <c r="G3541" s="466">
        <v>1.5</v>
      </c>
      <c r="H3541" s="466">
        <f>G3541/1.1</f>
        <v>1.3636363636363635</v>
      </c>
      <c r="I3541" s="436"/>
      <c r="J3541" s="465">
        <v>0</v>
      </c>
      <c r="K3541" s="465">
        <v>0</v>
      </c>
    </row>
    <row r="3542" spans="2:11" ht="19" customHeight="1">
      <c r="B3542" s="464">
        <v>46100</v>
      </c>
      <c r="C3542" s="436" t="s">
        <v>328</v>
      </c>
      <c r="D3542" s="436" t="s">
        <v>761</v>
      </c>
      <c r="E3542" s="436">
        <v>1</v>
      </c>
      <c r="F3542" s="465">
        <v>3.1</v>
      </c>
      <c r="G3542" s="466">
        <v>3.1</v>
      </c>
      <c r="H3542" s="466">
        <f>G3542/1.1</f>
        <v>2.8181818181818179</v>
      </c>
      <c r="I3542" s="436"/>
      <c r="J3542" s="465">
        <v>0</v>
      </c>
      <c r="K3542" s="465">
        <v>0</v>
      </c>
    </row>
    <row r="3543" spans="2:11" ht="19" customHeight="1">
      <c r="B3543" s="464">
        <v>46100</v>
      </c>
      <c r="C3543" s="436" t="s">
        <v>247</v>
      </c>
      <c r="D3543" s="436" t="s">
        <v>246</v>
      </c>
      <c r="E3543" s="436">
        <v>1</v>
      </c>
      <c r="F3543" s="465">
        <v>1.7</v>
      </c>
      <c r="G3543" s="466">
        <v>1.7</v>
      </c>
      <c r="H3543" s="466">
        <f>G3543/1.1</f>
        <v>1.5454545454545452</v>
      </c>
      <c r="I3543" s="436"/>
      <c r="J3543" s="465">
        <v>0</v>
      </c>
      <c r="K3543" s="465">
        <v>0</v>
      </c>
    </row>
    <row r="3544" spans="2:11" ht="19" customHeight="1">
      <c r="B3544" s="464">
        <v>46100</v>
      </c>
      <c r="C3544" s="436" t="s">
        <v>268</v>
      </c>
      <c r="D3544" s="436" t="s">
        <v>860</v>
      </c>
      <c r="E3544" s="436">
        <v>1</v>
      </c>
      <c r="F3544" s="465">
        <v>2.25</v>
      </c>
      <c r="G3544" s="466">
        <v>2.25</v>
      </c>
      <c r="H3544" s="466">
        <f>G3544/1.1</f>
        <v>2.0454545454545454</v>
      </c>
      <c r="I3544" s="436"/>
      <c r="J3544" s="465">
        <v>0</v>
      </c>
      <c r="K3544" s="465">
        <v>0</v>
      </c>
    </row>
    <row r="3545" spans="2:11" ht="19" customHeight="1">
      <c r="B3545" s="464">
        <v>46100</v>
      </c>
      <c r="C3545" s="436" t="s">
        <v>251</v>
      </c>
      <c r="D3545" s="436" t="s">
        <v>926</v>
      </c>
      <c r="E3545" s="436">
        <v>1</v>
      </c>
      <c r="F3545" s="465">
        <v>2.65</v>
      </c>
      <c r="G3545" s="466">
        <v>2.65</v>
      </c>
      <c r="H3545" s="466">
        <f>G3545/1.1</f>
        <v>2.4090909090909087</v>
      </c>
      <c r="I3545" s="436"/>
      <c r="J3545" s="465">
        <v>0</v>
      </c>
      <c r="K3545" s="465">
        <v>0</v>
      </c>
    </row>
    <row r="3546" spans="2:11" ht="19" customHeight="1">
      <c r="B3546" s="464">
        <v>46100</v>
      </c>
      <c r="C3546" s="436" t="s">
        <v>256</v>
      </c>
      <c r="D3546" s="436" t="s">
        <v>870</v>
      </c>
      <c r="E3546" s="436">
        <v>1</v>
      </c>
      <c r="F3546" s="465">
        <v>8.5</v>
      </c>
      <c r="G3546" s="466">
        <v>8.5</v>
      </c>
      <c r="H3546" s="466">
        <f>G3546/1.1</f>
        <v>7.7272727272727266</v>
      </c>
      <c r="I3546" s="436"/>
      <c r="J3546" s="465">
        <v>0</v>
      </c>
      <c r="K3546" s="465">
        <v>0</v>
      </c>
    </row>
    <row r="3547" spans="2:11" ht="19" customHeight="1">
      <c r="B3547" s="464">
        <v>46100</v>
      </c>
      <c r="C3547" s="436" t="s">
        <v>247</v>
      </c>
      <c r="D3547" s="436" t="s">
        <v>246</v>
      </c>
      <c r="E3547" s="436">
        <v>1</v>
      </c>
      <c r="F3547" s="465">
        <v>1.7</v>
      </c>
      <c r="G3547" s="466">
        <v>1.7</v>
      </c>
      <c r="H3547" s="466">
        <f>G3547/1.1</f>
        <v>1.5454545454545452</v>
      </c>
      <c r="I3547" s="436"/>
      <c r="J3547" s="465">
        <v>0</v>
      </c>
      <c r="K3547" s="465">
        <v>0</v>
      </c>
    </row>
    <row r="3548" spans="2:11" ht="19" customHeight="1">
      <c r="B3548" s="464">
        <v>46100</v>
      </c>
      <c r="C3548" s="436" t="s">
        <v>251</v>
      </c>
      <c r="D3548" s="436" t="s">
        <v>926</v>
      </c>
      <c r="E3548" s="436">
        <v>1</v>
      </c>
      <c r="F3548" s="465">
        <v>2.65</v>
      </c>
      <c r="G3548" s="466">
        <v>2.65</v>
      </c>
      <c r="H3548" s="466">
        <f>G3548/1.1</f>
        <v>2.4090909090909087</v>
      </c>
      <c r="I3548" s="436"/>
      <c r="J3548" s="465">
        <v>0</v>
      </c>
      <c r="K3548" s="465">
        <v>0</v>
      </c>
    </row>
    <row r="3549" spans="2:11" ht="19" customHeight="1">
      <c r="B3549" s="464">
        <v>46100</v>
      </c>
      <c r="C3549" s="436" t="s">
        <v>327</v>
      </c>
      <c r="D3549" s="436" t="s">
        <v>939</v>
      </c>
      <c r="E3549" s="436">
        <v>1</v>
      </c>
      <c r="F3549" s="465">
        <v>4.8499999999999996</v>
      </c>
      <c r="G3549" s="466">
        <v>4.8499999999999996</v>
      </c>
      <c r="H3549" s="466">
        <f>G3549/1.1</f>
        <v>4.4090909090909083</v>
      </c>
      <c r="I3549" s="436"/>
      <c r="J3549" s="465">
        <v>0</v>
      </c>
      <c r="K3549" s="465">
        <v>0</v>
      </c>
    </row>
    <row r="3550" spans="2:11" ht="19" customHeight="1">
      <c r="B3550" s="464">
        <v>46100</v>
      </c>
      <c r="C3550" s="436" t="s">
        <v>264</v>
      </c>
      <c r="D3550" s="436" t="s">
        <v>891</v>
      </c>
      <c r="E3550" s="436">
        <v>1</v>
      </c>
      <c r="F3550" s="465">
        <v>1.4</v>
      </c>
      <c r="G3550" s="466">
        <v>1.4</v>
      </c>
      <c r="H3550" s="466">
        <f>G3550/1.1</f>
        <v>1.2727272727272725</v>
      </c>
      <c r="I3550" s="436"/>
      <c r="J3550" s="465">
        <v>0</v>
      </c>
      <c r="K3550" s="465">
        <v>0</v>
      </c>
    </row>
    <row r="3551" spans="2:11" ht="19" customHeight="1">
      <c r="B3551" s="464">
        <v>46100</v>
      </c>
      <c r="C3551" s="436" t="s">
        <v>247</v>
      </c>
      <c r="D3551" s="436" t="s">
        <v>246</v>
      </c>
      <c r="E3551" s="436">
        <v>1</v>
      </c>
      <c r="F3551" s="465">
        <v>1.7</v>
      </c>
      <c r="G3551" s="466">
        <v>1.7</v>
      </c>
      <c r="H3551" s="466">
        <f>G3551/1.1</f>
        <v>1.5454545454545452</v>
      </c>
      <c r="I3551" s="436"/>
      <c r="J3551" s="465">
        <v>0</v>
      </c>
      <c r="K3551" s="465">
        <v>0</v>
      </c>
    </row>
    <row r="3552" spans="2:11" ht="19" customHeight="1">
      <c r="B3552" s="464">
        <v>46100</v>
      </c>
      <c r="C3552" s="436" t="s">
        <v>247</v>
      </c>
      <c r="D3552" s="436" t="s">
        <v>246</v>
      </c>
      <c r="E3552" s="436">
        <v>1</v>
      </c>
      <c r="F3552" s="465">
        <v>1.7</v>
      </c>
      <c r="G3552" s="466">
        <v>1.7</v>
      </c>
      <c r="H3552" s="466">
        <f>G3552/1.1</f>
        <v>1.5454545454545452</v>
      </c>
      <c r="I3552" s="436"/>
      <c r="J3552" s="465">
        <v>0</v>
      </c>
      <c r="K3552" s="465">
        <v>0</v>
      </c>
    </row>
    <row r="3553" spans="2:11" ht="19" customHeight="1">
      <c r="B3553" s="464">
        <v>46100</v>
      </c>
      <c r="C3553" s="436" t="s">
        <v>268</v>
      </c>
      <c r="D3553" s="436" t="s">
        <v>267</v>
      </c>
      <c r="E3553" s="436">
        <v>1</v>
      </c>
      <c r="F3553" s="465">
        <v>1.5</v>
      </c>
      <c r="G3553" s="466">
        <v>1.5</v>
      </c>
      <c r="H3553" s="466">
        <f>G3553/1.1</f>
        <v>1.3636363636363635</v>
      </c>
      <c r="I3553" s="436"/>
      <c r="J3553" s="465">
        <v>0</v>
      </c>
      <c r="K3553" s="465">
        <v>0</v>
      </c>
    </row>
    <row r="3554" spans="2:11" ht="19" customHeight="1">
      <c r="B3554" s="464">
        <v>46100</v>
      </c>
      <c r="C3554" s="436" t="s">
        <v>247</v>
      </c>
      <c r="D3554" s="436" t="s">
        <v>248</v>
      </c>
      <c r="E3554" s="436">
        <v>1</v>
      </c>
      <c r="F3554" s="465">
        <v>1.5</v>
      </c>
      <c r="G3554" s="466">
        <v>1.5</v>
      </c>
      <c r="H3554" s="466">
        <f>G3554/1.1</f>
        <v>1.3636363636363635</v>
      </c>
      <c r="I3554" s="436"/>
      <c r="J3554" s="465">
        <v>0</v>
      </c>
      <c r="K3554" s="465">
        <v>0</v>
      </c>
    </row>
    <row r="3555" spans="2:11" ht="19" customHeight="1">
      <c r="B3555" s="464">
        <v>46100</v>
      </c>
      <c r="C3555" s="436" t="s">
        <v>247</v>
      </c>
      <c r="D3555" s="436" t="s">
        <v>248</v>
      </c>
      <c r="E3555" s="436">
        <v>1</v>
      </c>
      <c r="F3555" s="465">
        <v>1.5</v>
      </c>
      <c r="G3555" s="466">
        <v>1.5</v>
      </c>
      <c r="H3555" s="466">
        <f>G3555/1.1</f>
        <v>1.3636363636363635</v>
      </c>
      <c r="I3555" s="436"/>
      <c r="J3555" s="465">
        <v>0</v>
      </c>
      <c r="K3555" s="465">
        <v>0</v>
      </c>
    </row>
    <row r="3556" spans="2:11" ht="19" customHeight="1">
      <c r="B3556" s="464">
        <v>46100</v>
      </c>
      <c r="C3556" s="436" t="s">
        <v>247</v>
      </c>
      <c r="D3556" s="436" t="s">
        <v>902</v>
      </c>
      <c r="E3556" s="436">
        <v>1</v>
      </c>
      <c r="F3556" s="465">
        <v>1.95</v>
      </c>
      <c r="G3556" s="466">
        <v>1.95</v>
      </c>
      <c r="H3556" s="466">
        <f>G3556/1.1</f>
        <v>1.7727272727272725</v>
      </c>
      <c r="I3556" s="436"/>
      <c r="J3556" s="465">
        <v>0</v>
      </c>
      <c r="K3556" s="465">
        <v>0</v>
      </c>
    </row>
    <row r="3557" spans="2:11" ht="19" customHeight="1">
      <c r="B3557" s="464">
        <v>46100</v>
      </c>
      <c r="C3557" s="436" t="s">
        <v>247</v>
      </c>
      <c r="D3557" s="436" t="s">
        <v>257</v>
      </c>
      <c r="E3557" s="436">
        <v>1</v>
      </c>
      <c r="F3557" s="465">
        <v>1.55</v>
      </c>
      <c r="G3557" s="466">
        <v>1.55</v>
      </c>
      <c r="H3557" s="466">
        <f>G3557/1.1</f>
        <v>1.4090909090909089</v>
      </c>
      <c r="I3557" s="436"/>
      <c r="J3557" s="465">
        <v>0</v>
      </c>
      <c r="K3557" s="465">
        <v>0</v>
      </c>
    </row>
    <row r="3558" spans="2:11" ht="19" customHeight="1">
      <c r="B3558" s="464">
        <v>46100</v>
      </c>
      <c r="C3558" s="436" t="s">
        <v>275</v>
      </c>
      <c r="D3558" s="436" t="s">
        <v>1084</v>
      </c>
      <c r="E3558" s="436">
        <v>1</v>
      </c>
      <c r="F3558" s="465">
        <v>6.5</v>
      </c>
      <c r="G3558" s="466">
        <v>6.5</v>
      </c>
      <c r="H3558" s="466">
        <f>G3558/1.1</f>
        <v>5.9090909090909083</v>
      </c>
      <c r="I3558" s="436"/>
      <c r="J3558" s="465">
        <v>0</v>
      </c>
      <c r="K3558" s="465">
        <v>0</v>
      </c>
    </row>
    <row r="3559" spans="2:11" ht="19" customHeight="1">
      <c r="B3559" s="464">
        <v>46100</v>
      </c>
      <c r="C3559" s="436" t="s">
        <v>253</v>
      </c>
      <c r="D3559" s="436" t="s">
        <v>869</v>
      </c>
      <c r="E3559" s="436">
        <v>3</v>
      </c>
      <c r="F3559" s="465">
        <v>2.5</v>
      </c>
      <c r="G3559" s="466">
        <v>7.5</v>
      </c>
      <c r="H3559" s="466">
        <f>G3559/1.1</f>
        <v>6.8181818181818175</v>
      </c>
      <c r="I3559" s="436"/>
      <c r="J3559" s="465">
        <v>0</v>
      </c>
      <c r="K3559" s="465">
        <v>0</v>
      </c>
    </row>
    <row r="3560" spans="2:11" ht="19" customHeight="1">
      <c r="B3560" s="464">
        <v>46100</v>
      </c>
      <c r="C3560" s="436" t="s">
        <v>256</v>
      </c>
      <c r="D3560" s="436" t="s">
        <v>912</v>
      </c>
      <c r="E3560" s="436">
        <v>1</v>
      </c>
      <c r="F3560" s="465">
        <v>5.5</v>
      </c>
      <c r="G3560" s="466">
        <v>5.5</v>
      </c>
      <c r="H3560" s="466">
        <f>G3560/1.1</f>
        <v>5</v>
      </c>
      <c r="I3560" s="436"/>
      <c r="J3560" s="465">
        <v>0</v>
      </c>
      <c r="K3560" s="465">
        <v>0</v>
      </c>
    </row>
    <row r="3561" spans="2:11" ht="19" customHeight="1">
      <c r="B3561" s="464">
        <v>46100</v>
      </c>
      <c r="C3561" s="436" t="s">
        <v>277</v>
      </c>
      <c r="D3561" s="436" t="s">
        <v>1188</v>
      </c>
      <c r="E3561" s="436">
        <v>1</v>
      </c>
      <c r="F3561" s="465">
        <v>10.9</v>
      </c>
      <c r="G3561" s="466">
        <v>10.9</v>
      </c>
      <c r="H3561" s="466">
        <f>G3561/1.1</f>
        <v>9.9090909090909083</v>
      </c>
      <c r="I3561" s="436"/>
      <c r="J3561" s="465">
        <v>0</v>
      </c>
      <c r="K3561" s="465">
        <v>0</v>
      </c>
    </row>
    <row r="3562" spans="2:11" ht="19" customHeight="1">
      <c r="B3562" s="464">
        <v>46100</v>
      </c>
      <c r="C3562" s="436" t="s">
        <v>256</v>
      </c>
      <c r="D3562" s="436" t="s">
        <v>986</v>
      </c>
      <c r="E3562" s="436">
        <v>1</v>
      </c>
      <c r="F3562" s="465">
        <v>14</v>
      </c>
      <c r="G3562" s="466">
        <v>14</v>
      </c>
      <c r="H3562" s="466">
        <f>G3562/1.1</f>
        <v>12.727272727272727</v>
      </c>
      <c r="I3562" s="436"/>
      <c r="J3562" s="465">
        <v>0</v>
      </c>
      <c r="K3562" s="465">
        <v>0</v>
      </c>
    </row>
    <row r="3563" spans="2:11" ht="19" customHeight="1">
      <c r="B3563" s="464">
        <v>46100</v>
      </c>
      <c r="C3563" s="436" t="s">
        <v>247</v>
      </c>
      <c r="D3563" s="436" t="s">
        <v>246</v>
      </c>
      <c r="E3563" s="436">
        <v>2</v>
      </c>
      <c r="F3563" s="465">
        <v>1.7</v>
      </c>
      <c r="G3563" s="466">
        <v>3.4</v>
      </c>
      <c r="H3563" s="466">
        <f>G3563/1.1</f>
        <v>3.0909090909090904</v>
      </c>
      <c r="I3563" s="436"/>
      <c r="J3563" s="465">
        <v>0</v>
      </c>
      <c r="K3563" s="465">
        <v>0</v>
      </c>
    </row>
    <row r="3564" spans="2:11" ht="19" customHeight="1">
      <c r="B3564" s="464">
        <v>46100</v>
      </c>
      <c r="C3564" s="436" t="s">
        <v>862</v>
      </c>
      <c r="D3564" s="436" t="s">
        <v>863</v>
      </c>
      <c r="E3564" s="436">
        <v>2</v>
      </c>
      <c r="F3564" s="465">
        <v>0.15</v>
      </c>
      <c r="G3564" s="466">
        <v>0.3</v>
      </c>
      <c r="H3564" s="466">
        <f>G3564/1.1</f>
        <v>0.27272727272727271</v>
      </c>
      <c r="I3564" s="436"/>
      <c r="J3564" s="465">
        <v>0</v>
      </c>
      <c r="K3564" s="465">
        <v>0</v>
      </c>
    </row>
    <row r="3565" spans="2:11" ht="19" customHeight="1">
      <c r="B3565" s="464">
        <v>46100</v>
      </c>
      <c r="C3565" s="436" t="s">
        <v>862</v>
      </c>
      <c r="D3565" s="436" t="s">
        <v>899</v>
      </c>
      <c r="E3565" s="436">
        <v>1</v>
      </c>
      <c r="F3565" s="465">
        <v>0.05</v>
      </c>
      <c r="G3565" s="466">
        <v>0.05</v>
      </c>
      <c r="H3565" s="466">
        <f>G3565/1.1</f>
        <v>4.5454545454545456E-2</v>
      </c>
      <c r="I3565" s="436"/>
      <c r="J3565" s="465">
        <v>0</v>
      </c>
      <c r="K3565" s="465">
        <v>0</v>
      </c>
    </row>
    <row r="3566" spans="2:11" ht="19" customHeight="1">
      <c r="B3566" s="464">
        <v>46100</v>
      </c>
      <c r="C3566" s="436" t="s">
        <v>253</v>
      </c>
      <c r="D3566" s="436" t="s">
        <v>869</v>
      </c>
      <c r="E3566" s="436">
        <v>1</v>
      </c>
      <c r="F3566" s="465">
        <v>2.5</v>
      </c>
      <c r="G3566" s="466">
        <v>2.5</v>
      </c>
      <c r="H3566" s="466">
        <f>G3566/1.1</f>
        <v>2.2727272727272725</v>
      </c>
      <c r="I3566" s="436"/>
      <c r="J3566" s="465">
        <v>0</v>
      </c>
      <c r="K3566" s="465">
        <v>0</v>
      </c>
    </row>
    <row r="3567" spans="2:11" ht="19" customHeight="1">
      <c r="B3567" s="464">
        <v>46100</v>
      </c>
      <c r="C3567" s="436" t="s">
        <v>253</v>
      </c>
      <c r="D3567" s="436" t="s">
        <v>869</v>
      </c>
      <c r="E3567" s="436">
        <v>1</v>
      </c>
      <c r="F3567" s="465">
        <v>2.5</v>
      </c>
      <c r="G3567" s="466">
        <v>2.5</v>
      </c>
      <c r="H3567" s="466">
        <f>G3567/1.1</f>
        <v>2.2727272727272725</v>
      </c>
      <c r="I3567" s="436"/>
      <c r="J3567" s="465">
        <v>0</v>
      </c>
      <c r="K3567" s="465">
        <v>0</v>
      </c>
    </row>
    <row r="3568" spans="2:11" ht="19" customHeight="1">
      <c r="B3568" s="464">
        <v>46100</v>
      </c>
      <c r="C3568" s="436" t="s">
        <v>264</v>
      </c>
      <c r="D3568" s="436" t="s">
        <v>983</v>
      </c>
      <c r="E3568" s="436">
        <v>1</v>
      </c>
      <c r="F3568" s="465">
        <v>2.75</v>
      </c>
      <c r="G3568" s="466">
        <v>2.75</v>
      </c>
      <c r="H3568" s="466">
        <f>G3568/1.1</f>
        <v>2.5</v>
      </c>
      <c r="I3568" s="436"/>
      <c r="J3568" s="465">
        <v>0</v>
      </c>
      <c r="K3568" s="465">
        <v>0</v>
      </c>
    </row>
    <row r="3569" spans="2:11" ht="19" customHeight="1">
      <c r="B3569" s="464">
        <v>46100</v>
      </c>
      <c r="C3569" s="436" t="s">
        <v>327</v>
      </c>
      <c r="D3569" s="436" t="s">
        <v>799</v>
      </c>
      <c r="E3569" s="436">
        <v>2</v>
      </c>
      <c r="F3569" s="465">
        <v>3.5</v>
      </c>
      <c r="G3569" s="466">
        <v>7</v>
      </c>
      <c r="H3569" s="466">
        <f>G3569/1.1</f>
        <v>6.3636363636363633</v>
      </c>
      <c r="I3569" s="436"/>
      <c r="J3569" s="465">
        <v>0</v>
      </c>
      <c r="K3569" s="465">
        <v>0</v>
      </c>
    </row>
    <row r="3570" spans="2:11" ht="19" customHeight="1">
      <c r="B3570" s="464">
        <v>46100</v>
      </c>
      <c r="C3570" s="436" t="s">
        <v>254</v>
      </c>
      <c r="D3570" s="436" t="s">
        <v>254</v>
      </c>
      <c r="E3570" s="436">
        <v>2</v>
      </c>
      <c r="F3570" s="465">
        <v>14.9</v>
      </c>
      <c r="G3570" s="466">
        <v>29.8</v>
      </c>
      <c r="H3570" s="466">
        <f>G3570/1.1</f>
        <v>27.09090909090909</v>
      </c>
      <c r="I3570" s="436"/>
      <c r="J3570" s="465">
        <v>0</v>
      </c>
      <c r="K3570" s="465">
        <v>0</v>
      </c>
    </row>
    <row r="3571" spans="2:11" ht="19" customHeight="1">
      <c r="B3571" s="464">
        <v>46100</v>
      </c>
      <c r="C3571" s="436" t="s">
        <v>873</v>
      </c>
      <c r="D3571" s="436" t="s">
        <v>1026</v>
      </c>
      <c r="E3571" s="436">
        <v>2</v>
      </c>
      <c r="F3571" s="469"/>
      <c r="G3571" s="468" t="s">
        <v>875</v>
      </c>
      <c r="H3571" s="466" t="e">
        <f>G3571/1.1</f>
        <v>#VALUE!</v>
      </c>
      <c r="I3571" s="436"/>
      <c r="J3571" s="465">
        <v>0</v>
      </c>
      <c r="K3571" s="465">
        <v>0</v>
      </c>
    </row>
    <row r="3572" spans="2:11" ht="19" customHeight="1">
      <c r="B3572" s="464">
        <v>46100</v>
      </c>
      <c r="C3572" s="436" t="s">
        <v>877</v>
      </c>
      <c r="D3572" s="436" t="s">
        <v>1183</v>
      </c>
      <c r="E3572" s="436">
        <v>2</v>
      </c>
      <c r="F3572" s="469"/>
      <c r="G3572" s="468" t="s">
        <v>875</v>
      </c>
      <c r="H3572" s="466" t="e">
        <f>G3572/1.1</f>
        <v>#VALUE!</v>
      </c>
      <c r="I3572" s="436"/>
      <c r="J3572" s="465">
        <v>0</v>
      </c>
      <c r="K3572" s="465">
        <v>0</v>
      </c>
    </row>
    <row r="3573" spans="2:11" ht="19" customHeight="1">
      <c r="B3573" s="464">
        <v>46100</v>
      </c>
      <c r="C3573" s="436" t="s">
        <v>266</v>
      </c>
      <c r="D3573" s="436" t="s">
        <v>250</v>
      </c>
      <c r="E3573" s="436">
        <v>2</v>
      </c>
      <c r="F3573" s="469"/>
      <c r="G3573" s="468" t="s">
        <v>875</v>
      </c>
      <c r="H3573" s="466" t="e">
        <f>G3573/1.1</f>
        <v>#VALUE!</v>
      </c>
      <c r="I3573" s="436"/>
      <c r="J3573" s="465">
        <v>0</v>
      </c>
      <c r="K3573" s="465">
        <v>0</v>
      </c>
    </row>
    <row r="3574" spans="2:11" ht="19" customHeight="1">
      <c r="B3574" s="464">
        <v>46100</v>
      </c>
      <c r="C3574" s="436" t="s">
        <v>258</v>
      </c>
      <c r="D3574" s="436" t="s">
        <v>1094</v>
      </c>
      <c r="E3574" s="436">
        <v>2</v>
      </c>
      <c r="F3574" s="469"/>
      <c r="G3574" s="468" t="s">
        <v>875</v>
      </c>
      <c r="H3574" s="466" t="e">
        <f>G3574/1.1</f>
        <v>#VALUE!</v>
      </c>
      <c r="I3574" s="436"/>
      <c r="J3574" s="465">
        <v>0</v>
      </c>
      <c r="K3574" s="465">
        <v>0</v>
      </c>
    </row>
    <row r="3575" spans="2:11" ht="19" customHeight="1">
      <c r="B3575" s="464">
        <v>46100</v>
      </c>
      <c r="C3575" s="436" t="s">
        <v>254</v>
      </c>
      <c r="D3575" s="436" t="s">
        <v>254</v>
      </c>
      <c r="E3575" s="436">
        <v>1</v>
      </c>
      <c r="F3575" s="465">
        <v>14.9</v>
      </c>
      <c r="G3575" s="466">
        <v>14.9</v>
      </c>
      <c r="H3575" s="466">
        <f>G3575/1.1</f>
        <v>13.545454545454545</v>
      </c>
      <c r="I3575" s="436"/>
      <c r="J3575" s="465">
        <v>0</v>
      </c>
      <c r="K3575" s="465">
        <v>0</v>
      </c>
    </row>
    <row r="3576" spans="2:11" ht="19" customHeight="1">
      <c r="B3576" s="464">
        <v>46100</v>
      </c>
      <c r="C3576" s="436" t="s">
        <v>873</v>
      </c>
      <c r="D3576" s="436" t="s">
        <v>1026</v>
      </c>
      <c r="E3576" s="436">
        <v>1</v>
      </c>
      <c r="F3576" s="469"/>
      <c r="G3576" s="468" t="s">
        <v>875</v>
      </c>
      <c r="H3576" s="466" t="e">
        <f>G3576/1.1</f>
        <v>#VALUE!</v>
      </c>
      <c r="I3576" s="436"/>
      <c r="J3576" s="465">
        <v>0</v>
      </c>
      <c r="K3576" s="465">
        <v>0</v>
      </c>
    </row>
    <row r="3577" spans="2:11" ht="19" customHeight="1">
      <c r="B3577" s="464">
        <v>46100</v>
      </c>
      <c r="C3577" s="436" t="s">
        <v>877</v>
      </c>
      <c r="D3577" s="436" t="s">
        <v>1176</v>
      </c>
      <c r="E3577" s="436">
        <v>1</v>
      </c>
      <c r="F3577" s="469"/>
      <c r="G3577" s="468" t="s">
        <v>875</v>
      </c>
      <c r="H3577" s="466" t="e">
        <f>G3577/1.1</f>
        <v>#VALUE!</v>
      </c>
      <c r="I3577" s="436"/>
      <c r="J3577" s="465">
        <v>0</v>
      </c>
      <c r="K3577" s="465">
        <v>0</v>
      </c>
    </row>
    <row r="3578" spans="2:11" ht="19" customHeight="1">
      <c r="B3578" s="464">
        <v>46100</v>
      </c>
      <c r="C3578" s="436" t="s">
        <v>266</v>
      </c>
      <c r="D3578" s="436" t="s">
        <v>250</v>
      </c>
      <c r="E3578" s="436">
        <v>1</v>
      </c>
      <c r="F3578" s="469"/>
      <c r="G3578" s="468" t="s">
        <v>875</v>
      </c>
      <c r="H3578" s="466" t="e">
        <f>G3578/1.1</f>
        <v>#VALUE!</v>
      </c>
      <c r="I3578" s="436"/>
      <c r="J3578" s="465">
        <v>0</v>
      </c>
      <c r="K3578" s="465">
        <v>0</v>
      </c>
    </row>
    <row r="3579" spans="2:11" ht="19" customHeight="1">
      <c r="B3579" s="464">
        <v>46100</v>
      </c>
      <c r="C3579" s="436" t="s">
        <v>258</v>
      </c>
      <c r="D3579" s="436" t="s">
        <v>248</v>
      </c>
      <c r="E3579" s="436">
        <v>1</v>
      </c>
      <c r="F3579" s="469"/>
      <c r="G3579" s="468" t="s">
        <v>875</v>
      </c>
      <c r="H3579" s="466" t="e">
        <f>G3579/1.1</f>
        <v>#VALUE!</v>
      </c>
      <c r="I3579" s="436"/>
      <c r="J3579" s="465">
        <v>0</v>
      </c>
      <c r="K3579" s="465">
        <v>0</v>
      </c>
    </row>
    <row r="3580" spans="2:11" ht="19" customHeight="1">
      <c r="B3580" s="464">
        <v>46100</v>
      </c>
      <c r="C3580" s="436" t="s">
        <v>254</v>
      </c>
      <c r="D3580" s="436" t="s">
        <v>254</v>
      </c>
      <c r="E3580" s="436">
        <v>1</v>
      </c>
      <c r="F3580" s="465">
        <v>14.9</v>
      </c>
      <c r="G3580" s="466">
        <v>14.9</v>
      </c>
      <c r="H3580" s="466">
        <f>G3580/1.1</f>
        <v>13.545454545454545</v>
      </c>
      <c r="I3580" s="436"/>
      <c r="J3580" s="465">
        <v>0</v>
      </c>
      <c r="K3580" s="465">
        <v>0</v>
      </c>
    </row>
    <row r="3581" spans="2:11" ht="19" customHeight="1">
      <c r="B3581" s="464">
        <v>46100</v>
      </c>
      <c r="C3581" s="436" t="s">
        <v>873</v>
      </c>
      <c r="D3581" s="436" t="s">
        <v>1181</v>
      </c>
      <c r="E3581" s="436">
        <v>1</v>
      </c>
      <c r="F3581" s="469"/>
      <c r="G3581" s="468" t="s">
        <v>875</v>
      </c>
      <c r="H3581" s="466" t="e">
        <f>G3581/1.1</f>
        <v>#VALUE!</v>
      </c>
      <c r="I3581" s="436"/>
      <c r="J3581" s="465">
        <v>0</v>
      </c>
      <c r="K3581" s="465">
        <v>0</v>
      </c>
    </row>
    <row r="3582" spans="2:11" ht="19" customHeight="1">
      <c r="B3582" s="464">
        <v>46100</v>
      </c>
      <c r="C3582" s="436" t="s">
        <v>877</v>
      </c>
      <c r="D3582" s="436" t="s">
        <v>1179</v>
      </c>
      <c r="E3582" s="436">
        <v>1</v>
      </c>
      <c r="F3582" s="469"/>
      <c r="G3582" s="468" t="s">
        <v>875</v>
      </c>
      <c r="H3582" s="466" t="e">
        <f>G3582/1.1</f>
        <v>#VALUE!</v>
      </c>
      <c r="I3582" s="436"/>
      <c r="J3582" s="465">
        <v>0</v>
      </c>
      <c r="K3582" s="465">
        <v>0</v>
      </c>
    </row>
    <row r="3583" spans="2:11" ht="19" customHeight="1">
      <c r="B3583" s="464">
        <v>46100</v>
      </c>
      <c r="C3583" s="436" t="s">
        <v>266</v>
      </c>
      <c r="D3583" s="436" t="s">
        <v>250</v>
      </c>
      <c r="E3583" s="436">
        <v>1</v>
      </c>
      <c r="F3583" s="469"/>
      <c r="G3583" s="468" t="s">
        <v>875</v>
      </c>
      <c r="H3583" s="466" t="e">
        <f>G3583/1.1</f>
        <v>#VALUE!</v>
      </c>
      <c r="I3583" s="436"/>
      <c r="J3583" s="465">
        <v>0</v>
      </c>
      <c r="K3583" s="465">
        <v>0</v>
      </c>
    </row>
    <row r="3584" spans="2:11" ht="19" customHeight="1">
      <c r="B3584" s="464">
        <v>46100</v>
      </c>
      <c r="C3584" s="436" t="s">
        <v>258</v>
      </c>
      <c r="D3584" s="436" t="s">
        <v>745</v>
      </c>
      <c r="E3584" s="436">
        <v>1</v>
      </c>
      <c r="F3584" s="469"/>
      <c r="G3584" s="468" t="s">
        <v>875</v>
      </c>
      <c r="H3584" s="466" t="e">
        <f>G3584/1.1</f>
        <v>#VALUE!</v>
      </c>
      <c r="I3584" s="436"/>
      <c r="J3584" s="465">
        <v>0</v>
      </c>
      <c r="K3584" s="465">
        <v>0</v>
      </c>
    </row>
    <row r="3585" spans="2:11" ht="19" customHeight="1">
      <c r="B3585" s="464">
        <v>46100</v>
      </c>
      <c r="C3585" s="436" t="s">
        <v>254</v>
      </c>
      <c r="D3585" s="436" t="s">
        <v>254</v>
      </c>
      <c r="E3585" s="436">
        <v>1</v>
      </c>
      <c r="F3585" s="465">
        <v>14.9</v>
      </c>
      <c r="G3585" s="466">
        <v>14.9</v>
      </c>
      <c r="H3585" s="466">
        <f>G3585/1.1</f>
        <v>13.545454545454545</v>
      </c>
      <c r="I3585" s="436"/>
      <c r="J3585" s="465">
        <v>0</v>
      </c>
      <c r="K3585" s="465">
        <v>0</v>
      </c>
    </row>
    <row r="3586" spans="2:11" ht="19" customHeight="1">
      <c r="B3586" s="464">
        <v>46100</v>
      </c>
      <c r="C3586" s="436" t="s">
        <v>873</v>
      </c>
      <c r="D3586" s="436" t="s">
        <v>1026</v>
      </c>
      <c r="E3586" s="436">
        <v>1</v>
      </c>
      <c r="F3586" s="469"/>
      <c r="G3586" s="468" t="s">
        <v>875</v>
      </c>
      <c r="H3586" s="466" t="e">
        <f>G3586/1.1</f>
        <v>#VALUE!</v>
      </c>
      <c r="I3586" s="436"/>
      <c r="J3586" s="465">
        <v>0</v>
      </c>
      <c r="K3586" s="465">
        <v>0</v>
      </c>
    </row>
    <row r="3587" spans="2:11" ht="19" customHeight="1">
      <c r="B3587" s="464">
        <v>46100</v>
      </c>
      <c r="C3587" s="436" t="s">
        <v>877</v>
      </c>
      <c r="D3587" s="436" t="s">
        <v>1179</v>
      </c>
      <c r="E3587" s="436">
        <v>1</v>
      </c>
      <c r="F3587" s="469"/>
      <c r="G3587" s="468" t="s">
        <v>875</v>
      </c>
      <c r="H3587" s="466" t="e">
        <f>G3587/1.1</f>
        <v>#VALUE!</v>
      </c>
      <c r="I3587" s="436"/>
      <c r="J3587" s="465">
        <v>0</v>
      </c>
      <c r="K3587" s="465">
        <v>0</v>
      </c>
    </row>
    <row r="3588" spans="2:11" ht="19" customHeight="1">
      <c r="B3588" s="464">
        <v>46100</v>
      </c>
      <c r="C3588" s="436" t="s">
        <v>266</v>
      </c>
      <c r="D3588" s="436" t="s">
        <v>250</v>
      </c>
      <c r="E3588" s="436">
        <v>1</v>
      </c>
      <c r="F3588" s="469"/>
      <c r="G3588" s="468" t="s">
        <v>875</v>
      </c>
      <c r="H3588" s="466" t="e">
        <f>G3588/1.1</f>
        <v>#VALUE!</v>
      </c>
      <c r="I3588" s="436"/>
      <c r="J3588" s="465">
        <v>0</v>
      </c>
      <c r="K3588" s="465">
        <v>0</v>
      </c>
    </row>
    <row r="3589" spans="2:11" ht="19" customHeight="1">
      <c r="B3589" s="464">
        <v>46100</v>
      </c>
      <c r="C3589" s="436" t="s">
        <v>258</v>
      </c>
      <c r="D3589" s="436" t="s">
        <v>745</v>
      </c>
      <c r="E3589" s="436">
        <v>1</v>
      </c>
      <c r="F3589" s="469"/>
      <c r="G3589" s="468" t="s">
        <v>875</v>
      </c>
      <c r="H3589" s="466" t="e">
        <f>G3589/1.1</f>
        <v>#VALUE!</v>
      </c>
      <c r="I3589" s="436"/>
      <c r="J3589" s="465">
        <v>0</v>
      </c>
      <c r="K3589" s="465">
        <v>0</v>
      </c>
    </row>
    <row r="3590" spans="2:11" ht="19" customHeight="1">
      <c r="B3590" s="464">
        <v>46101</v>
      </c>
      <c r="C3590" s="436" t="s">
        <v>254</v>
      </c>
      <c r="D3590" s="436" t="s">
        <v>254</v>
      </c>
      <c r="E3590" s="436">
        <v>2</v>
      </c>
      <c r="F3590" s="465">
        <v>14.9</v>
      </c>
      <c r="G3590" s="466">
        <v>29.8</v>
      </c>
      <c r="H3590" s="466">
        <f>G3590/1.1</f>
        <v>27.09090909090909</v>
      </c>
      <c r="I3590" s="436"/>
      <c r="J3590" s="465">
        <v>0</v>
      </c>
      <c r="K3590" s="465">
        <v>0</v>
      </c>
    </row>
    <row r="3591" spans="2:11" ht="19" customHeight="1">
      <c r="B3591" s="464">
        <v>46101</v>
      </c>
      <c r="C3591" s="436" t="s">
        <v>873</v>
      </c>
      <c r="D3591" s="436" t="s">
        <v>1181</v>
      </c>
      <c r="E3591" s="436">
        <v>1</v>
      </c>
      <c r="F3591" s="469"/>
      <c r="G3591" s="468" t="s">
        <v>875</v>
      </c>
      <c r="H3591" s="466" t="e">
        <f>G3591/1.1</f>
        <v>#VALUE!</v>
      </c>
      <c r="I3591" s="436"/>
      <c r="J3591" s="465">
        <v>0</v>
      </c>
      <c r="K3591" s="465">
        <v>0</v>
      </c>
    </row>
    <row r="3592" spans="2:11" ht="19" customHeight="1">
      <c r="B3592" s="464">
        <v>46101</v>
      </c>
      <c r="C3592" s="436" t="s">
        <v>873</v>
      </c>
      <c r="D3592" s="436" t="s">
        <v>1068</v>
      </c>
      <c r="E3592" s="436">
        <v>1</v>
      </c>
      <c r="F3592" s="469"/>
      <c r="G3592" s="468" t="s">
        <v>875</v>
      </c>
      <c r="H3592" s="466" t="e">
        <f>G3592/1.1</f>
        <v>#VALUE!</v>
      </c>
      <c r="I3592" s="436"/>
      <c r="J3592" s="465">
        <v>0</v>
      </c>
      <c r="K3592" s="465">
        <v>0</v>
      </c>
    </row>
    <row r="3593" spans="2:11" ht="19" customHeight="1">
      <c r="B3593" s="464">
        <v>46101</v>
      </c>
      <c r="C3593" s="436" t="s">
        <v>877</v>
      </c>
      <c r="D3593" s="436" t="s">
        <v>1176</v>
      </c>
      <c r="E3593" s="436">
        <v>1</v>
      </c>
      <c r="F3593" s="469"/>
      <c r="G3593" s="468" t="s">
        <v>875</v>
      </c>
      <c r="H3593" s="466" t="e">
        <f>G3593/1.1</f>
        <v>#VALUE!</v>
      </c>
      <c r="I3593" s="436"/>
      <c r="J3593" s="465">
        <v>0</v>
      </c>
      <c r="K3593" s="465">
        <v>0</v>
      </c>
    </row>
    <row r="3594" spans="2:11" ht="19" customHeight="1">
      <c r="B3594" s="464">
        <v>46101</v>
      </c>
      <c r="C3594" s="436" t="s">
        <v>877</v>
      </c>
      <c r="D3594" s="436" t="s">
        <v>1183</v>
      </c>
      <c r="E3594" s="436">
        <v>1</v>
      </c>
      <c r="F3594" s="469"/>
      <c r="G3594" s="468" t="s">
        <v>875</v>
      </c>
      <c r="H3594" s="466" t="e">
        <f>G3594/1.1</f>
        <v>#VALUE!</v>
      </c>
      <c r="I3594" s="436"/>
      <c r="J3594" s="465">
        <v>0</v>
      </c>
      <c r="K3594" s="465">
        <v>0</v>
      </c>
    </row>
    <row r="3595" spans="2:11" ht="19" customHeight="1">
      <c r="B3595" s="464">
        <v>46101</v>
      </c>
      <c r="C3595" s="436" t="s">
        <v>266</v>
      </c>
      <c r="D3595" s="436" t="s">
        <v>942</v>
      </c>
      <c r="E3595" s="436">
        <v>1</v>
      </c>
      <c r="F3595" s="469"/>
      <c r="G3595" s="468" t="s">
        <v>875</v>
      </c>
      <c r="H3595" s="466" t="e">
        <f>G3595/1.1</f>
        <v>#VALUE!</v>
      </c>
      <c r="I3595" s="436"/>
      <c r="J3595" s="465">
        <v>0</v>
      </c>
      <c r="K3595" s="465">
        <v>0</v>
      </c>
    </row>
    <row r="3596" spans="2:11" ht="19" customHeight="1">
      <c r="B3596" s="464">
        <v>46101</v>
      </c>
      <c r="C3596" s="436" t="s">
        <v>266</v>
      </c>
      <c r="D3596" s="436" t="s">
        <v>250</v>
      </c>
      <c r="E3596" s="436">
        <v>1</v>
      </c>
      <c r="F3596" s="469"/>
      <c r="G3596" s="468" t="s">
        <v>875</v>
      </c>
      <c r="H3596" s="466" t="e">
        <f>G3596/1.1</f>
        <v>#VALUE!</v>
      </c>
      <c r="I3596" s="436"/>
      <c r="J3596" s="465">
        <v>0</v>
      </c>
      <c r="K3596" s="465">
        <v>0</v>
      </c>
    </row>
    <row r="3597" spans="2:11" ht="19" customHeight="1">
      <c r="B3597" s="464">
        <v>46101</v>
      </c>
      <c r="C3597" s="436" t="s">
        <v>258</v>
      </c>
      <c r="D3597" s="436" t="s">
        <v>1094</v>
      </c>
      <c r="E3597" s="436">
        <v>1</v>
      </c>
      <c r="F3597" s="469"/>
      <c r="G3597" s="468" t="s">
        <v>875</v>
      </c>
      <c r="H3597" s="466" t="e">
        <f>G3597/1.1</f>
        <v>#VALUE!</v>
      </c>
      <c r="I3597" s="436"/>
      <c r="J3597" s="465">
        <v>0</v>
      </c>
      <c r="K3597" s="465">
        <v>0</v>
      </c>
    </row>
    <row r="3598" spans="2:11" ht="19" customHeight="1">
      <c r="B3598" s="464">
        <v>46101</v>
      </c>
      <c r="C3598" s="436" t="s">
        <v>258</v>
      </c>
      <c r="D3598" s="436" t="s">
        <v>1081</v>
      </c>
      <c r="E3598" s="436">
        <v>1</v>
      </c>
      <c r="F3598" s="469"/>
      <c r="G3598" s="468" t="s">
        <v>875</v>
      </c>
      <c r="H3598" s="466" t="e">
        <f>G3598/1.1</f>
        <v>#VALUE!</v>
      </c>
      <c r="I3598" s="436"/>
      <c r="J3598" s="465">
        <v>0</v>
      </c>
      <c r="K3598" s="465">
        <v>0</v>
      </c>
    </row>
    <row r="3599" spans="2:11" ht="19" customHeight="1">
      <c r="B3599" s="464">
        <v>46101</v>
      </c>
      <c r="C3599" s="436" t="s">
        <v>247</v>
      </c>
      <c r="D3599" s="436" t="s">
        <v>248</v>
      </c>
      <c r="E3599" s="436">
        <v>1</v>
      </c>
      <c r="F3599" s="465">
        <v>1.65</v>
      </c>
      <c r="G3599" s="466">
        <v>1.65</v>
      </c>
      <c r="H3599" s="466">
        <f>G3599/1.1</f>
        <v>1.4999999999999998</v>
      </c>
      <c r="I3599" s="436"/>
      <c r="J3599" s="465">
        <v>0</v>
      </c>
      <c r="K3599" s="465">
        <v>0</v>
      </c>
    </row>
    <row r="3600" spans="2:11" ht="19" customHeight="1">
      <c r="B3600" s="464">
        <v>46101</v>
      </c>
      <c r="C3600" s="436" t="s">
        <v>247</v>
      </c>
      <c r="D3600" s="436" t="s">
        <v>257</v>
      </c>
      <c r="E3600" s="436">
        <v>1</v>
      </c>
      <c r="F3600" s="465">
        <v>1.55</v>
      </c>
      <c r="G3600" s="466">
        <v>1.55</v>
      </c>
      <c r="H3600" s="466">
        <f>G3600/1.1</f>
        <v>1.4090909090909089</v>
      </c>
      <c r="I3600" s="436"/>
      <c r="J3600" s="465">
        <v>0</v>
      </c>
      <c r="K3600" s="465">
        <v>0</v>
      </c>
    </row>
    <row r="3601" spans="2:11" ht="19" customHeight="1">
      <c r="B3601" s="464">
        <v>46101</v>
      </c>
      <c r="C3601" s="436" t="s">
        <v>254</v>
      </c>
      <c r="D3601" s="436" t="s">
        <v>254</v>
      </c>
      <c r="E3601" s="436">
        <v>2</v>
      </c>
      <c r="F3601" s="465">
        <v>14.9</v>
      </c>
      <c r="G3601" s="466">
        <v>29.8</v>
      </c>
      <c r="H3601" s="466">
        <f>G3601/1.1</f>
        <v>27.09090909090909</v>
      </c>
      <c r="I3601" s="436"/>
      <c r="J3601" s="465">
        <v>0</v>
      </c>
      <c r="K3601" s="465">
        <v>0</v>
      </c>
    </row>
    <row r="3602" spans="2:11" ht="19" customHeight="1">
      <c r="B3602" s="464">
        <v>46101</v>
      </c>
      <c r="C3602" s="436" t="s">
        <v>873</v>
      </c>
      <c r="D3602" s="436" t="s">
        <v>1127</v>
      </c>
      <c r="E3602" s="436">
        <v>1</v>
      </c>
      <c r="F3602" s="465">
        <v>5</v>
      </c>
      <c r="G3602" s="466">
        <v>5</v>
      </c>
      <c r="H3602" s="466">
        <f>G3602/1.1</f>
        <v>4.545454545454545</v>
      </c>
      <c r="I3602" s="436"/>
      <c r="J3602" s="465">
        <v>0</v>
      </c>
      <c r="K3602" s="465">
        <v>0</v>
      </c>
    </row>
    <row r="3603" spans="2:11" ht="19" customHeight="1">
      <c r="B3603" s="464">
        <v>46101</v>
      </c>
      <c r="C3603" s="436" t="s">
        <v>873</v>
      </c>
      <c r="D3603" s="436" t="s">
        <v>1178</v>
      </c>
      <c r="E3603" s="436">
        <v>1</v>
      </c>
      <c r="F3603" s="465">
        <v>3</v>
      </c>
      <c r="G3603" s="466">
        <v>3</v>
      </c>
      <c r="H3603" s="466">
        <f>G3603/1.1</f>
        <v>2.7272727272727271</v>
      </c>
      <c r="I3603" s="436"/>
      <c r="J3603" s="465">
        <v>0</v>
      </c>
      <c r="K3603" s="465">
        <v>0</v>
      </c>
    </row>
    <row r="3604" spans="2:11" ht="19" customHeight="1">
      <c r="B3604" s="464">
        <v>46101</v>
      </c>
      <c r="C3604" s="436" t="s">
        <v>877</v>
      </c>
      <c r="D3604" s="436" t="s">
        <v>1183</v>
      </c>
      <c r="E3604" s="436">
        <v>1</v>
      </c>
      <c r="F3604" s="469"/>
      <c r="G3604" s="468" t="s">
        <v>875</v>
      </c>
      <c r="H3604" s="466" t="e">
        <f>G3604/1.1</f>
        <v>#VALUE!</v>
      </c>
      <c r="I3604" s="436"/>
      <c r="J3604" s="465">
        <v>0</v>
      </c>
      <c r="K3604" s="465">
        <v>0</v>
      </c>
    </row>
    <row r="3605" spans="2:11" ht="19" customHeight="1">
      <c r="B3605" s="464">
        <v>46101</v>
      </c>
      <c r="C3605" s="436" t="s">
        <v>877</v>
      </c>
      <c r="D3605" s="436" t="s">
        <v>1182</v>
      </c>
      <c r="E3605" s="436">
        <v>1</v>
      </c>
      <c r="F3605" s="465">
        <v>3</v>
      </c>
      <c r="G3605" s="466">
        <v>3</v>
      </c>
      <c r="H3605" s="466">
        <f>G3605/1.1</f>
        <v>2.7272727272727271</v>
      </c>
      <c r="I3605" s="436"/>
      <c r="J3605" s="465">
        <v>0</v>
      </c>
      <c r="K3605" s="465">
        <v>0</v>
      </c>
    </row>
    <row r="3606" spans="2:11" ht="19" customHeight="1">
      <c r="B3606" s="464">
        <v>46101</v>
      </c>
      <c r="C3606" s="436" t="s">
        <v>266</v>
      </c>
      <c r="D3606" s="436" t="s">
        <v>250</v>
      </c>
      <c r="E3606" s="436">
        <v>1</v>
      </c>
      <c r="F3606" s="469"/>
      <c r="G3606" s="468" t="s">
        <v>875</v>
      </c>
      <c r="H3606" s="466" t="e">
        <f>G3606/1.1</f>
        <v>#VALUE!</v>
      </c>
      <c r="I3606" s="436"/>
      <c r="J3606" s="465">
        <v>0</v>
      </c>
      <c r="K3606" s="465">
        <v>0</v>
      </c>
    </row>
    <row r="3607" spans="2:11" ht="19" customHeight="1">
      <c r="B3607" s="464">
        <v>46101</v>
      </c>
      <c r="C3607" s="436" t="s">
        <v>266</v>
      </c>
      <c r="D3607" s="436" t="s">
        <v>265</v>
      </c>
      <c r="E3607" s="436">
        <v>1</v>
      </c>
      <c r="F3607" s="465">
        <v>1</v>
      </c>
      <c r="G3607" s="466">
        <v>1</v>
      </c>
      <c r="H3607" s="466">
        <f>G3607/1.1</f>
        <v>0.90909090909090906</v>
      </c>
      <c r="I3607" s="436"/>
      <c r="J3607" s="465">
        <v>0</v>
      </c>
      <c r="K3607" s="465">
        <v>0</v>
      </c>
    </row>
    <row r="3608" spans="2:11" ht="19" customHeight="1">
      <c r="B3608" s="464">
        <v>46101</v>
      </c>
      <c r="C3608" s="436" t="s">
        <v>258</v>
      </c>
      <c r="D3608" s="436" t="s">
        <v>972</v>
      </c>
      <c r="E3608" s="436">
        <v>1</v>
      </c>
      <c r="F3608" s="469"/>
      <c r="G3608" s="468" t="s">
        <v>875</v>
      </c>
      <c r="H3608" s="466" t="e">
        <f>G3608/1.1</f>
        <v>#VALUE!</v>
      </c>
      <c r="I3608" s="436"/>
      <c r="J3608" s="465">
        <v>0</v>
      </c>
      <c r="K3608" s="465">
        <v>0</v>
      </c>
    </row>
    <row r="3609" spans="2:11" ht="19" customHeight="1">
      <c r="B3609" s="464">
        <v>46101</v>
      </c>
      <c r="C3609" s="436" t="s">
        <v>258</v>
      </c>
      <c r="D3609" s="436" t="s">
        <v>1115</v>
      </c>
      <c r="E3609" s="436">
        <v>1</v>
      </c>
      <c r="F3609" s="469"/>
      <c r="G3609" s="468" t="s">
        <v>875</v>
      </c>
      <c r="H3609" s="466" t="e">
        <f>G3609/1.1</f>
        <v>#VALUE!</v>
      </c>
      <c r="I3609" s="436"/>
      <c r="J3609" s="465">
        <v>0</v>
      </c>
      <c r="K3609" s="465">
        <v>0</v>
      </c>
    </row>
    <row r="3610" spans="2:11" ht="19" customHeight="1">
      <c r="B3610" s="464">
        <v>46101</v>
      </c>
      <c r="C3610" s="436" t="s">
        <v>256</v>
      </c>
      <c r="D3610" s="436" t="s">
        <v>679</v>
      </c>
      <c r="E3610" s="436">
        <v>1</v>
      </c>
      <c r="F3610" s="465">
        <v>10.25</v>
      </c>
      <c r="G3610" s="466">
        <v>10.25</v>
      </c>
      <c r="H3610" s="466">
        <f>G3610/1.1</f>
        <v>9.3181818181818166</v>
      </c>
      <c r="I3610" s="436"/>
      <c r="J3610" s="465">
        <v>0</v>
      </c>
      <c r="K3610" s="465">
        <v>0</v>
      </c>
    </row>
    <row r="3611" spans="2:11" ht="19" customHeight="1">
      <c r="B3611" s="464">
        <v>46101</v>
      </c>
      <c r="C3611" s="436" t="s">
        <v>251</v>
      </c>
      <c r="D3611" s="436" t="s">
        <v>265</v>
      </c>
      <c r="E3611" s="436">
        <v>1</v>
      </c>
      <c r="F3611" s="465">
        <v>2.8</v>
      </c>
      <c r="G3611" s="466">
        <v>2.8</v>
      </c>
      <c r="H3611" s="466">
        <f>G3611/1.1</f>
        <v>2.545454545454545</v>
      </c>
      <c r="I3611" s="436"/>
      <c r="J3611" s="465">
        <v>0</v>
      </c>
      <c r="K3611" s="465">
        <v>0</v>
      </c>
    </row>
    <row r="3612" spans="2:11" ht="19" customHeight="1">
      <c r="B3612" s="464">
        <v>46101</v>
      </c>
      <c r="C3612" s="436" t="s">
        <v>326</v>
      </c>
      <c r="D3612" s="436" t="s">
        <v>812</v>
      </c>
      <c r="E3612" s="436">
        <v>1</v>
      </c>
      <c r="F3612" s="465">
        <v>13.15</v>
      </c>
      <c r="G3612" s="466">
        <v>13.15</v>
      </c>
      <c r="H3612" s="466">
        <f>G3612/1.1</f>
        <v>11.954545454545453</v>
      </c>
      <c r="I3612" s="436"/>
      <c r="J3612" s="465">
        <v>0</v>
      </c>
      <c r="K3612" s="465">
        <v>0</v>
      </c>
    </row>
    <row r="3613" spans="2:11" ht="19" customHeight="1">
      <c r="B3613" s="464">
        <v>46101</v>
      </c>
      <c r="C3613" s="436" t="s">
        <v>247</v>
      </c>
      <c r="D3613" s="436" t="s">
        <v>246</v>
      </c>
      <c r="E3613" s="436">
        <v>1</v>
      </c>
      <c r="F3613" s="465">
        <v>1.85</v>
      </c>
      <c r="G3613" s="466">
        <v>1.85</v>
      </c>
      <c r="H3613" s="466">
        <f>G3613/1.1</f>
        <v>1.6818181818181817</v>
      </c>
      <c r="I3613" s="436"/>
      <c r="J3613" s="465">
        <v>0</v>
      </c>
      <c r="K3613" s="465">
        <v>0</v>
      </c>
    </row>
    <row r="3614" spans="2:11" ht="19" customHeight="1">
      <c r="B3614" s="464">
        <v>46101</v>
      </c>
      <c r="C3614" s="436" t="s">
        <v>251</v>
      </c>
      <c r="D3614" s="436" t="s">
        <v>265</v>
      </c>
      <c r="E3614" s="436">
        <v>1</v>
      </c>
      <c r="F3614" s="465">
        <v>2.8</v>
      </c>
      <c r="G3614" s="466">
        <v>2.8</v>
      </c>
      <c r="H3614" s="466">
        <f>G3614/1.1</f>
        <v>2.545454545454545</v>
      </c>
      <c r="I3614" s="436"/>
      <c r="J3614" s="465">
        <v>0</v>
      </c>
      <c r="K3614" s="465">
        <v>0</v>
      </c>
    </row>
    <row r="3615" spans="2:11" ht="19" customHeight="1">
      <c r="B3615" s="464">
        <v>46101</v>
      </c>
      <c r="C3615" s="436" t="s">
        <v>251</v>
      </c>
      <c r="D3615" s="436" t="s">
        <v>926</v>
      </c>
      <c r="E3615" s="436">
        <v>2</v>
      </c>
      <c r="F3615" s="465">
        <v>2.8</v>
      </c>
      <c r="G3615" s="466">
        <v>5.6</v>
      </c>
      <c r="H3615" s="466">
        <f>G3615/1.1</f>
        <v>5.0909090909090899</v>
      </c>
      <c r="I3615" s="436"/>
      <c r="J3615" s="465">
        <v>0</v>
      </c>
      <c r="K3615" s="465">
        <v>0</v>
      </c>
    </row>
    <row r="3616" spans="2:11" ht="19" customHeight="1">
      <c r="B3616" s="464">
        <v>46101</v>
      </c>
      <c r="C3616" s="436" t="s">
        <v>256</v>
      </c>
      <c r="D3616" s="436" t="s">
        <v>931</v>
      </c>
      <c r="E3616" s="436">
        <v>1</v>
      </c>
      <c r="F3616" s="465">
        <v>8.75</v>
      </c>
      <c r="G3616" s="466">
        <v>8.75</v>
      </c>
      <c r="H3616" s="466">
        <f>G3616/1.1</f>
        <v>7.9545454545454541</v>
      </c>
      <c r="I3616" s="436"/>
      <c r="J3616" s="465">
        <v>0</v>
      </c>
      <c r="K3616" s="465">
        <v>0</v>
      </c>
    </row>
    <row r="3617" spans="2:11" ht="19" customHeight="1">
      <c r="B3617" s="464">
        <v>46101</v>
      </c>
      <c r="C3617" s="436" t="s">
        <v>256</v>
      </c>
      <c r="D3617" s="436" t="s">
        <v>262</v>
      </c>
      <c r="E3617" s="436">
        <v>1</v>
      </c>
      <c r="F3617" s="465">
        <v>12.15</v>
      </c>
      <c r="G3617" s="466">
        <v>12.15</v>
      </c>
      <c r="H3617" s="466">
        <f>G3617/1.1</f>
        <v>11.045454545454545</v>
      </c>
      <c r="I3617" s="436"/>
      <c r="J3617" s="465">
        <v>0</v>
      </c>
      <c r="K3617" s="465">
        <v>0</v>
      </c>
    </row>
    <row r="3618" spans="2:11" ht="19" customHeight="1">
      <c r="B3618" s="464">
        <v>46101</v>
      </c>
      <c r="C3618" s="436" t="s">
        <v>256</v>
      </c>
      <c r="D3618" s="436" t="s">
        <v>255</v>
      </c>
      <c r="E3618" s="436">
        <v>1</v>
      </c>
      <c r="F3618" s="465">
        <v>5.85</v>
      </c>
      <c r="G3618" s="466">
        <v>5.85</v>
      </c>
      <c r="H3618" s="466">
        <f>G3618/1.1</f>
        <v>5.3181818181818175</v>
      </c>
      <c r="I3618" s="436"/>
      <c r="J3618" s="465">
        <v>0</v>
      </c>
      <c r="K3618" s="465">
        <v>0</v>
      </c>
    </row>
    <row r="3619" spans="2:11" ht="19" customHeight="1">
      <c r="B3619" s="464">
        <v>46101</v>
      </c>
      <c r="C3619" s="436" t="s">
        <v>264</v>
      </c>
      <c r="D3619" s="436" t="s">
        <v>1175</v>
      </c>
      <c r="E3619" s="436">
        <v>1</v>
      </c>
      <c r="F3619" s="465">
        <v>1.75</v>
      </c>
      <c r="G3619" s="466">
        <v>1.75</v>
      </c>
      <c r="H3619" s="466">
        <f>G3619/1.1</f>
        <v>1.5909090909090908</v>
      </c>
      <c r="I3619" s="436"/>
      <c r="J3619" s="465">
        <v>0</v>
      </c>
      <c r="K3619" s="465">
        <v>0</v>
      </c>
    </row>
    <row r="3620" spans="2:11" ht="19" customHeight="1">
      <c r="B3620" s="464">
        <v>46101</v>
      </c>
      <c r="C3620" s="436" t="s">
        <v>247</v>
      </c>
      <c r="D3620" s="436" t="s">
        <v>257</v>
      </c>
      <c r="E3620" s="436">
        <v>2</v>
      </c>
      <c r="F3620" s="465">
        <v>1.7</v>
      </c>
      <c r="G3620" s="466">
        <v>3.4</v>
      </c>
      <c r="H3620" s="466">
        <f>G3620/1.1</f>
        <v>3.0909090909090904</v>
      </c>
      <c r="I3620" s="436"/>
      <c r="J3620" s="465">
        <v>0</v>
      </c>
      <c r="K3620" s="465">
        <v>0</v>
      </c>
    </row>
    <row r="3621" spans="2:11" ht="19" customHeight="1">
      <c r="B3621" s="464">
        <v>46101</v>
      </c>
      <c r="C3621" s="436" t="s">
        <v>251</v>
      </c>
      <c r="D3621" s="436" t="s">
        <v>250</v>
      </c>
      <c r="E3621" s="436">
        <v>2</v>
      </c>
      <c r="F3621" s="465">
        <v>2.0499999999999998</v>
      </c>
      <c r="G3621" s="466">
        <v>4.0999999999999996</v>
      </c>
      <c r="H3621" s="466">
        <f>G3621/1.1</f>
        <v>3.7272727272727266</v>
      </c>
      <c r="I3621" s="436"/>
      <c r="J3621" s="465">
        <v>0</v>
      </c>
      <c r="K3621" s="465">
        <v>0</v>
      </c>
    </row>
    <row r="3622" spans="2:11" ht="19" customHeight="1">
      <c r="B3622" s="464">
        <v>46101</v>
      </c>
      <c r="C3622" s="436" t="s">
        <v>256</v>
      </c>
      <c r="D3622" s="436" t="s">
        <v>262</v>
      </c>
      <c r="E3622" s="436">
        <v>1</v>
      </c>
      <c r="F3622" s="465">
        <v>12.15</v>
      </c>
      <c r="G3622" s="466">
        <v>12.15</v>
      </c>
      <c r="H3622" s="466">
        <f>G3622/1.1</f>
        <v>11.045454545454545</v>
      </c>
      <c r="I3622" s="436"/>
      <c r="J3622" s="465">
        <v>0</v>
      </c>
      <c r="K3622" s="465">
        <v>0</v>
      </c>
    </row>
    <row r="3623" spans="2:11" ht="19" customHeight="1">
      <c r="B3623" s="464">
        <v>46101</v>
      </c>
      <c r="C3623" s="436" t="s">
        <v>256</v>
      </c>
      <c r="D3623" s="436" t="s">
        <v>912</v>
      </c>
      <c r="E3623" s="436">
        <v>1</v>
      </c>
      <c r="F3623" s="465">
        <v>5.75</v>
      </c>
      <c r="G3623" s="466">
        <v>5.75</v>
      </c>
      <c r="H3623" s="466">
        <f>G3623/1.1</f>
        <v>5.2272727272727266</v>
      </c>
      <c r="I3623" s="436"/>
      <c r="J3623" s="465">
        <v>0</v>
      </c>
      <c r="K3623" s="465">
        <v>0</v>
      </c>
    </row>
    <row r="3624" spans="2:11" ht="19" customHeight="1">
      <c r="B3624" s="464">
        <v>46101</v>
      </c>
      <c r="C3624" s="436" t="s">
        <v>326</v>
      </c>
      <c r="D3624" s="436" t="s">
        <v>1073</v>
      </c>
      <c r="E3624" s="436">
        <v>1</v>
      </c>
      <c r="F3624" s="465">
        <v>10.25</v>
      </c>
      <c r="G3624" s="466">
        <v>10.25</v>
      </c>
      <c r="H3624" s="466">
        <f>G3624/1.1</f>
        <v>9.3181818181818166</v>
      </c>
      <c r="I3624" s="436"/>
      <c r="J3624" s="465">
        <v>0</v>
      </c>
      <c r="K3624" s="465">
        <v>0</v>
      </c>
    </row>
    <row r="3625" spans="2:11" ht="19" customHeight="1">
      <c r="B3625" s="464">
        <v>46101</v>
      </c>
      <c r="C3625" s="436" t="s">
        <v>253</v>
      </c>
      <c r="D3625" s="436" t="s">
        <v>676</v>
      </c>
      <c r="E3625" s="436">
        <v>2</v>
      </c>
      <c r="F3625" s="465">
        <v>3.1</v>
      </c>
      <c r="G3625" s="466">
        <v>6.2</v>
      </c>
      <c r="H3625" s="466">
        <f>G3625/1.1</f>
        <v>5.6363636363636358</v>
      </c>
      <c r="I3625" s="436"/>
      <c r="J3625" s="465">
        <v>0</v>
      </c>
      <c r="K3625" s="465">
        <v>0</v>
      </c>
    </row>
    <row r="3626" spans="2:11" ht="19" customHeight="1">
      <c r="B3626" s="464">
        <v>46101</v>
      </c>
      <c r="C3626" s="436" t="s">
        <v>251</v>
      </c>
      <c r="D3626" s="436" t="s">
        <v>265</v>
      </c>
      <c r="E3626" s="436">
        <v>1</v>
      </c>
      <c r="F3626" s="465">
        <v>2.8</v>
      </c>
      <c r="G3626" s="466">
        <v>2.8</v>
      </c>
      <c r="H3626" s="466">
        <f>G3626/1.1</f>
        <v>2.545454545454545</v>
      </c>
      <c r="I3626" s="436"/>
      <c r="J3626" s="465">
        <v>0</v>
      </c>
      <c r="K3626" s="465">
        <v>0</v>
      </c>
    </row>
    <row r="3627" spans="2:11" ht="19" customHeight="1">
      <c r="B3627" s="464">
        <v>46101</v>
      </c>
      <c r="C3627" s="436" t="s">
        <v>251</v>
      </c>
      <c r="D3627" s="436" t="s">
        <v>250</v>
      </c>
      <c r="E3627" s="436">
        <v>2</v>
      </c>
      <c r="F3627" s="465">
        <v>2.0499999999999998</v>
      </c>
      <c r="G3627" s="466">
        <v>4.0999999999999996</v>
      </c>
      <c r="H3627" s="466">
        <f>G3627/1.1</f>
        <v>3.7272727272727266</v>
      </c>
      <c r="I3627" s="436"/>
      <c r="J3627" s="465">
        <v>0</v>
      </c>
      <c r="K3627" s="465">
        <v>0</v>
      </c>
    </row>
    <row r="3628" spans="2:11" ht="19" customHeight="1">
      <c r="B3628" s="464">
        <v>46101</v>
      </c>
      <c r="C3628" s="436" t="s">
        <v>264</v>
      </c>
      <c r="D3628" s="436" t="s">
        <v>930</v>
      </c>
      <c r="E3628" s="436">
        <v>1</v>
      </c>
      <c r="F3628" s="465">
        <v>3.75</v>
      </c>
      <c r="G3628" s="466">
        <v>3.75</v>
      </c>
      <c r="H3628" s="466">
        <f>G3628/1.1</f>
        <v>3.4090909090909087</v>
      </c>
      <c r="I3628" s="436"/>
      <c r="J3628" s="465">
        <v>0</v>
      </c>
      <c r="K3628" s="465">
        <v>0</v>
      </c>
    </row>
    <row r="3629" spans="2:11" ht="19" customHeight="1">
      <c r="B3629" s="464">
        <v>46101</v>
      </c>
      <c r="C3629" s="436" t="s">
        <v>256</v>
      </c>
      <c r="D3629" s="436" t="s">
        <v>912</v>
      </c>
      <c r="E3629" s="436">
        <v>1</v>
      </c>
      <c r="F3629" s="465">
        <v>5.75</v>
      </c>
      <c r="G3629" s="466">
        <v>5.75</v>
      </c>
      <c r="H3629" s="466">
        <f>G3629/1.1</f>
        <v>5.2272727272727266</v>
      </c>
      <c r="I3629" s="436"/>
      <c r="J3629" s="465">
        <v>0</v>
      </c>
      <c r="K3629" s="465">
        <v>0</v>
      </c>
    </row>
    <row r="3630" spans="2:11" ht="19" customHeight="1">
      <c r="B3630" s="464">
        <v>46101</v>
      </c>
      <c r="C3630" s="436" t="s">
        <v>256</v>
      </c>
      <c r="D3630" s="436" t="s">
        <v>262</v>
      </c>
      <c r="E3630" s="436">
        <v>2</v>
      </c>
      <c r="F3630" s="465">
        <v>12.15</v>
      </c>
      <c r="G3630" s="466">
        <v>24.3</v>
      </c>
      <c r="H3630" s="466">
        <f>G3630/1.1</f>
        <v>22.09090909090909</v>
      </c>
      <c r="I3630" s="436"/>
      <c r="J3630" s="465">
        <v>0</v>
      </c>
      <c r="K3630" s="465">
        <v>0</v>
      </c>
    </row>
    <row r="3631" spans="2:11" ht="19" customHeight="1">
      <c r="B3631" s="464">
        <v>46101</v>
      </c>
      <c r="C3631" s="436" t="s">
        <v>277</v>
      </c>
      <c r="D3631" s="436" t="s">
        <v>1188</v>
      </c>
      <c r="E3631" s="436">
        <v>1</v>
      </c>
      <c r="F3631" s="465">
        <v>11.15</v>
      </c>
      <c r="G3631" s="466">
        <v>11.15</v>
      </c>
      <c r="H3631" s="466">
        <f>G3631/1.1</f>
        <v>10.136363636363637</v>
      </c>
      <c r="I3631" s="436"/>
      <c r="J3631" s="465">
        <v>0</v>
      </c>
      <c r="K3631" s="465">
        <v>0</v>
      </c>
    </row>
    <row r="3632" spans="2:11" ht="19" customHeight="1">
      <c r="B3632" s="464">
        <v>46101</v>
      </c>
      <c r="C3632" s="436" t="s">
        <v>256</v>
      </c>
      <c r="D3632" s="436" t="s">
        <v>255</v>
      </c>
      <c r="E3632" s="436">
        <v>2</v>
      </c>
      <c r="F3632" s="465">
        <v>5.85</v>
      </c>
      <c r="G3632" s="466">
        <v>11.7</v>
      </c>
      <c r="H3632" s="466">
        <f>G3632/1.1</f>
        <v>10.636363636363635</v>
      </c>
      <c r="I3632" s="436"/>
      <c r="J3632" s="465">
        <v>0</v>
      </c>
      <c r="K3632" s="465">
        <v>0</v>
      </c>
    </row>
    <row r="3633" spans="2:11" ht="19" customHeight="1">
      <c r="B3633" s="464">
        <v>46101</v>
      </c>
      <c r="C3633" s="436" t="s">
        <v>253</v>
      </c>
      <c r="D3633" s="436" t="s">
        <v>869</v>
      </c>
      <c r="E3633" s="436">
        <v>1</v>
      </c>
      <c r="F3633" s="465">
        <v>2.5</v>
      </c>
      <c r="G3633" s="466">
        <v>2.5</v>
      </c>
      <c r="H3633" s="466">
        <f>G3633/1.1</f>
        <v>2.2727272727272725</v>
      </c>
      <c r="I3633" s="436"/>
      <c r="J3633" s="465">
        <v>0</v>
      </c>
      <c r="K3633" s="465">
        <v>0</v>
      </c>
    </row>
    <row r="3634" spans="2:11" ht="19" customHeight="1">
      <c r="B3634" s="464">
        <v>46101</v>
      </c>
      <c r="C3634" s="436" t="s">
        <v>253</v>
      </c>
      <c r="D3634" s="436" t="s">
        <v>969</v>
      </c>
      <c r="E3634" s="436">
        <v>1</v>
      </c>
      <c r="F3634" s="465">
        <v>3.35</v>
      </c>
      <c r="G3634" s="466">
        <v>3.35</v>
      </c>
      <c r="H3634" s="466">
        <f>G3634/1.1</f>
        <v>3.0454545454545454</v>
      </c>
      <c r="I3634" s="436"/>
      <c r="J3634" s="465">
        <v>0</v>
      </c>
      <c r="K3634" s="465">
        <v>0</v>
      </c>
    </row>
    <row r="3635" spans="2:11" ht="19" customHeight="1">
      <c r="B3635" s="464">
        <v>46101</v>
      </c>
      <c r="C3635" s="436" t="s">
        <v>251</v>
      </c>
      <c r="D3635" s="436" t="s">
        <v>900</v>
      </c>
      <c r="E3635" s="436">
        <v>1</v>
      </c>
      <c r="F3635" s="465">
        <v>2.65</v>
      </c>
      <c r="G3635" s="466">
        <v>2.65</v>
      </c>
      <c r="H3635" s="466">
        <f>G3635/1.1</f>
        <v>2.4090909090909087</v>
      </c>
      <c r="I3635" s="436"/>
      <c r="J3635" s="465">
        <v>0</v>
      </c>
      <c r="K3635" s="465">
        <v>0</v>
      </c>
    </row>
    <row r="3636" spans="2:11" ht="19" customHeight="1">
      <c r="B3636" s="464">
        <v>46101</v>
      </c>
      <c r="C3636" s="436" t="s">
        <v>247</v>
      </c>
      <c r="D3636" s="436" t="s">
        <v>248</v>
      </c>
      <c r="E3636" s="436">
        <v>1</v>
      </c>
      <c r="F3636" s="465">
        <v>1.65</v>
      </c>
      <c r="G3636" s="466">
        <v>1.65</v>
      </c>
      <c r="H3636" s="466">
        <f>G3636/1.1</f>
        <v>1.4999999999999998</v>
      </c>
      <c r="I3636" s="436"/>
      <c r="J3636" s="465">
        <v>0</v>
      </c>
      <c r="K3636" s="465">
        <v>0</v>
      </c>
    </row>
    <row r="3637" spans="2:11" ht="19" customHeight="1">
      <c r="B3637" s="464">
        <v>46101</v>
      </c>
      <c r="C3637" s="436" t="s">
        <v>251</v>
      </c>
      <c r="D3637" s="436" t="s">
        <v>927</v>
      </c>
      <c r="E3637" s="436">
        <v>1</v>
      </c>
      <c r="F3637" s="465">
        <v>2.65</v>
      </c>
      <c r="G3637" s="466">
        <v>2.65</v>
      </c>
      <c r="H3637" s="466">
        <f>G3637/1.1</f>
        <v>2.4090909090909087</v>
      </c>
      <c r="I3637" s="436"/>
      <c r="J3637" s="465">
        <v>0</v>
      </c>
      <c r="K3637" s="465">
        <v>0</v>
      </c>
    </row>
    <row r="3638" spans="2:11" ht="19" customHeight="1">
      <c r="B3638" s="464">
        <v>46101</v>
      </c>
      <c r="C3638" s="436" t="s">
        <v>251</v>
      </c>
      <c r="D3638" s="436" t="s">
        <v>926</v>
      </c>
      <c r="E3638" s="436">
        <v>1</v>
      </c>
      <c r="F3638" s="465">
        <v>2.65</v>
      </c>
      <c r="G3638" s="466">
        <v>2.65</v>
      </c>
      <c r="H3638" s="466">
        <f>G3638/1.1</f>
        <v>2.4090909090909087</v>
      </c>
      <c r="I3638" s="436"/>
      <c r="J3638" s="465">
        <v>0</v>
      </c>
      <c r="K3638" s="465">
        <v>0</v>
      </c>
    </row>
    <row r="3639" spans="2:11" ht="19" customHeight="1">
      <c r="B3639" s="464">
        <v>46101</v>
      </c>
      <c r="C3639" s="436" t="s">
        <v>328</v>
      </c>
      <c r="D3639" s="436" t="s">
        <v>769</v>
      </c>
      <c r="E3639" s="436">
        <v>1</v>
      </c>
      <c r="F3639" s="465">
        <v>5.4</v>
      </c>
      <c r="G3639" s="466">
        <v>5.4</v>
      </c>
      <c r="H3639" s="466">
        <f>G3639/1.1</f>
        <v>4.9090909090909092</v>
      </c>
      <c r="I3639" s="436"/>
      <c r="J3639" s="465">
        <v>0</v>
      </c>
      <c r="K3639" s="465">
        <v>0</v>
      </c>
    </row>
    <row r="3640" spans="2:11" ht="19" customHeight="1">
      <c r="B3640" s="464">
        <v>46101</v>
      </c>
      <c r="C3640" s="436" t="s">
        <v>256</v>
      </c>
      <c r="D3640" s="436" t="s">
        <v>870</v>
      </c>
      <c r="E3640" s="436">
        <v>1</v>
      </c>
      <c r="F3640" s="465">
        <v>8.5</v>
      </c>
      <c r="G3640" s="466">
        <v>8.5</v>
      </c>
      <c r="H3640" s="466">
        <f>G3640/1.1</f>
        <v>7.7272727272727266</v>
      </c>
      <c r="I3640" s="436"/>
      <c r="J3640" s="465">
        <v>0</v>
      </c>
      <c r="K3640" s="465">
        <v>0</v>
      </c>
    </row>
    <row r="3641" spans="2:11" ht="19" customHeight="1">
      <c r="B3641" s="464">
        <v>46101</v>
      </c>
      <c r="C3641" s="436" t="s">
        <v>256</v>
      </c>
      <c r="D3641" s="436" t="s">
        <v>255</v>
      </c>
      <c r="E3641" s="436">
        <v>1</v>
      </c>
      <c r="F3641" s="465">
        <v>5.6</v>
      </c>
      <c r="G3641" s="466">
        <v>5.6</v>
      </c>
      <c r="H3641" s="466">
        <f>G3641/1.1</f>
        <v>5.0909090909090899</v>
      </c>
      <c r="I3641" s="436"/>
      <c r="J3641" s="465">
        <v>0</v>
      </c>
      <c r="K3641" s="465">
        <v>0</v>
      </c>
    </row>
    <row r="3642" spans="2:11" ht="19" customHeight="1">
      <c r="B3642" s="464">
        <v>46101</v>
      </c>
      <c r="C3642" s="436" t="s">
        <v>247</v>
      </c>
      <c r="D3642" s="436" t="s">
        <v>246</v>
      </c>
      <c r="E3642" s="436">
        <v>1</v>
      </c>
      <c r="F3642" s="465">
        <v>1.7</v>
      </c>
      <c r="G3642" s="466">
        <v>1.7</v>
      </c>
      <c r="H3642" s="466">
        <f>G3642/1.1</f>
        <v>1.5454545454545452</v>
      </c>
      <c r="I3642" s="436"/>
      <c r="J3642" s="465">
        <v>0</v>
      </c>
      <c r="K3642" s="465">
        <v>0</v>
      </c>
    </row>
    <row r="3643" spans="2:11" ht="19" customHeight="1">
      <c r="B3643" s="464">
        <v>46101</v>
      </c>
      <c r="C3643" s="436" t="s">
        <v>268</v>
      </c>
      <c r="D3643" s="436" t="s">
        <v>860</v>
      </c>
      <c r="E3643" s="436">
        <v>1</v>
      </c>
      <c r="F3643" s="465">
        <v>2.25</v>
      </c>
      <c r="G3643" s="466">
        <v>2.25</v>
      </c>
      <c r="H3643" s="466">
        <f>G3643/1.1</f>
        <v>2.0454545454545454</v>
      </c>
      <c r="I3643" s="436"/>
      <c r="J3643" s="465">
        <v>0</v>
      </c>
      <c r="K3643" s="465">
        <v>0</v>
      </c>
    </row>
    <row r="3644" spans="2:11" ht="19" customHeight="1">
      <c r="B3644" s="464">
        <v>46101</v>
      </c>
      <c r="C3644" s="436" t="s">
        <v>247</v>
      </c>
      <c r="D3644" s="436" t="s">
        <v>246</v>
      </c>
      <c r="E3644" s="436">
        <v>1</v>
      </c>
      <c r="F3644" s="465">
        <v>1.7</v>
      </c>
      <c r="G3644" s="466">
        <v>1.7</v>
      </c>
      <c r="H3644" s="466">
        <f>G3644/1.1</f>
        <v>1.5454545454545452</v>
      </c>
      <c r="I3644" s="436"/>
      <c r="J3644" s="465">
        <v>0</v>
      </c>
      <c r="K3644" s="465">
        <v>0</v>
      </c>
    </row>
    <row r="3645" spans="2:11" ht="19" customHeight="1">
      <c r="B3645" s="464">
        <v>46101</v>
      </c>
      <c r="C3645" s="436" t="s">
        <v>894</v>
      </c>
      <c r="D3645" s="436" t="s">
        <v>895</v>
      </c>
      <c r="E3645" s="436">
        <v>2</v>
      </c>
      <c r="F3645" s="465">
        <v>7.1</v>
      </c>
      <c r="G3645" s="466">
        <v>14.2</v>
      </c>
      <c r="H3645" s="466">
        <f>G3645/1.1</f>
        <v>12.909090909090908</v>
      </c>
      <c r="I3645" s="436"/>
      <c r="J3645" s="465">
        <v>0</v>
      </c>
      <c r="K3645" s="465">
        <v>0</v>
      </c>
    </row>
    <row r="3646" spans="2:11" ht="19" customHeight="1">
      <c r="B3646" s="464">
        <v>46101</v>
      </c>
      <c r="C3646" s="436" t="s">
        <v>247</v>
      </c>
      <c r="D3646" s="436" t="s">
        <v>246</v>
      </c>
      <c r="E3646" s="436">
        <v>1</v>
      </c>
      <c r="F3646" s="465">
        <v>1.7</v>
      </c>
      <c r="G3646" s="466">
        <v>1.7</v>
      </c>
      <c r="H3646" s="466">
        <f>G3646/1.1</f>
        <v>1.5454545454545452</v>
      </c>
      <c r="I3646" s="436"/>
      <c r="J3646" s="465">
        <v>0</v>
      </c>
      <c r="K3646" s="465">
        <v>0</v>
      </c>
    </row>
    <row r="3647" spans="2:11" ht="19" customHeight="1">
      <c r="B3647" s="464">
        <v>46101</v>
      </c>
      <c r="C3647" s="436" t="s">
        <v>862</v>
      </c>
      <c r="D3647" s="436" t="s">
        <v>907</v>
      </c>
      <c r="E3647" s="436">
        <v>1</v>
      </c>
      <c r="F3647" s="465">
        <v>0.15</v>
      </c>
      <c r="G3647" s="466">
        <v>0.15</v>
      </c>
      <c r="H3647" s="466">
        <f>G3647/1.1</f>
        <v>0.13636363636363635</v>
      </c>
      <c r="I3647" s="436"/>
      <c r="J3647" s="465">
        <v>0</v>
      </c>
      <c r="K3647" s="465">
        <v>0</v>
      </c>
    </row>
    <row r="3648" spans="2:11" ht="19" customHeight="1">
      <c r="B3648" s="464">
        <v>46101</v>
      </c>
      <c r="C3648" s="436" t="s">
        <v>268</v>
      </c>
      <c r="D3648" s="436" t="s">
        <v>858</v>
      </c>
      <c r="E3648" s="436">
        <v>2</v>
      </c>
      <c r="F3648" s="465">
        <v>0.65</v>
      </c>
      <c r="G3648" s="466">
        <v>1.3</v>
      </c>
      <c r="H3648" s="466">
        <f>G3648/1.1</f>
        <v>1.1818181818181817</v>
      </c>
      <c r="I3648" s="436"/>
      <c r="J3648" s="465">
        <v>0</v>
      </c>
      <c r="K3648" s="465">
        <v>0</v>
      </c>
    </row>
    <row r="3649" spans="2:11" ht="19" customHeight="1">
      <c r="B3649" s="464">
        <v>46101</v>
      </c>
      <c r="C3649" s="436" t="s">
        <v>247</v>
      </c>
      <c r="D3649" s="436" t="s">
        <v>257</v>
      </c>
      <c r="E3649" s="436">
        <v>1</v>
      </c>
      <c r="F3649" s="465">
        <v>1.4</v>
      </c>
      <c r="G3649" s="466">
        <v>1.4</v>
      </c>
      <c r="H3649" s="466">
        <f>G3649/1.1</f>
        <v>1.2727272727272725</v>
      </c>
      <c r="I3649" s="436"/>
      <c r="J3649" s="465">
        <v>0</v>
      </c>
      <c r="K3649" s="465">
        <v>0</v>
      </c>
    </row>
    <row r="3650" spans="2:11" ht="19" customHeight="1">
      <c r="B3650" s="464">
        <v>46101</v>
      </c>
      <c r="C3650" s="436" t="s">
        <v>251</v>
      </c>
      <c r="D3650" s="436" t="s">
        <v>854</v>
      </c>
      <c r="E3650" s="436">
        <v>1</v>
      </c>
      <c r="F3650" s="465">
        <v>1.55</v>
      </c>
      <c r="G3650" s="466">
        <v>1.55</v>
      </c>
      <c r="H3650" s="466">
        <f>G3650/1.1</f>
        <v>1.4090909090909089</v>
      </c>
      <c r="I3650" s="436"/>
      <c r="J3650" s="465">
        <v>0</v>
      </c>
      <c r="K3650" s="465">
        <v>0</v>
      </c>
    </row>
    <row r="3651" spans="2:11" ht="19" customHeight="1">
      <c r="B3651" s="464">
        <v>46101</v>
      </c>
      <c r="C3651" s="436" t="s">
        <v>327</v>
      </c>
      <c r="D3651" s="436" t="s">
        <v>939</v>
      </c>
      <c r="E3651" s="436">
        <v>1</v>
      </c>
      <c r="F3651" s="465">
        <v>4.8499999999999996</v>
      </c>
      <c r="G3651" s="466">
        <v>4.8499999999999996</v>
      </c>
      <c r="H3651" s="466">
        <f>G3651/1.1</f>
        <v>4.4090909090909083</v>
      </c>
      <c r="I3651" s="436"/>
      <c r="J3651" s="465">
        <v>0</v>
      </c>
      <c r="K3651" s="465">
        <v>0</v>
      </c>
    </row>
    <row r="3652" spans="2:11" ht="19" customHeight="1">
      <c r="B3652" s="464">
        <v>46101</v>
      </c>
      <c r="C3652" s="436" t="s">
        <v>264</v>
      </c>
      <c r="D3652" s="436" t="s">
        <v>891</v>
      </c>
      <c r="E3652" s="436">
        <v>1</v>
      </c>
      <c r="F3652" s="465">
        <v>1.4</v>
      </c>
      <c r="G3652" s="466">
        <v>1.4</v>
      </c>
      <c r="H3652" s="466">
        <f>G3652/1.1</f>
        <v>1.2727272727272725</v>
      </c>
      <c r="I3652" s="436"/>
      <c r="J3652" s="465">
        <v>0</v>
      </c>
      <c r="K3652" s="465">
        <v>0</v>
      </c>
    </row>
    <row r="3653" spans="2:11" ht="19" customHeight="1">
      <c r="B3653" s="464">
        <v>46101</v>
      </c>
      <c r="C3653" s="436" t="s">
        <v>327</v>
      </c>
      <c r="D3653" s="436" t="s">
        <v>712</v>
      </c>
      <c r="E3653" s="436">
        <v>1</v>
      </c>
      <c r="F3653" s="465">
        <v>3.5</v>
      </c>
      <c r="G3653" s="466">
        <v>3.5</v>
      </c>
      <c r="H3653" s="466">
        <f>G3653/1.1</f>
        <v>3.1818181818181817</v>
      </c>
      <c r="I3653" s="436"/>
      <c r="J3653" s="465">
        <v>0</v>
      </c>
      <c r="K3653" s="465">
        <v>0</v>
      </c>
    </row>
    <row r="3654" spans="2:11" ht="19" customHeight="1">
      <c r="B3654" s="464">
        <v>46101</v>
      </c>
      <c r="C3654" s="436" t="s">
        <v>264</v>
      </c>
      <c r="D3654" s="436" t="s">
        <v>967</v>
      </c>
      <c r="E3654" s="436">
        <v>1</v>
      </c>
      <c r="F3654" s="465">
        <v>0.7</v>
      </c>
      <c r="G3654" s="466">
        <v>0.7</v>
      </c>
      <c r="H3654" s="466">
        <f>G3654/1.1</f>
        <v>0.63636363636363624</v>
      </c>
      <c r="I3654" s="436"/>
      <c r="J3654" s="465">
        <v>0</v>
      </c>
      <c r="K3654" s="465">
        <v>0</v>
      </c>
    </row>
    <row r="3655" spans="2:11" ht="19" customHeight="1">
      <c r="B3655" s="464">
        <v>46101</v>
      </c>
      <c r="C3655" s="436" t="s">
        <v>247</v>
      </c>
      <c r="D3655" s="436" t="s">
        <v>246</v>
      </c>
      <c r="E3655" s="436">
        <v>2</v>
      </c>
      <c r="F3655" s="465">
        <v>1.7</v>
      </c>
      <c r="G3655" s="466">
        <v>3.4</v>
      </c>
      <c r="H3655" s="466">
        <f>G3655/1.1</f>
        <v>3.0909090909090904</v>
      </c>
      <c r="I3655" s="436"/>
      <c r="J3655" s="465">
        <v>0</v>
      </c>
      <c r="K3655" s="465">
        <v>0</v>
      </c>
    </row>
    <row r="3656" spans="2:11" ht="19" customHeight="1">
      <c r="B3656" s="464">
        <v>46101</v>
      </c>
      <c r="C3656" s="436" t="s">
        <v>247</v>
      </c>
      <c r="D3656" s="436" t="s">
        <v>246</v>
      </c>
      <c r="E3656" s="436">
        <v>1</v>
      </c>
      <c r="F3656" s="465">
        <v>1.7</v>
      </c>
      <c r="G3656" s="466">
        <v>1.7</v>
      </c>
      <c r="H3656" s="466">
        <f>G3656/1.1</f>
        <v>1.5454545454545452</v>
      </c>
      <c r="I3656" s="436"/>
      <c r="J3656" s="465">
        <v>0</v>
      </c>
      <c r="K3656" s="465">
        <v>0</v>
      </c>
    </row>
    <row r="3657" spans="2:11" ht="19" customHeight="1">
      <c r="B3657" s="464">
        <v>46101</v>
      </c>
      <c r="C3657" s="436" t="s">
        <v>247</v>
      </c>
      <c r="D3657" s="436" t="s">
        <v>257</v>
      </c>
      <c r="E3657" s="436">
        <v>1</v>
      </c>
      <c r="F3657" s="465">
        <v>1.4</v>
      </c>
      <c r="G3657" s="466">
        <v>1.4</v>
      </c>
      <c r="H3657" s="466">
        <f>G3657/1.1</f>
        <v>1.2727272727272725</v>
      </c>
      <c r="I3657" s="436"/>
      <c r="J3657" s="465">
        <v>0</v>
      </c>
      <c r="K3657" s="465">
        <v>0</v>
      </c>
    </row>
    <row r="3658" spans="2:11" ht="19" customHeight="1">
      <c r="B3658" s="464">
        <v>46101</v>
      </c>
      <c r="C3658" s="436" t="s">
        <v>862</v>
      </c>
      <c r="D3658" s="436" t="s">
        <v>863</v>
      </c>
      <c r="E3658" s="436">
        <v>1</v>
      </c>
      <c r="F3658" s="465">
        <v>0.15</v>
      </c>
      <c r="G3658" s="466">
        <v>0.15</v>
      </c>
      <c r="H3658" s="466">
        <f>G3658/1.1</f>
        <v>0.13636363636363635</v>
      </c>
      <c r="I3658" s="436"/>
      <c r="J3658" s="465">
        <v>0</v>
      </c>
      <c r="K3658" s="465">
        <v>0</v>
      </c>
    </row>
    <row r="3659" spans="2:11" ht="19" customHeight="1">
      <c r="B3659" s="464">
        <v>46101</v>
      </c>
      <c r="C3659" s="436" t="s">
        <v>862</v>
      </c>
      <c r="D3659" s="436" t="s">
        <v>907</v>
      </c>
      <c r="E3659" s="436">
        <v>1</v>
      </c>
      <c r="F3659" s="465">
        <v>0.15</v>
      </c>
      <c r="G3659" s="466">
        <v>0.15</v>
      </c>
      <c r="H3659" s="466">
        <f>G3659/1.1</f>
        <v>0.13636363636363635</v>
      </c>
      <c r="I3659" s="436"/>
      <c r="J3659" s="465">
        <v>0</v>
      </c>
      <c r="K3659" s="465">
        <v>0</v>
      </c>
    </row>
    <row r="3660" spans="2:11" ht="19" customHeight="1">
      <c r="B3660" s="464">
        <v>46101</v>
      </c>
      <c r="C3660" s="436" t="s">
        <v>247</v>
      </c>
      <c r="D3660" s="436" t="s">
        <v>248</v>
      </c>
      <c r="E3660" s="436">
        <v>2</v>
      </c>
      <c r="F3660" s="465">
        <v>1.5</v>
      </c>
      <c r="G3660" s="466">
        <v>3</v>
      </c>
      <c r="H3660" s="466">
        <f>G3660/1.1</f>
        <v>2.7272727272727271</v>
      </c>
      <c r="I3660" s="436"/>
      <c r="J3660" s="465">
        <v>0</v>
      </c>
      <c r="K3660" s="465">
        <v>0</v>
      </c>
    </row>
    <row r="3661" spans="2:11" ht="19" customHeight="1">
      <c r="B3661" s="464">
        <v>46101</v>
      </c>
      <c r="C3661" s="436" t="s">
        <v>247</v>
      </c>
      <c r="D3661" s="436" t="s">
        <v>1189</v>
      </c>
      <c r="E3661" s="436">
        <v>1</v>
      </c>
      <c r="F3661" s="465">
        <v>1.5</v>
      </c>
      <c r="G3661" s="466">
        <v>1.5</v>
      </c>
      <c r="H3661" s="466">
        <f>G3661/1.1</f>
        <v>1.3636363636363635</v>
      </c>
      <c r="I3661" s="436"/>
      <c r="J3661" s="465">
        <v>0</v>
      </c>
      <c r="K3661" s="465">
        <v>0</v>
      </c>
    </row>
    <row r="3662" spans="2:11" ht="19" customHeight="1">
      <c r="B3662" s="464">
        <v>46101</v>
      </c>
      <c r="C3662" s="436" t="s">
        <v>268</v>
      </c>
      <c r="D3662" s="436" t="s">
        <v>859</v>
      </c>
      <c r="E3662" s="436">
        <v>1</v>
      </c>
      <c r="F3662" s="465">
        <v>0.75</v>
      </c>
      <c r="G3662" s="466">
        <v>0.75</v>
      </c>
      <c r="H3662" s="466">
        <f>G3662/1.1</f>
        <v>0.68181818181818177</v>
      </c>
      <c r="I3662" s="436"/>
      <c r="J3662" s="465">
        <v>0</v>
      </c>
      <c r="K3662" s="465">
        <v>0</v>
      </c>
    </row>
    <row r="3663" spans="2:11" ht="19" customHeight="1">
      <c r="B3663" s="464">
        <v>46101</v>
      </c>
      <c r="C3663" s="436" t="s">
        <v>247</v>
      </c>
      <c r="D3663" s="436" t="s">
        <v>257</v>
      </c>
      <c r="E3663" s="436">
        <v>1</v>
      </c>
      <c r="F3663" s="465">
        <v>1.4</v>
      </c>
      <c r="G3663" s="466">
        <v>1.4</v>
      </c>
      <c r="H3663" s="466">
        <f>G3663/1.1</f>
        <v>1.2727272727272725</v>
      </c>
      <c r="I3663" s="436"/>
      <c r="J3663" s="465">
        <v>0</v>
      </c>
      <c r="K3663" s="465">
        <v>0</v>
      </c>
    </row>
    <row r="3664" spans="2:11" ht="19" customHeight="1">
      <c r="B3664" s="464">
        <v>46101</v>
      </c>
      <c r="C3664" s="436" t="s">
        <v>247</v>
      </c>
      <c r="D3664" s="436" t="s">
        <v>257</v>
      </c>
      <c r="E3664" s="436">
        <v>1</v>
      </c>
      <c r="F3664" s="465">
        <v>1.4</v>
      </c>
      <c r="G3664" s="466">
        <v>1.4</v>
      </c>
      <c r="H3664" s="466">
        <f>G3664/1.1</f>
        <v>1.2727272727272725</v>
      </c>
      <c r="I3664" s="436"/>
      <c r="J3664" s="465">
        <v>0</v>
      </c>
      <c r="K3664" s="465">
        <v>0</v>
      </c>
    </row>
    <row r="3665" spans="2:11" ht="19" customHeight="1">
      <c r="B3665" s="464">
        <v>46101</v>
      </c>
      <c r="C3665" s="436" t="s">
        <v>247</v>
      </c>
      <c r="D3665" s="436" t="s">
        <v>248</v>
      </c>
      <c r="E3665" s="436">
        <v>1</v>
      </c>
      <c r="F3665" s="465">
        <v>1.5</v>
      </c>
      <c r="G3665" s="466">
        <v>1.5</v>
      </c>
      <c r="H3665" s="466">
        <f>G3665/1.1</f>
        <v>1.3636363636363635</v>
      </c>
      <c r="I3665" s="436"/>
      <c r="J3665" s="465">
        <v>0</v>
      </c>
      <c r="K3665" s="465">
        <v>0</v>
      </c>
    </row>
    <row r="3666" spans="2:11" ht="19" customHeight="1">
      <c r="B3666" s="464">
        <v>46101</v>
      </c>
      <c r="C3666" s="436" t="s">
        <v>247</v>
      </c>
      <c r="D3666" s="436" t="s">
        <v>248</v>
      </c>
      <c r="E3666" s="436">
        <v>1</v>
      </c>
      <c r="F3666" s="465">
        <v>1.5</v>
      </c>
      <c r="G3666" s="466">
        <v>1.5</v>
      </c>
      <c r="H3666" s="466">
        <f>G3666/1.1</f>
        <v>1.3636363636363635</v>
      </c>
      <c r="I3666" s="436"/>
      <c r="J3666" s="465">
        <v>0</v>
      </c>
      <c r="K3666" s="465">
        <v>0</v>
      </c>
    </row>
    <row r="3667" spans="2:11" ht="19" customHeight="1">
      <c r="B3667" s="464">
        <v>46101</v>
      </c>
      <c r="C3667" s="436" t="s">
        <v>247</v>
      </c>
      <c r="D3667" s="436" t="s">
        <v>855</v>
      </c>
      <c r="E3667" s="436">
        <v>1</v>
      </c>
      <c r="F3667" s="465">
        <v>2.5499999999999998</v>
      </c>
      <c r="G3667" s="466">
        <v>2.5499999999999998</v>
      </c>
      <c r="H3667" s="466">
        <f>G3667/1.1</f>
        <v>2.3181818181818179</v>
      </c>
      <c r="I3667" s="436"/>
      <c r="J3667" s="465">
        <v>0</v>
      </c>
      <c r="K3667" s="465">
        <v>0</v>
      </c>
    </row>
    <row r="3668" spans="2:11" ht="19" customHeight="1">
      <c r="B3668" s="464">
        <v>46101</v>
      </c>
      <c r="C3668" s="436" t="s">
        <v>247</v>
      </c>
      <c r="D3668" s="436" t="s">
        <v>246</v>
      </c>
      <c r="E3668" s="436">
        <v>2</v>
      </c>
      <c r="F3668" s="465">
        <v>1.7</v>
      </c>
      <c r="G3668" s="466">
        <v>3.4</v>
      </c>
      <c r="H3668" s="466">
        <f>G3668/1.1</f>
        <v>3.0909090909090904</v>
      </c>
      <c r="I3668" s="436"/>
      <c r="J3668" s="465">
        <v>0</v>
      </c>
      <c r="K3668" s="465">
        <v>0</v>
      </c>
    </row>
    <row r="3669" spans="2:11" ht="19" customHeight="1">
      <c r="B3669" s="464">
        <v>46101</v>
      </c>
      <c r="C3669" s="436" t="s">
        <v>247</v>
      </c>
      <c r="D3669" s="436" t="s">
        <v>248</v>
      </c>
      <c r="E3669" s="436">
        <v>1</v>
      </c>
      <c r="F3669" s="465">
        <v>1.5</v>
      </c>
      <c r="G3669" s="466">
        <v>1.5</v>
      </c>
      <c r="H3669" s="466">
        <f>G3669/1.1</f>
        <v>1.3636363636363635</v>
      </c>
      <c r="I3669" s="436"/>
      <c r="J3669" s="465">
        <v>0</v>
      </c>
      <c r="K3669" s="465">
        <v>0</v>
      </c>
    </row>
    <row r="3670" spans="2:11" ht="19" customHeight="1">
      <c r="B3670" s="464">
        <v>46101</v>
      </c>
      <c r="C3670" s="436" t="s">
        <v>268</v>
      </c>
      <c r="D3670" s="436" t="s">
        <v>267</v>
      </c>
      <c r="E3670" s="436">
        <v>1</v>
      </c>
      <c r="F3670" s="465">
        <v>1.5</v>
      </c>
      <c r="G3670" s="466">
        <v>1.5</v>
      </c>
      <c r="H3670" s="466">
        <f>G3670/1.1</f>
        <v>1.3636363636363635</v>
      </c>
      <c r="I3670" s="436"/>
      <c r="J3670" s="465">
        <v>0</v>
      </c>
      <c r="K3670" s="465">
        <v>0</v>
      </c>
    </row>
    <row r="3671" spans="2:11" ht="19" customHeight="1">
      <c r="B3671" s="464">
        <v>46101</v>
      </c>
      <c r="C3671" s="436" t="s">
        <v>247</v>
      </c>
      <c r="D3671" s="436" t="s">
        <v>246</v>
      </c>
      <c r="E3671" s="436">
        <v>1</v>
      </c>
      <c r="F3671" s="465">
        <v>1.7</v>
      </c>
      <c r="G3671" s="466">
        <v>1.7</v>
      </c>
      <c r="H3671" s="466">
        <f>G3671/1.1</f>
        <v>1.5454545454545452</v>
      </c>
      <c r="I3671" s="436"/>
      <c r="J3671" s="465">
        <v>0</v>
      </c>
      <c r="K3671" s="465">
        <v>0</v>
      </c>
    </row>
    <row r="3672" spans="2:11" ht="19" customHeight="1">
      <c r="B3672" s="464">
        <v>46101</v>
      </c>
      <c r="C3672" s="436" t="s">
        <v>268</v>
      </c>
      <c r="D3672" s="436" t="s">
        <v>860</v>
      </c>
      <c r="E3672" s="436">
        <v>2</v>
      </c>
      <c r="F3672" s="465">
        <v>2.25</v>
      </c>
      <c r="G3672" s="466">
        <v>4.5</v>
      </c>
      <c r="H3672" s="466">
        <f>G3672/1.1</f>
        <v>4.0909090909090908</v>
      </c>
      <c r="I3672" s="436"/>
      <c r="J3672" s="465">
        <v>0</v>
      </c>
      <c r="K3672" s="465">
        <v>0</v>
      </c>
    </row>
    <row r="3673" spans="2:11" ht="19" customHeight="1">
      <c r="B3673" s="464">
        <v>46101</v>
      </c>
      <c r="C3673" s="436" t="s">
        <v>247</v>
      </c>
      <c r="D3673" s="436" t="s">
        <v>246</v>
      </c>
      <c r="E3673" s="436">
        <v>2</v>
      </c>
      <c r="F3673" s="465">
        <v>1.7</v>
      </c>
      <c r="G3673" s="466">
        <v>3.4</v>
      </c>
      <c r="H3673" s="466">
        <f>G3673/1.1</f>
        <v>3.0909090909090904</v>
      </c>
      <c r="I3673" s="436"/>
      <c r="J3673" s="465">
        <v>0</v>
      </c>
      <c r="K3673" s="465">
        <v>0</v>
      </c>
    </row>
    <row r="3674" spans="2:11" ht="19" customHeight="1">
      <c r="B3674" s="464">
        <v>46101</v>
      </c>
      <c r="C3674" s="436" t="s">
        <v>247</v>
      </c>
      <c r="D3674" s="436" t="s">
        <v>246</v>
      </c>
      <c r="E3674" s="436">
        <v>2</v>
      </c>
      <c r="F3674" s="465">
        <v>1.7</v>
      </c>
      <c r="G3674" s="466">
        <v>3.4</v>
      </c>
      <c r="H3674" s="466">
        <f>G3674/1.1</f>
        <v>3.0909090909090904</v>
      </c>
      <c r="I3674" s="436"/>
      <c r="J3674" s="465">
        <v>0</v>
      </c>
      <c r="K3674" s="465">
        <v>0</v>
      </c>
    </row>
    <row r="3675" spans="2:11" ht="19" customHeight="1">
      <c r="B3675" s="464">
        <v>46101</v>
      </c>
      <c r="C3675" s="436" t="s">
        <v>275</v>
      </c>
      <c r="D3675" s="436" t="s">
        <v>1084</v>
      </c>
      <c r="E3675" s="436">
        <v>1</v>
      </c>
      <c r="F3675" s="465">
        <v>6.5</v>
      </c>
      <c r="G3675" s="466">
        <v>6.5</v>
      </c>
      <c r="H3675" s="466">
        <f>G3675/1.1</f>
        <v>5.9090909090909083</v>
      </c>
      <c r="I3675" s="436"/>
      <c r="J3675" s="465">
        <v>0</v>
      </c>
      <c r="K3675" s="465">
        <v>0</v>
      </c>
    </row>
    <row r="3676" spans="2:11" ht="19" customHeight="1">
      <c r="B3676" s="464">
        <v>46101</v>
      </c>
      <c r="C3676" s="436" t="s">
        <v>251</v>
      </c>
      <c r="D3676" s="436" t="s">
        <v>926</v>
      </c>
      <c r="E3676" s="436">
        <v>1</v>
      </c>
      <c r="F3676" s="465">
        <v>2.65</v>
      </c>
      <c r="G3676" s="466">
        <v>2.65</v>
      </c>
      <c r="H3676" s="466">
        <f>G3676/1.1</f>
        <v>2.4090909090909087</v>
      </c>
      <c r="I3676" s="436"/>
      <c r="J3676" s="465">
        <v>0</v>
      </c>
      <c r="K3676" s="465">
        <v>0</v>
      </c>
    </row>
    <row r="3677" spans="2:11" ht="19" customHeight="1">
      <c r="B3677" s="464">
        <v>46101</v>
      </c>
      <c r="C3677" s="436" t="s">
        <v>253</v>
      </c>
      <c r="D3677" s="436" t="s">
        <v>1152</v>
      </c>
      <c r="E3677" s="436">
        <v>1</v>
      </c>
      <c r="F3677" s="465">
        <v>3.5</v>
      </c>
      <c r="G3677" s="466">
        <v>3.5</v>
      </c>
      <c r="H3677" s="466">
        <f>G3677/1.1</f>
        <v>3.1818181818181817</v>
      </c>
      <c r="I3677" s="436"/>
      <c r="J3677" s="465">
        <v>0</v>
      </c>
      <c r="K3677" s="465">
        <v>0</v>
      </c>
    </row>
    <row r="3678" spans="2:11" ht="19" customHeight="1">
      <c r="B3678" s="464">
        <v>46101</v>
      </c>
      <c r="C3678" s="436" t="s">
        <v>264</v>
      </c>
      <c r="D3678" s="436" t="s">
        <v>930</v>
      </c>
      <c r="E3678" s="436">
        <v>1</v>
      </c>
      <c r="F3678" s="465">
        <v>3.5</v>
      </c>
      <c r="G3678" s="466">
        <v>3.5</v>
      </c>
      <c r="H3678" s="466">
        <f>G3678/1.1</f>
        <v>3.1818181818181817</v>
      </c>
      <c r="I3678" s="436"/>
      <c r="J3678" s="465">
        <v>0</v>
      </c>
      <c r="K3678" s="465">
        <v>0</v>
      </c>
    </row>
    <row r="3679" spans="2:11" ht="19" customHeight="1">
      <c r="B3679" s="464">
        <v>46101</v>
      </c>
      <c r="C3679" s="436" t="s">
        <v>256</v>
      </c>
      <c r="D3679" s="436" t="s">
        <v>1042</v>
      </c>
      <c r="E3679" s="436">
        <v>1</v>
      </c>
      <c r="F3679" s="465">
        <v>13.95</v>
      </c>
      <c r="G3679" s="466">
        <v>13.95</v>
      </c>
      <c r="H3679" s="466">
        <f>G3679/1.1</f>
        <v>12.68181818181818</v>
      </c>
      <c r="I3679" s="436"/>
      <c r="J3679" s="465">
        <v>0</v>
      </c>
      <c r="K3679" s="465">
        <v>0</v>
      </c>
    </row>
    <row r="3680" spans="2:11" ht="19" customHeight="1">
      <c r="B3680" s="464">
        <v>46101</v>
      </c>
      <c r="C3680" s="436" t="s">
        <v>256</v>
      </c>
      <c r="D3680" s="436" t="s">
        <v>738</v>
      </c>
      <c r="E3680" s="436">
        <v>1</v>
      </c>
      <c r="F3680" s="465">
        <v>7.9</v>
      </c>
      <c r="G3680" s="466">
        <v>7.9</v>
      </c>
      <c r="H3680" s="466">
        <f>G3680/1.1</f>
        <v>7.1818181818181817</v>
      </c>
      <c r="I3680" s="436"/>
      <c r="J3680" s="465">
        <v>0</v>
      </c>
      <c r="K3680" s="465">
        <v>0</v>
      </c>
    </row>
    <row r="3681" spans="2:11" ht="19" customHeight="1">
      <c r="B3681" s="464">
        <v>46101</v>
      </c>
      <c r="C3681" s="436" t="s">
        <v>256</v>
      </c>
      <c r="D3681" s="436" t="s">
        <v>751</v>
      </c>
      <c r="E3681" s="436">
        <v>1</v>
      </c>
      <c r="F3681" s="465">
        <v>7.9</v>
      </c>
      <c r="G3681" s="466">
        <v>7.9</v>
      </c>
      <c r="H3681" s="466">
        <f>G3681/1.1</f>
        <v>7.1818181818181817</v>
      </c>
      <c r="I3681" s="436"/>
      <c r="J3681" s="465">
        <v>0</v>
      </c>
      <c r="K3681" s="465">
        <v>0</v>
      </c>
    </row>
    <row r="3682" spans="2:11" ht="19" customHeight="1">
      <c r="B3682" s="464">
        <v>46101</v>
      </c>
      <c r="C3682" s="436" t="s">
        <v>256</v>
      </c>
      <c r="D3682" s="436" t="s">
        <v>255</v>
      </c>
      <c r="E3682" s="436">
        <v>1</v>
      </c>
      <c r="F3682" s="465">
        <v>5.6</v>
      </c>
      <c r="G3682" s="466">
        <v>5.6</v>
      </c>
      <c r="H3682" s="466">
        <f>G3682/1.1</f>
        <v>5.0909090909090899</v>
      </c>
      <c r="I3682" s="436"/>
      <c r="J3682" s="465">
        <v>0</v>
      </c>
      <c r="K3682" s="465">
        <v>0</v>
      </c>
    </row>
    <row r="3683" spans="2:11" ht="19" customHeight="1">
      <c r="B3683" s="464">
        <v>46101</v>
      </c>
      <c r="C3683" s="436" t="s">
        <v>251</v>
      </c>
      <c r="D3683" s="436" t="s">
        <v>250</v>
      </c>
      <c r="E3683" s="436">
        <v>2</v>
      </c>
      <c r="F3683" s="465">
        <v>1.8</v>
      </c>
      <c r="G3683" s="466">
        <v>3.6</v>
      </c>
      <c r="H3683" s="466">
        <f>G3683/1.1</f>
        <v>3.2727272727272725</v>
      </c>
      <c r="I3683" s="436"/>
      <c r="J3683" s="465">
        <v>0</v>
      </c>
      <c r="K3683" s="465">
        <v>0</v>
      </c>
    </row>
    <row r="3684" spans="2:11" ht="19" customHeight="1">
      <c r="B3684" s="464">
        <v>46101</v>
      </c>
      <c r="C3684" s="436" t="s">
        <v>264</v>
      </c>
      <c r="D3684" s="436" t="s">
        <v>930</v>
      </c>
      <c r="E3684" s="436">
        <v>1</v>
      </c>
      <c r="F3684" s="465">
        <v>3.5</v>
      </c>
      <c r="G3684" s="466">
        <v>3.5</v>
      </c>
      <c r="H3684" s="466">
        <f>G3684/1.1</f>
        <v>3.1818181818181817</v>
      </c>
      <c r="I3684" s="436"/>
      <c r="J3684" s="465">
        <v>0</v>
      </c>
      <c r="K3684" s="465">
        <v>0</v>
      </c>
    </row>
    <row r="3685" spans="2:11" ht="19" customHeight="1">
      <c r="B3685" s="464">
        <v>46101</v>
      </c>
      <c r="C3685" s="436" t="s">
        <v>277</v>
      </c>
      <c r="D3685" s="436" t="s">
        <v>1188</v>
      </c>
      <c r="E3685" s="436">
        <v>1</v>
      </c>
      <c r="F3685" s="465">
        <v>10.9</v>
      </c>
      <c r="G3685" s="466">
        <v>10.9</v>
      </c>
      <c r="H3685" s="466">
        <f>G3685/1.1</f>
        <v>9.9090909090909083</v>
      </c>
      <c r="I3685" s="436"/>
      <c r="J3685" s="465">
        <v>0</v>
      </c>
      <c r="K3685" s="465">
        <v>0</v>
      </c>
    </row>
    <row r="3686" spans="2:11" ht="19" customHeight="1">
      <c r="B3686" s="464">
        <v>46101</v>
      </c>
      <c r="C3686" s="436" t="s">
        <v>323</v>
      </c>
      <c r="D3686" s="436" t="s">
        <v>696</v>
      </c>
      <c r="E3686" s="436">
        <v>1</v>
      </c>
      <c r="F3686" s="465">
        <v>12</v>
      </c>
      <c r="G3686" s="466">
        <v>12</v>
      </c>
      <c r="H3686" s="466">
        <f>G3686/1.1</f>
        <v>10.909090909090908</v>
      </c>
      <c r="I3686" s="436"/>
      <c r="J3686" s="465">
        <v>0</v>
      </c>
      <c r="K3686" s="465">
        <v>0</v>
      </c>
    </row>
    <row r="3687" spans="2:11" ht="19" customHeight="1">
      <c r="B3687" s="464">
        <v>46101</v>
      </c>
      <c r="C3687" s="436" t="s">
        <v>256</v>
      </c>
      <c r="D3687" s="436" t="s">
        <v>932</v>
      </c>
      <c r="E3687" s="436">
        <v>1</v>
      </c>
      <c r="F3687" s="465">
        <v>8.5</v>
      </c>
      <c r="G3687" s="466">
        <v>8.5</v>
      </c>
      <c r="H3687" s="466">
        <f>G3687/1.1</f>
        <v>7.7272727272727266</v>
      </c>
      <c r="I3687" s="436"/>
      <c r="J3687" s="465">
        <v>0</v>
      </c>
      <c r="K3687" s="465">
        <v>0</v>
      </c>
    </row>
    <row r="3688" spans="2:11" ht="19" customHeight="1">
      <c r="B3688" s="464">
        <v>46101</v>
      </c>
      <c r="C3688" s="436" t="s">
        <v>253</v>
      </c>
      <c r="D3688" s="436" t="s">
        <v>965</v>
      </c>
      <c r="E3688" s="436">
        <v>2</v>
      </c>
      <c r="F3688" s="465">
        <v>2.5</v>
      </c>
      <c r="G3688" s="466">
        <v>5</v>
      </c>
      <c r="H3688" s="466">
        <f>G3688/1.1</f>
        <v>4.545454545454545</v>
      </c>
      <c r="I3688" s="436"/>
      <c r="J3688" s="465">
        <v>0</v>
      </c>
      <c r="K3688" s="465">
        <v>0</v>
      </c>
    </row>
    <row r="3689" spans="2:11" ht="19" customHeight="1">
      <c r="B3689" s="464">
        <v>46101</v>
      </c>
      <c r="C3689" s="436" t="s">
        <v>247</v>
      </c>
      <c r="D3689" s="436" t="s">
        <v>248</v>
      </c>
      <c r="E3689" s="436">
        <v>2</v>
      </c>
      <c r="F3689" s="465">
        <v>1.65</v>
      </c>
      <c r="G3689" s="466">
        <v>3.3</v>
      </c>
      <c r="H3689" s="466">
        <f>G3689/1.1</f>
        <v>2.9999999999999996</v>
      </c>
      <c r="I3689" s="436"/>
      <c r="J3689" s="465">
        <v>0</v>
      </c>
      <c r="K3689" s="465">
        <v>0</v>
      </c>
    </row>
    <row r="3690" spans="2:11" ht="19" customHeight="1">
      <c r="B3690" s="464">
        <v>46101</v>
      </c>
      <c r="C3690" s="436" t="s">
        <v>264</v>
      </c>
      <c r="D3690" s="436" t="s">
        <v>930</v>
      </c>
      <c r="E3690" s="436">
        <v>1</v>
      </c>
      <c r="F3690" s="465">
        <v>3.5</v>
      </c>
      <c r="G3690" s="466">
        <v>3.5</v>
      </c>
      <c r="H3690" s="466">
        <f>G3690/1.1</f>
        <v>3.1818181818181817</v>
      </c>
      <c r="I3690" s="436"/>
      <c r="J3690" s="465">
        <v>0</v>
      </c>
      <c r="K3690" s="465">
        <v>0</v>
      </c>
    </row>
    <row r="3691" spans="2:11" ht="19" customHeight="1">
      <c r="B3691" s="464">
        <v>46101</v>
      </c>
      <c r="C3691" s="436" t="s">
        <v>256</v>
      </c>
      <c r="D3691" s="436" t="s">
        <v>912</v>
      </c>
      <c r="E3691" s="436">
        <v>1</v>
      </c>
      <c r="F3691" s="465">
        <v>5.5</v>
      </c>
      <c r="G3691" s="466">
        <v>5.5</v>
      </c>
      <c r="H3691" s="466">
        <f>G3691/1.1</f>
        <v>5</v>
      </c>
      <c r="I3691" s="436"/>
      <c r="J3691" s="465">
        <v>0</v>
      </c>
      <c r="K3691" s="465">
        <v>0</v>
      </c>
    </row>
    <row r="3692" spans="2:11" ht="19" customHeight="1">
      <c r="B3692" s="464">
        <v>46101</v>
      </c>
      <c r="C3692" s="436" t="s">
        <v>256</v>
      </c>
      <c r="D3692" s="436" t="s">
        <v>1042</v>
      </c>
      <c r="E3692" s="436">
        <v>1</v>
      </c>
      <c r="F3692" s="465">
        <v>13.95</v>
      </c>
      <c r="G3692" s="466">
        <v>13.95</v>
      </c>
      <c r="H3692" s="466">
        <f>G3692/1.1</f>
        <v>12.68181818181818</v>
      </c>
      <c r="I3692" s="436"/>
      <c r="J3692" s="465">
        <v>0</v>
      </c>
      <c r="K3692" s="465">
        <v>0</v>
      </c>
    </row>
    <row r="3693" spans="2:11" ht="19" customHeight="1">
      <c r="B3693" s="464">
        <v>46101</v>
      </c>
      <c r="C3693" s="436" t="s">
        <v>256</v>
      </c>
      <c r="D3693" s="436" t="s">
        <v>1190</v>
      </c>
      <c r="E3693" s="436">
        <v>1</v>
      </c>
      <c r="F3693" s="465">
        <v>4.6500000000000004</v>
      </c>
      <c r="G3693" s="466">
        <v>4.6500000000000004</v>
      </c>
      <c r="H3693" s="466">
        <f>G3693/1.1</f>
        <v>4.2272727272727275</v>
      </c>
      <c r="I3693" s="436"/>
      <c r="J3693" s="465">
        <v>0</v>
      </c>
      <c r="K3693" s="465">
        <v>0</v>
      </c>
    </row>
    <row r="3694" spans="2:11" ht="19" customHeight="1">
      <c r="B3694" s="464">
        <v>46101</v>
      </c>
      <c r="C3694" s="436" t="s">
        <v>256</v>
      </c>
      <c r="D3694" s="436" t="s">
        <v>255</v>
      </c>
      <c r="E3694" s="436">
        <v>1</v>
      </c>
      <c r="F3694" s="465">
        <v>5.6</v>
      </c>
      <c r="G3694" s="466">
        <v>5.6</v>
      </c>
      <c r="H3694" s="466">
        <f>G3694/1.1</f>
        <v>5.0909090909090899</v>
      </c>
      <c r="I3694" s="436"/>
      <c r="J3694" s="465">
        <v>0</v>
      </c>
      <c r="K3694" s="465">
        <v>0</v>
      </c>
    </row>
    <row r="3695" spans="2:11" ht="19" customHeight="1">
      <c r="B3695" s="464">
        <v>46102</v>
      </c>
      <c r="C3695" s="436" t="s">
        <v>247</v>
      </c>
      <c r="D3695" s="436" t="s">
        <v>257</v>
      </c>
      <c r="E3695" s="436">
        <v>2</v>
      </c>
      <c r="F3695" s="465">
        <v>1.4</v>
      </c>
      <c r="G3695" s="466">
        <v>2.8</v>
      </c>
      <c r="H3695" s="466">
        <f>G3695/1.1</f>
        <v>2.545454545454545</v>
      </c>
      <c r="I3695" s="436"/>
      <c r="J3695" s="465">
        <v>0</v>
      </c>
      <c r="K3695" s="465">
        <v>0</v>
      </c>
    </row>
    <row r="3696" spans="2:11" ht="19" customHeight="1">
      <c r="B3696" s="464">
        <v>46102</v>
      </c>
      <c r="C3696" s="436" t="s">
        <v>264</v>
      </c>
      <c r="D3696" s="436" t="s">
        <v>269</v>
      </c>
      <c r="E3696" s="436">
        <v>2</v>
      </c>
      <c r="F3696" s="465">
        <v>0.1</v>
      </c>
      <c r="G3696" s="466">
        <v>0.2</v>
      </c>
      <c r="H3696" s="466">
        <f>G3696/1.1</f>
        <v>0.18181818181818182</v>
      </c>
      <c r="I3696" s="436"/>
      <c r="J3696" s="465">
        <v>0</v>
      </c>
      <c r="K3696" s="465">
        <v>0</v>
      </c>
    </row>
    <row r="3697" spans="2:11" ht="19" customHeight="1">
      <c r="B3697" s="464">
        <v>46102</v>
      </c>
      <c r="C3697" s="436" t="s">
        <v>247</v>
      </c>
      <c r="D3697" s="436" t="s">
        <v>246</v>
      </c>
      <c r="E3697" s="436">
        <v>1</v>
      </c>
      <c r="F3697" s="465">
        <v>1.7</v>
      </c>
      <c r="G3697" s="466">
        <v>1.7</v>
      </c>
      <c r="H3697" s="466">
        <f>G3697/1.1</f>
        <v>1.5454545454545452</v>
      </c>
      <c r="I3697" s="436"/>
      <c r="J3697" s="465">
        <v>0</v>
      </c>
      <c r="K3697" s="465">
        <v>0</v>
      </c>
    </row>
    <row r="3698" spans="2:11" ht="19" customHeight="1">
      <c r="B3698" s="464">
        <v>46102</v>
      </c>
      <c r="C3698" s="436" t="s">
        <v>862</v>
      </c>
      <c r="D3698" s="436" t="s">
        <v>863</v>
      </c>
      <c r="E3698" s="436">
        <v>1</v>
      </c>
      <c r="F3698" s="465">
        <v>0.15</v>
      </c>
      <c r="G3698" s="466">
        <v>0.15</v>
      </c>
      <c r="H3698" s="466">
        <f>G3698/1.1</f>
        <v>0.13636363636363635</v>
      </c>
      <c r="I3698" s="436"/>
      <c r="J3698" s="465">
        <v>0</v>
      </c>
      <c r="K3698" s="465">
        <v>0</v>
      </c>
    </row>
    <row r="3699" spans="2:11" ht="19" customHeight="1">
      <c r="B3699" s="464">
        <v>46102</v>
      </c>
      <c r="C3699" s="436" t="s">
        <v>247</v>
      </c>
      <c r="D3699" s="436" t="s">
        <v>246</v>
      </c>
      <c r="E3699" s="436">
        <v>2</v>
      </c>
      <c r="F3699" s="465">
        <v>1.7</v>
      </c>
      <c r="G3699" s="466">
        <v>3.4</v>
      </c>
      <c r="H3699" s="466">
        <f>G3699/1.1</f>
        <v>3.0909090909090904</v>
      </c>
      <c r="I3699" s="436"/>
      <c r="J3699" s="465">
        <v>0</v>
      </c>
      <c r="K3699" s="465">
        <v>0</v>
      </c>
    </row>
    <row r="3700" spans="2:11" ht="19" customHeight="1">
      <c r="B3700" s="464">
        <v>46102</v>
      </c>
      <c r="C3700" s="436" t="s">
        <v>327</v>
      </c>
      <c r="D3700" s="436" t="s">
        <v>723</v>
      </c>
      <c r="E3700" s="436">
        <v>1</v>
      </c>
      <c r="F3700" s="465">
        <v>3.1</v>
      </c>
      <c r="G3700" s="466">
        <v>3.1</v>
      </c>
      <c r="H3700" s="466">
        <f>G3700/1.1</f>
        <v>2.8181818181818179</v>
      </c>
      <c r="I3700" s="436"/>
      <c r="J3700" s="465">
        <v>0</v>
      </c>
      <c r="K3700" s="465">
        <v>0</v>
      </c>
    </row>
    <row r="3701" spans="2:11" ht="19" customHeight="1">
      <c r="B3701" s="464">
        <v>46102</v>
      </c>
      <c r="C3701" s="436" t="s">
        <v>327</v>
      </c>
      <c r="D3701" s="436" t="s">
        <v>799</v>
      </c>
      <c r="E3701" s="436">
        <v>1</v>
      </c>
      <c r="F3701" s="465">
        <v>3.5</v>
      </c>
      <c r="G3701" s="466">
        <v>3.5</v>
      </c>
      <c r="H3701" s="466">
        <f>G3701/1.1</f>
        <v>3.1818181818181817</v>
      </c>
      <c r="I3701" s="436"/>
      <c r="J3701" s="465">
        <v>0</v>
      </c>
      <c r="K3701" s="465">
        <v>0</v>
      </c>
    </row>
    <row r="3702" spans="2:11" ht="19" customHeight="1">
      <c r="B3702" s="464">
        <v>46102</v>
      </c>
      <c r="C3702" s="436" t="s">
        <v>328</v>
      </c>
      <c r="D3702" s="436" t="s">
        <v>735</v>
      </c>
      <c r="E3702" s="436">
        <v>2</v>
      </c>
      <c r="F3702" s="465">
        <v>3.1</v>
      </c>
      <c r="G3702" s="466">
        <v>6.2</v>
      </c>
      <c r="H3702" s="466">
        <f>G3702/1.1</f>
        <v>5.6363636363636358</v>
      </c>
      <c r="I3702" s="436"/>
      <c r="J3702" s="465">
        <v>0</v>
      </c>
      <c r="K3702" s="465">
        <v>0</v>
      </c>
    </row>
    <row r="3703" spans="2:11" ht="19" customHeight="1">
      <c r="B3703" s="464">
        <v>46102</v>
      </c>
      <c r="C3703" s="436" t="s">
        <v>247</v>
      </c>
      <c r="D3703" s="436" t="s">
        <v>246</v>
      </c>
      <c r="E3703" s="436">
        <v>1</v>
      </c>
      <c r="F3703" s="465">
        <v>1.7</v>
      </c>
      <c r="G3703" s="466">
        <v>1.7</v>
      </c>
      <c r="H3703" s="466">
        <f>G3703/1.1</f>
        <v>1.5454545454545452</v>
      </c>
      <c r="I3703" s="436"/>
      <c r="J3703" s="465">
        <v>0</v>
      </c>
      <c r="K3703" s="465">
        <v>0</v>
      </c>
    </row>
    <row r="3704" spans="2:11" ht="19" customHeight="1">
      <c r="B3704" s="464">
        <v>46102</v>
      </c>
      <c r="C3704" s="436" t="s">
        <v>862</v>
      </c>
      <c r="D3704" s="436" t="s">
        <v>899</v>
      </c>
      <c r="E3704" s="436">
        <v>1</v>
      </c>
      <c r="F3704" s="465">
        <v>0.05</v>
      </c>
      <c r="G3704" s="466">
        <v>0.05</v>
      </c>
      <c r="H3704" s="466">
        <f>G3704/1.1</f>
        <v>4.5454545454545456E-2</v>
      </c>
      <c r="I3704" s="436"/>
      <c r="J3704" s="465">
        <v>0</v>
      </c>
      <c r="K3704" s="465">
        <v>0</v>
      </c>
    </row>
    <row r="3705" spans="2:11" ht="19" customHeight="1">
      <c r="B3705" s="464">
        <v>46102</v>
      </c>
      <c r="C3705" s="436" t="s">
        <v>247</v>
      </c>
      <c r="D3705" s="436" t="s">
        <v>248</v>
      </c>
      <c r="E3705" s="436">
        <v>1</v>
      </c>
      <c r="F3705" s="465">
        <v>1.5</v>
      </c>
      <c r="G3705" s="466">
        <v>1.5</v>
      </c>
      <c r="H3705" s="466">
        <f>G3705/1.1</f>
        <v>1.3636363636363635</v>
      </c>
      <c r="I3705" s="436"/>
      <c r="J3705" s="465">
        <v>0</v>
      </c>
      <c r="K3705" s="465">
        <v>0</v>
      </c>
    </row>
    <row r="3706" spans="2:11" ht="19" customHeight="1">
      <c r="B3706" s="464">
        <v>46102</v>
      </c>
      <c r="C3706" s="436" t="s">
        <v>247</v>
      </c>
      <c r="D3706" s="436" t="s">
        <v>246</v>
      </c>
      <c r="E3706" s="436">
        <v>1</v>
      </c>
      <c r="F3706" s="465">
        <v>1.7</v>
      </c>
      <c r="G3706" s="466">
        <v>1.7</v>
      </c>
      <c r="H3706" s="466">
        <f>G3706/1.1</f>
        <v>1.5454545454545452</v>
      </c>
      <c r="I3706" s="436"/>
      <c r="J3706" s="465">
        <v>0</v>
      </c>
      <c r="K3706" s="465">
        <v>0</v>
      </c>
    </row>
    <row r="3707" spans="2:11" ht="19" customHeight="1">
      <c r="B3707" s="464">
        <v>46102</v>
      </c>
      <c r="C3707" s="436" t="s">
        <v>247</v>
      </c>
      <c r="D3707" s="436" t="s">
        <v>257</v>
      </c>
      <c r="E3707" s="436">
        <v>1</v>
      </c>
      <c r="F3707" s="465">
        <v>1.4</v>
      </c>
      <c r="G3707" s="466">
        <v>1.4</v>
      </c>
      <c r="H3707" s="466">
        <f>G3707/1.1</f>
        <v>1.2727272727272725</v>
      </c>
      <c r="I3707" s="436"/>
      <c r="J3707" s="465">
        <v>0</v>
      </c>
      <c r="K3707" s="465">
        <v>0</v>
      </c>
    </row>
    <row r="3708" spans="2:11" ht="19" customHeight="1">
      <c r="B3708" s="464">
        <v>46102</v>
      </c>
      <c r="C3708" s="436" t="s">
        <v>247</v>
      </c>
      <c r="D3708" s="436" t="s">
        <v>246</v>
      </c>
      <c r="E3708" s="436">
        <v>1</v>
      </c>
      <c r="F3708" s="465">
        <v>1.7</v>
      </c>
      <c r="G3708" s="466">
        <v>1.7</v>
      </c>
      <c r="H3708" s="466">
        <f>G3708/1.1</f>
        <v>1.5454545454545452</v>
      </c>
      <c r="I3708" s="436"/>
      <c r="J3708" s="465">
        <v>0</v>
      </c>
      <c r="K3708" s="465">
        <v>0</v>
      </c>
    </row>
    <row r="3709" spans="2:11" ht="19" customHeight="1">
      <c r="B3709" s="464">
        <v>46102</v>
      </c>
      <c r="C3709" s="436" t="s">
        <v>247</v>
      </c>
      <c r="D3709" s="436" t="s">
        <v>246</v>
      </c>
      <c r="E3709" s="436">
        <v>2</v>
      </c>
      <c r="F3709" s="465">
        <v>1.7</v>
      </c>
      <c r="G3709" s="466">
        <v>3.4</v>
      </c>
      <c r="H3709" s="466">
        <f>G3709/1.1</f>
        <v>3.0909090909090904</v>
      </c>
      <c r="I3709" s="436"/>
      <c r="J3709" s="465">
        <v>0</v>
      </c>
      <c r="K3709" s="465">
        <v>0</v>
      </c>
    </row>
    <row r="3710" spans="2:11" ht="19" customHeight="1">
      <c r="B3710" s="464">
        <v>46102</v>
      </c>
      <c r="C3710" s="436" t="s">
        <v>862</v>
      </c>
      <c r="D3710" s="436" t="s">
        <v>863</v>
      </c>
      <c r="E3710" s="436">
        <v>2</v>
      </c>
      <c r="F3710" s="465">
        <v>0.15</v>
      </c>
      <c r="G3710" s="466">
        <v>0.3</v>
      </c>
      <c r="H3710" s="466">
        <f>G3710/1.1</f>
        <v>0.27272727272727271</v>
      </c>
      <c r="I3710" s="436"/>
      <c r="J3710" s="465">
        <v>0</v>
      </c>
      <c r="K3710" s="465">
        <v>0</v>
      </c>
    </row>
    <row r="3711" spans="2:11" ht="19" customHeight="1">
      <c r="B3711" s="464">
        <v>46102</v>
      </c>
      <c r="C3711" s="436" t="s">
        <v>268</v>
      </c>
      <c r="D3711" s="436" t="s">
        <v>267</v>
      </c>
      <c r="E3711" s="436">
        <v>1</v>
      </c>
      <c r="F3711" s="465">
        <v>1.5</v>
      </c>
      <c r="G3711" s="466">
        <v>1.5</v>
      </c>
      <c r="H3711" s="466">
        <f>G3711/1.1</f>
        <v>1.3636363636363635</v>
      </c>
      <c r="I3711" s="436"/>
      <c r="J3711" s="465">
        <v>0</v>
      </c>
      <c r="K3711" s="465">
        <v>0</v>
      </c>
    </row>
    <row r="3712" spans="2:11" ht="19" customHeight="1">
      <c r="B3712" s="464">
        <v>46102</v>
      </c>
      <c r="C3712" s="436" t="s">
        <v>247</v>
      </c>
      <c r="D3712" s="436" t="s">
        <v>246</v>
      </c>
      <c r="E3712" s="436">
        <v>1</v>
      </c>
      <c r="F3712" s="465">
        <v>1.7</v>
      </c>
      <c r="G3712" s="466">
        <v>1.7</v>
      </c>
      <c r="H3712" s="466">
        <f>G3712/1.1</f>
        <v>1.5454545454545452</v>
      </c>
      <c r="I3712" s="436"/>
      <c r="J3712" s="465">
        <v>0</v>
      </c>
      <c r="K3712" s="465">
        <v>0</v>
      </c>
    </row>
    <row r="3713" spans="2:11" ht="19" customHeight="1">
      <c r="B3713" s="464">
        <v>46102</v>
      </c>
      <c r="C3713" s="436" t="s">
        <v>247</v>
      </c>
      <c r="D3713" s="436" t="s">
        <v>246</v>
      </c>
      <c r="E3713" s="436">
        <v>1</v>
      </c>
      <c r="F3713" s="465">
        <v>1.7</v>
      </c>
      <c r="G3713" s="466">
        <v>1.7</v>
      </c>
      <c r="H3713" s="466">
        <f>G3713/1.1</f>
        <v>1.5454545454545452</v>
      </c>
      <c r="I3713" s="436"/>
      <c r="J3713" s="465">
        <v>0</v>
      </c>
      <c r="K3713" s="465">
        <v>0</v>
      </c>
    </row>
    <row r="3714" spans="2:11" ht="19" customHeight="1">
      <c r="B3714" s="464">
        <v>46102</v>
      </c>
      <c r="C3714" s="436" t="s">
        <v>328</v>
      </c>
      <c r="D3714" s="436" t="s">
        <v>761</v>
      </c>
      <c r="E3714" s="436">
        <v>1</v>
      </c>
      <c r="F3714" s="465">
        <v>3.1</v>
      </c>
      <c r="G3714" s="466">
        <v>3.1</v>
      </c>
      <c r="H3714" s="466">
        <f>G3714/1.1</f>
        <v>2.8181818181818179</v>
      </c>
      <c r="I3714" s="436"/>
      <c r="J3714" s="465">
        <v>0</v>
      </c>
      <c r="K3714" s="465">
        <v>0</v>
      </c>
    </row>
    <row r="3715" spans="2:11" ht="19" customHeight="1">
      <c r="B3715" s="464">
        <v>46102</v>
      </c>
      <c r="C3715" s="436" t="s">
        <v>247</v>
      </c>
      <c r="D3715" s="436" t="s">
        <v>246</v>
      </c>
      <c r="E3715" s="436">
        <v>1</v>
      </c>
      <c r="F3715" s="465">
        <v>1.7</v>
      </c>
      <c r="G3715" s="466">
        <v>1.7</v>
      </c>
      <c r="H3715" s="466">
        <f>G3715/1.1</f>
        <v>1.5454545454545452</v>
      </c>
      <c r="I3715" s="436"/>
      <c r="J3715" s="465">
        <v>0</v>
      </c>
      <c r="K3715" s="465">
        <v>0</v>
      </c>
    </row>
    <row r="3716" spans="2:11" ht="19" customHeight="1">
      <c r="B3716" s="464">
        <v>46102</v>
      </c>
      <c r="C3716" s="436" t="s">
        <v>247</v>
      </c>
      <c r="D3716" s="436" t="s">
        <v>246</v>
      </c>
      <c r="E3716" s="436">
        <v>1</v>
      </c>
      <c r="F3716" s="465">
        <v>1.7</v>
      </c>
      <c r="G3716" s="466">
        <v>1.7</v>
      </c>
      <c r="H3716" s="466">
        <f>G3716/1.1</f>
        <v>1.5454545454545452</v>
      </c>
      <c r="I3716" s="436"/>
      <c r="J3716" s="465">
        <v>0</v>
      </c>
      <c r="K3716" s="465">
        <v>0</v>
      </c>
    </row>
    <row r="3717" spans="2:11" ht="19" customHeight="1">
      <c r="B3717" s="464">
        <v>46102</v>
      </c>
      <c r="C3717" s="436" t="s">
        <v>862</v>
      </c>
      <c r="D3717" s="436" t="s">
        <v>863</v>
      </c>
      <c r="E3717" s="436">
        <v>1</v>
      </c>
      <c r="F3717" s="465">
        <v>0.15</v>
      </c>
      <c r="G3717" s="466">
        <v>0.15</v>
      </c>
      <c r="H3717" s="466">
        <f>G3717/1.1</f>
        <v>0.13636363636363635</v>
      </c>
      <c r="I3717" s="436"/>
      <c r="J3717" s="465">
        <v>0</v>
      </c>
      <c r="K3717" s="465">
        <v>0</v>
      </c>
    </row>
    <row r="3718" spans="2:11" ht="19" customHeight="1">
      <c r="B3718" s="464">
        <v>46102</v>
      </c>
      <c r="C3718" s="436" t="s">
        <v>247</v>
      </c>
      <c r="D3718" s="436" t="s">
        <v>257</v>
      </c>
      <c r="E3718" s="436">
        <v>1</v>
      </c>
      <c r="F3718" s="465">
        <v>1.4</v>
      </c>
      <c r="G3718" s="466">
        <v>1.4</v>
      </c>
      <c r="H3718" s="466">
        <f>G3718/1.1</f>
        <v>1.2727272727272725</v>
      </c>
      <c r="I3718" s="436"/>
      <c r="J3718" s="465">
        <v>0</v>
      </c>
      <c r="K3718" s="465">
        <v>0</v>
      </c>
    </row>
    <row r="3719" spans="2:11" ht="19" customHeight="1">
      <c r="B3719" s="464">
        <v>46102</v>
      </c>
      <c r="C3719" s="436" t="s">
        <v>247</v>
      </c>
      <c r="D3719" s="436" t="s">
        <v>246</v>
      </c>
      <c r="E3719" s="436">
        <v>2</v>
      </c>
      <c r="F3719" s="465">
        <v>1.7</v>
      </c>
      <c r="G3719" s="466">
        <v>3.4</v>
      </c>
      <c r="H3719" s="466">
        <f>G3719/1.1</f>
        <v>3.0909090909090904</v>
      </c>
      <c r="I3719" s="436"/>
      <c r="J3719" s="465">
        <v>0</v>
      </c>
      <c r="K3719" s="465">
        <v>0</v>
      </c>
    </row>
    <row r="3720" spans="2:11" ht="19" customHeight="1">
      <c r="B3720" s="464">
        <v>46102</v>
      </c>
      <c r="C3720" s="436" t="s">
        <v>862</v>
      </c>
      <c r="D3720" s="436" t="s">
        <v>899</v>
      </c>
      <c r="E3720" s="436">
        <v>1</v>
      </c>
      <c r="F3720" s="465">
        <v>0.05</v>
      </c>
      <c r="G3720" s="466">
        <v>0.05</v>
      </c>
      <c r="H3720" s="466">
        <f>G3720/1.1</f>
        <v>4.5454545454545456E-2</v>
      </c>
      <c r="I3720" s="436"/>
      <c r="J3720" s="465">
        <v>0</v>
      </c>
      <c r="K3720" s="465">
        <v>0</v>
      </c>
    </row>
    <row r="3721" spans="2:11" ht="19" customHeight="1">
      <c r="B3721" s="464">
        <v>46102</v>
      </c>
      <c r="C3721" s="436" t="s">
        <v>328</v>
      </c>
      <c r="D3721" s="436" t="s">
        <v>735</v>
      </c>
      <c r="E3721" s="436">
        <v>2</v>
      </c>
      <c r="F3721" s="465">
        <v>3.1</v>
      </c>
      <c r="G3721" s="466">
        <v>6.2</v>
      </c>
      <c r="H3721" s="466">
        <f>G3721/1.1</f>
        <v>5.6363636363636358</v>
      </c>
      <c r="I3721" s="436"/>
      <c r="J3721" s="465">
        <v>0</v>
      </c>
      <c r="K3721" s="465">
        <v>0</v>
      </c>
    </row>
    <row r="3722" spans="2:11" ht="19" customHeight="1">
      <c r="B3722" s="464">
        <v>46102</v>
      </c>
      <c r="C3722" s="436" t="s">
        <v>247</v>
      </c>
      <c r="D3722" s="436" t="s">
        <v>257</v>
      </c>
      <c r="E3722" s="436">
        <v>1</v>
      </c>
      <c r="F3722" s="465">
        <v>1.4</v>
      </c>
      <c r="G3722" s="466">
        <v>1.4</v>
      </c>
      <c r="H3722" s="466">
        <f>G3722/1.1</f>
        <v>1.2727272727272725</v>
      </c>
      <c r="I3722" s="436"/>
      <c r="J3722" s="465">
        <v>0</v>
      </c>
      <c r="K3722" s="465">
        <v>0</v>
      </c>
    </row>
    <row r="3723" spans="2:11" ht="19" customHeight="1">
      <c r="B3723" s="464">
        <v>46102</v>
      </c>
      <c r="C3723" s="436" t="s">
        <v>268</v>
      </c>
      <c r="D3723" s="436" t="s">
        <v>859</v>
      </c>
      <c r="E3723" s="436">
        <v>1</v>
      </c>
      <c r="F3723" s="465">
        <v>0.75</v>
      </c>
      <c r="G3723" s="466">
        <v>0.75</v>
      </c>
      <c r="H3723" s="466">
        <f>G3723/1.1</f>
        <v>0.68181818181818177</v>
      </c>
      <c r="I3723" s="436"/>
      <c r="J3723" s="465">
        <v>0</v>
      </c>
      <c r="K3723" s="465">
        <v>0</v>
      </c>
    </row>
    <row r="3724" spans="2:11" ht="19" customHeight="1">
      <c r="B3724" s="464">
        <v>46102</v>
      </c>
      <c r="C3724" s="436" t="s">
        <v>247</v>
      </c>
      <c r="D3724" s="436" t="s">
        <v>246</v>
      </c>
      <c r="E3724" s="436">
        <v>1</v>
      </c>
      <c r="F3724" s="465">
        <v>1.7</v>
      </c>
      <c r="G3724" s="466">
        <v>1.7</v>
      </c>
      <c r="H3724" s="466">
        <f>G3724/1.1</f>
        <v>1.5454545454545452</v>
      </c>
      <c r="I3724" s="436"/>
      <c r="J3724" s="465">
        <v>0</v>
      </c>
      <c r="K3724" s="465">
        <v>0</v>
      </c>
    </row>
    <row r="3725" spans="2:11" ht="19" customHeight="1">
      <c r="B3725" s="464">
        <v>46102</v>
      </c>
      <c r="C3725" s="436" t="s">
        <v>247</v>
      </c>
      <c r="D3725" s="436" t="s">
        <v>248</v>
      </c>
      <c r="E3725" s="436">
        <v>1</v>
      </c>
      <c r="F3725" s="465">
        <v>1.5</v>
      </c>
      <c r="G3725" s="466">
        <v>1.5</v>
      </c>
      <c r="H3725" s="466">
        <f>G3725/1.1</f>
        <v>1.3636363636363635</v>
      </c>
      <c r="I3725" s="436"/>
      <c r="J3725" s="465">
        <v>0</v>
      </c>
      <c r="K3725" s="465">
        <v>0</v>
      </c>
    </row>
    <row r="3726" spans="2:11" ht="19" customHeight="1">
      <c r="B3726" s="464">
        <v>46102</v>
      </c>
      <c r="C3726" s="436" t="s">
        <v>268</v>
      </c>
      <c r="D3726" s="436" t="s">
        <v>860</v>
      </c>
      <c r="E3726" s="436">
        <v>2</v>
      </c>
      <c r="F3726" s="465">
        <v>2.25</v>
      </c>
      <c r="G3726" s="466">
        <v>4.5</v>
      </c>
      <c r="H3726" s="466">
        <f>G3726/1.1</f>
        <v>4.0909090909090908</v>
      </c>
      <c r="I3726" s="436"/>
      <c r="J3726" s="465">
        <v>0</v>
      </c>
      <c r="K3726" s="465">
        <v>0</v>
      </c>
    </row>
    <row r="3727" spans="2:11" ht="19" customHeight="1">
      <c r="B3727" s="464">
        <v>46102</v>
      </c>
      <c r="C3727" s="436" t="s">
        <v>247</v>
      </c>
      <c r="D3727" s="436" t="s">
        <v>246</v>
      </c>
      <c r="E3727" s="436">
        <v>2</v>
      </c>
      <c r="F3727" s="465">
        <v>1.7</v>
      </c>
      <c r="G3727" s="466">
        <v>3.4</v>
      </c>
      <c r="H3727" s="466">
        <f>G3727/1.1</f>
        <v>3.0909090909090904</v>
      </c>
      <c r="I3727" s="436"/>
      <c r="J3727" s="465">
        <v>0</v>
      </c>
      <c r="K3727" s="465">
        <v>0</v>
      </c>
    </row>
    <row r="3728" spans="2:11" ht="19" customHeight="1">
      <c r="B3728" s="464">
        <v>46102</v>
      </c>
      <c r="C3728" s="436" t="s">
        <v>247</v>
      </c>
      <c r="D3728" s="436" t="s">
        <v>855</v>
      </c>
      <c r="E3728" s="436">
        <v>1</v>
      </c>
      <c r="F3728" s="465">
        <v>2.5499999999999998</v>
      </c>
      <c r="G3728" s="466">
        <v>2.5499999999999998</v>
      </c>
      <c r="H3728" s="466">
        <f>G3728/1.1</f>
        <v>2.3181818181818179</v>
      </c>
      <c r="I3728" s="436"/>
      <c r="J3728" s="465">
        <v>0</v>
      </c>
      <c r="K3728" s="465">
        <v>0</v>
      </c>
    </row>
    <row r="3729" spans="2:11" ht="19" customHeight="1">
      <c r="B3729" s="464">
        <v>46102</v>
      </c>
      <c r="C3729" s="436" t="s">
        <v>247</v>
      </c>
      <c r="D3729" s="436" t="s">
        <v>257</v>
      </c>
      <c r="E3729" s="436">
        <v>1</v>
      </c>
      <c r="F3729" s="465">
        <v>1.4</v>
      </c>
      <c r="G3729" s="466">
        <v>1.4</v>
      </c>
      <c r="H3729" s="466">
        <f>G3729/1.1</f>
        <v>1.2727272727272725</v>
      </c>
      <c r="I3729" s="436"/>
      <c r="J3729" s="465">
        <v>0</v>
      </c>
      <c r="K3729" s="465">
        <v>0</v>
      </c>
    </row>
    <row r="3730" spans="2:11" ht="19" customHeight="1">
      <c r="B3730" s="464">
        <v>46102</v>
      </c>
      <c r="C3730" s="436" t="s">
        <v>247</v>
      </c>
      <c r="D3730" s="436" t="s">
        <v>248</v>
      </c>
      <c r="E3730" s="436">
        <v>1</v>
      </c>
      <c r="F3730" s="465">
        <v>1.5</v>
      </c>
      <c r="G3730" s="466">
        <v>1.5</v>
      </c>
      <c r="H3730" s="466">
        <f>G3730/1.1</f>
        <v>1.3636363636363635</v>
      </c>
      <c r="I3730" s="436"/>
      <c r="J3730" s="465">
        <v>0</v>
      </c>
      <c r="K3730" s="465">
        <v>0</v>
      </c>
    </row>
    <row r="3731" spans="2:11" ht="19" customHeight="1">
      <c r="B3731" s="464">
        <v>46102</v>
      </c>
      <c r="C3731" s="436" t="s">
        <v>251</v>
      </c>
      <c r="D3731" s="436" t="s">
        <v>250</v>
      </c>
      <c r="E3731" s="436">
        <v>2</v>
      </c>
      <c r="F3731" s="465">
        <v>1.8</v>
      </c>
      <c r="G3731" s="466">
        <v>3.6</v>
      </c>
      <c r="H3731" s="466">
        <f>G3731/1.1</f>
        <v>3.2727272727272725</v>
      </c>
      <c r="I3731" s="436"/>
      <c r="J3731" s="465">
        <v>0</v>
      </c>
      <c r="K3731" s="465">
        <v>0</v>
      </c>
    </row>
    <row r="3732" spans="2:11" ht="19" customHeight="1">
      <c r="B3732" s="464">
        <v>46102</v>
      </c>
      <c r="C3732" s="436" t="s">
        <v>276</v>
      </c>
      <c r="D3732" s="436" t="s">
        <v>1191</v>
      </c>
      <c r="E3732" s="436">
        <v>1</v>
      </c>
      <c r="F3732" s="465">
        <v>14.85</v>
      </c>
      <c r="G3732" s="466">
        <v>14.85</v>
      </c>
      <c r="H3732" s="466">
        <f>G3732/1.1</f>
        <v>13.499999999999998</v>
      </c>
      <c r="I3732" s="436"/>
      <c r="J3732" s="465">
        <v>0</v>
      </c>
      <c r="K3732" s="465">
        <v>0</v>
      </c>
    </row>
    <row r="3733" spans="2:11" ht="19" customHeight="1">
      <c r="B3733" s="464">
        <v>46102</v>
      </c>
      <c r="C3733" s="436" t="s">
        <v>264</v>
      </c>
      <c r="D3733" s="436" t="s">
        <v>930</v>
      </c>
      <c r="E3733" s="436">
        <v>1</v>
      </c>
      <c r="F3733" s="465">
        <v>3.5</v>
      </c>
      <c r="G3733" s="466">
        <v>3.5</v>
      </c>
      <c r="H3733" s="466">
        <f>G3733/1.1</f>
        <v>3.1818181818181817</v>
      </c>
      <c r="I3733" s="436"/>
      <c r="J3733" s="465">
        <v>0</v>
      </c>
      <c r="K3733" s="465">
        <v>0</v>
      </c>
    </row>
    <row r="3734" spans="2:11" ht="19" customHeight="1">
      <c r="B3734" s="464">
        <v>46102</v>
      </c>
      <c r="C3734" s="436" t="s">
        <v>326</v>
      </c>
      <c r="D3734" s="436" t="s">
        <v>1063</v>
      </c>
      <c r="E3734" s="436">
        <v>1</v>
      </c>
      <c r="F3734" s="465">
        <v>15</v>
      </c>
      <c r="G3734" s="466">
        <v>15</v>
      </c>
      <c r="H3734" s="466">
        <f>G3734/1.1</f>
        <v>13.636363636363635</v>
      </c>
      <c r="I3734" s="436"/>
      <c r="J3734" s="465">
        <v>0</v>
      </c>
      <c r="K3734" s="465">
        <v>0</v>
      </c>
    </row>
    <row r="3735" spans="2:11" ht="19" customHeight="1">
      <c r="B3735" s="464">
        <v>46102</v>
      </c>
      <c r="C3735" s="436" t="s">
        <v>256</v>
      </c>
      <c r="D3735" s="436" t="s">
        <v>751</v>
      </c>
      <c r="E3735" s="436">
        <v>1</v>
      </c>
      <c r="F3735" s="465">
        <v>7.9</v>
      </c>
      <c r="G3735" s="466">
        <v>7.9</v>
      </c>
      <c r="H3735" s="466">
        <f>G3735/1.1</f>
        <v>7.1818181818181817</v>
      </c>
      <c r="I3735" s="436"/>
      <c r="J3735" s="465">
        <v>0</v>
      </c>
      <c r="K3735" s="465">
        <v>0</v>
      </c>
    </row>
    <row r="3736" spans="2:11" ht="19" customHeight="1">
      <c r="B3736" s="464">
        <v>46102</v>
      </c>
      <c r="C3736" s="436" t="s">
        <v>256</v>
      </c>
      <c r="D3736" s="436" t="s">
        <v>738</v>
      </c>
      <c r="E3736" s="436">
        <v>1</v>
      </c>
      <c r="F3736" s="465">
        <v>7.9</v>
      </c>
      <c r="G3736" s="466">
        <v>7.9</v>
      </c>
      <c r="H3736" s="466">
        <f>G3736/1.1</f>
        <v>7.1818181818181817</v>
      </c>
      <c r="I3736" s="436"/>
      <c r="J3736" s="465">
        <v>0</v>
      </c>
      <c r="K3736" s="465">
        <v>0</v>
      </c>
    </row>
    <row r="3737" spans="2:11" ht="19" customHeight="1">
      <c r="B3737" s="464">
        <v>46102</v>
      </c>
      <c r="C3737" s="436" t="s">
        <v>277</v>
      </c>
      <c r="D3737" s="436" t="s">
        <v>1044</v>
      </c>
      <c r="E3737" s="436">
        <v>1</v>
      </c>
      <c r="F3737" s="465">
        <v>9.5</v>
      </c>
      <c r="G3737" s="466">
        <v>9.5</v>
      </c>
      <c r="H3737" s="466">
        <f>G3737/1.1</f>
        <v>8.6363636363636349</v>
      </c>
      <c r="I3737" s="436"/>
      <c r="J3737" s="465">
        <v>0</v>
      </c>
      <c r="K3737" s="465">
        <v>0</v>
      </c>
    </row>
    <row r="3738" spans="2:11" ht="19" customHeight="1">
      <c r="B3738" s="464">
        <v>46102</v>
      </c>
      <c r="C3738" s="436" t="s">
        <v>256</v>
      </c>
      <c r="D3738" s="436" t="s">
        <v>685</v>
      </c>
      <c r="E3738" s="436">
        <v>1</v>
      </c>
      <c r="F3738" s="465">
        <v>9</v>
      </c>
      <c r="G3738" s="466">
        <v>9</v>
      </c>
      <c r="H3738" s="466">
        <f>G3738/1.1</f>
        <v>8.1818181818181817</v>
      </c>
      <c r="I3738" s="436"/>
      <c r="J3738" s="465">
        <v>0</v>
      </c>
      <c r="K3738" s="465">
        <v>0</v>
      </c>
    </row>
    <row r="3739" spans="2:11" ht="19" customHeight="1">
      <c r="B3739" s="464">
        <v>46102</v>
      </c>
      <c r="C3739" s="436" t="s">
        <v>256</v>
      </c>
      <c r="D3739" s="436" t="s">
        <v>1114</v>
      </c>
      <c r="E3739" s="436">
        <v>1</v>
      </c>
      <c r="F3739" s="465">
        <v>-0.2</v>
      </c>
      <c r="G3739" s="466">
        <v>-0.2</v>
      </c>
      <c r="H3739" s="466">
        <f>G3739/1.1</f>
        <v>-0.18181818181818182</v>
      </c>
      <c r="I3739" s="436"/>
      <c r="J3739" s="465">
        <v>0</v>
      </c>
      <c r="K3739" s="465">
        <v>0</v>
      </c>
    </row>
    <row r="3740" spans="2:11" ht="19" customHeight="1">
      <c r="B3740" s="464">
        <v>46102</v>
      </c>
      <c r="C3740" s="436" t="s">
        <v>256</v>
      </c>
      <c r="D3740" s="436" t="s">
        <v>931</v>
      </c>
      <c r="E3740" s="436">
        <v>3</v>
      </c>
      <c r="F3740" s="465">
        <v>1.7</v>
      </c>
      <c r="G3740" s="466">
        <v>5.0999999999999996</v>
      </c>
      <c r="H3740" s="466">
        <f>G3740/1.1</f>
        <v>4.6363636363636358</v>
      </c>
      <c r="I3740" s="436"/>
      <c r="J3740" s="465">
        <v>0</v>
      </c>
      <c r="K3740" s="465">
        <v>0</v>
      </c>
    </row>
    <row r="3741" spans="2:11" ht="19" customHeight="1">
      <c r="B3741" s="464">
        <v>46102</v>
      </c>
      <c r="C3741" s="436" t="s">
        <v>256</v>
      </c>
      <c r="D3741" s="436" t="s">
        <v>870</v>
      </c>
      <c r="E3741" s="436">
        <v>3</v>
      </c>
      <c r="F3741" s="465">
        <v>1.7</v>
      </c>
      <c r="G3741" s="466">
        <v>5.0999999999999996</v>
      </c>
      <c r="H3741" s="466">
        <f>G3741/1.1</f>
        <v>4.6363636363636358</v>
      </c>
      <c r="I3741" s="436"/>
      <c r="J3741" s="465">
        <v>0</v>
      </c>
      <c r="K3741" s="465">
        <v>0</v>
      </c>
    </row>
    <row r="3742" spans="2:11" ht="19" customHeight="1">
      <c r="B3742" s="464">
        <v>46102</v>
      </c>
      <c r="C3742" s="436" t="s">
        <v>256</v>
      </c>
      <c r="D3742" s="436" t="s">
        <v>932</v>
      </c>
      <c r="E3742" s="436">
        <v>3</v>
      </c>
      <c r="F3742" s="465">
        <v>1.7</v>
      </c>
      <c r="G3742" s="466">
        <v>5.0999999999999996</v>
      </c>
      <c r="H3742" s="466">
        <f>G3742/1.1</f>
        <v>4.6363636363636358</v>
      </c>
      <c r="I3742" s="436"/>
      <c r="J3742" s="465">
        <v>0</v>
      </c>
      <c r="K3742" s="465">
        <v>0</v>
      </c>
    </row>
    <row r="3743" spans="2:11" ht="19" customHeight="1">
      <c r="B3743" s="464">
        <v>46102</v>
      </c>
      <c r="C3743" s="436" t="s">
        <v>251</v>
      </c>
      <c r="D3743" s="436" t="s">
        <v>265</v>
      </c>
      <c r="E3743" s="436">
        <v>1</v>
      </c>
      <c r="F3743" s="465">
        <v>2.65</v>
      </c>
      <c r="G3743" s="466">
        <v>2.65</v>
      </c>
      <c r="H3743" s="466">
        <f>G3743/1.1</f>
        <v>2.4090909090909087</v>
      </c>
      <c r="I3743" s="436"/>
      <c r="J3743" s="465">
        <v>0</v>
      </c>
      <c r="K3743" s="465">
        <v>0</v>
      </c>
    </row>
    <row r="3744" spans="2:11" ht="19" customHeight="1">
      <c r="B3744" s="464">
        <v>46102</v>
      </c>
      <c r="C3744" s="436" t="s">
        <v>275</v>
      </c>
      <c r="D3744" s="436" t="s">
        <v>674</v>
      </c>
      <c r="E3744" s="436">
        <v>1</v>
      </c>
      <c r="F3744" s="465">
        <v>5.75</v>
      </c>
      <c r="G3744" s="466">
        <v>5.75</v>
      </c>
      <c r="H3744" s="466">
        <f>G3744/1.1</f>
        <v>5.2272727272727266</v>
      </c>
      <c r="I3744" s="436"/>
      <c r="J3744" s="465">
        <v>0</v>
      </c>
      <c r="K3744" s="465">
        <v>0</v>
      </c>
    </row>
    <row r="3745" spans="2:11" ht="19" customHeight="1">
      <c r="B3745" s="464">
        <v>46102</v>
      </c>
      <c r="C3745" s="436" t="s">
        <v>277</v>
      </c>
      <c r="D3745" s="436" t="s">
        <v>1188</v>
      </c>
      <c r="E3745" s="436">
        <v>1</v>
      </c>
      <c r="F3745" s="465">
        <v>10.9</v>
      </c>
      <c r="G3745" s="466">
        <v>10.9</v>
      </c>
      <c r="H3745" s="466">
        <f>G3745/1.1</f>
        <v>9.9090909090909083</v>
      </c>
      <c r="I3745" s="436"/>
      <c r="J3745" s="465">
        <v>0</v>
      </c>
      <c r="K3745" s="465">
        <v>0</v>
      </c>
    </row>
    <row r="3746" spans="2:11" ht="19" customHeight="1">
      <c r="B3746" s="464">
        <v>46102</v>
      </c>
      <c r="C3746" s="436" t="s">
        <v>247</v>
      </c>
      <c r="D3746" s="436" t="s">
        <v>246</v>
      </c>
      <c r="E3746" s="436">
        <v>2</v>
      </c>
      <c r="F3746" s="465">
        <v>1.85</v>
      </c>
      <c r="G3746" s="466">
        <v>3.7</v>
      </c>
      <c r="H3746" s="466">
        <f>G3746/1.1</f>
        <v>3.3636363636363633</v>
      </c>
      <c r="I3746" s="436"/>
      <c r="J3746" s="465">
        <v>0</v>
      </c>
      <c r="K3746" s="465">
        <v>0</v>
      </c>
    </row>
    <row r="3747" spans="2:11" ht="19" customHeight="1">
      <c r="B3747" s="464">
        <v>46102</v>
      </c>
      <c r="C3747" s="436" t="s">
        <v>251</v>
      </c>
      <c r="D3747" s="436" t="s">
        <v>957</v>
      </c>
      <c r="E3747" s="436">
        <v>1</v>
      </c>
      <c r="F3747" s="465">
        <v>2.8</v>
      </c>
      <c r="G3747" s="466">
        <v>2.8</v>
      </c>
      <c r="H3747" s="466">
        <f>G3747/1.1</f>
        <v>2.545454545454545</v>
      </c>
      <c r="I3747" s="436"/>
      <c r="J3747" s="465">
        <v>0</v>
      </c>
      <c r="K3747" s="465">
        <v>0</v>
      </c>
    </row>
    <row r="3748" spans="2:11" ht="19" customHeight="1">
      <c r="B3748" s="464">
        <v>46102</v>
      </c>
      <c r="C3748" s="436" t="s">
        <v>251</v>
      </c>
      <c r="D3748" s="436" t="s">
        <v>265</v>
      </c>
      <c r="E3748" s="436">
        <v>1</v>
      </c>
      <c r="F3748" s="465">
        <v>2.8</v>
      </c>
      <c r="G3748" s="466">
        <v>2.8</v>
      </c>
      <c r="H3748" s="466">
        <f>G3748/1.1</f>
        <v>2.545454545454545</v>
      </c>
      <c r="I3748" s="436"/>
      <c r="J3748" s="465">
        <v>0</v>
      </c>
      <c r="K3748" s="465">
        <v>0</v>
      </c>
    </row>
    <row r="3749" spans="2:11" ht="19" customHeight="1">
      <c r="B3749" s="464">
        <v>46102</v>
      </c>
      <c r="C3749" s="436" t="s">
        <v>256</v>
      </c>
      <c r="D3749" s="436" t="s">
        <v>1114</v>
      </c>
      <c r="E3749" s="436">
        <v>1</v>
      </c>
      <c r="F3749" s="465">
        <v>0.05</v>
      </c>
      <c r="G3749" s="466">
        <v>0.05</v>
      </c>
      <c r="H3749" s="466">
        <f>G3749/1.1</f>
        <v>4.5454545454545456E-2</v>
      </c>
      <c r="I3749" s="436"/>
      <c r="J3749" s="465">
        <v>0</v>
      </c>
      <c r="K3749" s="465">
        <v>0</v>
      </c>
    </row>
    <row r="3750" spans="2:11" ht="19" customHeight="1">
      <c r="B3750" s="464">
        <v>46102</v>
      </c>
      <c r="C3750" s="436" t="s">
        <v>256</v>
      </c>
      <c r="D3750" s="436" t="s">
        <v>931</v>
      </c>
      <c r="E3750" s="436">
        <v>2</v>
      </c>
      <c r="F3750" s="465">
        <v>1.7</v>
      </c>
      <c r="G3750" s="466">
        <v>3.4</v>
      </c>
      <c r="H3750" s="466">
        <f>G3750/1.1</f>
        <v>3.0909090909090904</v>
      </c>
      <c r="I3750" s="436"/>
      <c r="J3750" s="465">
        <v>0</v>
      </c>
      <c r="K3750" s="465">
        <v>0</v>
      </c>
    </row>
    <row r="3751" spans="2:11" ht="19" customHeight="1">
      <c r="B3751" s="464">
        <v>46102</v>
      </c>
      <c r="C3751" s="436" t="s">
        <v>256</v>
      </c>
      <c r="D3751" s="436" t="s">
        <v>870</v>
      </c>
      <c r="E3751" s="436">
        <v>2</v>
      </c>
      <c r="F3751" s="465">
        <v>1.7</v>
      </c>
      <c r="G3751" s="466">
        <v>3.4</v>
      </c>
      <c r="H3751" s="466">
        <f>G3751/1.1</f>
        <v>3.0909090909090904</v>
      </c>
      <c r="I3751" s="436"/>
      <c r="J3751" s="465">
        <v>0</v>
      </c>
      <c r="K3751" s="465">
        <v>0</v>
      </c>
    </row>
    <row r="3752" spans="2:11" ht="19" customHeight="1">
      <c r="B3752" s="464">
        <v>46102</v>
      </c>
      <c r="C3752" s="436" t="s">
        <v>256</v>
      </c>
      <c r="D3752" s="436" t="s">
        <v>932</v>
      </c>
      <c r="E3752" s="436">
        <v>2</v>
      </c>
      <c r="F3752" s="465">
        <v>1.7</v>
      </c>
      <c r="G3752" s="466">
        <v>3.4</v>
      </c>
      <c r="H3752" s="466">
        <f>G3752/1.1</f>
        <v>3.0909090909090904</v>
      </c>
      <c r="I3752" s="436"/>
      <c r="J3752" s="465">
        <v>0</v>
      </c>
      <c r="K3752" s="465">
        <v>0</v>
      </c>
    </row>
    <row r="3753" spans="2:11" ht="19" customHeight="1">
      <c r="B3753" s="464">
        <v>46102</v>
      </c>
      <c r="C3753" s="436" t="s">
        <v>264</v>
      </c>
      <c r="D3753" s="436" t="s">
        <v>930</v>
      </c>
      <c r="E3753" s="436">
        <v>1</v>
      </c>
      <c r="F3753" s="465">
        <v>3.75</v>
      </c>
      <c r="G3753" s="466">
        <v>3.75</v>
      </c>
      <c r="H3753" s="466">
        <f>G3753/1.1</f>
        <v>3.4090909090909087</v>
      </c>
      <c r="I3753" s="436"/>
      <c r="J3753" s="465">
        <v>0</v>
      </c>
      <c r="K3753" s="465">
        <v>0</v>
      </c>
    </row>
    <row r="3754" spans="2:11" ht="19" customHeight="1">
      <c r="B3754" s="464">
        <v>46102</v>
      </c>
      <c r="C3754" s="436" t="s">
        <v>256</v>
      </c>
      <c r="D3754" s="436" t="s">
        <v>255</v>
      </c>
      <c r="E3754" s="436">
        <v>1</v>
      </c>
      <c r="F3754" s="465">
        <v>5.85</v>
      </c>
      <c r="G3754" s="466">
        <v>5.85</v>
      </c>
      <c r="H3754" s="466">
        <f>G3754/1.1</f>
        <v>5.3181818181818175</v>
      </c>
      <c r="I3754" s="436"/>
      <c r="J3754" s="465">
        <v>0</v>
      </c>
      <c r="K3754" s="465">
        <v>0</v>
      </c>
    </row>
    <row r="3755" spans="2:11" ht="19" customHeight="1">
      <c r="B3755" s="464">
        <v>46102</v>
      </c>
      <c r="C3755" s="436" t="s">
        <v>256</v>
      </c>
      <c r="D3755" s="436" t="s">
        <v>262</v>
      </c>
      <c r="E3755" s="436">
        <v>1</v>
      </c>
      <c r="F3755" s="465">
        <v>12.15</v>
      </c>
      <c r="G3755" s="466">
        <v>12.15</v>
      </c>
      <c r="H3755" s="466">
        <f>G3755/1.1</f>
        <v>11.045454545454545</v>
      </c>
      <c r="I3755" s="436"/>
      <c r="J3755" s="465">
        <v>0</v>
      </c>
      <c r="K3755" s="465">
        <v>0</v>
      </c>
    </row>
    <row r="3756" spans="2:11" ht="19" customHeight="1">
      <c r="B3756" s="464">
        <v>46102</v>
      </c>
      <c r="C3756" s="436" t="s">
        <v>326</v>
      </c>
      <c r="D3756" s="436" t="s">
        <v>1063</v>
      </c>
      <c r="E3756" s="436">
        <v>1</v>
      </c>
      <c r="F3756" s="465">
        <v>15.25</v>
      </c>
      <c r="G3756" s="466">
        <v>15.25</v>
      </c>
      <c r="H3756" s="466">
        <f>G3756/1.1</f>
        <v>13.863636363636363</v>
      </c>
      <c r="I3756" s="436"/>
      <c r="J3756" s="465">
        <v>0</v>
      </c>
      <c r="K3756" s="465">
        <v>0</v>
      </c>
    </row>
    <row r="3757" spans="2:11" ht="19" customHeight="1">
      <c r="B3757" s="464">
        <v>46102</v>
      </c>
      <c r="C3757" s="436" t="s">
        <v>253</v>
      </c>
      <c r="D3757" s="436" t="s">
        <v>869</v>
      </c>
      <c r="E3757" s="436">
        <v>1</v>
      </c>
      <c r="F3757" s="465">
        <v>2.5</v>
      </c>
      <c r="G3757" s="466">
        <v>2.5</v>
      </c>
      <c r="H3757" s="466">
        <f>G3757/1.1</f>
        <v>2.2727272727272725</v>
      </c>
      <c r="I3757" s="436"/>
      <c r="J3757" s="465">
        <v>0</v>
      </c>
      <c r="K3757" s="465">
        <v>0</v>
      </c>
    </row>
    <row r="3758" spans="2:11" ht="19" customHeight="1">
      <c r="B3758" s="464">
        <v>46102</v>
      </c>
      <c r="C3758" s="436" t="s">
        <v>251</v>
      </c>
      <c r="D3758" s="436" t="s">
        <v>708</v>
      </c>
      <c r="E3758" s="436">
        <v>1</v>
      </c>
      <c r="F3758" s="465">
        <v>1.95</v>
      </c>
      <c r="G3758" s="466">
        <v>1.95</v>
      </c>
      <c r="H3758" s="466">
        <f>G3758/1.1</f>
        <v>1.7727272727272725</v>
      </c>
      <c r="I3758" s="436"/>
      <c r="J3758" s="465">
        <v>0</v>
      </c>
      <c r="K3758" s="465">
        <v>0</v>
      </c>
    </row>
    <row r="3759" spans="2:11" ht="19" customHeight="1">
      <c r="B3759" s="464">
        <v>46102</v>
      </c>
      <c r="C3759" s="436" t="s">
        <v>256</v>
      </c>
      <c r="D3759" s="436" t="s">
        <v>255</v>
      </c>
      <c r="E3759" s="436">
        <v>1</v>
      </c>
      <c r="F3759" s="465">
        <v>5.6</v>
      </c>
      <c r="G3759" s="466">
        <v>5.6</v>
      </c>
      <c r="H3759" s="466">
        <f>G3759/1.1</f>
        <v>5.0909090909090899</v>
      </c>
      <c r="I3759" s="436"/>
      <c r="J3759" s="465">
        <v>0</v>
      </c>
      <c r="K3759" s="465">
        <v>0</v>
      </c>
    </row>
    <row r="3760" spans="2:11" ht="19" customHeight="1">
      <c r="B3760" s="464">
        <v>46102</v>
      </c>
      <c r="C3760" s="436" t="s">
        <v>256</v>
      </c>
      <c r="D3760" s="436" t="s">
        <v>678</v>
      </c>
      <c r="E3760" s="436">
        <v>1</v>
      </c>
      <c r="F3760" s="465">
        <v>6.9</v>
      </c>
      <c r="G3760" s="466">
        <v>6.9</v>
      </c>
      <c r="H3760" s="466">
        <f>G3760/1.1</f>
        <v>6.2727272727272725</v>
      </c>
      <c r="I3760" s="436"/>
      <c r="J3760" s="465">
        <v>0</v>
      </c>
      <c r="K3760" s="465">
        <v>0</v>
      </c>
    </row>
    <row r="3761" spans="2:11" ht="19" customHeight="1">
      <c r="B3761" s="464">
        <v>46102</v>
      </c>
      <c r="C3761" s="436" t="s">
        <v>256</v>
      </c>
      <c r="D3761" s="436" t="s">
        <v>675</v>
      </c>
      <c r="E3761" s="436">
        <v>1</v>
      </c>
      <c r="F3761" s="465">
        <v>5.5</v>
      </c>
      <c r="G3761" s="466">
        <v>5.5</v>
      </c>
      <c r="H3761" s="466">
        <f>G3761/1.1</f>
        <v>5</v>
      </c>
      <c r="I3761" s="436"/>
      <c r="J3761" s="465">
        <v>0</v>
      </c>
      <c r="K3761" s="465">
        <v>0</v>
      </c>
    </row>
    <row r="3762" spans="2:11" ht="19" customHeight="1">
      <c r="B3762" s="464">
        <v>46102</v>
      </c>
      <c r="C3762" s="436" t="s">
        <v>251</v>
      </c>
      <c r="D3762" s="436" t="s">
        <v>926</v>
      </c>
      <c r="E3762" s="436">
        <v>1</v>
      </c>
      <c r="F3762" s="465">
        <v>2.65</v>
      </c>
      <c r="G3762" s="466">
        <v>2.65</v>
      </c>
      <c r="H3762" s="466">
        <f>G3762/1.1</f>
        <v>2.4090909090909087</v>
      </c>
      <c r="I3762" s="436"/>
      <c r="J3762" s="465">
        <v>0</v>
      </c>
      <c r="K3762" s="465">
        <v>0</v>
      </c>
    </row>
    <row r="3763" spans="2:11" ht="19" customHeight="1">
      <c r="B3763" s="464">
        <v>46102</v>
      </c>
      <c r="C3763" s="436" t="s">
        <v>247</v>
      </c>
      <c r="D3763" s="436" t="s">
        <v>246</v>
      </c>
      <c r="E3763" s="436">
        <v>1</v>
      </c>
      <c r="F3763" s="465">
        <v>1.7</v>
      </c>
      <c r="G3763" s="466">
        <v>1.7</v>
      </c>
      <c r="H3763" s="466">
        <f>G3763/1.1</f>
        <v>1.5454545454545452</v>
      </c>
      <c r="I3763" s="436"/>
      <c r="J3763" s="465">
        <v>0</v>
      </c>
      <c r="K3763" s="465">
        <v>0</v>
      </c>
    </row>
    <row r="3764" spans="2:11" ht="19" customHeight="1">
      <c r="B3764" s="464">
        <v>46102</v>
      </c>
      <c r="C3764" s="436" t="s">
        <v>247</v>
      </c>
      <c r="D3764" s="436" t="s">
        <v>248</v>
      </c>
      <c r="E3764" s="436">
        <v>1</v>
      </c>
      <c r="F3764" s="465">
        <v>1.5</v>
      </c>
      <c r="G3764" s="466">
        <v>1.5</v>
      </c>
      <c r="H3764" s="466">
        <f>G3764/1.1</f>
        <v>1.3636363636363635</v>
      </c>
      <c r="I3764" s="436"/>
      <c r="J3764" s="465">
        <v>0</v>
      </c>
      <c r="K3764" s="465">
        <v>0</v>
      </c>
    </row>
    <row r="3765" spans="2:11" ht="19" customHeight="1">
      <c r="B3765" s="464">
        <v>46102</v>
      </c>
      <c r="C3765" s="436" t="s">
        <v>256</v>
      </c>
      <c r="D3765" s="436" t="s">
        <v>765</v>
      </c>
      <c r="E3765" s="436">
        <v>1</v>
      </c>
      <c r="F3765" s="465">
        <v>3.85</v>
      </c>
      <c r="G3765" s="466">
        <v>3.85</v>
      </c>
      <c r="H3765" s="466">
        <f>G3765/1.1</f>
        <v>3.5</v>
      </c>
      <c r="I3765" s="436"/>
      <c r="J3765" s="465">
        <v>0</v>
      </c>
      <c r="K3765" s="465">
        <v>0</v>
      </c>
    </row>
    <row r="3766" spans="2:11" ht="19" customHeight="1">
      <c r="B3766" s="464">
        <v>46102</v>
      </c>
      <c r="C3766" s="436" t="s">
        <v>253</v>
      </c>
      <c r="D3766" s="436" t="s">
        <v>869</v>
      </c>
      <c r="E3766" s="436">
        <v>2</v>
      </c>
      <c r="F3766" s="465">
        <v>2.5</v>
      </c>
      <c r="G3766" s="466">
        <v>5</v>
      </c>
      <c r="H3766" s="466">
        <f>G3766/1.1</f>
        <v>4.545454545454545</v>
      </c>
      <c r="I3766" s="436"/>
      <c r="J3766" s="465">
        <v>0</v>
      </c>
      <c r="K3766" s="465">
        <v>0</v>
      </c>
    </row>
    <row r="3767" spans="2:11" ht="19" customHeight="1">
      <c r="B3767" s="464">
        <v>46102</v>
      </c>
      <c r="C3767" s="436" t="s">
        <v>256</v>
      </c>
      <c r="D3767" s="436" t="s">
        <v>912</v>
      </c>
      <c r="E3767" s="436">
        <v>1</v>
      </c>
      <c r="F3767" s="465">
        <v>5.5</v>
      </c>
      <c r="G3767" s="466">
        <v>5.5</v>
      </c>
      <c r="H3767" s="466">
        <f>G3767/1.1</f>
        <v>5</v>
      </c>
      <c r="I3767" s="436"/>
      <c r="J3767" s="465">
        <v>0</v>
      </c>
      <c r="K3767" s="465">
        <v>0</v>
      </c>
    </row>
    <row r="3768" spans="2:11" ht="19" customHeight="1">
      <c r="B3768" s="464">
        <v>46102</v>
      </c>
      <c r="C3768" s="436" t="s">
        <v>276</v>
      </c>
      <c r="D3768" s="436" t="s">
        <v>929</v>
      </c>
      <c r="E3768" s="436">
        <v>2</v>
      </c>
      <c r="F3768" s="465">
        <v>3.75</v>
      </c>
      <c r="G3768" s="466">
        <v>7.5</v>
      </c>
      <c r="H3768" s="466">
        <f>G3768/1.1</f>
        <v>6.8181818181818175</v>
      </c>
      <c r="I3768" s="436"/>
      <c r="J3768" s="465">
        <v>0</v>
      </c>
      <c r="K3768" s="465">
        <v>0</v>
      </c>
    </row>
    <row r="3769" spans="2:11" ht="19" customHeight="1">
      <c r="B3769" s="464">
        <v>46102</v>
      </c>
      <c r="C3769" s="436" t="s">
        <v>253</v>
      </c>
      <c r="D3769" s="436" t="s">
        <v>965</v>
      </c>
      <c r="E3769" s="436">
        <v>1</v>
      </c>
      <c r="F3769" s="465">
        <v>2.5</v>
      </c>
      <c r="G3769" s="466">
        <v>2.5</v>
      </c>
      <c r="H3769" s="466">
        <f>G3769/1.1</f>
        <v>2.2727272727272725</v>
      </c>
      <c r="I3769" s="436"/>
      <c r="J3769" s="465">
        <v>0</v>
      </c>
      <c r="K3769" s="465">
        <v>0</v>
      </c>
    </row>
    <row r="3770" spans="2:11" ht="19" customHeight="1">
      <c r="B3770" s="464">
        <v>46102</v>
      </c>
      <c r="C3770" s="436" t="s">
        <v>264</v>
      </c>
      <c r="D3770" s="436" t="s">
        <v>930</v>
      </c>
      <c r="E3770" s="436">
        <v>1</v>
      </c>
      <c r="F3770" s="465">
        <v>3.5</v>
      </c>
      <c r="G3770" s="466">
        <v>3.5</v>
      </c>
      <c r="H3770" s="466">
        <f>G3770/1.1</f>
        <v>3.1818181818181817</v>
      </c>
      <c r="I3770" s="436"/>
      <c r="J3770" s="465">
        <v>0</v>
      </c>
      <c r="K3770" s="465">
        <v>0</v>
      </c>
    </row>
    <row r="3771" spans="2:11" ht="19" customHeight="1">
      <c r="B3771" s="464">
        <v>46102</v>
      </c>
      <c r="C3771" s="436" t="s">
        <v>256</v>
      </c>
      <c r="D3771" s="436" t="s">
        <v>262</v>
      </c>
      <c r="E3771" s="436">
        <v>1</v>
      </c>
      <c r="F3771" s="465">
        <v>11.9</v>
      </c>
      <c r="G3771" s="466">
        <v>11.9</v>
      </c>
      <c r="H3771" s="466">
        <f>G3771/1.1</f>
        <v>10.818181818181818</v>
      </c>
      <c r="I3771" s="436"/>
      <c r="J3771" s="465">
        <v>0</v>
      </c>
      <c r="K3771" s="465">
        <v>0</v>
      </c>
    </row>
    <row r="3772" spans="2:11" ht="19" customHeight="1">
      <c r="B3772" s="464">
        <v>46102</v>
      </c>
      <c r="C3772" s="436" t="s">
        <v>256</v>
      </c>
      <c r="D3772" s="436" t="s">
        <v>738</v>
      </c>
      <c r="E3772" s="436">
        <v>1</v>
      </c>
      <c r="F3772" s="465">
        <v>7.9</v>
      </c>
      <c r="G3772" s="466">
        <v>7.9</v>
      </c>
      <c r="H3772" s="466">
        <f>G3772/1.1</f>
        <v>7.1818181818181817</v>
      </c>
      <c r="I3772" s="436"/>
      <c r="J3772" s="465">
        <v>0</v>
      </c>
      <c r="K3772" s="465">
        <v>0</v>
      </c>
    </row>
    <row r="3773" spans="2:11" ht="19" customHeight="1">
      <c r="B3773" s="464">
        <v>46102</v>
      </c>
      <c r="C3773" s="436" t="s">
        <v>256</v>
      </c>
      <c r="D3773" s="436" t="s">
        <v>1042</v>
      </c>
      <c r="E3773" s="436">
        <v>1</v>
      </c>
      <c r="F3773" s="465">
        <v>13.95</v>
      </c>
      <c r="G3773" s="466">
        <v>13.95</v>
      </c>
      <c r="H3773" s="466">
        <f>G3773/1.1</f>
        <v>12.68181818181818</v>
      </c>
      <c r="I3773" s="436"/>
      <c r="J3773" s="465">
        <v>0</v>
      </c>
      <c r="K3773" s="465">
        <v>0</v>
      </c>
    </row>
    <row r="3774" spans="2:11" ht="19" customHeight="1">
      <c r="B3774" s="464">
        <v>46102</v>
      </c>
      <c r="C3774" s="436" t="s">
        <v>256</v>
      </c>
      <c r="D3774" s="436" t="s">
        <v>1114</v>
      </c>
      <c r="E3774" s="436">
        <v>1</v>
      </c>
      <c r="F3774" s="465">
        <v>-0.2</v>
      </c>
      <c r="G3774" s="466">
        <v>-0.2</v>
      </c>
      <c r="H3774" s="466">
        <f>G3774/1.1</f>
        <v>-0.18181818181818182</v>
      </c>
      <c r="I3774" s="436"/>
      <c r="J3774" s="465">
        <v>0</v>
      </c>
      <c r="K3774" s="465">
        <v>0</v>
      </c>
    </row>
    <row r="3775" spans="2:11" ht="19" customHeight="1">
      <c r="B3775" s="464">
        <v>46102</v>
      </c>
      <c r="C3775" s="436" t="s">
        <v>256</v>
      </c>
      <c r="D3775" s="436" t="s">
        <v>931</v>
      </c>
      <c r="E3775" s="436">
        <v>2</v>
      </c>
      <c r="F3775" s="465">
        <v>1.7</v>
      </c>
      <c r="G3775" s="466">
        <v>3.4</v>
      </c>
      <c r="H3775" s="466">
        <f>G3775/1.1</f>
        <v>3.0909090909090904</v>
      </c>
      <c r="I3775" s="436"/>
      <c r="J3775" s="465">
        <v>0</v>
      </c>
      <c r="K3775" s="465">
        <v>0</v>
      </c>
    </row>
    <row r="3776" spans="2:11" ht="19" customHeight="1">
      <c r="B3776" s="464">
        <v>46102</v>
      </c>
      <c r="C3776" s="436" t="s">
        <v>256</v>
      </c>
      <c r="D3776" s="436" t="s">
        <v>870</v>
      </c>
      <c r="E3776" s="436">
        <v>2</v>
      </c>
      <c r="F3776" s="465">
        <v>1.7</v>
      </c>
      <c r="G3776" s="466">
        <v>3.4</v>
      </c>
      <c r="H3776" s="466">
        <f>G3776/1.1</f>
        <v>3.0909090909090904</v>
      </c>
      <c r="I3776" s="436"/>
      <c r="J3776" s="465">
        <v>0</v>
      </c>
      <c r="K3776" s="465">
        <v>0</v>
      </c>
    </row>
    <row r="3777" spans="2:11" ht="19" customHeight="1">
      <c r="B3777" s="464">
        <v>46102</v>
      </c>
      <c r="C3777" s="436" t="s">
        <v>256</v>
      </c>
      <c r="D3777" s="436" t="s">
        <v>932</v>
      </c>
      <c r="E3777" s="436">
        <v>2</v>
      </c>
      <c r="F3777" s="465">
        <v>1.7</v>
      </c>
      <c r="G3777" s="466">
        <v>3.4</v>
      </c>
      <c r="H3777" s="466">
        <f>G3777/1.1</f>
        <v>3.0909090909090904</v>
      </c>
      <c r="I3777" s="436"/>
      <c r="J3777" s="465">
        <v>0</v>
      </c>
      <c r="K3777" s="465">
        <v>0</v>
      </c>
    </row>
    <row r="3778" spans="2:11" ht="19" customHeight="1">
      <c r="B3778" s="464">
        <v>46102</v>
      </c>
      <c r="C3778" s="436" t="s">
        <v>256</v>
      </c>
      <c r="D3778" s="436" t="s">
        <v>255</v>
      </c>
      <c r="E3778" s="436">
        <v>1</v>
      </c>
      <c r="F3778" s="465">
        <v>5.6</v>
      </c>
      <c r="G3778" s="466">
        <v>5.6</v>
      </c>
      <c r="H3778" s="466">
        <f>G3778/1.1</f>
        <v>5.0909090909090899</v>
      </c>
      <c r="I3778" s="436"/>
      <c r="J3778" s="465">
        <v>0</v>
      </c>
      <c r="K3778" s="465">
        <v>0</v>
      </c>
    </row>
    <row r="3779" spans="2:11" ht="19" customHeight="1">
      <c r="B3779" s="464">
        <v>46103</v>
      </c>
      <c r="C3779" s="436" t="s">
        <v>247</v>
      </c>
      <c r="D3779" s="436" t="s">
        <v>248</v>
      </c>
      <c r="E3779" s="436">
        <v>2</v>
      </c>
      <c r="F3779" s="465">
        <v>1.5</v>
      </c>
      <c r="G3779" s="466">
        <v>3</v>
      </c>
      <c r="H3779" s="466">
        <f>G3779/1.1</f>
        <v>2.7272727272727271</v>
      </c>
      <c r="I3779" s="436"/>
      <c r="J3779" s="465">
        <v>0</v>
      </c>
      <c r="K3779" s="465">
        <v>0</v>
      </c>
    </row>
    <row r="3780" spans="2:11" ht="19" customHeight="1">
      <c r="B3780" s="464">
        <v>46103</v>
      </c>
      <c r="C3780" s="436" t="s">
        <v>251</v>
      </c>
      <c r="D3780" s="436" t="s">
        <v>854</v>
      </c>
      <c r="E3780" s="436">
        <v>1</v>
      </c>
      <c r="F3780" s="465">
        <v>1.55</v>
      </c>
      <c r="G3780" s="466">
        <v>1.55</v>
      </c>
      <c r="H3780" s="466">
        <f>G3780/1.1</f>
        <v>1.4090909090909089</v>
      </c>
      <c r="I3780" s="436"/>
      <c r="J3780" s="465">
        <v>0</v>
      </c>
      <c r="K3780" s="465">
        <v>0</v>
      </c>
    </row>
    <row r="3781" spans="2:11" ht="19" customHeight="1">
      <c r="B3781" s="464">
        <v>46103</v>
      </c>
      <c r="C3781" s="436" t="s">
        <v>251</v>
      </c>
      <c r="D3781" s="436" t="s">
        <v>265</v>
      </c>
      <c r="E3781" s="436">
        <v>1</v>
      </c>
      <c r="F3781" s="465">
        <v>2.65</v>
      </c>
      <c r="G3781" s="466">
        <v>2.65</v>
      </c>
      <c r="H3781" s="466">
        <f>G3781/1.1</f>
        <v>2.4090909090909087</v>
      </c>
      <c r="I3781" s="436"/>
      <c r="J3781" s="465">
        <v>0</v>
      </c>
      <c r="K3781" s="465">
        <v>0</v>
      </c>
    </row>
    <row r="3782" spans="2:11" ht="19" customHeight="1">
      <c r="B3782" s="464">
        <v>46103</v>
      </c>
      <c r="C3782" s="436" t="s">
        <v>247</v>
      </c>
      <c r="D3782" s="436" t="s">
        <v>246</v>
      </c>
      <c r="E3782" s="436">
        <v>1</v>
      </c>
      <c r="F3782" s="465">
        <v>1.7</v>
      </c>
      <c r="G3782" s="466">
        <v>1.7</v>
      </c>
      <c r="H3782" s="466">
        <f>G3782/1.1</f>
        <v>1.5454545454545452</v>
      </c>
      <c r="I3782" s="436"/>
      <c r="J3782" s="465">
        <v>0</v>
      </c>
      <c r="K3782" s="465">
        <v>0</v>
      </c>
    </row>
    <row r="3783" spans="2:11" ht="19" customHeight="1">
      <c r="B3783" s="464">
        <v>46103</v>
      </c>
      <c r="C3783" s="436" t="s">
        <v>247</v>
      </c>
      <c r="D3783" s="436" t="s">
        <v>257</v>
      </c>
      <c r="E3783" s="436">
        <v>1</v>
      </c>
      <c r="F3783" s="465">
        <v>1.4</v>
      </c>
      <c r="G3783" s="466">
        <v>1.4</v>
      </c>
      <c r="H3783" s="466">
        <f>G3783/1.1</f>
        <v>1.2727272727272725</v>
      </c>
      <c r="I3783" s="436"/>
      <c r="J3783" s="465">
        <v>0</v>
      </c>
      <c r="K3783" s="465">
        <v>0</v>
      </c>
    </row>
    <row r="3784" spans="2:11" ht="19" customHeight="1">
      <c r="B3784" s="464">
        <v>46103</v>
      </c>
      <c r="C3784" s="436" t="s">
        <v>247</v>
      </c>
      <c r="D3784" s="436" t="s">
        <v>248</v>
      </c>
      <c r="E3784" s="436">
        <v>1</v>
      </c>
      <c r="F3784" s="465">
        <v>1.5</v>
      </c>
      <c r="G3784" s="466">
        <v>1.5</v>
      </c>
      <c r="H3784" s="466">
        <f>G3784/1.1</f>
        <v>1.3636363636363635</v>
      </c>
      <c r="I3784" s="436"/>
      <c r="J3784" s="465">
        <v>0</v>
      </c>
      <c r="K3784" s="465">
        <v>0</v>
      </c>
    </row>
    <row r="3785" spans="2:11" ht="19" customHeight="1">
      <c r="B3785" s="464">
        <v>46103</v>
      </c>
      <c r="C3785" s="436" t="s">
        <v>894</v>
      </c>
      <c r="D3785" s="436" t="s">
        <v>950</v>
      </c>
      <c r="E3785" s="436">
        <v>1</v>
      </c>
      <c r="F3785" s="465">
        <v>5.7</v>
      </c>
      <c r="G3785" s="466">
        <v>5.7</v>
      </c>
      <c r="H3785" s="466">
        <f>G3785/1.1</f>
        <v>5.1818181818181817</v>
      </c>
      <c r="I3785" s="436"/>
      <c r="J3785" s="465">
        <v>0</v>
      </c>
      <c r="K3785" s="465">
        <v>0</v>
      </c>
    </row>
    <row r="3786" spans="2:11" ht="19" customHeight="1">
      <c r="B3786" s="464">
        <v>46103</v>
      </c>
      <c r="C3786" s="436" t="s">
        <v>264</v>
      </c>
      <c r="D3786" s="436" t="s">
        <v>891</v>
      </c>
      <c r="E3786" s="436">
        <v>1</v>
      </c>
      <c r="F3786" s="465">
        <v>0.7</v>
      </c>
      <c r="G3786" s="466">
        <v>0.7</v>
      </c>
      <c r="H3786" s="466">
        <f>G3786/1.1</f>
        <v>0.63636363636363624</v>
      </c>
      <c r="I3786" s="436"/>
      <c r="J3786" s="465">
        <v>0</v>
      </c>
      <c r="K3786" s="465">
        <v>0</v>
      </c>
    </row>
    <row r="3787" spans="2:11" ht="19" customHeight="1">
      <c r="B3787" s="464">
        <v>46103</v>
      </c>
      <c r="C3787" s="436" t="s">
        <v>268</v>
      </c>
      <c r="D3787" s="436" t="s">
        <v>858</v>
      </c>
      <c r="E3787" s="436">
        <v>3</v>
      </c>
      <c r="F3787" s="465">
        <v>0.65</v>
      </c>
      <c r="G3787" s="466">
        <v>1.95</v>
      </c>
      <c r="H3787" s="466">
        <f>G3787/1.1</f>
        <v>1.7727272727272725</v>
      </c>
      <c r="I3787" s="436"/>
      <c r="J3787" s="465">
        <v>0</v>
      </c>
      <c r="K3787" s="465">
        <v>0</v>
      </c>
    </row>
    <row r="3788" spans="2:11" ht="19" customHeight="1">
      <c r="B3788" s="464">
        <v>46103</v>
      </c>
      <c r="C3788" s="436" t="s">
        <v>247</v>
      </c>
      <c r="D3788" s="436" t="s">
        <v>257</v>
      </c>
      <c r="E3788" s="436">
        <v>1</v>
      </c>
      <c r="F3788" s="465">
        <v>1.4</v>
      </c>
      <c r="G3788" s="466">
        <v>1.4</v>
      </c>
      <c r="H3788" s="466">
        <f>G3788/1.1</f>
        <v>1.2727272727272725</v>
      </c>
      <c r="I3788" s="436"/>
      <c r="J3788" s="465">
        <v>0</v>
      </c>
      <c r="K3788" s="465">
        <v>0</v>
      </c>
    </row>
    <row r="3789" spans="2:11" ht="19" customHeight="1">
      <c r="B3789" s="464">
        <v>46103</v>
      </c>
      <c r="C3789" s="436" t="s">
        <v>247</v>
      </c>
      <c r="D3789" s="436" t="s">
        <v>248</v>
      </c>
      <c r="E3789" s="436">
        <v>1</v>
      </c>
      <c r="F3789" s="465">
        <v>1.5</v>
      </c>
      <c r="G3789" s="466">
        <v>1.5</v>
      </c>
      <c r="H3789" s="466">
        <f>G3789/1.1</f>
        <v>1.3636363636363635</v>
      </c>
      <c r="I3789" s="436"/>
      <c r="J3789" s="465">
        <v>0</v>
      </c>
      <c r="K3789" s="465">
        <v>0</v>
      </c>
    </row>
    <row r="3790" spans="2:11" ht="19" customHeight="1">
      <c r="B3790" s="464">
        <v>46103</v>
      </c>
      <c r="C3790" s="436" t="s">
        <v>268</v>
      </c>
      <c r="D3790" s="436" t="s">
        <v>858</v>
      </c>
      <c r="E3790" s="436">
        <v>1</v>
      </c>
      <c r="F3790" s="465">
        <v>0.65</v>
      </c>
      <c r="G3790" s="466">
        <v>0.65</v>
      </c>
      <c r="H3790" s="466">
        <f>G3790/1.1</f>
        <v>0.59090909090909083</v>
      </c>
      <c r="I3790" s="436"/>
      <c r="J3790" s="465">
        <v>0</v>
      </c>
      <c r="K3790" s="465">
        <v>0</v>
      </c>
    </row>
    <row r="3791" spans="2:11" ht="19" customHeight="1">
      <c r="B3791" s="464">
        <v>46103</v>
      </c>
      <c r="C3791" s="436" t="s">
        <v>247</v>
      </c>
      <c r="D3791" s="436" t="s">
        <v>248</v>
      </c>
      <c r="E3791" s="436">
        <v>1</v>
      </c>
      <c r="F3791" s="465">
        <v>1.5</v>
      </c>
      <c r="G3791" s="466">
        <v>1.5</v>
      </c>
      <c r="H3791" s="466">
        <f>G3791/1.1</f>
        <v>1.3636363636363635</v>
      </c>
      <c r="I3791" s="436"/>
      <c r="J3791" s="465">
        <v>0</v>
      </c>
      <c r="K3791" s="465">
        <v>0</v>
      </c>
    </row>
    <row r="3792" spans="2:11" ht="19" customHeight="1">
      <c r="B3792" s="464">
        <v>46103</v>
      </c>
      <c r="C3792" s="436" t="s">
        <v>247</v>
      </c>
      <c r="D3792" s="436" t="s">
        <v>257</v>
      </c>
      <c r="E3792" s="436">
        <v>1</v>
      </c>
      <c r="F3792" s="465">
        <v>1.4</v>
      </c>
      <c r="G3792" s="466">
        <v>1.4</v>
      </c>
      <c r="H3792" s="466">
        <f>G3792/1.1</f>
        <v>1.2727272727272725</v>
      </c>
      <c r="I3792" s="436"/>
      <c r="J3792" s="465">
        <v>0</v>
      </c>
      <c r="K3792" s="465">
        <v>0</v>
      </c>
    </row>
    <row r="3793" spans="2:11" ht="19" customHeight="1">
      <c r="B3793" s="464">
        <v>46103</v>
      </c>
      <c r="C3793" s="436" t="s">
        <v>247</v>
      </c>
      <c r="D3793" s="436" t="s">
        <v>246</v>
      </c>
      <c r="E3793" s="436">
        <v>1</v>
      </c>
      <c r="F3793" s="465">
        <v>1.7</v>
      </c>
      <c r="G3793" s="466">
        <v>1.7</v>
      </c>
      <c r="H3793" s="466">
        <f>G3793/1.1</f>
        <v>1.5454545454545452</v>
      </c>
      <c r="I3793" s="436"/>
      <c r="J3793" s="465">
        <v>0</v>
      </c>
      <c r="K3793" s="465">
        <v>0</v>
      </c>
    </row>
    <row r="3794" spans="2:11" ht="19" customHeight="1">
      <c r="B3794" s="464">
        <v>46103</v>
      </c>
      <c r="C3794" s="436" t="s">
        <v>268</v>
      </c>
      <c r="D3794" s="436" t="s">
        <v>267</v>
      </c>
      <c r="E3794" s="436">
        <v>1</v>
      </c>
      <c r="F3794" s="465">
        <v>1.5</v>
      </c>
      <c r="G3794" s="466">
        <v>1.5</v>
      </c>
      <c r="H3794" s="466">
        <f>G3794/1.1</f>
        <v>1.3636363636363635</v>
      </c>
      <c r="I3794" s="436"/>
      <c r="J3794" s="465">
        <v>0</v>
      </c>
      <c r="K3794" s="465">
        <v>0</v>
      </c>
    </row>
    <row r="3795" spans="2:11" ht="19" customHeight="1">
      <c r="B3795" s="464">
        <v>46103</v>
      </c>
      <c r="C3795" s="436" t="s">
        <v>268</v>
      </c>
      <c r="D3795" s="436" t="s">
        <v>267</v>
      </c>
      <c r="E3795" s="436">
        <v>1</v>
      </c>
      <c r="F3795" s="465">
        <v>1.5</v>
      </c>
      <c r="G3795" s="466">
        <v>1.5</v>
      </c>
      <c r="H3795" s="466">
        <f>G3795/1.1</f>
        <v>1.3636363636363635</v>
      </c>
      <c r="I3795" s="436"/>
      <c r="J3795" s="465">
        <v>0</v>
      </c>
      <c r="K3795" s="465">
        <v>0</v>
      </c>
    </row>
    <row r="3796" spans="2:11" ht="19" customHeight="1">
      <c r="B3796" s="464">
        <v>46103</v>
      </c>
      <c r="C3796" s="436" t="s">
        <v>247</v>
      </c>
      <c r="D3796" s="436" t="s">
        <v>246</v>
      </c>
      <c r="E3796" s="436">
        <v>1</v>
      </c>
      <c r="F3796" s="465">
        <v>1.7</v>
      </c>
      <c r="G3796" s="466">
        <v>1.7</v>
      </c>
      <c r="H3796" s="466">
        <f>G3796/1.1</f>
        <v>1.5454545454545452</v>
      </c>
      <c r="I3796" s="436"/>
      <c r="J3796" s="465">
        <v>0</v>
      </c>
      <c r="K3796" s="465">
        <v>0</v>
      </c>
    </row>
    <row r="3797" spans="2:11" ht="19" customHeight="1">
      <c r="B3797" s="464">
        <v>46103</v>
      </c>
      <c r="C3797" s="436" t="s">
        <v>247</v>
      </c>
      <c r="D3797" s="436" t="s">
        <v>248</v>
      </c>
      <c r="E3797" s="436">
        <v>2</v>
      </c>
      <c r="F3797" s="465">
        <v>1.5</v>
      </c>
      <c r="G3797" s="466">
        <v>3</v>
      </c>
      <c r="H3797" s="466">
        <f>G3797/1.1</f>
        <v>2.7272727272727271</v>
      </c>
      <c r="I3797" s="436"/>
      <c r="J3797" s="465">
        <v>0</v>
      </c>
      <c r="K3797" s="465">
        <v>0</v>
      </c>
    </row>
    <row r="3798" spans="2:11" ht="19" customHeight="1">
      <c r="B3798" s="464">
        <v>46103</v>
      </c>
      <c r="C3798" s="436" t="s">
        <v>268</v>
      </c>
      <c r="D3798" s="436" t="s">
        <v>859</v>
      </c>
      <c r="E3798" s="436">
        <v>2</v>
      </c>
      <c r="F3798" s="465">
        <v>0.75</v>
      </c>
      <c r="G3798" s="466">
        <v>1.5</v>
      </c>
      <c r="H3798" s="466">
        <f>G3798/1.1</f>
        <v>1.3636363636363635</v>
      </c>
      <c r="I3798" s="436"/>
      <c r="J3798" s="465">
        <v>0</v>
      </c>
      <c r="K3798" s="465">
        <v>0</v>
      </c>
    </row>
    <row r="3799" spans="2:11" ht="19" customHeight="1">
      <c r="B3799" s="464">
        <v>46103</v>
      </c>
      <c r="C3799" s="436" t="s">
        <v>247</v>
      </c>
      <c r="D3799" s="436" t="s">
        <v>246</v>
      </c>
      <c r="E3799" s="436">
        <v>1</v>
      </c>
      <c r="F3799" s="465">
        <v>1.7</v>
      </c>
      <c r="G3799" s="466">
        <v>1.7</v>
      </c>
      <c r="H3799" s="466">
        <f>G3799/1.1</f>
        <v>1.5454545454545452</v>
      </c>
      <c r="I3799" s="436"/>
      <c r="J3799" s="465">
        <v>0</v>
      </c>
      <c r="K3799" s="465">
        <v>0</v>
      </c>
    </row>
    <row r="3800" spans="2:11" ht="19" customHeight="1">
      <c r="B3800" s="464">
        <v>46103</v>
      </c>
      <c r="C3800" s="436" t="s">
        <v>862</v>
      </c>
      <c r="D3800" s="436" t="s">
        <v>899</v>
      </c>
      <c r="E3800" s="436">
        <v>1</v>
      </c>
      <c r="F3800" s="465">
        <v>0.05</v>
      </c>
      <c r="G3800" s="466">
        <v>0.05</v>
      </c>
      <c r="H3800" s="466">
        <f>G3800/1.1</f>
        <v>4.5454545454545456E-2</v>
      </c>
      <c r="I3800" s="436"/>
      <c r="J3800" s="465">
        <v>0</v>
      </c>
      <c r="K3800" s="465">
        <v>0</v>
      </c>
    </row>
    <row r="3801" spans="2:11" ht="19" customHeight="1">
      <c r="B3801" s="464">
        <v>46103</v>
      </c>
      <c r="C3801" s="436" t="s">
        <v>862</v>
      </c>
      <c r="D3801" s="436" t="s">
        <v>863</v>
      </c>
      <c r="E3801" s="436">
        <v>1</v>
      </c>
      <c r="F3801" s="465">
        <v>0.15</v>
      </c>
      <c r="G3801" s="466">
        <v>0.15</v>
      </c>
      <c r="H3801" s="466">
        <f>G3801/1.1</f>
        <v>0.13636363636363635</v>
      </c>
      <c r="I3801" s="436"/>
      <c r="J3801" s="465">
        <v>0</v>
      </c>
      <c r="K3801" s="465">
        <v>0</v>
      </c>
    </row>
    <row r="3802" spans="2:11" ht="19" customHeight="1">
      <c r="B3802" s="464">
        <v>46103</v>
      </c>
      <c r="C3802" s="436" t="s">
        <v>251</v>
      </c>
      <c r="D3802" s="436" t="s">
        <v>854</v>
      </c>
      <c r="E3802" s="436">
        <v>1</v>
      </c>
      <c r="F3802" s="465">
        <v>1.55</v>
      </c>
      <c r="G3802" s="466">
        <v>1.55</v>
      </c>
      <c r="H3802" s="466">
        <f>G3802/1.1</f>
        <v>1.4090909090909089</v>
      </c>
      <c r="I3802" s="436"/>
      <c r="J3802" s="465">
        <v>0</v>
      </c>
      <c r="K3802" s="465">
        <v>0</v>
      </c>
    </row>
    <row r="3803" spans="2:11" ht="19" customHeight="1">
      <c r="B3803" s="464">
        <v>46103</v>
      </c>
      <c r="C3803" s="436" t="s">
        <v>247</v>
      </c>
      <c r="D3803" s="436" t="s">
        <v>257</v>
      </c>
      <c r="E3803" s="436">
        <v>1</v>
      </c>
      <c r="F3803" s="465">
        <v>1.4</v>
      </c>
      <c r="G3803" s="466">
        <v>1.4</v>
      </c>
      <c r="H3803" s="466">
        <f>G3803/1.1</f>
        <v>1.2727272727272725</v>
      </c>
      <c r="I3803" s="436"/>
      <c r="J3803" s="465">
        <v>0</v>
      </c>
      <c r="K3803" s="465">
        <v>0</v>
      </c>
    </row>
    <row r="3804" spans="2:11" ht="19" customHeight="1">
      <c r="B3804" s="464">
        <v>46103</v>
      </c>
      <c r="C3804" s="436" t="s">
        <v>327</v>
      </c>
      <c r="D3804" s="436" t="s">
        <v>723</v>
      </c>
      <c r="E3804" s="436">
        <v>1</v>
      </c>
      <c r="F3804" s="465">
        <v>3.1</v>
      </c>
      <c r="G3804" s="466">
        <v>3.1</v>
      </c>
      <c r="H3804" s="466">
        <f>G3804/1.1</f>
        <v>2.8181818181818179</v>
      </c>
      <c r="I3804" s="436"/>
      <c r="J3804" s="465">
        <v>0</v>
      </c>
      <c r="K3804" s="465">
        <v>0</v>
      </c>
    </row>
    <row r="3805" spans="2:11" ht="19" customHeight="1">
      <c r="B3805" s="464">
        <v>46103</v>
      </c>
      <c r="C3805" s="436" t="s">
        <v>862</v>
      </c>
      <c r="D3805" s="436" t="s">
        <v>865</v>
      </c>
      <c r="E3805" s="436">
        <v>1</v>
      </c>
      <c r="F3805" s="465">
        <v>0.05</v>
      </c>
      <c r="G3805" s="466">
        <v>0.05</v>
      </c>
      <c r="H3805" s="466">
        <f>G3805/1.1</f>
        <v>4.5454545454545456E-2</v>
      </c>
      <c r="I3805" s="436"/>
      <c r="J3805" s="465">
        <v>0</v>
      </c>
      <c r="K3805" s="465">
        <v>0</v>
      </c>
    </row>
    <row r="3806" spans="2:11" ht="19" customHeight="1">
      <c r="B3806" s="464">
        <v>46103</v>
      </c>
      <c r="C3806" s="436" t="s">
        <v>268</v>
      </c>
      <c r="D3806" s="436" t="s">
        <v>859</v>
      </c>
      <c r="E3806" s="436">
        <v>1</v>
      </c>
      <c r="F3806" s="465">
        <v>0.75</v>
      </c>
      <c r="G3806" s="466">
        <v>0.75</v>
      </c>
      <c r="H3806" s="466">
        <f>G3806/1.1</f>
        <v>0.68181818181818177</v>
      </c>
      <c r="I3806" s="436"/>
      <c r="J3806" s="465">
        <v>0</v>
      </c>
      <c r="K3806" s="465">
        <v>0</v>
      </c>
    </row>
    <row r="3807" spans="2:11" ht="19" customHeight="1">
      <c r="B3807" s="464">
        <v>46103</v>
      </c>
      <c r="C3807" s="436" t="s">
        <v>247</v>
      </c>
      <c r="D3807" s="436" t="s">
        <v>248</v>
      </c>
      <c r="E3807" s="436">
        <v>1</v>
      </c>
      <c r="F3807" s="465">
        <v>1.5</v>
      </c>
      <c r="G3807" s="466">
        <v>1.5</v>
      </c>
      <c r="H3807" s="466">
        <f>G3807/1.1</f>
        <v>1.3636363636363635</v>
      </c>
      <c r="I3807" s="436"/>
      <c r="J3807" s="465">
        <v>0</v>
      </c>
      <c r="K3807" s="465">
        <v>0</v>
      </c>
    </row>
    <row r="3808" spans="2:11" ht="19" customHeight="1">
      <c r="B3808" s="464">
        <v>46103</v>
      </c>
      <c r="C3808" s="436" t="s">
        <v>862</v>
      </c>
      <c r="D3808" s="436" t="s">
        <v>899</v>
      </c>
      <c r="E3808" s="436">
        <v>1</v>
      </c>
      <c r="F3808" s="465">
        <v>0.05</v>
      </c>
      <c r="G3808" s="466">
        <v>0.05</v>
      </c>
      <c r="H3808" s="466">
        <f>G3808/1.1</f>
        <v>4.5454545454545456E-2</v>
      </c>
      <c r="I3808" s="436"/>
      <c r="J3808" s="465">
        <v>0</v>
      </c>
      <c r="K3808" s="465">
        <v>0</v>
      </c>
    </row>
    <row r="3809" spans="2:11" ht="19" customHeight="1">
      <c r="B3809" s="464">
        <v>46103</v>
      </c>
      <c r="C3809" s="436" t="s">
        <v>247</v>
      </c>
      <c r="D3809" s="436" t="s">
        <v>257</v>
      </c>
      <c r="E3809" s="436">
        <v>1</v>
      </c>
      <c r="F3809" s="465">
        <v>1.4</v>
      </c>
      <c r="G3809" s="466">
        <v>1.4</v>
      </c>
      <c r="H3809" s="466">
        <f>G3809/1.1</f>
        <v>1.2727272727272725</v>
      </c>
      <c r="I3809" s="436"/>
      <c r="J3809" s="465">
        <v>0</v>
      </c>
      <c r="K3809" s="465">
        <v>0</v>
      </c>
    </row>
    <row r="3810" spans="2:11" ht="19" customHeight="1">
      <c r="B3810" s="464">
        <v>46103</v>
      </c>
      <c r="C3810" s="436" t="s">
        <v>268</v>
      </c>
      <c r="D3810" s="436" t="s">
        <v>267</v>
      </c>
      <c r="E3810" s="436">
        <v>1</v>
      </c>
      <c r="F3810" s="465">
        <v>1.5</v>
      </c>
      <c r="G3810" s="466">
        <v>1.5</v>
      </c>
      <c r="H3810" s="466">
        <f>G3810/1.1</f>
        <v>1.3636363636363635</v>
      </c>
      <c r="I3810" s="436"/>
      <c r="J3810" s="465">
        <v>0</v>
      </c>
      <c r="K3810" s="465">
        <v>0</v>
      </c>
    </row>
    <row r="3811" spans="2:11" ht="19" customHeight="1">
      <c r="B3811" s="464">
        <v>46103</v>
      </c>
      <c r="C3811" s="436" t="s">
        <v>247</v>
      </c>
      <c r="D3811" s="436" t="s">
        <v>246</v>
      </c>
      <c r="E3811" s="436">
        <v>1</v>
      </c>
      <c r="F3811" s="465">
        <v>1.7</v>
      </c>
      <c r="G3811" s="466">
        <v>1.7</v>
      </c>
      <c r="H3811" s="466">
        <f>G3811/1.1</f>
        <v>1.5454545454545452</v>
      </c>
      <c r="I3811" s="436"/>
      <c r="J3811" s="465">
        <v>0</v>
      </c>
      <c r="K3811" s="465">
        <v>0</v>
      </c>
    </row>
    <row r="3812" spans="2:11" ht="19" customHeight="1">
      <c r="B3812" s="464">
        <v>46103</v>
      </c>
      <c r="C3812" s="436" t="s">
        <v>894</v>
      </c>
      <c r="D3812" s="436" t="s">
        <v>950</v>
      </c>
      <c r="E3812" s="436">
        <v>2</v>
      </c>
      <c r="F3812" s="465">
        <v>5.7</v>
      </c>
      <c r="G3812" s="466">
        <v>11.4</v>
      </c>
      <c r="H3812" s="466">
        <f>G3812/1.1</f>
        <v>10.363636363636363</v>
      </c>
      <c r="I3812" s="436"/>
      <c r="J3812" s="465">
        <v>0</v>
      </c>
      <c r="K3812" s="465">
        <v>0</v>
      </c>
    </row>
    <row r="3813" spans="2:11" ht="19" customHeight="1">
      <c r="B3813" s="464">
        <v>46103</v>
      </c>
      <c r="C3813" s="436" t="s">
        <v>862</v>
      </c>
      <c r="D3813" s="436" t="s">
        <v>899</v>
      </c>
      <c r="E3813" s="436">
        <v>1</v>
      </c>
      <c r="F3813" s="465">
        <v>0.05</v>
      </c>
      <c r="G3813" s="466">
        <v>0.05</v>
      </c>
      <c r="H3813" s="466">
        <f>G3813/1.1</f>
        <v>4.5454545454545456E-2</v>
      </c>
      <c r="I3813" s="436"/>
      <c r="J3813" s="465">
        <v>0</v>
      </c>
      <c r="K3813" s="465">
        <v>0</v>
      </c>
    </row>
    <row r="3814" spans="2:11" ht="19" customHeight="1">
      <c r="B3814" s="464">
        <v>46103</v>
      </c>
      <c r="C3814" s="436" t="s">
        <v>247</v>
      </c>
      <c r="D3814" s="436" t="s">
        <v>248</v>
      </c>
      <c r="E3814" s="436">
        <v>1</v>
      </c>
      <c r="F3814" s="465">
        <v>1.5</v>
      </c>
      <c r="G3814" s="466">
        <v>1.5</v>
      </c>
      <c r="H3814" s="466">
        <f>G3814/1.1</f>
        <v>1.3636363636363635</v>
      </c>
      <c r="I3814" s="436"/>
      <c r="J3814" s="465">
        <v>0</v>
      </c>
      <c r="K3814" s="465">
        <v>0</v>
      </c>
    </row>
    <row r="3815" spans="2:11" ht="19" customHeight="1">
      <c r="B3815" s="464">
        <v>46103</v>
      </c>
      <c r="C3815" s="436" t="s">
        <v>251</v>
      </c>
      <c r="D3815" s="436" t="s">
        <v>265</v>
      </c>
      <c r="E3815" s="436">
        <v>1</v>
      </c>
      <c r="F3815" s="465">
        <v>2.8</v>
      </c>
      <c r="G3815" s="466">
        <v>2.8</v>
      </c>
      <c r="H3815" s="466">
        <f>G3815/1.1</f>
        <v>2.545454545454545</v>
      </c>
      <c r="I3815" s="436"/>
      <c r="J3815" s="465">
        <v>0</v>
      </c>
      <c r="K3815" s="465">
        <v>0</v>
      </c>
    </row>
    <row r="3816" spans="2:11" ht="19" customHeight="1">
      <c r="B3816" s="464">
        <v>46103</v>
      </c>
      <c r="C3816" s="436" t="s">
        <v>251</v>
      </c>
      <c r="D3816" s="436" t="s">
        <v>927</v>
      </c>
      <c r="E3816" s="436">
        <v>1</v>
      </c>
      <c r="F3816" s="465">
        <v>2.8</v>
      </c>
      <c r="G3816" s="466">
        <v>2.8</v>
      </c>
      <c r="H3816" s="466">
        <f>G3816/1.1</f>
        <v>2.545454545454545</v>
      </c>
      <c r="I3816" s="436"/>
      <c r="J3816" s="465">
        <v>0</v>
      </c>
      <c r="K3816" s="465">
        <v>0</v>
      </c>
    </row>
    <row r="3817" spans="2:11" ht="19" customHeight="1">
      <c r="B3817" s="464">
        <v>46103</v>
      </c>
      <c r="C3817" s="436" t="s">
        <v>264</v>
      </c>
      <c r="D3817" s="436" t="s">
        <v>930</v>
      </c>
      <c r="E3817" s="436">
        <v>1</v>
      </c>
      <c r="F3817" s="465">
        <v>3.75</v>
      </c>
      <c r="G3817" s="466">
        <v>3.75</v>
      </c>
      <c r="H3817" s="466">
        <f>G3817/1.1</f>
        <v>3.4090909090909087</v>
      </c>
      <c r="I3817" s="436"/>
      <c r="J3817" s="465">
        <v>0</v>
      </c>
      <c r="K3817" s="465">
        <v>0</v>
      </c>
    </row>
    <row r="3818" spans="2:11" ht="19" customHeight="1">
      <c r="B3818" s="464">
        <v>46103</v>
      </c>
      <c r="C3818" s="436" t="s">
        <v>256</v>
      </c>
      <c r="D3818" s="436" t="s">
        <v>685</v>
      </c>
      <c r="E3818" s="436">
        <v>1</v>
      </c>
      <c r="F3818" s="465">
        <v>9.25</v>
      </c>
      <c r="G3818" s="466">
        <v>9.25</v>
      </c>
      <c r="H3818" s="466">
        <f>G3818/1.1</f>
        <v>8.4090909090909083</v>
      </c>
      <c r="I3818" s="436"/>
      <c r="J3818" s="465">
        <v>0</v>
      </c>
      <c r="K3818" s="465">
        <v>0</v>
      </c>
    </row>
    <row r="3819" spans="2:11" ht="19" customHeight="1">
      <c r="B3819" s="464">
        <v>46103</v>
      </c>
      <c r="C3819" s="436" t="s">
        <v>256</v>
      </c>
      <c r="D3819" s="436" t="s">
        <v>675</v>
      </c>
      <c r="E3819" s="436">
        <v>1</v>
      </c>
      <c r="F3819" s="465">
        <v>5.75</v>
      </c>
      <c r="G3819" s="466">
        <v>5.75</v>
      </c>
      <c r="H3819" s="466">
        <f>G3819/1.1</f>
        <v>5.2272727272727266</v>
      </c>
      <c r="I3819" s="436"/>
      <c r="J3819" s="465">
        <v>0</v>
      </c>
      <c r="K3819" s="465">
        <v>0</v>
      </c>
    </row>
    <row r="3820" spans="2:11" ht="19" customHeight="1">
      <c r="B3820" s="464">
        <v>46103</v>
      </c>
      <c r="C3820" s="436" t="s">
        <v>326</v>
      </c>
      <c r="D3820" s="436" t="s">
        <v>1073</v>
      </c>
      <c r="E3820" s="436">
        <v>1</v>
      </c>
      <c r="F3820" s="465">
        <v>10.25</v>
      </c>
      <c r="G3820" s="466">
        <v>10.25</v>
      </c>
      <c r="H3820" s="466">
        <f>G3820/1.1</f>
        <v>9.3181818181818166</v>
      </c>
      <c r="I3820" s="436"/>
      <c r="J3820" s="465">
        <v>0</v>
      </c>
      <c r="K3820" s="465">
        <v>0</v>
      </c>
    </row>
    <row r="3821" spans="2:11" ht="19" customHeight="1">
      <c r="B3821" s="464">
        <v>46103</v>
      </c>
      <c r="C3821" s="436" t="s">
        <v>253</v>
      </c>
      <c r="D3821" s="436" t="s">
        <v>869</v>
      </c>
      <c r="E3821" s="436">
        <v>1</v>
      </c>
      <c r="F3821" s="465">
        <v>2.65</v>
      </c>
      <c r="G3821" s="466">
        <v>2.65</v>
      </c>
      <c r="H3821" s="466">
        <f>G3821/1.1</f>
        <v>2.4090909090909087</v>
      </c>
      <c r="I3821" s="436"/>
      <c r="J3821" s="465">
        <v>0</v>
      </c>
      <c r="K3821" s="465">
        <v>0</v>
      </c>
    </row>
    <row r="3822" spans="2:11" ht="19" customHeight="1">
      <c r="B3822" s="464">
        <v>46103</v>
      </c>
      <c r="C3822" s="436" t="s">
        <v>256</v>
      </c>
      <c r="D3822" s="436" t="s">
        <v>262</v>
      </c>
      <c r="E3822" s="436">
        <v>1</v>
      </c>
      <c r="F3822" s="465">
        <v>12.15</v>
      </c>
      <c r="G3822" s="466">
        <v>12.15</v>
      </c>
      <c r="H3822" s="466">
        <f>G3822/1.1</f>
        <v>11.045454545454545</v>
      </c>
      <c r="I3822" s="436"/>
      <c r="J3822" s="465">
        <v>0</v>
      </c>
      <c r="K3822" s="465">
        <v>0</v>
      </c>
    </row>
    <row r="3823" spans="2:11" ht="19" customHeight="1">
      <c r="B3823" s="464">
        <v>46103</v>
      </c>
      <c r="C3823" s="436" t="s">
        <v>253</v>
      </c>
      <c r="D3823" s="436" t="s">
        <v>901</v>
      </c>
      <c r="E3823" s="436">
        <v>1</v>
      </c>
      <c r="F3823" s="465">
        <v>2.2999999999999998</v>
      </c>
      <c r="G3823" s="466">
        <v>2.2999999999999998</v>
      </c>
      <c r="H3823" s="466">
        <f>G3823/1.1</f>
        <v>2.0909090909090904</v>
      </c>
      <c r="I3823" s="436"/>
      <c r="J3823" s="465">
        <v>0</v>
      </c>
      <c r="K3823" s="465">
        <v>0</v>
      </c>
    </row>
    <row r="3824" spans="2:11" ht="19" customHeight="1">
      <c r="B3824" s="464">
        <v>46103</v>
      </c>
      <c r="C3824" s="436" t="s">
        <v>256</v>
      </c>
      <c r="D3824" s="436" t="s">
        <v>678</v>
      </c>
      <c r="E3824" s="436">
        <v>1</v>
      </c>
      <c r="F3824" s="465">
        <v>7.15</v>
      </c>
      <c r="G3824" s="466">
        <v>7.15</v>
      </c>
      <c r="H3824" s="466">
        <f>G3824/1.1</f>
        <v>6.5</v>
      </c>
      <c r="I3824" s="436"/>
      <c r="J3824" s="465">
        <v>0</v>
      </c>
      <c r="K3824" s="465">
        <v>0</v>
      </c>
    </row>
    <row r="3825" spans="2:11" ht="19" customHeight="1">
      <c r="B3825" s="464">
        <v>46103</v>
      </c>
      <c r="C3825" s="436" t="s">
        <v>253</v>
      </c>
      <c r="D3825" s="436" t="s">
        <v>869</v>
      </c>
      <c r="E3825" s="436">
        <v>1</v>
      </c>
      <c r="F3825" s="465">
        <v>2.65</v>
      </c>
      <c r="G3825" s="466">
        <v>2.65</v>
      </c>
      <c r="H3825" s="466">
        <f>G3825/1.1</f>
        <v>2.4090909090909087</v>
      </c>
      <c r="I3825" s="436"/>
      <c r="J3825" s="465">
        <v>0</v>
      </c>
      <c r="K3825" s="465">
        <v>0</v>
      </c>
    </row>
    <row r="3826" spans="2:11" ht="19" customHeight="1">
      <c r="B3826" s="464">
        <v>46103</v>
      </c>
      <c r="C3826" s="436" t="s">
        <v>251</v>
      </c>
      <c r="D3826" s="436" t="s">
        <v>265</v>
      </c>
      <c r="E3826" s="436">
        <v>1</v>
      </c>
      <c r="F3826" s="465">
        <v>2.8</v>
      </c>
      <c r="G3826" s="466">
        <v>2.8</v>
      </c>
      <c r="H3826" s="466">
        <f>G3826/1.1</f>
        <v>2.545454545454545</v>
      </c>
      <c r="I3826" s="436"/>
      <c r="J3826" s="465">
        <v>0</v>
      </c>
      <c r="K3826" s="465">
        <v>0</v>
      </c>
    </row>
    <row r="3827" spans="2:11" ht="19" customHeight="1">
      <c r="B3827" s="464">
        <v>46103</v>
      </c>
      <c r="C3827" s="436" t="s">
        <v>253</v>
      </c>
      <c r="D3827" s="436" t="s">
        <v>869</v>
      </c>
      <c r="E3827" s="436">
        <v>2</v>
      </c>
      <c r="F3827" s="465">
        <v>2.65</v>
      </c>
      <c r="G3827" s="466">
        <v>5.3</v>
      </c>
      <c r="H3827" s="466">
        <f>G3827/1.1</f>
        <v>4.8181818181818175</v>
      </c>
      <c r="I3827" s="436"/>
      <c r="J3827" s="465">
        <v>0</v>
      </c>
      <c r="K3827" s="465">
        <v>0</v>
      </c>
    </row>
    <row r="3828" spans="2:11" ht="19" customHeight="1">
      <c r="B3828" s="464">
        <v>46103</v>
      </c>
      <c r="C3828" s="436" t="s">
        <v>321</v>
      </c>
      <c r="D3828" s="436" t="s">
        <v>694</v>
      </c>
      <c r="E3828" s="436">
        <v>1</v>
      </c>
      <c r="F3828" s="465">
        <v>4.25</v>
      </c>
      <c r="G3828" s="466">
        <v>4.25</v>
      </c>
      <c r="H3828" s="466">
        <f>G3828/1.1</f>
        <v>3.8636363636363633</v>
      </c>
      <c r="I3828" s="436"/>
      <c r="J3828" s="465">
        <v>0</v>
      </c>
      <c r="K3828" s="465">
        <v>0</v>
      </c>
    </row>
    <row r="3829" spans="2:11" ht="19" customHeight="1">
      <c r="B3829" s="464">
        <v>46103</v>
      </c>
      <c r="C3829" s="436" t="s">
        <v>253</v>
      </c>
      <c r="D3829" s="436" t="s">
        <v>965</v>
      </c>
      <c r="E3829" s="436">
        <v>2</v>
      </c>
      <c r="F3829" s="465">
        <v>2.65</v>
      </c>
      <c r="G3829" s="466">
        <v>5.3</v>
      </c>
      <c r="H3829" s="466">
        <f>G3829/1.1</f>
        <v>4.8181818181818175</v>
      </c>
      <c r="I3829" s="436"/>
      <c r="J3829" s="465">
        <v>0</v>
      </c>
      <c r="K3829" s="465">
        <v>0</v>
      </c>
    </row>
    <row r="3830" spans="2:11" ht="19" customHeight="1">
      <c r="B3830" s="464">
        <v>46103</v>
      </c>
      <c r="C3830" s="436" t="s">
        <v>251</v>
      </c>
      <c r="D3830" s="436" t="s">
        <v>926</v>
      </c>
      <c r="E3830" s="436">
        <v>2</v>
      </c>
      <c r="F3830" s="465">
        <v>2.8</v>
      </c>
      <c r="G3830" s="466">
        <v>5.6</v>
      </c>
      <c r="H3830" s="466">
        <f>G3830/1.1</f>
        <v>5.0909090909090899</v>
      </c>
      <c r="I3830" s="436"/>
      <c r="J3830" s="465">
        <v>0</v>
      </c>
      <c r="K3830" s="465">
        <v>0</v>
      </c>
    </row>
    <row r="3831" spans="2:11" ht="19" customHeight="1">
      <c r="B3831" s="464">
        <v>46103</v>
      </c>
      <c r="C3831" s="436" t="s">
        <v>256</v>
      </c>
      <c r="D3831" s="436" t="s">
        <v>255</v>
      </c>
      <c r="E3831" s="436">
        <v>1</v>
      </c>
      <c r="F3831" s="465">
        <v>5.85</v>
      </c>
      <c r="G3831" s="466">
        <v>5.85</v>
      </c>
      <c r="H3831" s="466">
        <f>G3831/1.1</f>
        <v>5.3181818181818175</v>
      </c>
      <c r="I3831" s="436"/>
      <c r="J3831" s="465">
        <v>0</v>
      </c>
      <c r="K3831" s="465">
        <v>0</v>
      </c>
    </row>
    <row r="3832" spans="2:11" ht="19" customHeight="1">
      <c r="B3832" s="464">
        <v>46106</v>
      </c>
      <c r="C3832" s="436" t="s">
        <v>247</v>
      </c>
      <c r="D3832" s="436" t="s">
        <v>248</v>
      </c>
      <c r="E3832" s="436">
        <v>2</v>
      </c>
      <c r="F3832" s="465">
        <v>1.8</v>
      </c>
      <c r="G3832" s="466">
        <v>3.6</v>
      </c>
      <c r="H3832" s="466">
        <f>G3832/1.1</f>
        <v>3.2727272727272725</v>
      </c>
      <c r="I3832" s="436"/>
      <c r="J3832" s="465">
        <v>0</v>
      </c>
      <c r="K3832" s="465">
        <v>0</v>
      </c>
    </row>
    <row r="3833" spans="2:11" ht="19" customHeight="1">
      <c r="B3833" s="464">
        <v>46106</v>
      </c>
      <c r="C3833" s="436" t="s">
        <v>247</v>
      </c>
      <c r="D3833" s="436" t="s">
        <v>248</v>
      </c>
      <c r="E3833" s="436">
        <v>1</v>
      </c>
      <c r="F3833" s="465">
        <v>1.5</v>
      </c>
      <c r="G3833" s="466">
        <v>1.5</v>
      </c>
      <c r="H3833" s="466">
        <f>G3833/1.1</f>
        <v>1.3636363636363635</v>
      </c>
      <c r="I3833" s="436"/>
      <c r="J3833" s="465">
        <v>0</v>
      </c>
      <c r="K3833" s="465">
        <v>0</v>
      </c>
    </row>
    <row r="3834" spans="2:11" ht="19" customHeight="1">
      <c r="B3834" s="464">
        <v>46106</v>
      </c>
      <c r="C3834" s="436" t="s">
        <v>247</v>
      </c>
      <c r="D3834" s="436" t="s">
        <v>257</v>
      </c>
      <c r="E3834" s="436">
        <v>1</v>
      </c>
      <c r="F3834" s="465">
        <v>1.4</v>
      </c>
      <c r="G3834" s="466">
        <v>1.4</v>
      </c>
      <c r="H3834" s="466">
        <f>G3834/1.1</f>
        <v>1.2727272727272725</v>
      </c>
      <c r="I3834" s="436"/>
      <c r="J3834" s="465">
        <v>0</v>
      </c>
      <c r="K3834" s="465">
        <v>0</v>
      </c>
    </row>
    <row r="3835" spans="2:11" ht="19" customHeight="1">
      <c r="B3835" s="464">
        <v>46106</v>
      </c>
      <c r="C3835" s="436" t="s">
        <v>894</v>
      </c>
      <c r="D3835" s="436" t="s">
        <v>950</v>
      </c>
      <c r="E3835" s="436">
        <v>1</v>
      </c>
      <c r="F3835" s="465">
        <v>5.7</v>
      </c>
      <c r="G3835" s="466">
        <v>5.7</v>
      </c>
      <c r="H3835" s="466">
        <f>G3835/1.1</f>
        <v>5.1818181818181817</v>
      </c>
      <c r="I3835" s="436"/>
      <c r="J3835" s="465">
        <v>0</v>
      </c>
      <c r="K3835" s="465">
        <v>0</v>
      </c>
    </row>
    <row r="3836" spans="2:11" ht="19" customHeight="1">
      <c r="B3836" s="464">
        <v>46106</v>
      </c>
      <c r="C3836" s="436" t="s">
        <v>247</v>
      </c>
      <c r="D3836" s="436" t="s">
        <v>246</v>
      </c>
      <c r="E3836" s="436">
        <v>1</v>
      </c>
      <c r="F3836" s="465">
        <v>1.7</v>
      </c>
      <c r="G3836" s="466">
        <v>1.7</v>
      </c>
      <c r="H3836" s="466">
        <f>G3836/1.1</f>
        <v>1.5454545454545452</v>
      </c>
      <c r="I3836" s="436"/>
      <c r="J3836" s="465">
        <v>0</v>
      </c>
      <c r="K3836" s="465">
        <v>0</v>
      </c>
    </row>
    <row r="3837" spans="2:11" ht="19" customHeight="1">
      <c r="B3837" s="464">
        <v>46106</v>
      </c>
      <c r="C3837" s="436" t="s">
        <v>327</v>
      </c>
      <c r="D3837" s="436" t="s">
        <v>723</v>
      </c>
      <c r="E3837" s="436">
        <v>1</v>
      </c>
      <c r="F3837" s="465">
        <v>3.1</v>
      </c>
      <c r="G3837" s="466">
        <v>3.1</v>
      </c>
      <c r="H3837" s="466">
        <f>G3837/1.1</f>
        <v>2.8181818181818179</v>
      </c>
      <c r="I3837" s="436"/>
      <c r="J3837" s="465">
        <v>0</v>
      </c>
      <c r="K3837" s="465">
        <v>0</v>
      </c>
    </row>
    <row r="3838" spans="2:11" ht="19" customHeight="1">
      <c r="B3838" s="464">
        <v>46106</v>
      </c>
      <c r="C3838" s="436" t="s">
        <v>251</v>
      </c>
      <c r="D3838" s="436" t="s">
        <v>927</v>
      </c>
      <c r="E3838" s="436">
        <v>1</v>
      </c>
      <c r="F3838" s="465">
        <v>2.65</v>
      </c>
      <c r="G3838" s="466">
        <v>2.65</v>
      </c>
      <c r="H3838" s="466">
        <f>G3838/1.1</f>
        <v>2.4090909090909087</v>
      </c>
      <c r="I3838" s="436"/>
      <c r="J3838" s="465">
        <v>0</v>
      </c>
      <c r="K3838" s="465">
        <v>0</v>
      </c>
    </row>
    <row r="3839" spans="2:11" ht="19" customHeight="1">
      <c r="B3839" s="464">
        <v>46106</v>
      </c>
      <c r="C3839" s="436" t="s">
        <v>247</v>
      </c>
      <c r="D3839" s="436" t="s">
        <v>902</v>
      </c>
      <c r="E3839" s="436">
        <v>1</v>
      </c>
      <c r="F3839" s="465">
        <v>1.95</v>
      </c>
      <c r="G3839" s="466">
        <v>1.95</v>
      </c>
      <c r="H3839" s="466">
        <f>G3839/1.1</f>
        <v>1.7727272727272725</v>
      </c>
      <c r="I3839" s="436"/>
      <c r="J3839" s="465">
        <v>0</v>
      </c>
      <c r="K3839" s="465">
        <v>0</v>
      </c>
    </row>
    <row r="3840" spans="2:11" ht="19" customHeight="1">
      <c r="B3840" s="464">
        <v>46106</v>
      </c>
      <c r="C3840" s="436" t="s">
        <v>247</v>
      </c>
      <c r="D3840" s="436" t="s">
        <v>246</v>
      </c>
      <c r="E3840" s="436">
        <v>1</v>
      </c>
      <c r="F3840" s="465">
        <v>1.7</v>
      </c>
      <c r="G3840" s="466">
        <v>1.7</v>
      </c>
      <c r="H3840" s="466">
        <f>G3840/1.1</f>
        <v>1.5454545454545452</v>
      </c>
      <c r="I3840" s="436"/>
      <c r="J3840" s="465">
        <v>0</v>
      </c>
      <c r="K3840" s="465">
        <v>0</v>
      </c>
    </row>
    <row r="3841" spans="2:11" ht="19" customHeight="1">
      <c r="B3841" s="464">
        <v>46106</v>
      </c>
      <c r="C3841" s="436" t="s">
        <v>268</v>
      </c>
      <c r="D3841" s="436" t="s">
        <v>860</v>
      </c>
      <c r="E3841" s="436">
        <v>1</v>
      </c>
      <c r="F3841" s="465">
        <v>2.25</v>
      </c>
      <c r="G3841" s="466">
        <v>2.25</v>
      </c>
      <c r="H3841" s="466">
        <f>G3841/1.1</f>
        <v>2.0454545454545454</v>
      </c>
      <c r="I3841" s="436"/>
      <c r="J3841" s="465">
        <v>0</v>
      </c>
      <c r="K3841" s="465">
        <v>0</v>
      </c>
    </row>
    <row r="3842" spans="2:11" ht="19" customHeight="1">
      <c r="B3842" s="464">
        <v>46106</v>
      </c>
      <c r="C3842" s="436" t="s">
        <v>247</v>
      </c>
      <c r="D3842" s="436" t="s">
        <v>246</v>
      </c>
      <c r="E3842" s="436">
        <v>1</v>
      </c>
      <c r="F3842" s="465">
        <v>1.7</v>
      </c>
      <c r="G3842" s="466">
        <v>1.7</v>
      </c>
      <c r="H3842" s="466">
        <f>G3842/1.1</f>
        <v>1.5454545454545452</v>
      </c>
      <c r="I3842" s="436"/>
      <c r="J3842" s="465">
        <v>0</v>
      </c>
      <c r="K3842" s="465">
        <v>0</v>
      </c>
    </row>
    <row r="3843" spans="2:11" ht="19" customHeight="1">
      <c r="B3843" s="464">
        <v>46106</v>
      </c>
      <c r="C3843" s="436" t="s">
        <v>247</v>
      </c>
      <c r="D3843" s="436" t="s">
        <v>257</v>
      </c>
      <c r="E3843" s="436">
        <v>2</v>
      </c>
      <c r="F3843" s="465">
        <v>1.4</v>
      </c>
      <c r="G3843" s="466">
        <v>2.8</v>
      </c>
      <c r="H3843" s="466">
        <f>G3843/1.1</f>
        <v>2.545454545454545</v>
      </c>
      <c r="I3843" s="436"/>
      <c r="J3843" s="465">
        <v>0</v>
      </c>
      <c r="K3843" s="465">
        <v>0</v>
      </c>
    </row>
    <row r="3844" spans="2:11" ht="19" customHeight="1">
      <c r="B3844" s="464">
        <v>46106</v>
      </c>
      <c r="C3844" s="436" t="s">
        <v>247</v>
      </c>
      <c r="D3844" s="436" t="s">
        <v>246</v>
      </c>
      <c r="E3844" s="436">
        <v>1</v>
      </c>
      <c r="F3844" s="465">
        <v>1.7</v>
      </c>
      <c r="G3844" s="466">
        <v>1.7</v>
      </c>
      <c r="H3844" s="466">
        <f>G3844/1.1</f>
        <v>1.5454545454545452</v>
      </c>
      <c r="I3844" s="436"/>
      <c r="J3844" s="465">
        <v>0</v>
      </c>
      <c r="K3844" s="465">
        <v>0</v>
      </c>
    </row>
    <row r="3845" spans="2:11" ht="19" customHeight="1">
      <c r="B3845" s="464">
        <v>46106</v>
      </c>
      <c r="C3845" s="436" t="s">
        <v>862</v>
      </c>
      <c r="D3845" s="436" t="s">
        <v>863</v>
      </c>
      <c r="E3845" s="436">
        <v>1</v>
      </c>
      <c r="F3845" s="465">
        <v>0.15</v>
      </c>
      <c r="G3845" s="466">
        <v>0.15</v>
      </c>
      <c r="H3845" s="466">
        <f>G3845/1.1</f>
        <v>0.13636363636363635</v>
      </c>
      <c r="I3845" s="436"/>
      <c r="J3845" s="465">
        <v>0</v>
      </c>
      <c r="K3845" s="465">
        <v>0</v>
      </c>
    </row>
    <row r="3846" spans="2:11" ht="19" customHeight="1">
      <c r="B3846" s="464">
        <v>46106</v>
      </c>
      <c r="C3846" s="436" t="s">
        <v>268</v>
      </c>
      <c r="D3846" s="436" t="s">
        <v>859</v>
      </c>
      <c r="E3846" s="436">
        <v>1</v>
      </c>
      <c r="F3846" s="465">
        <v>0.75</v>
      </c>
      <c r="G3846" s="466">
        <v>0.75</v>
      </c>
      <c r="H3846" s="466">
        <f>G3846/1.1</f>
        <v>0.68181818181818177</v>
      </c>
      <c r="I3846" s="436"/>
      <c r="J3846" s="465">
        <v>0</v>
      </c>
      <c r="K3846" s="465">
        <v>0</v>
      </c>
    </row>
    <row r="3847" spans="2:11" ht="19" customHeight="1">
      <c r="B3847" s="464">
        <v>46106</v>
      </c>
      <c r="C3847" s="436" t="s">
        <v>247</v>
      </c>
      <c r="D3847" s="436" t="s">
        <v>257</v>
      </c>
      <c r="E3847" s="436">
        <v>1</v>
      </c>
      <c r="F3847" s="465">
        <v>1.4</v>
      </c>
      <c r="G3847" s="466">
        <v>1.4</v>
      </c>
      <c r="H3847" s="466">
        <f>G3847/1.1</f>
        <v>1.2727272727272725</v>
      </c>
      <c r="I3847" s="436"/>
      <c r="J3847" s="465">
        <v>0</v>
      </c>
      <c r="K3847" s="465">
        <v>0</v>
      </c>
    </row>
    <row r="3848" spans="2:11" ht="19" customHeight="1">
      <c r="B3848" s="464">
        <v>46106</v>
      </c>
      <c r="C3848" s="436" t="s">
        <v>327</v>
      </c>
      <c r="D3848" s="436" t="s">
        <v>817</v>
      </c>
      <c r="E3848" s="436">
        <v>1</v>
      </c>
      <c r="F3848" s="465">
        <v>4.9000000000000004</v>
      </c>
      <c r="G3848" s="466">
        <v>4.9000000000000004</v>
      </c>
      <c r="H3848" s="466">
        <f>G3848/1.1</f>
        <v>4.4545454545454541</v>
      </c>
      <c r="I3848" s="436"/>
      <c r="J3848" s="465">
        <v>0</v>
      </c>
      <c r="K3848" s="465">
        <v>0</v>
      </c>
    </row>
    <row r="3849" spans="2:11" ht="19" customHeight="1">
      <c r="B3849" s="464">
        <v>46106</v>
      </c>
      <c r="C3849" s="436" t="s">
        <v>264</v>
      </c>
      <c r="D3849" s="436" t="s">
        <v>891</v>
      </c>
      <c r="E3849" s="436">
        <v>1</v>
      </c>
      <c r="F3849" s="465">
        <v>1.4</v>
      </c>
      <c r="G3849" s="466">
        <v>1.4</v>
      </c>
      <c r="H3849" s="466">
        <f>G3849/1.1</f>
        <v>1.2727272727272725</v>
      </c>
      <c r="I3849" s="436"/>
      <c r="J3849" s="465">
        <v>0</v>
      </c>
      <c r="K3849" s="465">
        <v>0</v>
      </c>
    </row>
    <row r="3850" spans="2:11" ht="19" customHeight="1">
      <c r="B3850" s="464">
        <v>46106</v>
      </c>
      <c r="C3850" s="436" t="s">
        <v>247</v>
      </c>
      <c r="D3850" s="436" t="s">
        <v>246</v>
      </c>
      <c r="E3850" s="436">
        <v>1</v>
      </c>
      <c r="F3850" s="465">
        <v>1.7</v>
      </c>
      <c r="G3850" s="466">
        <v>1.7</v>
      </c>
      <c r="H3850" s="466">
        <f>G3850/1.1</f>
        <v>1.5454545454545452</v>
      </c>
      <c r="I3850" s="436"/>
      <c r="J3850" s="465">
        <v>0</v>
      </c>
      <c r="K3850" s="465">
        <v>0</v>
      </c>
    </row>
    <row r="3851" spans="2:11" ht="19" customHeight="1">
      <c r="B3851" s="464">
        <v>46106</v>
      </c>
      <c r="C3851" s="436" t="s">
        <v>862</v>
      </c>
      <c r="D3851" s="436" t="s">
        <v>863</v>
      </c>
      <c r="E3851" s="436">
        <v>1</v>
      </c>
      <c r="F3851" s="465">
        <v>0.15</v>
      </c>
      <c r="G3851" s="466">
        <v>0.15</v>
      </c>
      <c r="H3851" s="466">
        <f>G3851/1.1</f>
        <v>0.13636363636363635</v>
      </c>
      <c r="I3851" s="436"/>
      <c r="J3851" s="465">
        <v>0</v>
      </c>
      <c r="K3851" s="465">
        <v>0</v>
      </c>
    </row>
    <row r="3852" spans="2:11" ht="19" customHeight="1">
      <c r="B3852" s="464">
        <v>46106</v>
      </c>
      <c r="C3852" s="436" t="s">
        <v>247</v>
      </c>
      <c r="D3852" s="436" t="s">
        <v>248</v>
      </c>
      <c r="E3852" s="436">
        <v>1</v>
      </c>
      <c r="F3852" s="465">
        <v>1.5</v>
      </c>
      <c r="G3852" s="466">
        <v>1.5</v>
      </c>
      <c r="H3852" s="466">
        <f>G3852/1.1</f>
        <v>1.3636363636363635</v>
      </c>
      <c r="I3852" s="436"/>
      <c r="J3852" s="465">
        <v>0</v>
      </c>
      <c r="K3852" s="465">
        <v>0</v>
      </c>
    </row>
    <row r="3853" spans="2:11" ht="19" customHeight="1">
      <c r="B3853" s="464">
        <v>46106</v>
      </c>
      <c r="C3853" s="436" t="s">
        <v>247</v>
      </c>
      <c r="D3853" s="436" t="s">
        <v>257</v>
      </c>
      <c r="E3853" s="436">
        <v>1</v>
      </c>
      <c r="F3853" s="465">
        <v>1.4</v>
      </c>
      <c r="G3853" s="466">
        <v>1.4</v>
      </c>
      <c r="H3853" s="466">
        <f>G3853/1.1</f>
        <v>1.2727272727272725</v>
      </c>
      <c r="I3853" s="436"/>
      <c r="J3853" s="465">
        <v>0</v>
      </c>
      <c r="K3853" s="465">
        <v>0</v>
      </c>
    </row>
    <row r="3854" spans="2:11" ht="19" customHeight="1">
      <c r="B3854" s="464">
        <v>46106</v>
      </c>
      <c r="C3854" s="436" t="s">
        <v>264</v>
      </c>
      <c r="D3854" s="436" t="s">
        <v>269</v>
      </c>
      <c r="E3854" s="436">
        <v>1</v>
      </c>
      <c r="F3854" s="465">
        <v>0.1</v>
      </c>
      <c r="G3854" s="466">
        <v>0.1</v>
      </c>
      <c r="H3854" s="466">
        <f>G3854/1.1</f>
        <v>9.0909090909090912E-2</v>
      </c>
      <c r="I3854" s="436"/>
      <c r="J3854" s="465">
        <v>0</v>
      </c>
      <c r="K3854" s="465">
        <v>0</v>
      </c>
    </row>
    <row r="3855" spans="2:11" ht="19" customHeight="1">
      <c r="B3855" s="464">
        <v>46106</v>
      </c>
      <c r="C3855" s="436" t="s">
        <v>247</v>
      </c>
      <c r="D3855" s="436" t="s">
        <v>855</v>
      </c>
      <c r="E3855" s="436">
        <v>1</v>
      </c>
      <c r="F3855" s="465">
        <v>2.5499999999999998</v>
      </c>
      <c r="G3855" s="466">
        <v>2.5499999999999998</v>
      </c>
      <c r="H3855" s="466">
        <f>G3855/1.1</f>
        <v>2.3181818181818179</v>
      </c>
      <c r="I3855" s="436"/>
      <c r="J3855" s="465">
        <v>0</v>
      </c>
      <c r="K3855" s="465">
        <v>0</v>
      </c>
    </row>
    <row r="3856" spans="2:11" ht="19" customHeight="1">
      <c r="B3856" s="464">
        <v>46106</v>
      </c>
      <c r="C3856" s="436" t="s">
        <v>247</v>
      </c>
      <c r="D3856" s="436" t="s">
        <v>246</v>
      </c>
      <c r="E3856" s="436">
        <v>1</v>
      </c>
      <c r="F3856" s="465">
        <v>1.7</v>
      </c>
      <c r="G3856" s="466">
        <v>1.7</v>
      </c>
      <c r="H3856" s="466">
        <f>G3856/1.1</f>
        <v>1.5454545454545452</v>
      </c>
      <c r="I3856" s="436"/>
      <c r="J3856" s="465">
        <v>0</v>
      </c>
      <c r="K3856" s="465">
        <v>0</v>
      </c>
    </row>
    <row r="3857" spans="2:11" ht="19" customHeight="1">
      <c r="B3857" s="464">
        <v>46106</v>
      </c>
      <c r="C3857" s="436" t="s">
        <v>862</v>
      </c>
      <c r="D3857" s="436" t="s">
        <v>907</v>
      </c>
      <c r="E3857" s="436">
        <v>1</v>
      </c>
      <c r="F3857" s="465">
        <v>0.15</v>
      </c>
      <c r="G3857" s="466">
        <v>0.15</v>
      </c>
      <c r="H3857" s="466">
        <f>G3857/1.1</f>
        <v>0.13636363636363635</v>
      </c>
      <c r="I3857" s="436"/>
      <c r="J3857" s="465">
        <v>0</v>
      </c>
      <c r="K3857" s="465">
        <v>0</v>
      </c>
    </row>
    <row r="3858" spans="2:11" ht="19" customHeight="1">
      <c r="B3858" s="464">
        <v>46106</v>
      </c>
      <c r="C3858" s="436" t="s">
        <v>247</v>
      </c>
      <c r="D3858" s="436" t="s">
        <v>248</v>
      </c>
      <c r="E3858" s="436">
        <v>1</v>
      </c>
      <c r="F3858" s="465">
        <v>1.5</v>
      </c>
      <c r="G3858" s="466">
        <v>1.5</v>
      </c>
      <c r="H3858" s="466">
        <f>G3858/1.1</f>
        <v>1.3636363636363635</v>
      </c>
      <c r="I3858" s="436"/>
      <c r="J3858" s="465">
        <v>0</v>
      </c>
      <c r="K3858" s="465">
        <v>0</v>
      </c>
    </row>
    <row r="3859" spans="2:11" ht="19" customHeight="1">
      <c r="B3859" s="464">
        <v>46106</v>
      </c>
      <c r="C3859" s="436" t="s">
        <v>268</v>
      </c>
      <c r="D3859" s="436" t="s">
        <v>267</v>
      </c>
      <c r="E3859" s="436">
        <v>1</v>
      </c>
      <c r="F3859" s="465">
        <v>1.5</v>
      </c>
      <c r="G3859" s="466">
        <v>1.5</v>
      </c>
      <c r="H3859" s="466">
        <f>G3859/1.1</f>
        <v>1.3636363636363635</v>
      </c>
      <c r="I3859" s="436"/>
      <c r="J3859" s="465">
        <v>0</v>
      </c>
      <c r="K3859" s="465">
        <v>0</v>
      </c>
    </row>
    <row r="3860" spans="2:11" ht="19" customHeight="1">
      <c r="B3860" s="464">
        <v>46106</v>
      </c>
      <c r="C3860" s="436" t="s">
        <v>247</v>
      </c>
      <c r="D3860" s="436" t="s">
        <v>246</v>
      </c>
      <c r="E3860" s="436">
        <v>1</v>
      </c>
      <c r="F3860" s="465">
        <v>1.7</v>
      </c>
      <c r="G3860" s="466">
        <v>1.7</v>
      </c>
      <c r="H3860" s="466">
        <f>G3860/1.1</f>
        <v>1.5454545454545452</v>
      </c>
      <c r="I3860" s="436"/>
      <c r="J3860" s="465">
        <v>0</v>
      </c>
      <c r="K3860" s="465">
        <v>0</v>
      </c>
    </row>
    <row r="3861" spans="2:11" ht="19" customHeight="1">
      <c r="B3861" s="464">
        <v>46106</v>
      </c>
      <c r="C3861" s="436" t="s">
        <v>327</v>
      </c>
      <c r="D3861" s="436" t="s">
        <v>723</v>
      </c>
      <c r="E3861" s="436">
        <v>1</v>
      </c>
      <c r="F3861" s="465">
        <v>3.1</v>
      </c>
      <c r="G3861" s="466">
        <v>3.1</v>
      </c>
      <c r="H3861" s="466">
        <f>G3861/1.1</f>
        <v>2.8181818181818179</v>
      </c>
      <c r="I3861" s="436"/>
      <c r="J3861" s="465">
        <v>0</v>
      </c>
      <c r="K3861" s="465">
        <v>0</v>
      </c>
    </row>
    <row r="3862" spans="2:11" ht="19" customHeight="1">
      <c r="B3862" s="464">
        <v>46106</v>
      </c>
      <c r="C3862" s="436" t="s">
        <v>264</v>
      </c>
      <c r="D3862" s="436" t="s">
        <v>908</v>
      </c>
      <c r="E3862" s="436">
        <v>1</v>
      </c>
      <c r="F3862" s="465">
        <v>1</v>
      </c>
      <c r="G3862" s="466">
        <v>1</v>
      </c>
      <c r="H3862" s="466">
        <f>G3862/1.1</f>
        <v>0.90909090909090906</v>
      </c>
      <c r="I3862" s="436"/>
      <c r="J3862" s="465">
        <v>0</v>
      </c>
      <c r="K3862" s="465">
        <v>0</v>
      </c>
    </row>
    <row r="3863" spans="2:11" ht="19" customHeight="1">
      <c r="B3863" s="464">
        <v>46106</v>
      </c>
      <c r="C3863" s="436" t="s">
        <v>247</v>
      </c>
      <c r="D3863" s="436" t="s">
        <v>246</v>
      </c>
      <c r="E3863" s="436">
        <v>2</v>
      </c>
      <c r="F3863" s="465">
        <v>1.7</v>
      </c>
      <c r="G3863" s="466">
        <v>3.4</v>
      </c>
      <c r="H3863" s="466">
        <f>G3863/1.1</f>
        <v>3.0909090909090904</v>
      </c>
      <c r="I3863" s="436"/>
      <c r="J3863" s="465">
        <v>0</v>
      </c>
      <c r="K3863" s="465">
        <v>0</v>
      </c>
    </row>
    <row r="3864" spans="2:11" ht="19" customHeight="1">
      <c r="B3864" s="464">
        <v>46106</v>
      </c>
      <c r="C3864" s="436" t="s">
        <v>247</v>
      </c>
      <c r="D3864" s="436" t="s">
        <v>248</v>
      </c>
      <c r="E3864" s="436">
        <v>2</v>
      </c>
      <c r="F3864" s="465">
        <v>1.5</v>
      </c>
      <c r="G3864" s="466">
        <v>3</v>
      </c>
      <c r="H3864" s="466">
        <f>G3864/1.1</f>
        <v>2.7272727272727271</v>
      </c>
      <c r="I3864" s="436"/>
      <c r="J3864" s="465">
        <v>0</v>
      </c>
      <c r="K3864" s="465">
        <v>0</v>
      </c>
    </row>
    <row r="3865" spans="2:11" ht="19" customHeight="1">
      <c r="B3865" s="464">
        <v>46106</v>
      </c>
      <c r="C3865" s="436" t="s">
        <v>862</v>
      </c>
      <c r="D3865" s="436" t="s">
        <v>863</v>
      </c>
      <c r="E3865" s="436">
        <v>2</v>
      </c>
      <c r="F3865" s="465">
        <v>0.15</v>
      </c>
      <c r="G3865" s="466">
        <v>0.3</v>
      </c>
      <c r="H3865" s="466">
        <f>G3865/1.1</f>
        <v>0.27272727272727271</v>
      </c>
      <c r="I3865" s="436"/>
      <c r="J3865" s="465">
        <v>0</v>
      </c>
      <c r="K3865" s="465">
        <v>0</v>
      </c>
    </row>
    <row r="3866" spans="2:11" ht="19" customHeight="1">
      <c r="B3866" s="464">
        <v>46106</v>
      </c>
      <c r="C3866" s="436" t="s">
        <v>247</v>
      </c>
      <c r="D3866" s="436" t="s">
        <v>246</v>
      </c>
      <c r="E3866" s="436">
        <v>2</v>
      </c>
      <c r="F3866" s="465">
        <v>1.7</v>
      </c>
      <c r="G3866" s="466">
        <v>3.4</v>
      </c>
      <c r="H3866" s="466">
        <f>G3866/1.1</f>
        <v>3.0909090909090904</v>
      </c>
      <c r="I3866" s="436"/>
      <c r="J3866" s="465">
        <v>0</v>
      </c>
      <c r="K3866" s="465">
        <v>0</v>
      </c>
    </row>
    <row r="3867" spans="2:11" ht="19" customHeight="1">
      <c r="B3867" s="464">
        <v>46106</v>
      </c>
      <c r="C3867" s="436" t="s">
        <v>328</v>
      </c>
      <c r="D3867" s="436" t="s">
        <v>773</v>
      </c>
      <c r="E3867" s="436">
        <v>1</v>
      </c>
      <c r="F3867" s="465">
        <v>3.1</v>
      </c>
      <c r="G3867" s="466">
        <v>3.1</v>
      </c>
      <c r="H3867" s="466">
        <f>G3867/1.1</f>
        <v>2.8181818181818179</v>
      </c>
      <c r="I3867" s="436"/>
      <c r="J3867" s="465">
        <v>0</v>
      </c>
      <c r="K3867" s="465">
        <v>0</v>
      </c>
    </row>
    <row r="3868" spans="2:11" ht="19" customHeight="1">
      <c r="B3868" s="464">
        <v>46106</v>
      </c>
      <c r="C3868" s="436" t="s">
        <v>862</v>
      </c>
      <c r="D3868" s="436" t="s">
        <v>865</v>
      </c>
      <c r="E3868" s="436">
        <v>1</v>
      </c>
      <c r="F3868" s="465">
        <v>0.05</v>
      </c>
      <c r="G3868" s="466">
        <v>0.05</v>
      </c>
      <c r="H3868" s="466">
        <f>G3868/1.1</f>
        <v>4.5454545454545456E-2</v>
      </c>
      <c r="I3868" s="436"/>
      <c r="J3868" s="465">
        <v>0</v>
      </c>
      <c r="K3868" s="465">
        <v>0</v>
      </c>
    </row>
    <row r="3869" spans="2:11" ht="19" customHeight="1">
      <c r="B3869" s="464">
        <v>46106</v>
      </c>
      <c r="C3869" s="436" t="s">
        <v>247</v>
      </c>
      <c r="D3869" s="436" t="s">
        <v>257</v>
      </c>
      <c r="E3869" s="436">
        <v>1</v>
      </c>
      <c r="F3869" s="465">
        <v>1.55</v>
      </c>
      <c r="G3869" s="466">
        <v>1.55</v>
      </c>
      <c r="H3869" s="466">
        <f>G3869/1.1</f>
        <v>1.4090909090909089</v>
      </c>
      <c r="I3869" s="436"/>
      <c r="J3869" s="465">
        <v>0</v>
      </c>
      <c r="K3869" s="465">
        <v>0</v>
      </c>
    </row>
    <row r="3870" spans="2:11" ht="19" customHeight="1">
      <c r="B3870" s="464">
        <v>46106</v>
      </c>
      <c r="C3870" s="436" t="s">
        <v>862</v>
      </c>
      <c r="D3870" s="436" t="s">
        <v>863</v>
      </c>
      <c r="E3870" s="436">
        <v>1</v>
      </c>
      <c r="F3870" s="465">
        <v>0.15</v>
      </c>
      <c r="G3870" s="466">
        <v>0.15</v>
      </c>
      <c r="H3870" s="466">
        <f>G3870/1.1</f>
        <v>0.13636363636363635</v>
      </c>
      <c r="I3870" s="436"/>
      <c r="J3870" s="465">
        <v>0</v>
      </c>
      <c r="K3870" s="465">
        <v>0</v>
      </c>
    </row>
    <row r="3871" spans="2:11" ht="19" customHeight="1">
      <c r="B3871" s="464">
        <v>46106</v>
      </c>
      <c r="C3871" s="436" t="s">
        <v>247</v>
      </c>
      <c r="D3871" s="436" t="s">
        <v>246</v>
      </c>
      <c r="E3871" s="436">
        <v>2</v>
      </c>
      <c r="F3871" s="465">
        <v>1.7</v>
      </c>
      <c r="G3871" s="466">
        <v>3.4</v>
      </c>
      <c r="H3871" s="466">
        <f>G3871/1.1</f>
        <v>3.0909090909090904</v>
      </c>
      <c r="I3871" s="436"/>
      <c r="J3871" s="465">
        <v>0</v>
      </c>
      <c r="K3871" s="465">
        <v>0</v>
      </c>
    </row>
    <row r="3872" spans="2:11" ht="19" customHeight="1">
      <c r="B3872" s="464">
        <v>46106</v>
      </c>
      <c r="C3872" s="436" t="s">
        <v>247</v>
      </c>
      <c r="D3872" s="436" t="s">
        <v>248</v>
      </c>
      <c r="E3872" s="436">
        <v>3</v>
      </c>
      <c r="F3872" s="465">
        <v>1.65</v>
      </c>
      <c r="G3872" s="466">
        <v>4.95</v>
      </c>
      <c r="H3872" s="466">
        <f>G3872/1.1</f>
        <v>4.5</v>
      </c>
      <c r="I3872" s="436"/>
      <c r="J3872" s="465">
        <v>0</v>
      </c>
      <c r="K3872" s="465">
        <v>0</v>
      </c>
    </row>
    <row r="3873" spans="2:11" ht="19" customHeight="1">
      <c r="B3873" s="464">
        <v>46106</v>
      </c>
      <c r="C3873" s="436" t="s">
        <v>247</v>
      </c>
      <c r="D3873" s="436" t="s">
        <v>257</v>
      </c>
      <c r="E3873" s="436">
        <v>2</v>
      </c>
      <c r="F3873" s="465">
        <v>1.55</v>
      </c>
      <c r="G3873" s="466">
        <v>3.1</v>
      </c>
      <c r="H3873" s="466">
        <f>G3873/1.1</f>
        <v>2.8181818181818179</v>
      </c>
      <c r="I3873" s="436"/>
      <c r="J3873" s="465">
        <v>0</v>
      </c>
      <c r="K3873" s="465">
        <v>0</v>
      </c>
    </row>
    <row r="3874" spans="2:11" ht="19" customHeight="1">
      <c r="B3874" s="464">
        <v>46106</v>
      </c>
      <c r="C3874" s="436" t="s">
        <v>253</v>
      </c>
      <c r="D3874" s="436" t="s">
        <v>869</v>
      </c>
      <c r="E3874" s="436">
        <v>2</v>
      </c>
      <c r="F3874" s="465">
        <v>2.65</v>
      </c>
      <c r="G3874" s="466">
        <v>5.3</v>
      </c>
      <c r="H3874" s="466">
        <f>G3874/1.1</f>
        <v>4.8181818181818175</v>
      </c>
      <c r="I3874" s="436"/>
      <c r="J3874" s="465">
        <v>0</v>
      </c>
      <c r="K3874" s="465">
        <v>0</v>
      </c>
    </row>
    <row r="3875" spans="2:11" ht="19" customHeight="1">
      <c r="B3875" s="464">
        <v>46106</v>
      </c>
      <c r="C3875" s="436" t="s">
        <v>247</v>
      </c>
      <c r="D3875" s="436" t="s">
        <v>246</v>
      </c>
      <c r="E3875" s="436">
        <v>1</v>
      </c>
      <c r="F3875" s="465">
        <v>1.7</v>
      </c>
      <c r="G3875" s="466">
        <v>1.7</v>
      </c>
      <c r="H3875" s="466">
        <f>G3875/1.1</f>
        <v>1.5454545454545452</v>
      </c>
      <c r="I3875" s="436"/>
      <c r="J3875" s="465">
        <v>0</v>
      </c>
      <c r="K3875" s="465">
        <v>0</v>
      </c>
    </row>
    <row r="3876" spans="2:11" ht="19" customHeight="1">
      <c r="B3876" s="464">
        <v>46106</v>
      </c>
      <c r="C3876" s="436" t="s">
        <v>247</v>
      </c>
      <c r="D3876" s="436" t="s">
        <v>869</v>
      </c>
      <c r="E3876" s="436">
        <v>1</v>
      </c>
      <c r="F3876" s="465">
        <v>2.5</v>
      </c>
      <c r="G3876" s="466">
        <v>2.5</v>
      </c>
      <c r="H3876" s="466">
        <f>G3876/1.1</f>
        <v>2.2727272727272725</v>
      </c>
      <c r="I3876" s="436"/>
      <c r="J3876" s="465">
        <v>0</v>
      </c>
      <c r="K3876" s="465">
        <v>0</v>
      </c>
    </row>
    <row r="3877" spans="2:11" ht="19" customHeight="1">
      <c r="B3877" s="464">
        <v>46106</v>
      </c>
      <c r="C3877" s="436" t="s">
        <v>251</v>
      </c>
      <c r="D3877" s="436" t="s">
        <v>927</v>
      </c>
      <c r="E3877" s="436">
        <v>1</v>
      </c>
      <c r="F3877" s="465">
        <v>2.65</v>
      </c>
      <c r="G3877" s="466">
        <v>2.65</v>
      </c>
      <c r="H3877" s="466">
        <f>G3877/1.1</f>
        <v>2.4090909090909087</v>
      </c>
      <c r="I3877" s="436"/>
      <c r="J3877" s="465">
        <v>0</v>
      </c>
      <c r="K3877" s="465">
        <v>0</v>
      </c>
    </row>
    <row r="3878" spans="2:11" ht="19" customHeight="1">
      <c r="B3878" s="464">
        <v>46106</v>
      </c>
      <c r="C3878" s="436" t="s">
        <v>251</v>
      </c>
      <c r="D3878" s="436" t="s">
        <v>945</v>
      </c>
      <c r="E3878" s="436">
        <v>1</v>
      </c>
      <c r="F3878" s="465">
        <v>2.65</v>
      </c>
      <c r="G3878" s="466">
        <v>2.65</v>
      </c>
      <c r="H3878" s="466">
        <f>G3878/1.1</f>
        <v>2.4090909090909087</v>
      </c>
      <c r="I3878" s="436"/>
      <c r="J3878" s="465">
        <v>0</v>
      </c>
      <c r="K3878" s="465">
        <v>0</v>
      </c>
    </row>
    <row r="3879" spans="2:11" ht="19" customHeight="1">
      <c r="B3879" s="464">
        <v>46106</v>
      </c>
      <c r="C3879" s="436" t="s">
        <v>253</v>
      </c>
      <c r="D3879" s="436" t="s">
        <v>869</v>
      </c>
      <c r="E3879" s="436">
        <v>1</v>
      </c>
      <c r="F3879" s="465">
        <v>2.65</v>
      </c>
      <c r="G3879" s="466">
        <v>2.65</v>
      </c>
      <c r="H3879" s="466">
        <f>G3879/1.1</f>
        <v>2.4090909090909087</v>
      </c>
      <c r="I3879" s="436"/>
      <c r="J3879" s="465">
        <v>0</v>
      </c>
      <c r="K3879" s="465">
        <v>0</v>
      </c>
    </row>
    <row r="3880" spans="2:11" ht="19" customHeight="1">
      <c r="B3880" s="464">
        <v>46106</v>
      </c>
      <c r="C3880" s="436" t="s">
        <v>251</v>
      </c>
      <c r="D3880" s="436" t="s">
        <v>265</v>
      </c>
      <c r="E3880" s="436">
        <v>2</v>
      </c>
      <c r="F3880" s="465">
        <v>2.8</v>
      </c>
      <c r="G3880" s="466">
        <v>5.6</v>
      </c>
      <c r="H3880" s="466">
        <f>G3880/1.1</f>
        <v>5.0909090909090899</v>
      </c>
      <c r="I3880" s="436"/>
      <c r="J3880" s="465">
        <v>0</v>
      </c>
      <c r="K3880" s="465">
        <v>0</v>
      </c>
    </row>
    <row r="3881" spans="2:11" ht="19" customHeight="1">
      <c r="B3881" s="464">
        <v>46106</v>
      </c>
      <c r="C3881" s="436" t="s">
        <v>256</v>
      </c>
      <c r="D3881" s="436" t="s">
        <v>871</v>
      </c>
      <c r="E3881" s="436">
        <v>1</v>
      </c>
      <c r="F3881" s="465">
        <v>9.0500000000000007</v>
      </c>
      <c r="G3881" s="466">
        <v>9.0500000000000007</v>
      </c>
      <c r="H3881" s="466">
        <f>G3881/1.1</f>
        <v>8.2272727272727266</v>
      </c>
      <c r="I3881" s="436"/>
      <c r="J3881" s="465">
        <v>0</v>
      </c>
      <c r="K3881" s="465">
        <v>0</v>
      </c>
    </row>
    <row r="3882" spans="2:11" ht="19" customHeight="1">
      <c r="B3882" s="464">
        <v>46106</v>
      </c>
      <c r="C3882" s="436" t="s">
        <v>256</v>
      </c>
      <c r="D3882" s="436" t="s">
        <v>255</v>
      </c>
      <c r="E3882" s="436">
        <v>1</v>
      </c>
      <c r="F3882" s="465">
        <v>5.85</v>
      </c>
      <c r="G3882" s="466">
        <v>5.85</v>
      </c>
      <c r="H3882" s="466">
        <f>G3882/1.1</f>
        <v>5.3181818181818175</v>
      </c>
      <c r="I3882" s="436"/>
      <c r="J3882" s="465">
        <v>0</v>
      </c>
      <c r="K3882" s="465">
        <v>0</v>
      </c>
    </row>
    <row r="3883" spans="2:11" ht="19" customHeight="1">
      <c r="B3883" s="464">
        <v>46106</v>
      </c>
      <c r="C3883" s="436" t="s">
        <v>256</v>
      </c>
      <c r="D3883" s="436" t="s">
        <v>685</v>
      </c>
      <c r="E3883" s="436">
        <v>1</v>
      </c>
      <c r="F3883" s="465">
        <v>9.25</v>
      </c>
      <c r="G3883" s="466">
        <v>9.25</v>
      </c>
      <c r="H3883" s="466">
        <f>G3883/1.1</f>
        <v>8.4090909090909083</v>
      </c>
      <c r="I3883" s="436"/>
      <c r="J3883" s="465">
        <v>0</v>
      </c>
      <c r="K3883" s="465">
        <v>0</v>
      </c>
    </row>
    <row r="3884" spans="2:11" ht="19" customHeight="1">
      <c r="B3884" s="464">
        <v>46106</v>
      </c>
      <c r="C3884" s="436" t="s">
        <v>268</v>
      </c>
      <c r="D3884" s="436" t="s">
        <v>267</v>
      </c>
      <c r="E3884" s="436">
        <v>1</v>
      </c>
      <c r="F3884" s="465">
        <v>1.5</v>
      </c>
      <c r="G3884" s="466">
        <v>1.5</v>
      </c>
      <c r="H3884" s="466">
        <f>G3884/1.1</f>
        <v>1.3636363636363635</v>
      </c>
      <c r="I3884" s="436"/>
      <c r="J3884" s="465">
        <v>0</v>
      </c>
      <c r="K3884" s="465">
        <v>0</v>
      </c>
    </row>
    <row r="3885" spans="2:11" ht="19" customHeight="1">
      <c r="B3885" s="464">
        <v>46106</v>
      </c>
      <c r="C3885" s="436" t="s">
        <v>253</v>
      </c>
      <c r="D3885" s="436" t="s">
        <v>869</v>
      </c>
      <c r="E3885" s="436">
        <v>1</v>
      </c>
      <c r="F3885" s="465">
        <v>2.5</v>
      </c>
      <c r="G3885" s="466">
        <v>2.5</v>
      </c>
      <c r="H3885" s="466">
        <f>G3885/1.1</f>
        <v>2.2727272727272725</v>
      </c>
      <c r="I3885" s="436"/>
      <c r="J3885" s="465">
        <v>0</v>
      </c>
      <c r="K3885" s="465">
        <v>0</v>
      </c>
    </row>
    <row r="3886" spans="2:11" ht="19" customHeight="1">
      <c r="B3886" s="464">
        <v>46106</v>
      </c>
      <c r="C3886" s="436" t="s">
        <v>247</v>
      </c>
      <c r="D3886" s="436" t="s">
        <v>248</v>
      </c>
      <c r="E3886" s="436">
        <v>1</v>
      </c>
      <c r="F3886" s="465">
        <v>1.5</v>
      </c>
      <c r="G3886" s="466">
        <v>1.5</v>
      </c>
      <c r="H3886" s="466">
        <f>G3886/1.1</f>
        <v>1.3636363636363635</v>
      </c>
      <c r="I3886" s="436"/>
      <c r="J3886" s="465">
        <v>0</v>
      </c>
      <c r="K3886" s="465">
        <v>0</v>
      </c>
    </row>
    <row r="3887" spans="2:11" ht="19" customHeight="1">
      <c r="B3887" s="464">
        <v>46106</v>
      </c>
      <c r="C3887" s="436" t="s">
        <v>251</v>
      </c>
      <c r="D3887" s="436" t="s">
        <v>742</v>
      </c>
      <c r="E3887" s="436">
        <v>1</v>
      </c>
      <c r="F3887" s="465">
        <v>2.75</v>
      </c>
      <c r="G3887" s="466">
        <v>2.75</v>
      </c>
      <c r="H3887" s="466">
        <f>G3887/1.1</f>
        <v>2.5</v>
      </c>
      <c r="I3887" s="436"/>
      <c r="J3887" s="465">
        <v>0</v>
      </c>
      <c r="K3887" s="465">
        <v>0</v>
      </c>
    </row>
    <row r="3888" spans="2:11" ht="19" customHeight="1">
      <c r="B3888" s="464">
        <v>46106</v>
      </c>
      <c r="C3888" s="436" t="s">
        <v>247</v>
      </c>
      <c r="D3888" s="436" t="s">
        <v>246</v>
      </c>
      <c r="E3888" s="436">
        <v>1</v>
      </c>
      <c r="F3888" s="465">
        <v>1.7</v>
      </c>
      <c r="G3888" s="466">
        <v>1.7</v>
      </c>
      <c r="H3888" s="466">
        <f>G3888/1.1</f>
        <v>1.5454545454545452</v>
      </c>
      <c r="I3888" s="436"/>
      <c r="J3888" s="465">
        <v>0</v>
      </c>
      <c r="K3888" s="465">
        <v>0</v>
      </c>
    </row>
    <row r="3889" spans="2:11" ht="19" customHeight="1">
      <c r="B3889" s="464">
        <v>46106</v>
      </c>
      <c r="C3889" s="436" t="s">
        <v>247</v>
      </c>
      <c r="D3889" s="436" t="s">
        <v>248</v>
      </c>
      <c r="E3889" s="436">
        <v>1</v>
      </c>
      <c r="F3889" s="465">
        <v>1.5</v>
      </c>
      <c r="G3889" s="466">
        <v>1.5</v>
      </c>
      <c r="H3889" s="466">
        <f>G3889/1.1</f>
        <v>1.3636363636363635</v>
      </c>
      <c r="I3889" s="436"/>
      <c r="J3889" s="465">
        <v>0</v>
      </c>
      <c r="K3889" s="465">
        <v>0</v>
      </c>
    </row>
    <row r="3890" spans="2:11" ht="19" customHeight="1">
      <c r="B3890" s="464">
        <v>46106</v>
      </c>
      <c r="C3890" s="436" t="s">
        <v>862</v>
      </c>
      <c r="D3890" s="436" t="s">
        <v>863</v>
      </c>
      <c r="E3890" s="436">
        <v>1</v>
      </c>
      <c r="F3890" s="465">
        <v>0.15</v>
      </c>
      <c r="G3890" s="466">
        <v>0.15</v>
      </c>
      <c r="H3890" s="466">
        <f>G3890/1.1</f>
        <v>0.13636363636363635</v>
      </c>
      <c r="I3890" s="436"/>
      <c r="J3890" s="465">
        <v>0</v>
      </c>
      <c r="K3890" s="465">
        <v>0</v>
      </c>
    </row>
    <row r="3891" spans="2:11" ht="19" customHeight="1">
      <c r="B3891" s="464">
        <v>46106</v>
      </c>
      <c r="C3891" s="436" t="s">
        <v>254</v>
      </c>
      <c r="D3891" s="436" t="s">
        <v>254</v>
      </c>
      <c r="E3891" s="436">
        <v>1</v>
      </c>
      <c r="F3891" s="465">
        <v>14.9</v>
      </c>
      <c r="G3891" s="466">
        <v>14.9</v>
      </c>
      <c r="H3891" s="466">
        <f>G3891/1.1</f>
        <v>13.545454545454545</v>
      </c>
      <c r="I3891" s="436"/>
      <c r="J3891" s="465">
        <v>0</v>
      </c>
      <c r="K3891" s="465">
        <v>0</v>
      </c>
    </row>
    <row r="3892" spans="2:11" ht="19" customHeight="1">
      <c r="B3892" s="464">
        <v>46106</v>
      </c>
      <c r="C3892" s="436" t="s">
        <v>873</v>
      </c>
      <c r="D3892" s="436" t="s">
        <v>1164</v>
      </c>
      <c r="E3892" s="436">
        <v>1</v>
      </c>
      <c r="F3892" s="465">
        <v>5</v>
      </c>
      <c r="G3892" s="466">
        <v>5</v>
      </c>
      <c r="H3892" s="466">
        <f>G3892/1.1</f>
        <v>4.545454545454545</v>
      </c>
      <c r="I3892" s="436"/>
      <c r="J3892" s="465">
        <v>0</v>
      </c>
      <c r="K3892" s="465">
        <v>0</v>
      </c>
    </row>
    <row r="3893" spans="2:11" ht="19" customHeight="1">
      <c r="B3893" s="464">
        <v>46106</v>
      </c>
      <c r="C3893" s="436" t="s">
        <v>877</v>
      </c>
      <c r="D3893" s="436" t="s">
        <v>1192</v>
      </c>
      <c r="E3893" s="436">
        <v>1</v>
      </c>
      <c r="F3893" s="469"/>
      <c r="G3893" s="468" t="s">
        <v>875</v>
      </c>
      <c r="H3893" s="466" t="e">
        <f>G3893/1.1</f>
        <v>#VALUE!</v>
      </c>
      <c r="I3893" s="436"/>
      <c r="J3893" s="465">
        <v>0</v>
      </c>
      <c r="K3893" s="465">
        <v>0</v>
      </c>
    </row>
    <row r="3894" spans="2:11" ht="19" customHeight="1">
      <c r="B3894" s="464">
        <v>46106</v>
      </c>
      <c r="C3894" s="436" t="s">
        <v>266</v>
      </c>
      <c r="D3894" s="436" t="s">
        <v>250</v>
      </c>
      <c r="E3894" s="436">
        <v>1</v>
      </c>
      <c r="F3894" s="469"/>
      <c r="G3894" s="468" t="s">
        <v>875</v>
      </c>
      <c r="H3894" s="466" t="e">
        <f>G3894/1.1</f>
        <v>#VALUE!</v>
      </c>
      <c r="I3894" s="436"/>
      <c r="J3894" s="465">
        <v>0</v>
      </c>
      <c r="K3894" s="465">
        <v>0</v>
      </c>
    </row>
    <row r="3895" spans="2:11" ht="19" customHeight="1">
      <c r="B3895" s="464">
        <v>46106</v>
      </c>
      <c r="C3895" s="436" t="s">
        <v>254</v>
      </c>
      <c r="D3895" s="436" t="s">
        <v>254</v>
      </c>
      <c r="E3895" s="436">
        <v>1</v>
      </c>
      <c r="F3895" s="465">
        <v>14.9</v>
      </c>
      <c r="G3895" s="466">
        <v>14.9</v>
      </c>
      <c r="H3895" s="466">
        <f>G3895/1.1</f>
        <v>13.545454545454545</v>
      </c>
      <c r="I3895" s="436"/>
      <c r="J3895" s="465">
        <v>0</v>
      </c>
      <c r="K3895" s="465">
        <v>0</v>
      </c>
    </row>
    <row r="3896" spans="2:11" ht="19" customHeight="1">
      <c r="B3896" s="464">
        <v>46106</v>
      </c>
      <c r="C3896" s="436" t="s">
        <v>873</v>
      </c>
      <c r="D3896" s="436" t="s">
        <v>1169</v>
      </c>
      <c r="E3896" s="436">
        <v>1</v>
      </c>
      <c r="F3896" s="465">
        <v>3</v>
      </c>
      <c r="G3896" s="466">
        <v>3</v>
      </c>
      <c r="H3896" s="466">
        <f>G3896/1.1</f>
        <v>2.7272727272727271</v>
      </c>
      <c r="I3896" s="436"/>
      <c r="J3896" s="465">
        <v>0</v>
      </c>
      <c r="K3896" s="465">
        <v>0</v>
      </c>
    </row>
    <row r="3897" spans="2:11" ht="19" customHeight="1">
      <c r="B3897" s="464">
        <v>46106</v>
      </c>
      <c r="C3897" s="436" t="s">
        <v>877</v>
      </c>
      <c r="D3897" s="436" t="s">
        <v>1193</v>
      </c>
      <c r="E3897" s="436">
        <v>1</v>
      </c>
      <c r="F3897" s="469"/>
      <c r="G3897" s="468" t="s">
        <v>875</v>
      </c>
      <c r="H3897" s="466" t="e">
        <f>G3897/1.1</f>
        <v>#VALUE!</v>
      </c>
      <c r="I3897" s="436"/>
      <c r="J3897" s="465">
        <v>0</v>
      </c>
      <c r="K3897" s="465">
        <v>0</v>
      </c>
    </row>
    <row r="3898" spans="2:11" ht="19" customHeight="1">
      <c r="B3898" s="464">
        <v>46106</v>
      </c>
      <c r="C3898" s="436" t="s">
        <v>266</v>
      </c>
      <c r="D3898" s="436" t="s">
        <v>708</v>
      </c>
      <c r="E3898" s="436">
        <v>1</v>
      </c>
      <c r="F3898" s="469"/>
      <c r="G3898" s="468" t="s">
        <v>875</v>
      </c>
      <c r="H3898" s="466" t="e">
        <f>G3898/1.1</f>
        <v>#VALUE!</v>
      </c>
      <c r="I3898" s="436"/>
      <c r="J3898" s="465">
        <v>0</v>
      </c>
      <c r="K3898" s="465">
        <v>0</v>
      </c>
    </row>
    <row r="3899" spans="2:11" ht="19" customHeight="1">
      <c r="B3899" s="464">
        <v>46106</v>
      </c>
      <c r="C3899" s="436" t="s">
        <v>258</v>
      </c>
      <c r="D3899" s="436" t="s">
        <v>1194</v>
      </c>
      <c r="E3899" s="436">
        <v>1</v>
      </c>
      <c r="F3899" s="469"/>
      <c r="G3899" s="468" t="s">
        <v>875</v>
      </c>
      <c r="H3899" s="466" t="e">
        <f>G3899/1.1</f>
        <v>#VALUE!</v>
      </c>
      <c r="I3899" s="436"/>
      <c r="J3899" s="465">
        <v>0</v>
      </c>
      <c r="K3899" s="465">
        <v>0</v>
      </c>
    </row>
    <row r="3900" spans="2:11" ht="19" customHeight="1">
      <c r="B3900" s="464">
        <v>46106</v>
      </c>
      <c r="C3900" s="436" t="s">
        <v>254</v>
      </c>
      <c r="D3900" s="436" t="s">
        <v>254</v>
      </c>
      <c r="E3900" s="436">
        <v>1</v>
      </c>
      <c r="F3900" s="465">
        <v>14.9</v>
      </c>
      <c r="G3900" s="466">
        <v>14.9</v>
      </c>
      <c r="H3900" s="466">
        <f>G3900/1.1</f>
        <v>13.545454545454545</v>
      </c>
      <c r="I3900" s="436"/>
      <c r="J3900" s="465">
        <v>0</v>
      </c>
      <c r="K3900" s="465">
        <v>0</v>
      </c>
    </row>
    <row r="3901" spans="2:11" ht="19" customHeight="1">
      <c r="B3901" s="464">
        <v>46106</v>
      </c>
      <c r="C3901" s="436" t="s">
        <v>873</v>
      </c>
      <c r="D3901" s="436" t="s">
        <v>1195</v>
      </c>
      <c r="E3901" s="436">
        <v>1</v>
      </c>
      <c r="F3901" s="469"/>
      <c r="G3901" s="468" t="s">
        <v>875</v>
      </c>
      <c r="H3901" s="466" t="e">
        <f>G3901/1.1</f>
        <v>#VALUE!</v>
      </c>
      <c r="I3901" s="436"/>
      <c r="J3901" s="465">
        <v>0</v>
      </c>
      <c r="K3901" s="465">
        <v>0</v>
      </c>
    </row>
    <row r="3902" spans="2:11" ht="19" customHeight="1">
      <c r="B3902" s="464">
        <v>46106</v>
      </c>
      <c r="C3902" s="436" t="s">
        <v>877</v>
      </c>
      <c r="D3902" s="436" t="s">
        <v>1193</v>
      </c>
      <c r="E3902" s="436">
        <v>1</v>
      </c>
      <c r="F3902" s="469"/>
      <c r="G3902" s="468" t="s">
        <v>875</v>
      </c>
      <c r="H3902" s="466" t="e">
        <f>G3902/1.1</f>
        <v>#VALUE!</v>
      </c>
      <c r="I3902" s="436"/>
      <c r="J3902" s="465">
        <v>0</v>
      </c>
      <c r="K3902" s="465">
        <v>0</v>
      </c>
    </row>
    <row r="3903" spans="2:11" ht="19" customHeight="1">
      <c r="B3903" s="464">
        <v>46106</v>
      </c>
      <c r="C3903" s="436" t="s">
        <v>266</v>
      </c>
      <c r="D3903" s="436" t="s">
        <v>942</v>
      </c>
      <c r="E3903" s="436">
        <v>1</v>
      </c>
      <c r="F3903" s="469"/>
      <c r="G3903" s="468" t="s">
        <v>875</v>
      </c>
      <c r="H3903" s="466" t="e">
        <f>G3903/1.1</f>
        <v>#VALUE!</v>
      </c>
      <c r="I3903" s="436"/>
      <c r="J3903" s="465">
        <v>0</v>
      </c>
      <c r="K3903" s="465">
        <v>0</v>
      </c>
    </row>
    <row r="3904" spans="2:11" ht="19" customHeight="1">
      <c r="B3904" s="464">
        <v>46106</v>
      </c>
      <c r="C3904" s="436" t="s">
        <v>254</v>
      </c>
      <c r="D3904" s="436" t="s">
        <v>254</v>
      </c>
      <c r="E3904" s="436">
        <v>1</v>
      </c>
      <c r="F3904" s="465">
        <v>14.9</v>
      </c>
      <c r="G3904" s="466">
        <v>14.9</v>
      </c>
      <c r="H3904" s="466">
        <f>G3904/1.1</f>
        <v>13.545454545454545</v>
      </c>
      <c r="I3904" s="436"/>
      <c r="J3904" s="465">
        <v>0</v>
      </c>
      <c r="K3904" s="465">
        <v>0</v>
      </c>
    </row>
    <row r="3905" spans="2:11" ht="19" customHeight="1">
      <c r="B3905" s="464">
        <v>46106</v>
      </c>
      <c r="C3905" s="436" t="s">
        <v>873</v>
      </c>
      <c r="D3905" s="436" t="s">
        <v>1196</v>
      </c>
      <c r="E3905" s="436">
        <v>1</v>
      </c>
      <c r="F3905" s="469"/>
      <c r="G3905" s="468" t="s">
        <v>875</v>
      </c>
      <c r="H3905" s="466" t="e">
        <f>G3905/1.1</f>
        <v>#VALUE!</v>
      </c>
      <c r="I3905" s="436"/>
      <c r="J3905" s="465">
        <v>0</v>
      </c>
      <c r="K3905" s="465">
        <v>0</v>
      </c>
    </row>
    <row r="3906" spans="2:11" ht="19" customHeight="1">
      <c r="B3906" s="464">
        <v>46106</v>
      </c>
      <c r="C3906" s="436" t="s">
        <v>877</v>
      </c>
      <c r="D3906" s="436" t="s">
        <v>1192</v>
      </c>
      <c r="E3906" s="436">
        <v>1</v>
      </c>
      <c r="F3906" s="469"/>
      <c r="G3906" s="468" t="s">
        <v>875</v>
      </c>
      <c r="H3906" s="466" t="e">
        <f>G3906/1.1</f>
        <v>#VALUE!</v>
      </c>
      <c r="I3906" s="436"/>
      <c r="J3906" s="465">
        <v>0</v>
      </c>
      <c r="K3906" s="465">
        <v>0</v>
      </c>
    </row>
    <row r="3907" spans="2:11" ht="19" customHeight="1">
      <c r="B3907" s="464">
        <v>46106</v>
      </c>
      <c r="C3907" s="436" t="s">
        <v>266</v>
      </c>
      <c r="D3907" s="436" t="s">
        <v>265</v>
      </c>
      <c r="E3907" s="436">
        <v>1</v>
      </c>
      <c r="F3907" s="465">
        <v>1</v>
      </c>
      <c r="G3907" s="466">
        <v>1</v>
      </c>
      <c r="H3907" s="466">
        <f>G3907/1.1</f>
        <v>0.90909090909090906</v>
      </c>
      <c r="I3907" s="436"/>
      <c r="J3907" s="465">
        <v>0</v>
      </c>
      <c r="K3907" s="465">
        <v>0</v>
      </c>
    </row>
    <row r="3908" spans="2:11" ht="19" customHeight="1">
      <c r="B3908" s="464">
        <v>46106</v>
      </c>
      <c r="C3908" s="436" t="s">
        <v>258</v>
      </c>
      <c r="D3908" s="436" t="s">
        <v>257</v>
      </c>
      <c r="E3908" s="436">
        <v>1</v>
      </c>
      <c r="F3908" s="469"/>
      <c r="G3908" s="468" t="s">
        <v>875</v>
      </c>
      <c r="H3908" s="466" t="e">
        <f>G3908/1.1</f>
        <v>#VALUE!</v>
      </c>
      <c r="I3908" s="436"/>
      <c r="J3908" s="465">
        <v>0</v>
      </c>
      <c r="K3908" s="465">
        <v>0</v>
      </c>
    </row>
    <row r="3909" spans="2:11" ht="19" customHeight="1">
      <c r="B3909" s="464">
        <v>46106</v>
      </c>
      <c r="C3909" s="436" t="s">
        <v>254</v>
      </c>
      <c r="D3909" s="436" t="s">
        <v>254</v>
      </c>
      <c r="E3909" s="436">
        <v>1</v>
      </c>
      <c r="F3909" s="465">
        <v>14.9</v>
      </c>
      <c r="G3909" s="466">
        <v>14.9</v>
      </c>
      <c r="H3909" s="466">
        <f>G3909/1.1</f>
        <v>13.545454545454545</v>
      </c>
      <c r="I3909" s="436"/>
      <c r="J3909" s="465">
        <v>0</v>
      </c>
      <c r="K3909" s="465">
        <v>0</v>
      </c>
    </row>
    <row r="3910" spans="2:11" ht="19" customHeight="1">
      <c r="B3910" s="464">
        <v>46106</v>
      </c>
      <c r="C3910" s="436" t="s">
        <v>873</v>
      </c>
      <c r="D3910" s="436" t="s">
        <v>1181</v>
      </c>
      <c r="E3910" s="436">
        <v>1</v>
      </c>
      <c r="F3910" s="469"/>
      <c r="G3910" s="468" t="s">
        <v>875</v>
      </c>
      <c r="H3910" s="466" t="e">
        <f>G3910/1.1</f>
        <v>#VALUE!</v>
      </c>
      <c r="I3910" s="436"/>
      <c r="J3910" s="465">
        <v>0</v>
      </c>
      <c r="K3910" s="465">
        <v>0</v>
      </c>
    </row>
    <row r="3911" spans="2:11" ht="19" customHeight="1">
      <c r="B3911" s="464">
        <v>46106</v>
      </c>
      <c r="C3911" s="436" t="s">
        <v>877</v>
      </c>
      <c r="D3911" s="436" t="s">
        <v>1193</v>
      </c>
      <c r="E3911" s="436">
        <v>1</v>
      </c>
      <c r="F3911" s="469"/>
      <c r="G3911" s="468" t="s">
        <v>875</v>
      </c>
      <c r="H3911" s="466" t="e">
        <f>G3911/1.1</f>
        <v>#VALUE!</v>
      </c>
      <c r="I3911" s="436"/>
      <c r="J3911" s="465">
        <v>0</v>
      </c>
      <c r="K3911" s="465">
        <v>0</v>
      </c>
    </row>
    <row r="3912" spans="2:11" ht="19" customHeight="1">
      <c r="B3912" s="464">
        <v>46106</v>
      </c>
      <c r="C3912" s="436" t="s">
        <v>266</v>
      </c>
      <c r="D3912" s="436" t="s">
        <v>996</v>
      </c>
      <c r="E3912" s="436">
        <v>1</v>
      </c>
      <c r="F3912" s="469"/>
      <c r="G3912" s="468" t="s">
        <v>875</v>
      </c>
      <c r="H3912" s="466" t="e">
        <f>G3912/1.1</f>
        <v>#VALUE!</v>
      </c>
      <c r="I3912" s="436"/>
      <c r="J3912" s="465">
        <v>0</v>
      </c>
      <c r="K3912" s="465">
        <v>0</v>
      </c>
    </row>
    <row r="3913" spans="2:11" ht="19" customHeight="1">
      <c r="B3913" s="464">
        <v>46106</v>
      </c>
      <c r="C3913" s="436" t="s">
        <v>258</v>
      </c>
      <c r="D3913" s="436" t="s">
        <v>1197</v>
      </c>
      <c r="E3913" s="436">
        <v>1</v>
      </c>
      <c r="F3913" s="469"/>
      <c r="G3913" s="468" t="s">
        <v>875</v>
      </c>
      <c r="H3913" s="466" t="e">
        <f>G3913/1.1</f>
        <v>#VALUE!</v>
      </c>
      <c r="I3913" s="436"/>
      <c r="J3913" s="465">
        <v>0</v>
      </c>
      <c r="K3913" s="465">
        <v>0</v>
      </c>
    </row>
    <row r="3914" spans="2:11" ht="19" customHeight="1">
      <c r="B3914" s="464">
        <v>46107</v>
      </c>
      <c r="C3914" s="436" t="s">
        <v>247</v>
      </c>
      <c r="D3914" s="436" t="s">
        <v>855</v>
      </c>
      <c r="E3914" s="436">
        <v>1</v>
      </c>
      <c r="F3914" s="465">
        <v>2.5499999999999998</v>
      </c>
      <c r="G3914" s="466">
        <v>2.5499999999999998</v>
      </c>
      <c r="H3914" s="466">
        <f>G3914/1.1</f>
        <v>2.3181818181818179</v>
      </c>
      <c r="I3914" s="436"/>
      <c r="J3914" s="465">
        <v>0</v>
      </c>
      <c r="K3914" s="465">
        <v>0</v>
      </c>
    </row>
    <row r="3915" spans="2:11" ht="19" customHeight="1">
      <c r="B3915" s="464">
        <v>46107</v>
      </c>
      <c r="C3915" s="436" t="s">
        <v>247</v>
      </c>
      <c r="D3915" s="436" t="s">
        <v>257</v>
      </c>
      <c r="E3915" s="436">
        <v>1</v>
      </c>
      <c r="F3915" s="465">
        <v>1.55</v>
      </c>
      <c r="G3915" s="466">
        <v>1.55</v>
      </c>
      <c r="H3915" s="466">
        <f>G3915/1.1</f>
        <v>1.4090909090909089</v>
      </c>
      <c r="I3915" s="436"/>
      <c r="J3915" s="465">
        <v>0</v>
      </c>
      <c r="K3915" s="465">
        <v>0</v>
      </c>
    </row>
    <row r="3916" spans="2:11" ht="19" customHeight="1">
      <c r="B3916" s="464">
        <v>46107</v>
      </c>
      <c r="C3916" s="436" t="s">
        <v>247</v>
      </c>
      <c r="D3916" s="436" t="s">
        <v>269</v>
      </c>
      <c r="E3916" s="436">
        <v>1</v>
      </c>
      <c r="F3916" s="465">
        <v>0.1</v>
      </c>
      <c r="G3916" s="466">
        <v>0.1</v>
      </c>
      <c r="H3916" s="466">
        <f>G3916/1.1</f>
        <v>9.0909090909090912E-2</v>
      </c>
      <c r="I3916" s="436"/>
      <c r="J3916" s="465">
        <v>0</v>
      </c>
      <c r="K3916" s="465">
        <v>0</v>
      </c>
    </row>
    <row r="3917" spans="2:11" ht="19" customHeight="1">
      <c r="B3917" s="464">
        <v>46107</v>
      </c>
      <c r="C3917" s="436" t="s">
        <v>247</v>
      </c>
      <c r="D3917" s="436" t="s">
        <v>248</v>
      </c>
      <c r="E3917" s="436">
        <v>1</v>
      </c>
      <c r="F3917" s="465">
        <v>1.65</v>
      </c>
      <c r="G3917" s="466">
        <v>1.65</v>
      </c>
      <c r="H3917" s="466">
        <f>G3917/1.1</f>
        <v>1.4999999999999998</v>
      </c>
      <c r="I3917" s="436"/>
      <c r="J3917" s="465">
        <v>0</v>
      </c>
      <c r="K3917" s="465">
        <v>0</v>
      </c>
    </row>
    <row r="3918" spans="2:11" ht="19" customHeight="1">
      <c r="B3918" s="464">
        <v>46107</v>
      </c>
      <c r="C3918" s="436" t="s">
        <v>275</v>
      </c>
      <c r="D3918" s="436" t="s">
        <v>1198</v>
      </c>
      <c r="E3918" s="436">
        <v>1</v>
      </c>
      <c r="F3918" s="465">
        <v>5.25</v>
      </c>
      <c r="G3918" s="466">
        <v>5.25</v>
      </c>
      <c r="H3918" s="466">
        <f>G3918/1.1</f>
        <v>4.7727272727272725</v>
      </c>
      <c r="I3918" s="436"/>
      <c r="J3918" s="465">
        <v>0</v>
      </c>
      <c r="K3918" s="465">
        <v>0</v>
      </c>
    </row>
    <row r="3919" spans="2:11" ht="19" customHeight="1">
      <c r="B3919" s="464">
        <v>46107</v>
      </c>
      <c r="C3919" s="436" t="s">
        <v>276</v>
      </c>
      <c r="D3919" s="436" t="s">
        <v>1017</v>
      </c>
      <c r="E3919" s="436">
        <v>2</v>
      </c>
      <c r="F3919" s="465">
        <v>4.5</v>
      </c>
      <c r="G3919" s="466">
        <v>9</v>
      </c>
      <c r="H3919" s="466">
        <f>G3919/1.1</f>
        <v>8.1818181818181817</v>
      </c>
      <c r="I3919" s="436"/>
      <c r="J3919" s="465">
        <v>0</v>
      </c>
      <c r="K3919" s="465">
        <v>0</v>
      </c>
    </row>
    <row r="3920" spans="2:11" ht="19" customHeight="1">
      <c r="B3920" s="464">
        <v>46107</v>
      </c>
      <c r="C3920" s="436" t="s">
        <v>256</v>
      </c>
      <c r="D3920" s="436" t="s">
        <v>678</v>
      </c>
      <c r="E3920" s="436">
        <v>1</v>
      </c>
      <c r="F3920" s="465">
        <v>6.9</v>
      </c>
      <c r="G3920" s="466">
        <v>6.9</v>
      </c>
      <c r="H3920" s="466">
        <f>G3920/1.1</f>
        <v>6.2727272727272725</v>
      </c>
      <c r="I3920" s="436"/>
      <c r="J3920" s="465">
        <v>0</v>
      </c>
      <c r="K3920" s="465">
        <v>0</v>
      </c>
    </row>
    <row r="3921" spans="2:11" ht="19" customHeight="1">
      <c r="B3921" s="464">
        <v>46107</v>
      </c>
      <c r="C3921" s="436" t="s">
        <v>256</v>
      </c>
      <c r="D3921" s="436" t="s">
        <v>1114</v>
      </c>
      <c r="E3921" s="436">
        <v>1</v>
      </c>
      <c r="F3921" s="465">
        <v>-0.2</v>
      </c>
      <c r="G3921" s="466">
        <v>-0.2</v>
      </c>
      <c r="H3921" s="466">
        <f>G3921/1.1</f>
        <v>-0.18181818181818182</v>
      </c>
      <c r="I3921" s="436"/>
      <c r="J3921" s="465">
        <v>0</v>
      </c>
      <c r="K3921" s="465">
        <v>0</v>
      </c>
    </row>
    <row r="3922" spans="2:11" ht="19" customHeight="1">
      <c r="B3922" s="464">
        <v>46107</v>
      </c>
      <c r="C3922" s="436" t="s">
        <v>256</v>
      </c>
      <c r="D3922" s="436" t="s">
        <v>931</v>
      </c>
      <c r="E3922" s="436">
        <v>2</v>
      </c>
      <c r="F3922" s="465">
        <v>1.7</v>
      </c>
      <c r="G3922" s="466">
        <v>3.4</v>
      </c>
      <c r="H3922" s="466">
        <f>G3922/1.1</f>
        <v>3.0909090909090904</v>
      </c>
      <c r="I3922" s="436"/>
      <c r="J3922" s="465">
        <v>0</v>
      </c>
      <c r="K3922" s="465">
        <v>0</v>
      </c>
    </row>
    <row r="3923" spans="2:11" ht="19" customHeight="1">
      <c r="B3923" s="464">
        <v>46107</v>
      </c>
      <c r="C3923" s="436" t="s">
        <v>256</v>
      </c>
      <c r="D3923" s="436" t="s">
        <v>870</v>
      </c>
      <c r="E3923" s="436">
        <v>2</v>
      </c>
      <c r="F3923" s="465">
        <v>1.7</v>
      </c>
      <c r="G3923" s="466">
        <v>3.4</v>
      </c>
      <c r="H3923" s="466">
        <f>G3923/1.1</f>
        <v>3.0909090909090904</v>
      </c>
      <c r="I3923" s="436"/>
      <c r="J3923" s="465">
        <v>0</v>
      </c>
      <c r="K3923" s="465">
        <v>0</v>
      </c>
    </row>
    <row r="3924" spans="2:11" ht="19" customHeight="1">
      <c r="B3924" s="464">
        <v>46107</v>
      </c>
      <c r="C3924" s="436" t="s">
        <v>256</v>
      </c>
      <c r="D3924" s="436" t="s">
        <v>932</v>
      </c>
      <c r="E3924" s="436">
        <v>2</v>
      </c>
      <c r="F3924" s="465">
        <v>1.7</v>
      </c>
      <c r="G3924" s="466">
        <v>3.4</v>
      </c>
      <c r="H3924" s="466">
        <f>G3924/1.1</f>
        <v>3.0909090909090904</v>
      </c>
      <c r="I3924" s="436"/>
      <c r="J3924" s="465">
        <v>0</v>
      </c>
      <c r="K3924" s="465">
        <v>0</v>
      </c>
    </row>
    <row r="3925" spans="2:11" ht="19" customHeight="1">
      <c r="B3925" s="464">
        <v>46107</v>
      </c>
      <c r="C3925" s="436" t="s">
        <v>247</v>
      </c>
      <c r="D3925" s="436" t="s">
        <v>246</v>
      </c>
      <c r="E3925" s="436">
        <v>1</v>
      </c>
      <c r="F3925" s="465">
        <v>1.7</v>
      </c>
      <c r="G3925" s="466">
        <v>1.7</v>
      </c>
      <c r="H3925" s="466">
        <f>G3925/1.1</f>
        <v>1.5454545454545452</v>
      </c>
      <c r="I3925" s="436"/>
      <c r="J3925" s="465">
        <v>0</v>
      </c>
      <c r="K3925" s="465">
        <v>0</v>
      </c>
    </row>
    <row r="3926" spans="2:11" ht="19" customHeight="1">
      <c r="B3926" s="464">
        <v>46107</v>
      </c>
      <c r="C3926" s="436" t="s">
        <v>253</v>
      </c>
      <c r="D3926" s="436" t="s">
        <v>687</v>
      </c>
      <c r="E3926" s="436">
        <v>2</v>
      </c>
      <c r="F3926" s="465">
        <v>3.1</v>
      </c>
      <c r="G3926" s="466">
        <v>6.2</v>
      </c>
      <c r="H3926" s="466">
        <f>G3926/1.1</f>
        <v>5.6363636363636358</v>
      </c>
      <c r="I3926" s="436"/>
      <c r="J3926" s="465">
        <v>0</v>
      </c>
      <c r="K3926" s="465">
        <v>0</v>
      </c>
    </row>
    <row r="3927" spans="2:11" ht="19" customHeight="1">
      <c r="B3927" s="464">
        <v>46107</v>
      </c>
      <c r="C3927" s="436" t="s">
        <v>256</v>
      </c>
      <c r="D3927" s="436" t="s">
        <v>754</v>
      </c>
      <c r="E3927" s="436">
        <v>1</v>
      </c>
      <c r="F3927" s="465">
        <v>4.25</v>
      </c>
      <c r="G3927" s="466">
        <v>4.25</v>
      </c>
      <c r="H3927" s="466">
        <f>G3927/1.1</f>
        <v>3.8636363636363633</v>
      </c>
      <c r="I3927" s="436"/>
      <c r="J3927" s="465">
        <v>0</v>
      </c>
      <c r="K3927" s="465">
        <v>0</v>
      </c>
    </row>
    <row r="3928" spans="2:11" ht="19" customHeight="1">
      <c r="B3928" s="464">
        <v>46107</v>
      </c>
      <c r="C3928" s="436" t="s">
        <v>247</v>
      </c>
      <c r="D3928" s="436" t="s">
        <v>246</v>
      </c>
      <c r="E3928" s="436">
        <v>1</v>
      </c>
      <c r="F3928" s="465">
        <v>1.7</v>
      </c>
      <c r="G3928" s="466">
        <v>1.7</v>
      </c>
      <c r="H3928" s="466">
        <f>G3928/1.1</f>
        <v>1.5454545454545452</v>
      </c>
      <c r="I3928" s="436"/>
      <c r="J3928" s="465">
        <v>0</v>
      </c>
      <c r="K3928" s="465">
        <v>0</v>
      </c>
    </row>
    <row r="3929" spans="2:11" ht="19" customHeight="1">
      <c r="B3929" s="464">
        <v>46107</v>
      </c>
      <c r="C3929" s="436" t="s">
        <v>247</v>
      </c>
      <c r="D3929" s="436" t="s">
        <v>248</v>
      </c>
      <c r="E3929" s="436">
        <v>1</v>
      </c>
      <c r="F3929" s="465">
        <v>1.5</v>
      </c>
      <c r="G3929" s="466">
        <v>1.5</v>
      </c>
      <c r="H3929" s="466">
        <f>G3929/1.1</f>
        <v>1.3636363636363635</v>
      </c>
      <c r="I3929" s="436"/>
      <c r="J3929" s="465">
        <v>0</v>
      </c>
      <c r="K3929" s="465">
        <v>0</v>
      </c>
    </row>
    <row r="3930" spans="2:11" ht="19" customHeight="1">
      <c r="B3930" s="464">
        <v>46107</v>
      </c>
      <c r="C3930" s="436" t="s">
        <v>251</v>
      </c>
      <c r="D3930" s="436" t="s">
        <v>265</v>
      </c>
      <c r="E3930" s="436">
        <v>1</v>
      </c>
      <c r="F3930" s="465">
        <v>2.65</v>
      </c>
      <c r="G3930" s="466">
        <v>2.65</v>
      </c>
      <c r="H3930" s="466">
        <f>G3930/1.1</f>
        <v>2.4090909090909087</v>
      </c>
      <c r="I3930" s="436"/>
      <c r="J3930" s="465">
        <v>0</v>
      </c>
      <c r="K3930" s="465">
        <v>0</v>
      </c>
    </row>
    <row r="3931" spans="2:11" ht="19" customHeight="1">
      <c r="B3931" s="464">
        <v>46107</v>
      </c>
      <c r="C3931" s="436" t="s">
        <v>253</v>
      </c>
      <c r="D3931" s="436" t="s">
        <v>901</v>
      </c>
      <c r="E3931" s="436">
        <v>1</v>
      </c>
      <c r="F3931" s="465">
        <v>2.15</v>
      </c>
      <c r="G3931" s="466">
        <v>2.15</v>
      </c>
      <c r="H3931" s="466">
        <f>G3931/1.1</f>
        <v>1.9545454545454544</v>
      </c>
      <c r="I3931" s="436"/>
      <c r="J3931" s="465">
        <v>0</v>
      </c>
      <c r="K3931" s="465">
        <v>0</v>
      </c>
    </row>
    <row r="3932" spans="2:11" ht="19" customHeight="1">
      <c r="B3932" s="464">
        <v>46107</v>
      </c>
      <c r="C3932" s="436" t="s">
        <v>894</v>
      </c>
      <c r="D3932" s="436" t="s">
        <v>895</v>
      </c>
      <c r="E3932" s="436">
        <v>1</v>
      </c>
      <c r="F3932" s="465">
        <v>7.1</v>
      </c>
      <c r="G3932" s="466">
        <v>7.1</v>
      </c>
      <c r="H3932" s="466">
        <f>G3932/1.1</f>
        <v>6.4545454545454541</v>
      </c>
      <c r="I3932" s="436"/>
      <c r="J3932" s="465">
        <v>0</v>
      </c>
      <c r="K3932" s="465">
        <v>0</v>
      </c>
    </row>
    <row r="3933" spans="2:11" ht="19" customHeight="1">
      <c r="B3933" s="464">
        <v>46107</v>
      </c>
      <c r="C3933" s="436" t="s">
        <v>247</v>
      </c>
      <c r="D3933" s="436" t="s">
        <v>246</v>
      </c>
      <c r="E3933" s="436">
        <v>1</v>
      </c>
      <c r="F3933" s="465">
        <v>1.7</v>
      </c>
      <c r="G3933" s="466">
        <v>1.7</v>
      </c>
      <c r="H3933" s="466">
        <f>G3933/1.1</f>
        <v>1.5454545454545452</v>
      </c>
      <c r="I3933" s="436"/>
      <c r="J3933" s="465">
        <v>0</v>
      </c>
      <c r="K3933" s="465">
        <v>0</v>
      </c>
    </row>
    <row r="3934" spans="2:11" ht="19" customHeight="1">
      <c r="B3934" s="464">
        <v>46107</v>
      </c>
      <c r="C3934" s="436" t="s">
        <v>247</v>
      </c>
      <c r="D3934" s="436" t="s">
        <v>248</v>
      </c>
      <c r="E3934" s="436">
        <v>1</v>
      </c>
      <c r="F3934" s="465">
        <v>1.5</v>
      </c>
      <c r="G3934" s="466">
        <v>1.5</v>
      </c>
      <c r="H3934" s="466">
        <f>G3934/1.1</f>
        <v>1.3636363636363635</v>
      </c>
      <c r="I3934" s="436"/>
      <c r="J3934" s="465">
        <v>0</v>
      </c>
      <c r="K3934" s="465">
        <v>0</v>
      </c>
    </row>
    <row r="3935" spans="2:11" ht="19" customHeight="1">
      <c r="B3935" s="464">
        <v>46107</v>
      </c>
      <c r="C3935" s="436" t="s">
        <v>247</v>
      </c>
      <c r="D3935" s="436" t="s">
        <v>248</v>
      </c>
      <c r="E3935" s="436">
        <v>1</v>
      </c>
      <c r="F3935" s="465">
        <v>1.5</v>
      </c>
      <c r="G3935" s="466">
        <v>1.5</v>
      </c>
      <c r="H3935" s="466">
        <f>G3935/1.1</f>
        <v>1.3636363636363635</v>
      </c>
      <c r="I3935" s="436"/>
      <c r="J3935" s="465">
        <v>0</v>
      </c>
      <c r="K3935" s="465">
        <v>0</v>
      </c>
    </row>
    <row r="3936" spans="2:11" ht="19" customHeight="1">
      <c r="B3936" s="464">
        <v>46107</v>
      </c>
      <c r="C3936" s="436" t="s">
        <v>247</v>
      </c>
      <c r="D3936" s="436" t="s">
        <v>246</v>
      </c>
      <c r="E3936" s="436">
        <v>1</v>
      </c>
      <c r="F3936" s="465">
        <v>1.7</v>
      </c>
      <c r="G3936" s="466">
        <v>1.7</v>
      </c>
      <c r="H3936" s="466">
        <f>G3936/1.1</f>
        <v>1.5454545454545452</v>
      </c>
      <c r="I3936" s="436"/>
      <c r="J3936" s="465">
        <v>0</v>
      </c>
      <c r="K3936" s="465">
        <v>0</v>
      </c>
    </row>
    <row r="3937" spans="2:11" ht="19" customHeight="1">
      <c r="B3937" s="464">
        <v>46107</v>
      </c>
      <c r="C3937" s="436" t="s">
        <v>247</v>
      </c>
      <c r="D3937" s="436" t="s">
        <v>248</v>
      </c>
      <c r="E3937" s="436">
        <v>1</v>
      </c>
      <c r="F3937" s="465">
        <v>1.5</v>
      </c>
      <c r="G3937" s="466">
        <v>1.5</v>
      </c>
      <c r="H3937" s="466">
        <f>G3937/1.1</f>
        <v>1.3636363636363635</v>
      </c>
      <c r="I3937" s="436"/>
      <c r="J3937" s="465">
        <v>0</v>
      </c>
      <c r="K3937" s="465">
        <v>0</v>
      </c>
    </row>
    <row r="3938" spans="2:11" ht="19" customHeight="1">
      <c r="B3938" s="464">
        <v>46107</v>
      </c>
      <c r="C3938" s="436" t="s">
        <v>862</v>
      </c>
      <c r="D3938" s="436" t="s">
        <v>1174</v>
      </c>
      <c r="E3938" s="436">
        <v>2</v>
      </c>
      <c r="F3938" s="465">
        <v>0.15</v>
      </c>
      <c r="G3938" s="466">
        <v>0.3</v>
      </c>
      <c r="H3938" s="466">
        <f>G3938/1.1</f>
        <v>0.27272727272727271</v>
      </c>
      <c r="I3938" s="436"/>
      <c r="J3938" s="465">
        <v>0</v>
      </c>
      <c r="K3938" s="465">
        <v>0</v>
      </c>
    </row>
    <row r="3939" spans="2:11" ht="19" customHeight="1">
      <c r="B3939" s="464">
        <v>46107</v>
      </c>
      <c r="C3939" s="436" t="s">
        <v>247</v>
      </c>
      <c r="D3939" s="436" t="s">
        <v>257</v>
      </c>
      <c r="E3939" s="436">
        <v>2</v>
      </c>
      <c r="F3939" s="465">
        <v>1.4</v>
      </c>
      <c r="G3939" s="466">
        <v>2.8</v>
      </c>
      <c r="H3939" s="466">
        <f>G3939/1.1</f>
        <v>2.545454545454545</v>
      </c>
      <c r="I3939" s="436"/>
      <c r="J3939" s="465">
        <v>0</v>
      </c>
      <c r="K3939" s="465">
        <v>0</v>
      </c>
    </row>
    <row r="3940" spans="2:11" ht="19" customHeight="1">
      <c r="B3940" s="464">
        <v>46107</v>
      </c>
      <c r="C3940" s="436" t="s">
        <v>247</v>
      </c>
      <c r="D3940" s="436" t="s">
        <v>246</v>
      </c>
      <c r="E3940" s="436">
        <v>1</v>
      </c>
      <c r="F3940" s="465">
        <v>1.7</v>
      </c>
      <c r="G3940" s="466">
        <v>1.7</v>
      </c>
      <c r="H3940" s="466">
        <f>G3940/1.1</f>
        <v>1.5454545454545452</v>
      </c>
      <c r="I3940" s="436"/>
      <c r="J3940" s="465">
        <v>0</v>
      </c>
      <c r="K3940" s="465">
        <v>0</v>
      </c>
    </row>
    <row r="3941" spans="2:11" ht="19" customHeight="1">
      <c r="B3941" s="464">
        <v>46107</v>
      </c>
      <c r="C3941" s="436" t="s">
        <v>247</v>
      </c>
      <c r="D3941" s="436" t="s">
        <v>248</v>
      </c>
      <c r="E3941" s="436">
        <v>1</v>
      </c>
      <c r="F3941" s="465">
        <v>1.5</v>
      </c>
      <c r="G3941" s="466">
        <v>1.5</v>
      </c>
      <c r="H3941" s="466">
        <f>G3941/1.1</f>
        <v>1.3636363636363635</v>
      </c>
      <c r="I3941" s="436"/>
      <c r="J3941" s="465">
        <v>0</v>
      </c>
      <c r="K3941" s="465">
        <v>0</v>
      </c>
    </row>
    <row r="3942" spans="2:11" ht="19" customHeight="1">
      <c r="B3942" s="464">
        <v>46107</v>
      </c>
      <c r="C3942" s="436" t="s">
        <v>247</v>
      </c>
      <c r="D3942" s="436" t="s">
        <v>248</v>
      </c>
      <c r="E3942" s="436">
        <v>1</v>
      </c>
      <c r="F3942" s="465">
        <v>1.5</v>
      </c>
      <c r="G3942" s="466">
        <v>1.5</v>
      </c>
      <c r="H3942" s="466">
        <f>G3942/1.1</f>
        <v>1.3636363636363635</v>
      </c>
      <c r="I3942" s="436"/>
      <c r="J3942" s="465">
        <v>0</v>
      </c>
      <c r="K3942" s="465">
        <v>0</v>
      </c>
    </row>
    <row r="3943" spans="2:11" ht="19" customHeight="1">
      <c r="B3943" s="464">
        <v>46107</v>
      </c>
      <c r="C3943" s="436" t="s">
        <v>862</v>
      </c>
      <c r="D3943" s="436" t="s">
        <v>1174</v>
      </c>
      <c r="E3943" s="436">
        <v>1</v>
      </c>
      <c r="F3943" s="465">
        <v>0.15</v>
      </c>
      <c r="G3943" s="466">
        <v>0.15</v>
      </c>
      <c r="H3943" s="466">
        <f>G3943/1.1</f>
        <v>0.13636363636363635</v>
      </c>
      <c r="I3943" s="436"/>
      <c r="J3943" s="465">
        <v>0</v>
      </c>
      <c r="K3943" s="465">
        <v>0</v>
      </c>
    </row>
    <row r="3944" spans="2:11" ht="19" customHeight="1">
      <c r="B3944" s="464">
        <v>46107</v>
      </c>
      <c r="C3944" s="436" t="s">
        <v>251</v>
      </c>
      <c r="D3944" s="436" t="s">
        <v>957</v>
      </c>
      <c r="E3944" s="436">
        <v>1</v>
      </c>
      <c r="F3944" s="465">
        <v>2.65</v>
      </c>
      <c r="G3944" s="466">
        <v>2.65</v>
      </c>
      <c r="H3944" s="466">
        <f>G3944/1.1</f>
        <v>2.4090909090909087</v>
      </c>
      <c r="I3944" s="436"/>
      <c r="J3944" s="465">
        <v>0</v>
      </c>
      <c r="K3944" s="465">
        <v>0</v>
      </c>
    </row>
    <row r="3945" spans="2:11" ht="19" customHeight="1">
      <c r="B3945" s="464">
        <v>46107</v>
      </c>
      <c r="C3945" s="436" t="s">
        <v>327</v>
      </c>
      <c r="D3945" s="436" t="s">
        <v>817</v>
      </c>
      <c r="E3945" s="436">
        <v>1</v>
      </c>
      <c r="F3945" s="465">
        <v>4.9000000000000004</v>
      </c>
      <c r="G3945" s="466">
        <v>4.9000000000000004</v>
      </c>
      <c r="H3945" s="466">
        <f>G3945/1.1</f>
        <v>4.4545454545454541</v>
      </c>
      <c r="I3945" s="436"/>
      <c r="J3945" s="465">
        <v>0</v>
      </c>
      <c r="K3945" s="465">
        <v>0</v>
      </c>
    </row>
    <row r="3946" spans="2:11" ht="19" customHeight="1">
      <c r="B3946" s="464">
        <v>46107</v>
      </c>
      <c r="C3946" s="436" t="s">
        <v>256</v>
      </c>
      <c r="D3946" s="436" t="s">
        <v>255</v>
      </c>
      <c r="E3946" s="436">
        <v>1</v>
      </c>
      <c r="F3946" s="465">
        <v>5.6</v>
      </c>
      <c r="G3946" s="466">
        <v>5.6</v>
      </c>
      <c r="H3946" s="466">
        <f>G3946/1.1</f>
        <v>5.0909090909090899</v>
      </c>
      <c r="I3946" s="436"/>
      <c r="J3946" s="465">
        <v>0</v>
      </c>
      <c r="K3946" s="465">
        <v>0</v>
      </c>
    </row>
    <row r="3947" spans="2:11" ht="19" customHeight="1">
      <c r="B3947" s="464">
        <v>46107</v>
      </c>
      <c r="C3947" s="436" t="s">
        <v>247</v>
      </c>
      <c r="D3947" s="436" t="s">
        <v>248</v>
      </c>
      <c r="E3947" s="436">
        <v>1</v>
      </c>
      <c r="F3947" s="465">
        <v>1.5</v>
      </c>
      <c r="G3947" s="466">
        <v>1.5</v>
      </c>
      <c r="H3947" s="466">
        <f>G3947/1.1</f>
        <v>1.3636363636363635</v>
      </c>
      <c r="I3947" s="436"/>
      <c r="J3947" s="465">
        <v>0</v>
      </c>
      <c r="K3947" s="465">
        <v>0</v>
      </c>
    </row>
    <row r="3948" spans="2:11" ht="19" customHeight="1">
      <c r="B3948" s="464">
        <v>46107</v>
      </c>
      <c r="C3948" s="436" t="s">
        <v>247</v>
      </c>
      <c r="D3948" s="436" t="s">
        <v>257</v>
      </c>
      <c r="E3948" s="436">
        <v>1</v>
      </c>
      <c r="F3948" s="465">
        <v>1.4</v>
      </c>
      <c r="G3948" s="466">
        <v>1.4</v>
      </c>
      <c r="H3948" s="466">
        <f>G3948/1.1</f>
        <v>1.2727272727272725</v>
      </c>
      <c r="I3948" s="436"/>
      <c r="J3948" s="465">
        <v>0</v>
      </c>
      <c r="K3948" s="465">
        <v>0</v>
      </c>
    </row>
    <row r="3949" spans="2:11" ht="19" customHeight="1">
      <c r="B3949" s="464">
        <v>46107</v>
      </c>
      <c r="C3949" s="436" t="s">
        <v>268</v>
      </c>
      <c r="D3949" s="436" t="s">
        <v>859</v>
      </c>
      <c r="E3949" s="436">
        <v>1</v>
      </c>
      <c r="F3949" s="465">
        <v>0.75</v>
      </c>
      <c r="G3949" s="466">
        <v>0.75</v>
      </c>
      <c r="H3949" s="466">
        <f>G3949/1.1</f>
        <v>0.68181818181818177</v>
      </c>
      <c r="I3949" s="436"/>
      <c r="J3949" s="465">
        <v>0</v>
      </c>
      <c r="K3949" s="465">
        <v>0</v>
      </c>
    </row>
    <row r="3950" spans="2:11" ht="19" customHeight="1">
      <c r="B3950" s="464">
        <v>46107</v>
      </c>
      <c r="C3950" s="436" t="s">
        <v>247</v>
      </c>
      <c r="D3950" s="436" t="s">
        <v>257</v>
      </c>
      <c r="E3950" s="436">
        <v>1</v>
      </c>
      <c r="F3950" s="465">
        <v>1.4</v>
      </c>
      <c r="G3950" s="466">
        <v>1.4</v>
      </c>
      <c r="H3950" s="466">
        <f>G3950/1.1</f>
        <v>1.2727272727272725</v>
      </c>
      <c r="I3950" s="436"/>
      <c r="J3950" s="465">
        <v>0</v>
      </c>
      <c r="K3950" s="465">
        <v>0</v>
      </c>
    </row>
    <row r="3951" spans="2:11" ht="19" customHeight="1">
      <c r="B3951" s="464">
        <v>46107</v>
      </c>
      <c r="C3951" s="436" t="s">
        <v>268</v>
      </c>
      <c r="D3951" s="436" t="s">
        <v>860</v>
      </c>
      <c r="E3951" s="436">
        <v>1</v>
      </c>
      <c r="F3951" s="465">
        <v>2.25</v>
      </c>
      <c r="G3951" s="466">
        <v>2.25</v>
      </c>
      <c r="H3951" s="466">
        <f>G3951/1.1</f>
        <v>2.0454545454545454</v>
      </c>
      <c r="I3951" s="436"/>
      <c r="J3951" s="465">
        <v>0</v>
      </c>
      <c r="K3951" s="465">
        <v>0</v>
      </c>
    </row>
    <row r="3952" spans="2:11" ht="19" customHeight="1">
      <c r="B3952" s="464">
        <v>46107</v>
      </c>
      <c r="C3952" s="436" t="s">
        <v>247</v>
      </c>
      <c r="D3952" s="436" t="s">
        <v>246</v>
      </c>
      <c r="E3952" s="436">
        <v>1</v>
      </c>
      <c r="F3952" s="465">
        <v>1.7</v>
      </c>
      <c r="G3952" s="466">
        <v>1.7</v>
      </c>
      <c r="H3952" s="466">
        <f>G3952/1.1</f>
        <v>1.5454545454545452</v>
      </c>
      <c r="I3952" s="436"/>
      <c r="J3952" s="465">
        <v>0</v>
      </c>
      <c r="K3952" s="465">
        <v>0</v>
      </c>
    </row>
    <row r="3953" spans="2:11" ht="19" customHeight="1">
      <c r="B3953" s="464">
        <v>46107</v>
      </c>
      <c r="C3953" s="436" t="s">
        <v>247</v>
      </c>
      <c r="D3953" s="436" t="s">
        <v>246</v>
      </c>
      <c r="E3953" s="436">
        <v>1</v>
      </c>
      <c r="F3953" s="465">
        <v>1.7</v>
      </c>
      <c r="G3953" s="466">
        <v>1.7</v>
      </c>
      <c r="H3953" s="466">
        <f>G3953/1.1</f>
        <v>1.5454545454545452</v>
      </c>
      <c r="I3953" s="436"/>
      <c r="J3953" s="465">
        <v>0</v>
      </c>
      <c r="K3953" s="465">
        <v>0</v>
      </c>
    </row>
    <row r="3954" spans="2:11" ht="19" customHeight="1">
      <c r="B3954" s="464">
        <v>46107</v>
      </c>
      <c r="C3954" s="436" t="s">
        <v>247</v>
      </c>
      <c r="D3954" s="436" t="s">
        <v>257</v>
      </c>
      <c r="E3954" s="436">
        <v>1</v>
      </c>
      <c r="F3954" s="465">
        <v>1.4</v>
      </c>
      <c r="G3954" s="466">
        <v>1.4</v>
      </c>
      <c r="H3954" s="466">
        <f>G3954/1.1</f>
        <v>1.2727272727272725</v>
      </c>
      <c r="I3954" s="436"/>
      <c r="J3954" s="465">
        <v>0</v>
      </c>
      <c r="K3954" s="465">
        <v>0</v>
      </c>
    </row>
    <row r="3955" spans="2:11" ht="19" customHeight="1">
      <c r="B3955" s="464">
        <v>46107</v>
      </c>
      <c r="C3955" s="436" t="s">
        <v>247</v>
      </c>
      <c r="D3955" s="436" t="s">
        <v>246</v>
      </c>
      <c r="E3955" s="436">
        <v>1</v>
      </c>
      <c r="F3955" s="465">
        <v>1.7</v>
      </c>
      <c r="G3955" s="466">
        <v>1.7</v>
      </c>
      <c r="H3955" s="466">
        <f>G3955/1.1</f>
        <v>1.5454545454545452</v>
      </c>
      <c r="I3955" s="436"/>
      <c r="J3955" s="465">
        <v>0</v>
      </c>
      <c r="K3955" s="465">
        <v>0</v>
      </c>
    </row>
    <row r="3956" spans="2:11" ht="19" customHeight="1">
      <c r="B3956" s="464">
        <v>46107</v>
      </c>
      <c r="C3956" s="436" t="s">
        <v>862</v>
      </c>
      <c r="D3956" s="436" t="s">
        <v>899</v>
      </c>
      <c r="E3956" s="436">
        <v>1</v>
      </c>
      <c r="F3956" s="465">
        <v>0.05</v>
      </c>
      <c r="G3956" s="466">
        <v>0.05</v>
      </c>
      <c r="H3956" s="466">
        <f>G3956/1.1</f>
        <v>4.5454545454545456E-2</v>
      </c>
      <c r="I3956" s="436"/>
      <c r="J3956" s="465">
        <v>0</v>
      </c>
      <c r="K3956" s="465">
        <v>0</v>
      </c>
    </row>
    <row r="3957" spans="2:11" ht="19" customHeight="1">
      <c r="B3957" s="464">
        <v>46107</v>
      </c>
      <c r="C3957" s="436" t="s">
        <v>268</v>
      </c>
      <c r="D3957" s="436" t="s">
        <v>860</v>
      </c>
      <c r="E3957" s="436">
        <v>1</v>
      </c>
      <c r="F3957" s="465">
        <v>2.25</v>
      </c>
      <c r="G3957" s="466">
        <v>2.25</v>
      </c>
      <c r="H3957" s="466">
        <f>G3957/1.1</f>
        <v>2.0454545454545454</v>
      </c>
      <c r="I3957" s="436"/>
      <c r="J3957" s="465">
        <v>0</v>
      </c>
      <c r="K3957" s="465">
        <v>0</v>
      </c>
    </row>
    <row r="3958" spans="2:11" ht="19" customHeight="1">
      <c r="B3958" s="464">
        <v>46107</v>
      </c>
      <c r="C3958" s="436" t="s">
        <v>247</v>
      </c>
      <c r="D3958" s="436" t="s">
        <v>246</v>
      </c>
      <c r="E3958" s="436">
        <v>3</v>
      </c>
      <c r="F3958" s="465">
        <v>1.7</v>
      </c>
      <c r="G3958" s="466">
        <v>5.0999999999999996</v>
      </c>
      <c r="H3958" s="466">
        <f>G3958/1.1</f>
        <v>4.6363636363636358</v>
      </c>
      <c r="I3958" s="436"/>
      <c r="J3958" s="465">
        <v>0</v>
      </c>
      <c r="K3958" s="465">
        <v>0</v>
      </c>
    </row>
    <row r="3959" spans="2:11" ht="19" customHeight="1">
      <c r="B3959" s="464">
        <v>46107</v>
      </c>
      <c r="C3959" s="436" t="s">
        <v>328</v>
      </c>
      <c r="D3959" s="436" t="s">
        <v>761</v>
      </c>
      <c r="E3959" s="436">
        <v>1</v>
      </c>
      <c r="F3959" s="465">
        <v>3.1</v>
      </c>
      <c r="G3959" s="466">
        <v>3.1</v>
      </c>
      <c r="H3959" s="466">
        <f>G3959/1.1</f>
        <v>2.8181818181818179</v>
      </c>
      <c r="I3959" s="436"/>
      <c r="J3959" s="465">
        <v>0</v>
      </c>
      <c r="K3959" s="465">
        <v>0</v>
      </c>
    </row>
    <row r="3960" spans="2:11" ht="19" customHeight="1">
      <c r="B3960" s="464">
        <v>46107</v>
      </c>
      <c r="C3960" s="436" t="s">
        <v>268</v>
      </c>
      <c r="D3960" s="436" t="s">
        <v>859</v>
      </c>
      <c r="E3960" s="436">
        <v>1</v>
      </c>
      <c r="F3960" s="465">
        <v>0.75</v>
      </c>
      <c r="G3960" s="466">
        <v>0.75</v>
      </c>
      <c r="H3960" s="466">
        <f>G3960/1.1</f>
        <v>0.68181818181818177</v>
      </c>
      <c r="I3960" s="436"/>
      <c r="J3960" s="465">
        <v>0</v>
      </c>
      <c r="K3960" s="465">
        <v>0</v>
      </c>
    </row>
    <row r="3961" spans="2:11" ht="19" customHeight="1">
      <c r="B3961" s="464">
        <v>46107</v>
      </c>
      <c r="C3961" s="436" t="s">
        <v>247</v>
      </c>
      <c r="D3961" s="436" t="s">
        <v>246</v>
      </c>
      <c r="E3961" s="436">
        <v>1</v>
      </c>
      <c r="F3961" s="465">
        <v>1.7</v>
      </c>
      <c r="G3961" s="466">
        <v>1.7</v>
      </c>
      <c r="H3961" s="466">
        <f>G3961/1.1</f>
        <v>1.5454545454545452</v>
      </c>
      <c r="I3961" s="436"/>
      <c r="J3961" s="465">
        <v>0</v>
      </c>
      <c r="K3961" s="465">
        <v>0</v>
      </c>
    </row>
    <row r="3962" spans="2:11" ht="19" customHeight="1">
      <c r="B3962" s="464">
        <v>46107</v>
      </c>
      <c r="C3962" s="436" t="s">
        <v>268</v>
      </c>
      <c r="D3962" s="436" t="s">
        <v>267</v>
      </c>
      <c r="E3962" s="436">
        <v>1</v>
      </c>
      <c r="F3962" s="465">
        <v>1.5</v>
      </c>
      <c r="G3962" s="466">
        <v>1.5</v>
      </c>
      <c r="H3962" s="466">
        <f>G3962/1.1</f>
        <v>1.3636363636363635</v>
      </c>
      <c r="I3962" s="436"/>
      <c r="J3962" s="465">
        <v>0</v>
      </c>
      <c r="K3962" s="465">
        <v>0</v>
      </c>
    </row>
    <row r="3963" spans="2:11" ht="19" customHeight="1">
      <c r="B3963" s="464">
        <v>46107</v>
      </c>
      <c r="C3963" s="436" t="s">
        <v>247</v>
      </c>
      <c r="D3963" s="436" t="s">
        <v>248</v>
      </c>
      <c r="E3963" s="436">
        <v>1</v>
      </c>
      <c r="F3963" s="465">
        <v>1.5</v>
      </c>
      <c r="G3963" s="466">
        <v>1.5</v>
      </c>
      <c r="H3963" s="466">
        <f>G3963/1.1</f>
        <v>1.3636363636363635</v>
      </c>
      <c r="I3963" s="436"/>
      <c r="J3963" s="465">
        <v>0</v>
      </c>
      <c r="K3963" s="465">
        <v>0</v>
      </c>
    </row>
    <row r="3964" spans="2:11" ht="19" customHeight="1">
      <c r="B3964" s="464">
        <v>46107</v>
      </c>
      <c r="C3964" s="436" t="s">
        <v>247</v>
      </c>
      <c r="D3964" s="436" t="s">
        <v>248</v>
      </c>
      <c r="E3964" s="436">
        <v>1</v>
      </c>
      <c r="F3964" s="465">
        <v>1.5</v>
      </c>
      <c r="G3964" s="466">
        <v>1.5</v>
      </c>
      <c r="H3964" s="466">
        <f>G3964/1.1</f>
        <v>1.3636363636363635</v>
      </c>
      <c r="I3964" s="436"/>
      <c r="J3964" s="465">
        <v>0</v>
      </c>
      <c r="K3964" s="465">
        <v>0</v>
      </c>
    </row>
    <row r="3965" spans="2:11" ht="19" customHeight="1">
      <c r="B3965" s="464">
        <v>46107</v>
      </c>
      <c r="C3965" s="436" t="s">
        <v>247</v>
      </c>
      <c r="D3965" s="436" t="s">
        <v>248</v>
      </c>
      <c r="E3965" s="436">
        <v>2</v>
      </c>
      <c r="F3965" s="465">
        <v>1.5</v>
      </c>
      <c r="G3965" s="466">
        <v>3</v>
      </c>
      <c r="H3965" s="466">
        <f>G3965/1.1</f>
        <v>2.7272727272727271</v>
      </c>
      <c r="I3965" s="436"/>
      <c r="J3965" s="465">
        <v>0</v>
      </c>
      <c r="K3965" s="465">
        <v>0</v>
      </c>
    </row>
    <row r="3966" spans="2:11" ht="19" customHeight="1">
      <c r="B3966" s="464">
        <v>46107</v>
      </c>
      <c r="C3966" s="436" t="s">
        <v>862</v>
      </c>
      <c r="D3966" s="436" t="s">
        <v>863</v>
      </c>
      <c r="E3966" s="436">
        <v>2</v>
      </c>
      <c r="F3966" s="465">
        <v>0.15</v>
      </c>
      <c r="G3966" s="466">
        <v>0.3</v>
      </c>
      <c r="H3966" s="466">
        <f>G3966/1.1</f>
        <v>0.27272727272727271</v>
      </c>
      <c r="I3966" s="436"/>
      <c r="J3966" s="465">
        <v>0</v>
      </c>
      <c r="K3966" s="465">
        <v>0</v>
      </c>
    </row>
    <row r="3967" spans="2:11" ht="19" customHeight="1">
      <c r="B3967" s="464">
        <v>46107</v>
      </c>
      <c r="C3967" s="436" t="s">
        <v>247</v>
      </c>
      <c r="D3967" s="436" t="s">
        <v>246</v>
      </c>
      <c r="E3967" s="436">
        <v>1</v>
      </c>
      <c r="F3967" s="465">
        <v>1.7</v>
      </c>
      <c r="G3967" s="466">
        <v>1.7</v>
      </c>
      <c r="H3967" s="466">
        <f>G3967/1.1</f>
        <v>1.5454545454545452</v>
      </c>
      <c r="I3967" s="436"/>
      <c r="J3967" s="465">
        <v>0</v>
      </c>
      <c r="K3967" s="465">
        <v>0</v>
      </c>
    </row>
    <row r="3968" spans="2:11" ht="19" customHeight="1">
      <c r="B3968" s="464">
        <v>46107</v>
      </c>
      <c r="C3968" s="436" t="s">
        <v>862</v>
      </c>
      <c r="D3968" s="436" t="s">
        <v>1174</v>
      </c>
      <c r="E3968" s="436">
        <v>1</v>
      </c>
      <c r="F3968" s="465">
        <v>0.15</v>
      </c>
      <c r="G3968" s="466">
        <v>0.15</v>
      </c>
      <c r="H3968" s="466">
        <f>G3968/1.1</f>
        <v>0.13636363636363635</v>
      </c>
      <c r="I3968" s="436"/>
      <c r="J3968" s="465">
        <v>0</v>
      </c>
      <c r="K3968" s="465">
        <v>0</v>
      </c>
    </row>
    <row r="3969" spans="2:11" ht="19" customHeight="1">
      <c r="B3969" s="464">
        <v>46107</v>
      </c>
      <c r="C3969" s="436" t="s">
        <v>247</v>
      </c>
      <c r="D3969" s="436" t="s">
        <v>246</v>
      </c>
      <c r="E3969" s="436">
        <v>2</v>
      </c>
      <c r="F3969" s="465">
        <v>1.7</v>
      </c>
      <c r="G3969" s="466">
        <v>3.4</v>
      </c>
      <c r="H3969" s="466">
        <f>G3969/1.1</f>
        <v>3.0909090909090904</v>
      </c>
      <c r="I3969" s="436"/>
      <c r="J3969" s="465">
        <v>0</v>
      </c>
      <c r="K3969" s="465">
        <v>0</v>
      </c>
    </row>
    <row r="3970" spans="2:11" ht="19" customHeight="1">
      <c r="B3970" s="464">
        <v>46107</v>
      </c>
      <c r="C3970" s="436" t="s">
        <v>254</v>
      </c>
      <c r="D3970" s="436" t="s">
        <v>254</v>
      </c>
      <c r="E3970" s="436">
        <v>1</v>
      </c>
      <c r="F3970" s="465">
        <v>14.9</v>
      </c>
      <c r="G3970" s="466">
        <v>14.9</v>
      </c>
      <c r="H3970" s="466">
        <f>G3970/1.1</f>
        <v>13.545454545454545</v>
      </c>
      <c r="I3970" s="436"/>
      <c r="J3970" s="465">
        <v>0</v>
      </c>
      <c r="K3970" s="465">
        <v>0</v>
      </c>
    </row>
    <row r="3971" spans="2:11" ht="19" customHeight="1">
      <c r="B3971" s="464">
        <v>46107</v>
      </c>
      <c r="C3971" s="436" t="s">
        <v>873</v>
      </c>
      <c r="D3971" s="436" t="s">
        <v>1195</v>
      </c>
      <c r="E3971" s="436">
        <v>1</v>
      </c>
      <c r="F3971" s="469"/>
      <c r="G3971" s="468" t="s">
        <v>875</v>
      </c>
      <c r="H3971" s="466" t="e">
        <f>G3971/1.1</f>
        <v>#VALUE!</v>
      </c>
      <c r="I3971" s="436"/>
      <c r="J3971" s="465">
        <v>0</v>
      </c>
      <c r="K3971" s="465">
        <v>0</v>
      </c>
    </row>
    <row r="3972" spans="2:11" ht="19" customHeight="1">
      <c r="B3972" s="464">
        <v>46107</v>
      </c>
      <c r="C3972" s="436" t="s">
        <v>877</v>
      </c>
      <c r="D3972" s="436" t="s">
        <v>1199</v>
      </c>
      <c r="E3972" s="436">
        <v>1</v>
      </c>
      <c r="F3972" s="469"/>
      <c r="G3972" s="468" t="s">
        <v>875</v>
      </c>
      <c r="H3972" s="466" t="e">
        <f>G3972/1.1</f>
        <v>#VALUE!</v>
      </c>
      <c r="I3972" s="436"/>
      <c r="J3972" s="465">
        <v>0</v>
      </c>
      <c r="K3972" s="465">
        <v>0</v>
      </c>
    </row>
    <row r="3973" spans="2:11" ht="19" customHeight="1">
      <c r="B3973" s="464">
        <v>46107</v>
      </c>
      <c r="C3973" s="436" t="s">
        <v>266</v>
      </c>
      <c r="D3973" s="436" t="s">
        <v>250</v>
      </c>
      <c r="E3973" s="436">
        <v>1</v>
      </c>
      <c r="F3973" s="469"/>
      <c r="G3973" s="468" t="s">
        <v>875</v>
      </c>
      <c r="H3973" s="466" t="e">
        <f>G3973/1.1</f>
        <v>#VALUE!</v>
      </c>
      <c r="I3973" s="436"/>
      <c r="J3973" s="465">
        <v>0</v>
      </c>
      <c r="K3973" s="465">
        <v>0</v>
      </c>
    </row>
    <row r="3974" spans="2:11" ht="19" customHeight="1">
      <c r="B3974" s="464">
        <v>46107</v>
      </c>
      <c r="C3974" s="436" t="s">
        <v>258</v>
      </c>
      <c r="D3974" s="436" t="s">
        <v>1094</v>
      </c>
      <c r="E3974" s="436">
        <v>1</v>
      </c>
      <c r="F3974" s="469"/>
      <c r="G3974" s="468" t="s">
        <v>875</v>
      </c>
      <c r="H3974" s="466" t="e">
        <f>G3974/1.1</f>
        <v>#VALUE!</v>
      </c>
      <c r="I3974" s="436"/>
      <c r="J3974" s="465">
        <v>0</v>
      </c>
      <c r="K3974" s="465">
        <v>0</v>
      </c>
    </row>
    <row r="3975" spans="2:11" ht="19" customHeight="1">
      <c r="B3975" s="464">
        <v>46107</v>
      </c>
      <c r="C3975" s="436" t="s">
        <v>254</v>
      </c>
      <c r="D3975" s="436" t="s">
        <v>254</v>
      </c>
      <c r="E3975" s="436">
        <v>2</v>
      </c>
      <c r="F3975" s="465">
        <v>14.9</v>
      </c>
      <c r="G3975" s="466">
        <v>29.8</v>
      </c>
      <c r="H3975" s="466">
        <f>G3975/1.1</f>
        <v>27.09090909090909</v>
      </c>
      <c r="I3975" s="436"/>
      <c r="J3975" s="465">
        <v>0</v>
      </c>
      <c r="K3975" s="465">
        <v>0</v>
      </c>
    </row>
    <row r="3976" spans="2:11" ht="19" customHeight="1">
      <c r="B3976" s="464">
        <v>46107</v>
      </c>
      <c r="C3976" s="436" t="s">
        <v>873</v>
      </c>
      <c r="D3976" s="436" t="s">
        <v>1195</v>
      </c>
      <c r="E3976" s="436">
        <v>2</v>
      </c>
      <c r="F3976" s="469"/>
      <c r="G3976" s="468" t="s">
        <v>875</v>
      </c>
      <c r="H3976" s="466" t="e">
        <f>G3976/1.1</f>
        <v>#VALUE!</v>
      </c>
      <c r="I3976" s="436"/>
      <c r="J3976" s="465">
        <v>0</v>
      </c>
      <c r="K3976" s="465">
        <v>0</v>
      </c>
    </row>
    <row r="3977" spans="2:11" ht="19" customHeight="1">
      <c r="B3977" s="464">
        <v>46107</v>
      </c>
      <c r="C3977" s="436" t="s">
        <v>877</v>
      </c>
      <c r="D3977" s="436" t="s">
        <v>1192</v>
      </c>
      <c r="E3977" s="436">
        <v>1</v>
      </c>
      <c r="F3977" s="469"/>
      <c r="G3977" s="468" t="s">
        <v>875</v>
      </c>
      <c r="H3977" s="466" t="e">
        <f>G3977/1.1</f>
        <v>#VALUE!</v>
      </c>
      <c r="I3977" s="436"/>
      <c r="J3977" s="465">
        <v>0</v>
      </c>
      <c r="K3977" s="465">
        <v>0</v>
      </c>
    </row>
    <row r="3978" spans="2:11" ht="19" customHeight="1">
      <c r="B3978" s="464">
        <v>46107</v>
      </c>
      <c r="C3978" s="436" t="s">
        <v>877</v>
      </c>
      <c r="D3978" s="436" t="s">
        <v>1193</v>
      </c>
      <c r="E3978" s="436">
        <v>1</v>
      </c>
      <c r="F3978" s="469"/>
      <c r="G3978" s="468" t="s">
        <v>875</v>
      </c>
      <c r="H3978" s="466" t="e">
        <f>G3978/1.1</f>
        <v>#VALUE!</v>
      </c>
      <c r="I3978" s="436"/>
      <c r="J3978" s="465">
        <v>0</v>
      </c>
      <c r="K3978" s="465">
        <v>0</v>
      </c>
    </row>
    <row r="3979" spans="2:11" ht="19" customHeight="1">
      <c r="B3979" s="464">
        <v>46107</v>
      </c>
      <c r="C3979" s="436" t="s">
        <v>266</v>
      </c>
      <c r="D3979" s="436" t="s">
        <v>250</v>
      </c>
      <c r="E3979" s="436">
        <v>2</v>
      </c>
      <c r="F3979" s="469"/>
      <c r="G3979" s="468" t="s">
        <v>875</v>
      </c>
      <c r="H3979" s="466" t="e">
        <f>G3979/1.1</f>
        <v>#VALUE!</v>
      </c>
      <c r="I3979" s="436"/>
      <c r="J3979" s="465">
        <v>0</v>
      </c>
      <c r="K3979" s="465">
        <v>0</v>
      </c>
    </row>
    <row r="3980" spans="2:11" ht="19" customHeight="1">
      <c r="B3980" s="464">
        <v>46107</v>
      </c>
      <c r="C3980" s="436" t="s">
        <v>258</v>
      </c>
      <c r="D3980" s="436" t="s">
        <v>1194</v>
      </c>
      <c r="E3980" s="436">
        <v>2</v>
      </c>
      <c r="F3980" s="469"/>
      <c r="G3980" s="468" t="s">
        <v>875</v>
      </c>
      <c r="H3980" s="466" t="e">
        <f>G3980/1.1</f>
        <v>#VALUE!</v>
      </c>
      <c r="I3980" s="436"/>
      <c r="J3980" s="465">
        <v>0</v>
      </c>
      <c r="K3980" s="465">
        <v>0</v>
      </c>
    </row>
    <row r="3981" spans="2:11" ht="19" customHeight="1">
      <c r="B3981" s="464">
        <v>46107</v>
      </c>
      <c r="C3981" s="436" t="s">
        <v>254</v>
      </c>
      <c r="D3981" s="436" t="s">
        <v>254</v>
      </c>
      <c r="E3981" s="436">
        <v>3</v>
      </c>
      <c r="F3981" s="465">
        <v>14.9</v>
      </c>
      <c r="G3981" s="466">
        <v>44.7</v>
      </c>
      <c r="H3981" s="466">
        <f>G3981/1.1</f>
        <v>40.636363636363633</v>
      </c>
      <c r="I3981" s="436"/>
      <c r="J3981" s="465">
        <v>0</v>
      </c>
      <c r="K3981" s="465">
        <v>0</v>
      </c>
    </row>
    <row r="3982" spans="2:11" ht="19" customHeight="1">
      <c r="B3982" s="464">
        <v>46107</v>
      </c>
      <c r="C3982" s="436" t="s">
        <v>873</v>
      </c>
      <c r="D3982" s="436" t="s">
        <v>1181</v>
      </c>
      <c r="E3982" s="436">
        <v>1</v>
      </c>
      <c r="F3982" s="469"/>
      <c r="G3982" s="468" t="s">
        <v>875</v>
      </c>
      <c r="H3982" s="466" t="e">
        <f>G3982/1.1</f>
        <v>#VALUE!</v>
      </c>
      <c r="I3982" s="436"/>
      <c r="J3982" s="465">
        <v>0</v>
      </c>
      <c r="K3982" s="465">
        <v>0</v>
      </c>
    </row>
    <row r="3983" spans="2:11" ht="19" customHeight="1">
      <c r="B3983" s="464">
        <v>46107</v>
      </c>
      <c r="C3983" s="436" t="s">
        <v>873</v>
      </c>
      <c r="D3983" s="436" t="s">
        <v>1200</v>
      </c>
      <c r="E3983" s="436">
        <v>2</v>
      </c>
      <c r="F3983" s="465">
        <v>3</v>
      </c>
      <c r="G3983" s="466">
        <v>6</v>
      </c>
      <c r="H3983" s="466">
        <f>G3983/1.1</f>
        <v>5.4545454545454541</v>
      </c>
      <c r="I3983" s="436"/>
      <c r="J3983" s="465">
        <v>0</v>
      </c>
      <c r="K3983" s="465">
        <v>0</v>
      </c>
    </row>
    <row r="3984" spans="2:11" ht="19" customHeight="1">
      <c r="B3984" s="464">
        <v>46107</v>
      </c>
      <c r="C3984" s="436" t="s">
        <v>877</v>
      </c>
      <c r="D3984" s="436" t="s">
        <v>1199</v>
      </c>
      <c r="E3984" s="436">
        <v>1</v>
      </c>
      <c r="F3984" s="469"/>
      <c r="G3984" s="468" t="s">
        <v>875</v>
      </c>
      <c r="H3984" s="466" t="e">
        <f>G3984/1.1</f>
        <v>#VALUE!</v>
      </c>
      <c r="I3984" s="436"/>
      <c r="J3984" s="465">
        <v>0</v>
      </c>
      <c r="K3984" s="465">
        <v>0</v>
      </c>
    </row>
    <row r="3985" spans="2:11" ht="19" customHeight="1">
      <c r="B3985" s="464">
        <v>46107</v>
      </c>
      <c r="C3985" s="436" t="s">
        <v>877</v>
      </c>
      <c r="D3985" s="436" t="s">
        <v>1193</v>
      </c>
      <c r="E3985" s="436">
        <v>2</v>
      </c>
      <c r="F3985" s="469"/>
      <c r="G3985" s="468" t="s">
        <v>875</v>
      </c>
      <c r="H3985" s="466" t="e">
        <f>G3985/1.1</f>
        <v>#VALUE!</v>
      </c>
      <c r="I3985" s="436"/>
      <c r="J3985" s="465">
        <v>0</v>
      </c>
      <c r="K3985" s="465">
        <v>0</v>
      </c>
    </row>
    <row r="3986" spans="2:11" ht="19" customHeight="1">
      <c r="B3986" s="464">
        <v>46107</v>
      </c>
      <c r="C3986" s="436" t="s">
        <v>266</v>
      </c>
      <c r="D3986" s="436" t="s">
        <v>1201</v>
      </c>
      <c r="E3986" s="436">
        <v>2</v>
      </c>
      <c r="F3986" s="469"/>
      <c r="G3986" s="468" t="s">
        <v>875</v>
      </c>
      <c r="H3986" s="466" t="e">
        <f>G3986/1.1</f>
        <v>#VALUE!</v>
      </c>
      <c r="I3986" s="436"/>
      <c r="J3986" s="465">
        <v>0</v>
      </c>
      <c r="K3986" s="465">
        <v>0</v>
      </c>
    </row>
    <row r="3987" spans="2:11" ht="19" customHeight="1">
      <c r="B3987" s="464">
        <v>46107</v>
      </c>
      <c r="C3987" s="436" t="s">
        <v>266</v>
      </c>
      <c r="D3987" s="436" t="s">
        <v>265</v>
      </c>
      <c r="E3987" s="436">
        <v>1</v>
      </c>
      <c r="F3987" s="465">
        <v>1</v>
      </c>
      <c r="G3987" s="466">
        <v>1</v>
      </c>
      <c r="H3987" s="466">
        <f>G3987/1.1</f>
        <v>0.90909090909090906</v>
      </c>
      <c r="I3987" s="436"/>
      <c r="J3987" s="465">
        <v>0</v>
      </c>
      <c r="K3987" s="465">
        <v>0</v>
      </c>
    </row>
    <row r="3988" spans="2:11" ht="19" customHeight="1">
      <c r="B3988" s="464">
        <v>46107</v>
      </c>
      <c r="C3988" s="436" t="s">
        <v>258</v>
      </c>
      <c r="D3988" s="436" t="s">
        <v>1077</v>
      </c>
      <c r="E3988" s="436">
        <v>3</v>
      </c>
      <c r="F3988" s="465">
        <v>3</v>
      </c>
      <c r="G3988" s="466">
        <v>9</v>
      </c>
      <c r="H3988" s="466">
        <f>G3988/1.1</f>
        <v>8.1818181818181817</v>
      </c>
      <c r="I3988" s="436"/>
      <c r="J3988" s="465">
        <v>0</v>
      </c>
      <c r="K3988" s="465">
        <v>0</v>
      </c>
    </row>
    <row r="3989" spans="2:11" ht="19" customHeight="1">
      <c r="B3989" s="464">
        <v>46107</v>
      </c>
      <c r="C3989" s="436" t="s">
        <v>254</v>
      </c>
      <c r="D3989" s="436" t="s">
        <v>254</v>
      </c>
      <c r="E3989" s="436">
        <v>1</v>
      </c>
      <c r="F3989" s="465">
        <v>14.9</v>
      </c>
      <c r="G3989" s="466">
        <v>14.9</v>
      </c>
      <c r="H3989" s="466">
        <f>G3989/1.1</f>
        <v>13.545454545454545</v>
      </c>
      <c r="I3989" s="436"/>
      <c r="J3989" s="465">
        <v>0</v>
      </c>
      <c r="K3989" s="465">
        <v>0</v>
      </c>
    </row>
    <row r="3990" spans="2:11" ht="19" customHeight="1">
      <c r="B3990" s="464">
        <v>46107</v>
      </c>
      <c r="C3990" s="436" t="s">
        <v>873</v>
      </c>
      <c r="D3990" s="436" t="s">
        <v>1195</v>
      </c>
      <c r="E3990" s="436">
        <v>1</v>
      </c>
      <c r="F3990" s="469"/>
      <c r="G3990" s="468" t="s">
        <v>875</v>
      </c>
      <c r="H3990" s="466" t="e">
        <f>G3990/1.1</f>
        <v>#VALUE!</v>
      </c>
      <c r="I3990" s="436"/>
      <c r="J3990" s="465">
        <v>0</v>
      </c>
      <c r="K3990" s="465">
        <v>0</v>
      </c>
    </row>
    <row r="3991" spans="2:11" ht="19" customHeight="1">
      <c r="B3991" s="464">
        <v>46107</v>
      </c>
      <c r="C3991" s="436" t="s">
        <v>873</v>
      </c>
      <c r="D3991" s="436" t="s">
        <v>1181</v>
      </c>
      <c r="E3991" s="436">
        <v>1</v>
      </c>
      <c r="F3991" s="469"/>
      <c r="G3991" s="468" t="s">
        <v>875</v>
      </c>
      <c r="H3991" s="466" t="e">
        <f>G3991/1.1</f>
        <v>#VALUE!</v>
      </c>
      <c r="I3991" s="436"/>
      <c r="J3991" s="465">
        <v>0</v>
      </c>
      <c r="K3991" s="465">
        <v>0</v>
      </c>
    </row>
    <row r="3992" spans="2:11" ht="19" customHeight="1">
      <c r="B3992" s="464">
        <v>46107</v>
      </c>
      <c r="C3992" s="436" t="s">
        <v>877</v>
      </c>
      <c r="D3992" s="436" t="s">
        <v>1193</v>
      </c>
      <c r="E3992" s="436">
        <v>2</v>
      </c>
      <c r="F3992" s="469"/>
      <c r="G3992" s="468" t="s">
        <v>875</v>
      </c>
      <c r="H3992" s="466" t="e">
        <f>G3992/1.1</f>
        <v>#VALUE!</v>
      </c>
      <c r="I3992" s="436"/>
      <c r="J3992" s="465">
        <v>0</v>
      </c>
      <c r="K3992" s="465">
        <v>0</v>
      </c>
    </row>
    <row r="3993" spans="2:11" ht="19" customHeight="1">
      <c r="B3993" s="464">
        <v>46107</v>
      </c>
      <c r="C3993" s="436" t="s">
        <v>266</v>
      </c>
      <c r="D3993" s="436" t="s">
        <v>1016</v>
      </c>
      <c r="E3993" s="436">
        <v>1</v>
      </c>
      <c r="F3993" s="469"/>
      <c r="G3993" s="468" t="s">
        <v>875</v>
      </c>
      <c r="H3993" s="466" t="e">
        <f>G3993/1.1</f>
        <v>#VALUE!</v>
      </c>
      <c r="I3993" s="436"/>
      <c r="J3993" s="465">
        <v>0</v>
      </c>
      <c r="K3993" s="465">
        <v>0</v>
      </c>
    </row>
    <row r="3994" spans="2:11" ht="19" customHeight="1">
      <c r="B3994" s="464">
        <v>46107</v>
      </c>
      <c r="C3994" s="436" t="s">
        <v>266</v>
      </c>
      <c r="D3994" s="436" t="s">
        <v>1202</v>
      </c>
      <c r="E3994" s="436">
        <v>1</v>
      </c>
      <c r="F3994" s="469"/>
      <c r="G3994" s="468" t="s">
        <v>875</v>
      </c>
      <c r="H3994" s="466" t="e">
        <f>G3994/1.1</f>
        <v>#VALUE!</v>
      </c>
      <c r="I3994" s="436"/>
      <c r="J3994" s="465">
        <v>0</v>
      </c>
      <c r="K3994" s="465">
        <v>0</v>
      </c>
    </row>
    <row r="3995" spans="2:11" ht="19" customHeight="1">
      <c r="B3995" s="464">
        <v>46107</v>
      </c>
      <c r="C3995" s="436" t="s">
        <v>258</v>
      </c>
      <c r="D3995" s="436" t="s">
        <v>1094</v>
      </c>
      <c r="E3995" s="436">
        <v>1</v>
      </c>
      <c r="F3995" s="469"/>
      <c r="G3995" s="468" t="s">
        <v>875</v>
      </c>
      <c r="H3995" s="466" t="e">
        <f>G3995/1.1</f>
        <v>#VALUE!</v>
      </c>
      <c r="I3995" s="436"/>
      <c r="J3995" s="465">
        <v>0</v>
      </c>
      <c r="K3995" s="465">
        <v>0</v>
      </c>
    </row>
    <row r="3996" spans="2:11" ht="19" customHeight="1">
      <c r="B3996" s="464">
        <v>46107</v>
      </c>
      <c r="C3996" s="436" t="s">
        <v>258</v>
      </c>
      <c r="D3996" s="436" t="s">
        <v>1194</v>
      </c>
      <c r="E3996" s="436">
        <v>1</v>
      </c>
      <c r="F3996" s="469"/>
      <c r="G3996" s="468" t="s">
        <v>875</v>
      </c>
      <c r="H3996" s="466" t="e">
        <f>G3996/1.1</f>
        <v>#VALUE!</v>
      </c>
      <c r="I3996" s="436"/>
      <c r="J3996" s="465">
        <v>0</v>
      </c>
      <c r="K3996" s="465">
        <v>0</v>
      </c>
    </row>
    <row r="3997" spans="2:11" ht="19" customHeight="1">
      <c r="B3997" s="464">
        <v>46107</v>
      </c>
      <c r="C3997" s="436" t="s">
        <v>254</v>
      </c>
      <c r="D3997" s="436" t="s">
        <v>254</v>
      </c>
      <c r="E3997" s="436">
        <v>1</v>
      </c>
      <c r="F3997" s="465">
        <v>14.9</v>
      </c>
      <c r="G3997" s="466">
        <v>14.9</v>
      </c>
      <c r="H3997" s="466">
        <f>G3997/1.1</f>
        <v>13.545454545454545</v>
      </c>
      <c r="I3997" s="436"/>
      <c r="J3997" s="465">
        <v>0</v>
      </c>
      <c r="K3997" s="465">
        <v>0</v>
      </c>
    </row>
    <row r="3998" spans="2:11" ht="19" customHeight="1">
      <c r="B3998" s="464">
        <v>46107</v>
      </c>
      <c r="C3998" s="436" t="s">
        <v>873</v>
      </c>
      <c r="D3998" s="436" t="s">
        <v>1203</v>
      </c>
      <c r="E3998" s="436">
        <v>1</v>
      </c>
      <c r="F3998" s="469"/>
      <c r="G3998" s="468" t="s">
        <v>875</v>
      </c>
      <c r="H3998" s="466" t="e">
        <f>G3998/1.1</f>
        <v>#VALUE!</v>
      </c>
      <c r="I3998" s="436"/>
      <c r="J3998" s="465">
        <v>0</v>
      </c>
      <c r="K3998" s="465">
        <v>0</v>
      </c>
    </row>
    <row r="3999" spans="2:11" ht="19" customHeight="1">
      <c r="B3999" s="464">
        <v>46107</v>
      </c>
      <c r="C3999" s="436" t="s">
        <v>877</v>
      </c>
      <c r="D3999" s="436" t="s">
        <v>1192</v>
      </c>
      <c r="E3999" s="436">
        <v>1</v>
      </c>
      <c r="F3999" s="469"/>
      <c r="G3999" s="468" t="s">
        <v>875</v>
      </c>
      <c r="H3999" s="466" t="e">
        <f>G3999/1.1</f>
        <v>#VALUE!</v>
      </c>
      <c r="I3999" s="436"/>
      <c r="J3999" s="465">
        <v>0</v>
      </c>
      <c r="K3999" s="465">
        <v>0</v>
      </c>
    </row>
    <row r="4000" spans="2:11" ht="19" customHeight="1">
      <c r="B4000" s="464">
        <v>46107</v>
      </c>
      <c r="C4000" s="436" t="s">
        <v>266</v>
      </c>
      <c r="D4000" s="436" t="s">
        <v>991</v>
      </c>
      <c r="E4000" s="436">
        <v>1</v>
      </c>
      <c r="F4000" s="469"/>
      <c r="G4000" s="468" t="s">
        <v>875</v>
      </c>
      <c r="H4000" s="466" t="e">
        <f>G4000/1.1</f>
        <v>#VALUE!</v>
      </c>
      <c r="I4000" s="436"/>
      <c r="J4000" s="465">
        <v>0</v>
      </c>
      <c r="K4000" s="465">
        <v>0</v>
      </c>
    </row>
    <row r="4001" spans="2:11" ht="19" customHeight="1">
      <c r="B4001" s="464">
        <v>46107</v>
      </c>
      <c r="C4001" s="436" t="s">
        <v>258</v>
      </c>
      <c r="D4001" s="436" t="s">
        <v>1094</v>
      </c>
      <c r="E4001" s="436">
        <v>1</v>
      </c>
      <c r="F4001" s="469"/>
      <c r="G4001" s="468" t="s">
        <v>875</v>
      </c>
      <c r="H4001" s="466" t="e">
        <f>G4001/1.1</f>
        <v>#VALUE!</v>
      </c>
      <c r="I4001" s="436"/>
      <c r="J4001" s="465">
        <v>0</v>
      </c>
      <c r="K4001" s="465">
        <v>0</v>
      </c>
    </row>
    <row r="4002" spans="2:11" ht="19" customHeight="1">
      <c r="B4002" s="464">
        <v>46108</v>
      </c>
      <c r="C4002" s="436" t="s">
        <v>254</v>
      </c>
      <c r="D4002" s="436" t="s">
        <v>254</v>
      </c>
      <c r="E4002" s="436">
        <v>4</v>
      </c>
      <c r="F4002" s="465">
        <v>14.9</v>
      </c>
      <c r="G4002" s="466">
        <v>59.6</v>
      </c>
      <c r="H4002" s="466">
        <f>G4002/1.1</f>
        <v>54.18181818181818</v>
      </c>
      <c r="I4002" s="436"/>
      <c r="J4002" s="465">
        <v>0</v>
      </c>
      <c r="K4002" s="465">
        <v>0</v>
      </c>
    </row>
    <row r="4003" spans="2:11" ht="19" customHeight="1">
      <c r="B4003" s="464">
        <v>46108</v>
      </c>
      <c r="C4003" s="436" t="s">
        <v>873</v>
      </c>
      <c r="D4003" s="436" t="s">
        <v>1204</v>
      </c>
      <c r="E4003" s="436">
        <v>3</v>
      </c>
      <c r="F4003" s="465">
        <v>5</v>
      </c>
      <c r="G4003" s="466">
        <v>15</v>
      </c>
      <c r="H4003" s="466">
        <f>G4003/1.1</f>
        <v>13.636363636363635</v>
      </c>
      <c r="I4003" s="436"/>
      <c r="J4003" s="465">
        <v>0</v>
      </c>
      <c r="K4003" s="465">
        <v>0</v>
      </c>
    </row>
    <row r="4004" spans="2:11" ht="19" customHeight="1">
      <c r="B4004" s="464">
        <v>46108</v>
      </c>
      <c r="C4004" s="436" t="s">
        <v>873</v>
      </c>
      <c r="D4004" s="436" t="s">
        <v>1200</v>
      </c>
      <c r="E4004" s="436">
        <v>1</v>
      </c>
      <c r="F4004" s="465">
        <v>3</v>
      </c>
      <c r="G4004" s="466">
        <v>3</v>
      </c>
      <c r="H4004" s="466">
        <f>G4004/1.1</f>
        <v>2.7272727272727271</v>
      </c>
      <c r="I4004" s="436"/>
      <c r="J4004" s="465">
        <v>0</v>
      </c>
      <c r="K4004" s="465">
        <v>0</v>
      </c>
    </row>
    <row r="4005" spans="2:11" ht="19" customHeight="1">
      <c r="B4005" s="464">
        <v>46108</v>
      </c>
      <c r="C4005" s="436" t="s">
        <v>877</v>
      </c>
      <c r="D4005" s="436" t="s">
        <v>1195</v>
      </c>
      <c r="E4005" s="436">
        <v>1</v>
      </c>
      <c r="F4005" s="469"/>
      <c r="G4005" s="468" t="s">
        <v>875</v>
      </c>
      <c r="H4005" s="466" t="e">
        <f>G4005/1.1</f>
        <v>#VALUE!</v>
      </c>
      <c r="I4005" s="436"/>
      <c r="J4005" s="465">
        <v>0</v>
      </c>
      <c r="K4005" s="465">
        <v>0</v>
      </c>
    </row>
    <row r="4006" spans="2:11" ht="19" customHeight="1">
      <c r="B4006" s="464">
        <v>46108</v>
      </c>
      <c r="C4006" s="436" t="s">
        <v>877</v>
      </c>
      <c r="D4006" s="436" t="s">
        <v>1205</v>
      </c>
      <c r="E4006" s="436">
        <v>2</v>
      </c>
      <c r="F4006" s="465">
        <v>3</v>
      </c>
      <c r="G4006" s="466">
        <v>6</v>
      </c>
      <c r="H4006" s="466">
        <f>G4006/1.1</f>
        <v>5.4545454545454541</v>
      </c>
      <c r="I4006" s="436"/>
      <c r="J4006" s="465">
        <v>0</v>
      </c>
      <c r="K4006" s="465">
        <v>0</v>
      </c>
    </row>
    <row r="4007" spans="2:11" ht="19" customHeight="1">
      <c r="B4007" s="464">
        <v>46108</v>
      </c>
      <c r="C4007" s="436" t="s">
        <v>877</v>
      </c>
      <c r="D4007" s="436" t="s">
        <v>1206</v>
      </c>
      <c r="E4007" s="436">
        <v>1</v>
      </c>
      <c r="F4007" s="469"/>
      <c r="G4007" s="468" t="s">
        <v>875</v>
      </c>
      <c r="H4007" s="466" t="e">
        <f>G4007/1.1</f>
        <v>#VALUE!</v>
      </c>
      <c r="I4007" s="436"/>
      <c r="J4007" s="465">
        <v>0</v>
      </c>
      <c r="K4007" s="465">
        <v>0</v>
      </c>
    </row>
    <row r="4008" spans="2:11" ht="19" customHeight="1">
      <c r="B4008" s="464">
        <v>46108</v>
      </c>
      <c r="C4008" s="436" t="s">
        <v>266</v>
      </c>
      <c r="D4008" s="436" t="s">
        <v>1066</v>
      </c>
      <c r="E4008" s="436">
        <v>1</v>
      </c>
      <c r="F4008" s="469"/>
      <c r="G4008" s="468" t="s">
        <v>875</v>
      </c>
      <c r="H4008" s="466" t="e">
        <f>G4008/1.1</f>
        <v>#VALUE!</v>
      </c>
      <c r="I4008" s="436"/>
      <c r="J4008" s="465">
        <v>0</v>
      </c>
      <c r="K4008" s="465">
        <v>0</v>
      </c>
    </row>
    <row r="4009" spans="2:11" ht="19" customHeight="1">
      <c r="B4009" s="464">
        <v>46108</v>
      </c>
      <c r="C4009" s="436" t="s">
        <v>266</v>
      </c>
      <c r="D4009" s="436" t="s">
        <v>926</v>
      </c>
      <c r="E4009" s="436">
        <v>1</v>
      </c>
      <c r="F4009" s="465">
        <v>1</v>
      </c>
      <c r="G4009" s="466">
        <v>1</v>
      </c>
      <c r="H4009" s="466">
        <f>G4009/1.1</f>
        <v>0.90909090909090906</v>
      </c>
      <c r="I4009" s="436"/>
      <c r="J4009" s="465">
        <v>0</v>
      </c>
      <c r="K4009" s="465">
        <v>0</v>
      </c>
    </row>
    <row r="4010" spans="2:11" ht="19" customHeight="1">
      <c r="B4010" s="464">
        <v>46108</v>
      </c>
      <c r="C4010" s="436" t="s">
        <v>266</v>
      </c>
      <c r="D4010" s="436" t="s">
        <v>1207</v>
      </c>
      <c r="E4010" s="436">
        <v>1</v>
      </c>
      <c r="F4010" s="469"/>
      <c r="G4010" s="468" t="s">
        <v>875</v>
      </c>
      <c r="H4010" s="466" t="e">
        <f>G4010/1.1</f>
        <v>#VALUE!</v>
      </c>
      <c r="I4010" s="436"/>
      <c r="J4010" s="465">
        <v>0</v>
      </c>
      <c r="K4010" s="465">
        <v>0</v>
      </c>
    </row>
    <row r="4011" spans="2:11" ht="19" customHeight="1">
      <c r="B4011" s="464">
        <v>46108</v>
      </c>
      <c r="C4011" s="436" t="s">
        <v>266</v>
      </c>
      <c r="D4011" s="436" t="s">
        <v>676</v>
      </c>
      <c r="E4011" s="436">
        <v>1</v>
      </c>
      <c r="F4011" s="469"/>
      <c r="G4011" s="468" t="s">
        <v>875</v>
      </c>
      <c r="H4011" s="466" t="e">
        <f>G4011/1.1</f>
        <v>#VALUE!</v>
      </c>
      <c r="I4011" s="436"/>
      <c r="J4011" s="465">
        <v>0</v>
      </c>
      <c r="K4011" s="465">
        <v>0</v>
      </c>
    </row>
    <row r="4012" spans="2:11" ht="19" customHeight="1">
      <c r="B4012" s="464">
        <v>46108</v>
      </c>
      <c r="C4012" s="436" t="s">
        <v>254</v>
      </c>
      <c r="D4012" s="436" t="s">
        <v>254</v>
      </c>
      <c r="E4012" s="436">
        <v>4</v>
      </c>
      <c r="F4012" s="465">
        <v>14.9</v>
      </c>
      <c r="G4012" s="466">
        <v>59.6</v>
      </c>
      <c r="H4012" s="466">
        <f>G4012/1.1</f>
        <v>54.18181818181818</v>
      </c>
      <c r="I4012" s="436"/>
      <c r="J4012" s="465">
        <v>0</v>
      </c>
      <c r="K4012" s="465">
        <v>0</v>
      </c>
    </row>
    <row r="4013" spans="2:11" ht="19" customHeight="1">
      <c r="B4013" s="464">
        <v>46108</v>
      </c>
      <c r="C4013" s="436" t="s">
        <v>873</v>
      </c>
      <c r="D4013" s="436" t="s">
        <v>1195</v>
      </c>
      <c r="E4013" s="436">
        <v>3</v>
      </c>
      <c r="F4013" s="469"/>
      <c r="G4013" s="468" t="s">
        <v>875</v>
      </c>
      <c r="H4013" s="466" t="e">
        <f>G4013/1.1</f>
        <v>#VALUE!</v>
      </c>
      <c r="I4013" s="436"/>
      <c r="J4013" s="465">
        <v>0</v>
      </c>
      <c r="K4013" s="465">
        <v>0</v>
      </c>
    </row>
    <row r="4014" spans="2:11" ht="19" customHeight="1">
      <c r="B4014" s="464">
        <v>46108</v>
      </c>
      <c r="C4014" s="436" t="s">
        <v>873</v>
      </c>
      <c r="D4014" s="436" t="s">
        <v>1203</v>
      </c>
      <c r="E4014" s="436">
        <v>1</v>
      </c>
      <c r="F4014" s="469"/>
      <c r="G4014" s="468" t="s">
        <v>875</v>
      </c>
      <c r="H4014" s="466" t="e">
        <f>G4014/1.1</f>
        <v>#VALUE!</v>
      </c>
      <c r="I4014" s="436"/>
      <c r="J4014" s="465">
        <v>0</v>
      </c>
      <c r="K4014" s="465">
        <v>0</v>
      </c>
    </row>
    <row r="4015" spans="2:11" ht="19" customHeight="1">
      <c r="B4015" s="464">
        <v>46108</v>
      </c>
      <c r="C4015" s="436" t="s">
        <v>877</v>
      </c>
      <c r="D4015" s="436" t="s">
        <v>1181</v>
      </c>
      <c r="E4015" s="436">
        <v>1</v>
      </c>
      <c r="F4015" s="469"/>
      <c r="G4015" s="468" t="s">
        <v>875</v>
      </c>
      <c r="H4015" s="466" t="e">
        <f>G4015/1.1</f>
        <v>#VALUE!</v>
      </c>
      <c r="I4015" s="436"/>
      <c r="J4015" s="465">
        <v>0</v>
      </c>
      <c r="K4015" s="465">
        <v>0</v>
      </c>
    </row>
    <row r="4016" spans="2:11" ht="19" customHeight="1">
      <c r="B4016" s="464">
        <v>46108</v>
      </c>
      <c r="C4016" s="436" t="s">
        <v>877</v>
      </c>
      <c r="D4016" s="436" t="s">
        <v>1199</v>
      </c>
      <c r="E4016" s="436">
        <v>1</v>
      </c>
      <c r="F4016" s="469"/>
      <c r="G4016" s="468" t="s">
        <v>875</v>
      </c>
      <c r="H4016" s="466" t="e">
        <f>G4016/1.1</f>
        <v>#VALUE!</v>
      </c>
      <c r="I4016" s="436"/>
      <c r="J4016" s="465">
        <v>0</v>
      </c>
      <c r="K4016" s="465">
        <v>0</v>
      </c>
    </row>
    <row r="4017" spans="2:11" ht="19" customHeight="1">
      <c r="B4017" s="464">
        <v>46108</v>
      </c>
      <c r="C4017" s="436" t="s">
        <v>877</v>
      </c>
      <c r="D4017" s="436" t="s">
        <v>1192</v>
      </c>
      <c r="E4017" s="436">
        <v>2</v>
      </c>
      <c r="F4017" s="469"/>
      <c r="G4017" s="468" t="s">
        <v>875</v>
      </c>
      <c r="H4017" s="466" t="e">
        <f>G4017/1.1</f>
        <v>#VALUE!</v>
      </c>
      <c r="I4017" s="436"/>
      <c r="J4017" s="465">
        <v>0</v>
      </c>
      <c r="K4017" s="465">
        <v>0</v>
      </c>
    </row>
    <row r="4018" spans="2:11" ht="19" customHeight="1">
      <c r="B4018" s="464">
        <v>46108</v>
      </c>
      <c r="C4018" s="436" t="s">
        <v>266</v>
      </c>
      <c r="D4018" s="436" t="s">
        <v>922</v>
      </c>
      <c r="E4018" s="436">
        <v>1</v>
      </c>
      <c r="F4018" s="469"/>
      <c r="G4018" s="468" t="s">
        <v>875</v>
      </c>
      <c r="H4018" s="466" t="e">
        <f>G4018/1.1</f>
        <v>#VALUE!</v>
      </c>
      <c r="I4018" s="436"/>
      <c r="J4018" s="465">
        <v>0</v>
      </c>
      <c r="K4018" s="465">
        <v>0</v>
      </c>
    </row>
    <row r="4019" spans="2:11" ht="19" customHeight="1">
      <c r="B4019" s="464">
        <v>46108</v>
      </c>
      <c r="C4019" s="436" t="s">
        <v>266</v>
      </c>
      <c r="D4019" s="436" t="s">
        <v>250</v>
      </c>
      <c r="E4019" s="436">
        <v>3</v>
      </c>
      <c r="F4019" s="469"/>
      <c r="G4019" s="468" t="s">
        <v>875</v>
      </c>
      <c r="H4019" s="466" t="e">
        <f>G4019/1.1</f>
        <v>#VALUE!</v>
      </c>
      <c r="I4019" s="436"/>
      <c r="J4019" s="465">
        <v>0</v>
      </c>
      <c r="K4019" s="465">
        <v>0</v>
      </c>
    </row>
    <row r="4020" spans="2:11" ht="19" customHeight="1">
      <c r="B4020" s="464">
        <v>46108</v>
      </c>
      <c r="C4020" s="436" t="s">
        <v>258</v>
      </c>
      <c r="D4020" s="436" t="s">
        <v>1081</v>
      </c>
      <c r="E4020" s="436">
        <v>4</v>
      </c>
      <c r="F4020" s="469"/>
      <c r="G4020" s="468" t="s">
        <v>875</v>
      </c>
      <c r="H4020" s="466" t="e">
        <f>G4020/1.1</f>
        <v>#VALUE!</v>
      </c>
      <c r="I4020" s="436"/>
      <c r="J4020" s="465">
        <v>0</v>
      </c>
      <c r="K4020" s="465">
        <v>0</v>
      </c>
    </row>
    <row r="4021" spans="2:11" ht="19" customHeight="1">
      <c r="B4021" s="464">
        <v>46108</v>
      </c>
      <c r="C4021" s="436" t="s">
        <v>254</v>
      </c>
      <c r="D4021" s="436" t="s">
        <v>254</v>
      </c>
      <c r="E4021" s="436">
        <v>2</v>
      </c>
      <c r="F4021" s="465">
        <v>14.9</v>
      </c>
      <c r="G4021" s="466">
        <v>29.8</v>
      </c>
      <c r="H4021" s="466">
        <f>G4021/1.1</f>
        <v>27.09090909090909</v>
      </c>
      <c r="I4021" s="436"/>
      <c r="J4021" s="465">
        <v>0</v>
      </c>
      <c r="K4021" s="465">
        <v>0</v>
      </c>
    </row>
    <row r="4022" spans="2:11" ht="19" customHeight="1">
      <c r="B4022" s="464">
        <v>46108</v>
      </c>
      <c r="C4022" s="436" t="s">
        <v>873</v>
      </c>
      <c r="D4022" s="436" t="s">
        <v>1200</v>
      </c>
      <c r="E4022" s="436">
        <v>1</v>
      </c>
      <c r="F4022" s="465">
        <v>3</v>
      </c>
      <c r="G4022" s="466">
        <v>3</v>
      </c>
      <c r="H4022" s="466">
        <f>G4022/1.1</f>
        <v>2.7272727272727271</v>
      </c>
      <c r="I4022" s="436"/>
      <c r="J4022" s="465">
        <v>0</v>
      </c>
      <c r="K4022" s="465">
        <v>0</v>
      </c>
    </row>
    <row r="4023" spans="2:11" ht="19" customHeight="1">
      <c r="B4023" s="464">
        <v>46108</v>
      </c>
      <c r="C4023" s="436" t="s">
        <v>873</v>
      </c>
      <c r="D4023" s="436" t="s">
        <v>1203</v>
      </c>
      <c r="E4023" s="436">
        <v>1</v>
      </c>
      <c r="F4023" s="469"/>
      <c r="G4023" s="468" t="s">
        <v>875</v>
      </c>
      <c r="H4023" s="466" t="e">
        <f>G4023/1.1</f>
        <v>#VALUE!</v>
      </c>
      <c r="I4023" s="436"/>
      <c r="J4023" s="465">
        <v>0</v>
      </c>
      <c r="K4023" s="465">
        <v>0</v>
      </c>
    </row>
    <row r="4024" spans="2:11" ht="19" customHeight="1">
      <c r="B4024" s="464">
        <v>46108</v>
      </c>
      <c r="C4024" s="436" t="s">
        <v>877</v>
      </c>
      <c r="D4024" s="436" t="s">
        <v>1206</v>
      </c>
      <c r="E4024" s="436">
        <v>2</v>
      </c>
      <c r="F4024" s="469"/>
      <c r="G4024" s="468" t="s">
        <v>875</v>
      </c>
      <c r="H4024" s="466" t="e">
        <f>G4024/1.1</f>
        <v>#VALUE!</v>
      </c>
      <c r="I4024" s="436"/>
      <c r="J4024" s="465">
        <v>0</v>
      </c>
      <c r="K4024" s="465">
        <v>0</v>
      </c>
    </row>
    <row r="4025" spans="2:11" ht="19" customHeight="1">
      <c r="B4025" s="464">
        <v>46108</v>
      </c>
      <c r="C4025" s="436" t="s">
        <v>266</v>
      </c>
      <c r="D4025" s="436" t="s">
        <v>991</v>
      </c>
      <c r="E4025" s="436">
        <v>1</v>
      </c>
      <c r="F4025" s="469"/>
      <c r="G4025" s="468" t="s">
        <v>875</v>
      </c>
      <c r="H4025" s="466" t="e">
        <f>G4025/1.1</f>
        <v>#VALUE!</v>
      </c>
      <c r="I4025" s="436"/>
      <c r="J4025" s="465">
        <v>0</v>
      </c>
      <c r="K4025" s="465">
        <v>0</v>
      </c>
    </row>
    <row r="4026" spans="2:11" ht="19" customHeight="1">
      <c r="B4026" s="464">
        <v>46108</v>
      </c>
      <c r="C4026" s="436" t="s">
        <v>266</v>
      </c>
      <c r="D4026" s="436" t="s">
        <v>250</v>
      </c>
      <c r="E4026" s="436">
        <v>1</v>
      </c>
      <c r="F4026" s="469"/>
      <c r="G4026" s="468" t="s">
        <v>875</v>
      </c>
      <c r="H4026" s="466" t="e">
        <f>G4026/1.1</f>
        <v>#VALUE!</v>
      </c>
      <c r="I4026" s="436"/>
      <c r="J4026" s="465">
        <v>0</v>
      </c>
      <c r="K4026" s="465">
        <v>0</v>
      </c>
    </row>
    <row r="4027" spans="2:11" ht="19" customHeight="1">
      <c r="B4027" s="464">
        <v>46108</v>
      </c>
      <c r="C4027" s="436" t="s">
        <v>258</v>
      </c>
      <c r="D4027" s="436" t="s">
        <v>1208</v>
      </c>
      <c r="E4027" s="436">
        <v>2</v>
      </c>
      <c r="F4027" s="469"/>
      <c r="G4027" s="468" t="s">
        <v>875</v>
      </c>
      <c r="H4027" s="466" t="e">
        <f>G4027/1.1</f>
        <v>#VALUE!</v>
      </c>
      <c r="I4027" s="436"/>
      <c r="J4027" s="465">
        <v>0</v>
      </c>
      <c r="K4027" s="465">
        <v>0</v>
      </c>
    </row>
    <row r="4028" spans="2:11" ht="19" customHeight="1">
      <c r="B4028" s="464">
        <v>46108</v>
      </c>
      <c r="C4028" s="436" t="s">
        <v>254</v>
      </c>
      <c r="D4028" s="436" t="s">
        <v>254</v>
      </c>
      <c r="E4028" s="436">
        <v>1</v>
      </c>
      <c r="F4028" s="465">
        <v>14.9</v>
      </c>
      <c r="G4028" s="466">
        <v>14.9</v>
      </c>
      <c r="H4028" s="466">
        <f>G4028/1.1</f>
        <v>13.545454545454545</v>
      </c>
      <c r="I4028" s="436"/>
      <c r="J4028" s="465">
        <v>0</v>
      </c>
      <c r="K4028" s="465">
        <v>0</v>
      </c>
    </row>
    <row r="4029" spans="2:11" ht="19" customHeight="1">
      <c r="B4029" s="464">
        <v>46108</v>
      </c>
      <c r="C4029" s="436" t="s">
        <v>873</v>
      </c>
      <c r="D4029" s="436" t="s">
        <v>1195</v>
      </c>
      <c r="E4029" s="436">
        <v>1</v>
      </c>
      <c r="F4029" s="469"/>
      <c r="G4029" s="468" t="s">
        <v>875</v>
      </c>
      <c r="H4029" s="466" t="e">
        <f>G4029/1.1</f>
        <v>#VALUE!</v>
      </c>
      <c r="I4029" s="436"/>
      <c r="J4029" s="465">
        <v>0</v>
      </c>
      <c r="K4029" s="465">
        <v>0</v>
      </c>
    </row>
    <row r="4030" spans="2:11" ht="19" customHeight="1">
      <c r="B4030" s="464">
        <v>46108</v>
      </c>
      <c r="C4030" s="436" t="s">
        <v>877</v>
      </c>
      <c r="D4030" s="436" t="s">
        <v>1206</v>
      </c>
      <c r="E4030" s="436">
        <v>1</v>
      </c>
      <c r="F4030" s="469"/>
      <c r="G4030" s="468" t="s">
        <v>875</v>
      </c>
      <c r="H4030" s="466" t="e">
        <f>G4030/1.1</f>
        <v>#VALUE!</v>
      </c>
      <c r="I4030" s="436"/>
      <c r="J4030" s="465">
        <v>0</v>
      </c>
      <c r="K4030" s="465">
        <v>0</v>
      </c>
    </row>
    <row r="4031" spans="2:11" ht="19" customHeight="1">
      <c r="B4031" s="464">
        <v>46108</v>
      </c>
      <c r="C4031" s="436" t="s">
        <v>266</v>
      </c>
      <c r="D4031" s="436" t="s">
        <v>922</v>
      </c>
      <c r="E4031" s="436">
        <v>1</v>
      </c>
      <c r="F4031" s="469"/>
      <c r="G4031" s="468" t="s">
        <v>875</v>
      </c>
      <c r="H4031" s="466" t="e">
        <f>G4031/1.1</f>
        <v>#VALUE!</v>
      </c>
      <c r="I4031" s="436"/>
      <c r="J4031" s="465">
        <v>0</v>
      </c>
      <c r="K4031" s="465">
        <v>0</v>
      </c>
    </row>
    <row r="4032" spans="2:11" ht="19" customHeight="1">
      <c r="B4032" s="464">
        <v>46108</v>
      </c>
      <c r="C4032" s="436" t="s">
        <v>258</v>
      </c>
      <c r="D4032" s="436" t="s">
        <v>1209</v>
      </c>
      <c r="E4032" s="436">
        <v>1</v>
      </c>
      <c r="F4032" s="469"/>
      <c r="G4032" s="468" t="s">
        <v>875</v>
      </c>
      <c r="H4032" s="466" t="e">
        <f>G4032/1.1</f>
        <v>#VALUE!</v>
      </c>
      <c r="I4032" s="436"/>
      <c r="J4032" s="465">
        <v>0</v>
      </c>
      <c r="K4032" s="465">
        <v>0</v>
      </c>
    </row>
    <row r="4033" spans="2:11" ht="19" customHeight="1">
      <c r="B4033" s="464">
        <v>46108</v>
      </c>
      <c r="C4033" s="436" t="s">
        <v>254</v>
      </c>
      <c r="D4033" s="436" t="s">
        <v>254</v>
      </c>
      <c r="E4033" s="436">
        <v>1</v>
      </c>
      <c r="F4033" s="465">
        <v>14.9</v>
      </c>
      <c r="G4033" s="466">
        <v>14.9</v>
      </c>
      <c r="H4033" s="466">
        <f>G4033/1.1</f>
        <v>13.545454545454545</v>
      </c>
      <c r="I4033" s="436"/>
      <c r="J4033" s="465">
        <v>0</v>
      </c>
      <c r="K4033" s="465">
        <v>0</v>
      </c>
    </row>
    <row r="4034" spans="2:11" ht="19" customHeight="1">
      <c r="B4034" s="464">
        <v>46108</v>
      </c>
      <c r="C4034" s="436" t="s">
        <v>873</v>
      </c>
      <c r="D4034" s="436" t="s">
        <v>1203</v>
      </c>
      <c r="E4034" s="436">
        <v>1</v>
      </c>
      <c r="F4034" s="469"/>
      <c r="G4034" s="468" t="s">
        <v>875</v>
      </c>
      <c r="H4034" s="466" t="e">
        <f>G4034/1.1</f>
        <v>#VALUE!</v>
      </c>
      <c r="I4034" s="436"/>
      <c r="J4034" s="465">
        <v>0</v>
      </c>
      <c r="K4034" s="465">
        <v>0</v>
      </c>
    </row>
    <row r="4035" spans="2:11" ht="19" customHeight="1">
      <c r="B4035" s="464">
        <v>46108</v>
      </c>
      <c r="C4035" s="436" t="s">
        <v>877</v>
      </c>
      <c r="D4035" s="436" t="s">
        <v>1206</v>
      </c>
      <c r="E4035" s="436">
        <v>1</v>
      </c>
      <c r="F4035" s="469"/>
      <c r="G4035" s="468" t="s">
        <v>875</v>
      </c>
      <c r="H4035" s="466" t="e">
        <f>G4035/1.1</f>
        <v>#VALUE!</v>
      </c>
      <c r="I4035" s="436"/>
      <c r="J4035" s="465">
        <v>0</v>
      </c>
      <c r="K4035" s="465">
        <v>0</v>
      </c>
    </row>
    <row r="4036" spans="2:11" ht="19" customHeight="1">
      <c r="B4036" s="464">
        <v>46108</v>
      </c>
      <c r="C4036" s="436" t="s">
        <v>266</v>
      </c>
      <c r="D4036" s="436" t="s">
        <v>265</v>
      </c>
      <c r="E4036" s="436">
        <v>1</v>
      </c>
      <c r="F4036" s="465">
        <v>1</v>
      </c>
      <c r="G4036" s="466">
        <v>1</v>
      </c>
      <c r="H4036" s="466">
        <f>G4036/1.1</f>
        <v>0.90909090909090906</v>
      </c>
      <c r="I4036" s="436"/>
      <c r="J4036" s="465">
        <v>0</v>
      </c>
      <c r="K4036" s="465">
        <v>0</v>
      </c>
    </row>
    <row r="4037" spans="2:11" ht="19" customHeight="1">
      <c r="B4037" s="464">
        <v>46108</v>
      </c>
      <c r="C4037" s="436" t="s">
        <v>276</v>
      </c>
      <c r="D4037" s="436" t="s">
        <v>1210</v>
      </c>
      <c r="E4037" s="436">
        <v>1</v>
      </c>
      <c r="F4037" s="465">
        <v>17.149999999999999</v>
      </c>
      <c r="G4037" s="466">
        <v>17.149999999999999</v>
      </c>
      <c r="H4037" s="466">
        <f>G4037/1.1</f>
        <v>15.590909090909088</v>
      </c>
      <c r="I4037" s="436"/>
      <c r="J4037" s="465">
        <v>0</v>
      </c>
      <c r="K4037" s="465">
        <v>0</v>
      </c>
    </row>
    <row r="4038" spans="2:11" ht="19" customHeight="1">
      <c r="B4038" s="464">
        <v>46108</v>
      </c>
      <c r="C4038" s="436" t="s">
        <v>277</v>
      </c>
      <c r="D4038" s="436" t="s">
        <v>1188</v>
      </c>
      <c r="E4038" s="436">
        <v>1</v>
      </c>
      <c r="F4038" s="465">
        <v>11.15</v>
      </c>
      <c r="G4038" s="466">
        <v>11.15</v>
      </c>
      <c r="H4038" s="466">
        <f>G4038/1.1</f>
        <v>10.136363636363637</v>
      </c>
      <c r="I4038" s="436"/>
      <c r="J4038" s="465">
        <v>0</v>
      </c>
      <c r="K4038" s="465">
        <v>0</v>
      </c>
    </row>
    <row r="4039" spans="2:11" ht="19" customHeight="1">
      <c r="B4039" s="464">
        <v>46108</v>
      </c>
      <c r="C4039" s="436" t="s">
        <v>256</v>
      </c>
      <c r="D4039" s="436" t="s">
        <v>912</v>
      </c>
      <c r="E4039" s="436">
        <v>1</v>
      </c>
      <c r="F4039" s="465">
        <v>5.75</v>
      </c>
      <c r="G4039" s="466">
        <v>5.75</v>
      </c>
      <c r="H4039" s="466">
        <f>G4039/1.1</f>
        <v>5.2272727272727266</v>
      </c>
      <c r="I4039" s="436"/>
      <c r="J4039" s="465">
        <v>0</v>
      </c>
      <c r="K4039" s="465">
        <v>0</v>
      </c>
    </row>
    <row r="4040" spans="2:11" ht="19" customHeight="1">
      <c r="B4040" s="464">
        <v>46108</v>
      </c>
      <c r="C4040" s="436" t="s">
        <v>256</v>
      </c>
      <c r="D4040" s="436" t="s">
        <v>678</v>
      </c>
      <c r="E4040" s="436">
        <v>1</v>
      </c>
      <c r="F4040" s="465">
        <v>7.15</v>
      </c>
      <c r="G4040" s="466">
        <v>7.15</v>
      </c>
      <c r="H4040" s="466">
        <f>G4040/1.1</f>
        <v>6.5</v>
      </c>
      <c r="I4040" s="436"/>
      <c r="J4040" s="465">
        <v>0</v>
      </c>
      <c r="K4040" s="465">
        <v>0</v>
      </c>
    </row>
    <row r="4041" spans="2:11" ht="19" customHeight="1">
      <c r="B4041" s="464">
        <v>46108</v>
      </c>
      <c r="C4041" s="436" t="s">
        <v>251</v>
      </c>
      <c r="D4041" s="436" t="s">
        <v>957</v>
      </c>
      <c r="E4041" s="436">
        <v>1</v>
      </c>
      <c r="F4041" s="465">
        <v>2.65</v>
      </c>
      <c r="G4041" s="466">
        <v>2.65</v>
      </c>
      <c r="H4041" s="466">
        <f>G4041/1.1</f>
        <v>2.4090909090909087</v>
      </c>
      <c r="I4041" s="436"/>
      <c r="J4041" s="465">
        <v>0</v>
      </c>
      <c r="K4041" s="465">
        <v>0</v>
      </c>
    </row>
    <row r="4042" spans="2:11" ht="19" customHeight="1">
      <c r="B4042" s="464">
        <v>46108</v>
      </c>
      <c r="C4042" s="436" t="s">
        <v>251</v>
      </c>
      <c r="D4042" s="436" t="s">
        <v>945</v>
      </c>
      <c r="E4042" s="436">
        <v>1</v>
      </c>
      <c r="F4042" s="465">
        <v>2.65</v>
      </c>
      <c r="G4042" s="466">
        <v>2.65</v>
      </c>
      <c r="H4042" s="466">
        <f>G4042/1.1</f>
        <v>2.4090909090909087</v>
      </c>
      <c r="I4042" s="436"/>
      <c r="J4042" s="465">
        <v>0</v>
      </c>
      <c r="K4042" s="465">
        <v>0</v>
      </c>
    </row>
    <row r="4043" spans="2:11" ht="19" customHeight="1">
      <c r="B4043" s="464">
        <v>46108</v>
      </c>
      <c r="C4043" s="436" t="s">
        <v>253</v>
      </c>
      <c r="D4043" s="436" t="s">
        <v>965</v>
      </c>
      <c r="E4043" s="436">
        <v>3</v>
      </c>
      <c r="F4043" s="465">
        <v>2.5</v>
      </c>
      <c r="G4043" s="466">
        <v>7.5</v>
      </c>
      <c r="H4043" s="466">
        <f>G4043/1.1</f>
        <v>6.8181818181818175</v>
      </c>
      <c r="I4043" s="436"/>
      <c r="J4043" s="465">
        <v>0</v>
      </c>
      <c r="K4043" s="465">
        <v>0</v>
      </c>
    </row>
    <row r="4044" spans="2:11" ht="19" customHeight="1">
      <c r="B4044" s="464">
        <v>46108</v>
      </c>
      <c r="C4044" s="436" t="s">
        <v>764</v>
      </c>
      <c r="D4044" s="436" t="s">
        <v>1211</v>
      </c>
      <c r="E4044" s="436">
        <v>1</v>
      </c>
      <c r="F4044" s="465">
        <v>14.5</v>
      </c>
      <c r="G4044" s="466">
        <v>14.5</v>
      </c>
      <c r="H4044" s="466">
        <f>G4044/1.1</f>
        <v>13.18181818181818</v>
      </c>
      <c r="I4044" s="436"/>
      <c r="J4044" s="465">
        <v>0</v>
      </c>
      <c r="K4044" s="465">
        <v>0</v>
      </c>
    </row>
    <row r="4045" spans="2:11" ht="19" customHeight="1">
      <c r="B4045" s="464">
        <v>46108</v>
      </c>
      <c r="C4045" s="436" t="s">
        <v>264</v>
      </c>
      <c r="D4045" s="436" t="s">
        <v>703</v>
      </c>
      <c r="E4045" s="436">
        <v>2</v>
      </c>
      <c r="F4045" s="465">
        <v>2</v>
      </c>
      <c r="G4045" s="466">
        <v>4</v>
      </c>
      <c r="H4045" s="466">
        <f>G4045/1.1</f>
        <v>3.6363636363636362</v>
      </c>
      <c r="I4045" s="436"/>
      <c r="J4045" s="465">
        <v>0</v>
      </c>
      <c r="K4045" s="465">
        <v>0</v>
      </c>
    </row>
    <row r="4046" spans="2:11" ht="19" customHeight="1">
      <c r="B4046" s="464">
        <v>46108</v>
      </c>
      <c r="C4046" s="436" t="s">
        <v>256</v>
      </c>
      <c r="D4046" s="436" t="s">
        <v>1114</v>
      </c>
      <c r="E4046" s="436">
        <v>1</v>
      </c>
      <c r="F4046" s="465">
        <v>-0.2</v>
      </c>
      <c r="G4046" s="466">
        <v>-0.2</v>
      </c>
      <c r="H4046" s="466">
        <f>G4046/1.1</f>
        <v>-0.18181818181818182</v>
      </c>
      <c r="I4046" s="436"/>
      <c r="J4046" s="465">
        <v>0</v>
      </c>
      <c r="K4046" s="465">
        <v>0</v>
      </c>
    </row>
    <row r="4047" spans="2:11" ht="19" customHeight="1">
      <c r="B4047" s="464">
        <v>46108</v>
      </c>
      <c r="C4047" s="436" t="s">
        <v>256</v>
      </c>
      <c r="D4047" s="436" t="s">
        <v>931</v>
      </c>
      <c r="E4047" s="436">
        <v>2</v>
      </c>
      <c r="F4047" s="465">
        <v>1.7</v>
      </c>
      <c r="G4047" s="466">
        <v>3.4</v>
      </c>
      <c r="H4047" s="466">
        <f>G4047/1.1</f>
        <v>3.0909090909090904</v>
      </c>
      <c r="I4047" s="436"/>
      <c r="J4047" s="465">
        <v>0</v>
      </c>
      <c r="K4047" s="465">
        <v>0</v>
      </c>
    </row>
    <row r="4048" spans="2:11" ht="19" customHeight="1">
      <c r="B4048" s="464">
        <v>46108</v>
      </c>
      <c r="C4048" s="436" t="s">
        <v>256</v>
      </c>
      <c r="D4048" s="436" t="s">
        <v>870</v>
      </c>
      <c r="E4048" s="436">
        <v>2</v>
      </c>
      <c r="F4048" s="465">
        <v>1.7</v>
      </c>
      <c r="G4048" s="466">
        <v>3.4</v>
      </c>
      <c r="H4048" s="466">
        <f>G4048/1.1</f>
        <v>3.0909090909090904</v>
      </c>
      <c r="I4048" s="436"/>
      <c r="J4048" s="465">
        <v>0</v>
      </c>
      <c r="K4048" s="465">
        <v>0</v>
      </c>
    </row>
    <row r="4049" spans="2:11" ht="19" customHeight="1">
      <c r="B4049" s="464">
        <v>46108</v>
      </c>
      <c r="C4049" s="436" t="s">
        <v>256</v>
      </c>
      <c r="D4049" s="436" t="s">
        <v>932</v>
      </c>
      <c r="E4049" s="436">
        <v>2</v>
      </c>
      <c r="F4049" s="465">
        <v>1.7</v>
      </c>
      <c r="G4049" s="466">
        <v>3.4</v>
      </c>
      <c r="H4049" s="466">
        <f>G4049/1.1</f>
        <v>3.0909090909090904</v>
      </c>
      <c r="I4049" s="436"/>
      <c r="J4049" s="465">
        <v>0</v>
      </c>
      <c r="K4049" s="465">
        <v>0</v>
      </c>
    </row>
    <row r="4050" spans="2:11" ht="19" customHeight="1">
      <c r="B4050" s="464">
        <v>46108</v>
      </c>
      <c r="C4050" s="436" t="s">
        <v>256</v>
      </c>
      <c r="D4050" s="436" t="s">
        <v>871</v>
      </c>
      <c r="E4050" s="436">
        <v>2</v>
      </c>
      <c r="F4050" s="465">
        <v>1.8</v>
      </c>
      <c r="G4050" s="466">
        <v>3.6</v>
      </c>
      <c r="H4050" s="466">
        <f>G4050/1.1</f>
        <v>3.2727272727272725</v>
      </c>
      <c r="I4050" s="436"/>
      <c r="J4050" s="465">
        <v>0</v>
      </c>
      <c r="K4050" s="465">
        <v>0</v>
      </c>
    </row>
    <row r="4051" spans="2:11" ht="19" customHeight="1">
      <c r="B4051" s="464">
        <v>46108</v>
      </c>
      <c r="C4051" s="436" t="s">
        <v>256</v>
      </c>
      <c r="D4051" s="436" t="s">
        <v>678</v>
      </c>
      <c r="E4051" s="436">
        <v>1</v>
      </c>
      <c r="F4051" s="465">
        <v>6.9</v>
      </c>
      <c r="G4051" s="466">
        <v>6.9</v>
      </c>
      <c r="H4051" s="466">
        <f>G4051/1.1</f>
        <v>6.2727272727272725</v>
      </c>
      <c r="I4051" s="436"/>
      <c r="J4051" s="465">
        <v>0</v>
      </c>
      <c r="K4051" s="465">
        <v>0</v>
      </c>
    </row>
    <row r="4052" spans="2:11" ht="19" customHeight="1">
      <c r="B4052" s="464">
        <v>46108</v>
      </c>
      <c r="C4052" s="436" t="s">
        <v>256</v>
      </c>
      <c r="D4052" s="436" t="s">
        <v>255</v>
      </c>
      <c r="E4052" s="436">
        <v>1</v>
      </c>
      <c r="F4052" s="465">
        <v>5.6</v>
      </c>
      <c r="G4052" s="466">
        <v>5.6</v>
      </c>
      <c r="H4052" s="466">
        <f>G4052/1.1</f>
        <v>5.0909090909090899</v>
      </c>
      <c r="I4052" s="436"/>
      <c r="J4052" s="465">
        <v>0</v>
      </c>
      <c r="K4052" s="465">
        <v>0</v>
      </c>
    </row>
    <row r="4053" spans="2:11" ht="19" customHeight="1">
      <c r="B4053" s="464">
        <v>46108</v>
      </c>
      <c r="C4053" s="436" t="s">
        <v>256</v>
      </c>
      <c r="D4053" s="436" t="s">
        <v>931</v>
      </c>
      <c r="E4053" s="436">
        <v>1</v>
      </c>
      <c r="F4053" s="465">
        <v>8.5</v>
      </c>
      <c r="G4053" s="466">
        <v>8.5</v>
      </c>
      <c r="H4053" s="466">
        <f>G4053/1.1</f>
        <v>7.7272727272727266</v>
      </c>
      <c r="I4053" s="436"/>
      <c r="J4053" s="465">
        <v>0</v>
      </c>
      <c r="K4053" s="465">
        <v>0</v>
      </c>
    </row>
    <row r="4054" spans="2:11" ht="19" customHeight="1">
      <c r="B4054" s="464">
        <v>46108</v>
      </c>
      <c r="C4054" s="436" t="s">
        <v>256</v>
      </c>
      <c r="D4054" s="436" t="s">
        <v>679</v>
      </c>
      <c r="E4054" s="436">
        <v>1</v>
      </c>
      <c r="F4054" s="465">
        <v>10</v>
      </c>
      <c r="G4054" s="466">
        <v>10</v>
      </c>
      <c r="H4054" s="466">
        <f>G4054/1.1</f>
        <v>9.0909090909090899</v>
      </c>
      <c r="I4054" s="436"/>
      <c r="J4054" s="465">
        <v>0</v>
      </c>
      <c r="K4054" s="465">
        <v>0</v>
      </c>
    </row>
    <row r="4055" spans="2:11" ht="19" customHeight="1">
      <c r="B4055" s="464">
        <v>46108</v>
      </c>
      <c r="C4055" s="436" t="s">
        <v>247</v>
      </c>
      <c r="D4055" s="436" t="s">
        <v>257</v>
      </c>
      <c r="E4055" s="436">
        <v>1</v>
      </c>
      <c r="F4055" s="465">
        <v>1.55</v>
      </c>
      <c r="G4055" s="466">
        <v>1.55</v>
      </c>
      <c r="H4055" s="466">
        <f>G4055/1.1</f>
        <v>1.4090909090909089</v>
      </c>
      <c r="I4055" s="436"/>
      <c r="J4055" s="465">
        <v>0</v>
      </c>
      <c r="K4055" s="465">
        <v>0</v>
      </c>
    </row>
    <row r="4056" spans="2:11" ht="19" customHeight="1">
      <c r="B4056" s="464">
        <v>46108</v>
      </c>
      <c r="C4056" s="436" t="s">
        <v>247</v>
      </c>
      <c r="D4056" s="436" t="s">
        <v>248</v>
      </c>
      <c r="E4056" s="436">
        <v>1</v>
      </c>
      <c r="F4056" s="465">
        <v>1.65</v>
      </c>
      <c r="G4056" s="466">
        <v>1.65</v>
      </c>
      <c r="H4056" s="466">
        <f>G4056/1.1</f>
        <v>1.4999999999999998</v>
      </c>
      <c r="I4056" s="436"/>
      <c r="J4056" s="465">
        <v>0</v>
      </c>
      <c r="K4056" s="465">
        <v>0</v>
      </c>
    </row>
    <row r="4057" spans="2:11" ht="19" customHeight="1">
      <c r="B4057" s="464">
        <v>46108</v>
      </c>
      <c r="C4057" s="436" t="s">
        <v>253</v>
      </c>
      <c r="D4057" s="436" t="s">
        <v>869</v>
      </c>
      <c r="E4057" s="436">
        <v>1</v>
      </c>
      <c r="F4057" s="465">
        <v>2.65</v>
      </c>
      <c r="G4057" s="466">
        <v>2.65</v>
      </c>
      <c r="H4057" s="466">
        <f>G4057/1.1</f>
        <v>2.4090909090909087</v>
      </c>
      <c r="I4057" s="436"/>
      <c r="J4057" s="465">
        <v>0</v>
      </c>
      <c r="K4057" s="465">
        <v>0</v>
      </c>
    </row>
    <row r="4058" spans="2:11" ht="19" customHeight="1">
      <c r="B4058" s="464">
        <v>46108</v>
      </c>
      <c r="C4058" s="436" t="s">
        <v>764</v>
      </c>
      <c r="D4058" s="436" t="s">
        <v>1138</v>
      </c>
      <c r="E4058" s="436">
        <v>1</v>
      </c>
      <c r="F4058" s="465">
        <v>10.25</v>
      </c>
      <c r="G4058" s="466">
        <v>10.25</v>
      </c>
      <c r="H4058" s="466">
        <f>G4058/1.1</f>
        <v>9.3181818181818166</v>
      </c>
      <c r="I4058" s="436"/>
      <c r="J4058" s="465">
        <v>0</v>
      </c>
      <c r="K4058" s="465">
        <v>0</v>
      </c>
    </row>
    <row r="4059" spans="2:11" ht="19" customHeight="1">
      <c r="B4059" s="464">
        <v>46108</v>
      </c>
      <c r="C4059" s="436" t="s">
        <v>256</v>
      </c>
      <c r="D4059" s="436" t="s">
        <v>675</v>
      </c>
      <c r="E4059" s="436">
        <v>1</v>
      </c>
      <c r="F4059" s="465">
        <v>5.75</v>
      </c>
      <c r="G4059" s="466">
        <v>5.75</v>
      </c>
      <c r="H4059" s="466">
        <f>G4059/1.1</f>
        <v>5.2272727272727266</v>
      </c>
      <c r="I4059" s="436"/>
      <c r="J4059" s="465">
        <v>0</v>
      </c>
      <c r="K4059" s="465">
        <v>0</v>
      </c>
    </row>
    <row r="4060" spans="2:11" ht="19" customHeight="1">
      <c r="B4060" s="464">
        <v>46108</v>
      </c>
      <c r="C4060" s="436" t="s">
        <v>247</v>
      </c>
      <c r="D4060" s="436" t="s">
        <v>902</v>
      </c>
      <c r="E4060" s="436">
        <v>1</v>
      </c>
      <c r="F4060" s="465">
        <v>1.95</v>
      </c>
      <c r="G4060" s="466">
        <v>1.95</v>
      </c>
      <c r="H4060" s="466">
        <f>G4060/1.1</f>
        <v>1.7727272727272725</v>
      </c>
      <c r="I4060" s="436"/>
      <c r="J4060" s="465">
        <v>0</v>
      </c>
      <c r="K4060" s="465">
        <v>0</v>
      </c>
    </row>
    <row r="4061" spans="2:11" ht="19" customHeight="1">
      <c r="B4061" s="464">
        <v>46108</v>
      </c>
      <c r="C4061" s="436" t="s">
        <v>247</v>
      </c>
      <c r="D4061" s="436" t="s">
        <v>248</v>
      </c>
      <c r="E4061" s="436">
        <v>2</v>
      </c>
      <c r="F4061" s="465">
        <v>1.65</v>
      </c>
      <c r="G4061" s="466">
        <v>3.3</v>
      </c>
      <c r="H4061" s="466">
        <f>G4061/1.1</f>
        <v>2.9999999999999996</v>
      </c>
      <c r="I4061" s="436"/>
      <c r="J4061" s="465">
        <v>0</v>
      </c>
      <c r="K4061" s="465">
        <v>0</v>
      </c>
    </row>
    <row r="4062" spans="2:11" ht="19" customHeight="1">
      <c r="B4062" s="464">
        <v>46108</v>
      </c>
      <c r="C4062" s="436" t="s">
        <v>251</v>
      </c>
      <c r="D4062" s="436" t="s">
        <v>265</v>
      </c>
      <c r="E4062" s="436">
        <v>1</v>
      </c>
      <c r="F4062" s="465">
        <v>2.8</v>
      </c>
      <c r="G4062" s="466">
        <v>2.8</v>
      </c>
      <c r="H4062" s="466">
        <f>G4062/1.1</f>
        <v>2.545454545454545</v>
      </c>
      <c r="I4062" s="436"/>
      <c r="J4062" s="465">
        <v>0</v>
      </c>
      <c r="K4062" s="465">
        <v>0</v>
      </c>
    </row>
    <row r="4063" spans="2:11" ht="19" customHeight="1">
      <c r="B4063" s="464">
        <v>46108</v>
      </c>
      <c r="C4063" s="436" t="s">
        <v>253</v>
      </c>
      <c r="D4063" s="436" t="s">
        <v>676</v>
      </c>
      <c r="E4063" s="436">
        <v>2</v>
      </c>
      <c r="F4063" s="465">
        <v>3.1</v>
      </c>
      <c r="G4063" s="466">
        <v>6.2</v>
      </c>
      <c r="H4063" s="466">
        <f>G4063/1.1</f>
        <v>5.6363636363636358</v>
      </c>
      <c r="I4063" s="436"/>
      <c r="J4063" s="465">
        <v>0</v>
      </c>
      <c r="K4063" s="465">
        <v>0</v>
      </c>
    </row>
    <row r="4064" spans="2:11" ht="19" customHeight="1">
      <c r="B4064" s="464">
        <v>46108</v>
      </c>
      <c r="C4064" s="436" t="s">
        <v>256</v>
      </c>
      <c r="D4064" s="436" t="s">
        <v>255</v>
      </c>
      <c r="E4064" s="436">
        <v>1</v>
      </c>
      <c r="F4064" s="465">
        <v>5.85</v>
      </c>
      <c r="G4064" s="466">
        <v>5.85</v>
      </c>
      <c r="H4064" s="466">
        <f>G4064/1.1</f>
        <v>5.3181818181818175</v>
      </c>
      <c r="I4064" s="436"/>
      <c r="J4064" s="465">
        <v>0</v>
      </c>
      <c r="K4064" s="465">
        <v>0</v>
      </c>
    </row>
    <row r="4065" spans="2:11" ht="19" customHeight="1">
      <c r="B4065" s="464">
        <v>46108</v>
      </c>
      <c r="C4065" s="436" t="s">
        <v>321</v>
      </c>
      <c r="D4065" s="436" t="s">
        <v>910</v>
      </c>
      <c r="E4065" s="436">
        <v>1</v>
      </c>
      <c r="F4065" s="465">
        <v>4.25</v>
      </c>
      <c r="G4065" s="466">
        <v>4.25</v>
      </c>
      <c r="H4065" s="466">
        <f>G4065/1.1</f>
        <v>3.8636363636363633</v>
      </c>
      <c r="I4065" s="436"/>
      <c r="J4065" s="465">
        <v>0</v>
      </c>
      <c r="K4065" s="465">
        <v>0</v>
      </c>
    </row>
    <row r="4066" spans="2:11" ht="19" customHeight="1">
      <c r="B4066" s="464">
        <v>46108</v>
      </c>
      <c r="C4066" s="436" t="s">
        <v>247</v>
      </c>
      <c r="D4066" s="436" t="s">
        <v>246</v>
      </c>
      <c r="E4066" s="436">
        <v>1</v>
      </c>
      <c r="F4066" s="465">
        <v>1.7</v>
      </c>
      <c r="G4066" s="466">
        <v>1.7</v>
      </c>
      <c r="H4066" s="466">
        <f>G4066/1.1</f>
        <v>1.5454545454545452</v>
      </c>
      <c r="I4066" s="436"/>
      <c r="J4066" s="465">
        <v>0</v>
      </c>
      <c r="K4066" s="465">
        <v>0</v>
      </c>
    </row>
    <row r="4067" spans="2:11" ht="19" customHeight="1">
      <c r="B4067" s="464">
        <v>46108</v>
      </c>
      <c r="C4067" s="436" t="s">
        <v>247</v>
      </c>
      <c r="D4067" s="436" t="s">
        <v>248</v>
      </c>
      <c r="E4067" s="436">
        <v>1</v>
      </c>
      <c r="F4067" s="465">
        <v>1.5</v>
      </c>
      <c r="G4067" s="466">
        <v>1.5</v>
      </c>
      <c r="H4067" s="466">
        <f>G4067/1.1</f>
        <v>1.3636363636363635</v>
      </c>
      <c r="I4067" s="436"/>
      <c r="J4067" s="465">
        <v>0</v>
      </c>
      <c r="K4067" s="465">
        <v>0</v>
      </c>
    </row>
    <row r="4068" spans="2:11" ht="19" customHeight="1">
      <c r="B4068" s="464">
        <v>46108</v>
      </c>
      <c r="C4068" s="436" t="s">
        <v>251</v>
      </c>
      <c r="D4068" s="436" t="s">
        <v>900</v>
      </c>
      <c r="E4068" s="436">
        <v>1</v>
      </c>
      <c r="F4068" s="465">
        <v>2.65</v>
      </c>
      <c r="G4068" s="466">
        <v>2.65</v>
      </c>
      <c r="H4068" s="466">
        <f>G4068/1.1</f>
        <v>2.4090909090909087</v>
      </c>
      <c r="I4068" s="436"/>
      <c r="J4068" s="465">
        <v>0</v>
      </c>
      <c r="K4068" s="465">
        <v>0</v>
      </c>
    </row>
    <row r="4069" spans="2:11" ht="19" customHeight="1">
      <c r="B4069" s="464">
        <v>46108</v>
      </c>
      <c r="C4069" s="436" t="s">
        <v>268</v>
      </c>
      <c r="D4069" s="436" t="s">
        <v>859</v>
      </c>
      <c r="E4069" s="436">
        <v>2</v>
      </c>
      <c r="F4069" s="465">
        <v>0.75</v>
      </c>
      <c r="G4069" s="466">
        <v>1.5</v>
      </c>
      <c r="H4069" s="466">
        <f>G4069/1.1</f>
        <v>1.3636363636363635</v>
      </c>
      <c r="I4069" s="436"/>
      <c r="J4069" s="465">
        <v>0</v>
      </c>
      <c r="K4069" s="465">
        <v>0</v>
      </c>
    </row>
    <row r="4070" spans="2:11" ht="19" customHeight="1">
      <c r="B4070" s="464">
        <v>46108</v>
      </c>
      <c r="C4070" s="436" t="s">
        <v>247</v>
      </c>
      <c r="D4070" s="436" t="s">
        <v>246</v>
      </c>
      <c r="E4070" s="436">
        <v>1</v>
      </c>
      <c r="F4070" s="465">
        <v>1.7</v>
      </c>
      <c r="G4070" s="466">
        <v>1.7</v>
      </c>
      <c r="H4070" s="466">
        <f>G4070/1.1</f>
        <v>1.5454545454545452</v>
      </c>
      <c r="I4070" s="436"/>
      <c r="J4070" s="465">
        <v>0</v>
      </c>
      <c r="K4070" s="465">
        <v>0</v>
      </c>
    </row>
    <row r="4071" spans="2:11" ht="19" customHeight="1">
      <c r="B4071" s="464">
        <v>46108</v>
      </c>
      <c r="C4071" s="436" t="s">
        <v>247</v>
      </c>
      <c r="D4071" s="436" t="s">
        <v>248</v>
      </c>
      <c r="E4071" s="436">
        <v>2</v>
      </c>
      <c r="F4071" s="465">
        <v>1.5</v>
      </c>
      <c r="G4071" s="466">
        <v>3</v>
      </c>
      <c r="H4071" s="466">
        <f>G4071/1.1</f>
        <v>2.7272727272727271</v>
      </c>
      <c r="I4071" s="436"/>
      <c r="J4071" s="465">
        <v>0</v>
      </c>
      <c r="K4071" s="465">
        <v>0</v>
      </c>
    </row>
    <row r="4072" spans="2:11" ht="19" customHeight="1">
      <c r="B4072" s="464">
        <v>46108</v>
      </c>
      <c r="C4072" s="436" t="s">
        <v>247</v>
      </c>
      <c r="D4072" s="436" t="s">
        <v>248</v>
      </c>
      <c r="E4072" s="436">
        <v>2</v>
      </c>
      <c r="F4072" s="465">
        <v>1.5</v>
      </c>
      <c r="G4072" s="466">
        <v>3</v>
      </c>
      <c r="H4072" s="466">
        <f>G4072/1.1</f>
        <v>2.7272727272727271</v>
      </c>
      <c r="I4072" s="436"/>
      <c r="J4072" s="465">
        <v>0</v>
      </c>
      <c r="K4072" s="465">
        <v>0</v>
      </c>
    </row>
    <row r="4073" spans="2:11" ht="19" customHeight="1">
      <c r="B4073" s="464">
        <v>46108</v>
      </c>
      <c r="C4073" s="436" t="s">
        <v>247</v>
      </c>
      <c r="D4073" s="436" t="s">
        <v>248</v>
      </c>
      <c r="E4073" s="436">
        <v>1</v>
      </c>
      <c r="F4073" s="465">
        <v>1.5</v>
      </c>
      <c r="G4073" s="466">
        <v>1.5</v>
      </c>
      <c r="H4073" s="466">
        <f>G4073/1.1</f>
        <v>1.3636363636363635</v>
      </c>
      <c r="I4073" s="436"/>
      <c r="J4073" s="465">
        <v>0</v>
      </c>
      <c r="K4073" s="465">
        <v>0</v>
      </c>
    </row>
    <row r="4074" spans="2:11" ht="19" customHeight="1">
      <c r="B4074" s="464">
        <v>46108</v>
      </c>
      <c r="C4074" s="436" t="s">
        <v>251</v>
      </c>
      <c r="D4074" s="436" t="s">
        <v>854</v>
      </c>
      <c r="E4074" s="436">
        <v>1</v>
      </c>
      <c r="F4074" s="465">
        <v>1.55</v>
      </c>
      <c r="G4074" s="466">
        <v>1.55</v>
      </c>
      <c r="H4074" s="466">
        <f>G4074/1.1</f>
        <v>1.4090909090909089</v>
      </c>
      <c r="I4074" s="436"/>
      <c r="J4074" s="465">
        <v>0</v>
      </c>
      <c r="K4074" s="465">
        <v>0</v>
      </c>
    </row>
    <row r="4075" spans="2:11" ht="19" customHeight="1">
      <c r="B4075" s="464">
        <v>46108</v>
      </c>
      <c r="C4075" s="436" t="s">
        <v>251</v>
      </c>
      <c r="D4075" s="436" t="s">
        <v>265</v>
      </c>
      <c r="E4075" s="436">
        <v>1</v>
      </c>
      <c r="F4075" s="465">
        <v>2.65</v>
      </c>
      <c r="G4075" s="466">
        <v>2.65</v>
      </c>
      <c r="H4075" s="466">
        <f>G4075/1.1</f>
        <v>2.4090909090909087</v>
      </c>
      <c r="I4075" s="436"/>
      <c r="J4075" s="465">
        <v>0</v>
      </c>
      <c r="K4075" s="465">
        <v>0</v>
      </c>
    </row>
    <row r="4076" spans="2:11" ht="19" customHeight="1">
      <c r="B4076" s="464">
        <v>46108</v>
      </c>
      <c r="C4076" s="436" t="s">
        <v>328</v>
      </c>
      <c r="D4076" s="436" t="s">
        <v>1098</v>
      </c>
      <c r="E4076" s="436">
        <v>2</v>
      </c>
      <c r="F4076" s="465">
        <v>5.65</v>
      </c>
      <c r="G4076" s="466">
        <v>11.3</v>
      </c>
      <c r="H4076" s="466">
        <f>G4076/1.1</f>
        <v>10.272727272727273</v>
      </c>
      <c r="I4076" s="436"/>
      <c r="J4076" s="465">
        <v>0</v>
      </c>
      <c r="K4076" s="465">
        <v>0</v>
      </c>
    </row>
    <row r="4077" spans="2:11" ht="19" customHeight="1">
      <c r="B4077" s="464">
        <v>46108</v>
      </c>
      <c r="C4077" s="436" t="s">
        <v>247</v>
      </c>
      <c r="D4077" s="436" t="s">
        <v>246</v>
      </c>
      <c r="E4077" s="436">
        <v>1</v>
      </c>
      <c r="F4077" s="465">
        <v>1.7</v>
      </c>
      <c r="G4077" s="466">
        <v>1.7</v>
      </c>
      <c r="H4077" s="466">
        <f>G4077/1.1</f>
        <v>1.5454545454545452</v>
      </c>
      <c r="I4077" s="436"/>
      <c r="J4077" s="465">
        <v>0</v>
      </c>
      <c r="K4077" s="465">
        <v>0</v>
      </c>
    </row>
    <row r="4078" spans="2:11" ht="19" customHeight="1">
      <c r="B4078" s="464">
        <v>46108</v>
      </c>
      <c r="C4078" s="436" t="s">
        <v>247</v>
      </c>
      <c r="D4078" s="436" t="s">
        <v>248</v>
      </c>
      <c r="E4078" s="436">
        <v>1</v>
      </c>
      <c r="F4078" s="465">
        <v>1.5</v>
      </c>
      <c r="G4078" s="466">
        <v>1.5</v>
      </c>
      <c r="H4078" s="466">
        <f>G4078/1.1</f>
        <v>1.3636363636363635</v>
      </c>
      <c r="I4078" s="436"/>
      <c r="J4078" s="465">
        <v>0</v>
      </c>
      <c r="K4078" s="465">
        <v>0</v>
      </c>
    </row>
    <row r="4079" spans="2:11" ht="19" customHeight="1">
      <c r="B4079" s="464">
        <v>46108</v>
      </c>
      <c r="C4079" s="436" t="s">
        <v>862</v>
      </c>
      <c r="D4079" s="436" t="s">
        <v>907</v>
      </c>
      <c r="E4079" s="436">
        <v>2</v>
      </c>
      <c r="F4079" s="465">
        <v>0.15</v>
      </c>
      <c r="G4079" s="466">
        <v>0.3</v>
      </c>
      <c r="H4079" s="466">
        <f>G4079/1.1</f>
        <v>0.27272727272727271</v>
      </c>
      <c r="I4079" s="436"/>
      <c r="J4079" s="465">
        <v>0</v>
      </c>
      <c r="K4079" s="465">
        <v>0</v>
      </c>
    </row>
    <row r="4080" spans="2:11" ht="19" customHeight="1">
      <c r="B4080" s="464">
        <v>46108</v>
      </c>
      <c r="C4080" s="436" t="s">
        <v>247</v>
      </c>
      <c r="D4080" s="436" t="s">
        <v>248</v>
      </c>
      <c r="E4080" s="436">
        <v>1</v>
      </c>
      <c r="F4080" s="465">
        <v>1.5</v>
      </c>
      <c r="G4080" s="466">
        <v>1.5</v>
      </c>
      <c r="H4080" s="466">
        <f>G4080/1.1</f>
        <v>1.3636363636363635</v>
      </c>
      <c r="I4080" s="436"/>
      <c r="J4080" s="465">
        <v>0</v>
      </c>
      <c r="K4080" s="465">
        <v>0</v>
      </c>
    </row>
    <row r="4081" spans="2:11" ht="19" customHeight="1">
      <c r="B4081" s="464">
        <v>46108</v>
      </c>
      <c r="C4081" s="436" t="s">
        <v>247</v>
      </c>
      <c r="D4081" s="436" t="s">
        <v>257</v>
      </c>
      <c r="E4081" s="436">
        <v>1</v>
      </c>
      <c r="F4081" s="465">
        <v>1.4</v>
      </c>
      <c r="G4081" s="466">
        <v>1.4</v>
      </c>
      <c r="H4081" s="466">
        <f>G4081/1.1</f>
        <v>1.2727272727272725</v>
      </c>
      <c r="I4081" s="436"/>
      <c r="J4081" s="465">
        <v>0</v>
      </c>
      <c r="K4081" s="465">
        <v>0</v>
      </c>
    </row>
    <row r="4082" spans="2:11" ht="19" customHeight="1">
      <c r="B4082" s="464">
        <v>46108</v>
      </c>
      <c r="C4082" s="436" t="s">
        <v>894</v>
      </c>
      <c r="D4082" s="436" t="s">
        <v>950</v>
      </c>
      <c r="E4082" s="436">
        <v>2</v>
      </c>
      <c r="F4082" s="465">
        <v>5.7</v>
      </c>
      <c r="G4082" s="466">
        <v>11.4</v>
      </c>
      <c r="H4082" s="466">
        <f>G4082/1.1</f>
        <v>10.363636363636363</v>
      </c>
      <c r="I4082" s="436"/>
      <c r="J4082" s="465">
        <v>0</v>
      </c>
      <c r="K4082" s="465">
        <v>0</v>
      </c>
    </row>
    <row r="4083" spans="2:11" ht="19" customHeight="1">
      <c r="B4083" s="464">
        <v>46108</v>
      </c>
      <c r="C4083" s="436" t="s">
        <v>247</v>
      </c>
      <c r="D4083" s="436" t="s">
        <v>248</v>
      </c>
      <c r="E4083" s="436">
        <v>1</v>
      </c>
      <c r="F4083" s="465">
        <v>1.5</v>
      </c>
      <c r="G4083" s="466">
        <v>1.5</v>
      </c>
      <c r="H4083" s="466">
        <f>G4083/1.1</f>
        <v>1.3636363636363635</v>
      </c>
      <c r="I4083" s="436"/>
      <c r="J4083" s="465">
        <v>0</v>
      </c>
      <c r="K4083" s="465">
        <v>0</v>
      </c>
    </row>
    <row r="4084" spans="2:11" ht="19" customHeight="1">
      <c r="B4084" s="464">
        <v>46108</v>
      </c>
      <c r="C4084" s="436" t="s">
        <v>247</v>
      </c>
      <c r="D4084" s="436" t="s">
        <v>248</v>
      </c>
      <c r="E4084" s="436">
        <v>1</v>
      </c>
      <c r="F4084" s="465">
        <v>1.5</v>
      </c>
      <c r="G4084" s="466">
        <v>1.5</v>
      </c>
      <c r="H4084" s="466">
        <f>G4084/1.1</f>
        <v>1.3636363636363635</v>
      </c>
      <c r="I4084" s="436"/>
      <c r="J4084" s="465">
        <v>0</v>
      </c>
      <c r="K4084" s="465">
        <v>0</v>
      </c>
    </row>
    <row r="4085" spans="2:11" ht="19" customHeight="1">
      <c r="B4085" s="464">
        <v>46108</v>
      </c>
      <c r="C4085" s="436" t="s">
        <v>247</v>
      </c>
      <c r="D4085" s="436" t="s">
        <v>246</v>
      </c>
      <c r="E4085" s="436">
        <v>1</v>
      </c>
      <c r="F4085" s="465">
        <v>1.7</v>
      </c>
      <c r="G4085" s="466">
        <v>1.7</v>
      </c>
      <c r="H4085" s="466">
        <f>G4085/1.1</f>
        <v>1.5454545454545452</v>
      </c>
      <c r="I4085" s="436"/>
      <c r="J4085" s="465">
        <v>0</v>
      </c>
      <c r="K4085" s="465">
        <v>0</v>
      </c>
    </row>
    <row r="4086" spans="2:11" ht="19" customHeight="1">
      <c r="B4086" s="464">
        <v>46108</v>
      </c>
      <c r="C4086" s="436" t="s">
        <v>251</v>
      </c>
      <c r="D4086" s="436" t="s">
        <v>854</v>
      </c>
      <c r="E4086" s="436">
        <v>1</v>
      </c>
      <c r="F4086" s="465">
        <v>1.55</v>
      </c>
      <c r="G4086" s="466">
        <v>1.55</v>
      </c>
      <c r="H4086" s="466">
        <f>G4086/1.1</f>
        <v>1.4090909090909089</v>
      </c>
      <c r="I4086" s="436"/>
      <c r="J4086" s="465">
        <v>0</v>
      </c>
      <c r="K4086" s="465">
        <v>0</v>
      </c>
    </row>
    <row r="4087" spans="2:11" ht="19" customHeight="1">
      <c r="B4087" s="464">
        <v>46108</v>
      </c>
      <c r="C4087" s="436" t="s">
        <v>247</v>
      </c>
      <c r="D4087" s="436" t="s">
        <v>919</v>
      </c>
      <c r="E4087" s="436">
        <v>1</v>
      </c>
      <c r="F4087" s="465">
        <v>1.7</v>
      </c>
      <c r="G4087" s="466">
        <v>1.7</v>
      </c>
      <c r="H4087" s="466">
        <f>G4087/1.1</f>
        <v>1.5454545454545452</v>
      </c>
      <c r="I4087" s="436"/>
      <c r="J4087" s="465">
        <v>0</v>
      </c>
      <c r="K4087" s="465">
        <v>0</v>
      </c>
    </row>
    <row r="4088" spans="2:11" ht="19" customHeight="1">
      <c r="B4088" s="464">
        <v>46108</v>
      </c>
      <c r="C4088" s="436" t="s">
        <v>247</v>
      </c>
      <c r="D4088" s="436" t="s">
        <v>246</v>
      </c>
      <c r="E4088" s="436">
        <v>1</v>
      </c>
      <c r="F4088" s="465">
        <v>1.7</v>
      </c>
      <c r="G4088" s="466">
        <v>1.7</v>
      </c>
      <c r="H4088" s="466">
        <f>G4088/1.1</f>
        <v>1.5454545454545452</v>
      </c>
      <c r="I4088" s="436"/>
      <c r="J4088" s="465">
        <v>0</v>
      </c>
      <c r="K4088" s="465">
        <v>0</v>
      </c>
    </row>
    <row r="4089" spans="2:11" ht="19" customHeight="1">
      <c r="B4089" s="464">
        <v>46108</v>
      </c>
      <c r="C4089" s="436" t="s">
        <v>247</v>
      </c>
      <c r="D4089" s="436" t="s">
        <v>248</v>
      </c>
      <c r="E4089" s="436">
        <v>1</v>
      </c>
      <c r="F4089" s="465">
        <v>1.5</v>
      </c>
      <c r="G4089" s="466">
        <v>1.5</v>
      </c>
      <c r="H4089" s="466">
        <f>G4089/1.1</f>
        <v>1.3636363636363635</v>
      </c>
      <c r="I4089" s="436"/>
      <c r="J4089" s="465">
        <v>0</v>
      </c>
      <c r="K4089" s="465">
        <v>0</v>
      </c>
    </row>
    <row r="4090" spans="2:11" ht="19" customHeight="1">
      <c r="B4090" s="464">
        <v>46108</v>
      </c>
      <c r="C4090" s="436" t="s">
        <v>725</v>
      </c>
      <c r="D4090" s="436" t="s">
        <v>1212</v>
      </c>
      <c r="E4090" s="436">
        <v>1</v>
      </c>
      <c r="F4090" s="465">
        <v>2.1</v>
      </c>
      <c r="G4090" s="466">
        <v>2.1</v>
      </c>
      <c r="H4090" s="466">
        <f>G4090/1.1</f>
        <v>1.9090909090909089</v>
      </c>
      <c r="I4090" s="436"/>
      <c r="J4090" s="465">
        <v>0</v>
      </c>
      <c r="K4090" s="465">
        <v>0</v>
      </c>
    </row>
    <row r="4091" spans="2:11" ht="19" customHeight="1">
      <c r="B4091" s="464">
        <v>46108</v>
      </c>
      <c r="C4091" s="436" t="s">
        <v>247</v>
      </c>
      <c r="D4091" s="436" t="s">
        <v>1213</v>
      </c>
      <c r="E4091" s="436">
        <v>1</v>
      </c>
      <c r="F4091" s="465">
        <v>1.4</v>
      </c>
      <c r="G4091" s="466">
        <v>1.4</v>
      </c>
      <c r="H4091" s="466">
        <f>G4091/1.1</f>
        <v>1.2727272727272725</v>
      </c>
      <c r="I4091" s="436"/>
      <c r="J4091" s="465">
        <v>0</v>
      </c>
      <c r="K4091" s="465">
        <v>0</v>
      </c>
    </row>
    <row r="4092" spans="2:11" ht="19" customHeight="1">
      <c r="B4092" s="464">
        <v>46108</v>
      </c>
      <c r="C4092" s="436" t="s">
        <v>247</v>
      </c>
      <c r="D4092" s="436" t="s">
        <v>246</v>
      </c>
      <c r="E4092" s="436">
        <v>1</v>
      </c>
      <c r="F4092" s="465">
        <v>1.7</v>
      </c>
      <c r="G4092" s="466">
        <v>1.7</v>
      </c>
      <c r="H4092" s="466">
        <f>G4092/1.1</f>
        <v>1.5454545454545452</v>
      </c>
      <c r="I4092" s="436"/>
      <c r="J4092" s="465">
        <v>0</v>
      </c>
      <c r="K4092" s="465">
        <v>0</v>
      </c>
    </row>
    <row r="4093" spans="2:11" ht="19" customHeight="1">
      <c r="B4093" s="464">
        <v>46108</v>
      </c>
      <c r="C4093" s="436" t="s">
        <v>862</v>
      </c>
      <c r="D4093" s="436" t="s">
        <v>863</v>
      </c>
      <c r="E4093" s="436">
        <v>1</v>
      </c>
      <c r="F4093" s="465">
        <v>0.15</v>
      </c>
      <c r="G4093" s="466">
        <v>0.15</v>
      </c>
      <c r="H4093" s="466">
        <f>G4093/1.1</f>
        <v>0.13636363636363635</v>
      </c>
      <c r="I4093" s="436"/>
      <c r="J4093" s="465">
        <v>0</v>
      </c>
      <c r="K4093" s="465">
        <v>0</v>
      </c>
    </row>
    <row r="4094" spans="2:11" ht="19" customHeight="1">
      <c r="B4094" s="464">
        <v>46108</v>
      </c>
      <c r="C4094" s="436" t="s">
        <v>894</v>
      </c>
      <c r="D4094" s="436" t="s">
        <v>895</v>
      </c>
      <c r="E4094" s="436">
        <v>1</v>
      </c>
      <c r="F4094" s="465">
        <v>7.1</v>
      </c>
      <c r="G4094" s="466">
        <v>7.1</v>
      </c>
      <c r="H4094" s="466">
        <f>G4094/1.1</f>
        <v>6.4545454545454541</v>
      </c>
      <c r="I4094" s="436"/>
      <c r="J4094" s="465">
        <v>0</v>
      </c>
      <c r="K4094" s="465">
        <v>0</v>
      </c>
    </row>
    <row r="4095" spans="2:11" ht="19" customHeight="1">
      <c r="B4095" s="464">
        <v>46108</v>
      </c>
      <c r="C4095" s="436" t="s">
        <v>894</v>
      </c>
      <c r="D4095" s="436" t="s">
        <v>1001</v>
      </c>
      <c r="E4095" s="436">
        <v>1</v>
      </c>
      <c r="F4095" s="465">
        <v>5.7</v>
      </c>
      <c r="G4095" s="466">
        <v>5.7</v>
      </c>
      <c r="H4095" s="466">
        <f>G4095/1.1</f>
        <v>5.1818181818181817</v>
      </c>
      <c r="I4095" s="436"/>
      <c r="J4095" s="465">
        <v>0</v>
      </c>
      <c r="K4095" s="465">
        <v>0</v>
      </c>
    </row>
    <row r="4096" spans="2:11" ht="19" customHeight="1">
      <c r="B4096" s="464">
        <v>46108</v>
      </c>
      <c r="C4096" s="436" t="s">
        <v>268</v>
      </c>
      <c r="D4096" s="436" t="s">
        <v>860</v>
      </c>
      <c r="E4096" s="436">
        <v>1</v>
      </c>
      <c r="F4096" s="465">
        <v>2.25</v>
      </c>
      <c r="G4096" s="466">
        <v>2.25</v>
      </c>
      <c r="H4096" s="466">
        <f>G4096/1.1</f>
        <v>2.0454545454545454</v>
      </c>
      <c r="I4096" s="436"/>
      <c r="J4096" s="465">
        <v>0</v>
      </c>
      <c r="K4096" s="465">
        <v>0</v>
      </c>
    </row>
    <row r="4097" spans="2:11" ht="19" customHeight="1">
      <c r="B4097" s="464">
        <v>46108</v>
      </c>
      <c r="C4097" s="436" t="s">
        <v>247</v>
      </c>
      <c r="D4097" s="436" t="s">
        <v>246</v>
      </c>
      <c r="E4097" s="436">
        <v>1</v>
      </c>
      <c r="F4097" s="465">
        <v>1.7</v>
      </c>
      <c r="G4097" s="466">
        <v>1.7</v>
      </c>
      <c r="H4097" s="466">
        <f>G4097/1.1</f>
        <v>1.5454545454545452</v>
      </c>
      <c r="I4097" s="436"/>
      <c r="J4097" s="465">
        <v>0</v>
      </c>
      <c r="K4097" s="465">
        <v>0</v>
      </c>
    </row>
    <row r="4098" spans="2:11" ht="19" customHeight="1">
      <c r="B4098" s="464">
        <v>46108</v>
      </c>
      <c r="C4098" s="436" t="s">
        <v>247</v>
      </c>
      <c r="D4098" s="436" t="s">
        <v>248</v>
      </c>
      <c r="E4098" s="436">
        <v>1</v>
      </c>
      <c r="F4098" s="465">
        <v>1.5</v>
      </c>
      <c r="G4098" s="466">
        <v>1.5</v>
      </c>
      <c r="H4098" s="466">
        <f>G4098/1.1</f>
        <v>1.3636363636363635</v>
      </c>
      <c r="I4098" s="436"/>
      <c r="J4098" s="465">
        <v>0</v>
      </c>
      <c r="K4098" s="465">
        <v>0</v>
      </c>
    </row>
    <row r="4099" spans="2:11" ht="19" customHeight="1">
      <c r="B4099" s="464">
        <v>46108</v>
      </c>
      <c r="C4099" s="436" t="s">
        <v>328</v>
      </c>
      <c r="D4099" s="436" t="s">
        <v>861</v>
      </c>
      <c r="E4099" s="436">
        <v>1</v>
      </c>
      <c r="F4099" s="465">
        <v>3.25</v>
      </c>
      <c r="G4099" s="466">
        <v>3.25</v>
      </c>
      <c r="H4099" s="466">
        <f>G4099/1.1</f>
        <v>2.9545454545454541</v>
      </c>
      <c r="I4099" s="436"/>
      <c r="J4099" s="465">
        <v>0</v>
      </c>
      <c r="K4099" s="465">
        <v>0</v>
      </c>
    </row>
    <row r="4100" spans="2:11" ht="19" customHeight="1">
      <c r="B4100" s="464">
        <v>46108</v>
      </c>
      <c r="C4100" s="436" t="s">
        <v>247</v>
      </c>
      <c r="D4100" s="436" t="s">
        <v>246</v>
      </c>
      <c r="E4100" s="436">
        <v>2</v>
      </c>
      <c r="F4100" s="465">
        <v>1.7</v>
      </c>
      <c r="G4100" s="466">
        <v>3.4</v>
      </c>
      <c r="H4100" s="466">
        <f>G4100/1.1</f>
        <v>3.0909090909090904</v>
      </c>
      <c r="I4100" s="436"/>
      <c r="J4100" s="465">
        <v>0</v>
      </c>
      <c r="K4100" s="465">
        <v>0</v>
      </c>
    </row>
    <row r="4101" spans="2:11" ht="19" customHeight="1">
      <c r="B4101" s="464">
        <v>46108</v>
      </c>
      <c r="C4101" s="436" t="s">
        <v>247</v>
      </c>
      <c r="D4101" s="436" t="s">
        <v>246</v>
      </c>
      <c r="E4101" s="436">
        <v>1</v>
      </c>
      <c r="F4101" s="465">
        <v>1.7</v>
      </c>
      <c r="G4101" s="466">
        <v>1.7</v>
      </c>
      <c r="H4101" s="466">
        <f>G4101/1.1</f>
        <v>1.5454545454545452</v>
      </c>
      <c r="I4101" s="436"/>
      <c r="J4101" s="465">
        <v>0</v>
      </c>
      <c r="K4101" s="465">
        <v>0</v>
      </c>
    </row>
    <row r="4102" spans="2:11" ht="19" customHeight="1">
      <c r="B4102" s="464">
        <v>46108</v>
      </c>
      <c r="C4102" s="436" t="s">
        <v>247</v>
      </c>
      <c r="D4102" s="436" t="s">
        <v>248</v>
      </c>
      <c r="E4102" s="436">
        <v>2</v>
      </c>
      <c r="F4102" s="465">
        <v>1.5</v>
      </c>
      <c r="G4102" s="466">
        <v>3</v>
      </c>
      <c r="H4102" s="466">
        <f>G4102/1.1</f>
        <v>2.7272727272727271</v>
      </c>
      <c r="I4102" s="436"/>
      <c r="J4102" s="465">
        <v>0</v>
      </c>
      <c r="K4102" s="465">
        <v>0</v>
      </c>
    </row>
    <row r="4103" spans="2:11" ht="19" customHeight="1">
      <c r="B4103" s="464">
        <v>46108</v>
      </c>
      <c r="C4103" s="436" t="s">
        <v>247</v>
      </c>
      <c r="D4103" s="436" t="s">
        <v>246</v>
      </c>
      <c r="E4103" s="436">
        <v>1</v>
      </c>
      <c r="F4103" s="465">
        <v>1.7</v>
      </c>
      <c r="G4103" s="466">
        <v>1.7</v>
      </c>
      <c r="H4103" s="466">
        <f>G4103/1.1</f>
        <v>1.5454545454545452</v>
      </c>
      <c r="I4103" s="436"/>
      <c r="J4103" s="465">
        <v>0</v>
      </c>
      <c r="K4103" s="465">
        <v>0</v>
      </c>
    </row>
    <row r="4104" spans="2:11" ht="19" customHeight="1">
      <c r="B4104" s="464">
        <v>46109</v>
      </c>
      <c r="C4104" s="436" t="s">
        <v>256</v>
      </c>
      <c r="D4104" s="436" t="s">
        <v>983</v>
      </c>
      <c r="E4104" s="436">
        <v>1</v>
      </c>
      <c r="F4104" s="465">
        <v>2.75</v>
      </c>
      <c r="G4104" s="466">
        <v>2.75</v>
      </c>
      <c r="H4104" s="466">
        <f>G4104/1.1</f>
        <v>2.5</v>
      </c>
      <c r="I4104" s="436"/>
      <c r="J4104" s="465">
        <v>0</v>
      </c>
      <c r="K4104" s="465">
        <v>0</v>
      </c>
    </row>
    <row r="4105" spans="2:11" ht="19" customHeight="1">
      <c r="B4105" s="464">
        <v>46109</v>
      </c>
      <c r="C4105" s="436" t="s">
        <v>253</v>
      </c>
      <c r="D4105" s="436" t="s">
        <v>869</v>
      </c>
      <c r="E4105" s="436">
        <v>2</v>
      </c>
      <c r="F4105" s="465">
        <v>2.5</v>
      </c>
      <c r="G4105" s="466">
        <v>5</v>
      </c>
      <c r="H4105" s="466">
        <f>G4105/1.1</f>
        <v>4.545454545454545</v>
      </c>
      <c r="I4105" s="436"/>
      <c r="J4105" s="465">
        <v>0</v>
      </c>
      <c r="K4105" s="465">
        <v>0</v>
      </c>
    </row>
    <row r="4106" spans="2:11" ht="19" customHeight="1">
      <c r="B4106" s="464">
        <v>46109</v>
      </c>
      <c r="C4106" s="436" t="s">
        <v>276</v>
      </c>
      <c r="D4106" s="436" t="s">
        <v>995</v>
      </c>
      <c r="E4106" s="436">
        <v>1</v>
      </c>
      <c r="F4106" s="465">
        <v>3.05</v>
      </c>
      <c r="G4106" s="466">
        <v>3.05</v>
      </c>
      <c r="H4106" s="466">
        <f>G4106/1.1</f>
        <v>2.7727272727272725</v>
      </c>
      <c r="I4106" s="436"/>
      <c r="J4106" s="465">
        <v>0</v>
      </c>
      <c r="K4106" s="465">
        <v>0</v>
      </c>
    </row>
    <row r="4107" spans="2:11" ht="19" customHeight="1">
      <c r="B4107" s="464">
        <v>46109</v>
      </c>
      <c r="C4107" s="436" t="s">
        <v>247</v>
      </c>
      <c r="D4107" s="436" t="s">
        <v>246</v>
      </c>
      <c r="E4107" s="436">
        <v>1</v>
      </c>
      <c r="F4107" s="465">
        <v>1.7</v>
      </c>
      <c r="G4107" s="466">
        <v>1.7</v>
      </c>
      <c r="H4107" s="466">
        <f>G4107/1.1</f>
        <v>1.5454545454545452</v>
      </c>
      <c r="I4107" s="436"/>
      <c r="J4107" s="465">
        <v>0</v>
      </c>
      <c r="K4107" s="465">
        <v>0</v>
      </c>
    </row>
    <row r="4108" spans="2:11" ht="19" customHeight="1">
      <c r="B4108" s="464">
        <v>46109</v>
      </c>
      <c r="C4108" s="436" t="s">
        <v>247</v>
      </c>
      <c r="D4108" s="436" t="s">
        <v>246</v>
      </c>
      <c r="E4108" s="436">
        <v>1</v>
      </c>
      <c r="F4108" s="465">
        <v>1.7</v>
      </c>
      <c r="G4108" s="466">
        <v>1.7</v>
      </c>
      <c r="H4108" s="466">
        <f>G4108/1.1</f>
        <v>1.5454545454545452</v>
      </c>
      <c r="I4108" s="436"/>
      <c r="J4108" s="465">
        <v>0</v>
      </c>
      <c r="K4108" s="465">
        <v>0</v>
      </c>
    </row>
    <row r="4109" spans="2:11" ht="19" customHeight="1">
      <c r="B4109" s="464">
        <v>46109</v>
      </c>
      <c r="C4109" s="436" t="s">
        <v>251</v>
      </c>
      <c r="D4109" s="436" t="s">
        <v>854</v>
      </c>
      <c r="E4109" s="436">
        <v>1</v>
      </c>
      <c r="F4109" s="465">
        <v>1.55</v>
      </c>
      <c r="G4109" s="466">
        <v>1.55</v>
      </c>
      <c r="H4109" s="466">
        <f>G4109/1.1</f>
        <v>1.4090909090909089</v>
      </c>
      <c r="I4109" s="436"/>
      <c r="J4109" s="465">
        <v>0</v>
      </c>
      <c r="K4109" s="465">
        <v>0</v>
      </c>
    </row>
    <row r="4110" spans="2:11" ht="19" customHeight="1">
      <c r="B4110" s="464">
        <v>46109</v>
      </c>
      <c r="C4110" s="436" t="s">
        <v>327</v>
      </c>
      <c r="D4110" s="436" t="s">
        <v>940</v>
      </c>
      <c r="E4110" s="436">
        <v>1</v>
      </c>
      <c r="F4110" s="465">
        <v>5.95</v>
      </c>
      <c r="G4110" s="466">
        <v>5.95</v>
      </c>
      <c r="H4110" s="466">
        <f>G4110/1.1</f>
        <v>5.4090909090909092</v>
      </c>
      <c r="I4110" s="436"/>
      <c r="J4110" s="465">
        <v>0</v>
      </c>
      <c r="K4110" s="465">
        <v>0</v>
      </c>
    </row>
    <row r="4111" spans="2:11" ht="19" customHeight="1">
      <c r="B4111" s="464">
        <v>46109</v>
      </c>
      <c r="C4111" s="436" t="s">
        <v>894</v>
      </c>
      <c r="D4111" s="436" t="s">
        <v>1001</v>
      </c>
      <c r="E4111" s="436">
        <v>2</v>
      </c>
      <c r="F4111" s="465">
        <v>5.7</v>
      </c>
      <c r="G4111" s="466">
        <v>11.4</v>
      </c>
      <c r="H4111" s="466">
        <f>G4111/1.1</f>
        <v>10.363636363636363</v>
      </c>
      <c r="I4111" s="436"/>
      <c r="J4111" s="465">
        <v>0</v>
      </c>
      <c r="K4111" s="465">
        <v>0</v>
      </c>
    </row>
    <row r="4112" spans="2:11" ht="19" customHeight="1">
      <c r="B4112" s="464">
        <v>46109</v>
      </c>
      <c r="C4112" s="436" t="s">
        <v>247</v>
      </c>
      <c r="D4112" s="436" t="s">
        <v>257</v>
      </c>
      <c r="E4112" s="436">
        <v>1</v>
      </c>
      <c r="F4112" s="465">
        <v>1.4</v>
      </c>
      <c r="G4112" s="466">
        <v>1.4</v>
      </c>
      <c r="H4112" s="466">
        <f>G4112/1.1</f>
        <v>1.2727272727272725</v>
      </c>
      <c r="I4112" s="436"/>
      <c r="J4112" s="465">
        <v>0</v>
      </c>
      <c r="K4112" s="465">
        <v>0</v>
      </c>
    </row>
    <row r="4113" spans="2:11" ht="19" customHeight="1">
      <c r="B4113" s="464">
        <v>46109</v>
      </c>
      <c r="C4113" s="436" t="s">
        <v>247</v>
      </c>
      <c r="D4113" s="436" t="s">
        <v>248</v>
      </c>
      <c r="E4113" s="436">
        <v>1</v>
      </c>
      <c r="F4113" s="465">
        <v>1.5</v>
      </c>
      <c r="G4113" s="466">
        <v>1.5</v>
      </c>
      <c r="H4113" s="466">
        <f>G4113/1.1</f>
        <v>1.3636363636363635</v>
      </c>
      <c r="I4113" s="436"/>
      <c r="J4113" s="465">
        <v>0</v>
      </c>
      <c r="K4113" s="465">
        <v>0</v>
      </c>
    </row>
    <row r="4114" spans="2:11" ht="19" customHeight="1">
      <c r="B4114" s="464">
        <v>46109</v>
      </c>
      <c r="C4114" s="436" t="s">
        <v>247</v>
      </c>
      <c r="D4114" s="436" t="s">
        <v>257</v>
      </c>
      <c r="E4114" s="436">
        <v>1</v>
      </c>
      <c r="F4114" s="465">
        <v>1.4</v>
      </c>
      <c r="G4114" s="466">
        <v>1.4</v>
      </c>
      <c r="H4114" s="466">
        <f>G4114/1.1</f>
        <v>1.2727272727272725</v>
      </c>
      <c r="I4114" s="436"/>
      <c r="J4114" s="465">
        <v>0</v>
      </c>
      <c r="K4114" s="465">
        <v>0</v>
      </c>
    </row>
    <row r="4115" spans="2:11" ht="19" customHeight="1">
      <c r="B4115" s="464">
        <v>46109</v>
      </c>
      <c r="C4115" s="436" t="s">
        <v>268</v>
      </c>
      <c r="D4115" s="436" t="s">
        <v>858</v>
      </c>
      <c r="E4115" s="436">
        <v>1</v>
      </c>
      <c r="F4115" s="465">
        <v>0.65</v>
      </c>
      <c r="G4115" s="466">
        <v>0.65</v>
      </c>
      <c r="H4115" s="466">
        <f>G4115/1.1</f>
        <v>0.59090909090909083</v>
      </c>
      <c r="I4115" s="436"/>
      <c r="J4115" s="465">
        <v>0</v>
      </c>
      <c r="K4115" s="465">
        <v>0</v>
      </c>
    </row>
    <row r="4116" spans="2:11" ht="19" customHeight="1">
      <c r="B4116" s="464">
        <v>46109</v>
      </c>
      <c r="C4116" s="436" t="s">
        <v>247</v>
      </c>
      <c r="D4116" s="436" t="s">
        <v>248</v>
      </c>
      <c r="E4116" s="436">
        <v>2</v>
      </c>
      <c r="F4116" s="465">
        <v>1.5</v>
      </c>
      <c r="G4116" s="466">
        <v>3</v>
      </c>
      <c r="H4116" s="466">
        <f>G4116/1.1</f>
        <v>2.7272727272727271</v>
      </c>
      <c r="I4116" s="436"/>
      <c r="J4116" s="465">
        <v>0</v>
      </c>
      <c r="K4116" s="465">
        <v>0</v>
      </c>
    </row>
    <row r="4117" spans="2:11" ht="19" customHeight="1">
      <c r="B4117" s="464">
        <v>46109</v>
      </c>
      <c r="C4117" s="436" t="s">
        <v>247</v>
      </c>
      <c r="D4117" s="436" t="s">
        <v>248</v>
      </c>
      <c r="E4117" s="436">
        <v>1</v>
      </c>
      <c r="F4117" s="465">
        <v>1.5</v>
      </c>
      <c r="G4117" s="466">
        <v>1.5</v>
      </c>
      <c r="H4117" s="466">
        <f>G4117/1.1</f>
        <v>1.3636363636363635</v>
      </c>
      <c r="I4117" s="436"/>
      <c r="J4117" s="465">
        <v>0</v>
      </c>
      <c r="K4117" s="465">
        <v>0</v>
      </c>
    </row>
    <row r="4118" spans="2:11" ht="19" customHeight="1">
      <c r="B4118" s="464">
        <v>46109</v>
      </c>
      <c r="C4118" s="436" t="s">
        <v>247</v>
      </c>
      <c r="D4118" s="436" t="s">
        <v>246</v>
      </c>
      <c r="E4118" s="436">
        <v>2</v>
      </c>
      <c r="F4118" s="465">
        <v>1.7</v>
      </c>
      <c r="G4118" s="466">
        <v>3.4</v>
      </c>
      <c r="H4118" s="466">
        <f>G4118/1.1</f>
        <v>3.0909090909090904</v>
      </c>
      <c r="I4118" s="436"/>
      <c r="J4118" s="465">
        <v>0</v>
      </c>
      <c r="K4118" s="465">
        <v>0</v>
      </c>
    </row>
    <row r="4119" spans="2:11" ht="19" customHeight="1">
      <c r="B4119" s="464">
        <v>46109</v>
      </c>
      <c r="C4119" s="436" t="s">
        <v>247</v>
      </c>
      <c r="D4119" s="436" t="s">
        <v>902</v>
      </c>
      <c r="E4119" s="436">
        <v>1</v>
      </c>
      <c r="F4119" s="465">
        <v>1.95</v>
      </c>
      <c r="G4119" s="466">
        <v>1.95</v>
      </c>
      <c r="H4119" s="466">
        <f>G4119/1.1</f>
        <v>1.7727272727272725</v>
      </c>
      <c r="I4119" s="436"/>
      <c r="J4119" s="465">
        <v>0</v>
      </c>
      <c r="K4119" s="465">
        <v>0</v>
      </c>
    </row>
    <row r="4120" spans="2:11" ht="19" customHeight="1">
      <c r="B4120" s="464">
        <v>46109</v>
      </c>
      <c r="C4120" s="436" t="s">
        <v>251</v>
      </c>
      <c r="D4120" s="436" t="s">
        <v>742</v>
      </c>
      <c r="E4120" s="436">
        <v>1</v>
      </c>
      <c r="F4120" s="465">
        <v>3.25</v>
      </c>
      <c r="G4120" s="466">
        <v>3.25</v>
      </c>
      <c r="H4120" s="466">
        <f>G4120/1.1</f>
        <v>2.9545454545454541</v>
      </c>
      <c r="I4120" s="436"/>
      <c r="J4120" s="465">
        <v>0</v>
      </c>
      <c r="K4120" s="465">
        <v>0</v>
      </c>
    </row>
    <row r="4121" spans="2:11" ht="19" customHeight="1">
      <c r="B4121" s="464">
        <v>46109</v>
      </c>
      <c r="C4121" s="436" t="s">
        <v>328</v>
      </c>
      <c r="D4121" s="436" t="s">
        <v>1002</v>
      </c>
      <c r="E4121" s="436">
        <v>1</v>
      </c>
      <c r="F4121" s="465">
        <v>4.8499999999999996</v>
      </c>
      <c r="G4121" s="466">
        <v>4.8499999999999996</v>
      </c>
      <c r="H4121" s="466">
        <f>G4121/1.1</f>
        <v>4.4090909090909083</v>
      </c>
      <c r="I4121" s="436"/>
      <c r="J4121" s="465">
        <v>0</v>
      </c>
      <c r="K4121" s="465">
        <v>0</v>
      </c>
    </row>
    <row r="4122" spans="2:11" ht="19" customHeight="1">
      <c r="B4122" s="464">
        <v>46109</v>
      </c>
      <c r="C4122" s="436" t="s">
        <v>894</v>
      </c>
      <c r="D4122" s="436" t="s">
        <v>814</v>
      </c>
      <c r="E4122" s="436">
        <v>1</v>
      </c>
      <c r="F4122" s="465">
        <v>5.4</v>
      </c>
      <c r="G4122" s="466">
        <v>5.4</v>
      </c>
      <c r="H4122" s="466">
        <f>G4122/1.1</f>
        <v>4.9090909090909092</v>
      </c>
      <c r="I4122" s="436"/>
      <c r="J4122" s="465">
        <v>0</v>
      </c>
      <c r="K4122" s="465">
        <v>0</v>
      </c>
    </row>
    <row r="4123" spans="2:11" ht="19" customHeight="1">
      <c r="B4123" s="464">
        <v>46109</v>
      </c>
      <c r="C4123" s="436" t="s">
        <v>247</v>
      </c>
      <c r="D4123" s="436" t="s">
        <v>855</v>
      </c>
      <c r="E4123" s="436">
        <v>1</v>
      </c>
      <c r="F4123" s="465">
        <v>2.5499999999999998</v>
      </c>
      <c r="G4123" s="466">
        <v>2.5499999999999998</v>
      </c>
      <c r="H4123" s="466">
        <f>G4123/1.1</f>
        <v>2.3181818181818179</v>
      </c>
      <c r="I4123" s="436"/>
      <c r="J4123" s="465">
        <v>0</v>
      </c>
      <c r="K4123" s="465">
        <v>0</v>
      </c>
    </row>
    <row r="4124" spans="2:11" ht="19" customHeight="1">
      <c r="B4124" s="464">
        <v>46109</v>
      </c>
      <c r="C4124" s="436" t="s">
        <v>268</v>
      </c>
      <c r="D4124" s="436" t="s">
        <v>859</v>
      </c>
      <c r="E4124" s="436">
        <v>1</v>
      </c>
      <c r="F4124" s="465">
        <v>0.75</v>
      </c>
      <c r="G4124" s="466">
        <v>0.75</v>
      </c>
      <c r="H4124" s="466">
        <f>G4124/1.1</f>
        <v>0.68181818181818177</v>
      </c>
      <c r="I4124" s="436"/>
      <c r="J4124" s="465">
        <v>0</v>
      </c>
      <c r="K4124" s="465">
        <v>0</v>
      </c>
    </row>
    <row r="4125" spans="2:11" ht="19" customHeight="1">
      <c r="B4125" s="464">
        <v>46109</v>
      </c>
      <c r="C4125" s="436" t="s">
        <v>247</v>
      </c>
      <c r="D4125" s="436" t="s">
        <v>246</v>
      </c>
      <c r="E4125" s="436">
        <v>1</v>
      </c>
      <c r="F4125" s="465">
        <v>1.7</v>
      </c>
      <c r="G4125" s="466">
        <v>1.7</v>
      </c>
      <c r="H4125" s="466">
        <f>G4125/1.1</f>
        <v>1.5454545454545452</v>
      </c>
      <c r="I4125" s="436"/>
      <c r="J4125" s="465">
        <v>0</v>
      </c>
      <c r="K4125" s="465">
        <v>0</v>
      </c>
    </row>
    <row r="4126" spans="2:11" ht="19" customHeight="1">
      <c r="B4126" s="464">
        <v>46109</v>
      </c>
      <c r="C4126" s="436" t="s">
        <v>247</v>
      </c>
      <c r="D4126" s="436" t="s">
        <v>855</v>
      </c>
      <c r="E4126" s="436">
        <v>1</v>
      </c>
      <c r="F4126" s="465">
        <v>2.5499999999999998</v>
      </c>
      <c r="G4126" s="466">
        <v>2.5499999999999998</v>
      </c>
      <c r="H4126" s="466">
        <f>G4126/1.1</f>
        <v>2.3181818181818179</v>
      </c>
      <c r="I4126" s="436"/>
      <c r="J4126" s="465">
        <v>0</v>
      </c>
      <c r="K4126" s="465">
        <v>0</v>
      </c>
    </row>
    <row r="4127" spans="2:11" ht="19" customHeight="1">
      <c r="B4127" s="464">
        <v>46109</v>
      </c>
      <c r="C4127" s="436" t="s">
        <v>268</v>
      </c>
      <c r="D4127" s="436" t="s">
        <v>267</v>
      </c>
      <c r="E4127" s="436">
        <v>1</v>
      </c>
      <c r="F4127" s="465">
        <v>1.5</v>
      </c>
      <c r="G4127" s="466">
        <v>1.5</v>
      </c>
      <c r="H4127" s="466">
        <f>G4127/1.1</f>
        <v>1.3636363636363635</v>
      </c>
      <c r="I4127" s="436"/>
      <c r="J4127" s="465">
        <v>0</v>
      </c>
      <c r="K4127" s="465">
        <v>0</v>
      </c>
    </row>
    <row r="4128" spans="2:11" ht="19" customHeight="1">
      <c r="B4128" s="464">
        <v>46109</v>
      </c>
      <c r="C4128" s="436" t="s">
        <v>247</v>
      </c>
      <c r="D4128" s="436" t="s">
        <v>248</v>
      </c>
      <c r="E4128" s="436">
        <v>1</v>
      </c>
      <c r="F4128" s="465">
        <v>1.5</v>
      </c>
      <c r="G4128" s="466">
        <v>1.5</v>
      </c>
      <c r="H4128" s="466">
        <f>G4128/1.1</f>
        <v>1.3636363636363635</v>
      </c>
      <c r="I4128" s="436"/>
      <c r="J4128" s="465">
        <v>0</v>
      </c>
      <c r="K4128" s="465">
        <v>0</v>
      </c>
    </row>
    <row r="4129" spans="2:11" ht="19" customHeight="1">
      <c r="B4129" s="464">
        <v>46109</v>
      </c>
      <c r="C4129" s="436" t="s">
        <v>247</v>
      </c>
      <c r="D4129" s="436" t="s">
        <v>248</v>
      </c>
      <c r="E4129" s="436">
        <v>1</v>
      </c>
      <c r="F4129" s="465">
        <v>1.5</v>
      </c>
      <c r="G4129" s="466">
        <v>1.5</v>
      </c>
      <c r="H4129" s="466">
        <f>G4129/1.1</f>
        <v>1.3636363636363635</v>
      </c>
      <c r="I4129" s="436"/>
      <c r="J4129" s="465">
        <v>0</v>
      </c>
      <c r="K4129" s="465">
        <v>0</v>
      </c>
    </row>
    <row r="4130" spans="2:11" ht="19" customHeight="1">
      <c r="B4130" s="464">
        <v>46109</v>
      </c>
      <c r="C4130" s="436" t="s">
        <v>247</v>
      </c>
      <c r="D4130" s="436" t="s">
        <v>246</v>
      </c>
      <c r="E4130" s="436">
        <v>1</v>
      </c>
      <c r="F4130" s="465">
        <v>1.7</v>
      </c>
      <c r="G4130" s="466">
        <v>1.7</v>
      </c>
      <c r="H4130" s="466">
        <f>G4130/1.1</f>
        <v>1.5454545454545452</v>
      </c>
      <c r="I4130" s="436"/>
      <c r="J4130" s="465">
        <v>0</v>
      </c>
      <c r="K4130" s="465">
        <v>0</v>
      </c>
    </row>
    <row r="4131" spans="2:11" ht="19" customHeight="1">
      <c r="B4131" s="464">
        <v>46109</v>
      </c>
      <c r="C4131" s="436" t="s">
        <v>247</v>
      </c>
      <c r="D4131" s="436" t="s">
        <v>248</v>
      </c>
      <c r="E4131" s="436">
        <v>1</v>
      </c>
      <c r="F4131" s="465">
        <v>1.5</v>
      </c>
      <c r="G4131" s="466">
        <v>1.5</v>
      </c>
      <c r="H4131" s="466">
        <f>G4131/1.1</f>
        <v>1.3636363636363635</v>
      </c>
      <c r="I4131" s="436"/>
      <c r="J4131" s="465">
        <v>0</v>
      </c>
      <c r="K4131" s="465">
        <v>0</v>
      </c>
    </row>
    <row r="4132" spans="2:11" ht="19" customHeight="1">
      <c r="B4132" s="464">
        <v>46109</v>
      </c>
      <c r="C4132" s="436" t="s">
        <v>253</v>
      </c>
      <c r="D4132" s="436" t="s">
        <v>869</v>
      </c>
      <c r="E4132" s="436">
        <v>3</v>
      </c>
      <c r="F4132" s="465">
        <v>2.65</v>
      </c>
      <c r="G4132" s="466">
        <v>7.95</v>
      </c>
      <c r="H4132" s="466">
        <f>G4132/1.1</f>
        <v>7.2272727272727266</v>
      </c>
      <c r="I4132" s="436"/>
      <c r="J4132" s="465">
        <v>0</v>
      </c>
      <c r="K4132" s="465">
        <v>0</v>
      </c>
    </row>
    <row r="4133" spans="2:11" ht="19" customHeight="1">
      <c r="B4133" s="464">
        <v>46109</v>
      </c>
      <c r="C4133" s="436" t="s">
        <v>256</v>
      </c>
      <c r="D4133" s="436" t="s">
        <v>912</v>
      </c>
      <c r="E4133" s="436">
        <v>3</v>
      </c>
      <c r="F4133" s="465">
        <v>5.75</v>
      </c>
      <c r="G4133" s="466">
        <v>17.25</v>
      </c>
      <c r="H4133" s="466">
        <f>G4133/1.1</f>
        <v>15.68181818181818</v>
      </c>
      <c r="I4133" s="436"/>
      <c r="J4133" s="465">
        <v>0</v>
      </c>
      <c r="K4133" s="465">
        <v>0</v>
      </c>
    </row>
    <row r="4134" spans="2:11" ht="19" customHeight="1">
      <c r="B4134" s="464">
        <v>46109</v>
      </c>
      <c r="C4134" s="436" t="s">
        <v>264</v>
      </c>
      <c r="D4134" s="436" t="s">
        <v>930</v>
      </c>
      <c r="E4134" s="436">
        <v>1</v>
      </c>
      <c r="F4134" s="465">
        <v>3.75</v>
      </c>
      <c r="G4134" s="466">
        <v>3.75</v>
      </c>
      <c r="H4134" s="466">
        <f>G4134/1.1</f>
        <v>3.4090909090909087</v>
      </c>
      <c r="I4134" s="436"/>
      <c r="J4134" s="465">
        <v>0</v>
      </c>
      <c r="K4134" s="465">
        <v>0</v>
      </c>
    </row>
    <row r="4135" spans="2:11" ht="19" customHeight="1">
      <c r="B4135" s="464">
        <v>46109</v>
      </c>
      <c r="C4135" s="436" t="s">
        <v>256</v>
      </c>
      <c r="D4135" s="436" t="s">
        <v>675</v>
      </c>
      <c r="E4135" s="436">
        <v>1</v>
      </c>
      <c r="F4135" s="465">
        <v>5.75</v>
      </c>
      <c r="G4135" s="466">
        <v>5.75</v>
      </c>
      <c r="H4135" s="466">
        <f>G4135/1.1</f>
        <v>5.2272727272727266</v>
      </c>
      <c r="I4135" s="436"/>
      <c r="J4135" s="465">
        <v>0</v>
      </c>
      <c r="K4135" s="465">
        <v>0</v>
      </c>
    </row>
    <row r="4136" spans="2:11" ht="19" customHeight="1">
      <c r="B4136" s="464">
        <v>46109</v>
      </c>
      <c r="C4136" s="436" t="s">
        <v>256</v>
      </c>
      <c r="D4136" s="436" t="s">
        <v>262</v>
      </c>
      <c r="E4136" s="436">
        <v>1</v>
      </c>
      <c r="F4136" s="465">
        <v>12.15</v>
      </c>
      <c r="G4136" s="466">
        <v>12.15</v>
      </c>
      <c r="H4136" s="466">
        <f>G4136/1.1</f>
        <v>11.045454545454545</v>
      </c>
      <c r="I4136" s="436"/>
      <c r="J4136" s="465">
        <v>0</v>
      </c>
      <c r="K4136" s="465">
        <v>0</v>
      </c>
    </row>
    <row r="4137" spans="2:11" ht="19" customHeight="1">
      <c r="B4137" s="464">
        <v>46109</v>
      </c>
      <c r="C4137" s="436" t="s">
        <v>256</v>
      </c>
      <c r="D4137" s="436" t="s">
        <v>255</v>
      </c>
      <c r="E4137" s="436">
        <v>1</v>
      </c>
      <c r="F4137" s="465">
        <v>5.85</v>
      </c>
      <c r="G4137" s="466">
        <v>5.85</v>
      </c>
      <c r="H4137" s="466">
        <f>G4137/1.1</f>
        <v>5.3181818181818175</v>
      </c>
      <c r="I4137" s="436"/>
      <c r="J4137" s="465">
        <v>0</v>
      </c>
      <c r="K4137" s="465">
        <v>0</v>
      </c>
    </row>
    <row r="4138" spans="2:11" ht="19" customHeight="1">
      <c r="B4138" s="464">
        <v>46109</v>
      </c>
      <c r="C4138" s="436" t="s">
        <v>247</v>
      </c>
      <c r="D4138" s="436" t="s">
        <v>246</v>
      </c>
      <c r="E4138" s="436">
        <v>1</v>
      </c>
      <c r="F4138" s="465">
        <v>1.7</v>
      </c>
      <c r="G4138" s="466">
        <v>1.7</v>
      </c>
      <c r="H4138" s="466">
        <f>G4138/1.1</f>
        <v>1.5454545454545452</v>
      </c>
      <c r="I4138" s="436"/>
      <c r="J4138" s="465">
        <v>0</v>
      </c>
      <c r="K4138" s="465">
        <v>0</v>
      </c>
    </row>
    <row r="4139" spans="2:11" ht="19" customHeight="1">
      <c r="B4139" s="464">
        <v>46109</v>
      </c>
      <c r="C4139" s="436" t="s">
        <v>251</v>
      </c>
      <c r="D4139" s="436" t="s">
        <v>250</v>
      </c>
      <c r="E4139" s="436">
        <v>3</v>
      </c>
      <c r="F4139" s="465">
        <v>1.8</v>
      </c>
      <c r="G4139" s="466">
        <v>5.4</v>
      </c>
      <c r="H4139" s="466">
        <f>G4139/1.1</f>
        <v>4.9090909090909092</v>
      </c>
      <c r="I4139" s="436"/>
      <c r="J4139" s="465">
        <v>0</v>
      </c>
      <c r="K4139" s="465">
        <v>0</v>
      </c>
    </row>
    <row r="4140" spans="2:11" ht="19" customHeight="1">
      <c r="B4140" s="464">
        <v>46109</v>
      </c>
      <c r="C4140" s="436" t="s">
        <v>251</v>
      </c>
      <c r="D4140" s="436" t="s">
        <v>265</v>
      </c>
      <c r="E4140" s="436">
        <v>1</v>
      </c>
      <c r="F4140" s="465">
        <v>2.65</v>
      </c>
      <c r="G4140" s="466">
        <v>2.65</v>
      </c>
      <c r="H4140" s="466">
        <f>G4140/1.1</f>
        <v>2.4090909090909087</v>
      </c>
      <c r="I4140" s="436"/>
      <c r="J4140" s="465">
        <v>0</v>
      </c>
      <c r="K4140" s="465">
        <v>0</v>
      </c>
    </row>
    <row r="4141" spans="2:11" ht="19" customHeight="1">
      <c r="B4141" s="464">
        <v>46109</v>
      </c>
      <c r="C4141" s="436" t="s">
        <v>253</v>
      </c>
      <c r="D4141" s="436" t="s">
        <v>1214</v>
      </c>
      <c r="E4141" s="436">
        <v>1</v>
      </c>
      <c r="F4141" s="465">
        <v>3.4</v>
      </c>
      <c r="G4141" s="466">
        <v>3.4</v>
      </c>
      <c r="H4141" s="466">
        <f>G4141/1.1</f>
        <v>3.0909090909090904</v>
      </c>
      <c r="I4141" s="436"/>
      <c r="J4141" s="465">
        <v>0</v>
      </c>
      <c r="K4141" s="465">
        <v>0</v>
      </c>
    </row>
    <row r="4142" spans="2:11" ht="19" customHeight="1">
      <c r="B4142" s="464">
        <v>46109</v>
      </c>
      <c r="C4142" s="436" t="s">
        <v>251</v>
      </c>
      <c r="D4142" s="436" t="s">
        <v>957</v>
      </c>
      <c r="E4142" s="436">
        <v>1</v>
      </c>
      <c r="F4142" s="465">
        <v>2.65</v>
      </c>
      <c r="G4142" s="466">
        <v>2.65</v>
      </c>
      <c r="H4142" s="466">
        <f>G4142/1.1</f>
        <v>2.4090909090909087</v>
      </c>
      <c r="I4142" s="436"/>
      <c r="J4142" s="465">
        <v>0</v>
      </c>
      <c r="K4142" s="465">
        <v>0</v>
      </c>
    </row>
    <row r="4143" spans="2:11" ht="19" customHeight="1">
      <c r="B4143" s="464">
        <v>46109</v>
      </c>
      <c r="C4143" s="436" t="s">
        <v>256</v>
      </c>
      <c r="D4143" s="436" t="s">
        <v>697</v>
      </c>
      <c r="E4143" s="436">
        <v>1</v>
      </c>
      <c r="F4143" s="465">
        <v>10.9</v>
      </c>
      <c r="G4143" s="466">
        <v>10.9</v>
      </c>
      <c r="H4143" s="466">
        <f>G4143/1.1</f>
        <v>9.9090909090909083</v>
      </c>
      <c r="I4143" s="436"/>
      <c r="J4143" s="465">
        <v>0</v>
      </c>
      <c r="K4143" s="465">
        <v>0</v>
      </c>
    </row>
    <row r="4144" spans="2:11" ht="19" customHeight="1">
      <c r="B4144" s="464">
        <v>46109</v>
      </c>
      <c r="C4144" s="436" t="s">
        <v>256</v>
      </c>
      <c r="D4144" s="436" t="s">
        <v>738</v>
      </c>
      <c r="E4144" s="436">
        <v>1</v>
      </c>
      <c r="F4144" s="465">
        <v>7.9</v>
      </c>
      <c r="G4144" s="466">
        <v>7.9</v>
      </c>
      <c r="H4144" s="466">
        <f>G4144/1.1</f>
        <v>7.1818181818181817</v>
      </c>
      <c r="I4144" s="436"/>
      <c r="J4144" s="465">
        <v>0</v>
      </c>
      <c r="K4144" s="465">
        <v>0</v>
      </c>
    </row>
    <row r="4145" spans="2:11" ht="19" customHeight="1">
      <c r="B4145" s="464">
        <v>46109</v>
      </c>
      <c r="C4145" s="436" t="s">
        <v>764</v>
      </c>
      <c r="D4145" s="436" t="s">
        <v>1142</v>
      </c>
      <c r="E4145" s="436">
        <v>2</v>
      </c>
      <c r="F4145" s="465">
        <v>15.9</v>
      </c>
      <c r="G4145" s="466">
        <v>31.8</v>
      </c>
      <c r="H4145" s="466">
        <f>G4145/1.1</f>
        <v>28.909090909090907</v>
      </c>
      <c r="I4145" s="436"/>
      <c r="J4145" s="465">
        <v>0</v>
      </c>
      <c r="K4145" s="465">
        <v>0</v>
      </c>
    </row>
    <row r="4146" spans="2:11" ht="19" customHeight="1">
      <c r="B4146" s="464">
        <v>46109</v>
      </c>
      <c r="C4146" s="436" t="s">
        <v>764</v>
      </c>
      <c r="D4146" s="436" t="s">
        <v>1211</v>
      </c>
      <c r="E4146" s="436">
        <v>1</v>
      </c>
      <c r="F4146" s="465">
        <v>14.5</v>
      </c>
      <c r="G4146" s="466">
        <v>14.5</v>
      </c>
      <c r="H4146" s="466">
        <f>G4146/1.1</f>
        <v>13.18181818181818</v>
      </c>
      <c r="I4146" s="436"/>
      <c r="J4146" s="465">
        <v>0</v>
      </c>
      <c r="K4146" s="465">
        <v>0</v>
      </c>
    </row>
    <row r="4147" spans="2:11" ht="19" customHeight="1">
      <c r="B4147" s="464">
        <v>46109</v>
      </c>
      <c r="C4147" s="436" t="s">
        <v>256</v>
      </c>
      <c r="D4147" s="436" t="s">
        <v>931</v>
      </c>
      <c r="E4147" s="436">
        <v>1</v>
      </c>
      <c r="F4147" s="465">
        <v>8.5</v>
      </c>
      <c r="G4147" s="466">
        <v>8.5</v>
      </c>
      <c r="H4147" s="466">
        <f>G4147/1.1</f>
        <v>7.7272727272727266</v>
      </c>
      <c r="I4147" s="436"/>
      <c r="J4147" s="465">
        <v>0</v>
      </c>
      <c r="K4147" s="465">
        <v>0</v>
      </c>
    </row>
    <row r="4148" spans="2:11" ht="19" customHeight="1">
      <c r="B4148" s="464">
        <v>46109</v>
      </c>
      <c r="C4148" s="436" t="s">
        <v>277</v>
      </c>
      <c r="D4148" s="436" t="s">
        <v>954</v>
      </c>
      <c r="E4148" s="436">
        <v>1</v>
      </c>
      <c r="F4148" s="465">
        <v>12.9</v>
      </c>
      <c r="G4148" s="466">
        <v>12.9</v>
      </c>
      <c r="H4148" s="466">
        <f>G4148/1.1</f>
        <v>11.727272727272727</v>
      </c>
      <c r="I4148" s="436"/>
      <c r="J4148" s="465">
        <v>0</v>
      </c>
      <c r="K4148" s="465">
        <v>0</v>
      </c>
    </row>
    <row r="4149" spans="2:11" ht="19" customHeight="1">
      <c r="B4149" s="464">
        <v>46109</v>
      </c>
      <c r="C4149" s="436" t="s">
        <v>256</v>
      </c>
      <c r="D4149" s="436" t="s">
        <v>679</v>
      </c>
      <c r="E4149" s="436">
        <v>1</v>
      </c>
      <c r="F4149" s="465">
        <v>10</v>
      </c>
      <c r="G4149" s="466">
        <v>10</v>
      </c>
      <c r="H4149" s="466">
        <f>G4149/1.1</f>
        <v>9.0909090909090899</v>
      </c>
      <c r="I4149" s="436"/>
      <c r="J4149" s="465">
        <v>0</v>
      </c>
      <c r="K4149" s="465">
        <v>0</v>
      </c>
    </row>
    <row r="4150" spans="2:11" ht="19" customHeight="1">
      <c r="B4150" s="464">
        <v>46109</v>
      </c>
      <c r="C4150" s="436" t="s">
        <v>264</v>
      </c>
      <c r="D4150" s="436" t="s">
        <v>930</v>
      </c>
      <c r="E4150" s="436">
        <v>1</v>
      </c>
      <c r="F4150" s="465">
        <v>3.5</v>
      </c>
      <c r="G4150" s="466">
        <v>3.5</v>
      </c>
      <c r="H4150" s="466">
        <f>G4150/1.1</f>
        <v>3.1818181818181817</v>
      </c>
      <c r="I4150" s="436"/>
      <c r="J4150" s="465">
        <v>0</v>
      </c>
      <c r="K4150" s="465">
        <v>0</v>
      </c>
    </row>
    <row r="4151" spans="2:11" ht="19" customHeight="1">
      <c r="B4151" s="464">
        <v>46109</v>
      </c>
      <c r="C4151" s="436" t="s">
        <v>256</v>
      </c>
      <c r="D4151" s="436" t="s">
        <v>262</v>
      </c>
      <c r="E4151" s="436">
        <v>1</v>
      </c>
      <c r="F4151" s="465">
        <v>11.9</v>
      </c>
      <c r="G4151" s="466">
        <v>11.9</v>
      </c>
      <c r="H4151" s="466">
        <f>G4151/1.1</f>
        <v>10.818181818181818</v>
      </c>
      <c r="I4151" s="436"/>
      <c r="J4151" s="465">
        <v>0</v>
      </c>
      <c r="K4151" s="465">
        <v>0</v>
      </c>
    </row>
    <row r="4152" spans="2:11" ht="19" customHeight="1">
      <c r="B4152" s="464">
        <v>46109</v>
      </c>
      <c r="C4152" s="436" t="s">
        <v>256</v>
      </c>
      <c r="D4152" s="436" t="s">
        <v>255</v>
      </c>
      <c r="E4152" s="436">
        <v>1</v>
      </c>
      <c r="F4152" s="465">
        <v>5.6</v>
      </c>
      <c r="G4152" s="466">
        <v>5.6</v>
      </c>
      <c r="H4152" s="466">
        <f>G4152/1.1</f>
        <v>5.0909090909090899</v>
      </c>
      <c r="I4152" s="436"/>
      <c r="J4152" s="465">
        <v>0</v>
      </c>
      <c r="K4152" s="465">
        <v>0</v>
      </c>
    </row>
    <row r="4153" spans="2:11" ht="19" customHeight="1">
      <c r="B4153" s="464">
        <v>46109</v>
      </c>
      <c r="C4153" s="436" t="s">
        <v>725</v>
      </c>
      <c r="D4153" s="436" t="s">
        <v>1215</v>
      </c>
      <c r="E4153" s="436">
        <v>1</v>
      </c>
      <c r="F4153" s="465">
        <v>4.0999999999999996</v>
      </c>
      <c r="G4153" s="466">
        <v>4.0999999999999996</v>
      </c>
      <c r="H4153" s="466">
        <f>G4153/1.1</f>
        <v>3.7272727272727266</v>
      </c>
      <c r="I4153" s="436"/>
      <c r="J4153" s="465">
        <v>0</v>
      </c>
      <c r="K4153" s="465">
        <v>0</v>
      </c>
    </row>
    <row r="4154" spans="2:11" ht="19" customHeight="1">
      <c r="B4154" s="464">
        <v>46109</v>
      </c>
      <c r="C4154" s="436" t="s">
        <v>247</v>
      </c>
      <c r="D4154" s="436" t="s">
        <v>855</v>
      </c>
      <c r="E4154" s="436">
        <v>1</v>
      </c>
      <c r="F4154" s="465">
        <v>2.5499999999999998</v>
      </c>
      <c r="G4154" s="466">
        <v>2.5499999999999998</v>
      </c>
      <c r="H4154" s="466">
        <f>G4154/1.1</f>
        <v>2.3181818181818179</v>
      </c>
      <c r="I4154" s="436"/>
      <c r="J4154" s="465">
        <v>0</v>
      </c>
      <c r="K4154" s="465">
        <v>0</v>
      </c>
    </row>
    <row r="4155" spans="2:11" ht="19" customHeight="1">
      <c r="B4155" s="464">
        <v>46109</v>
      </c>
      <c r="C4155" s="436" t="s">
        <v>247</v>
      </c>
      <c r="D4155" s="436" t="s">
        <v>246</v>
      </c>
      <c r="E4155" s="436">
        <v>1</v>
      </c>
      <c r="F4155" s="465">
        <v>1.7</v>
      </c>
      <c r="G4155" s="466">
        <v>1.7</v>
      </c>
      <c r="H4155" s="466">
        <f>G4155/1.1</f>
        <v>1.5454545454545452</v>
      </c>
      <c r="I4155" s="436"/>
      <c r="J4155" s="465">
        <v>0</v>
      </c>
      <c r="K4155" s="465">
        <v>0</v>
      </c>
    </row>
    <row r="4156" spans="2:11" ht="19" customHeight="1">
      <c r="B4156" s="464">
        <v>46109</v>
      </c>
      <c r="C4156" s="436" t="s">
        <v>275</v>
      </c>
      <c r="D4156" s="436" t="s">
        <v>951</v>
      </c>
      <c r="E4156" s="436">
        <v>2</v>
      </c>
      <c r="F4156" s="465">
        <v>5.25</v>
      </c>
      <c r="G4156" s="466">
        <v>10.5</v>
      </c>
      <c r="H4156" s="466">
        <f>G4156/1.1</f>
        <v>9.545454545454545</v>
      </c>
      <c r="I4156" s="436"/>
      <c r="J4156" s="465">
        <v>0</v>
      </c>
      <c r="K4156" s="465">
        <v>0</v>
      </c>
    </row>
    <row r="4157" spans="2:11" ht="19" customHeight="1">
      <c r="B4157" s="464">
        <v>46109</v>
      </c>
      <c r="C4157" s="436" t="s">
        <v>256</v>
      </c>
      <c r="D4157" s="436" t="s">
        <v>832</v>
      </c>
      <c r="E4157" s="436">
        <v>1</v>
      </c>
      <c r="F4157" s="465">
        <v>8.9</v>
      </c>
      <c r="G4157" s="466">
        <v>8.9</v>
      </c>
      <c r="H4157" s="466">
        <f>G4157/1.1</f>
        <v>8.0909090909090899</v>
      </c>
      <c r="I4157" s="436"/>
      <c r="J4157" s="465">
        <v>0</v>
      </c>
      <c r="K4157" s="465">
        <v>0</v>
      </c>
    </row>
    <row r="4158" spans="2:11" ht="19" customHeight="1">
      <c r="B4158" s="464">
        <v>46109</v>
      </c>
      <c r="C4158" s="436" t="s">
        <v>251</v>
      </c>
      <c r="D4158" s="436" t="s">
        <v>926</v>
      </c>
      <c r="E4158" s="436">
        <v>1</v>
      </c>
      <c r="F4158" s="465">
        <v>2.65</v>
      </c>
      <c r="G4158" s="466">
        <v>2.65</v>
      </c>
      <c r="H4158" s="466">
        <f>G4158/1.1</f>
        <v>2.4090909090909087</v>
      </c>
      <c r="I4158" s="436"/>
      <c r="J4158" s="465">
        <v>0</v>
      </c>
      <c r="K4158" s="465">
        <v>0</v>
      </c>
    </row>
    <row r="4159" spans="2:11" ht="19" customHeight="1">
      <c r="B4159" s="464">
        <v>46109</v>
      </c>
      <c r="C4159" s="436" t="s">
        <v>253</v>
      </c>
      <c r="D4159" s="436" t="s">
        <v>901</v>
      </c>
      <c r="E4159" s="436">
        <v>1</v>
      </c>
      <c r="F4159" s="465">
        <v>2.15</v>
      </c>
      <c r="G4159" s="466">
        <v>2.15</v>
      </c>
      <c r="H4159" s="466">
        <f>G4159/1.1</f>
        <v>1.9545454545454544</v>
      </c>
      <c r="I4159" s="436"/>
      <c r="J4159" s="465">
        <v>0</v>
      </c>
      <c r="K4159" s="465">
        <v>0</v>
      </c>
    </row>
    <row r="4160" spans="2:11" ht="19" customHeight="1">
      <c r="B4160" s="464">
        <v>46109</v>
      </c>
      <c r="C4160" s="436" t="s">
        <v>264</v>
      </c>
      <c r="D4160" s="436" t="s">
        <v>930</v>
      </c>
      <c r="E4160" s="436">
        <v>1</v>
      </c>
      <c r="F4160" s="465">
        <v>3.5</v>
      </c>
      <c r="G4160" s="466">
        <v>3.5</v>
      </c>
      <c r="H4160" s="466">
        <f>G4160/1.1</f>
        <v>3.1818181818181817</v>
      </c>
      <c r="I4160" s="436"/>
      <c r="J4160" s="465">
        <v>0</v>
      </c>
      <c r="K4160" s="465">
        <v>0</v>
      </c>
    </row>
    <row r="4161" spans="2:11" ht="19" customHeight="1">
      <c r="B4161" s="464">
        <v>46109</v>
      </c>
      <c r="C4161" s="436" t="s">
        <v>256</v>
      </c>
      <c r="D4161" s="436" t="s">
        <v>678</v>
      </c>
      <c r="E4161" s="436">
        <v>1</v>
      </c>
      <c r="F4161" s="465">
        <v>6.9</v>
      </c>
      <c r="G4161" s="466">
        <v>6.9</v>
      </c>
      <c r="H4161" s="466">
        <f>G4161/1.1</f>
        <v>6.2727272727272725</v>
      </c>
      <c r="I4161" s="436"/>
      <c r="J4161" s="465">
        <v>0</v>
      </c>
      <c r="K4161" s="465">
        <v>0</v>
      </c>
    </row>
    <row r="4162" spans="2:11" ht="19" customHeight="1">
      <c r="B4162" s="464">
        <v>46109</v>
      </c>
      <c r="C4162" s="436" t="s">
        <v>256</v>
      </c>
      <c r="D4162" s="436" t="s">
        <v>255</v>
      </c>
      <c r="E4162" s="436">
        <v>1</v>
      </c>
      <c r="F4162" s="465">
        <v>5.6</v>
      </c>
      <c r="G4162" s="466">
        <v>5.6</v>
      </c>
      <c r="H4162" s="466">
        <f>G4162/1.1</f>
        <v>5.0909090909090899</v>
      </c>
      <c r="I4162" s="436"/>
      <c r="J4162" s="465">
        <v>0</v>
      </c>
      <c r="K4162" s="465">
        <v>0</v>
      </c>
    </row>
    <row r="4163" spans="2:11" ht="19" customHeight="1">
      <c r="B4163" s="464">
        <v>46109</v>
      </c>
      <c r="C4163" s="436" t="s">
        <v>247</v>
      </c>
      <c r="D4163" s="436" t="s">
        <v>919</v>
      </c>
      <c r="E4163" s="436">
        <v>1</v>
      </c>
      <c r="F4163" s="465">
        <v>1.85</v>
      </c>
      <c r="G4163" s="466">
        <v>1.85</v>
      </c>
      <c r="H4163" s="466">
        <f>G4163/1.1</f>
        <v>1.6818181818181817</v>
      </c>
      <c r="I4163" s="436"/>
      <c r="J4163" s="465">
        <v>0</v>
      </c>
      <c r="K4163" s="465">
        <v>0</v>
      </c>
    </row>
    <row r="4164" spans="2:11" ht="19" customHeight="1">
      <c r="B4164" s="464">
        <v>46109</v>
      </c>
      <c r="C4164" s="436" t="s">
        <v>251</v>
      </c>
      <c r="D4164" s="436" t="s">
        <v>945</v>
      </c>
      <c r="E4164" s="436">
        <v>1</v>
      </c>
      <c r="F4164" s="465">
        <v>2.8</v>
      </c>
      <c r="G4164" s="466">
        <v>2.8</v>
      </c>
      <c r="H4164" s="466">
        <f>G4164/1.1</f>
        <v>2.545454545454545</v>
      </c>
      <c r="I4164" s="436"/>
      <c r="J4164" s="465">
        <v>0</v>
      </c>
      <c r="K4164" s="465">
        <v>0</v>
      </c>
    </row>
    <row r="4165" spans="2:11" ht="19" customHeight="1">
      <c r="B4165" s="464">
        <v>46109</v>
      </c>
      <c r="C4165" s="436" t="s">
        <v>251</v>
      </c>
      <c r="D4165" s="436" t="s">
        <v>926</v>
      </c>
      <c r="E4165" s="436">
        <v>1</v>
      </c>
      <c r="F4165" s="465">
        <v>2.8</v>
      </c>
      <c r="G4165" s="466">
        <v>2.8</v>
      </c>
      <c r="H4165" s="466">
        <f>G4165/1.1</f>
        <v>2.545454545454545</v>
      </c>
      <c r="I4165" s="436"/>
      <c r="J4165" s="465">
        <v>0</v>
      </c>
      <c r="K4165" s="465">
        <v>0</v>
      </c>
    </row>
    <row r="4166" spans="2:11" ht="19" customHeight="1">
      <c r="B4166" s="464">
        <v>46109</v>
      </c>
      <c r="C4166" s="436" t="s">
        <v>247</v>
      </c>
      <c r="D4166" s="436" t="s">
        <v>246</v>
      </c>
      <c r="E4166" s="436">
        <v>3</v>
      </c>
      <c r="F4166" s="465">
        <v>1.85</v>
      </c>
      <c r="G4166" s="466">
        <v>5.55</v>
      </c>
      <c r="H4166" s="466">
        <f>G4166/1.1</f>
        <v>5.045454545454545</v>
      </c>
      <c r="I4166" s="436"/>
      <c r="J4166" s="465">
        <v>0</v>
      </c>
      <c r="K4166" s="465">
        <v>0</v>
      </c>
    </row>
    <row r="4167" spans="2:11" ht="19" customHeight="1">
      <c r="B4167" s="464">
        <v>46109</v>
      </c>
      <c r="C4167" s="436" t="s">
        <v>251</v>
      </c>
      <c r="D4167" s="436" t="s">
        <v>250</v>
      </c>
      <c r="E4167" s="436">
        <v>1</v>
      </c>
      <c r="F4167" s="465">
        <v>2.0499999999999998</v>
      </c>
      <c r="G4167" s="466">
        <v>2.0499999999999998</v>
      </c>
      <c r="H4167" s="466">
        <f>G4167/1.1</f>
        <v>1.8636363636363633</v>
      </c>
      <c r="I4167" s="436"/>
      <c r="J4167" s="465">
        <v>0</v>
      </c>
      <c r="K4167" s="465">
        <v>0</v>
      </c>
    </row>
    <row r="4168" spans="2:11" ht="19" customHeight="1">
      <c r="B4168" s="464">
        <v>46110</v>
      </c>
      <c r="C4168" s="436" t="s">
        <v>862</v>
      </c>
      <c r="D4168" s="436" t="s">
        <v>863</v>
      </c>
      <c r="E4168" s="436">
        <v>1</v>
      </c>
      <c r="F4168" s="465">
        <v>0.15</v>
      </c>
      <c r="G4168" s="466">
        <v>0.15</v>
      </c>
      <c r="H4168" s="466">
        <f>G4168/1.1</f>
        <v>0.13636363636363635</v>
      </c>
      <c r="I4168" s="436"/>
      <c r="J4168" s="465">
        <v>0</v>
      </c>
      <c r="K4168" s="465">
        <v>0</v>
      </c>
    </row>
    <row r="4169" spans="2:11" ht="19" customHeight="1">
      <c r="B4169" s="464">
        <v>46110</v>
      </c>
      <c r="C4169" s="436" t="s">
        <v>256</v>
      </c>
      <c r="D4169" s="436" t="s">
        <v>678</v>
      </c>
      <c r="E4169" s="436">
        <v>1</v>
      </c>
      <c r="F4169" s="465">
        <v>7.15</v>
      </c>
      <c r="G4169" s="466">
        <v>7.15</v>
      </c>
      <c r="H4169" s="466">
        <f>G4169/1.1</f>
        <v>6.5</v>
      </c>
      <c r="I4169" s="436"/>
      <c r="J4169" s="465">
        <v>0</v>
      </c>
      <c r="K4169" s="465">
        <v>0</v>
      </c>
    </row>
    <row r="4170" spans="2:11" ht="19" customHeight="1">
      <c r="B4170" s="464">
        <v>46110</v>
      </c>
      <c r="C4170" s="436" t="s">
        <v>253</v>
      </c>
      <c r="D4170" s="436" t="s">
        <v>869</v>
      </c>
      <c r="E4170" s="436">
        <v>3</v>
      </c>
      <c r="F4170" s="465">
        <v>2.65</v>
      </c>
      <c r="G4170" s="466">
        <v>7.95</v>
      </c>
      <c r="H4170" s="466">
        <f>G4170/1.1</f>
        <v>7.2272727272727266</v>
      </c>
      <c r="I4170" s="436"/>
      <c r="J4170" s="465">
        <v>0</v>
      </c>
      <c r="K4170" s="465">
        <v>0</v>
      </c>
    </row>
    <row r="4171" spans="2:11" ht="19" customHeight="1">
      <c r="B4171" s="464">
        <v>46110</v>
      </c>
      <c r="C4171" s="436" t="s">
        <v>247</v>
      </c>
      <c r="D4171" s="436" t="s">
        <v>248</v>
      </c>
      <c r="E4171" s="436">
        <v>1</v>
      </c>
      <c r="F4171" s="465">
        <v>1.65</v>
      </c>
      <c r="G4171" s="466">
        <v>1.65</v>
      </c>
      <c r="H4171" s="466">
        <f>G4171/1.1</f>
        <v>1.4999999999999998</v>
      </c>
      <c r="I4171" s="436"/>
      <c r="J4171" s="465">
        <v>0</v>
      </c>
      <c r="K4171" s="465">
        <v>0</v>
      </c>
    </row>
    <row r="4172" spans="2:11" ht="19" customHeight="1">
      <c r="B4172" s="464">
        <v>46110</v>
      </c>
      <c r="C4172" s="436" t="s">
        <v>275</v>
      </c>
      <c r="D4172" s="436" t="s">
        <v>1216</v>
      </c>
      <c r="E4172" s="436">
        <v>1</v>
      </c>
      <c r="F4172" s="465">
        <v>3</v>
      </c>
      <c r="G4172" s="466">
        <v>3</v>
      </c>
      <c r="H4172" s="466">
        <f>G4172/1.1</f>
        <v>2.7272727272727271</v>
      </c>
      <c r="I4172" s="436"/>
      <c r="J4172" s="465">
        <v>0</v>
      </c>
      <c r="K4172" s="465">
        <v>0</v>
      </c>
    </row>
    <row r="4173" spans="2:11" ht="19" customHeight="1">
      <c r="B4173" s="464">
        <v>46110</v>
      </c>
      <c r="C4173" s="436" t="s">
        <v>253</v>
      </c>
      <c r="D4173" s="436" t="s">
        <v>804</v>
      </c>
      <c r="E4173" s="436">
        <v>1</v>
      </c>
      <c r="F4173" s="465">
        <v>2.95</v>
      </c>
      <c r="G4173" s="466">
        <v>2.95</v>
      </c>
      <c r="H4173" s="466">
        <f>G4173/1.1</f>
        <v>2.6818181818181817</v>
      </c>
      <c r="I4173" s="436"/>
      <c r="J4173" s="465">
        <v>0</v>
      </c>
      <c r="K4173" s="465">
        <v>0</v>
      </c>
    </row>
    <row r="4174" spans="2:11" ht="19" customHeight="1">
      <c r="B4174" s="464">
        <v>46110</v>
      </c>
      <c r="C4174" s="436" t="s">
        <v>251</v>
      </c>
      <c r="D4174" s="436" t="s">
        <v>250</v>
      </c>
      <c r="E4174" s="436">
        <v>1</v>
      </c>
      <c r="F4174" s="465">
        <v>1.8</v>
      </c>
      <c r="G4174" s="466">
        <v>1.8</v>
      </c>
      <c r="H4174" s="466">
        <f>G4174/1.1</f>
        <v>1.6363636363636362</v>
      </c>
      <c r="I4174" s="436"/>
      <c r="J4174" s="465">
        <v>0</v>
      </c>
      <c r="K4174" s="465">
        <v>0</v>
      </c>
    </row>
    <row r="4175" spans="2:11" ht="19" customHeight="1">
      <c r="B4175" s="464">
        <v>46110</v>
      </c>
      <c r="C4175" s="436" t="s">
        <v>256</v>
      </c>
      <c r="D4175" s="436" t="s">
        <v>1012</v>
      </c>
      <c r="E4175" s="436">
        <v>1</v>
      </c>
      <c r="F4175" s="465">
        <v>11.9</v>
      </c>
      <c r="G4175" s="466">
        <v>11.9</v>
      </c>
      <c r="H4175" s="466">
        <f>G4175/1.1</f>
        <v>10.818181818181818</v>
      </c>
      <c r="I4175" s="436"/>
      <c r="J4175" s="465">
        <v>0</v>
      </c>
      <c r="K4175" s="465">
        <v>0</v>
      </c>
    </row>
    <row r="4176" spans="2:11" ht="19" customHeight="1">
      <c r="B4176" s="464">
        <v>46110</v>
      </c>
      <c r="C4176" s="436" t="s">
        <v>264</v>
      </c>
      <c r="D4176" s="436" t="s">
        <v>930</v>
      </c>
      <c r="E4176" s="436">
        <v>1</v>
      </c>
      <c r="F4176" s="465">
        <v>3.5</v>
      </c>
      <c r="G4176" s="466">
        <v>3.5</v>
      </c>
      <c r="H4176" s="466">
        <f>G4176/1.1</f>
        <v>3.1818181818181817</v>
      </c>
      <c r="I4176" s="436"/>
      <c r="J4176" s="465">
        <v>0</v>
      </c>
      <c r="K4176" s="465">
        <v>0</v>
      </c>
    </row>
    <row r="4177" spans="2:11" ht="19" customHeight="1">
      <c r="B4177" s="464">
        <v>46110</v>
      </c>
      <c r="C4177" s="436" t="s">
        <v>256</v>
      </c>
      <c r="D4177" s="436" t="s">
        <v>262</v>
      </c>
      <c r="E4177" s="436">
        <v>2</v>
      </c>
      <c r="F4177" s="465">
        <v>11.9</v>
      </c>
      <c r="G4177" s="466">
        <v>23.8</v>
      </c>
      <c r="H4177" s="466">
        <f>G4177/1.1</f>
        <v>21.636363636363637</v>
      </c>
      <c r="I4177" s="436"/>
      <c r="J4177" s="465">
        <v>0</v>
      </c>
      <c r="K4177" s="465">
        <v>0</v>
      </c>
    </row>
    <row r="4178" spans="2:11" ht="19" customHeight="1">
      <c r="B4178" s="464">
        <v>46110</v>
      </c>
      <c r="C4178" s="436" t="s">
        <v>247</v>
      </c>
      <c r="D4178" s="436" t="s">
        <v>902</v>
      </c>
      <c r="E4178" s="436">
        <v>1</v>
      </c>
      <c r="F4178" s="465">
        <v>1.95</v>
      </c>
      <c r="G4178" s="466">
        <v>1.95</v>
      </c>
      <c r="H4178" s="466">
        <f>G4178/1.1</f>
        <v>1.7727272727272725</v>
      </c>
      <c r="I4178" s="436"/>
      <c r="J4178" s="465">
        <v>0</v>
      </c>
      <c r="K4178" s="465">
        <v>0</v>
      </c>
    </row>
    <row r="4179" spans="2:11" ht="19" customHeight="1">
      <c r="B4179" s="464">
        <v>46110</v>
      </c>
      <c r="C4179" s="436" t="s">
        <v>253</v>
      </c>
      <c r="D4179" s="436" t="s">
        <v>687</v>
      </c>
      <c r="E4179" s="436">
        <v>2</v>
      </c>
      <c r="F4179" s="465">
        <v>2.95</v>
      </c>
      <c r="G4179" s="466">
        <v>5.9</v>
      </c>
      <c r="H4179" s="466">
        <f>G4179/1.1</f>
        <v>5.3636363636363633</v>
      </c>
      <c r="I4179" s="436"/>
      <c r="J4179" s="465">
        <v>0</v>
      </c>
      <c r="K4179" s="465">
        <v>0</v>
      </c>
    </row>
    <row r="4180" spans="2:11" ht="19" customHeight="1">
      <c r="B4180" s="464">
        <v>46110</v>
      </c>
      <c r="C4180" s="436" t="s">
        <v>247</v>
      </c>
      <c r="D4180" s="436" t="s">
        <v>257</v>
      </c>
      <c r="E4180" s="436">
        <v>2</v>
      </c>
      <c r="F4180" s="465">
        <v>1.55</v>
      </c>
      <c r="G4180" s="466">
        <v>3.1</v>
      </c>
      <c r="H4180" s="466">
        <f>G4180/1.1</f>
        <v>2.8181818181818179</v>
      </c>
      <c r="I4180" s="436"/>
      <c r="J4180" s="465">
        <v>0</v>
      </c>
      <c r="K4180" s="465">
        <v>0</v>
      </c>
    </row>
    <row r="4181" spans="2:11" ht="19" customHeight="1">
      <c r="B4181" s="464">
        <v>46110</v>
      </c>
      <c r="C4181" s="436" t="s">
        <v>264</v>
      </c>
      <c r="D4181" s="436" t="s">
        <v>269</v>
      </c>
      <c r="E4181" s="436">
        <v>2</v>
      </c>
      <c r="F4181" s="465">
        <v>0.1</v>
      </c>
      <c r="G4181" s="466">
        <v>0.2</v>
      </c>
      <c r="H4181" s="466">
        <f>G4181/1.1</f>
        <v>0.18181818181818182</v>
      </c>
      <c r="I4181" s="436"/>
      <c r="J4181" s="465">
        <v>0</v>
      </c>
      <c r="K4181" s="465">
        <v>0</v>
      </c>
    </row>
    <row r="4182" spans="2:11" ht="19" customHeight="1">
      <c r="B4182" s="464">
        <v>46110</v>
      </c>
      <c r="C4182" s="436" t="s">
        <v>275</v>
      </c>
      <c r="D4182" s="436" t="s">
        <v>674</v>
      </c>
      <c r="E4182" s="436">
        <v>1</v>
      </c>
      <c r="F4182" s="465">
        <v>5.75</v>
      </c>
      <c r="G4182" s="466">
        <v>5.75</v>
      </c>
      <c r="H4182" s="466">
        <f>G4182/1.1</f>
        <v>5.2272727272727266</v>
      </c>
      <c r="I4182" s="436"/>
      <c r="J4182" s="465">
        <v>0</v>
      </c>
      <c r="K4182" s="465">
        <v>0</v>
      </c>
    </row>
    <row r="4183" spans="2:11" ht="19" customHeight="1">
      <c r="B4183" s="464">
        <v>46110</v>
      </c>
      <c r="C4183" s="436" t="s">
        <v>256</v>
      </c>
      <c r="D4183" s="436" t="s">
        <v>679</v>
      </c>
      <c r="E4183" s="436">
        <v>1</v>
      </c>
      <c r="F4183" s="465">
        <v>10</v>
      </c>
      <c r="G4183" s="466">
        <v>10</v>
      </c>
      <c r="H4183" s="466">
        <f>G4183/1.1</f>
        <v>9.0909090909090899</v>
      </c>
      <c r="I4183" s="436"/>
      <c r="J4183" s="465">
        <v>0</v>
      </c>
      <c r="K4183" s="465">
        <v>0</v>
      </c>
    </row>
    <row r="4184" spans="2:11" ht="19" customHeight="1">
      <c r="B4184" s="464">
        <v>46110</v>
      </c>
      <c r="C4184" s="436" t="s">
        <v>256</v>
      </c>
      <c r="D4184" s="436" t="s">
        <v>738</v>
      </c>
      <c r="E4184" s="436">
        <v>1</v>
      </c>
      <c r="F4184" s="465">
        <v>7.9</v>
      </c>
      <c r="G4184" s="466">
        <v>7.9</v>
      </c>
      <c r="H4184" s="466">
        <f>G4184/1.1</f>
        <v>7.1818181818181817</v>
      </c>
      <c r="I4184" s="436"/>
      <c r="J4184" s="465">
        <v>0</v>
      </c>
      <c r="K4184" s="465">
        <v>0</v>
      </c>
    </row>
    <row r="4185" spans="2:11" ht="19" customHeight="1">
      <c r="B4185" s="464">
        <v>46110</v>
      </c>
      <c r="C4185" s="436" t="s">
        <v>256</v>
      </c>
      <c r="D4185" s="436" t="s">
        <v>255</v>
      </c>
      <c r="E4185" s="436">
        <v>1</v>
      </c>
      <c r="F4185" s="465">
        <v>5.6</v>
      </c>
      <c r="G4185" s="466">
        <v>5.6</v>
      </c>
      <c r="H4185" s="466">
        <f>G4185/1.1</f>
        <v>5.0909090909090899</v>
      </c>
      <c r="I4185" s="436"/>
      <c r="J4185" s="465">
        <v>0</v>
      </c>
      <c r="K4185" s="465">
        <v>0</v>
      </c>
    </row>
    <row r="4186" spans="2:11" ht="19" customHeight="1">
      <c r="B4186" s="464">
        <v>46110</v>
      </c>
      <c r="C4186" s="436" t="s">
        <v>275</v>
      </c>
      <c r="D4186" s="436" t="s">
        <v>897</v>
      </c>
      <c r="E4186" s="436">
        <v>1</v>
      </c>
      <c r="F4186" s="465">
        <v>6.5</v>
      </c>
      <c r="G4186" s="466">
        <v>6.5</v>
      </c>
      <c r="H4186" s="466">
        <f>G4186/1.1</f>
        <v>5.9090909090909083</v>
      </c>
      <c r="I4186" s="436"/>
      <c r="J4186" s="465">
        <v>0</v>
      </c>
      <c r="K4186" s="465">
        <v>0</v>
      </c>
    </row>
    <row r="4187" spans="2:11" ht="19" customHeight="1">
      <c r="B4187" s="464">
        <v>46110</v>
      </c>
      <c r="C4187" s="436" t="s">
        <v>276</v>
      </c>
      <c r="D4187" s="436" t="s">
        <v>1052</v>
      </c>
      <c r="E4187" s="436">
        <v>1</v>
      </c>
      <c r="F4187" s="465">
        <v>3.4</v>
      </c>
      <c r="G4187" s="466">
        <v>3.4</v>
      </c>
      <c r="H4187" s="466">
        <f>G4187/1.1</f>
        <v>3.0909090909090904</v>
      </c>
      <c r="I4187" s="436"/>
      <c r="J4187" s="465">
        <v>0</v>
      </c>
      <c r="K4187" s="465">
        <v>0</v>
      </c>
    </row>
    <row r="4188" spans="2:11" ht="19" customHeight="1">
      <c r="B4188" s="464">
        <v>46110</v>
      </c>
      <c r="C4188" s="436" t="s">
        <v>253</v>
      </c>
      <c r="D4188" s="436" t="s">
        <v>869</v>
      </c>
      <c r="E4188" s="436">
        <v>2</v>
      </c>
      <c r="F4188" s="465">
        <v>2.65</v>
      </c>
      <c r="G4188" s="466">
        <v>5.3</v>
      </c>
      <c r="H4188" s="466">
        <f>G4188/1.1</f>
        <v>4.8181818181818175</v>
      </c>
      <c r="I4188" s="436"/>
      <c r="J4188" s="465">
        <v>0</v>
      </c>
      <c r="K4188" s="465">
        <v>0</v>
      </c>
    </row>
    <row r="4189" spans="2:11" ht="19" customHeight="1">
      <c r="B4189" s="464">
        <v>46110</v>
      </c>
      <c r="C4189" s="436" t="s">
        <v>253</v>
      </c>
      <c r="D4189" s="436" t="s">
        <v>965</v>
      </c>
      <c r="E4189" s="436">
        <v>1</v>
      </c>
      <c r="F4189" s="465">
        <v>2.65</v>
      </c>
      <c r="G4189" s="466">
        <v>2.65</v>
      </c>
      <c r="H4189" s="466">
        <f>G4189/1.1</f>
        <v>2.4090909090909087</v>
      </c>
      <c r="I4189" s="436"/>
      <c r="J4189" s="465">
        <v>0</v>
      </c>
      <c r="K4189" s="465">
        <v>0</v>
      </c>
    </row>
    <row r="4190" spans="2:11" ht="19" customHeight="1">
      <c r="B4190" s="464">
        <v>46110</v>
      </c>
      <c r="C4190" s="436" t="s">
        <v>256</v>
      </c>
      <c r="D4190" s="436" t="s">
        <v>912</v>
      </c>
      <c r="E4190" s="436">
        <v>2</v>
      </c>
      <c r="F4190" s="465">
        <v>5.75</v>
      </c>
      <c r="G4190" s="466">
        <v>11.5</v>
      </c>
      <c r="H4190" s="466">
        <f>G4190/1.1</f>
        <v>10.454545454545453</v>
      </c>
      <c r="I4190" s="436"/>
      <c r="J4190" s="465">
        <v>0</v>
      </c>
      <c r="K4190" s="465">
        <v>0</v>
      </c>
    </row>
    <row r="4191" spans="2:11" ht="19" customHeight="1">
      <c r="B4191" s="464">
        <v>46110</v>
      </c>
      <c r="C4191" s="436" t="s">
        <v>253</v>
      </c>
      <c r="D4191" s="436" t="s">
        <v>901</v>
      </c>
      <c r="E4191" s="436">
        <v>1</v>
      </c>
      <c r="F4191" s="465">
        <v>2.2999999999999998</v>
      </c>
      <c r="G4191" s="466">
        <v>2.2999999999999998</v>
      </c>
      <c r="H4191" s="466">
        <f>G4191/1.1</f>
        <v>2.0909090909090904</v>
      </c>
      <c r="I4191" s="436"/>
      <c r="J4191" s="465">
        <v>0</v>
      </c>
      <c r="K4191" s="465">
        <v>0</v>
      </c>
    </row>
    <row r="4192" spans="2:11" ht="19" customHeight="1">
      <c r="B4192" s="464">
        <v>46110</v>
      </c>
      <c r="C4192" s="436" t="s">
        <v>253</v>
      </c>
      <c r="D4192" s="436" t="s">
        <v>804</v>
      </c>
      <c r="E4192" s="436">
        <v>1</v>
      </c>
      <c r="F4192" s="465">
        <v>3.1</v>
      </c>
      <c r="G4192" s="466">
        <v>3.1</v>
      </c>
      <c r="H4192" s="466">
        <f>G4192/1.1</f>
        <v>2.8181818181818179</v>
      </c>
      <c r="I4192" s="436"/>
      <c r="J4192" s="465">
        <v>0</v>
      </c>
      <c r="K4192" s="465">
        <v>0</v>
      </c>
    </row>
    <row r="4193" spans="2:11" ht="19" customHeight="1">
      <c r="B4193" s="464">
        <v>46110</v>
      </c>
      <c r="C4193" s="436" t="s">
        <v>321</v>
      </c>
      <c r="D4193" s="436" t="s">
        <v>910</v>
      </c>
      <c r="E4193" s="436">
        <v>1</v>
      </c>
      <c r="F4193" s="465">
        <v>4.25</v>
      </c>
      <c r="G4193" s="466">
        <v>4.25</v>
      </c>
      <c r="H4193" s="466">
        <f>G4193/1.1</f>
        <v>3.8636363636363633</v>
      </c>
      <c r="I4193" s="436"/>
      <c r="J4193" s="465">
        <v>0</v>
      </c>
      <c r="K4193" s="465">
        <v>0</v>
      </c>
    </row>
    <row r="4194" spans="2:11" ht="19" customHeight="1">
      <c r="B4194" s="464">
        <v>46110</v>
      </c>
      <c r="C4194" s="436" t="s">
        <v>276</v>
      </c>
      <c r="D4194" s="436" t="s">
        <v>995</v>
      </c>
      <c r="E4194" s="436">
        <v>2</v>
      </c>
      <c r="F4194" s="465">
        <v>3.3</v>
      </c>
      <c r="G4194" s="466">
        <v>6.6</v>
      </c>
      <c r="H4194" s="466">
        <f>G4194/1.1</f>
        <v>5.9999999999999991</v>
      </c>
      <c r="I4194" s="436"/>
      <c r="J4194" s="465">
        <v>0</v>
      </c>
      <c r="K4194" s="465">
        <v>0</v>
      </c>
    </row>
    <row r="4195" spans="2:11" ht="19" customHeight="1">
      <c r="B4195" s="464">
        <v>46110</v>
      </c>
      <c r="C4195" s="436" t="s">
        <v>321</v>
      </c>
      <c r="D4195" s="436" t="s">
        <v>910</v>
      </c>
      <c r="E4195" s="436">
        <v>1</v>
      </c>
      <c r="F4195" s="465">
        <v>4.25</v>
      </c>
      <c r="G4195" s="466">
        <v>4.25</v>
      </c>
      <c r="H4195" s="466">
        <f>G4195/1.1</f>
        <v>3.8636363636363633</v>
      </c>
      <c r="I4195" s="436"/>
      <c r="J4195" s="465">
        <v>0</v>
      </c>
      <c r="K4195" s="465">
        <v>0</v>
      </c>
    </row>
    <row r="4196" spans="2:11" ht="19" customHeight="1">
      <c r="B4196" s="464">
        <v>46110</v>
      </c>
      <c r="C4196" s="436" t="s">
        <v>321</v>
      </c>
      <c r="D4196" s="436" t="s">
        <v>910</v>
      </c>
      <c r="E4196" s="436">
        <v>1</v>
      </c>
      <c r="F4196" s="465">
        <v>4.25</v>
      </c>
      <c r="G4196" s="466">
        <v>4.25</v>
      </c>
      <c r="H4196" s="466">
        <f>G4196/1.1</f>
        <v>3.8636363636363633</v>
      </c>
      <c r="I4196" s="436"/>
      <c r="J4196" s="465">
        <v>0</v>
      </c>
      <c r="K4196" s="465">
        <v>0</v>
      </c>
    </row>
    <row r="4197" spans="2:11" ht="19" customHeight="1">
      <c r="B4197" s="464">
        <v>46110</v>
      </c>
      <c r="C4197" s="436" t="s">
        <v>253</v>
      </c>
      <c r="D4197" s="436" t="s">
        <v>676</v>
      </c>
      <c r="E4197" s="436">
        <v>2</v>
      </c>
      <c r="F4197" s="465">
        <v>3.1</v>
      </c>
      <c r="G4197" s="466">
        <v>6.2</v>
      </c>
      <c r="H4197" s="466">
        <f>G4197/1.1</f>
        <v>5.6363636363636358</v>
      </c>
      <c r="I4197" s="436"/>
      <c r="J4197" s="465">
        <v>0</v>
      </c>
      <c r="K4197" s="465">
        <v>0</v>
      </c>
    </row>
    <row r="4198" spans="2:11" ht="19" customHeight="1">
      <c r="B4198" s="464">
        <v>46110</v>
      </c>
      <c r="C4198" s="436" t="s">
        <v>247</v>
      </c>
      <c r="D4198" s="436" t="s">
        <v>248</v>
      </c>
      <c r="E4198" s="436">
        <v>2</v>
      </c>
      <c r="F4198" s="465">
        <v>1.8</v>
      </c>
      <c r="G4198" s="466">
        <v>3.6</v>
      </c>
      <c r="H4198" s="466">
        <f>G4198/1.1</f>
        <v>3.2727272727272725</v>
      </c>
      <c r="I4198" s="436"/>
      <c r="J4198" s="465">
        <v>0</v>
      </c>
      <c r="K4198" s="465">
        <v>0</v>
      </c>
    </row>
    <row r="4199" spans="2:11" ht="19" customHeight="1">
      <c r="B4199" s="464">
        <v>46110</v>
      </c>
      <c r="C4199" s="436" t="s">
        <v>247</v>
      </c>
      <c r="D4199" s="436" t="s">
        <v>246</v>
      </c>
      <c r="E4199" s="436">
        <v>1</v>
      </c>
      <c r="F4199" s="465">
        <v>1.85</v>
      </c>
      <c r="G4199" s="466">
        <v>1.85</v>
      </c>
      <c r="H4199" s="466">
        <f>G4199/1.1</f>
        <v>1.6818181818181817</v>
      </c>
      <c r="I4199" s="436"/>
      <c r="J4199" s="465">
        <v>0</v>
      </c>
      <c r="K4199" s="465">
        <v>0</v>
      </c>
    </row>
    <row r="4200" spans="2:11" ht="19" customHeight="1">
      <c r="B4200" s="464">
        <v>46110</v>
      </c>
      <c r="C4200" s="436" t="s">
        <v>247</v>
      </c>
      <c r="D4200" s="436" t="s">
        <v>919</v>
      </c>
      <c r="E4200" s="436">
        <v>1</v>
      </c>
      <c r="F4200" s="465">
        <v>1.85</v>
      </c>
      <c r="G4200" s="466">
        <v>1.85</v>
      </c>
      <c r="H4200" s="466">
        <f>G4200/1.1</f>
        <v>1.6818181818181817</v>
      </c>
      <c r="I4200" s="436"/>
      <c r="J4200" s="465">
        <v>0</v>
      </c>
      <c r="K4200" s="465">
        <v>0</v>
      </c>
    </row>
    <row r="4201" spans="2:11" ht="19" customHeight="1">
      <c r="B4201" s="464">
        <v>46110</v>
      </c>
      <c r="C4201" s="436" t="s">
        <v>247</v>
      </c>
      <c r="D4201" s="436" t="s">
        <v>248</v>
      </c>
      <c r="E4201" s="436">
        <v>2</v>
      </c>
      <c r="F4201" s="465">
        <v>1.5</v>
      </c>
      <c r="G4201" s="466">
        <v>3</v>
      </c>
      <c r="H4201" s="466">
        <f>G4201/1.1</f>
        <v>2.7272727272727271</v>
      </c>
      <c r="I4201" s="436"/>
      <c r="J4201" s="465">
        <v>0</v>
      </c>
      <c r="K4201" s="465">
        <v>0</v>
      </c>
    </row>
    <row r="4202" spans="2:11" ht="19" customHeight="1">
      <c r="B4202" s="464">
        <v>46110</v>
      </c>
      <c r="C4202" s="436" t="s">
        <v>247</v>
      </c>
      <c r="D4202" s="436" t="s">
        <v>902</v>
      </c>
      <c r="E4202" s="436">
        <v>1</v>
      </c>
      <c r="F4202" s="465">
        <v>1.95</v>
      </c>
      <c r="G4202" s="466">
        <v>1.95</v>
      </c>
      <c r="H4202" s="466">
        <f>G4202/1.1</f>
        <v>1.7727272727272725</v>
      </c>
      <c r="I4202" s="436"/>
      <c r="J4202" s="465">
        <v>0</v>
      </c>
      <c r="K4202" s="465">
        <v>0</v>
      </c>
    </row>
    <row r="4203" spans="2:11" ht="19" customHeight="1">
      <c r="B4203" s="464">
        <v>46110</v>
      </c>
      <c r="C4203" s="436" t="s">
        <v>247</v>
      </c>
      <c r="D4203" s="436" t="s">
        <v>246</v>
      </c>
      <c r="E4203" s="436">
        <v>1</v>
      </c>
      <c r="F4203" s="465">
        <v>1.7</v>
      </c>
      <c r="G4203" s="466">
        <v>1.7</v>
      </c>
      <c r="H4203" s="466">
        <f>G4203/1.1</f>
        <v>1.5454545454545452</v>
      </c>
      <c r="I4203" s="436"/>
      <c r="J4203" s="465">
        <v>0</v>
      </c>
      <c r="K4203" s="465">
        <v>0</v>
      </c>
    </row>
    <row r="4204" spans="2:11" ht="19" customHeight="1">
      <c r="B4204" s="464">
        <v>46110</v>
      </c>
      <c r="C4204" s="436" t="s">
        <v>862</v>
      </c>
      <c r="D4204" s="436" t="s">
        <v>899</v>
      </c>
      <c r="E4204" s="436">
        <v>1</v>
      </c>
      <c r="F4204" s="465">
        <v>0.05</v>
      </c>
      <c r="G4204" s="466">
        <v>0.05</v>
      </c>
      <c r="H4204" s="466">
        <f>G4204/1.1</f>
        <v>4.5454545454545456E-2</v>
      </c>
      <c r="I4204" s="436"/>
      <c r="J4204" s="465">
        <v>0</v>
      </c>
      <c r="K4204" s="465">
        <v>0</v>
      </c>
    </row>
    <row r="4205" spans="2:11" ht="19" customHeight="1">
      <c r="B4205" s="464">
        <v>46110</v>
      </c>
      <c r="C4205" s="436" t="s">
        <v>251</v>
      </c>
      <c r="D4205" s="436" t="s">
        <v>265</v>
      </c>
      <c r="E4205" s="436">
        <v>1</v>
      </c>
      <c r="F4205" s="465">
        <v>2.65</v>
      </c>
      <c r="G4205" s="466">
        <v>2.65</v>
      </c>
      <c r="H4205" s="466">
        <f>G4205/1.1</f>
        <v>2.4090909090909087</v>
      </c>
      <c r="I4205" s="436"/>
      <c r="J4205" s="465">
        <v>0</v>
      </c>
      <c r="K4205" s="465">
        <v>0</v>
      </c>
    </row>
    <row r="4206" spans="2:11" ht="19" customHeight="1">
      <c r="B4206" s="464">
        <v>46110</v>
      </c>
      <c r="C4206" s="436" t="s">
        <v>251</v>
      </c>
      <c r="D4206" s="436" t="s">
        <v>742</v>
      </c>
      <c r="E4206" s="436">
        <v>1</v>
      </c>
      <c r="F4206" s="465">
        <v>2.75</v>
      </c>
      <c r="G4206" s="466">
        <v>2.75</v>
      </c>
      <c r="H4206" s="466">
        <f>G4206/1.1</f>
        <v>2.5</v>
      </c>
      <c r="I4206" s="436"/>
      <c r="J4206" s="465">
        <v>0</v>
      </c>
      <c r="K4206" s="465">
        <v>0</v>
      </c>
    </row>
    <row r="4207" spans="2:11" ht="19" customHeight="1">
      <c r="B4207" s="464">
        <v>46110</v>
      </c>
      <c r="C4207" s="436" t="s">
        <v>894</v>
      </c>
      <c r="D4207" s="436" t="s">
        <v>814</v>
      </c>
      <c r="E4207" s="436">
        <v>1</v>
      </c>
      <c r="F4207" s="465">
        <v>5.4</v>
      </c>
      <c r="G4207" s="466">
        <v>5.4</v>
      </c>
      <c r="H4207" s="466">
        <f>G4207/1.1</f>
        <v>4.9090909090909092</v>
      </c>
      <c r="I4207" s="436"/>
      <c r="J4207" s="465">
        <v>0</v>
      </c>
      <c r="K4207" s="465">
        <v>0</v>
      </c>
    </row>
    <row r="4208" spans="2:11" ht="19" customHeight="1">
      <c r="B4208" s="464">
        <v>46110</v>
      </c>
      <c r="C4208" s="436" t="s">
        <v>327</v>
      </c>
      <c r="D4208" s="436" t="s">
        <v>799</v>
      </c>
      <c r="E4208" s="436">
        <v>2</v>
      </c>
      <c r="F4208" s="465">
        <v>3.5</v>
      </c>
      <c r="G4208" s="466">
        <v>7</v>
      </c>
      <c r="H4208" s="466">
        <f>G4208/1.1</f>
        <v>6.3636363636363633</v>
      </c>
      <c r="I4208" s="436"/>
      <c r="J4208" s="465">
        <v>0</v>
      </c>
      <c r="K4208" s="465">
        <v>0</v>
      </c>
    </row>
    <row r="4209" spans="2:11" ht="19" customHeight="1">
      <c r="B4209" s="464">
        <v>46110</v>
      </c>
      <c r="C4209" s="436" t="s">
        <v>247</v>
      </c>
      <c r="D4209" s="436" t="s">
        <v>246</v>
      </c>
      <c r="E4209" s="436">
        <v>2</v>
      </c>
      <c r="F4209" s="465">
        <v>1.7</v>
      </c>
      <c r="G4209" s="466">
        <v>3.4</v>
      </c>
      <c r="H4209" s="466">
        <f>G4209/1.1</f>
        <v>3.0909090909090904</v>
      </c>
      <c r="I4209" s="436"/>
      <c r="J4209" s="465">
        <v>0</v>
      </c>
      <c r="K4209" s="465">
        <v>0</v>
      </c>
    </row>
    <row r="4210" spans="2:11" ht="19" customHeight="1">
      <c r="B4210" s="464">
        <v>46110</v>
      </c>
      <c r="C4210" s="436" t="s">
        <v>251</v>
      </c>
      <c r="D4210" s="436" t="s">
        <v>854</v>
      </c>
      <c r="E4210" s="436">
        <v>1</v>
      </c>
      <c r="F4210" s="465">
        <v>1.55</v>
      </c>
      <c r="G4210" s="466">
        <v>1.55</v>
      </c>
      <c r="H4210" s="466">
        <f>G4210/1.1</f>
        <v>1.4090909090909089</v>
      </c>
      <c r="I4210" s="436"/>
      <c r="J4210" s="465">
        <v>0</v>
      </c>
      <c r="K4210" s="465">
        <v>0</v>
      </c>
    </row>
    <row r="4211" spans="2:11" ht="19" customHeight="1">
      <c r="B4211" s="464">
        <v>46110</v>
      </c>
      <c r="C4211" s="436" t="s">
        <v>253</v>
      </c>
      <c r="D4211" s="436" t="s">
        <v>869</v>
      </c>
      <c r="E4211" s="436">
        <v>2</v>
      </c>
      <c r="F4211" s="465">
        <v>2.5</v>
      </c>
      <c r="G4211" s="466">
        <v>5</v>
      </c>
      <c r="H4211" s="466">
        <f>G4211/1.1</f>
        <v>4.545454545454545</v>
      </c>
      <c r="I4211" s="436"/>
      <c r="J4211" s="465">
        <v>0</v>
      </c>
      <c r="K4211" s="465">
        <v>0</v>
      </c>
    </row>
    <row r="4212" spans="2:11" ht="19" customHeight="1">
      <c r="B4212" s="464">
        <v>46110</v>
      </c>
      <c r="C4212" s="436" t="s">
        <v>247</v>
      </c>
      <c r="D4212" s="436" t="s">
        <v>248</v>
      </c>
      <c r="E4212" s="436">
        <v>1</v>
      </c>
      <c r="F4212" s="465">
        <v>1.5</v>
      </c>
      <c r="G4212" s="466">
        <v>1.5</v>
      </c>
      <c r="H4212" s="466">
        <f>G4212/1.1</f>
        <v>1.3636363636363635</v>
      </c>
      <c r="I4212" s="436"/>
      <c r="J4212" s="465">
        <v>0</v>
      </c>
      <c r="K4212" s="465">
        <v>0</v>
      </c>
    </row>
    <row r="4213" spans="2:11" ht="19" customHeight="1">
      <c r="B4213" s="464">
        <v>46110</v>
      </c>
      <c r="C4213" s="436" t="s">
        <v>327</v>
      </c>
      <c r="D4213" s="436" t="s">
        <v>799</v>
      </c>
      <c r="E4213" s="436">
        <v>1</v>
      </c>
      <c r="F4213" s="465">
        <v>3.5</v>
      </c>
      <c r="G4213" s="466">
        <v>3.5</v>
      </c>
      <c r="H4213" s="466">
        <f>G4213/1.1</f>
        <v>3.1818181818181817</v>
      </c>
      <c r="I4213" s="436"/>
      <c r="J4213" s="465">
        <v>0</v>
      </c>
      <c r="K4213" s="465">
        <v>0</v>
      </c>
    </row>
    <row r="4214" spans="2:11" ht="19" customHeight="1">
      <c r="B4214" s="464">
        <v>46110</v>
      </c>
      <c r="C4214" s="436" t="s">
        <v>247</v>
      </c>
      <c r="D4214" s="436" t="s">
        <v>246</v>
      </c>
      <c r="E4214" s="436">
        <v>1</v>
      </c>
      <c r="F4214" s="465">
        <v>1.7</v>
      </c>
      <c r="G4214" s="466">
        <v>1.7</v>
      </c>
      <c r="H4214" s="466">
        <f>G4214/1.1</f>
        <v>1.5454545454545452</v>
      </c>
      <c r="I4214" s="436"/>
      <c r="J4214" s="465">
        <v>0</v>
      </c>
      <c r="K4214" s="465">
        <v>0</v>
      </c>
    </row>
    <row r="4215" spans="2:11" ht="19" customHeight="1">
      <c r="B4215" s="464">
        <v>46110</v>
      </c>
      <c r="C4215" s="436" t="s">
        <v>862</v>
      </c>
      <c r="D4215" s="436" t="s">
        <v>899</v>
      </c>
      <c r="E4215" s="436">
        <v>1</v>
      </c>
      <c r="F4215" s="465">
        <v>0.05</v>
      </c>
      <c r="G4215" s="466">
        <v>0.05</v>
      </c>
      <c r="H4215" s="466">
        <f>G4215/1.1</f>
        <v>4.5454545454545456E-2</v>
      </c>
      <c r="I4215" s="436"/>
      <c r="J4215" s="465">
        <v>0</v>
      </c>
      <c r="K4215" s="465">
        <v>0</v>
      </c>
    </row>
    <row r="4216" spans="2:11" ht="19" customHeight="1">
      <c r="B4216" s="464">
        <v>46110</v>
      </c>
      <c r="C4216" s="436" t="s">
        <v>247</v>
      </c>
      <c r="D4216" s="436" t="s">
        <v>257</v>
      </c>
      <c r="E4216" s="436">
        <v>1</v>
      </c>
      <c r="F4216" s="465">
        <v>1.4</v>
      </c>
      <c r="G4216" s="466">
        <v>1.4</v>
      </c>
      <c r="H4216" s="466">
        <f>G4216/1.1</f>
        <v>1.2727272727272725</v>
      </c>
      <c r="I4216" s="436"/>
      <c r="J4216" s="465">
        <v>0</v>
      </c>
      <c r="K4216" s="465">
        <v>0</v>
      </c>
    </row>
    <row r="4217" spans="2:11" ht="19" customHeight="1">
      <c r="B4217" s="464">
        <v>46110</v>
      </c>
      <c r="C4217" s="436" t="s">
        <v>247</v>
      </c>
      <c r="D4217" s="436" t="s">
        <v>248</v>
      </c>
      <c r="E4217" s="436">
        <v>1</v>
      </c>
      <c r="F4217" s="465">
        <v>1.5</v>
      </c>
      <c r="G4217" s="466">
        <v>1.5</v>
      </c>
      <c r="H4217" s="466">
        <f>G4217/1.1</f>
        <v>1.3636363636363635</v>
      </c>
      <c r="I4217" s="436"/>
      <c r="J4217" s="465">
        <v>0</v>
      </c>
      <c r="K4217" s="465">
        <v>0</v>
      </c>
    </row>
    <row r="4218" spans="2:11" ht="19" customHeight="1">
      <c r="B4218" s="464">
        <v>46110</v>
      </c>
      <c r="C4218" s="436" t="s">
        <v>328</v>
      </c>
      <c r="D4218" s="436" t="s">
        <v>861</v>
      </c>
      <c r="E4218" s="436">
        <v>2</v>
      </c>
      <c r="F4218" s="465">
        <v>3.25</v>
      </c>
      <c r="G4218" s="466">
        <v>6.5</v>
      </c>
      <c r="H4218" s="466">
        <f>G4218/1.1</f>
        <v>5.9090909090909083</v>
      </c>
      <c r="I4218" s="436"/>
      <c r="J4218" s="465">
        <v>0</v>
      </c>
      <c r="K4218" s="465">
        <v>0</v>
      </c>
    </row>
    <row r="4219" spans="2:11" ht="19" customHeight="1">
      <c r="B4219" s="464">
        <v>46110</v>
      </c>
      <c r="C4219" s="436" t="s">
        <v>247</v>
      </c>
      <c r="D4219" s="436" t="s">
        <v>246</v>
      </c>
      <c r="E4219" s="436">
        <v>2</v>
      </c>
      <c r="F4219" s="465">
        <v>1.7</v>
      </c>
      <c r="G4219" s="466">
        <v>3.4</v>
      </c>
      <c r="H4219" s="466">
        <f>G4219/1.1</f>
        <v>3.0909090909090904</v>
      </c>
      <c r="I4219" s="436"/>
      <c r="J4219" s="465">
        <v>0</v>
      </c>
      <c r="K4219" s="465">
        <v>0</v>
      </c>
    </row>
    <row r="4220" spans="2:11" ht="19" customHeight="1">
      <c r="B4220" s="464">
        <v>46110</v>
      </c>
      <c r="C4220" s="436" t="s">
        <v>256</v>
      </c>
      <c r="D4220" s="436" t="s">
        <v>912</v>
      </c>
      <c r="E4220" s="436">
        <v>1</v>
      </c>
      <c r="F4220" s="465">
        <v>5.5</v>
      </c>
      <c r="G4220" s="466">
        <v>5.5</v>
      </c>
      <c r="H4220" s="466">
        <f>G4220/1.1</f>
        <v>5</v>
      </c>
      <c r="I4220" s="436"/>
      <c r="J4220" s="465">
        <v>0</v>
      </c>
      <c r="K4220" s="465">
        <v>0</v>
      </c>
    </row>
    <row r="4221" spans="2:11" ht="19" customHeight="1">
      <c r="B4221" s="464">
        <v>46110</v>
      </c>
      <c r="C4221" s="436" t="s">
        <v>247</v>
      </c>
      <c r="D4221" s="436" t="s">
        <v>248</v>
      </c>
      <c r="E4221" s="436">
        <v>2</v>
      </c>
      <c r="F4221" s="465">
        <v>1.5</v>
      </c>
      <c r="G4221" s="466">
        <v>3</v>
      </c>
      <c r="H4221" s="466">
        <f>G4221/1.1</f>
        <v>2.7272727272727271</v>
      </c>
      <c r="I4221" s="436"/>
      <c r="J4221" s="465">
        <v>0</v>
      </c>
      <c r="K4221" s="465">
        <v>0</v>
      </c>
    </row>
    <row r="4222" spans="2:11" ht="19" customHeight="1">
      <c r="B4222" s="464">
        <v>46110</v>
      </c>
      <c r="C4222" s="436" t="s">
        <v>251</v>
      </c>
      <c r="D4222" s="436" t="s">
        <v>854</v>
      </c>
      <c r="E4222" s="436">
        <v>1</v>
      </c>
      <c r="F4222" s="465">
        <v>1.55</v>
      </c>
      <c r="G4222" s="466">
        <v>1.55</v>
      </c>
      <c r="H4222" s="466">
        <f>G4222/1.1</f>
        <v>1.4090909090909089</v>
      </c>
      <c r="I4222" s="436"/>
      <c r="J4222" s="465">
        <v>0</v>
      </c>
      <c r="K4222" s="465">
        <v>0</v>
      </c>
    </row>
    <row r="4223" spans="2:11" ht="19" customHeight="1">
      <c r="B4223" s="464">
        <v>46110</v>
      </c>
      <c r="C4223" s="436" t="s">
        <v>247</v>
      </c>
      <c r="D4223" s="436" t="s">
        <v>246</v>
      </c>
      <c r="E4223" s="436">
        <v>2</v>
      </c>
      <c r="F4223" s="465">
        <v>1.7</v>
      </c>
      <c r="G4223" s="466">
        <v>3.4</v>
      </c>
      <c r="H4223" s="466">
        <f>G4223/1.1</f>
        <v>3.0909090909090904</v>
      </c>
      <c r="I4223" s="436"/>
      <c r="J4223" s="465">
        <v>0</v>
      </c>
      <c r="K4223" s="465">
        <v>0</v>
      </c>
    </row>
    <row r="4224" spans="2:11" ht="19" customHeight="1">
      <c r="B4224" s="464">
        <v>46110</v>
      </c>
      <c r="C4224" s="436" t="s">
        <v>268</v>
      </c>
      <c r="D4224" s="436" t="s">
        <v>858</v>
      </c>
      <c r="E4224" s="436">
        <v>1</v>
      </c>
      <c r="F4224" s="465">
        <v>0.65</v>
      </c>
      <c r="G4224" s="466">
        <v>0.65</v>
      </c>
      <c r="H4224" s="466">
        <f>G4224/1.1</f>
        <v>0.59090909090909083</v>
      </c>
      <c r="I4224" s="436"/>
      <c r="J4224" s="465">
        <v>0</v>
      </c>
      <c r="K4224" s="465">
        <v>0</v>
      </c>
    </row>
    <row r="4225" spans="2:11" ht="19" customHeight="1">
      <c r="B4225" s="464">
        <v>46110</v>
      </c>
      <c r="C4225" s="436" t="s">
        <v>247</v>
      </c>
      <c r="D4225" s="436" t="s">
        <v>248</v>
      </c>
      <c r="E4225" s="436">
        <v>1</v>
      </c>
      <c r="F4225" s="465">
        <v>1.5</v>
      </c>
      <c r="G4225" s="466">
        <v>1.5</v>
      </c>
      <c r="H4225" s="466">
        <f>G4225/1.1</f>
        <v>1.3636363636363635</v>
      </c>
      <c r="I4225" s="436"/>
      <c r="J4225" s="465">
        <v>0</v>
      </c>
      <c r="K4225" s="465">
        <v>0</v>
      </c>
    </row>
    <row r="4226" spans="2:11" ht="19" customHeight="1">
      <c r="B4226" s="464">
        <v>46110</v>
      </c>
      <c r="C4226" s="436" t="s">
        <v>268</v>
      </c>
      <c r="D4226" s="436" t="s">
        <v>1217</v>
      </c>
      <c r="E4226" s="436">
        <v>1</v>
      </c>
      <c r="F4226" s="465">
        <v>0.75</v>
      </c>
      <c r="G4226" s="466">
        <v>0.75</v>
      </c>
      <c r="H4226" s="466">
        <f>G4226/1.1</f>
        <v>0.68181818181818177</v>
      </c>
      <c r="I4226" s="436"/>
      <c r="J4226" s="465">
        <v>0</v>
      </c>
      <c r="K4226" s="465">
        <v>0</v>
      </c>
    </row>
    <row r="4227" spans="2:11" ht="19" customHeight="1">
      <c r="B4227" s="464">
        <v>46110</v>
      </c>
      <c r="C4227" s="436" t="s">
        <v>247</v>
      </c>
      <c r="D4227" s="436" t="s">
        <v>257</v>
      </c>
      <c r="E4227" s="436">
        <v>1</v>
      </c>
      <c r="F4227" s="465">
        <v>1.4</v>
      </c>
      <c r="G4227" s="466">
        <v>1.4</v>
      </c>
      <c r="H4227" s="466">
        <f>G4227/1.1</f>
        <v>1.2727272727272725</v>
      </c>
      <c r="I4227" s="436"/>
      <c r="J4227" s="465">
        <v>0</v>
      </c>
      <c r="K4227" s="465">
        <v>0</v>
      </c>
    </row>
    <row r="4228" spans="2:11" ht="19" customHeight="1">
      <c r="B4228" s="464">
        <v>46110</v>
      </c>
      <c r="C4228" s="436" t="s">
        <v>247</v>
      </c>
      <c r="D4228" s="436" t="s">
        <v>257</v>
      </c>
      <c r="E4228" s="436">
        <v>1</v>
      </c>
      <c r="F4228" s="465">
        <v>1.4</v>
      </c>
      <c r="G4228" s="466">
        <v>1.4</v>
      </c>
      <c r="H4228" s="466">
        <f>G4228/1.1</f>
        <v>1.2727272727272725</v>
      </c>
      <c r="I4228" s="436"/>
      <c r="J4228" s="465">
        <v>0</v>
      </c>
      <c r="K4228" s="465">
        <v>0</v>
      </c>
    </row>
    <row r="4229" spans="2:11" ht="19" customHeight="1">
      <c r="B4229" s="464">
        <v>46110</v>
      </c>
      <c r="C4229" s="436" t="s">
        <v>264</v>
      </c>
      <c r="D4229" s="436" t="s">
        <v>269</v>
      </c>
      <c r="E4229" s="436">
        <v>1</v>
      </c>
      <c r="F4229" s="465">
        <v>0.1</v>
      </c>
      <c r="G4229" s="466">
        <v>0.1</v>
      </c>
      <c r="H4229" s="466">
        <f>G4229/1.1</f>
        <v>9.0909090909090912E-2</v>
      </c>
      <c r="I4229" s="436"/>
      <c r="J4229" s="465">
        <v>0</v>
      </c>
      <c r="K4229" s="465">
        <v>0</v>
      </c>
    </row>
    <row r="4230" spans="2:11" ht="19" customHeight="1">
      <c r="B4230" s="464">
        <v>46110</v>
      </c>
      <c r="C4230" s="436" t="s">
        <v>328</v>
      </c>
      <c r="D4230" s="436" t="s">
        <v>761</v>
      </c>
      <c r="E4230" s="436">
        <v>1</v>
      </c>
      <c r="F4230" s="465">
        <v>3.1</v>
      </c>
      <c r="G4230" s="466">
        <v>3.1</v>
      </c>
      <c r="H4230" s="466">
        <f>G4230/1.1</f>
        <v>2.8181818181818179</v>
      </c>
      <c r="I4230" s="436"/>
      <c r="J4230" s="465">
        <v>0</v>
      </c>
      <c r="K4230" s="465">
        <v>0</v>
      </c>
    </row>
    <row r="4231" spans="2:11" ht="19" customHeight="1">
      <c r="B4231" s="464">
        <v>46110</v>
      </c>
      <c r="C4231" s="436" t="s">
        <v>862</v>
      </c>
      <c r="D4231" s="436" t="s">
        <v>865</v>
      </c>
      <c r="E4231" s="436">
        <v>1</v>
      </c>
      <c r="F4231" s="465">
        <v>0.05</v>
      </c>
      <c r="G4231" s="466">
        <v>0.05</v>
      </c>
      <c r="H4231" s="466">
        <f>G4231/1.1</f>
        <v>4.5454545454545456E-2</v>
      </c>
      <c r="I4231" s="436"/>
      <c r="J4231" s="465">
        <v>0</v>
      </c>
      <c r="K4231" s="465">
        <v>0</v>
      </c>
    </row>
    <row r="4232" spans="2:11" ht="19" customHeight="1">
      <c r="B4232" s="464">
        <v>46110</v>
      </c>
      <c r="C4232" s="436" t="s">
        <v>247</v>
      </c>
      <c r="D4232" s="436" t="s">
        <v>246</v>
      </c>
      <c r="E4232" s="436">
        <v>2</v>
      </c>
      <c r="F4232" s="465">
        <v>1.7</v>
      </c>
      <c r="G4232" s="466">
        <v>3.4</v>
      </c>
      <c r="H4232" s="466">
        <f>G4232/1.1</f>
        <v>3.0909090909090904</v>
      </c>
      <c r="I4232" s="436"/>
      <c r="J4232" s="465">
        <v>0</v>
      </c>
      <c r="K4232" s="465">
        <v>0</v>
      </c>
    </row>
    <row r="4233" spans="2:11" ht="19" customHeight="1">
      <c r="B4233" s="464">
        <v>46110</v>
      </c>
      <c r="C4233" s="436" t="s">
        <v>247</v>
      </c>
      <c r="D4233" s="436" t="s">
        <v>248</v>
      </c>
      <c r="E4233" s="436">
        <v>1</v>
      </c>
      <c r="F4233" s="465">
        <v>1.5</v>
      </c>
      <c r="G4233" s="466">
        <v>1.5</v>
      </c>
      <c r="H4233" s="466">
        <f>G4233/1.1</f>
        <v>1.3636363636363635</v>
      </c>
      <c r="I4233" s="436"/>
      <c r="J4233" s="465">
        <v>0</v>
      </c>
      <c r="K4233" s="465">
        <v>0</v>
      </c>
    </row>
    <row r="4234" spans="2:11" ht="19" customHeight="1">
      <c r="B4234" s="464">
        <v>46110</v>
      </c>
      <c r="C4234" s="436" t="s">
        <v>247</v>
      </c>
      <c r="D4234" s="436" t="s">
        <v>855</v>
      </c>
      <c r="E4234" s="436">
        <v>1</v>
      </c>
      <c r="F4234" s="465">
        <v>2.5499999999999998</v>
      </c>
      <c r="G4234" s="466">
        <v>2.5499999999999998</v>
      </c>
      <c r="H4234" s="466">
        <f>G4234/1.1</f>
        <v>2.3181818181818179</v>
      </c>
      <c r="I4234" s="436"/>
      <c r="J4234" s="465">
        <v>0</v>
      </c>
      <c r="K4234" s="465">
        <v>0</v>
      </c>
    </row>
    <row r="4235" spans="2:11" ht="19" customHeight="1">
      <c r="B4235" s="464">
        <v>46110</v>
      </c>
      <c r="C4235" s="436" t="s">
        <v>268</v>
      </c>
      <c r="D4235" s="436" t="s">
        <v>858</v>
      </c>
      <c r="E4235" s="436">
        <v>3</v>
      </c>
      <c r="F4235" s="465">
        <v>0.65</v>
      </c>
      <c r="G4235" s="466">
        <v>1.95</v>
      </c>
      <c r="H4235" s="466">
        <f>G4235/1.1</f>
        <v>1.7727272727272725</v>
      </c>
      <c r="I4235" s="436"/>
      <c r="J4235" s="465">
        <v>0</v>
      </c>
      <c r="K4235" s="465">
        <v>0</v>
      </c>
    </row>
    <row r="4236" spans="2:11" ht="19" customHeight="1">
      <c r="B4236" s="464">
        <v>46110</v>
      </c>
      <c r="C4236" s="436" t="s">
        <v>247</v>
      </c>
      <c r="D4236" s="436" t="s">
        <v>248</v>
      </c>
      <c r="E4236" s="436">
        <v>1</v>
      </c>
      <c r="F4236" s="465">
        <v>1.5</v>
      </c>
      <c r="G4236" s="466">
        <v>1.5</v>
      </c>
      <c r="H4236" s="466">
        <f>G4236/1.1</f>
        <v>1.3636363636363635</v>
      </c>
      <c r="I4236" s="436"/>
      <c r="J4236" s="465">
        <v>0</v>
      </c>
      <c r="K4236" s="465">
        <v>0</v>
      </c>
    </row>
    <row r="4237" spans="2:11" ht="19" customHeight="1">
      <c r="B4237" s="464">
        <v>46110</v>
      </c>
      <c r="C4237" s="436" t="s">
        <v>247</v>
      </c>
      <c r="D4237" s="436" t="s">
        <v>257</v>
      </c>
      <c r="E4237" s="436">
        <v>1</v>
      </c>
      <c r="F4237" s="465">
        <v>1.4</v>
      </c>
      <c r="G4237" s="466">
        <v>1.4</v>
      </c>
      <c r="H4237" s="466">
        <f>G4237/1.1</f>
        <v>1.2727272727272725</v>
      </c>
      <c r="I4237" s="436"/>
      <c r="J4237" s="465">
        <v>0</v>
      </c>
      <c r="K4237" s="465">
        <v>0</v>
      </c>
    </row>
    <row r="4238" spans="2:11" ht="19" customHeight="1">
      <c r="B4238" s="464">
        <v>46113</v>
      </c>
      <c r="C4238" s="436" t="s">
        <v>247</v>
      </c>
      <c r="D4238" s="436" t="s">
        <v>246</v>
      </c>
      <c r="E4238" s="436">
        <v>1</v>
      </c>
      <c r="F4238" s="465">
        <v>1.7</v>
      </c>
      <c r="G4238" s="466">
        <v>1.7</v>
      </c>
      <c r="H4238" s="466">
        <f>G4238/1.1</f>
        <v>1.5454545454545452</v>
      </c>
      <c r="I4238" s="436"/>
      <c r="J4238" s="465">
        <v>0</v>
      </c>
      <c r="K4238" s="465">
        <v>0</v>
      </c>
    </row>
    <row r="4239" spans="2:11" ht="19" customHeight="1">
      <c r="B4239" s="464">
        <v>46113</v>
      </c>
      <c r="C4239" s="436" t="s">
        <v>247</v>
      </c>
      <c r="D4239" s="436" t="s">
        <v>246</v>
      </c>
      <c r="E4239" s="436">
        <v>2</v>
      </c>
      <c r="F4239" s="465">
        <v>1.7</v>
      </c>
      <c r="G4239" s="466">
        <v>3.4</v>
      </c>
      <c r="H4239" s="466">
        <f>G4239/1.1</f>
        <v>3.0909090909090904</v>
      </c>
      <c r="I4239" s="436"/>
      <c r="J4239" s="465">
        <v>0</v>
      </c>
      <c r="K4239" s="465">
        <v>0</v>
      </c>
    </row>
    <row r="4240" spans="2:11" ht="19" customHeight="1">
      <c r="B4240" s="464">
        <v>46113</v>
      </c>
      <c r="C4240" s="436" t="s">
        <v>327</v>
      </c>
      <c r="D4240" s="436" t="s">
        <v>723</v>
      </c>
      <c r="E4240" s="436">
        <v>1</v>
      </c>
      <c r="F4240" s="465">
        <v>3.1</v>
      </c>
      <c r="G4240" s="466">
        <v>3.1</v>
      </c>
      <c r="H4240" s="466">
        <f>G4240/1.1</f>
        <v>2.8181818181818179</v>
      </c>
      <c r="I4240" s="436"/>
      <c r="J4240" s="465">
        <v>0</v>
      </c>
      <c r="K4240" s="465">
        <v>0</v>
      </c>
    </row>
    <row r="4241" spans="2:11" ht="19" customHeight="1">
      <c r="B4241" s="464">
        <v>46113</v>
      </c>
      <c r="C4241" s="436" t="s">
        <v>264</v>
      </c>
      <c r="D4241" s="436" t="s">
        <v>908</v>
      </c>
      <c r="E4241" s="436">
        <v>1</v>
      </c>
      <c r="F4241" s="465">
        <v>1</v>
      </c>
      <c r="G4241" s="466">
        <v>1</v>
      </c>
      <c r="H4241" s="466">
        <f>G4241/1.1</f>
        <v>0.90909090909090906</v>
      </c>
      <c r="I4241" s="436"/>
      <c r="J4241" s="465">
        <v>0</v>
      </c>
      <c r="K4241" s="465">
        <v>0</v>
      </c>
    </row>
    <row r="4242" spans="2:11" ht="19" customHeight="1">
      <c r="B4242" s="464">
        <v>46113</v>
      </c>
      <c r="C4242" s="436" t="s">
        <v>327</v>
      </c>
      <c r="D4242" s="436" t="s">
        <v>1007</v>
      </c>
      <c r="E4242" s="436">
        <v>1</v>
      </c>
      <c r="F4242" s="465">
        <v>4.5999999999999996</v>
      </c>
      <c r="G4242" s="466">
        <v>4.5999999999999996</v>
      </c>
      <c r="H4242" s="466">
        <f>G4242/1.1</f>
        <v>4.1818181818181808</v>
      </c>
      <c r="I4242" s="436"/>
      <c r="J4242" s="465">
        <v>0</v>
      </c>
      <c r="K4242" s="465">
        <v>0</v>
      </c>
    </row>
    <row r="4243" spans="2:11" ht="19" customHeight="1">
      <c r="B4243" s="464">
        <v>46113</v>
      </c>
      <c r="C4243" s="436" t="s">
        <v>247</v>
      </c>
      <c r="D4243" s="436" t="s">
        <v>248</v>
      </c>
      <c r="E4243" s="436">
        <v>1</v>
      </c>
      <c r="F4243" s="465">
        <v>1.5</v>
      </c>
      <c r="G4243" s="466">
        <v>1.5</v>
      </c>
      <c r="H4243" s="466">
        <f>G4243/1.1</f>
        <v>1.3636363636363635</v>
      </c>
      <c r="I4243" s="436"/>
      <c r="J4243" s="465">
        <v>0</v>
      </c>
      <c r="K4243" s="465">
        <v>0</v>
      </c>
    </row>
    <row r="4244" spans="2:11" ht="19" customHeight="1">
      <c r="B4244" s="464">
        <v>46113</v>
      </c>
      <c r="C4244" s="436" t="s">
        <v>894</v>
      </c>
      <c r="D4244" s="436" t="s">
        <v>814</v>
      </c>
      <c r="E4244" s="436">
        <v>1</v>
      </c>
      <c r="F4244" s="465">
        <v>5.4</v>
      </c>
      <c r="G4244" s="466">
        <v>5.4</v>
      </c>
      <c r="H4244" s="466">
        <f>G4244/1.1</f>
        <v>4.9090909090909092</v>
      </c>
      <c r="I4244" s="436"/>
      <c r="J4244" s="465">
        <v>0</v>
      </c>
      <c r="K4244" s="465">
        <v>0</v>
      </c>
    </row>
    <row r="4245" spans="2:11" ht="19" customHeight="1">
      <c r="B4245" s="464">
        <v>46113</v>
      </c>
      <c r="C4245" s="436" t="s">
        <v>268</v>
      </c>
      <c r="D4245" s="436" t="s">
        <v>859</v>
      </c>
      <c r="E4245" s="436">
        <v>1</v>
      </c>
      <c r="F4245" s="465">
        <v>0.75</v>
      </c>
      <c r="G4245" s="466">
        <v>0.75</v>
      </c>
      <c r="H4245" s="466">
        <f>G4245/1.1</f>
        <v>0.68181818181818177</v>
      </c>
      <c r="I4245" s="436"/>
      <c r="J4245" s="465">
        <v>0</v>
      </c>
      <c r="K4245" s="465">
        <v>0</v>
      </c>
    </row>
    <row r="4246" spans="2:11" ht="19" customHeight="1">
      <c r="B4246" s="464">
        <v>46113</v>
      </c>
      <c r="C4246" s="436" t="s">
        <v>247</v>
      </c>
      <c r="D4246" s="436" t="s">
        <v>246</v>
      </c>
      <c r="E4246" s="436">
        <v>1</v>
      </c>
      <c r="F4246" s="465">
        <v>1.7</v>
      </c>
      <c r="G4246" s="466">
        <v>1.7</v>
      </c>
      <c r="H4246" s="466">
        <f>G4246/1.1</f>
        <v>1.5454545454545452</v>
      </c>
      <c r="I4246" s="436"/>
      <c r="J4246" s="465">
        <v>0</v>
      </c>
      <c r="K4246" s="465">
        <v>0</v>
      </c>
    </row>
    <row r="4247" spans="2:11" ht="19" customHeight="1">
      <c r="B4247" s="464">
        <v>46113</v>
      </c>
      <c r="C4247" s="436" t="s">
        <v>268</v>
      </c>
      <c r="D4247" s="436" t="s">
        <v>858</v>
      </c>
      <c r="E4247" s="436">
        <v>1</v>
      </c>
      <c r="F4247" s="465">
        <v>0.65</v>
      </c>
      <c r="G4247" s="466">
        <v>0.65</v>
      </c>
      <c r="H4247" s="466">
        <f>G4247/1.1</f>
        <v>0.59090909090909083</v>
      </c>
      <c r="I4247" s="436"/>
      <c r="J4247" s="465">
        <v>0</v>
      </c>
      <c r="K4247" s="465">
        <v>0</v>
      </c>
    </row>
    <row r="4248" spans="2:11" ht="19" customHeight="1">
      <c r="B4248" s="464">
        <v>46113</v>
      </c>
      <c r="C4248" s="436" t="s">
        <v>247</v>
      </c>
      <c r="D4248" s="436" t="s">
        <v>257</v>
      </c>
      <c r="E4248" s="436">
        <v>1</v>
      </c>
      <c r="F4248" s="465">
        <v>1.4</v>
      </c>
      <c r="G4248" s="466">
        <v>1.4</v>
      </c>
      <c r="H4248" s="466">
        <f>G4248/1.1</f>
        <v>1.2727272727272725</v>
      </c>
      <c r="I4248" s="436"/>
      <c r="J4248" s="465">
        <v>0</v>
      </c>
      <c r="K4248" s="465">
        <v>0</v>
      </c>
    </row>
    <row r="4249" spans="2:11" ht="19" customHeight="1">
      <c r="B4249" s="464">
        <v>46113</v>
      </c>
      <c r="C4249" s="436" t="s">
        <v>327</v>
      </c>
      <c r="D4249" s="436" t="s">
        <v>856</v>
      </c>
      <c r="E4249" s="436">
        <v>1</v>
      </c>
      <c r="F4249" s="465">
        <v>3.5</v>
      </c>
      <c r="G4249" s="466">
        <v>3.5</v>
      </c>
      <c r="H4249" s="466">
        <f>G4249/1.1</f>
        <v>3.1818181818181817</v>
      </c>
      <c r="I4249" s="436"/>
      <c r="J4249" s="465">
        <v>0</v>
      </c>
      <c r="K4249" s="465">
        <v>0</v>
      </c>
    </row>
    <row r="4250" spans="2:11" ht="19" customHeight="1">
      <c r="B4250" s="464">
        <v>46113</v>
      </c>
      <c r="C4250" s="436" t="s">
        <v>276</v>
      </c>
      <c r="D4250" s="436" t="s">
        <v>857</v>
      </c>
      <c r="E4250" s="436">
        <v>1</v>
      </c>
      <c r="F4250" s="465">
        <v>3.3</v>
      </c>
      <c r="G4250" s="466">
        <v>3.3</v>
      </c>
      <c r="H4250" s="466">
        <f>G4250/1.1</f>
        <v>2.9999999999999996</v>
      </c>
      <c r="I4250" s="436"/>
      <c r="J4250" s="465">
        <v>0</v>
      </c>
      <c r="K4250" s="465">
        <v>0</v>
      </c>
    </row>
    <row r="4251" spans="2:11" ht="19" customHeight="1">
      <c r="B4251" s="464">
        <v>46113</v>
      </c>
      <c r="C4251" s="436" t="s">
        <v>247</v>
      </c>
      <c r="D4251" s="436" t="s">
        <v>855</v>
      </c>
      <c r="E4251" s="436">
        <v>1</v>
      </c>
      <c r="F4251" s="465">
        <v>2.5499999999999998</v>
      </c>
      <c r="G4251" s="466">
        <v>2.5499999999999998</v>
      </c>
      <c r="H4251" s="466">
        <f>G4251/1.1</f>
        <v>2.3181818181818179</v>
      </c>
      <c r="I4251" s="436"/>
      <c r="J4251" s="465">
        <v>0</v>
      </c>
      <c r="K4251" s="465">
        <v>0</v>
      </c>
    </row>
    <row r="4252" spans="2:11" ht="19" customHeight="1">
      <c r="B4252" s="464">
        <v>46113</v>
      </c>
      <c r="C4252" s="436" t="s">
        <v>251</v>
      </c>
      <c r="D4252" s="436" t="s">
        <v>854</v>
      </c>
      <c r="E4252" s="436">
        <v>1</v>
      </c>
      <c r="F4252" s="465">
        <v>1.55</v>
      </c>
      <c r="G4252" s="466">
        <v>1.55</v>
      </c>
      <c r="H4252" s="466">
        <f>G4252/1.1</f>
        <v>1.4090909090909089</v>
      </c>
      <c r="I4252" s="436"/>
      <c r="J4252" s="465">
        <v>0</v>
      </c>
      <c r="K4252" s="465">
        <v>0</v>
      </c>
    </row>
    <row r="4253" spans="2:11" ht="19" customHeight="1">
      <c r="B4253" s="464">
        <v>46113</v>
      </c>
      <c r="C4253" s="436" t="s">
        <v>247</v>
      </c>
      <c r="D4253" s="436" t="s">
        <v>257</v>
      </c>
      <c r="E4253" s="436">
        <v>1</v>
      </c>
      <c r="F4253" s="465">
        <v>1.4</v>
      </c>
      <c r="G4253" s="466">
        <v>1.4</v>
      </c>
      <c r="H4253" s="466">
        <f>G4253/1.1</f>
        <v>1.2727272727272725</v>
      </c>
      <c r="I4253" s="436"/>
      <c r="J4253" s="465">
        <v>0</v>
      </c>
      <c r="K4253" s="465">
        <v>0</v>
      </c>
    </row>
    <row r="4254" spans="2:11" ht="19" customHeight="1">
      <c r="B4254" s="464">
        <v>46113</v>
      </c>
      <c r="C4254" s="436" t="s">
        <v>328</v>
      </c>
      <c r="D4254" s="436" t="s">
        <v>861</v>
      </c>
      <c r="E4254" s="436">
        <v>1</v>
      </c>
      <c r="F4254" s="465">
        <v>3.25</v>
      </c>
      <c r="G4254" s="466">
        <v>3.25</v>
      </c>
      <c r="H4254" s="466">
        <f>G4254/1.1</f>
        <v>2.9545454545454541</v>
      </c>
      <c r="I4254" s="436"/>
      <c r="J4254" s="465">
        <v>0</v>
      </c>
      <c r="K4254" s="465">
        <v>0</v>
      </c>
    </row>
    <row r="4255" spans="2:11" ht="19" customHeight="1">
      <c r="B4255" s="464">
        <v>46113</v>
      </c>
      <c r="C4255" s="436" t="s">
        <v>253</v>
      </c>
      <c r="D4255" s="436" t="s">
        <v>869</v>
      </c>
      <c r="E4255" s="436">
        <v>1</v>
      </c>
      <c r="F4255" s="465">
        <v>2.5</v>
      </c>
      <c r="G4255" s="466">
        <v>2.5</v>
      </c>
      <c r="H4255" s="466">
        <f>G4255/1.1</f>
        <v>2.2727272727272725</v>
      </c>
      <c r="I4255" s="436"/>
      <c r="J4255" s="465">
        <v>0</v>
      </c>
      <c r="K4255" s="465">
        <v>0</v>
      </c>
    </row>
    <row r="4256" spans="2:11" ht="19" customHeight="1">
      <c r="B4256" s="464">
        <v>46113</v>
      </c>
      <c r="C4256" s="436" t="s">
        <v>268</v>
      </c>
      <c r="D4256" s="436" t="s">
        <v>858</v>
      </c>
      <c r="E4256" s="436">
        <v>1</v>
      </c>
      <c r="F4256" s="465">
        <v>0.65</v>
      </c>
      <c r="G4256" s="466">
        <v>0.65</v>
      </c>
      <c r="H4256" s="466">
        <f>G4256/1.1</f>
        <v>0.59090909090909083</v>
      </c>
      <c r="I4256" s="436"/>
      <c r="J4256" s="465">
        <v>0</v>
      </c>
      <c r="K4256" s="465">
        <v>0</v>
      </c>
    </row>
    <row r="4257" spans="2:11" ht="19" customHeight="1">
      <c r="B4257" s="464">
        <v>46113</v>
      </c>
      <c r="C4257" s="436" t="s">
        <v>247</v>
      </c>
      <c r="D4257" s="436" t="s">
        <v>248</v>
      </c>
      <c r="E4257" s="436">
        <v>2</v>
      </c>
      <c r="F4257" s="465">
        <v>1.5</v>
      </c>
      <c r="G4257" s="466">
        <v>3</v>
      </c>
      <c r="H4257" s="466">
        <f>G4257/1.1</f>
        <v>2.7272727272727271</v>
      </c>
      <c r="I4257" s="436"/>
      <c r="J4257" s="465">
        <v>0</v>
      </c>
      <c r="K4257" s="465">
        <v>0</v>
      </c>
    </row>
    <row r="4258" spans="2:11" ht="19" customHeight="1">
      <c r="B4258" s="464">
        <v>46113</v>
      </c>
      <c r="C4258" s="436" t="s">
        <v>247</v>
      </c>
      <c r="D4258" s="436" t="s">
        <v>902</v>
      </c>
      <c r="E4258" s="436">
        <v>1</v>
      </c>
      <c r="F4258" s="465">
        <v>1.95</v>
      </c>
      <c r="G4258" s="466">
        <v>1.95</v>
      </c>
      <c r="H4258" s="466">
        <f>G4258/1.1</f>
        <v>1.7727272727272725</v>
      </c>
      <c r="I4258" s="436"/>
      <c r="J4258" s="465">
        <v>0</v>
      </c>
      <c r="K4258" s="465">
        <v>0</v>
      </c>
    </row>
    <row r="4259" spans="2:11" ht="19" customHeight="1">
      <c r="B4259" s="464">
        <v>46113</v>
      </c>
      <c r="C4259" s="436" t="s">
        <v>268</v>
      </c>
      <c r="D4259" s="436" t="s">
        <v>859</v>
      </c>
      <c r="E4259" s="436">
        <v>1</v>
      </c>
      <c r="F4259" s="465">
        <v>0.75</v>
      </c>
      <c r="G4259" s="466">
        <v>0.75</v>
      </c>
      <c r="H4259" s="466">
        <f>G4259/1.1</f>
        <v>0.68181818181818177</v>
      </c>
      <c r="I4259" s="436"/>
      <c r="J4259" s="465">
        <v>0</v>
      </c>
      <c r="K4259" s="465">
        <v>0</v>
      </c>
    </row>
    <row r="4260" spans="2:11" ht="19" customHeight="1">
      <c r="B4260" s="464">
        <v>46113</v>
      </c>
      <c r="C4260" s="436" t="s">
        <v>247</v>
      </c>
      <c r="D4260" s="436" t="s">
        <v>257</v>
      </c>
      <c r="E4260" s="436">
        <v>1</v>
      </c>
      <c r="F4260" s="465">
        <v>1.4</v>
      </c>
      <c r="G4260" s="466">
        <v>1.4</v>
      </c>
      <c r="H4260" s="466">
        <f>G4260/1.1</f>
        <v>1.2727272727272725</v>
      </c>
      <c r="I4260" s="436"/>
      <c r="J4260" s="465">
        <v>0</v>
      </c>
      <c r="K4260" s="465">
        <v>0</v>
      </c>
    </row>
    <row r="4261" spans="2:11" ht="19" customHeight="1">
      <c r="B4261" s="464">
        <v>46113</v>
      </c>
      <c r="C4261" s="436" t="s">
        <v>247</v>
      </c>
      <c r="D4261" s="436" t="s">
        <v>246</v>
      </c>
      <c r="E4261" s="436">
        <v>1</v>
      </c>
      <c r="F4261" s="465">
        <v>1.7</v>
      </c>
      <c r="G4261" s="466">
        <v>1.7</v>
      </c>
      <c r="H4261" s="466">
        <f>G4261/1.1</f>
        <v>1.5454545454545452</v>
      </c>
      <c r="I4261" s="436"/>
      <c r="J4261" s="465">
        <v>0</v>
      </c>
      <c r="K4261" s="465">
        <v>0</v>
      </c>
    </row>
    <row r="4262" spans="2:11" ht="19" customHeight="1">
      <c r="B4262" s="464">
        <v>46113</v>
      </c>
      <c r="C4262" s="436" t="s">
        <v>247</v>
      </c>
      <c r="D4262" s="436" t="s">
        <v>257</v>
      </c>
      <c r="E4262" s="436">
        <v>1</v>
      </c>
      <c r="F4262" s="465">
        <v>1.4</v>
      </c>
      <c r="G4262" s="466">
        <v>1.4</v>
      </c>
      <c r="H4262" s="466">
        <f>G4262/1.1</f>
        <v>1.2727272727272725</v>
      </c>
      <c r="I4262" s="436"/>
      <c r="J4262" s="465">
        <v>0</v>
      </c>
      <c r="K4262" s="465">
        <v>0</v>
      </c>
    </row>
    <row r="4263" spans="2:11" ht="19" customHeight="1">
      <c r="B4263" s="464">
        <v>46113</v>
      </c>
      <c r="C4263" s="436" t="s">
        <v>247</v>
      </c>
      <c r="D4263" s="436" t="s">
        <v>248</v>
      </c>
      <c r="E4263" s="436">
        <v>1</v>
      </c>
      <c r="F4263" s="465">
        <v>1.5</v>
      </c>
      <c r="G4263" s="466">
        <v>1.5</v>
      </c>
      <c r="H4263" s="466">
        <f>G4263/1.1</f>
        <v>1.3636363636363635</v>
      </c>
      <c r="I4263" s="436"/>
      <c r="J4263" s="465">
        <v>0</v>
      </c>
      <c r="K4263" s="465">
        <v>0</v>
      </c>
    </row>
    <row r="4264" spans="2:11" ht="19" customHeight="1">
      <c r="B4264" s="464">
        <v>46113</v>
      </c>
      <c r="C4264" s="436" t="s">
        <v>247</v>
      </c>
      <c r="D4264" s="436" t="s">
        <v>246</v>
      </c>
      <c r="E4264" s="436">
        <v>1</v>
      </c>
      <c r="F4264" s="465">
        <v>1.7</v>
      </c>
      <c r="G4264" s="466">
        <v>1.7</v>
      </c>
      <c r="H4264" s="466">
        <f>G4264/1.1</f>
        <v>1.5454545454545452</v>
      </c>
      <c r="I4264" s="436"/>
      <c r="J4264" s="465">
        <v>0</v>
      </c>
      <c r="K4264" s="465">
        <v>0</v>
      </c>
    </row>
    <row r="4265" spans="2:11" ht="19" customHeight="1">
      <c r="B4265" s="464">
        <v>46113</v>
      </c>
      <c r="C4265" s="436" t="s">
        <v>328</v>
      </c>
      <c r="D4265" s="436" t="s">
        <v>761</v>
      </c>
      <c r="E4265" s="436">
        <v>1</v>
      </c>
      <c r="F4265" s="465">
        <v>3.1</v>
      </c>
      <c r="G4265" s="466">
        <v>3.1</v>
      </c>
      <c r="H4265" s="466">
        <f>G4265/1.1</f>
        <v>2.8181818181818179</v>
      </c>
      <c r="I4265" s="436"/>
      <c r="J4265" s="465">
        <v>0</v>
      </c>
      <c r="K4265" s="465">
        <v>0</v>
      </c>
    </row>
    <row r="4266" spans="2:11" ht="19" customHeight="1">
      <c r="B4266" s="464">
        <v>46113</v>
      </c>
      <c r="C4266" s="436" t="s">
        <v>247</v>
      </c>
      <c r="D4266" s="436" t="s">
        <v>257</v>
      </c>
      <c r="E4266" s="436">
        <v>1</v>
      </c>
      <c r="F4266" s="465">
        <v>1.4</v>
      </c>
      <c r="G4266" s="466">
        <v>1.4</v>
      </c>
      <c r="H4266" s="466">
        <f>G4266/1.1</f>
        <v>1.2727272727272725</v>
      </c>
      <c r="I4266" s="436"/>
      <c r="J4266" s="465">
        <v>0</v>
      </c>
      <c r="K4266" s="465">
        <v>0</v>
      </c>
    </row>
    <row r="4267" spans="2:11" ht="19" customHeight="1">
      <c r="B4267" s="464">
        <v>46113</v>
      </c>
      <c r="C4267" s="436" t="s">
        <v>862</v>
      </c>
      <c r="D4267" s="436" t="s">
        <v>863</v>
      </c>
      <c r="E4267" s="436">
        <v>1</v>
      </c>
      <c r="F4267" s="465">
        <v>0.15</v>
      </c>
      <c r="G4267" s="466">
        <v>0.15</v>
      </c>
      <c r="H4267" s="466">
        <f>G4267/1.1</f>
        <v>0.13636363636363635</v>
      </c>
      <c r="I4267" s="436"/>
      <c r="J4267" s="465">
        <v>0</v>
      </c>
      <c r="K4267" s="465">
        <v>0</v>
      </c>
    </row>
    <row r="4268" spans="2:11" ht="19" customHeight="1">
      <c r="B4268" s="464">
        <v>46113</v>
      </c>
      <c r="C4268" s="436" t="s">
        <v>247</v>
      </c>
      <c r="D4268" s="436" t="s">
        <v>246</v>
      </c>
      <c r="E4268" s="436">
        <v>1</v>
      </c>
      <c r="F4268" s="465">
        <v>1.7</v>
      </c>
      <c r="G4268" s="466">
        <v>1.7</v>
      </c>
      <c r="H4268" s="466">
        <f>G4268/1.1</f>
        <v>1.5454545454545452</v>
      </c>
      <c r="I4268" s="436"/>
      <c r="J4268" s="465">
        <v>0</v>
      </c>
      <c r="K4268" s="465">
        <v>0</v>
      </c>
    </row>
    <row r="4269" spans="2:11" ht="19" customHeight="1">
      <c r="B4269" s="464">
        <v>46113</v>
      </c>
      <c r="C4269" s="436" t="s">
        <v>247</v>
      </c>
      <c r="D4269" s="436" t="s">
        <v>257</v>
      </c>
      <c r="E4269" s="436">
        <v>1</v>
      </c>
      <c r="F4269" s="465">
        <v>1.4</v>
      </c>
      <c r="G4269" s="466">
        <v>1.4</v>
      </c>
      <c r="H4269" s="466">
        <f>G4269/1.1</f>
        <v>1.2727272727272725</v>
      </c>
      <c r="I4269" s="436"/>
      <c r="J4269" s="465">
        <v>0</v>
      </c>
      <c r="K4269" s="465">
        <v>0</v>
      </c>
    </row>
    <row r="4270" spans="2:11" ht="19" customHeight="1">
      <c r="B4270" s="464">
        <v>46113</v>
      </c>
      <c r="C4270" s="436" t="s">
        <v>247</v>
      </c>
      <c r="D4270" s="436" t="s">
        <v>248</v>
      </c>
      <c r="E4270" s="436">
        <v>1</v>
      </c>
      <c r="F4270" s="465">
        <v>1.5</v>
      </c>
      <c r="G4270" s="466">
        <v>1.5</v>
      </c>
      <c r="H4270" s="466">
        <f>G4270/1.1</f>
        <v>1.3636363636363635</v>
      </c>
      <c r="I4270" s="436"/>
      <c r="J4270" s="465">
        <v>0</v>
      </c>
      <c r="K4270" s="465">
        <v>0</v>
      </c>
    </row>
    <row r="4271" spans="2:11" ht="19" customHeight="1">
      <c r="B4271" s="464">
        <v>46113</v>
      </c>
      <c r="C4271" s="436" t="s">
        <v>247</v>
      </c>
      <c r="D4271" s="436" t="s">
        <v>855</v>
      </c>
      <c r="E4271" s="436">
        <v>1</v>
      </c>
      <c r="F4271" s="465">
        <v>2.5499999999999998</v>
      </c>
      <c r="G4271" s="466">
        <v>2.5499999999999998</v>
      </c>
      <c r="H4271" s="466">
        <f>G4271/1.1</f>
        <v>2.3181818181818179</v>
      </c>
      <c r="I4271" s="436"/>
      <c r="J4271" s="465">
        <v>0</v>
      </c>
      <c r="K4271" s="465">
        <v>0</v>
      </c>
    </row>
    <row r="4272" spans="2:11" ht="19" customHeight="1">
      <c r="B4272" s="464">
        <v>46113</v>
      </c>
      <c r="C4272" s="436" t="s">
        <v>247</v>
      </c>
      <c r="D4272" s="436" t="s">
        <v>246</v>
      </c>
      <c r="E4272" s="436">
        <v>1</v>
      </c>
      <c r="F4272" s="465">
        <v>1.7</v>
      </c>
      <c r="G4272" s="466">
        <v>1.7</v>
      </c>
      <c r="H4272" s="466">
        <f>G4272/1.1</f>
        <v>1.5454545454545452</v>
      </c>
      <c r="I4272" s="436"/>
      <c r="J4272" s="465">
        <v>0</v>
      </c>
      <c r="K4272" s="465">
        <v>0</v>
      </c>
    </row>
    <row r="4273" spans="2:11" ht="19" customHeight="1">
      <c r="B4273" s="464">
        <v>46113</v>
      </c>
      <c r="C4273" s="436" t="s">
        <v>247</v>
      </c>
      <c r="D4273" s="436" t="s">
        <v>246</v>
      </c>
      <c r="E4273" s="436">
        <v>2</v>
      </c>
      <c r="F4273" s="465">
        <v>1.7</v>
      </c>
      <c r="G4273" s="466">
        <v>3.4</v>
      </c>
      <c r="H4273" s="466">
        <f>G4273/1.1</f>
        <v>3.0909090909090904</v>
      </c>
      <c r="I4273" s="436"/>
      <c r="J4273" s="465">
        <v>0</v>
      </c>
      <c r="K4273" s="465">
        <v>0</v>
      </c>
    </row>
    <row r="4274" spans="2:11" ht="19" customHeight="1">
      <c r="B4274" s="464">
        <v>46113</v>
      </c>
      <c r="C4274" s="436" t="s">
        <v>862</v>
      </c>
      <c r="D4274" s="436" t="s">
        <v>863</v>
      </c>
      <c r="E4274" s="436">
        <v>2</v>
      </c>
      <c r="F4274" s="465">
        <v>0.15</v>
      </c>
      <c r="G4274" s="466">
        <v>0.3</v>
      </c>
      <c r="H4274" s="466">
        <f>G4274/1.1</f>
        <v>0.27272727272727271</v>
      </c>
      <c r="I4274" s="436"/>
      <c r="J4274" s="465">
        <v>0</v>
      </c>
      <c r="K4274" s="465">
        <v>0</v>
      </c>
    </row>
    <row r="4275" spans="2:11" ht="19" customHeight="1">
      <c r="B4275" s="464">
        <v>46113</v>
      </c>
      <c r="C4275" s="436" t="s">
        <v>328</v>
      </c>
      <c r="D4275" s="436" t="s">
        <v>773</v>
      </c>
      <c r="E4275" s="436">
        <v>1</v>
      </c>
      <c r="F4275" s="465">
        <v>3.1</v>
      </c>
      <c r="G4275" s="466">
        <v>3.1</v>
      </c>
      <c r="H4275" s="466">
        <f>G4275/1.1</f>
        <v>2.8181818181818179</v>
      </c>
      <c r="I4275" s="436"/>
      <c r="J4275" s="465">
        <v>0</v>
      </c>
      <c r="K4275" s="465">
        <v>0</v>
      </c>
    </row>
    <row r="4276" spans="2:11" ht="19" customHeight="1">
      <c r="B4276" s="464">
        <v>46113</v>
      </c>
      <c r="C4276" s="436" t="s">
        <v>862</v>
      </c>
      <c r="D4276" s="436" t="s">
        <v>865</v>
      </c>
      <c r="E4276" s="436">
        <v>1</v>
      </c>
      <c r="F4276" s="465">
        <v>0.05</v>
      </c>
      <c r="G4276" s="466">
        <v>0.05</v>
      </c>
      <c r="H4276" s="466">
        <f>G4276/1.1</f>
        <v>4.5454545454545456E-2</v>
      </c>
      <c r="I4276" s="436"/>
      <c r="J4276" s="465">
        <v>0</v>
      </c>
      <c r="K4276" s="465">
        <v>0</v>
      </c>
    </row>
    <row r="4277" spans="2:11" ht="19" customHeight="1">
      <c r="B4277" s="464">
        <v>46113</v>
      </c>
      <c r="C4277" s="436" t="s">
        <v>247</v>
      </c>
      <c r="D4277" s="436" t="s">
        <v>246</v>
      </c>
      <c r="E4277" s="436">
        <v>2</v>
      </c>
      <c r="F4277" s="465">
        <v>1.7</v>
      </c>
      <c r="G4277" s="466">
        <v>3.4</v>
      </c>
      <c r="H4277" s="466">
        <f>G4277/1.1</f>
        <v>3.0909090909090904</v>
      </c>
      <c r="I4277" s="436"/>
      <c r="J4277" s="465">
        <v>0</v>
      </c>
      <c r="K4277" s="465">
        <v>0</v>
      </c>
    </row>
    <row r="4278" spans="2:11" ht="19" customHeight="1">
      <c r="B4278" s="464">
        <v>46113</v>
      </c>
      <c r="C4278" s="436" t="s">
        <v>247</v>
      </c>
      <c r="D4278" s="436" t="s">
        <v>246</v>
      </c>
      <c r="E4278" s="436">
        <v>1</v>
      </c>
      <c r="F4278" s="465">
        <v>1.7</v>
      </c>
      <c r="G4278" s="466">
        <v>1.7</v>
      </c>
      <c r="H4278" s="466">
        <f>G4278/1.1</f>
        <v>1.5454545454545452</v>
      </c>
      <c r="I4278" s="436"/>
      <c r="J4278" s="465">
        <v>0</v>
      </c>
      <c r="K4278" s="465">
        <v>0</v>
      </c>
    </row>
    <row r="4279" spans="2:11" ht="19" customHeight="1">
      <c r="B4279" s="464">
        <v>46113</v>
      </c>
      <c r="C4279" s="436" t="s">
        <v>247</v>
      </c>
      <c r="D4279" s="436" t="s">
        <v>246</v>
      </c>
      <c r="E4279" s="436">
        <v>1</v>
      </c>
      <c r="F4279" s="465">
        <v>1.85</v>
      </c>
      <c r="G4279" s="466">
        <v>1.85</v>
      </c>
      <c r="H4279" s="466">
        <f>G4279/1.1</f>
        <v>1.6818181818181817</v>
      </c>
      <c r="I4279" s="436"/>
      <c r="J4279" s="465">
        <v>0</v>
      </c>
      <c r="K4279" s="465">
        <v>0</v>
      </c>
    </row>
    <row r="4280" spans="2:11" ht="19" customHeight="1">
      <c r="B4280" s="464">
        <v>46113</v>
      </c>
      <c r="C4280" s="436" t="s">
        <v>264</v>
      </c>
      <c r="D4280" s="436" t="s">
        <v>1175</v>
      </c>
      <c r="E4280" s="436">
        <v>1</v>
      </c>
      <c r="F4280" s="465">
        <v>1.75</v>
      </c>
      <c r="G4280" s="466">
        <v>1.75</v>
      </c>
      <c r="H4280" s="466">
        <f>G4280/1.1</f>
        <v>1.5909090909090908</v>
      </c>
      <c r="I4280" s="436"/>
      <c r="J4280" s="465">
        <v>0</v>
      </c>
      <c r="K4280" s="465">
        <v>0</v>
      </c>
    </row>
    <row r="4281" spans="2:11" ht="19" customHeight="1">
      <c r="B4281" s="464">
        <v>46113</v>
      </c>
      <c r="C4281" s="436" t="s">
        <v>256</v>
      </c>
      <c r="D4281" s="436" t="s">
        <v>1012</v>
      </c>
      <c r="E4281" s="436">
        <v>1</v>
      </c>
      <c r="F4281" s="465">
        <v>12.15</v>
      </c>
      <c r="G4281" s="466">
        <v>12.15</v>
      </c>
      <c r="H4281" s="466">
        <f>G4281/1.1</f>
        <v>11.045454545454545</v>
      </c>
      <c r="I4281" s="436"/>
      <c r="J4281" s="465">
        <v>0</v>
      </c>
      <c r="K4281" s="465">
        <v>0</v>
      </c>
    </row>
    <row r="4282" spans="2:11" ht="19" customHeight="1">
      <c r="B4282" s="464">
        <v>46113</v>
      </c>
      <c r="C4282" s="436" t="s">
        <v>251</v>
      </c>
      <c r="D4282" s="436" t="s">
        <v>265</v>
      </c>
      <c r="E4282" s="436">
        <v>1</v>
      </c>
      <c r="F4282" s="465">
        <v>2.8</v>
      </c>
      <c r="G4282" s="466">
        <v>2.8</v>
      </c>
      <c r="H4282" s="466">
        <f>G4282/1.1</f>
        <v>2.545454545454545</v>
      </c>
      <c r="I4282" s="436"/>
      <c r="J4282" s="465">
        <v>0</v>
      </c>
      <c r="K4282" s="465">
        <v>0</v>
      </c>
    </row>
    <row r="4283" spans="2:11" ht="19" customHeight="1">
      <c r="B4283" s="464">
        <v>46113</v>
      </c>
      <c r="C4283" s="436" t="s">
        <v>247</v>
      </c>
      <c r="D4283" s="436" t="s">
        <v>246</v>
      </c>
      <c r="E4283" s="436">
        <v>1</v>
      </c>
      <c r="F4283" s="465">
        <v>1.7</v>
      </c>
      <c r="G4283" s="466">
        <v>1.7</v>
      </c>
      <c r="H4283" s="466">
        <f>G4283/1.1</f>
        <v>1.5454545454545452</v>
      </c>
      <c r="I4283" s="436"/>
      <c r="J4283" s="465">
        <v>0</v>
      </c>
      <c r="K4283" s="465">
        <v>0</v>
      </c>
    </row>
    <row r="4284" spans="2:11" ht="19" customHeight="1">
      <c r="B4284" s="464">
        <v>46113</v>
      </c>
      <c r="C4284" s="436" t="s">
        <v>862</v>
      </c>
      <c r="D4284" s="436" t="s">
        <v>863</v>
      </c>
      <c r="E4284" s="436">
        <v>1</v>
      </c>
      <c r="F4284" s="465">
        <v>0.15</v>
      </c>
      <c r="G4284" s="466">
        <v>0.15</v>
      </c>
      <c r="H4284" s="466">
        <f>G4284/1.1</f>
        <v>0.13636363636363635</v>
      </c>
      <c r="I4284" s="436"/>
      <c r="J4284" s="465">
        <v>0</v>
      </c>
      <c r="K4284" s="465">
        <v>0</v>
      </c>
    </row>
    <row r="4285" spans="2:11" ht="19" customHeight="1">
      <c r="B4285" s="464">
        <v>46113</v>
      </c>
      <c r="C4285" s="436" t="s">
        <v>247</v>
      </c>
      <c r="D4285" s="436" t="s">
        <v>246</v>
      </c>
      <c r="E4285" s="436">
        <v>1</v>
      </c>
      <c r="F4285" s="465">
        <v>1.7</v>
      </c>
      <c r="G4285" s="466">
        <v>1.7</v>
      </c>
      <c r="H4285" s="466">
        <f>G4285/1.1</f>
        <v>1.5454545454545452</v>
      </c>
      <c r="I4285" s="436"/>
      <c r="J4285" s="465">
        <v>0</v>
      </c>
      <c r="K4285" s="465">
        <v>0</v>
      </c>
    </row>
    <row r="4286" spans="2:11" ht="19" customHeight="1">
      <c r="B4286" s="464">
        <v>46113</v>
      </c>
      <c r="C4286" s="436" t="s">
        <v>247</v>
      </c>
      <c r="D4286" s="436" t="s">
        <v>248</v>
      </c>
      <c r="E4286" s="436">
        <v>1</v>
      </c>
      <c r="F4286" s="465">
        <v>1.5</v>
      </c>
      <c r="G4286" s="466">
        <v>1.5</v>
      </c>
      <c r="H4286" s="466">
        <f>G4286/1.1</f>
        <v>1.3636363636363635</v>
      </c>
      <c r="I4286" s="436"/>
      <c r="J4286" s="465">
        <v>0</v>
      </c>
      <c r="K4286" s="465">
        <v>0</v>
      </c>
    </row>
    <row r="4287" spans="2:11" ht="19" customHeight="1">
      <c r="B4287" s="464">
        <v>46113</v>
      </c>
      <c r="C4287" s="436" t="s">
        <v>247</v>
      </c>
      <c r="D4287" s="436" t="s">
        <v>1213</v>
      </c>
      <c r="E4287" s="436">
        <v>1</v>
      </c>
      <c r="F4287" s="465">
        <v>1.4</v>
      </c>
      <c r="G4287" s="466">
        <v>1.4</v>
      </c>
      <c r="H4287" s="466">
        <f>G4287/1.1</f>
        <v>1.2727272727272725</v>
      </c>
      <c r="I4287" s="436"/>
      <c r="J4287" s="465">
        <v>0</v>
      </c>
      <c r="K4287" s="465">
        <v>0</v>
      </c>
    </row>
    <row r="4288" spans="2:11" ht="19" customHeight="1">
      <c r="B4288" s="464">
        <v>46113</v>
      </c>
      <c r="C4288" s="436" t="s">
        <v>251</v>
      </c>
      <c r="D4288" s="436" t="s">
        <v>250</v>
      </c>
      <c r="E4288" s="436">
        <v>1</v>
      </c>
      <c r="F4288" s="465">
        <v>1.8</v>
      </c>
      <c r="G4288" s="466">
        <v>1.8</v>
      </c>
      <c r="H4288" s="466">
        <f>G4288/1.1</f>
        <v>1.6363636363636362</v>
      </c>
      <c r="I4288" s="436"/>
      <c r="J4288" s="465">
        <v>0</v>
      </c>
      <c r="K4288" s="465">
        <v>0</v>
      </c>
    </row>
    <row r="4289" spans="2:11" ht="19" customHeight="1">
      <c r="B4289" s="464">
        <v>46113</v>
      </c>
      <c r="C4289" s="436" t="s">
        <v>251</v>
      </c>
      <c r="D4289" s="436" t="s">
        <v>926</v>
      </c>
      <c r="E4289" s="436">
        <v>2</v>
      </c>
      <c r="F4289" s="465">
        <v>2.65</v>
      </c>
      <c r="G4289" s="466">
        <v>5.3</v>
      </c>
      <c r="H4289" s="466">
        <f>G4289/1.1</f>
        <v>4.8181818181818175</v>
      </c>
      <c r="I4289" s="436"/>
      <c r="J4289" s="465">
        <v>0</v>
      </c>
      <c r="K4289" s="465">
        <v>0</v>
      </c>
    </row>
    <row r="4290" spans="2:11" ht="19" customHeight="1">
      <c r="B4290" s="464">
        <v>46113</v>
      </c>
      <c r="C4290" s="436" t="s">
        <v>264</v>
      </c>
      <c r="D4290" s="436" t="s">
        <v>930</v>
      </c>
      <c r="E4290" s="436">
        <v>1</v>
      </c>
      <c r="F4290" s="465">
        <v>3.5</v>
      </c>
      <c r="G4290" s="466">
        <v>3.5</v>
      </c>
      <c r="H4290" s="466">
        <f>G4290/1.1</f>
        <v>3.1818181818181817</v>
      </c>
      <c r="I4290" s="436"/>
      <c r="J4290" s="465">
        <v>0</v>
      </c>
      <c r="K4290" s="465">
        <v>0</v>
      </c>
    </row>
    <row r="4291" spans="2:11" ht="19" customHeight="1">
      <c r="B4291" s="464">
        <v>46113</v>
      </c>
      <c r="C4291" s="436" t="s">
        <v>256</v>
      </c>
      <c r="D4291" s="436" t="s">
        <v>931</v>
      </c>
      <c r="E4291" s="436">
        <v>2</v>
      </c>
      <c r="F4291" s="465">
        <v>1.7</v>
      </c>
      <c r="G4291" s="466">
        <v>3.4</v>
      </c>
      <c r="H4291" s="466">
        <f>G4291/1.1</f>
        <v>3.0909090909090904</v>
      </c>
      <c r="I4291" s="436"/>
      <c r="J4291" s="465">
        <v>0</v>
      </c>
      <c r="K4291" s="465">
        <v>0</v>
      </c>
    </row>
    <row r="4292" spans="2:11" ht="19" customHeight="1">
      <c r="B4292" s="464">
        <v>46113</v>
      </c>
      <c r="C4292" s="436" t="s">
        <v>256</v>
      </c>
      <c r="D4292" s="436" t="s">
        <v>870</v>
      </c>
      <c r="E4292" s="436">
        <v>2</v>
      </c>
      <c r="F4292" s="465">
        <v>1.7</v>
      </c>
      <c r="G4292" s="466">
        <v>3.4</v>
      </c>
      <c r="H4292" s="466">
        <f>G4292/1.1</f>
        <v>3.0909090909090904</v>
      </c>
      <c r="I4292" s="436"/>
      <c r="J4292" s="465">
        <v>0</v>
      </c>
      <c r="K4292" s="465">
        <v>0</v>
      </c>
    </row>
    <row r="4293" spans="2:11" ht="19" customHeight="1">
      <c r="B4293" s="464">
        <v>46113</v>
      </c>
      <c r="C4293" s="436" t="s">
        <v>256</v>
      </c>
      <c r="D4293" s="436" t="s">
        <v>932</v>
      </c>
      <c r="E4293" s="436">
        <v>2</v>
      </c>
      <c r="F4293" s="465">
        <v>1.7</v>
      </c>
      <c r="G4293" s="466">
        <v>3.4</v>
      </c>
      <c r="H4293" s="466">
        <f>G4293/1.1</f>
        <v>3.0909090909090904</v>
      </c>
      <c r="I4293" s="436"/>
      <c r="J4293" s="465">
        <v>0</v>
      </c>
      <c r="K4293" s="465">
        <v>0</v>
      </c>
    </row>
    <row r="4294" spans="2:11" ht="19" customHeight="1">
      <c r="B4294" s="464">
        <v>46113</v>
      </c>
      <c r="C4294" s="436" t="s">
        <v>256</v>
      </c>
      <c r="D4294" s="436" t="s">
        <v>255</v>
      </c>
      <c r="E4294" s="436">
        <v>1</v>
      </c>
      <c r="F4294" s="465">
        <v>5.6</v>
      </c>
      <c r="G4294" s="466">
        <v>5.6</v>
      </c>
      <c r="H4294" s="466">
        <f>G4294/1.1</f>
        <v>5.0909090909090899</v>
      </c>
      <c r="I4294" s="436"/>
      <c r="J4294" s="465">
        <v>0</v>
      </c>
      <c r="K4294" s="465">
        <v>0</v>
      </c>
    </row>
    <row r="4295" spans="2:11" ht="19" customHeight="1">
      <c r="B4295" s="464">
        <v>46113</v>
      </c>
      <c r="C4295" s="436" t="s">
        <v>277</v>
      </c>
      <c r="D4295" s="436" t="s">
        <v>1044</v>
      </c>
      <c r="E4295" s="436">
        <v>2</v>
      </c>
      <c r="F4295" s="465">
        <v>9.5</v>
      </c>
      <c r="G4295" s="466">
        <v>19</v>
      </c>
      <c r="H4295" s="466">
        <f>G4295/1.1</f>
        <v>17.27272727272727</v>
      </c>
      <c r="I4295" s="436"/>
      <c r="J4295" s="465">
        <v>0</v>
      </c>
      <c r="K4295" s="465">
        <v>0</v>
      </c>
    </row>
    <row r="4296" spans="2:11" ht="19" customHeight="1">
      <c r="B4296" s="464">
        <v>46113</v>
      </c>
      <c r="C4296" s="436" t="s">
        <v>247</v>
      </c>
      <c r="D4296" s="436" t="s">
        <v>246</v>
      </c>
      <c r="E4296" s="436">
        <v>2</v>
      </c>
      <c r="F4296" s="465">
        <v>1.7</v>
      </c>
      <c r="G4296" s="466">
        <v>3.4</v>
      </c>
      <c r="H4296" s="466">
        <f>G4296/1.1</f>
        <v>3.0909090909090904</v>
      </c>
      <c r="I4296" s="436"/>
      <c r="J4296" s="465">
        <v>0</v>
      </c>
      <c r="K4296" s="465">
        <v>0</v>
      </c>
    </row>
    <row r="4297" spans="2:11" ht="19" customHeight="1">
      <c r="B4297" s="464">
        <v>46113</v>
      </c>
      <c r="C4297" s="436" t="s">
        <v>253</v>
      </c>
      <c r="D4297" s="436" t="s">
        <v>869</v>
      </c>
      <c r="E4297" s="436">
        <v>1</v>
      </c>
      <c r="F4297" s="465">
        <v>2.5</v>
      </c>
      <c r="G4297" s="466">
        <v>2.5</v>
      </c>
      <c r="H4297" s="466">
        <f>G4297/1.1</f>
        <v>2.2727272727272725</v>
      </c>
      <c r="I4297" s="436"/>
      <c r="J4297" s="465">
        <v>0</v>
      </c>
      <c r="K4297" s="465">
        <v>0</v>
      </c>
    </row>
    <row r="4298" spans="2:11" ht="19" customHeight="1">
      <c r="B4298" s="464">
        <v>46113</v>
      </c>
      <c r="C4298" s="436" t="s">
        <v>253</v>
      </c>
      <c r="D4298" s="436" t="s">
        <v>901</v>
      </c>
      <c r="E4298" s="436">
        <v>2</v>
      </c>
      <c r="F4298" s="465">
        <v>2.15</v>
      </c>
      <c r="G4298" s="466">
        <v>4.3</v>
      </c>
      <c r="H4298" s="466">
        <f>G4298/1.1</f>
        <v>3.9090909090909087</v>
      </c>
      <c r="I4298" s="436"/>
      <c r="J4298" s="465">
        <v>0</v>
      </c>
      <c r="K4298" s="465">
        <v>0</v>
      </c>
    </row>
    <row r="4299" spans="2:11" ht="19" customHeight="1">
      <c r="B4299" s="464">
        <v>46113</v>
      </c>
      <c r="C4299" s="436" t="s">
        <v>253</v>
      </c>
      <c r="D4299" s="436" t="s">
        <v>869</v>
      </c>
      <c r="E4299" s="436">
        <v>1</v>
      </c>
      <c r="F4299" s="465">
        <v>2.5</v>
      </c>
      <c r="G4299" s="466">
        <v>2.5</v>
      </c>
      <c r="H4299" s="466">
        <f>G4299/1.1</f>
        <v>2.2727272727272725</v>
      </c>
      <c r="I4299" s="436"/>
      <c r="J4299" s="465">
        <v>0</v>
      </c>
      <c r="K4299" s="465">
        <v>0</v>
      </c>
    </row>
    <row r="4300" spans="2:11" ht="19" customHeight="1">
      <c r="B4300" s="464">
        <v>46113</v>
      </c>
      <c r="C4300" s="436" t="s">
        <v>254</v>
      </c>
      <c r="D4300" s="436" t="s">
        <v>1218</v>
      </c>
      <c r="E4300" s="436">
        <v>2</v>
      </c>
      <c r="F4300" s="465">
        <v>14.9</v>
      </c>
      <c r="G4300" s="466">
        <v>29.8</v>
      </c>
      <c r="H4300" s="466">
        <f>G4300/1.1</f>
        <v>27.09090909090909</v>
      </c>
      <c r="I4300" s="436"/>
      <c r="J4300" s="465">
        <v>0</v>
      </c>
      <c r="K4300" s="465">
        <v>0</v>
      </c>
    </row>
    <row r="4301" spans="2:11" ht="19" customHeight="1">
      <c r="B4301" s="464">
        <v>46113</v>
      </c>
      <c r="C4301" s="436" t="s">
        <v>873</v>
      </c>
      <c r="D4301" s="436" t="s">
        <v>1219</v>
      </c>
      <c r="E4301" s="436">
        <v>1</v>
      </c>
      <c r="F4301" s="469"/>
      <c r="G4301" s="468" t="s">
        <v>875</v>
      </c>
      <c r="H4301" s="466" t="e">
        <f>G4301/1.1</f>
        <v>#VALUE!</v>
      </c>
      <c r="I4301" s="436"/>
      <c r="J4301" s="465">
        <v>0</v>
      </c>
      <c r="K4301" s="465">
        <v>0</v>
      </c>
    </row>
    <row r="4302" spans="2:11" ht="19" customHeight="1">
      <c r="B4302" s="464">
        <v>46113</v>
      </c>
      <c r="C4302" s="436" t="s">
        <v>873</v>
      </c>
      <c r="D4302" s="436" t="s">
        <v>1108</v>
      </c>
      <c r="E4302" s="436">
        <v>1</v>
      </c>
      <c r="F4302" s="469"/>
      <c r="G4302" s="468" t="s">
        <v>875</v>
      </c>
      <c r="H4302" s="466" t="e">
        <f>G4302/1.1</f>
        <v>#VALUE!</v>
      </c>
      <c r="I4302" s="436"/>
      <c r="J4302" s="465">
        <v>0</v>
      </c>
      <c r="K4302" s="465">
        <v>0</v>
      </c>
    </row>
    <row r="4303" spans="2:11" ht="19" customHeight="1">
      <c r="B4303" s="464">
        <v>46113</v>
      </c>
      <c r="C4303" s="436" t="s">
        <v>877</v>
      </c>
      <c r="D4303" s="436" t="s">
        <v>1220</v>
      </c>
      <c r="E4303" s="436">
        <v>1</v>
      </c>
      <c r="F4303" s="465">
        <v>3</v>
      </c>
      <c r="G4303" s="466">
        <v>3</v>
      </c>
      <c r="H4303" s="466">
        <f>G4303/1.1</f>
        <v>2.7272727272727271</v>
      </c>
      <c r="I4303" s="436"/>
      <c r="J4303" s="465">
        <v>0</v>
      </c>
      <c r="K4303" s="465">
        <v>0</v>
      </c>
    </row>
    <row r="4304" spans="2:11" ht="19" customHeight="1">
      <c r="B4304" s="464">
        <v>46113</v>
      </c>
      <c r="C4304" s="436" t="s">
        <v>877</v>
      </c>
      <c r="D4304" s="436" t="s">
        <v>1221</v>
      </c>
      <c r="E4304" s="436">
        <v>1</v>
      </c>
      <c r="F4304" s="469"/>
      <c r="G4304" s="468" t="s">
        <v>875</v>
      </c>
      <c r="H4304" s="466" t="e">
        <f>G4304/1.1</f>
        <v>#VALUE!</v>
      </c>
      <c r="I4304" s="436"/>
      <c r="J4304" s="465">
        <v>0</v>
      </c>
      <c r="K4304" s="465">
        <v>0</v>
      </c>
    </row>
    <row r="4305" spans="2:11" ht="19" customHeight="1">
      <c r="B4305" s="464">
        <v>46113</v>
      </c>
      <c r="C4305" s="436" t="s">
        <v>266</v>
      </c>
      <c r="D4305" s="436" t="s">
        <v>942</v>
      </c>
      <c r="E4305" s="436">
        <v>1</v>
      </c>
      <c r="F4305" s="469"/>
      <c r="G4305" s="468" t="s">
        <v>875</v>
      </c>
      <c r="H4305" s="466" t="e">
        <f>G4305/1.1</f>
        <v>#VALUE!</v>
      </c>
      <c r="I4305" s="436"/>
      <c r="J4305" s="465">
        <v>0</v>
      </c>
      <c r="K4305" s="465">
        <v>0</v>
      </c>
    </row>
    <row r="4306" spans="2:11" ht="19" customHeight="1">
      <c r="B4306" s="464">
        <v>46113</v>
      </c>
      <c r="C4306" s="436" t="s">
        <v>266</v>
      </c>
      <c r="D4306" s="436" t="s">
        <v>991</v>
      </c>
      <c r="E4306" s="436">
        <v>1</v>
      </c>
      <c r="F4306" s="469"/>
      <c r="G4306" s="468" t="s">
        <v>875</v>
      </c>
      <c r="H4306" s="466" t="e">
        <f>G4306/1.1</f>
        <v>#VALUE!</v>
      </c>
      <c r="I4306" s="436"/>
      <c r="J4306" s="465">
        <v>0</v>
      </c>
      <c r="K4306" s="465">
        <v>0</v>
      </c>
    </row>
    <row r="4307" spans="2:11" ht="19" customHeight="1">
      <c r="B4307" s="464">
        <v>46113</v>
      </c>
      <c r="C4307" s="436" t="s">
        <v>253</v>
      </c>
      <c r="D4307" s="436" t="s">
        <v>901</v>
      </c>
      <c r="E4307" s="436">
        <v>1</v>
      </c>
      <c r="F4307" s="465">
        <v>2.15</v>
      </c>
      <c r="G4307" s="466">
        <v>2.15</v>
      </c>
      <c r="H4307" s="466">
        <f>G4307/1.1</f>
        <v>1.9545454545454544</v>
      </c>
      <c r="I4307" s="436"/>
      <c r="J4307" s="465">
        <v>0</v>
      </c>
      <c r="K4307" s="465">
        <v>0</v>
      </c>
    </row>
    <row r="4308" spans="2:11" ht="19" customHeight="1">
      <c r="B4308" s="464">
        <v>46113</v>
      </c>
      <c r="C4308" s="436" t="s">
        <v>258</v>
      </c>
      <c r="D4308" s="436" t="s">
        <v>882</v>
      </c>
      <c r="E4308" s="436">
        <v>2</v>
      </c>
      <c r="F4308" s="469"/>
      <c r="G4308" s="468" t="s">
        <v>875</v>
      </c>
      <c r="H4308" s="466" t="e">
        <f>G4308/1.1</f>
        <v>#VALUE!</v>
      </c>
      <c r="I4308" s="436"/>
      <c r="J4308" s="465">
        <v>0</v>
      </c>
      <c r="K4308" s="465">
        <v>0</v>
      </c>
    </row>
    <row r="4309" spans="2:11" ht="19" customHeight="1">
      <c r="B4309" s="464">
        <v>46113</v>
      </c>
      <c r="C4309" s="436" t="s">
        <v>254</v>
      </c>
      <c r="D4309" s="436" t="s">
        <v>1218</v>
      </c>
      <c r="E4309" s="436">
        <v>2</v>
      </c>
      <c r="F4309" s="465">
        <v>14.9</v>
      </c>
      <c r="G4309" s="466">
        <v>29.8</v>
      </c>
      <c r="H4309" s="466">
        <f>G4309/1.1</f>
        <v>27.09090909090909</v>
      </c>
      <c r="I4309" s="436"/>
      <c r="J4309" s="465">
        <v>0</v>
      </c>
      <c r="K4309" s="465">
        <v>0</v>
      </c>
    </row>
    <row r="4310" spans="2:11" ht="19" customHeight="1">
      <c r="B4310" s="464">
        <v>46113</v>
      </c>
      <c r="C4310" s="436" t="s">
        <v>873</v>
      </c>
      <c r="D4310" s="436" t="s">
        <v>1219</v>
      </c>
      <c r="E4310" s="436">
        <v>1</v>
      </c>
      <c r="F4310" s="469"/>
      <c r="G4310" s="468" t="s">
        <v>875</v>
      </c>
      <c r="H4310" s="466" t="e">
        <f>G4310/1.1</f>
        <v>#VALUE!</v>
      </c>
      <c r="I4310" s="436"/>
      <c r="J4310" s="465">
        <v>0</v>
      </c>
      <c r="K4310" s="465">
        <v>0</v>
      </c>
    </row>
    <row r="4311" spans="2:11" ht="19" customHeight="1">
      <c r="B4311" s="464">
        <v>46113</v>
      </c>
      <c r="C4311" s="436" t="s">
        <v>873</v>
      </c>
      <c r="D4311" s="436" t="s">
        <v>1108</v>
      </c>
      <c r="E4311" s="436">
        <v>1</v>
      </c>
      <c r="F4311" s="469"/>
      <c r="G4311" s="468" t="s">
        <v>875</v>
      </c>
      <c r="H4311" s="466" t="e">
        <f>G4311/1.1</f>
        <v>#VALUE!</v>
      </c>
      <c r="I4311" s="436"/>
      <c r="J4311" s="465">
        <v>0</v>
      </c>
      <c r="K4311" s="465">
        <v>0</v>
      </c>
    </row>
    <row r="4312" spans="2:11" ht="19" customHeight="1">
      <c r="B4312" s="464">
        <v>46113</v>
      </c>
      <c r="C4312" s="436" t="s">
        <v>877</v>
      </c>
      <c r="D4312" s="436" t="s">
        <v>1220</v>
      </c>
      <c r="E4312" s="436">
        <v>1</v>
      </c>
      <c r="F4312" s="465">
        <v>3</v>
      </c>
      <c r="G4312" s="466">
        <v>3</v>
      </c>
      <c r="H4312" s="466">
        <f>G4312/1.1</f>
        <v>2.7272727272727271</v>
      </c>
      <c r="I4312" s="436"/>
      <c r="J4312" s="465">
        <v>0</v>
      </c>
      <c r="K4312" s="465">
        <v>0</v>
      </c>
    </row>
    <row r="4313" spans="2:11" ht="19" customHeight="1">
      <c r="B4313" s="464">
        <v>46113</v>
      </c>
      <c r="C4313" s="436" t="s">
        <v>877</v>
      </c>
      <c r="D4313" s="436" t="s">
        <v>1222</v>
      </c>
      <c r="E4313" s="436">
        <v>1</v>
      </c>
      <c r="F4313" s="469"/>
      <c r="G4313" s="468" t="s">
        <v>875</v>
      </c>
      <c r="H4313" s="466" t="e">
        <f>G4313/1.1</f>
        <v>#VALUE!</v>
      </c>
      <c r="I4313" s="436"/>
      <c r="J4313" s="465">
        <v>0</v>
      </c>
      <c r="K4313" s="465">
        <v>0</v>
      </c>
    </row>
    <row r="4314" spans="2:11" ht="19" customHeight="1">
      <c r="B4314" s="464">
        <v>46113</v>
      </c>
      <c r="C4314" s="436" t="s">
        <v>266</v>
      </c>
      <c r="D4314" s="436" t="s">
        <v>265</v>
      </c>
      <c r="E4314" s="436">
        <v>1</v>
      </c>
      <c r="F4314" s="465">
        <v>1</v>
      </c>
      <c r="G4314" s="466">
        <v>1</v>
      </c>
      <c r="H4314" s="466">
        <f>G4314/1.1</f>
        <v>0.90909090909090906</v>
      </c>
      <c r="I4314" s="436"/>
      <c r="J4314" s="465">
        <v>0</v>
      </c>
      <c r="K4314" s="465">
        <v>0</v>
      </c>
    </row>
    <row r="4315" spans="2:11" ht="19" customHeight="1">
      <c r="B4315" s="464">
        <v>46113</v>
      </c>
      <c r="C4315" s="436" t="s">
        <v>266</v>
      </c>
      <c r="D4315" s="436" t="s">
        <v>250</v>
      </c>
      <c r="E4315" s="436">
        <v>1</v>
      </c>
      <c r="F4315" s="469"/>
      <c r="G4315" s="468" t="s">
        <v>875</v>
      </c>
      <c r="H4315" s="466" t="e">
        <f>G4315/1.1</f>
        <v>#VALUE!</v>
      </c>
      <c r="I4315" s="436"/>
      <c r="J4315" s="465">
        <v>0</v>
      </c>
      <c r="K4315" s="465">
        <v>0</v>
      </c>
    </row>
    <row r="4316" spans="2:11" ht="19" customHeight="1">
      <c r="B4316" s="464">
        <v>46113</v>
      </c>
      <c r="C4316" s="436" t="s">
        <v>258</v>
      </c>
      <c r="D4316" s="436" t="s">
        <v>917</v>
      </c>
      <c r="E4316" s="436">
        <v>2</v>
      </c>
      <c r="F4316" s="469"/>
      <c r="G4316" s="468" t="s">
        <v>875</v>
      </c>
      <c r="H4316" s="466" t="e">
        <f>G4316/1.1</f>
        <v>#VALUE!</v>
      </c>
      <c r="I4316" s="436"/>
      <c r="J4316" s="465">
        <v>0</v>
      </c>
      <c r="K4316" s="465">
        <v>0</v>
      </c>
    </row>
    <row r="4317" spans="2:11" ht="19" customHeight="1">
      <c r="B4317" s="464">
        <v>46113</v>
      </c>
      <c r="C4317" s="436" t="s">
        <v>254</v>
      </c>
      <c r="D4317" s="436" t="s">
        <v>1218</v>
      </c>
      <c r="E4317" s="436">
        <v>2</v>
      </c>
      <c r="F4317" s="465">
        <v>14.9</v>
      </c>
      <c r="G4317" s="466">
        <v>29.8</v>
      </c>
      <c r="H4317" s="466">
        <f>G4317/1.1</f>
        <v>27.09090909090909</v>
      </c>
      <c r="I4317" s="436"/>
      <c r="J4317" s="465">
        <v>0</v>
      </c>
      <c r="K4317" s="465">
        <v>0</v>
      </c>
    </row>
    <row r="4318" spans="2:11" ht="19" customHeight="1">
      <c r="B4318" s="464">
        <v>46113</v>
      </c>
      <c r="C4318" s="436" t="s">
        <v>873</v>
      </c>
      <c r="D4318" s="436" t="s">
        <v>1223</v>
      </c>
      <c r="E4318" s="436">
        <v>2</v>
      </c>
      <c r="F4318" s="465">
        <v>3</v>
      </c>
      <c r="G4318" s="466">
        <v>6</v>
      </c>
      <c r="H4318" s="466">
        <f>G4318/1.1</f>
        <v>5.4545454545454541</v>
      </c>
      <c r="I4318" s="436"/>
      <c r="J4318" s="465">
        <v>0</v>
      </c>
      <c r="K4318" s="465">
        <v>0</v>
      </c>
    </row>
    <row r="4319" spans="2:11" ht="19" customHeight="1">
      <c r="B4319" s="464">
        <v>46113</v>
      </c>
      <c r="C4319" s="436" t="s">
        <v>877</v>
      </c>
      <c r="D4319" s="436" t="s">
        <v>1224</v>
      </c>
      <c r="E4319" s="436">
        <v>1</v>
      </c>
      <c r="F4319" s="465">
        <v>3</v>
      </c>
      <c r="G4319" s="466">
        <v>3</v>
      </c>
      <c r="H4319" s="466">
        <f>G4319/1.1</f>
        <v>2.7272727272727271</v>
      </c>
      <c r="I4319" s="436"/>
      <c r="J4319" s="465">
        <v>0</v>
      </c>
      <c r="K4319" s="465">
        <v>0</v>
      </c>
    </row>
    <row r="4320" spans="2:11" ht="19" customHeight="1">
      <c r="B4320" s="464">
        <v>46113</v>
      </c>
      <c r="C4320" s="436" t="s">
        <v>877</v>
      </c>
      <c r="D4320" s="436" t="s">
        <v>1221</v>
      </c>
      <c r="E4320" s="436">
        <v>1</v>
      </c>
      <c r="F4320" s="469"/>
      <c r="G4320" s="468" t="s">
        <v>875</v>
      </c>
      <c r="H4320" s="466" t="e">
        <f>G4320/1.1</f>
        <v>#VALUE!</v>
      </c>
      <c r="I4320" s="436"/>
      <c r="J4320" s="465">
        <v>0</v>
      </c>
      <c r="K4320" s="465">
        <v>0</v>
      </c>
    </row>
    <row r="4321" spans="2:11" ht="19" customHeight="1">
      <c r="B4321" s="464">
        <v>46113</v>
      </c>
      <c r="C4321" s="436" t="s">
        <v>266</v>
      </c>
      <c r="D4321" s="436" t="s">
        <v>926</v>
      </c>
      <c r="E4321" s="436">
        <v>2</v>
      </c>
      <c r="F4321" s="465">
        <v>1</v>
      </c>
      <c r="G4321" s="466">
        <v>2</v>
      </c>
      <c r="H4321" s="466">
        <f>G4321/1.1</f>
        <v>1.8181818181818181</v>
      </c>
      <c r="I4321" s="436"/>
      <c r="J4321" s="465">
        <v>0</v>
      </c>
      <c r="K4321" s="465">
        <v>0</v>
      </c>
    </row>
    <row r="4322" spans="2:11" ht="19" customHeight="1">
      <c r="B4322" s="464">
        <v>46113</v>
      </c>
      <c r="C4322" s="436" t="s">
        <v>258</v>
      </c>
      <c r="D4322" s="436" t="s">
        <v>882</v>
      </c>
      <c r="E4322" s="436">
        <v>1</v>
      </c>
      <c r="F4322" s="469"/>
      <c r="G4322" s="468" t="s">
        <v>875</v>
      </c>
      <c r="H4322" s="466" t="e">
        <f>G4322/1.1</f>
        <v>#VALUE!</v>
      </c>
      <c r="I4322" s="436"/>
      <c r="J4322" s="465">
        <v>0</v>
      </c>
      <c r="K4322" s="465">
        <v>0</v>
      </c>
    </row>
    <row r="4323" spans="2:11" ht="19" customHeight="1">
      <c r="B4323" s="464">
        <v>46113</v>
      </c>
      <c r="C4323" s="436" t="s">
        <v>258</v>
      </c>
      <c r="D4323" s="436" t="s">
        <v>1225</v>
      </c>
      <c r="E4323" s="436">
        <v>1</v>
      </c>
      <c r="F4323" s="469"/>
      <c r="G4323" s="468" t="s">
        <v>875</v>
      </c>
      <c r="H4323" s="466" t="e">
        <f>G4323/1.1</f>
        <v>#VALUE!</v>
      </c>
      <c r="I4323" s="436"/>
      <c r="J4323" s="465">
        <v>0</v>
      </c>
      <c r="K4323" s="465">
        <v>0</v>
      </c>
    </row>
    <row r="4324" spans="2:11" ht="19" customHeight="1">
      <c r="B4324" s="464">
        <v>46113</v>
      </c>
      <c r="C4324" s="436" t="s">
        <v>254</v>
      </c>
      <c r="D4324" s="436" t="s">
        <v>1218</v>
      </c>
      <c r="E4324" s="436">
        <v>3</v>
      </c>
      <c r="F4324" s="465">
        <v>14.9</v>
      </c>
      <c r="G4324" s="466">
        <v>44.7</v>
      </c>
      <c r="H4324" s="466">
        <f>G4324/1.1</f>
        <v>40.636363636363633</v>
      </c>
      <c r="I4324" s="436"/>
      <c r="J4324" s="465">
        <v>0</v>
      </c>
      <c r="K4324" s="465">
        <v>0</v>
      </c>
    </row>
    <row r="4325" spans="2:11" ht="19" customHeight="1">
      <c r="B4325" s="464">
        <v>46113</v>
      </c>
      <c r="C4325" s="436" t="s">
        <v>873</v>
      </c>
      <c r="D4325" s="436" t="s">
        <v>1219</v>
      </c>
      <c r="E4325" s="436">
        <v>1</v>
      </c>
      <c r="F4325" s="469"/>
      <c r="G4325" s="468" t="s">
        <v>875</v>
      </c>
      <c r="H4325" s="466" t="e">
        <f>G4325/1.1</f>
        <v>#VALUE!</v>
      </c>
      <c r="I4325" s="436"/>
      <c r="J4325" s="465">
        <v>0</v>
      </c>
      <c r="K4325" s="465">
        <v>0</v>
      </c>
    </row>
    <row r="4326" spans="2:11" ht="19" customHeight="1">
      <c r="B4326" s="464">
        <v>46113</v>
      </c>
      <c r="C4326" s="436" t="s">
        <v>873</v>
      </c>
      <c r="D4326" s="436" t="s">
        <v>1108</v>
      </c>
      <c r="E4326" s="436">
        <v>1</v>
      </c>
      <c r="F4326" s="469"/>
      <c r="G4326" s="468" t="s">
        <v>875</v>
      </c>
      <c r="H4326" s="466" t="e">
        <f>G4326/1.1</f>
        <v>#VALUE!</v>
      </c>
      <c r="I4326" s="436"/>
      <c r="J4326" s="465">
        <v>0</v>
      </c>
      <c r="K4326" s="465">
        <v>0</v>
      </c>
    </row>
    <row r="4327" spans="2:11" ht="19" customHeight="1">
      <c r="B4327" s="464">
        <v>46113</v>
      </c>
      <c r="C4327" s="436" t="s">
        <v>873</v>
      </c>
      <c r="D4327" s="436" t="s">
        <v>1226</v>
      </c>
      <c r="E4327" s="436">
        <v>1</v>
      </c>
      <c r="F4327" s="469"/>
      <c r="G4327" s="468" t="s">
        <v>875</v>
      </c>
      <c r="H4327" s="466" t="e">
        <f>G4327/1.1</f>
        <v>#VALUE!</v>
      </c>
      <c r="I4327" s="436"/>
      <c r="J4327" s="465">
        <v>0</v>
      </c>
      <c r="K4327" s="465">
        <v>0</v>
      </c>
    </row>
    <row r="4328" spans="2:11" ht="19" customHeight="1">
      <c r="B4328" s="464">
        <v>46113</v>
      </c>
      <c r="C4328" s="436" t="s">
        <v>877</v>
      </c>
      <c r="D4328" s="436" t="s">
        <v>1029</v>
      </c>
      <c r="E4328" s="436">
        <v>1</v>
      </c>
      <c r="F4328" s="469"/>
      <c r="G4328" s="468" t="s">
        <v>875</v>
      </c>
      <c r="H4328" s="466" t="e">
        <f>G4328/1.1</f>
        <v>#VALUE!</v>
      </c>
      <c r="I4328" s="436"/>
      <c r="J4328" s="465">
        <v>0</v>
      </c>
      <c r="K4328" s="465">
        <v>0</v>
      </c>
    </row>
    <row r="4329" spans="2:11" ht="19" customHeight="1">
      <c r="B4329" s="464">
        <v>46113</v>
      </c>
      <c r="C4329" s="436" t="s">
        <v>877</v>
      </c>
      <c r="D4329" s="436" t="s">
        <v>1222</v>
      </c>
      <c r="E4329" s="436">
        <v>2</v>
      </c>
      <c r="F4329" s="469"/>
      <c r="G4329" s="468" t="s">
        <v>875</v>
      </c>
      <c r="H4329" s="466" t="e">
        <f>G4329/1.1</f>
        <v>#VALUE!</v>
      </c>
      <c r="I4329" s="436"/>
      <c r="J4329" s="465">
        <v>0</v>
      </c>
      <c r="K4329" s="465">
        <v>0</v>
      </c>
    </row>
    <row r="4330" spans="2:11" ht="19" customHeight="1">
      <c r="B4330" s="464">
        <v>46113</v>
      </c>
      <c r="C4330" s="436" t="s">
        <v>266</v>
      </c>
      <c r="D4330" s="436" t="s">
        <v>250</v>
      </c>
      <c r="E4330" s="436">
        <v>3</v>
      </c>
      <c r="F4330" s="469"/>
      <c r="G4330" s="468" t="s">
        <v>875</v>
      </c>
      <c r="H4330" s="466" t="e">
        <f>G4330/1.1</f>
        <v>#VALUE!</v>
      </c>
      <c r="I4330" s="436"/>
      <c r="J4330" s="465">
        <v>0</v>
      </c>
      <c r="K4330" s="465">
        <v>0</v>
      </c>
    </row>
    <row r="4331" spans="2:11" ht="19" customHeight="1">
      <c r="B4331" s="464">
        <v>46113</v>
      </c>
      <c r="C4331" s="436" t="s">
        <v>258</v>
      </c>
      <c r="D4331" s="436" t="s">
        <v>1081</v>
      </c>
      <c r="E4331" s="436">
        <v>2</v>
      </c>
      <c r="F4331" s="469"/>
      <c r="G4331" s="468" t="s">
        <v>875</v>
      </c>
      <c r="H4331" s="466" t="e">
        <f>G4331/1.1</f>
        <v>#VALUE!</v>
      </c>
      <c r="I4331" s="436"/>
      <c r="J4331" s="465">
        <v>0</v>
      </c>
      <c r="K4331" s="465">
        <v>0</v>
      </c>
    </row>
    <row r="4332" spans="2:11" ht="19" customHeight="1">
      <c r="B4332" s="464">
        <v>46113</v>
      </c>
      <c r="C4332" s="436" t="s">
        <v>258</v>
      </c>
      <c r="D4332" s="436" t="s">
        <v>972</v>
      </c>
      <c r="E4332" s="436">
        <v>1</v>
      </c>
      <c r="F4332" s="469"/>
      <c r="G4332" s="468" t="s">
        <v>875</v>
      </c>
      <c r="H4332" s="466" t="e">
        <f>G4332/1.1</f>
        <v>#VALUE!</v>
      </c>
      <c r="I4332" s="436"/>
      <c r="J4332" s="465">
        <v>0</v>
      </c>
      <c r="K4332" s="465">
        <v>0</v>
      </c>
    </row>
    <row r="4333" spans="2:11" ht="19" customHeight="1">
      <c r="B4333" s="464">
        <v>46113</v>
      </c>
      <c r="C4333" s="436" t="s">
        <v>254</v>
      </c>
      <c r="D4333" s="436" t="s">
        <v>1218</v>
      </c>
      <c r="E4333" s="436">
        <v>2</v>
      </c>
      <c r="F4333" s="465">
        <v>14.9</v>
      </c>
      <c r="G4333" s="466">
        <v>29.8</v>
      </c>
      <c r="H4333" s="466">
        <f>G4333/1.1</f>
        <v>27.09090909090909</v>
      </c>
      <c r="I4333" s="436"/>
      <c r="J4333" s="465">
        <v>0</v>
      </c>
      <c r="K4333" s="465">
        <v>0</v>
      </c>
    </row>
    <row r="4334" spans="2:11" ht="19" customHeight="1">
      <c r="B4334" s="464">
        <v>46113</v>
      </c>
      <c r="C4334" s="436" t="s">
        <v>873</v>
      </c>
      <c r="D4334" s="436" t="s">
        <v>1219</v>
      </c>
      <c r="E4334" s="436">
        <v>1</v>
      </c>
      <c r="F4334" s="469"/>
      <c r="G4334" s="468" t="s">
        <v>875</v>
      </c>
      <c r="H4334" s="466" t="e">
        <f>G4334/1.1</f>
        <v>#VALUE!</v>
      </c>
      <c r="I4334" s="436"/>
      <c r="J4334" s="465">
        <v>0</v>
      </c>
      <c r="K4334" s="465">
        <v>0</v>
      </c>
    </row>
    <row r="4335" spans="2:11" ht="19" customHeight="1">
      <c r="B4335" s="464">
        <v>46113</v>
      </c>
      <c r="C4335" s="436" t="s">
        <v>873</v>
      </c>
      <c r="D4335" s="436" t="s">
        <v>1226</v>
      </c>
      <c r="E4335" s="436">
        <v>1</v>
      </c>
      <c r="F4335" s="469"/>
      <c r="G4335" s="468" t="s">
        <v>875</v>
      </c>
      <c r="H4335" s="466" t="e">
        <f>G4335/1.1</f>
        <v>#VALUE!</v>
      </c>
      <c r="I4335" s="436"/>
      <c r="J4335" s="465">
        <v>0</v>
      </c>
      <c r="K4335" s="465">
        <v>0</v>
      </c>
    </row>
    <row r="4336" spans="2:11" ht="19" customHeight="1">
      <c r="B4336" s="464">
        <v>46113</v>
      </c>
      <c r="C4336" s="436" t="s">
        <v>877</v>
      </c>
      <c r="D4336" s="436" t="s">
        <v>1222</v>
      </c>
      <c r="E4336" s="436">
        <v>2</v>
      </c>
      <c r="F4336" s="469"/>
      <c r="G4336" s="468" t="s">
        <v>875</v>
      </c>
      <c r="H4336" s="466" t="e">
        <f>G4336/1.1</f>
        <v>#VALUE!</v>
      </c>
      <c r="I4336" s="436"/>
      <c r="J4336" s="465">
        <v>0</v>
      </c>
      <c r="K4336" s="465">
        <v>0</v>
      </c>
    </row>
    <row r="4337" spans="2:11" ht="19" customHeight="1">
      <c r="B4337" s="464">
        <v>46113</v>
      </c>
      <c r="C4337" s="436" t="s">
        <v>266</v>
      </c>
      <c r="D4337" s="436" t="s">
        <v>1184</v>
      </c>
      <c r="E4337" s="436">
        <v>1</v>
      </c>
      <c r="F4337" s="469"/>
      <c r="G4337" s="468" t="s">
        <v>875</v>
      </c>
      <c r="H4337" s="466" t="e">
        <f>G4337/1.1</f>
        <v>#VALUE!</v>
      </c>
      <c r="I4337" s="436"/>
      <c r="J4337" s="465">
        <v>0</v>
      </c>
      <c r="K4337" s="465">
        <v>0</v>
      </c>
    </row>
    <row r="4338" spans="2:11" ht="19" customHeight="1">
      <c r="B4338" s="464">
        <v>46113</v>
      </c>
      <c r="C4338" s="436" t="s">
        <v>266</v>
      </c>
      <c r="D4338" s="436" t="s">
        <v>708</v>
      </c>
      <c r="E4338" s="436">
        <v>1</v>
      </c>
      <c r="F4338" s="469"/>
      <c r="G4338" s="468" t="s">
        <v>875</v>
      </c>
      <c r="H4338" s="466" t="e">
        <f>G4338/1.1</f>
        <v>#VALUE!</v>
      </c>
      <c r="I4338" s="436"/>
      <c r="J4338" s="465">
        <v>0</v>
      </c>
      <c r="K4338" s="465">
        <v>0</v>
      </c>
    </row>
    <row r="4339" spans="2:11" ht="19" customHeight="1">
      <c r="B4339" s="464">
        <v>46113</v>
      </c>
      <c r="C4339" s="436" t="s">
        <v>258</v>
      </c>
      <c r="D4339" s="436" t="s">
        <v>882</v>
      </c>
      <c r="E4339" s="436">
        <v>1</v>
      </c>
      <c r="F4339" s="469"/>
      <c r="G4339" s="468" t="s">
        <v>875</v>
      </c>
      <c r="H4339" s="466" t="e">
        <f>G4339/1.1</f>
        <v>#VALUE!</v>
      </c>
      <c r="I4339" s="436"/>
      <c r="J4339" s="465">
        <v>0</v>
      </c>
      <c r="K4339" s="465">
        <v>0</v>
      </c>
    </row>
    <row r="4340" spans="2:11" ht="19" customHeight="1">
      <c r="B4340" s="464">
        <v>46113</v>
      </c>
      <c r="C4340" s="436" t="s">
        <v>258</v>
      </c>
      <c r="D4340" s="436" t="s">
        <v>917</v>
      </c>
      <c r="E4340" s="436">
        <v>1</v>
      </c>
      <c r="F4340" s="469"/>
      <c r="G4340" s="468" t="s">
        <v>875</v>
      </c>
      <c r="H4340" s="466" t="e">
        <f>G4340/1.1</f>
        <v>#VALUE!</v>
      </c>
      <c r="I4340" s="436"/>
      <c r="J4340" s="465">
        <v>0</v>
      </c>
      <c r="K4340" s="465">
        <v>0</v>
      </c>
    </row>
    <row r="4341" spans="2:11" ht="19" customHeight="1">
      <c r="B4341" s="464">
        <v>46113</v>
      </c>
      <c r="C4341" s="436" t="s">
        <v>254</v>
      </c>
      <c r="D4341" s="436" t="s">
        <v>1218</v>
      </c>
      <c r="E4341" s="436">
        <v>1</v>
      </c>
      <c r="F4341" s="465">
        <v>14.9</v>
      </c>
      <c r="G4341" s="466">
        <v>14.9</v>
      </c>
      <c r="H4341" s="466">
        <f>G4341/1.1</f>
        <v>13.545454545454545</v>
      </c>
      <c r="I4341" s="436"/>
      <c r="J4341" s="465">
        <v>0</v>
      </c>
      <c r="K4341" s="465">
        <v>0</v>
      </c>
    </row>
    <row r="4342" spans="2:11" ht="19" customHeight="1">
      <c r="B4342" s="464">
        <v>46113</v>
      </c>
      <c r="C4342" s="436" t="s">
        <v>873</v>
      </c>
      <c r="D4342" s="436" t="s">
        <v>1108</v>
      </c>
      <c r="E4342" s="436">
        <v>1</v>
      </c>
      <c r="F4342" s="469"/>
      <c r="G4342" s="468" t="s">
        <v>875</v>
      </c>
      <c r="H4342" s="466" t="e">
        <f>G4342/1.1</f>
        <v>#VALUE!</v>
      </c>
      <c r="I4342" s="436"/>
      <c r="J4342" s="465">
        <v>0</v>
      </c>
      <c r="K4342" s="465">
        <v>0</v>
      </c>
    </row>
    <row r="4343" spans="2:11" ht="19" customHeight="1">
      <c r="B4343" s="464">
        <v>46113</v>
      </c>
      <c r="C4343" s="436" t="s">
        <v>877</v>
      </c>
      <c r="D4343" s="436" t="s">
        <v>1222</v>
      </c>
      <c r="E4343" s="436">
        <v>1</v>
      </c>
      <c r="F4343" s="469"/>
      <c r="G4343" s="468" t="s">
        <v>875</v>
      </c>
      <c r="H4343" s="466" t="e">
        <f>G4343/1.1</f>
        <v>#VALUE!</v>
      </c>
      <c r="I4343" s="436"/>
      <c r="J4343" s="465">
        <v>0</v>
      </c>
      <c r="K4343" s="465">
        <v>0</v>
      </c>
    </row>
    <row r="4344" spans="2:11" ht="19" customHeight="1">
      <c r="B4344" s="464">
        <v>46113</v>
      </c>
      <c r="C4344" s="436" t="s">
        <v>266</v>
      </c>
      <c r="D4344" s="436" t="s">
        <v>1184</v>
      </c>
      <c r="E4344" s="436">
        <v>1</v>
      </c>
      <c r="F4344" s="469"/>
      <c r="G4344" s="468" t="s">
        <v>875</v>
      </c>
      <c r="H4344" s="466" t="e">
        <f>G4344/1.1</f>
        <v>#VALUE!</v>
      </c>
      <c r="I4344" s="436"/>
      <c r="J4344" s="465">
        <v>0</v>
      </c>
      <c r="K4344" s="465">
        <v>0</v>
      </c>
    </row>
    <row r="4345" spans="2:11" ht="19" customHeight="1">
      <c r="B4345" s="464">
        <v>46113</v>
      </c>
      <c r="C4345" s="436" t="s">
        <v>258</v>
      </c>
      <c r="D4345" s="436" t="s">
        <v>1225</v>
      </c>
      <c r="E4345" s="436">
        <v>1</v>
      </c>
      <c r="F4345" s="469"/>
      <c r="G4345" s="468" t="s">
        <v>875</v>
      </c>
      <c r="H4345" s="466" t="e">
        <f>G4345/1.1</f>
        <v>#VALUE!</v>
      </c>
      <c r="I4345" s="436"/>
      <c r="J4345" s="465">
        <v>0</v>
      </c>
      <c r="K4345" s="465">
        <v>0</v>
      </c>
    </row>
    <row r="4346" spans="2:11" ht="19" customHeight="1">
      <c r="B4346" s="464">
        <v>46113</v>
      </c>
      <c r="C4346" s="436" t="s">
        <v>254</v>
      </c>
      <c r="D4346" s="436" t="s">
        <v>1218</v>
      </c>
      <c r="E4346" s="436">
        <v>2</v>
      </c>
      <c r="F4346" s="465">
        <v>14.9</v>
      </c>
      <c r="G4346" s="466">
        <v>29.8</v>
      </c>
      <c r="H4346" s="466">
        <f>G4346/1.1</f>
        <v>27.09090909090909</v>
      </c>
      <c r="I4346" s="436"/>
      <c r="J4346" s="465">
        <v>0</v>
      </c>
      <c r="K4346" s="465">
        <v>0</v>
      </c>
    </row>
    <row r="4347" spans="2:11" ht="19" customHeight="1">
      <c r="B4347" s="464">
        <v>46113</v>
      </c>
      <c r="C4347" s="436" t="s">
        <v>873</v>
      </c>
      <c r="D4347" s="436" t="s">
        <v>1169</v>
      </c>
      <c r="E4347" s="436">
        <v>1</v>
      </c>
      <c r="F4347" s="465">
        <v>3</v>
      </c>
      <c r="G4347" s="466">
        <v>3</v>
      </c>
      <c r="H4347" s="466">
        <f>G4347/1.1</f>
        <v>2.7272727272727271</v>
      </c>
      <c r="I4347" s="436"/>
      <c r="J4347" s="465">
        <v>0</v>
      </c>
      <c r="K4347" s="465">
        <v>0</v>
      </c>
    </row>
    <row r="4348" spans="2:11" ht="19" customHeight="1">
      <c r="B4348" s="464">
        <v>46113</v>
      </c>
      <c r="C4348" s="436" t="s">
        <v>873</v>
      </c>
      <c r="D4348" s="436" t="s">
        <v>1223</v>
      </c>
      <c r="E4348" s="436">
        <v>1</v>
      </c>
      <c r="F4348" s="465">
        <v>3</v>
      </c>
      <c r="G4348" s="466">
        <v>3</v>
      </c>
      <c r="H4348" s="466">
        <f>G4348/1.1</f>
        <v>2.7272727272727271</v>
      </c>
      <c r="I4348" s="436"/>
      <c r="J4348" s="465">
        <v>0</v>
      </c>
      <c r="K4348" s="465">
        <v>0</v>
      </c>
    </row>
    <row r="4349" spans="2:11" ht="19" customHeight="1">
      <c r="B4349" s="464">
        <v>46113</v>
      </c>
      <c r="C4349" s="436" t="s">
        <v>877</v>
      </c>
      <c r="D4349" s="436" t="s">
        <v>1220</v>
      </c>
      <c r="E4349" s="436">
        <v>1</v>
      </c>
      <c r="F4349" s="465">
        <v>3</v>
      </c>
      <c r="G4349" s="466">
        <v>3</v>
      </c>
      <c r="H4349" s="466">
        <f>G4349/1.1</f>
        <v>2.7272727272727271</v>
      </c>
      <c r="I4349" s="436"/>
      <c r="J4349" s="465">
        <v>0</v>
      </c>
      <c r="K4349" s="465">
        <v>0</v>
      </c>
    </row>
    <row r="4350" spans="2:11" ht="19" customHeight="1">
      <c r="B4350" s="464">
        <v>46113</v>
      </c>
      <c r="C4350" s="436" t="s">
        <v>877</v>
      </c>
      <c r="D4350" s="436" t="s">
        <v>1222</v>
      </c>
      <c r="E4350" s="436">
        <v>1</v>
      </c>
      <c r="F4350" s="469"/>
      <c r="G4350" s="468" t="s">
        <v>875</v>
      </c>
      <c r="H4350" s="466" t="e">
        <f>G4350/1.1</f>
        <v>#VALUE!</v>
      </c>
      <c r="I4350" s="436"/>
      <c r="J4350" s="465">
        <v>0</v>
      </c>
      <c r="K4350" s="465">
        <v>0</v>
      </c>
    </row>
    <row r="4351" spans="2:11" ht="19" customHeight="1">
      <c r="B4351" s="464">
        <v>46113</v>
      </c>
      <c r="C4351" s="436" t="s">
        <v>266</v>
      </c>
      <c r="D4351" s="436" t="s">
        <v>250</v>
      </c>
      <c r="E4351" s="436">
        <v>3</v>
      </c>
      <c r="F4351" s="469"/>
      <c r="G4351" s="468" t="s">
        <v>875</v>
      </c>
      <c r="H4351" s="466" t="e">
        <f>G4351/1.1</f>
        <v>#VALUE!</v>
      </c>
      <c r="I4351" s="436"/>
      <c r="J4351" s="465">
        <v>0</v>
      </c>
      <c r="K4351" s="465">
        <v>0</v>
      </c>
    </row>
    <row r="4352" spans="2:11" ht="19" customHeight="1">
      <c r="B4352" s="464">
        <v>46113</v>
      </c>
      <c r="C4352" s="436" t="s">
        <v>258</v>
      </c>
      <c r="D4352" s="436" t="s">
        <v>882</v>
      </c>
      <c r="E4352" s="436">
        <v>1</v>
      </c>
      <c r="F4352" s="469"/>
      <c r="G4352" s="468" t="s">
        <v>875</v>
      </c>
      <c r="H4352" s="466" t="e">
        <f>G4352/1.1</f>
        <v>#VALUE!</v>
      </c>
      <c r="I4352" s="436"/>
      <c r="J4352" s="465">
        <v>0</v>
      </c>
      <c r="K4352" s="465">
        <v>0</v>
      </c>
    </row>
    <row r="4353" spans="2:11" ht="19" customHeight="1">
      <c r="B4353" s="464">
        <v>46113</v>
      </c>
      <c r="C4353" s="436" t="s">
        <v>258</v>
      </c>
      <c r="D4353" s="436" t="s">
        <v>1227</v>
      </c>
      <c r="E4353" s="436">
        <v>1</v>
      </c>
      <c r="F4353" s="469"/>
      <c r="G4353" s="468" t="s">
        <v>875</v>
      </c>
      <c r="H4353" s="466" t="e">
        <f>G4353/1.1</f>
        <v>#VALUE!</v>
      </c>
      <c r="I4353" s="436"/>
      <c r="J4353" s="465">
        <v>0</v>
      </c>
      <c r="K4353" s="465">
        <v>0</v>
      </c>
    </row>
    <row r="4354" spans="2:11" ht="19" customHeight="1">
      <c r="B4354" s="464">
        <v>46113</v>
      </c>
      <c r="C4354" s="436" t="s">
        <v>258</v>
      </c>
      <c r="D4354" s="436" t="s">
        <v>1228</v>
      </c>
      <c r="E4354" s="436">
        <v>1</v>
      </c>
      <c r="F4354" s="469"/>
      <c r="G4354" s="468" t="s">
        <v>875</v>
      </c>
      <c r="H4354" s="466" t="e">
        <f>G4354/1.1</f>
        <v>#VALUE!</v>
      </c>
      <c r="I4354" s="436"/>
      <c r="J4354" s="465">
        <v>0</v>
      </c>
      <c r="K4354" s="465">
        <v>0</v>
      </c>
    </row>
    <row r="4355" spans="2:11" ht="19" customHeight="1">
      <c r="B4355" s="464">
        <v>46113</v>
      </c>
      <c r="C4355" s="436" t="s">
        <v>254</v>
      </c>
      <c r="D4355" s="436" t="s">
        <v>1218</v>
      </c>
      <c r="E4355" s="436">
        <v>2</v>
      </c>
      <c r="F4355" s="465">
        <v>14.9</v>
      </c>
      <c r="G4355" s="466">
        <v>29.8</v>
      </c>
      <c r="H4355" s="466">
        <f>G4355/1.1</f>
        <v>27.09090909090909</v>
      </c>
      <c r="I4355" s="436"/>
      <c r="J4355" s="465">
        <v>0</v>
      </c>
      <c r="K4355" s="465">
        <v>0</v>
      </c>
    </row>
    <row r="4356" spans="2:11" ht="19" customHeight="1">
      <c r="B4356" s="464">
        <v>46113</v>
      </c>
      <c r="C4356" s="436" t="s">
        <v>873</v>
      </c>
      <c r="D4356" s="436" t="s">
        <v>1219</v>
      </c>
      <c r="E4356" s="436">
        <v>2</v>
      </c>
      <c r="F4356" s="469"/>
      <c r="G4356" s="468" t="s">
        <v>875</v>
      </c>
      <c r="H4356" s="466" t="e">
        <f>G4356/1.1</f>
        <v>#VALUE!</v>
      </c>
      <c r="I4356" s="436"/>
      <c r="J4356" s="465">
        <v>0</v>
      </c>
      <c r="K4356" s="465">
        <v>0</v>
      </c>
    </row>
    <row r="4357" spans="2:11" ht="19" customHeight="1">
      <c r="B4357" s="464">
        <v>46113</v>
      </c>
      <c r="C4357" s="436" t="s">
        <v>877</v>
      </c>
      <c r="D4357" s="436" t="s">
        <v>1220</v>
      </c>
      <c r="E4357" s="436">
        <v>1</v>
      </c>
      <c r="F4357" s="465">
        <v>3</v>
      </c>
      <c r="G4357" s="466">
        <v>3</v>
      </c>
      <c r="H4357" s="466">
        <f>G4357/1.1</f>
        <v>2.7272727272727271</v>
      </c>
      <c r="I4357" s="436"/>
      <c r="J4357" s="465">
        <v>0</v>
      </c>
      <c r="K4357" s="465">
        <v>0</v>
      </c>
    </row>
    <row r="4358" spans="2:11" ht="19" customHeight="1">
      <c r="B4358" s="464">
        <v>46113</v>
      </c>
      <c r="C4358" s="436" t="s">
        <v>877</v>
      </c>
      <c r="D4358" s="436" t="s">
        <v>1226</v>
      </c>
      <c r="E4358" s="436">
        <v>1</v>
      </c>
      <c r="F4358" s="469"/>
      <c r="G4358" s="468" t="s">
        <v>875</v>
      </c>
      <c r="H4358" s="466" t="e">
        <f>G4358/1.1</f>
        <v>#VALUE!</v>
      </c>
      <c r="I4358" s="436"/>
      <c r="J4358" s="465">
        <v>0</v>
      </c>
      <c r="K4358" s="465">
        <v>0</v>
      </c>
    </row>
    <row r="4359" spans="2:11" ht="19" customHeight="1">
      <c r="B4359" s="464">
        <v>46113</v>
      </c>
      <c r="C4359" s="436" t="s">
        <v>266</v>
      </c>
      <c r="D4359" s="436" t="s">
        <v>1229</v>
      </c>
      <c r="E4359" s="436">
        <v>2</v>
      </c>
      <c r="F4359" s="469"/>
      <c r="G4359" s="468" t="s">
        <v>875</v>
      </c>
      <c r="H4359" s="466" t="e">
        <f>G4359/1.1</f>
        <v>#VALUE!</v>
      </c>
      <c r="I4359" s="436"/>
      <c r="J4359" s="465">
        <v>0</v>
      </c>
      <c r="K4359" s="465">
        <v>0</v>
      </c>
    </row>
    <row r="4360" spans="2:11" ht="19" customHeight="1">
      <c r="B4360" s="464">
        <v>46113</v>
      </c>
      <c r="C4360" s="436" t="s">
        <v>258</v>
      </c>
      <c r="D4360" s="436" t="s">
        <v>1225</v>
      </c>
      <c r="E4360" s="436">
        <v>1</v>
      </c>
      <c r="F4360" s="469"/>
      <c r="G4360" s="468" t="s">
        <v>875</v>
      </c>
      <c r="H4360" s="466" t="e">
        <f>G4360/1.1</f>
        <v>#VALUE!</v>
      </c>
      <c r="I4360" s="436"/>
      <c r="J4360" s="465">
        <v>0</v>
      </c>
      <c r="K4360" s="465">
        <v>0</v>
      </c>
    </row>
    <row r="4361" spans="2:11" ht="19" customHeight="1">
      <c r="B4361" s="464">
        <v>46113</v>
      </c>
      <c r="C4361" s="436" t="s">
        <v>258</v>
      </c>
      <c r="D4361" s="436" t="s">
        <v>917</v>
      </c>
      <c r="E4361" s="436">
        <v>1</v>
      </c>
      <c r="F4361" s="469"/>
      <c r="G4361" s="468" t="s">
        <v>875</v>
      </c>
      <c r="H4361" s="466" t="e">
        <f>G4361/1.1</f>
        <v>#VALUE!</v>
      </c>
      <c r="I4361" s="436"/>
      <c r="J4361" s="465">
        <v>0</v>
      </c>
      <c r="K4361" s="465">
        <v>0</v>
      </c>
    </row>
    <row r="4362" spans="2:11" ht="19" customHeight="1">
      <c r="B4362" s="464">
        <v>46113</v>
      </c>
      <c r="C4362" s="436" t="s">
        <v>254</v>
      </c>
      <c r="D4362" s="436" t="s">
        <v>1218</v>
      </c>
      <c r="E4362" s="436">
        <v>1</v>
      </c>
      <c r="F4362" s="465">
        <v>14.9</v>
      </c>
      <c r="G4362" s="466">
        <v>14.9</v>
      </c>
      <c r="H4362" s="466">
        <f>G4362/1.1</f>
        <v>13.545454545454545</v>
      </c>
      <c r="I4362" s="436"/>
      <c r="J4362" s="465">
        <v>0</v>
      </c>
      <c r="K4362" s="465">
        <v>0</v>
      </c>
    </row>
    <row r="4363" spans="2:11" ht="19" customHeight="1">
      <c r="B4363" s="464">
        <v>46113</v>
      </c>
      <c r="C4363" s="436" t="s">
        <v>873</v>
      </c>
      <c r="D4363" s="436" t="s">
        <v>1226</v>
      </c>
      <c r="E4363" s="436">
        <v>1</v>
      </c>
      <c r="F4363" s="469"/>
      <c r="G4363" s="468" t="s">
        <v>875</v>
      </c>
      <c r="H4363" s="466" t="e">
        <f>G4363/1.1</f>
        <v>#VALUE!</v>
      </c>
      <c r="I4363" s="436"/>
      <c r="J4363" s="465">
        <v>0</v>
      </c>
      <c r="K4363" s="465">
        <v>0</v>
      </c>
    </row>
    <row r="4364" spans="2:11" ht="19" customHeight="1">
      <c r="B4364" s="464">
        <v>46113</v>
      </c>
      <c r="C4364" s="436" t="s">
        <v>877</v>
      </c>
      <c r="D4364" s="436" t="s">
        <v>1222</v>
      </c>
      <c r="E4364" s="436">
        <v>1</v>
      </c>
      <c r="F4364" s="469"/>
      <c r="G4364" s="468" t="s">
        <v>875</v>
      </c>
      <c r="H4364" s="466" t="e">
        <f>G4364/1.1</f>
        <v>#VALUE!</v>
      </c>
      <c r="I4364" s="436"/>
      <c r="J4364" s="465">
        <v>0</v>
      </c>
      <c r="K4364" s="465">
        <v>0</v>
      </c>
    </row>
    <row r="4365" spans="2:11" ht="19" customHeight="1">
      <c r="B4365" s="464">
        <v>46113</v>
      </c>
      <c r="C4365" s="436" t="s">
        <v>266</v>
      </c>
      <c r="D4365" s="436" t="s">
        <v>1125</v>
      </c>
      <c r="E4365" s="436">
        <v>1</v>
      </c>
      <c r="F4365" s="469"/>
      <c r="G4365" s="468" t="s">
        <v>875</v>
      </c>
      <c r="H4365" s="466" t="e">
        <f>G4365/1.1</f>
        <v>#VALUE!</v>
      </c>
      <c r="I4365" s="436"/>
      <c r="J4365" s="465">
        <v>0</v>
      </c>
      <c r="K4365" s="465">
        <v>0</v>
      </c>
    </row>
    <row r="4366" spans="2:11" ht="19" customHeight="1">
      <c r="B4366" s="464">
        <v>46113</v>
      </c>
      <c r="C4366" s="436" t="s">
        <v>254</v>
      </c>
      <c r="D4366" s="436" t="s">
        <v>1218</v>
      </c>
      <c r="E4366" s="436">
        <v>1</v>
      </c>
      <c r="F4366" s="465">
        <v>14.9</v>
      </c>
      <c r="G4366" s="466">
        <v>14.9</v>
      </c>
      <c r="H4366" s="466">
        <f>G4366/1.1</f>
        <v>13.545454545454545</v>
      </c>
      <c r="I4366" s="436"/>
      <c r="J4366" s="465">
        <v>0</v>
      </c>
      <c r="K4366" s="465">
        <v>0</v>
      </c>
    </row>
    <row r="4367" spans="2:11" ht="19" customHeight="1">
      <c r="B4367" s="464">
        <v>46113</v>
      </c>
      <c r="C4367" s="436" t="s">
        <v>873</v>
      </c>
      <c r="D4367" s="436" t="s">
        <v>1108</v>
      </c>
      <c r="E4367" s="436">
        <v>1</v>
      </c>
      <c r="F4367" s="469"/>
      <c r="G4367" s="468" t="s">
        <v>875</v>
      </c>
      <c r="H4367" s="466" t="e">
        <f>G4367/1.1</f>
        <v>#VALUE!</v>
      </c>
      <c r="I4367" s="436"/>
      <c r="J4367" s="465">
        <v>0</v>
      </c>
      <c r="K4367" s="465">
        <v>0</v>
      </c>
    </row>
    <row r="4368" spans="2:11" ht="19" customHeight="1">
      <c r="B4368" s="464">
        <v>46113</v>
      </c>
      <c r="C4368" s="436" t="s">
        <v>877</v>
      </c>
      <c r="D4368" s="436" t="s">
        <v>1029</v>
      </c>
      <c r="E4368" s="436">
        <v>1</v>
      </c>
      <c r="F4368" s="469"/>
      <c r="G4368" s="468" t="s">
        <v>875</v>
      </c>
      <c r="H4368" s="466" t="e">
        <f>G4368/1.1</f>
        <v>#VALUE!</v>
      </c>
      <c r="I4368" s="436"/>
      <c r="J4368" s="465">
        <v>0</v>
      </c>
      <c r="K4368" s="465">
        <v>0</v>
      </c>
    </row>
    <row r="4369" spans="2:11" ht="19" customHeight="1">
      <c r="B4369" s="464">
        <v>46113</v>
      </c>
      <c r="C4369" s="436" t="s">
        <v>266</v>
      </c>
      <c r="D4369" s="436" t="s">
        <v>1230</v>
      </c>
      <c r="E4369" s="436">
        <v>1</v>
      </c>
      <c r="F4369" s="469"/>
      <c r="G4369" s="468" t="s">
        <v>875</v>
      </c>
      <c r="H4369" s="466" t="e">
        <f>G4369/1.1</f>
        <v>#VALUE!</v>
      </c>
      <c r="I4369" s="436"/>
      <c r="J4369" s="465">
        <v>0</v>
      </c>
      <c r="K4369" s="465">
        <v>0</v>
      </c>
    </row>
    <row r="4370" spans="2:11" ht="19" customHeight="1">
      <c r="B4370" s="464">
        <v>46113</v>
      </c>
      <c r="C4370" s="436" t="s">
        <v>258</v>
      </c>
      <c r="D4370" s="436" t="s">
        <v>1225</v>
      </c>
      <c r="E4370" s="436">
        <v>1</v>
      </c>
      <c r="F4370" s="469"/>
      <c r="G4370" s="468" t="s">
        <v>875</v>
      </c>
      <c r="H4370" s="466" t="e">
        <f>G4370/1.1</f>
        <v>#VALUE!</v>
      </c>
      <c r="I4370" s="436"/>
      <c r="J4370" s="465">
        <v>0</v>
      </c>
      <c r="K4370" s="465">
        <v>0</v>
      </c>
    </row>
    <row r="4371" spans="2:11" ht="19" customHeight="1">
      <c r="B4371" s="464">
        <v>46113</v>
      </c>
      <c r="C4371" s="436" t="s">
        <v>254</v>
      </c>
      <c r="D4371" s="436" t="s">
        <v>1218</v>
      </c>
      <c r="E4371" s="436">
        <v>1</v>
      </c>
      <c r="F4371" s="465">
        <v>14.9</v>
      </c>
      <c r="G4371" s="466">
        <v>14.9</v>
      </c>
      <c r="H4371" s="466">
        <f>G4371/1.1</f>
        <v>13.545454545454545</v>
      </c>
      <c r="I4371" s="436"/>
      <c r="J4371" s="465">
        <v>0</v>
      </c>
      <c r="K4371" s="465">
        <v>0</v>
      </c>
    </row>
    <row r="4372" spans="2:11" ht="19" customHeight="1">
      <c r="B4372" s="464">
        <v>46113</v>
      </c>
      <c r="C4372" s="436" t="s">
        <v>873</v>
      </c>
      <c r="D4372" s="436" t="s">
        <v>1108</v>
      </c>
      <c r="E4372" s="436">
        <v>1</v>
      </c>
      <c r="F4372" s="469"/>
      <c r="G4372" s="468" t="s">
        <v>875</v>
      </c>
      <c r="H4372" s="466" t="e">
        <f>G4372/1.1</f>
        <v>#VALUE!</v>
      </c>
      <c r="I4372" s="436"/>
      <c r="J4372" s="465">
        <v>0</v>
      </c>
      <c r="K4372" s="465">
        <v>0</v>
      </c>
    </row>
    <row r="4373" spans="2:11" ht="19" customHeight="1">
      <c r="B4373" s="464">
        <v>46113</v>
      </c>
      <c r="C4373" s="436" t="s">
        <v>877</v>
      </c>
      <c r="D4373" s="436" t="s">
        <v>1221</v>
      </c>
      <c r="E4373" s="436">
        <v>1</v>
      </c>
      <c r="F4373" s="469"/>
      <c r="G4373" s="468" t="s">
        <v>875</v>
      </c>
      <c r="H4373" s="466" t="e">
        <f>G4373/1.1</f>
        <v>#VALUE!</v>
      </c>
      <c r="I4373" s="436"/>
      <c r="J4373" s="465">
        <v>0</v>
      </c>
      <c r="K4373" s="465">
        <v>0</v>
      </c>
    </row>
    <row r="4374" spans="2:11" ht="19" customHeight="1">
      <c r="B4374" s="464">
        <v>46113</v>
      </c>
      <c r="C4374" s="436" t="s">
        <v>266</v>
      </c>
      <c r="D4374" s="436" t="s">
        <v>250</v>
      </c>
      <c r="E4374" s="436">
        <v>1</v>
      </c>
      <c r="F4374" s="469"/>
      <c r="G4374" s="468" t="s">
        <v>875</v>
      </c>
      <c r="H4374" s="466" t="e">
        <f>G4374/1.1</f>
        <v>#VALUE!</v>
      </c>
      <c r="I4374" s="436"/>
      <c r="J4374" s="465">
        <v>0</v>
      </c>
      <c r="K4374" s="465">
        <v>0</v>
      </c>
    </row>
    <row r="4375" spans="2:11" ht="19" customHeight="1">
      <c r="B4375" s="464">
        <v>46113</v>
      </c>
      <c r="C4375" s="436" t="s">
        <v>247</v>
      </c>
      <c r="D4375" s="436" t="s">
        <v>257</v>
      </c>
      <c r="E4375" s="436">
        <v>4</v>
      </c>
      <c r="F4375" s="465">
        <v>1.4</v>
      </c>
      <c r="G4375" s="466">
        <v>5.6</v>
      </c>
      <c r="H4375" s="466">
        <f>G4375/1.1</f>
        <v>5.0909090909090899</v>
      </c>
      <c r="I4375" s="436"/>
      <c r="J4375" s="465">
        <v>0</v>
      </c>
      <c r="K4375" s="465">
        <v>0</v>
      </c>
    </row>
    <row r="4376" spans="2:11" ht="19" customHeight="1">
      <c r="B4376" s="464">
        <v>46113</v>
      </c>
      <c r="C4376" s="436" t="s">
        <v>321</v>
      </c>
      <c r="D4376" s="436" t="s">
        <v>910</v>
      </c>
      <c r="E4376" s="436">
        <v>1</v>
      </c>
      <c r="F4376" s="465">
        <v>4</v>
      </c>
      <c r="G4376" s="466">
        <v>4</v>
      </c>
      <c r="H4376" s="466">
        <f>G4376/1.1</f>
        <v>3.6363636363636362</v>
      </c>
      <c r="I4376" s="436"/>
      <c r="J4376" s="465">
        <v>0</v>
      </c>
      <c r="K4376" s="465">
        <v>0</v>
      </c>
    </row>
    <row r="4377" spans="2:11" ht="19" customHeight="1">
      <c r="B4377" s="464">
        <v>46113</v>
      </c>
      <c r="C4377" s="436" t="s">
        <v>253</v>
      </c>
      <c r="D4377" s="436" t="s">
        <v>869</v>
      </c>
      <c r="E4377" s="436">
        <v>1</v>
      </c>
      <c r="F4377" s="465">
        <v>2.5</v>
      </c>
      <c r="G4377" s="466">
        <v>2.5</v>
      </c>
      <c r="H4377" s="466">
        <f>G4377/1.1</f>
        <v>2.2727272727272725</v>
      </c>
      <c r="I4377" s="436"/>
      <c r="J4377" s="465">
        <v>0</v>
      </c>
      <c r="K4377" s="465">
        <v>0</v>
      </c>
    </row>
    <row r="4378" spans="2:11" ht="19" customHeight="1">
      <c r="B4378" s="464">
        <v>46113</v>
      </c>
      <c r="C4378" s="436" t="s">
        <v>256</v>
      </c>
      <c r="D4378" s="436" t="s">
        <v>931</v>
      </c>
      <c r="E4378" s="436">
        <v>1</v>
      </c>
      <c r="F4378" s="465">
        <v>8.5</v>
      </c>
      <c r="G4378" s="466">
        <v>8.5</v>
      </c>
      <c r="H4378" s="466">
        <f>G4378/1.1</f>
        <v>7.7272727272727266</v>
      </c>
      <c r="I4378" s="436"/>
      <c r="J4378" s="465">
        <v>0</v>
      </c>
      <c r="K4378" s="465">
        <v>0</v>
      </c>
    </row>
    <row r="4379" spans="2:11" ht="19" customHeight="1">
      <c r="B4379" s="464">
        <v>46113</v>
      </c>
      <c r="C4379" s="436" t="s">
        <v>277</v>
      </c>
      <c r="D4379" s="436" t="s">
        <v>1188</v>
      </c>
      <c r="E4379" s="436">
        <v>1</v>
      </c>
      <c r="F4379" s="465">
        <v>10.9</v>
      </c>
      <c r="G4379" s="466">
        <v>10.9</v>
      </c>
      <c r="H4379" s="466">
        <f>G4379/1.1</f>
        <v>9.9090909090909083</v>
      </c>
      <c r="I4379" s="436"/>
      <c r="J4379" s="465">
        <v>0</v>
      </c>
      <c r="K4379" s="465">
        <v>0</v>
      </c>
    </row>
    <row r="4380" spans="2:11" ht="19" customHeight="1">
      <c r="B4380" s="464">
        <v>46113</v>
      </c>
      <c r="C4380" s="436" t="s">
        <v>277</v>
      </c>
      <c r="D4380" s="436" t="s">
        <v>1044</v>
      </c>
      <c r="E4380" s="436">
        <v>1</v>
      </c>
      <c r="F4380" s="465">
        <v>9.5</v>
      </c>
      <c r="G4380" s="466">
        <v>9.5</v>
      </c>
      <c r="H4380" s="466">
        <f>G4380/1.1</f>
        <v>8.6363636363636349</v>
      </c>
      <c r="I4380" s="436"/>
      <c r="J4380" s="465">
        <v>0</v>
      </c>
      <c r="K4380" s="465">
        <v>0</v>
      </c>
    </row>
    <row r="4381" spans="2:11" ht="19" customHeight="1">
      <c r="B4381" s="464">
        <v>46113</v>
      </c>
      <c r="C4381" s="436" t="s">
        <v>256</v>
      </c>
      <c r="D4381" s="436" t="s">
        <v>675</v>
      </c>
      <c r="E4381" s="436">
        <v>2</v>
      </c>
      <c r="F4381" s="465">
        <v>5.5</v>
      </c>
      <c r="G4381" s="466">
        <v>11</v>
      </c>
      <c r="H4381" s="466">
        <f>G4381/1.1</f>
        <v>10</v>
      </c>
      <c r="I4381" s="436"/>
      <c r="J4381" s="465">
        <v>0</v>
      </c>
      <c r="K4381" s="465">
        <v>0</v>
      </c>
    </row>
    <row r="4382" spans="2:11" ht="19" customHeight="1">
      <c r="B4382" s="464">
        <v>46113</v>
      </c>
      <c r="C4382" s="436" t="s">
        <v>247</v>
      </c>
      <c r="D4382" s="436" t="s">
        <v>246</v>
      </c>
      <c r="E4382" s="436">
        <v>1</v>
      </c>
      <c r="F4382" s="465">
        <v>1.7</v>
      </c>
      <c r="G4382" s="466">
        <v>1.7</v>
      </c>
      <c r="H4382" s="466">
        <f>G4382/1.1</f>
        <v>1.5454545454545452</v>
      </c>
      <c r="I4382" s="436"/>
      <c r="J4382" s="465">
        <v>0</v>
      </c>
      <c r="K4382" s="465">
        <v>0</v>
      </c>
    </row>
    <row r="4383" spans="2:11" ht="19" customHeight="1">
      <c r="B4383" s="464">
        <v>46113</v>
      </c>
      <c r="C4383" s="436" t="s">
        <v>247</v>
      </c>
      <c r="D4383" s="436" t="s">
        <v>248</v>
      </c>
      <c r="E4383" s="436">
        <v>2</v>
      </c>
      <c r="F4383" s="465">
        <v>1.65</v>
      </c>
      <c r="G4383" s="466">
        <v>3.3</v>
      </c>
      <c r="H4383" s="466">
        <f>G4383/1.1</f>
        <v>2.9999999999999996</v>
      </c>
      <c r="I4383" s="436"/>
      <c r="J4383" s="465">
        <v>0</v>
      </c>
      <c r="K4383" s="465">
        <v>0</v>
      </c>
    </row>
    <row r="4384" spans="2:11" ht="19" customHeight="1">
      <c r="B4384" s="464">
        <v>46113</v>
      </c>
      <c r="C4384" s="436" t="s">
        <v>251</v>
      </c>
      <c r="D4384" s="436" t="s">
        <v>250</v>
      </c>
      <c r="E4384" s="436">
        <v>3</v>
      </c>
      <c r="F4384" s="465">
        <v>1.8</v>
      </c>
      <c r="G4384" s="466">
        <v>5.4</v>
      </c>
      <c r="H4384" s="466">
        <f>G4384/1.1</f>
        <v>4.9090909090909092</v>
      </c>
      <c r="I4384" s="436"/>
      <c r="J4384" s="465">
        <v>0</v>
      </c>
      <c r="K4384" s="465">
        <v>0</v>
      </c>
    </row>
    <row r="4385" spans="2:11" ht="19" customHeight="1">
      <c r="B4385" s="464">
        <v>46113</v>
      </c>
      <c r="C4385" s="436" t="s">
        <v>264</v>
      </c>
      <c r="D4385" s="436" t="s">
        <v>930</v>
      </c>
      <c r="E4385" s="436">
        <v>1</v>
      </c>
      <c r="F4385" s="465">
        <v>3.5</v>
      </c>
      <c r="G4385" s="466">
        <v>3.5</v>
      </c>
      <c r="H4385" s="466">
        <f>G4385/1.1</f>
        <v>3.1818181818181817</v>
      </c>
      <c r="I4385" s="436"/>
      <c r="J4385" s="465">
        <v>0</v>
      </c>
      <c r="K4385" s="465">
        <v>0</v>
      </c>
    </row>
    <row r="4386" spans="2:11" ht="19" customHeight="1">
      <c r="B4386" s="464">
        <v>46113</v>
      </c>
      <c r="C4386" s="436" t="s">
        <v>277</v>
      </c>
      <c r="D4386" s="436" t="s">
        <v>915</v>
      </c>
      <c r="E4386" s="436">
        <v>1</v>
      </c>
      <c r="F4386" s="465">
        <v>10.9</v>
      </c>
      <c r="G4386" s="466">
        <v>10.9</v>
      </c>
      <c r="H4386" s="466">
        <f>G4386/1.1</f>
        <v>9.9090909090909083</v>
      </c>
      <c r="I4386" s="436"/>
      <c r="J4386" s="465">
        <v>0</v>
      </c>
      <c r="K4386" s="465">
        <v>0</v>
      </c>
    </row>
    <row r="4387" spans="2:11" ht="19" customHeight="1">
      <c r="B4387" s="464">
        <v>46113</v>
      </c>
      <c r="C4387" s="436" t="s">
        <v>256</v>
      </c>
      <c r="D4387" s="436" t="s">
        <v>931</v>
      </c>
      <c r="E4387" s="436">
        <v>1</v>
      </c>
      <c r="F4387" s="465">
        <v>8.5</v>
      </c>
      <c r="G4387" s="466">
        <v>8.5</v>
      </c>
      <c r="H4387" s="466">
        <f>G4387/1.1</f>
        <v>7.7272727272727266</v>
      </c>
      <c r="I4387" s="436"/>
      <c r="J4387" s="465">
        <v>0</v>
      </c>
      <c r="K4387" s="465">
        <v>0</v>
      </c>
    </row>
    <row r="4388" spans="2:11" ht="19" customHeight="1">
      <c r="B4388" s="464">
        <v>46113</v>
      </c>
      <c r="C4388" s="436" t="s">
        <v>256</v>
      </c>
      <c r="D4388" s="436" t="s">
        <v>1042</v>
      </c>
      <c r="E4388" s="436">
        <v>2</v>
      </c>
      <c r="F4388" s="465">
        <v>13.95</v>
      </c>
      <c r="G4388" s="466">
        <v>27.9</v>
      </c>
      <c r="H4388" s="466">
        <f>G4388/1.1</f>
        <v>25.36363636363636</v>
      </c>
      <c r="I4388" s="436"/>
      <c r="J4388" s="465">
        <v>0</v>
      </c>
      <c r="K4388" s="465">
        <v>0</v>
      </c>
    </row>
    <row r="4389" spans="2:11" ht="19" customHeight="1">
      <c r="B4389" s="464">
        <v>46113</v>
      </c>
      <c r="C4389" s="436" t="s">
        <v>256</v>
      </c>
      <c r="D4389" s="436" t="s">
        <v>952</v>
      </c>
      <c r="E4389" s="436">
        <v>1</v>
      </c>
      <c r="F4389" s="465">
        <v>7.5</v>
      </c>
      <c r="G4389" s="466">
        <v>7.5</v>
      </c>
      <c r="H4389" s="466">
        <f>G4389/1.1</f>
        <v>6.8181818181818175</v>
      </c>
      <c r="I4389" s="436"/>
      <c r="J4389" s="465">
        <v>0</v>
      </c>
      <c r="K4389" s="465">
        <v>0</v>
      </c>
    </row>
    <row r="4390" spans="2:11" ht="19" customHeight="1">
      <c r="B4390" s="464">
        <v>46114</v>
      </c>
      <c r="C4390" s="436" t="s">
        <v>253</v>
      </c>
      <c r="D4390" s="436" t="s">
        <v>869</v>
      </c>
      <c r="E4390" s="436">
        <v>1</v>
      </c>
      <c r="F4390" s="465">
        <v>2.5</v>
      </c>
      <c r="G4390" s="466">
        <v>2.5</v>
      </c>
      <c r="H4390" s="466">
        <f>G4390/1.1</f>
        <v>2.2727272727272725</v>
      </c>
      <c r="I4390" s="436"/>
      <c r="J4390" s="465">
        <v>0</v>
      </c>
      <c r="K4390" s="465">
        <v>0</v>
      </c>
    </row>
    <row r="4391" spans="2:11" ht="19" customHeight="1">
      <c r="B4391" s="464">
        <v>46114</v>
      </c>
      <c r="C4391" s="436" t="s">
        <v>247</v>
      </c>
      <c r="D4391" s="436" t="s">
        <v>257</v>
      </c>
      <c r="E4391" s="436">
        <v>1</v>
      </c>
      <c r="F4391" s="465">
        <v>1.4</v>
      </c>
      <c r="G4391" s="466">
        <v>1.4</v>
      </c>
      <c r="H4391" s="466">
        <f>G4391/1.1</f>
        <v>1.2727272727272725</v>
      </c>
      <c r="I4391" s="436"/>
      <c r="J4391" s="465">
        <v>0</v>
      </c>
      <c r="K4391" s="465">
        <v>0</v>
      </c>
    </row>
    <row r="4392" spans="2:11" ht="19" customHeight="1">
      <c r="B4392" s="464">
        <v>46114</v>
      </c>
      <c r="C4392" s="436" t="s">
        <v>327</v>
      </c>
      <c r="D4392" s="436" t="s">
        <v>940</v>
      </c>
      <c r="E4392" s="436">
        <v>1</v>
      </c>
      <c r="F4392" s="465">
        <v>5.95</v>
      </c>
      <c r="G4392" s="466">
        <v>5.95</v>
      </c>
      <c r="H4392" s="466">
        <f>G4392/1.1</f>
        <v>5.4090909090909092</v>
      </c>
      <c r="I4392" s="436"/>
      <c r="J4392" s="465">
        <v>0</v>
      </c>
      <c r="K4392" s="465">
        <v>0</v>
      </c>
    </row>
    <row r="4393" spans="2:11" ht="19" customHeight="1">
      <c r="B4393" s="464">
        <v>46114</v>
      </c>
      <c r="C4393" s="436" t="s">
        <v>247</v>
      </c>
      <c r="D4393" s="436" t="s">
        <v>248</v>
      </c>
      <c r="E4393" s="436">
        <v>1</v>
      </c>
      <c r="F4393" s="465">
        <v>1.5</v>
      </c>
      <c r="G4393" s="466">
        <v>1.5</v>
      </c>
      <c r="H4393" s="466">
        <f>G4393/1.1</f>
        <v>1.3636363636363635</v>
      </c>
      <c r="I4393" s="436"/>
      <c r="J4393" s="465">
        <v>0</v>
      </c>
      <c r="K4393" s="465">
        <v>0</v>
      </c>
    </row>
    <row r="4394" spans="2:11" ht="19" customHeight="1">
      <c r="B4394" s="464">
        <v>46114</v>
      </c>
      <c r="C4394" s="436" t="s">
        <v>247</v>
      </c>
      <c r="D4394" s="436" t="s">
        <v>248</v>
      </c>
      <c r="E4394" s="436">
        <v>1</v>
      </c>
      <c r="F4394" s="465">
        <v>1.5</v>
      </c>
      <c r="G4394" s="466">
        <v>1.5</v>
      </c>
      <c r="H4394" s="466">
        <f>G4394/1.1</f>
        <v>1.3636363636363635</v>
      </c>
      <c r="I4394" s="436"/>
      <c r="J4394" s="465">
        <v>0</v>
      </c>
      <c r="K4394" s="465">
        <v>0</v>
      </c>
    </row>
    <row r="4395" spans="2:11" ht="19" customHeight="1">
      <c r="B4395" s="464">
        <v>46114</v>
      </c>
      <c r="C4395" s="436" t="s">
        <v>247</v>
      </c>
      <c r="D4395" s="436" t="s">
        <v>246</v>
      </c>
      <c r="E4395" s="436">
        <v>1</v>
      </c>
      <c r="F4395" s="465">
        <v>1.7</v>
      </c>
      <c r="G4395" s="466">
        <v>1.7</v>
      </c>
      <c r="H4395" s="466">
        <f>G4395/1.1</f>
        <v>1.5454545454545452</v>
      </c>
      <c r="I4395" s="436"/>
      <c r="J4395" s="465">
        <v>0</v>
      </c>
      <c r="K4395" s="465">
        <v>0</v>
      </c>
    </row>
    <row r="4396" spans="2:11" ht="19" customHeight="1">
      <c r="B4396" s="464">
        <v>46114</v>
      </c>
      <c r="C4396" s="436" t="s">
        <v>862</v>
      </c>
      <c r="D4396" s="436" t="s">
        <v>863</v>
      </c>
      <c r="E4396" s="436">
        <v>1</v>
      </c>
      <c r="F4396" s="465">
        <v>0.15</v>
      </c>
      <c r="G4396" s="466">
        <v>0.15</v>
      </c>
      <c r="H4396" s="466">
        <f>G4396/1.1</f>
        <v>0.13636363636363635</v>
      </c>
      <c r="I4396" s="436"/>
      <c r="J4396" s="465">
        <v>0</v>
      </c>
      <c r="K4396" s="465">
        <v>0</v>
      </c>
    </row>
    <row r="4397" spans="2:11" ht="19" customHeight="1">
      <c r="B4397" s="464">
        <v>46114</v>
      </c>
      <c r="C4397" s="436" t="s">
        <v>268</v>
      </c>
      <c r="D4397" s="436" t="s">
        <v>860</v>
      </c>
      <c r="E4397" s="436">
        <v>1</v>
      </c>
      <c r="F4397" s="465">
        <v>2.25</v>
      </c>
      <c r="G4397" s="466">
        <v>2.25</v>
      </c>
      <c r="H4397" s="466">
        <f>G4397/1.1</f>
        <v>2.0454545454545454</v>
      </c>
      <c r="I4397" s="436"/>
      <c r="J4397" s="465">
        <v>0</v>
      </c>
      <c r="K4397" s="465">
        <v>0</v>
      </c>
    </row>
    <row r="4398" spans="2:11" ht="19" customHeight="1">
      <c r="B4398" s="464">
        <v>46114</v>
      </c>
      <c r="C4398" s="436" t="s">
        <v>268</v>
      </c>
      <c r="D4398" s="436" t="s">
        <v>859</v>
      </c>
      <c r="E4398" s="436">
        <v>1</v>
      </c>
      <c r="F4398" s="465">
        <v>0.75</v>
      </c>
      <c r="G4398" s="466">
        <v>0.75</v>
      </c>
      <c r="H4398" s="466">
        <f>G4398/1.1</f>
        <v>0.68181818181818177</v>
      </c>
      <c r="I4398" s="436"/>
      <c r="J4398" s="465">
        <v>0</v>
      </c>
      <c r="K4398" s="465">
        <v>0</v>
      </c>
    </row>
    <row r="4399" spans="2:11" ht="19" customHeight="1">
      <c r="B4399" s="464">
        <v>46114</v>
      </c>
      <c r="C4399" s="436" t="s">
        <v>247</v>
      </c>
      <c r="D4399" s="436" t="s">
        <v>246</v>
      </c>
      <c r="E4399" s="436">
        <v>1</v>
      </c>
      <c r="F4399" s="465">
        <v>1.7</v>
      </c>
      <c r="G4399" s="466">
        <v>1.7</v>
      </c>
      <c r="H4399" s="466">
        <f>G4399/1.1</f>
        <v>1.5454545454545452</v>
      </c>
      <c r="I4399" s="436"/>
      <c r="J4399" s="465">
        <v>0</v>
      </c>
      <c r="K4399" s="465">
        <v>0</v>
      </c>
    </row>
    <row r="4400" spans="2:11" ht="19" customHeight="1">
      <c r="B4400" s="464">
        <v>46114</v>
      </c>
      <c r="C4400" s="436" t="s">
        <v>247</v>
      </c>
      <c r="D4400" s="436" t="s">
        <v>257</v>
      </c>
      <c r="E4400" s="436">
        <v>1</v>
      </c>
      <c r="F4400" s="465">
        <v>1.4</v>
      </c>
      <c r="G4400" s="466">
        <v>1.4</v>
      </c>
      <c r="H4400" s="466">
        <f>G4400/1.1</f>
        <v>1.2727272727272725</v>
      </c>
      <c r="I4400" s="436"/>
      <c r="J4400" s="465">
        <v>0</v>
      </c>
      <c r="K4400" s="465">
        <v>0</v>
      </c>
    </row>
    <row r="4401" spans="2:11" ht="19" customHeight="1">
      <c r="B4401" s="464">
        <v>46114</v>
      </c>
      <c r="C4401" s="436" t="s">
        <v>268</v>
      </c>
      <c r="D4401" s="436" t="s">
        <v>860</v>
      </c>
      <c r="E4401" s="436">
        <v>2</v>
      </c>
      <c r="F4401" s="465">
        <v>2.25</v>
      </c>
      <c r="G4401" s="466">
        <v>4.5</v>
      </c>
      <c r="H4401" s="466">
        <f>G4401/1.1</f>
        <v>4.0909090909090908</v>
      </c>
      <c r="I4401" s="436"/>
      <c r="J4401" s="465">
        <v>0</v>
      </c>
      <c r="K4401" s="465">
        <v>0</v>
      </c>
    </row>
    <row r="4402" spans="2:11" ht="19" customHeight="1">
      <c r="B4402" s="464">
        <v>46114</v>
      </c>
      <c r="C4402" s="436" t="s">
        <v>247</v>
      </c>
      <c r="D4402" s="436" t="s">
        <v>246</v>
      </c>
      <c r="E4402" s="436">
        <v>3</v>
      </c>
      <c r="F4402" s="465">
        <v>1.7</v>
      </c>
      <c r="G4402" s="466">
        <v>5.0999999999999996</v>
      </c>
      <c r="H4402" s="466">
        <f>G4402/1.1</f>
        <v>4.6363636363636358</v>
      </c>
      <c r="I4402" s="436"/>
      <c r="J4402" s="465">
        <v>0</v>
      </c>
      <c r="K4402" s="465">
        <v>0</v>
      </c>
    </row>
    <row r="4403" spans="2:11" ht="19" customHeight="1">
      <c r="B4403" s="464">
        <v>46114</v>
      </c>
      <c r="C4403" s="436" t="s">
        <v>328</v>
      </c>
      <c r="D4403" s="436" t="s">
        <v>739</v>
      </c>
      <c r="E4403" s="436">
        <v>1</v>
      </c>
      <c r="F4403" s="465">
        <v>5.85</v>
      </c>
      <c r="G4403" s="466">
        <v>5.85</v>
      </c>
      <c r="H4403" s="466">
        <f>G4403/1.1</f>
        <v>5.3181818181818175</v>
      </c>
      <c r="I4403" s="436"/>
      <c r="J4403" s="465">
        <v>0</v>
      </c>
      <c r="K4403" s="465">
        <v>0</v>
      </c>
    </row>
    <row r="4404" spans="2:11" ht="19" customHeight="1">
      <c r="B4404" s="464">
        <v>46114</v>
      </c>
      <c r="C4404" s="436" t="s">
        <v>862</v>
      </c>
      <c r="D4404" s="436" t="s">
        <v>865</v>
      </c>
      <c r="E4404" s="436">
        <v>1</v>
      </c>
      <c r="F4404" s="465">
        <v>0.05</v>
      </c>
      <c r="G4404" s="466">
        <v>0.05</v>
      </c>
      <c r="H4404" s="466">
        <f>G4404/1.1</f>
        <v>4.5454545454545456E-2</v>
      </c>
      <c r="I4404" s="436"/>
      <c r="J4404" s="465">
        <v>0</v>
      </c>
      <c r="K4404" s="465">
        <v>0</v>
      </c>
    </row>
    <row r="4405" spans="2:11" ht="19" customHeight="1">
      <c r="B4405" s="464">
        <v>46114</v>
      </c>
      <c r="C4405" s="436" t="s">
        <v>247</v>
      </c>
      <c r="D4405" s="436" t="s">
        <v>246</v>
      </c>
      <c r="E4405" s="436">
        <v>2</v>
      </c>
      <c r="F4405" s="465">
        <v>1.7</v>
      </c>
      <c r="G4405" s="466">
        <v>3.4</v>
      </c>
      <c r="H4405" s="466">
        <f>G4405/1.1</f>
        <v>3.0909090909090904</v>
      </c>
      <c r="I4405" s="436"/>
      <c r="J4405" s="465">
        <v>0</v>
      </c>
      <c r="K4405" s="465">
        <v>0</v>
      </c>
    </row>
    <row r="4406" spans="2:11" ht="19" customHeight="1">
      <c r="B4406" s="464">
        <v>46114</v>
      </c>
      <c r="C4406" s="436" t="s">
        <v>247</v>
      </c>
      <c r="D4406" s="436" t="s">
        <v>246</v>
      </c>
      <c r="E4406" s="436">
        <v>1</v>
      </c>
      <c r="F4406" s="465">
        <v>1.7</v>
      </c>
      <c r="G4406" s="466">
        <v>1.7</v>
      </c>
      <c r="H4406" s="466">
        <f>G4406/1.1</f>
        <v>1.5454545454545452</v>
      </c>
      <c r="I4406" s="436"/>
      <c r="J4406" s="465">
        <v>0</v>
      </c>
      <c r="K4406" s="465">
        <v>0</v>
      </c>
    </row>
    <row r="4407" spans="2:11" ht="19" customHeight="1">
      <c r="B4407" s="464">
        <v>46114</v>
      </c>
      <c r="C4407" s="436" t="s">
        <v>247</v>
      </c>
      <c r="D4407" s="436" t="s">
        <v>248</v>
      </c>
      <c r="E4407" s="436">
        <v>1</v>
      </c>
      <c r="F4407" s="465">
        <v>1.5</v>
      </c>
      <c r="G4407" s="466">
        <v>1.5</v>
      </c>
      <c r="H4407" s="466">
        <f>G4407/1.1</f>
        <v>1.3636363636363635</v>
      </c>
      <c r="I4407" s="436"/>
      <c r="J4407" s="465">
        <v>0</v>
      </c>
      <c r="K4407" s="465">
        <v>0</v>
      </c>
    </row>
    <row r="4408" spans="2:11" ht="19" customHeight="1">
      <c r="B4408" s="464">
        <v>46114</v>
      </c>
      <c r="C4408" s="436" t="s">
        <v>862</v>
      </c>
      <c r="D4408" s="436" t="s">
        <v>899</v>
      </c>
      <c r="E4408" s="436">
        <v>1</v>
      </c>
      <c r="F4408" s="465">
        <v>0.05</v>
      </c>
      <c r="G4408" s="466">
        <v>0.05</v>
      </c>
      <c r="H4408" s="466">
        <f>G4408/1.1</f>
        <v>4.5454545454545456E-2</v>
      </c>
      <c r="I4408" s="436"/>
      <c r="J4408" s="465">
        <v>0</v>
      </c>
      <c r="K4408" s="465">
        <v>0</v>
      </c>
    </row>
    <row r="4409" spans="2:11" ht="19" customHeight="1">
      <c r="B4409" s="464">
        <v>46114</v>
      </c>
      <c r="C4409" s="436" t="s">
        <v>247</v>
      </c>
      <c r="D4409" s="436" t="s">
        <v>248</v>
      </c>
      <c r="E4409" s="436">
        <v>1</v>
      </c>
      <c r="F4409" s="465">
        <v>1.5</v>
      </c>
      <c r="G4409" s="466">
        <v>1.5</v>
      </c>
      <c r="H4409" s="466">
        <f>G4409/1.1</f>
        <v>1.3636363636363635</v>
      </c>
      <c r="I4409" s="436"/>
      <c r="J4409" s="465">
        <v>0</v>
      </c>
      <c r="K4409" s="465">
        <v>0</v>
      </c>
    </row>
    <row r="4410" spans="2:11" ht="19" customHeight="1">
      <c r="B4410" s="464">
        <v>46114</v>
      </c>
      <c r="C4410" s="436" t="s">
        <v>247</v>
      </c>
      <c r="D4410" s="436" t="s">
        <v>257</v>
      </c>
      <c r="E4410" s="436">
        <v>1</v>
      </c>
      <c r="F4410" s="465">
        <v>1.4</v>
      </c>
      <c r="G4410" s="466">
        <v>1.4</v>
      </c>
      <c r="H4410" s="466">
        <f>G4410/1.1</f>
        <v>1.2727272727272725</v>
      </c>
      <c r="I4410" s="436"/>
      <c r="J4410" s="465">
        <v>0</v>
      </c>
      <c r="K4410" s="465">
        <v>0</v>
      </c>
    </row>
    <row r="4411" spans="2:11" ht="19" customHeight="1">
      <c r="B4411" s="464">
        <v>46114</v>
      </c>
      <c r="C4411" s="436" t="s">
        <v>894</v>
      </c>
      <c r="D4411" s="436" t="s">
        <v>896</v>
      </c>
      <c r="E4411" s="436">
        <v>1</v>
      </c>
      <c r="F4411" s="465">
        <v>5.75</v>
      </c>
      <c r="G4411" s="466">
        <v>5.75</v>
      </c>
      <c r="H4411" s="466">
        <f>G4411/1.1</f>
        <v>5.2272727272727266</v>
      </c>
      <c r="I4411" s="436"/>
      <c r="J4411" s="465">
        <v>0</v>
      </c>
      <c r="K4411" s="465">
        <v>0</v>
      </c>
    </row>
    <row r="4412" spans="2:11" ht="19" customHeight="1">
      <c r="B4412" s="464">
        <v>46114</v>
      </c>
      <c r="C4412" s="436" t="s">
        <v>264</v>
      </c>
      <c r="D4412" s="436" t="s">
        <v>1084</v>
      </c>
      <c r="E4412" s="436">
        <v>1</v>
      </c>
      <c r="F4412" s="465">
        <v>0.75</v>
      </c>
      <c r="G4412" s="466">
        <v>0.75</v>
      </c>
      <c r="H4412" s="466">
        <f>G4412/1.1</f>
        <v>0.68181818181818177</v>
      </c>
      <c r="I4412" s="436"/>
      <c r="J4412" s="465">
        <v>0</v>
      </c>
      <c r="K4412" s="465">
        <v>0</v>
      </c>
    </row>
    <row r="4413" spans="2:11" ht="19" customHeight="1">
      <c r="B4413" s="464">
        <v>46114</v>
      </c>
      <c r="C4413" s="436" t="s">
        <v>268</v>
      </c>
      <c r="D4413" s="436" t="s">
        <v>267</v>
      </c>
      <c r="E4413" s="436">
        <v>1</v>
      </c>
      <c r="F4413" s="465">
        <v>1.5</v>
      </c>
      <c r="G4413" s="466">
        <v>1.5</v>
      </c>
      <c r="H4413" s="466">
        <f>G4413/1.1</f>
        <v>1.3636363636363635</v>
      </c>
      <c r="I4413" s="436"/>
      <c r="J4413" s="465">
        <v>0</v>
      </c>
      <c r="K4413" s="465">
        <v>0</v>
      </c>
    </row>
    <row r="4414" spans="2:11" ht="19" customHeight="1">
      <c r="B4414" s="464">
        <v>46114</v>
      </c>
      <c r="C4414" s="436" t="s">
        <v>247</v>
      </c>
      <c r="D4414" s="436" t="s">
        <v>902</v>
      </c>
      <c r="E4414" s="436">
        <v>1</v>
      </c>
      <c r="F4414" s="465">
        <v>1.95</v>
      </c>
      <c r="G4414" s="466">
        <v>1.95</v>
      </c>
      <c r="H4414" s="466">
        <f>G4414/1.1</f>
        <v>1.7727272727272725</v>
      </c>
      <c r="I4414" s="436"/>
      <c r="J4414" s="465">
        <v>0</v>
      </c>
      <c r="K4414" s="465">
        <v>0</v>
      </c>
    </row>
    <row r="4415" spans="2:11" ht="19" customHeight="1">
      <c r="B4415" s="464">
        <v>46114</v>
      </c>
      <c r="C4415" s="436" t="s">
        <v>253</v>
      </c>
      <c r="D4415" s="436" t="s">
        <v>687</v>
      </c>
      <c r="E4415" s="436">
        <v>1</v>
      </c>
      <c r="F4415" s="465">
        <v>3.1</v>
      </c>
      <c r="G4415" s="466">
        <v>3.1</v>
      </c>
      <c r="H4415" s="466">
        <f>G4415/1.1</f>
        <v>2.8181818181818179</v>
      </c>
      <c r="I4415" s="436"/>
      <c r="J4415" s="465">
        <v>0</v>
      </c>
      <c r="K4415" s="465">
        <v>0</v>
      </c>
    </row>
    <row r="4416" spans="2:11" ht="19" customHeight="1">
      <c r="B4416" s="464">
        <v>46114</v>
      </c>
      <c r="C4416" s="436" t="s">
        <v>251</v>
      </c>
      <c r="D4416" s="436" t="s">
        <v>957</v>
      </c>
      <c r="E4416" s="436">
        <v>1</v>
      </c>
      <c r="F4416" s="465">
        <v>2.8</v>
      </c>
      <c r="G4416" s="466">
        <v>2.8</v>
      </c>
      <c r="H4416" s="466">
        <f>G4416/1.1</f>
        <v>2.545454545454545</v>
      </c>
      <c r="I4416" s="436"/>
      <c r="J4416" s="465">
        <v>0</v>
      </c>
      <c r="K4416" s="465">
        <v>0</v>
      </c>
    </row>
    <row r="4417" spans="2:11" ht="19" customHeight="1">
      <c r="B4417" s="464">
        <v>46114</v>
      </c>
      <c r="C4417" s="436" t="s">
        <v>276</v>
      </c>
      <c r="D4417" s="436" t="s">
        <v>995</v>
      </c>
      <c r="E4417" s="436">
        <v>2</v>
      </c>
      <c r="F4417" s="465">
        <v>3.3</v>
      </c>
      <c r="G4417" s="466">
        <v>6.6</v>
      </c>
      <c r="H4417" s="466">
        <f>G4417/1.1</f>
        <v>5.9999999999999991</v>
      </c>
      <c r="I4417" s="436"/>
      <c r="J4417" s="465">
        <v>0</v>
      </c>
      <c r="K4417" s="465">
        <v>0</v>
      </c>
    </row>
    <row r="4418" spans="2:11" ht="19" customHeight="1">
      <c r="B4418" s="464">
        <v>46114</v>
      </c>
      <c r="C4418" s="436" t="s">
        <v>247</v>
      </c>
      <c r="D4418" s="436" t="s">
        <v>248</v>
      </c>
      <c r="E4418" s="436">
        <v>1</v>
      </c>
      <c r="F4418" s="465">
        <v>1.5</v>
      </c>
      <c r="G4418" s="466">
        <v>1.5</v>
      </c>
      <c r="H4418" s="466">
        <f>G4418/1.1</f>
        <v>1.3636363636363635</v>
      </c>
      <c r="I4418" s="436"/>
      <c r="J4418" s="465">
        <v>0</v>
      </c>
      <c r="K4418" s="465">
        <v>0</v>
      </c>
    </row>
    <row r="4419" spans="2:11" ht="19" customHeight="1">
      <c r="B4419" s="464">
        <v>46114</v>
      </c>
      <c r="C4419" s="436" t="s">
        <v>955</v>
      </c>
      <c r="D4419" s="436" t="s">
        <v>956</v>
      </c>
      <c r="E4419" s="436">
        <v>1</v>
      </c>
      <c r="F4419" s="465">
        <v>1.75</v>
      </c>
      <c r="G4419" s="466">
        <v>1.75</v>
      </c>
      <c r="H4419" s="466">
        <f>G4419/1.1</f>
        <v>1.5909090909090908</v>
      </c>
      <c r="I4419" s="436"/>
      <c r="J4419" s="465">
        <v>0</v>
      </c>
      <c r="K4419" s="465">
        <v>0</v>
      </c>
    </row>
    <row r="4420" spans="2:11" ht="19" customHeight="1">
      <c r="B4420" s="464">
        <v>46114</v>
      </c>
      <c r="C4420" s="436" t="s">
        <v>894</v>
      </c>
      <c r="D4420" s="436" t="s">
        <v>814</v>
      </c>
      <c r="E4420" s="436">
        <v>1</v>
      </c>
      <c r="F4420" s="465">
        <v>5.4</v>
      </c>
      <c r="G4420" s="466">
        <v>5.4</v>
      </c>
      <c r="H4420" s="466">
        <f>G4420/1.1</f>
        <v>4.9090909090909092</v>
      </c>
      <c r="I4420" s="436"/>
      <c r="J4420" s="465">
        <v>0</v>
      </c>
      <c r="K4420" s="465">
        <v>0</v>
      </c>
    </row>
    <row r="4421" spans="2:11" ht="19" customHeight="1">
      <c r="B4421" s="464">
        <v>46114</v>
      </c>
      <c r="C4421" s="436" t="s">
        <v>247</v>
      </c>
      <c r="D4421" s="436" t="s">
        <v>246</v>
      </c>
      <c r="E4421" s="436">
        <v>2</v>
      </c>
      <c r="F4421" s="465">
        <v>1.7</v>
      </c>
      <c r="G4421" s="466">
        <v>3.4</v>
      </c>
      <c r="H4421" s="466">
        <f>G4421/1.1</f>
        <v>3.0909090909090904</v>
      </c>
      <c r="I4421" s="436"/>
      <c r="J4421" s="465">
        <v>0</v>
      </c>
      <c r="K4421" s="465">
        <v>0</v>
      </c>
    </row>
    <row r="4422" spans="2:11" ht="19" customHeight="1">
      <c r="B4422" s="464">
        <v>46114</v>
      </c>
      <c r="C4422" s="436" t="s">
        <v>247</v>
      </c>
      <c r="D4422" s="436" t="s">
        <v>257</v>
      </c>
      <c r="E4422" s="436">
        <v>1</v>
      </c>
      <c r="F4422" s="465">
        <v>1.4</v>
      </c>
      <c r="G4422" s="466">
        <v>1.4</v>
      </c>
      <c r="H4422" s="466">
        <f>G4422/1.1</f>
        <v>1.2727272727272725</v>
      </c>
      <c r="I4422" s="436"/>
      <c r="J4422" s="465">
        <v>0</v>
      </c>
      <c r="K4422" s="465">
        <v>0</v>
      </c>
    </row>
    <row r="4423" spans="2:11" ht="19" customHeight="1">
      <c r="B4423" s="464">
        <v>46114</v>
      </c>
      <c r="C4423" s="436" t="s">
        <v>894</v>
      </c>
      <c r="D4423" s="436" t="s">
        <v>946</v>
      </c>
      <c r="E4423" s="436">
        <v>1</v>
      </c>
      <c r="F4423" s="465">
        <v>6.4</v>
      </c>
      <c r="G4423" s="466">
        <v>6.4</v>
      </c>
      <c r="H4423" s="466">
        <f>G4423/1.1</f>
        <v>5.8181818181818183</v>
      </c>
      <c r="I4423" s="436"/>
      <c r="J4423" s="465">
        <v>0</v>
      </c>
      <c r="K4423" s="465">
        <v>0</v>
      </c>
    </row>
    <row r="4424" spans="2:11" ht="19" customHeight="1">
      <c r="B4424" s="464">
        <v>46114</v>
      </c>
      <c r="C4424" s="436" t="s">
        <v>264</v>
      </c>
      <c r="D4424" s="436" t="s">
        <v>947</v>
      </c>
      <c r="E4424" s="436">
        <v>1</v>
      </c>
      <c r="F4424" s="465">
        <v>2</v>
      </c>
      <c r="G4424" s="466">
        <v>2</v>
      </c>
      <c r="H4424" s="466">
        <f>G4424/1.1</f>
        <v>1.8181818181818181</v>
      </c>
      <c r="I4424" s="436"/>
      <c r="J4424" s="465">
        <v>0</v>
      </c>
      <c r="K4424" s="465">
        <v>0</v>
      </c>
    </row>
    <row r="4425" spans="2:11" ht="19" customHeight="1">
      <c r="B4425" s="464">
        <v>46114</v>
      </c>
      <c r="C4425" s="436" t="s">
        <v>247</v>
      </c>
      <c r="D4425" s="436" t="s">
        <v>248</v>
      </c>
      <c r="E4425" s="436">
        <v>2</v>
      </c>
      <c r="F4425" s="465">
        <v>1.5</v>
      </c>
      <c r="G4425" s="466">
        <v>3</v>
      </c>
      <c r="H4425" s="466">
        <f>G4425/1.1</f>
        <v>2.7272727272727271</v>
      </c>
      <c r="I4425" s="436"/>
      <c r="J4425" s="465">
        <v>0</v>
      </c>
      <c r="K4425" s="465">
        <v>0</v>
      </c>
    </row>
    <row r="4426" spans="2:11" ht="19" customHeight="1">
      <c r="B4426" s="464">
        <v>46114</v>
      </c>
      <c r="C4426" s="436" t="s">
        <v>247</v>
      </c>
      <c r="D4426" s="436" t="s">
        <v>257</v>
      </c>
      <c r="E4426" s="436">
        <v>1</v>
      </c>
      <c r="F4426" s="465">
        <v>1.4</v>
      </c>
      <c r="G4426" s="466">
        <v>1.4</v>
      </c>
      <c r="H4426" s="466">
        <f>G4426/1.1</f>
        <v>1.2727272727272725</v>
      </c>
      <c r="I4426" s="436"/>
      <c r="J4426" s="465">
        <v>0</v>
      </c>
      <c r="K4426" s="465">
        <v>0</v>
      </c>
    </row>
    <row r="4427" spans="2:11" ht="19" customHeight="1">
      <c r="B4427" s="464">
        <v>46114</v>
      </c>
      <c r="C4427" s="436" t="s">
        <v>247</v>
      </c>
      <c r="D4427" s="436" t="s">
        <v>257</v>
      </c>
      <c r="E4427" s="436">
        <v>1</v>
      </c>
      <c r="F4427" s="465">
        <v>1.4</v>
      </c>
      <c r="G4427" s="466">
        <v>1.4</v>
      </c>
      <c r="H4427" s="466">
        <f>G4427/1.1</f>
        <v>1.2727272727272725</v>
      </c>
      <c r="I4427" s="436"/>
      <c r="J4427" s="465">
        <v>0</v>
      </c>
      <c r="K4427" s="465">
        <v>0</v>
      </c>
    </row>
    <row r="4428" spans="2:11" ht="19" customHeight="1">
      <c r="B4428" s="464">
        <v>46114</v>
      </c>
      <c r="C4428" s="436" t="s">
        <v>894</v>
      </c>
      <c r="D4428" s="436" t="s">
        <v>814</v>
      </c>
      <c r="E4428" s="436">
        <v>1</v>
      </c>
      <c r="F4428" s="465">
        <v>5.4</v>
      </c>
      <c r="G4428" s="466">
        <v>5.4</v>
      </c>
      <c r="H4428" s="466">
        <f>G4428/1.1</f>
        <v>4.9090909090909092</v>
      </c>
      <c r="I4428" s="436"/>
      <c r="J4428" s="465">
        <v>0</v>
      </c>
      <c r="K4428" s="465">
        <v>0</v>
      </c>
    </row>
    <row r="4429" spans="2:11" ht="19" customHeight="1">
      <c r="B4429" s="464">
        <v>46114</v>
      </c>
      <c r="C4429" s="436" t="s">
        <v>247</v>
      </c>
      <c r="D4429" s="436" t="s">
        <v>246</v>
      </c>
      <c r="E4429" s="436">
        <v>1</v>
      </c>
      <c r="F4429" s="465">
        <v>1.7</v>
      </c>
      <c r="G4429" s="466">
        <v>1.7</v>
      </c>
      <c r="H4429" s="466">
        <f>G4429/1.1</f>
        <v>1.5454545454545452</v>
      </c>
      <c r="I4429" s="436"/>
      <c r="J4429" s="465">
        <v>0</v>
      </c>
      <c r="K4429" s="465">
        <v>0</v>
      </c>
    </row>
    <row r="4430" spans="2:11" ht="19" customHeight="1">
      <c r="B4430" s="464">
        <v>46114</v>
      </c>
      <c r="C4430" s="436" t="s">
        <v>247</v>
      </c>
      <c r="D4430" s="436" t="s">
        <v>248</v>
      </c>
      <c r="E4430" s="436">
        <v>1</v>
      </c>
      <c r="F4430" s="465">
        <v>1.5</v>
      </c>
      <c r="G4430" s="466">
        <v>1.5</v>
      </c>
      <c r="H4430" s="466">
        <f>G4430/1.1</f>
        <v>1.3636363636363635</v>
      </c>
      <c r="I4430" s="436"/>
      <c r="J4430" s="465">
        <v>0</v>
      </c>
      <c r="K4430" s="465">
        <v>0</v>
      </c>
    </row>
    <row r="4431" spans="2:11" ht="19" customHeight="1">
      <c r="B4431" s="464">
        <v>46114</v>
      </c>
      <c r="C4431" s="436" t="s">
        <v>862</v>
      </c>
      <c r="D4431" s="436" t="s">
        <v>907</v>
      </c>
      <c r="E4431" s="436">
        <v>2</v>
      </c>
      <c r="F4431" s="465">
        <v>0.15</v>
      </c>
      <c r="G4431" s="466">
        <v>0.3</v>
      </c>
      <c r="H4431" s="466">
        <f>G4431/1.1</f>
        <v>0.27272727272727271</v>
      </c>
      <c r="I4431" s="436"/>
      <c r="J4431" s="465">
        <v>0</v>
      </c>
      <c r="K4431" s="465">
        <v>0</v>
      </c>
    </row>
    <row r="4432" spans="2:11" ht="19" customHeight="1">
      <c r="B4432" s="464">
        <v>46114</v>
      </c>
      <c r="C4432" s="436" t="s">
        <v>247</v>
      </c>
      <c r="D4432" s="436" t="s">
        <v>246</v>
      </c>
      <c r="E4432" s="436">
        <v>2</v>
      </c>
      <c r="F4432" s="465">
        <v>1.7</v>
      </c>
      <c r="G4432" s="466">
        <v>3.4</v>
      </c>
      <c r="H4432" s="466">
        <f>G4432/1.1</f>
        <v>3.0909090909090904</v>
      </c>
      <c r="I4432" s="436"/>
      <c r="J4432" s="465">
        <v>0</v>
      </c>
      <c r="K4432" s="465">
        <v>0</v>
      </c>
    </row>
    <row r="4433" spans="2:11" ht="19" customHeight="1">
      <c r="B4433" s="464">
        <v>46114</v>
      </c>
      <c r="C4433" s="436" t="s">
        <v>862</v>
      </c>
      <c r="D4433" s="436" t="s">
        <v>863</v>
      </c>
      <c r="E4433" s="436">
        <v>2</v>
      </c>
      <c r="F4433" s="465">
        <v>0.15</v>
      </c>
      <c r="G4433" s="466">
        <v>0.3</v>
      </c>
      <c r="H4433" s="466">
        <f>G4433/1.1</f>
        <v>0.27272727272727271</v>
      </c>
      <c r="I4433" s="436"/>
      <c r="J4433" s="465">
        <v>0</v>
      </c>
      <c r="K4433" s="465">
        <v>0</v>
      </c>
    </row>
    <row r="4434" spans="2:11" ht="19" customHeight="1">
      <c r="B4434" s="464">
        <v>46115</v>
      </c>
      <c r="C4434" s="436" t="s">
        <v>253</v>
      </c>
      <c r="D4434" s="436" t="s">
        <v>869</v>
      </c>
      <c r="E4434" s="436">
        <v>1</v>
      </c>
      <c r="F4434" s="465">
        <v>2.5</v>
      </c>
      <c r="G4434" s="466">
        <v>2.5</v>
      </c>
      <c r="H4434" s="466">
        <f>G4434/1.1</f>
        <v>2.2727272727272725</v>
      </c>
      <c r="I4434" s="436"/>
      <c r="J4434" s="465">
        <v>0</v>
      </c>
      <c r="K4434" s="465">
        <v>0</v>
      </c>
    </row>
    <row r="4435" spans="2:11" ht="19" customHeight="1">
      <c r="B4435" s="464">
        <v>46115</v>
      </c>
      <c r="C4435" s="436" t="s">
        <v>948</v>
      </c>
      <c r="D4435" s="436" t="s">
        <v>829</v>
      </c>
      <c r="E4435" s="436">
        <v>1</v>
      </c>
      <c r="F4435" s="465">
        <v>8.6999999999999993</v>
      </c>
      <c r="G4435" s="466">
        <v>8.6999999999999993</v>
      </c>
      <c r="H4435" s="466">
        <f>G4435/1.1</f>
        <v>7.9090909090909074</v>
      </c>
      <c r="I4435" s="436"/>
      <c r="J4435" s="465">
        <v>0</v>
      </c>
      <c r="K4435" s="465">
        <v>0</v>
      </c>
    </row>
    <row r="4436" spans="2:11" ht="19" customHeight="1">
      <c r="B4436" s="464">
        <v>46115</v>
      </c>
      <c r="C4436" s="436" t="s">
        <v>251</v>
      </c>
      <c r="D4436" s="436" t="s">
        <v>265</v>
      </c>
      <c r="E4436" s="436">
        <v>1</v>
      </c>
      <c r="F4436" s="465">
        <v>2.65</v>
      </c>
      <c r="G4436" s="466">
        <v>2.65</v>
      </c>
      <c r="H4436" s="466">
        <f>G4436/1.1</f>
        <v>2.4090909090909087</v>
      </c>
      <c r="I4436" s="436"/>
      <c r="J4436" s="465">
        <v>0</v>
      </c>
      <c r="K4436" s="465">
        <v>0</v>
      </c>
    </row>
    <row r="4437" spans="2:11" ht="19" customHeight="1">
      <c r="B4437" s="464">
        <v>46115</v>
      </c>
      <c r="C4437" s="436" t="s">
        <v>894</v>
      </c>
      <c r="D4437" s="436" t="s">
        <v>896</v>
      </c>
      <c r="E4437" s="436">
        <v>1</v>
      </c>
      <c r="F4437" s="465">
        <v>5.75</v>
      </c>
      <c r="G4437" s="466">
        <v>5.75</v>
      </c>
      <c r="H4437" s="466">
        <f>G4437/1.1</f>
        <v>5.2272727272727266</v>
      </c>
      <c r="I4437" s="436"/>
      <c r="J4437" s="465">
        <v>0</v>
      </c>
      <c r="K4437" s="465">
        <v>0</v>
      </c>
    </row>
    <row r="4438" spans="2:11" ht="19" customHeight="1">
      <c r="B4438" s="464">
        <v>46115</v>
      </c>
      <c r="C4438" s="436" t="s">
        <v>264</v>
      </c>
      <c r="D4438" s="436" t="s">
        <v>897</v>
      </c>
      <c r="E4438" s="436">
        <v>1</v>
      </c>
      <c r="F4438" s="465">
        <v>0.75</v>
      </c>
      <c r="G4438" s="466">
        <v>0.75</v>
      </c>
      <c r="H4438" s="466">
        <f>G4438/1.1</f>
        <v>0.68181818181818177</v>
      </c>
      <c r="I4438" s="436"/>
      <c r="J4438" s="465">
        <v>0</v>
      </c>
      <c r="K4438" s="465">
        <v>0</v>
      </c>
    </row>
    <row r="4439" spans="2:11" ht="19" customHeight="1">
      <c r="B4439" s="464">
        <v>46115</v>
      </c>
      <c r="C4439" s="436" t="s">
        <v>247</v>
      </c>
      <c r="D4439" s="436" t="s">
        <v>246</v>
      </c>
      <c r="E4439" s="436">
        <v>1</v>
      </c>
      <c r="F4439" s="465">
        <v>1.7</v>
      </c>
      <c r="G4439" s="466">
        <v>1.7</v>
      </c>
      <c r="H4439" s="466">
        <f>G4439/1.1</f>
        <v>1.5454545454545452</v>
      </c>
      <c r="I4439" s="436"/>
      <c r="J4439" s="465">
        <v>0</v>
      </c>
      <c r="K4439" s="465">
        <v>0</v>
      </c>
    </row>
    <row r="4440" spans="2:11" ht="19" customHeight="1">
      <c r="B4440" s="464">
        <v>46115</v>
      </c>
      <c r="C4440" s="436" t="s">
        <v>247</v>
      </c>
      <c r="D4440" s="436" t="s">
        <v>248</v>
      </c>
      <c r="E4440" s="436">
        <v>2</v>
      </c>
      <c r="F4440" s="465">
        <v>1.5</v>
      </c>
      <c r="G4440" s="466">
        <v>3</v>
      </c>
      <c r="H4440" s="466">
        <f>G4440/1.1</f>
        <v>2.7272727272727271</v>
      </c>
      <c r="I4440" s="436"/>
      <c r="J4440" s="465">
        <v>0</v>
      </c>
      <c r="K4440" s="465">
        <v>0</v>
      </c>
    </row>
    <row r="4441" spans="2:11" ht="19" customHeight="1">
      <c r="B4441" s="464">
        <v>46115</v>
      </c>
      <c r="C4441" s="436" t="s">
        <v>247</v>
      </c>
      <c r="D4441" s="436" t="s">
        <v>248</v>
      </c>
      <c r="E4441" s="436">
        <v>1</v>
      </c>
      <c r="F4441" s="465">
        <v>1.5</v>
      </c>
      <c r="G4441" s="466">
        <v>1.5</v>
      </c>
      <c r="H4441" s="466">
        <f>G4441/1.1</f>
        <v>1.3636363636363635</v>
      </c>
      <c r="I4441" s="436"/>
      <c r="J4441" s="465">
        <v>0</v>
      </c>
      <c r="K4441" s="465">
        <v>0</v>
      </c>
    </row>
    <row r="4442" spans="2:11" ht="19" customHeight="1">
      <c r="B4442" s="464">
        <v>46115</v>
      </c>
      <c r="C4442" s="436" t="s">
        <v>247</v>
      </c>
      <c r="D4442" s="436" t="s">
        <v>246</v>
      </c>
      <c r="E4442" s="436">
        <v>1</v>
      </c>
      <c r="F4442" s="465">
        <v>1.7</v>
      </c>
      <c r="G4442" s="466">
        <v>1.7</v>
      </c>
      <c r="H4442" s="466">
        <f>G4442/1.1</f>
        <v>1.5454545454545452</v>
      </c>
      <c r="I4442" s="436"/>
      <c r="J4442" s="465">
        <v>0</v>
      </c>
      <c r="K4442" s="465">
        <v>0</v>
      </c>
    </row>
    <row r="4443" spans="2:11" ht="19" customHeight="1">
      <c r="B4443" s="464">
        <v>46115</v>
      </c>
      <c r="C4443" s="436" t="s">
        <v>247</v>
      </c>
      <c r="D4443" s="436" t="s">
        <v>246</v>
      </c>
      <c r="E4443" s="436">
        <v>1</v>
      </c>
      <c r="F4443" s="465">
        <v>1.7</v>
      </c>
      <c r="G4443" s="466">
        <v>1.7</v>
      </c>
      <c r="H4443" s="466">
        <f>G4443/1.1</f>
        <v>1.5454545454545452</v>
      </c>
      <c r="I4443" s="436"/>
      <c r="J4443" s="465">
        <v>0</v>
      </c>
      <c r="K4443" s="465">
        <v>0</v>
      </c>
    </row>
    <row r="4444" spans="2:11" ht="19" customHeight="1">
      <c r="B4444" s="464">
        <v>46115</v>
      </c>
      <c r="C4444" s="436" t="s">
        <v>247</v>
      </c>
      <c r="D4444" s="436" t="s">
        <v>246</v>
      </c>
      <c r="E4444" s="436">
        <v>2</v>
      </c>
      <c r="F4444" s="465">
        <v>1.7</v>
      </c>
      <c r="G4444" s="466">
        <v>3.4</v>
      </c>
      <c r="H4444" s="466">
        <f>G4444/1.1</f>
        <v>3.0909090909090904</v>
      </c>
      <c r="I4444" s="436"/>
      <c r="J4444" s="465">
        <v>0</v>
      </c>
      <c r="K4444" s="465">
        <v>0</v>
      </c>
    </row>
    <row r="4445" spans="2:11" ht="19" customHeight="1">
      <c r="B4445" s="464">
        <v>46115</v>
      </c>
      <c r="C4445" s="436" t="s">
        <v>328</v>
      </c>
      <c r="D4445" s="436" t="s">
        <v>769</v>
      </c>
      <c r="E4445" s="436">
        <v>1</v>
      </c>
      <c r="F4445" s="465">
        <v>5.4</v>
      </c>
      <c r="G4445" s="466">
        <v>5.4</v>
      </c>
      <c r="H4445" s="466">
        <f>G4445/1.1</f>
        <v>4.9090909090909092</v>
      </c>
      <c r="I4445" s="436"/>
      <c r="J4445" s="465">
        <v>0</v>
      </c>
      <c r="K4445" s="465">
        <v>0</v>
      </c>
    </row>
    <row r="4446" spans="2:11" ht="19" customHeight="1">
      <c r="B4446" s="464">
        <v>46115</v>
      </c>
      <c r="C4446" s="436" t="s">
        <v>247</v>
      </c>
      <c r="D4446" s="436" t="s">
        <v>248</v>
      </c>
      <c r="E4446" s="436">
        <v>1</v>
      </c>
      <c r="F4446" s="465">
        <v>1.5</v>
      </c>
      <c r="G4446" s="466">
        <v>1.5</v>
      </c>
      <c r="H4446" s="466">
        <f>G4446/1.1</f>
        <v>1.3636363636363635</v>
      </c>
      <c r="I4446" s="436"/>
      <c r="J4446" s="465">
        <v>0</v>
      </c>
      <c r="K4446" s="465">
        <v>0</v>
      </c>
    </row>
    <row r="4447" spans="2:11" ht="19" customHeight="1">
      <c r="B4447" s="464">
        <v>46115</v>
      </c>
      <c r="C4447" s="436" t="s">
        <v>894</v>
      </c>
      <c r="D4447" s="436" t="s">
        <v>946</v>
      </c>
      <c r="E4447" s="436">
        <v>1</v>
      </c>
      <c r="F4447" s="465">
        <v>6.4</v>
      </c>
      <c r="G4447" s="466">
        <v>6.4</v>
      </c>
      <c r="H4447" s="466">
        <f>G4447/1.1</f>
        <v>5.8181818181818183</v>
      </c>
      <c r="I4447" s="436"/>
      <c r="J4447" s="465">
        <v>0</v>
      </c>
      <c r="K4447" s="465">
        <v>0</v>
      </c>
    </row>
    <row r="4448" spans="2:11" ht="19" customHeight="1">
      <c r="B4448" s="464">
        <v>46115</v>
      </c>
      <c r="C4448" s="436" t="s">
        <v>264</v>
      </c>
      <c r="D4448" s="436" t="s">
        <v>1147</v>
      </c>
      <c r="E4448" s="436">
        <v>1</v>
      </c>
      <c r="F4448" s="465">
        <v>2.35</v>
      </c>
      <c r="G4448" s="466">
        <v>2.35</v>
      </c>
      <c r="H4448" s="466">
        <f>G4448/1.1</f>
        <v>2.1363636363636362</v>
      </c>
      <c r="I4448" s="436"/>
      <c r="J4448" s="465">
        <v>0</v>
      </c>
      <c r="K4448" s="465">
        <v>0</v>
      </c>
    </row>
    <row r="4449" spans="2:11" ht="19" customHeight="1">
      <c r="B4449" s="464">
        <v>46115</v>
      </c>
      <c r="C4449" s="436" t="s">
        <v>894</v>
      </c>
      <c r="D4449" s="436" t="s">
        <v>1001</v>
      </c>
      <c r="E4449" s="436">
        <v>2</v>
      </c>
      <c r="F4449" s="465">
        <v>5.7</v>
      </c>
      <c r="G4449" s="466">
        <v>11.4</v>
      </c>
      <c r="H4449" s="466">
        <f>G4449/1.1</f>
        <v>10.363636363636363</v>
      </c>
      <c r="I4449" s="436"/>
      <c r="J4449" s="465">
        <v>0</v>
      </c>
      <c r="K4449" s="465">
        <v>0</v>
      </c>
    </row>
    <row r="4450" spans="2:11" ht="19" customHeight="1">
      <c r="B4450" s="464">
        <v>46115</v>
      </c>
      <c r="C4450" s="436" t="s">
        <v>247</v>
      </c>
      <c r="D4450" s="436" t="s">
        <v>248</v>
      </c>
      <c r="E4450" s="436">
        <v>1</v>
      </c>
      <c r="F4450" s="465">
        <v>1.5</v>
      </c>
      <c r="G4450" s="466">
        <v>1.5</v>
      </c>
      <c r="H4450" s="466">
        <f>G4450/1.1</f>
        <v>1.3636363636363635</v>
      </c>
      <c r="I4450" s="436"/>
      <c r="J4450" s="465">
        <v>0</v>
      </c>
      <c r="K4450" s="465">
        <v>0</v>
      </c>
    </row>
    <row r="4451" spans="2:11" ht="19" customHeight="1">
      <c r="B4451" s="464">
        <v>46115</v>
      </c>
      <c r="C4451" s="436" t="s">
        <v>247</v>
      </c>
      <c r="D4451" s="436" t="s">
        <v>248</v>
      </c>
      <c r="E4451" s="436">
        <v>1</v>
      </c>
      <c r="F4451" s="465">
        <v>1.5</v>
      </c>
      <c r="G4451" s="466">
        <v>1.5</v>
      </c>
      <c r="H4451" s="466">
        <f>G4451/1.1</f>
        <v>1.3636363636363635</v>
      </c>
      <c r="I4451" s="436"/>
      <c r="J4451" s="465">
        <v>0</v>
      </c>
      <c r="K4451" s="465">
        <v>0</v>
      </c>
    </row>
    <row r="4452" spans="2:11" ht="19" customHeight="1">
      <c r="B4452" s="464">
        <v>46115</v>
      </c>
      <c r="C4452" s="436" t="s">
        <v>894</v>
      </c>
      <c r="D4452" s="436" t="s">
        <v>1120</v>
      </c>
      <c r="E4452" s="436">
        <v>1</v>
      </c>
      <c r="F4452" s="465">
        <v>7.85</v>
      </c>
      <c r="G4452" s="466">
        <v>7.85</v>
      </c>
      <c r="H4452" s="466">
        <f>G4452/1.1</f>
        <v>7.1363636363636358</v>
      </c>
      <c r="I4452" s="436"/>
      <c r="J4452" s="465">
        <v>0</v>
      </c>
      <c r="K4452" s="465">
        <v>0</v>
      </c>
    </row>
    <row r="4453" spans="2:11" ht="19" customHeight="1">
      <c r="B4453" s="464">
        <v>46115</v>
      </c>
      <c r="C4453" s="436" t="s">
        <v>894</v>
      </c>
      <c r="D4453" s="436" t="s">
        <v>895</v>
      </c>
      <c r="E4453" s="436">
        <v>1</v>
      </c>
      <c r="F4453" s="465">
        <v>7.1</v>
      </c>
      <c r="G4453" s="466">
        <v>7.1</v>
      </c>
      <c r="H4453" s="466">
        <f>G4453/1.1</f>
        <v>6.4545454545454541</v>
      </c>
      <c r="I4453" s="436"/>
      <c r="J4453" s="465">
        <v>0</v>
      </c>
      <c r="K4453" s="465">
        <v>0</v>
      </c>
    </row>
    <row r="4454" spans="2:11" ht="19" customHeight="1">
      <c r="B4454" s="464">
        <v>46115</v>
      </c>
      <c r="C4454" s="436" t="s">
        <v>264</v>
      </c>
      <c r="D4454" s="436" t="s">
        <v>899</v>
      </c>
      <c r="E4454" s="436">
        <v>1</v>
      </c>
      <c r="F4454" s="465">
        <v>0.05</v>
      </c>
      <c r="G4454" s="466">
        <v>0.05</v>
      </c>
      <c r="H4454" s="466">
        <f>G4454/1.1</f>
        <v>4.5454545454545456E-2</v>
      </c>
      <c r="I4454" s="436"/>
      <c r="J4454" s="465">
        <v>0</v>
      </c>
      <c r="K4454" s="465">
        <v>0</v>
      </c>
    </row>
    <row r="4455" spans="2:11" ht="19" customHeight="1">
      <c r="B4455" s="464">
        <v>46115</v>
      </c>
      <c r="C4455" s="436" t="s">
        <v>894</v>
      </c>
      <c r="D4455" s="436" t="s">
        <v>1001</v>
      </c>
      <c r="E4455" s="436">
        <v>1</v>
      </c>
      <c r="F4455" s="465">
        <v>5.7</v>
      </c>
      <c r="G4455" s="466">
        <v>5.7</v>
      </c>
      <c r="H4455" s="466">
        <f>G4455/1.1</f>
        <v>5.1818181818181817</v>
      </c>
      <c r="I4455" s="436"/>
      <c r="J4455" s="465">
        <v>0</v>
      </c>
      <c r="K4455" s="465">
        <v>0</v>
      </c>
    </row>
    <row r="4456" spans="2:11" ht="19" customHeight="1">
      <c r="B4456" s="464">
        <v>46115</v>
      </c>
      <c r="C4456" s="436" t="s">
        <v>264</v>
      </c>
      <c r="D4456" s="436" t="s">
        <v>891</v>
      </c>
      <c r="E4456" s="436">
        <v>1</v>
      </c>
      <c r="F4456" s="465">
        <v>3</v>
      </c>
      <c r="G4456" s="466">
        <v>3</v>
      </c>
      <c r="H4456" s="466">
        <f>G4456/1.1</f>
        <v>2.7272727272727271</v>
      </c>
      <c r="I4456" s="436"/>
      <c r="J4456" s="465">
        <v>0</v>
      </c>
      <c r="K4456" s="465">
        <v>0</v>
      </c>
    </row>
    <row r="4457" spans="2:11" ht="19" customHeight="1">
      <c r="B4457" s="464">
        <v>46115</v>
      </c>
      <c r="C4457" s="436" t="s">
        <v>894</v>
      </c>
      <c r="D4457" s="436" t="s">
        <v>950</v>
      </c>
      <c r="E4457" s="436">
        <v>2</v>
      </c>
      <c r="F4457" s="465">
        <v>5.7</v>
      </c>
      <c r="G4457" s="466">
        <v>11.4</v>
      </c>
      <c r="H4457" s="466">
        <f>G4457/1.1</f>
        <v>10.363636363636363</v>
      </c>
      <c r="I4457" s="436"/>
      <c r="J4457" s="465">
        <v>0</v>
      </c>
      <c r="K4457" s="465">
        <v>0</v>
      </c>
    </row>
    <row r="4458" spans="2:11" ht="19" customHeight="1">
      <c r="B4458" s="464">
        <v>46115</v>
      </c>
      <c r="C4458" s="436" t="s">
        <v>268</v>
      </c>
      <c r="D4458" s="436" t="s">
        <v>1061</v>
      </c>
      <c r="E4458" s="436">
        <v>1</v>
      </c>
      <c r="F4458" s="465">
        <v>0.85</v>
      </c>
      <c r="G4458" s="466">
        <v>0.85</v>
      </c>
      <c r="H4458" s="466">
        <f>G4458/1.1</f>
        <v>0.7727272727272726</v>
      </c>
      <c r="I4458" s="436"/>
      <c r="J4458" s="465">
        <v>0</v>
      </c>
      <c r="K4458" s="465">
        <v>0</v>
      </c>
    </row>
    <row r="4459" spans="2:11" ht="19" customHeight="1">
      <c r="B4459" s="464">
        <v>46115</v>
      </c>
      <c r="C4459" s="436" t="s">
        <v>247</v>
      </c>
      <c r="D4459" s="436" t="s">
        <v>246</v>
      </c>
      <c r="E4459" s="436">
        <v>1</v>
      </c>
      <c r="F4459" s="465">
        <v>1.7</v>
      </c>
      <c r="G4459" s="466">
        <v>1.7</v>
      </c>
      <c r="H4459" s="466">
        <f>G4459/1.1</f>
        <v>1.5454545454545452</v>
      </c>
      <c r="I4459" s="436"/>
      <c r="J4459" s="465">
        <v>0</v>
      </c>
      <c r="K4459" s="465">
        <v>0</v>
      </c>
    </row>
    <row r="4460" spans="2:11" ht="19" customHeight="1">
      <c r="B4460" s="464">
        <v>46115</v>
      </c>
      <c r="C4460" s="436" t="s">
        <v>253</v>
      </c>
      <c r="D4460" s="436" t="s">
        <v>869</v>
      </c>
      <c r="E4460" s="436">
        <v>4</v>
      </c>
      <c r="F4460" s="465">
        <v>2.5</v>
      </c>
      <c r="G4460" s="466">
        <v>10</v>
      </c>
      <c r="H4460" s="466">
        <f>G4460/1.1</f>
        <v>9.0909090909090899</v>
      </c>
      <c r="I4460" s="436"/>
      <c r="J4460" s="465">
        <v>0</v>
      </c>
      <c r="K4460" s="465">
        <v>0</v>
      </c>
    </row>
    <row r="4461" spans="2:11" ht="19" customHeight="1">
      <c r="B4461" s="464">
        <v>46115</v>
      </c>
      <c r="C4461" s="436" t="s">
        <v>277</v>
      </c>
      <c r="D4461" s="436" t="s">
        <v>954</v>
      </c>
      <c r="E4461" s="436">
        <v>1</v>
      </c>
      <c r="F4461" s="465">
        <v>12.9</v>
      </c>
      <c r="G4461" s="466">
        <v>12.9</v>
      </c>
      <c r="H4461" s="466">
        <f>G4461/1.1</f>
        <v>11.727272727272727</v>
      </c>
      <c r="I4461" s="436"/>
      <c r="J4461" s="465">
        <v>0</v>
      </c>
      <c r="K4461" s="465">
        <v>0</v>
      </c>
    </row>
    <row r="4462" spans="2:11" ht="19" customHeight="1">
      <c r="B4462" s="464">
        <v>46115</v>
      </c>
      <c r="C4462" s="436" t="s">
        <v>256</v>
      </c>
      <c r="D4462" s="436" t="s">
        <v>679</v>
      </c>
      <c r="E4462" s="436">
        <v>1</v>
      </c>
      <c r="F4462" s="465">
        <v>10</v>
      </c>
      <c r="G4462" s="466">
        <v>10</v>
      </c>
      <c r="H4462" s="466">
        <f>G4462/1.1</f>
        <v>9.0909090909090899</v>
      </c>
      <c r="I4462" s="436"/>
      <c r="J4462" s="465">
        <v>0</v>
      </c>
      <c r="K4462" s="465">
        <v>0</v>
      </c>
    </row>
    <row r="4463" spans="2:11" ht="19" customHeight="1">
      <c r="B4463" s="464">
        <v>46115</v>
      </c>
      <c r="C4463" s="436" t="s">
        <v>256</v>
      </c>
      <c r="D4463" s="436" t="s">
        <v>675</v>
      </c>
      <c r="E4463" s="436">
        <v>1</v>
      </c>
      <c r="F4463" s="465">
        <v>5.5</v>
      </c>
      <c r="G4463" s="466">
        <v>5.5</v>
      </c>
      <c r="H4463" s="466">
        <f>G4463/1.1</f>
        <v>5</v>
      </c>
      <c r="I4463" s="436"/>
      <c r="J4463" s="465">
        <v>0</v>
      </c>
      <c r="K4463" s="465">
        <v>0</v>
      </c>
    </row>
    <row r="4464" spans="2:11" ht="19" customHeight="1">
      <c r="B4464" s="464">
        <v>46115</v>
      </c>
      <c r="C4464" s="436" t="s">
        <v>256</v>
      </c>
      <c r="D4464" s="436" t="s">
        <v>738</v>
      </c>
      <c r="E4464" s="436">
        <v>1</v>
      </c>
      <c r="F4464" s="465">
        <v>7.9</v>
      </c>
      <c r="G4464" s="466">
        <v>7.9</v>
      </c>
      <c r="H4464" s="466">
        <f>G4464/1.1</f>
        <v>7.1818181818181817</v>
      </c>
      <c r="I4464" s="436"/>
      <c r="J4464" s="465">
        <v>0</v>
      </c>
      <c r="K4464" s="465">
        <v>0</v>
      </c>
    </row>
    <row r="4465" spans="2:11" ht="19" customHeight="1">
      <c r="B4465" s="464">
        <v>46115</v>
      </c>
      <c r="C4465" s="436" t="s">
        <v>251</v>
      </c>
      <c r="D4465" s="436" t="s">
        <v>265</v>
      </c>
      <c r="E4465" s="436">
        <v>1</v>
      </c>
      <c r="F4465" s="465">
        <v>2.65</v>
      </c>
      <c r="G4465" s="466">
        <v>2.65</v>
      </c>
      <c r="H4465" s="466">
        <f>G4465/1.1</f>
        <v>2.4090909090909087</v>
      </c>
      <c r="I4465" s="436"/>
      <c r="J4465" s="465">
        <v>0</v>
      </c>
      <c r="K4465" s="465">
        <v>0</v>
      </c>
    </row>
    <row r="4466" spans="2:11" ht="19" customHeight="1">
      <c r="B4466" s="464">
        <v>46115</v>
      </c>
      <c r="C4466" s="436" t="s">
        <v>251</v>
      </c>
      <c r="D4466" s="436" t="s">
        <v>926</v>
      </c>
      <c r="E4466" s="436">
        <v>1</v>
      </c>
      <c r="F4466" s="465">
        <v>2.65</v>
      </c>
      <c r="G4466" s="466">
        <v>2.65</v>
      </c>
      <c r="H4466" s="466">
        <f>G4466/1.1</f>
        <v>2.4090909090909087</v>
      </c>
      <c r="I4466" s="436"/>
      <c r="J4466" s="465">
        <v>0</v>
      </c>
      <c r="K4466" s="465">
        <v>0</v>
      </c>
    </row>
    <row r="4467" spans="2:11" ht="19" customHeight="1">
      <c r="B4467" s="464">
        <v>46116</v>
      </c>
      <c r="C4467" s="436" t="s">
        <v>247</v>
      </c>
      <c r="D4467" s="436" t="s">
        <v>246</v>
      </c>
      <c r="E4467" s="436">
        <v>2</v>
      </c>
      <c r="F4467" s="465">
        <v>1.7</v>
      </c>
      <c r="G4467" s="466">
        <v>3.4</v>
      </c>
      <c r="H4467" s="466">
        <f>G4467/1.1</f>
        <v>3.0909090909090904</v>
      </c>
      <c r="I4467" s="436"/>
      <c r="J4467" s="465">
        <v>0</v>
      </c>
      <c r="K4467" s="465">
        <v>0</v>
      </c>
    </row>
    <row r="4468" spans="2:11" ht="19" customHeight="1">
      <c r="B4468" s="464">
        <v>46116</v>
      </c>
      <c r="C4468" s="436" t="s">
        <v>247</v>
      </c>
      <c r="D4468" s="436" t="s">
        <v>902</v>
      </c>
      <c r="E4468" s="436">
        <v>1</v>
      </c>
      <c r="F4468" s="465">
        <v>1.95</v>
      </c>
      <c r="G4468" s="466">
        <v>1.95</v>
      </c>
      <c r="H4468" s="466">
        <f>G4468/1.1</f>
        <v>1.7727272727272725</v>
      </c>
      <c r="I4468" s="436"/>
      <c r="J4468" s="465">
        <v>0</v>
      </c>
      <c r="K4468" s="465">
        <v>0</v>
      </c>
    </row>
    <row r="4469" spans="2:11" ht="19" customHeight="1">
      <c r="B4469" s="464">
        <v>46116</v>
      </c>
      <c r="C4469" s="436" t="s">
        <v>247</v>
      </c>
      <c r="D4469" s="436" t="s">
        <v>257</v>
      </c>
      <c r="E4469" s="436">
        <v>4</v>
      </c>
      <c r="F4469" s="465">
        <v>1.4</v>
      </c>
      <c r="G4469" s="466">
        <v>5.6</v>
      </c>
      <c r="H4469" s="466">
        <f>G4469/1.1</f>
        <v>5.0909090909090899</v>
      </c>
      <c r="I4469" s="436"/>
      <c r="J4469" s="465">
        <v>0</v>
      </c>
      <c r="K4469" s="465">
        <v>0</v>
      </c>
    </row>
    <row r="4470" spans="2:11" ht="19" customHeight="1">
      <c r="B4470" s="464">
        <v>46116</v>
      </c>
      <c r="C4470" s="436" t="s">
        <v>247</v>
      </c>
      <c r="D4470" s="436" t="s">
        <v>246</v>
      </c>
      <c r="E4470" s="436">
        <v>3</v>
      </c>
      <c r="F4470" s="465">
        <v>1.7</v>
      </c>
      <c r="G4470" s="466">
        <v>5.0999999999999996</v>
      </c>
      <c r="H4470" s="466">
        <f>G4470/1.1</f>
        <v>4.6363636363636358</v>
      </c>
      <c r="I4470" s="436"/>
      <c r="J4470" s="465">
        <v>0</v>
      </c>
      <c r="K4470" s="465">
        <v>0</v>
      </c>
    </row>
    <row r="4471" spans="2:11" ht="19" customHeight="1">
      <c r="B4471" s="464">
        <v>46116</v>
      </c>
      <c r="C4471" s="436" t="s">
        <v>251</v>
      </c>
      <c r="D4471" s="436" t="s">
        <v>742</v>
      </c>
      <c r="E4471" s="436">
        <v>2</v>
      </c>
      <c r="F4471" s="465">
        <v>3.25</v>
      </c>
      <c r="G4471" s="466">
        <v>6.5</v>
      </c>
      <c r="H4471" s="466">
        <f>G4471/1.1</f>
        <v>5.9090909090909083</v>
      </c>
      <c r="I4471" s="436"/>
      <c r="J4471" s="465">
        <v>0</v>
      </c>
      <c r="K4471" s="465">
        <v>0</v>
      </c>
    </row>
    <row r="4472" spans="2:11" ht="19" customHeight="1">
      <c r="B4472" s="464">
        <v>46116</v>
      </c>
      <c r="C4472" s="436" t="s">
        <v>328</v>
      </c>
      <c r="D4472" s="436" t="s">
        <v>861</v>
      </c>
      <c r="E4472" s="436">
        <v>1</v>
      </c>
      <c r="F4472" s="465">
        <v>3.25</v>
      </c>
      <c r="G4472" s="466">
        <v>3.25</v>
      </c>
      <c r="H4472" s="466">
        <f>G4472/1.1</f>
        <v>2.9545454545454541</v>
      </c>
      <c r="I4472" s="436"/>
      <c r="J4472" s="465">
        <v>0</v>
      </c>
      <c r="K4472" s="465">
        <v>0</v>
      </c>
    </row>
    <row r="4473" spans="2:11" ht="19" customHeight="1">
      <c r="B4473" s="464">
        <v>46116</v>
      </c>
      <c r="C4473" s="436" t="s">
        <v>327</v>
      </c>
      <c r="D4473" s="436" t="s">
        <v>817</v>
      </c>
      <c r="E4473" s="436">
        <v>1</v>
      </c>
      <c r="F4473" s="465">
        <v>4.9000000000000004</v>
      </c>
      <c r="G4473" s="466">
        <v>4.9000000000000004</v>
      </c>
      <c r="H4473" s="466">
        <f>G4473/1.1</f>
        <v>4.4545454545454541</v>
      </c>
      <c r="I4473" s="436"/>
      <c r="J4473" s="465">
        <v>0</v>
      </c>
      <c r="K4473" s="465">
        <v>0</v>
      </c>
    </row>
    <row r="4474" spans="2:11" ht="19" customHeight="1">
      <c r="B4474" s="464">
        <v>46116</v>
      </c>
      <c r="C4474" s="436" t="s">
        <v>264</v>
      </c>
      <c r="D4474" s="436" t="s">
        <v>891</v>
      </c>
      <c r="E4474" s="436">
        <v>1</v>
      </c>
      <c r="F4474" s="465">
        <v>1.4</v>
      </c>
      <c r="G4474" s="466">
        <v>1.4</v>
      </c>
      <c r="H4474" s="466">
        <f>G4474/1.1</f>
        <v>1.2727272727272725</v>
      </c>
      <c r="I4474" s="436"/>
      <c r="J4474" s="465">
        <v>0</v>
      </c>
      <c r="K4474" s="465">
        <v>0</v>
      </c>
    </row>
    <row r="4475" spans="2:11" ht="19" customHeight="1">
      <c r="B4475" s="464">
        <v>46116</v>
      </c>
      <c r="C4475" s="436" t="s">
        <v>247</v>
      </c>
      <c r="D4475" s="436" t="s">
        <v>246</v>
      </c>
      <c r="E4475" s="436">
        <v>1</v>
      </c>
      <c r="F4475" s="465">
        <v>1.7</v>
      </c>
      <c r="G4475" s="466">
        <v>1.7</v>
      </c>
      <c r="H4475" s="466">
        <f>G4475/1.1</f>
        <v>1.5454545454545452</v>
      </c>
      <c r="I4475" s="436"/>
      <c r="J4475" s="465">
        <v>0</v>
      </c>
      <c r="K4475" s="465">
        <v>0</v>
      </c>
    </row>
    <row r="4476" spans="2:11" ht="19" customHeight="1">
      <c r="B4476" s="464">
        <v>46116</v>
      </c>
      <c r="C4476" s="436" t="s">
        <v>328</v>
      </c>
      <c r="D4476" s="436" t="s">
        <v>761</v>
      </c>
      <c r="E4476" s="436">
        <v>1</v>
      </c>
      <c r="F4476" s="465">
        <v>3.1</v>
      </c>
      <c r="G4476" s="466">
        <v>3.1</v>
      </c>
      <c r="H4476" s="466">
        <f>G4476/1.1</f>
        <v>2.8181818181818179</v>
      </c>
      <c r="I4476" s="436"/>
      <c r="J4476" s="465">
        <v>0</v>
      </c>
      <c r="K4476" s="465">
        <v>0</v>
      </c>
    </row>
    <row r="4477" spans="2:11" ht="19" customHeight="1">
      <c r="B4477" s="464">
        <v>46116</v>
      </c>
      <c r="C4477" s="436" t="s">
        <v>247</v>
      </c>
      <c r="D4477" s="436" t="s">
        <v>246</v>
      </c>
      <c r="E4477" s="436">
        <v>3</v>
      </c>
      <c r="F4477" s="465">
        <v>1.7</v>
      </c>
      <c r="G4477" s="466">
        <v>5.0999999999999996</v>
      </c>
      <c r="H4477" s="466">
        <f>G4477/1.1</f>
        <v>4.6363636363636358</v>
      </c>
      <c r="I4477" s="436"/>
      <c r="J4477" s="465">
        <v>0</v>
      </c>
      <c r="K4477" s="465">
        <v>0</v>
      </c>
    </row>
    <row r="4478" spans="2:11" ht="19" customHeight="1">
      <c r="B4478" s="464">
        <v>46116</v>
      </c>
      <c r="C4478" s="436" t="s">
        <v>251</v>
      </c>
      <c r="D4478" s="436" t="s">
        <v>957</v>
      </c>
      <c r="E4478" s="436">
        <v>1</v>
      </c>
      <c r="F4478" s="465">
        <v>2.65</v>
      </c>
      <c r="G4478" s="466">
        <v>2.65</v>
      </c>
      <c r="H4478" s="466">
        <f>G4478/1.1</f>
        <v>2.4090909090909087</v>
      </c>
      <c r="I4478" s="436"/>
      <c r="J4478" s="465">
        <v>0</v>
      </c>
      <c r="K4478" s="465">
        <v>0</v>
      </c>
    </row>
    <row r="4479" spans="2:11" ht="19" customHeight="1">
      <c r="B4479" s="464">
        <v>46116</v>
      </c>
      <c r="C4479" s="436" t="s">
        <v>327</v>
      </c>
      <c r="D4479" s="436" t="s">
        <v>802</v>
      </c>
      <c r="E4479" s="436">
        <v>1</v>
      </c>
      <c r="F4479" s="465">
        <v>4.5999999999999996</v>
      </c>
      <c r="G4479" s="466">
        <v>4.5999999999999996</v>
      </c>
      <c r="H4479" s="466">
        <f>G4479/1.1</f>
        <v>4.1818181818181808</v>
      </c>
      <c r="I4479" s="436"/>
      <c r="J4479" s="465">
        <v>0</v>
      </c>
      <c r="K4479" s="465">
        <v>0</v>
      </c>
    </row>
    <row r="4480" spans="2:11" ht="19" customHeight="1">
      <c r="B4480" s="464">
        <v>46116</v>
      </c>
      <c r="C4480" s="436" t="s">
        <v>264</v>
      </c>
      <c r="D4480" s="436" t="s">
        <v>891</v>
      </c>
      <c r="E4480" s="436">
        <v>1</v>
      </c>
      <c r="F4480" s="465">
        <v>1.4</v>
      </c>
      <c r="G4480" s="466">
        <v>1.4</v>
      </c>
      <c r="H4480" s="466">
        <f>G4480/1.1</f>
        <v>1.2727272727272725</v>
      </c>
      <c r="I4480" s="436"/>
      <c r="J4480" s="465">
        <v>0</v>
      </c>
      <c r="K4480" s="465">
        <v>0</v>
      </c>
    </row>
    <row r="4481" spans="2:11" ht="19" customHeight="1">
      <c r="B4481" s="464">
        <v>46116</v>
      </c>
      <c r="C4481" s="436" t="s">
        <v>328</v>
      </c>
      <c r="D4481" s="436" t="s">
        <v>761</v>
      </c>
      <c r="E4481" s="436">
        <v>1</v>
      </c>
      <c r="F4481" s="465">
        <v>3.1</v>
      </c>
      <c r="G4481" s="466">
        <v>3.1</v>
      </c>
      <c r="H4481" s="466">
        <f>G4481/1.1</f>
        <v>2.8181818181818179</v>
      </c>
      <c r="I4481" s="436"/>
      <c r="J4481" s="465">
        <v>0</v>
      </c>
      <c r="K4481" s="465">
        <v>0</v>
      </c>
    </row>
    <row r="4482" spans="2:11" ht="19" customHeight="1">
      <c r="B4482" s="464">
        <v>46116</v>
      </c>
      <c r="C4482" s="436" t="s">
        <v>862</v>
      </c>
      <c r="D4482" s="436" t="s">
        <v>865</v>
      </c>
      <c r="E4482" s="436">
        <v>1</v>
      </c>
      <c r="F4482" s="465">
        <v>0.05</v>
      </c>
      <c r="G4482" s="466">
        <v>0.05</v>
      </c>
      <c r="H4482" s="466">
        <f>G4482/1.1</f>
        <v>4.5454545454545456E-2</v>
      </c>
      <c r="I4482" s="436"/>
      <c r="J4482" s="465">
        <v>0</v>
      </c>
      <c r="K4482" s="465">
        <v>0</v>
      </c>
    </row>
    <row r="4483" spans="2:11" ht="19" customHeight="1">
      <c r="B4483" s="464">
        <v>46116</v>
      </c>
      <c r="C4483" s="436" t="s">
        <v>894</v>
      </c>
      <c r="D4483" s="436" t="s">
        <v>950</v>
      </c>
      <c r="E4483" s="436">
        <v>1</v>
      </c>
      <c r="F4483" s="465">
        <v>5.7</v>
      </c>
      <c r="G4483" s="466">
        <v>5.7</v>
      </c>
      <c r="H4483" s="466">
        <f>G4483/1.1</f>
        <v>5.1818181818181817</v>
      </c>
      <c r="I4483" s="436"/>
      <c r="J4483" s="465">
        <v>0</v>
      </c>
      <c r="K4483" s="465">
        <v>0</v>
      </c>
    </row>
    <row r="4484" spans="2:11" ht="19" customHeight="1">
      <c r="B4484" s="464">
        <v>46116</v>
      </c>
      <c r="C4484" s="436" t="s">
        <v>264</v>
      </c>
      <c r="D4484" s="436" t="s">
        <v>1037</v>
      </c>
      <c r="E4484" s="436">
        <v>1</v>
      </c>
      <c r="F4484" s="465">
        <v>0.55000000000000004</v>
      </c>
      <c r="G4484" s="466">
        <v>0.55000000000000004</v>
      </c>
      <c r="H4484" s="466">
        <f>G4484/1.1</f>
        <v>0.5</v>
      </c>
      <c r="I4484" s="436"/>
      <c r="J4484" s="465">
        <v>0</v>
      </c>
      <c r="K4484" s="465">
        <v>0</v>
      </c>
    </row>
    <row r="4485" spans="2:11" ht="19" customHeight="1">
      <c r="B4485" s="464">
        <v>46116</v>
      </c>
      <c r="C4485" s="436" t="s">
        <v>894</v>
      </c>
      <c r="D4485" s="436" t="s">
        <v>895</v>
      </c>
      <c r="E4485" s="436">
        <v>1</v>
      </c>
      <c r="F4485" s="465">
        <v>7.1</v>
      </c>
      <c r="G4485" s="466">
        <v>7.1</v>
      </c>
      <c r="H4485" s="466">
        <f>G4485/1.1</f>
        <v>6.4545454545454541</v>
      </c>
      <c r="I4485" s="436"/>
      <c r="J4485" s="465">
        <v>0</v>
      </c>
      <c r="K4485" s="465">
        <v>0</v>
      </c>
    </row>
    <row r="4486" spans="2:11" ht="19" customHeight="1">
      <c r="B4486" s="464">
        <v>46116</v>
      </c>
      <c r="C4486" s="436" t="s">
        <v>264</v>
      </c>
      <c r="D4486" s="436" t="s">
        <v>899</v>
      </c>
      <c r="E4486" s="436">
        <v>1</v>
      </c>
      <c r="F4486" s="465">
        <v>0.05</v>
      </c>
      <c r="G4486" s="466">
        <v>0.05</v>
      </c>
      <c r="H4486" s="466">
        <f>G4486/1.1</f>
        <v>4.5454545454545456E-2</v>
      </c>
      <c r="I4486" s="436"/>
      <c r="J4486" s="465">
        <v>0</v>
      </c>
      <c r="K4486" s="465">
        <v>0</v>
      </c>
    </row>
    <row r="4487" spans="2:11" ht="19" customHeight="1">
      <c r="B4487" s="464">
        <v>46116</v>
      </c>
      <c r="C4487" s="436" t="s">
        <v>247</v>
      </c>
      <c r="D4487" s="436" t="s">
        <v>257</v>
      </c>
      <c r="E4487" s="436">
        <v>2</v>
      </c>
      <c r="F4487" s="465">
        <v>1.4</v>
      </c>
      <c r="G4487" s="466">
        <v>2.8</v>
      </c>
      <c r="H4487" s="466">
        <f>G4487/1.1</f>
        <v>2.545454545454545</v>
      </c>
      <c r="I4487" s="436"/>
      <c r="J4487" s="465">
        <v>0</v>
      </c>
      <c r="K4487" s="465">
        <v>0</v>
      </c>
    </row>
    <row r="4488" spans="2:11" ht="19" customHeight="1">
      <c r="B4488" s="464">
        <v>46116</v>
      </c>
      <c r="C4488" s="436" t="s">
        <v>268</v>
      </c>
      <c r="D4488" s="436" t="s">
        <v>267</v>
      </c>
      <c r="E4488" s="436">
        <v>1</v>
      </c>
      <c r="F4488" s="465">
        <v>1.5</v>
      </c>
      <c r="G4488" s="466">
        <v>1.5</v>
      </c>
      <c r="H4488" s="466">
        <f>G4488/1.1</f>
        <v>1.3636363636363635</v>
      </c>
      <c r="I4488" s="436"/>
      <c r="J4488" s="465">
        <v>0</v>
      </c>
      <c r="K4488" s="465">
        <v>0</v>
      </c>
    </row>
    <row r="4489" spans="2:11" ht="19" customHeight="1">
      <c r="B4489" s="464">
        <v>46116</v>
      </c>
      <c r="C4489" s="436" t="s">
        <v>247</v>
      </c>
      <c r="D4489" s="436" t="s">
        <v>248</v>
      </c>
      <c r="E4489" s="436">
        <v>1</v>
      </c>
      <c r="F4489" s="465">
        <v>1.5</v>
      </c>
      <c r="G4489" s="466">
        <v>1.5</v>
      </c>
      <c r="H4489" s="466">
        <f>G4489/1.1</f>
        <v>1.3636363636363635</v>
      </c>
      <c r="I4489" s="436"/>
      <c r="J4489" s="465">
        <v>0</v>
      </c>
      <c r="K4489" s="465">
        <v>0</v>
      </c>
    </row>
    <row r="4490" spans="2:11" ht="19" customHeight="1">
      <c r="B4490" s="464">
        <v>46116</v>
      </c>
      <c r="C4490" s="436" t="s">
        <v>268</v>
      </c>
      <c r="D4490" s="436" t="s">
        <v>267</v>
      </c>
      <c r="E4490" s="436">
        <v>1</v>
      </c>
      <c r="F4490" s="465">
        <v>1.5</v>
      </c>
      <c r="G4490" s="466">
        <v>1.5</v>
      </c>
      <c r="H4490" s="466">
        <f>G4490/1.1</f>
        <v>1.3636363636363635</v>
      </c>
      <c r="I4490" s="436"/>
      <c r="J4490" s="465">
        <v>0</v>
      </c>
      <c r="K4490" s="465">
        <v>0</v>
      </c>
    </row>
    <row r="4491" spans="2:11" ht="19" customHeight="1">
      <c r="B4491" s="464">
        <v>46116</v>
      </c>
      <c r="C4491" s="436" t="s">
        <v>247</v>
      </c>
      <c r="D4491" s="436" t="s">
        <v>246</v>
      </c>
      <c r="E4491" s="436">
        <v>1</v>
      </c>
      <c r="F4491" s="465">
        <v>1.7</v>
      </c>
      <c r="G4491" s="466">
        <v>1.7</v>
      </c>
      <c r="H4491" s="466">
        <f>G4491/1.1</f>
        <v>1.5454545454545452</v>
      </c>
      <c r="I4491" s="436"/>
      <c r="J4491" s="465">
        <v>0</v>
      </c>
      <c r="K4491" s="465">
        <v>0</v>
      </c>
    </row>
    <row r="4492" spans="2:11" ht="19" customHeight="1">
      <c r="B4492" s="464">
        <v>46116</v>
      </c>
      <c r="C4492" s="436" t="s">
        <v>247</v>
      </c>
      <c r="D4492" s="436" t="s">
        <v>246</v>
      </c>
      <c r="E4492" s="436">
        <v>1</v>
      </c>
      <c r="F4492" s="465">
        <v>1.7</v>
      </c>
      <c r="G4492" s="466">
        <v>1.7</v>
      </c>
      <c r="H4492" s="466">
        <f>G4492/1.1</f>
        <v>1.5454545454545452</v>
      </c>
      <c r="I4492" s="436"/>
      <c r="J4492" s="465">
        <v>0</v>
      </c>
      <c r="K4492" s="465">
        <v>0</v>
      </c>
    </row>
    <row r="4493" spans="2:11" ht="19" customHeight="1">
      <c r="B4493" s="464">
        <v>46116</v>
      </c>
      <c r="C4493" s="436" t="s">
        <v>251</v>
      </c>
      <c r="D4493" s="436" t="s">
        <v>742</v>
      </c>
      <c r="E4493" s="436">
        <v>1</v>
      </c>
      <c r="F4493" s="465">
        <v>2.75</v>
      </c>
      <c r="G4493" s="466">
        <v>2.75</v>
      </c>
      <c r="H4493" s="466">
        <f>G4493/1.1</f>
        <v>2.5</v>
      </c>
      <c r="I4493" s="436"/>
      <c r="J4493" s="465">
        <v>0</v>
      </c>
      <c r="K4493" s="465">
        <v>0</v>
      </c>
    </row>
    <row r="4494" spans="2:11" ht="19" customHeight="1">
      <c r="B4494" s="464">
        <v>46116</v>
      </c>
      <c r="C4494" s="436" t="s">
        <v>328</v>
      </c>
      <c r="D4494" s="436" t="s">
        <v>769</v>
      </c>
      <c r="E4494" s="436">
        <v>1</v>
      </c>
      <c r="F4494" s="465">
        <v>5.4</v>
      </c>
      <c r="G4494" s="466">
        <v>5.4</v>
      </c>
      <c r="H4494" s="466">
        <f>G4494/1.1</f>
        <v>4.9090909090909092</v>
      </c>
      <c r="I4494" s="436"/>
      <c r="J4494" s="465">
        <v>0</v>
      </c>
      <c r="K4494" s="465">
        <v>0</v>
      </c>
    </row>
    <row r="4495" spans="2:11" ht="19" customHeight="1">
      <c r="B4495" s="464">
        <v>46116</v>
      </c>
      <c r="C4495" s="436" t="s">
        <v>894</v>
      </c>
      <c r="D4495" s="436" t="s">
        <v>950</v>
      </c>
      <c r="E4495" s="436">
        <v>2</v>
      </c>
      <c r="F4495" s="465">
        <v>5.7</v>
      </c>
      <c r="G4495" s="466">
        <v>11.4</v>
      </c>
      <c r="H4495" s="466">
        <f>G4495/1.1</f>
        <v>10.363636363636363</v>
      </c>
      <c r="I4495" s="436"/>
      <c r="J4495" s="465">
        <v>0</v>
      </c>
      <c r="K4495" s="465">
        <v>0</v>
      </c>
    </row>
    <row r="4496" spans="2:11" ht="19" customHeight="1">
      <c r="B4496" s="464">
        <v>46116</v>
      </c>
      <c r="C4496" s="436" t="s">
        <v>268</v>
      </c>
      <c r="D4496" s="436" t="s">
        <v>859</v>
      </c>
      <c r="E4496" s="436">
        <v>1</v>
      </c>
      <c r="F4496" s="465">
        <v>0.75</v>
      </c>
      <c r="G4496" s="466">
        <v>0.75</v>
      </c>
      <c r="H4496" s="466">
        <f>G4496/1.1</f>
        <v>0.68181818181818177</v>
      </c>
      <c r="I4496" s="436"/>
      <c r="J4496" s="465">
        <v>0</v>
      </c>
      <c r="K4496" s="465">
        <v>0</v>
      </c>
    </row>
    <row r="4497" spans="2:11" ht="19" customHeight="1">
      <c r="B4497" s="464">
        <v>46116</v>
      </c>
      <c r="C4497" s="436" t="s">
        <v>247</v>
      </c>
      <c r="D4497" s="436" t="s">
        <v>246</v>
      </c>
      <c r="E4497" s="436">
        <v>1</v>
      </c>
      <c r="F4497" s="465">
        <v>1.7</v>
      </c>
      <c r="G4497" s="466">
        <v>1.7</v>
      </c>
      <c r="H4497" s="466">
        <f>G4497/1.1</f>
        <v>1.5454545454545452</v>
      </c>
      <c r="I4497" s="436"/>
      <c r="J4497" s="465">
        <v>0</v>
      </c>
      <c r="K4497" s="465">
        <v>0</v>
      </c>
    </row>
    <row r="4498" spans="2:11" ht="19" customHeight="1">
      <c r="B4498" s="464">
        <v>46116</v>
      </c>
      <c r="C4498" s="436" t="s">
        <v>247</v>
      </c>
      <c r="D4498" s="436" t="s">
        <v>246</v>
      </c>
      <c r="E4498" s="436">
        <v>2</v>
      </c>
      <c r="F4498" s="465">
        <v>1.7</v>
      </c>
      <c r="G4498" s="466">
        <v>3.4</v>
      </c>
      <c r="H4498" s="466">
        <f>G4498/1.1</f>
        <v>3.0909090909090904</v>
      </c>
      <c r="I4498" s="436"/>
      <c r="J4498" s="465">
        <v>0</v>
      </c>
      <c r="K4498" s="465">
        <v>0</v>
      </c>
    </row>
    <row r="4499" spans="2:11" ht="19" customHeight="1">
      <c r="B4499" s="464">
        <v>46116</v>
      </c>
      <c r="C4499" s="436" t="s">
        <v>268</v>
      </c>
      <c r="D4499" s="436" t="s">
        <v>860</v>
      </c>
      <c r="E4499" s="436">
        <v>2</v>
      </c>
      <c r="F4499" s="465">
        <v>2.25</v>
      </c>
      <c r="G4499" s="466">
        <v>4.5</v>
      </c>
      <c r="H4499" s="466">
        <f>G4499/1.1</f>
        <v>4.0909090909090908</v>
      </c>
      <c r="I4499" s="436"/>
      <c r="J4499" s="465">
        <v>0</v>
      </c>
      <c r="K4499" s="465">
        <v>0</v>
      </c>
    </row>
    <row r="4500" spans="2:11" ht="19" customHeight="1">
      <c r="B4500" s="464">
        <v>46116</v>
      </c>
      <c r="C4500" s="436" t="s">
        <v>247</v>
      </c>
      <c r="D4500" s="436" t="s">
        <v>855</v>
      </c>
      <c r="E4500" s="436">
        <v>1</v>
      </c>
      <c r="F4500" s="465">
        <v>2.5499999999999998</v>
      </c>
      <c r="G4500" s="466">
        <v>2.5499999999999998</v>
      </c>
      <c r="H4500" s="466">
        <f>G4500/1.1</f>
        <v>2.3181818181818179</v>
      </c>
      <c r="I4500" s="436"/>
      <c r="J4500" s="465">
        <v>0</v>
      </c>
      <c r="K4500" s="465">
        <v>0</v>
      </c>
    </row>
    <row r="4501" spans="2:11" ht="19" customHeight="1">
      <c r="B4501" s="464">
        <v>46116</v>
      </c>
      <c r="C4501" s="436" t="s">
        <v>247</v>
      </c>
      <c r="D4501" s="436" t="s">
        <v>257</v>
      </c>
      <c r="E4501" s="436">
        <v>1</v>
      </c>
      <c r="F4501" s="465">
        <v>1.4</v>
      </c>
      <c r="G4501" s="466">
        <v>1.4</v>
      </c>
      <c r="H4501" s="466">
        <f>G4501/1.1</f>
        <v>1.2727272727272725</v>
      </c>
      <c r="I4501" s="436"/>
      <c r="J4501" s="465">
        <v>0</v>
      </c>
      <c r="K4501" s="465">
        <v>0</v>
      </c>
    </row>
    <row r="4502" spans="2:11" ht="19" customHeight="1">
      <c r="B4502" s="464">
        <v>46116</v>
      </c>
      <c r="C4502" s="436" t="s">
        <v>247</v>
      </c>
      <c r="D4502" s="436" t="s">
        <v>248</v>
      </c>
      <c r="E4502" s="436">
        <v>1</v>
      </c>
      <c r="F4502" s="465">
        <v>1.5</v>
      </c>
      <c r="G4502" s="466">
        <v>1.5</v>
      </c>
      <c r="H4502" s="466">
        <f>G4502/1.1</f>
        <v>1.3636363636363635</v>
      </c>
      <c r="I4502" s="436"/>
      <c r="J4502" s="465">
        <v>0</v>
      </c>
      <c r="K4502" s="465">
        <v>0</v>
      </c>
    </row>
    <row r="4503" spans="2:11" ht="19" customHeight="1">
      <c r="B4503" s="464">
        <v>46116</v>
      </c>
      <c r="C4503" s="436" t="s">
        <v>725</v>
      </c>
      <c r="D4503" s="436" t="s">
        <v>1149</v>
      </c>
      <c r="E4503" s="436">
        <v>1</v>
      </c>
      <c r="F4503" s="465">
        <v>1.75</v>
      </c>
      <c r="G4503" s="466">
        <v>1.75</v>
      </c>
      <c r="H4503" s="466">
        <f>G4503/1.1</f>
        <v>1.5909090909090908</v>
      </c>
      <c r="I4503" s="436"/>
      <c r="J4503" s="465">
        <v>0</v>
      </c>
      <c r="K4503" s="465">
        <v>0</v>
      </c>
    </row>
    <row r="4504" spans="2:11" ht="19" customHeight="1">
      <c r="B4504" s="464">
        <v>46116</v>
      </c>
      <c r="C4504" s="436" t="s">
        <v>247</v>
      </c>
      <c r="D4504" s="436" t="s">
        <v>257</v>
      </c>
      <c r="E4504" s="436">
        <v>2</v>
      </c>
      <c r="F4504" s="465">
        <v>1.55</v>
      </c>
      <c r="G4504" s="466">
        <v>3.1</v>
      </c>
      <c r="H4504" s="466">
        <f>G4504/1.1</f>
        <v>2.8181818181818179</v>
      </c>
      <c r="I4504" s="436"/>
      <c r="J4504" s="465">
        <v>0</v>
      </c>
      <c r="K4504" s="465">
        <v>0</v>
      </c>
    </row>
    <row r="4505" spans="2:11" ht="19" customHeight="1">
      <c r="B4505" s="464">
        <v>46116</v>
      </c>
      <c r="C4505" s="436" t="s">
        <v>253</v>
      </c>
      <c r="D4505" s="436" t="s">
        <v>869</v>
      </c>
      <c r="E4505" s="436">
        <v>2</v>
      </c>
      <c r="F4505" s="465">
        <v>2.5</v>
      </c>
      <c r="G4505" s="466">
        <v>5</v>
      </c>
      <c r="H4505" s="466">
        <f>G4505/1.1</f>
        <v>4.545454545454545</v>
      </c>
      <c r="I4505" s="436"/>
      <c r="J4505" s="465">
        <v>0</v>
      </c>
      <c r="K4505" s="465">
        <v>0</v>
      </c>
    </row>
    <row r="4506" spans="2:11" ht="19" customHeight="1">
      <c r="B4506" s="464">
        <v>46116</v>
      </c>
      <c r="C4506" s="436" t="s">
        <v>251</v>
      </c>
      <c r="D4506" s="436" t="s">
        <v>250</v>
      </c>
      <c r="E4506" s="436">
        <v>1</v>
      </c>
      <c r="F4506" s="465">
        <v>1.8</v>
      </c>
      <c r="G4506" s="466">
        <v>1.8</v>
      </c>
      <c r="H4506" s="466">
        <f>G4506/1.1</f>
        <v>1.6363636363636362</v>
      </c>
      <c r="I4506" s="436"/>
      <c r="J4506" s="465">
        <v>0</v>
      </c>
      <c r="K4506" s="465">
        <v>0</v>
      </c>
    </row>
    <row r="4507" spans="2:11" ht="19" customHeight="1">
      <c r="B4507" s="464">
        <v>46116</v>
      </c>
      <c r="C4507" s="436" t="s">
        <v>275</v>
      </c>
      <c r="D4507" s="436" t="s">
        <v>1231</v>
      </c>
      <c r="E4507" s="436">
        <v>2</v>
      </c>
      <c r="F4507" s="465">
        <v>6.5</v>
      </c>
      <c r="G4507" s="466">
        <v>13</v>
      </c>
      <c r="H4507" s="466">
        <f>G4507/1.1</f>
        <v>11.818181818181817</v>
      </c>
      <c r="I4507" s="436"/>
      <c r="J4507" s="465">
        <v>0</v>
      </c>
      <c r="K4507" s="465">
        <v>0</v>
      </c>
    </row>
    <row r="4508" spans="2:11" ht="19" customHeight="1">
      <c r="B4508" s="464">
        <v>46116</v>
      </c>
      <c r="C4508" s="436" t="s">
        <v>326</v>
      </c>
      <c r="D4508" s="436" t="s">
        <v>1063</v>
      </c>
      <c r="E4508" s="436">
        <v>1</v>
      </c>
      <c r="F4508" s="465">
        <v>15</v>
      </c>
      <c r="G4508" s="466">
        <v>15</v>
      </c>
      <c r="H4508" s="466">
        <f>G4508/1.1</f>
        <v>13.636363636363635</v>
      </c>
      <c r="I4508" s="436"/>
      <c r="J4508" s="465">
        <v>0</v>
      </c>
      <c r="K4508" s="465">
        <v>0</v>
      </c>
    </row>
    <row r="4509" spans="2:11" ht="19" customHeight="1">
      <c r="B4509" s="464">
        <v>46116</v>
      </c>
      <c r="C4509" s="436" t="s">
        <v>326</v>
      </c>
      <c r="D4509" s="436" t="s">
        <v>1139</v>
      </c>
      <c r="E4509" s="436">
        <v>1</v>
      </c>
      <c r="F4509" s="465">
        <v>10</v>
      </c>
      <c r="G4509" s="466">
        <v>10</v>
      </c>
      <c r="H4509" s="466">
        <f>G4509/1.1</f>
        <v>9.0909090909090899</v>
      </c>
      <c r="I4509" s="436"/>
      <c r="J4509" s="465">
        <v>0</v>
      </c>
      <c r="K4509" s="465">
        <v>0</v>
      </c>
    </row>
    <row r="4510" spans="2:11" ht="19" customHeight="1">
      <c r="B4510" s="464">
        <v>46116</v>
      </c>
      <c r="C4510" s="436" t="s">
        <v>264</v>
      </c>
      <c r="D4510" s="436" t="s">
        <v>930</v>
      </c>
      <c r="E4510" s="436">
        <v>1</v>
      </c>
      <c r="F4510" s="465">
        <v>3.5</v>
      </c>
      <c r="G4510" s="466">
        <v>3.5</v>
      </c>
      <c r="H4510" s="466">
        <f>G4510/1.1</f>
        <v>3.1818181818181817</v>
      </c>
      <c r="I4510" s="436"/>
      <c r="J4510" s="465">
        <v>0</v>
      </c>
      <c r="K4510" s="465">
        <v>0</v>
      </c>
    </row>
    <row r="4511" spans="2:11" ht="19" customHeight="1">
      <c r="B4511" s="464">
        <v>46116</v>
      </c>
      <c r="C4511" s="436" t="s">
        <v>256</v>
      </c>
      <c r="D4511" s="436" t="s">
        <v>931</v>
      </c>
      <c r="E4511" s="436">
        <v>1</v>
      </c>
      <c r="F4511" s="465">
        <v>8.5</v>
      </c>
      <c r="G4511" s="466">
        <v>8.5</v>
      </c>
      <c r="H4511" s="466">
        <f>G4511/1.1</f>
        <v>7.7272727272727266</v>
      </c>
      <c r="I4511" s="436"/>
      <c r="J4511" s="465">
        <v>0</v>
      </c>
      <c r="K4511" s="465">
        <v>0</v>
      </c>
    </row>
    <row r="4512" spans="2:11" ht="19" customHeight="1">
      <c r="B4512" s="464">
        <v>46116</v>
      </c>
      <c r="C4512" s="436" t="s">
        <v>253</v>
      </c>
      <c r="D4512" s="436" t="s">
        <v>804</v>
      </c>
      <c r="E4512" s="436">
        <v>2</v>
      </c>
      <c r="F4512" s="465">
        <v>3.1</v>
      </c>
      <c r="G4512" s="466">
        <v>6.2</v>
      </c>
      <c r="H4512" s="466">
        <f>G4512/1.1</f>
        <v>5.6363636363636358</v>
      </c>
      <c r="I4512" s="436"/>
      <c r="J4512" s="465">
        <v>0</v>
      </c>
      <c r="K4512" s="465">
        <v>0</v>
      </c>
    </row>
    <row r="4513" spans="2:11" ht="19" customHeight="1">
      <c r="B4513" s="464">
        <v>46116</v>
      </c>
      <c r="C4513" s="436" t="s">
        <v>251</v>
      </c>
      <c r="D4513" s="436" t="s">
        <v>926</v>
      </c>
      <c r="E4513" s="436">
        <v>2</v>
      </c>
      <c r="F4513" s="465">
        <v>2.8</v>
      </c>
      <c r="G4513" s="466">
        <v>5.6</v>
      </c>
      <c r="H4513" s="466">
        <f>G4513/1.1</f>
        <v>5.0909090909090899</v>
      </c>
      <c r="I4513" s="436"/>
      <c r="J4513" s="465">
        <v>0</v>
      </c>
      <c r="K4513" s="465">
        <v>0</v>
      </c>
    </row>
    <row r="4514" spans="2:11" ht="19" customHeight="1">
      <c r="B4514" s="464">
        <v>46116</v>
      </c>
      <c r="C4514" s="436" t="s">
        <v>275</v>
      </c>
      <c r="D4514" s="436" t="s">
        <v>897</v>
      </c>
      <c r="E4514" s="436">
        <v>1</v>
      </c>
      <c r="F4514" s="465">
        <v>6.75</v>
      </c>
      <c r="G4514" s="466">
        <v>6.75</v>
      </c>
      <c r="H4514" s="466">
        <f>G4514/1.1</f>
        <v>6.1363636363636358</v>
      </c>
      <c r="I4514" s="436"/>
      <c r="J4514" s="465">
        <v>0</v>
      </c>
      <c r="K4514" s="465">
        <v>0</v>
      </c>
    </row>
    <row r="4515" spans="2:11" ht="19" customHeight="1">
      <c r="B4515" s="464">
        <v>46116</v>
      </c>
      <c r="C4515" s="436" t="s">
        <v>256</v>
      </c>
      <c r="D4515" s="436" t="s">
        <v>1114</v>
      </c>
      <c r="E4515" s="436">
        <v>1</v>
      </c>
      <c r="F4515" s="465">
        <v>0.05</v>
      </c>
      <c r="G4515" s="466">
        <v>0.05</v>
      </c>
      <c r="H4515" s="466">
        <f>G4515/1.1</f>
        <v>4.5454545454545456E-2</v>
      </c>
      <c r="I4515" s="436"/>
      <c r="J4515" s="465">
        <v>0</v>
      </c>
      <c r="K4515" s="465">
        <v>0</v>
      </c>
    </row>
    <row r="4516" spans="2:11" ht="19" customHeight="1">
      <c r="B4516" s="464">
        <v>46116</v>
      </c>
      <c r="C4516" s="436" t="s">
        <v>256</v>
      </c>
      <c r="D4516" s="436" t="s">
        <v>931</v>
      </c>
      <c r="E4516" s="436">
        <v>2</v>
      </c>
      <c r="F4516" s="465">
        <v>1.7</v>
      </c>
      <c r="G4516" s="466">
        <v>3.4</v>
      </c>
      <c r="H4516" s="466">
        <f>G4516/1.1</f>
        <v>3.0909090909090904</v>
      </c>
      <c r="I4516" s="436"/>
      <c r="J4516" s="465">
        <v>0</v>
      </c>
      <c r="K4516" s="465">
        <v>0</v>
      </c>
    </row>
    <row r="4517" spans="2:11" ht="19" customHeight="1">
      <c r="B4517" s="464">
        <v>46116</v>
      </c>
      <c r="C4517" s="436" t="s">
        <v>256</v>
      </c>
      <c r="D4517" s="436" t="s">
        <v>871</v>
      </c>
      <c r="E4517" s="436">
        <v>2</v>
      </c>
      <c r="F4517" s="465">
        <v>1.8</v>
      </c>
      <c r="G4517" s="466">
        <v>3.6</v>
      </c>
      <c r="H4517" s="466">
        <f>G4517/1.1</f>
        <v>3.2727272727272725</v>
      </c>
      <c r="I4517" s="436"/>
      <c r="J4517" s="465">
        <v>0</v>
      </c>
      <c r="K4517" s="465">
        <v>0</v>
      </c>
    </row>
    <row r="4518" spans="2:11" ht="19" customHeight="1">
      <c r="B4518" s="464">
        <v>46116</v>
      </c>
      <c r="C4518" s="436" t="s">
        <v>256</v>
      </c>
      <c r="D4518" s="436" t="s">
        <v>932</v>
      </c>
      <c r="E4518" s="436">
        <v>2</v>
      </c>
      <c r="F4518" s="465">
        <v>1.7</v>
      </c>
      <c r="G4518" s="466">
        <v>3.4</v>
      </c>
      <c r="H4518" s="466">
        <f>G4518/1.1</f>
        <v>3.0909090909090904</v>
      </c>
      <c r="I4518" s="436"/>
      <c r="J4518" s="465">
        <v>0</v>
      </c>
      <c r="K4518" s="465">
        <v>0</v>
      </c>
    </row>
    <row r="4519" spans="2:11" ht="19" customHeight="1">
      <c r="B4519" s="464">
        <v>46116</v>
      </c>
      <c r="C4519" s="436" t="s">
        <v>256</v>
      </c>
      <c r="D4519" s="436" t="s">
        <v>255</v>
      </c>
      <c r="E4519" s="436">
        <v>1</v>
      </c>
      <c r="F4519" s="465">
        <v>5.85</v>
      </c>
      <c r="G4519" s="466">
        <v>5.85</v>
      </c>
      <c r="H4519" s="466">
        <f>G4519/1.1</f>
        <v>5.3181818181818175</v>
      </c>
      <c r="I4519" s="436"/>
      <c r="J4519" s="465">
        <v>0</v>
      </c>
      <c r="K4519" s="465">
        <v>0</v>
      </c>
    </row>
    <row r="4520" spans="2:11" ht="19" customHeight="1">
      <c r="B4520" s="464">
        <v>46116</v>
      </c>
      <c r="C4520" s="436" t="s">
        <v>277</v>
      </c>
      <c r="D4520" s="436" t="s">
        <v>1188</v>
      </c>
      <c r="E4520" s="436">
        <v>1</v>
      </c>
      <c r="F4520" s="465">
        <v>11.15</v>
      </c>
      <c r="G4520" s="466">
        <v>11.15</v>
      </c>
      <c r="H4520" s="466">
        <f>G4520/1.1</f>
        <v>10.136363636363637</v>
      </c>
      <c r="I4520" s="436"/>
      <c r="J4520" s="465">
        <v>0</v>
      </c>
      <c r="K4520" s="465">
        <v>0</v>
      </c>
    </row>
    <row r="4521" spans="2:11" ht="19" customHeight="1">
      <c r="B4521" s="464">
        <v>46116</v>
      </c>
      <c r="C4521" s="436" t="s">
        <v>326</v>
      </c>
      <c r="D4521" s="436" t="s">
        <v>1139</v>
      </c>
      <c r="E4521" s="436">
        <v>1</v>
      </c>
      <c r="F4521" s="465">
        <v>10.25</v>
      </c>
      <c r="G4521" s="466">
        <v>10.25</v>
      </c>
      <c r="H4521" s="466">
        <f>G4521/1.1</f>
        <v>9.3181818181818166</v>
      </c>
      <c r="I4521" s="436"/>
      <c r="J4521" s="465">
        <v>0</v>
      </c>
      <c r="K4521" s="465">
        <v>0</v>
      </c>
    </row>
    <row r="4522" spans="2:11" ht="19" customHeight="1">
      <c r="B4522" s="464">
        <v>46116</v>
      </c>
      <c r="C4522" s="436" t="s">
        <v>251</v>
      </c>
      <c r="D4522" s="436" t="s">
        <v>926</v>
      </c>
      <c r="E4522" s="436">
        <v>1</v>
      </c>
      <c r="F4522" s="465">
        <v>2.65</v>
      </c>
      <c r="G4522" s="466">
        <v>2.65</v>
      </c>
      <c r="H4522" s="466">
        <f>G4522/1.1</f>
        <v>2.4090909090909087</v>
      </c>
      <c r="I4522" s="436"/>
      <c r="J4522" s="465">
        <v>0</v>
      </c>
      <c r="K4522" s="465">
        <v>0</v>
      </c>
    </row>
    <row r="4523" spans="2:11" ht="19" customHeight="1">
      <c r="B4523" s="464">
        <v>46116</v>
      </c>
      <c r="C4523" s="436" t="s">
        <v>276</v>
      </c>
      <c r="D4523" s="436" t="s">
        <v>709</v>
      </c>
      <c r="E4523" s="436">
        <v>1</v>
      </c>
      <c r="F4523" s="465">
        <v>3.55</v>
      </c>
      <c r="G4523" s="466">
        <v>3.55</v>
      </c>
      <c r="H4523" s="466">
        <f>G4523/1.1</f>
        <v>3.2272727272727271</v>
      </c>
      <c r="I4523" s="436"/>
      <c r="J4523" s="465">
        <v>0</v>
      </c>
      <c r="K4523" s="465">
        <v>0</v>
      </c>
    </row>
    <row r="4524" spans="2:11" ht="19" customHeight="1">
      <c r="B4524" s="464">
        <v>46116</v>
      </c>
      <c r="C4524" s="436" t="s">
        <v>256</v>
      </c>
      <c r="D4524" s="436" t="s">
        <v>679</v>
      </c>
      <c r="E4524" s="436">
        <v>1</v>
      </c>
      <c r="F4524" s="465">
        <v>10</v>
      </c>
      <c r="G4524" s="466">
        <v>10</v>
      </c>
      <c r="H4524" s="466">
        <f>G4524/1.1</f>
        <v>9.0909090909090899</v>
      </c>
      <c r="I4524" s="436"/>
      <c r="J4524" s="465">
        <v>0</v>
      </c>
      <c r="K4524" s="465">
        <v>0</v>
      </c>
    </row>
    <row r="4525" spans="2:11" ht="19" customHeight="1">
      <c r="B4525" s="464">
        <v>46116</v>
      </c>
      <c r="C4525" s="436" t="s">
        <v>256</v>
      </c>
      <c r="D4525" s="436" t="s">
        <v>931</v>
      </c>
      <c r="E4525" s="436">
        <v>1</v>
      </c>
      <c r="F4525" s="465">
        <v>8.5</v>
      </c>
      <c r="G4525" s="466">
        <v>8.5</v>
      </c>
      <c r="H4525" s="466">
        <f>G4525/1.1</f>
        <v>7.7272727272727266</v>
      </c>
      <c r="I4525" s="436"/>
      <c r="J4525" s="465">
        <v>0</v>
      </c>
      <c r="K4525" s="465">
        <v>0</v>
      </c>
    </row>
    <row r="4526" spans="2:11" ht="19" customHeight="1">
      <c r="B4526" s="464">
        <v>46116</v>
      </c>
      <c r="C4526" s="436" t="s">
        <v>277</v>
      </c>
      <c r="D4526" s="436" t="s">
        <v>1044</v>
      </c>
      <c r="E4526" s="436">
        <v>1</v>
      </c>
      <c r="F4526" s="465">
        <v>9.5</v>
      </c>
      <c r="G4526" s="466">
        <v>9.5</v>
      </c>
      <c r="H4526" s="466">
        <f>G4526/1.1</f>
        <v>8.6363636363636349</v>
      </c>
      <c r="I4526" s="436"/>
      <c r="J4526" s="465">
        <v>0</v>
      </c>
      <c r="K4526" s="465">
        <v>0</v>
      </c>
    </row>
    <row r="4527" spans="2:11" ht="19" customHeight="1">
      <c r="B4527" s="464">
        <v>46116</v>
      </c>
      <c r="C4527" s="436" t="s">
        <v>256</v>
      </c>
      <c r="D4527" s="436" t="s">
        <v>255</v>
      </c>
      <c r="E4527" s="436">
        <v>1</v>
      </c>
      <c r="F4527" s="465">
        <v>5.6</v>
      </c>
      <c r="G4527" s="466">
        <v>5.6</v>
      </c>
      <c r="H4527" s="466">
        <f>G4527/1.1</f>
        <v>5.0909090909090899</v>
      </c>
      <c r="I4527" s="436"/>
      <c r="J4527" s="465">
        <v>0</v>
      </c>
      <c r="K4527" s="465">
        <v>0</v>
      </c>
    </row>
    <row r="4528" spans="2:11" ht="19" customHeight="1">
      <c r="B4528" s="464">
        <v>46116</v>
      </c>
      <c r="C4528" s="436" t="s">
        <v>251</v>
      </c>
      <c r="D4528" s="436" t="s">
        <v>926</v>
      </c>
      <c r="E4528" s="436">
        <v>1</v>
      </c>
      <c r="F4528" s="465">
        <v>2.65</v>
      </c>
      <c r="G4528" s="466">
        <v>2.65</v>
      </c>
      <c r="H4528" s="466">
        <f>G4528/1.1</f>
        <v>2.4090909090909087</v>
      </c>
      <c r="I4528" s="436"/>
      <c r="J4528" s="465">
        <v>0</v>
      </c>
      <c r="K4528" s="465">
        <v>0</v>
      </c>
    </row>
    <row r="4529" spans="2:11" ht="19" customHeight="1">
      <c r="B4529" s="464">
        <v>46116</v>
      </c>
      <c r="C4529" s="436" t="s">
        <v>251</v>
      </c>
      <c r="D4529" s="436" t="s">
        <v>900</v>
      </c>
      <c r="E4529" s="436">
        <v>1</v>
      </c>
      <c r="F4529" s="465">
        <v>2.65</v>
      </c>
      <c r="G4529" s="466">
        <v>2.65</v>
      </c>
      <c r="H4529" s="466">
        <f>G4529/1.1</f>
        <v>2.4090909090909087</v>
      </c>
      <c r="I4529" s="436"/>
      <c r="J4529" s="465">
        <v>0</v>
      </c>
      <c r="K4529" s="465">
        <v>0</v>
      </c>
    </row>
    <row r="4530" spans="2:11" ht="19" customHeight="1">
      <c r="B4530" s="464">
        <v>46116</v>
      </c>
      <c r="C4530" s="436" t="s">
        <v>251</v>
      </c>
      <c r="D4530" s="436" t="s">
        <v>265</v>
      </c>
      <c r="E4530" s="436">
        <v>2</v>
      </c>
      <c r="F4530" s="465">
        <v>2.65</v>
      </c>
      <c r="G4530" s="466">
        <v>5.3</v>
      </c>
      <c r="H4530" s="466">
        <f>G4530/1.1</f>
        <v>4.8181818181818175</v>
      </c>
      <c r="I4530" s="436"/>
      <c r="J4530" s="465">
        <v>0</v>
      </c>
      <c r="K4530" s="465">
        <v>0</v>
      </c>
    </row>
    <row r="4531" spans="2:11" ht="19" customHeight="1">
      <c r="B4531" s="464">
        <v>46116</v>
      </c>
      <c r="C4531" s="436" t="s">
        <v>264</v>
      </c>
      <c r="D4531" s="436" t="s">
        <v>930</v>
      </c>
      <c r="E4531" s="436">
        <v>2</v>
      </c>
      <c r="F4531" s="465">
        <v>3.5</v>
      </c>
      <c r="G4531" s="466">
        <v>7</v>
      </c>
      <c r="H4531" s="466">
        <f>G4531/1.1</f>
        <v>6.3636363636363633</v>
      </c>
      <c r="I4531" s="436"/>
      <c r="J4531" s="465">
        <v>0</v>
      </c>
      <c r="K4531" s="465">
        <v>0</v>
      </c>
    </row>
    <row r="4532" spans="2:11" ht="19" customHeight="1">
      <c r="B4532" s="464">
        <v>46116</v>
      </c>
      <c r="C4532" s="436" t="s">
        <v>256</v>
      </c>
      <c r="D4532" s="436" t="s">
        <v>1042</v>
      </c>
      <c r="E4532" s="436">
        <v>1</v>
      </c>
      <c r="F4532" s="465">
        <v>13.95</v>
      </c>
      <c r="G4532" s="466">
        <v>13.95</v>
      </c>
      <c r="H4532" s="466">
        <f>G4532/1.1</f>
        <v>12.68181818181818</v>
      </c>
      <c r="I4532" s="436"/>
      <c r="J4532" s="465">
        <v>0</v>
      </c>
      <c r="K4532" s="465">
        <v>0</v>
      </c>
    </row>
    <row r="4533" spans="2:11" ht="19" customHeight="1">
      <c r="B4533" s="464">
        <v>46116</v>
      </c>
      <c r="C4533" s="436" t="s">
        <v>256</v>
      </c>
      <c r="D4533" s="436" t="s">
        <v>986</v>
      </c>
      <c r="E4533" s="436">
        <v>1</v>
      </c>
      <c r="F4533" s="465">
        <v>14</v>
      </c>
      <c r="G4533" s="466">
        <v>14</v>
      </c>
      <c r="H4533" s="466">
        <f>G4533/1.1</f>
        <v>12.727272727272727</v>
      </c>
      <c r="I4533" s="436"/>
      <c r="J4533" s="465">
        <v>0</v>
      </c>
      <c r="K4533" s="465">
        <v>0</v>
      </c>
    </row>
    <row r="4534" spans="2:11" ht="19" customHeight="1">
      <c r="B4534" s="464">
        <v>46116</v>
      </c>
      <c r="C4534" s="436" t="s">
        <v>256</v>
      </c>
      <c r="D4534" s="436" t="s">
        <v>1232</v>
      </c>
      <c r="E4534" s="436">
        <v>1</v>
      </c>
      <c r="F4534" s="465">
        <v>14.9</v>
      </c>
      <c r="G4534" s="466">
        <v>14.9</v>
      </c>
      <c r="H4534" s="466">
        <f>G4534/1.1</f>
        <v>13.545454545454545</v>
      </c>
      <c r="I4534" s="436"/>
      <c r="J4534" s="465">
        <v>0</v>
      </c>
      <c r="K4534" s="465">
        <v>0</v>
      </c>
    </row>
    <row r="4535" spans="2:11" ht="19" customHeight="1">
      <c r="B4535" s="464">
        <v>46116</v>
      </c>
      <c r="C4535" s="436" t="s">
        <v>253</v>
      </c>
      <c r="D4535" s="436" t="s">
        <v>869</v>
      </c>
      <c r="E4535" s="436">
        <v>1</v>
      </c>
      <c r="F4535" s="465">
        <v>2.5</v>
      </c>
      <c r="G4535" s="466">
        <v>2.5</v>
      </c>
      <c r="H4535" s="466">
        <f>G4535/1.1</f>
        <v>2.2727272727272725</v>
      </c>
      <c r="I4535" s="436"/>
      <c r="J4535" s="465">
        <v>0</v>
      </c>
      <c r="K4535" s="465">
        <v>0</v>
      </c>
    </row>
    <row r="4536" spans="2:11" ht="19" customHeight="1">
      <c r="B4536" s="464">
        <v>46116</v>
      </c>
      <c r="C4536" s="436" t="s">
        <v>894</v>
      </c>
      <c r="D4536" s="436" t="s">
        <v>1001</v>
      </c>
      <c r="E4536" s="436">
        <v>1</v>
      </c>
      <c r="F4536" s="465">
        <v>5.85</v>
      </c>
      <c r="G4536" s="466">
        <v>5.85</v>
      </c>
      <c r="H4536" s="466">
        <f>G4536/1.1</f>
        <v>5.3181818181818175</v>
      </c>
      <c r="I4536" s="436"/>
      <c r="J4536" s="465">
        <v>0</v>
      </c>
      <c r="K4536" s="465">
        <v>0</v>
      </c>
    </row>
    <row r="4537" spans="2:11" ht="19" customHeight="1">
      <c r="B4537" s="464">
        <v>46116</v>
      </c>
      <c r="C4537" s="436" t="s">
        <v>253</v>
      </c>
      <c r="D4537" s="436" t="s">
        <v>869</v>
      </c>
      <c r="E4537" s="436">
        <v>1</v>
      </c>
      <c r="F4537" s="465">
        <v>2.65</v>
      </c>
      <c r="G4537" s="466">
        <v>2.65</v>
      </c>
      <c r="H4537" s="466">
        <f>G4537/1.1</f>
        <v>2.4090909090909087</v>
      </c>
      <c r="I4537" s="436"/>
      <c r="J4537" s="465">
        <v>0</v>
      </c>
      <c r="K4537" s="465">
        <v>0</v>
      </c>
    </row>
    <row r="4538" spans="2:11" ht="19" customHeight="1">
      <c r="B4538" s="464">
        <v>46116</v>
      </c>
      <c r="C4538" s="436" t="s">
        <v>253</v>
      </c>
      <c r="D4538" s="436" t="s">
        <v>965</v>
      </c>
      <c r="E4538" s="436">
        <v>1</v>
      </c>
      <c r="F4538" s="465">
        <v>2.65</v>
      </c>
      <c r="G4538" s="466">
        <v>2.65</v>
      </c>
      <c r="H4538" s="466">
        <f>G4538/1.1</f>
        <v>2.4090909090909087</v>
      </c>
      <c r="I4538" s="436"/>
      <c r="J4538" s="465">
        <v>0</v>
      </c>
      <c r="K4538" s="465">
        <v>0</v>
      </c>
    </row>
    <row r="4539" spans="2:11" ht="19" customHeight="1">
      <c r="B4539" s="464">
        <v>46116</v>
      </c>
      <c r="C4539" s="436" t="s">
        <v>251</v>
      </c>
      <c r="D4539" s="436" t="s">
        <v>926</v>
      </c>
      <c r="E4539" s="436">
        <v>1</v>
      </c>
      <c r="F4539" s="465">
        <v>2.8</v>
      </c>
      <c r="G4539" s="466">
        <v>2.8</v>
      </c>
      <c r="H4539" s="466">
        <f>G4539/1.1</f>
        <v>2.545454545454545</v>
      </c>
      <c r="I4539" s="436"/>
      <c r="J4539" s="465">
        <v>0</v>
      </c>
      <c r="K4539" s="465">
        <v>0</v>
      </c>
    </row>
    <row r="4540" spans="2:11" ht="19" customHeight="1">
      <c r="B4540" s="464">
        <v>46116</v>
      </c>
      <c r="C4540" s="436" t="s">
        <v>256</v>
      </c>
      <c r="D4540" s="436" t="s">
        <v>255</v>
      </c>
      <c r="E4540" s="436">
        <v>1</v>
      </c>
      <c r="F4540" s="465">
        <v>5.85</v>
      </c>
      <c r="G4540" s="466">
        <v>5.85</v>
      </c>
      <c r="H4540" s="466">
        <f>G4540/1.1</f>
        <v>5.3181818181818175</v>
      </c>
      <c r="I4540" s="436"/>
      <c r="J4540" s="465">
        <v>0</v>
      </c>
      <c r="K4540" s="465">
        <v>0</v>
      </c>
    </row>
    <row r="4541" spans="2:11" ht="19" customHeight="1">
      <c r="B4541" s="464">
        <v>46116</v>
      </c>
      <c r="C4541" s="436" t="s">
        <v>276</v>
      </c>
      <c r="D4541" s="436" t="s">
        <v>1052</v>
      </c>
      <c r="E4541" s="436">
        <v>1</v>
      </c>
      <c r="F4541" s="465">
        <v>3.4</v>
      </c>
      <c r="G4541" s="466">
        <v>3.4</v>
      </c>
      <c r="H4541" s="466">
        <f>G4541/1.1</f>
        <v>3.0909090909090904</v>
      </c>
      <c r="I4541" s="436"/>
      <c r="J4541" s="465">
        <v>0</v>
      </c>
      <c r="K4541" s="465">
        <v>0</v>
      </c>
    </row>
    <row r="4542" spans="2:11" ht="19" customHeight="1">
      <c r="B4542" s="464">
        <v>46116</v>
      </c>
      <c r="C4542" s="436" t="s">
        <v>253</v>
      </c>
      <c r="D4542" s="436" t="s">
        <v>869</v>
      </c>
      <c r="E4542" s="436">
        <v>2</v>
      </c>
      <c r="F4542" s="465">
        <v>2.65</v>
      </c>
      <c r="G4542" s="466">
        <v>5.3</v>
      </c>
      <c r="H4542" s="466">
        <f>G4542/1.1</f>
        <v>4.8181818181818175</v>
      </c>
      <c r="I4542" s="436"/>
      <c r="J4542" s="465">
        <v>0</v>
      </c>
      <c r="K4542" s="465">
        <v>0</v>
      </c>
    </row>
    <row r="4543" spans="2:11" ht="19" customHeight="1">
      <c r="B4543" s="464">
        <v>46116</v>
      </c>
      <c r="C4543" s="436" t="s">
        <v>256</v>
      </c>
      <c r="D4543" s="436" t="s">
        <v>255</v>
      </c>
      <c r="E4543" s="436">
        <v>1</v>
      </c>
      <c r="F4543" s="465">
        <v>5.85</v>
      </c>
      <c r="G4543" s="466">
        <v>5.85</v>
      </c>
      <c r="H4543" s="466">
        <f>G4543/1.1</f>
        <v>5.3181818181818175</v>
      </c>
      <c r="I4543" s="436"/>
      <c r="J4543" s="465">
        <v>0</v>
      </c>
      <c r="K4543" s="465">
        <v>0</v>
      </c>
    </row>
    <row r="4544" spans="2:11" ht="19" customHeight="1">
      <c r="B4544" s="464">
        <v>46116</v>
      </c>
      <c r="C4544" s="436" t="s">
        <v>251</v>
      </c>
      <c r="D4544" s="436" t="s">
        <v>1035</v>
      </c>
      <c r="E4544" s="436">
        <v>2</v>
      </c>
      <c r="F4544" s="465">
        <v>2.35</v>
      </c>
      <c r="G4544" s="466">
        <v>4.7</v>
      </c>
      <c r="H4544" s="466">
        <f>G4544/1.1</f>
        <v>4.2727272727272725</v>
      </c>
      <c r="I4544" s="436"/>
      <c r="J4544" s="465">
        <v>0</v>
      </c>
      <c r="K4544" s="465">
        <v>0</v>
      </c>
    </row>
    <row r="4545" spans="2:11" ht="19" customHeight="1">
      <c r="B4545" s="464">
        <v>46116</v>
      </c>
      <c r="C4545" s="436" t="s">
        <v>253</v>
      </c>
      <c r="D4545" s="436" t="s">
        <v>869</v>
      </c>
      <c r="E4545" s="436">
        <v>4</v>
      </c>
      <c r="F4545" s="465">
        <v>2.5</v>
      </c>
      <c r="G4545" s="466">
        <v>10</v>
      </c>
      <c r="H4545" s="466">
        <f>G4545/1.1</f>
        <v>9.0909090909090899</v>
      </c>
      <c r="I4545" s="436"/>
      <c r="J4545" s="465">
        <v>0</v>
      </c>
      <c r="K4545" s="465">
        <v>0</v>
      </c>
    </row>
    <row r="4546" spans="2:11" ht="19" customHeight="1">
      <c r="B4546" s="464">
        <v>46116</v>
      </c>
      <c r="C4546" s="436" t="s">
        <v>251</v>
      </c>
      <c r="D4546" s="436" t="s">
        <v>265</v>
      </c>
      <c r="E4546" s="436">
        <v>1</v>
      </c>
      <c r="F4546" s="465">
        <v>2.65</v>
      </c>
      <c r="G4546" s="466">
        <v>2.65</v>
      </c>
      <c r="H4546" s="466">
        <f>G4546/1.1</f>
        <v>2.4090909090909087</v>
      </c>
      <c r="I4546" s="436"/>
      <c r="J4546" s="465">
        <v>0</v>
      </c>
      <c r="K4546" s="465">
        <v>0</v>
      </c>
    </row>
    <row r="4547" spans="2:11" ht="19" customHeight="1">
      <c r="B4547" s="464">
        <v>46116</v>
      </c>
      <c r="C4547" s="436" t="s">
        <v>948</v>
      </c>
      <c r="D4547" s="436" t="s">
        <v>819</v>
      </c>
      <c r="E4547" s="436">
        <v>1</v>
      </c>
      <c r="F4547" s="465">
        <v>8.6999999999999993</v>
      </c>
      <c r="G4547" s="466">
        <v>8.6999999999999993</v>
      </c>
      <c r="H4547" s="466">
        <f>G4547/1.1</f>
        <v>7.9090909090909074</v>
      </c>
      <c r="I4547" s="436"/>
      <c r="J4547" s="465">
        <v>0</v>
      </c>
      <c r="K4547" s="465">
        <v>0</v>
      </c>
    </row>
    <row r="4548" spans="2:11" ht="19" customHeight="1">
      <c r="B4548" s="464">
        <v>46116</v>
      </c>
      <c r="C4548" s="436" t="s">
        <v>264</v>
      </c>
      <c r="D4548" s="436" t="s">
        <v>785</v>
      </c>
      <c r="E4548" s="436">
        <v>1</v>
      </c>
      <c r="F4548" s="465">
        <v>1.4</v>
      </c>
      <c r="G4548" s="466">
        <v>1.4</v>
      </c>
      <c r="H4548" s="466">
        <f>G4548/1.1</f>
        <v>1.2727272727272725</v>
      </c>
      <c r="I4548" s="436"/>
      <c r="J4548" s="465">
        <v>0</v>
      </c>
      <c r="K4548" s="465">
        <v>0</v>
      </c>
    </row>
    <row r="4549" spans="2:11" ht="19" customHeight="1">
      <c r="B4549" s="464">
        <v>46116</v>
      </c>
      <c r="C4549" s="436" t="s">
        <v>948</v>
      </c>
      <c r="D4549" s="436" t="s">
        <v>829</v>
      </c>
      <c r="E4549" s="436">
        <v>5</v>
      </c>
      <c r="F4549" s="465">
        <v>8.6999999999999993</v>
      </c>
      <c r="G4549" s="466">
        <v>43.5</v>
      </c>
      <c r="H4549" s="466">
        <f>G4549/1.1</f>
        <v>39.54545454545454</v>
      </c>
      <c r="I4549" s="436"/>
      <c r="J4549" s="465">
        <v>0</v>
      </c>
      <c r="K4549" s="465">
        <v>0</v>
      </c>
    </row>
    <row r="4550" spans="2:11" ht="19" customHeight="1">
      <c r="B4550" s="464">
        <v>46116</v>
      </c>
      <c r="C4550" s="436" t="s">
        <v>247</v>
      </c>
      <c r="D4550" s="436" t="s">
        <v>246</v>
      </c>
      <c r="E4550" s="436">
        <v>2</v>
      </c>
      <c r="F4550" s="465">
        <v>1.7</v>
      </c>
      <c r="G4550" s="466">
        <v>3.4</v>
      </c>
      <c r="H4550" s="466">
        <f>G4550/1.1</f>
        <v>3.0909090909090904</v>
      </c>
      <c r="I4550" s="436"/>
      <c r="J4550" s="465">
        <v>0</v>
      </c>
      <c r="K4550" s="465">
        <v>0</v>
      </c>
    </row>
    <row r="4551" spans="2:11" ht="19" customHeight="1">
      <c r="B4551" s="464">
        <v>46116</v>
      </c>
      <c r="C4551" s="436" t="s">
        <v>247</v>
      </c>
      <c r="D4551" s="436" t="s">
        <v>710</v>
      </c>
      <c r="E4551" s="436">
        <v>1</v>
      </c>
      <c r="F4551" s="465">
        <v>2.65</v>
      </c>
      <c r="G4551" s="466">
        <v>2.65</v>
      </c>
      <c r="H4551" s="466">
        <f>G4551/1.1</f>
        <v>2.4090909090909087</v>
      </c>
      <c r="I4551" s="436"/>
      <c r="J4551" s="465">
        <v>0</v>
      </c>
      <c r="K4551" s="465">
        <v>0</v>
      </c>
    </row>
    <row r="4552" spans="2:11" ht="19" customHeight="1">
      <c r="B4552" s="464">
        <v>46116</v>
      </c>
      <c r="C4552" s="436" t="s">
        <v>251</v>
      </c>
      <c r="D4552" s="436" t="s">
        <v>265</v>
      </c>
      <c r="E4552" s="436">
        <v>2</v>
      </c>
      <c r="F4552" s="465">
        <v>2.65</v>
      </c>
      <c r="G4552" s="466">
        <v>5.3</v>
      </c>
      <c r="H4552" s="466">
        <f>G4552/1.1</f>
        <v>4.8181818181818175</v>
      </c>
      <c r="I4552" s="436"/>
      <c r="J4552" s="465">
        <v>0</v>
      </c>
      <c r="K4552" s="465">
        <v>0</v>
      </c>
    </row>
    <row r="4553" spans="2:11" ht="19" customHeight="1">
      <c r="B4553" s="464">
        <v>46116</v>
      </c>
      <c r="C4553" s="436" t="s">
        <v>251</v>
      </c>
      <c r="D4553" s="436" t="s">
        <v>265</v>
      </c>
      <c r="E4553" s="436">
        <v>1</v>
      </c>
      <c r="F4553" s="465">
        <v>2.65</v>
      </c>
      <c r="G4553" s="466">
        <v>2.65</v>
      </c>
      <c r="H4553" s="466">
        <f>G4553/1.1</f>
        <v>2.4090909090909087</v>
      </c>
      <c r="I4553" s="436"/>
      <c r="J4553" s="465">
        <v>0</v>
      </c>
      <c r="K4553" s="465">
        <v>0</v>
      </c>
    </row>
    <row r="4554" spans="2:11" ht="19" customHeight="1">
      <c r="B4554" s="464">
        <v>46116</v>
      </c>
      <c r="C4554" s="436" t="s">
        <v>251</v>
      </c>
      <c r="D4554" s="436" t="s">
        <v>854</v>
      </c>
      <c r="E4554" s="436">
        <v>1</v>
      </c>
      <c r="F4554" s="465">
        <v>1.55</v>
      </c>
      <c r="G4554" s="466">
        <v>1.55</v>
      </c>
      <c r="H4554" s="466">
        <f>G4554/1.1</f>
        <v>1.4090909090909089</v>
      </c>
      <c r="I4554" s="436"/>
      <c r="J4554" s="465">
        <v>0</v>
      </c>
      <c r="K4554" s="465">
        <v>0</v>
      </c>
    </row>
    <row r="4555" spans="2:11" ht="19" customHeight="1">
      <c r="B4555" s="720">
        <v>46117</v>
      </c>
      <c r="C4555" s="721" t="s">
        <v>247</v>
      </c>
      <c r="D4555" s="721" t="s">
        <v>248</v>
      </c>
      <c r="E4555" s="721">
        <v>1</v>
      </c>
      <c r="F4555" s="722">
        <v>1.5</v>
      </c>
      <c r="G4555" s="722">
        <v>1.5</v>
      </c>
      <c r="H4555" s="466">
        <f>G4555/1.1</f>
        <v>1.3636363636363635</v>
      </c>
      <c r="I4555" s="721">
        <v>0</v>
      </c>
      <c r="J4555" s="721">
        <v>0</v>
      </c>
      <c r="K4555" s="721">
        <v>0</v>
      </c>
    </row>
    <row r="4556" spans="2:11" ht="19" customHeight="1">
      <c r="B4556" s="720">
        <v>46117</v>
      </c>
      <c r="C4556" s="721" t="s">
        <v>247</v>
      </c>
      <c r="D4556" s="721" t="s">
        <v>855</v>
      </c>
      <c r="E4556" s="721">
        <v>1</v>
      </c>
      <c r="F4556" s="722">
        <v>2.5499999999999998</v>
      </c>
      <c r="G4556" s="722">
        <v>2.5499999999999998</v>
      </c>
      <c r="H4556" s="466">
        <f>G4556/1.1</f>
        <v>2.3181818181818179</v>
      </c>
      <c r="I4556" s="721">
        <v>0</v>
      </c>
      <c r="J4556" s="721">
        <v>0</v>
      </c>
      <c r="K4556" s="721">
        <v>0</v>
      </c>
    </row>
    <row r="4557" spans="2:11" ht="19" customHeight="1">
      <c r="B4557" s="720">
        <v>46117</v>
      </c>
      <c r="C4557" s="721" t="s">
        <v>268</v>
      </c>
      <c r="D4557" s="721" t="s">
        <v>858</v>
      </c>
      <c r="E4557" s="721">
        <v>3</v>
      </c>
      <c r="F4557" s="722">
        <v>1.35</v>
      </c>
      <c r="G4557" s="722">
        <v>4.05</v>
      </c>
      <c r="H4557" s="466">
        <f>G4557/1.1</f>
        <v>3.6818181818181812</v>
      </c>
      <c r="I4557" s="721">
        <v>0</v>
      </c>
      <c r="J4557" s="721">
        <v>0</v>
      </c>
      <c r="K4557" s="721">
        <v>0</v>
      </c>
    </row>
    <row r="4558" spans="2:11" ht="19" customHeight="1">
      <c r="B4558" s="720">
        <v>46117</v>
      </c>
      <c r="C4558" s="721" t="s">
        <v>247</v>
      </c>
      <c r="D4558" s="721" t="s">
        <v>260</v>
      </c>
      <c r="E4558" s="721">
        <v>1</v>
      </c>
      <c r="F4558" s="722">
        <v>1.4</v>
      </c>
      <c r="G4558" s="722">
        <v>1.4</v>
      </c>
      <c r="H4558" s="466">
        <f>G4558/1.1</f>
        <v>1.2727272727272725</v>
      </c>
      <c r="I4558" s="721">
        <v>0</v>
      </c>
      <c r="J4558" s="721">
        <v>0</v>
      </c>
      <c r="K4558" s="721">
        <v>0</v>
      </c>
    </row>
    <row r="4559" spans="2:11" ht="19" customHeight="1">
      <c r="B4559" s="720">
        <v>46117</v>
      </c>
      <c r="C4559" s="721" t="s">
        <v>247</v>
      </c>
      <c r="D4559" s="721" t="s">
        <v>248</v>
      </c>
      <c r="E4559" s="721">
        <v>1</v>
      </c>
      <c r="F4559" s="722">
        <v>1.5</v>
      </c>
      <c r="G4559" s="722">
        <v>1.5</v>
      </c>
      <c r="H4559" s="466">
        <f>G4559/1.1</f>
        <v>1.3636363636363635</v>
      </c>
      <c r="I4559" s="721">
        <v>0</v>
      </c>
      <c r="J4559" s="721">
        <v>0</v>
      </c>
      <c r="K4559" s="721">
        <v>0</v>
      </c>
    </row>
    <row r="4560" spans="2:11" ht="19" customHeight="1">
      <c r="B4560" s="720">
        <v>46117</v>
      </c>
      <c r="C4560" s="721" t="s">
        <v>247</v>
      </c>
      <c r="D4560" s="721" t="s">
        <v>260</v>
      </c>
      <c r="E4560" s="721">
        <v>1</v>
      </c>
      <c r="F4560" s="722">
        <v>1.4</v>
      </c>
      <c r="G4560" s="722">
        <v>1.4</v>
      </c>
      <c r="H4560" s="466">
        <f>G4560/1.1</f>
        <v>1.2727272727272725</v>
      </c>
      <c r="I4560" s="721">
        <v>0</v>
      </c>
      <c r="J4560" s="721">
        <v>0</v>
      </c>
      <c r="K4560" s="721">
        <v>0</v>
      </c>
    </row>
    <row r="4561" spans="2:11" ht="19" customHeight="1">
      <c r="B4561" s="720">
        <v>46117</v>
      </c>
      <c r="C4561" s="721" t="s">
        <v>268</v>
      </c>
      <c r="D4561" s="721" t="s">
        <v>267</v>
      </c>
      <c r="E4561" s="721">
        <v>1</v>
      </c>
      <c r="F4561" s="722">
        <v>1.5</v>
      </c>
      <c r="G4561" s="722">
        <v>1.5</v>
      </c>
      <c r="H4561" s="466">
        <f>G4561/1.1</f>
        <v>1.3636363636363635</v>
      </c>
      <c r="I4561" s="721">
        <v>0</v>
      </c>
      <c r="J4561" s="721">
        <v>0</v>
      </c>
      <c r="K4561" s="721">
        <v>0</v>
      </c>
    </row>
    <row r="4562" spans="2:11" ht="19" customHeight="1">
      <c r="B4562" s="720">
        <v>46117</v>
      </c>
      <c r="C4562" s="721" t="s">
        <v>247</v>
      </c>
      <c r="D4562" s="721" t="s">
        <v>248</v>
      </c>
      <c r="E4562" s="721">
        <v>1</v>
      </c>
      <c r="F4562" s="722">
        <v>1.5</v>
      </c>
      <c r="G4562" s="722">
        <v>1.5</v>
      </c>
      <c r="H4562" s="466">
        <f>G4562/1.1</f>
        <v>1.3636363636363635</v>
      </c>
      <c r="I4562" s="721">
        <v>0</v>
      </c>
      <c r="J4562" s="721">
        <v>0</v>
      </c>
      <c r="K4562" s="721">
        <v>0</v>
      </c>
    </row>
    <row r="4563" spans="2:11" ht="19" customHeight="1">
      <c r="B4563" s="720">
        <v>46117</v>
      </c>
      <c r="C4563" s="721" t="s">
        <v>268</v>
      </c>
      <c r="D4563" s="721" t="s">
        <v>267</v>
      </c>
      <c r="E4563" s="721">
        <v>1</v>
      </c>
      <c r="F4563" s="722">
        <v>1.5</v>
      </c>
      <c r="G4563" s="722">
        <v>1.5</v>
      </c>
      <c r="H4563" s="466">
        <f>G4563/1.1</f>
        <v>1.3636363636363635</v>
      </c>
      <c r="I4563" s="721">
        <v>0</v>
      </c>
      <c r="J4563" s="721">
        <v>0</v>
      </c>
      <c r="K4563" s="721">
        <v>0</v>
      </c>
    </row>
    <row r="4564" spans="2:11" ht="19" customHeight="1">
      <c r="B4564" s="720">
        <v>46117</v>
      </c>
      <c r="C4564" s="721" t="s">
        <v>247</v>
      </c>
      <c r="D4564" s="721" t="s">
        <v>246</v>
      </c>
      <c r="E4564" s="721">
        <v>1</v>
      </c>
      <c r="F4564" s="722">
        <v>1.7</v>
      </c>
      <c r="G4564" s="722">
        <v>1.7</v>
      </c>
      <c r="H4564" s="466">
        <f>G4564/1.1</f>
        <v>1.5454545454545452</v>
      </c>
      <c r="I4564" s="721">
        <v>0</v>
      </c>
      <c r="J4564" s="721">
        <v>0</v>
      </c>
      <c r="K4564" s="721">
        <v>0</v>
      </c>
    </row>
    <row r="4565" spans="2:11" ht="19" customHeight="1">
      <c r="B4565" s="720">
        <v>46117</v>
      </c>
      <c r="C4565" s="721" t="s">
        <v>247</v>
      </c>
      <c r="D4565" s="721" t="s">
        <v>248</v>
      </c>
      <c r="E4565" s="721">
        <v>1</v>
      </c>
      <c r="F4565" s="722">
        <v>1.5</v>
      </c>
      <c r="G4565" s="722">
        <v>1.5</v>
      </c>
      <c r="H4565" s="466">
        <f>G4565/1.1</f>
        <v>1.3636363636363635</v>
      </c>
      <c r="I4565" s="721">
        <v>0</v>
      </c>
      <c r="J4565" s="721">
        <v>0</v>
      </c>
      <c r="K4565" s="721">
        <v>0</v>
      </c>
    </row>
    <row r="4566" spans="2:11" ht="19" customHeight="1">
      <c r="B4566" s="720">
        <v>46117</v>
      </c>
      <c r="C4566" s="721" t="s">
        <v>247</v>
      </c>
      <c r="D4566" s="721" t="s">
        <v>260</v>
      </c>
      <c r="E4566" s="721">
        <v>2</v>
      </c>
      <c r="F4566" s="722">
        <v>1.4</v>
      </c>
      <c r="G4566" s="722">
        <v>2.8</v>
      </c>
      <c r="H4566" s="466">
        <f>G4566/1.1</f>
        <v>2.545454545454545</v>
      </c>
      <c r="I4566" s="721">
        <v>0</v>
      </c>
      <c r="J4566" s="721">
        <v>0</v>
      </c>
      <c r="K4566" s="721">
        <v>0</v>
      </c>
    </row>
    <row r="4567" spans="2:11" ht="19" customHeight="1">
      <c r="B4567" s="720">
        <v>46117</v>
      </c>
      <c r="C4567" s="721" t="s">
        <v>247</v>
      </c>
      <c r="D4567" s="721" t="s">
        <v>248</v>
      </c>
      <c r="E4567" s="721">
        <v>1</v>
      </c>
      <c r="F4567" s="722">
        <v>1.5</v>
      </c>
      <c r="G4567" s="722">
        <v>1.5</v>
      </c>
      <c r="H4567" s="466">
        <f>G4567/1.1</f>
        <v>1.3636363636363635</v>
      </c>
      <c r="I4567" s="721">
        <v>0</v>
      </c>
      <c r="J4567" s="721">
        <v>0</v>
      </c>
      <c r="K4567" s="721">
        <v>0</v>
      </c>
    </row>
    <row r="4568" spans="2:11" ht="19" customHeight="1">
      <c r="B4568" s="720">
        <v>46117</v>
      </c>
      <c r="C4568" s="721" t="s">
        <v>266</v>
      </c>
      <c r="D4568" s="721" t="s">
        <v>265</v>
      </c>
      <c r="E4568" s="721">
        <v>1</v>
      </c>
      <c r="F4568" s="722">
        <v>2.65</v>
      </c>
      <c r="G4568" s="722">
        <v>2.65</v>
      </c>
      <c r="H4568" s="466">
        <f>G4568/1.1</f>
        <v>2.4090909090909087</v>
      </c>
      <c r="I4568" s="721">
        <v>0</v>
      </c>
      <c r="J4568" s="721">
        <v>0</v>
      </c>
      <c r="K4568" s="721">
        <v>0</v>
      </c>
    </row>
    <row r="4569" spans="2:11" ht="19" customHeight="1">
      <c r="B4569" s="720">
        <v>46117</v>
      </c>
      <c r="C4569" s="721" t="s">
        <v>327</v>
      </c>
      <c r="D4569" s="721" t="s">
        <v>949</v>
      </c>
      <c r="E4569" s="721">
        <v>1</v>
      </c>
      <c r="F4569" s="722">
        <v>7.7</v>
      </c>
      <c r="G4569" s="722">
        <v>7.7</v>
      </c>
      <c r="H4569" s="466">
        <f>G4569/1.1</f>
        <v>7</v>
      </c>
      <c r="I4569" s="721">
        <v>0</v>
      </c>
      <c r="J4569" s="721">
        <v>0</v>
      </c>
      <c r="K4569" s="721">
        <v>0</v>
      </c>
    </row>
    <row r="4570" spans="2:11" ht="19" customHeight="1">
      <c r="B4570" s="720">
        <v>46117</v>
      </c>
      <c r="C4570" s="721" t="s">
        <v>894</v>
      </c>
      <c r="D4570" s="721" t="s">
        <v>895</v>
      </c>
      <c r="E4570" s="721">
        <v>1</v>
      </c>
      <c r="F4570" s="722">
        <v>7.1</v>
      </c>
      <c r="G4570" s="722">
        <v>7.1</v>
      </c>
      <c r="H4570" s="466">
        <f>G4570/1.1</f>
        <v>6.4545454545454541</v>
      </c>
      <c r="I4570" s="721">
        <v>0</v>
      </c>
      <c r="J4570" s="721">
        <v>0</v>
      </c>
      <c r="K4570" s="721">
        <v>0</v>
      </c>
    </row>
    <row r="4571" spans="2:11" ht="19" customHeight="1">
      <c r="B4571" s="720">
        <v>46117</v>
      </c>
      <c r="C4571" s="721" t="s">
        <v>247</v>
      </c>
      <c r="D4571" s="721" t="s">
        <v>248</v>
      </c>
      <c r="E4571" s="721">
        <v>1</v>
      </c>
      <c r="F4571" s="722">
        <v>1.5</v>
      </c>
      <c r="G4571" s="722">
        <v>1.5</v>
      </c>
      <c r="H4571" s="466">
        <f>G4571/1.1</f>
        <v>1.3636363636363635</v>
      </c>
      <c r="I4571" s="721">
        <v>0</v>
      </c>
      <c r="J4571" s="721">
        <v>0</v>
      </c>
      <c r="K4571" s="721">
        <v>0</v>
      </c>
    </row>
    <row r="4572" spans="2:11" ht="19" customHeight="1">
      <c r="B4572" s="720">
        <v>46117</v>
      </c>
      <c r="C4572" s="721" t="s">
        <v>862</v>
      </c>
      <c r="D4572" s="721" t="s">
        <v>899</v>
      </c>
      <c r="E4572" s="721">
        <v>1</v>
      </c>
      <c r="F4572" s="722">
        <v>0.05</v>
      </c>
      <c r="G4572" s="722">
        <v>0.05</v>
      </c>
      <c r="H4572" s="466">
        <f>G4572/1.1</f>
        <v>4.5454545454545456E-2</v>
      </c>
      <c r="I4572" s="721">
        <v>0</v>
      </c>
      <c r="J4572" s="721">
        <v>0</v>
      </c>
      <c r="K4572" s="721">
        <v>0</v>
      </c>
    </row>
    <row r="4573" spans="2:11" ht="19" customHeight="1">
      <c r="B4573" s="720">
        <v>46117</v>
      </c>
      <c r="C4573" s="721" t="s">
        <v>247</v>
      </c>
      <c r="D4573" s="721" t="s">
        <v>260</v>
      </c>
      <c r="E4573" s="721">
        <v>1</v>
      </c>
      <c r="F4573" s="722">
        <v>1.55</v>
      </c>
      <c r="G4573" s="722">
        <v>1.55</v>
      </c>
      <c r="H4573" s="466">
        <f>G4573/1.1</f>
        <v>1.4090909090909089</v>
      </c>
      <c r="I4573" s="721">
        <v>0</v>
      </c>
      <c r="J4573" s="721">
        <v>0</v>
      </c>
      <c r="K4573" s="721">
        <v>0</v>
      </c>
    </row>
    <row r="4574" spans="2:11" ht="19" customHeight="1">
      <c r="B4574" s="720">
        <v>46117</v>
      </c>
      <c r="C4574" s="721" t="s">
        <v>253</v>
      </c>
      <c r="D4574" s="721" t="s">
        <v>1233</v>
      </c>
      <c r="E4574" s="721">
        <v>1</v>
      </c>
      <c r="F4574" s="722">
        <v>2.15</v>
      </c>
      <c r="G4574" s="722">
        <v>2.15</v>
      </c>
      <c r="H4574" s="466">
        <f>G4574/1.1</f>
        <v>1.9545454545454544</v>
      </c>
      <c r="I4574" s="721">
        <v>0</v>
      </c>
      <c r="J4574" s="721">
        <v>0</v>
      </c>
      <c r="K4574" s="721">
        <v>0</v>
      </c>
    </row>
    <row r="4575" spans="2:11" ht="19" customHeight="1">
      <c r="B4575" s="720">
        <v>46117</v>
      </c>
      <c r="C4575" s="721" t="s">
        <v>253</v>
      </c>
      <c r="D4575" s="721" t="s">
        <v>252</v>
      </c>
      <c r="E4575" s="721">
        <v>1</v>
      </c>
      <c r="F4575" s="722">
        <v>2.5</v>
      </c>
      <c r="G4575" s="722">
        <v>2.5</v>
      </c>
      <c r="H4575" s="466">
        <f>G4575/1.1</f>
        <v>2.2727272727272725</v>
      </c>
      <c r="I4575" s="721">
        <v>0</v>
      </c>
      <c r="J4575" s="721">
        <v>0</v>
      </c>
      <c r="K4575" s="721">
        <v>0</v>
      </c>
    </row>
    <row r="4576" spans="2:11" ht="19" customHeight="1">
      <c r="B4576" s="720">
        <v>46117</v>
      </c>
      <c r="C4576" s="721" t="s">
        <v>264</v>
      </c>
      <c r="D4576" s="721" t="s">
        <v>1175</v>
      </c>
      <c r="E4576" s="721">
        <v>1</v>
      </c>
      <c r="F4576" s="722">
        <v>1.6</v>
      </c>
      <c r="G4576" s="722">
        <v>1.6</v>
      </c>
      <c r="H4576" s="466">
        <f>G4576/1.1</f>
        <v>1.4545454545454546</v>
      </c>
      <c r="I4576" s="721">
        <v>0</v>
      </c>
      <c r="J4576" s="721">
        <v>0</v>
      </c>
      <c r="K4576" s="721">
        <v>0</v>
      </c>
    </row>
    <row r="4577" spans="2:11" ht="19" customHeight="1">
      <c r="B4577" s="720">
        <v>46117</v>
      </c>
      <c r="C4577" s="721" t="s">
        <v>256</v>
      </c>
      <c r="D4577" s="721" t="s">
        <v>1012</v>
      </c>
      <c r="E4577" s="721">
        <v>1</v>
      </c>
      <c r="F4577" s="722">
        <v>11.9</v>
      </c>
      <c r="G4577" s="722">
        <v>11.9</v>
      </c>
      <c r="H4577" s="466">
        <f>G4577/1.1</f>
        <v>10.818181818181818</v>
      </c>
      <c r="I4577" s="721">
        <v>0</v>
      </c>
      <c r="J4577" s="721">
        <v>0</v>
      </c>
      <c r="K4577" s="721">
        <v>0</v>
      </c>
    </row>
    <row r="4578" spans="2:11" ht="19" customHeight="1">
      <c r="B4578" s="720">
        <v>46117</v>
      </c>
      <c r="C4578" s="721" t="s">
        <v>327</v>
      </c>
      <c r="D4578" s="721" t="s">
        <v>829</v>
      </c>
      <c r="E4578" s="721">
        <v>1</v>
      </c>
      <c r="F4578" s="722">
        <v>8.6999999999999993</v>
      </c>
      <c r="G4578" s="722">
        <v>8.6999999999999993</v>
      </c>
      <c r="H4578" s="466">
        <f>G4578/1.1</f>
        <v>7.9090909090909074</v>
      </c>
      <c r="I4578" s="721">
        <v>0</v>
      </c>
      <c r="J4578" s="721">
        <v>0</v>
      </c>
      <c r="K4578" s="721">
        <v>0</v>
      </c>
    </row>
    <row r="4579" spans="2:11" ht="19" customHeight="1">
      <c r="B4579" s="720">
        <v>46117</v>
      </c>
      <c r="C4579" s="721" t="s">
        <v>247</v>
      </c>
      <c r="D4579" s="721" t="s">
        <v>246</v>
      </c>
      <c r="E4579" s="721">
        <v>1</v>
      </c>
      <c r="F4579" s="722">
        <v>1.7</v>
      </c>
      <c r="G4579" s="722">
        <v>1.7</v>
      </c>
      <c r="H4579" s="466">
        <f>G4579/1.1</f>
        <v>1.5454545454545452</v>
      </c>
      <c r="I4579" s="721">
        <v>0</v>
      </c>
      <c r="J4579" s="721">
        <v>0</v>
      </c>
      <c r="K4579" s="721">
        <v>0</v>
      </c>
    </row>
    <row r="4580" spans="2:11" ht="19" customHeight="1">
      <c r="B4580" s="720">
        <v>46117</v>
      </c>
      <c r="C4580" s="721" t="s">
        <v>247</v>
      </c>
      <c r="D4580" s="721" t="s">
        <v>260</v>
      </c>
      <c r="E4580" s="721">
        <v>1</v>
      </c>
      <c r="F4580" s="722">
        <v>1.4</v>
      </c>
      <c r="G4580" s="722">
        <v>1.4</v>
      </c>
      <c r="H4580" s="466">
        <f>G4580/1.1</f>
        <v>1.2727272727272725</v>
      </c>
      <c r="I4580" s="721">
        <v>0</v>
      </c>
      <c r="J4580" s="721">
        <v>0</v>
      </c>
      <c r="K4580" s="721">
        <v>0</v>
      </c>
    </row>
    <row r="4581" spans="2:11" ht="19" customHeight="1">
      <c r="B4581" s="720">
        <v>46117</v>
      </c>
      <c r="C4581" s="721" t="s">
        <v>266</v>
      </c>
      <c r="D4581" s="721" t="s">
        <v>265</v>
      </c>
      <c r="E4581" s="721">
        <v>1</v>
      </c>
      <c r="F4581" s="722">
        <v>2.65</v>
      </c>
      <c r="G4581" s="722">
        <v>2.65</v>
      </c>
      <c r="H4581" s="466">
        <f>G4581/1.1</f>
        <v>2.4090909090909087</v>
      </c>
      <c r="I4581" s="721">
        <v>0</v>
      </c>
      <c r="J4581" s="721">
        <v>0</v>
      </c>
      <c r="K4581" s="721">
        <v>0</v>
      </c>
    </row>
    <row r="4582" spans="2:11" ht="19" customHeight="1">
      <c r="B4582" s="720">
        <v>46117</v>
      </c>
      <c r="C4582" s="721" t="s">
        <v>253</v>
      </c>
      <c r="D4582" s="721" t="s">
        <v>252</v>
      </c>
      <c r="E4582" s="721">
        <v>2</v>
      </c>
      <c r="F4582" s="722">
        <v>2.5</v>
      </c>
      <c r="G4582" s="722">
        <v>5</v>
      </c>
      <c r="H4582" s="466">
        <f>G4582/1.1</f>
        <v>4.545454545454545</v>
      </c>
      <c r="I4582" s="721">
        <v>0</v>
      </c>
      <c r="J4582" s="721">
        <v>0</v>
      </c>
      <c r="K4582" s="721">
        <v>0</v>
      </c>
    </row>
    <row r="4583" spans="2:11" ht="19" customHeight="1">
      <c r="B4583" s="720">
        <v>46117</v>
      </c>
      <c r="C4583" s="721" t="s">
        <v>253</v>
      </c>
      <c r="D4583" s="721" t="s">
        <v>687</v>
      </c>
      <c r="E4583" s="721">
        <v>2</v>
      </c>
      <c r="F4583" s="722">
        <v>2.95</v>
      </c>
      <c r="G4583" s="722">
        <v>5.9</v>
      </c>
      <c r="H4583" s="466">
        <f>G4583/1.1</f>
        <v>5.3636363636363633</v>
      </c>
      <c r="I4583" s="721">
        <v>0</v>
      </c>
      <c r="J4583" s="721">
        <v>0</v>
      </c>
      <c r="K4583" s="721">
        <v>0</v>
      </c>
    </row>
    <row r="4584" spans="2:11" ht="19" customHeight="1">
      <c r="B4584" s="720">
        <v>46117</v>
      </c>
      <c r="C4584" s="721" t="s">
        <v>1234</v>
      </c>
      <c r="D4584" s="721" t="s">
        <v>1235</v>
      </c>
      <c r="E4584" s="721">
        <v>1</v>
      </c>
      <c r="F4584" s="722">
        <v>10</v>
      </c>
      <c r="G4584" s="722">
        <v>10</v>
      </c>
      <c r="H4584" s="466">
        <f>G4584/1.1</f>
        <v>9.0909090909090899</v>
      </c>
      <c r="I4584" s="721">
        <v>0</v>
      </c>
      <c r="J4584" s="721">
        <v>0</v>
      </c>
      <c r="K4584" s="721">
        <v>0</v>
      </c>
    </row>
    <row r="4585" spans="2:11" ht="19" customHeight="1">
      <c r="B4585" s="720">
        <v>46117</v>
      </c>
      <c r="C4585" s="721" t="s">
        <v>247</v>
      </c>
      <c r="D4585" s="721" t="s">
        <v>260</v>
      </c>
      <c r="E4585" s="721">
        <v>1</v>
      </c>
      <c r="F4585" s="722">
        <v>1.55</v>
      </c>
      <c r="G4585" s="722">
        <v>1.55</v>
      </c>
      <c r="H4585" s="466">
        <f>G4585/1.1</f>
        <v>1.4090909090909089</v>
      </c>
      <c r="I4585" s="721">
        <v>0</v>
      </c>
      <c r="J4585" s="721">
        <v>0</v>
      </c>
      <c r="K4585" s="721">
        <v>0</v>
      </c>
    </row>
    <row r="4586" spans="2:11" ht="19" customHeight="1">
      <c r="B4586" s="720">
        <v>46117</v>
      </c>
      <c r="C4586" s="721" t="s">
        <v>253</v>
      </c>
      <c r="D4586" s="721" t="s">
        <v>252</v>
      </c>
      <c r="E4586" s="721">
        <v>2</v>
      </c>
      <c r="F4586" s="722">
        <v>2.65</v>
      </c>
      <c r="G4586" s="722">
        <v>5.3</v>
      </c>
      <c r="H4586" s="466">
        <f>G4586/1.1</f>
        <v>4.8181818181818175</v>
      </c>
      <c r="I4586" s="721">
        <v>0</v>
      </c>
      <c r="J4586" s="721">
        <v>0</v>
      </c>
      <c r="K4586" s="721">
        <v>0</v>
      </c>
    </row>
    <row r="4587" spans="2:11" ht="19" customHeight="1">
      <c r="B4587" s="720">
        <v>46117</v>
      </c>
      <c r="C4587" s="721" t="s">
        <v>276</v>
      </c>
      <c r="D4587" s="721" t="s">
        <v>1236</v>
      </c>
      <c r="E4587" s="721">
        <v>1</v>
      </c>
      <c r="F4587" s="722">
        <v>3.45</v>
      </c>
      <c r="G4587" s="722">
        <v>3.45</v>
      </c>
      <c r="H4587" s="466">
        <f>G4587/1.1</f>
        <v>3.1363636363636362</v>
      </c>
      <c r="I4587" s="721">
        <v>0</v>
      </c>
      <c r="J4587" s="721">
        <v>0</v>
      </c>
      <c r="K4587" s="721">
        <v>0</v>
      </c>
    </row>
    <row r="4588" spans="2:11" ht="19" customHeight="1">
      <c r="B4588" s="720">
        <v>46117</v>
      </c>
      <c r="C4588" s="721" t="s">
        <v>256</v>
      </c>
      <c r="D4588" s="721" t="s">
        <v>255</v>
      </c>
      <c r="E4588" s="721">
        <v>1</v>
      </c>
      <c r="F4588" s="722">
        <v>3</v>
      </c>
      <c r="G4588" s="722">
        <v>3</v>
      </c>
      <c r="H4588" s="466">
        <f>G4588/1.1</f>
        <v>2.7272727272727271</v>
      </c>
      <c r="I4588" s="721">
        <v>0</v>
      </c>
      <c r="J4588" s="721">
        <v>0</v>
      </c>
      <c r="K4588" s="721">
        <v>0</v>
      </c>
    </row>
    <row r="4589" spans="2:11" ht="19" customHeight="1">
      <c r="B4589" s="720">
        <v>46117</v>
      </c>
      <c r="C4589" s="721" t="s">
        <v>251</v>
      </c>
      <c r="D4589" s="721" t="s">
        <v>250</v>
      </c>
      <c r="E4589" s="721">
        <v>1</v>
      </c>
      <c r="F4589" s="722">
        <v>1.8</v>
      </c>
      <c r="G4589" s="722">
        <v>1.8</v>
      </c>
      <c r="H4589" s="466">
        <f>G4589/1.1</f>
        <v>1.6363636363636362</v>
      </c>
      <c r="I4589" s="721">
        <v>0</v>
      </c>
      <c r="J4589" s="721">
        <v>0</v>
      </c>
      <c r="K4589" s="721">
        <v>0</v>
      </c>
    </row>
    <row r="4590" spans="2:11" ht="19" customHeight="1">
      <c r="B4590" s="720">
        <v>46117</v>
      </c>
      <c r="C4590" s="721" t="s">
        <v>266</v>
      </c>
      <c r="D4590" s="721" t="s">
        <v>265</v>
      </c>
      <c r="E4590" s="721">
        <v>1</v>
      </c>
      <c r="F4590" s="722">
        <v>2.0499999999999998</v>
      </c>
      <c r="G4590" s="722">
        <v>2.0499999999999998</v>
      </c>
      <c r="H4590" s="466">
        <f>G4590/1.1</f>
        <v>1.8636363636363633</v>
      </c>
      <c r="I4590" s="721">
        <v>0</v>
      </c>
      <c r="J4590" s="721">
        <v>0</v>
      </c>
      <c r="K4590" s="721">
        <v>0</v>
      </c>
    </row>
    <row r="4591" spans="2:11" ht="19" customHeight="1">
      <c r="B4591" s="720">
        <v>46117</v>
      </c>
      <c r="C4591" s="721" t="s">
        <v>251</v>
      </c>
      <c r="D4591" s="721" t="s">
        <v>1100</v>
      </c>
      <c r="E4591" s="721">
        <v>1</v>
      </c>
      <c r="F4591" s="722">
        <v>2.0499999999999998</v>
      </c>
      <c r="G4591" s="722">
        <v>2.0499999999999998</v>
      </c>
      <c r="H4591" s="466">
        <f>G4591/1.1</f>
        <v>1.8636363636363633</v>
      </c>
      <c r="I4591" s="721">
        <v>0</v>
      </c>
      <c r="J4591" s="721">
        <v>0</v>
      </c>
      <c r="K4591" s="721">
        <v>0</v>
      </c>
    </row>
    <row r="4592" spans="2:11" ht="19" customHeight="1">
      <c r="B4592" s="720">
        <v>46117</v>
      </c>
      <c r="C4592" s="721" t="s">
        <v>251</v>
      </c>
      <c r="D4592" s="721" t="s">
        <v>957</v>
      </c>
      <c r="E4592" s="721">
        <v>1</v>
      </c>
      <c r="F4592" s="722">
        <v>2.0499999999999998</v>
      </c>
      <c r="G4592" s="722">
        <v>2.0499999999999998</v>
      </c>
      <c r="H4592" s="466">
        <f>G4592/1.1</f>
        <v>1.8636363636363633</v>
      </c>
      <c r="I4592" s="721">
        <v>0</v>
      </c>
      <c r="J4592" s="721">
        <v>0</v>
      </c>
      <c r="K4592" s="721">
        <v>0</v>
      </c>
    </row>
    <row r="4593" spans="2:11" ht="19" customHeight="1">
      <c r="B4593" s="720">
        <v>46117</v>
      </c>
      <c r="C4593" s="721" t="s">
        <v>276</v>
      </c>
      <c r="D4593" s="721" t="s">
        <v>1237</v>
      </c>
      <c r="E4593" s="721">
        <v>1</v>
      </c>
      <c r="F4593" s="722">
        <v>6.5</v>
      </c>
      <c r="G4593" s="722">
        <v>6.5</v>
      </c>
      <c r="H4593" s="466">
        <f>G4593/1.1</f>
        <v>5.9090909090909083</v>
      </c>
      <c r="I4593" s="721">
        <v>0</v>
      </c>
      <c r="J4593" s="721">
        <v>0</v>
      </c>
      <c r="K4593" s="721">
        <v>0</v>
      </c>
    </row>
    <row r="4594" spans="2:11" ht="19" customHeight="1">
      <c r="B4594" s="720">
        <v>46117</v>
      </c>
      <c r="C4594" s="721" t="s">
        <v>264</v>
      </c>
      <c r="D4594" s="721" t="s">
        <v>930</v>
      </c>
      <c r="E4594" s="721">
        <v>1</v>
      </c>
      <c r="F4594" s="722">
        <v>3.5</v>
      </c>
      <c r="G4594" s="722">
        <v>3.5</v>
      </c>
      <c r="H4594" s="466">
        <f>G4594/1.1</f>
        <v>3.1818181818181817</v>
      </c>
      <c r="I4594" s="721">
        <v>0</v>
      </c>
      <c r="J4594" s="721">
        <v>0</v>
      </c>
      <c r="K4594" s="721">
        <v>0</v>
      </c>
    </row>
    <row r="4595" spans="2:11" ht="19" customHeight="1">
      <c r="B4595" s="720">
        <v>46117</v>
      </c>
      <c r="C4595" s="721" t="s">
        <v>256</v>
      </c>
      <c r="D4595" s="721" t="s">
        <v>1232</v>
      </c>
      <c r="E4595" s="721">
        <v>1</v>
      </c>
      <c r="F4595" s="722">
        <v>14.9</v>
      </c>
      <c r="G4595" s="722">
        <v>14.9</v>
      </c>
      <c r="H4595" s="466">
        <f>G4595/1.1</f>
        <v>13.545454545454545</v>
      </c>
      <c r="I4595" s="721">
        <v>0</v>
      </c>
      <c r="J4595" s="721">
        <v>0</v>
      </c>
      <c r="K4595" s="721">
        <v>0</v>
      </c>
    </row>
    <row r="4596" spans="2:11" ht="19" customHeight="1">
      <c r="B4596" s="720">
        <v>46117</v>
      </c>
      <c r="C4596" s="721" t="s">
        <v>256</v>
      </c>
      <c r="D4596" s="721" t="s">
        <v>1044</v>
      </c>
      <c r="E4596" s="721">
        <v>1</v>
      </c>
      <c r="F4596" s="722">
        <v>9.5</v>
      </c>
      <c r="G4596" s="722">
        <v>9.5</v>
      </c>
      <c r="H4596" s="466">
        <f>G4596/1.1</f>
        <v>8.6363636363636349</v>
      </c>
      <c r="I4596" s="721">
        <v>0</v>
      </c>
      <c r="J4596" s="721">
        <v>0</v>
      </c>
      <c r="K4596" s="721">
        <v>0</v>
      </c>
    </row>
    <row r="4597" spans="2:11" ht="19" customHeight="1">
      <c r="B4597" s="720">
        <v>46117</v>
      </c>
      <c r="C4597" s="721" t="s">
        <v>256</v>
      </c>
      <c r="D4597" s="721" t="s">
        <v>915</v>
      </c>
      <c r="E4597" s="721">
        <v>1</v>
      </c>
      <c r="F4597" s="722">
        <v>10.9</v>
      </c>
      <c r="G4597" s="722">
        <v>10.9</v>
      </c>
      <c r="H4597" s="466">
        <f>G4597/1.1</f>
        <v>9.9090909090909083</v>
      </c>
      <c r="I4597" s="721">
        <v>0</v>
      </c>
      <c r="J4597" s="721">
        <v>0</v>
      </c>
      <c r="K4597" s="721">
        <v>0</v>
      </c>
    </row>
    <row r="4598" spans="2:11" ht="19" customHeight="1">
      <c r="B4598" s="720">
        <v>46117</v>
      </c>
      <c r="C4598" s="721" t="s">
        <v>256</v>
      </c>
      <c r="D4598" s="721" t="s">
        <v>675</v>
      </c>
      <c r="E4598" s="721">
        <v>1</v>
      </c>
      <c r="F4598" s="722">
        <v>5.5</v>
      </c>
      <c r="G4598" s="722">
        <v>5.5</v>
      </c>
      <c r="H4598" s="466">
        <f>G4598/1.1</f>
        <v>5</v>
      </c>
      <c r="I4598" s="721">
        <v>0</v>
      </c>
      <c r="J4598" s="721">
        <v>0</v>
      </c>
      <c r="K4598" s="721">
        <v>0</v>
      </c>
    </row>
    <row r="4599" spans="2:11" ht="19" customHeight="1">
      <c r="B4599" s="720">
        <v>46117</v>
      </c>
      <c r="C4599" s="721" t="s">
        <v>256</v>
      </c>
      <c r="D4599" s="721" t="s">
        <v>262</v>
      </c>
      <c r="E4599" s="721">
        <v>1</v>
      </c>
      <c r="F4599" s="722">
        <v>11.9</v>
      </c>
      <c r="G4599" s="722">
        <v>11.9</v>
      </c>
      <c r="H4599" s="466">
        <f>G4599/1.1</f>
        <v>10.818181818181818</v>
      </c>
      <c r="I4599" s="721">
        <v>0</v>
      </c>
      <c r="J4599" s="721">
        <v>0</v>
      </c>
      <c r="K4599" s="721">
        <v>0</v>
      </c>
    </row>
    <row r="4600" spans="2:11" ht="19" customHeight="1">
      <c r="B4600" s="720">
        <v>46117</v>
      </c>
      <c r="C4600" s="721" t="s">
        <v>251</v>
      </c>
      <c r="D4600" s="721" t="s">
        <v>250</v>
      </c>
      <c r="E4600" s="721">
        <v>1</v>
      </c>
      <c r="F4600" s="722">
        <v>1.8</v>
      </c>
      <c r="G4600" s="722">
        <v>1.8</v>
      </c>
      <c r="H4600" s="466">
        <f>G4600/1.1</f>
        <v>1.6363636363636362</v>
      </c>
      <c r="I4600" s="721">
        <v>0</v>
      </c>
      <c r="J4600" s="721">
        <v>0</v>
      </c>
      <c r="K4600" s="721">
        <v>0</v>
      </c>
    </row>
    <row r="4601" spans="2:11" ht="19" customHeight="1">
      <c r="B4601" s="720">
        <v>46117</v>
      </c>
      <c r="C4601" s="721" t="s">
        <v>276</v>
      </c>
      <c r="D4601" s="721" t="s">
        <v>1238</v>
      </c>
      <c r="E4601" s="721">
        <v>1</v>
      </c>
      <c r="F4601" s="722">
        <v>15.15</v>
      </c>
      <c r="G4601" s="722">
        <v>15.15</v>
      </c>
      <c r="H4601" s="466">
        <f>G4601/1.1</f>
        <v>13.772727272727272</v>
      </c>
      <c r="I4601" s="721">
        <v>0</v>
      </c>
      <c r="J4601" s="721">
        <v>0</v>
      </c>
      <c r="K4601" s="721">
        <v>0</v>
      </c>
    </row>
    <row r="4602" spans="2:11" ht="19" customHeight="1">
      <c r="B4602" s="720">
        <v>46117</v>
      </c>
      <c r="C4602" s="721" t="s">
        <v>247</v>
      </c>
      <c r="D4602" s="721" t="s">
        <v>260</v>
      </c>
      <c r="E4602" s="721">
        <v>1</v>
      </c>
      <c r="F4602" s="722">
        <v>1.55</v>
      </c>
      <c r="G4602" s="722">
        <v>1.55</v>
      </c>
      <c r="H4602" s="466">
        <f>G4602/1.1</f>
        <v>1.4090909090909089</v>
      </c>
      <c r="I4602" s="721">
        <v>0</v>
      </c>
      <c r="J4602" s="721">
        <v>0</v>
      </c>
      <c r="K4602" s="721">
        <v>0</v>
      </c>
    </row>
    <row r="4603" spans="2:11" ht="19" customHeight="1">
      <c r="B4603" s="720">
        <v>46117</v>
      </c>
      <c r="C4603" s="721" t="s">
        <v>247</v>
      </c>
      <c r="D4603" s="721" t="s">
        <v>1239</v>
      </c>
      <c r="E4603" s="721">
        <v>1</v>
      </c>
      <c r="F4603" s="722">
        <v>1.7</v>
      </c>
      <c r="G4603" s="722">
        <v>1.7</v>
      </c>
      <c r="H4603" s="466">
        <f>G4603/1.1</f>
        <v>1.5454545454545452</v>
      </c>
      <c r="I4603" s="721">
        <v>0</v>
      </c>
      <c r="J4603" s="721">
        <v>0</v>
      </c>
      <c r="K4603" s="721">
        <v>0</v>
      </c>
    </row>
    <row r="4604" spans="2:11" ht="19" customHeight="1">
      <c r="B4604" s="720">
        <v>46117</v>
      </c>
      <c r="C4604" s="721" t="s">
        <v>256</v>
      </c>
      <c r="D4604" s="721" t="s">
        <v>1063</v>
      </c>
      <c r="E4604" s="721">
        <v>1</v>
      </c>
      <c r="F4604" s="722">
        <v>15</v>
      </c>
      <c r="G4604" s="722">
        <v>15</v>
      </c>
      <c r="H4604" s="466">
        <f>G4604/1.1</f>
        <v>13.636363636363635</v>
      </c>
      <c r="I4604" s="721">
        <v>0</v>
      </c>
      <c r="J4604" s="721">
        <v>0</v>
      </c>
      <c r="K4604" s="721">
        <v>0</v>
      </c>
    </row>
    <row r="4605" spans="2:11" ht="19" customHeight="1">
      <c r="B4605" s="720">
        <v>46117</v>
      </c>
      <c r="C4605" s="721" t="s">
        <v>256</v>
      </c>
      <c r="D4605" s="721" t="s">
        <v>1240</v>
      </c>
      <c r="E4605" s="721">
        <v>1</v>
      </c>
      <c r="F4605" s="722">
        <v>13.95</v>
      </c>
      <c r="G4605" s="722">
        <v>13.95</v>
      </c>
      <c r="H4605" s="466">
        <f>G4605/1.1</f>
        <v>12.68181818181818</v>
      </c>
      <c r="I4605" s="721">
        <v>0</v>
      </c>
      <c r="J4605" s="721">
        <v>0</v>
      </c>
      <c r="K4605" s="721">
        <v>0</v>
      </c>
    </row>
    <row r="4606" spans="2:11" ht="19" customHeight="1">
      <c r="B4606" s="720">
        <v>46117</v>
      </c>
      <c r="C4606" s="721" t="s">
        <v>256</v>
      </c>
      <c r="D4606" s="721" t="s">
        <v>931</v>
      </c>
      <c r="E4606" s="721">
        <v>1</v>
      </c>
      <c r="F4606" s="722">
        <v>8.5</v>
      </c>
      <c r="G4606" s="722">
        <v>8.5</v>
      </c>
      <c r="H4606" s="466">
        <f>G4606/1.1</f>
        <v>7.7272727272727266</v>
      </c>
      <c r="I4606" s="721">
        <v>0</v>
      </c>
      <c r="J4606" s="721">
        <v>0</v>
      </c>
      <c r="K4606" s="721">
        <v>0</v>
      </c>
    </row>
    <row r="4607" spans="2:11" ht="19" customHeight="1">
      <c r="B4607" s="720">
        <v>46117</v>
      </c>
      <c r="C4607" s="721" t="s">
        <v>264</v>
      </c>
      <c r="D4607" s="721" t="s">
        <v>930</v>
      </c>
      <c r="E4607" s="721">
        <v>1</v>
      </c>
      <c r="F4607" s="722">
        <v>3.5</v>
      </c>
      <c r="G4607" s="722">
        <v>3.5</v>
      </c>
      <c r="H4607" s="466">
        <f>G4607/1.1</f>
        <v>3.1818181818181817</v>
      </c>
      <c r="I4607" s="721">
        <v>0</v>
      </c>
      <c r="J4607" s="721">
        <v>0</v>
      </c>
      <c r="K4607" s="721">
        <v>0</v>
      </c>
    </row>
    <row r="4608" spans="2:11" ht="19" customHeight="1">
      <c r="B4608" s="720">
        <v>46117</v>
      </c>
      <c r="C4608" s="721" t="s">
        <v>256</v>
      </c>
      <c r="D4608" s="721" t="s">
        <v>685</v>
      </c>
      <c r="E4608" s="721">
        <v>1</v>
      </c>
      <c r="F4608" s="722">
        <v>9</v>
      </c>
      <c r="G4608" s="722">
        <v>9</v>
      </c>
      <c r="H4608" s="466">
        <f>G4608/1.1</f>
        <v>8.1818181818181817</v>
      </c>
      <c r="I4608" s="721">
        <v>0</v>
      </c>
      <c r="J4608" s="721">
        <v>0</v>
      </c>
      <c r="K4608" s="721">
        <v>0</v>
      </c>
    </row>
    <row r="4609" spans="2:11" ht="19" customHeight="1">
      <c r="B4609" s="464">
        <v>46117</v>
      </c>
      <c r="C4609" s="436" t="s">
        <v>247</v>
      </c>
      <c r="D4609" s="436" t="s">
        <v>248</v>
      </c>
      <c r="E4609" s="436">
        <v>1</v>
      </c>
      <c r="F4609" s="465">
        <v>1.5</v>
      </c>
      <c r="G4609" s="466">
        <v>1.5</v>
      </c>
      <c r="H4609" s="466">
        <f>G4609/1.1</f>
        <v>1.3636363636363635</v>
      </c>
      <c r="I4609" s="436"/>
      <c r="J4609" s="465"/>
      <c r="K4609" s="465"/>
    </row>
    <row r="4610" spans="2:11" ht="19" customHeight="1">
      <c r="B4610" s="464">
        <v>46117</v>
      </c>
      <c r="C4610" s="436" t="s">
        <v>268</v>
      </c>
      <c r="D4610" s="436" t="s">
        <v>858</v>
      </c>
      <c r="E4610" s="436">
        <v>1</v>
      </c>
      <c r="F4610" s="465">
        <v>0.65</v>
      </c>
      <c r="G4610" s="466">
        <v>0.65</v>
      </c>
      <c r="H4610" s="466">
        <f>G4610/1.1</f>
        <v>0.59090909090909083</v>
      </c>
      <c r="I4610" s="436"/>
      <c r="J4610" s="465"/>
      <c r="K4610" s="465"/>
    </row>
    <row r="4611" spans="2:11" ht="19" customHeight="1">
      <c r="B4611" s="464">
        <v>46118</v>
      </c>
      <c r="C4611" s="436" t="s">
        <v>247</v>
      </c>
      <c r="D4611" s="436" t="s">
        <v>1241</v>
      </c>
      <c r="E4611" s="436">
        <v>1</v>
      </c>
      <c r="F4611" s="465">
        <v>1.7</v>
      </c>
      <c r="G4611" s="466">
        <v>1.7</v>
      </c>
      <c r="H4611" s="466">
        <f>G4611/1.1</f>
        <v>1.5454545454545452</v>
      </c>
      <c r="I4611" s="436"/>
      <c r="J4611" s="465"/>
      <c r="K4611" s="465"/>
    </row>
    <row r="4612" spans="2:11" ht="19" customHeight="1">
      <c r="B4612" s="464">
        <v>46118</v>
      </c>
      <c r="C4612" s="436" t="s">
        <v>328</v>
      </c>
      <c r="D4612" s="436" t="s">
        <v>769</v>
      </c>
      <c r="E4612" s="436">
        <v>1</v>
      </c>
      <c r="F4612" s="465">
        <v>3.1</v>
      </c>
      <c r="G4612" s="466">
        <v>3.1</v>
      </c>
      <c r="H4612" s="466">
        <f>G4612/1.1</f>
        <v>2.8181818181818179</v>
      </c>
      <c r="I4612" s="436"/>
      <c r="J4612" s="465"/>
      <c r="K4612" s="465"/>
    </row>
    <row r="4613" spans="2:11" ht="19" customHeight="1">
      <c r="B4613" s="464">
        <v>46118</v>
      </c>
      <c r="C4613" s="436" t="s">
        <v>247</v>
      </c>
      <c r="D4613" s="436" t="s">
        <v>248</v>
      </c>
      <c r="E4613" s="436">
        <v>1</v>
      </c>
      <c r="F4613" s="465">
        <v>1.5</v>
      </c>
      <c r="G4613" s="466">
        <v>1.5</v>
      </c>
      <c r="H4613" s="466">
        <f>G4613/1.1</f>
        <v>1.3636363636363635</v>
      </c>
      <c r="I4613" s="436"/>
      <c r="J4613" s="465"/>
      <c r="K4613" s="465"/>
    </row>
    <row r="4614" spans="2:11" ht="19" customHeight="1">
      <c r="B4614" s="464">
        <v>46118</v>
      </c>
      <c r="C4614" s="436" t="s">
        <v>725</v>
      </c>
      <c r="D4614" s="436" t="s">
        <v>698</v>
      </c>
      <c r="E4614" s="436">
        <v>1</v>
      </c>
      <c r="F4614" s="465">
        <v>2.5499999999999998</v>
      </c>
      <c r="G4614" s="466">
        <v>2.5499999999999998</v>
      </c>
      <c r="H4614" s="466">
        <f>G4614/1.1</f>
        <v>2.3181818181818179</v>
      </c>
      <c r="I4614" s="436"/>
      <c r="J4614" s="465"/>
      <c r="K4614" s="465"/>
    </row>
    <row r="4615" spans="2:11" ht="19" customHeight="1">
      <c r="B4615" s="464">
        <v>46118</v>
      </c>
      <c r="C4615" s="436" t="s">
        <v>268</v>
      </c>
      <c r="D4615" s="436" t="s">
        <v>1242</v>
      </c>
      <c r="E4615" s="436">
        <v>1</v>
      </c>
      <c r="F4615" s="465">
        <v>0.75</v>
      </c>
      <c r="G4615" s="466">
        <v>0.75</v>
      </c>
      <c r="H4615" s="466">
        <f>G4615/1.1</f>
        <v>0.68181818181818177</v>
      </c>
      <c r="I4615" s="436"/>
      <c r="J4615" s="465"/>
      <c r="K4615" s="465"/>
    </row>
    <row r="4616" spans="2:11" ht="19" customHeight="1">
      <c r="B4616" s="464">
        <v>46118</v>
      </c>
      <c r="C4616" s="436" t="s">
        <v>247</v>
      </c>
      <c r="D4616" s="436" t="s">
        <v>1241</v>
      </c>
      <c r="E4616" s="436">
        <v>1</v>
      </c>
      <c r="F4616" s="465">
        <v>1.7</v>
      </c>
      <c r="G4616" s="466">
        <v>1.7</v>
      </c>
      <c r="H4616" s="466">
        <f>G4616/1.1</f>
        <v>1.5454545454545452</v>
      </c>
      <c r="I4616" s="436"/>
      <c r="J4616" s="465"/>
      <c r="K4616" s="465"/>
    </row>
    <row r="4617" spans="2:11" ht="19" customHeight="1">
      <c r="B4617" s="464">
        <v>46118</v>
      </c>
      <c r="C4617" s="436" t="s">
        <v>268</v>
      </c>
      <c r="D4617" s="436" t="s">
        <v>1243</v>
      </c>
      <c r="E4617" s="436">
        <v>2</v>
      </c>
      <c r="F4617" s="465">
        <v>5.7</v>
      </c>
      <c r="G4617" s="466">
        <v>11.4</v>
      </c>
      <c r="H4617" s="466">
        <f>G4617/1.1</f>
        <v>10.363636363636363</v>
      </c>
      <c r="I4617" s="436"/>
      <c r="J4617" s="465"/>
      <c r="K4617" s="465"/>
    </row>
    <row r="4618" spans="2:11" ht="19" customHeight="1">
      <c r="B4618" s="464">
        <v>46118</v>
      </c>
      <c r="C4618" s="436" t="s">
        <v>247</v>
      </c>
      <c r="D4618" s="436" t="s">
        <v>742</v>
      </c>
      <c r="E4618" s="436">
        <v>1</v>
      </c>
      <c r="F4618" s="465">
        <v>2.75</v>
      </c>
      <c r="G4618" s="466">
        <v>2.75</v>
      </c>
      <c r="H4618" s="466">
        <f>G4618/1.1</f>
        <v>2.5</v>
      </c>
      <c r="I4618" s="436"/>
      <c r="J4618" s="465"/>
      <c r="K4618" s="465"/>
    </row>
    <row r="4619" spans="2:11" ht="19" customHeight="1">
      <c r="B4619" s="464">
        <v>46118</v>
      </c>
      <c r="C4619" s="436" t="s">
        <v>328</v>
      </c>
      <c r="D4619" s="436" t="s">
        <v>769</v>
      </c>
      <c r="E4619" s="436">
        <v>1</v>
      </c>
      <c r="F4619" s="465">
        <v>5.4</v>
      </c>
      <c r="G4619" s="466">
        <v>5.4</v>
      </c>
      <c r="H4619" s="466">
        <f>G4619/1.1</f>
        <v>4.9090909090909092</v>
      </c>
      <c r="I4619" s="436"/>
      <c r="J4619" s="465"/>
      <c r="K4619" s="465"/>
    </row>
    <row r="4620" spans="2:11" ht="19" customHeight="1">
      <c r="B4620" s="464">
        <v>46118</v>
      </c>
      <c r="C4620" s="436" t="s">
        <v>247</v>
      </c>
      <c r="D4620" s="436" t="s">
        <v>1241</v>
      </c>
      <c r="E4620" s="436">
        <v>1</v>
      </c>
      <c r="F4620" s="465">
        <v>1.7</v>
      </c>
      <c r="G4620" s="466">
        <v>1.7</v>
      </c>
      <c r="H4620" s="466">
        <f>G4620/1.1</f>
        <v>1.5454545454545452</v>
      </c>
      <c r="I4620" s="436"/>
      <c r="J4620" s="465"/>
      <c r="K4620" s="465"/>
    </row>
    <row r="4621" spans="2:11" ht="19" customHeight="1">
      <c r="B4621" s="464">
        <v>46118</v>
      </c>
      <c r="C4621" s="436" t="s">
        <v>268</v>
      </c>
      <c r="D4621" s="436" t="s">
        <v>1244</v>
      </c>
      <c r="E4621" s="436">
        <v>1</v>
      </c>
      <c r="F4621" s="465">
        <v>1.5</v>
      </c>
      <c r="G4621" s="466">
        <v>1.5</v>
      </c>
      <c r="H4621" s="466">
        <f>G4621/1.1</f>
        <v>1.3636363636363635</v>
      </c>
      <c r="I4621" s="436"/>
      <c r="J4621" s="465"/>
      <c r="K4621" s="465"/>
    </row>
    <row r="4622" spans="2:11" ht="19" customHeight="1">
      <c r="B4622" s="464">
        <v>46118</v>
      </c>
      <c r="C4622" s="436" t="s">
        <v>247</v>
      </c>
      <c r="D4622" s="436" t="s">
        <v>1241</v>
      </c>
      <c r="E4622" s="436">
        <v>1</v>
      </c>
      <c r="F4622" s="465">
        <v>1.7</v>
      </c>
      <c r="G4622" s="466">
        <v>1.7</v>
      </c>
      <c r="H4622" s="466">
        <f>G4622/1.1</f>
        <v>1.5454545454545452</v>
      </c>
      <c r="I4622" s="436"/>
      <c r="J4622" s="465"/>
      <c r="K4622" s="465"/>
    </row>
    <row r="4623" spans="2:11" ht="19" customHeight="1">
      <c r="B4623" s="464">
        <v>46118</v>
      </c>
      <c r="C4623" s="436" t="s">
        <v>253</v>
      </c>
      <c r="D4623" s="436" t="s">
        <v>252</v>
      </c>
      <c r="E4623" s="436">
        <v>1</v>
      </c>
      <c r="F4623" s="465">
        <v>2.5</v>
      </c>
      <c r="G4623" s="466">
        <v>2.5</v>
      </c>
      <c r="H4623" s="466">
        <f>G4623/1.1</f>
        <v>2.2727272727272725</v>
      </c>
      <c r="I4623" s="436"/>
      <c r="J4623" s="465"/>
      <c r="K4623" s="465"/>
    </row>
    <row r="4624" spans="2:11" ht="19" customHeight="1">
      <c r="B4624" s="464">
        <v>46118</v>
      </c>
      <c r="C4624" s="436" t="s">
        <v>328</v>
      </c>
      <c r="D4624" s="436" t="s">
        <v>829</v>
      </c>
      <c r="E4624" s="436">
        <v>1</v>
      </c>
      <c r="F4624" s="465">
        <v>8.6999999999999993</v>
      </c>
      <c r="G4624" s="466">
        <v>8.6999999999999993</v>
      </c>
      <c r="H4624" s="466">
        <f>G4624/1.1</f>
        <v>7.9090909090909074</v>
      </c>
      <c r="I4624" s="436"/>
      <c r="J4624" s="465"/>
      <c r="K4624" s="465"/>
    </row>
    <row r="4625" spans="2:11" ht="19" customHeight="1">
      <c r="B4625" s="464">
        <v>46118</v>
      </c>
      <c r="C4625" s="436" t="s">
        <v>251</v>
      </c>
      <c r="D4625" s="436" t="s">
        <v>265</v>
      </c>
      <c r="E4625" s="436">
        <v>1</v>
      </c>
      <c r="F4625" s="465">
        <v>2.65</v>
      </c>
      <c r="G4625" s="466">
        <v>2.65</v>
      </c>
      <c r="H4625" s="466">
        <f>G4625/1.1</f>
        <v>2.4090909090909087</v>
      </c>
      <c r="I4625" s="436"/>
      <c r="J4625" s="465"/>
      <c r="K4625" s="465"/>
    </row>
    <row r="4626" spans="2:11" ht="19" customHeight="1">
      <c r="B4626" s="464">
        <v>46118</v>
      </c>
      <c r="C4626" s="436" t="s">
        <v>275</v>
      </c>
      <c r="D4626" s="436" t="s">
        <v>1245</v>
      </c>
      <c r="E4626" s="436">
        <v>1</v>
      </c>
      <c r="F4626" s="465">
        <v>5.75</v>
      </c>
      <c r="G4626" s="466">
        <v>5.75</v>
      </c>
      <c r="H4626" s="466">
        <f>G4626/1.1</f>
        <v>5.2272727272727266</v>
      </c>
      <c r="I4626" s="436"/>
      <c r="J4626" s="465"/>
      <c r="K4626" s="465"/>
    </row>
    <row r="4627" spans="2:11" ht="19" customHeight="1">
      <c r="B4627" s="464">
        <v>46118</v>
      </c>
      <c r="C4627" s="436" t="s">
        <v>275</v>
      </c>
      <c r="D4627" s="436" t="s">
        <v>1246</v>
      </c>
      <c r="E4627" s="436">
        <v>1</v>
      </c>
      <c r="F4627" s="465">
        <v>0.75</v>
      </c>
      <c r="G4627" s="466">
        <v>0.75</v>
      </c>
      <c r="H4627" s="466">
        <f>G4627/1.1</f>
        <v>0.68181818181818177</v>
      </c>
      <c r="I4627" s="436"/>
      <c r="J4627" s="465"/>
      <c r="K4627" s="465"/>
    </row>
    <row r="4628" spans="2:11" ht="19" customHeight="1">
      <c r="B4628" s="464">
        <v>46118</v>
      </c>
      <c r="C4628" s="436" t="s">
        <v>247</v>
      </c>
      <c r="D4628" s="436" t="s">
        <v>1241</v>
      </c>
      <c r="E4628" s="436">
        <v>2</v>
      </c>
      <c r="F4628" s="465">
        <v>1.7</v>
      </c>
      <c r="G4628" s="466">
        <v>3.4</v>
      </c>
      <c r="H4628" s="466">
        <f>G4628/1.1</f>
        <v>3.0909090909090904</v>
      </c>
      <c r="I4628" s="436"/>
      <c r="J4628" s="465"/>
      <c r="K4628" s="465"/>
    </row>
    <row r="4629" spans="2:11" ht="19" customHeight="1">
      <c r="B4629" s="464">
        <v>46118</v>
      </c>
      <c r="C4629" s="436" t="s">
        <v>268</v>
      </c>
      <c r="D4629" s="436" t="s">
        <v>1242</v>
      </c>
      <c r="E4629" s="436">
        <v>2</v>
      </c>
      <c r="F4629" s="465">
        <v>2.25</v>
      </c>
      <c r="G4629" s="466">
        <v>4.5</v>
      </c>
      <c r="H4629" s="466">
        <f>G4629/1.1</f>
        <v>4.0909090909090908</v>
      </c>
      <c r="I4629" s="436"/>
      <c r="J4629" s="465"/>
      <c r="K4629" s="465"/>
    </row>
    <row r="4630" spans="2:11" ht="19" customHeight="1">
      <c r="B4630" s="464">
        <v>46118</v>
      </c>
      <c r="C4630" s="436" t="s">
        <v>247</v>
      </c>
      <c r="D4630" s="436" t="s">
        <v>1241</v>
      </c>
      <c r="E4630" s="436">
        <v>3</v>
      </c>
      <c r="F4630" s="465">
        <v>1.7</v>
      </c>
      <c r="G4630" s="466">
        <v>5.0999999999999996</v>
      </c>
      <c r="H4630" s="466">
        <f>G4630/1.1</f>
        <v>4.6363636363636358</v>
      </c>
      <c r="I4630" s="436"/>
      <c r="J4630" s="465"/>
      <c r="K4630" s="465"/>
    </row>
    <row r="4631" spans="2:11" ht="19" customHeight="1">
      <c r="B4631" s="464">
        <v>46118</v>
      </c>
      <c r="C4631" s="436" t="s">
        <v>251</v>
      </c>
      <c r="D4631" s="436" t="s">
        <v>957</v>
      </c>
      <c r="E4631" s="436">
        <v>1</v>
      </c>
      <c r="F4631" s="465">
        <v>2.65</v>
      </c>
      <c r="G4631" s="466">
        <v>2.65</v>
      </c>
      <c r="H4631" s="466">
        <f>G4631/1.1</f>
        <v>2.4090909090909087</v>
      </c>
      <c r="I4631" s="436"/>
      <c r="J4631" s="465"/>
      <c r="K4631" s="465"/>
    </row>
    <row r="4632" spans="2:11" ht="19" customHeight="1">
      <c r="B4632" s="464">
        <v>46118</v>
      </c>
      <c r="C4632" s="436" t="s">
        <v>328</v>
      </c>
      <c r="D4632" s="436" t="s">
        <v>1247</v>
      </c>
      <c r="E4632" s="436">
        <v>1</v>
      </c>
      <c r="F4632" s="465">
        <v>4.5999999999999996</v>
      </c>
      <c r="G4632" s="466">
        <v>4.5999999999999996</v>
      </c>
      <c r="H4632" s="466">
        <f>G4632/1.1</f>
        <v>4.1818181818181808</v>
      </c>
      <c r="I4632" s="436"/>
      <c r="J4632" s="465"/>
      <c r="K4632" s="465"/>
    </row>
    <row r="4633" spans="2:11" ht="19" customHeight="1">
      <c r="B4633" s="464">
        <v>46118</v>
      </c>
      <c r="C4633" s="436" t="s">
        <v>328</v>
      </c>
      <c r="D4633" s="436" t="s">
        <v>891</v>
      </c>
      <c r="E4633" s="436">
        <v>1</v>
      </c>
      <c r="F4633" s="465">
        <v>1.4</v>
      </c>
      <c r="G4633" s="466">
        <v>1.4</v>
      </c>
      <c r="H4633" s="466">
        <f>G4633/1.1</f>
        <v>1.2727272727272725</v>
      </c>
      <c r="I4633" s="436"/>
      <c r="J4633" s="465"/>
      <c r="K4633" s="465"/>
    </row>
    <row r="4634" spans="2:11" ht="19" customHeight="1">
      <c r="B4634" s="464">
        <v>46118</v>
      </c>
      <c r="C4634" s="436" t="s">
        <v>328</v>
      </c>
      <c r="D4634" s="436" t="s">
        <v>761</v>
      </c>
      <c r="E4634" s="436">
        <v>1</v>
      </c>
      <c r="F4634" s="465">
        <v>3.1</v>
      </c>
      <c r="G4634" s="466">
        <v>3.1</v>
      </c>
      <c r="H4634" s="466">
        <f>G4634/1.1</f>
        <v>2.8181818181818179</v>
      </c>
      <c r="I4634" s="436"/>
      <c r="J4634" s="465"/>
      <c r="K4634" s="465"/>
    </row>
    <row r="4635" spans="2:11" ht="19" customHeight="1">
      <c r="B4635" s="464">
        <v>46118</v>
      </c>
      <c r="C4635" s="436" t="s">
        <v>328</v>
      </c>
      <c r="D4635" s="436" t="s">
        <v>1248</v>
      </c>
      <c r="E4635" s="436">
        <v>1</v>
      </c>
      <c r="F4635" s="465">
        <v>0.05</v>
      </c>
      <c r="G4635" s="466">
        <v>0.05</v>
      </c>
      <c r="H4635" s="466">
        <f>G4635/1.1</f>
        <v>4.5454545454545456E-2</v>
      </c>
      <c r="I4635" s="436"/>
      <c r="J4635" s="465"/>
      <c r="K4635" s="465"/>
    </row>
    <row r="4636" spans="2:11" ht="19" customHeight="1">
      <c r="B4636" s="464">
        <v>46120</v>
      </c>
      <c r="C4636" s="436" t="s">
        <v>247</v>
      </c>
      <c r="D4636" s="436" t="s">
        <v>257</v>
      </c>
      <c r="E4636" s="436">
        <v>1</v>
      </c>
      <c r="F4636" s="465">
        <v>1.55</v>
      </c>
      <c r="G4636" s="466">
        <v>1.55</v>
      </c>
      <c r="H4636" s="466">
        <f>G4636/1.1</f>
        <v>1.4090909090909089</v>
      </c>
      <c r="I4636" s="436"/>
      <c r="J4636" s="465">
        <v>0</v>
      </c>
      <c r="K4636" s="465">
        <v>0</v>
      </c>
    </row>
    <row r="4637" spans="2:11" ht="19" customHeight="1">
      <c r="B4637" s="464">
        <v>46120</v>
      </c>
      <c r="C4637" s="436" t="s">
        <v>247</v>
      </c>
      <c r="D4637" s="436" t="s">
        <v>248</v>
      </c>
      <c r="E4637" s="436">
        <v>3</v>
      </c>
      <c r="F4637" s="465">
        <v>1.65</v>
      </c>
      <c r="G4637" s="466">
        <v>4.95</v>
      </c>
      <c r="H4637" s="466">
        <f>G4637/1.1</f>
        <v>4.5</v>
      </c>
      <c r="I4637" s="436"/>
      <c r="J4637" s="465">
        <v>0</v>
      </c>
      <c r="K4637" s="465">
        <v>0</v>
      </c>
    </row>
    <row r="4638" spans="2:11" ht="19" customHeight="1">
      <c r="B4638" s="464">
        <v>46120</v>
      </c>
      <c r="C4638" s="436" t="s">
        <v>247</v>
      </c>
      <c r="D4638" s="436" t="s">
        <v>246</v>
      </c>
      <c r="E4638" s="436">
        <v>1</v>
      </c>
      <c r="F4638" s="465">
        <v>1.7</v>
      </c>
      <c r="G4638" s="466">
        <v>1.7</v>
      </c>
      <c r="H4638" s="466">
        <f>G4638/1.1</f>
        <v>1.5454545454545452</v>
      </c>
      <c r="I4638" s="436"/>
      <c r="J4638" s="465">
        <v>0</v>
      </c>
      <c r="K4638" s="465">
        <v>0</v>
      </c>
    </row>
    <row r="4639" spans="2:11" ht="19" customHeight="1">
      <c r="B4639" s="464">
        <v>46120</v>
      </c>
      <c r="C4639" s="436" t="s">
        <v>247</v>
      </c>
      <c r="D4639" s="436" t="s">
        <v>246</v>
      </c>
      <c r="E4639" s="436">
        <v>1</v>
      </c>
      <c r="F4639" s="465">
        <v>1.7</v>
      </c>
      <c r="G4639" s="466">
        <v>1.7</v>
      </c>
      <c r="H4639" s="466">
        <f>G4639/1.1</f>
        <v>1.5454545454545452</v>
      </c>
      <c r="I4639" s="436"/>
      <c r="J4639" s="465">
        <v>0</v>
      </c>
      <c r="K4639" s="465">
        <v>0</v>
      </c>
    </row>
    <row r="4640" spans="2:11" ht="19" customHeight="1">
      <c r="B4640" s="464">
        <v>46120</v>
      </c>
      <c r="C4640" s="436" t="s">
        <v>862</v>
      </c>
      <c r="D4640" s="436" t="s">
        <v>863</v>
      </c>
      <c r="E4640" s="436">
        <v>1</v>
      </c>
      <c r="F4640" s="465">
        <v>0.15</v>
      </c>
      <c r="G4640" s="466">
        <v>0.15</v>
      </c>
      <c r="H4640" s="466">
        <f>G4640/1.1</f>
        <v>0.13636363636363635</v>
      </c>
      <c r="I4640" s="436"/>
      <c r="J4640" s="465">
        <v>0</v>
      </c>
      <c r="K4640" s="465">
        <v>0</v>
      </c>
    </row>
    <row r="4641" spans="2:11" ht="19" customHeight="1">
      <c r="B4641" s="464">
        <v>46120</v>
      </c>
      <c r="C4641" s="436" t="s">
        <v>256</v>
      </c>
      <c r="D4641" s="436" t="s">
        <v>262</v>
      </c>
      <c r="E4641" s="436">
        <v>1</v>
      </c>
      <c r="F4641" s="465">
        <v>12.15</v>
      </c>
      <c r="G4641" s="466">
        <v>12.15</v>
      </c>
      <c r="H4641" s="466">
        <f>G4641/1.1</f>
        <v>11.045454545454545</v>
      </c>
      <c r="I4641" s="436"/>
      <c r="J4641" s="465">
        <v>0</v>
      </c>
      <c r="K4641" s="465">
        <v>0</v>
      </c>
    </row>
    <row r="4642" spans="2:11" ht="19" customHeight="1">
      <c r="B4642" s="464">
        <v>46120</v>
      </c>
      <c r="C4642" s="436" t="s">
        <v>256</v>
      </c>
      <c r="D4642" s="436" t="s">
        <v>255</v>
      </c>
      <c r="E4642" s="436">
        <v>1</v>
      </c>
      <c r="F4642" s="465">
        <v>5.85</v>
      </c>
      <c r="G4642" s="466">
        <v>5.85</v>
      </c>
      <c r="H4642" s="466">
        <f>G4642/1.1</f>
        <v>5.3181818181818175</v>
      </c>
      <c r="I4642" s="436"/>
      <c r="J4642" s="465">
        <v>0</v>
      </c>
      <c r="K4642" s="465">
        <v>0</v>
      </c>
    </row>
    <row r="4643" spans="2:11" ht="19" customHeight="1">
      <c r="B4643" s="464">
        <v>46120</v>
      </c>
      <c r="C4643" s="436" t="s">
        <v>251</v>
      </c>
      <c r="D4643" s="436" t="s">
        <v>265</v>
      </c>
      <c r="E4643" s="436">
        <v>1</v>
      </c>
      <c r="F4643" s="465">
        <v>2.8</v>
      </c>
      <c r="G4643" s="466">
        <v>2.8</v>
      </c>
      <c r="H4643" s="466">
        <f>G4643/1.1</f>
        <v>2.545454545454545</v>
      </c>
      <c r="I4643" s="436"/>
      <c r="J4643" s="465">
        <v>0</v>
      </c>
      <c r="K4643" s="465">
        <v>0</v>
      </c>
    </row>
    <row r="4644" spans="2:11" ht="19" customHeight="1">
      <c r="B4644" s="464">
        <v>46120</v>
      </c>
      <c r="C4644" s="436" t="s">
        <v>253</v>
      </c>
      <c r="D4644" s="436" t="s">
        <v>965</v>
      </c>
      <c r="E4644" s="436">
        <v>1</v>
      </c>
      <c r="F4644" s="465">
        <v>2.65</v>
      </c>
      <c r="G4644" s="466">
        <v>2.65</v>
      </c>
      <c r="H4644" s="466">
        <f>G4644/1.1</f>
        <v>2.4090909090909087</v>
      </c>
      <c r="I4644" s="436"/>
      <c r="J4644" s="465">
        <v>0</v>
      </c>
      <c r="K4644" s="465">
        <v>0</v>
      </c>
    </row>
    <row r="4645" spans="2:11" ht="19" customHeight="1">
      <c r="B4645" s="464">
        <v>46120</v>
      </c>
      <c r="C4645" s="436" t="s">
        <v>253</v>
      </c>
      <c r="D4645" s="436" t="s">
        <v>869</v>
      </c>
      <c r="E4645" s="436">
        <v>2</v>
      </c>
      <c r="F4645" s="465">
        <v>2.5</v>
      </c>
      <c r="G4645" s="466">
        <v>5</v>
      </c>
      <c r="H4645" s="466">
        <f>G4645/1.1</f>
        <v>4.545454545454545</v>
      </c>
      <c r="I4645" s="436"/>
      <c r="J4645" s="465">
        <v>0</v>
      </c>
      <c r="K4645" s="465">
        <v>0</v>
      </c>
    </row>
    <row r="4646" spans="2:11" ht="19" customHeight="1">
      <c r="B4646" s="464">
        <v>46120</v>
      </c>
      <c r="C4646" s="436" t="s">
        <v>1079</v>
      </c>
      <c r="D4646" s="436" t="s">
        <v>1235</v>
      </c>
      <c r="E4646" s="436">
        <v>-4</v>
      </c>
      <c r="F4646" s="465">
        <v>-10</v>
      </c>
      <c r="G4646" s="466">
        <v>40</v>
      </c>
      <c r="H4646" s="466">
        <f>G4646/1.1</f>
        <v>36.36363636363636</v>
      </c>
      <c r="I4646" s="436"/>
      <c r="J4646" s="465">
        <v>0</v>
      </c>
      <c r="K4646" s="465">
        <v>0</v>
      </c>
    </row>
    <row r="4647" spans="2:11" ht="19" customHeight="1">
      <c r="B4647" s="464">
        <v>46120</v>
      </c>
      <c r="C4647" s="436" t="s">
        <v>254</v>
      </c>
      <c r="D4647" s="881" t="s">
        <v>254</v>
      </c>
      <c r="E4647" s="436">
        <v>2</v>
      </c>
      <c r="F4647" s="465">
        <v>14.9</v>
      </c>
      <c r="G4647" s="466">
        <v>29.8</v>
      </c>
      <c r="H4647" s="466">
        <f>G4647/1.1</f>
        <v>27.09090909090909</v>
      </c>
      <c r="I4647" s="436"/>
      <c r="J4647" s="465">
        <v>0</v>
      </c>
      <c r="K4647" s="465">
        <v>0</v>
      </c>
    </row>
    <row r="4648" spans="2:11" ht="19" customHeight="1">
      <c r="B4648" s="464">
        <v>46120</v>
      </c>
      <c r="C4648" s="436" t="s">
        <v>873</v>
      </c>
      <c r="D4648" s="881" t="s">
        <v>1108</v>
      </c>
      <c r="E4648" s="436">
        <v>2</v>
      </c>
      <c r="F4648" s="469"/>
      <c r="G4648" s="468" t="s">
        <v>875</v>
      </c>
      <c r="H4648" s="466" t="e">
        <f>G4648/1.1</f>
        <v>#VALUE!</v>
      </c>
      <c r="I4648" s="436"/>
      <c r="J4648" s="465">
        <v>0</v>
      </c>
      <c r="K4648" s="465">
        <v>0</v>
      </c>
    </row>
    <row r="4649" spans="2:11" ht="19" customHeight="1">
      <c r="B4649" s="464">
        <v>46120</v>
      </c>
      <c r="C4649" s="436" t="s">
        <v>877</v>
      </c>
      <c r="D4649" s="881" t="s">
        <v>1222</v>
      </c>
      <c r="E4649" s="436">
        <v>1</v>
      </c>
      <c r="F4649" s="469"/>
      <c r="G4649" s="468" t="s">
        <v>875</v>
      </c>
      <c r="H4649" s="466" t="e">
        <f>G4649/1.1</f>
        <v>#VALUE!</v>
      </c>
      <c r="I4649" s="436"/>
      <c r="J4649" s="465">
        <v>0</v>
      </c>
      <c r="K4649" s="465">
        <v>0</v>
      </c>
    </row>
    <row r="4650" spans="2:11" ht="19" customHeight="1">
      <c r="B4650" s="464">
        <v>46120</v>
      </c>
      <c r="C4650" s="436" t="s">
        <v>877</v>
      </c>
      <c r="D4650" s="881" t="s">
        <v>1221</v>
      </c>
      <c r="E4650" s="436">
        <v>1</v>
      </c>
      <c r="F4650" s="469"/>
      <c r="G4650" s="468" t="s">
        <v>875</v>
      </c>
      <c r="H4650" s="466" t="e">
        <f>G4650/1.1</f>
        <v>#VALUE!</v>
      </c>
      <c r="I4650" s="436"/>
      <c r="J4650" s="465">
        <v>0</v>
      </c>
      <c r="K4650" s="465">
        <v>0</v>
      </c>
    </row>
    <row r="4651" spans="2:11" ht="19" customHeight="1">
      <c r="B4651" s="464">
        <v>46120</v>
      </c>
      <c r="C4651" s="436" t="s">
        <v>266</v>
      </c>
      <c r="D4651" s="881" t="s">
        <v>265</v>
      </c>
      <c r="E4651" s="436">
        <v>1</v>
      </c>
      <c r="F4651" s="465">
        <v>1</v>
      </c>
      <c r="G4651" s="466">
        <v>1</v>
      </c>
      <c r="H4651" s="466">
        <f>G4651/1.1</f>
        <v>0.90909090909090906</v>
      </c>
      <c r="I4651" s="436"/>
      <c r="J4651" s="465">
        <v>0</v>
      </c>
      <c r="K4651" s="465">
        <v>0</v>
      </c>
    </row>
    <row r="4652" spans="2:11" ht="19" customHeight="1">
      <c r="B4652" s="464">
        <v>46120</v>
      </c>
      <c r="C4652" s="436" t="s">
        <v>266</v>
      </c>
      <c r="D4652" s="881" t="s">
        <v>991</v>
      </c>
      <c r="E4652" s="436">
        <v>1</v>
      </c>
      <c r="F4652" s="469"/>
      <c r="G4652" s="468" t="s">
        <v>875</v>
      </c>
      <c r="H4652" s="466" t="e">
        <f>G4652/1.1</f>
        <v>#VALUE!</v>
      </c>
      <c r="I4652" s="436"/>
      <c r="J4652" s="465">
        <v>0</v>
      </c>
      <c r="K4652" s="465">
        <v>0</v>
      </c>
    </row>
    <row r="4653" spans="2:11" ht="19" customHeight="1">
      <c r="B4653" s="464">
        <v>46120</v>
      </c>
      <c r="C4653" s="436" t="s">
        <v>258</v>
      </c>
      <c r="D4653" s="881" t="s">
        <v>248</v>
      </c>
      <c r="E4653" s="436">
        <v>2</v>
      </c>
      <c r="F4653" s="469"/>
      <c r="G4653" s="468" t="s">
        <v>875</v>
      </c>
      <c r="H4653" s="466" t="e">
        <f>G4653/1.1</f>
        <v>#VALUE!</v>
      </c>
      <c r="I4653" s="436"/>
      <c r="J4653" s="465">
        <v>0</v>
      </c>
      <c r="K4653" s="465">
        <v>0</v>
      </c>
    </row>
    <row r="4654" spans="2:11" ht="19" customHeight="1">
      <c r="B4654" s="464">
        <v>46120</v>
      </c>
      <c r="C4654" s="436" t="s">
        <v>254</v>
      </c>
      <c r="D4654" s="881" t="s">
        <v>254</v>
      </c>
      <c r="E4654" s="436">
        <v>2</v>
      </c>
      <c r="F4654" s="465">
        <v>14.9</v>
      </c>
      <c r="G4654" s="466">
        <v>29.8</v>
      </c>
      <c r="H4654" s="466">
        <f>G4654/1.1</f>
        <v>27.09090909090909</v>
      </c>
      <c r="I4654" s="436"/>
      <c r="J4654" s="465">
        <v>0</v>
      </c>
      <c r="K4654" s="465">
        <v>0</v>
      </c>
    </row>
    <row r="4655" spans="2:11" ht="19" customHeight="1">
      <c r="B4655" s="464">
        <v>46120</v>
      </c>
      <c r="C4655" s="436" t="s">
        <v>873</v>
      </c>
      <c r="D4655" s="881" t="s">
        <v>1108</v>
      </c>
      <c r="E4655" s="436">
        <v>1</v>
      </c>
      <c r="F4655" s="469"/>
      <c r="G4655" s="468" t="s">
        <v>875</v>
      </c>
      <c r="H4655" s="466" t="e">
        <f>G4655/1.1</f>
        <v>#VALUE!</v>
      </c>
      <c r="I4655" s="436"/>
      <c r="J4655" s="465">
        <v>0</v>
      </c>
      <c r="K4655" s="465">
        <v>0</v>
      </c>
    </row>
    <row r="4656" spans="2:11" ht="19" customHeight="1">
      <c r="B4656" s="464">
        <v>46120</v>
      </c>
      <c r="C4656" s="436" t="s">
        <v>873</v>
      </c>
      <c r="D4656" s="881" t="s">
        <v>1219</v>
      </c>
      <c r="E4656" s="436">
        <v>1</v>
      </c>
      <c r="F4656" s="469"/>
      <c r="G4656" s="468" t="s">
        <v>875</v>
      </c>
      <c r="H4656" s="466" t="e">
        <f>G4656/1.1</f>
        <v>#VALUE!</v>
      </c>
      <c r="I4656" s="436"/>
      <c r="J4656" s="465">
        <v>0</v>
      </c>
      <c r="K4656" s="465">
        <v>0</v>
      </c>
    </row>
    <row r="4657" spans="2:11" ht="19" customHeight="1">
      <c r="B4657" s="464">
        <v>46120</v>
      </c>
      <c r="C4657" s="436" t="s">
        <v>877</v>
      </c>
      <c r="D4657" s="881" t="s">
        <v>1220</v>
      </c>
      <c r="E4657" s="436">
        <v>2</v>
      </c>
      <c r="F4657" s="465">
        <v>3</v>
      </c>
      <c r="G4657" s="466">
        <v>6</v>
      </c>
      <c r="H4657" s="466">
        <f>G4657/1.1</f>
        <v>5.4545454545454541</v>
      </c>
      <c r="I4657" s="436"/>
      <c r="J4657" s="465">
        <v>0</v>
      </c>
      <c r="K4657" s="465">
        <v>0</v>
      </c>
    </row>
    <row r="4658" spans="2:11" ht="19" customHeight="1">
      <c r="B4658" s="464">
        <v>46120</v>
      </c>
      <c r="C4658" s="436" t="s">
        <v>266</v>
      </c>
      <c r="D4658" s="881" t="s">
        <v>708</v>
      </c>
      <c r="E4658" s="436">
        <v>2</v>
      </c>
      <c r="F4658" s="469"/>
      <c r="G4658" s="468" t="s">
        <v>875</v>
      </c>
      <c r="H4658" s="466" t="e">
        <f>G4658/1.1</f>
        <v>#VALUE!</v>
      </c>
      <c r="I4658" s="436"/>
      <c r="J4658" s="465">
        <v>0</v>
      </c>
      <c r="K4658" s="465">
        <v>0</v>
      </c>
    </row>
    <row r="4659" spans="2:11" ht="19" customHeight="1">
      <c r="B4659" s="464">
        <v>46120</v>
      </c>
      <c r="C4659" s="436" t="s">
        <v>258</v>
      </c>
      <c r="D4659" s="881" t="s">
        <v>1249</v>
      </c>
      <c r="E4659" s="436">
        <v>1</v>
      </c>
      <c r="F4659" s="469"/>
      <c r="G4659" s="468" t="s">
        <v>875</v>
      </c>
      <c r="H4659" s="466" t="e">
        <f>G4659/1.1</f>
        <v>#VALUE!</v>
      </c>
      <c r="I4659" s="436"/>
      <c r="J4659" s="465">
        <v>0</v>
      </c>
      <c r="K4659" s="465">
        <v>0</v>
      </c>
    </row>
    <row r="4660" spans="2:11" ht="19" customHeight="1">
      <c r="B4660" s="464">
        <v>46120</v>
      </c>
      <c r="C4660" s="436" t="s">
        <v>258</v>
      </c>
      <c r="D4660" s="881" t="s">
        <v>917</v>
      </c>
      <c r="E4660" s="436">
        <v>1</v>
      </c>
      <c r="F4660" s="469"/>
      <c r="G4660" s="468" t="s">
        <v>875</v>
      </c>
      <c r="H4660" s="466" t="e">
        <f>G4660/1.1</f>
        <v>#VALUE!</v>
      </c>
      <c r="I4660" s="436"/>
      <c r="J4660" s="465">
        <v>0</v>
      </c>
      <c r="K4660" s="465">
        <v>0</v>
      </c>
    </row>
    <row r="4661" spans="2:11" ht="19" customHeight="1">
      <c r="B4661" s="464">
        <v>46120</v>
      </c>
      <c r="C4661" s="436" t="s">
        <v>254</v>
      </c>
      <c r="D4661" s="881" t="s">
        <v>254</v>
      </c>
      <c r="E4661" s="436">
        <v>2</v>
      </c>
      <c r="F4661" s="465">
        <v>14.9</v>
      </c>
      <c r="G4661" s="466">
        <v>29.8</v>
      </c>
      <c r="H4661" s="466">
        <f>G4661/1.1</f>
        <v>27.09090909090909</v>
      </c>
      <c r="I4661" s="436"/>
      <c r="J4661" s="465">
        <v>0</v>
      </c>
      <c r="K4661" s="465">
        <v>0</v>
      </c>
    </row>
    <row r="4662" spans="2:11" ht="19" customHeight="1">
      <c r="B4662" s="464">
        <v>46120</v>
      </c>
      <c r="C4662" s="436" t="s">
        <v>873</v>
      </c>
      <c r="D4662" s="881" t="s">
        <v>1226</v>
      </c>
      <c r="E4662" s="436">
        <v>1</v>
      </c>
      <c r="F4662" s="469"/>
      <c r="G4662" s="468" t="s">
        <v>875</v>
      </c>
      <c r="H4662" s="466" t="e">
        <f>G4662/1.1</f>
        <v>#VALUE!</v>
      </c>
      <c r="I4662" s="436"/>
      <c r="J4662" s="465">
        <v>0</v>
      </c>
      <c r="K4662" s="465">
        <v>0</v>
      </c>
    </row>
    <row r="4663" spans="2:11" ht="19" customHeight="1">
      <c r="B4663" s="464">
        <v>46120</v>
      </c>
      <c r="C4663" s="436" t="s">
        <v>873</v>
      </c>
      <c r="D4663" s="881" t="s">
        <v>1219</v>
      </c>
      <c r="E4663" s="436">
        <v>1</v>
      </c>
      <c r="F4663" s="469"/>
      <c r="G4663" s="468" t="s">
        <v>875</v>
      </c>
      <c r="H4663" s="466" t="e">
        <f>G4663/1.1</f>
        <v>#VALUE!</v>
      </c>
      <c r="I4663" s="436"/>
      <c r="J4663" s="465">
        <v>0</v>
      </c>
      <c r="K4663" s="465">
        <v>0</v>
      </c>
    </row>
    <row r="4664" spans="2:11" ht="19" customHeight="1">
      <c r="B4664" s="464">
        <v>46120</v>
      </c>
      <c r="C4664" s="436" t="s">
        <v>877</v>
      </c>
      <c r="D4664" s="881" t="s">
        <v>1220</v>
      </c>
      <c r="E4664" s="436">
        <v>1</v>
      </c>
      <c r="F4664" s="465">
        <v>3</v>
      </c>
      <c r="G4664" s="466">
        <v>3</v>
      </c>
      <c r="H4664" s="466">
        <f>G4664/1.1</f>
        <v>2.7272727272727271</v>
      </c>
      <c r="I4664" s="436"/>
      <c r="J4664" s="465">
        <v>0</v>
      </c>
      <c r="K4664" s="465">
        <v>0</v>
      </c>
    </row>
    <row r="4665" spans="2:11" ht="19" customHeight="1">
      <c r="B4665" s="464">
        <v>46120</v>
      </c>
      <c r="C4665" s="436" t="s">
        <v>877</v>
      </c>
      <c r="D4665" s="881" t="s">
        <v>1224</v>
      </c>
      <c r="E4665" s="436">
        <v>1</v>
      </c>
      <c r="F4665" s="465">
        <v>3</v>
      </c>
      <c r="G4665" s="466">
        <v>3</v>
      </c>
      <c r="H4665" s="466">
        <f>G4665/1.1</f>
        <v>2.7272727272727271</v>
      </c>
      <c r="I4665" s="436"/>
      <c r="J4665" s="465">
        <v>0</v>
      </c>
      <c r="K4665" s="465">
        <v>0</v>
      </c>
    </row>
    <row r="4666" spans="2:11" ht="19" customHeight="1">
      <c r="B4666" s="464">
        <v>46120</v>
      </c>
      <c r="C4666" s="436" t="s">
        <v>266</v>
      </c>
      <c r="D4666" s="881" t="s">
        <v>991</v>
      </c>
      <c r="E4666" s="436">
        <v>1</v>
      </c>
      <c r="F4666" s="469"/>
      <c r="G4666" s="468" t="s">
        <v>875</v>
      </c>
      <c r="H4666" s="466" t="e">
        <f>G4666/1.1</f>
        <v>#VALUE!</v>
      </c>
      <c r="I4666" s="436"/>
      <c r="J4666" s="465">
        <v>0</v>
      </c>
      <c r="K4666" s="465">
        <v>0</v>
      </c>
    </row>
    <row r="4667" spans="2:11" ht="19" customHeight="1">
      <c r="B4667" s="464">
        <v>46120</v>
      </c>
      <c r="C4667" s="436" t="s">
        <v>266</v>
      </c>
      <c r="D4667" s="881" t="s">
        <v>1125</v>
      </c>
      <c r="E4667" s="436">
        <v>1</v>
      </c>
      <c r="F4667" s="469"/>
      <c r="G4667" s="468" t="s">
        <v>875</v>
      </c>
      <c r="H4667" s="466" t="e">
        <f>G4667/1.1</f>
        <v>#VALUE!</v>
      </c>
      <c r="I4667" s="436"/>
      <c r="J4667" s="465">
        <v>0</v>
      </c>
      <c r="K4667" s="465">
        <v>0</v>
      </c>
    </row>
    <row r="4668" spans="2:11" ht="19" customHeight="1">
      <c r="B4668" s="464">
        <v>46120</v>
      </c>
      <c r="C4668" s="436" t="s">
        <v>254</v>
      </c>
      <c r="D4668" s="881" t="s">
        <v>254</v>
      </c>
      <c r="E4668" s="436">
        <v>2</v>
      </c>
      <c r="F4668" s="465">
        <v>14.9</v>
      </c>
      <c r="G4668" s="466">
        <v>29.8</v>
      </c>
      <c r="H4668" s="466">
        <f>G4668/1.1</f>
        <v>27.09090909090909</v>
      </c>
      <c r="I4668" s="436"/>
      <c r="J4668" s="465">
        <v>0</v>
      </c>
      <c r="K4668" s="465">
        <v>0</v>
      </c>
    </row>
    <row r="4669" spans="2:11" ht="19" customHeight="1">
      <c r="B4669" s="464">
        <v>46120</v>
      </c>
      <c r="C4669" s="436" t="s">
        <v>873</v>
      </c>
      <c r="D4669" s="881" t="s">
        <v>1219</v>
      </c>
      <c r="E4669" s="436">
        <v>2</v>
      </c>
      <c r="F4669" s="469"/>
      <c r="G4669" s="468" t="s">
        <v>875</v>
      </c>
      <c r="H4669" s="466" t="e">
        <f>G4669/1.1</f>
        <v>#VALUE!</v>
      </c>
      <c r="I4669" s="436"/>
      <c r="J4669" s="465">
        <v>0</v>
      </c>
      <c r="K4669" s="465">
        <v>0</v>
      </c>
    </row>
    <row r="4670" spans="2:11" ht="19" customHeight="1">
      <c r="B4670" s="464">
        <v>46120</v>
      </c>
      <c r="C4670" s="436" t="s">
        <v>877</v>
      </c>
      <c r="D4670" s="881" t="s">
        <v>1220</v>
      </c>
      <c r="E4670" s="436">
        <v>1</v>
      </c>
      <c r="F4670" s="465">
        <v>3</v>
      </c>
      <c r="G4670" s="466">
        <v>3</v>
      </c>
      <c r="H4670" s="466">
        <f>G4670/1.1</f>
        <v>2.7272727272727271</v>
      </c>
      <c r="I4670" s="436"/>
      <c r="J4670" s="465">
        <v>0</v>
      </c>
      <c r="K4670" s="465">
        <v>0</v>
      </c>
    </row>
    <row r="4671" spans="2:11" ht="19" customHeight="1">
      <c r="B4671" s="464">
        <v>46120</v>
      </c>
      <c r="C4671" s="436" t="s">
        <v>877</v>
      </c>
      <c r="D4671" s="881" t="s">
        <v>1221</v>
      </c>
      <c r="E4671" s="436">
        <v>1</v>
      </c>
      <c r="F4671" s="469"/>
      <c r="G4671" s="468" t="s">
        <v>875</v>
      </c>
      <c r="H4671" s="466" t="e">
        <f>G4671/1.1</f>
        <v>#VALUE!</v>
      </c>
      <c r="I4671" s="436"/>
      <c r="J4671" s="465">
        <v>0</v>
      </c>
      <c r="K4671" s="465">
        <v>0</v>
      </c>
    </row>
    <row r="4672" spans="2:11" ht="19" customHeight="1">
      <c r="B4672" s="464">
        <v>46120</v>
      </c>
      <c r="C4672" s="436" t="s">
        <v>266</v>
      </c>
      <c r="D4672" s="881" t="s">
        <v>991</v>
      </c>
      <c r="E4672" s="436">
        <v>2</v>
      </c>
      <c r="F4672" s="469"/>
      <c r="G4672" s="468" t="s">
        <v>875</v>
      </c>
      <c r="H4672" s="466" t="e">
        <f>G4672/1.1</f>
        <v>#VALUE!</v>
      </c>
      <c r="I4672" s="436"/>
      <c r="J4672" s="465">
        <v>0</v>
      </c>
      <c r="K4672" s="465">
        <v>0</v>
      </c>
    </row>
    <row r="4673" spans="2:11" ht="19" customHeight="1">
      <c r="B4673" s="464">
        <v>46120</v>
      </c>
      <c r="C4673" s="436" t="s">
        <v>258</v>
      </c>
      <c r="D4673" s="881" t="s">
        <v>745</v>
      </c>
      <c r="E4673" s="436">
        <v>1</v>
      </c>
      <c r="F4673" s="469"/>
      <c r="G4673" s="468" t="s">
        <v>875</v>
      </c>
      <c r="H4673" s="466" t="e">
        <f>G4673/1.1</f>
        <v>#VALUE!</v>
      </c>
      <c r="I4673" s="436"/>
      <c r="J4673" s="465">
        <v>0</v>
      </c>
      <c r="K4673" s="465">
        <v>0</v>
      </c>
    </row>
    <row r="4674" spans="2:11" ht="19" customHeight="1">
      <c r="B4674" s="464">
        <v>46120</v>
      </c>
      <c r="C4674" s="436" t="s">
        <v>258</v>
      </c>
      <c r="D4674" s="881" t="s">
        <v>1058</v>
      </c>
      <c r="E4674" s="436">
        <v>1</v>
      </c>
      <c r="F4674" s="469"/>
      <c r="G4674" s="468" t="s">
        <v>875</v>
      </c>
      <c r="H4674" s="466" t="e">
        <f>G4674/1.1</f>
        <v>#VALUE!</v>
      </c>
      <c r="I4674" s="436"/>
      <c r="J4674" s="465">
        <v>0</v>
      </c>
      <c r="K4674" s="465">
        <v>0</v>
      </c>
    </row>
    <row r="4675" spans="2:11" ht="19" customHeight="1">
      <c r="B4675" s="464">
        <v>46120</v>
      </c>
      <c r="C4675" s="436" t="s">
        <v>254</v>
      </c>
      <c r="D4675" s="878" t="s">
        <v>254</v>
      </c>
      <c r="E4675" s="436">
        <v>1</v>
      </c>
      <c r="F4675" s="465">
        <v>14.9</v>
      </c>
      <c r="G4675" s="466">
        <v>14.9</v>
      </c>
      <c r="H4675" s="466">
        <f>G4675/1.1</f>
        <v>13.545454545454545</v>
      </c>
      <c r="I4675" s="436"/>
      <c r="J4675" s="465">
        <v>0</v>
      </c>
      <c r="K4675" s="465">
        <v>0</v>
      </c>
    </row>
    <row r="4676" spans="2:11" ht="19" customHeight="1">
      <c r="B4676" s="464">
        <v>46120</v>
      </c>
      <c r="C4676" s="436" t="s">
        <v>873</v>
      </c>
      <c r="D4676" s="878" t="s">
        <v>1219</v>
      </c>
      <c r="E4676" s="436">
        <v>1</v>
      </c>
      <c r="F4676" s="469"/>
      <c r="G4676" s="468" t="s">
        <v>875</v>
      </c>
      <c r="H4676" s="466" t="e">
        <f>G4676/1.1</f>
        <v>#VALUE!</v>
      </c>
      <c r="I4676" s="436"/>
      <c r="J4676" s="465">
        <v>0</v>
      </c>
      <c r="K4676" s="465">
        <v>0</v>
      </c>
    </row>
    <row r="4677" spans="2:11" ht="19" customHeight="1">
      <c r="B4677" s="464">
        <v>46120</v>
      </c>
      <c r="C4677" s="436" t="s">
        <v>877</v>
      </c>
      <c r="D4677" s="878" t="s">
        <v>1226</v>
      </c>
      <c r="E4677" s="436">
        <v>1</v>
      </c>
      <c r="F4677" s="469"/>
      <c r="G4677" s="468" t="s">
        <v>875</v>
      </c>
      <c r="H4677" s="466" t="e">
        <f>G4677/1.1</f>
        <v>#VALUE!</v>
      </c>
      <c r="I4677" s="436"/>
      <c r="J4677" s="465">
        <v>0</v>
      </c>
      <c r="K4677" s="465">
        <v>0</v>
      </c>
    </row>
    <row r="4678" spans="2:11" ht="19" customHeight="1">
      <c r="B4678" s="464">
        <v>46120</v>
      </c>
      <c r="C4678" s="436" t="s">
        <v>266</v>
      </c>
      <c r="D4678" s="878" t="s">
        <v>1250</v>
      </c>
      <c r="E4678" s="436">
        <v>1</v>
      </c>
      <c r="F4678" s="469"/>
      <c r="G4678" s="468" t="s">
        <v>875</v>
      </c>
      <c r="H4678" s="466" t="e">
        <f>G4678/1.1</f>
        <v>#VALUE!</v>
      </c>
      <c r="I4678" s="436"/>
      <c r="J4678" s="465">
        <v>0</v>
      </c>
      <c r="K4678" s="465">
        <v>0</v>
      </c>
    </row>
    <row r="4679" spans="2:11" ht="19" customHeight="1">
      <c r="B4679" s="464">
        <v>46120</v>
      </c>
      <c r="C4679" s="436" t="s">
        <v>258</v>
      </c>
      <c r="D4679" s="878" t="s">
        <v>1251</v>
      </c>
      <c r="E4679" s="436">
        <v>1</v>
      </c>
      <c r="F4679" s="469"/>
      <c r="G4679" s="468" t="s">
        <v>875</v>
      </c>
      <c r="H4679" s="466" t="e">
        <f>G4679/1.1</f>
        <v>#VALUE!</v>
      </c>
      <c r="I4679" s="436"/>
      <c r="J4679" s="465">
        <v>0</v>
      </c>
      <c r="K4679" s="465">
        <v>0</v>
      </c>
    </row>
    <row r="4680" spans="2:11" ht="19" customHeight="1">
      <c r="B4680" s="464">
        <v>46120</v>
      </c>
      <c r="C4680" s="436" t="s">
        <v>253</v>
      </c>
      <c r="D4680" s="436" t="s">
        <v>1252</v>
      </c>
      <c r="E4680" s="436">
        <v>1</v>
      </c>
      <c r="F4680" s="465">
        <v>2.0499999999999998</v>
      </c>
      <c r="G4680" s="466">
        <v>2.0499999999999998</v>
      </c>
      <c r="H4680" s="466">
        <f>G4680/1.1</f>
        <v>1.8636363636363633</v>
      </c>
      <c r="I4680" s="436"/>
      <c r="J4680" s="465"/>
      <c r="K4680" s="465"/>
    </row>
    <row r="4681" spans="2:11" ht="19" customHeight="1">
      <c r="B4681" s="464">
        <v>46120</v>
      </c>
      <c r="C4681" s="436" t="s">
        <v>256</v>
      </c>
      <c r="D4681" s="436" t="s">
        <v>912</v>
      </c>
      <c r="E4681" s="436">
        <v>1</v>
      </c>
      <c r="F4681" s="465">
        <v>5.5</v>
      </c>
      <c r="G4681" s="466">
        <v>5.5</v>
      </c>
      <c r="H4681" s="466">
        <f>G4681/1.1</f>
        <v>5</v>
      </c>
      <c r="I4681" s="436"/>
      <c r="J4681" s="465"/>
      <c r="K4681" s="465"/>
    </row>
    <row r="4682" spans="2:11" ht="19" customHeight="1">
      <c r="B4682" s="464">
        <v>46120</v>
      </c>
      <c r="C4682" s="436" t="s">
        <v>253</v>
      </c>
      <c r="D4682" s="436" t="s">
        <v>1252</v>
      </c>
      <c r="E4682" s="436">
        <v>1</v>
      </c>
      <c r="F4682" s="465">
        <v>2.0499999999999998</v>
      </c>
      <c r="G4682" s="466">
        <v>2.0499999999999998</v>
      </c>
      <c r="H4682" s="466">
        <f>G4682/1.1</f>
        <v>1.8636363636363633</v>
      </c>
      <c r="I4682" s="436"/>
      <c r="J4682" s="465"/>
      <c r="K4682" s="465"/>
    </row>
    <row r="4683" spans="2:11" ht="19" customHeight="1">
      <c r="B4683" s="464">
        <v>46120</v>
      </c>
      <c r="C4683" s="436" t="s">
        <v>256</v>
      </c>
      <c r="D4683" s="436" t="s">
        <v>912</v>
      </c>
      <c r="E4683" s="436">
        <v>1</v>
      </c>
      <c r="F4683" s="465">
        <v>5.5</v>
      </c>
      <c r="G4683" s="466">
        <v>5.5</v>
      </c>
      <c r="H4683" s="466">
        <f>G4683/1.1</f>
        <v>5</v>
      </c>
      <c r="I4683" s="436"/>
      <c r="J4683" s="465"/>
      <c r="K4683" s="465"/>
    </row>
    <row r="4684" spans="2:11" ht="19" customHeight="1">
      <c r="B4684" s="464">
        <v>46120</v>
      </c>
      <c r="C4684" s="436" t="s">
        <v>247</v>
      </c>
      <c r="D4684" s="436" t="s">
        <v>1241</v>
      </c>
      <c r="E4684" s="436">
        <v>1</v>
      </c>
      <c r="F4684" s="465">
        <v>1.7</v>
      </c>
      <c r="G4684" s="466">
        <v>1.7</v>
      </c>
      <c r="H4684" s="466">
        <f>G4684/1.1</f>
        <v>1.5454545454545452</v>
      </c>
      <c r="I4684" s="436"/>
      <c r="J4684" s="465"/>
      <c r="K4684" s="465"/>
    </row>
    <row r="4685" spans="2:11" ht="19" customHeight="1">
      <c r="B4685" s="464">
        <v>46120</v>
      </c>
      <c r="C4685" s="436" t="s">
        <v>862</v>
      </c>
      <c r="D4685" s="436" t="s">
        <v>907</v>
      </c>
      <c r="E4685" s="436">
        <v>1</v>
      </c>
      <c r="F4685" s="465">
        <v>0.15</v>
      </c>
      <c r="G4685" s="466">
        <v>0.15</v>
      </c>
      <c r="H4685" s="466">
        <f>G4685/1.1</f>
        <v>0.13636363636363635</v>
      </c>
      <c r="I4685" s="436"/>
      <c r="J4685" s="465"/>
      <c r="K4685" s="465"/>
    </row>
    <row r="4686" spans="2:11" ht="19" customHeight="1">
      <c r="B4686" s="464">
        <v>46120</v>
      </c>
      <c r="C4686" s="436" t="s">
        <v>247</v>
      </c>
      <c r="D4686" s="436" t="s">
        <v>1253</v>
      </c>
      <c r="E4686" s="436">
        <v>1</v>
      </c>
      <c r="F4686" s="465">
        <v>1.55</v>
      </c>
      <c r="G4686" s="466">
        <v>1.55</v>
      </c>
      <c r="H4686" s="466">
        <f>G4686/1.1</f>
        <v>1.4090909090909089</v>
      </c>
      <c r="I4686" s="436"/>
      <c r="J4686" s="465"/>
      <c r="K4686" s="465"/>
    </row>
    <row r="4687" spans="2:11" ht="19" customHeight="1">
      <c r="B4687" s="464">
        <v>46120</v>
      </c>
      <c r="C4687" s="436" t="s">
        <v>247</v>
      </c>
      <c r="D4687" s="436" t="s">
        <v>248</v>
      </c>
      <c r="E4687" s="436">
        <v>3</v>
      </c>
      <c r="F4687" s="465">
        <v>1.65</v>
      </c>
      <c r="G4687" s="466">
        <v>4.95</v>
      </c>
      <c r="H4687" s="466">
        <f>G4687/1.1</f>
        <v>4.5</v>
      </c>
      <c r="I4687" s="436"/>
      <c r="J4687" s="465"/>
      <c r="K4687" s="465"/>
    </row>
    <row r="4688" spans="2:11" ht="19" customHeight="1">
      <c r="B4688" s="464">
        <v>46120</v>
      </c>
      <c r="C4688" s="436" t="s">
        <v>247</v>
      </c>
      <c r="D4688" s="436" t="s">
        <v>1241</v>
      </c>
      <c r="E4688" s="436">
        <v>1</v>
      </c>
      <c r="F4688" s="465">
        <v>1.7</v>
      </c>
      <c r="G4688" s="466">
        <v>1.7</v>
      </c>
      <c r="H4688" s="466">
        <f>G4688/1.1</f>
        <v>1.5454545454545452</v>
      </c>
      <c r="I4688" s="436"/>
      <c r="J4688" s="465"/>
      <c r="K4688" s="465"/>
    </row>
    <row r="4689" spans="2:11" ht="19" customHeight="1">
      <c r="B4689" s="464">
        <v>46120</v>
      </c>
      <c r="C4689" s="436" t="s">
        <v>1079</v>
      </c>
      <c r="D4689" s="436" t="s">
        <v>1254</v>
      </c>
      <c r="E4689" s="436">
        <v>-4</v>
      </c>
      <c r="F4689" s="465">
        <v>10</v>
      </c>
      <c r="G4689" s="466">
        <v>-40</v>
      </c>
      <c r="H4689" s="466">
        <f>G4689/1.1</f>
        <v>-36.36363636363636</v>
      </c>
      <c r="I4689" s="436"/>
      <c r="J4689" s="465"/>
      <c r="K4689" s="465"/>
    </row>
    <row r="4690" spans="2:11" ht="19" customHeight="1">
      <c r="B4690" s="464">
        <v>46120</v>
      </c>
      <c r="C4690" s="436" t="s">
        <v>256</v>
      </c>
      <c r="D4690" s="436" t="s">
        <v>1255</v>
      </c>
      <c r="E4690" s="436">
        <v>1</v>
      </c>
      <c r="F4690" s="465">
        <v>11.9</v>
      </c>
      <c r="G4690" s="466">
        <v>11.9</v>
      </c>
      <c r="H4690" s="466">
        <f>G4690/1.1</f>
        <v>10.818181818181818</v>
      </c>
      <c r="I4690" s="436"/>
      <c r="J4690" s="465"/>
      <c r="K4690" s="465"/>
    </row>
    <row r="4691" spans="2:11" ht="19" customHeight="1">
      <c r="B4691" s="464">
        <v>46120</v>
      </c>
      <c r="C4691" s="436" t="s">
        <v>256</v>
      </c>
      <c r="D4691" s="436" t="s">
        <v>738</v>
      </c>
      <c r="E4691" s="436">
        <v>1</v>
      </c>
      <c r="F4691" s="465">
        <v>6.9</v>
      </c>
      <c r="G4691" s="466">
        <v>6.9</v>
      </c>
      <c r="H4691" s="466">
        <f>G4691/1.1</f>
        <v>6.2727272727272725</v>
      </c>
      <c r="I4691" s="436"/>
      <c r="J4691" s="465"/>
      <c r="K4691" s="465"/>
    </row>
    <row r="4692" spans="2:11" ht="19" customHeight="1">
      <c r="B4692" s="464">
        <v>46120</v>
      </c>
      <c r="C4692" s="436" t="s">
        <v>276</v>
      </c>
      <c r="D4692" s="436" t="s">
        <v>1256</v>
      </c>
      <c r="E4692" s="436">
        <v>1</v>
      </c>
      <c r="F4692" s="465">
        <v>3.35</v>
      </c>
      <c r="G4692" s="466">
        <v>3.35</v>
      </c>
      <c r="H4692" s="466">
        <f>G4692/1.1</f>
        <v>3.0454545454545454</v>
      </c>
      <c r="I4692" s="436"/>
      <c r="J4692" s="465"/>
      <c r="K4692" s="465"/>
    </row>
    <row r="4693" spans="2:11" ht="19" customHeight="1">
      <c r="B4693" s="464">
        <v>46120</v>
      </c>
      <c r="C4693" s="436" t="s">
        <v>253</v>
      </c>
      <c r="D4693" s="436" t="s">
        <v>252</v>
      </c>
      <c r="E4693" s="436">
        <v>3</v>
      </c>
      <c r="F4693" s="465">
        <v>2.5</v>
      </c>
      <c r="G4693" s="466">
        <v>7.5</v>
      </c>
      <c r="H4693" s="466">
        <f>G4693/1.1</f>
        <v>6.8181818181818175</v>
      </c>
      <c r="I4693" s="436"/>
      <c r="J4693" s="465"/>
      <c r="K4693" s="465"/>
    </row>
    <row r="4694" spans="2:11" ht="18.75" customHeight="1">
      <c r="B4694" s="839">
        <v>46120</v>
      </c>
      <c r="C4694" s="845" t="s">
        <v>1079</v>
      </c>
      <c r="D4694" s="845" t="s">
        <v>1254</v>
      </c>
      <c r="E4694" s="845">
        <v>1</v>
      </c>
      <c r="F4694" s="849">
        <v>10</v>
      </c>
      <c r="G4694" s="854">
        <v>10</v>
      </c>
      <c r="H4694" s="854">
        <f>G4694/1.1</f>
        <v>9.0909090909090899</v>
      </c>
      <c r="I4694" s="845"/>
      <c r="J4694" s="849"/>
      <c r="K4694" s="859"/>
    </row>
    <row r="4695" spans="2:11" ht="18.75" customHeight="1">
      <c r="B4695" s="839">
        <v>46120</v>
      </c>
      <c r="C4695" s="845" t="s">
        <v>253</v>
      </c>
      <c r="D4695" s="845" t="s">
        <v>1257</v>
      </c>
      <c r="E4695" s="845">
        <v>2</v>
      </c>
      <c r="F4695" s="849">
        <v>2.5</v>
      </c>
      <c r="G4695" s="854">
        <v>5</v>
      </c>
      <c r="H4695" s="854">
        <f>G4695/1.1</f>
        <v>4.545454545454545</v>
      </c>
      <c r="I4695" s="845"/>
      <c r="J4695" s="849"/>
      <c r="K4695" s="859"/>
    </row>
    <row r="4696" spans="2:11" ht="18.75" customHeight="1">
      <c r="B4696" s="839">
        <v>46120</v>
      </c>
      <c r="C4696" s="845" t="s">
        <v>256</v>
      </c>
      <c r="D4696" s="845" t="s">
        <v>262</v>
      </c>
      <c r="E4696" s="845">
        <v>1</v>
      </c>
      <c r="F4696" s="849">
        <v>12.15</v>
      </c>
      <c r="G4696" s="854">
        <v>12.15</v>
      </c>
      <c r="H4696" s="854">
        <f>G4696/1.1</f>
        <v>11.045454545454545</v>
      </c>
      <c r="I4696" s="845"/>
      <c r="J4696" s="849"/>
      <c r="K4696" s="859"/>
    </row>
    <row r="4697" spans="2:11" ht="18.75" customHeight="1">
      <c r="B4697" s="839">
        <v>46120</v>
      </c>
      <c r="C4697" s="845" t="s">
        <v>256</v>
      </c>
      <c r="D4697" s="845" t="s">
        <v>255</v>
      </c>
      <c r="E4697" s="845">
        <v>1</v>
      </c>
      <c r="F4697" s="849">
        <v>5.85</v>
      </c>
      <c r="G4697" s="854">
        <v>5.85</v>
      </c>
      <c r="H4697" s="854">
        <f>G4697/1.1</f>
        <v>5.3181818181818175</v>
      </c>
      <c r="I4697" s="845"/>
      <c r="J4697" s="849"/>
      <c r="K4697" s="859"/>
    </row>
    <row r="4698" spans="2:11" ht="18.75" customHeight="1">
      <c r="B4698" s="839">
        <v>46120</v>
      </c>
      <c r="C4698" s="845" t="s">
        <v>862</v>
      </c>
      <c r="D4698" s="845" t="s">
        <v>265</v>
      </c>
      <c r="E4698" s="845">
        <v>1</v>
      </c>
      <c r="F4698" s="849">
        <v>2.8</v>
      </c>
      <c r="G4698" s="854">
        <v>2.8</v>
      </c>
      <c r="H4698" s="854">
        <f>G4698/1.1</f>
        <v>2.545454545454545</v>
      </c>
      <c r="I4698" s="845"/>
      <c r="J4698" s="849"/>
      <c r="K4698" s="859"/>
    </row>
    <row r="4699" spans="2:11" ht="18.75" customHeight="1">
      <c r="B4699" s="839">
        <v>46120</v>
      </c>
      <c r="C4699" s="845" t="s">
        <v>253</v>
      </c>
      <c r="D4699" s="845" t="s">
        <v>1258</v>
      </c>
      <c r="E4699" s="845">
        <v>1</v>
      </c>
      <c r="F4699" s="849">
        <v>2.65</v>
      </c>
      <c r="G4699" s="854">
        <v>2.65</v>
      </c>
      <c r="H4699" s="854">
        <f>G4699/1.1</f>
        <v>2.4090909090909087</v>
      </c>
      <c r="I4699" s="845"/>
      <c r="J4699" s="849"/>
      <c r="K4699" s="859"/>
    </row>
    <row r="4700" spans="2:11" ht="18.75" customHeight="1">
      <c r="B4700" s="839">
        <v>46121</v>
      </c>
      <c r="C4700" s="845" t="s">
        <v>247</v>
      </c>
      <c r="D4700" s="845" t="s">
        <v>246</v>
      </c>
      <c r="E4700" s="845">
        <v>1</v>
      </c>
      <c r="F4700" s="849">
        <v>1.7</v>
      </c>
      <c r="G4700" s="854">
        <v>1.7</v>
      </c>
      <c r="H4700" s="854">
        <f>G4700/1.1</f>
        <v>1.5454545454545452</v>
      </c>
      <c r="I4700" s="845"/>
      <c r="J4700" s="849">
        <v>0</v>
      </c>
      <c r="K4700" s="859">
        <v>0</v>
      </c>
    </row>
    <row r="4701" spans="2:11" ht="18.75" customHeight="1">
      <c r="B4701" s="839">
        <v>46121</v>
      </c>
      <c r="C4701" s="845" t="s">
        <v>254</v>
      </c>
      <c r="D4701" s="912" t="s">
        <v>254</v>
      </c>
      <c r="E4701" s="845">
        <v>2</v>
      </c>
      <c r="F4701" s="849">
        <v>14.9</v>
      </c>
      <c r="G4701" s="854">
        <v>29.8</v>
      </c>
      <c r="H4701" s="854">
        <f>G4701/1.1</f>
        <v>27.09090909090909</v>
      </c>
      <c r="I4701" s="845"/>
      <c r="J4701" s="849">
        <v>0</v>
      </c>
      <c r="K4701" s="859">
        <v>0</v>
      </c>
    </row>
    <row r="4702" spans="2:11" ht="18.75" customHeight="1">
      <c r="B4702" s="839">
        <v>46121</v>
      </c>
      <c r="C4702" s="845" t="s">
        <v>873</v>
      </c>
      <c r="D4702" s="912" t="s">
        <v>1226</v>
      </c>
      <c r="E4702" s="845">
        <v>1</v>
      </c>
      <c r="F4702" s="914"/>
      <c r="G4702" s="916" t="s">
        <v>875</v>
      </c>
      <c r="H4702" s="854" t="e">
        <f>G4702/1.1</f>
        <v>#VALUE!</v>
      </c>
      <c r="I4702" s="845"/>
      <c r="J4702" s="849">
        <v>0</v>
      </c>
      <c r="K4702" s="859">
        <v>0</v>
      </c>
    </row>
    <row r="4703" spans="2:11" ht="18.75" customHeight="1">
      <c r="B4703" s="839">
        <v>46121</v>
      </c>
      <c r="C4703" s="845" t="s">
        <v>873</v>
      </c>
      <c r="D4703" s="912" t="s">
        <v>1223</v>
      </c>
      <c r="E4703" s="845">
        <v>1</v>
      </c>
      <c r="F4703" s="849">
        <v>3</v>
      </c>
      <c r="G4703" s="854">
        <v>3</v>
      </c>
      <c r="H4703" s="854">
        <f>G4703/1.1</f>
        <v>2.7272727272727271</v>
      </c>
      <c r="I4703" s="845"/>
      <c r="J4703" s="849">
        <v>0</v>
      </c>
      <c r="K4703" s="859">
        <v>0</v>
      </c>
    </row>
    <row r="4704" spans="2:11" ht="18.75" customHeight="1">
      <c r="B4704" s="840">
        <v>46121</v>
      </c>
      <c r="C4704" s="846" t="s">
        <v>877</v>
      </c>
      <c r="D4704" s="911" t="s">
        <v>1222</v>
      </c>
      <c r="E4704" s="846">
        <v>2</v>
      </c>
      <c r="F4704" s="946"/>
      <c r="G4704" s="947" t="s">
        <v>875</v>
      </c>
      <c r="H4704" s="855" t="e">
        <f>G4704/1.1</f>
        <v>#VALUE!</v>
      </c>
      <c r="I4704" s="846"/>
      <c r="J4704" s="850">
        <v>0</v>
      </c>
      <c r="K4704" s="860">
        <v>0</v>
      </c>
    </row>
    <row r="4705" spans="2:11" ht="18.75" customHeight="1">
      <c r="B4705" s="839">
        <v>46121</v>
      </c>
      <c r="C4705" s="845" t="s">
        <v>266</v>
      </c>
      <c r="D4705" s="912" t="s">
        <v>1250</v>
      </c>
      <c r="E4705" s="845">
        <v>1</v>
      </c>
      <c r="F4705" s="914"/>
      <c r="G4705" s="916" t="s">
        <v>875</v>
      </c>
      <c r="H4705" s="854" t="e">
        <f>G4705/1.1</f>
        <v>#VALUE!</v>
      </c>
      <c r="I4705" s="845"/>
      <c r="J4705" s="849">
        <v>0</v>
      </c>
      <c r="K4705" s="859">
        <v>0</v>
      </c>
    </row>
    <row r="4706" spans="2:11" ht="18.75" customHeight="1">
      <c r="B4706" s="841">
        <v>46121</v>
      </c>
      <c r="C4706" s="837" t="s">
        <v>266</v>
      </c>
      <c r="D4706" s="879" t="s">
        <v>708</v>
      </c>
      <c r="E4706" s="837">
        <v>1</v>
      </c>
      <c r="F4706" s="913"/>
      <c r="G4706" s="915" t="s">
        <v>875</v>
      </c>
      <c r="H4706" s="856" t="e">
        <f>G4706/1.1</f>
        <v>#VALUE!</v>
      </c>
      <c r="I4706" s="837"/>
      <c r="J4706" s="851">
        <v>0</v>
      </c>
      <c r="K4706" s="861">
        <v>0</v>
      </c>
    </row>
    <row r="4707" spans="2:11" ht="18.75" customHeight="1">
      <c r="B4707" s="841">
        <v>46121</v>
      </c>
      <c r="C4707" s="837" t="s">
        <v>258</v>
      </c>
      <c r="D4707" s="879" t="s">
        <v>745</v>
      </c>
      <c r="E4707" s="837">
        <v>1</v>
      </c>
      <c r="F4707" s="913"/>
      <c r="G4707" s="915" t="s">
        <v>875</v>
      </c>
      <c r="H4707" s="856" t="e">
        <f>G4707/1.1</f>
        <v>#VALUE!</v>
      </c>
      <c r="I4707" s="837"/>
      <c r="J4707" s="851">
        <v>0</v>
      </c>
      <c r="K4707" s="861">
        <v>0</v>
      </c>
    </row>
    <row r="4708" spans="2:11" ht="18.75" customHeight="1">
      <c r="B4708" s="841">
        <v>46121</v>
      </c>
      <c r="C4708" s="837" t="s">
        <v>258</v>
      </c>
      <c r="D4708" s="879" t="s">
        <v>1259</v>
      </c>
      <c r="E4708" s="837">
        <v>1</v>
      </c>
      <c r="F4708" s="913"/>
      <c r="G4708" s="915" t="s">
        <v>875</v>
      </c>
      <c r="H4708" s="856" t="e">
        <f>G4708/1.1</f>
        <v>#VALUE!</v>
      </c>
      <c r="I4708" s="837"/>
      <c r="J4708" s="851">
        <v>0</v>
      </c>
      <c r="K4708" s="861">
        <v>0</v>
      </c>
    </row>
    <row r="4709" spans="2:11" ht="18.75" customHeight="1">
      <c r="B4709" s="841">
        <v>46121</v>
      </c>
      <c r="C4709" s="837" t="s">
        <v>254</v>
      </c>
      <c r="D4709" s="879" t="s">
        <v>254</v>
      </c>
      <c r="E4709" s="837">
        <v>2</v>
      </c>
      <c r="F4709" s="851">
        <v>14.9</v>
      </c>
      <c r="G4709" s="856">
        <v>29.8</v>
      </c>
      <c r="H4709" s="856">
        <f>G4709/1.1</f>
        <v>27.09090909090909</v>
      </c>
      <c r="I4709" s="837"/>
      <c r="J4709" s="851">
        <v>0</v>
      </c>
      <c r="K4709" s="861">
        <v>0</v>
      </c>
    </row>
    <row r="4710" spans="2:11" ht="18.75" customHeight="1">
      <c r="B4710" s="841">
        <v>46121</v>
      </c>
      <c r="C4710" s="837" t="s">
        <v>873</v>
      </c>
      <c r="D4710" s="879" t="s">
        <v>1226</v>
      </c>
      <c r="E4710" s="837">
        <v>1</v>
      </c>
      <c r="F4710" s="913"/>
      <c r="G4710" s="915" t="s">
        <v>875</v>
      </c>
      <c r="H4710" s="856" t="e">
        <f>G4710/1.1</f>
        <v>#VALUE!</v>
      </c>
      <c r="I4710" s="837"/>
      <c r="J4710" s="851">
        <v>0</v>
      </c>
      <c r="K4710" s="861">
        <v>0</v>
      </c>
    </row>
    <row r="4711" spans="2:11" ht="18.75" customHeight="1">
      <c r="B4711" s="841">
        <v>46121</v>
      </c>
      <c r="C4711" s="837" t="s">
        <v>873</v>
      </c>
      <c r="D4711" s="879" t="s">
        <v>1108</v>
      </c>
      <c r="E4711" s="837">
        <v>1</v>
      </c>
      <c r="F4711" s="913"/>
      <c r="G4711" s="915" t="s">
        <v>875</v>
      </c>
      <c r="H4711" s="856" t="e">
        <f>G4711/1.1</f>
        <v>#VALUE!</v>
      </c>
      <c r="I4711" s="837"/>
      <c r="J4711" s="851">
        <v>0</v>
      </c>
      <c r="K4711" s="861">
        <v>0</v>
      </c>
    </row>
    <row r="4712" spans="2:11" ht="18.75" customHeight="1">
      <c r="B4712" s="841">
        <v>46121</v>
      </c>
      <c r="C4712" s="837" t="s">
        <v>877</v>
      </c>
      <c r="D4712" s="879" t="s">
        <v>1260</v>
      </c>
      <c r="E4712" s="837">
        <v>1</v>
      </c>
      <c r="F4712" s="851">
        <v>3</v>
      </c>
      <c r="G4712" s="856">
        <v>3</v>
      </c>
      <c r="H4712" s="856">
        <f>G4712/1.1</f>
        <v>2.7272727272727271</v>
      </c>
      <c r="I4712" s="837"/>
      <c r="J4712" s="851">
        <v>0</v>
      </c>
      <c r="K4712" s="861">
        <v>0</v>
      </c>
    </row>
    <row r="4713" spans="2:11" ht="18.75" customHeight="1">
      <c r="B4713" s="841">
        <v>46121</v>
      </c>
      <c r="C4713" s="837" t="s">
        <v>877</v>
      </c>
      <c r="D4713" s="879" t="s">
        <v>1224</v>
      </c>
      <c r="E4713" s="837">
        <v>1</v>
      </c>
      <c r="F4713" s="851">
        <v>3</v>
      </c>
      <c r="G4713" s="856">
        <v>3</v>
      </c>
      <c r="H4713" s="856">
        <f>G4713/1.1</f>
        <v>2.7272727272727271</v>
      </c>
      <c r="I4713" s="837"/>
      <c r="J4713" s="851">
        <v>0</v>
      </c>
      <c r="K4713" s="861">
        <v>0</v>
      </c>
    </row>
    <row r="4714" spans="2:11" ht="18.75" customHeight="1">
      <c r="B4714" s="841">
        <v>46121</v>
      </c>
      <c r="C4714" s="837" t="s">
        <v>266</v>
      </c>
      <c r="D4714" s="879" t="s">
        <v>250</v>
      </c>
      <c r="E4714" s="837">
        <v>2</v>
      </c>
      <c r="F4714" s="913"/>
      <c r="G4714" s="915" t="s">
        <v>875</v>
      </c>
      <c r="H4714" s="856" t="e">
        <f>G4714/1.1</f>
        <v>#VALUE!</v>
      </c>
      <c r="I4714" s="837"/>
      <c r="J4714" s="851">
        <v>0</v>
      </c>
      <c r="K4714" s="861">
        <v>0</v>
      </c>
    </row>
    <row r="4715" spans="2:11" ht="18.75" customHeight="1">
      <c r="B4715" s="841">
        <v>46121</v>
      </c>
      <c r="C4715" s="837" t="s">
        <v>258</v>
      </c>
      <c r="D4715" s="879" t="s">
        <v>1259</v>
      </c>
      <c r="E4715" s="837">
        <v>1</v>
      </c>
      <c r="F4715" s="913"/>
      <c r="G4715" s="915" t="s">
        <v>875</v>
      </c>
      <c r="H4715" s="856" t="e">
        <f>G4715/1.1</f>
        <v>#VALUE!</v>
      </c>
      <c r="I4715" s="837"/>
      <c r="J4715" s="851">
        <v>0</v>
      </c>
      <c r="K4715" s="861">
        <v>0</v>
      </c>
    </row>
    <row r="4716" spans="2:11" ht="18.75" customHeight="1">
      <c r="B4716" s="841">
        <v>46121</v>
      </c>
      <c r="C4716" s="837" t="s">
        <v>258</v>
      </c>
      <c r="D4716" s="879" t="s">
        <v>1058</v>
      </c>
      <c r="E4716" s="837">
        <v>1</v>
      </c>
      <c r="F4716" s="913"/>
      <c r="G4716" s="915" t="s">
        <v>875</v>
      </c>
      <c r="H4716" s="856" t="e">
        <f>G4716/1.1</f>
        <v>#VALUE!</v>
      </c>
      <c r="I4716" s="837"/>
      <c r="J4716" s="851">
        <v>0</v>
      </c>
      <c r="K4716" s="861">
        <v>0</v>
      </c>
    </row>
    <row r="4717" spans="2:11" ht="18.75" customHeight="1">
      <c r="B4717" s="841">
        <v>46121</v>
      </c>
      <c r="C4717" s="837" t="s">
        <v>254</v>
      </c>
      <c r="D4717" s="879" t="s">
        <v>254</v>
      </c>
      <c r="E4717" s="837">
        <v>1</v>
      </c>
      <c r="F4717" s="851">
        <v>14.9</v>
      </c>
      <c r="G4717" s="856">
        <v>14.9</v>
      </c>
      <c r="H4717" s="856">
        <f>G4717/1.1</f>
        <v>13.545454545454545</v>
      </c>
      <c r="I4717" s="837"/>
      <c r="J4717" s="851">
        <v>0</v>
      </c>
      <c r="K4717" s="861">
        <v>0</v>
      </c>
    </row>
    <row r="4718" spans="2:11" ht="18.75" customHeight="1">
      <c r="B4718" s="841">
        <v>46121</v>
      </c>
      <c r="C4718" s="837" t="s">
        <v>873</v>
      </c>
      <c r="D4718" s="879" t="s">
        <v>1219</v>
      </c>
      <c r="E4718" s="837">
        <v>1</v>
      </c>
      <c r="F4718" s="913"/>
      <c r="G4718" s="915" t="s">
        <v>875</v>
      </c>
      <c r="H4718" s="856" t="e">
        <f>G4718/1.1</f>
        <v>#VALUE!</v>
      </c>
      <c r="I4718" s="837"/>
      <c r="J4718" s="851">
        <v>0</v>
      </c>
      <c r="K4718" s="861">
        <v>0</v>
      </c>
    </row>
    <row r="4719" spans="2:11" ht="18.75" customHeight="1">
      <c r="B4719" s="841">
        <v>46121</v>
      </c>
      <c r="C4719" s="837" t="s">
        <v>877</v>
      </c>
      <c r="D4719" s="879" t="s">
        <v>1221</v>
      </c>
      <c r="E4719" s="837">
        <v>1</v>
      </c>
      <c r="F4719" s="913"/>
      <c r="G4719" s="915" t="s">
        <v>875</v>
      </c>
      <c r="H4719" s="856" t="e">
        <f>G4719/1.1</f>
        <v>#VALUE!</v>
      </c>
      <c r="I4719" s="837"/>
      <c r="J4719" s="851">
        <v>0</v>
      </c>
      <c r="K4719" s="861">
        <v>0</v>
      </c>
    </row>
    <row r="4720" spans="2:11" ht="18.75" customHeight="1">
      <c r="B4720" s="841">
        <v>46121</v>
      </c>
      <c r="C4720" s="837" t="s">
        <v>266</v>
      </c>
      <c r="D4720" s="879" t="s">
        <v>1250</v>
      </c>
      <c r="E4720" s="837">
        <v>1</v>
      </c>
      <c r="F4720" s="913"/>
      <c r="G4720" s="915" t="s">
        <v>875</v>
      </c>
      <c r="H4720" s="856" t="e">
        <f>G4720/1.1</f>
        <v>#VALUE!</v>
      </c>
      <c r="I4720" s="837"/>
      <c r="J4720" s="851">
        <v>0</v>
      </c>
      <c r="K4720" s="861">
        <v>0</v>
      </c>
    </row>
    <row r="4721" spans="2:11" ht="18.75" customHeight="1">
      <c r="B4721" s="841">
        <v>46121</v>
      </c>
      <c r="C4721" s="837" t="s">
        <v>258</v>
      </c>
      <c r="D4721" s="879" t="s">
        <v>1261</v>
      </c>
      <c r="E4721" s="837">
        <v>1</v>
      </c>
      <c r="F4721" s="913"/>
      <c r="G4721" s="915" t="s">
        <v>875</v>
      </c>
      <c r="H4721" s="856" t="e">
        <f>G4721/1.1</f>
        <v>#VALUE!</v>
      </c>
      <c r="I4721" s="837"/>
      <c r="J4721" s="851">
        <v>0</v>
      </c>
      <c r="K4721" s="861">
        <v>0</v>
      </c>
    </row>
    <row r="4722" spans="2:11" ht="18.75" customHeight="1">
      <c r="B4722" s="841">
        <v>46121</v>
      </c>
      <c r="C4722" s="837" t="s">
        <v>254</v>
      </c>
      <c r="D4722" s="879" t="s">
        <v>254</v>
      </c>
      <c r="E4722" s="837">
        <v>2</v>
      </c>
      <c r="F4722" s="851">
        <v>14.9</v>
      </c>
      <c r="G4722" s="856">
        <v>29.8</v>
      </c>
      <c r="H4722" s="856">
        <f>G4722/1.1</f>
        <v>27.09090909090909</v>
      </c>
      <c r="I4722" s="837"/>
      <c r="J4722" s="851">
        <v>0</v>
      </c>
      <c r="K4722" s="861">
        <v>0</v>
      </c>
    </row>
    <row r="4723" spans="2:11" ht="18.75" customHeight="1">
      <c r="B4723" s="841">
        <v>46121</v>
      </c>
      <c r="C4723" s="877" t="s">
        <v>873</v>
      </c>
      <c r="D4723" s="879" t="s">
        <v>1108</v>
      </c>
      <c r="E4723" s="837">
        <v>2</v>
      </c>
      <c r="F4723" s="913"/>
      <c r="G4723" s="915" t="s">
        <v>875</v>
      </c>
      <c r="H4723" s="856" t="e">
        <f>G4723/1.1</f>
        <v>#VALUE!</v>
      </c>
      <c r="I4723" s="837"/>
      <c r="J4723" s="851">
        <v>0</v>
      </c>
      <c r="K4723" s="861">
        <v>0</v>
      </c>
    </row>
    <row r="4724" spans="2:11" ht="18.75" customHeight="1">
      <c r="B4724" s="841">
        <v>46121</v>
      </c>
      <c r="C4724" s="877" t="s">
        <v>877</v>
      </c>
      <c r="D4724" s="879" t="s">
        <v>1222</v>
      </c>
      <c r="E4724" s="837">
        <v>1</v>
      </c>
      <c r="F4724" s="913"/>
      <c r="G4724" s="915" t="s">
        <v>875</v>
      </c>
      <c r="H4724" s="856" t="e">
        <f>G4724/1.1</f>
        <v>#VALUE!</v>
      </c>
      <c r="I4724" s="837"/>
      <c r="J4724" s="851">
        <v>0</v>
      </c>
      <c r="K4724" s="861">
        <v>0</v>
      </c>
    </row>
    <row r="4725" spans="2:11" ht="18.75" customHeight="1">
      <c r="B4725" s="841">
        <v>46121</v>
      </c>
      <c r="C4725" s="877" t="s">
        <v>877</v>
      </c>
      <c r="D4725" s="879" t="s">
        <v>1029</v>
      </c>
      <c r="E4725" s="837">
        <v>1</v>
      </c>
      <c r="F4725" s="913"/>
      <c r="G4725" s="915" t="s">
        <v>875</v>
      </c>
      <c r="H4725" s="856" t="e">
        <f>G4725/1.1</f>
        <v>#VALUE!</v>
      </c>
      <c r="I4725" s="837"/>
      <c r="J4725" s="851">
        <v>0</v>
      </c>
      <c r="K4725" s="861">
        <v>0</v>
      </c>
    </row>
    <row r="4726" spans="2:11" ht="18.75" customHeight="1">
      <c r="B4726" s="841">
        <v>46121</v>
      </c>
      <c r="C4726" s="877" t="s">
        <v>266</v>
      </c>
      <c r="D4726" s="879" t="s">
        <v>1033</v>
      </c>
      <c r="E4726" s="837">
        <v>1</v>
      </c>
      <c r="F4726" s="851">
        <v>1</v>
      </c>
      <c r="G4726" s="856">
        <v>1</v>
      </c>
      <c r="H4726" s="856">
        <f>G4726/1.1</f>
        <v>0.90909090909090906</v>
      </c>
      <c r="I4726" s="837"/>
      <c r="J4726" s="851">
        <v>0</v>
      </c>
      <c r="K4726" s="861">
        <v>0</v>
      </c>
    </row>
    <row r="4727" spans="2:11" ht="18.75" customHeight="1">
      <c r="B4727" s="841">
        <v>46121</v>
      </c>
      <c r="C4727" s="877" t="s">
        <v>266</v>
      </c>
      <c r="D4727" s="879" t="s">
        <v>926</v>
      </c>
      <c r="E4727" s="837">
        <v>1</v>
      </c>
      <c r="F4727" s="851">
        <v>1</v>
      </c>
      <c r="G4727" s="856">
        <v>1</v>
      </c>
      <c r="H4727" s="856">
        <f>G4727/1.1</f>
        <v>0.90909090909090906</v>
      </c>
      <c r="I4727" s="837"/>
      <c r="J4727" s="851">
        <v>0</v>
      </c>
      <c r="K4727" s="861">
        <v>0</v>
      </c>
    </row>
    <row r="4728" spans="2:11" ht="18.75" customHeight="1">
      <c r="B4728" s="841">
        <v>46121</v>
      </c>
      <c r="C4728" s="877" t="s">
        <v>258</v>
      </c>
      <c r="D4728" s="879" t="s">
        <v>248</v>
      </c>
      <c r="E4728" s="837">
        <v>1</v>
      </c>
      <c r="F4728" s="913"/>
      <c r="G4728" s="915" t="s">
        <v>875</v>
      </c>
      <c r="H4728" s="856" t="e">
        <f>G4728/1.1</f>
        <v>#VALUE!</v>
      </c>
      <c r="I4728" s="837"/>
      <c r="J4728" s="851">
        <v>0</v>
      </c>
      <c r="K4728" s="861">
        <v>0</v>
      </c>
    </row>
    <row r="4729" spans="2:11" ht="18.75" customHeight="1">
      <c r="B4729" s="841">
        <v>46121</v>
      </c>
      <c r="C4729" s="944" t="s">
        <v>258</v>
      </c>
      <c r="D4729" s="880" t="s">
        <v>1058</v>
      </c>
      <c r="E4729" s="837">
        <v>1</v>
      </c>
      <c r="F4729" s="913"/>
      <c r="G4729" s="915" t="s">
        <v>875</v>
      </c>
      <c r="H4729" s="856" t="e">
        <f>G4729/1.1</f>
        <v>#VALUE!</v>
      </c>
      <c r="I4729" s="837"/>
      <c r="J4729" s="851">
        <v>0</v>
      </c>
      <c r="K4729" s="861">
        <v>0</v>
      </c>
    </row>
    <row r="4730" spans="2:11" ht="18.75" customHeight="1">
      <c r="B4730" s="841">
        <v>46121</v>
      </c>
      <c r="C4730" s="838" t="s">
        <v>254</v>
      </c>
      <c r="D4730" s="880" t="s">
        <v>254</v>
      </c>
      <c r="E4730" s="837">
        <v>3</v>
      </c>
      <c r="F4730" s="851">
        <v>14.9</v>
      </c>
      <c r="G4730" s="856">
        <v>44.7</v>
      </c>
      <c r="H4730" s="856">
        <f>G4730/1.1</f>
        <v>40.636363636363633</v>
      </c>
      <c r="I4730" s="837"/>
      <c r="J4730" s="851">
        <v>0</v>
      </c>
      <c r="K4730" s="861">
        <v>0</v>
      </c>
    </row>
    <row r="4731" spans="2:11" ht="18.75" customHeight="1">
      <c r="B4731" s="841">
        <v>46121</v>
      </c>
      <c r="C4731" s="838" t="s">
        <v>873</v>
      </c>
      <c r="D4731" s="880" t="s">
        <v>1226</v>
      </c>
      <c r="E4731" s="837">
        <v>1</v>
      </c>
      <c r="F4731" s="913"/>
      <c r="G4731" s="915" t="s">
        <v>875</v>
      </c>
      <c r="H4731" s="856" t="e">
        <f>G4731/1.1</f>
        <v>#VALUE!</v>
      </c>
      <c r="I4731" s="837"/>
      <c r="J4731" s="851">
        <v>0</v>
      </c>
      <c r="K4731" s="861">
        <v>0</v>
      </c>
    </row>
    <row r="4732" spans="2:11" ht="18.75" customHeight="1">
      <c r="B4732" s="841">
        <v>46121</v>
      </c>
      <c r="C4732" s="838" t="s">
        <v>873</v>
      </c>
      <c r="D4732" s="880" t="s">
        <v>1108</v>
      </c>
      <c r="E4732" s="837">
        <v>1</v>
      </c>
      <c r="F4732" s="913"/>
      <c r="G4732" s="915" t="s">
        <v>875</v>
      </c>
      <c r="H4732" s="856" t="e">
        <f>G4732/1.1</f>
        <v>#VALUE!</v>
      </c>
      <c r="I4732" s="837"/>
      <c r="J4732" s="851">
        <v>0</v>
      </c>
      <c r="K4732" s="861">
        <v>0</v>
      </c>
    </row>
    <row r="4733" spans="2:11" ht="18.75" customHeight="1">
      <c r="B4733" s="841">
        <v>46121</v>
      </c>
      <c r="C4733" s="837" t="s">
        <v>873</v>
      </c>
      <c r="D4733" s="879" t="s">
        <v>1219</v>
      </c>
      <c r="E4733" s="837">
        <v>1</v>
      </c>
      <c r="F4733" s="913"/>
      <c r="G4733" s="915" t="s">
        <v>875</v>
      </c>
      <c r="H4733" s="856" t="e">
        <f>G4733/1.1</f>
        <v>#VALUE!</v>
      </c>
      <c r="I4733" s="837"/>
      <c r="J4733" s="851">
        <v>0</v>
      </c>
      <c r="K4733" s="861">
        <v>0</v>
      </c>
    </row>
    <row r="4734" spans="2:11" ht="18.75" customHeight="1">
      <c r="B4734" s="841">
        <v>46121</v>
      </c>
      <c r="C4734" s="837" t="s">
        <v>877</v>
      </c>
      <c r="D4734" s="879" t="s">
        <v>1029</v>
      </c>
      <c r="E4734" s="837">
        <v>1</v>
      </c>
      <c r="F4734" s="913"/>
      <c r="G4734" s="915" t="s">
        <v>875</v>
      </c>
      <c r="H4734" s="856" t="e">
        <f>G4734/1.1</f>
        <v>#VALUE!</v>
      </c>
      <c r="I4734" s="837"/>
      <c r="J4734" s="851">
        <v>0</v>
      </c>
      <c r="K4734" s="861">
        <v>0</v>
      </c>
    </row>
    <row r="4735" spans="2:11" ht="18.75" customHeight="1">
      <c r="B4735" s="841">
        <v>46121</v>
      </c>
      <c r="C4735" s="838" t="s">
        <v>877</v>
      </c>
      <c r="D4735" s="880" t="s">
        <v>1221</v>
      </c>
      <c r="E4735" s="837">
        <v>1</v>
      </c>
      <c r="F4735" s="913"/>
      <c r="G4735" s="915" t="s">
        <v>875</v>
      </c>
      <c r="H4735" s="856" t="e">
        <f>G4735/1.1</f>
        <v>#VALUE!</v>
      </c>
      <c r="I4735" s="837"/>
      <c r="J4735" s="851">
        <v>0</v>
      </c>
      <c r="K4735" s="861">
        <v>0</v>
      </c>
    </row>
    <row r="4736" spans="2:11" ht="18.75" customHeight="1">
      <c r="B4736" s="841">
        <v>46121</v>
      </c>
      <c r="C4736" s="838" t="s">
        <v>877</v>
      </c>
      <c r="D4736" s="880" t="s">
        <v>1220</v>
      </c>
      <c r="E4736" s="837">
        <v>1</v>
      </c>
      <c r="F4736" s="851">
        <v>3</v>
      </c>
      <c r="G4736" s="856">
        <v>3</v>
      </c>
      <c r="H4736" s="856">
        <f>G4736/1.1</f>
        <v>2.7272727272727271</v>
      </c>
      <c r="I4736" s="837"/>
      <c r="J4736" s="851">
        <v>0</v>
      </c>
      <c r="K4736" s="861">
        <v>0</v>
      </c>
    </row>
    <row r="4737" spans="2:11" ht="18.75" customHeight="1">
      <c r="B4737" s="841">
        <v>46121</v>
      </c>
      <c r="C4737" s="838" t="s">
        <v>266</v>
      </c>
      <c r="D4737" s="880" t="s">
        <v>708</v>
      </c>
      <c r="E4737" s="837">
        <v>1</v>
      </c>
      <c r="F4737" s="913"/>
      <c r="G4737" s="915" t="s">
        <v>875</v>
      </c>
      <c r="H4737" s="856" t="e">
        <f>G4737/1.1</f>
        <v>#VALUE!</v>
      </c>
      <c r="I4737" s="837"/>
      <c r="J4737" s="851">
        <v>0</v>
      </c>
      <c r="K4737" s="861">
        <v>0</v>
      </c>
    </row>
    <row r="4738" spans="2:11" ht="18.75" customHeight="1">
      <c r="B4738" s="841">
        <v>46121</v>
      </c>
      <c r="C4738" s="837" t="s">
        <v>266</v>
      </c>
      <c r="D4738" s="879" t="s">
        <v>250</v>
      </c>
      <c r="E4738" s="837">
        <v>2</v>
      </c>
      <c r="F4738" s="913"/>
      <c r="G4738" s="915" t="s">
        <v>875</v>
      </c>
      <c r="H4738" s="856" t="e">
        <f>G4738/1.1</f>
        <v>#VALUE!</v>
      </c>
      <c r="I4738" s="837"/>
      <c r="J4738" s="851">
        <v>0</v>
      </c>
      <c r="K4738" s="861">
        <v>0</v>
      </c>
    </row>
    <row r="4739" spans="2:11" ht="18.75" customHeight="1">
      <c r="B4739" s="841">
        <v>46121</v>
      </c>
      <c r="C4739" s="837" t="s">
        <v>258</v>
      </c>
      <c r="D4739" s="879" t="s">
        <v>1028</v>
      </c>
      <c r="E4739" s="837">
        <v>2</v>
      </c>
      <c r="F4739" s="913"/>
      <c r="G4739" s="915" t="s">
        <v>875</v>
      </c>
      <c r="H4739" s="856" t="e">
        <f>G4739/1.1</f>
        <v>#VALUE!</v>
      </c>
      <c r="I4739" s="837"/>
      <c r="J4739" s="851">
        <v>0</v>
      </c>
      <c r="K4739" s="861">
        <v>0</v>
      </c>
    </row>
    <row r="4740" spans="2:11" ht="18.75" customHeight="1">
      <c r="B4740" s="841">
        <v>46121</v>
      </c>
      <c r="C4740" s="838" t="s">
        <v>258</v>
      </c>
      <c r="D4740" s="880" t="s">
        <v>1262</v>
      </c>
      <c r="E4740" s="837">
        <v>1</v>
      </c>
      <c r="F4740" s="913"/>
      <c r="G4740" s="915" t="s">
        <v>875</v>
      </c>
      <c r="H4740" s="856" t="e">
        <f>G4740/1.1</f>
        <v>#VALUE!</v>
      </c>
      <c r="I4740" s="837"/>
      <c r="J4740" s="851">
        <v>0</v>
      </c>
      <c r="K4740" s="861">
        <v>0</v>
      </c>
    </row>
    <row r="4741" spans="2:11" ht="18.75" customHeight="1">
      <c r="B4741" s="841">
        <v>46121</v>
      </c>
      <c r="C4741" s="838" t="s">
        <v>247</v>
      </c>
      <c r="D4741" s="838" t="s">
        <v>246</v>
      </c>
      <c r="E4741" s="837">
        <v>1</v>
      </c>
      <c r="F4741" s="851">
        <v>1.7</v>
      </c>
      <c r="G4741" s="856">
        <v>1.7</v>
      </c>
      <c r="H4741" s="856">
        <f>G4741/1.1</f>
        <v>1.5454545454545452</v>
      </c>
      <c r="I4741" s="837">
        <f>IFERROR(VLOOKUP(D4741,BD_Datos!$M$1:$P$1014,3,FALSE),0)</f>
        <v>0.26</v>
      </c>
      <c r="J4741" s="851">
        <f>IFERROR(VLOOKUP(D4741,BD_Datos!$M$1:$P$1014,2,FALSE),0)</f>
        <v>0.19</v>
      </c>
      <c r="K4741" s="861">
        <f>J4741*E4741</f>
        <v>0.19</v>
      </c>
    </row>
    <row r="4742" spans="2:11" ht="18.75" customHeight="1">
      <c r="B4742" s="841">
        <v>46121</v>
      </c>
      <c r="C4742" s="838" t="s">
        <v>253</v>
      </c>
      <c r="D4742" s="838" t="s">
        <v>1252</v>
      </c>
      <c r="E4742" s="837">
        <v>1</v>
      </c>
      <c r="F4742" s="851">
        <v>2.0499999999999998</v>
      </c>
      <c r="G4742" s="856">
        <v>2.0499999999999998</v>
      </c>
      <c r="H4742" s="856">
        <f>G4742/1.1</f>
        <v>1.8636363636363633</v>
      </c>
      <c r="I4742" s="837">
        <f>IFERROR(VLOOKUP(D4742,BD_Datos!$M$1:$P$1014,3,FALSE),0)</f>
        <v>0.42</v>
      </c>
      <c r="J4742" s="851">
        <f>IFERROR(VLOOKUP(D4742,BD_Datos!$M$1:$P$1014,2,FALSE),0)</f>
        <v>0.8</v>
      </c>
      <c r="K4742" s="861">
        <f>J4742*E4742</f>
        <v>0.8</v>
      </c>
    </row>
    <row r="4743" spans="2:11" ht="18.75" customHeight="1">
      <c r="B4743" s="841">
        <v>46121</v>
      </c>
      <c r="C4743" s="837" t="s">
        <v>256</v>
      </c>
      <c r="D4743" s="837" t="s">
        <v>912</v>
      </c>
      <c r="E4743" s="837">
        <v>1</v>
      </c>
      <c r="F4743" s="851">
        <v>5.5</v>
      </c>
      <c r="G4743" s="856">
        <v>5.5</v>
      </c>
      <c r="H4743" s="856">
        <f>G4743/1.1</f>
        <v>5</v>
      </c>
      <c r="I4743" s="837">
        <f>IFERROR(VLOOKUP(D4743,BD_Datos!$M$1:$P$1014,3,FALSE),0)</f>
        <v>0.22</v>
      </c>
      <c r="J4743" s="851">
        <f>IFERROR(VLOOKUP(D4743,BD_Datos!$M$1:$P$1014,2,FALSE),0)</f>
        <v>1.25</v>
      </c>
      <c r="K4743" s="861">
        <f>J4743*E4743</f>
        <v>1.25</v>
      </c>
    </row>
    <row r="4744" spans="2:11" ht="18.75" customHeight="1">
      <c r="B4744" s="840">
        <v>46121</v>
      </c>
      <c r="C4744" s="846" t="s">
        <v>275</v>
      </c>
      <c r="D4744" s="846" t="s">
        <v>1084</v>
      </c>
      <c r="E4744" s="846">
        <v>1</v>
      </c>
      <c r="F4744" s="850">
        <v>6.75</v>
      </c>
      <c r="G4744" s="855">
        <v>6.75</v>
      </c>
      <c r="H4744" s="855">
        <f>G4744/1.1</f>
        <v>6.1363636363636358</v>
      </c>
      <c r="I4744" s="846">
        <f>IFERROR(VLOOKUP(D4744,BD_Datos!$M$1:$P$1014,3,FALSE),0)</f>
        <v>0.28999999999999998</v>
      </c>
      <c r="J4744" s="850">
        <f>IFERROR(VLOOKUP(D4744,BD_Datos!$M$1:$P$1014,2,FALSE),0)</f>
        <v>0.09</v>
      </c>
      <c r="K4744" s="860">
        <f>J4744*E4744</f>
        <v>0.09</v>
      </c>
    </row>
    <row r="4745" spans="2:11" ht="18.75" customHeight="1">
      <c r="B4745" s="839">
        <v>46121</v>
      </c>
      <c r="C4745" s="845" t="s">
        <v>247</v>
      </c>
      <c r="D4745" s="845" t="s">
        <v>246</v>
      </c>
      <c r="E4745" s="845">
        <v>1</v>
      </c>
      <c r="F4745" s="849">
        <v>1.7</v>
      </c>
      <c r="G4745" s="854">
        <v>1.7</v>
      </c>
      <c r="H4745" s="854">
        <f>G4745/1.1</f>
        <v>1.5454545454545452</v>
      </c>
      <c r="I4745" s="845">
        <f>IFERROR(VLOOKUP(D4745,BD_Datos!$M$1:$P$1014,3,FALSE),0)</f>
        <v>0.26</v>
      </c>
      <c r="J4745" s="849">
        <f>IFERROR(VLOOKUP(D4745,BD_Datos!$M$1:$P$1014,2,FALSE),0)</f>
        <v>0.19</v>
      </c>
      <c r="K4745" s="859">
        <f>J4745*E4745</f>
        <v>0.19</v>
      </c>
    </row>
    <row r="4746" spans="2:11" ht="18.75" customHeight="1">
      <c r="B4746" s="839">
        <v>46121</v>
      </c>
      <c r="C4746" s="845" t="s">
        <v>247</v>
      </c>
      <c r="D4746" s="845" t="s">
        <v>257</v>
      </c>
      <c r="E4746" s="845">
        <v>1</v>
      </c>
      <c r="F4746" s="849">
        <v>2.65</v>
      </c>
      <c r="G4746" s="854">
        <v>2.65</v>
      </c>
      <c r="H4746" s="854">
        <f>G4746/1.1</f>
        <v>2.4090909090909087</v>
      </c>
      <c r="I4746" s="845">
        <f>IFERROR(VLOOKUP(D4746,BD_Datos!$M$1:$P$1014,3,FALSE),0)</f>
        <v>0.21</v>
      </c>
      <c r="J4746" s="849">
        <f>IFERROR(VLOOKUP(D4746,BD_Datos!$M$1:$P$1014,2,FALSE),0)</f>
        <v>0.25</v>
      </c>
      <c r="K4746" s="859">
        <f>J4746*E4746</f>
        <v>0.25</v>
      </c>
    </row>
    <row r="4747" spans="2:11" ht="18.75" customHeight="1">
      <c r="B4747" s="839">
        <v>46121</v>
      </c>
      <c r="C4747" s="845" t="s">
        <v>725</v>
      </c>
      <c r="D4747" s="845" t="s">
        <v>1263</v>
      </c>
      <c r="E4747" s="845">
        <v>1</v>
      </c>
      <c r="F4747" s="849">
        <v>5.3</v>
      </c>
      <c r="G4747" s="854">
        <v>5.3</v>
      </c>
      <c r="H4747" s="854">
        <f>G4747/1.1</f>
        <v>4.8181818181818175</v>
      </c>
      <c r="I4747" s="845">
        <f>IFERROR(VLOOKUP(D4747,BD_Datos!$M$1:$P$1014,3,FALSE),0)</f>
        <v>0</v>
      </c>
      <c r="J4747" s="849">
        <f>IFERROR(VLOOKUP(D4747,BD_Datos!$M$1:$P$1014,2,FALSE),0)</f>
        <v>0</v>
      </c>
      <c r="K4747" s="859">
        <f>J4747*E4747</f>
        <v>0</v>
      </c>
    </row>
    <row r="4748" spans="2:11" ht="18.75" customHeight="1">
      <c r="B4748" s="839">
        <v>46121</v>
      </c>
      <c r="C4748" s="845" t="s">
        <v>253</v>
      </c>
      <c r="D4748" s="845" t="s">
        <v>1264</v>
      </c>
      <c r="E4748" s="845">
        <v>2</v>
      </c>
      <c r="F4748" s="849">
        <v>1.03</v>
      </c>
      <c r="G4748" s="854">
        <v>2.0499999999999998</v>
      </c>
      <c r="H4748" s="854">
        <f>G4748/1.1</f>
        <v>1.8636363636363633</v>
      </c>
      <c r="I4748" s="845">
        <f>IFERROR(VLOOKUP(D4748,BD_Datos!$M$1:$P$1014,3,FALSE),0)</f>
        <v>0.33</v>
      </c>
      <c r="J4748" s="849">
        <f>IFERROR(VLOOKUP(D4748,BD_Datos!$M$1:$P$1014,2,FALSE),0)</f>
        <v>0.8</v>
      </c>
      <c r="K4748" s="859">
        <f>J4748*E4748</f>
        <v>1.6</v>
      </c>
    </row>
    <row r="4749" spans="2:11" ht="18.75" customHeight="1">
      <c r="B4749" s="839">
        <v>46121</v>
      </c>
      <c r="C4749" s="845" t="s">
        <v>251</v>
      </c>
      <c r="D4749" s="845" t="s">
        <v>250</v>
      </c>
      <c r="E4749" s="845">
        <v>1</v>
      </c>
      <c r="F4749" s="849">
        <v>3</v>
      </c>
      <c r="G4749" s="854">
        <v>3</v>
      </c>
      <c r="H4749" s="854">
        <f>G4749/1.1</f>
        <v>2.7272727272727271</v>
      </c>
      <c r="I4749" s="845">
        <f>IFERROR(VLOOKUP(D4749,BD_Datos!$M$1:$P$1014,3,FALSE),0)</f>
        <v>0.21</v>
      </c>
      <c r="J4749" s="849">
        <f>IFERROR(VLOOKUP(D4749,BD_Datos!$M$1:$P$1014,2,FALSE),0)</f>
        <v>0.05</v>
      </c>
      <c r="K4749" s="859">
        <f>J4749*E4749</f>
        <v>0.05</v>
      </c>
    </row>
    <row r="4750" spans="2:11" ht="18.75" customHeight="1">
      <c r="B4750" s="839">
        <v>46121</v>
      </c>
      <c r="C4750" s="845" t="s">
        <v>264</v>
      </c>
      <c r="D4750" s="845" t="s">
        <v>983</v>
      </c>
      <c r="E4750" s="845">
        <v>1</v>
      </c>
      <c r="F4750" s="849">
        <v>3.75</v>
      </c>
      <c r="G4750" s="854">
        <v>3.75</v>
      </c>
      <c r="H4750" s="854">
        <f>G4750/1.1</f>
        <v>3.4090909090909087</v>
      </c>
      <c r="I4750" s="845">
        <f>IFERROR(VLOOKUP(D4750,BD_Datos!$M$1:$P$1014,3,FALSE),0)</f>
        <v>0.13</v>
      </c>
      <c r="J4750" s="849">
        <f>IFERROR(VLOOKUP(D4750,BD_Datos!$M$1:$P$1014,2,FALSE),0)</f>
        <v>0.16</v>
      </c>
      <c r="K4750" s="859">
        <f>J4750*E4750</f>
        <v>0.16</v>
      </c>
    </row>
    <row r="4751" spans="2:11" ht="18.75" customHeight="1">
      <c r="B4751" s="839">
        <v>46121</v>
      </c>
      <c r="C4751" s="845" t="s">
        <v>264</v>
      </c>
      <c r="D4751" s="845" t="s">
        <v>930</v>
      </c>
      <c r="E4751" s="845">
        <v>1</v>
      </c>
      <c r="F4751" s="849">
        <v>7.75</v>
      </c>
      <c r="G4751" s="854">
        <v>7.75</v>
      </c>
      <c r="H4751" s="854">
        <f>G4751/1.1</f>
        <v>7.045454545454545</v>
      </c>
      <c r="I4751" s="845">
        <f>IFERROR(VLOOKUP(D4751,BD_Datos!$M$1:$P$1014,3,FALSE),0)</f>
        <v>0</v>
      </c>
      <c r="J4751" s="849">
        <f>IFERROR(VLOOKUP(D4751,BD_Datos!$M$1:$P$1014,2,FALSE),0)</f>
        <v>0</v>
      </c>
      <c r="K4751" s="859">
        <f>J4751*E4751</f>
        <v>0</v>
      </c>
    </row>
    <row r="4752" spans="2:11" ht="18.75" customHeight="1">
      <c r="B4752" s="839">
        <v>46121</v>
      </c>
      <c r="C4752" s="845" t="s">
        <v>256</v>
      </c>
      <c r="D4752" s="845" t="s">
        <v>778</v>
      </c>
      <c r="E4752" s="845">
        <v>1</v>
      </c>
      <c r="F4752" s="849">
        <v>0.05</v>
      </c>
      <c r="G4752" s="854">
        <v>0.05</v>
      </c>
      <c r="H4752" s="854">
        <f>G4752/1.1</f>
        <v>4.5454545454545456E-2</v>
      </c>
      <c r="I4752" s="845">
        <f>IFERROR(VLOOKUP(D4752,BD_Datos!$M$1:$P$1014,3,FALSE),0)</f>
        <v>0</v>
      </c>
      <c r="J4752" s="849">
        <f>IFERROR(VLOOKUP(D4752,BD_Datos!$M$1:$P$1014,2,FALSE),0)</f>
        <v>0</v>
      </c>
      <c r="K4752" s="859">
        <f>J4752*E4752</f>
        <v>0</v>
      </c>
    </row>
    <row r="4753" spans="2:11" ht="18.75" customHeight="1">
      <c r="B4753" s="839">
        <v>46121</v>
      </c>
      <c r="C4753" s="845" t="s">
        <v>323</v>
      </c>
      <c r="D4753" s="845" t="s">
        <v>696</v>
      </c>
      <c r="E4753" s="845">
        <v>1</v>
      </c>
      <c r="F4753" s="849">
        <v>12.25</v>
      </c>
      <c r="G4753" s="854">
        <v>12.25</v>
      </c>
      <c r="H4753" s="854">
        <f>G4753/1.1</f>
        <v>11.136363636363635</v>
      </c>
      <c r="I4753" s="845">
        <f>IFERROR(VLOOKUP(D4753,BD_Datos!$M$1:$P$1014,3,FALSE),0)</f>
        <v>0.28000000000000003</v>
      </c>
      <c r="J4753" s="849">
        <f>IFERROR(VLOOKUP(D4753,BD_Datos!$M$1:$P$1014,2,FALSE),0)</f>
        <v>2.75</v>
      </c>
      <c r="K4753" s="859">
        <f>J4753*E4753</f>
        <v>2.75</v>
      </c>
    </row>
    <row r="4754" spans="2:11" ht="18.75" customHeight="1">
      <c r="B4754" s="839">
        <v>46121</v>
      </c>
      <c r="C4754" s="845" t="s">
        <v>256</v>
      </c>
      <c r="D4754" s="845" t="s">
        <v>931</v>
      </c>
      <c r="E4754" s="845">
        <v>2</v>
      </c>
      <c r="F4754" s="849">
        <v>1.7</v>
      </c>
      <c r="G4754" s="854">
        <v>3.4</v>
      </c>
      <c r="H4754" s="854">
        <f>G4754/1.1</f>
        <v>3.0909090909090904</v>
      </c>
      <c r="I4754" s="845">
        <f>IFERROR(VLOOKUP(D4754,BD_Datos!$M$1:$P$1014,3,FALSE),0)</f>
        <v>0.19</v>
      </c>
      <c r="J4754" s="849">
        <f>IFERROR(VLOOKUP(D4754,BD_Datos!$M$1:$P$1014,2,FALSE),0)</f>
        <v>0.88</v>
      </c>
      <c r="K4754" s="859">
        <f>J4754*E4754</f>
        <v>1.76</v>
      </c>
    </row>
    <row r="4755" spans="2:11" ht="18.75" customHeight="1">
      <c r="B4755" s="839">
        <v>46121</v>
      </c>
      <c r="C4755" s="845" t="s">
        <v>256</v>
      </c>
      <c r="D4755" s="845" t="s">
        <v>870</v>
      </c>
      <c r="E4755" s="845">
        <v>2</v>
      </c>
      <c r="F4755" s="849">
        <v>1.7</v>
      </c>
      <c r="G4755" s="854">
        <v>3.4</v>
      </c>
      <c r="H4755" s="854">
        <f>G4755/1.1</f>
        <v>3.0909090909090904</v>
      </c>
      <c r="I4755" s="845">
        <f>IFERROR(VLOOKUP(D4755,BD_Datos!$M$1:$P$1014,3,FALSE),0)</f>
        <v>0.23</v>
      </c>
      <c r="J4755" s="849">
        <f>IFERROR(VLOOKUP(D4755,BD_Datos!$M$1:$P$1014,2,FALSE),0)</f>
        <v>1.1599999999999999</v>
      </c>
      <c r="K4755" s="859">
        <f>J4755*E4755</f>
        <v>2.3199999999999998</v>
      </c>
    </row>
    <row r="4756" spans="2:11" ht="18.75" customHeight="1">
      <c r="B4756" s="839">
        <v>46121</v>
      </c>
      <c r="C4756" s="845" t="s">
        <v>256</v>
      </c>
      <c r="D4756" s="845" t="s">
        <v>932</v>
      </c>
      <c r="E4756" s="845">
        <v>2</v>
      </c>
      <c r="F4756" s="849">
        <v>1.7</v>
      </c>
      <c r="G4756" s="854">
        <v>3.4</v>
      </c>
      <c r="H4756" s="854">
        <f>G4756/1.1</f>
        <v>3.0909090909090904</v>
      </c>
      <c r="I4756" s="845">
        <f>IFERROR(VLOOKUP(D4756,BD_Datos!$M$1:$P$1014,3,FALSE),0)</f>
        <v>0.18</v>
      </c>
      <c r="J4756" s="849">
        <f>IFERROR(VLOOKUP(D4756,BD_Datos!$M$1:$P$1014,2,FALSE),0)</f>
        <v>0.9</v>
      </c>
      <c r="K4756" s="859">
        <f>J4756*E4756</f>
        <v>1.8</v>
      </c>
    </row>
    <row r="4757" spans="2:11" ht="18.75" customHeight="1">
      <c r="B4757" s="839">
        <v>46121</v>
      </c>
      <c r="C4757" s="845" t="s">
        <v>256</v>
      </c>
      <c r="D4757" s="845" t="s">
        <v>1254</v>
      </c>
      <c r="E4757" s="845">
        <v>1</v>
      </c>
      <c r="F4757" s="849">
        <v>10</v>
      </c>
      <c r="G4757" s="854">
        <v>10</v>
      </c>
      <c r="H4757" s="854">
        <f>G4757/1.1</f>
        <v>9.0909090909090899</v>
      </c>
      <c r="I4757" s="845"/>
      <c r="J4757" s="849"/>
      <c r="K4757" s="859"/>
    </row>
    <row r="4758" spans="2:11" ht="18.75" customHeight="1">
      <c r="B4758" s="839">
        <v>46121</v>
      </c>
      <c r="C4758" s="845" t="s">
        <v>247</v>
      </c>
      <c r="D4758" s="845" t="s">
        <v>248</v>
      </c>
      <c r="E4758" s="845">
        <v>1</v>
      </c>
      <c r="F4758" s="849">
        <v>1.5</v>
      </c>
      <c r="G4758" s="854">
        <v>1.5</v>
      </c>
      <c r="H4758" s="854">
        <f>G4758/1.1</f>
        <v>1.3636363636363635</v>
      </c>
      <c r="I4758" s="845"/>
      <c r="J4758" s="849"/>
      <c r="K4758" s="859"/>
    </row>
    <row r="4759" spans="2:11" ht="18.75" customHeight="1">
      <c r="B4759" s="839">
        <v>46121</v>
      </c>
      <c r="C4759" s="845" t="s">
        <v>268</v>
      </c>
      <c r="D4759" s="845" t="s">
        <v>946</v>
      </c>
      <c r="E4759" s="845">
        <v>1</v>
      </c>
      <c r="F4759" s="849">
        <v>6.4</v>
      </c>
      <c r="G4759" s="854">
        <v>6.4</v>
      </c>
      <c r="H4759" s="854">
        <f>G4759/1.1</f>
        <v>5.8181818181818183</v>
      </c>
      <c r="I4759" s="845"/>
      <c r="J4759" s="849"/>
      <c r="K4759" s="859"/>
    </row>
    <row r="4760" spans="2:11" ht="18.75" customHeight="1">
      <c r="B4760" s="839">
        <v>46121</v>
      </c>
      <c r="C4760" s="845" t="s">
        <v>256</v>
      </c>
      <c r="D4760" s="845" t="s">
        <v>1147</v>
      </c>
      <c r="E4760" s="845">
        <v>1</v>
      </c>
      <c r="F4760" s="849">
        <v>2.35</v>
      </c>
      <c r="G4760" s="854">
        <v>2.35</v>
      </c>
      <c r="H4760" s="854">
        <f>G4760/1.1</f>
        <v>2.1363636363636362</v>
      </c>
      <c r="I4760" s="845"/>
      <c r="J4760" s="849"/>
      <c r="K4760" s="859"/>
    </row>
    <row r="4761" spans="2:11" ht="18.75" customHeight="1">
      <c r="B4761" s="839">
        <v>46121</v>
      </c>
      <c r="C4761" s="845" t="s">
        <v>268</v>
      </c>
      <c r="D4761" s="845" t="s">
        <v>1001</v>
      </c>
      <c r="E4761" s="845">
        <v>2</v>
      </c>
      <c r="F4761" s="849">
        <v>5.7</v>
      </c>
      <c r="G4761" s="854">
        <v>11.4</v>
      </c>
      <c r="H4761" s="854">
        <f>G4761/1.1</f>
        <v>10.363636363636363</v>
      </c>
      <c r="I4761" s="845"/>
      <c r="J4761" s="849"/>
      <c r="K4761" s="859"/>
    </row>
    <row r="4762" spans="2:11" ht="18.75" customHeight="1">
      <c r="B4762" s="839">
        <v>46121</v>
      </c>
      <c r="C4762" s="845" t="s">
        <v>1265</v>
      </c>
      <c r="D4762" s="845" t="s">
        <v>1266</v>
      </c>
      <c r="E4762" s="845">
        <v>2</v>
      </c>
      <c r="F4762" s="849">
        <v>14.9</v>
      </c>
      <c r="G4762" s="854">
        <v>29.8</v>
      </c>
      <c r="H4762" s="854">
        <f>G4762/1.1</f>
        <v>27.09090909090909</v>
      </c>
      <c r="I4762" s="845"/>
      <c r="J4762" s="849"/>
      <c r="K4762" s="859"/>
    </row>
    <row r="4763" spans="2:11" ht="18.75" customHeight="1">
      <c r="B4763" s="839">
        <v>46121</v>
      </c>
      <c r="C4763" s="845" t="s">
        <v>256</v>
      </c>
      <c r="D4763" s="845" t="s">
        <v>1267</v>
      </c>
      <c r="E4763" s="845">
        <v>1</v>
      </c>
      <c r="F4763" s="849">
        <v>3</v>
      </c>
      <c r="G4763" s="854">
        <v>3</v>
      </c>
      <c r="H4763" s="854">
        <f>G4763/1.1</f>
        <v>2.7272727272727271</v>
      </c>
      <c r="I4763" s="845"/>
      <c r="J4763" s="849"/>
      <c r="K4763" s="859"/>
    </row>
    <row r="4764" spans="2:11" ht="18.75" customHeight="1">
      <c r="B4764" s="839">
        <v>46122</v>
      </c>
      <c r="C4764" s="845" t="s">
        <v>247</v>
      </c>
      <c r="D4764" s="845" t="s">
        <v>246</v>
      </c>
      <c r="E4764" s="845">
        <v>1</v>
      </c>
      <c r="F4764" s="849">
        <v>1.7</v>
      </c>
      <c r="G4764" s="854">
        <v>1.7</v>
      </c>
      <c r="H4764" s="854">
        <f>G4764/1.1</f>
        <v>1.5454545454545452</v>
      </c>
      <c r="I4764" s="845">
        <f>IFERROR(VLOOKUP(D4764,BD_Datos!$M$1:$P$1014,3,FALSE),0)</f>
        <v>0.26</v>
      </c>
      <c r="J4764" s="849">
        <f>IFERROR(VLOOKUP(D4764,BD_Datos!$M$1:$P$1014,2,FALSE),0)</f>
        <v>0.19</v>
      </c>
      <c r="K4764" s="859">
        <f>J4764*E4764</f>
        <v>0.19</v>
      </c>
    </row>
    <row r="4765" spans="2:11" ht="18.75" customHeight="1">
      <c r="B4765" s="839">
        <v>46122</v>
      </c>
      <c r="C4765" s="845" t="s">
        <v>276</v>
      </c>
      <c r="D4765" s="845" t="s">
        <v>1237</v>
      </c>
      <c r="E4765" s="845">
        <v>1</v>
      </c>
      <c r="F4765" s="849">
        <v>3.25</v>
      </c>
      <c r="G4765" s="854">
        <v>3.25</v>
      </c>
      <c r="H4765" s="854">
        <f>G4765/1.1</f>
        <v>2.9545454545454541</v>
      </c>
      <c r="I4765" s="845">
        <f>IFERROR(VLOOKUP(D4765,BD_Datos!$M$1:$P$1014,3,FALSE),0)</f>
        <v>0.22</v>
      </c>
      <c r="J4765" s="849">
        <f>IFERROR(VLOOKUP(D4765,BD_Datos!$M$1:$P$1014,2,FALSE),0)</f>
        <v>0.68</v>
      </c>
      <c r="K4765" s="859">
        <f>J4765*E4765</f>
        <v>0.68</v>
      </c>
    </row>
    <row r="4766" spans="2:11" ht="18.75" customHeight="1">
      <c r="B4766" s="839">
        <v>46122</v>
      </c>
      <c r="C4766" s="845" t="s">
        <v>247</v>
      </c>
      <c r="D4766" s="845" t="s">
        <v>248</v>
      </c>
      <c r="E4766" s="845">
        <v>1</v>
      </c>
      <c r="F4766" s="849">
        <v>1.65</v>
      </c>
      <c r="G4766" s="854">
        <v>1.65</v>
      </c>
      <c r="H4766" s="854">
        <f>G4766/1.1</f>
        <v>1.4999999999999998</v>
      </c>
      <c r="I4766" s="845">
        <f>IFERROR(VLOOKUP(D4766,BD_Datos!$M$1:$P$1014,3,FALSE),0)</f>
        <v>0.24</v>
      </c>
      <c r="J4766" s="849">
        <f>IFERROR(VLOOKUP(D4766,BD_Datos!$M$1:$P$1014,2,FALSE),0)</f>
        <v>0.16</v>
      </c>
      <c r="K4766" s="859">
        <f>J4766*E4766</f>
        <v>0.16</v>
      </c>
    </row>
    <row r="4767" spans="2:11" ht="18.75" customHeight="1">
      <c r="B4767" s="839">
        <v>46122</v>
      </c>
      <c r="C4767" s="845" t="s">
        <v>251</v>
      </c>
      <c r="D4767" s="845" t="s">
        <v>250</v>
      </c>
      <c r="E4767" s="845">
        <v>1</v>
      </c>
      <c r="F4767" s="849">
        <v>2.0499999999999998</v>
      </c>
      <c r="G4767" s="854">
        <v>2.0499999999999998</v>
      </c>
      <c r="H4767" s="854">
        <f>G4767/1.1</f>
        <v>1.8636363636363633</v>
      </c>
      <c r="I4767" s="845">
        <f>IFERROR(VLOOKUP(D4767,BD_Datos!$M$1:$P$1014,3,FALSE),0)</f>
        <v>0.21</v>
      </c>
      <c r="J4767" s="849">
        <f>IFERROR(VLOOKUP(D4767,BD_Datos!$M$1:$P$1014,2,FALSE),0)</f>
        <v>0.05</v>
      </c>
      <c r="K4767" s="859">
        <f>J4767*E4767</f>
        <v>0.05</v>
      </c>
    </row>
    <row r="4768" spans="2:11" ht="18.75" customHeight="1">
      <c r="B4768" s="839">
        <v>46122</v>
      </c>
      <c r="C4768" s="845" t="s">
        <v>247</v>
      </c>
      <c r="D4768" s="845" t="s">
        <v>246</v>
      </c>
      <c r="E4768" s="845">
        <v>1</v>
      </c>
      <c r="F4768" s="849">
        <v>1.85</v>
      </c>
      <c r="G4768" s="854">
        <v>1.85</v>
      </c>
      <c r="H4768" s="854">
        <f>G4768/1.1</f>
        <v>1.6818181818181817</v>
      </c>
      <c r="I4768" s="845">
        <f>IFERROR(VLOOKUP(D4768,BD_Datos!$M$1:$P$1014,3,FALSE),0)</f>
        <v>0.26</v>
      </c>
      <c r="J4768" s="849">
        <f>IFERROR(VLOOKUP(D4768,BD_Datos!$M$1:$P$1014,2,FALSE),0)</f>
        <v>0.19</v>
      </c>
      <c r="K4768" s="859">
        <f>J4768*E4768</f>
        <v>0.19</v>
      </c>
    </row>
    <row r="4769" spans="2:11" ht="18.75" customHeight="1">
      <c r="B4769" s="839">
        <v>46122</v>
      </c>
      <c r="C4769" s="845" t="s">
        <v>251</v>
      </c>
      <c r="D4769" s="845" t="s">
        <v>945</v>
      </c>
      <c r="E4769" s="845">
        <v>1</v>
      </c>
      <c r="F4769" s="849">
        <v>2.8</v>
      </c>
      <c r="G4769" s="854">
        <v>2.8</v>
      </c>
      <c r="H4769" s="854">
        <f>G4769/1.1</f>
        <v>2.545454545454545</v>
      </c>
      <c r="I4769" s="845">
        <f>IFERROR(VLOOKUP(D4769,BD_Datos!$M$1:$P$1014,3,FALSE),0)</f>
        <v>0.28000000000000003</v>
      </c>
      <c r="J4769" s="849">
        <f>IFERROR(VLOOKUP(D4769,BD_Datos!$M$1:$P$1014,2,FALSE),0)</f>
        <v>0.52</v>
      </c>
      <c r="K4769" s="859">
        <f>J4769*E4769</f>
        <v>0.52</v>
      </c>
    </row>
    <row r="4770" spans="2:11" ht="18.75" customHeight="1">
      <c r="B4770" s="839">
        <v>46122</v>
      </c>
      <c r="C4770" s="845" t="s">
        <v>247</v>
      </c>
      <c r="D4770" s="845" t="s">
        <v>248</v>
      </c>
      <c r="E4770" s="845">
        <v>1</v>
      </c>
      <c r="F4770" s="849">
        <v>1.65</v>
      </c>
      <c r="G4770" s="854">
        <v>1.65</v>
      </c>
      <c r="H4770" s="854">
        <f>G4770/1.1</f>
        <v>1.4999999999999998</v>
      </c>
      <c r="I4770" s="845">
        <f>IFERROR(VLOOKUP(D4770,BD_Datos!$M$1:$P$1014,3,FALSE),0)</f>
        <v>0.24</v>
      </c>
      <c r="J4770" s="849">
        <f>IFERROR(VLOOKUP(D4770,BD_Datos!$M$1:$P$1014,2,FALSE),0)</f>
        <v>0.16</v>
      </c>
      <c r="K4770" s="859">
        <f>J4770*E4770</f>
        <v>0.16</v>
      </c>
    </row>
    <row r="4771" spans="2:11" ht="18.75" customHeight="1">
      <c r="B4771" s="839">
        <v>46122</v>
      </c>
      <c r="C4771" s="845" t="s">
        <v>264</v>
      </c>
      <c r="D4771" s="845" t="s">
        <v>1268</v>
      </c>
      <c r="E4771" s="845">
        <v>1</v>
      </c>
      <c r="F4771" s="849">
        <v>0.05</v>
      </c>
      <c r="G4771" s="854">
        <v>0.05</v>
      </c>
      <c r="H4771" s="854">
        <f>G4771/1.1</f>
        <v>4.5454545454545456E-2</v>
      </c>
      <c r="I4771" s="845">
        <f>IFERROR(VLOOKUP(D4771,BD_Datos!$M$1:$P$1014,3,FALSE),0)</f>
        <v>0.22</v>
      </c>
      <c r="J4771" s="849">
        <f>IFERROR(VLOOKUP(D4771,BD_Datos!$M$1:$P$1014,2,FALSE),0)</f>
        <v>0</v>
      </c>
      <c r="K4771" s="859">
        <f>J4771*E4771</f>
        <v>0</v>
      </c>
    </row>
    <row r="4772" spans="2:11" ht="18.75" customHeight="1">
      <c r="B4772" s="839">
        <v>46122</v>
      </c>
      <c r="C4772" s="845" t="s">
        <v>251</v>
      </c>
      <c r="D4772" s="845" t="s">
        <v>708</v>
      </c>
      <c r="E4772" s="845">
        <v>1</v>
      </c>
      <c r="F4772" s="849">
        <v>1.95</v>
      </c>
      <c r="G4772" s="854">
        <v>1.95</v>
      </c>
      <c r="H4772" s="854">
        <f>G4772/1.1</f>
        <v>1.7727272727272725</v>
      </c>
      <c r="I4772" s="845">
        <f>IFERROR(VLOOKUP(D4772,BD_Datos!$M$1:$P$1014,3,FALSE),0)</f>
        <v>0.22</v>
      </c>
      <c r="J4772" s="849">
        <f>IFERROR(VLOOKUP(D4772,BD_Datos!$M$1:$P$1014,2,FALSE),0)</f>
        <v>0.11</v>
      </c>
      <c r="K4772" s="859">
        <f>J4772*E4772</f>
        <v>0.11</v>
      </c>
    </row>
    <row r="4773" spans="2:11" ht="18.75" customHeight="1">
      <c r="B4773" s="839">
        <v>46122</v>
      </c>
      <c r="C4773" s="845" t="s">
        <v>764</v>
      </c>
      <c r="D4773" s="845" t="s">
        <v>763</v>
      </c>
      <c r="E4773" s="845">
        <v>1</v>
      </c>
      <c r="F4773" s="849">
        <v>11.5</v>
      </c>
      <c r="G4773" s="854">
        <v>11.5</v>
      </c>
      <c r="H4773" s="854">
        <f>G4773/1.1</f>
        <v>10.454545454545453</v>
      </c>
      <c r="I4773" s="845">
        <f>IFERROR(VLOOKUP(D4773,BD_Datos!$M$1:$P$1014,3,FALSE),0)</f>
        <v>0</v>
      </c>
      <c r="J4773" s="849">
        <f>IFERROR(VLOOKUP(D4773,BD_Datos!$M$1:$P$1014,2,FALSE),0)</f>
        <v>0</v>
      </c>
      <c r="K4773" s="859">
        <f>J4773*E4773</f>
        <v>0</v>
      </c>
    </row>
    <row r="4774" spans="2:11" ht="18.75" customHeight="1">
      <c r="B4774" s="839">
        <v>46122</v>
      </c>
      <c r="C4774" s="845" t="s">
        <v>323</v>
      </c>
      <c r="D4774" s="845" t="s">
        <v>684</v>
      </c>
      <c r="E4774" s="845">
        <v>1</v>
      </c>
      <c r="F4774" s="849">
        <v>9.9</v>
      </c>
      <c r="G4774" s="854">
        <v>9.9</v>
      </c>
      <c r="H4774" s="854">
        <f>G4774/1.1</f>
        <v>9</v>
      </c>
      <c r="I4774" s="845">
        <f>IFERROR(VLOOKUP(D4774,BD_Datos!$M$1:$P$1014,3,FALSE),0)</f>
        <v>0.21</v>
      </c>
      <c r="J4774" s="849">
        <f>IFERROR(VLOOKUP(D4774,BD_Datos!$M$1:$P$1014,2,FALSE),0)</f>
        <v>0.68</v>
      </c>
      <c r="K4774" s="859">
        <f>J4774*E4774</f>
        <v>0.68</v>
      </c>
    </row>
    <row r="4775" spans="2:11" ht="18.75" customHeight="1">
      <c r="B4775" s="839">
        <v>46122</v>
      </c>
      <c r="C4775" s="845" t="s">
        <v>256</v>
      </c>
      <c r="D4775" s="845" t="s">
        <v>262</v>
      </c>
      <c r="E4775" s="845">
        <v>1</v>
      </c>
      <c r="F4775" s="849">
        <v>11.9</v>
      </c>
      <c r="G4775" s="854">
        <v>11.9</v>
      </c>
      <c r="H4775" s="854">
        <f>G4775/1.1</f>
        <v>10.818181818181818</v>
      </c>
      <c r="I4775" s="845">
        <f>IFERROR(VLOOKUP(D4775,BD_Datos!$M$1:$P$1014,3,FALSE),0)</f>
        <v>0.28000000000000003</v>
      </c>
      <c r="J4775" s="849">
        <f>IFERROR(VLOOKUP(D4775,BD_Datos!$M$1:$P$1014,2,FALSE),0)</f>
        <v>2.69</v>
      </c>
      <c r="K4775" s="859">
        <f>J4775*E4775</f>
        <v>2.69</v>
      </c>
    </row>
    <row r="4776" spans="2:11" ht="18.75" customHeight="1">
      <c r="B4776" s="839">
        <v>46122</v>
      </c>
      <c r="C4776" s="845" t="s">
        <v>253</v>
      </c>
      <c r="D4776" s="845" t="s">
        <v>1269</v>
      </c>
      <c r="E4776" s="845">
        <v>2</v>
      </c>
      <c r="F4776" s="849">
        <v>2.15</v>
      </c>
      <c r="G4776" s="854">
        <v>4.3</v>
      </c>
      <c r="H4776" s="854">
        <f>G4776/1.1</f>
        <v>3.9090909090909087</v>
      </c>
      <c r="I4776" s="845">
        <f>IFERROR(VLOOKUP(D4776,BD_Datos!$M$1:$P$1014,3,FALSE),0)</f>
        <v>0.38</v>
      </c>
      <c r="J4776" s="849">
        <f>IFERROR(VLOOKUP(D4776,BD_Datos!$M$1:$P$1014,2,FALSE),0)</f>
        <v>0.61</v>
      </c>
      <c r="K4776" s="859">
        <f>J4776*E4776</f>
        <v>1.22</v>
      </c>
    </row>
    <row r="4777" spans="2:11" ht="18.75" customHeight="1">
      <c r="B4777" s="839">
        <v>46122</v>
      </c>
      <c r="C4777" s="845" t="s">
        <v>253</v>
      </c>
      <c r="D4777" s="845" t="s">
        <v>252</v>
      </c>
      <c r="E4777" s="845">
        <v>2</v>
      </c>
      <c r="F4777" s="849">
        <v>2.5</v>
      </c>
      <c r="G4777" s="854">
        <v>5</v>
      </c>
      <c r="H4777" s="854">
        <f>G4777/1.1</f>
        <v>4.545454545454545</v>
      </c>
      <c r="I4777" s="845">
        <f>IFERROR(VLOOKUP(D4777,BD_Datos!$M$1:$P$1014,3,FALSE),0)</f>
        <v>0.45</v>
      </c>
      <c r="J4777" s="849">
        <f>IFERROR(VLOOKUP(D4777,BD_Datos!$M$1:$P$1014,2,FALSE),0)</f>
        <v>1.06</v>
      </c>
      <c r="K4777" s="859">
        <f>J4777*E4777</f>
        <v>2.12</v>
      </c>
    </row>
    <row r="4778" spans="2:11" ht="18.75" customHeight="1">
      <c r="B4778" s="839">
        <v>46122</v>
      </c>
      <c r="C4778" s="845" t="s">
        <v>264</v>
      </c>
      <c r="D4778" s="845" t="s">
        <v>930</v>
      </c>
      <c r="E4778" s="845">
        <v>1</v>
      </c>
      <c r="F4778" s="849">
        <v>3.5</v>
      </c>
      <c r="G4778" s="854">
        <v>3.5</v>
      </c>
      <c r="H4778" s="854">
        <f>G4778/1.1</f>
        <v>3.1818181818181817</v>
      </c>
      <c r="I4778" s="845">
        <f>IFERROR(VLOOKUP(D4778,BD_Datos!$M$1:$P$1014,3,FALSE),0)</f>
        <v>0</v>
      </c>
      <c r="J4778" s="849">
        <f>IFERROR(VLOOKUP(D4778,BD_Datos!$M$1:$P$1014,2,FALSE),0)</f>
        <v>0</v>
      </c>
      <c r="K4778" s="859">
        <f>J4778*E4778</f>
        <v>0</v>
      </c>
    </row>
    <row r="4779" spans="2:11" ht="18.75" customHeight="1">
      <c r="B4779" s="839">
        <v>46122</v>
      </c>
      <c r="C4779" s="845" t="s">
        <v>256</v>
      </c>
      <c r="D4779" s="845" t="s">
        <v>912</v>
      </c>
      <c r="E4779" s="845">
        <v>1</v>
      </c>
      <c r="F4779" s="849">
        <v>5.5</v>
      </c>
      <c r="G4779" s="854">
        <v>5.5</v>
      </c>
      <c r="H4779" s="854">
        <f>G4779/1.1</f>
        <v>5</v>
      </c>
      <c r="I4779" s="845">
        <f>IFERROR(VLOOKUP(D4779,BD_Datos!$M$1:$P$1014,3,FALSE),0)</f>
        <v>0.22</v>
      </c>
      <c r="J4779" s="849">
        <f>IFERROR(VLOOKUP(D4779,BD_Datos!$M$1:$P$1014,2,FALSE),0)</f>
        <v>1.25</v>
      </c>
      <c r="K4779" s="859">
        <f>J4779*E4779</f>
        <v>1.25</v>
      </c>
    </row>
    <row r="4780" spans="2:11" ht="18.75" customHeight="1">
      <c r="B4780" s="839">
        <v>46122</v>
      </c>
      <c r="C4780" s="845" t="s">
        <v>256</v>
      </c>
      <c r="D4780" s="845" t="s">
        <v>986</v>
      </c>
      <c r="E4780" s="845">
        <v>1</v>
      </c>
      <c r="F4780" s="849">
        <v>14</v>
      </c>
      <c r="G4780" s="854">
        <v>14</v>
      </c>
      <c r="H4780" s="854">
        <f>G4780/1.1</f>
        <v>12.727272727272727</v>
      </c>
      <c r="I4780" s="845">
        <f>IFERROR(VLOOKUP(D4780,BD_Datos!$M$1:$P$1014,3,FALSE),0)</f>
        <v>0</v>
      </c>
      <c r="J4780" s="849">
        <f>IFERROR(VLOOKUP(D4780,BD_Datos!$M$1:$P$1014,2,FALSE),0)</f>
        <v>0</v>
      </c>
      <c r="K4780" s="859">
        <f>J4780*E4780</f>
        <v>0</v>
      </c>
    </row>
    <row r="4781" spans="2:11" ht="18.75" customHeight="1">
      <c r="B4781" s="839">
        <v>46122</v>
      </c>
      <c r="C4781" s="845" t="s">
        <v>256</v>
      </c>
      <c r="D4781" s="845" t="s">
        <v>255</v>
      </c>
      <c r="E4781" s="845">
        <v>1</v>
      </c>
      <c r="F4781" s="849">
        <v>5.6</v>
      </c>
      <c r="G4781" s="854">
        <v>5.6</v>
      </c>
      <c r="H4781" s="854">
        <f>G4781/1.1</f>
        <v>5.0909090909090899</v>
      </c>
      <c r="I4781" s="845">
        <f>IFERROR(VLOOKUP(D4781,BD_Datos!$M$1:$P$1014,3,FALSE),0)</f>
        <v>0.2</v>
      </c>
      <c r="J4781" s="849">
        <f>IFERROR(VLOOKUP(D4781,BD_Datos!$M$1:$P$1014,2,FALSE),0)</f>
        <v>0.96</v>
      </c>
      <c r="K4781" s="859">
        <f>J4781*E4781</f>
        <v>0.96</v>
      </c>
    </row>
    <row r="4782" spans="2:11" ht="18.75" customHeight="1">
      <c r="B4782" s="839">
        <v>46122</v>
      </c>
      <c r="C4782" s="845" t="s">
        <v>254</v>
      </c>
      <c r="D4782" s="912" t="s">
        <v>254</v>
      </c>
      <c r="E4782" s="845">
        <v>3</v>
      </c>
      <c r="F4782" s="849">
        <v>14.9</v>
      </c>
      <c r="G4782" s="854">
        <f>Tabla12[[#This Row],[ PVP ]]</f>
        <v>14.9</v>
      </c>
      <c r="H4782" s="854">
        <f>G4782/1.1</f>
        <v>13.545454545454545</v>
      </c>
      <c r="I4782" s="845">
        <f>IFERROR(VLOOKUP(D4782,BD_Datos!$M$1:$P$1014,3,FALSE),0)</f>
        <v>0</v>
      </c>
      <c r="J4782" s="849">
        <f>IFERROR(VLOOKUP(D4782,BD_Datos!$M$1:$P$1014,2,FALSE),0)</f>
        <v>0</v>
      </c>
      <c r="K4782" s="859">
        <f>J4782*E4782</f>
        <v>0</v>
      </c>
    </row>
    <row r="4783" spans="2:11" ht="18.75" customHeight="1">
      <c r="B4783" s="839">
        <v>46122</v>
      </c>
      <c r="C4783" s="845" t="s">
        <v>873</v>
      </c>
      <c r="D4783" s="912" t="s">
        <v>1226</v>
      </c>
      <c r="E4783" s="845">
        <v>1</v>
      </c>
      <c r="F4783" s="849">
        <v>0</v>
      </c>
      <c r="G4783" s="854">
        <f>Tabla12[[#This Row],[ PVP ]]</f>
        <v>0</v>
      </c>
      <c r="H4783" s="854">
        <f>G4783/1.1</f>
        <v>0</v>
      </c>
      <c r="I4783" s="845">
        <f>IFERROR(VLOOKUP(D4783,BD_Datos!$M$1:$P$1014,3,FALSE),0)</f>
        <v>0</v>
      </c>
      <c r="J4783" s="849">
        <f>IFERROR(VLOOKUP(D4783,BD_Datos!$M$1:$P$1014,2,FALSE),0)</f>
        <v>0</v>
      </c>
      <c r="K4783" s="859">
        <f>J4783*E4783</f>
        <v>0</v>
      </c>
    </row>
    <row r="4784" spans="2:11" ht="18.75" customHeight="1">
      <c r="B4784" s="839">
        <v>46122</v>
      </c>
      <c r="C4784" s="845" t="s">
        <v>873</v>
      </c>
      <c r="D4784" s="912" t="s">
        <v>1108</v>
      </c>
      <c r="E4784" s="845">
        <v>2</v>
      </c>
      <c r="F4784" s="849">
        <v>0</v>
      </c>
      <c r="G4784" s="854">
        <f>Tabla12[[#This Row],[ PVP ]]</f>
        <v>0</v>
      </c>
      <c r="H4784" s="854">
        <f>G4784/1.1</f>
        <v>0</v>
      </c>
      <c r="I4784" s="845">
        <f>IFERROR(VLOOKUP(D4784,BD_Datos!$M$1:$P$1014,3,FALSE),0)</f>
        <v>0</v>
      </c>
      <c r="J4784" s="849">
        <f>IFERROR(VLOOKUP(D4784,BD_Datos!$M$1:$P$1014,2,FALSE),0)</f>
        <v>0</v>
      </c>
      <c r="K4784" s="859">
        <f>J4784*E4784</f>
        <v>0</v>
      </c>
    </row>
    <row r="4785" spans="2:11" ht="18.75" customHeight="1">
      <c r="B4785" s="839">
        <v>46122</v>
      </c>
      <c r="C4785" s="845" t="s">
        <v>877</v>
      </c>
      <c r="D4785" s="912" t="s">
        <v>1221</v>
      </c>
      <c r="E4785" s="845">
        <v>1</v>
      </c>
      <c r="F4785" s="849">
        <v>0</v>
      </c>
      <c r="G4785" s="854">
        <f>Tabla12[[#This Row],[ PVP ]]</f>
        <v>0</v>
      </c>
      <c r="H4785" s="854">
        <f>G4785/1.1</f>
        <v>0</v>
      </c>
      <c r="I4785" s="845">
        <f>IFERROR(VLOOKUP(D4785,BD_Datos!$M$1:$P$1014,3,FALSE),0)</f>
        <v>0</v>
      </c>
      <c r="J4785" s="849">
        <f>IFERROR(VLOOKUP(D4785,BD_Datos!$M$1:$P$1014,2,FALSE),0)</f>
        <v>0</v>
      </c>
      <c r="K4785" s="859">
        <f>J4785*E4785</f>
        <v>0</v>
      </c>
    </row>
    <row r="4786" spans="2:11" ht="18.75" customHeight="1">
      <c r="B4786" s="839">
        <v>46122</v>
      </c>
      <c r="C4786" s="845" t="s">
        <v>877</v>
      </c>
      <c r="D4786" s="912" t="s">
        <v>1222</v>
      </c>
      <c r="E4786" s="845">
        <v>2</v>
      </c>
      <c r="F4786" s="849">
        <v>0</v>
      </c>
      <c r="G4786" s="854">
        <f>Tabla12[[#This Row],[ PVP ]]</f>
        <v>0</v>
      </c>
      <c r="H4786" s="854">
        <f>G4786/1.1</f>
        <v>0</v>
      </c>
      <c r="I4786" s="845">
        <f>IFERROR(VLOOKUP(D4786,BD_Datos!$M$1:$P$1014,3,FALSE),0)</f>
        <v>0</v>
      </c>
      <c r="J4786" s="849">
        <f>IFERROR(VLOOKUP(D4786,BD_Datos!$M$1:$P$1014,2,FALSE),0)</f>
        <v>0</v>
      </c>
      <c r="K4786" s="859">
        <f>J4786*E4786</f>
        <v>0</v>
      </c>
    </row>
    <row r="4787" spans="2:11" ht="18.75" customHeight="1">
      <c r="B4787" s="839">
        <v>46122</v>
      </c>
      <c r="C4787" s="847" t="s">
        <v>258</v>
      </c>
      <c r="D4787" s="912" t="s">
        <v>1058</v>
      </c>
      <c r="E4787" s="845">
        <v>3</v>
      </c>
      <c r="F4787" s="849">
        <v>0</v>
      </c>
      <c r="G4787" s="854">
        <f>Tabla12[[#This Row],[ PVP ]]</f>
        <v>0</v>
      </c>
      <c r="H4787" s="854">
        <f>G4787/1.1</f>
        <v>0</v>
      </c>
      <c r="I4787" s="845">
        <f>IFERROR(VLOOKUP(D4787,BD_Datos!$M$1:$P$1014,3,FALSE),0)</f>
        <v>0</v>
      </c>
      <c r="J4787" s="849">
        <f>IFERROR(VLOOKUP(D4787,BD_Datos!$M$1:$P$1014,2,FALSE),0)</f>
        <v>0</v>
      </c>
      <c r="K4787" s="859">
        <f>J4787*E4787</f>
        <v>0</v>
      </c>
    </row>
    <row r="4788" spans="2:11" ht="18.75" customHeight="1">
      <c r="B4788" s="839">
        <v>46122</v>
      </c>
      <c r="C4788" s="845" t="s">
        <v>266</v>
      </c>
      <c r="D4788" s="912" t="s">
        <v>942</v>
      </c>
      <c r="E4788" s="845">
        <v>3</v>
      </c>
      <c r="F4788" s="849">
        <v>0</v>
      </c>
      <c r="G4788" s="854">
        <f>Tabla12[[#This Row],[ PVP ]]</f>
        <v>0</v>
      </c>
      <c r="H4788" s="854">
        <f>G4788/1.1</f>
        <v>0</v>
      </c>
      <c r="I4788" s="845">
        <f>IFERROR(VLOOKUP(D4788,BD_Datos!$M$1:$P$1014,3,FALSE),0)</f>
        <v>0</v>
      </c>
      <c r="J4788" s="849">
        <f>IFERROR(VLOOKUP(D4788,BD_Datos!$M$1:$P$1014,2,FALSE),0)</f>
        <v>0</v>
      </c>
      <c r="K4788" s="859">
        <f>J4788*E4788</f>
        <v>0</v>
      </c>
    </row>
    <row r="4789" spans="2:11" ht="18.75" customHeight="1">
      <c r="B4789" s="839">
        <v>46122</v>
      </c>
      <c r="C4789" s="845" t="s">
        <v>254</v>
      </c>
      <c r="D4789" s="912" t="s">
        <v>254</v>
      </c>
      <c r="E4789" s="845">
        <v>1</v>
      </c>
      <c r="F4789" s="849">
        <v>14.9</v>
      </c>
      <c r="G4789" s="854">
        <f>Tabla12[[#This Row],[ PVP ]]</f>
        <v>14.9</v>
      </c>
      <c r="H4789" s="854">
        <f>G4789/1.1</f>
        <v>13.545454545454545</v>
      </c>
      <c r="I4789" s="845">
        <f>IFERROR(VLOOKUP(D4789,BD_Datos!$M$1:$P$1014,3,FALSE),0)</f>
        <v>0</v>
      </c>
      <c r="J4789" s="849">
        <f>IFERROR(VLOOKUP(D4789,BD_Datos!$M$1:$P$1014,2,FALSE),0)</f>
        <v>0</v>
      </c>
      <c r="K4789" s="859">
        <f>J4789*E4789</f>
        <v>0</v>
      </c>
    </row>
    <row r="4790" spans="2:11" ht="18.75" customHeight="1">
      <c r="B4790" s="839">
        <v>46122</v>
      </c>
      <c r="C4790" s="845" t="s">
        <v>873</v>
      </c>
      <c r="D4790" s="912" t="s">
        <v>1219</v>
      </c>
      <c r="E4790" s="845">
        <v>1</v>
      </c>
      <c r="F4790" s="849">
        <v>0</v>
      </c>
      <c r="G4790" s="854">
        <f>Tabla12[[#This Row],[ PVP ]]</f>
        <v>0</v>
      </c>
      <c r="H4790" s="854">
        <f>G4790/1.1</f>
        <v>0</v>
      </c>
      <c r="I4790" s="845">
        <f>IFERROR(VLOOKUP(D4790,BD_Datos!$M$1:$P$1014,3,FALSE),0)</f>
        <v>0</v>
      </c>
      <c r="J4790" s="849">
        <f>IFERROR(VLOOKUP(D4790,BD_Datos!$M$1:$P$1014,2,FALSE),0)</f>
        <v>0</v>
      </c>
      <c r="K4790" s="859">
        <f>J4790*E4790</f>
        <v>0</v>
      </c>
    </row>
    <row r="4791" spans="2:11" ht="18.75" customHeight="1">
      <c r="B4791" s="839">
        <v>46122</v>
      </c>
      <c r="C4791" s="845" t="s">
        <v>877</v>
      </c>
      <c r="D4791" s="912" t="s">
        <v>1221</v>
      </c>
      <c r="E4791" s="845">
        <v>1</v>
      </c>
      <c r="F4791" s="849">
        <v>0</v>
      </c>
      <c r="G4791" s="854">
        <f>Tabla12[[#This Row],[ PVP ]]</f>
        <v>0</v>
      </c>
      <c r="H4791" s="854">
        <f>G4791/1.1</f>
        <v>0</v>
      </c>
      <c r="I4791" s="845">
        <f>IFERROR(VLOOKUP(D4791,BD_Datos!$M$1:$P$1014,3,FALSE),0)</f>
        <v>0</v>
      </c>
      <c r="J4791" s="849">
        <f>IFERROR(VLOOKUP(D4791,BD_Datos!$M$1:$P$1014,2,FALSE),0)</f>
        <v>0</v>
      </c>
      <c r="K4791" s="859">
        <f>J4791*E4791</f>
        <v>0</v>
      </c>
    </row>
    <row r="4792" spans="2:11" ht="18.75" customHeight="1">
      <c r="B4792" s="839">
        <v>46122</v>
      </c>
      <c r="C4792" s="845" t="s">
        <v>266</v>
      </c>
      <c r="D4792" s="912" t="s">
        <v>250</v>
      </c>
      <c r="E4792" s="845">
        <v>1</v>
      </c>
      <c r="F4792" s="849">
        <v>0</v>
      </c>
      <c r="G4792" s="854">
        <f>Tabla12[[#This Row],[ PVP ]]</f>
        <v>0</v>
      </c>
      <c r="H4792" s="854">
        <f>G4792/1.1</f>
        <v>0</v>
      </c>
      <c r="I4792" s="845">
        <f>IFERROR(VLOOKUP(D4792,BD_Datos!$M$1:$P$1014,3,FALSE),0)</f>
        <v>0.21</v>
      </c>
      <c r="J4792" s="849">
        <f>IFERROR(VLOOKUP(D4792,BD_Datos!$M$1:$P$1014,2,FALSE),0)</f>
        <v>0.05</v>
      </c>
      <c r="K4792" s="859">
        <f>J4792*E4792</f>
        <v>0.05</v>
      </c>
    </row>
    <row r="4793" spans="2:11" ht="18.75" customHeight="1">
      <c r="B4793" s="839">
        <v>46122</v>
      </c>
      <c r="C4793" s="845" t="s">
        <v>258</v>
      </c>
      <c r="D4793" s="912" t="s">
        <v>1058</v>
      </c>
      <c r="E4793" s="845">
        <v>1</v>
      </c>
      <c r="F4793" s="849">
        <v>0</v>
      </c>
      <c r="G4793" s="854">
        <f>Tabla12[[#This Row],[ PVP ]]</f>
        <v>0</v>
      </c>
      <c r="H4793" s="854">
        <f>G4793/1.1</f>
        <v>0</v>
      </c>
      <c r="I4793" s="845">
        <f>IFERROR(VLOOKUP(D4793,BD_Datos!$M$1:$P$1014,3,FALSE),0)</f>
        <v>0</v>
      </c>
      <c r="J4793" s="849">
        <f>IFERROR(VLOOKUP(D4793,BD_Datos!$M$1:$P$1014,2,FALSE),0)</f>
        <v>0</v>
      </c>
      <c r="K4793" s="859">
        <f>J4793*E4793</f>
        <v>0</v>
      </c>
    </row>
    <row r="4794" spans="2:11" ht="18.75" customHeight="1">
      <c r="B4794" s="840">
        <v>46122</v>
      </c>
      <c r="C4794" s="846" t="s">
        <v>254</v>
      </c>
      <c r="D4794" s="911" t="s">
        <v>254</v>
      </c>
      <c r="E4794" s="846">
        <v>1</v>
      </c>
      <c r="F4794" s="850">
        <v>14.9</v>
      </c>
      <c r="G4794" s="855">
        <f>Tabla12[[#This Row],[ PVP ]]</f>
        <v>14.9</v>
      </c>
      <c r="H4794" s="855">
        <f>G4794/1.1</f>
        <v>13.545454545454545</v>
      </c>
      <c r="I4794" s="846">
        <f>IFERROR(VLOOKUP(D4794,BD_Datos!$M$1:$P$1014,3,FALSE),0)</f>
        <v>0</v>
      </c>
      <c r="J4794" s="850">
        <f>IFERROR(VLOOKUP(D4794,BD_Datos!$M$1:$P$1014,2,FALSE),0)</f>
        <v>0</v>
      </c>
      <c r="K4794" s="860">
        <f>J4794*E4794</f>
        <v>0</v>
      </c>
    </row>
    <row r="4795" spans="2:11" ht="18.75" customHeight="1">
      <c r="B4795" s="842">
        <v>46122</v>
      </c>
      <c r="C4795" s="846" t="s">
        <v>873</v>
      </c>
      <c r="D4795" s="911" t="s">
        <v>1219</v>
      </c>
      <c r="E4795" s="846">
        <v>1</v>
      </c>
      <c r="F4795" s="850">
        <v>0</v>
      </c>
      <c r="G4795" s="855">
        <f>Tabla12[[#This Row],[ PVP ]]</f>
        <v>0</v>
      </c>
      <c r="H4795" s="855">
        <f>G4795/1.1</f>
        <v>0</v>
      </c>
      <c r="I4795" s="846">
        <f>IFERROR(VLOOKUP(D4795,BD_Datos!$M$1:$P$1014,3,FALSE),0)</f>
        <v>0</v>
      </c>
      <c r="J4795" s="850">
        <f>IFERROR(VLOOKUP(D4795,BD_Datos!$M$1:$P$1014,2,FALSE),0)</f>
        <v>0</v>
      </c>
      <c r="K4795" s="862">
        <f>J4795*E4795</f>
        <v>0</v>
      </c>
    </row>
    <row r="4796" spans="2:11" ht="18.75" customHeight="1">
      <c r="B4796" s="843">
        <v>46122</v>
      </c>
      <c r="C4796" s="847" t="s">
        <v>877</v>
      </c>
      <c r="D4796" s="945" t="s">
        <v>1222</v>
      </c>
      <c r="E4796" s="847">
        <v>1</v>
      </c>
      <c r="F4796" s="852">
        <v>0</v>
      </c>
      <c r="G4796" s="857">
        <f>Tabla12[[#This Row],[ PVP ]]</f>
        <v>0</v>
      </c>
      <c r="H4796" s="857">
        <f>G4796/1.1</f>
        <v>0</v>
      </c>
      <c r="I4796" s="847">
        <f>IFERROR(VLOOKUP(D4796,BD_Datos!$M$1:$P$1014,3,FALSE),0)</f>
        <v>0</v>
      </c>
      <c r="J4796" s="852">
        <f>IFERROR(VLOOKUP(D4796,BD_Datos!$M$1:$P$1014,2,FALSE),0)</f>
        <v>0</v>
      </c>
      <c r="K4796" s="863">
        <f>J4796*E4796</f>
        <v>0</v>
      </c>
    </row>
    <row r="4797" spans="2:11" ht="18.75" customHeight="1">
      <c r="B4797" s="843">
        <v>46122</v>
      </c>
      <c r="C4797" s="847" t="s">
        <v>266</v>
      </c>
      <c r="D4797" s="945" t="s">
        <v>996</v>
      </c>
      <c r="E4797" s="847">
        <v>1</v>
      </c>
      <c r="F4797" s="852">
        <v>0</v>
      </c>
      <c r="G4797" s="857">
        <f>Tabla12[[#This Row],[ PVP ]]</f>
        <v>0</v>
      </c>
      <c r="H4797" s="857">
        <f>G4797/1.1</f>
        <v>0</v>
      </c>
      <c r="I4797" s="847">
        <f>IFERROR(VLOOKUP(D4797,BD_Datos!$M$1:$P$1014,3,FALSE),0)</f>
        <v>0</v>
      </c>
      <c r="J4797" s="852">
        <f>IFERROR(VLOOKUP(D4797,BD_Datos!$M$1:$P$1014,2,FALSE),0)</f>
        <v>0</v>
      </c>
      <c r="K4797" s="863">
        <f>J4797*E4797</f>
        <v>0</v>
      </c>
    </row>
    <row r="4798" spans="2:11" ht="18.75" customHeight="1">
      <c r="B4798" s="843">
        <v>46122</v>
      </c>
      <c r="C4798" s="847" t="s">
        <v>247</v>
      </c>
      <c r="D4798" s="847" t="s">
        <v>260</v>
      </c>
      <c r="E4798" s="847">
        <v>1</v>
      </c>
      <c r="F4798" s="852">
        <v>1.55</v>
      </c>
      <c r="G4798" s="857">
        <v>1.55</v>
      </c>
      <c r="H4798" s="857">
        <f>G4798/1.1</f>
        <v>1.4090909090909089</v>
      </c>
      <c r="I4798" s="847">
        <f>IFERROR(VLOOKUP(D4798,BD_Datos!$M$1:$P$1014,3,FALSE),0)</f>
        <v>0.21</v>
      </c>
      <c r="J4798" s="852">
        <f>IFERROR(VLOOKUP(D4798,BD_Datos!$M$1:$P$1014,2,FALSE),0)</f>
        <v>0.25</v>
      </c>
      <c r="K4798" s="863">
        <f>J4798*E4798</f>
        <v>0.25</v>
      </c>
    </row>
    <row r="4799" spans="2:11" ht="18.75" customHeight="1">
      <c r="B4799" s="843">
        <v>46122</v>
      </c>
      <c r="C4799" s="847" t="s">
        <v>247</v>
      </c>
      <c r="D4799" s="847" t="s">
        <v>248</v>
      </c>
      <c r="E4799" s="847">
        <v>1</v>
      </c>
      <c r="F4799" s="852">
        <v>1.65</v>
      </c>
      <c r="G4799" s="857">
        <v>1.65</v>
      </c>
      <c r="H4799" s="857">
        <f>G4799/1.1</f>
        <v>1.4999999999999998</v>
      </c>
      <c r="I4799" s="847">
        <f>IFERROR(VLOOKUP(D4799,BD_Datos!$M$1:$P$1014,3,FALSE),0)</f>
        <v>0.24</v>
      </c>
      <c r="J4799" s="852">
        <f>IFERROR(VLOOKUP(D4799,BD_Datos!$M$1:$P$1014,2,FALSE),0)</f>
        <v>0.16</v>
      </c>
      <c r="K4799" s="863">
        <f>J4799*E4799</f>
        <v>0.16</v>
      </c>
    </row>
    <row r="4800" spans="2:11" ht="18.75" customHeight="1">
      <c r="B4800" s="843">
        <v>46123</v>
      </c>
      <c r="C4800" s="847" t="s">
        <v>251</v>
      </c>
      <c r="D4800" s="847" t="s">
        <v>714</v>
      </c>
      <c r="E4800" s="847">
        <v>1</v>
      </c>
      <c r="F4800" s="852">
        <v>1.55</v>
      </c>
      <c r="G4800" s="857">
        <v>1.55</v>
      </c>
      <c r="H4800" s="857">
        <f>G4800/1.1</f>
        <v>1.4090909090909089</v>
      </c>
      <c r="I4800" s="847">
        <f>IFERROR(VLOOKUP(D4800,BD_Datos!$M$1:$P$1014,3,FALSE),0)</f>
        <v>0.2</v>
      </c>
      <c r="J4800" s="852">
        <f>IFERROR(VLOOKUP(D4800,BD_Datos!$M$1:$P$1014,2,FALSE),0)</f>
        <v>0</v>
      </c>
      <c r="K4800" s="863">
        <f>J4800*E4800</f>
        <v>0</v>
      </c>
    </row>
    <row r="4801" spans="2:11" ht="18.75" customHeight="1">
      <c r="B4801" s="843">
        <v>46123</v>
      </c>
      <c r="C4801" s="847" t="s">
        <v>247</v>
      </c>
      <c r="D4801" s="847" t="s">
        <v>260</v>
      </c>
      <c r="E4801" s="847">
        <v>1</v>
      </c>
      <c r="F4801" s="852">
        <v>1.4</v>
      </c>
      <c r="G4801" s="857">
        <v>1.4</v>
      </c>
      <c r="H4801" s="857">
        <f>G4801/1.1</f>
        <v>1.2727272727272725</v>
      </c>
      <c r="I4801" s="847">
        <f>IFERROR(VLOOKUP(D4801,BD_Datos!$M$1:$P$1014,3,FALSE),0)</f>
        <v>0.21</v>
      </c>
      <c r="J4801" s="852">
        <f>IFERROR(VLOOKUP(D4801,BD_Datos!$M$1:$P$1014,2,FALSE),0)</f>
        <v>0.25</v>
      </c>
      <c r="K4801" s="863">
        <f>J4801*E4801</f>
        <v>0.25</v>
      </c>
    </row>
    <row r="4802" spans="2:11" ht="18.75" customHeight="1">
      <c r="B4802" s="843">
        <v>46123</v>
      </c>
      <c r="C4802" s="847" t="s">
        <v>247</v>
      </c>
      <c r="D4802" s="847" t="s">
        <v>248</v>
      </c>
      <c r="E4802" s="847">
        <v>1</v>
      </c>
      <c r="F4802" s="852">
        <v>1.5</v>
      </c>
      <c r="G4802" s="857">
        <v>1.5</v>
      </c>
      <c r="H4802" s="857">
        <f>G4802/1.1</f>
        <v>1.3636363636363635</v>
      </c>
      <c r="I4802" s="847">
        <f>IFERROR(VLOOKUP(D4802,BD_Datos!$M$1:$P$1014,3,FALSE),0)</f>
        <v>0.24</v>
      </c>
      <c r="J4802" s="852">
        <f>IFERROR(VLOOKUP(D4802,BD_Datos!$M$1:$P$1014,2,FALSE),0)</f>
        <v>0.16</v>
      </c>
      <c r="K4802" s="863">
        <f>J4802*E4802</f>
        <v>0.16</v>
      </c>
    </row>
    <row r="4803" spans="2:11" ht="18.75" customHeight="1">
      <c r="B4803" s="843">
        <v>46123</v>
      </c>
      <c r="C4803" s="847" t="s">
        <v>268</v>
      </c>
      <c r="D4803" s="847" t="s">
        <v>1271</v>
      </c>
      <c r="E4803" s="847">
        <v>1</v>
      </c>
      <c r="F4803" s="852">
        <v>2.25</v>
      </c>
      <c r="G4803" s="857">
        <v>2.25</v>
      </c>
      <c r="H4803" s="857">
        <f>G4803/1.1</f>
        <v>2.0454545454545454</v>
      </c>
      <c r="I4803" s="847">
        <f>IFERROR(VLOOKUP(D4803,BD_Datos!$M$1:$P$1014,3,FALSE),0)</f>
        <v>0</v>
      </c>
      <c r="J4803" s="852">
        <f>IFERROR(VLOOKUP(D4803,BD_Datos!$M$1:$P$1014,2,FALSE),0)</f>
        <v>0</v>
      </c>
      <c r="K4803" s="863">
        <f>J4803*E4803</f>
        <v>0</v>
      </c>
    </row>
    <row r="4804" spans="2:11" ht="18.75" customHeight="1">
      <c r="B4804" s="843">
        <v>46123</v>
      </c>
      <c r="C4804" s="847" t="s">
        <v>247</v>
      </c>
      <c r="D4804" s="847" t="s">
        <v>248</v>
      </c>
      <c r="E4804" s="847">
        <v>1</v>
      </c>
      <c r="F4804" s="852">
        <v>1.5</v>
      </c>
      <c r="G4804" s="857">
        <v>1.5</v>
      </c>
      <c r="H4804" s="857">
        <f>G4804/1.1</f>
        <v>1.3636363636363635</v>
      </c>
      <c r="I4804" s="847">
        <f>IFERROR(VLOOKUP(D4804,BD_Datos!$M$1:$P$1014,3,FALSE),0)</f>
        <v>0.24</v>
      </c>
      <c r="J4804" s="852">
        <f>IFERROR(VLOOKUP(D4804,BD_Datos!$M$1:$P$1014,2,FALSE),0)</f>
        <v>0.16</v>
      </c>
      <c r="K4804" s="863">
        <f>J4804*E4804</f>
        <v>0.16</v>
      </c>
    </row>
    <row r="4805" spans="2:11" ht="18.75" customHeight="1">
      <c r="B4805" s="843">
        <v>46123</v>
      </c>
      <c r="C4805" s="847" t="s">
        <v>247</v>
      </c>
      <c r="D4805" s="847" t="s">
        <v>248</v>
      </c>
      <c r="E4805" s="847">
        <v>1</v>
      </c>
      <c r="F4805" s="852">
        <v>1.5</v>
      </c>
      <c r="G4805" s="857">
        <v>1.5</v>
      </c>
      <c r="H4805" s="857">
        <f>G4805/1.1</f>
        <v>1.3636363636363635</v>
      </c>
      <c r="I4805" s="847">
        <f>IFERROR(VLOOKUP(D4805,BD_Datos!$M$1:$P$1014,3,FALSE),0)</f>
        <v>0.24</v>
      </c>
      <c r="J4805" s="852">
        <f>IFERROR(VLOOKUP(D4805,BD_Datos!$M$1:$P$1014,2,FALSE),0)</f>
        <v>0.16</v>
      </c>
      <c r="K4805" s="863">
        <f>J4805*E4805</f>
        <v>0.16</v>
      </c>
    </row>
    <row r="4806" spans="2:11" ht="18.75" customHeight="1">
      <c r="B4806" s="843">
        <v>46123</v>
      </c>
      <c r="C4806" s="847" t="s">
        <v>268</v>
      </c>
      <c r="D4806" s="847" t="s">
        <v>1244</v>
      </c>
      <c r="E4806" s="847">
        <v>2</v>
      </c>
      <c r="F4806" s="852">
        <v>1.5</v>
      </c>
      <c r="G4806" s="857">
        <v>3</v>
      </c>
      <c r="H4806" s="857">
        <f>G4806/1.1</f>
        <v>2.7272727272727271</v>
      </c>
      <c r="I4806" s="847">
        <f>IFERROR(VLOOKUP(D4806,BD_Datos!$M$1:$P$1014,3,FALSE),0)</f>
        <v>0</v>
      </c>
      <c r="J4806" s="852">
        <f>IFERROR(VLOOKUP(D4806,BD_Datos!$M$1:$P$1014,2,FALSE),0)</f>
        <v>0</v>
      </c>
      <c r="K4806" s="863">
        <f>J4806*E4806</f>
        <v>0</v>
      </c>
    </row>
    <row r="4807" spans="2:11" ht="18.75" customHeight="1">
      <c r="B4807" s="843">
        <v>46123</v>
      </c>
      <c r="C4807" s="847" t="s">
        <v>247</v>
      </c>
      <c r="D4807" s="847" t="s">
        <v>246</v>
      </c>
      <c r="E4807" s="847">
        <v>2</v>
      </c>
      <c r="F4807" s="852">
        <v>1.7</v>
      </c>
      <c r="G4807" s="857">
        <v>3.4</v>
      </c>
      <c r="H4807" s="857">
        <f>G4807/1.1</f>
        <v>3.0909090909090904</v>
      </c>
      <c r="I4807" s="847">
        <f>IFERROR(VLOOKUP(D4807,BD_Datos!$M$1:$P$1014,3,FALSE),0)</f>
        <v>0.26</v>
      </c>
      <c r="J4807" s="852">
        <f>IFERROR(VLOOKUP(D4807,BD_Datos!$M$1:$P$1014,2,FALSE),0)</f>
        <v>0.19</v>
      </c>
      <c r="K4807" s="863">
        <f>J4807*E4807</f>
        <v>0.38</v>
      </c>
    </row>
    <row r="4808" spans="2:11" ht="18.75" customHeight="1">
      <c r="B4808" s="843">
        <v>46123</v>
      </c>
      <c r="C4808" s="847" t="s">
        <v>247</v>
      </c>
      <c r="D4808" s="847" t="s">
        <v>248</v>
      </c>
      <c r="E4808" s="847">
        <v>2</v>
      </c>
      <c r="F4808" s="852">
        <v>1.5</v>
      </c>
      <c r="G4808" s="857">
        <v>3</v>
      </c>
      <c r="H4808" s="857">
        <f>G4808/1.1</f>
        <v>2.7272727272727271</v>
      </c>
      <c r="I4808" s="847">
        <f>IFERROR(VLOOKUP(D4808,BD_Datos!$M$1:$P$1014,3,FALSE),0)</f>
        <v>0.24</v>
      </c>
      <c r="J4808" s="852">
        <f>IFERROR(VLOOKUP(D4808,BD_Datos!$M$1:$P$1014,2,FALSE),0)</f>
        <v>0.16</v>
      </c>
      <c r="K4808" s="863">
        <f>J4808*E4808</f>
        <v>0.32</v>
      </c>
    </row>
    <row r="4809" spans="2:11" ht="18.75" customHeight="1">
      <c r="B4809" s="843">
        <v>46123</v>
      </c>
      <c r="C4809" s="847" t="s">
        <v>247</v>
      </c>
      <c r="D4809" s="847" t="s">
        <v>677</v>
      </c>
      <c r="E4809" s="847">
        <v>1</v>
      </c>
      <c r="F4809" s="852">
        <v>0.75</v>
      </c>
      <c r="G4809" s="857">
        <v>0.75</v>
      </c>
      <c r="H4809" s="857">
        <f>G4809/1.1</f>
        <v>0.68181818181818177</v>
      </c>
      <c r="I4809" s="847">
        <f>IFERROR(VLOOKUP(D4809,BD_Datos!$M$1:$P$1014,3,FALSE),0)</f>
        <v>0.24</v>
      </c>
      <c r="J4809" s="852">
        <f>IFERROR(VLOOKUP(D4809,BD_Datos!$M$1:$P$1014,2,FALSE),0)</f>
        <v>0.31</v>
      </c>
      <c r="K4809" s="863">
        <f>J4809*E4809</f>
        <v>0.31</v>
      </c>
    </row>
    <row r="4810" spans="2:11" ht="18.75" customHeight="1">
      <c r="B4810" s="843">
        <v>46123</v>
      </c>
      <c r="C4810" s="847" t="s">
        <v>264</v>
      </c>
      <c r="D4810" s="847" t="s">
        <v>863</v>
      </c>
      <c r="E4810" s="847">
        <v>1</v>
      </c>
      <c r="F4810" s="852">
        <v>1.35</v>
      </c>
      <c r="G4810" s="857">
        <v>1.35</v>
      </c>
      <c r="H4810" s="857">
        <f>G4810/1.1</f>
        <v>1.2272727272727273</v>
      </c>
      <c r="I4810" s="847">
        <f>IFERROR(VLOOKUP(D4810,BD_Datos!$M$1:$P$1014,3,FALSE),0)</f>
        <v>0.95</v>
      </c>
      <c r="J4810" s="852">
        <f>IFERROR(VLOOKUP(D4810,BD_Datos!$M$1:$P$1014,2,FALSE),0)</f>
        <v>0.04</v>
      </c>
      <c r="K4810" s="863">
        <f>J4810*E4810</f>
        <v>0.04</v>
      </c>
    </row>
    <row r="4811" spans="2:11" ht="18.75" customHeight="1">
      <c r="B4811" s="843">
        <v>46123</v>
      </c>
      <c r="C4811" s="847" t="s">
        <v>268</v>
      </c>
      <c r="D4811" s="847" t="s">
        <v>1271</v>
      </c>
      <c r="E4811" s="847">
        <v>1</v>
      </c>
      <c r="F4811" s="852">
        <v>2.25</v>
      </c>
      <c r="G4811" s="857">
        <v>2.25</v>
      </c>
      <c r="H4811" s="857">
        <f>G4811/1.1</f>
        <v>2.0454545454545454</v>
      </c>
      <c r="I4811" s="847">
        <f>IFERROR(VLOOKUP(D4811,BD_Datos!$M$1:$P$1014,3,FALSE),0)</f>
        <v>0</v>
      </c>
      <c r="J4811" s="852">
        <f>IFERROR(VLOOKUP(D4811,BD_Datos!$M$1:$P$1014,2,FALSE),0)</f>
        <v>0</v>
      </c>
      <c r="K4811" s="863">
        <f>J4811*E4811</f>
        <v>0</v>
      </c>
    </row>
    <row r="4812" spans="2:11" ht="18.75" customHeight="1">
      <c r="B4812" s="843">
        <v>46123</v>
      </c>
      <c r="C4812" s="847" t="s">
        <v>247</v>
      </c>
      <c r="D4812" s="847" t="s">
        <v>248</v>
      </c>
      <c r="E4812" s="847">
        <v>1</v>
      </c>
      <c r="F4812" s="852">
        <v>1.5</v>
      </c>
      <c r="G4812" s="857">
        <v>1.5</v>
      </c>
      <c r="H4812" s="857">
        <f>G4812/1.1</f>
        <v>1.3636363636363635</v>
      </c>
      <c r="I4812" s="847">
        <f>IFERROR(VLOOKUP(D4812,BD_Datos!$M$1:$P$1014,3,FALSE),0)</f>
        <v>0.24</v>
      </c>
      <c r="J4812" s="852">
        <f>IFERROR(VLOOKUP(D4812,BD_Datos!$M$1:$P$1014,2,FALSE),0)</f>
        <v>0.16</v>
      </c>
      <c r="K4812" s="863">
        <f>J4812*E4812</f>
        <v>0.16</v>
      </c>
    </row>
    <row r="4813" spans="2:11" ht="18.75" customHeight="1">
      <c r="B4813" s="843">
        <v>46123</v>
      </c>
      <c r="C4813" s="847" t="s">
        <v>247</v>
      </c>
      <c r="D4813" s="847" t="s">
        <v>246</v>
      </c>
      <c r="E4813" s="847">
        <v>2</v>
      </c>
      <c r="F4813" s="852">
        <v>1.7</v>
      </c>
      <c r="G4813" s="857">
        <v>3.4</v>
      </c>
      <c r="H4813" s="857">
        <f>G4813/1.1</f>
        <v>3.0909090909090904</v>
      </c>
      <c r="I4813" s="847">
        <f>IFERROR(VLOOKUP(D4813,BD_Datos!$M$1:$P$1014,3,FALSE),0)</f>
        <v>0.26</v>
      </c>
      <c r="J4813" s="852">
        <f>IFERROR(VLOOKUP(D4813,BD_Datos!$M$1:$P$1014,2,FALSE),0)</f>
        <v>0.19</v>
      </c>
      <c r="K4813" s="863">
        <f>J4813*E4813</f>
        <v>0.38</v>
      </c>
    </row>
    <row r="4814" spans="2:11" ht="18.75" customHeight="1">
      <c r="B4814" s="843">
        <v>46123</v>
      </c>
      <c r="C4814" s="847" t="s">
        <v>328</v>
      </c>
      <c r="D4814" s="847" t="s">
        <v>773</v>
      </c>
      <c r="E4814" s="847">
        <v>1</v>
      </c>
      <c r="F4814" s="852">
        <v>3.1</v>
      </c>
      <c r="G4814" s="857">
        <v>3.1</v>
      </c>
      <c r="H4814" s="857">
        <f>G4814/1.1</f>
        <v>2.8181818181818179</v>
      </c>
      <c r="I4814" s="847">
        <f>IFERROR(VLOOKUP(D4814,BD_Datos!$M$1:$P$1014,3,FALSE),0)</f>
        <v>0.19</v>
      </c>
      <c r="J4814" s="852">
        <f>IFERROR(VLOOKUP(D4814,BD_Datos!$M$1:$P$1014,2,FALSE),0)</f>
        <v>0.2</v>
      </c>
      <c r="K4814" s="863">
        <f>J4814*E4814</f>
        <v>0.2</v>
      </c>
    </row>
    <row r="4815" spans="2:11" ht="18.75" customHeight="1">
      <c r="B4815" s="843">
        <v>46123</v>
      </c>
      <c r="C4815" s="847" t="s">
        <v>264</v>
      </c>
      <c r="D4815" s="847" t="s">
        <v>1248</v>
      </c>
      <c r="E4815" s="847">
        <v>1</v>
      </c>
      <c r="F4815" s="852">
        <v>0.05</v>
      </c>
      <c r="G4815" s="857">
        <v>0.05</v>
      </c>
      <c r="H4815" s="857">
        <f>G4815/1.1</f>
        <v>4.5454545454545456E-2</v>
      </c>
      <c r="I4815" s="847">
        <f>IFERROR(VLOOKUP(D4815,BD_Datos!$M$1:$P$1014,3,FALSE),0)</f>
        <v>0</v>
      </c>
      <c r="J4815" s="852">
        <f>IFERROR(VLOOKUP(D4815,BD_Datos!$M$1:$P$1014,2,FALSE),0)</f>
        <v>0</v>
      </c>
      <c r="K4815" s="863">
        <f>J4815*E4815</f>
        <v>0</v>
      </c>
    </row>
    <row r="4816" spans="2:11" ht="18.75" customHeight="1">
      <c r="B4816" s="843">
        <v>46123</v>
      </c>
      <c r="C4816" s="847" t="s">
        <v>247</v>
      </c>
      <c r="D4816" s="847" t="s">
        <v>260</v>
      </c>
      <c r="E4816" s="847">
        <v>1</v>
      </c>
      <c r="F4816" s="852">
        <v>1.4</v>
      </c>
      <c r="G4816" s="857">
        <v>1.4</v>
      </c>
      <c r="H4816" s="857">
        <f>G4816/1.1</f>
        <v>1.2727272727272725</v>
      </c>
      <c r="I4816" s="847">
        <f>IFERROR(VLOOKUP(D4816,BD_Datos!$M$1:$P$1014,3,FALSE),0)</f>
        <v>0.21</v>
      </c>
      <c r="J4816" s="852">
        <f>IFERROR(VLOOKUP(D4816,BD_Datos!$M$1:$P$1014,2,FALSE),0)</f>
        <v>0.25</v>
      </c>
      <c r="K4816" s="863">
        <f>J4816*E4816</f>
        <v>0.25</v>
      </c>
    </row>
    <row r="4817" spans="2:11" ht="18.75" customHeight="1">
      <c r="B4817" s="843">
        <v>46123</v>
      </c>
      <c r="C4817" s="847" t="s">
        <v>247</v>
      </c>
      <c r="D4817" s="847" t="s">
        <v>246</v>
      </c>
      <c r="E4817" s="847">
        <v>1</v>
      </c>
      <c r="F4817" s="852">
        <v>1.7</v>
      </c>
      <c r="G4817" s="857">
        <v>1.7</v>
      </c>
      <c r="H4817" s="857">
        <f>G4817/1.1</f>
        <v>1.5454545454545452</v>
      </c>
      <c r="I4817" s="847">
        <f>IFERROR(VLOOKUP(D4817,BD_Datos!$M$1:$P$1014,3,FALSE),0)</f>
        <v>0.26</v>
      </c>
      <c r="J4817" s="852">
        <f>IFERROR(VLOOKUP(D4817,BD_Datos!$M$1:$P$1014,2,FALSE),0)</f>
        <v>0.19</v>
      </c>
      <c r="K4817" s="863">
        <f>J4817*E4817</f>
        <v>0.19</v>
      </c>
    </row>
    <row r="4818" spans="2:11" ht="18.75" customHeight="1">
      <c r="B4818" s="843">
        <v>46123</v>
      </c>
      <c r="C4818" s="847" t="s">
        <v>264</v>
      </c>
      <c r="D4818" s="847" t="s">
        <v>1268</v>
      </c>
      <c r="E4818" s="847">
        <v>1</v>
      </c>
      <c r="F4818" s="852">
        <v>0.05</v>
      </c>
      <c r="G4818" s="857">
        <v>0.05</v>
      </c>
      <c r="H4818" s="857">
        <f>G4818/1.1</f>
        <v>4.5454545454545456E-2</v>
      </c>
      <c r="I4818" s="847">
        <f>IFERROR(VLOOKUP(D4818,BD_Datos!$M$1:$P$1014,3,FALSE),0)</f>
        <v>0.22</v>
      </c>
      <c r="J4818" s="852">
        <f>IFERROR(VLOOKUP(D4818,BD_Datos!$M$1:$P$1014,2,FALSE),0)</f>
        <v>0</v>
      </c>
      <c r="K4818" s="863">
        <f>J4818*E4818</f>
        <v>0</v>
      </c>
    </row>
    <row r="4819" spans="2:11" ht="18.75" customHeight="1">
      <c r="B4819" s="843">
        <v>46123</v>
      </c>
      <c r="C4819" s="847" t="s">
        <v>328</v>
      </c>
      <c r="D4819" s="847" t="s">
        <v>773</v>
      </c>
      <c r="E4819" s="847">
        <v>1</v>
      </c>
      <c r="F4819" s="852">
        <v>3.1</v>
      </c>
      <c r="G4819" s="857">
        <v>3.1</v>
      </c>
      <c r="H4819" s="857">
        <f>G4819/1.1</f>
        <v>2.8181818181818179</v>
      </c>
      <c r="I4819" s="847">
        <f>IFERROR(VLOOKUP(D4819,BD_Datos!$M$1:$P$1014,3,FALSE),0)</f>
        <v>0.19</v>
      </c>
      <c r="J4819" s="852">
        <f>IFERROR(VLOOKUP(D4819,BD_Datos!$M$1:$P$1014,2,FALSE),0)</f>
        <v>0.2</v>
      </c>
      <c r="K4819" s="863">
        <f>J4819*E4819</f>
        <v>0.2</v>
      </c>
    </row>
    <row r="4820" spans="2:11" ht="18.75" customHeight="1">
      <c r="B4820" s="843">
        <v>46123</v>
      </c>
      <c r="C4820" s="847" t="s">
        <v>264</v>
      </c>
      <c r="D4820" s="847" t="s">
        <v>1248</v>
      </c>
      <c r="E4820" s="847">
        <v>1</v>
      </c>
      <c r="F4820" s="852">
        <v>0.05</v>
      </c>
      <c r="G4820" s="857">
        <v>0.05</v>
      </c>
      <c r="H4820" s="857">
        <f>G4820/1.1</f>
        <v>4.5454545454545456E-2</v>
      </c>
      <c r="I4820" s="847">
        <f>IFERROR(VLOOKUP(D4820,BD_Datos!$M$1:$P$1014,3,FALSE),0)</f>
        <v>0</v>
      </c>
      <c r="J4820" s="852">
        <f>IFERROR(VLOOKUP(D4820,BD_Datos!$M$1:$P$1014,2,FALSE),0)</f>
        <v>0</v>
      </c>
      <c r="K4820" s="863">
        <f>J4820*E4820</f>
        <v>0</v>
      </c>
    </row>
    <row r="4821" spans="2:11" ht="18.75" customHeight="1">
      <c r="B4821" s="843">
        <v>46123</v>
      </c>
      <c r="C4821" s="847" t="s">
        <v>251</v>
      </c>
      <c r="D4821" s="847" t="s">
        <v>265</v>
      </c>
      <c r="E4821" s="847">
        <v>1</v>
      </c>
      <c r="F4821" s="852">
        <v>2.65</v>
      </c>
      <c r="G4821" s="857">
        <v>2.65</v>
      </c>
      <c r="H4821" s="857">
        <f>G4821/1.1</f>
        <v>2.4090909090909087</v>
      </c>
      <c r="I4821" s="847">
        <f>IFERROR(VLOOKUP(D4821,BD_Datos!$M$1:$P$1014,3,FALSE),0)</f>
        <v>0.32</v>
      </c>
      <c r="J4821" s="852">
        <f>IFERROR(VLOOKUP(D4821,BD_Datos!$M$1:$P$1014,2,FALSE),0)</f>
        <v>0.53</v>
      </c>
      <c r="K4821" s="863">
        <f>J4821*E4821</f>
        <v>0.53</v>
      </c>
    </row>
    <row r="4822" spans="2:11" ht="18.75" customHeight="1">
      <c r="B4822" s="843">
        <v>46123</v>
      </c>
      <c r="C4822" s="847" t="s">
        <v>247</v>
      </c>
      <c r="D4822" s="847" t="s">
        <v>260</v>
      </c>
      <c r="E4822" s="847">
        <v>1</v>
      </c>
      <c r="F4822" s="852">
        <v>1.4</v>
      </c>
      <c r="G4822" s="857">
        <v>1.4</v>
      </c>
      <c r="H4822" s="857">
        <f>G4822/1.1</f>
        <v>1.2727272727272725</v>
      </c>
      <c r="I4822" s="847">
        <f>IFERROR(VLOOKUP(D4822,BD_Datos!$M$1:$P$1014,3,FALSE),0)</f>
        <v>0.21</v>
      </c>
      <c r="J4822" s="852">
        <f>IFERROR(VLOOKUP(D4822,BD_Datos!$M$1:$P$1014,2,FALSE),0)</f>
        <v>0.25</v>
      </c>
      <c r="K4822" s="863">
        <f>J4822*E4822</f>
        <v>0.25</v>
      </c>
    </row>
    <row r="4823" spans="2:11" ht="18.75" customHeight="1">
      <c r="B4823" s="843">
        <v>46123</v>
      </c>
      <c r="C4823" s="847" t="s">
        <v>256</v>
      </c>
      <c r="D4823" s="847" t="s">
        <v>912</v>
      </c>
      <c r="E4823" s="847">
        <v>1</v>
      </c>
      <c r="F4823" s="852">
        <v>5.5</v>
      </c>
      <c r="G4823" s="857">
        <v>5.5</v>
      </c>
      <c r="H4823" s="857">
        <f>G4823/1.1</f>
        <v>5</v>
      </c>
      <c r="I4823" s="847">
        <f>IFERROR(VLOOKUP(D4823,BD_Datos!$M$1:$P$1014,3,FALSE),0)</f>
        <v>0.22</v>
      </c>
      <c r="J4823" s="852">
        <f>IFERROR(VLOOKUP(D4823,BD_Datos!$M$1:$P$1014,2,FALSE),0)</f>
        <v>1.25</v>
      </c>
      <c r="K4823" s="863">
        <f>J4823*E4823</f>
        <v>1.25</v>
      </c>
    </row>
    <row r="4824" spans="2:11" ht="18.75" customHeight="1">
      <c r="B4824" s="843">
        <v>46123</v>
      </c>
      <c r="C4824" s="847" t="s">
        <v>256</v>
      </c>
      <c r="D4824" s="847" t="s">
        <v>830</v>
      </c>
      <c r="E4824" s="847">
        <v>1</v>
      </c>
      <c r="F4824" s="852">
        <v>8.6999999999999993</v>
      </c>
      <c r="G4824" s="857">
        <v>8.6999999999999993</v>
      </c>
      <c r="H4824" s="857">
        <f>G4824/1.1</f>
        <v>7.9090909090909074</v>
      </c>
      <c r="I4824" s="847">
        <f>IFERROR(VLOOKUP(D4824,BD_Datos!$M$1:$P$1014,3,FALSE),0)</f>
        <v>0.27</v>
      </c>
      <c r="J4824" s="852">
        <f>IFERROR(VLOOKUP(D4824,BD_Datos!$M$1:$P$1014,2,FALSE),0)</f>
        <v>0.88</v>
      </c>
      <c r="K4824" s="863">
        <f>J4824*E4824</f>
        <v>0.88</v>
      </c>
    </row>
    <row r="4825" spans="2:11" ht="18.75" customHeight="1">
      <c r="B4825" s="843">
        <v>46123</v>
      </c>
      <c r="C4825" s="847" t="s">
        <v>268</v>
      </c>
      <c r="D4825" s="847" t="s">
        <v>1272</v>
      </c>
      <c r="E4825" s="847">
        <v>1</v>
      </c>
      <c r="F4825" s="852">
        <v>0.65</v>
      </c>
      <c r="G4825" s="857">
        <v>0.65</v>
      </c>
      <c r="H4825" s="857">
        <f>G4825/1.1</f>
        <v>0.59090909090909083</v>
      </c>
      <c r="I4825" s="847">
        <f>IFERROR(VLOOKUP(D4825,BD_Datos!$M$1:$P$1014,3,FALSE),0)</f>
        <v>0</v>
      </c>
      <c r="J4825" s="852">
        <f>IFERROR(VLOOKUP(D4825,BD_Datos!$M$1:$P$1014,2,FALSE),0)</f>
        <v>0</v>
      </c>
      <c r="K4825" s="863">
        <f>J4825*E4825</f>
        <v>0</v>
      </c>
    </row>
    <row r="4826" spans="2:11" ht="18.75" customHeight="1">
      <c r="B4826" s="843">
        <v>46123</v>
      </c>
      <c r="C4826" s="847" t="s">
        <v>247</v>
      </c>
      <c r="D4826" s="847" t="s">
        <v>260</v>
      </c>
      <c r="E4826" s="847">
        <v>1</v>
      </c>
      <c r="F4826" s="852">
        <v>1.4</v>
      </c>
      <c r="G4826" s="857">
        <v>1.4</v>
      </c>
      <c r="H4826" s="857">
        <f>G4826/1.1</f>
        <v>1.2727272727272725</v>
      </c>
      <c r="I4826" s="847">
        <f>IFERROR(VLOOKUP(D4826,BD_Datos!$M$1:$P$1014,3,FALSE),0)</f>
        <v>0.21</v>
      </c>
      <c r="J4826" s="852">
        <f>IFERROR(VLOOKUP(D4826,BD_Datos!$M$1:$P$1014,2,FALSE),0)</f>
        <v>0.25</v>
      </c>
      <c r="K4826" s="863">
        <f>J4826*E4826</f>
        <v>0.25</v>
      </c>
    </row>
    <row r="4827" spans="2:11" ht="18.75" customHeight="1">
      <c r="B4827" s="843">
        <v>46123</v>
      </c>
      <c r="C4827" s="847" t="s">
        <v>247</v>
      </c>
      <c r="D4827" s="847" t="s">
        <v>248</v>
      </c>
      <c r="E4827" s="847">
        <v>1</v>
      </c>
      <c r="F4827" s="852">
        <v>1.5</v>
      </c>
      <c r="G4827" s="857">
        <v>1.5</v>
      </c>
      <c r="H4827" s="857">
        <f>G4827/1.1</f>
        <v>1.3636363636363635</v>
      </c>
      <c r="I4827" s="847">
        <f>IFERROR(VLOOKUP(D4827,BD_Datos!$M$1:$P$1014,3,FALSE),0)</f>
        <v>0.24</v>
      </c>
      <c r="J4827" s="852">
        <f>IFERROR(VLOOKUP(D4827,BD_Datos!$M$1:$P$1014,2,FALSE),0)</f>
        <v>0.16</v>
      </c>
      <c r="K4827" s="863">
        <f>J4827*E4827</f>
        <v>0.16</v>
      </c>
    </row>
    <row r="4828" spans="2:11" ht="18.75" customHeight="1">
      <c r="B4828" s="843">
        <v>46123</v>
      </c>
      <c r="C4828" s="847" t="s">
        <v>1273</v>
      </c>
      <c r="D4828" s="847" t="s">
        <v>1274</v>
      </c>
      <c r="E4828" s="847">
        <v>1</v>
      </c>
      <c r="F4828" s="852">
        <v>5.7</v>
      </c>
      <c r="G4828" s="857">
        <v>5.7</v>
      </c>
      <c r="H4828" s="857">
        <f>G4828/1.1</f>
        <v>5.1818181818181817</v>
      </c>
      <c r="I4828" s="847">
        <f>IFERROR(VLOOKUP(D4828,BD_Datos!$M$1:$P$1014,3,FALSE),0)</f>
        <v>0</v>
      </c>
      <c r="J4828" s="852">
        <f>IFERROR(VLOOKUP(D4828,BD_Datos!$M$1:$P$1014,2,FALSE),0)</f>
        <v>0</v>
      </c>
      <c r="K4828" s="863">
        <f>J4828*E4828</f>
        <v>0</v>
      </c>
    </row>
    <row r="4829" spans="2:11" ht="18.75" customHeight="1">
      <c r="B4829" s="843">
        <v>46123</v>
      </c>
      <c r="C4829" s="847" t="s">
        <v>328</v>
      </c>
      <c r="D4829" s="847" t="s">
        <v>1002</v>
      </c>
      <c r="E4829" s="847">
        <v>1</v>
      </c>
      <c r="F4829" s="852">
        <v>4.8499999999999996</v>
      </c>
      <c r="G4829" s="857">
        <v>4.8499999999999996</v>
      </c>
      <c r="H4829" s="857">
        <f>G4829/1.1</f>
        <v>4.4090909090909083</v>
      </c>
      <c r="I4829" s="847">
        <f>IFERROR(VLOOKUP(D4829,BD_Datos!$M$1:$P$1014,3,FALSE),0)</f>
        <v>0.34</v>
      </c>
      <c r="J4829" s="852">
        <f>IFERROR(VLOOKUP(D4829,BD_Datos!$M$1:$P$1014,2,FALSE),0)</f>
        <v>1.17</v>
      </c>
      <c r="K4829" s="863">
        <f>J4829*E4829</f>
        <v>1.17</v>
      </c>
    </row>
    <row r="4830" spans="2:11" ht="18.75" customHeight="1">
      <c r="B4830" s="843">
        <v>46123</v>
      </c>
      <c r="C4830" s="847" t="s">
        <v>247</v>
      </c>
      <c r="D4830" s="847" t="s">
        <v>246</v>
      </c>
      <c r="E4830" s="847">
        <v>1</v>
      </c>
      <c r="F4830" s="852">
        <v>1.7</v>
      </c>
      <c r="G4830" s="857">
        <v>1.7</v>
      </c>
      <c r="H4830" s="857">
        <f>G4830/1.1</f>
        <v>1.5454545454545452</v>
      </c>
      <c r="I4830" s="847">
        <f>IFERROR(VLOOKUP(D4830,BD_Datos!$M$1:$P$1014,3,FALSE),0)</f>
        <v>0.26</v>
      </c>
      <c r="J4830" s="852">
        <f>IFERROR(VLOOKUP(D4830,BD_Datos!$M$1:$P$1014,2,FALSE),0)</f>
        <v>0.19</v>
      </c>
      <c r="K4830" s="863">
        <f>J4830*E4830</f>
        <v>0.19</v>
      </c>
    </row>
    <row r="4831" spans="2:11" ht="18.75" customHeight="1">
      <c r="B4831" s="843">
        <v>46123</v>
      </c>
      <c r="C4831" s="847" t="s">
        <v>247</v>
      </c>
      <c r="D4831" s="847" t="s">
        <v>246</v>
      </c>
      <c r="E4831" s="847">
        <v>2</v>
      </c>
      <c r="F4831" s="852">
        <v>1.7</v>
      </c>
      <c r="G4831" s="857">
        <v>3.4</v>
      </c>
      <c r="H4831" s="857">
        <f>G4831/1.1</f>
        <v>3.0909090909090904</v>
      </c>
      <c r="I4831" s="847">
        <f>IFERROR(VLOOKUP(D4831,BD_Datos!$M$1:$P$1014,3,FALSE),0)</f>
        <v>0.26</v>
      </c>
      <c r="J4831" s="852">
        <f>IFERROR(VLOOKUP(D4831,BD_Datos!$M$1:$P$1014,2,FALSE),0)</f>
        <v>0.19</v>
      </c>
      <c r="K4831" s="863">
        <f>J4831*E4831</f>
        <v>0.38</v>
      </c>
    </row>
    <row r="4832" spans="2:11" ht="18.75" customHeight="1">
      <c r="B4832" s="843">
        <v>46123</v>
      </c>
      <c r="C4832" s="847" t="s">
        <v>247</v>
      </c>
      <c r="D4832" s="847" t="s">
        <v>246</v>
      </c>
      <c r="E4832" s="847">
        <v>1</v>
      </c>
      <c r="F4832" s="852">
        <v>1.7</v>
      </c>
      <c r="G4832" s="857">
        <v>1.7</v>
      </c>
      <c r="H4832" s="857">
        <f>G4832/1.1</f>
        <v>1.5454545454545452</v>
      </c>
      <c r="I4832" s="847">
        <f>IFERROR(VLOOKUP(D4832,BD_Datos!$M$1:$P$1014,3,FALSE),0)</f>
        <v>0.26</v>
      </c>
      <c r="J4832" s="852">
        <f>IFERROR(VLOOKUP(D4832,BD_Datos!$M$1:$P$1014,2,FALSE),0)</f>
        <v>0.19</v>
      </c>
      <c r="K4832" s="863">
        <f>J4832*E4832</f>
        <v>0.19</v>
      </c>
    </row>
    <row r="4833" spans="2:11" ht="18.75" customHeight="1">
      <c r="B4833" s="843">
        <v>46123</v>
      </c>
      <c r="C4833" s="847" t="s">
        <v>247</v>
      </c>
      <c r="D4833" s="847" t="s">
        <v>260</v>
      </c>
      <c r="E4833" s="847">
        <v>1</v>
      </c>
      <c r="F4833" s="852">
        <v>1.4</v>
      </c>
      <c r="G4833" s="857">
        <v>1.4</v>
      </c>
      <c r="H4833" s="857">
        <f>G4833/1.1</f>
        <v>1.2727272727272725</v>
      </c>
      <c r="I4833" s="847">
        <f>IFERROR(VLOOKUP(D4833,BD_Datos!$M$1:$P$1014,3,FALSE),0)</f>
        <v>0.21</v>
      </c>
      <c r="J4833" s="852">
        <f>IFERROR(VLOOKUP(D4833,BD_Datos!$M$1:$P$1014,2,FALSE),0)</f>
        <v>0.25</v>
      </c>
      <c r="K4833" s="863">
        <f>J4833*E4833</f>
        <v>0.25</v>
      </c>
    </row>
    <row r="4834" spans="2:11" ht="18.75" customHeight="1">
      <c r="B4834" s="843">
        <v>46123</v>
      </c>
      <c r="C4834" s="847" t="s">
        <v>268</v>
      </c>
      <c r="D4834" s="847" t="s">
        <v>1244</v>
      </c>
      <c r="E4834" s="847">
        <v>1</v>
      </c>
      <c r="F4834" s="852">
        <v>1.5</v>
      </c>
      <c r="G4834" s="857">
        <v>1.5</v>
      </c>
      <c r="H4834" s="857">
        <f>G4834/1.1</f>
        <v>1.3636363636363635</v>
      </c>
      <c r="I4834" s="847">
        <f>IFERROR(VLOOKUP(D4834,BD_Datos!$M$1:$P$1014,3,FALSE),0)</f>
        <v>0</v>
      </c>
      <c r="J4834" s="852">
        <f>IFERROR(VLOOKUP(D4834,BD_Datos!$M$1:$P$1014,2,FALSE),0)</f>
        <v>0</v>
      </c>
      <c r="K4834" s="863">
        <f>J4834*E4834</f>
        <v>0</v>
      </c>
    </row>
    <row r="4835" spans="2:11" ht="18.75" customHeight="1">
      <c r="B4835" s="843">
        <v>46123</v>
      </c>
      <c r="C4835" s="847" t="s">
        <v>247</v>
      </c>
      <c r="D4835" s="847" t="s">
        <v>246</v>
      </c>
      <c r="E4835" s="847">
        <v>2</v>
      </c>
      <c r="F4835" s="852">
        <v>1.7</v>
      </c>
      <c r="G4835" s="857">
        <v>3.4</v>
      </c>
      <c r="H4835" s="857">
        <f>G4835/1.1</f>
        <v>3.0909090909090904</v>
      </c>
      <c r="I4835" s="847">
        <f>IFERROR(VLOOKUP(D4835,BD_Datos!$M$1:$P$1014,3,FALSE),0)</f>
        <v>0.26</v>
      </c>
      <c r="J4835" s="852">
        <f>IFERROR(VLOOKUP(D4835,BD_Datos!$M$1:$P$1014,2,FALSE),0)</f>
        <v>0.19</v>
      </c>
      <c r="K4835" s="863">
        <f>J4835*E4835</f>
        <v>0.38</v>
      </c>
    </row>
    <row r="4836" spans="2:11" ht="18.75" customHeight="1">
      <c r="B4836" s="843">
        <v>46123</v>
      </c>
      <c r="C4836" s="847" t="s">
        <v>328</v>
      </c>
      <c r="D4836" s="847" t="s">
        <v>761</v>
      </c>
      <c r="E4836" s="847">
        <v>1</v>
      </c>
      <c r="F4836" s="852">
        <v>3.1</v>
      </c>
      <c r="G4836" s="857">
        <v>3.1</v>
      </c>
      <c r="H4836" s="857">
        <f>G4836/1.1</f>
        <v>2.8181818181818179</v>
      </c>
      <c r="I4836" s="847">
        <f>IFERROR(VLOOKUP(D4836,BD_Datos!$M$1:$P$1014,3,FALSE),0)</f>
        <v>0.11</v>
      </c>
      <c r="J4836" s="852">
        <f>IFERROR(VLOOKUP(D4836,BD_Datos!$M$1:$P$1014,2,FALSE),0)</f>
        <v>0.18</v>
      </c>
      <c r="K4836" s="863">
        <f>J4836*E4836</f>
        <v>0.18</v>
      </c>
    </row>
    <row r="4837" spans="2:11" ht="18.75" customHeight="1">
      <c r="B4837" s="843">
        <v>46123</v>
      </c>
      <c r="C4837" s="847" t="s">
        <v>251</v>
      </c>
      <c r="D4837" s="847" t="s">
        <v>1275</v>
      </c>
      <c r="E4837" s="847">
        <v>1</v>
      </c>
      <c r="F4837" s="852">
        <v>2.35</v>
      </c>
      <c r="G4837" s="857">
        <v>2.35</v>
      </c>
      <c r="H4837" s="857">
        <f>G4837/1.1</f>
        <v>2.1363636363636362</v>
      </c>
      <c r="I4837" s="847">
        <f>IFERROR(VLOOKUP(D4837,BD_Datos!$M$1:$P$1014,3,FALSE),0)</f>
        <v>0.52</v>
      </c>
      <c r="J4837" s="852">
        <f>IFERROR(VLOOKUP(D4837,BD_Datos!$M$1:$P$1014,2,FALSE),0)</f>
        <v>1.89</v>
      </c>
      <c r="K4837" s="863">
        <f>J4837*E4837</f>
        <v>1.89</v>
      </c>
    </row>
    <row r="4838" spans="2:11" ht="18.75" customHeight="1">
      <c r="B4838" s="843">
        <v>46123</v>
      </c>
      <c r="C4838" s="847" t="s">
        <v>247</v>
      </c>
      <c r="D4838" s="847" t="s">
        <v>246</v>
      </c>
      <c r="E4838" s="847">
        <v>1</v>
      </c>
      <c r="F4838" s="852">
        <v>1.7</v>
      </c>
      <c r="G4838" s="857">
        <v>1.7</v>
      </c>
      <c r="H4838" s="857">
        <f>G4838/1.1</f>
        <v>1.5454545454545452</v>
      </c>
      <c r="I4838" s="847">
        <f>IFERROR(VLOOKUP(D4838,BD_Datos!$M$1:$P$1014,3,FALSE),0)</f>
        <v>0.26</v>
      </c>
      <c r="J4838" s="852">
        <f>IFERROR(VLOOKUP(D4838,BD_Datos!$M$1:$P$1014,2,FALSE),0)</f>
        <v>0.19</v>
      </c>
      <c r="K4838" s="863">
        <f>J4838*E4838</f>
        <v>0.19</v>
      </c>
    </row>
    <row r="4839" spans="2:11" ht="18.75" customHeight="1">
      <c r="B4839" s="843">
        <v>46123</v>
      </c>
      <c r="C4839" s="847" t="s">
        <v>327</v>
      </c>
      <c r="D4839" s="847" t="s">
        <v>1276</v>
      </c>
      <c r="E4839" s="847">
        <v>1</v>
      </c>
      <c r="F4839" s="852">
        <v>1.75</v>
      </c>
      <c r="G4839" s="857">
        <v>1.75</v>
      </c>
      <c r="H4839" s="857">
        <f>G4839/1.1</f>
        <v>1.5909090909090908</v>
      </c>
      <c r="I4839" s="847">
        <f>IFERROR(VLOOKUP(D4839,BD_Datos!$M$1:$P$1014,3,FALSE),0)</f>
        <v>0</v>
      </c>
      <c r="J4839" s="852">
        <f>IFERROR(VLOOKUP(D4839,BD_Datos!$M$1:$P$1014,2,FALSE),0)</f>
        <v>0</v>
      </c>
      <c r="K4839" s="863">
        <f>J4839*E4839</f>
        <v>0</v>
      </c>
    </row>
    <row r="4840" spans="2:11" ht="18.75" customHeight="1">
      <c r="B4840" s="843">
        <v>46123</v>
      </c>
      <c r="C4840" s="847" t="s">
        <v>247</v>
      </c>
      <c r="D4840" s="847" t="s">
        <v>260</v>
      </c>
      <c r="E4840" s="847">
        <v>2</v>
      </c>
      <c r="F4840" s="852">
        <v>1.4</v>
      </c>
      <c r="G4840" s="857">
        <v>2.8</v>
      </c>
      <c r="H4840" s="857">
        <f>G4840/1.1</f>
        <v>2.545454545454545</v>
      </c>
      <c r="I4840" s="847">
        <f>IFERROR(VLOOKUP(D4840,BD_Datos!$M$1:$P$1014,3,FALSE),0)</f>
        <v>0.21</v>
      </c>
      <c r="J4840" s="852">
        <f>IFERROR(VLOOKUP(D4840,BD_Datos!$M$1:$P$1014,2,FALSE),0)</f>
        <v>0.25</v>
      </c>
      <c r="K4840" s="863">
        <f>J4840*E4840</f>
        <v>0.5</v>
      </c>
    </row>
    <row r="4841" spans="2:11" ht="18.75" customHeight="1">
      <c r="B4841" s="843">
        <v>46123</v>
      </c>
      <c r="C4841" s="847" t="s">
        <v>1277</v>
      </c>
      <c r="D4841" s="847" t="s">
        <v>896</v>
      </c>
      <c r="E4841" s="847">
        <v>1</v>
      </c>
      <c r="F4841" s="852">
        <v>4.2</v>
      </c>
      <c r="G4841" s="857">
        <v>4.2</v>
      </c>
      <c r="H4841" s="857">
        <f>G4841/1.1</f>
        <v>3.8181818181818179</v>
      </c>
      <c r="I4841" s="847">
        <f>IFERROR(VLOOKUP(D4841,BD_Datos!$M$1:$P$1014,3,FALSE),0)</f>
        <v>0</v>
      </c>
      <c r="J4841" s="852">
        <f>IFERROR(VLOOKUP(D4841,BD_Datos!$M$1:$P$1014,2,FALSE),0)</f>
        <v>0</v>
      </c>
      <c r="K4841" s="863">
        <f>J4841*E4841</f>
        <v>0</v>
      </c>
    </row>
    <row r="4842" spans="2:11" ht="18.75" customHeight="1">
      <c r="B4842" s="843">
        <v>46123</v>
      </c>
      <c r="C4842" s="847" t="s">
        <v>264</v>
      </c>
      <c r="D4842" s="847" t="s">
        <v>1268</v>
      </c>
      <c r="E4842" s="847">
        <v>1</v>
      </c>
      <c r="F4842" s="852">
        <v>0.05</v>
      </c>
      <c r="G4842" s="857">
        <v>0.05</v>
      </c>
      <c r="H4842" s="857">
        <f>G4842/1.1</f>
        <v>4.5454545454545456E-2</v>
      </c>
      <c r="I4842" s="847">
        <f>IFERROR(VLOOKUP(D4842,BD_Datos!$M$1:$P$1014,3,FALSE),0)</f>
        <v>0.22</v>
      </c>
      <c r="J4842" s="852">
        <f>IFERROR(VLOOKUP(D4842,BD_Datos!$M$1:$P$1014,2,FALSE),0)</f>
        <v>0</v>
      </c>
      <c r="K4842" s="863">
        <f>J4842*E4842</f>
        <v>0</v>
      </c>
    </row>
    <row r="4843" spans="2:11" ht="18.75" customHeight="1">
      <c r="B4843" s="843">
        <v>46123</v>
      </c>
      <c r="C4843" s="847" t="s">
        <v>275</v>
      </c>
      <c r="D4843" s="847" t="s">
        <v>1246</v>
      </c>
      <c r="E4843" s="847">
        <v>2</v>
      </c>
      <c r="F4843" s="852">
        <v>0.375</v>
      </c>
      <c r="G4843" s="857">
        <v>0.75</v>
      </c>
      <c r="H4843" s="857">
        <f>G4843/1.1</f>
        <v>0.68181818181818177</v>
      </c>
      <c r="I4843" s="847">
        <f>IFERROR(VLOOKUP(D4843,BD_Datos!$M$1:$P$1014,3,FALSE),0)</f>
        <v>0</v>
      </c>
      <c r="J4843" s="852">
        <f>IFERROR(VLOOKUP(D4843,BD_Datos!$M$1:$P$1014,2,FALSE),0)</f>
        <v>0</v>
      </c>
      <c r="K4843" s="863">
        <f>J4843*E4843</f>
        <v>0</v>
      </c>
    </row>
    <row r="4844" spans="2:11" ht="18.75" customHeight="1">
      <c r="B4844" s="844">
        <v>46123</v>
      </c>
      <c r="C4844" s="848" t="s">
        <v>251</v>
      </c>
      <c r="D4844" s="848" t="s">
        <v>265</v>
      </c>
      <c r="E4844" s="848">
        <v>1</v>
      </c>
      <c r="F4844" s="853">
        <v>2.65</v>
      </c>
      <c r="G4844" s="858">
        <v>2.65</v>
      </c>
      <c r="H4844" s="858">
        <f>G4844/1.1</f>
        <v>2.4090909090909087</v>
      </c>
      <c r="I4844" s="848">
        <f>IFERROR(VLOOKUP(D4844,BD_Datos!$M$1:$P$1014,3,FALSE),0)</f>
        <v>0.32</v>
      </c>
      <c r="J4844" s="853">
        <f>IFERROR(VLOOKUP(D4844,BD_Datos!$M$1:$P$1014,2,FALSE),0)</f>
        <v>0.53</v>
      </c>
      <c r="K4844" s="864">
        <f>J4844*E4844</f>
        <v>0.53</v>
      </c>
    </row>
    <row r="4845" spans="2:11" ht="18.75" customHeight="1">
      <c r="B4845" s="841">
        <v>46123</v>
      </c>
      <c r="C4845" s="837" t="s">
        <v>247</v>
      </c>
      <c r="D4845" s="837" t="s">
        <v>246</v>
      </c>
      <c r="E4845" s="837">
        <v>1</v>
      </c>
      <c r="F4845" s="851">
        <v>1.7</v>
      </c>
      <c r="G4845" s="856">
        <v>1.7</v>
      </c>
      <c r="H4845" s="856">
        <f>G4845/1.1</f>
        <v>1.5454545454545452</v>
      </c>
      <c r="I4845" s="837">
        <f>IFERROR(VLOOKUP(D4845,BD_Datos!$M$1:$P$1014,3,FALSE),0)</f>
        <v>0.26</v>
      </c>
      <c r="J4845" s="851">
        <f>IFERROR(VLOOKUP(D4845,BD_Datos!$M$1:$P$1014,2,FALSE),0)</f>
        <v>0.19</v>
      </c>
      <c r="K4845" s="861">
        <f>J4845*E4845</f>
        <v>0.19</v>
      </c>
    </row>
    <row r="4846" spans="2:11" ht="18.75" customHeight="1">
      <c r="B4846" s="841">
        <v>46123</v>
      </c>
      <c r="C4846" s="837" t="s">
        <v>264</v>
      </c>
      <c r="D4846" s="837" t="s">
        <v>1268</v>
      </c>
      <c r="E4846" s="837">
        <v>1</v>
      </c>
      <c r="F4846" s="851">
        <v>0.05</v>
      </c>
      <c r="G4846" s="856">
        <v>0.05</v>
      </c>
      <c r="H4846" s="856">
        <f>G4846/1.1</f>
        <v>4.5454545454545456E-2</v>
      </c>
      <c r="I4846" s="837">
        <f>IFERROR(VLOOKUP(D4846,BD_Datos!$M$1:$P$1014,3,FALSE),0)</f>
        <v>0.22</v>
      </c>
      <c r="J4846" s="851">
        <f>IFERROR(VLOOKUP(D4846,BD_Datos!$M$1:$P$1014,2,FALSE),0)</f>
        <v>0</v>
      </c>
      <c r="K4846" s="861">
        <f>J4846*E4846</f>
        <v>0</v>
      </c>
    </row>
    <row r="4847" spans="2:11" ht="18.75" customHeight="1">
      <c r="B4847" s="841">
        <v>46123</v>
      </c>
      <c r="C4847" s="837" t="s">
        <v>256</v>
      </c>
      <c r="D4847" s="837" t="s">
        <v>830</v>
      </c>
      <c r="E4847" s="837">
        <v>1</v>
      </c>
      <c r="F4847" s="851">
        <v>8.6999999999999993</v>
      </c>
      <c r="G4847" s="856">
        <v>8.6999999999999993</v>
      </c>
      <c r="H4847" s="856">
        <f>G4847/1.1</f>
        <v>7.9090909090909074</v>
      </c>
      <c r="I4847" s="837">
        <f>IFERROR(VLOOKUP(D4847,BD_Datos!$M$1:$P$1014,3,FALSE),0)</f>
        <v>0.27</v>
      </c>
      <c r="J4847" s="851">
        <f>IFERROR(VLOOKUP(D4847,BD_Datos!$M$1:$P$1014,2,FALSE),0)</f>
        <v>0.88</v>
      </c>
      <c r="K4847" s="861">
        <f>J4847*E4847</f>
        <v>0.88</v>
      </c>
    </row>
    <row r="4848" spans="2:11" ht="18.75" customHeight="1">
      <c r="B4848" s="841">
        <v>46123</v>
      </c>
      <c r="C4848" s="837" t="s">
        <v>323</v>
      </c>
      <c r="D4848" s="837" t="s">
        <v>1278</v>
      </c>
      <c r="E4848" s="837">
        <v>1</v>
      </c>
      <c r="F4848" s="851">
        <v>5.65</v>
      </c>
      <c r="G4848" s="856">
        <v>5.65</v>
      </c>
      <c r="H4848" s="856">
        <f>G4848/1.1</f>
        <v>5.1363636363636367</v>
      </c>
      <c r="I4848" s="837">
        <f>IFERROR(VLOOKUP(D4848,BD_Datos!$M$1:$P$1014,3,FALSE),0)</f>
        <v>0</v>
      </c>
      <c r="J4848" s="851">
        <f>IFERROR(VLOOKUP(D4848,BD_Datos!$M$1:$P$1014,2,FALSE),0)</f>
        <v>0</v>
      </c>
      <c r="K4848" s="861">
        <f>J4848*E4848</f>
        <v>0</v>
      </c>
    </row>
    <row r="4849" spans="2:11" ht="18.75" customHeight="1">
      <c r="B4849" s="841">
        <v>46123</v>
      </c>
      <c r="C4849" s="837" t="s">
        <v>1265</v>
      </c>
      <c r="D4849" s="837" t="s">
        <v>1266</v>
      </c>
      <c r="E4849" s="837">
        <v>2</v>
      </c>
      <c r="F4849" s="851">
        <v>14.9</v>
      </c>
      <c r="G4849" s="856">
        <v>29.8</v>
      </c>
      <c r="H4849" s="856">
        <f>G4849/1.1</f>
        <v>27.09090909090909</v>
      </c>
      <c r="I4849" s="837"/>
      <c r="J4849" s="851"/>
      <c r="K4849" s="861"/>
    </row>
    <row r="4850" spans="2:11" ht="18.75" customHeight="1">
      <c r="B4850" s="841">
        <v>46123</v>
      </c>
      <c r="C4850" s="837" t="s">
        <v>256</v>
      </c>
      <c r="D4850" s="837" t="s">
        <v>1255</v>
      </c>
      <c r="E4850" s="837">
        <v>1</v>
      </c>
      <c r="F4850" s="851">
        <v>5</v>
      </c>
      <c r="G4850" s="856">
        <v>5</v>
      </c>
      <c r="H4850" s="856">
        <f>G4850/1.1</f>
        <v>4.545454545454545</v>
      </c>
      <c r="I4850" s="837"/>
      <c r="J4850" s="851"/>
      <c r="K4850" s="861"/>
    </row>
    <row r="4851" spans="2:11" ht="18.75" customHeight="1">
      <c r="B4851" s="841">
        <v>46123</v>
      </c>
      <c r="C4851" s="837" t="s">
        <v>247</v>
      </c>
      <c r="D4851" s="837" t="s">
        <v>677</v>
      </c>
      <c r="E4851" s="837">
        <v>1</v>
      </c>
      <c r="F4851" s="851">
        <v>1.5</v>
      </c>
      <c r="G4851" s="856">
        <v>1.5</v>
      </c>
      <c r="H4851" s="856">
        <f>G4851/1.1</f>
        <v>1.3636363636363635</v>
      </c>
      <c r="I4851" s="837"/>
      <c r="J4851" s="851"/>
      <c r="K4851" s="861"/>
    </row>
    <row r="4852" spans="2:11" ht="18.75" customHeight="1">
      <c r="B4852" s="841">
        <v>46123</v>
      </c>
      <c r="C4852" s="837" t="s">
        <v>247</v>
      </c>
      <c r="D4852" s="837" t="s">
        <v>677</v>
      </c>
      <c r="E4852" s="837">
        <v>1</v>
      </c>
      <c r="F4852" s="851">
        <v>1.8</v>
      </c>
      <c r="G4852" s="856">
        <v>1.8</v>
      </c>
      <c r="H4852" s="856">
        <f>G4852/1.1</f>
        <v>1.6363636363636362</v>
      </c>
      <c r="I4852" s="837"/>
      <c r="J4852" s="851"/>
      <c r="K4852" s="861"/>
    </row>
    <row r="4853" spans="2:11" ht="18.75" customHeight="1">
      <c r="B4853" s="841">
        <v>46123</v>
      </c>
      <c r="C4853" s="837" t="s">
        <v>247</v>
      </c>
      <c r="D4853" s="837" t="s">
        <v>1241</v>
      </c>
      <c r="E4853" s="837">
        <v>1</v>
      </c>
      <c r="F4853" s="851">
        <v>1.7</v>
      </c>
      <c r="G4853" s="856">
        <v>1.7</v>
      </c>
      <c r="H4853" s="856">
        <f>G4853/1.1</f>
        <v>1.5454545454545452</v>
      </c>
      <c r="I4853" s="837"/>
      <c r="J4853" s="851"/>
      <c r="K4853" s="861"/>
    </row>
    <row r="4854" spans="2:11" s="74" customFormat="1" ht="18.75" customHeight="1">
      <c r="B4854" s="841">
        <v>46123</v>
      </c>
      <c r="C4854" s="837" t="s">
        <v>251</v>
      </c>
      <c r="D4854" s="837" t="s">
        <v>708</v>
      </c>
      <c r="E4854" s="837">
        <v>1</v>
      </c>
      <c r="F4854" s="851">
        <v>2.2000000000000002</v>
      </c>
      <c r="G4854" s="856">
        <v>2.2000000000000002</v>
      </c>
      <c r="H4854" s="856">
        <f>G4854/1.1</f>
        <v>2</v>
      </c>
      <c r="I4854" s="837"/>
      <c r="J4854" s="851"/>
      <c r="K4854" s="861"/>
    </row>
    <row r="4855" spans="2:11" s="74" customFormat="1" ht="18.75" customHeight="1">
      <c r="B4855" s="841">
        <v>46123</v>
      </c>
      <c r="C4855" s="837" t="s">
        <v>253</v>
      </c>
      <c r="D4855" s="837" t="s">
        <v>1279</v>
      </c>
      <c r="E4855" s="837">
        <v>1</v>
      </c>
      <c r="F4855" s="851">
        <v>3.1</v>
      </c>
      <c r="G4855" s="856">
        <v>3.1</v>
      </c>
      <c r="H4855" s="856">
        <f>G4855/1.1</f>
        <v>2.8181818181818179</v>
      </c>
      <c r="I4855" s="837"/>
      <c r="J4855" s="851"/>
      <c r="K4855" s="861"/>
    </row>
    <row r="4856" spans="2:11" s="74" customFormat="1" ht="18.75" customHeight="1">
      <c r="B4856" s="841">
        <v>46123</v>
      </c>
      <c r="C4856" s="837" t="s">
        <v>275</v>
      </c>
      <c r="D4856" s="837" t="s">
        <v>1280</v>
      </c>
      <c r="E4856" s="837">
        <v>1</v>
      </c>
      <c r="F4856" s="851">
        <v>5.5</v>
      </c>
      <c r="G4856" s="856">
        <v>5.5</v>
      </c>
      <c r="H4856" s="856">
        <f>G4856/1.1</f>
        <v>5</v>
      </c>
      <c r="I4856" s="837"/>
      <c r="J4856" s="851"/>
      <c r="K4856" s="861"/>
    </row>
    <row r="4857" spans="2:11" ht="18.75" customHeight="1">
      <c r="B4857" s="841">
        <v>46123</v>
      </c>
      <c r="C4857" s="837" t="s">
        <v>1079</v>
      </c>
      <c r="D4857" s="837" t="s">
        <v>1134</v>
      </c>
      <c r="E4857" s="837">
        <v>1</v>
      </c>
      <c r="F4857" s="851">
        <v>0</v>
      </c>
      <c r="G4857" s="856">
        <v>0</v>
      </c>
      <c r="H4857" s="856">
        <f>G4857/1.1</f>
        <v>0</v>
      </c>
      <c r="I4857" s="837"/>
      <c r="J4857" s="851"/>
      <c r="K4857" s="861"/>
    </row>
    <row r="4858" spans="2:11" ht="18.75" customHeight="1">
      <c r="B4858" s="841">
        <v>46123</v>
      </c>
      <c r="C4858" s="837" t="s">
        <v>1079</v>
      </c>
      <c r="D4858" s="837" t="s">
        <v>703</v>
      </c>
      <c r="E4858" s="837">
        <v>1</v>
      </c>
      <c r="F4858" s="851">
        <v>2.25</v>
      </c>
      <c r="G4858" s="856">
        <v>2.25</v>
      </c>
      <c r="H4858" s="856">
        <f>G4858/1.1</f>
        <v>2.0454545454545454</v>
      </c>
      <c r="I4858" s="837"/>
      <c r="J4858" s="851"/>
      <c r="K4858" s="861"/>
    </row>
    <row r="4859" spans="2:11" ht="18.75" customHeight="1">
      <c r="B4859" s="841">
        <v>46123</v>
      </c>
      <c r="C4859" s="837" t="s">
        <v>1079</v>
      </c>
      <c r="D4859" s="837" t="s">
        <v>1281</v>
      </c>
      <c r="E4859" s="837">
        <v>1</v>
      </c>
      <c r="F4859" s="851">
        <v>3.75</v>
      </c>
      <c r="G4859" s="856">
        <v>3.75</v>
      </c>
      <c r="H4859" s="856">
        <f>G4859/1.1</f>
        <v>3.4090909090909087</v>
      </c>
      <c r="I4859" s="837"/>
      <c r="J4859" s="851"/>
      <c r="K4859" s="861"/>
    </row>
    <row r="4860" spans="2:11" ht="18.75" customHeight="1">
      <c r="B4860" s="841">
        <v>46123</v>
      </c>
      <c r="C4860" s="837" t="s">
        <v>256</v>
      </c>
      <c r="D4860" s="837" t="s">
        <v>1255</v>
      </c>
      <c r="E4860" s="837">
        <v>1</v>
      </c>
      <c r="F4860" s="851">
        <v>12.15</v>
      </c>
      <c r="G4860" s="856">
        <v>12.15</v>
      </c>
      <c r="H4860" s="856">
        <f>G4860/1.1</f>
        <v>11.045454545454545</v>
      </c>
      <c r="I4860" s="837"/>
      <c r="J4860" s="851"/>
      <c r="K4860" s="861"/>
    </row>
    <row r="4861" spans="2:11" ht="18.75" customHeight="1">
      <c r="B4861" s="841">
        <v>46123</v>
      </c>
      <c r="C4861" s="837" t="s">
        <v>256</v>
      </c>
      <c r="D4861" s="837" t="s">
        <v>912</v>
      </c>
      <c r="E4861" s="837">
        <v>1</v>
      </c>
      <c r="F4861" s="851">
        <v>5.75</v>
      </c>
      <c r="G4861" s="856">
        <v>5.75</v>
      </c>
      <c r="H4861" s="856">
        <f>G4861/1.1</f>
        <v>5.2272727272727266</v>
      </c>
      <c r="I4861" s="837"/>
      <c r="J4861" s="851"/>
      <c r="K4861" s="861"/>
    </row>
    <row r="4862" spans="2:11" ht="18.75" customHeight="1">
      <c r="B4862" s="841">
        <v>46123</v>
      </c>
      <c r="C4862" s="837" t="s">
        <v>256</v>
      </c>
      <c r="D4862" s="837" t="s">
        <v>675</v>
      </c>
      <c r="E4862" s="837">
        <v>1</v>
      </c>
      <c r="F4862" s="851">
        <v>5.75</v>
      </c>
      <c r="G4862" s="856">
        <v>5.75</v>
      </c>
      <c r="H4862" s="856">
        <f>G4862/1.1</f>
        <v>5.2272727272727266</v>
      </c>
      <c r="I4862" s="837"/>
      <c r="J4862" s="851"/>
      <c r="K4862" s="861"/>
    </row>
    <row r="4863" spans="2:11" ht="18.75" customHeight="1">
      <c r="B4863" s="841">
        <v>46123</v>
      </c>
      <c r="C4863" s="837" t="s">
        <v>256</v>
      </c>
      <c r="D4863" s="837" t="s">
        <v>871</v>
      </c>
      <c r="E4863" s="837">
        <v>1</v>
      </c>
      <c r="F4863" s="851">
        <v>9.0500000000000007</v>
      </c>
      <c r="G4863" s="856">
        <v>9.0500000000000007</v>
      </c>
      <c r="H4863" s="856">
        <f>G4863/1.1</f>
        <v>8.2272727272727266</v>
      </c>
      <c r="I4863" s="837"/>
      <c r="J4863" s="851"/>
      <c r="K4863" s="861"/>
    </row>
    <row r="4864" spans="2:11" ht="18.75" customHeight="1">
      <c r="B4864" s="841">
        <v>46123</v>
      </c>
      <c r="C4864" s="837" t="s">
        <v>256</v>
      </c>
      <c r="D4864" s="837" t="s">
        <v>793</v>
      </c>
      <c r="E4864" s="837">
        <v>1</v>
      </c>
      <c r="F4864" s="851">
        <v>7.2</v>
      </c>
      <c r="G4864" s="856">
        <v>7.2</v>
      </c>
      <c r="H4864" s="856">
        <f>G4864/1.1</f>
        <v>6.545454545454545</v>
      </c>
      <c r="I4864" s="837"/>
      <c r="J4864" s="851"/>
      <c r="K4864" s="861"/>
    </row>
    <row r="4865" spans="2:11" ht="18.75" customHeight="1">
      <c r="B4865" s="841">
        <v>46123</v>
      </c>
      <c r="C4865" s="837" t="s">
        <v>256</v>
      </c>
      <c r="D4865" s="837" t="s">
        <v>1136</v>
      </c>
      <c r="E4865" s="837">
        <v>1</v>
      </c>
      <c r="F4865" s="851">
        <v>1</v>
      </c>
      <c r="G4865" s="856">
        <v>1</v>
      </c>
      <c r="H4865" s="856">
        <f>G4865/1.1</f>
        <v>0.90909090909090906</v>
      </c>
      <c r="I4865" s="837"/>
      <c r="J4865" s="851"/>
      <c r="K4865" s="861"/>
    </row>
    <row r="4866" spans="2:11" ht="18.75" customHeight="1">
      <c r="B4866" s="841">
        <v>46124</v>
      </c>
      <c r="C4866" s="837" t="s">
        <v>247</v>
      </c>
      <c r="D4866" s="837" t="s">
        <v>248</v>
      </c>
      <c r="E4866" s="837">
        <v>1</v>
      </c>
      <c r="F4866" s="851">
        <v>1.5</v>
      </c>
      <c r="G4866" s="856">
        <v>1.5</v>
      </c>
      <c r="H4866" s="856">
        <f>G4866/1.1</f>
        <v>1.3636363636363635</v>
      </c>
      <c r="I4866" s="837">
        <f>IFERROR(VLOOKUP(D4866,BD_Datos!$M$1:$P$1014,3,FALSE),0)</f>
        <v>0.24</v>
      </c>
      <c r="J4866" s="851">
        <f>IFERROR(VLOOKUP(D4866,BD_Datos!$M$1:$P$1014,2,FALSE),0)</f>
        <v>0.16</v>
      </c>
      <c r="K4866" s="861">
        <f>J4866*E4866</f>
        <v>0.16</v>
      </c>
    </row>
    <row r="4867" spans="2:11" ht="18.75" customHeight="1">
      <c r="B4867" s="841">
        <v>46124</v>
      </c>
      <c r="C4867" s="837" t="s">
        <v>247</v>
      </c>
      <c r="D4867" s="837" t="s">
        <v>698</v>
      </c>
      <c r="E4867" s="837">
        <v>1</v>
      </c>
      <c r="F4867" s="851">
        <v>2.5499999999999998</v>
      </c>
      <c r="G4867" s="856">
        <v>2.5499999999999998</v>
      </c>
      <c r="H4867" s="856">
        <f>G4867/1.1</f>
        <v>2.3181818181818179</v>
      </c>
      <c r="I4867" s="837">
        <f>IFERROR(VLOOKUP(D4867,BD_Datos!$M$1:$P$1014,3,FALSE),0)</f>
        <v>0.25</v>
      </c>
      <c r="J4867" s="851">
        <f>IFERROR(VLOOKUP(D4867,BD_Datos!$M$1:$P$1014,2,FALSE),0)</f>
        <v>0.32</v>
      </c>
      <c r="K4867" s="861">
        <f>J4867*E4867</f>
        <v>0.32</v>
      </c>
    </row>
    <row r="4868" spans="2:11" s="74" customFormat="1" ht="18.75" customHeight="1">
      <c r="B4868" s="841">
        <v>46124</v>
      </c>
      <c r="C4868" s="837" t="s">
        <v>247</v>
      </c>
      <c r="D4868" s="837" t="s">
        <v>260</v>
      </c>
      <c r="E4868" s="837">
        <v>1</v>
      </c>
      <c r="F4868" s="851">
        <v>1.4</v>
      </c>
      <c r="G4868" s="856">
        <v>1.4</v>
      </c>
      <c r="H4868" s="856">
        <f>G4868/1.1</f>
        <v>1.2727272727272725</v>
      </c>
      <c r="I4868" s="837">
        <f>IFERROR(VLOOKUP(D4868,BD_Datos!$M$1:$P$1014,3,FALSE),0)</f>
        <v>0.21</v>
      </c>
      <c r="J4868" s="851">
        <f>IFERROR(VLOOKUP(D4868,BD_Datos!$M$1:$P$1014,2,FALSE),0)</f>
        <v>0.25</v>
      </c>
      <c r="K4868" s="861">
        <f>J4868*E4868</f>
        <v>0.25</v>
      </c>
    </row>
    <row r="4869" spans="2:11" ht="18.75" customHeight="1">
      <c r="B4869" s="841">
        <v>46124</v>
      </c>
      <c r="C4869" s="837" t="s">
        <v>1277</v>
      </c>
      <c r="D4869" s="837" t="s">
        <v>772</v>
      </c>
      <c r="E4869" s="837">
        <v>1</v>
      </c>
      <c r="F4869" s="851">
        <v>3.25</v>
      </c>
      <c r="G4869" s="856">
        <v>3.25</v>
      </c>
      <c r="H4869" s="856">
        <f>G4869/1.1</f>
        <v>2.9545454545454541</v>
      </c>
      <c r="I4869" s="837">
        <f>IFERROR(VLOOKUP(D4869,BD_Datos!$M$1:$P$1014,3,FALSE),0)</f>
        <v>0</v>
      </c>
      <c r="J4869" s="851">
        <f>IFERROR(VLOOKUP(D4869,BD_Datos!$M$1:$P$1014,2,FALSE),0)</f>
        <v>0</v>
      </c>
      <c r="K4869" s="861">
        <f>J4869*E4869</f>
        <v>0</v>
      </c>
    </row>
    <row r="4870" spans="2:11" ht="18.75" customHeight="1">
      <c r="B4870" s="841">
        <v>46124</v>
      </c>
      <c r="C4870" s="837" t="s">
        <v>264</v>
      </c>
      <c r="D4870" s="837" t="s">
        <v>1248</v>
      </c>
      <c r="E4870" s="837">
        <v>1</v>
      </c>
      <c r="F4870" s="851">
        <v>0.05</v>
      </c>
      <c r="G4870" s="856">
        <v>0.05</v>
      </c>
      <c r="H4870" s="856">
        <f>G4870/1.1</f>
        <v>4.5454545454545456E-2</v>
      </c>
      <c r="I4870" s="837">
        <f>IFERROR(VLOOKUP(D4870,BD_Datos!$M$1:$P$1014,3,FALSE),0)</f>
        <v>0</v>
      </c>
      <c r="J4870" s="851">
        <f>IFERROR(VLOOKUP(D4870,BD_Datos!$M$1:$P$1014,2,FALSE),0)</f>
        <v>0</v>
      </c>
      <c r="K4870" s="861">
        <f>J4870*E4870</f>
        <v>0</v>
      </c>
    </row>
    <row r="4871" spans="2:11" ht="18.75" customHeight="1">
      <c r="B4871" s="841">
        <v>46124</v>
      </c>
      <c r="C4871" s="837" t="s">
        <v>247</v>
      </c>
      <c r="D4871" s="837" t="s">
        <v>248</v>
      </c>
      <c r="E4871" s="837">
        <v>1</v>
      </c>
      <c r="F4871" s="851">
        <v>1.5</v>
      </c>
      <c r="G4871" s="856">
        <v>1.5</v>
      </c>
      <c r="H4871" s="856">
        <f>G4871/1.1</f>
        <v>1.3636363636363635</v>
      </c>
      <c r="I4871" s="837">
        <f>IFERROR(VLOOKUP(D4871,BD_Datos!$M$1:$P$1014,3,FALSE),0)</f>
        <v>0.24</v>
      </c>
      <c r="J4871" s="851">
        <f>IFERROR(VLOOKUP(D4871,BD_Datos!$M$1:$P$1014,2,FALSE),0)</f>
        <v>0.16</v>
      </c>
      <c r="K4871" s="861">
        <f>J4871*E4871</f>
        <v>0.16</v>
      </c>
    </row>
    <row r="4872" spans="2:11" ht="18.75" customHeight="1">
      <c r="B4872" s="841">
        <v>46124</v>
      </c>
      <c r="C4872" s="837" t="s">
        <v>247</v>
      </c>
      <c r="D4872" s="837" t="s">
        <v>246</v>
      </c>
      <c r="E4872" s="837">
        <v>2</v>
      </c>
      <c r="F4872" s="851">
        <v>1.7</v>
      </c>
      <c r="G4872" s="856">
        <v>3.4</v>
      </c>
      <c r="H4872" s="856">
        <f>G4872/1.1</f>
        <v>3.0909090909090904</v>
      </c>
      <c r="I4872" s="837">
        <f>IFERROR(VLOOKUP(D4872,BD_Datos!$M$1:$P$1014,3,FALSE),0)</f>
        <v>0.26</v>
      </c>
      <c r="J4872" s="851">
        <f>IFERROR(VLOOKUP(D4872,BD_Datos!$M$1:$P$1014,2,FALSE),0)</f>
        <v>0.19</v>
      </c>
      <c r="K4872" s="861">
        <f>J4872*E4872</f>
        <v>0.38</v>
      </c>
    </row>
    <row r="4873" spans="2:11" ht="18.75" customHeight="1">
      <c r="B4873" s="841">
        <v>46124</v>
      </c>
      <c r="C4873" s="837" t="s">
        <v>1277</v>
      </c>
      <c r="D4873" s="837" t="s">
        <v>723</v>
      </c>
      <c r="E4873" s="837">
        <v>1</v>
      </c>
      <c r="F4873" s="851">
        <v>3.1</v>
      </c>
      <c r="G4873" s="856">
        <v>3.1</v>
      </c>
      <c r="H4873" s="856">
        <f>G4873/1.1</f>
        <v>2.8181818181818179</v>
      </c>
      <c r="I4873" s="837">
        <f>IFERROR(VLOOKUP(D4873,BD_Datos!$M$1:$P$1014,3,FALSE),0)</f>
        <v>0.18</v>
      </c>
      <c r="J4873" s="851">
        <f>IFERROR(VLOOKUP(D4873,BD_Datos!$M$1:$P$1014,2,FALSE),0)</f>
        <v>0.23</v>
      </c>
      <c r="K4873" s="861">
        <f>J4873*E4873</f>
        <v>0.23</v>
      </c>
    </row>
    <row r="4874" spans="2:11" ht="18.75" customHeight="1">
      <c r="B4874" s="841">
        <v>46124</v>
      </c>
      <c r="C4874" s="837" t="s">
        <v>264</v>
      </c>
      <c r="D4874" s="837" t="s">
        <v>1282</v>
      </c>
      <c r="E4874" s="837">
        <v>1</v>
      </c>
      <c r="F4874" s="851">
        <v>0.05</v>
      </c>
      <c r="G4874" s="856">
        <v>0.05</v>
      </c>
      <c r="H4874" s="856">
        <f>G4874/1.1</f>
        <v>4.5454545454545456E-2</v>
      </c>
      <c r="I4874" s="837">
        <f>IFERROR(VLOOKUP(D4874,BD_Datos!$M$1:$P$1014,3,FALSE),0)</f>
        <v>0</v>
      </c>
      <c r="J4874" s="851">
        <f>IFERROR(VLOOKUP(D4874,BD_Datos!$M$1:$P$1014,2,FALSE),0)</f>
        <v>0</v>
      </c>
      <c r="K4874" s="861">
        <f>J4874*E4874</f>
        <v>0</v>
      </c>
    </row>
    <row r="4875" spans="2:11" ht="18.75" customHeight="1">
      <c r="B4875" s="841">
        <v>46124</v>
      </c>
      <c r="C4875" s="837" t="s">
        <v>275</v>
      </c>
      <c r="D4875" s="837" t="s">
        <v>859</v>
      </c>
      <c r="E4875" s="837">
        <v>1</v>
      </c>
      <c r="F4875" s="851">
        <v>0.75</v>
      </c>
      <c r="G4875" s="856">
        <v>0.75</v>
      </c>
      <c r="H4875" s="856">
        <f>G4875/1.1</f>
        <v>0.68181818181818177</v>
      </c>
      <c r="I4875" s="837">
        <f>IFERROR(VLOOKUP(D4875,BD_Datos!$M$1:$P$1014,3,FALSE),0)</f>
        <v>0.22</v>
      </c>
      <c r="J4875" s="851">
        <f>IFERROR(VLOOKUP(D4875,BD_Datos!$M$1:$P$1014,2,FALSE),0)</f>
        <v>0.12</v>
      </c>
      <c r="K4875" s="861">
        <f>J4875*E4875</f>
        <v>0.12</v>
      </c>
    </row>
    <row r="4876" spans="2:11" ht="18.75" customHeight="1">
      <c r="B4876" s="841">
        <v>46124</v>
      </c>
      <c r="C4876" s="837" t="s">
        <v>247</v>
      </c>
      <c r="D4876" s="837" t="s">
        <v>248</v>
      </c>
      <c r="E4876" s="837">
        <v>1</v>
      </c>
      <c r="F4876" s="851">
        <v>1.5</v>
      </c>
      <c r="G4876" s="856">
        <v>1.5</v>
      </c>
      <c r="H4876" s="856">
        <f>G4876/1.1</f>
        <v>1.3636363636363635</v>
      </c>
      <c r="I4876" s="837">
        <f>IFERROR(VLOOKUP(D4876,BD_Datos!$M$1:$P$1014,3,FALSE),0)</f>
        <v>0.24</v>
      </c>
      <c r="J4876" s="851">
        <f>IFERROR(VLOOKUP(D4876,BD_Datos!$M$1:$P$1014,2,FALSE),0)</f>
        <v>0.16</v>
      </c>
      <c r="K4876" s="861">
        <f>J4876*E4876</f>
        <v>0.16</v>
      </c>
    </row>
    <row r="4877" spans="2:11" ht="18.75" customHeight="1">
      <c r="B4877" s="841">
        <v>46124</v>
      </c>
      <c r="C4877" s="837" t="s">
        <v>247</v>
      </c>
      <c r="D4877" s="837" t="s">
        <v>246</v>
      </c>
      <c r="E4877" s="837">
        <v>1</v>
      </c>
      <c r="F4877" s="851">
        <v>1.7</v>
      </c>
      <c r="G4877" s="856">
        <v>1.7</v>
      </c>
      <c r="H4877" s="856">
        <f>G4877/1.1</f>
        <v>1.5454545454545452</v>
      </c>
      <c r="I4877" s="837">
        <f>IFERROR(VLOOKUP(D4877,BD_Datos!$M$1:$P$1014,3,FALSE),0)</f>
        <v>0.26</v>
      </c>
      <c r="J4877" s="851">
        <f>IFERROR(VLOOKUP(D4877,BD_Datos!$M$1:$P$1014,2,FALSE),0)</f>
        <v>0.19</v>
      </c>
      <c r="K4877" s="861">
        <f>J4877*E4877</f>
        <v>0.19</v>
      </c>
    </row>
    <row r="4878" spans="2:11" ht="18.75" customHeight="1">
      <c r="B4878" s="841">
        <v>46124</v>
      </c>
      <c r="C4878" s="837" t="s">
        <v>264</v>
      </c>
      <c r="D4878" s="837" t="s">
        <v>863</v>
      </c>
      <c r="E4878" s="837">
        <v>1</v>
      </c>
      <c r="F4878" s="851">
        <v>0.15</v>
      </c>
      <c r="G4878" s="856">
        <v>0.15</v>
      </c>
      <c r="H4878" s="856">
        <f>G4878/1.1</f>
        <v>0.13636363636363635</v>
      </c>
      <c r="I4878" s="837">
        <f>IFERROR(VLOOKUP(D4878,BD_Datos!$M$1:$P$1014,3,FALSE),0)</f>
        <v>0.95</v>
      </c>
      <c r="J4878" s="851">
        <f>IFERROR(VLOOKUP(D4878,BD_Datos!$M$1:$P$1014,2,FALSE),0)</f>
        <v>0.04</v>
      </c>
      <c r="K4878" s="861">
        <f>J4878*E4878</f>
        <v>0.04</v>
      </c>
    </row>
    <row r="4879" spans="2:11" ht="18.75" customHeight="1">
      <c r="B4879" s="841">
        <v>46124</v>
      </c>
      <c r="C4879" s="837" t="s">
        <v>1277</v>
      </c>
      <c r="D4879" s="837" t="s">
        <v>946</v>
      </c>
      <c r="E4879" s="837">
        <v>1</v>
      </c>
      <c r="F4879" s="851">
        <v>6.4</v>
      </c>
      <c r="G4879" s="856">
        <v>6.4</v>
      </c>
      <c r="H4879" s="856">
        <f>G4879/1.1</f>
        <v>5.8181818181818183</v>
      </c>
      <c r="I4879" s="837">
        <f>IFERROR(VLOOKUP(D4879,BD_Datos!$M$1:$P$1014,3,FALSE),0)</f>
        <v>0.24</v>
      </c>
      <c r="J4879" s="851">
        <f>IFERROR(VLOOKUP(D4879,BD_Datos!$M$1:$P$1014,2,FALSE),0)</f>
        <v>0.74</v>
      </c>
      <c r="K4879" s="861">
        <f>J4879*E4879</f>
        <v>0.74</v>
      </c>
    </row>
    <row r="4880" spans="2:11" ht="18.75" customHeight="1">
      <c r="B4880" s="841">
        <v>46124</v>
      </c>
      <c r="C4880" s="837" t="s">
        <v>1277</v>
      </c>
      <c r="D4880" s="837" t="s">
        <v>1001</v>
      </c>
      <c r="E4880" s="837">
        <v>1</v>
      </c>
      <c r="F4880" s="851">
        <v>5.7</v>
      </c>
      <c r="G4880" s="856">
        <v>5.7</v>
      </c>
      <c r="H4880" s="856">
        <f>G4880/1.1</f>
        <v>5.1818181818181817</v>
      </c>
      <c r="I4880" s="837">
        <f>IFERROR(VLOOKUP(D4880,BD_Datos!$M$1:$P$1014,3,FALSE),0)</f>
        <v>0.23</v>
      </c>
      <c r="J4880" s="851">
        <f>IFERROR(VLOOKUP(D4880,BD_Datos!$M$1:$P$1014,2,FALSE),0)</f>
        <v>0.68</v>
      </c>
      <c r="K4880" s="861">
        <f>J4880*E4880</f>
        <v>0.68</v>
      </c>
    </row>
    <row r="4881" spans="2:11" ht="18.75" customHeight="1">
      <c r="B4881" s="841">
        <v>46124</v>
      </c>
      <c r="C4881" s="837" t="s">
        <v>247</v>
      </c>
      <c r="D4881" s="837" t="s">
        <v>246</v>
      </c>
      <c r="E4881" s="837">
        <v>1</v>
      </c>
      <c r="F4881" s="851">
        <v>1.7</v>
      </c>
      <c r="G4881" s="856">
        <v>1.7</v>
      </c>
      <c r="H4881" s="856">
        <f>G4881/1.1</f>
        <v>1.5454545454545452</v>
      </c>
      <c r="I4881" s="837">
        <f>IFERROR(VLOOKUP(D4881,BD_Datos!$M$1:$P$1014,3,FALSE),0)</f>
        <v>0.26</v>
      </c>
      <c r="J4881" s="851">
        <f>IFERROR(VLOOKUP(D4881,BD_Datos!$M$1:$P$1014,2,FALSE),0)</f>
        <v>0.19</v>
      </c>
      <c r="K4881" s="861">
        <f>J4881*E4881</f>
        <v>0.19</v>
      </c>
    </row>
    <row r="4882" spans="2:11" ht="18.75" customHeight="1">
      <c r="B4882" s="841">
        <v>46124</v>
      </c>
      <c r="C4882" s="837" t="s">
        <v>247</v>
      </c>
      <c r="D4882" s="837" t="s">
        <v>260</v>
      </c>
      <c r="E4882" s="837">
        <v>1</v>
      </c>
      <c r="F4882" s="851">
        <v>1.4</v>
      </c>
      <c r="G4882" s="856">
        <v>1.4</v>
      </c>
      <c r="H4882" s="856">
        <f>G4882/1.1</f>
        <v>1.2727272727272725</v>
      </c>
      <c r="I4882" s="837">
        <f>IFERROR(VLOOKUP(D4882,BD_Datos!$M$1:$P$1014,3,FALSE),0)</f>
        <v>0.21</v>
      </c>
      <c r="J4882" s="851">
        <f>IFERROR(VLOOKUP(D4882,BD_Datos!$M$1:$P$1014,2,FALSE),0)</f>
        <v>0.25</v>
      </c>
      <c r="K4882" s="861">
        <f>J4882*E4882</f>
        <v>0.25</v>
      </c>
    </row>
    <row r="4883" spans="2:11" ht="18.75" customHeight="1">
      <c r="B4883" s="841">
        <v>46124</v>
      </c>
      <c r="C4883" s="837" t="s">
        <v>1277</v>
      </c>
      <c r="D4883" s="837" t="s">
        <v>1283</v>
      </c>
      <c r="E4883" s="837">
        <v>1</v>
      </c>
      <c r="F4883" s="851">
        <v>4.5999999999999996</v>
      </c>
      <c r="G4883" s="856">
        <v>4.5999999999999996</v>
      </c>
      <c r="H4883" s="856">
        <f>G4883/1.1</f>
        <v>4.1818181818181808</v>
      </c>
      <c r="I4883" s="837">
        <f>IFERROR(VLOOKUP(D4883,BD_Datos!$M$1:$P$1014,3,FALSE),0)</f>
        <v>0</v>
      </c>
      <c r="J4883" s="851">
        <f>IFERROR(VLOOKUP(D4883,BD_Datos!$M$1:$P$1014,2,FALSE),0)</f>
        <v>0</v>
      </c>
      <c r="K4883" s="861">
        <f>J4883*E4883</f>
        <v>0</v>
      </c>
    </row>
    <row r="4884" spans="2:11" ht="18.75" customHeight="1">
      <c r="B4884" s="841">
        <v>46124</v>
      </c>
      <c r="C4884" s="837" t="s">
        <v>247</v>
      </c>
      <c r="D4884" s="837" t="s">
        <v>248</v>
      </c>
      <c r="E4884" s="837">
        <v>2</v>
      </c>
      <c r="F4884" s="851">
        <v>1.5</v>
      </c>
      <c r="G4884" s="856">
        <v>3</v>
      </c>
      <c r="H4884" s="856">
        <f>G4884/1.1</f>
        <v>2.7272727272727271</v>
      </c>
      <c r="I4884" s="837">
        <f>IFERROR(VLOOKUP(D4884,BD_Datos!$M$1:$P$1014,3,FALSE),0)</f>
        <v>0.24</v>
      </c>
      <c r="J4884" s="851">
        <f>IFERROR(VLOOKUP(D4884,BD_Datos!$M$1:$P$1014,2,FALSE),0)</f>
        <v>0.16</v>
      </c>
      <c r="K4884" s="861">
        <f>J4884*E4884</f>
        <v>0.32</v>
      </c>
    </row>
    <row r="4885" spans="2:11" ht="18.75" customHeight="1">
      <c r="B4885" s="841">
        <v>46124</v>
      </c>
      <c r="C4885" s="837" t="s">
        <v>247</v>
      </c>
      <c r="D4885" s="837" t="s">
        <v>246</v>
      </c>
      <c r="E4885" s="837">
        <v>1</v>
      </c>
      <c r="F4885" s="851">
        <v>1.7</v>
      </c>
      <c r="G4885" s="856">
        <v>1.7</v>
      </c>
      <c r="H4885" s="856">
        <f>G4885/1.1</f>
        <v>1.5454545454545452</v>
      </c>
      <c r="I4885" s="837">
        <f>IFERROR(VLOOKUP(D4885,BD_Datos!$M$1:$P$1014,3,FALSE),0)</f>
        <v>0.26</v>
      </c>
      <c r="J4885" s="851">
        <f>IFERROR(VLOOKUP(D4885,BD_Datos!$M$1:$P$1014,2,FALSE),0)</f>
        <v>0.19</v>
      </c>
      <c r="K4885" s="861">
        <f>J4885*E4885</f>
        <v>0.19</v>
      </c>
    </row>
    <row r="4886" spans="2:11" ht="18.75" customHeight="1">
      <c r="B4886" s="841">
        <v>46124</v>
      </c>
      <c r="C4886" s="837" t="s">
        <v>1277</v>
      </c>
      <c r="D4886" s="837" t="s">
        <v>1001</v>
      </c>
      <c r="E4886" s="837">
        <v>2</v>
      </c>
      <c r="F4886" s="851">
        <v>5.7</v>
      </c>
      <c r="G4886" s="856">
        <v>11.4</v>
      </c>
      <c r="H4886" s="856">
        <f>G4886/1.1</f>
        <v>10.363636363636363</v>
      </c>
      <c r="I4886" s="837">
        <f>IFERROR(VLOOKUP(D4886,BD_Datos!$M$1:$P$1014,3,FALSE),0)</f>
        <v>0.23</v>
      </c>
      <c r="J4886" s="851">
        <f>IFERROR(VLOOKUP(D4886,BD_Datos!$M$1:$P$1014,2,FALSE),0)</f>
        <v>0.68</v>
      </c>
      <c r="K4886" s="861">
        <f>J4886*E4886</f>
        <v>1.36</v>
      </c>
    </row>
    <row r="4887" spans="2:11" ht="18.75" customHeight="1">
      <c r="B4887" s="841">
        <v>46124</v>
      </c>
      <c r="C4887" s="837" t="s">
        <v>247</v>
      </c>
      <c r="D4887" s="837" t="s">
        <v>248</v>
      </c>
      <c r="E4887" s="837">
        <v>1</v>
      </c>
      <c r="F4887" s="851">
        <v>1.5</v>
      </c>
      <c r="G4887" s="856">
        <v>1.5</v>
      </c>
      <c r="H4887" s="856">
        <f>G4887/1.1</f>
        <v>1.3636363636363635</v>
      </c>
      <c r="I4887" s="837">
        <f>IFERROR(VLOOKUP(D4887,BD_Datos!$M$1:$P$1014,3,FALSE),0)</f>
        <v>0.24</v>
      </c>
      <c r="J4887" s="851">
        <f>IFERROR(VLOOKUP(D4887,BD_Datos!$M$1:$P$1014,2,FALSE),0)</f>
        <v>0.16</v>
      </c>
      <c r="K4887" s="861">
        <f>J4887*E4887</f>
        <v>0.16</v>
      </c>
    </row>
    <row r="4888" spans="2:11" ht="18.75" customHeight="1">
      <c r="B4888" s="841">
        <v>46124</v>
      </c>
      <c r="C4888" s="837" t="s">
        <v>247</v>
      </c>
      <c r="D4888" s="837" t="s">
        <v>248</v>
      </c>
      <c r="E4888" s="837">
        <v>2</v>
      </c>
      <c r="F4888" s="851">
        <v>1.5</v>
      </c>
      <c r="G4888" s="856">
        <v>3</v>
      </c>
      <c r="H4888" s="856">
        <f>G4888/1.1</f>
        <v>2.7272727272727271</v>
      </c>
      <c r="I4888" s="837">
        <f>IFERROR(VLOOKUP(D4888,BD_Datos!$M$1:$P$1014,3,FALSE),0)</f>
        <v>0.24</v>
      </c>
      <c r="J4888" s="851">
        <f>IFERROR(VLOOKUP(D4888,BD_Datos!$M$1:$P$1014,2,FALSE),0)</f>
        <v>0.16</v>
      </c>
      <c r="K4888" s="861">
        <f>J4888*E4888</f>
        <v>0.32</v>
      </c>
    </row>
    <row r="4889" spans="2:11" ht="18.75" customHeight="1">
      <c r="B4889" s="841">
        <v>46124</v>
      </c>
      <c r="C4889" s="837" t="s">
        <v>251</v>
      </c>
      <c r="D4889" s="837" t="s">
        <v>708</v>
      </c>
      <c r="E4889" s="837">
        <v>1</v>
      </c>
      <c r="F4889" s="851">
        <v>1.95</v>
      </c>
      <c r="G4889" s="856">
        <v>1.95</v>
      </c>
      <c r="H4889" s="856">
        <f>G4889/1.1</f>
        <v>1.7727272727272725</v>
      </c>
      <c r="I4889" s="837">
        <f>IFERROR(VLOOKUP(D4889,BD_Datos!$M$1:$P$1014,3,FALSE),0)</f>
        <v>0.22</v>
      </c>
      <c r="J4889" s="851">
        <f>IFERROR(VLOOKUP(D4889,BD_Datos!$M$1:$P$1014,2,FALSE),0)</f>
        <v>0.11</v>
      </c>
      <c r="K4889" s="861">
        <f>J4889*E4889</f>
        <v>0.11</v>
      </c>
    </row>
    <row r="4890" spans="2:11" ht="18.75" customHeight="1">
      <c r="B4890" s="841">
        <v>46124</v>
      </c>
      <c r="C4890" s="837" t="s">
        <v>247</v>
      </c>
      <c r="D4890" s="837" t="s">
        <v>260</v>
      </c>
      <c r="E4890" s="837">
        <v>1</v>
      </c>
      <c r="F4890" s="851">
        <v>1.4</v>
      </c>
      <c r="G4890" s="856">
        <v>1.4</v>
      </c>
      <c r="H4890" s="856">
        <f>G4890/1.1</f>
        <v>1.2727272727272725</v>
      </c>
      <c r="I4890" s="837">
        <f>IFERROR(VLOOKUP(D4890,BD_Datos!$M$1:$P$1014,3,FALSE),0)</f>
        <v>0.21</v>
      </c>
      <c r="J4890" s="851">
        <f>IFERROR(VLOOKUP(D4890,BD_Datos!$M$1:$P$1014,2,FALSE),0)</f>
        <v>0.25</v>
      </c>
      <c r="K4890" s="861">
        <f>J4890*E4890</f>
        <v>0.25</v>
      </c>
    </row>
    <row r="4891" spans="2:11" ht="18.75" customHeight="1">
      <c r="B4891" s="841">
        <v>46124</v>
      </c>
      <c r="C4891" s="837" t="s">
        <v>247</v>
      </c>
      <c r="D4891" s="837" t="s">
        <v>246</v>
      </c>
      <c r="E4891" s="837">
        <v>1</v>
      </c>
      <c r="F4891" s="851">
        <v>1.7</v>
      </c>
      <c r="G4891" s="856">
        <v>1.7</v>
      </c>
      <c r="H4891" s="856">
        <f>G4891/1.1</f>
        <v>1.5454545454545452</v>
      </c>
      <c r="I4891" s="837">
        <f>IFERROR(VLOOKUP(D4891,BD_Datos!$M$1:$P$1014,3,FALSE),0)</f>
        <v>0.26</v>
      </c>
      <c r="J4891" s="851">
        <f>IFERROR(VLOOKUP(D4891,BD_Datos!$M$1:$P$1014,2,FALSE),0)</f>
        <v>0.19</v>
      </c>
      <c r="K4891" s="861">
        <f>J4891*E4891</f>
        <v>0.19</v>
      </c>
    </row>
    <row r="4892" spans="2:11" ht="18.75" customHeight="1">
      <c r="B4892" s="841">
        <v>46124</v>
      </c>
      <c r="C4892" s="837" t="s">
        <v>1284</v>
      </c>
      <c r="D4892" s="837" t="s">
        <v>1065</v>
      </c>
      <c r="E4892" s="837">
        <v>1</v>
      </c>
      <c r="F4892" s="851">
        <v>2.9</v>
      </c>
      <c r="G4892" s="856">
        <v>2.9</v>
      </c>
      <c r="H4892" s="856">
        <f>G4892/1.1</f>
        <v>2.6363636363636362</v>
      </c>
      <c r="I4892" s="837">
        <f>IFERROR(VLOOKUP(D4892,BD_Datos!$M$1:$P$1014,3,FALSE),0)</f>
        <v>0.28000000000000003</v>
      </c>
      <c r="J4892" s="851">
        <f>IFERROR(VLOOKUP(D4892,BD_Datos!$M$1:$P$1014,2,FALSE),0)</f>
        <v>0.5</v>
      </c>
      <c r="K4892" s="861">
        <f>J4892*E4892</f>
        <v>0.5</v>
      </c>
    </row>
    <row r="4893" spans="2:11" ht="18.75" customHeight="1">
      <c r="B4893" s="841">
        <v>46124</v>
      </c>
      <c r="C4893" s="837" t="s">
        <v>251</v>
      </c>
      <c r="D4893" s="837" t="s">
        <v>1285</v>
      </c>
      <c r="E4893" s="837">
        <v>1</v>
      </c>
      <c r="F4893" s="851">
        <v>3.1</v>
      </c>
      <c r="G4893" s="856">
        <v>3.1</v>
      </c>
      <c r="H4893" s="856">
        <f>G4893/1.1</f>
        <v>2.8181818181818179</v>
      </c>
      <c r="I4893" s="837">
        <f>IFERROR(VLOOKUP(D4893,BD_Datos!$M$1:$P$1014,3,FALSE),0)</f>
        <v>0</v>
      </c>
      <c r="J4893" s="851">
        <f>IFERROR(VLOOKUP(D4893,BD_Datos!$M$1:$P$1014,2,FALSE),0)</f>
        <v>0</v>
      </c>
      <c r="K4893" s="861">
        <f>J4893*E4893</f>
        <v>0</v>
      </c>
    </row>
    <row r="4894" spans="2:11" ht="18.75" customHeight="1">
      <c r="B4894" s="841">
        <v>46124</v>
      </c>
      <c r="C4894" s="837" t="s">
        <v>251</v>
      </c>
      <c r="D4894" s="837" t="s">
        <v>265</v>
      </c>
      <c r="E4894" s="837">
        <v>1</v>
      </c>
      <c r="F4894" s="851">
        <v>2.65</v>
      </c>
      <c r="G4894" s="856">
        <v>2.65</v>
      </c>
      <c r="H4894" s="856">
        <f>G4894/1.1</f>
        <v>2.4090909090909087</v>
      </c>
      <c r="I4894" s="837">
        <f>IFERROR(VLOOKUP(D4894,BD_Datos!$M$1:$P$1014,3,FALSE),0)</f>
        <v>0.32</v>
      </c>
      <c r="J4894" s="851">
        <f>IFERROR(VLOOKUP(D4894,BD_Datos!$M$1:$P$1014,2,FALSE),0)</f>
        <v>0.53</v>
      </c>
      <c r="K4894" s="861">
        <f>J4894*E4894</f>
        <v>0.53</v>
      </c>
    </row>
    <row r="4895" spans="2:11" ht="18.75" customHeight="1">
      <c r="B4895" s="841">
        <v>46124</v>
      </c>
      <c r="C4895" s="837" t="s">
        <v>251</v>
      </c>
      <c r="D4895" s="837" t="s">
        <v>957</v>
      </c>
      <c r="E4895" s="837">
        <v>1</v>
      </c>
      <c r="F4895" s="851">
        <v>2.65</v>
      </c>
      <c r="G4895" s="856">
        <v>2.65</v>
      </c>
      <c r="H4895" s="856">
        <f>G4895/1.1</f>
        <v>2.4090909090909087</v>
      </c>
      <c r="I4895" s="837">
        <f>IFERROR(VLOOKUP(D4895,BD_Datos!$M$1:$P$1014,3,FALSE),0)</f>
        <v>0</v>
      </c>
      <c r="J4895" s="851">
        <f>IFERROR(VLOOKUP(D4895,BD_Datos!$M$1:$P$1014,2,FALSE),0)</f>
        <v>0</v>
      </c>
      <c r="K4895" s="861">
        <f>J4895*E4895</f>
        <v>0</v>
      </c>
    </row>
    <row r="4896" spans="2:11" ht="18.75" customHeight="1">
      <c r="B4896" s="841">
        <v>46124</v>
      </c>
      <c r="C4896" s="837" t="s">
        <v>256</v>
      </c>
      <c r="D4896" s="837" t="s">
        <v>255</v>
      </c>
      <c r="E4896" s="837">
        <v>1</v>
      </c>
      <c r="F4896" s="851">
        <v>5.6</v>
      </c>
      <c r="G4896" s="856">
        <v>5.6</v>
      </c>
      <c r="H4896" s="856">
        <f>G4896/1.1</f>
        <v>5.0909090909090899</v>
      </c>
      <c r="I4896" s="837">
        <f>IFERROR(VLOOKUP(D4896,BD_Datos!$M$1:$P$1014,3,FALSE),0)</f>
        <v>0.2</v>
      </c>
      <c r="J4896" s="851">
        <f>IFERROR(VLOOKUP(D4896,BD_Datos!$M$1:$P$1014,2,FALSE),0)</f>
        <v>0.96</v>
      </c>
      <c r="K4896" s="861">
        <f>J4896*E4896</f>
        <v>0.96</v>
      </c>
    </row>
    <row r="4897" spans="2:11" ht="18.75" customHeight="1">
      <c r="B4897" s="841">
        <v>46124</v>
      </c>
      <c r="C4897" s="837" t="s">
        <v>573</v>
      </c>
      <c r="D4897" s="837" t="s">
        <v>1286</v>
      </c>
      <c r="E4897" s="837">
        <v>1</v>
      </c>
      <c r="F4897" s="851">
        <v>10</v>
      </c>
      <c r="G4897" s="856">
        <v>10</v>
      </c>
      <c r="H4897" s="856">
        <f>G4897/1.1</f>
        <v>9.0909090909090899</v>
      </c>
      <c r="I4897" s="837">
        <f>IFERROR(VLOOKUP(D4897,BD_Datos!$M$1:$P$1014,3,FALSE),0)</f>
        <v>0</v>
      </c>
      <c r="J4897" s="851">
        <f>IFERROR(VLOOKUP(D4897,BD_Datos!$M$1:$P$1014,2,FALSE),0)</f>
        <v>0</v>
      </c>
      <c r="K4897" s="861">
        <f>J4897*E4897</f>
        <v>0</v>
      </c>
    </row>
    <row r="4898" spans="2:11" ht="18.75" customHeight="1">
      <c r="B4898" s="841">
        <v>46124</v>
      </c>
      <c r="C4898" s="837" t="s">
        <v>1287</v>
      </c>
      <c r="D4898" s="837" t="s">
        <v>677</v>
      </c>
      <c r="E4898" s="837">
        <v>1</v>
      </c>
      <c r="F4898" s="851">
        <v>1.95</v>
      </c>
      <c r="G4898" s="856">
        <v>1.95</v>
      </c>
      <c r="H4898" s="856">
        <f>G4898/1.1</f>
        <v>1.7727272727272725</v>
      </c>
      <c r="I4898" s="837">
        <f>IFERROR(VLOOKUP(D4898,BD_Datos!$M$1:$P$1014,3,FALSE),0)</f>
        <v>0.24</v>
      </c>
      <c r="J4898" s="851">
        <f>IFERROR(VLOOKUP(D4898,BD_Datos!$M$1:$P$1014,2,FALSE),0)</f>
        <v>0.31</v>
      </c>
      <c r="K4898" s="861">
        <f>J4898*E4898</f>
        <v>0.31</v>
      </c>
    </row>
    <row r="4899" spans="2:11" ht="18.75" customHeight="1">
      <c r="B4899" s="841">
        <v>46124</v>
      </c>
      <c r="C4899" s="837" t="s">
        <v>251</v>
      </c>
      <c r="D4899" s="837" t="s">
        <v>957</v>
      </c>
      <c r="E4899" s="837">
        <v>1</v>
      </c>
      <c r="F4899" s="851">
        <v>2.65</v>
      </c>
      <c r="G4899" s="856">
        <v>2.65</v>
      </c>
      <c r="H4899" s="856">
        <f>G4899/1.1</f>
        <v>2.4090909090909087</v>
      </c>
      <c r="I4899" s="837">
        <f>IFERROR(VLOOKUP(D4899,BD_Datos!$M$1:$P$1014,3,FALSE),0)</f>
        <v>0</v>
      </c>
      <c r="J4899" s="851">
        <f>IFERROR(VLOOKUP(D4899,BD_Datos!$M$1:$P$1014,2,FALSE),0)</f>
        <v>0</v>
      </c>
      <c r="K4899" s="861">
        <f>J4899*E4899</f>
        <v>0</v>
      </c>
    </row>
    <row r="4900" spans="2:11" ht="18.75" customHeight="1">
      <c r="B4900" s="841">
        <v>46124</v>
      </c>
      <c r="C4900" s="837" t="s">
        <v>1288</v>
      </c>
      <c r="D4900" s="837" t="s">
        <v>1281</v>
      </c>
      <c r="E4900" s="837">
        <v>1</v>
      </c>
      <c r="F4900" s="851">
        <v>3.5</v>
      </c>
      <c r="G4900" s="856">
        <v>3.5</v>
      </c>
      <c r="H4900" s="856">
        <f>G4900/1.1</f>
        <v>3.1818181818181817</v>
      </c>
      <c r="I4900" s="837">
        <f>IFERROR(VLOOKUP(D4900,BD_Datos!$M$1:$P$1014,3,FALSE),0)</f>
        <v>0</v>
      </c>
      <c r="J4900" s="851">
        <f>IFERROR(VLOOKUP(D4900,BD_Datos!$M$1:$P$1014,2,FALSE),0)</f>
        <v>0</v>
      </c>
      <c r="K4900" s="861">
        <f>J4900*E4900</f>
        <v>0</v>
      </c>
    </row>
    <row r="4901" spans="2:11" ht="18.75" customHeight="1">
      <c r="B4901" s="841">
        <v>46124</v>
      </c>
      <c r="C4901" s="837" t="s">
        <v>256</v>
      </c>
      <c r="D4901" s="837" t="s">
        <v>683</v>
      </c>
      <c r="E4901" s="837">
        <v>1</v>
      </c>
      <c r="F4901" s="851">
        <v>12</v>
      </c>
      <c r="G4901" s="856">
        <v>12</v>
      </c>
      <c r="H4901" s="856">
        <f>G4901/1.1</f>
        <v>10.909090909090908</v>
      </c>
      <c r="I4901" s="837">
        <f>IFERROR(VLOOKUP(D4901,BD_Datos!$M$1:$P$1014,3,FALSE),0)</f>
        <v>0.24</v>
      </c>
      <c r="J4901" s="851">
        <f>IFERROR(VLOOKUP(D4901,BD_Datos!$M$1:$P$1014,2,FALSE),0)</f>
        <v>2.52</v>
      </c>
      <c r="K4901" s="861">
        <f>J4901*E4901</f>
        <v>2.52</v>
      </c>
    </row>
    <row r="4902" spans="2:11" ht="18.75" customHeight="1">
      <c r="B4902" s="841">
        <v>46124</v>
      </c>
      <c r="C4902" s="837" t="s">
        <v>256</v>
      </c>
      <c r="D4902" s="837" t="s">
        <v>255</v>
      </c>
      <c r="E4902" s="837">
        <v>1</v>
      </c>
      <c r="F4902" s="851">
        <v>5.6</v>
      </c>
      <c r="G4902" s="856">
        <v>5.6</v>
      </c>
      <c r="H4902" s="856">
        <f>G4902/1.1</f>
        <v>5.0909090909090899</v>
      </c>
      <c r="I4902" s="837">
        <f>IFERROR(VLOOKUP(D4902,BD_Datos!$M$1:$P$1014,3,FALSE),0)</f>
        <v>0.2</v>
      </c>
      <c r="J4902" s="851">
        <f>IFERROR(VLOOKUP(D4902,BD_Datos!$M$1:$P$1014,2,FALSE),0)</f>
        <v>0.96</v>
      </c>
      <c r="K4902" s="861">
        <f>J4902*E4902</f>
        <v>0.96</v>
      </c>
    </row>
    <row r="4903" spans="2:11" ht="18.75" customHeight="1">
      <c r="B4903" s="841">
        <v>46124</v>
      </c>
      <c r="C4903" s="837" t="s">
        <v>256</v>
      </c>
      <c r="D4903" s="837" t="s">
        <v>262</v>
      </c>
      <c r="E4903" s="837">
        <v>1</v>
      </c>
      <c r="F4903" s="851">
        <v>11.9</v>
      </c>
      <c r="G4903" s="856">
        <v>11.9</v>
      </c>
      <c r="H4903" s="856">
        <f>G4903/1.1</f>
        <v>10.818181818181818</v>
      </c>
      <c r="I4903" s="837">
        <f>IFERROR(VLOOKUP(D4903,BD_Datos!$M$1:$P$1014,3,FALSE),0)</f>
        <v>0.28000000000000003</v>
      </c>
      <c r="J4903" s="851">
        <f>IFERROR(VLOOKUP(D4903,BD_Datos!$M$1:$P$1014,2,FALSE),0)</f>
        <v>2.69</v>
      </c>
      <c r="K4903" s="861">
        <f>J4903*E4903</f>
        <v>2.69</v>
      </c>
    </row>
    <row r="4904" spans="2:11" ht="18.75" customHeight="1">
      <c r="B4904" s="841">
        <v>46124</v>
      </c>
      <c r="C4904" s="837" t="s">
        <v>251</v>
      </c>
      <c r="D4904" s="837" t="s">
        <v>250</v>
      </c>
      <c r="E4904" s="837">
        <v>1</v>
      </c>
      <c r="F4904" s="851">
        <v>1.8</v>
      </c>
      <c r="G4904" s="856">
        <v>1.8</v>
      </c>
      <c r="H4904" s="856">
        <f>G4904/1.1</f>
        <v>1.6363636363636362</v>
      </c>
      <c r="I4904" s="837">
        <f>IFERROR(VLOOKUP(D4904,BD_Datos!$M$1:$P$1014,3,FALSE),0)</f>
        <v>0.21</v>
      </c>
      <c r="J4904" s="851">
        <f>IFERROR(VLOOKUP(D4904,BD_Datos!$M$1:$P$1014,2,FALSE),0)</f>
        <v>0.05</v>
      </c>
      <c r="K4904" s="861">
        <f>J4904*E4904</f>
        <v>0.05</v>
      </c>
    </row>
    <row r="4905" spans="2:11" ht="18.75" customHeight="1">
      <c r="B4905" s="841">
        <v>46124</v>
      </c>
      <c r="C4905" s="837" t="s">
        <v>251</v>
      </c>
      <c r="D4905" s="837" t="s">
        <v>926</v>
      </c>
      <c r="E4905" s="837">
        <v>1</v>
      </c>
      <c r="F4905" s="851">
        <v>2.0499999999999998</v>
      </c>
      <c r="G4905" s="856">
        <v>2.0499999999999998</v>
      </c>
      <c r="H4905" s="856">
        <f>G4905/1.1</f>
        <v>1.8636363636363633</v>
      </c>
      <c r="I4905" s="837">
        <f>IFERROR(VLOOKUP(D4905,BD_Datos!$M$1:$P$1014,3,FALSE),0)</f>
        <v>0.28999999999999998</v>
      </c>
      <c r="J4905" s="851">
        <f>IFERROR(VLOOKUP(D4905,BD_Datos!$M$1:$P$1014,2,FALSE),0)</f>
        <v>0.53</v>
      </c>
      <c r="K4905" s="861">
        <f>J4905*E4905</f>
        <v>0.53</v>
      </c>
    </row>
    <row r="4906" spans="2:11" ht="18.75" customHeight="1">
      <c r="B4906" s="841">
        <v>46124</v>
      </c>
      <c r="C4906" s="837" t="s">
        <v>251</v>
      </c>
      <c r="D4906" s="837" t="s">
        <v>945</v>
      </c>
      <c r="E4906" s="837">
        <v>1</v>
      </c>
      <c r="F4906" s="851">
        <v>5</v>
      </c>
      <c r="G4906" s="856">
        <v>5</v>
      </c>
      <c r="H4906" s="856">
        <f>G4906/1.1</f>
        <v>4.545454545454545</v>
      </c>
      <c r="I4906" s="837">
        <f>IFERROR(VLOOKUP(D4906,BD_Datos!$M$1:$P$1014,3,FALSE),0)</f>
        <v>0.28000000000000003</v>
      </c>
      <c r="J4906" s="851">
        <f>IFERROR(VLOOKUP(D4906,BD_Datos!$M$1:$P$1014,2,FALSE),0)</f>
        <v>0.52</v>
      </c>
      <c r="K4906" s="861">
        <f>J4906*E4906</f>
        <v>0.52</v>
      </c>
    </row>
    <row r="4907" spans="2:11" ht="18.75" customHeight="1">
      <c r="B4907" s="841">
        <v>46124</v>
      </c>
      <c r="C4907" s="837" t="s">
        <v>256</v>
      </c>
      <c r="D4907" s="837" t="s">
        <v>1289</v>
      </c>
      <c r="E4907" s="837">
        <v>1</v>
      </c>
      <c r="F4907" s="851">
        <v>10.3</v>
      </c>
      <c r="G4907" s="856">
        <v>10.3</v>
      </c>
      <c r="H4907" s="856">
        <f>G4907/1.1</f>
        <v>9.3636363636363633</v>
      </c>
      <c r="I4907" s="837">
        <f>IFERROR(VLOOKUP(D4907,BD_Datos!$M$1:$P$1014,3,FALSE),0)</f>
        <v>0</v>
      </c>
      <c r="J4907" s="851">
        <f>IFERROR(VLOOKUP(D4907,BD_Datos!$M$1:$P$1014,2,FALSE),0)</f>
        <v>0</v>
      </c>
      <c r="K4907" s="861">
        <f>J4907*E4907</f>
        <v>0</v>
      </c>
    </row>
    <row r="4908" spans="2:11" ht="18.75" customHeight="1">
      <c r="B4908" s="841">
        <v>46124</v>
      </c>
      <c r="C4908" s="837" t="s">
        <v>256</v>
      </c>
      <c r="D4908" s="837" t="s">
        <v>1290</v>
      </c>
      <c r="E4908" s="837">
        <v>1</v>
      </c>
      <c r="F4908" s="851">
        <v>5.6</v>
      </c>
      <c r="G4908" s="856">
        <v>5.6</v>
      </c>
      <c r="H4908" s="856">
        <f>G4908/1.1</f>
        <v>5.0909090909090899</v>
      </c>
      <c r="I4908" s="837">
        <f>IFERROR(VLOOKUP(D4908,BD_Datos!$M$1:$P$1014,3,FALSE),0)</f>
        <v>0</v>
      </c>
      <c r="J4908" s="851">
        <f>IFERROR(VLOOKUP(D4908,BD_Datos!$M$1:$P$1014,2,FALSE),0)</f>
        <v>0</v>
      </c>
      <c r="K4908" s="861">
        <f>J4908*E4908</f>
        <v>0</v>
      </c>
    </row>
    <row r="4909" spans="2:11" ht="18.75" customHeight="1">
      <c r="B4909" s="841">
        <v>46124</v>
      </c>
      <c r="C4909" s="837" t="s">
        <v>256</v>
      </c>
      <c r="D4909" s="837" t="s">
        <v>255</v>
      </c>
      <c r="E4909" s="837">
        <v>1</v>
      </c>
      <c r="F4909" s="851">
        <v>10</v>
      </c>
      <c r="G4909" s="856">
        <v>10</v>
      </c>
      <c r="H4909" s="856">
        <f>G4909/1.1</f>
        <v>9.0909090909090899</v>
      </c>
      <c r="I4909" s="837">
        <f>IFERROR(VLOOKUP(D4909,BD_Datos!$M$1:$P$1014,3,FALSE),0)</f>
        <v>0.2</v>
      </c>
      <c r="J4909" s="851">
        <f>IFERROR(VLOOKUP(D4909,BD_Datos!$M$1:$P$1014,2,FALSE),0)</f>
        <v>0.96</v>
      </c>
      <c r="K4909" s="861">
        <f>J4909*E4909</f>
        <v>0.96</v>
      </c>
    </row>
    <row r="4910" spans="2:11" ht="18.75" customHeight="1">
      <c r="B4910" s="841">
        <v>46124</v>
      </c>
      <c r="C4910" s="837" t="s">
        <v>256</v>
      </c>
      <c r="D4910" s="837" t="s">
        <v>679</v>
      </c>
      <c r="E4910" s="837">
        <v>1</v>
      </c>
      <c r="F4910" s="851">
        <v>9.5</v>
      </c>
      <c r="G4910" s="856">
        <v>9.5</v>
      </c>
      <c r="H4910" s="856">
        <f>G4910/1.1</f>
        <v>8.6363636363636349</v>
      </c>
      <c r="I4910" s="837">
        <f>IFERROR(VLOOKUP(D4910,BD_Datos!$M$1:$P$1014,3,FALSE),0)</f>
        <v>0.28000000000000003</v>
      </c>
      <c r="J4910" s="851">
        <f>IFERROR(VLOOKUP(D4910,BD_Datos!$M$1:$P$1014,2,FALSE),0)</f>
        <v>2.34</v>
      </c>
      <c r="K4910" s="861">
        <f>J4910*E4910</f>
        <v>2.34</v>
      </c>
    </row>
    <row r="4911" spans="2:11" ht="18.75" customHeight="1">
      <c r="B4911" s="841">
        <v>46124</v>
      </c>
      <c r="C4911" s="837" t="s">
        <v>256</v>
      </c>
      <c r="D4911" s="837" t="s">
        <v>1291</v>
      </c>
      <c r="E4911" s="837">
        <v>1</v>
      </c>
      <c r="F4911" s="851">
        <v>9.5</v>
      </c>
      <c r="G4911" s="856">
        <v>9.5</v>
      </c>
      <c r="H4911" s="856">
        <f>G4911/1.1</f>
        <v>8.6363636363636349</v>
      </c>
      <c r="I4911" s="837">
        <f>IFERROR(VLOOKUP(D4911,BD_Datos!$M$1:$P$1014,3,FALSE),0)</f>
        <v>0</v>
      </c>
      <c r="J4911" s="851">
        <f>IFERROR(VLOOKUP(D4911,BD_Datos!$M$1:$P$1014,2,FALSE),0)</f>
        <v>0</v>
      </c>
      <c r="K4911" s="861">
        <f>J4911*E4911</f>
        <v>0</v>
      </c>
    </row>
    <row r="4912" spans="2:11" ht="18.75" customHeight="1">
      <c r="B4912" s="841">
        <v>46124</v>
      </c>
      <c r="C4912" s="837" t="s">
        <v>1288</v>
      </c>
      <c r="D4912" s="837" t="s">
        <v>1281</v>
      </c>
      <c r="E4912" s="837">
        <v>1</v>
      </c>
      <c r="F4912" s="851">
        <v>4</v>
      </c>
      <c r="G4912" s="856">
        <v>4</v>
      </c>
      <c r="H4912" s="856">
        <f>G4912/1.1</f>
        <v>3.6363636363636362</v>
      </c>
      <c r="I4912" s="837">
        <f>IFERROR(VLOOKUP(D4912,BD_Datos!$M$1:$P$1014,3,FALSE),0)</f>
        <v>0</v>
      </c>
      <c r="J4912" s="851">
        <f>IFERROR(VLOOKUP(D4912,BD_Datos!$M$1:$P$1014,2,FALSE),0)</f>
        <v>0</v>
      </c>
      <c r="K4912" s="861">
        <f>J4912*E4912</f>
        <v>0</v>
      </c>
    </row>
    <row r="4913" spans="2:11" ht="18.75" customHeight="1">
      <c r="B4913" s="841">
        <v>46124</v>
      </c>
      <c r="C4913" s="837" t="s">
        <v>275</v>
      </c>
      <c r="D4913" s="837" t="s">
        <v>1292</v>
      </c>
      <c r="E4913" s="837">
        <v>1</v>
      </c>
      <c r="F4913" s="851">
        <v>6.5</v>
      </c>
      <c r="G4913" s="856">
        <v>6.5</v>
      </c>
      <c r="H4913" s="856">
        <f>G4913/1.1</f>
        <v>5.9090909090909083</v>
      </c>
      <c r="I4913" s="837">
        <f>IFERROR(VLOOKUP(D4913,BD_Datos!$M$1:$P$1014,3,FALSE),0)</f>
        <v>0</v>
      </c>
      <c r="J4913" s="851">
        <f>IFERROR(VLOOKUP(D4913,BD_Datos!$M$1:$P$1014,2,FALSE),0)</f>
        <v>0</v>
      </c>
      <c r="K4913" s="861">
        <f>J4913*E4913</f>
        <v>0</v>
      </c>
    </row>
    <row r="4914" spans="2:11" ht="18.75" customHeight="1">
      <c r="B4914" s="841">
        <v>46124</v>
      </c>
      <c r="C4914" s="837" t="s">
        <v>275</v>
      </c>
      <c r="D4914" s="837" t="s">
        <v>1293</v>
      </c>
      <c r="E4914" s="837">
        <v>1</v>
      </c>
      <c r="F4914" s="851">
        <v>6.5</v>
      </c>
      <c r="G4914" s="856">
        <v>6.5</v>
      </c>
      <c r="H4914" s="856">
        <f>G4914/1.1</f>
        <v>5.9090909090909083</v>
      </c>
      <c r="I4914" s="837">
        <f>IFERROR(VLOOKUP(D4914,BD_Datos!$M$1:$P$1014,3,FALSE),0)</f>
        <v>0</v>
      </c>
      <c r="J4914" s="851">
        <f>IFERROR(VLOOKUP(D4914,BD_Datos!$M$1:$P$1014,2,FALSE),0)</f>
        <v>0</v>
      </c>
      <c r="K4914" s="861">
        <f>J4914*E4914</f>
        <v>0</v>
      </c>
    </row>
    <row r="4915" spans="2:11" ht="18.75" customHeight="1">
      <c r="B4915" s="841">
        <v>46124</v>
      </c>
      <c r="C4915" s="837" t="s">
        <v>275</v>
      </c>
      <c r="D4915" s="837" t="s">
        <v>682</v>
      </c>
      <c r="E4915" s="837">
        <v>1</v>
      </c>
      <c r="F4915" s="851">
        <v>6.5</v>
      </c>
      <c r="G4915" s="856">
        <v>6.5</v>
      </c>
      <c r="H4915" s="856">
        <f>G4915/1.1</f>
        <v>5.9090909090909083</v>
      </c>
      <c r="I4915" s="837">
        <f>IFERROR(VLOOKUP(D4915,BD_Datos!$M$1:$P$1014,3,FALSE),0)</f>
        <v>0.17</v>
      </c>
      <c r="J4915" s="851">
        <f>IFERROR(VLOOKUP(D4915,BD_Datos!$M$1:$P$1014,2,FALSE),0)</f>
        <v>0.81</v>
      </c>
      <c r="K4915" s="861">
        <f>J4915*E4915</f>
        <v>0.81</v>
      </c>
    </row>
    <row r="4916" spans="2:11" ht="18.75" customHeight="1">
      <c r="B4916" s="841">
        <v>46124</v>
      </c>
      <c r="C4916" s="837" t="s">
        <v>251</v>
      </c>
      <c r="D4916" s="837" t="s">
        <v>945</v>
      </c>
      <c r="E4916" s="837">
        <v>1</v>
      </c>
      <c r="F4916" s="851">
        <v>2.65</v>
      </c>
      <c r="G4916" s="856">
        <v>2.65</v>
      </c>
      <c r="H4916" s="856">
        <f>G4916/1.1</f>
        <v>2.4090909090909087</v>
      </c>
      <c r="I4916" s="837">
        <f>IFERROR(VLOOKUP(D4916,BD_Datos!$M$1:$P$1014,3,FALSE),0)</f>
        <v>0.28000000000000003</v>
      </c>
      <c r="J4916" s="851">
        <f>IFERROR(VLOOKUP(D4916,BD_Datos!$M$1:$P$1014,2,FALSE),0)</f>
        <v>0.52</v>
      </c>
      <c r="K4916" s="861">
        <f>J4916*E4916</f>
        <v>0.52</v>
      </c>
    </row>
    <row r="4917" spans="2:11" ht="18.75" customHeight="1">
      <c r="B4917" s="841">
        <v>46124</v>
      </c>
      <c r="C4917" s="837" t="s">
        <v>251</v>
      </c>
      <c r="D4917" s="837" t="s">
        <v>250</v>
      </c>
      <c r="E4917" s="837">
        <v>1</v>
      </c>
      <c r="F4917" s="851">
        <v>1.8</v>
      </c>
      <c r="G4917" s="856">
        <v>1.8</v>
      </c>
      <c r="H4917" s="856">
        <f>G4917/1.1</f>
        <v>1.6363636363636362</v>
      </c>
      <c r="I4917" s="837">
        <f>IFERROR(VLOOKUP(D4917,BD_Datos!$M$1:$P$1014,3,FALSE),0)</f>
        <v>0.21</v>
      </c>
      <c r="J4917" s="851">
        <f>IFERROR(VLOOKUP(D4917,BD_Datos!$M$1:$P$1014,2,FALSE),0)</f>
        <v>0.05</v>
      </c>
      <c r="K4917" s="861">
        <f>J4917*E4917</f>
        <v>0.05</v>
      </c>
    </row>
    <row r="4918" spans="2:11" ht="18.75" customHeight="1">
      <c r="B4918" s="841">
        <v>46124</v>
      </c>
      <c r="C4918" s="837" t="s">
        <v>275</v>
      </c>
      <c r="D4918" s="837" t="s">
        <v>951</v>
      </c>
      <c r="E4918" s="837">
        <v>1</v>
      </c>
      <c r="F4918" s="851">
        <v>5.25</v>
      </c>
      <c r="G4918" s="856">
        <v>5.25</v>
      </c>
      <c r="H4918" s="856">
        <f>G4918/1.1</f>
        <v>4.7727272727272725</v>
      </c>
      <c r="I4918" s="837">
        <f>IFERROR(VLOOKUP(D4918,BD_Datos!$M$1:$P$1014,3,FALSE),0)</f>
        <v>0.21</v>
      </c>
      <c r="J4918" s="851">
        <f>IFERROR(VLOOKUP(D4918,BD_Datos!$M$1:$P$1014,2,FALSE),0)</f>
        <v>0.87</v>
      </c>
      <c r="K4918" s="861">
        <f>J4918*E4918</f>
        <v>0.87</v>
      </c>
    </row>
    <row r="4919" spans="2:11" ht="19" customHeight="1">
      <c r="B4919" s="464">
        <v>46124</v>
      </c>
      <c r="C4919" s="436" t="s">
        <v>275</v>
      </c>
      <c r="D4919" s="436" t="s">
        <v>682</v>
      </c>
      <c r="E4919" s="436">
        <v>1</v>
      </c>
      <c r="F4919" s="465">
        <v>5.25</v>
      </c>
      <c r="G4919" s="466">
        <v>5.25</v>
      </c>
      <c r="H4919" s="466">
        <f>G4919/1.1</f>
        <v>4.7727272727272725</v>
      </c>
      <c r="I4919" s="436">
        <f>IFERROR(VLOOKUP(D4919,BD_Datos!$M$1:$P$1014,3,FALSE),0)</f>
        <v>0.17</v>
      </c>
      <c r="J4919" s="465">
        <f>IFERROR(VLOOKUP(D4919,BD_Datos!$M$1:$P$1014,2,FALSE),0)</f>
        <v>0.81</v>
      </c>
      <c r="K4919" s="465">
        <f>J4919*E4919</f>
        <v>0.81</v>
      </c>
    </row>
    <row r="4920" spans="2:11" ht="19" customHeight="1">
      <c r="B4920" s="464">
        <v>46124</v>
      </c>
      <c r="C4920" s="436" t="s">
        <v>253</v>
      </c>
      <c r="D4920" s="436" t="s">
        <v>1264</v>
      </c>
      <c r="E4920" s="436">
        <v>2</v>
      </c>
      <c r="F4920" s="465">
        <v>2.65</v>
      </c>
      <c r="G4920" s="466">
        <v>5.3</v>
      </c>
      <c r="H4920" s="466">
        <f>G4920/1.1</f>
        <v>4.8181818181818175</v>
      </c>
      <c r="I4920" s="436">
        <f>IFERROR(VLOOKUP(D4920,BD_Datos!$M$1:$P$1014,3,FALSE),0)</f>
        <v>0.33</v>
      </c>
      <c r="J4920" s="465">
        <f>IFERROR(VLOOKUP(D4920,BD_Datos!$M$1:$P$1014,2,FALSE),0)</f>
        <v>0.8</v>
      </c>
      <c r="K4920" s="465">
        <f>J4920*E4920</f>
        <v>1.6</v>
      </c>
    </row>
    <row r="4921" spans="2:11" ht="19" customHeight="1">
      <c r="B4921" s="464">
        <v>46124</v>
      </c>
      <c r="C4921" s="436" t="s">
        <v>253</v>
      </c>
      <c r="D4921" s="436" t="s">
        <v>252</v>
      </c>
      <c r="E4921" s="436">
        <v>2</v>
      </c>
      <c r="F4921" s="465">
        <v>2.65</v>
      </c>
      <c r="G4921" s="466">
        <v>5.3</v>
      </c>
      <c r="H4921" s="466">
        <f>G4921/1.1</f>
        <v>4.8181818181818175</v>
      </c>
      <c r="I4921" s="436">
        <f>IFERROR(VLOOKUP(D4921,BD_Datos!$M$1:$P$1014,3,FALSE),0)</f>
        <v>0.45</v>
      </c>
      <c r="J4921" s="465">
        <f>IFERROR(VLOOKUP(D4921,BD_Datos!$M$1:$P$1014,2,FALSE),0)</f>
        <v>1.06</v>
      </c>
      <c r="K4921" s="465">
        <f>J4921*E4921</f>
        <v>2.12</v>
      </c>
    </row>
    <row r="4922" spans="2:11" ht="19" customHeight="1">
      <c r="B4922" s="464">
        <v>46124</v>
      </c>
      <c r="C4922" s="436" t="s">
        <v>256</v>
      </c>
      <c r="D4922" s="436" t="s">
        <v>931</v>
      </c>
      <c r="E4922" s="436">
        <v>1</v>
      </c>
      <c r="F4922" s="465">
        <v>8.75</v>
      </c>
      <c r="G4922" s="466">
        <v>8.75</v>
      </c>
      <c r="H4922" s="466">
        <f>G4922/1.1</f>
        <v>7.9545454545454541</v>
      </c>
      <c r="I4922" s="436">
        <f>IFERROR(VLOOKUP(D4922,BD_Datos!$M$1:$P$1014,3,FALSE),0)</f>
        <v>0.19</v>
      </c>
      <c r="J4922" s="465">
        <f>IFERROR(VLOOKUP(D4922,BD_Datos!$M$1:$P$1014,2,FALSE),0)</f>
        <v>0.88</v>
      </c>
      <c r="K4922" s="465">
        <f>J4922*E4922</f>
        <v>0.88</v>
      </c>
    </row>
    <row r="4923" spans="2:11" ht="19" customHeight="1">
      <c r="B4923" s="464">
        <v>46124</v>
      </c>
      <c r="C4923" s="436" t="s">
        <v>256</v>
      </c>
      <c r="D4923" s="436" t="s">
        <v>255</v>
      </c>
      <c r="E4923" s="436">
        <v>1</v>
      </c>
      <c r="F4923" s="465">
        <v>5.85</v>
      </c>
      <c r="G4923" s="466">
        <v>5.85</v>
      </c>
      <c r="H4923" s="466">
        <f>G4923/1.1</f>
        <v>5.3181818181818175</v>
      </c>
      <c r="I4923" s="436">
        <f>IFERROR(VLOOKUP(D4923,BD_Datos!$M$1:$P$1014,3,FALSE),0)</f>
        <v>0.2</v>
      </c>
      <c r="J4923" s="465">
        <f>IFERROR(VLOOKUP(D4923,BD_Datos!$M$1:$P$1014,2,FALSE),0)</f>
        <v>0.96</v>
      </c>
      <c r="K4923" s="465">
        <f>J4923*E4923</f>
        <v>0.96</v>
      </c>
    </row>
    <row r="4924" spans="2:11" ht="19" customHeight="1">
      <c r="B4924" s="464">
        <v>46124</v>
      </c>
      <c r="C4924" s="436" t="s">
        <v>1234</v>
      </c>
      <c r="D4924" s="436" t="s">
        <v>1235</v>
      </c>
      <c r="E4924" s="436">
        <v>-1</v>
      </c>
      <c r="F4924" s="465">
        <v>-10</v>
      </c>
      <c r="G4924" s="466">
        <v>-10</v>
      </c>
      <c r="H4924" s="466">
        <f>G4924/1.1</f>
        <v>-9.0909090909090899</v>
      </c>
      <c r="I4924" s="436">
        <f>IFERROR(VLOOKUP(D4924,BD_Datos!$M$1:$P$1014,3,FALSE),0)</f>
        <v>0</v>
      </c>
      <c r="J4924" s="465">
        <f>IFERROR(VLOOKUP(D4924,BD_Datos!$M$1:$P$1014,2,FALSE),0)</f>
        <v>0</v>
      </c>
      <c r="K4924" s="465">
        <f>J4924*E4924</f>
        <v>0</v>
      </c>
    </row>
    <row r="4925" spans="2:11" ht="19" customHeight="1">
      <c r="B4925" s="464">
        <v>46124</v>
      </c>
      <c r="C4925" s="436" t="s">
        <v>253</v>
      </c>
      <c r="D4925" s="436" t="s">
        <v>687</v>
      </c>
      <c r="E4925" s="436">
        <v>1</v>
      </c>
      <c r="F4925" s="465">
        <v>3.1</v>
      </c>
      <c r="G4925" s="466">
        <v>3.1</v>
      </c>
      <c r="H4925" s="466">
        <f>G4925/1.1</f>
        <v>2.8181818181818179</v>
      </c>
      <c r="I4925" s="436"/>
      <c r="J4925" s="465"/>
      <c r="K4925" s="465"/>
    </row>
    <row r="4926" spans="2:11" ht="19" customHeight="1">
      <c r="B4926" s="464">
        <v>46124</v>
      </c>
      <c r="C4926" s="436" t="s">
        <v>251</v>
      </c>
      <c r="D4926" s="436" t="s">
        <v>957</v>
      </c>
      <c r="E4926" s="436">
        <v>1</v>
      </c>
      <c r="F4926" s="465">
        <v>2.8</v>
      </c>
      <c r="G4926" s="466">
        <v>2.8</v>
      </c>
      <c r="H4926" s="466">
        <f>G4926/1.1</f>
        <v>2.545454545454545</v>
      </c>
      <c r="I4926" s="436"/>
      <c r="J4926" s="465"/>
      <c r="K4926" s="465"/>
    </row>
    <row r="4927" spans="2:11" ht="19" customHeight="1">
      <c r="B4927" s="464">
        <v>46124</v>
      </c>
      <c r="C4927" s="436" t="s">
        <v>276</v>
      </c>
      <c r="D4927" s="436" t="s">
        <v>995</v>
      </c>
      <c r="E4927" s="436">
        <v>2</v>
      </c>
      <c r="F4927" s="465">
        <v>3.3</v>
      </c>
      <c r="G4927" s="466">
        <v>6.6</v>
      </c>
      <c r="H4927" s="466">
        <f>G4927/1.1</f>
        <v>5.9999999999999991</v>
      </c>
      <c r="I4927" s="436"/>
      <c r="J4927" s="465"/>
      <c r="K4927" s="465"/>
    </row>
    <row r="4928" spans="2:11" ht="19" customHeight="1">
      <c r="B4928" s="464">
        <v>46127</v>
      </c>
      <c r="C4928" s="436" t="s">
        <v>873</v>
      </c>
      <c r="D4928" s="881" t="s">
        <v>1053</v>
      </c>
      <c r="E4928" s="436">
        <v>2</v>
      </c>
      <c r="F4928" s="465"/>
      <c r="G4928" s="466"/>
      <c r="H4928" s="466">
        <f>G4928/1.1</f>
        <v>0</v>
      </c>
      <c r="I4928" s="436">
        <f>IFERROR(VLOOKUP(D4928,BD_Datos!$M$1:$P$1014,3,FALSE),0)</f>
        <v>0</v>
      </c>
      <c r="J4928" s="465">
        <f>IFERROR(VLOOKUP(D4928,BD_Datos!$M$1:$P$1014,2,FALSE),0)</f>
        <v>0.75</v>
      </c>
      <c r="K4928" s="465">
        <f>J4928*E4928</f>
        <v>1.5</v>
      </c>
    </row>
    <row r="4929" spans="2:11" ht="19" customHeight="1">
      <c r="B4929" s="464">
        <v>46127</v>
      </c>
      <c r="C4929" s="436" t="s">
        <v>877</v>
      </c>
      <c r="D4929" s="881" t="s">
        <v>1122</v>
      </c>
      <c r="E4929" s="436">
        <v>1</v>
      </c>
      <c r="F4929" s="465"/>
      <c r="G4929" s="466"/>
      <c r="H4929" s="466">
        <f>G4929/1.1</f>
        <v>0</v>
      </c>
      <c r="I4929" s="436">
        <f>IFERROR(VLOOKUP(D4929,BD_Datos!$M$1:$P$1014,3,FALSE),0)</f>
        <v>0</v>
      </c>
      <c r="J4929" s="465">
        <f>IFERROR(VLOOKUP(D4929,BD_Datos!$M$1:$P$1014,2,FALSE),0)</f>
        <v>0</v>
      </c>
      <c r="K4929" s="465">
        <f>J4929*E4929</f>
        <v>0</v>
      </c>
    </row>
    <row r="4930" spans="2:11" ht="19" customHeight="1">
      <c r="B4930" s="464">
        <v>46127</v>
      </c>
      <c r="C4930" s="436" t="s">
        <v>877</v>
      </c>
      <c r="D4930" s="881" t="s">
        <v>1294</v>
      </c>
      <c r="E4930" s="436">
        <v>1</v>
      </c>
      <c r="F4930" s="465"/>
      <c r="G4930" s="466"/>
      <c r="H4930" s="466">
        <f>G4930/1.1</f>
        <v>0</v>
      </c>
      <c r="I4930" s="436">
        <f>IFERROR(VLOOKUP(D4930,BD_Datos!$M$1:$P$1014,3,FALSE),0)</f>
        <v>0</v>
      </c>
      <c r="J4930" s="465">
        <f>IFERROR(VLOOKUP(D4930,BD_Datos!$M$1:$P$1014,2,FALSE),0)</f>
        <v>0</v>
      </c>
      <c r="K4930" s="465">
        <f>J4930*E4930</f>
        <v>0</v>
      </c>
    </row>
    <row r="4931" spans="2:11" ht="19" customHeight="1">
      <c r="B4931" s="464">
        <v>46127</v>
      </c>
      <c r="C4931" s="436" t="s">
        <v>266</v>
      </c>
      <c r="D4931" s="881" t="s">
        <v>250</v>
      </c>
      <c r="E4931" s="436">
        <v>2</v>
      </c>
      <c r="F4931" s="465"/>
      <c r="G4931" s="466"/>
      <c r="H4931" s="466">
        <f>G4931/1.1</f>
        <v>0</v>
      </c>
      <c r="I4931" s="436">
        <f>IFERROR(VLOOKUP(D4931,BD_Datos!$M$1:$P$1014,3,FALSE),0)</f>
        <v>0.21</v>
      </c>
      <c r="J4931" s="465">
        <f>IFERROR(VLOOKUP(D4931,BD_Datos!$M$1:$P$1014,2,FALSE),0)</f>
        <v>0.05</v>
      </c>
      <c r="K4931" s="465">
        <f>J4931*E4931</f>
        <v>0.1</v>
      </c>
    </row>
    <row r="4932" spans="2:11" ht="19" customHeight="1">
      <c r="B4932" s="464">
        <v>46127</v>
      </c>
      <c r="C4932" s="436" t="s">
        <v>258</v>
      </c>
      <c r="D4932" s="881" t="s">
        <v>248</v>
      </c>
      <c r="E4932" s="436">
        <v>2</v>
      </c>
      <c r="F4932" s="465"/>
      <c r="G4932" s="466"/>
      <c r="H4932" s="466">
        <f>G4932/1.1</f>
        <v>0</v>
      </c>
      <c r="I4932" s="436">
        <f>IFERROR(VLOOKUP(D4932,BD_Datos!$M$1:$P$1014,3,FALSE),0)</f>
        <v>0.24</v>
      </c>
      <c r="J4932" s="465">
        <f>IFERROR(VLOOKUP(D4932,BD_Datos!$M$1:$P$1014,2,FALSE),0)</f>
        <v>0.16</v>
      </c>
      <c r="K4932" s="465">
        <f>J4932*E4932</f>
        <v>0.32</v>
      </c>
    </row>
    <row r="4933" spans="2:11" ht="19" customHeight="1">
      <c r="B4933" s="464">
        <v>46127</v>
      </c>
      <c r="C4933" s="910" t="s">
        <v>873</v>
      </c>
      <c r="D4933" s="881" t="s">
        <v>1053</v>
      </c>
      <c r="E4933" s="436">
        <v>1</v>
      </c>
      <c r="F4933" s="465"/>
      <c r="G4933" s="466"/>
      <c r="H4933" s="466">
        <f>G4933/1.1</f>
        <v>0</v>
      </c>
      <c r="I4933" s="436">
        <f>IFERROR(VLOOKUP(D4933,BD_Datos!$M$1:$P$1014,3,FALSE),0)</f>
        <v>0</v>
      </c>
      <c r="J4933" s="465">
        <f>IFERROR(VLOOKUP(D4933,BD_Datos!$M$1:$P$1014,2,FALSE),0)</f>
        <v>0.75</v>
      </c>
      <c r="K4933" s="465">
        <f>J4933*E4933</f>
        <v>0.75</v>
      </c>
    </row>
    <row r="4934" spans="2:11" ht="19" customHeight="1">
      <c r="B4934" s="464">
        <v>46127</v>
      </c>
      <c r="C4934" s="910" t="s">
        <v>877</v>
      </c>
      <c r="D4934" s="881" t="s">
        <v>1122</v>
      </c>
      <c r="E4934" s="436">
        <v>1</v>
      </c>
      <c r="F4934" s="465"/>
      <c r="G4934" s="466"/>
      <c r="H4934" s="466">
        <f>G4934/1.1</f>
        <v>0</v>
      </c>
      <c r="I4934" s="436">
        <f>IFERROR(VLOOKUP(D4934,BD_Datos!$M$1:$P$1014,3,FALSE),0)</f>
        <v>0</v>
      </c>
      <c r="J4934" s="465">
        <f>IFERROR(VLOOKUP(D4934,BD_Datos!$M$1:$P$1014,2,FALSE),0)</f>
        <v>0</v>
      </c>
      <c r="K4934" s="465">
        <f>J4934*E4934</f>
        <v>0</v>
      </c>
    </row>
    <row r="4935" spans="2:11" ht="19" customHeight="1">
      <c r="B4935" s="464">
        <v>46127</v>
      </c>
      <c r="C4935" s="910" t="s">
        <v>266</v>
      </c>
      <c r="D4935" s="881" t="s">
        <v>250</v>
      </c>
      <c r="E4935" s="436">
        <v>1</v>
      </c>
      <c r="F4935" s="465"/>
      <c r="G4935" s="466"/>
      <c r="H4935" s="466">
        <f>G4935/1.1</f>
        <v>0</v>
      </c>
      <c r="I4935" s="436">
        <f>IFERROR(VLOOKUP(D4935,BD_Datos!$M$1:$P$1014,3,FALSE),0)</f>
        <v>0.21</v>
      </c>
      <c r="J4935" s="465">
        <f>IFERROR(VLOOKUP(D4935,BD_Datos!$M$1:$P$1014,2,FALSE),0)</f>
        <v>0.05</v>
      </c>
      <c r="K4935" s="465">
        <f>J4935*E4935</f>
        <v>0.05</v>
      </c>
    </row>
    <row r="4936" spans="2:11" ht="19" customHeight="1">
      <c r="B4936" s="464">
        <v>46127</v>
      </c>
      <c r="C4936" s="910" t="s">
        <v>258</v>
      </c>
      <c r="D4936" s="881" t="s">
        <v>1295</v>
      </c>
      <c r="E4936" s="436">
        <v>1</v>
      </c>
      <c r="F4936" s="465"/>
      <c r="G4936" s="466"/>
      <c r="H4936" s="466">
        <f>G4936/1.1</f>
        <v>0</v>
      </c>
      <c r="I4936" s="436">
        <f>IFERROR(VLOOKUP(D4936,BD_Datos!$M$1:$P$1014,3,FALSE),0)</f>
        <v>0</v>
      </c>
      <c r="J4936" s="465">
        <f>IFERROR(VLOOKUP(D4936,BD_Datos!$M$1:$P$1014,2,FALSE),0)</f>
        <v>0</v>
      </c>
      <c r="K4936" s="465">
        <f>J4936*E4936</f>
        <v>0</v>
      </c>
    </row>
    <row r="4937" spans="2:11" ht="19" customHeight="1">
      <c r="B4937" s="464">
        <v>46127</v>
      </c>
      <c r="C4937" s="436" t="s">
        <v>873</v>
      </c>
      <c r="D4937" s="881" t="s">
        <v>1053</v>
      </c>
      <c r="E4937" s="436">
        <v>2</v>
      </c>
      <c r="F4937" s="465"/>
      <c r="G4937" s="466"/>
      <c r="H4937" s="466">
        <f>G4937/1.1</f>
        <v>0</v>
      </c>
      <c r="I4937" s="436">
        <f>IFERROR(VLOOKUP(D4937,BD_Datos!$M$1:$P$1014,3,FALSE),0)</f>
        <v>0</v>
      </c>
      <c r="J4937" s="465">
        <f>IFERROR(VLOOKUP(D4937,BD_Datos!$M$1:$P$1014,2,FALSE),0)</f>
        <v>0.75</v>
      </c>
      <c r="K4937" s="465">
        <f>J4937*E4937</f>
        <v>1.5</v>
      </c>
    </row>
    <row r="4938" spans="2:11" ht="19" customHeight="1">
      <c r="B4938" s="464">
        <v>46127</v>
      </c>
      <c r="C4938" s="436" t="s">
        <v>877</v>
      </c>
      <c r="D4938" s="881" t="s">
        <v>1122</v>
      </c>
      <c r="E4938" s="436">
        <v>1</v>
      </c>
      <c r="F4938" s="465"/>
      <c r="G4938" s="466"/>
      <c r="H4938" s="466">
        <f>G4938/1.1</f>
        <v>0</v>
      </c>
      <c r="I4938" s="436">
        <f>IFERROR(VLOOKUP(D4938,BD_Datos!$M$1:$P$1014,3,FALSE),0)</f>
        <v>0</v>
      </c>
      <c r="J4938" s="465">
        <f>IFERROR(VLOOKUP(D4938,BD_Datos!$M$1:$P$1014,2,FALSE),0)</f>
        <v>0</v>
      </c>
      <c r="K4938" s="465">
        <f>J4938*E4938</f>
        <v>0</v>
      </c>
    </row>
    <row r="4939" spans="2:11" ht="19" customHeight="1">
      <c r="B4939" s="464">
        <v>46127</v>
      </c>
      <c r="C4939" s="436" t="s">
        <v>877</v>
      </c>
      <c r="D4939" s="881" t="s">
        <v>1220</v>
      </c>
      <c r="E4939" s="436">
        <v>1</v>
      </c>
      <c r="F4939" s="465">
        <v>3</v>
      </c>
      <c r="G4939" s="466">
        <v>3</v>
      </c>
      <c r="H4939" s="466">
        <f>G4939/1.1</f>
        <v>2.7272727272727271</v>
      </c>
      <c r="I4939" s="436"/>
      <c r="J4939" s="465"/>
      <c r="K4939" s="465"/>
    </row>
    <row r="4940" spans="2:11" ht="19" customHeight="1">
      <c r="B4940" s="464">
        <v>46127</v>
      </c>
      <c r="C4940" s="436" t="s">
        <v>266</v>
      </c>
      <c r="D4940" s="881" t="s">
        <v>250</v>
      </c>
      <c r="E4940" s="436">
        <v>2</v>
      </c>
      <c r="F4940" s="465"/>
      <c r="G4940" s="466"/>
      <c r="H4940" s="466">
        <f>G4940/1.1</f>
        <v>0</v>
      </c>
      <c r="I4940" s="436">
        <f>IFERROR(VLOOKUP(D4940,BD_Datos!$M$1:$P$1014,3,FALSE),0)</f>
        <v>0.21</v>
      </c>
      <c r="J4940" s="465">
        <f>IFERROR(VLOOKUP(D4940,BD_Datos!$M$1:$P$1014,2,FALSE),0)</f>
        <v>0.05</v>
      </c>
      <c r="K4940" s="465">
        <f>J4940*E4940</f>
        <v>0.1</v>
      </c>
    </row>
    <row r="4941" spans="2:11" ht="19" customHeight="1">
      <c r="B4941" s="464">
        <v>46127</v>
      </c>
      <c r="C4941" s="436" t="s">
        <v>873</v>
      </c>
      <c r="D4941" s="881" t="s">
        <v>1296</v>
      </c>
      <c r="E4941" s="436">
        <v>2</v>
      </c>
      <c r="F4941" s="465"/>
      <c r="G4941" s="466"/>
      <c r="H4941" s="466">
        <f>G4941/1.1</f>
        <v>0</v>
      </c>
      <c r="I4941" s="436">
        <f>IFERROR(VLOOKUP(D4941,BD_Datos!$M$1:$P$1014,3,FALSE),0)</f>
        <v>0</v>
      </c>
      <c r="J4941" s="465">
        <f>IFERROR(VLOOKUP(D4941,BD_Datos!$M$1:$P$1014,2,FALSE),0)</f>
        <v>0</v>
      </c>
      <c r="K4941" s="465">
        <f>J4941*E4941</f>
        <v>0</v>
      </c>
    </row>
    <row r="4942" spans="2:11" ht="19" customHeight="1">
      <c r="B4942" s="464">
        <v>46127</v>
      </c>
      <c r="C4942" s="436" t="s">
        <v>877</v>
      </c>
      <c r="D4942" s="881" t="s">
        <v>1122</v>
      </c>
      <c r="E4942" s="436">
        <v>2</v>
      </c>
      <c r="F4942" s="465"/>
      <c r="G4942" s="466"/>
      <c r="H4942" s="466">
        <f>G4942/1.1</f>
        <v>0</v>
      </c>
      <c r="I4942" s="436">
        <f>IFERROR(VLOOKUP(D4942,BD_Datos!$M$1:$P$1014,3,FALSE),0)</f>
        <v>0</v>
      </c>
      <c r="J4942" s="465">
        <f>IFERROR(VLOOKUP(D4942,BD_Datos!$M$1:$P$1014,2,FALSE),0)</f>
        <v>0</v>
      </c>
      <c r="K4942" s="465">
        <f>J4942*E4942</f>
        <v>0</v>
      </c>
    </row>
    <row r="4943" spans="2:11" ht="19" customHeight="1">
      <c r="B4943" s="464">
        <v>46127</v>
      </c>
      <c r="C4943" s="436" t="s">
        <v>266</v>
      </c>
      <c r="D4943" s="881" t="s">
        <v>250</v>
      </c>
      <c r="E4943" s="436">
        <v>1</v>
      </c>
      <c r="F4943" s="465"/>
      <c r="G4943" s="466"/>
      <c r="H4943" s="466">
        <f>G4943/1.1</f>
        <v>0</v>
      </c>
      <c r="I4943" s="436">
        <f>IFERROR(VLOOKUP(D4943,BD_Datos!$M$1:$P$1014,3,FALSE),0)</f>
        <v>0.21</v>
      </c>
      <c r="J4943" s="465">
        <f>IFERROR(VLOOKUP(D4943,BD_Datos!$M$1:$P$1014,2,FALSE),0)</f>
        <v>0.05</v>
      </c>
      <c r="K4943" s="465">
        <f>J4943*E4943</f>
        <v>0.05</v>
      </c>
    </row>
    <row r="4944" spans="2:11" ht="19" customHeight="1">
      <c r="B4944" s="464">
        <v>46127</v>
      </c>
      <c r="C4944" s="436" t="s">
        <v>258</v>
      </c>
      <c r="D4944" s="881" t="s">
        <v>1297</v>
      </c>
      <c r="E4944" s="436">
        <v>1</v>
      </c>
      <c r="F4944" s="465"/>
      <c r="G4944" s="466"/>
      <c r="H4944" s="466">
        <f>G4944/1.1</f>
        <v>0</v>
      </c>
      <c r="I4944" s="436">
        <f>IFERROR(VLOOKUP(D4944,BD_Datos!$M$1:$P$1014,3,FALSE),0)</f>
        <v>0</v>
      </c>
      <c r="J4944" s="465">
        <f>IFERROR(VLOOKUP(D4944,BD_Datos!$M$1:$P$1014,2,FALSE),0)</f>
        <v>0</v>
      </c>
      <c r="K4944" s="465">
        <f>J4944*E4944</f>
        <v>0</v>
      </c>
    </row>
    <row r="4945" spans="2:11" ht="19" customHeight="1">
      <c r="B4945" s="464">
        <v>46127</v>
      </c>
      <c r="C4945" s="436" t="s">
        <v>258</v>
      </c>
      <c r="D4945" s="881" t="s">
        <v>1094</v>
      </c>
      <c r="E4945" s="436">
        <v>1</v>
      </c>
      <c r="F4945" s="465"/>
      <c r="G4945" s="466"/>
      <c r="H4945" s="466">
        <f>G4945/1.1</f>
        <v>0</v>
      </c>
      <c r="I4945" s="436">
        <f>IFERROR(VLOOKUP(D4945,BD_Datos!$M$1:$P$1014,3,FALSE),0)</f>
        <v>0</v>
      </c>
      <c r="J4945" s="465">
        <f>IFERROR(VLOOKUP(D4945,BD_Datos!$M$1:$P$1014,2,FALSE),0)</f>
        <v>0</v>
      </c>
      <c r="K4945" s="465">
        <f>J4945*E4945</f>
        <v>0</v>
      </c>
    </row>
    <row r="4946" spans="2:11" ht="19" customHeight="1">
      <c r="B4946" s="464">
        <v>46127</v>
      </c>
      <c r="C4946" s="436" t="s">
        <v>873</v>
      </c>
      <c r="D4946" s="881" t="s">
        <v>1296</v>
      </c>
      <c r="E4946" s="436">
        <v>1</v>
      </c>
      <c r="F4946" s="465"/>
      <c r="G4946" s="466"/>
      <c r="H4946" s="466">
        <f>G4946/1.1</f>
        <v>0</v>
      </c>
      <c r="I4946" s="436">
        <f>IFERROR(VLOOKUP(D4946,BD_Datos!$M$1:$P$1014,3,FALSE),0)</f>
        <v>0</v>
      </c>
      <c r="J4946" s="465">
        <f>IFERROR(VLOOKUP(D4946,BD_Datos!$M$1:$P$1014,2,FALSE),0)</f>
        <v>0</v>
      </c>
      <c r="K4946" s="465">
        <f>J4946*E4946</f>
        <v>0</v>
      </c>
    </row>
    <row r="4947" spans="2:11" ht="19" customHeight="1">
      <c r="B4947" s="464">
        <v>46127</v>
      </c>
      <c r="C4947" s="436" t="s">
        <v>873</v>
      </c>
      <c r="D4947" s="881" t="s">
        <v>1013</v>
      </c>
      <c r="E4947" s="436">
        <v>1</v>
      </c>
      <c r="F4947" s="465"/>
      <c r="G4947" s="466"/>
      <c r="H4947" s="466">
        <f>G4947/1.1</f>
        <v>0</v>
      </c>
      <c r="I4947" s="436">
        <f>IFERROR(VLOOKUP(D4947,BD_Datos!$M$1:$P$1014,3,FALSE),0)</f>
        <v>0</v>
      </c>
      <c r="J4947" s="465">
        <f>IFERROR(VLOOKUP(D4947,BD_Datos!$M$1:$P$1014,2,FALSE),0)</f>
        <v>0</v>
      </c>
      <c r="K4947" s="465">
        <f>J4947*E4947</f>
        <v>0</v>
      </c>
    </row>
    <row r="4948" spans="2:11" ht="19" customHeight="1">
      <c r="B4948" s="464">
        <v>46127</v>
      </c>
      <c r="C4948" s="436" t="s">
        <v>266</v>
      </c>
      <c r="D4948" s="881" t="s">
        <v>1159</v>
      </c>
      <c r="E4948" s="436">
        <v>2</v>
      </c>
      <c r="F4948" s="465"/>
      <c r="G4948" s="466"/>
      <c r="H4948" s="466">
        <f>G4948/1.1</f>
        <v>0</v>
      </c>
      <c r="I4948" s="436">
        <f>IFERROR(VLOOKUP(D4948,BD_Datos!$M$1:$P$1014,3,FALSE),0)</f>
        <v>0.14000000000000001</v>
      </c>
      <c r="J4948" s="465">
        <f>IFERROR(VLOOKUP(D4948,BD_Datos!$M$1:$P$1014,2,FALSE),0)</f>
        <v>0.76</v>
      </c>
      <c r="K4948" s="465">
        <f>J4948*E4948</f>
        <v>1.52</v>
      </c>
    </row>
    <row r="4949" spans="2:11" ht="19" customHeight="1">
      <c r="B4949" s="464">
        <v>46127</v>
      </c>
      <c r="C4949" s="436" t="s">
        <v>258</v>
      </c>
      <c r="D4949" s="881" t="s">
        <v>990</v>
      </c>
      <c r="E4949" s="436">
        <v>1</v>
      </c>
      <c r="F4949" s="465"/>
      <c r="G4949" s="466"/>
      <c r="H4949" s="466">
        <f>G4949/1.1</f>
        <v>0</v>
      </c>
      <c r="I4949" s="436">
        <f>IFERROR(VLOOKUP(D4949,BD_Datos!$M$1:$P$1014,3,FALSE),0)</f>
        <v>0</v>
      </c>
      <c r="J4949" s="465">
        <f>IFERROR(VLOOKUP(D4949,BD_Datos!$M$1:$P$1014,2,FALSE),0)</f>
        <v>0</v>
      </c>
      <c r="K4949" s="465">
        <f>J4949*E4949</f>
        <v>0</v>
      </c>
    </row>
    <row r="4950" spans="2:11" ht="19" customHeight="1">
      <c r="B4950" s="464">
        <v>46127</v>
      </c>
      <c r="C4950" s="436" t="s">
        <v>258</v>
      </c>
      <c r="D4950" s="881" t="s">
        <v>882</v>
      </c>
      <c r="E4950" s="436">
        <v>1</v>
      </c>
      <c r="F4950" s="465"/>
      <c r="G4950" s="466"/>
      <c r="H4950" s="466">
        <f>G4950/1.1</f>
        <v>0</v>
      </c>
      <c r="I4950" s="436">
        <f>IFERROR(VLOOKUP(D4950,BD_Datos!$M$1:$P$1014,3,FALSE),0)</f>
        <v>0</v>
      </c>
      <c r="J4950" s="465">
        <f>IFERROR(VLOOKUP(D4950,BD_Datos!$M$1:$P$1014,2,FALSE),0)</f>
        <v>0</v>
      </c>
      <c r="K4950" s="465">
        <f>J4950*E4950</f>
        <v>0</v>
      </c>
    </row>
    <row r="4951" spans="2:11" ht="19" customHeight="1">
      <c r="B4951" s="464">
        <v>46127</v>
      </c>
      <c r="C4951" s="436" t="s">
        <v>266</v>
      </c>
      <c r="D4951" s="881" t="s">
        <v>250</v>
      </c>
      <c r="E4951" s="436">
        <v>1</v>
      </c>
      <c r="F4951" s="465"/>
      <c r="G4951" s="466"/>
      <c r="H4951" s="466">
        <f>G4951/1.1</f>
        <v>0</v>
      </c>
      <c r="I4951" s="436">
        <f>IFERROR(VLOOKUP(D4951,BD_Datos!$M$1:$P$1014,3,FALSE),0)</f>
        <v>0.21</v>
      </c>
      <c r="J4951" s="465">
        <f>IFERROR(VLOOKUP(D4951,BD_Datos!$M$1:$P$1014,2,FALSE),0)</f>
        <v>0.05</v>
      </c>
      <c r="K4951" s="465">
        <f>J4951*E4951</f>
        <v>0.05</v>
      </c>
    </row>
    <row r="4952" spans="2:11" ht="19" customHeight="1">
      <c r="B4952" s="464">
        <v>46127</v>
      </c>
      <c r="C4952" s="436" t="s">
        <v>877</v>
      </c>
      <c r="D4952" s="881" t="s">
        <v>1122</v>
      </c>
      <c r="E4952" s="436">
        <v>2</v>
      </c>
      <c r="F4952" s="465"/>
      <c r="G4952" s="466"/>
      <c r="H4952" s="466">
        <f>G4952/1.1</f>
        <v>0</v>
      </c>
      <c r="I4952" s="436">
        <f>IFERROR(VLOOKUP(D4952,BD_Datos!$M$1:$P$1014,3,FALSE),0)</f>
        <v>0</v>
      </c>
      <c r="J4952" s="465">
        <f>IFERROR(VLOOKUP(D4952,BD_Datos!$M$1:$P$1014,2,FALSE),0)</f>
        <v>0</v>
      </c>
      <c r="K4952" s="465">
        <f>J4952*E4952</f>
        <v>0</v>
      </c>
    </row>
    <row r="4953" spans="2:11" ht="19" customHeight="1">
      <c r="B4953" s="464">
        <v>46127</v>
      </c>
      <c r="C4953" s="436" t="s">
        <v>873</v>
      </c>
      <c r="D4953" s="881" t="s">
        <v>1296</v>
      </c>
      <c r="E4953" s="436">
        <v>2</v>
      </c>
      <c r="F4953" s="465"/>
      <c r="G4953" s="466"/>
      <c r="H4953" s="466">
        <f>G4953/1.1</f>
        <v>0</v>
      </c>
      <c r="I4953" s="436">
        <f>IFERROR(VLOOKUP(D4953,BD_Datos!$M$1:$P$1014,3,FALSE),0)</f>
        <v>0</v>
      </c>
      <c r="J4953" s="465">
        <f>IFERROR(VLOOKUP(D4953,BD_Datos!$M$1:$P$1014,2,FALSE),0)</f>
        <v>0</v>
      </c>
      <c r="K4953" s="465">
        <f>J4953*E4953</f>
        <v>0</v>
      </c>
    </row>
    <row r="4954" spans="2:11" ht="19" customHeight="1">
      <c r="B4954" s="464">
        <v>46127</v>
      </c>
      <c r="C4954" s="436" t="s">
        <v>266</v>
      </c>
      <c r="D4954" s="881" t="s">
        <v>708</v>
      </c>
      <c r="E4954" s="436">
        <v>1</v>
      </c>
      <c r="F4954" s="465"/>
      <c r="G4954" s="466"/>
      <c r="H4954" s="466">
        <f>G4954/1.1</f>
        <v>0</v>
      </c>
      <c r="I4954" s="436">
        <f>IFERROR(VLOOKUP(D4954,BD_Datos!$M$1:$P$1014,3,FALSE),0)</f>
        <v>0.22</v>
      </c>
      <c r="J4954" s="465">
        <f>IFERROR(VLOOKUP(D4954,BD_Datos!$M$1:$P$1014,2,FALSE),0)</f>
        <v>0.11</v>
      </c>
      <c r="K4954" s="465">
        <f>J4954*E4954</f>
        <v>0.11</v>
      </c>
    </row>
    <row r="4955" spans="2:11" ht="19" customHeight="1">
      <c r="B4955" s="464">
        <v>46127</v>
      </c>
      <c r="C4955" s="436" t="s">
        <v>258</v>
      </c>
      <c r="D4955" s="881" t="s">
        <v>1094</v>
      </c>
      <c r="E4955" s="436">
        <v>1</v>
      </c>
      <c r="F4955" s="465"/>
      <c r="G4955" s="466"/>
      <c r="H4955" s="466">
        <f>G4955/1.1</f>
        <v>0</v>
      </c>
      <c r="I4955" s="436">
        <f>IFERROR(VLOOKUP(D4955,BD_Datos!$M$1:$P$1014,3,FALSE),0)</f>
        <v>0</v>
      </c>
      <c r="J4955" s="465">
        <f>IFERROR(VLOOKUP(D4955,BD_Datos!$M$1:$P$1014,2,FALSE),0)</f>
        <v>0</v>
      </c>
      <c r="K4955" s="465">
        <f>J4955*E4955</f>
        <v>0</v>
      </c>
    </row>
    <row r="4956" spans="2:11" ht="19" customHeight="1">
      <c r="B4956" s="464">
        <v>46127</v>
      </c>
      <c r="C4956" s="436" t="s">
        <v>873</v>
      </c>
      <c r="D4956" s="881" t="s">
        <v>1053</v>
      </c>
      <c r="E4956" s="436">
        <v>2</v>
      </c>
      <c r="F4956" s="465"/>
      <c r="G4956" s="466"/>
      <c r="H4956" s="466">
        <f>G4956/1.1</f>
        <v>0</v>
      </c>
      <c r="I4956" s="436">
        <f>IFERROR(VLOOKUP(D4956,BD_Datos!$M$1:$P$1014,3,FALSE),0)</f>
        <v>0</v>
      </c>
      <c r="J4956" s="465">
        <f>IFERROR(VLOOKUP(D4956,BD_Datos!$M$1:$P$1014,2,FALSE),0)</f>
        <v>0.75</v>
      </c>
      <c r="K4956" s="465">
        <f>J4956*E4956</f>
        <v>1.5</v>
      </c>
    </row>
    <row r="4957" spans="2:11" ht="19" customHeight="1">
      <c r="B4957" s="464">
        <v>46127</v>
      </c>
      <c r="C4957" s="436" t="s">
        <v>877</v>
      </c>
      <c r="D4957" s="881" t="s">
        <v>1122</v>
      </c>
      <c r="E4957" s="436">
        <v>2</v>
      </c>
      <c r="F4957" s="465"/>
      <c r="G4957" s="466"/>
      <c r="H4957" s="466">
        <f>G4957/1.1</f>
        <v>0</v>
      </c>
      <c r="I4957" s="436">
        <f>IFERROR(VLOOKUP(D4957,BD_Datos!$M$1:$P$1014,3,FALSE),0)</f>
        <v>0</v>
      </c>
      <c r="J4957" s="465">
        <f>IFERROR(VLOOKUP(D4957,BD_Datos!$M$1:$P$1014,2,FALSE),0)</f>
        <v>0</v>
      </c>
      <c r="K4957" s="465">
        <f>J4957*E4957</f>
        <v>0</v>
      </c>
    </row>
    <row r="4958" spans="2:11" ht="19" customHeight="1">
      <c r="B4958" s="464">
        <v>46127</v>
      </c>
      <c r="C4958" s="436" t="s">
        <v>258</v>
      </c>
      <c r="D4958" s="881" t="s">
        <v>1259</v>
      </c>
      <c r="E4958" s="436">
        <v>2</v>
      </c>
      <c r="F4958" s="465"/>
      <c r="G4958" s="466"/>
      <c r="H4958" s="466">
        <f>G4958/1.1</f>
        <v>0</v>
      </c>
      <c r="I4958" s="436">
        <f>IFERROR(VLOOKUP(D4958,BD_Datos!$M$1:$P$1014,3,FALSE),0)</f>
        <v>0</v>
      </c>
      <c r="J4958" s="465">
        <f>IFERROR(VLOOKUP(D4958,BD_Datos!$M$1:$P$1014,2,FALSE),0)</f>
        <v>0</v>
      </c>
      <c r="K4958" s="465">
        <f>J4958*E4958</f>
        <v>0</v>
      </c>
    </row>
    <row r="4959" spans="2:11" ht="19" customHeight="1">
      <c r="B4959" s="464">
        <v>46127</v>
      </c>
      <c r="C4959" s="436" t="s">
        <v>266</v>
      </c>
      <c r="D4959" s="881" t="s">
        <v>250</v>
      </c>
      <c r="E4959" s="436">
        <v>2</v>
      </c>
      <c r="F4959" s="465"/>
      <c r="G4959" s="466"/>
      <c r="H4959" s="466">
        <f>G4959/1.1</f>
        <v>0</v>
      </c>
      <c r="I4959" s="436">
        <f>IFERROR(VLOOKUP(D4959,BD_Datos!$M$1:$P$1014,3,FALSE),0)</f>
        <v>0.21</v>
      </c>
      <c r="J4959" s="465">
        <f>IFERROR(VLOOKUP(D4959,BD_Datos!$M$1:$P$1014,2,FALSE),0)</f>
        <v>0.05</v>
      </c>
      <c r="K4959" s="465">
        <f>J4959*E4959</f>
        <v>0.1</v>
      </c>
    </row>
    <row r="4960" spans="2:11" ht="19" customHeight="1">
      <c r="B4960" s="464">
        <v>46127</v>
      </c>
      <c r="C4960" s="436" t="s">
        <v>873</v>
      </c>
      <c r="D4960" s="881" t="s">
        <v>1296</v>
      </c>
      <c r="E4960" s="436">
        <v>1</v>
      </c>
      <c r="F4960" s="465"/>
      <c r="G4960" s="466"/>
      <c r="H4960" s="466">
        <f>G4960/1.1</f>
        <v>0</v>
      </c>
      <c r="I4960" s="436">
        <f>IFERROR(VLOOKUP(D4960,BD_Datos!$M$1:$P$1014,3,FALSE),0)</f>
        <v>0</v>
      </c>
      <c r="J4960" s="465">
        <f>IFERROR(VLOOKUP(D4960,BD_Datos!$M$1:$P$1014,2,FALSE),0)</f>
        <v>0</v>
      </c>
      <c r="K4960" s="465">
        <f>J4960*E4960</f>
        <v>0</v>
      </c>
    </row>
    <row r="4961" spans="2:11" ht="19" customHeight="1">
      <c r="B4961" s="464">
        <v>46127</v>
      </c>
      <c r="C4961" s="436" t="s">
        <v>877</v>
      </c>
      <c r="D4961" s="881" t="s">
        <v>1013</v>
      </c>
      <c r="E4961" s="436">
        <v>1</v>
      </c>
      <c r="F4961" s="465"/>
      <c r="G4961" s="466"/>
      <c r="H4961" s="466">
        <f>G4961/1.1</f>
        <v>0</v>
      </c>
      <c r="I4961" s="436">
        <f>IFERROR(VLOOKUP(D4961,BD_Datos!$M$1:$P$1014,3,FALSE),0)</f>
        <v>0</v>
      </c>
      <c r="J4961" s="465">
        <f>IFERROR(VLOOKUP(D4961,BD_Datos!$M$1:$P$1014,2,FALSE),0)</f>
        <v>0</v>
      </c>
      <c r="K4961" s="465">
        <f>J4961*E4961</f>
        <v>0</v>
      </c>
    </row>
    <row r="4962" spans="2:11" ht="19" customHeight="1">
      <c r="B4962" s="464">
        <v>46127</v>
      </c>
      <c r="C4962" s="436" t="s">
        <v>266</v>
      </c>
      <c r="D4962" s="881" t="s">
        <v>250</v>
      </c>
      <c r="E4962" s="436">
        <v>1</v>
      </c>
      <c r="F4962" s="465"/>
      <c r="G4962" s="466"/>
      <c r="H4962" s="466">
        <f>G4962/1.1</f>
        <v>0</v>
      </c>
      <c r="I4962" s="436">
        <f>IFERROR(VLOOKUP(D4962,BD_Datos!$M$1:$P$1014,3,FALSE),0)</f>
        <v>0.21</v>
      </c>
      <c r="J4962" s="465">
        <f>IFERROR(VLOOKUP(D4962,BD_Datos!$M$1:$P$1014,2,FALSE),0)</f>
        <v>0.05</v>
      </c>
      <c r="K4962" s="465">
        <f>J4962*E4962</f>
        <v>0.05</v>
      </c>
    </row>
    <row r="4963" spans="2:11" ht="19" customHeight="1">
      <c r="B4963" s="464">
        <v>46127</v>
      </c>
      <c r="C4963" s="436" t="s">
        <v>258</v>
      </c>
      <c r="D4963" s="881" t="s">
        <v>1094</v>
      </c>
      <c r="E4963" s="436">
        <v>1</v>
      </c>
      <c r="F4963" s="465"/>
      <c r="G4963" s="466"/>
      <c r="H4963" s="466">
        <f>G4963/1.1</f>
        <v>0</v>
      </c>
      <c r="I4963" s="436">
        <f>IFERROR(VLOOKUP(D4963,BD_Datos!$M$1:$P$1014,3,FALSE),0)</f>
        <v>0</v>
      </c>
      <c r="J4963" s="465">
        <f>IFERROR(VLOOKUP(D4963,BD_Datos!$M$1:$P$1014,2,FALSE),0)</f>
        <v>0</v>
      </c>
      <c r="K4963" s="465">
        <f>J4963*E4963</f>
        <v>0</v>
      </c>
    </row>
    <row r="4964" spans="2:11" ht="19" customHeight="1">
      <c r="B4964" s="464">
        <v>46127</v>
      </c>
      <c r="C4964" s="436" t="s">
        <v>873</v>
      </c>
      <c r="D4964" s="881" t="s">
        <v>1053</v>
      </c>
      <c r="E4964" s="436">
        <v>1</v>
      </c>
      <c r="F4964" s="465"/>
      <c r="G4964" s="466"/>
      <c r="H4964" s="466">
        <f>G4964/1.1</f>
        <v>0</v>
      </c>
      <c r="I4964" s="436">
        <f>IFERROR(VLOOKUP(D4964,BD_Datos!$M$1:$P$1014,3,FALSE),0)</f>
        <v>0</v>
      </c>
      <c r="J4964" s="465">
        <f>IFERROR(VLOOKUP(D4964,BD_Datos!$M$1:$P$1014,2,FALSE),0)</f>
        <v>0.75</v>
      </c>
      <c r="K4964" s="465">
        <f>J4964*E4964</f>
        <v>0.75</v>
      </c>
    </row>
    <row r="4965" spans="2:11" ht="19" customHeight="1">
      <c r="B4965" s="464">
        <v>46127</v>
      </c>
      <c r="C4965" s="436" t="s">
        <v>877</v>
      </c>
      <c r="D4965" s="881" t="s">
        <v>1122</v>
      </c>
      <c r="E4965" s="436">
        <v>1</v>
      </c>
      <c r="F4965" s="465"/>
      <c r="G4965" s="466"/>
      <c r="H4965" s="466">
        <f>G4965/1.1</f>
        <v>0</v>
      </c>
      <c r="I4965" s="436">
        <f>IFERROR(VLOOKUP(D4965,BD_Datos!$M$1:$P$1014,3,FALSE),0)</f>
        <v>0</v>
      </c>
      <c r="J4965" s="465">
        <f>IFERROR(VLOOKUP(D4965,BD_Datos!$M$1:$P$1014,2,FALSE),0)</f>
        <v>0</v>
      </c>
      <c r="K4965" s="465">
        <f>J4965*E4965</f>
        <v>0</v>
      </c>
    </row>
    <row r="4966" spans="2:11" ht="19" customHeight="1">
      <c r="B4966" s="464">
        <v>46127</v>
      </c>
      <c r="C4966" s="436" t="s">
        <v>266</v>
      </c>
      <c r="D4966" s="881" t="s">
        <v>250</v>
      </c>
      <c r="E4966" s="436">
        <v>1</v>
      </c>
      <c r="F4966" s="465"/>
      <c r="G4966" s="466"/>
      <c r="H4966" s="466">
        <f>G4966/1.1</f>
        <v>0</v>
      </c>
      <c r="I4966" s="436">
        <f>IFERROR(VLOOKUP(D4966,BD_Datos!$M$1:$P$1014,3,FALSE),0)</f>
        <v>0.21</v>
      </c>
      <c r="J4966" s="465">
        <f>IFERROR(VLOOKUP(D4966,BD_Datos!$M$1:$P$1014,2,FALSE),0)</f>
        <v>0.05</v>
      </c>
      <c r="K4966" s="465">
        <f>J4966*E4966</f>
        <v>0.05</v>
      </c>
    </row>
    <row r="4967" spans="2:11" ht="19" customHeight="1">
      <c r="B4967" s="464">
        <v>46127</v>
      </c>
      <c r="C4967" s="436" t="s">
        <v>877</v>
      </c>
      <c r="D4967" s="436" t="s">
        <v>1122</v>
      </c>
      <c r="E4967" s="436">
        <v>1</v>
      </c>
      <c r="F4967" s="465"/>
      <c r="G4967" s="466"/>
      <c r="H4967" s="466">
        <f>G4967/1.1</f>
        <v>0</v>
      </c>
      <c r="I4967" s="436">
        <f>IFERROR(VLOOKUP(D4967,BD_Datos!$M$1:$P$1014,3,FALSE),0)</f>
        <v>0</v>
      </c>
      <c r="J4967" s="465">
        <f>IFERROR(VLOOKUP(D4967,BD_Datos!$M$1:$P$1014,2,FALSE),0)</f>
        <v>0</v>
      </c>
      <c r="K4967" s="465">
        <f>J4967*E4967</f>
        <v>0</v>
      </c>
    </row>
    <row r="4968" spans="2:11" ht="19" customHeight="1">
      <c r="B4968" s="464">
        <v>46127</v>
      </c>
      <c r="C4968" s="436" t="s">
        <v>873</v>
      </c>
      <c r="D4968" s="436" t="s">
        <v>1053</v>
      </c>
      <c r="E4968" s="436">
        <v>1</v>
      </c>
      <c r="F4968" s="465"/>
      <c r="G4968" s="466"/>
      <c r="H4968" s="466">
        <f>G4968/1.1</f>
        <v>0</v>
      </c>
      <c r="I4968" s="436">
        <f>IFERROR(VLOOKUP(D4968,BD_Datos!$M$1:$P$1014,3,FALSE),0)</f>
        <v>0</v>
      </c>
      <c r="J4968" s="465">
        <f>IFERROR(VLOOKUP(D4968,BD_Datos!$M$1:$P$1014,2,FALSE),0)</f>
        <v>0.75</v>
      </c>
      <c r="K4968" s="465">
        <f>J4968*E4968</f>
        <v>0.75</v>
      </c>
    </row>
    <row r="4969" spans="2:11" ht="19" customHeight="1">
      <c r="B4969" s="464">
        <v>46127</v>
      </c>
      <c r="C4969" s="436" t="s">
        <v>877</v>
      </c>
      <c r="D4969" s="436" t="s">
        <v>1122</v>
      </c>
      <c r="E4969" s="436">
        <v>1</v>
      </c>
      <c r="F4969" s="465"/>
      <c r="G4969" s="466"/>
      <c r="H4969" s="466">
        <f>G4969/1.1</f>
        <v>0</v>
      </c>
      <c r="I4969" s="436">
        <f>IFERROR(VLOOKUP(D4969,BD_Datos!$M$1:$P$1014,3,FALSE),0)</f>
        <v>0</v>
      </c>
      <c r="J4969" s="465">
        <f>IFERROR(VLOOKUP(D4969,BD_Datos!$M$1:$P$1014,2,FALSE),0)</f>
        <v>0</v>
      </c>
      <c r="K4969" s="465">
        <f>J4969*E4969</f>
        <v>0</v>
      </c>
    </row>
    <row r="4970" spans="2:11" ht="19" customHeight="1">
      <c r="B4970" s="464">
        <v>46127</v>
      </c>
      <c r="C4970" s="436" t="s">
        <v>247</v>
      </c>
      <c r="D4970" s="436" t="s">
        <v>1241</v>
      </c>
      <c r="E4970" s="436">
        <v>1</v>
      </c>
      <c r="F4970" s="465">
        <v>1.7</v>
      </c>
      <c r="G4970" s="466">
        <v>1.7</v>
      </c>
      <c r="H4970" s="466">
        <f>G4970/1.1</f>
        <v>1.5454545454545452</v>
      </c>
      <c r="I4970" s="436"/>
      <c r="J4970" s="465"/>
      <c r="K4970" s="465"/>
    </row>
    <row r="4971" spans="2:11" ht="19" customHeight="1">
      <c r="B4971" s="464">
        <v>46127</v>
      </c>
      <c r="C4971" s="436" t="s">
        <v>862</v>
      </c>
      <c r="D4971" s="436" t="s">
        <v>1268</v>
      </c>
      <c r="E4971" s="436">
        <v>1</v>
      </c>
      <c r="F4971" s="465">
        <v>0.05</v>
      </c>
      <c r="G4971" s="466">
        <v>0.05</v>
      </c>
      <c r="H4971" s="466">
        <f>G4971/1.1</f>
        <v>4.5454545454545456E-2</v>
      </c>
      <c r="I4971" s="436"/>
      <c r="J4971" s="465"/>
      <c r="K4971" s="465"/>
    </row>
    <row r="4972" spans="2:11" ht="19" customHeight="1">
      <c r="B4972" s="464">
        <v>46127</v>
      </c>
      <c r="C4972" s="436" t="s">
        <v>253</v>
      </c>
      <c r="D4972" s="436" t="s">
        <v>687</v>
      </c>
      <c r="E4972" s="436">
        <v>1</v>
      </c>
      <c r="F4972" s="465">
        <v>2.95</v>
      </c>
      <c r="G4972" s="466">
        <v>2.95</v>
      </c>
      <c r="H4972" s="466">
        <f>G4972/1.1</f>
        <v>2.6818181818181817</v>
      </c>
      <c r="I4972" s="436"/>
      <c r="J4972" s="465"/>
      <c r="K4972" s="465"/>
    </row>
    <row r="4973" spans="2:11" ht="19" customHeight="1">
      <c r="B4973" s="464">
        <v>46127</v>
      </c>
      <c r="C4973" s="436" t="s">
        <v>247</v>
      </c>
      <c r="D4973" s="436" t="s">
        <v>1253</v>
      </c>
      <c r="E4973" s="436">
        <v>2</v>
      </c>
      <c r="F4973" s="465">
        <v>1.55</v>
      </c>
      <c r="G4973" s="466">
        <v>3.1</v>
      </c>
      <c r="H4973" s="466">
        <f>G4973/1.1</f>
        <v>2.8181818181818179</v>
      </c>
      <c r="I4973" s="436"/>
      <c r="J4973" s="465"/>
      <c r="K4973" s="465"/>
    </row>
    <row r="4974" spans="2:11" ht="19" customHeight="1">
      <c r="B4974" s="464">
        <v>46127</v>
      </c>
      <c r="C4974" s="436" t="s">
        <v>247</v>
      </c>
      <c r="D4974" s="436" t="s">
        <v>248</v>
      </c>
      <c r="E4974" s="436">
        <v>1</v>
      </c>
      <c r="F4974" s="465">
        <v>1.65</v>
      </c>
      <c r="G4974" s="466">
        <v>1.65</v>
      </c>
      <c r="H4974" s="466">
        <f>G4974/1.1</f>
        <v>1.4999999999999998</v>
      </c>
      <c r="I4974" s="436"/>
      <c r="J4974" s="465"/>
      <c r="K4974" s="465"/>
    </row>
    <row r="4975" spans="2:11" ht="19" customHeight="1">
      <c r="B4975" s="464">
        <v>46127</v>
      </c>
      <c r="C4975" s="436" t="s">
        <v>862</v>
      </c>
      <c r="D4975" s="436" t="s">
        <v>269</v>
      </c>
      <c r="E4975" s="436">
        <v>1</v>
      </c>
      <c r="F4975" s="465">
        <v>0.1</v>
      </c>
      <c r="G4975" s="466">
        <v>0.1</v>
      </c>
      <c r="H4975" s="466">
        <f>G4975/1.1</f>
        <v>9.0909090909090912E-2</v>
      </c>
      <c r="I4975" s="436"/>
      <c r="J4975" s="465"/>
      <c r="K4975" s="465"/>
    </row>
    <row r="4976" spans="2:11" ht="19" customHeight="1">
      <c r="B4976" s="464">
        <v>46127</v>
      </c>
      <c r="C4976" s="436" t="s">
        <v>247</v>
      </c>
      <c r="D4976" s="436" t="s">
        <v>248</v>
      </c>
      <c r="E4976" s="436">
        <v>1</v>
      </c>
      <c r="F4976" s="465">
        <v>1.65</v>
      </c>
      <c r="G4976" s="466">
        <v>1.65</v>
      </c>
      <c r="H4976" s="466">
        <f>G4976/1.1</f>
        <v>1.4999999999999998</v>
      </c>
      <c r="I4976" s="436"/>
      <c r="J4976" s="465"/>
      <c r="K4976" s="465"/>
    </row>
    <row r="4977" spans="2:11" ht="19" customHeight="1">
      <c r="B4977" s="464">
        <v>46127</v>
      </c>
      <c r="C4977" s="436" t="s">
        <v>268</v>
      </c>
      <c r="D4977" s="436" t="s">
        <v>1242</v>
      </c>
      <c r="E4977" s="436">
        <v>2</v>
      </c>
      <c r="F4977" s="465">
        <v>0.75</v>
      </c>
      <c r="G4977" s="466">
        <v>1.5</v>
      </c>
      <c r="H4977" s="466">
        <f>G4977/1.1</f>
        <v>1.3636363636363635</v>
      </c>
      <c r="I4977" s="436"/>
      <c r="J4977" s="465"/>
      <c r="K4977" s="465"/>
    </row>
    <row r="4978" spans="2:11" ht="19" customHeight="1">
      <c r="B4978" s="464">
        <v>46127</v>
      </c>
      <c r="C4978" s="436" t="s">
        <v>247</v>
      </c>
      <c r="D4978" s="436" t="s">
        <v>1241</v>
      </c>
      <c r="E4978" s="436">
        <v>1</v>
      </c>
      <c r="F4978" s="465">
        <v>1.7</v>
      </c>
      <c r="G4978" s="466">
        <v>1.7</v>
      </c>
      <c r="H4978" s="466">
        <f>G4978/1.1</f>
        <v>1.5454545454545452</v>
      </c>
      <c r="I4978" s="436"/>
      <c r="J4978" s="465"/>
      <c r="K4978" s="465"/>
    </row>
    <row r="4979" spans="2:11" ht="19" customHeight="1">
      <c r="B4979" s="464">
        <v>46127</v>
      </c>
      <c r="C4979" s="436" t="s">
        <v>862</v>
      </c>
      <c r="D4979" s="436" t="s">
        <v>907</v>
      </c>
      <c r="E4979" s="436">
        <v>1</v>
      </c>
      <c r="F4979" s="465">
        <v>0.15</v>
      </c>
      <c r="G4979" s="466">
        <v>0.15</v>
      </c>
      <c r="H4979" s="466">
        <f>G4979/1.1</f>
        <v>0.13636363636363635</v>
      </c>
      <c r="I4979" s="436"/>
      <c r="J4979" s="465"/>
      <c r="K4979" s="465"/>
    </row>
    <row r="4980" spans="2:11" ht="19" customHeight="1">
      <c r="B4980" s="464">
        <v>46127</v>
      </c>
      <c r="C4980" s="436" t="s">
        <v>275</v>
      </c>
      <c r="D4980" s="436" t="s">
        <v>1077</v>
      </c>
      <c r="E4980" s="436">
        <v>1</v>
      </c>
      <c r="F4980" s="465">
        <v>4.5</v>
      </c>
      <c r="G4980" s="466">
        <v>4.5</v>
      </c>
      <c r="H4980" s="466">
        <f>G4980/1.1</f>
        <v>4.0909090909090908</v>
      </c>
      <c r="I4980" s="436"/>
      <c r="J4980" s="465"/>
      <c r="K4980" s="465"/>
    </row>
    <row r="4981" spans="2:11" ht="19" customHeight="1">
      <c r="B4981" s="464">
        <v>46127</v>
      </c>
      <c r="C4981" s="436" t="s">
        <v>1265</v>
      </c>
      <c r="D4981" s="436" t="s">
        <v>1266</v>
      </c>
      <c r="E4981" s="436">
        <v>1</v>
      </c>
      <c r="F4981" s="465">
        <v>14.9</v>
      </c>
      <c r="G4981" s="466">
        <v>14.9</v>
      </c>
      <c r="H4981" s="466">
        <f>G4981/1.1</f>
        <v>13.545454545454545</v>
      </c>
      <c r="I4981" s="436"/>
      <c r="J4981" s="465"/>
      <c r="K4981" s="465"/>
    </row>
    <row r="4982" spans="2:11" ht="19" customHeight="1">
      <c r="B4982" s="464">
        <v>46127</v>
      </c>
      <c r="C4982" s="436" t="s">
        <v>256</v>
      </c>
      <c r="D4982" s="436" t="s">
        <v>871</v>
      </c>
      <c r="E4982" s="436">
        <v>1</v>
      </c>
      <c r="F4982" s="465">
        <v>3</v>
      </c>
      <c r="G4982" s="466">
        <v>3</v>
      </c>
      <c r="H4982" s="466">
        <f>G4982/1.1</f>
        <v>2.7272727272727271</v>
      </c>
      <c r="I4982" s="436"/>
      <c r="J4982" s="465"/>
      <c r="K4982" s="465"/>
    </row>
    <row r="4983" spans="2:11" ht="19" customHeight="1">
      <c r="B4983" s="464">
        <v>46127</v>
      </c>
      <c r="C4983" s="436" t="s">
        <v>275</v>
      </c>
      <c r="D4983" s="436" t="s">
        <v>682</v>
      </c>
      <c r="E4983" s="436">
        <v>1</v>
      </c>
      <c r="F4983" s="465">
        <v>3</v>
      </c>
      <c r="G4983" s="466">
        <v>3</v>
      </c>
      <c r="H4983" s="466">
        <f>G4983/1.1</f>
        <v>2.7272727272727271</v>
      </c>
      <c r="I4983" s="436"/>
      <c r="J4983" s="465"/>
      <c r="K4983" s="465"/>
    </row>
    <row r="4984" spans="2:11" ht="19" customHeight="1">
      <c r="B4984" s="464">
        <v>46127</v>
      </c>
      <c r="C4984" s="436" t="s">
        <v>1265</v>
      </c>
      <c r="D4984" s="436" t="s">
        <v>1266</v>
      </c>
      <c r="E4984" s="436">
        <v>2</v>
      </c>
      <c r="F4984" s="465">
        <v>14.9</v>
      </c>
      <c r="G4984" s="466">
        <v>29.8</v>
      </c>
      <c r="H4984" s="466">
        <f>G4984/1.1</f>
        <v>27.09090909090909</v>
      </c>
      <c r="I4984" s="436"/>
      <c r="J4984" s="465"/>
      <c r="K4984" s="465"/>
    </row>
    <row r="4985" spans="2:11" ht="19" customHeight="1">
      <c r="B4985" s="464">
        <v>46127</v>
      </c>
      <c r="C4985" s="436" t="s">
        <v>251</v>
      </c>
      <c r="D4985" s="436" t="s">
        <v>926</v>
      </c>
      <c r="E4985" s="436">
        <v>1</v>
      </c>
      <c r="F4985" s="465">
        <v>1</v>
      </c>
      <c r="G4985" s="466">
        <v>1</v>
      </c>
      <c r="H4985" s="466">
        <f>G4985/1.1</f>
        <v>0.90909090909090906</v>
      </c>
      <c r="I4985" s="436"/>
      <c r="J4985" s="465"/>
      <c r="K4985" s="465"/>
    </row>
    <row r="4986" spans="2:11" ht="19" customHeight="1">
      <c r="B4986" s="464">
        <v>46127</v>
      </c>
      <c r="C4986" s="436" t="s">
        <v>256</v>
      </c>
      <c r="D4986" s="436" t="s">
        <v>255</v>
      </c>
      <c r="E4986" s="436">
        <v>1</v>
      </c>
      <c r="F4986" s="465">
        <v>5.85</v>
      </c>
      <c r="G4986" s="466">
        <v>5.85</v>
      </c>
      <c r="H4986" s="466">
        <f>G4986/1.1</f>
        <v>5.3181818181818175</v>
      </c>
      <c r="I4986" s="436"/>
      <c r="J4986" s="465"/>
      <c r="K4986" s="465"/>
    </row>
    <row r="4987" spans="2:11" ht="19" customHeight="1">
      <c r="B4987" s="464">
        <v>46127</v>
      </c>
      <c r="C4987" s="436" t="s">
        <v>251</v>
      </c>
      <c r="D4987" s="436" t="s">
        <v>265</v>
      </c>
      <c r="E4987" s="436">
        <v>2</v>
      </c>
      <c r="F4987" s="465">
        <v>2.8</v>
      </c>
      <c r="G4987" s="466">
        <v>5.6</v>
      </c>
      <c r="H4987" s="466">
        <f>G4987/1.1</f>
        <v>5.0909090909090899</v>
      </c>
      <c r="I4987" s="436"/>
      <c r="J4987" s="465"/>
      <c r="K4987" s="465"/>
    </row>
    <row r="4988" spans="2:11" ht="19" customHeight="1">
      <c r="B4988" s="464">
        <v>46127</v>
      </c>
      <c r="C4988" s="436" t="s">
        <v>256</v>
      </c>
      <c r="D4988" s="436" t="s">
        <v>912</v>
      </c>
      <c r="E4988" s="436">
        <v>1</v>
      </c>
      <c r="F4988" s="465">
        <v>5.5</v>
      </c>
      <c r="G4988" s="466">
        <v>5.5</v>
      </c>
      <c r="H4988" s="466">
        <f>G4988/1.1</f>
        <v>5</v>
      </c>
      <c r="I4988" s="436"/>
      <c r="J4988" s="465"/>
      <c r="K4988" s="465"/>
    </row>
    <row r="4989" spans="2:11" ht="19" customHeight="1">
      <c r="B4989" s="464">
        <v>46127</v>
      </c>
      <c r="C4989" s="436" t="s">
        <v>251</v>
      </c>
      <c r="D4989" s="436" t="s">
        <v>708</v>
      </c>
      <c r="E4989" s="436">
        <v>1</v>
      </c>
      <c r="F4989" s="465">
        <v>1.95</v>
      </c>
      <c r="G4989" s="466">
        <v>1.95</v>
      </c>
      <c r="H4989" s="466">
        <f>G4989/1.1</f>
        <v>1.7727272727272725</v>
      </c>
      <c r="I4989" s="436"/>
      <c r="J4989" s="465"/>
      <c r="K4989" s="465"/>
    </row>
    <row r="4990" spans="2:11" ht="19" customHeight="1">
      <c r="B4990" s="464">
        <v>46127</v>
      </c>
      <c r="C4990" s="436" t="s">
        <v>253</v>
      </c>
      <c r="D4990" s="436" t="s">
        <v>1269</v>
      </c>
      <c r="E4990" s="436">
        <v>2</v>
      </c>
      <c r="F4990" s="465">
        <v>2.0499999999999998</v>
      </c>
      <c r="G4990" s="466">
        <v>4.0999999999999996</v>
      </c>
      <c r="H4990" s="466">
        <f>G4990/1.1</f>
        <v>3.7272727272727266</v>
      </c>
      <c r="I4990" s="436"/>
      <c r="J4990" s="465"/>
      <c r="K4990" s="465"/>
    </row>
    <row r="4991" spans="2:11" ht="19" customHeight="1">
      <c r="B4991" s="464">
        <v>46127</v>
      </c>
      <c r="C4991" s="436" t="s">
        <v>253</v>
      </c>
      <c r="D4991" s="436" t="s">
        <v>989</v>
      </c>
      <c r="E4991" s="436">
        <v>1</v>
      </c>
      <c r="F4991" s="465">
        <v>2.95</v>
      </c>
      <c r="G4991" s="466">
        <v>2.95</v>
      </c>
      <c r="H4991" s="466">
        <f>G4991/1.1</f>
        <v>2.6818181818181817</v>
      </c>
      <c r="I4991" s="436"/>
      <c r="J4991" s="465"/>
      <c r="K4991" s="465"/>
    </row>
    <row r="4992" spans="2:11" ht="19" customHeight="1">
      <c r="B4992" s="464">
        <v>46127</v>
      </c>
      <c r="C4992" s="436" t="s">
        <v>1265</v>
      </c>
      <c r="D4992" s="436" t="s">
        <v>1266</v>
      </c>
      <c r="E4992" s="436">
        <v>2</v>
      </c>
      <c r="F4992" s="465">
        <v>14.9</v>
      </c>
      <c r="G4992" s="466">
        <v>29.8</v>
      </c>
      <c r="H4992" s="466">
        <f>G4992/1.1</f>
        <v>27.09090909090909</v>
      </c>
      <c r="I4992" s="436"/>
      <c r="J4992" s="465"/>
      <c r="K4992" s="465"/>
    </row>
    <row r="4993" spans="2:11" ht="19" customHeight="1">
      <c r="B4993" s="464">
        <v>46127</v>
      </c>
      <c r="C4993" s="436" t="s">
        <v>1265</v>
      </c>
      <c r="D4993" s="436" t="s">
        <v>1266</v>
      </c>
      <c r="E4993" s="436">
        <v>1</v>
      </c>
      <c r="F4993" s="465">
        <v>14.9</v>
      </c>
      <c r="G4993" s="466">
        <v>14.9</v>
      </c>
      <c r="H4993" s="466">
        <f>G4993/1.1</f>
        <v>13.545454545454545</v>
      </c>
      <c r="I4993" s="436"/>
      <c r="J4993" s="465"/>
      <c r="K4993" s="465"/>
    </row>
    <row r="4994" spans="2:11" ht="19" customHeight="1">
      <c r="B4994" s="464">
        <v>46127</v>
      </c>
      <c r="C4994" s="436" t="s">
        <v>251</v>
      </c>
      <c r="D4994" s="436" t="s">
        <v>265</v>
      </c>
      <c r="E4994" s="436">
        <v>1</v>
      </c>
      <c r="F4994" s="465">
        <v>1</v>
      </c>
      <c r="G4994" s="466">
        <v>1</v>
      </c>
      <c r="H4994" s="466">
        <f>G4994/1.1</f>
        <v>0.90909090909090906</v>
      </c>
      <c r="I4994" s="436"/>
      <c r="J4994" s="465"/>
      <c r="K4994" s="465"/>
    </row>
    <row r="4995" spans="2:11" ht="19" customHeight="1">
      <c r="B4995" s="464">
        <v>46127</v>
      </c>
      <c r="C4995" s="436" t="s">
        <v>256</v>
      </c>
      <c r="D4995" s="436" t="s">
        <v>738</v>
      </c>
      <c r="E4995" s="436">
        <v>1</v>
      </c>
      <c r="F4995" s="465">
        <v>7.15</v>
      </c>
      <c r="G4995" s="466">
        <v>7.15</v>
      </c>
      <c r="H4995" s="466">
        <f>G4995/1.1</f>
        <v>6.5</v>
      </c>
      <c r="I4995" s="436"/>
      <c r="J4995" s="465"/>
      <c r="K4995" s="465"/>
    </row>
    <row r="4996" spans="2:11" ht="19" customHeight="1">
      <c r="B4996" s="464">
        <v>46127</v>
      </c>
      <c r="C4996" s="436" t="s">
        <v>256</v>
      </c>
      <c r="D4996" s="436" t="s">
        <v>255</v>
      </c>
      <c r="E4996" s="436">
        <v>1</v>
      </c>
      <c r="F4996" s="465">
        <v>5.85</v>
      </c>
      <c r="G4996" s="466">
        <v>5.85</v>
      </c>
      <c r="H4996" s="466">
        <f>G4996/1.1</f>
        <v>5.3181818181818175</v>
      </c>
      <c r="I4996" s="436"/>
      <c r="J4996" s="465"/>
      <c r="K4996" s="465"/>
    </row>
    <row r="4997" spans="2:11" ht="19" customHeight="1">
      <c r="B4997" s="464">
        <v>46127</v>
      </c>
      <c r="C4997" s="436" t="s">
        <v>256</v>
      </c>
      <c r="D4997" s="436" t="s">
        <v>912</v>
      </c>
      <c r="E4997" s="436">
        <v>2</v>
      </c>
      <c r="F4997" s="465">
        <v>5.75</v>
      </c>
      <c r="G4997" s="466">
        <v>11.5</v>
      </c>
      <c r="H4997" s="466">
        <f>G4997/1.1</f>
        <v>10.454545454545453</v>
      </c>
      <c r="I4997" s="436"/>
      <c r="J4997" s="465"/>
      <c r="K4997" s="465"/>
    </row>
    <row r="4998" spans="2:11" ht="19" customHeight="1">
      <c r="B4998" s="464">
        <v>46127</v>
      </c>
      <c r="C4998" s="436" t="s">
        <v>251</v>
      </c>
      <c r="D4998" s="436" t="s">
        <v>265</v>
      </c>
      <c r="E4998" s="436">
        <v>1</v>
      </c>
      <c r="F4998" s="465">
        <v>2.8</v>
      </c>
      <c r="G4998" s="466">
        <v>2.8</v>
      </c>
      <c r="H4998" s="466">
        <f>G4998/1.1</f>
        <v>2.545454545454545</v>
      </c>
      <c r="I4998" s="436"/>
      <c r="J4998" s="465"/>
      <c r="K4998" s="465"/>
    </row>
    <row r="4999" spans="2:11" ht="19" customHeight="1">
      <c r="B4999" s="464">
        <v>46127</v>
      </c>
      <c r="C4999" s="436" t="s">
        <v>253</v>
      </c>
      <c r="D4999" s="436" t="s">
        <v>252</v>
      </c>
      <c r="E4999" s="436">
        <v>3</v>
      </c>
      <c r="F4999" s="465">
        <v>2.65</v>
      </c>
      <c r="G4999" s="466">
        <v>7.95</v>
      </c>
      <c r="H4999" s="466">
        <f>G4999/1.1</f>
        <v>7.2272727272727266</v>
      </c>
      <c r="I4999" s="436"/>
      <c r="J4999" s="465"/>
      <c r="K4999" s="465"/>
    </row>
    <row r="5000" spans="2:11" ht="19" customHeight="1">
      <c r="B5000" s="464">
        <v>46127</v>
      </c>
      <c r="C5000" s="436" t="s">
        <v>251</v>
      </c>
      <c r="D5000" s="436" t="s">
        <v>708</v>
      </c>
      <c r="E5000" s="436">
        <v>2</v>
      </c>
      <c r="F5000" s="465">
        <v>1.95</v>
      </c>
      <c r="G5000" s="466">
        <v>3.9</v>
      </c>
      <c r="H5000" s="466">
        <f>G5000/1.1</f>
        <v>3.545454545454545</v>
      </c>
      <c r="I5000" s="436"/>
      <c r="J5000" s="465"/>
      <c r="K5000" s="465"/>
    </row>
    <row r="5001" spans="2:11" ht="19" customHeight="1">
      <c r="B5001" s="464">
        <v>46127</v>
      </c>
      <c r="C5001" s="436" t="s">
        <v>251</v>
      </c>
      <c r="D5001" s="436" t="s">
        <v>250</v>
      </c>
      <c r="E5001" s="436">
        <v>2</v>
      </c>
      <c r="F5001" s="465">
        <v>1.8</v>
      </c>
      <c r="G5001" s="466">
        <v>3.6</v>
      </c>
      <c r="H5001" s="466">
        <f>G5001/1.1</f>
        <v>3.2727272727272725</v>
      </c>
      <c r="I5001" s="436"/>
      <c r="J5001" s="465"/>
      <c r="K5001" s="465"/>
    </row>
    <row r="5002" spans="2:11" ht="19" customHeight="1">
      <c r="B5002" s="464">
        <v>46127</v>
      </c>
      <c r="C5002" s="436" t="s">
        <v>276</v>
      </c>
      <c r="D5002" s="436" t="s">
        <v>1298</v>
      </c>
      <c r="E5002" s="436">
        <v>1</v>
      </c>
      <c r="F5002" s="465">
        <v>4.75</v>
      </c>
      <c r="G5002" s="466">
        <v>4.75</v>
      </c>
      <c r="H5002" s="466">
        <f>G5002/1.1</f>
        <v>4.3181818181818175</v>
      </c>
      <c r="I5002" s="436"/>
      <c r="J5002" s="465"/>
      <c r="K5002" s="465"/>
    </row>
    <row r="5003" spans="2:11" ht="19" customHeight="1">
      <c r="B5003" s="464">
        <v>46127</v>
      </c>
      <c r="C5003" s="436" t="s">
        <v>277</v>
      </c>
      <c r="D5003" s="436" t="s">
        <v>1188</v>
      </c>
      <c r="E5003" s="436">
        <v>1</v>
      </c>
      <c r="F5003" s="465">
        <v>10.9</v>
      </c>
      <c r="G5003" s="466">
        <v>10.9</v>
      </c>
      <c r="H5003" s="466">
        <f>G5003/1.1</f>
        <v>9.9090909090909083</v>
      </c>
      <c r="I5003" s="436"/>
      <c r="J5003" s="465"/>
      <c r="K5003" s="465"/>
    </row>
    <row r="5004" spans="2:11" ht="19" customHeight="1">
      <c r="B5004" s="464">
        <v>46127</v>
      </c>
      <c r="C5004" s="436" t="s">
        <v>256</v>
      </c>
      <c r="D5004" s="436" t="s">
        <v>763</v>
      </c>
      <c r="E5004" s="436">
        <v>1</v>
      </c>
      <c r="F5004" s="465">
        <v>11.5</v>
      </c>
      <c r="G5004" s="466">
        <v>11.5</v>
      </c>
      <c r="H5004" s="466">
        <f>G5004/1.1</f>
        <v>10.454545454545453</v>
      </c>
      <c r="I5004" s="436"/>
      <c r="J5004" s="465"/>
      <c r="K5004" s="465"/>
    </row>
    <row r="5005" spans="2:11" ht="19" customHeight="1">
      <c r="B5005" s="464">
        <v>46127</v>
      </c>
      <c r="C5005" s="436" t="s">
        <v>256</v>
      </c>
      <c r="D5005" s="436" t="s">
        <v>891</v>
      </c>
      <c r="E5005" s="436">
        <v>1</v>
      </c>
      <c r="F5005" s="465">
        <v>1.4</v>
      </c>
      <c r="G5005" s="466">
        <v>1.4</v>
      </c>
      <c r="H5005" s="466">
        <f>G5005/1.1</f>
        <v>1.2727272727272725</v>
      </c>
      <c r="I5005" s="436"/>
      <c r="J5005" s="465"/>
      <c r="K5005" s="465"/>
    </row>
    <row r="5006" spans="2:11" ht="19" customHeight="1">
      <c r="B5006" s="464">
        <v>46127</v>
      </c>
      <c r="C5006" s="436" t="s">
        <v>256</v>
      </c>
      <c r="D5006" s="436" t="s">
        <v>1042</v>
      </c>
      <c r="E5006" s="436">
        <v>1</v>
      </c>
      <c r="F5006" s="465">
        <v>13.95</v>
      </c>
      <c r="G5006" s="466">
        <v>13.95</v>
      </c>
      <c r="H5006" s="466">
        <f>G5006/1.1</f>
        <v>12.68181818181818</v>
      </c>
      <c r="I5006" s="436"/>
      <c r="J5006" s="465"/>
      <c r="K5006" s="465"/>
    </row>
    <row r="5007" spans="2:11" ht="19" customHeight="1">
      <c r="B5007" s="464">
        <v>46127</v>
      </c>
      <c r="C5007" s="436" t="s">
        <v>256</v>
      </c>
      <c r="D5007" s="436" t="s">
        <v>679</v>
      </c>
      <c r="E5007" s="436">
        <v>1</v>
      </c>
      <c r="F5007" s="465">
        <v>10</v>
      </c>
      <c r="G5007" s="466">
        <v>10</v>
      </c>
      <c r="H5007" s="466">
        <f>G5007/1.1</f>
        <v>9.0909090909090899</v>
      </c>
      <c r="I5007" s="436"/>
      <c r="J5007" s="465"/>
      <c r="K5007" s="465"/>
    </row>
    <row r="5008" spans="2:11" ht="19" customHeight="1">
      <c r="B5008" s="464">
        <v>46127</v>
      </c>
      <c r="C5008" s="436" t="s">
        <v>256</v>
      </c>
      <c r="D5008" s="436" t="s">
        <v>870</v>
      </c>
      <c r="E5008" s="436">
        <v>1</v>
      </c>
      <c r="F5008" s="465">
        <v>8.5</v>
      </c>
      <c r="G5008" s="466">
        <v>8.5</v>
      </c>
      <c r="H5008" s="466">
        <f>G5008/1.1</f>
        <v>7.7272727272727266</v>
      </c>
      <c r="I5008" s="436"/>
      <c r="J5008" s="465"/>
      <c r="K5008" s="465"/>
    </row>
    <row r="5009" spans="2:11" ht="19" customHeight="1">
      <c r="B5009" s="464">
        <v>46127</v>
      </c>
      <c r="C5009" s="436" t="s">
        <v>256</v>
      </c>
      <c r="D5009" s="436" t="s">
        <v>261</v>
      </c>
      <c r="E5009" s="436">
        <v>1</v>
      </c>
      <c r="F5009" s="465">
        <v>8.5</v>
      </c>
      <c r="G5009" s="466">
        <v>8.5</v>
      </c>
      <c r="H5009" s="466">
        <f>G5009/1.1</f>
        <v>7.7272727272727266</v>
      </c>
      <c r="I5009" s="436"/>
      <c r="J5009" s="465"/>
      <c r="K5009" s="465"/>
    </row>
    <row r="5010" spans="2:11" ht="19" customHeight="1">
      <c r="B5010" s="464">
        <v>46127</v>
      </c>
      <c r="C5010" s="436" t="s">
        <v>256</v>
      </c>
      <c r="D5010" s="436" t="s">
        <v>932</v>
      </c>
      <c r="E5010" s="436">
        <v>1</v>
      </c>
      <c r="F5010" s="465">
        <v>8.5</v>
      </c>
      <c r="G5010" s="466">
        <v>8.5</v>
      </c>
      <c r="H5010" s="466">
        <f>G5010/1.1</f>
        <v>7.7272727272727266</v>
      </c>
      <c r="I5010" s="436"/>
      <c r="J5010" s="465"/>
      <c r="K5010" s="465"/>
    </row>
    <row r="5011" spans="2:11" ht="19" customHeight="1">
      <c r="B5011" s="464">
        <v>46127</v>
      </c>
      <c r="C5011" s="436" t="s">
        <v>253</v>
      </c>
      <c r="D5011" s="436" t="s">
        <v>869</v>
      </c>
      <c r="E5011" s="436">
        <v>3</v>
      </c>
      <c r="F5011" s="465">
        <v>2.5</v>
      </c>
      <c r="G5011" s="466">
        <v>7.5</v>
      </c>
      <c r="H5011" s="466">
        <f>G5011/1.1</f>
        <v>6.8181818181818175</v>
      </c>
      <c r="I5011" s="436"/>
      <c r="J5011" s="465"/>
      <c r="K5011" s="465"/>
    </row>
    <row r="5012" spans="2:11" ht="19" customHeight="1">
      <c r="B5012" s="464">
        <v>46127</v>
      </c>
      <c r="C5012" s="436" t="s">
        <v>251</v>
      </c>
      <c r="D5012" s="436" t="s">
        <v>250</v>
      </c>
      <c r="E5012" s="436">
        <v>1</v>
      </c>
      <c r="F5012" s="465">
        <v>1.8</v>
      </c>
      <c r="G5012" s="466">
        <v>1.8</v>
      </c>
      <c r="H5012" s="466">
        <f>G5012/1.1</f>
        <v>1.6363636363636362</v>
      </c>
      <c r="I5012" s="436"/>
      <c r="J5012" s="465"/>
      <c r="K5012" s="465"/>
    </row>
    <row r="5013" spans="2:11" ht="19" customHeight="1">
      <c r="B5013" s="464">
        <v>46127</v>
      </c>
      <c r="C5013" s="436" t="s">
        <v>725</v>
      </c>
      <c r="D5013" s="436" t="s">
        <v>1299</v>
      </c>
      <c r="E5013" s="436">
        <v>1</v>
      </c>
      <c r="F5013" s="465">
        <v>1.9</v>
      </c>
      <c r="G5013" s="466">
        <v>1.9</v>
      </c>
      <c r="H5013" s="466">
        <f>G5013/1.1</f>
        <v>1.7272727272727271</v>
      </c>
      <c r="I5013" s="436"/>
      <c r="J5013" s="465"/>
      <c r="K5013" s="465"/>
    </row>
    <row r="5014" spans="2:11" ht="19" customHeight="1">
      <c r="B5014" s="464">
        <v>46127</v>
      </c>
      <c r="C5014" s="436" t="s">
        <v>1079</v>
      </c>
      <c r="D5014" s="436" t="s">
        <v>703</v>
      </c>
      <c r="E5014" s="436">
        <v>1</v>
      </c>
      <c r="F5014" s="465">
        <v>2</v>
      </c>
      <c r="G5014" s="466">
        <v>2</v>
      </c>
      <c r="H5014" s="466">
        <f>G5014/1.1</f>
        <v>1.8181818181818181</v>
      </c>
      <c r="I5014" s="436"/>
      <c r="J5014" s="465"/>
      <c r="K5014" s="465"/>
    </row>
    <row r="5015" spans="2:11" ht="19" customHeight="1">
      <c r="B5015" s="464">
        <v>46127</v>
      </c>
      <c r="C5015" s="436" t="s">
        <v>256</v>
      </c>
      <c r="D5015" s="436" t="s">
        <v>1114</v>
      </c>
      <c r="E5015" s="436">
        <v>1</v>
      </c>
      <c r="F5015" s="465">
        <v>-0.2</v>
      </c>
      <c r="G5015" s="466">
        <v>-0.2</v>
      </c>
      <c r="H5015" s="466">
        <f>G5015/1.1</f>
        <v>-0.18181818181818182</v>
      </c>
      <c r="I5015" s="436"/>
      <c r="J5015" s="465"/>
      <c r="K5015" s="465"/>
    </row>
    <row r="5016" spans="2:11" ht="19" customHeight="1">
      <c r="B5016" s="464">
        <v>46127</v>
      </c>
      <c r="C5016" s="436" t="s">
        <v>256</v>
      </c>
      <c r="D5016" s="436" t="s">
        <v>261</v>
      </c>
      <c r="E5016" s="436">
        <v>2</v>
      </c>
      <c r="F5016" s="465">
        <v>1.7</v>
      </c>
      <c r="G5016" s="466">
        <v>3.4</v>
      </c>
      <c r="H5016" s="466">
        <f>G5016/1.1</f>
        <v>3.0909090909090904</v>
      </c>
      <c r="I5016" s="436"/>
      <c r="J5016" s="465"/>
      <c r="K5016" s="465"/>
    </row>
    <row r="5017" spans="2:11" ht="19" customHeight="1">
      <c r="B5017" s="464">
        <v>46127</v>
      </c>
      <c r="C5017" s="436" t="s">
        <v>256</v>
      </c>
      <c r="D5017" s="436" t="s">
        <v>870</v>
      </c>
      <c r="E5017" s="436">
        <v>2</v>
      </c>
      <c r="F5017" s="465">
        <v>1.7</v>
      </c>
      <c r="G5017" s="466">
        <v>3.4</v>
      </c>
      <c r="H5017" s="466">
        <f>G5017/1.1</f>
        <v>3.0909090909090904</v>
      </c>
      <c r="I5017" s="436"/>
      <c r="J5017" s="465"/>
      <c r="K5017" s="465"/>
    </row>
    <row r="5018" spans="2:11" ht="19" customHeight="1">
      <c r="B5018" s="464">
        <v>46127</v>
      </c>
      <c r="C5018" s="436" t="s">
        <v>256</v>
      </c>
      <c r="D5018" s="436" t="s">
        <v>932</v>
      </c>
      <c r="E5018" s="436">
        <v>2</v>
      </c>
      <c r="F5018" s="465">
        <v>1.7</v>
      </c>
      <c r="G5018" s="466">
        <v>3.4</v>
      </c>
      <c r="H5018" s="466">
        <f>G5018/1.1</f>
        <v>3.0909090909090904</v>
      </c>
      <c r="I5018" s="436"/>
      <c r="J5018" s="465"/>
      <c r="K5018" s="465"/>
    </row>
    <row r="5019" spans="2:11" ht="19" customHeight="1">
      <c r="B5019" s="464">
        <v>46127</v>
      </c>
      <c r="C5019" s="436" t="s">
        <v>256</v>
      </c>
      <c r="D5019" s="436" t="s">
        <v>1300</v>
      </c>
      <c r="E5019" s="436">
        <v>1</v>
      </c>
      <c r="F5019" s="465">
        <v>10.9</v>
      </c>
      <c r="G5019" s="466">
        <v>10.9</v>
      </c>
      <c r="H5019" s="466">
        <f>G5019/1.1</f>
        <v>9.9090909090909083</v>
      </c>
      <c r="I5019" s="436"/>
      <c r="J5019" s="465"/>
      <c r="K5019" s="465"/>
    </row>
    <row r="5020" spans="2:11" ht="19" customHeight="1">
      <c r="B5020" s="464">
        <v>46127</v>
      </c>
      <c r="C5020" s="436" t="s">
        <v>277</v>
      </c>
      <c r="D5020" s="436" t="s">
        <v>954</v>
      </c>
      <c r="E5020" s="436">
        <v>1</v>
      </c>
      <c r="F5020" s="465">
        <v>12.9</v>
      </c>
      <c r="G5020" s="466">
        <v>12.9</v>
      </c>
      <c r="H5020" s="466">
        <f>G5020/1.1</f>
        <v>11.727272727272727</v>
      </c>
      <c r="I5020" s="436"/>
      <c r="J5020" s="465"/>
      <c r="K5020" s="465"/>
    </row>
    <row r="5021" spans="2:11" ht="19" customHeight="1">
      <c r="B5021" s="464">
        <v>46127</v>
      </c>
      <c r="C5021" s="436" t="s">
        <v>256</v>
      </c>
      <c r="D5021" s="436" t="s">
        <v>255</v>
      </c>
      <c r="E5021" s="436">
        <v>1</v>
      </c>
      <c r="F5021" s="465">
        <v>5.6</v>
      </c>
      <c r="G5021" s="466">
        <v>5.6</v>
      </c>
      <c r="H5021" s="466">
        <f>G5021/1.1</f>
        <v>5.0909090909090899</v>
      </c>
      <c r="I5021" s="436"/>
      <c r="J5021" s="465"/>
      <c r="K5021" s="465"/>
    </row>
    <row r="5022" spans="2:11" ht="19" customHeight="1">
      <c r="B5022" s="464">
        <v>46128</v>
      </c>
      <c r="C5022" s="436" t="s">
        <v>873</v>
      </c>
      <c r="D5022" s="878" t="s">
        <v>1296</v>
      </c>
      <c r="E5022" s="436">
        <v>3</v>
      </c>
      <c r="F5022" s="465"/>
      <c r="G5022" s="466">
        <f>Tabla12[[#This Row],[ PVP ]]</f>
        <v>0</v>
      </c>
      <c r="H5022" s="466">
        <f>G5022/1.1</f>
        <v>0</v>
      </c>
      <c r="I5022" s="436">
        <f>IFERROR(VLOOKUP(D5022,BD_Datos!$M$1:$P$1014,3,FALSE),0)</f>
        <v>0</v>
      </c>
      <c r="J5022" s="465">
        <f>IFERROR(VLOOKUP(D5022,BD_Datos!$M$1:$P$1014,2,FALSE),0)</f>
        <v>0</v>
      </c>
      <c r="K5022" s="465">
        <f>J5022*E5022</f>
        <v>0</v>
      </c>
    </row>
    <row r="5023" spans="2:11" ht="19" customHeight="1">
      <c r="B5023" s="464">
        <v>46128</v>
      </c>
      <c r="C5023" s="436" t="s">
        <v>873</v>
      </c>
      <c r="D5023" s="878" t="s">
        <v>1013</v>
      </c>
      <c r="E5023" s="436">
        <v>1</v>
      </c>
      <c r="F5023" s="465"/>
      <c r="G5023" s="466">
        <f>Tabla12[[#This Row],[ PVP ]]</f>
        <v>0</v>
      </c>
      <c r="H5023" s="466">
        <f>G5023/1.1</f>
        <v>0</v>
      </c>
      <c r="I5023" s="436">
        <f>IFERROR(VLOOKUP(D5023,BD_Datos!$M$1:$P$1014,3,FALSE),0)</f>
        <v>0</v>
      </c>
      <c r="J5023" s="465">
        <f>IFERROR(VLOOKUP(D5023,BD_Datos!$M$1:$P$1014,2,FALSE),0)</f>
        <v>0</v>
      </c>
      <c r="K5023" s="465">
        <f>J5023*E5023</f>
        <v>0</v>
      </c>
    </row>
    <row r="5024" spans="2:11" ht="19" customHeight="1">
      <c r="B5024" s="464">
        <v>46128</v>
      </c>
      <c r="C5024" s="436" t="s">
        <v>877</v>
      </c>
      <c r="D5024" s="878" t="s">
        <v>1053</v>
      </c>
      <c r="E5024" s="436">
        <v>1</v>
      </c>
      <c r="F5024" s="465"/>
      <c r="G5024" s="466">
        <f>Tabla12[[#This Row],[ PVP ]]</f>
        <v>0</v>
      </c>
      <c r="H5024" s="466">
        <f>G5024/1.1</f>
        <v>0</v>
      </c>
      <c r="I5024" s="436">
        <f>IFERROR(VLOOKUP(D5024,BD_Datos!$M$1:$P$1014,3,FALSE),0)</f>
        <v>0</v>
      </c>
      <c r="J5024" s="465">
        <f>IFERROR(VLOOKUP(D5024,BD_Datos!$M$1:$P$1014,2,FALSE),0)</f>
        <v>0.75</v>
      </c>
      <c r="K5024" s="465">
        <f>J5024*E5024</f>
        <v>0.75</v>
      </c>
    </row>
    <row r="5025" spans="2:11" ht="19" customHeight="1">
      <c r="B5025" s="464">
        <v>46128</v>
      </c>
      <c r="C5025" s="436" t="s">
        <v>877</v>
      </c>
      <c r="D5025" s="878" t="s">
        <v>1159</v>
      </c>
      <c r="E5025" s="436">
        <v>1</v>
      </c>
      <c r="F5025" s="465"/>
      <c r="G5025" s="466">
        <f>Tabla12[[#This Row],[ PVP ]]</f>
        <v>0</v>
      </c>
      <c r="H5025" s="466">
        <f>G5025/1.1</f>
        <v>0</v>
      </c>
      <c r="I5025" s="436">
        <f>IFERROR(VLOOKUP(D5025,BD_Datos!$M$1:$P$1014,3,FALSE),0)</f>
        <v>0.14000000000000001</v>
      </c>
      <c r="J5025" s="465">
        <f>IFERROR(VLOOKUP(D5025,BD_Datos!$M$1:$P$1014,2,FALSE),0)</f>
        <v>0.76</v>
      </c>
      <c r="K5025" s="465">
        <f>J5025*E5025</f>
        <v>0.76</v>
      </c>
    </row>
    <row r="5026" spans="2:11" ht="19" customHeight="1">
      <c r="B5026" s="464">
        <v>46128</v>
      </c>
      <c r="C5026" s="436" t="s">
        <v>266</v>
      </c>
      <c r="D5026" s="878" t="s">
        <v>250</v>
      </c>
      <c r="E5026" s="436">
        <v>2</v>
      </c>
      <c r="F5026" s="465"/>
      <c r="G5026" s="466">
        <f>Tabla12[[#This Row],[ PVP ]]</f>
        <v>0</v>
      </c>
      <c r="H5026" s="466">
        <f>G5026/1.1</f>
        <v>0</v>
      </c>
      <c r="I5026" s="436">
        <f>IFERROR(VLOOKUP(D5026,BD_Datos!$M$1:$P$1014,3,FALSE),0)</f>
        <v>0.21</v>
      </c>
      <c r="J5026" s="465">
        <f>IFERROR(VLOOKUP(D5026,BD_Datos!$M$1:$P$1014,2,FALSE),0)</f>
        <v>0.05</v>
      </c>
      <c r="K5026" s="465">
        <f>J5026*E5026</f>
        <v>0.1</v>
      </c>
    </row>
    <row r="5027" spans="2:11" ht="19" customHeight="1">
      <c r="B5027" s="464">
        <v>46128</v>
      </c>
      <c r="C5027" s="436" t="s">
        <v>266</v>
      </c>
      <c r="D5027" s="878" t="s">
        <v>708</v>
      </c>
      <c r="E5027" s="436">
        <v>1</v>
      </c>
      <c r="F5027" s="465"/>
      <c r="G5027" s="466">
        <f>Tabla12[[#This Row],[ PVP ]]</f>
        <v>0</v>
      </c>
      <c r="H5027" s="466">
        <f>G5027/1.1</f>
        <v>0</v>
      </c>
      <c r="I5027" s="436">
        <f>IFERROR(VLOOKUP(D5027,BD_Datos!$M$1:$P$1014,3,FALSE),0)</f>
        <v>0.22</v>
      </c>
      <c r="J5027" s="465">
        <f>IFERROR(VLOOKUP(D5027,BD_Datos!$M$1:$P$1014,2,FALSE),0)</f>
        <v>0.11</v>
      </c>
      <c r="K5027" s="465">
        <f>J5027*E5027</f>
        <v>0.11</v>
      </c>
    </row>
    <row r="5028" spans="2:11" ht="19" customHeight="1">
      <c r="B5028" s="464">
        <v>46128</v>
      </c>
      <c r="C5028" s="436" t="s">
        <v>873</v>
      </c>
      <c r="D5028" s="878" t="s">
        <v>1296</v>
      </c>
      <c r="E5028" s="436">
        <v>1</v>
      </c>
      <c r="F5028" s="465"/>
      <c r="G5028" s="466">
        <f>Tabla12[[#This Row],[ PVP ]]</f>
        <v>0</v>
      </c>
      <c r="H5028" s="466">
        <f>G5028/1.1</f>
        <v>0</v>
      </c>
      <c r="I5028" s="436">
        <f>IFERROR(VLOOKUP(D5028,BD_Datos!$M$1:$P$1014,3,FALSE),0)</f>
        <v>0</v>
      </c>
      <c r="J5028" s="465">
        <f>IFERROR(VLOOKUP(D5028,BD_Datos!$M$1:$P$1014,2,FALSE),0)</f>
        <v>0</v>
      </c>
      <c r="K5028" s="465">
        <f>J5028*E5028</f>
        <v>0</v>
      </c>
    </row>
    <row r="5029" spans="2:11" ht="19" customHeight="1">
      <c r="B5029" s="464">
        <v>46128</v>
      </c>
      <c r="C5029" s="436" t="s">
        <v>877</v>
      </c>
      <c r="D5029" s="878" t="s">
        <v>1122</v>
      </c>
      <c r="E5029" s="436">
        <v>1</v>
      </c>
      <c r="F5029" s="465"/>
      <c r="G5029" s="466">
        <f>Tabla12[[#This Row],[ PVP ]]</f>
        <v>0</v>
      </c>
      <c r="H5029" s="466">
        <f>G5029/1.1</f>
        <v>0</v>
      </c>
      <c r="I5029" s="436">
        <f>IFERROR(VLOOKUP(D5029,BD_Datos!$M$1:$P$1014,3,FALSE),0)</f>
        <v>0</v>
      </c>
      <c r="J5029" s="465">
        <f>IFERROR(VLOOKUP(D5029,BD_Datos!$M$1:$P$1014,2,FALSE),0)</f>
        <v>0</v>
      </c>
      <c r="K5029" s="465">
        <f>J5029*E5029</f>
        <v>0</v>
      </c>
    </row>
    <row r="5030" spans="2:11" ht="19" customHeight="1">
      <c r="B5030" s="464">
        <v>46128</v>
      </c>
      <c r="C5030" s="436" t="s">
        <v>266</v>
      </c>
      <c r="D5030" s="878" t="s">
        <v>250</v>
      </c>
      <c r="E5030" s="436">
        <v>1</v>
      </c>
      <c r="F5030" s="465"/>
      <c r="G5030" s="466">
        <f>Tabla12[[#This Row],[ PVP ]]</f>
        <v>0</v>
      </c>
      <c r="H5030" s="466">
        <f>G5030/1.1</f>
        <v>0</v>
      </c>
      <c r="I5030" s="436">
        <f>IFERROR(VLOOKUP(D5030,BD_Datos!$M$1:$P$1014,3,FALSE),0)</f>
        <v>0.21</v>
      </c>
      <c r="J5030" s="465">
        <f>IFERROR(VLOOKUP(D5030,BD_Datos!$M$1:$P$1014,2,FALSE),0)</f>
        <v>0.05</v>
      </c>
      <c r="K5030" s="465">
        <f>J5030*E5030</f>
        <v>0.05</v>
      </c>
    </row>
    <row r="5031" spans="2:11" ht="19" customHeight="1">
      <c r="B5031" s="464">
        <v>46128</v>
      </c>
      <c r="C5031" s="436" t="s">
        <v>873</v>
      </c>
      <c r="D5031" s="878" t="s">
        <v>1013</v>
      </c>
      <c r="E5031" s="436">
        <v>1</v>
      </c>
      <c r="F5031" s="465"/>
      <c r="G5031" s="466">
        <f>Tabla12[[#This Row],[ PVP ]]</f>
        <v>0</v>
      </c>
      <c r="H5031" s="466">
        <f>G5031/1.1</f>
        <v>0</v>
      </c>
      <c r="I5031" s="436">
        <f>IFERROR(VLOOKUP(D5031,BD_Datos!$M$1:$P$1014,3,FALSE),0)</f>
        <v>0</v>
      </c>
      <c r="J5031" s="465">
        <f>IFERROR(VLOOKUP(D5031,BD_Datos!$M$1:$P$1014,2,FALSE),0)</f>
        <v>0</v>
      </c>
      <c r="K5031" s="465">
        <f>J5031*E5031</f>
        <v>0</v>
      </c>
    </row>
    <row r="5032" spans="2:11" ht="19" customHeight="1">
      <c r="B5032" s="464">
        <v>46128</v>
      </c>
      <c r="C5032" s="436" t="s">
        <v>877</v>
      </c>
      <c r="D5032" s="878" t="s">
        <v>1122</v>
      </c>
      <c r="E5032" s="436">
        <v>1</v>
      </c>
      <c r="F5032" s="465"/>
      <c r="G5032" s="466">
        <f>Tabla12[[#This Row],[ PVP ]]</f>
        <v>0</v>
      </c>
      <c r="H5032" s="466">
        <f>G5032/1.1</f>
        <v>0</v>
      </c>
      <c r="I5032" s="436">
        <f>IFERROR(VLOOKUP(D5032,BD_Datos!$M$1:$P$1014,3,FALSE),0)</f>
        <v>0</v>
      </c>
      <c r="J5032" s="465">
        <f>IFERROR(VLOOKUP(D5032,BD_Datos!$M$1:$P$1014,2,FALSE),0)</f>
        <v>0</v>
      </c>
      <c r="K5032" s="465">
        <f>J5032*E5032</f>
        <v>0</v>
      </c>
    </row>
    <row r="5033" spans="2:11" ht="19" customHeight="1">
      <c r="B5033" s="464">
        <v>46128</v>
      </c>
      <c r="C5033" s="436" t="s">
        <v>266</v>
      </c>
      <c r="D5033" s="878" t="s">
        <v>250</v>
      </c>
      <c r="E5033" s="436">
        <v>1</v>
      </c>
      <c r="F5033" s="465"/>
      <c r="G5033" s="466">
        <f>Tabla12[[#This Row],[ PVP ]]</f>
        <v>0</v>
      </c>
      <c r="H5033" s="466">
        <f>G5033/1.1</f>
        <v>0</v>
      </c>
      <c r="I5033" s="436">
        <f>IFERROR(VLOOKUP(D5033,BD_Datos!$M$1:$P$1014,3,FALSE),0)</f>
        <v>0.21</v>
      </c>
      <c r="J5033" s="465">
        <f>IFERROR(VLOOKUP(D5033,BD_Datos!$M$1:$P$1014,2,FALSE),0)</f>
        <v>0.05</v>
      </c>
      <c r="K5033" s="465">
        <f>J5033*E5033</f>
        <v>0.05</v>
      </c>
    </row>
    <row r="5034" spans="2:11" ht="19" customHeight="1">
      <c r="B5034" s="464">
        <v>46128</v>
      </c>
      <c r="C5034" s="436" t="s">
        <v>258</v>
      </c>
      <c r="D5034" s="878" t="s">
        <v>887</v>
      </c>
      <c r="E5034" s="436">
        <v>1</v>
      </c>
      <c r="F5034" s="465"/>
      <c r="G5034" s="466">
        <f>Tabla12[[#This Row],[ PVP ]]</f>
        <v>0</v>
      </c>
      <c r="H5034" s="466">
        <f>G5034/1.1</f>
        <v>0</v>
      </c>
      <c r="I5034" s="436">
        <f>IFERROR(VLOOKUP(D5034,BD_Datos!$M$1:$P$1014,3,FALSE),0)</f>
        <v>0</v>
      </c>
      <c r="J5034" s="465">
        <f>IFERROR(VLOOKUP(D5034,BD_Datos!$M$1:$P$1014,2,FALSE),0)</f>
        <v>0</v>
      </c>
      <c r="K5034" s="465">
        <f>J5034*E5034</f>
        <v>0</v>
      </c>
    </row>
    <row r="5035" spans="2:11" ht="19" customHeight="1">
      <c r="B5035" s="464">
        <v>46128</v>
      </c>
      <c r="C5035" s="436" t="s">
        <v>873</v>
      </c>
      <c r="D5035" s="881" t="s">
        <v>1296</v>
      </c>
      <c r="E5035" s="436">
        <v>1</v>
      </c>
      <c r="F5035" s="465"/>
      <c r="G5035" s="466">
        <f>Tabla12[[#This Row],[ PVP ]]</f>
        <v>0</v>
      </c>
      <c r="H5035" s="466">
        <f>G5035/1.1</f>
        <v>0</v>
      </c>
      <c r="I5035" s="436">
        <f>IFERROR(VLOOKUP(D5035,BD_Datos!$M$1:$P$1014,3,FALSE),0)</f>
        <v>0</v>
      </c>
      <c r="J5035" s="465">
        <f>IFERROR(VLOOKUP(D5035,BD_Datos!$M$1:$P$1014,2,FALSE),0)</f>
        <v>0</v>
      </c>
      <c r="K5035" s="465">
        <f>J5035*E5035</f>
        <v>0</v>
      </c>
    </row>
    <row r="5036" spans="2:11" ht="19" customHeight="1">
      <c r="B5036" s="464">
        <v>46128</v>
      </c>
      <c r="C5036" s="436" t="s">
        <v>877</v>
      </c>
      <c r="D5036" s="881" t="s">
        <v>1013</v>
      </c>
      <c r="E5036" s="436">
        <v>1</v>
      </c>
      <c r="F5036" s="465"/>
      <c r="G5036" s="466">
        <f>Tabla12[[#This Row],[ PVP ]]</f>
        <v>0</v>
      </c>
      <c r="H5036" s="466">
        <f>G5036/1.1</f>
        <v>0</v>
      </c>
      <c r="I5036" s="436">
        <f>IFERROR(VLOOKUP(D5036,BD_Datos!$M$1:$P$1014,3,FALSE),0)</f>
        <v>0</v>
      </c>
      <c r="J5036" s="465">
        <f>IFERROR(VLOOKUP(D5036,BD_Datos!$M$1:$P$1014,2,FALSE),0)</f>
        <v>0</v>
      </c>
      <c r="K5036" s="465">
        <f>J5036*E5036</f>
        <v>0</v>
      </c>
    </row>
    <row r="5037" spans="2:11" ht="19" customHeight="1">
      <c r="B5037" s="464">
        <v>46128</v>
      </c>
      <c r="C5037" s="436" t="s">
        <v>266</v>
      </c>
      <c r="D5037" s="881" t="s">
        <v>1034</v>
      </c>
      <c r="E5037" s="436">
        <v>1</v>
      </c>
      <c r="F5037" s="465"/>
      <c r="G5037" s="466">
        <f>Tabla12[[#This Row],[ PVP ]]</f>
        <v>0</v>
      </c>
      <c r="H5037" s="466">
        <f>G5037/1.1</f>
        <v>0</v>
      </c>
      <c r="I5037" s="436">
        <f>IFERROR(VLOOKUP(D5037,BD_Datos!$M$1:$P$1014,3,FALSE),0)</f>
        <v>0</v>
      </c>
      <c r="J5037" s="465">
        <f>IFERROR(VLOOKUP(D5037,BD_Datos!$M$1:$P$1014,2,FALSE),0)</f>
        <v>0</v>
      </c>
      <c r="K5037" s="465">
        <f>J5037*E5037</f>
        <v>0</v>
      </c>
    </row>
    <row r="5038" spans="2:11" ht="19" customHeight="1">
      <c r="B5038" s="464">
        <v>46128</v>
      </c>
      <c r="C5038" s="436" t="s">
        <v>258</v>
      </c>
      <c r="D5038" s="881" t="s">
        <v>260</v>
      </c>
      <c r="E5038" s="436">
        <v>1</v>
      </c>
      <c r="F5038" s="465"/>
      <c r="G5038" s="466">
        <f>Tabla12[[#This Row],[ PVP ]]</f>
        <v>0</v>
      </c>
      <c r="H5038" s="466">
        <f>G5038/1.1</f>
        <v>0</v>
      </c>
      <c r="I5038" s="436">
        <f>IFERROR(VLOOKUP(D5038,BD_Datos!$M$1:$P$1014,3,FALSE),0)</f>
        <v>0.21</v>
      </c>
      <c r="J5038" s="465">
        <f>IFERROR(VLOOKUP(D5038,BD_Datos!$M$1:$P$1014,2,FALSE),0)</f>
        <v>0.25</v>
      </c>
      <c r="K5038" s="465">
        <f>J5038*E5038</f>
        <v>0.25</v>
      </c>
    </row>
    <row r="5039" spans="2:11" ht="19" customHeight="1">
      <c r="B5039" s="464">
        <v>46128</v>
      </c>
      <c r="C5039" s="436" t="s">
        <v>873</v>
      </c>
      <c r="D5039" s="878" t="s">
        <v>1296</v>
      </c>
      <c r="E5039" s="436">
        <v>2</v>
      </c>
      <c r="F5039" s="465"/>
      <c r="G5039" s="466">
        <f>Tabla12[[#This Row],[ PVP ]]</f>
        <v>0</v>
      </c>
      <c r="H5039" s="466">
        <f>G5039/1.1</f>
        <v>0</v>
      </c>
      <c r="I5039" s="436">
        <f>IFERROR(VLOOKUP(D5039,BD_Datos!$M$1:$P$1014,3,FALSE),0)</f>
        <v>0</v>
      </c>
      <c r="J5039" s="465">
        <f>IFERROR(VLOOKUP(D5039,BD_Datos!$M$1:$P$1014,2,FALSE),0)</f>
        <v>0</v>
      </c>
      <c r="K5039" s="465">
        <f>J5039*E5039</f>
        <v>0</v>
      </c>
    </row>
    <row r="5040" spans="2:11" ht="19" customHeight="1">
      <c r="B5040" s="464">
        <v>46128</v>
      </c>
      <c r="C5040" s="436" t="s">
        <v>877</v>
      </c>
      <c r="D5040" s="878" t="s">
        <v>1053</v>
      </c>
      <c r="E5040" s="436">
        <v>1</v>
      </c>
      <c r="F5040" s="465"/>
      <c r="G5040" s="466"/>
      <c r="H5040" s="466">
        <f>G5040/1.1</f>
        <v>0</v>
      </c>
      <c r="I5040" s="436">
        <f>IFERROR(VLOOKUP(D5040,BD_Datos!$M$1:$P$1014,3,FALSE),0)</f>
        <v>0</v>
      </c>
      <c r="J5040" s="465">
        <f>IFERROR(VLOOKUP(D5040,BD_Datos!$M$1:$P$1014,2,FALSE),0)</f>
        <v>0.75</v>
      </c>
      <c r="K5040" s="465">
        <f>J5040*E5040</f>
        <v>0.75</v>
      </c>
    </row>
    <row r="5041" spans="2:11" ht="19" customHeight="1">
      <c r="B5041" s="464">
        <v>46128</v>
      </c>
      <c r="C5041" s="436" t="s">
        <v>266</v>
      </c>
      <c r="D5041" s="878" t="s">
        <v>250</v>
      </c>
      <c r="E5041" s="436">
        <v>2</v>
      </c>
      <c r="F5041" s="465"/>
      <c r="G5041" s="466"/>
      <c r="H5041" s="466">
        <f>G5041/1.1</f>
        <v>0</v>
      </c>
      <c r="I5041" s="436">
        <f>IFERROR(VLOOKUP(D5041,BD_Datos!$M$1:$P$1014,3,FALSE),0)</f>
        <v>0.21</v>
      </c>
      <c r="J5041" s="465">
        <f>IFERROR(VLOOKUP(D5041,BD_Datos!$M$1:$P$1014,2,FALSE),0)</f>
        <v>0.05</v>
      </c>
      <c r="K5041" s="465">
        <f>J5041*E5041</f>
        <v>0.1</v>
      </c>
    </row>
    <row r="5042" spans="2:11" ht="19" customHeight="1">
      <c r="B5042" s="464">
        <v>46128</v>
      </c>
      <c r="C5042" s="436" t="s">
        <v>247</v>
      </c>
      <c r="D5042" s="436" t="s">
        <v>248</v>
      </c>
      <c r="E5042" s="436">
        <v>1</v>
      </c>
      <c r="F5042" s="465">
        <v>1.65</v>
      </c>
      <c r="G5042" s="466">
        <v>1.65</v>
      </c>
      <c r="H5042" s="466">
        <f>G5042/1.1</f>
        <v>1.4999999999999998</v>
      </c>
      <c r="I5042" s="436"/>
      <c r="J5042" s="465"/>
      <c r="K5042" s="465"/>
    </row>
    <row r="5043" spans="2:11" ht="19" customHeight="1">
      <c r="B5043" s="464">
        <v>46128</v>
      </c>
      <c r="C5043" s="436" t="s">
        <v>268</v>
      </c>
      <c r="D5043" s="436" t="s">
        <v>1242</v>
      </c>
      <c r="E5043" s="436">
        <v>1</v>
      </c>
      <c r="F5043" s="465">
        <v>2.25</v>
      </c>
      <c r="G5043" s="466">
        <v>2.25</v>
      </c>
      <c r="H5043" s="466">
        <f>G5043/1.1</f>
        <v>2.0454545454545454</v>
      </c>
      <c r="I5043" s="436"/>
      <c r="J5043" s="465"/>
      <c r="K5043" s="465"/>
    </row>
    <row r="5044" spans="2:11" ht="19" customHeight="1">
      <c r="B5044" s="464">
        <v>46128</v>
      </c>
      <c r="C5044" s="436" t="s">
        <v>247</v>
      </c>
      <c r="D5044" s="436" t="s">
        <v>1241</v>
      </c>
      <c r="E5044" s="436">
        <v>4</v>
      </c>
      <c r="F5044" s="465">
        <v>1.7</v>
      </c>
      <c r="G5044" s="466">
        <v>6.8</v>
      </c>
      <c r="H5044" s="466">
        <f>G5044/1.1</f>
        <v>6.1818181818181808</v>
      </c>
      <c r="I5044" s="436"/>
      <c r="J5044" s="465"/>
      <c r="K5044" s="465"/>
    </row>
    <row r="5045" spans="2:11" ht="19" customHeight="1">
      <c r="B5045" s="464">
        <v>46128</v>
      </c>
      <c r="C5045" s="436" t="s">
        <v>247</v>
      </c>
      <c r="D5045" s="436" t="s">
        <v>1253</v>
      </c>
      <c r="E5045" s="436">
        <v>1</v>
      </c>
      <c r="F5045" s="465">
        <v>1.55</v>
      </c>
      <c r="G5045" s="466">
        <v>1.55</v>
      </c>
      <c r="H5045" s="466">
        <f>G5045/1.1</f>
        <v>1.4090909090909089</v>
      </c>
      <c r="I5045" s="436"/>
      <c r="J5045" s="465"/>
      <c r="K5045" s="465"/>
    </row>
    <row r="5046" spans="2:11" ht="19" customHeight="1">
      <c r="B5046" s="464">
        <v>46128</v>
      </c>
      <c r="C5046" s="436" t="s">
        <v>1265</v>
      </c>
      <c r="D5046" s="436" t="s">
        <v>1266</v>
      </c>
      <c r="E5046" s="436">
        <v>1</v>
      </c>
      <c r="F5046" s="465">
        <v>14.9</v>
      </c>
      <c r="G5046" s="466">
        <v>14.9</v>
      </c>
      <c r="H5046" s="466">
        <f>G5046/1.1</f>
        <v>13.545454545454545</v>
      </c>
      <c r="I5046" s="436"/>
      <c r="J5046" s="465"/>
      <c r="K5046" s="465"/>
    </row>
    <row r="5047" spans="2:11" ht="19" customHeight="1">
      <c r="B5047" s="464">
        <v>46128</v>
      </c>
      <c r="C5047" s="436" t="s">
        <v>328</v>
      </c>
      <c r="D5047" s="436" t="s">
        <v>1101</v>
      </c>
      <c r="E5047" s="436">
        <v>1</v>
      </c>
      <c r="F5047" s="465">
        <v>4.5</v>
      </c>
      <c r="G5047" s="466">
        <v>4.5</v>
      </c>
      <c r="H5047" s="466">
        <f>G5047/1.1</f>
        <v>4.0909090909090908</v>
      </c>
      <c r="I5047" s="436"/>
      <c r="J5047" s="465"/>
      <c r="K5047" s="465"/>
    </row>
    <row r="5048" spans="2:11" ht="19" customHeight="1">
      <c r="B5048" s="464">
        <v>46128</v>
      </c>
      <c r="C5048" s="436" t="s">
        <v>247</v>
      </c>
      <c r="D5048" s="436" t="s">
        <v>1241</v>
      </c>
      <c r="E5048" s="436">
        <v>1</v>
      </c>
      <c r="F5048" s="465">
        <v>1.85</v>
      </c>
      <c r="G5048" s="466">
        <v>1.85</v>
      </c>
      <c r="H5048" s="466">
        <f>G5048/1.1</f>
        <v>1.6818181818181817</v>
      </c>
      <c r="I5048" s="436"/>
      <c r="J5048" s="465"/>
      <c r="K5048" s="465"/>
    </row>
    <row r="5049" spans="2:11" ht="19" customHeight="1">
      <c r="B5049" s="464">
        <v>46128</v>
      </c>
      <c r="C5049" s="436" t="s">
        <v>251</v>
      </c>
      <c r="D5049" s="436" t="s">
        <v>265</v>
      </c>
      <c r="E5049" s="436">
        <v>1</v>
      </c>
      <c r="F5049" s="465">
        <v>2.8</v>
      </c>
      <c r="G5049" s="466">
        <v>2.8</v>
      </c>
      <c r="H5049" s="466">
        <f>G5049/1.1</f>
        <v>2.545454545454545</v>
      </c>
      <c r="I5049" s="436"/>
      <c r="J5049" s="465"/>
      <c r="K5049" s="465"/>
    </row>
    <row r="5050" spans="2:11" ht="19" customHeight="1">
      <c r="B5050" s="464">
        <v>46128</v>
      </c>
      <c r="C5050" s="436" t="s">
        <v>253</v>
      </c>
      <c r="D5050" s="436" t="s">
        <v>965</v>
      </c>
      <c r="E5050" s="436">
        <v>1</v>
      </c>
      <c r="F5050" s="465">
        <v>2.65</v>
      </c>
      <c r="G5050" s="466">
        <v>2.65</v>
      </c>
      <c r="H5050" s="466">
        <f>G5050/1.1</f>
        <v>2.4090909090909087</v>
      </c>
      <c r="I5050" s="436"/>
      <c r="J5050" s="465"/>
      <c r="K5050" s="465"/>
    </row>
    <row r="5051" spans="2:11" ht="19" customHeight="1">
      <c r="B5051" s="464">
        <v>46128</v>
      </c>
      <c r="C5051" s="436" t="s">
        <v>253</v>
      </c>
      <c r="D5051" s="436" t="s">
        <v>869</v>
      </c>
      <c r="E5051" s="436">
        <v>1</v>
      </c>
      <c r="F5051" s="465">
        <v>2.65</v>
      </c>
      <c r="G5051" s="466">
        <v>2.65</v>
      </c>
      <c r="H5051" s="466">
        <f>G5051/1.1</f>
        <v>2.4090909090909087</v>
      </c>
      <c r="I5051" s="436"/>
      <c r="J5051" s="465"/>
      <c r="K5051" s="465"/>
    </row>
    <row r="5052" spans="2:11" ht="19" customHeight="1">
      <c r="B5052" s="464">
        <v>46128</v>
      </c>
      <c r="C5052" s="436" t="s">
        <v>253</v>
      </c>
      <c r="D5052" s="436" t="s">
        <v>687</v>
      </c>
      <c r="E5052" s="436">
        <v>1</v>
      </c>
      <c r="F5052" s="465">
        <v>3.1</v>
      </c>
      <c r="G5052" s="466">
        <v>3.1</v>
      </c>
      <c r="H5052" s="466">
        <f>G5052/1.1</f>
        <v>2.8181818181818179</v>
      </c>
      <c r="I5052" s="436"/>
      <c r="J5052" s="465"/>
      <c r="K5052" s="465"/>
    </row>
    <row r="5053" spans="2:11" ht="19" customHeight="1">
      <c r="B5053" s="464">
        <v>46128</v>
      </c>
      <c r="C5053" s="436" t="s">
        <v>276</v>
      </c>
      <c r="D5053" s="436" t="s">
        <v>1301</v>
      </c>
      <c r="E5053" s="436">
        <v>2</v>
      </c>
      <c r="F5053" s="465">
        <v>3.5</v>
      </c>
      <c r="G5053" s="466">
        <v>7</v>
      </c>
      <c r="H5053" s="466">
        <f>G5053/1.1</f>
        <v>6.3636363636363633</v>
      </c>
      <c r="I5053" s="436"/>
      <c r="J5053" s="465"/>
      <c r="K5053" s="465"/>
    </row>
    <row r="5054" spans="2:11" ht="19" customHeight="1">
      <c r="B5054" s="464">
        <v>46128</v>
      </c>
      <c r="C5054" s="436" t="s">
        <v>862</v>
      </c>
      <c r="D5054" s="436" t="s">
        <v>708</v>
      </c>
      <c r="E5054" s="436">
        <v>1</v>
      </c>
      <c r="F5054" s="465">
        <v>1.95</v>
      </c>
      <c r="G5054" s="466">
        <v>1.95</v>
      </c>
      <c r="H5054" s="466">
        <f>G5054/1.1</f>
        <v>1.7727272727272725</v>
      </c>
      <c r="I5054" s="436"/>
      <c r="J5054" s="465"/>
      <c r="K5054" s="465"/>
    </row>
    <row r="5055" spans="2:11" ht="19" customHeight="1">
      <c r="B5055" s="464">
        <v>46128</v>
      </c>
      <c r="C5055" s="436" t="s">
        <v>276</v>
      </c>
      <c r="D5055" s="436" t="s">
        <v>1302</v>
      </c>
      <c r="E5055" s="436">
        <v>2</v>
      </c>
      <c r="F5055" s="465">
        <v>3.25</v>
      </c>
      <c r="G5055" s="466">
        <v>6.5</v>
      </c>
      <c r="H5055" s="466">
        <f>G5055/1.1</f>
        <v>5.9090909090909083</v>
      </c>
      <c r="I5055" s="436"/>
      <c r="J5055" s="465"/>
      <c r="K5055" s="465"/>
    </row>
    <row r="5056" spans="2:11" ht="19" customHeight="1">
      <c r="B5056" s="464">
        <v>46128</v>
      </c>
      <c r="C5056" s="436" t="s">
        <v>256</v>
      </c>
      <c r="D5056" s="436" t="s">
        <v>1303</v>
      </c>
      <c r="E5056" s="436">
        <v>1</v>
      </c>
      <c r="F5056" s="465">
        <v>1.65</v>
      </c>
      <c r="G5056" s="466">
        <v>1.65</v>
      </c>
      <c r="H5056" s="466">
        <f>G5056/1.1</f>
        <v>1.4999999999999998</v>
      </c>
      <c r="I5056" s="436"/>
      <c r="J5056" s="465"/>
      <c r="K5056" s="465"/>
    </row>
    <row r="5057" spans="2:11" ht="19" customHeight="1">
      <c r="B5057" s="464">
        <v>46128</v>
      </c>
      <c r="C5057" s="436" t="s">
        <v>247</v>
      </c>
      <c r="D5057" s="436" t="s">
        <v>248</v>
      </c>
      <c r="E5057" s="436">
        <v>1</v>
      </c>
      <c r="F5057" s="465">
        <v>9.5</v>
      </c>
      <c r="G5057" s="466">
        <v>9.5</v>
      </c>
      <c r="H5057" s="466">
        <f>G5057/1.1</f>
        <v>8.6363636363636349</v>
      </c>
      <c r="I5057" s="436"/>
      <c r="J5057" s="465"/>
      <c r="K5057" s="465"/>
    </row>
    <row r="5058" spans="2:11" ht="19" customHeight="1">
      <c r="B5058" s="464">
        <v>46128</v>
      </c>
      <c r="C5058" s="436" t="s">
        <v>256</v>
      </c>
      <c r="D5058" s="436" t="s">
        <v>262</v>
      </c>
      <c r="E5058" s="436">
        <v>1</v>
      </c>
      <c r="F5058" s="465">
        <v>11.9</v>
      </c>
      <c r="G5058" s="466">
        <v>11.9</v>
      </c>
      <c r="H5058" s="466">
        <f>G5058/1.1</f>
        <v>10.818181818181818</v>
      </c>
      <c r="I5058" s="436"/>
      <c r="J5058" s="465"/>
      <c r="K5058" s="465"/>
    </row>
    <row r="5059" spans="2:11" ht="19" customHeight="1">
      <c r="B5059" s="464">
        <v>46128</v>
      </c>
      <c r="C5059" s="436" t="s">
        <v>256</v>
      </c>
      <c r="D5059" s="436" t="s">
        <v>255</v>
      </c>
      <c r="E5059" s="436">
        <v>1</v>
      </c>
      <c r="F5059" s="465">
        <v>14.1</v>
      </c>
      <c r="G5059" s="466">
        <v>14.1</v>
      </c>
      <c r="H5059" s="466">
        <f>G5059/1.1</f>
        <v>12.818181818181817</v>
      </c>
      <c r="I5059" s="436"/>
      <c r="J5059" s="465"/>
      <c r="K5059" s="465"/>
    </row>
    <row r="5060" spans="2:11" ht="19" customHeight="1">
      <c r="B5060" s="464">
        <v>46128</v>
      </c>
      <c r="C5060" s="436" t="s">
        <v>256</v>
      </c>
      <c r="D5060" s="436" t="s">
        <v>986</v>
      </c>
      <c r="E5060" s="436">
        <v>1</v>
      </c>
      <c r="F5060" s="465">
        <v>12</v>
      </c>
      <c r="G5060" s="466">
        <v>12</v>
      </c>
      <c r="H5060" s="466">
        <f>G5060/1.1</f>
        <v>10.909090909090908</v>
      </c>
      <c r="I5060" s="436"/>
      <c r="J5060" s="465"/>
      <c r="K5060" s="465"/>
    </row>
    <row r="5061" spans="2:11" ht="19" customHeight="1">
      <c r="B5061" s="464">
        <v>46129</v>
      </c>
      <c r="C5061" s="436" t="s">
        <v>253</v>
      </c>
      <c r="D5061" s="436" t="s">
        <v>869</v>
      </c>
      <c r="E5061" s="436">
        <v>1</v>
      </c>
      <c r="F5061" s="465">
        <v>2.5</v>
      </c>
      <c r="G5061" s="466">
        <v>2.5</v>
      </c>
      <c r="H5061" s="466">
        <f>G5061/1.1</f>
        <v>2.2727272727272725</v>
      </c>
      <c r="I5061" s="436"/>
      <c r="J5061" s="465"/>
      <c r="K5061" s="465"/>
    </row>
    <row r="5062" spans="2:11" ht="19" customHeight="1">
      <c r="B5062" s="464">
        <v>46129</v>
      </c>
      <c r="C5062" s="436" t="s">
        <v>276</v>
      </c>
      <c r="D5062" s="436" t="s">
        <v>1298</v>
      </c>
      <c r="E5062" s="436">
        <v>1</v>
      </c>
      <c r="F5062" s="465">
        <v>4.75</v>
      </c>
      <c r="G5062" s="466">
        <v>4.75</v>
      </c>
      <c r="H5062" s="466">
        <f>G5062/1.1</f>
        <v>4.3181818181818175</v>
      </c>
      <c r="I5062" s="436"/>
      <c r="J5062" s="465"/>
      <c r="K5062" s="465"/>
    </row>
    <row r="5063" spans="2:11" ht="19" customHeight="1">
      <c r="B5063" s="464">
        <v>46129</v>
      </c>
      <c r="C5063" s="436" t="s">
        <v>256</v>
      </c>
      <c r="D5063" s="436" t="s">
        <v>738</v>
      </c>
      <c r="E5063" s="436">
        <v>1</v>
      </c>
      <c r="F5063" s="465">
        <v>7.9</v>
      </c>
      <c r="G5063" s="466">
        <v>7.9</v>
      </c>
      <c r="H5063" s="466">
        <f>G5063/1.1</f>
        <v>7.1818181818181817</v>
      </c>
      <c r="I5063" s="436"/>
      <c r="J5063" s="465"/>
      <c r="K5063" s="465"/>
    </row>
    <row r="5064" spans="2:11" ht="19" customHeight="1">
      <c r="B5064" s="464">
        <v>46129</v>
      </c>
      <c r="C5064" s="436" t="s">
        <v>253</v>
      </c>
      <c r="D5064" s="436" t="s">
        <v>869</v>
      </c>
      <c r="E5064" s="436">
        <v>1</v>
      </c>
      <c r="F5064" s="465">
        <v>2.65</v>
      </c>
      <c r="G5064" s="466">
        <v>2.65</v>
      </c>
      <c r="H5064" s="466">
        <f>G5064/1.1</f>
        <v>2.4090909090909087</v>
      </c>
      <c r="I5064" s="436"/>
      <c r="J5064" s="465"/>
      <c r="K5064" s="465"/>
    </row>
    <row r="5065" spans="2:11" ht="19" customHeight="1">
      <c r="B5065" s="464">
        <v>46129</v>
      </c>
      <c r="C5065" s="436" t="s">
        <v>253</v>
      </c>
      <c r="D5065" s="436" t="s">
        <v>901</v>
      </c>
      <c r="E5065" s="436">
        <v>1</v>
      </c>
      <c r="F5065" s="465">
        <v>2.2999999999999998</v>
      </c>
      <c r="G5065" s="466">
        <v>2.2999999999999998</v>
      </c>
      <c r="H5065" s="466">
        <f>G5065/1.1</f>
        <v>2.0909090909090904</v>
      </c>
      <c r="I5065" s="436"/>
      <c r="J5065" s="465"/>
      <c r="K5065" s="465"/>
    </row>
    <row r="5066" spans="2:11" ht="19" customHeight="1">
      <c r="B5066" s="464">
        <v>46129</v>
      </c>
      <c r="C5066" s="436" t="s">
        <v>253</v>
      </c>
      <c r="D5066" s="436" t="s">
        <v>901</v>
      </c>
      <c r="E5066" s="436">
        <v>1</v>
      </c>
      <c r="F5066" s="465">
        <v>3.1</v>
      </c>
      <c r="G5066" s="466">
        <v>3.1</v>
      </c>
      <c r="H5066" s="466">
        <f>G5066/1.1</f>
        <v>2.8181818181818179</v>
      </c>
      <c r="I5066" s="436"/>
      <c r="J5066" s="465"/>
      <c r="K5066" s="465"/>
    </row>
    <row r="5067" spans="2:11" ht="19" customHeight="1">
      <c r="B5067" s="464">
        <v>46129</v>
      </c>
      <c r="C5067" s="436" t="s">
        <v>253</v>
      </c>
      <c r="D5067" s="436" t="s">
        <v>676</v>
      </c>
      <c r="E5067" s="436">
        <v>1</v>
      </c>
      <c r="F5067" s="465">
        <v>3.65</v>
      </c>
      <c r="G5067" s="466">
        <v>3.65</v>
      </c>
      <c r="H5067" s="466">
        <f>G5067/1.1</f>
        <v>3.3181818181818179</v>
      </c>
      <c r="I5067" s="436"/>
      <c r="J5067" s="465"/>
      <c r="K5067" s="465"/>
    </row>
    <row r="5068" spans="2:11" ht="19" customHeight="1">
      <c r="B5068" s="464">
        <v>46129</v>
      </c>
      <c r="C5068" s="436" t="s">
        <v>253</v>
      </c>
      <c r="D5068" s="436" t="s">
        <v>869</v>
      </c>
      <c r="E5068" s="436">
        <v>1</v>
      </c>
      <c r="F5068" s="465">
        <v>2.65</v>
      </c>
      <c r="G5068" s="466">
        <v>2.65</v>
      </c>
      <c r="H5068" s="466">
        <f>G5068/1.1</f>
        <v>2.4090909090909087</v>
      </c>
      <c r="I5068" s="436"/>
      <c r="J5068" s="465"/>
      <c r="K5068" s="465"/>
    </row>
    <row r="5069" spans="2:11" ht="19" customHeight="1">
      <c r="B5069" s="464">
        <v>46129</v>
      </c>
      <c r="C5069" s="436" t="s">
        <v>253</v>
      </c>
      <c r="D5069" s="436" t="s">
        <v>964</v>
      </c>
      <c r="E5069" s="436">
        <v>1</v>
      </c>
      <c r="F5069" s="465">
        <v>3.1</v>
      </c>
      <c r="G5069" s="466">
        <v>3.1</v>
      </c>
      <c r="H5069" s="466">
        <f>G5069/1.1</f>
        <v>2.8181818181818179</v>
      </c>
      <c r="I5069" s="436"/>
      <c r="J5069" s="465"/>
      <c r="K5069" s="465"/>
    </row>
    <row r="5070" spans="2:11" ht="19" customHeight="1">
      <c r="B5070" s="464">
        <v>46129</v>
      </c>
      <c r="C5070" s="436" t="s">
        <v>321</v>
      </c>
      <c r="D5070" s="436" t="s">
        <v>910</v>
      </c>
      <c r="E5070" s="436">
        <v>1</v>
      </c>
      <c r="F5070" s="465">
        <v>4</v>
      </c>
      <c r="G5070" s="466">
        <v>4</v>
      </c>
      <c r="H5070" s="466">
        <f>G5070/1.1</f>
        <v>3.6363636363636362</v>
      </c>
      <c r="I5070" s="436"/>
      <c r="J5070" s="465"/>
      <c r="K5070" s="465"/>
    </row>
    <row r="5071" spans="2:11" ht="19" customHeight="1">
      <c r="B5071" s="464">
        <v>46129</v>
      </c>
      <c r="C5071" s="436" t="s">
        <v>276</v>
      </c>
      <c r="D5071" s="436" t="s">
        <v>709</v>
      </c>
      <c r="E5071" s="436">
        <v>1</v>
      </c>
      <c r="F5071" s="465">
        <v>3.65</v>
      </c>
      <c r="G5071" s="466">
        <v>3.65</v>
      </c>
      <c r="H5071" s="466">
        <f>G5071/1.1</f>
        <v>3.3181818181818179</v>
      </c>
      <c r="I5071" s="436"/>
      <c r="J5071" s="465"/>
      <c r="K5071" s="465"/>
    </row>
    <row r="5072" spans="2:11" ht="19" customHeight="1">
      <c r="B5072" s="464">
        <v>46129</v>
      </c>
      <c r="C5072" s="436" t="s">
        <v>276</v>
      </c>
      <c r="D5072" s="436" t="s">
        <v>1298</v>
      </c>
      <c r="E5072" s="436">
        <v>1</v>
      </c>
      <c r="F5072" s="465">
        <v>4.75</v>
      </c>
      <c r="G5072" s="466">
        <v>4.75</v>
      </c>
      <c r="H5072" s="466">
        <f>G5072/1.1</f>
        <v>4.3181818181818175</v>
      </c>
      <c r="I5072" s="436"/>
      <c r="J5072" s="465"/>
      <c r="K5072" s="465"/>
    </row>
    <row r="5073" spans="2:11" ht="19" customHeight="1">
      <c r="B5073" s="464">
        <v>46129</v>
      </c>
      <c r="C5073" s="436" t="s">
        <v>253</v>
      </c>
      <c r="D5073" s="436" t="s">
        <v>687</v>
      </c>
      <c r="E5073" s="436">
        <v>1</v>
      </c>
      <c r="F5073" s="465">
        <v>3</v>
      </c>
      <c r="G5073" s="466">
        <v>3</v>
      </c>
      <c r="H5073" s="466">
        <f>G5073/1.1</f>
        <v>2.7272727272727271</v>
      </c>
      <c r="I5073" s="436"/>
      <c r="J5073" s="465"/>
      <c r="K5073" s="465"/>
    </row>
    <row r="5074" spans="2:11" ht="19" customHeight="1">
      <c r="B5074" s="464">
        <v>46129</v>
      </c>
      <c r="C5074" s="436" t="s">
        <v>247</v>
      </c>
      <c r="D5074" s="436" t="s">
        <v>246</v>
      </c>
      <c r="E5074" s="436">
        <v>1</v>
      </c>
      <c r="F5074" s="465">
        <v>1.7</v>
      </c>
      <c r="G5074" s="466">
        <v>1.7</v>
      </c>
      <c r="H5074" s="466">
        <f>G5074/1.1</f>
        <v>1.5454545454545452</v>
      </c>
      <c r="I5074" s="436"/>
      <c r="J5074" s="465"/>
      <c r="K5074" s="465"/>
    </row>
    <row r="5075" spans="2:11" ht="19" customHeight="1">
      <c r="B5075" s="464">
        <v>46129</v>
      </c>
      <c r="C5075" s="436" t="s">
        <v>247</v>
      </c>
      <c r="D5075" s="436" t="s">
        <v>1304</v>
      </c>
      <c r="E5075" s="436">
        <v>1</v>
      </c>
      <c r="F5075" s="465">
        <v>1.7</v>
      </c>
      <c r="G5075" s="466">
        <v>1.7</v>
      </c>
      <c r="H5075" s="466">
        <f>G5075/1.1</f>
        <v>1.5454545454545452</v>
      </c>
      <c r="I5075" s="436"/>
      <c r="J5075" s="465"/>
      <c r="K5075" s="465"/>
    </row>
    <row r="5076" spans="2:11" ht="19" customHeight="1">
      <c r="B5076" s="464">
        <v>46129</v>
      </c>
      <c r="C5076" s="436" t="s">
        <v>247</v>
      </c>
      <c r="D5076" s="436" t="s">
        <v>257</v>
      </c>
      <c r="E5076" s="436">
        <v>1</v>
      </c>
      <c r="F5076" s="465">
        <v>1.7</v>
      </c>
      <c r="G5076" s="466">
        <v>1.7</v>
      </c>
      <c r="H5076" s="466">
        <f>G5076/1.1</f>
        <v>1.5454545454545452</v>
      </c>
      <c r="I5076" s="436"/>
      <c r="J5076" s="465"/>
      <c r="K5076" s="465"/>
    </row>
    <row r="5077" spans="2:11" ht="19" customHeight="1">
      <c r="B5077" s="464">
        <v>46129</v>
      </c>
      <c r="C5077" s="436" t="s">
        <v>247</v>
      </c>
      <c r="D5077" s="436" t="s">
        <v>246</v>
      </c>
      <c r="E5077" s="436">
        <v>1</v>
      </c>
      <c r="F5077" s="465">
        <v>1.85</v>
      </c>
      <c r="G5077" s="466">
        <v>1.85</v>
      </c>
      <c r="H5077" s="466">
        <f>G5077/1.1</f>
        <v>1.6818181818181817</v>
      </c>
      <c r="I5077" s="436"/>
      <c r="J5077" s="465"/>
      <c r="K5077" s="465"/>
    </row>
    <row r="5078" spans="2:11" ht="19" customHeight="1">
      <c r="B5078" s="464">
        <v>46129</v>
      </c>
      <c r="C5078" s="436" t="s">
        <v>253</v>
      </c>
      <c r="D5078" s="436" t="s">
        <v>965</v>
      </c>
      <c r="E5078" s="436">
        <v>5</v>
      </c>
      <c r="F5078" s="465">
        <v>2.65</v>
      </c>
      <c r="G5078" s="466">
        <v>13.25</v>
      </c>
      <c r="H5078" s="466">
        <f>G5078/1.1</f>
        <v>12.045454545454545</v>
      </c>
      <c r="I5078" s="436"/>
      <c r="J5078" s="465"/>
      <c r="K5078" s="465"/>
    </row>
    <row r="5079" spans="2:11" ht="19" customHeight="1">
      <c r="B5079" s="464">
        <v>46129</v>
      </c>
      <c r="C5079" s="436" t="s">
        <v>277</v>
      </c>
      <c r="D5079" s="436" t="s">
        <v>1188</v>
      </c>
      <c r="E5079" s="436">
        <v>1</v>
      </c>
      <c r="F5079" s="465">
        <v>11.15</v>
      </c>
      <c r="G5079" s="466">
        <v>11.15</v>
      </c>
      <c r="H5079" s="466">
        <f>G5079/1.1</f>
        <v>10.136363636363637</v>
      </c>
      <c r="I5079" s="436"/>
      <c r="J5079" s="465"/>
      <c r="K5079" s="465"/>
    </row>
    <row r="5080" spans="2:11" ht="19" customHeight="1">
      <c r="B5080" s="464">
        <v>46129</v>
      </c>
      <c r="C5080" s="436" t="s">
        <v>256</v>
      </c>
      <c r="D5080" s="436" t="s">
        <v>255</v>
      </c>
      <c r="E5080" s="436">
        <v>1</v>
      </c>
      <c r="F5080" s="465">
        <v>5.85</v>
      </c>
      <c r="G5080" s="466">
        <v>5.85</v>
      </c>
      <c r="H5080" s="466">
        <f>G5080/1.1</f>
        <v>5.3181818181818175</v>
      </c>
      <c r="I5080" s="436"/>
      <c r="J5080" s="465"/>
      <c r="K5080" s="465"/>
    </row>
    <row r="5081" spans="2:11" ht="19" customHeight="1">
      <c r="B5081" s="464">
        <v>46129</v>
      </c>
      <c r="C5081" s="436" t="s">
        <v>256</v>
      </c>
      <c r="D5081" s="436" t="s">
        <v>686</v>
      </c>
      <c r="E5081" s="436">
        <v>1</v>
      </c>
      <c r="F5081" s="465">
        <v>15.25</v>
      </c>
      <c r="G5081" s="466">
        <v>15.25</v>
      </c>
      <c r="H5081" s="466">
        <f>G5081/1.1</f>
        <v>13.863636363636363</v>
      </c>
      <c r="I5081" s="436"/>
      <c r="J5081" s="465"/>
      <c r="K5081" s="465"/>
    </row>
    <row r="5082" spans="2:11" ht="19" customHeight="1">
      <c r="B5082" s="464">
        <v>46129</v>
      </c>
      <c r="C5082" s="436" t="s">
        <v>277</v>
      </c>
      <c r="D5082" s="436" t="s">
        <v>954</v>
      </c>
      <c r="E5082" s="436">
        <v>1</v>
      </c>
      <c r="F5082" s="465">
        <v>13.15</v>
      </c>
      <c r="G5082" s="466">
        <v>13.15</v>
      </c>
      <c r="H5082" s="466">
        <f>G5082/1.1</f>
        <v>11.954545454545453</v>
      </c>
      <c r="I5082" s="436"/>
      <c r="J5082" s="465"/>
      <c r="K5082" s="465"/>
    </row>
    <row r="5083" spans="2:11" ht="19" customHeight="1">
      <c r="B5083" s="464">
        <v>46129</v>
      </c>
      <c r="C5083" s="436" t="s">
        <v>247</v>
      </c>
      <c r="D5083" s="436" t="s">
        <v>246</v>
      </c>
      <c r="E5083" s="436">
        <v>1</v>
      </c>
      <c r="F5083" s="465">
        <v>1.7</v>
      </c>
      <c r="G5083" s="466">
        <v>1.7</v>
      </c>
      <c r="H5083" s="466">
        <f>G5083/1.1</f>
        <v>1.5454545454545452</v>
      </c>
      <c r="I5083" s="436"/>
      <c r="J5083" s="465"/>
      <c r="K5083" s="465"/>
    </row>
    <row r="5084" spans="2:11" ht="19" customHeight="1">
      <c r="B5084" s="464">
        <v>46129</v>
      </c>
      <c r="C5084" s="436" t="s">
        <v>247</v>
      </c>
      <c r="D5084" s="436" t="s">
        <v>248</v>
      </c>
      <c r="E5084" s="436">
        <v>1</v>
      </c>
      <c r="F5084" s="465">
        <v>1.5</v>
      </c>
      <c r="G5084" s="466">
        <v>1.5</v>
      </c>
      <c r="H5084" s="466">
        <f>G5084/1.1</f>
        <v>1.3636363636363635</v>
      </c>
      <c r="I5084" s="436"/>
      <c r="J5084" s="465"/>
      <c r="K5084" s="465"/>
    </row>
    <row r="5085" spans="2:11" ht="19" customHeight="1">
      <c r="B5085" s="464">
        <v>46129</v>
      </c>
      <c r="C5085" s="436" t="s">
        <v>253</v>
      </c>
      <c r="D5085" s="436" t="s">
        <v>687</v>
      </c>
      <c r="E5085" s="436">
        <v>1</v>
      </c>
      <c r="F5085" s="465">
        <v>3.1</v>
      </c>
      <c r="G5085" s="466">
        <v>3.1</v>
      </c>
      <c r="H5085" s="466">
        <f>G5085/1.1</f>
        <v>2.8181818181818179</v>
      </c>
      <c r="I5085" s="436"/>
      <c r="J5085" s="465"/>
      <c r="K5085" s="465"/>
    </row>
    <row r="5086" spans="2:11" ht="19" customHeight="1">
      <c r="B5086" s="464">
        <v>46129</v>
      </c>
      <c r="C5086" s="436" t="s">
        <v>1265</v>
      </c>
      <c r="D5086" s="436" t="s">
        <v>1266</v>
      </c>
      <c r="E5086" s="436">
        <v>2</v>
      </c>
      <c r="F5086" s="465">
        <v>14.9</v>
      </c>
      <c r="G5086" s="466">
        <v>29.8</v>
      </c>
      <c r="H5086" s="466">
        <f>G5086/1.1</f>
        <v>27.09090909090909</v>
      </c>
      <c r="I5086" s="436"/>
      <c r="J5086" s="465"/>
      <c r="K5086" s="465"/>
    </row>
    <row r="5087" spans="2:11" ht="19" customHeight="1">
      <c r="B5087" s="464">
        <v>46129</v>
      </c>
      <c r="C5087" s="436" t="s">
        <v>256</v>
      </c>
      <c r="D5087" s="436" t="s">
        <v>1255</v>
      </c>
      <c r="E5087" s="436">
        <v>1</v>
      </c>
      <c r="F5087" s="465">
        <v>5</v>
      </c>
      <c r="G5087" s="466">
        <v>5</v>
      </c>
      <c r="H5087" s="466">
        <f>G5087/1.1</f>
        <v>4.545454545454545</v>
      </c>
      <c r="I5087" s="436"/>
      <c r="J5087" s="465"/>
      <c r="K5087" s="465"/>
    </row>
    <row r="5088" spans="2:11" ht="19" customHeight="1">
      <c r="B5088" s="464">
        <v>46129</v>
      </c>
      <c r="C5088" s="436" t="s">
        <v>247</v>
      </c>
      <c r="D5088" s="436" t="s">
        <v>248</v>
      </c>
      <c r="E5088" s="436">
        <v>1</v>
      </c>
      <c r="F5088" s="465">
        <v>1.65</v>
      </c>
      <c r="G5088" s="466">
        <v>1.65</v>
      </c>
      <c r="H5088" s="466">
        <f>G5088/1.1</f>
        <v>1.4999999999999998</v>
      </c>
      <c r="I5088" s="436"/>
      <c r="J5088" s="465"/>
      <c r="K5088" s="465"/>
    </row>
    <row r="5089" spans="2:11" ht="19" customHeight="1">
      <c r="B5089" s="464">
        <v>46129</v>
      </c>
      <c r="C5089" s="436" t="s">
        <v>1265</v>
      </c>
      <c r="D5089" s="436" t="s">
        <v>1266</v>
      </c>
      <c r="E5089" s="436">
        <v>1</v>
      </c>
      <c r="F5089" s="465">
        <v>14.9</v>
      </c>
      <c r="G5089" s="466">
        <v>14.9</v>
      </c>
      <c r="H5089" s="466">
        <f>G5089/1.1</f>
        <v>13.545454545454545</v>
      </c>
      <c r="I5089" s="436"/>
      <c r="J5089" s="465"/>
      <c r="K5089" s="465"/>
    </row>
    <row r="5090" spans="2:11" ht="19" customHeight="1">
      <c r="B5090" s="464">
        <v>46129</v>
      </c>
      <c r="C5090" s="436" t="s">
        <v>873</v>
      </c>
      <c r="D5090" s="436" t="s">
        <v>1053</v>
      </c>
      <c r="E5090" s="436">
        <v>1</v>
      </c>
      <c r="F5090" s="465"/>
      <c r="G5090" s="466"/>
      <c r="H5090" s="466">
        <f>G5090/1.1</f>
        <v>0</v>
      </c>
      <c r="I5090" s="436"/>
      <c r="J5090" s="465"/>
      <c r="K5090" s="465"/>
    </row>
    <row r="5091" spans="2:11" ht="19" customHeight="1">
      <c r="B5091" s="464">
        <v>46129</v>
      </c>
      <c r="C5091" s="436" t="s">
        <v>873</v>
      </c>
      <c r="D5091" s="436" t="s">
        <v>1296</v>
      </c>
      <c r="E5091" s="436">
        <v>1</v>
      </c>
      <c r="F5091" s="465"/>
      <c r="G5091" s="466"/>
      <c r="H5091" s="466">
        <f>G5091/1.1</f>
        <v>0</v>
      </c>
      <c r="I5091" s="436"/>
      <c r="J5091" s="465"/>
      <c r="K5091" s="465"/>
    </row>
    <row r="5092" spans="2:11" ht="19" customHeight="1">
      <c r="B5092" s="464">
        <v>46129</v>
      </c>
      <c r="C5092" s="436" t="s">
        <v>877</v>
      </c>
      <c r="D5092" s="436" t="s">
        <v>1122</v>
      </c>
      <c r="E5092" s="436">
        <v>1</v>
      </c>
      <c r="F5092" s="465"/>
      <c r="G5092" s="466"/>
      <c r="H5092" s="466">
        <f>G5092/1.1</f>
        <v>0</v>
      </c>
      <c r="I5092" s="436"/>
      <c r="J5092" s="465"/>
      <c r="K5092" s="465"/>
    </row>
    <row r="5093" spans="2:11" ht="19" customHeight="1">
      <c r="B5093" s="464">
        <v>46129</v>
      </c>
      <c r="C5093" s="436" t="s">
        <v>266</v>
      </c>
      <c r="D5093" s="436" t="s">
        <v>250</v>
      </c>
      <c r="E5093" s="436">
        <v>1</v>
      </c>
      <c r="F5093" s="465"/>
      <c r="G5093" s="466"/>
      <c r="H5093" s="466">
        <f>G5093/1.1</f>
        <v>0</v>
      </c>
      <c r="I5093" s="436"/>
      <c r="J5093" s="465"/>
      <c r="K5093" s="465"/>
    </row>
    <row r="5094" spans="2:11" ht="19" customHeight="1">
      <c r="B5094" s="464">
        <v>46129</v>
      </c>
      <c r="C5094" s="436" t="s">
        <v>258</v>
      </c>
      <c r="D5094" s="436" t="s">
        <v>882</v>
      </c>
      <c r="E5094" s="436">
        <v>1</v>
      </c>
      <c r="F5094" s="465"/>
      <c r="G5094" s="466"/>
      <c r="H5094" s="466">
        <f>G5094/1.1</f>
        <v>0</v>
      </c>
      <c r="I5094" s="436"/>
      <c r="J5094" s="465"/>
      <c r="K5094" s="465"/>
    </row>
    <row r="5095" spans="2:11" ht="19" customHeight="1">
      <c r="B5095" s="464">
        <v>46129</v>
      </c>
      <c r="C5095" s="436" t="s">
        <v>258</v>
      </c>
      <c r="D5095" s="436" t="s">
        <v>1305</v>
      </c>
      <c r="E5095" s="436">
        <v>1</v>
      </c>
      <c r="F5095" s="465"/>
      <c r="G5095" s="466"/>
      <c r="H5095" s="466">
        <f>G5095/1.1</f>
        <v>0</v>
      </c>
      <c r="I5095" s="436"/>
      <c r="J5095" s="465"/>
      <c r="K5095" s="465"/>
    </row>
    <row r="5096" spans="2:11" ht="19" customHeight="1">
      <c r="B5096" s="464">
        <v>46129</v>
      </c>
      <c r="C5096" s="436" t="s">
        <v>873</v>
      </c>
      <c r="D5096" s="436" t="s">
        <v>1296</v>
      </c>
      <c r="E5096" s="436">
        <v>1</v>
      </c>
      <c r="F5096" s="465"/>
      <c r="G5096" s="466"/>
      <c r="H5096" s="466">
        <f>G5096/1.1</f>
        <v>0</v>
      </c>
      <c r="I5096" s="436"/>
      <c r="J5096" s="465"/>
      <c r="K5096" s="465"/>
    </row>
    <row r="5097" spans="2:11" ht="19" customHeight="1">
      <c r="B5097" s="464">
        <v>46129</v>
      </c>
      <c r="C5097" s="436" t="s">
        <v>877</v>
      </c>
      <c r="D5097" s="436" t="s">
        <v>1053</v>
      </c>
      <c r="E5097" s="436">
        <v>1</v>
      </c>
      <c r="F5097" s="465"/>
      <c r="G5097" s="466"/>
      <c r="H5097" s="466">
        <f>G5097/1.1</f>
        <v>0</v>
      </c>
      <c r="I5097" s="436"/>
      <c r="J5097" s="465"/>
      <c r="K5097" s="465"/>
    </row>
    <row r="5098" spans="2:11" ht="19" customHeight="1">
      <c r="B5098" s="464">
        <v>46129</v>
      </c>
      <c r="C5098" s="436" t="s">
        <v>266</v>
      </c>
      <c r="D5098" s="436" t="s">
        <v>1306</v>
      </c>
      <c r="E5098" s="436">
        <v>1</v>
      </c>
      <c r="F5098" s="465"/>
      <c r="G5098" s="466"/>
      <c r="H5098" s="466">
        <f>G5098/1.1</f>
        <v>0</v>
      </c>
      <c r="I5098" s="436"/>
      <c r="J5098" s="465"/>
      <c r="K5098" s="465"/>
    </row>
    <row r="5099" spans="2:11" ht="19" customHeight="1">
      <c r="B5099" s="464">
        <v>46129</v>
      </c>
      <c r="C5099" s="436" t="s">
        <v>258</v>
      </c>
      <c r="D5099" s="436" t="s">
        <v>1307</v>
      </c>
      <c r="E5099" s="436">
        <v>1</v>
      </c>
      <c r="F5099" s="465"/>
      <c r="G5099" s="466"/>
      <c r="H5099" s="466">
        <f>G5099/1.1</f>
        <v>0</v>
      </c>
      <c r="I5099" s="436"/>
      <c r="J5099" s="465"/>
      <c r="K5099" s="465"/>
    </row>
    <row r="5100" spans="2:11" ht="19" customHeight="1">
      <c r="B5100" s="464">
        <v>46129</v>
      </c>
      <c r="C5100" s="436" t="s">
        <v>873</v>
      </c>
      <c r="D5100" s="436" t="s">
        <v>1296</v>
      </c>
      <c r="E5100" s="436">
        <v>1</v>
      </c>
      <c r="F5100" s="465"/>
      <c r="G5100" s="466"/>
      <c r="H5100" s="466">
        <f>G5100/1.1</f>
        <v>0</v>
      </c>
      <c r="I5100" s="436"/>
      <c r="J5100" s="465"/>
      <c r="K5100" s="465"/>
    </row>
    <row r="5101" spans="2:11" ht="19" customHeight="1">
      <c r="B5101" s="464">
        <v>46129</v>
      </c>
      <c r="C5101" s="436" t="s">
        <v>873</v>
      </c>
      <c r="D5101" s="436" t="s">
        <v>913</v>
      </c>
      <c r="E5101" s="436">
        <v>1</v>
      </c>
      <c r="F5101" s="465">
        <v>5</v>
      </c>
      <c r="G5101" s="466"/>
      <c r="H5101" s="466">
        <f>G5101/1.1</f>
        <v>0</v>
      </c>
      <c r="I5101" s="436"/>
      <c r="J5101" s="465"/>
      <c r="K5101" s="465"/>
    </row>
    <row r="5102" spans="2:11" ht="19" customHeight="1">
      <c r="B5102" s="464">
        <v>46129</v>
      </c>
      <c r="C5102" s="436" t="s">
        <v>877</v>
      </c>
      <c r="D5102" s="436" t="s">
        <v>1294</v>
      </c>
      <c r="E5102" s="436">
        <v>1</v>
      </c>
      <c r="F5102" s="465"/>
      <c r="G5102" s="466"/>
      <c r="H5102" s="466">
        <f>G5102/1.1</f>
        <v>0</v>
      </c>
      <c r="I5102" s="436"/>
      <c r="J5102" s="465"/>
      <c r="K5102" s="465"/>
    </row>
    <row r="5103" spans="2:11" ht="20" customHeight="1">
      <c r="B5103" s="464">
        <v>46129</v>
      </c>
      <c r="C5103" s="436" t="s">
        <v>877</v>
      </c>
      <c r="D5103" s="470" t="s">
        <v>1308</v>
      </c>
      <c r="E5103" s="436">
        <v>1</v>
      </c>
      <c r="F5103" s="465">
        <v>3</v>
      </c>
      <c r="G5103" s="466"/>
      <c r="H5103" s="466">
        <f>G5103/1.1</f>
        <v>0</v>
      </c>
      <c r="I5103" s="436"/>
      <c r="J5103" s="465"/>
      <c r="K5103" s="465"/>
    </row>
    <row r="5104" spans="2:11" ht="19" customHeight="1">
      <c r="B5104" s="464">
        <v>46129</v>
      </c>
      <c r="C5104" s="436" t="s">
        <v>266</v>
      </c>
      <c r="D5104" s="436" t="s">
        <v>942</v>
      </c>
      <c r="E5104" s="436">
        <v>1</v>
      </c>
      <c r="F5104" s="465"/>
      <c r="G5104" s="466"/>
      <c r="H5104" s="466">
        <f>G5104/1.1</f>
        <v>0</v>
      </c>
      <c r="I5104" s="436"/>
      <c r="J5104" s="465"/>
      <c r="K5104" s="465"/>
    </row>
    <row r="5105" spans="2:11" ht="19" customHeight="1">
      <c r="B5105" s="464">
        <v>46129</v>
      </c>
      <c r="C5105" s="436" t="s">
        <v>266</v>
      </c>
      <c r="D5105" s="436" t="s">
        <v>880</v>
      </c>
      <c r="E5105" s="436">
        <v>1</v>
      </c>
      <c r="F5105" s="465"/>
      <c r="G5105" s="466"/>
      <c r="H5105" s="466">
        <f>G5105/1.1</f>
        <v>0</v>
      </c>
      <c r="I5105" s="436"/>
      <c r="J5105" s="465"/>
      <c r="K5105" s="465"/>
    </row>
    <row r="5106" spans="2:11" ht="19" customHeight="1">
      <c r="B5106" s="464">
        <v>46129</v>
      </c>
      <c r="C5106" s="436" t="s">
        <v>266</v>
      </c>
      <c r="D5106" s="436" t="s">
        <v>1066</v>
      </c>
      <c r="E5106" s="436">
        <v>1</v>
      </c>
      <c r="F5106" s="465"/>
      <c r="G5106" s="466"/>
      <c r="H5106" s="466">
        <f>G5106/1.1</f>
        <v>0</v>
      </c>
      <c r="I5106" s="436"/>
      <c r="J5106" s="465"/>
      <c r="K5106" s="465"/>
    </row>
    <row r="5107" spans="2:11" ht="19" customHeight="1">
      <c r="B5107" s="464">
        <v>46129</v>
      </c>
      <c r="C5107" s="436" t="s">
        <v>258</v>
      </c>
      <c r="D5107" s="436" t="s">
        <v>936</v>
      </c>
      <c r="E5107" s="436">
        <v>1</v>
      </c>
      <c r="F5107" s="465"/>
      <c r="G5107" s="466"/>
      <c r="H5107" s="466">
        <f>G5107/1.1</f>
        <v>0</v>
      </c>
      <c r="I5107" s="436"/>
      <c r="J5107" s="465"/>
      <c r="K5107" s="465"/>
    </row>
    <row r="5108" spans="2:11" ht="19" customHeight="1">
      <c r="B5108" s="464">
        <v>46129</v>
      </c>
      <c r="C5108" s="436" t="s">
        <v>258</v>
      </c>
      <c r="D5108" s="436" t="s">
        <v>1305</v>
      </c>
      <c r="E5108" s="436">
        <v>1</v>
      </c>
      <c r="F5108" s="465"/>
      <c r="G5108" s="466"/>
      <c r="H5108" s="466">
        <f>G5108/1.1</f>
        <v>0</v>
      </c>
      <c r="I5108" s="436"/>
      <c r="J5108" s="465"/>
      <c r="K5108" s="465"/>
    </row>
    <row r="5109" spans="2:11" ht="19" customHeight="1">
      <c r="B5109" s="464">
        <v>46129</v>
      </c>
      <c r="C5109" s="436" t="s">
        <v>873</v>
      </c>
      <c r="D5109" s="436" t="s">
        <v>1296</v>
      </c>
      <c r="E5109" s="436">
        <v>2</v>
      </c>
      <c r="F5109" s="465"/>
      <c r="G5109" s="466"/>
      <c r="H5109" s="466">
        <f>G5109/1.1</f>
        <v>0</v>
      </c>
      <c r="I5109" s="436"/>
      <c r="J5109" s="465"/>
      <c r="K5109" s="465"/>
    </row>
    <row r="5110" spans="2:11" ht="19" customHeight="1">
      <c r="B5110" s="464">
        <v>46129</v>
      </c>
      <c r="C5110" s="436" t="s">
        <v>877</v>
      </c>
      <c r="D5110" s="436" t="s">
        <v>1294</v>
      </c>
      <c r="E5110" s="436">
        <v>1</v>
      </c>
      <c r="F5110" s="465"/>
      <c r="G5110" s="466"/>
      <c r="H5110" s="466">
        <f>G5110/1.1</f>
        <v>0</v>
      </c>
      <c r="I5110" s="436"/>
      <c r="J5110" s="465"/>
      <c r="K5110" s="465"/>
    </row>
    <row r="5111" spans="2:11" ht="20" customHeight="1">
      <c r="B5111" s="464">
        <v>46129</v>
      </c>
      <c r="C5111" s="436" t="s">
        <v>877</v>
      </c>
      <c r="D5111" s="470" t="s">
        <v>1308</v>
      </c>
      <c r="E5111" s="436">
        <v>1</v>
      </c>
      <c r="F5111" s="465">
        <v>3</v>
      </c>
      <c r="G5111" s="466"/>
      <c r="H5111" s="466">
        <f>G5111/1.1</f>
        <v>0</v>
      </c>
      <c r="I5111" s="436"/>
      <c r="J5111" s="465"/>
      <c r="K5111" s="465"/>
    </row>
    <row r="5112" spans="2:11" ht="19" customHeight="1">
      <c r="B5112" s="464">
        <v>46129</v>
      </c>
      <c r="C5112" s="436" t="s">
        <v>266</v>
      </c>
      <c r="D5112" s="436" t="s">
        <v>250</v>
      </c>
      <c r="E5112" s="436">
        <v>1</v>
      </c>
      <c r="F5112" s="465"/>
      <c r="G5112" s="466"/>
      <c r="H5112" s="466">
        <f>G5112/1.1</f>
        <v>0</v>
      </c>
      <c r="I5112" s="436"/>
      <c r="J5112" s="465"/>
      <c r="K5112" s="465"/>
    </row>
    <row r="5113" spans="2:11" ht="19" customHeight="1">
      <c r="B5113" s="464">
        <v>46129</v>
      </c>
      <c r="C5113" s="436" t="s">
        <v>266</v>
      </c>
      <c r="D5113" s="436" t="s">
        <v>1088</v>
      </c>
      <c r="E5113" s="436">
        <v>1</v>
      </c>
      <c r="F5113" s="465"/>
      <c r="G5113" s="466"/>
      <c r="H5113" s="466">
        <f>G5113/1.1</f>
        <v>0</v>
      </c>
      <c r="I5113" s="436"/>
      <c r="J5113" s="465"/>
      <c r="K5113" s="465"/>
    </row>
    <row r="5114" spans="2:11" ht="19" customHeight="1">
      <c r="B5114" s="464">
        <v>46129</v>
      </c>
      <c r="C5114" s="436" t="s">
        <v>258</v>
      </c>
      <c r="D5114" s="436" t="s">
        <v>1305</v>
      </c>
      <c r="E5114" s="436">
        <v>1</v>
      </c>
      <c r="F5114" s="465"/>
      <c r="G5114" s="466"/>
      <c r="H5114" s="466">
        <f>G5114/1.1</f>
        <v>0</v>
      </c>
      <c r="I5114" s="436"/>
      <c r="J5114" s="465"/>
      <c r="K5114" s="465"/>
    </row>
    <row r="5115" spans="2:11" ht="19" customHeight="1">
      <c r="B5115" s="464">
        <v>46129</v>
      </c>
      <c r="C5115" s="436" t="s">
        <v>258</v>
      </c>
      <c r="D5115" s="436" t="s">
        <v>972</v>
      </c>
      <c r="E5115" s="436">
        <v>1</v>
      </c>
      <c r="F5115" s="465"/>
      <c r="G5115" s="466"/>
      <c r="H5115" s="466">
        <f>G5115/1.1</f>
        <v>0</v>
      </c>
      <c r="I5115" s="436"/>
      <c r="J5115" s="465"/>
      <c r="K5115" s="465"/>
    </row>
    <row r="5116" spans="2:11" ht="19" customHeight="1">
      <c r="B5116" s="464">
        <v>46129</v>
      </c>
      <c r="C5116" s="436" t="s">
        <v>873</v>
      </c>
      <c r="D5116" s="436" t="s">
        <v>913</v>
      </c>
      <c r="E5116" s="436">
        <v>1</v>
      </c>
      <c r="F5116" s="465">
        <v>5</v>
      </c>
      <c r="G5116" s="466"/>
      <c r="H5116" s="466">
        <f>G5116/1.1</f>
        <v>0</v>
      </c>
      <c r="I5116" s="436"/>
      <c r="J5116" s="465"/>
      <c r="K5116" s="465"/>
    </row>
    <row r="5117" spans="2:11" ht="19" customHeight="1">
      <c r="B5117" s="464">
        <v>46129</v>
      </c>
      <c r="C5117" s="436" t="s">
        <v>873</v>
      </c>
      <c r="D5117" s="436" t="s">
        <v>1053</v>
      </c>
      <c r="E5117" s="436">
        <v>1</v>
      </c>
      <c r="F5117" s="465"/>
      <c r="G5117" s="466"/>
      <c r="H5117" s="466">
        <f>G5117/1.1</f>
        <v>0</v>
      </c>
      <c r="I5117" s="436"/>
      <c r="J5117" s="465"/>
      <c r="K5117" s="465"/>
    </row>
    <row r="5118" spans="2:11" ht="20" customHeight="1">
      <c r="B5118" s="464">
        <v>46129</v>
      </c>
      <c r="C5118" s="436" t="s">
        <v>877</v>
      </c>
      <c r="D5118" s="470" t="s">
        <v>1308</v>
      </c>
      <c r="E5118" s="436">
        <v>1</v>
      </c>
      <c r="F5118" s="465">
        <v>3</v>
      </c>
      <c r="G5118" s="466"/>
      <c r="H5118" s="466">
        <f>G5118/1.1</f>
        <v>0</v>
      </c>
      <c r="I5118" s="436"/>
      <c r="J5118" s="465"/>
      <c r="K5118" s="465"/>
    </row>
    <row r="5119" spans="2:11" ht="19" customHeight="1">
      <c r="B5119" s="464">
        <v>46129</v>
      </c>
      <c r="C5119" s="436" t="s">
        <v>877</v>
      </c>
      <c r="D5119" s="436" t="s">
        <v>1122</v>
      </c>
      <c r="E5119" s="436">
        <v>1</v>
      </c>
      <c r="F5119" s="465"/>
      <c r="G5119" s="466"/>
      <c r="H5119" s="466">
        <f>G5119/1.1</f>
        <v>0</v>
      </c>
      <c r="I5119" s="436"/>
      <c r="J5119" s="465"/>
      <c r="K5119" s="465"/>
    </row>
    <row r="5120" spans="2:11" ht="19" customHeight="1">
      <c r="B5120" s="464">
        <v>46129</v>
      </c>
      <c r="C5120" s="436" t="s">
        <v>266</v>
      </c>
      <c r="D5120" s="436" t="s">
        <v>265</v>
      </c>
      <c r="E5120" s="436">
        <v>1</v>
      </c>
      <c r="F5120" s="465">
        <v>1</v>
      </c>
      <c r="G5120" s="466"/>
      <c r="H5120" s="466">
        <f>G5120/1.1</f>
        <v>0</v>
      </c>
      <c r="I5120" s="436"/>
      <c r="J5120" s="465"/>
      <c r="K5120" s="465"/>
    </row>
    <row r="5121" spans="2:11" ht="19" customHeight="1">
      <c r="B5121" s="464">
        <v>46129</v>
      </c>
      <c r="C5121" s="436" t="s">
        <v>266</v>
      </c>
      <c r="D5121" s="436" t="s">
        <v>1066</v>
      </c>
      <c r="E5121" s="436">
        <v>1</v>
      </c>
      <c r="F5121" s="465"/>
      <c r="G5121" s="466"/>
      <c r="H5121" s="466">
        <f>G5121/1.1</f>
        <v>0</v>
      </c>
      <c r="I5121" s="436"/>
      <c r="J5121" s="465"/>
      <c r="K5121" s="465"/>
    </row>
    <row r="5122" spans="2:11" ht="19" customHeight="1">
      <c r="B5122" s="464">
        <v>46129</v>
      </c>
      <c r="C5122" s="436" t="s">
        <v>258</v>
      </c>
      <c r="D5122" s="436" t="s">
        <v>972</v>
      </c>
      <c r="E5122" s="436">
        <v>1</v>
      </c>
      <c r="F5122" s="465"/>
      <c r="G5122" s="466"/>
      <c r="H5122" s="466">
        <f>G5122/1.1</f>
        <v>0</v>
      </c>
      <c r="I5122" s="436"/>
      <c r="J5122" s="465"/>
      <c r="K5122" s="465"/>
    </row>
    <row r="5123" spans="2:11" ht="19" customHeight="1">
      <c r="B5123" s="464">
        <v>46129</v>
      </c>
      <c r="C5123" s="436" t="s">
        <v>258</v>
      </c>
      <c r="D5123" s="436" t="s">
        <v>882</v>
      </c>
      <c r="E5123" s="436">
        <v>1</v>
      </c>
      <c r="F5123" s="465"/>
      <c r="G5123" s="466"/>
      <c r="H5123" s="466">
        <f>G5123/1.1</f>
        <v>0</v>
      </c>
      <c r="I5123" s="436"/>
      <c r="J5123" s="465"/>
      <c r="K5123" s="465"/>
    </row>
    <row r="5124" spans="2:11" ht="19" customHeight="1">
      <c r="B5124" s="464">
        <v>46129</v>
      </c>
      <c r="C5124" s="436" t="s">
        <v>873</v>
      </c>
      <c r="D5124" s="436" t="s">
        <v>1296</v>
      </c>
      <c r="E5124" s="436">
        <v>1</v>
      </c>
      <c r="F5124" s="465"/>
      <c r="G5124" s="466"/>
      <c r="H5124" s="466">
        <f>G5124/1.1</f>
        <v>0</v>
      </c>
      <c r="I5124" s="436"/>
      <c r="J5124" s="465"/>
      <c r="K5124" s="465"/>
    </row>
    <row r="5125" spans="2:11" ht="19" customHeight="1">
      <c r="B5125" s="464">
        <v>46129</v>
      </c>
      <c r="C5125" s="436" t="s">
        <v>877</v>
      </c>
      <c r="D5125" s="436" t="s">
        <v>1294</v>
      </c>
      <c r="E5125" s="436">
        <v>1</v>
      </c>
      <c r="F5125" s="465"/>
      <c r="G5125" s="466"/>
      <c r="H5125" s="466">
        <f>G5125/1.1</f>
        <v>0</v>
      </c>
      <c r="I5125" s="436"/>
      <c r="J5125" s="465"/>
      <c r="K5125" s="465"/>
    </row>
    <row r="5126" spans="2:11" ht="19" customHeight="1">
      <c r="B5126" s="464">
        <v>46129</v>
      </c>
      <c r="C5126" s="436" t="s">
        <v>266</v>
      </c>
      <c r="D5126" s="436" t="s">
        <v>250</v>
      </c>
      <c r="E5126" s="436">
        <v>1</v>
      </c>
      <c r="F5126" s="465"/>
      <c r="G5126" s="466"/>
      <c r="H5126" s="466">
        <f>G5126/1.1</f>
        <v>0</v>
      </c>
      <c r="I5126" s="436"/>
      <c r="J5126" s="465"/>
      <c r="K5126" s="465"/>
    </row>
    <row r="5127" spans="2:11" ht="19" customHeight="1">
      <c r="B5127" s="464">
        <v>46129</v>
      </c>
      <c r="C5127" s="436" t="s">
        <v>258</v>
      </c>
      <c r="D5127" s="436" t="s">
        <v>1305</v>
      </c>
      <c r="E5127" s="436">
        <v>1</v>
      </c>
      <c r="F5127" s="465"/>
      <c r="G5127" s="466"/>
      <c r="H5127" s="466">
        <f>G5127/1.1</f>
        <v>0</v>
      </c>
      <c r="I5127" s="436"/>
      <c r="J5127" s="465"/>
      <c r="K5127" s="465"/>
    </row>
    <row r="5128" spans="2:11" ht="19" customHeight="1">
      <c r="B5128" s="464">
        <v>46129</v>
      </c>
      <c r="C5128" s="436" t="s">
        <v>873</v>
      </c>
      <c r="D5128" s="436" t="s">
        <v>1296</v>
      </c>
      <c r="E5128" s="436">
        <v>1</v>
      </c>
      <c r="F5128" s="465"/>
      <c r="G5128" s="466"/>
      <c r="H5128" s="466">
        <f>G5128/1.1</f>
        <v>0</v>
      </c>
      <c r="I5128" s="436"/>
      <c r="J5128" s="465"/>
      <c r="K5128" s="465"/>
    </row>
    <row r="5129" spans="2:11" ht="20" customHeight="1">
      <c r="B5129" s="464">
        <v>46129</v>
      </c>
      <c r="C5129" s="436" t="s">
        <v>877</v>
      </c>
      <c r="D5129" s="470" t="s">
        <v>1308</v>
      </c>
      <c r="E5129" s="436">
        <v>1</v>
      </c>
      <c r="F5129" s="465">
        <v>3</v>
      </c>
      <c r="G5129" s="466"/>
      <c r="H5129" s="466">
        <f>G5129/1.1</f>
        <v>0</v>
      </c>
      <c r="I5129" s="436"/>
      <c r="J5129" s="465"/>
      <c r="K5129" s="465"/>
    </row>
    <row r="5130" spans="2:11" ht="19" customHeight="1">
      <c r="B5130" s="464">
        <v>46129</v>
      </c>
      <c r="C5130" s="436" t="s">
        <v>266</v>
      </c>
      <c r="D5130" s="436" t="s">
        <v>996</v>
      </c>
      <c r="E5130" s="436">
        <v>1</v>
      </c>
      <c r="F5130" s="465"/>
      <c r="G5130" s="466"/>
      <c r="H5130" s="466">
        <f>G5130/1.1</f>
        <v>0</v>
      </c>
      <c r="I5130" s="436"/>
      <c r="J5130" s="465"/>
      <c r="K5130" s="465"/>
    </row>
    <row r="5131" spans="2:11" ht="19" customHeight="1">
      <c r="B5131" s="464">
        <v>46129</v>
      </c>
      <c r="C5131" s="436" t="s">
        <v>258</v>
      </c>
      <c r="D5131" s="436" t="s">
        <v>1305</v>
      </c>
      <c r="E5131" s="436">
        <v>1</v>
      </c>
      <c r="F5131" s="465"/>
      <c r="G5131" s="466"/>
      <c r="H5131" s="466">
        <f>G5131/1.1</f>
        <v>0</v>
      </c>
      <c r="I5131" s="436"/>
      <c r="J5131" s="465"/>
      <c r="K5131" s="465"/>
    </row>
    <row r="5132" spans="2:11" ht="19" customHeight="1">
      <c r="B5132" s="464">
        <v>46130</v>
      </c>
      <c r="C5132" s="436" t="s">
        <v>725</v>
      </c>
      <c r="D5132" s="436" t="s">
        <v>1309</v>
      </c>
      <c r="E5132" s="436">
        <v>1</v>
      </c>
      <c r="F5132" s="465">
        <v>2.2000000000000002</v>
      </c>
      <c r="G5132" s="466">
        <v>2.2000000000000002</v>
      </c>
      <c r="H5132" s="466">
        <f>G5132/1.1</f>
        <v>2</v>
      </c>
      <c r="I5132" s="436"/>
      <c r="J5132" s="465"/>
      <c r="K5132" s="465"/>
    </row>
    <row r="5133" spans="2:11" ht="19" customHeight="1">
      <c r="B5133" s="464">
        <v>46130</v>
      </c>
      <c r="C5133" s="436" t="s">
        <v>247</v>
      </c>
      <c r="D5133" s="436" t="s">
        <v>246</v>
      </c>
      <c r="E5133" s="436">
        <v>3</v>
      </c>
      <c r="F5133" s="465">
        <v>1.7</v>
      </c>
      <c r="G5133" s="466">
        <v>5.0999999999999996</v>
      </c>
      <c r="H5133" s="466">
        <f>G5133/1.1</f>
        <v>4.6363636363636358</v>
      </c>
      <c r="I5133" s="436"/>
      <c r="J5133" s="465"/>
      <c r="K5133" s="465"/>
    </row>
    <row r="5134" spans="2:11" ht="19" customHeight="1">
      <c r="B5134" s="464">
        <v>46130</v>
      </c>
      <c r="C5134" s="436" t="s">
        <v>275</v>
      </c>
      <c r="D5134" s="436" t="s">
        <v>1198</v>
      </c>
      <c r="E5134" s="436">
        <v>3</v>
      </c>
      <c r="F5134" s="465">
        <v>5.25</v>
      </c>
      <c r="G5134" s="466">
        <v>15.75</v>
      </c>
      <c r="H5134" s="466">
        <f>G5134/1.1</f>
        <v>14.318181818181817</v>
      </c>
      <c r="I5134" s="436"/>
      <c r="J5134" s="465"/>
      <c r="K5134" s="465"/>
    </row>
    <row r="5135" spans="2:11" ht="19" customHeight="1">
      <c r="B5135" s="464">
        <v>46130</v>
      </c>
      <c r="C5135" s="436" t="s">
        <v>253</v>
      </c>
      <c r="D5135" s="436" t="s">
        <v>989</v>
      </c>
      <c r="E5135" s="436">
        <v>1</v>
      </c>
      <c r="F5135" s="465">
        <v>2.95</v>
      </c>
      <c r="G5135" s="466">
        <v>2.95</v>
      </c>
      <c r="H5135" s="466">
        <f>G5135/1.1</f>
        <v>2.6818181818181817</v>
      </c>
      <c r="I5135" s="436"/>
      <c r="J5135" s="465"/>
      <c r="K5135" s="465"/>
    </row>
    <row r="5136" spans="2:11" ht="19" customHeight="1">
      <c r="B5136" s="464">
        <v>46130</v>
      </c>
      <c r="C5136" s="436" t="s">
        <v>253</v>
      </c>
      <c r="D5136" s="436" t="s">
        <v>676</v>
      </c>
      <c r="E5136" s="436">
        <v>2</v>
      </c>
      <c r="F5136" s="465">
        <v>2.95</v>
      </c>
      <c r="G5136" s="466">
        <v>5.9</v>
      </c>
      <c r="H5136" s="466">
        <f>G5136/1.1</f>
        <v>5.3636363636363633</v>
      </c>
      <c r="I5136" s="436"/>
      <c r="J5136" s="465"/>
      <c r="K5136" s="465"/>
    </row>
    <row r="5137" spans="2:11" ht="19" customHeight="1">
      <c r="B5137" s="464">
        <v>46130</v>
      </c>
      <c r="C5137" s="436" t="s">
        <v>253</v>
      </c>
      <c r="D5137" s="436" t="s">
        <v>869</v>
      </c>
      <c r="E5137" s="436">
        <v>1</v>
      </c>
      <c r="F5137" s="465">
        <v>2.5</v>
      </c>
      <c r="G5137" s="466">
        <v>2.5</v>
      </c>
      <c r="H5137" s="466">
        <f>G5137/1.1</f>
        <v>2.2727272727272725</v>
      </c>
      <c r="I5137" s="436"/>
      <c r="J5137" s="465"/>
      <c r="K5137" s="465"/>
    </row>
    <row r="5138" spans="2:11" ht="19" customHeight="1">
      <c r="B5138" s="464">
        <v>46130</v>
      </c>
      <c r="C5138" s="436" t="s">
        <v>256</v>
      </c>
      <c r="D5138" s="436" t="s">
        <v>1281</v>
      </c>
      <c r="E5138" s="436">
        <v>1</v>
      </c>
      <c r="F5138" s="465">
        <v>3.5</v>
      </c>
      <c r="G5138" s="466">
        <v>3.5</v>
      </c>
      <c r="H5138" s="466">
        <f>G5138/1.1</f>
        <v>3.1818181818181817</v>
      </c>
      <c r="I5138" s="436"/>
      <c r="J5138" s="465"/>
      <c r="K5138" s="465"/>
    </row>
    <row r="5139" spans="2:11" ht="19" customHeight="1">
      <c r="B5139" s="464">
        <v>46130</v>
      </c>
      <c r="C5139" s="436" t="s">
        <v>256</v>
      </c>
      <c r="D5139" s="436" t="s">
        <v>1139</v>
      </c>
      <c r="E5139" s="436">
        <v>1</v>
      </c>
      <c r="F5139" s="465">
        <v>10</v>
      </c>
      <c r="G5139" s="466">
        <v>10</v>
      </c>
      <c r="H5139" s="466">
        <f>G5139/1.1</f>
        <v>9.0909090909090899</v>
      </c>
      <c r="I5139" s="436"/>
      <c r="J5139" s="465"/>
      <c r="K5139" s="465"/>
    </row>
    <row r="5140" spans="2:11" ht="19" customHeight="1">
      <c r="B5140" s="464">
        <v>46130</v>
      </c>
      <c r="C5140" s="436" t="s">
        <v>256</v>
      </c>
      <c r="D5140" s="436" t="s">
        <v>1310</v>
      </c>
      <c r="E5140" s="436">
        <v>1</v>
      </c>
      <c r="F5140" s="465">
        <v>13.95</v>
      </c>
      <c r="G5140" s="466">
        <v>13.95</v>
      </c>
      <c r="H5140" s="466">
        <f>G5140/1.1</f>
        <v>12.68181818181818</v>
      </c>
      <c r="I5140" s="436"/>
      <c r="J5140" s="465"/>
      <c r="K5140" s="465"/>
    </row>
    <row r="5141" spans="2:11" ht="19" customHeight="1">
      <c r="B5141" s="464">
        <v>46130</v>
      </c>
      <c r="C5141" s="436" t="s">
        <v>256</v>
      </c>
      <c r="D5141" s="436" t="s">
        <v>747</v>
      </c>
      <c r="E5141" s="436">
        <v>1</v>
      </c>
      <c r="F5141" s="465">
        <v>8.5</v>
      </c>
      <c r="G5141" s="466">
        <v>8.5</v>
      </c>
      <c r="H5141" s="466">
        <f>G5141/1.1</f>
        <v>7.7272727272727266</v>
      </c>
      <c r="I5141" s="436"/>
      <c r="J5141" s="465"/>
      <c r="K5141" s="465"/>
    </row>
    <row r="5142" spans="2:11" ht="19" customHeight="1">
      <c r="B5142" s="464">
        <v>46130</v>
      </c>
      <c r="C5142" s="436" t="s">
        <v>256</v>
      </c>
      <c r="D5142" s="436" t="s">
        <v>679</v>
      </c>
      <c r="E5142" s="436">
        <v>1</v>
      </c>
      <c r="F5142" s="465">
        <v>10</v>
      </c>
      <c r="G5142" s="466">
        <v>10</v>
      </c>
      <c r="H5142" s="466">
        <f>G5142/1.1</f>
        <v>9.0909090909090899</v>
      </c>
      <c r="I5142" s="436"/>
      <c r="J5142" s="465"/>
      <c r="K5142" s="465"/>
    </row>
    <row r="5143" spans="2:11" ht="19" customHeight="1">
      <c r="B5143" s="464">
        <v>46130</v>
      </c>
      <c r="C5143" s="436" t="s">
        <v>247</v>
      </c>
      <c r="D5143" s="436" t="s">
        <v>257</v>
      </c>
      <c r="E5143" s="436">
        <v>2</v>
      </c>
      <c r="F5143" s="465">
        <v>1.4</v>
      </c>
      <c r="G5143" s="466">
        <v>2.8</v>
      </c>
      <c r="H5143" s="466">
        <f>G5143/1.1</f>
        <v>2.545454545454545</v>
      </c>
      <c r="I5143" s="436"/>
      <c r="J5143" s="465"/>
      <c r="K5143" s="465"/>
    </row>
    <row r="5144" spans="2:11" ht="19" customHeight="1">
      <c r="B5144" s="464">
        <v>46130</v>
      </c>
      <c r="C5144" s="436" t="s">
        <v>247</v>
      </c>
      <c r="D5144" s="436" t="s">
        <v>248</v>
      </c>
      <c r="E5144" s="436">
        <v>1</v>
      </c>
      <c r="F5144" s="465">
        <v>1.8</v>
      </c>
      <c r="G5144" s="466">
        <v>1.8</v>
      </c>
      <c r="H5144" s="466">
        <f>G5144/1.1</f>
        <v>1.6363636363636362</v>
      </c>
      <c r="I5144" s="436"/>
      <c r="J5144" s="465"/>
      <c r="K5144" s="465"/>
    </row>
    <row r="5145" spans="2:11" ht="19" customHeight="1">
      <c r="B5145" s="464">
        <v>46130</v>
      </c>
      <c r="C5145" s="436" t="s">
        <v>253</v>
      </c>
      <c r="D5145" s="436" t="s">
        <v>687</v>
      </c>
      <c r="E5145" s="436">
        <v>2</v>
      </c>
      <c r="F5145" s="465">
        <v>3.25</v>
      </c>
      <c r="G5145" s="466">
        <v>6.5</v>
      </c>
      <c r="H5145" s="466">
        <f>G5145/1.1</f>
        <v>5.9090909090909083</v>
      </c>
      <c r="I5145" s="436"/>
      <c r="J5145" s="465"/>
      <c r="K5145" s="465"/>
    </row>
    <row r="5146" spans="2:11" ht="19" customHeight="1">
      <c r="B5146" s="464">
        <v>46130</v>
      </c>
      <c r="C5146" s="436" t="s">
        <v>251</v>
      </c>
      <c r="D5146" s="436" t="s">
        <v>250</v>
      </c>
      <c r="E5146" s="436">
        <v>1</v>
      </c>
      <c r="F5146" s="465">
        <v>2.0499999999999998</v>
      </c>
      <c r="G5146" s="466">
        <v>2.0499999999999998</v>
      </c>
      <c r="H5146" s="466">
        <f>G5146/1.1</f>
        <v>1.8636363636363633</v>
      </c>
      <c r="I5146" s="436"/>
      <c r="J5146" s="465"/>
      <c r="K5146" s="465"/>
    </row>
    <row r="5147" spans="2:11" ht="19" customHeight="1">
      <c r="B5147" s="464">
        <v>46130</v>
      </c>
      <c r="C5147" s="436" t="s">
        <v>256</v>
      </c>
      <c r="D5147" s="436" t="s">
        <v>915</v>
      </c>
      <c r="E5147" s="436">
        <v>1</v>
      </c>
      <c r="F5147" s="465">
        <v>11.15</v>
      </c>
      <c r="G5147" s="466">
        <v>11.15</v>
      </c>
      <c r="H5147" s="466">
        <f>G5147/1.1</f>
        <v>10.136363636363637</v>
      </c>
      <c r="I5147" s="436"/>
      <c r="J5147" s="465"/>
      <c r="K5147" s="465"/>
    </row>
    <row r="5148" spans="2:11" ht="19" customHeight="1">
      <c r="B5148" s="464">
        <v>46130</v>
      </c>
      <c r="C5148" s="436" t="s">
        <v>256</v>
      </c>
      <c r="D5148" s="436" t="s">
        <v>738</v>
      </c>
      <c r="E5148" s="436">
        <v>1</v>
      </c>
      <c r="F5148" s="465">
        <v>7.15</v>
      </c>
      <c r="G5148" s="466">
        <v>7.15</v>
      </c>
      <c r="H5148" s="466">
        <f>G5148/1.1</f>
        <v>6.5</v>
      </c>
      <c r="I5148" s="436"/>
      <c r="J5148" s="465"/>
      <c r="K5148" s="465"/>
    </row>
    <row r="5149" spans="2:11" ht="19" customHeight="1">
      <c r="B5149" s="464">
        <v>46130</v>
      </c>
      <c r="C5149" s="436" t="s">
        <v>256</v>
      </c>
      <c r="D5149" s="436" t="s">
        <v>1044</v>
      </c>
      <c r="E5149" s="436">
        <v>1</v>
      </c>
      <c r="F5149" s="465">
        <v>9.75</v>
      </c>
      <c r="G5149" s="466">
        <v>9.75</v>
      </c>
      <c r="H5149" s="466">
        <f>G5149/1.1</f>
        <v>8.8636363636363633</v>
      </c>
      <c r="I5149" s="436"/>
      <c r="J5149" s="465"/>
      <c r="K5149" s="465"/>
    </row>
    <row r="5150" spans="2:11" ht="19" customHeight="1">
      <c r="B5150" s="464">
        <v>46130</v>
      </c>
      <c r="C5150" s="436" t="s">
        <v>247</v>
      </c>
      <c r="D5150" s="436" t="s">
        <v>1241</v>
      </c>
      <c r="E5150" s="436">
        <v>2</v>
      </c>
      <c r="F5150" s="465">
        <v>1.7</v>
      </c>
      <c r="G5150" s="466">
        <v>3.4</v>
      </c>
      <c r="H5150" s="466">
        <f>G5150/1.1</f>
        <v>3.0909090909090904</v>
      </c>
      <c r="I5150" s="436"/>
      <c r="J5150" s="465"/>
      <c r="K5150" s="465"/>
    </row>
    <row r="5151" spans="2:11" ht="19" customHeight="1">
      <c r="B5151" s="464">
        <v>46130</v>
      </c>
      <c r="C5151" s="436" t="s">
        <v>268</v>
      </c>
      <c r="D5151" s="436" t="s">
        <v>1242</v>
      </c>
      <c r="E5151" s="436">
        <v>2</v>
      </c>
      <c r="F5151" s="465">
        <v>2.25</v>
      </c>
      <c r="G5151" s="466">
        <v>4.5</v>
      </c>
      <c r="H5151" s="466">
        <f>G5151/1.1</f>
        <v>4.0909090909090908</v>
      </c>
      <c r="I5151" s="436"/>
      <c r="J5151" s="465"/>
      <c r="K5151" s="465"/>
    </row>
    <row r="5152" spans="2:11" ht="19" customHeight="1">
      <c r="B5152" s="464">
        <v>46130</v>
      </c>
      <c r="C5152" s="436" t="s">
        <v>328</v>
      </c>
      <c r="D5152" s="436" t="s">
        <v>761</v>
      </c>
      <c r="E5152" s="436">
        <v>1</v>
      </c>
      <c r="F5152" s="465">
        <v>3.1</v>
      </c>
      <c r="G5152" s="466">
        <v>3.1</v>
      </c>
      <c r="H5152" s="466">
        <f>G5152/1.1</f>
        <v>2.8181818181818179</v>
      </c>
      <c r="I5152" s="436"/>
      <c r="J5152" s="465"/>
      <c r="K5152" s="465"/>
    </row>
    <row r="5153" spans="2:11" ht="19" customHeight="1">
      <c r="B5153" s="464">
        <v>46130</v>
      </c>
      <c r="C5153" s="436" t="s">
        <v>328</v>
      </c>
      <c r="D5153" s="436" t="s">
        <v>1248</v>
      </c>
      <c r="E5153" s="436">
        <v>1</v>
      </c>
      <c r="F5153" s="465">
        <v>0.05</v>
      </c>
      <c r="G5153" s="466">
        <v>0.05</v>
      </c>
      <c r="H5153" s="466">
        <f>G5153/1.1</f>
        <v>4.5454545454545456E-2</v>
      </c>
      <c r="I5153" s="436"/>
      <c r="J5153" s="465"/>
      <c r="K5153" s="465"/>
    </row>
    <row r="5154" spans="2:11" ht="19" customHeight="1">
      <c r="B5154" s="464">
        <v>46130</v>
      </c>
      <c r="C5154" s="436" t="s">
        <v>247</v>
      </c>
      <c r="D5154" s="436" t="s">
        <v>1241</v>
      </c>
      <c r="E5154" s="436">
        <v>2</v>
      </c>
      <c r="F5154" s="465">
        <v>1.7</v>
      </c>
      <c r="G5154" s="466">
        <v>3.4</v>
      </c>
      <c r="H5154" s="466">
        <f>G5154/1.1</f>
        <v>3.0909090909090904</v>
      </c>
      <c r="I5154" s="436"/>
      <c r="J5154" s="465"/>
      <c r="K5154" s="465"/>
    </row>
    <row r="5155" spans="2:11" ht="19" customHeight="1">
      <c r="B5155" s="464">
        <v>46130</v>
      </c>
      <c r="C5155" s="436" t="s">
        <v>268</v>
      </c>
      <c r="D5155" s="436" t="s">
        <v>1242</v>
      </c>
      <c r="E5155" s="436">
        <v>1</v>
      </c>
      <c r="F5155" s="465">
        <v>0.75</v>
      </c>
      <c r="G5155" s="466">
        <v>0.75</v>
      </c>
      <c r="H5155" s="466">
        <f>G5155/1.1</f>
        <v>0.68181818181818177</v>
      </c>
      <c r="I5155" s="436"/>
      <c r="J5155" s="465"/>
      <c r="K5155" s="465"/>
    </row>
    <row r="5156" spans="2:11" ht="19" customHeight="1">
      <c r="B5156" s="464">
        <v>46130</v>
      </c>
      <c r="C5156" s="436" t="s">
        <v>247</v>
      </c>
      <c r="D5156" s="436" t="s">
        <v>248</v>
      </c>
      <c r="E5156" s="436">
        <v>1</v>
      </c>
      <c r="F5156" s="465">
        <v>1.5</v>
      </c>
      <c r="G5156" s="466">
        <v>1.5</v>
      </c>
      <c r="H5156" s="466">
        <f>G5156/1.1</f>
        <v>1.3636363636363635</v>
      </c>
      <c r="I5156" s="436"/>
      <c r="J5156" s="465"/>
      <c r="K5156" s="465"/>
    </row>
    <row r="5157" spans="2:11" ht="19" customHeight="1">
      <c r="B5157" s="464">
        <v>46130</v>
      </c>
      <c r="C5157" s="436" t="s">
        <v>862</v>
      </c>
      <c r="D5157" s="436" t="s">
        <v>1268</v>
      </c>
      <c r="E5157" s="436">
        <v>1</v>
      </c>
      <c r="F5157" s="465">
        <v>0.05</v>
      </c>
      <c r="G5157" s="466">
        <v>0.05</v>
      </c>
      <c r="H5157" s="466">
        <f>G5157/1.1</f>
        <v>4.5454545454545456E-2</v>
      </c>
      <c r="I5157" s="436"/>
      <c r="J5157" s="465"/>
      <c r="K5157" s="465"/>
    </row>
    <row r="5158" spans="2:11" ht="19" customHeight="1">
      <c r="B5158" s="464">
        <v>46130</v>
      </c>
      <c r="C5158" s="436" t="s">
        <v>247</v>
      </c>
      <c r="D5158" s="436" t="s">
        <v>248</v>
      </c>
      <c r="E5158" s="436">
        <v>1</v>
      </c>
      <c r="F5158" s="465">
        <v>1.5</v>
      </c>
      <c r="G5158" s="466">
        <v>1.5</v>
      </c>
      <c r="H5158" s="466">
        <f>G5158/1.1</f>
        <v>1.3636363636363635</v>
      </c>
      <c r="I5158" s="436"/>
      <c r="J5158" s="465"/>
      <c r="K5158" s="465"/>
    </row>
    <row r="5159" spans="2:11" ht="19" customHeight="1">
      <c r="B5159" s="464">
        <v>46130</v>
      </c>
      <c r="C5159" s="436" t="s">
        <v>725</v>
      </c>
      <c r="D5159" s="436" t="s">
        <v>1311</v>
      </c>
      <c r="E5159" s="436">
        <v>1</v>
      </c>
      <c r="F5159" s="465">
        <v>0.15</v>
      </c>
      <c r="G5159" s="466">
        <v>0.15</v>
      </c>
      <c r="H5159" s="466">
        <f>G5159/1.1</f>
        <v>0.13636363636363635</v>
      </c>
      <c r="I5159" s="436"/>
      <c r="J5159" s="465"/>
      <c r="K5159" s="465"/>
    </row>
    <row r="5160" spans="2:11" ht="19" customHeight="1">
      <c r="B5160" s="464">
        <v>46130</v>
      </c>
      <c r="C5160" s="436" t="s">
        <v>247</v>
      </c>
      <c r="D5160" s="436" t="s">
        <v>248</v>
      </c>
      <c r="E5160" s="436">
        <v>1</v>
      </c>
      <c r="F5160" s="465">
        <v>1.5</v>
      </c>
      <c r="G5160" s="466">
        <v>1.5</v>
      </c>
      <c r="H5160" s="466">
        <f>G5160/1.1</f>
        <v>1.3636363636363635</v>
      </c>
      <c r="I5160" s="436"/>
      <c r="J5160" s="465"/>
      <c r="K5160" s="465"/>
    </row>
    <row r="5161" spans="2:11" ht="19" customHeight="1">
      <c r="B5161" s="464">
        <v>46130</v>
      </c>
      <c r="C5161" s="436" t="s">
        <v>862</v>
      </c>
      <c r="D5161" s="436" t="s">
        <v>1268</v>
      </c>
      <c r="E5161" s="436">
        <v>1</v>
      </c>
      <c r="F5161" s="465">
        <v>0.05</v>
      </c>
      <c r="G5161" s="466">
        <v>0.05</v>
      </c>
      <c r="H5161" s="466">
        <f>G5161/1.1</f>
        <v>4.5454545454545456E-2</v>
      </c>
      <c r="I5161" s="436"/>
      <c r="J5161" s="465"/>
      <c r="K5161" s="465"/>
    </row>
    <row r="5162" spans="2:11" ht="19" customHeight="1">
      <c r="B5162" s="464">
        <v>46130</v>
      </c>
      <c r="C5162" s="436" t="s">
        <v>247</v>
      </c>
      <c r="D5162" s="436" t="s">
        <v>1312</v>
      </c>
      <c r="E5162" s="436">
        <v>1</v>
      </c>
      <c r="F5162" s="465">
        <v>1.7</v>
      </c>
      <c r="G5162" s="466">
        <v>1.7</v>
      </c>
      <c r="H5162" s="466">
        <f>G5162/1.1</f>
        <v>1.5454545454545452</v>
      </c>
      <c r="I5162" s="436"/>
      <c r="J5162" s="465"/>
      <c r="K5162" s="465"/>
    </row>
    <row r="5163" spans="2:11" ht="19" customHeight="1">
      <c r="B5163" s="464">
        <v>46130</v>
      </c>
      <c r="C5163" s="436" t="s">
        <v>247</v>
      </c>
      <c r="D5163" s="436" t="s">
        <v>1253</v>
      </c>
      <c r="E5163" s="436">
        <v>1</v>
      </c>
      <c r="F5163" s="465">
        <v>1.4</v>
      </c>
      <c r="G5163" s="466">
        <v>1.4</v>
      </c>
      <c r="H5163" s="466">
        <f>G5163/1.1</f>
        <v>1.2727272727272725</v>
      </c>
      <c r="I5163" s="436"/>
      <c r="J5163" s="465"/>
      <c r="K5163" s="465"/>
    </row>
    <row r="5164" spans="2:11" ht="19" customHeight="1">
      <c r="B5164" s="464">
        <v>46130</v>
      </c>
      <c r="C5164" s="436" t="s">
        <v>247</v>
      </c>
      <c r="D5164" s="436" t="s">
        <v>1241</v>
      </c>
      <c r="E5164" s="436">
        <v>1</v>
      </c>
      <c r="F5164" s="465">
        <v>1.7</v>
      </c>
      <c r="G5164" s="466">
        <v>1.7</v>
      </c>
      <c r="H5164" s="466">
        <f>G5164/1.1</f>
        <v>1.5454545454545452</v>
      </c>
      <c r="I5164" s="436"/>
      <c r="J5164" s="465"/>
      <c r="K5164" s="465"/>
    </row>
    <row r="5165" spans="2:11" ht="19" customHeight="1">
      <c r="B5165" s="464">
        <v>46130</v>
      </c>
      <c r="C5165" s="436" t="s">
        <v>247</v>
      </c>
      <c r="D5165" s="436" t="s">
        <v>1241</v>
      </c>
      <c r="E5165" s="436">
        <v>1</v>
      </c>
      <c r="F5165" s="465">
        <v>1.7</v>
      </c>
      <c r="G5165" s="466">
        <v>1.7</v>
      </c>
      <c r="H5165" s="466">
        <f>G5165/1.1</f>
        <v>1.5454545454545452</v>
      </c>
      <c r="I5165" s="436"/>
      <c r="J5165" s="465"/>
      <c r="K5165" s="465"/>
    </row>
    <row r="5166" spans="2:11" ht="19" customHeight="1">
      <c r="B5166" s="464">
        <v>46130</v>
      </c>
      <c r="C5166" s="436" t="s">
        <v>268</v>
      </c>
      <c r="D5166" s="436" t="s">
        <v>858</v>
      </c>
      <c r="E5166" s="436">
        <v>5</v>
      </c>
      <c r="F5166" s="465">
        <v>0.65</v>
      </c>
      <c r="G5166" s="466">
        <v>3.25</v>
      </c>
      <c r="H5166" s="466">
        <f>G5166/1.1</f>
        <v>2.9545454545454541</v>
      </c>
      <c r="I5166" s="436"/>
      <c r="J5166" s="465"/>
      <c r="K5166" s="465"/>
    </row>
    <row r="5167" spans="2:11" ht="19" customHeight="1">
      <c r="B5167" s="464">
        <v>46130</v>
      </c>
      <c r="C5167" s="436" t="s">
        <v>247</v>
      </c>
      <c r="D5167" s="436" t="s">
        <v>1253</v>
      </c>
      <c r="E5167" s="436">
        <v>1</v>
      </c>
      <c r="F5167" s="465">
        <v>1.4</v>
      </c>
      <c r="G5167" s="466">
        <v>1.4</v>
      </c>
      <c r="H5167" s="466">
        <f>G5167/1.1</f>
        <v>1.2727272727272725</v>
      </c>
      <c r="I5167" s="436"/>
      <c r="J5167" s="465"/>
      <c r="K5167" s="465"/>
    </row>
    <row r="5168" spans="2:11" ht="19" customHeight="1">
      <c r="B5168" s="464">
        <v>46130</v>
      </c>
      <c r="C5168" s="436" t="s">
        <v>328</v>
      </c>
      <c r="D5168" s="436" t="s">
        <v>723</v>
      </c>
      <c r="E5168" s="436">
        <v>1</v>
      </c>
      <c r="F5168" s="465">
        <v>3.1</v>
      </c>
      <c r="G5168" s="466">
        <v>3.1</v>
      </c>
      <c r="H5168" s="466">
        <f>G5168/1.1</f>
        <v>2.8181818181818179</v>
      </c>
      <c r="I5168" s="436"/>
      <c r="J5168" s="465"/>
      <c r="K5168" s="465"/>
    </row>
    <row r="5169" spans="2:11" ht="19" customHeight="1">
      <c r="B5169" s="464">
        <v>46130</v>
      </c>
      <c r="C5169" s="436" t="s">
        <v>328</v>
      </c>
      <c r="D5169" s="436" t="s">
        <v>1248</v>
      </c>
      <c r="E5169" s="436">
        <v>1</v>
      </c>
      <c r="F5169" s="465">
        <v>0.05</v>
      </c>
      <c r="G5169" s="466">
        <v>0.05</v>
      </c>
      <c r="H5169" s="466">
        <f>G5169/1.1</f>
        <v>4.5454545454545456E-2</v>
      </c>
      <c r="I5169" s="436"/>
      <c r="J5169" s="465"/>
      <c r="K5169" s="465"/>
    </row>
    <row r="5170" spans="2:11" ht="19" customHeight="1">
      <c r="B5170" s="464">
        <v>46130</v>
      </c>
      <c r="C5170" s="436" t="s">
        <v>247</v>
      </c>
      <c r="D5170" s="436" t="s">
        <v>248</v>
      </c>
      <c r="E5170" s="436">
        <v>1</v>
      </c>
      <c r="F5170" s="465">
        <v>1.5</v>
      </c>
      <c r="G5170" s="466">
        <v>1.5</v>
      </c>
      <c r="H5170" s="466">
        <f>G5170/1.1</f>
        <v>1.3636363636363635</v>
      </c>
      <c r="I5170" s="436"/>
      <c r="J5170" s="465"/>
      <c r="K5170" s="465"/>
    </row>
    <row r="5171" spans="2:11" ht="19" customHeight="1">
      <c r="B5171" s="464">
        <v>46130</v>
      </c>
      <c r="C5171" s="436" t="s">
        <v>862</v>
      </c>
      <c r="D5171" s="436" t="s">
        <v>1268</v>
      </c>
      <c r="E5171" s="436">
        <v>1</v>
      </c>
      <c r="F5171" s="465">
        <v>0.05</v>
      </c>
      <c r="G5171" s="466">
        <v>0.05</v>
      </c>
      <c r="H5171" s="466">
        <f>G5171/1.1</f>
        <v>4.5454545454545456E-2</v>
      </c>
      <c r="I5171" s="436"/>
      <c r="J5171" s="465"/>
      <c r="K5171" s="465"/>
    </row>
    <row r="5172" spans="2:11" ht="19" customHeight="1">
      <c r="B5172" s="464">
        <v>46130</v>
      </c>
      <c r="C5172" s="436" t="s">
        <v>247</v>
      </c>
      <c r="D5172" s="436" t="s">
        <v>1241</v>
      </c>
      <c r="E5172" s="436">
        <v>2</v>
      </c>
      <c r="F5172" s="465">
        <v>1.7</v>
      </c>
      <c r="G5172" s="466">
        <v>3.4</v>
      </c>
      <c r="H5172" s="466">
        <f>G5172/1.1</f>
        <v>3.0909090909090904</v>
      </c>
      <c r="I5172" s="436"/>
      <c r="J5172" s="465"/>
      <c r="K5172" s="465"/>
    </row>
    <row r="5173" spans="2:11" ht="19" customHeight="1">
      <c r="B5173" s="464">
        <v>46130</v>
      </c>
      <c r="C5173" s="436" t="s">
        <v>862</v>
      </c>
      <c r="D5173" s="436" t="s">
        <v>907</v>
      </c>
      <c r="E5173" s="436">
        <v>2</v>
      </c>
      <c r="F5173" s="465">
        <v>0.15</v>
      </c>
      <c r="G5173" s="466">
        <v>0.3</v>
      </c>
      <c r="H5173" s="466">
        <f>G5173/1.1</f>
        <v>0.27272727272727271</v>
      </c>
      <c r="I5173" s="436"/>
      <c r="J5173" s="465"/>
      <c r="K5173" s="465"/>
    </row>
    <row r="5174" spans="2:11" ht="19" customHeight="1">
      <c r="B5174" s="464">
        <v>46130</v>
      </c>
      <c r="C5174" s="436" t="s">
        <v>247</v>
      </c>
      <c r="D5174" s="436" t="s">
        <v>248</v>
      </c>
      <c r="E5174" s="436">
        <v>1</v>
      </c>
      <c r="F5174" s="465">
        <v>1.5</v>
      </c>
      <c r="G5174" s="466">
        <v>1.5</v>
      </c>
      <c r="H5174" s="466">
        <f>G5174/1.1</f>
        <v>1.3636363636363635</v>
      </c>
      <c r="I5174" s="436"/>
      <c r="J5174" s="465"/>
      <c r="K5174" s="465"/>
    </row>
    <row r="5175" spans="2:11" ht="19" customHeight="1">
      <c r="B5175" s="464">
        <v>46130</v>
      </c>
      <c r="C5175" s="436" t="s">
        <v>253</v>
      </c>
      <c r="D5175" s="436" t="s">
        <v>901</v>
      </c>
      <c r="E5175" s="436">
        <v>1</v>
      </c>
      <c r="F5175" s="465">
        <v>2.2999999999999998</v>
      </c>
      <c r="G5175" s="466">
        <v>2.2999999999999998</v>
      </c>
      <c r="H5175" s="466">
        <f>G5175/1.1</f>
        <v>2.0909090909090904</v>
      </c>
      <c r="I5175" s="436"/>
      <c r="J5175" s="465"/>
      <c r="K5175" s="465"/>
    </row>
    <row r="5176" spans="2:11" ht="19" customHeight="1">
      <c r="B5176" s="464">
        <v>46130</v>
      </c>
      <c r="C5176" s="436" t="s">
        <v>253</v>
      </c>
      <c r="D5176" s="436" t="s">
        <v>687</v>
      </c>
      <c r="E5176" s="436">
        <v>1</v>
      </c>
      <c r="F5176" s="465">
        <v>3.25</v>
      </c>
      <c r="G5176" s="466">
        <v>3.25</v>
      </c>
      <c r="H5176" s="466">
        <f>G5176/1.1</f>
        <v>2.9545454545454541</v>
      </c>
      <c r="I5176" s="436"/>
      <c r="J5176" s="465"/>
      <c r="K5176" s="465"/>
    </row>
    <row r="5177" spans="2:11" ht="19" customHeight="1">
      <c r="B5177" s="464">
        <v>46130</v>
      </c>
      <c r="C5177" s="436" t="s">
        <v>321</v>
      </c>
      <c r="D5177" s="436" t="s">
        <v>910</v>
      </c>
      <c r="E5177" s="436">
        <v>1</v>
      </c>
      <c r="F5177" s="465">
        <v>4.25</v>
      </c>
      <c r="G5177" s="466">
        <v>4.25</v>
      </c>
      <c r="H5177" s="466">
        <f>G5177/1.1</f>
        <v>3.8636363636363633</v>
      </c>
      <c r="I5177" s="436"/>
      <c r="J5177" s="465"/>
      <c r="K5177" s="465"/>
    </row>
    <row r="5178" spans="2:11" ht="19" customHeight="1">
      <c r="B5178" s="464">
        <v>46130</v>
      </c>
      <c r="C5178" s="436" t="s">
        <v>253</v>
      </c>
      <c r="D5178" s="436" t="s">
        <v>869</v>
      </c>
      <c r="E5178" s="436">
        <v>1</v>
      </c>
      <c r="F5178" s="465">
        <v>2.65</v>
      </c>
      <c r="G5178" s="466">
        <v>2.65</v>
      </c>
      <c r="H5178" s="466">
        <f>G5178/1.1</f>
        <v>2.4090909090909087</v>
      </c>
      <c r="I5178" s="436"/>
      <c r="J5178" s="465"/>
      <c r="K5178" s="465"/>
    </row>
    <row r="5179" spans="2:11" ht="19" customHeight="1">
      <c r="B5179" s="464">
        <v>46130</v>
      </c>
      <c r="C5179" s="436" t="s">
        <v>251</v>
      </c>
      <c r="D5179" s="436" t="s">
        <v>265</v>
      </c>
      <c r="E5179" s="436">
        <v>1</v>
      </c>
      <c r="F5179" s="465">
        <v>2.8</v>
      </c>
      <c r="G5179" s="466">
        <v>2.8</v>
      </c>
      <c r="H5179" s="466">
        <f>G5179/1.1</f>
        <v>2.545454545454545</v>
      </c>
      <c r="I5179" s="436"/>
      <c r="J5179" s="465"/>
      <c r="K5179" s="465"/>
    </row>
    <row r="5180" spans="2:11" ht="19" customHeight="1">
      <c r="B5180" s="464">
        <v>46130</v>
      </c>
      <c r="C5180" s="436" t="s">
        <v>321</v>
      </c>
      <c r="D5180" s="436" t="s">
        <v>1313</v>
      </c>
      <c r="E5180" s="436">
        <v>1</v>
      </c>
      <c r="F5180" s="465">
        <v>9.15</v>
      </c>
      <c r="G5180" s="466">
        <v>9.15</v>
      </c>
      <c r="H5180" s="466">
        <f>G5180/1.1</f>
        <v>8.3181818181818183</v>
      </c>
      <c r="I5180" s="436"/>
      <c r="J5180" s="465"/>
      <c r="K5180" s="465"/>
    </row>
    <row r="5181" spans="2:11" ht="19" customHeight="1">
      <c r="B5181" s="464">
        <v>46130</v>
      </c>
      <c r="C5181" s="436" t="s">
        <v>256</v>
      </c>
      <c r="D5181" s="436" t="s">
        <v>255</v>
      </c>
      <c r="E5181" s="436">
        <v>1</v>
      </c>
      <c r="F5181" s="465">
        <v>5.85</v>
      </c>
      <c r="G5181" s="466">
        <v>5.85</v>
      </c>
      <c r="H5181" s="466">
        <f>G5181/1.1</f>
        <v>5.3181818181818175</v>
      </c>
      <c r="I5181" s="436"/>
      <c r="J5181" s="465"/>
      <c r="K5181" s="465"/>
    </row>
    <row r="5182" spans="2:11" ht="19" customHeight="1">
      <c r="B5182" s="464">
        <v>46130</v>
      </c>
      <c r="C5182" s="436" t="s">
        <v>251</v>
      </c>
      <c r="D5182" s="436" t="s">
        <v>1100</v>
      </c>
      <c r="E5182" s="436">
        <v>1</v>
      </c>
      <c r="F5182" s="465">
        <v>2.8</v>
      </c>
      <c r="G5182" s="466">
        <v>2.8</v>
      </c>
      <c r="H5182" s="466">
        <f>G5182/1.1</f>
        <v>2.545454545454545</v>
      </c>
      <c r="I5182" s="436"/>
      <c r="J5182" s="465"/>
      <c r="K5182" s="465"/>
    </row>
    <row r="5183" spans="2:11" ht="19" customHeight="1">
      <c r="B5183" s="464">
        <v>46130</v>
      </c>
      <c r="C5183" s="436" t="s">
        <v>253</v>
      </c>
      <c r="D5183" s="436" t="s">
        <v>869</v>
      </c>
      <c r="E5183" s="436">
        <v>2</v>
      </c>
      <c r="F5183" s="465">
        <v>2.65</v>
      </c>
      <c r="G5183" s="466">
        <v>5.3</v>
      </c>
      <c r="H5183" s="466">
        <f>G5183/1.1</f>
        <v>4.8181818181818175</v>
      </c>
      <c r="I5183" s="436"/>
      <c r="J5183" s="465"/>
      <c r="K5183" s="465"/>
    </row>
    <row r="5184" spans="2:11" ht="19" customHeight="1">
      <c r="B5184" s="464">
        <v>46130</v>
      </c>
      <c r="C5184" s="436" t="s">
        <v>253</v>
      </c>
      <c r="D5184" s="436" t="s">
        <v>869</v>
      </c>
      <c r="E5184" s="436">
        <v>1</v>
      </c>
      <c r="F5184" s="465">
        <v>2.5</v>
      </c>
      <c r="G5184" s="466">
        <v>2.5</v>
      </c>
      <c r="H5184" s="466">
        <f>G5184/1.1</f>
        <v>2.2727272727272725</v>
      </c>
      <c r="I5184" s="436"/>
      <c r="J5184" s="465"/>
      <c r="K5184" s="465"/>
    </row>
    <row r="5185" spans="2:11" ht="19" customHeight="1">
      <c r="B5185" s="464">
        <v>46130</v>
      </c>
      <c r="C5185" s="436" t="s">
        <v>251</v>
      </c>
      <c r="D5185" s="436" t="s">
        <v>250</v>
      </c>
      <c r="E5185" s="436">
        <v>1</v>
      </c>
      <c r="F5185" s="465">
        <v>1.8</v>
      </c>
      <c r="G5185" s="466">
        <v>1.8</v>
      </c>
      <c r="H5185" s="466">
        <f>G5185/1.1</f>
        <v>1.6363636363636362</v>
      </c>
      <c r="I5185" s="436"/>
      <c r="J5185" s="465"/>
      <c r="K5185" s="465"/>
    </row>
    <row r="5186" spans="2:11" ht="19" customHeight="1">
      <c r="B5186" s="464">
        <v>46130</v>
      </c>
      <c r="C5186" s="436" t="s">
        <v>1079</v>
      </c>
      <c r="D5186" s="436" t="s">
        <v>1281</v>
      </c>
      <c r="E5186" s="436">
        <v>1</v>
      </c>
      <c r="F5186" s="465">
        <v>3.5</v>
      </c>
      <c r="G5186" s="466">
        <v>3.5</v>
      </c>
      <c r="H5186" s="466">
        <f>G5186/1.1</f>
        <v>3.1818181818181817</v>
      </c>
      <c r="I5186" s="436"/>
      <c r="J5186" s="465"/>
      <c r="K5186" s="465"/>
    </row>
    <row r="5187" spans="2:11" ht="19" customHeight="1">
      <c r="B5187" s="464">
        <v>46130</v>
      </c>
      <c r="C5187" s="436" t="s">
        <v>256</v>
      </c>
      <c r="D5187" s="436" t="s">
        <v>912</v>
      </c>
      <c r="E5187" s="436">
        <v>1</v>
      </c>
      <c r="F5187" s="465">
        <v>5.5</v>
      </c>
      <c r="G5187" s="466">
        <v>5.5</v>
      </c>
      <c r="H5187" s="466">
        <f>G5187/1.1</f>
        <v>5</v>
      </c>
      <c r="I5187" s="436"/>
      <c r="J5187" s="465"/>
      <c r="K5187" s="465"/>
    </row>
    <row r="5188" spans="2:11" ht="19" customHeight="1">
      <c r="B5188" s="464">
        <v>46130</v>
      </c>
      <c r="C5188" s="436" t="s">
        <v>256</v>
      </c>
      <c r="D5188" s="436" t="s">
        <v>683</v>
      </c>
      <c r="E5188" s="436">
        <v>1</v>
      </c>
      <c r="F5188" s="465">
        <v>12</v>
      </c>
      <c r="G5188" s="466">
        <v>12</v>
      </c>
      <c r="H5188" s="466">
        <f>G5188/1.1</f>
        <v>10.909090909090908</v>
      </c>
      <c r="I5188" s="436"/>
      <c r="J5188" s="465"/>
      <c r="K5188" s="465"/>
    </row>
    <row r="5189" spans="2:11" ht="19" customHeight="1">
      <c r="B5189" s="464">
        <v>46130</v>
      </c>
      <c r="C5189" s="436" t="s">
        <v>256</v>
      </c>
      <c r="D5189" s="436" t="s">
        <v>255</v>
      </c>
      <c r="E5189" s="436">
        <v>1</v>
      </c>
      <c r="F5189" s="465">
        <v>5.6</v>
      </c>
      <c r="G5189" s="466">
        <v>5.6</v>
      </c>
      <c r="H5189" s="466">
        <f>G5189/1.1</f>
        <v>5.0909090909090899</v>
      </c>
      <c r="I5189" s="436"/>
      <c r="J5189" s="465"/>
      <c r="K5189" s="465"/>
    </row>
    <row r="5190" spans="2:11" ht="19" customHeight="1">
      <c r="B5190" s="464">
        <v>46130</v>
      </c>
      <c r="C5190" s="436" t="s">
        <v>256</v>
      </c>
      <c r="D5190" s="436" t="s">
        <v>738</v>
      </c>
      <c r="E5190" s="436">
        <v>1</v>
      </c>
      <c r="F5190" s="465">
        <v>7.9</v>
      </c>
      <c r="G5190" s="466">
        <v>7.9</v>
      </c>
      <c r="H5190" s="466">
        <f>G5190/1.1</f>
        <v>7.1818181818181817</v>
      </c>
      <c r="I5190" s="436"/>
      <c r="J5190" s="465"/>
      <c r="K5190" s="465"/>
    </row>
    <row r="5191" spans="2:11" ht="19" customHeight="1">
      <c r="B5191" s="464">
        <v>46130</v>
      </c>
      <c r="C5191" s="436" t="s">
        <v>275</v>
      </c>
      <c r="D5191" s="436" t="s">
        <v>682</v>
      </c>
      <c r="E5191" s="436">
        <v>1</v>
      </c>
      <c r="F5191" s="465">
        <v>6.75</v>
      </c>
      <c r="G5191" s="466">
        <v>6.75</v>
      </c>
      <c r="H5191" s="466">
        <f>G5191/1.1</f>
        <v>6.1363636363636358</v>
      </c>
      <c r="I5191" s="436"/>
      <c r="J5191" s="465"/>
      <c r="K5191" s="465"/>
    </row>
    <row r="5192" spans="2:11" ht="19" customHeight="1">
      <c r="B5192" s="464">
        <v>46130</v>
      </c>
      <c r="C5192" s="436" t="s">
        <v>1079</v>
      </c>
      <c r="D5192" s="436" t="s">
        <v>1281</v>
      </c>
      <c r="E5192" s="436">
        <v>1</v>
      </c>
      <c r="F5192" s="465">
        <v>3.75</v>
      </c>
      <c r="G5192" s="466">
        <v>3.75</v>
      </c>
      <c r="H5192" s="466">
        <f>G5192/1.1</f>
        <v>3.4090909090909087</v>
      </c>
      <c r="I5192" s="436"/>
      <c r="J5192" s="465"/>
      <c r="K5192" s="465"/>
    </row>
    <row r="5193" spans="2:11" ht="19" customHeight="1">
      <c r="B5193" s="464">
        <v>46130</v>
      </c>
      <c r="C5193" s="436" t="s">
        <v>256</v>
      </c>
      <c r="D5193" s="436" t="s">
        <v>1012</v>
      </c>
      <c r="E5193" s="436">
        <v>1</v>
      </c>
      <c r="F5193" s="465">
        <v>12.15</v>
      </c>
      <c r="G5193" s="466">
        <v>12.15</v>
      </c>
      <c r="H5193" s="466">
        <f>G5193/1.1</f>
        <v>11.045454545454545</v>
      </c>
      <c r="I5193" s="436"/>
      <c r="J5193" s="465"/>
      <c r="K5193" s="465"/>
    </row>
    <row r="5194" spans="2:11" ht="19" customHeight="1">
      <c r="B5194" s="464">
        <v>46130</v>
      </c>
      <c r="C5194" s="436" t="s">
        <v>247</v>
      </c>
      <c r="D5194" s="436" t="s">
        <v>1241</v>
      </c>
      <c r="E5194" s="436">
        <v>1</v>
      </c>
      <c r="F5194" s="465">
        <v>1.85</v>
      </c>
      <c r="G5194" s="466">
        <v>1.85</v>
      </c>
      <c r="H5194" s="466">
        <f>G5194/1.1</f>
        <v>1.6818181818181817</v>
      </c>
      <c r="I5194" s="436"/>
      <c r="J5194" s="465"/>
      <c r="K5194" s="465"/>
    </row>
    <row r="5195" spans="2:11" ht="19" customHeight="1">
      <c r="B5195" s="464">
        <v>46130</v>
      </c>
      <c r="C5195" s="436" t="s">
        <v>251</v>
      </c>
      <c r="D5195" s="436" t="s">
        <v>265</v>
      </c>
      <c r="E5195" s="436">
        <v>1</v>
      </c>
      <c r="F5195" s="465">
        <v>2.8</v>
      </c>
      <c r="G5195" s="466">
        <v>2.8</v>
      </c>
      <c r="H5195" s="466">
        <f>G5195/1.1</f>
        <v>2.545454545454545</v>
      </c>
      <c r="I5195" s="436"/>
      <c r="J5195" s="465"/>
      <c r="K5195" s="465"/>
    </row>
    <row r="5196" spans="2:11" ht="19" customHeight="1">
      <c r="B5196" s="464">
        <v>46130</v>
      </c>
      <c r="C5196" s="436" t="s">
        <v>253</v>
      </c>
      <c r="D5196" s="436" t="s">
        <v>965</v>
      </c>
      <c r="E5196" s="436">
        <v>8</v>
      </c>
      <c r="F5196" s="465">
        <v>2.65</v>
      </c>
      <c r="G5196" s="466">
        <v>21.2</v>
      </c>
      <c r="H5196" s="466">
        <f>G5196/1.1</f>
        <v>19.27272727272727</v>
      </c>
      <c r="I5196" s="436"/>
      <c r="J5196" s="465"/>
      <c r="K5196" s="465"/>
    </row>
    <row r="5197" spans="2:11" ht="19" customHeight="1">
      <c r="B5197" s="464">
        <v>46130</v>
      </c>
      <c r="C5197" s="436" t="s">
        <v>253</v>
      </c>
      <c r="D5197" s="436" t="s">
        <v>869</v>
      </c>
      <c r="E5197" s="436">
        <v>8</v>
      </c>
      <c r="F5197" s="465">
        <v>2.65</v>
      </c>
      <c r="G5197" s="466">
        <v>21.2</v>
      </c>
      <c r="H5197" s="466">
        <f>G5197/1.1</f>
        <v>19.27272727272727</v>
      </c>
      <c r="I5197" s="436"/>
      <c r="J5197" s="465"/>
      <c r="K5197" s="465"/>
    </row>
    <row r="5198" spans="2:11" ht="19" customHeight="1">
      <c r="B5198" s="464">
        <v>46130</v>
      </c>
      <c r="C5198" s="436" t="s">
        <v>275</v>
      </c>
      <c r="D5198" s="436" t="s">
        <v>1246</v>
      </c>
      <c r="E5198" s="436">
        <v>1</v>
      </c>
      <c r="F5198" s="465">
        <v>6.75</v>
      </c>
      <c r="G5198" s="466">
        <v>6.75</v>
      </c>
      <c r="H5198" s="466">
        <f>G5198/1.1</f>
        <v>6.1363636363636358</v>
      </c>
      <c r="I5198" s="436"/>
      <c r="J5198" s="465"/>
      <c r="K5198" s="465"/>
    </row>
    <row r="5199" spans="2:11" ht="19" customHeight="1">
      <c r="B5199" s="464">
        <v>46130</v>
      </c>
      <c r="C5199" s="436" t="s">
        <v>275</v>
      </c>
      <c r="D5199" s="436" t="s">
        <v>1280</v>
      </c>
      <c r="E5199" s="436">
        <v>1</v>
      </c>
      <c r="F5199" s="465">
        <v>5.5</v>
      </c>
      <c r="G5199" s="466">
        <v>5.5</v>
      </c>
      <c r="H5199" s="466">
        <f>G5199/1.1</f>
        <v>5</v>
      </c>
      <c r="I5199" s="436"/>
      <c r="J5199" s="465"/>
      <c r="K5199" s="465"/>
    </row>
    <row r="5200" spans="2:11" ht="19" customHeight="1">
      <c r="B5200" s="464">
        <v>46130</v>
      </c>
      <c r="C5200" s="436" t="s">
        <v>275</v>
      </c>
      <c r="D5200" s="436" t="s">
        <v>1314</v>
      </c>
      <c r="E5200" s="436">
        <v>2</v>
      </c>
      <c r="F5200" s="465">
        <v>6</v>
      </c>
      <c r="G5200" s="466">
        <v>12</v>
      </c>
      <c r="H5200" s="466">
        <f>G5200/1.1</f>
        <v>10.909090909090908</v>
      </c>
      <c r="I5200" s="436"/>
      <c r="J5200" s="465"/>
      <c r="K5200" s="465"/>
    </row>
    <row r="5201" spans="2:11" ht="19" customHeight="1">
      <c r="B5201" s="464">
        <v>46130</v>
      </c>
      <c r="C5201" s="436" t="s">
        <v>321</v>
      </c>
      <c r="D5201" s="436" t="s">
        <v>910</v>
      </c>
      <c r="E5201" s="436">
        <v>1</v>
      </c>
      <c r="F5201" s="465">
        <v>4.25</v>
      </c>
      <c r="G5201" s="466">
        <v>4.25</v>
      </c>
      <c r="H5201" s="466">
        <f>G5201/1.1</f>
        <v>3.8636363636363633</v>
      </c>
      <c r="I5201" s="436"/>
      <c r="J5201" s="465"/>
      <c r="K5201" s="465"/>
    </row>
    <row r="5202" spans="2:11" ht="19" customHeight="1">
      <c r="B5202" s="464">
        <v>46130</v>
      </c>
      <c r="C5202" s="436" t="s">
        <v>256</v>
      </c>
      <c r="D5202" s="436" t="s">
        <v>705</v>
      </c>
      <c r="E5202" s="436">
        <v>1</v>
      </c>
      <c r="F5202" s="465">
        <v>10.25</v>
      </c>
      <c r="G5202" s="466">
        <v>10.25</v>
      </c>
      <c r="H5202" s="466">
        <f>G5202/1.1</f>
        <v>9.3181818181818166</v>
      </c>
      <c r="I5202" s="436"/>
      <c r="J5202" s="465"/>
      <c r="K5202" s="465"/>
    </row>
    <row r="5203" spans="2:11" ht="19" customHeight="1">
      <c r="B5203" s="464">
        <v>46130</v>
      </c>
      <c r="C5203" s="436" t="s">
        <v>256</v>
      </c>
      <c r="D5203" s="436" t="s">
        <v>1315</v>
      </c>
      <c r="E5203" s="436">
        <v>1</v>
      </c>
      <c r="F5203" s="465">
        <v>10.25</v>
      </c>
      <c r="G5203" s="466">
        <v>10.25</v>
      </c>
      <c r="H5203" s="466">
        <f>G5203/1.1</f>
        <v>9.3181818181818166</v>
      </c>
      <c r="I5203" s="436"/>
      <c r="J5203" s="465"/>
      <c r="K5203" s="465"/>
    </row>
    <row r="5204" spans="2:11" ht="19" customHeight="1">
      <c r="B5204" s="464">
        <v>46130</v>
      </c>
      <c r="C5204" s="436" t="s">
        <v>256</v>
      </c>
      <c r="D5204" s="436" t="s">
        <v>262</v>
      </c>
      <c r="E5204" s="436">
        <v>1</v>
      </c>
      <c r="F5204" s="465">
        <v>12.15</v>
      </c>
      <c r="G5204" s="466">
        <v>12.15</v>
      </c>
      <c r="H5204" s="466">
        <f>G5204/1.1</f>
        <v>11.045454545454545</v>
      </c>
      <c r="I5204" s="436"/>
      <c r="J5204" s="465"/>
      <c r="K5204" s="465"/>
    </row>
    <row r="5205" spans="2:11" ht="19" customHeight="1">
      <c r="B5205" s="464">
        <v>46130</v>
      </c>
      <c r="C5205" s="436" t="s">
        <v>277</v>
      </c>
      <c r="D5205" s="436" t="s">
        <v>1044</v>
      </c>
      <c r="E5205" s="436">
        <v>1</v>
      </c>
      <c r="F5205" s="465">
        <v>9.75</v>
      </c>
      <c r="G5205" s="466">
        <v>9.75</v>
      </c>
      <c r="H5205" s="466">
        <f>G5205/1.1</f>
        <v>8.8636363636363633</v>
      </c>
      <c r="I5205" s="436"/>
      <c r="J5205" s="465"/>
      <c r="K5205" s="465"/>
    </row>
    <row r="5206" spans="2:11" ht="19" customHeight="1">
      <c r="B5206" s="464">
        <v>46130</v>
      </c>
      <c r="C5206" s="436" t="s">
        <v>256</v>
      </c>
      <c r="D5206" s="436" t="s">
        <v>986</v>
      </c>
      <c r="E5206" s="436">
        <v>1</v>
      </c>
      <c r="F5206" s="465">
        <v>14.25</v>
      </c>
      <c r="G5206" s="466">
        <v>14.25</v>
      </c>
      <c r="H5206" s="466">
        <f>G5206/1.1</f>
        <v>12.954545454545453</v>
      </c>
      <c r="I5206" s="436"/>
      <c r="J5206" s="465"/>
      <c r="K5206" s="465"/>
    </row>
    <row r="5207" spans="2:11" ht="19" customHeight="1">
      <c r="B5207" s="464">
        <v>46130</v>
      </c>
      <c r="C5207" s="436" t="s">
        <v>256</v>
      </c>
      <c r="D5207" s="436" t="s">
        <v>912</v>
      </c>
      <c r="E5207" s="436">
        <v>2</v>
      </c>
      <c r="F5207" s="465">
        <v>5.75</v>
      </c>
      <c r="G5207" s="466">
        <v>11.5</v>
      </c>
      <c r="H5207" s="466">
        <f>G5207/1.1</f>
        <v>10.454545454545453</v>
      </c>
      <c r="I5207" s="436"/>
      <c r="J5207" s="465"/>
      <c r="K5207" s="465"/>
    </row>
    <row r="5208" spans="2:11" ht="19" customHeight="1">
      <c r="B5208" s="464">
        <v>46130</v>
      </c>
      <c r="C5208" s="436" t="s">
        <v>1079</v>
      </c>
      <c r="D5208" s="436" t="s">
        <v>1175</v>
      </c>
      <c r="E5208" s="436">
        <v>1</v>
      </c>
      <c r="F5208" s="465">
        <v>1.75</v>
      </c>
      <c r="G5208" s="466">
        <v>1.75</v>
      </c>
      <c r="H5208" s="466">
        <f>G5208/1.1</f>
        <v>1.5909090909090908</v>
      </c>
      <c r="I5208" s="436"/>
      <c r="J5208" s="465"/>
      <c r="K5208" s="465"/>
    </row>
    <row r="5209" spans="2:11" ht="19" customHeight="1">
      <c r="B5209" s="464">
        <v>46130</v>
      </c>
      <c r="C5209" s="436" t="s">
        <v>256</v>
      </c>
      <c r="D5209" s="436" t="s">
        <v>747</v>
      </c>
      <c r="E5209" s="436">
        <v>2</v>
      </c>
      <c r="F5209" s="465">
        <v>8.65</v>
      </c>
      <c r="G5209" s="466">
        <v>17.3</v>
      </c>
      <c r="H5209" s="466">
        <f>G5209/1.1</f>
        <v>15.727272727272727</v>
      </c>
      <c r="I5209" s="436"/>
      <c r="J5209" s="465"/>
      <c r="K5209" s="465"/>
    </row>
    <row r="5210" spans="2:11" ht="19" customHeight="1">
      <c r="B5210" s="464">
        <v>46130</v>
      </c>
      <c r="C5210" s="436" t="s">
        <v>277</v>
      </c>
      <c r="D5210" s="436" t="s">
        <v>915</v>
      </c>
      <c r="E5210" s="436">
        <v>1</v>
      </c>
      <c r="F5210" s="465">
        <v>11.15</v>
      </c>
      <c r="G5210" s="466">
        <v>11.15</v>
      </c>
      <c r="H5210" s="466">
        <f>G5210/1.1</f>
        <v>10.136363636363637</v>
      </c>
      <c r="I5210" s="436"/>
      <c r="J5210" s="465"/>
      <c r="K5210" s="465"/>
    </row>
    <row r="5211" spans="2:11" ht="19" customHeight="1">
      <c r="B5211" s="464">
        <v>46131</v>
      </c>
      <c r="C5211" s="436" t="s">
        <v>276</v>
      </c>
      <c r="D5211" s="436" t="s">
        <v>1316</v>
      </c>
      <c r="E5211" s="436">
        <v>1</v>
      </c>
      <c r="F5211" s="465">
        <v>3.75</v>
      </c>
      <c r="G5211" s="466">
        <v>3.75</v>
      </c>
      <c r="H5211" s="466">
        <f>G5211/1.1</f>
        <v>3.4090909090909087</v>
      </c>
      <c r="I5211" s="436"/>
      <c r="J5211" s="465"/>
      <c r="K5211" s="465"/>
    </row>
    <row r="5212" spans="2:11" ht="19" customHeight="1">
      <c r="B5212" s="464">
        <v>46131</v>
      </c>
      <c r="C5212" s="436" t="s">
        <v>253</v>
      </c>
      <c r="D5212" s="436" t="s">
        <v>1317</v>
      </c>
      <c r="E5212" s="436">
        <v>1</v>
      </c>
      <c r="F5212" s="465">
        <v>2.5</v>
      </c>
      <c r="G5212" s="466">
        <v>2.5</v>
      </c>
      <c r="H5212" s="466">
        <f>G5212/1.1</f>
        <v>2.2727272727272725</v>
      </c>
      <c r="I5212" s="436"/>
      <c r="J5212" s="465"/>
      <c r="K5212" s="465"/>
    </row>
    <row r="5213" spans="2:11" ht="19" customHeight="1">
      <c r="B5213" s="464">
        <v>46131</v>
      </c>
      <c r="C5213" s="436" t="s">
        <v>247</v>
      </c>
      <c r="D5213" s="436" t="s">
        <v>248</v>
      </c>
      <c r="E5213" s="436">
        <v>1</v>
      </c>
      <c r="F5213" s="465">
        <v>1.65</v>
      </c>
      <c r="G5213" s="466">
        <v>1.65</v>
      </c>
      <c r="H5213" s="466">
        <f>G5213/1.1</f>
        <v>1.4999999999999998</v>
      </c>
      <c r="I5213" s="436"/>
      <c r="J5213" s="465"/>
      <c r="K5213" s="465"/>
    </row>
    <row r="5214" spans="2:11" ht="19" customHeight="1">
      <c r="B5214" s="464">
        <v>46131</v>
      </c>
      <c r="C5214" s="436" t="s">
        <v>247</v>
      </c>
      <c r="D5214" s="436" t="s">
        <v>257</v>
      </c>
      <c r="E5214" s="436">
        <v>1</v>
      </c>
      <c r="F5214" s="465">
        <v>1.55</v>
      </c>
      <c r="G5214" s="466">
        <v>1.55</v>
      </c>
      <c r="H5214" s="466">
        <f>G5214/1.1</f>
        <v>1.4090909090909089</v>
      </c>
      <c r="I5214" s="436"/>
      <c r="J5214" s="465"/>
      <c r="K5214" s="465"/>
    </row>
    <row r="5215" spans="2:11" ht="19" customHeight="1">
      <c r="B5215" s="464">
        <v>46131</v>
      </c>
      <c r="C5215" s="436" t="s">
        <v>277</v>
      </c>
      <c r="D5215" s="436" t="s">
        <v>954</v>
      </c>
      <c r="E5215" s="436">
        <v>1</v>
      </c>
      <c r="F5215" s="465">
        <v>12.9</v>
      </c>
      <c r="G5215" s="466">
        <v>12.9</v>
      </c>
      <c r="H5215" s="466">
        <f>G5215/1.1</f>
        <v>11.727272727272727</v>
      </c>
      <c r="I5215" s="436"/>
      <c r="J5215" s="465"/>
      <c r="K5215" s="465"/>
    </row>
    <row r="5216" spans="2:11" ht="19" customHeight="1">
      <c r="B5216" s="464">
        <v>46131</v>
      </c>
      <c r="C5216" s="436" t="s">
        <v>256</v>
      </c>
      <c r="D5216" s="436" t="s">
        <v>915</v>
      </c>
      <c r="E5216" s="436">
        <v>1</v>
      </c>
      <c r="F5216" s="465">
        <v>10.9</v>
      </c>
      <c r="G5216" s="466">
        <v>10.9</v>
      </c>
      <c r="H5216" s="466">
        <f>G5216/1.1</f>
        <v>9.9090909090909083</v>
      </c>
      <c r="I5216" s="436"/>
      <c r="J5216" s="465"/>
      <c r="K5216" s="465"/>
    </row>
    <row r="5217" spans="2:11" ht="19" customHeight="1">
      <c r="B5217" s="464">
        <v>46131</v>
      </c>
      <c r="C5217" s="436" t="s">
        <v>321</v>
      </c>
      <c r="D5217" s="436" t="s">
        <v>910</v>
      </c>
      <c r="E5217" s="436">
        <v>1</v>
      </c>
      <c r="F5217" s="465">
        <v>4</v>
      </c>
      <c r="G5217" s="466">
        <v>4</v>
      </c>
      <c r="H5217" s="466">
        <f>G5217/1.1</f>
        <v>3.6363636363636362</v>
      </c>
      <c r="I5217" s="436"/>
      <c r="J5217" s="465"/>
      <c r="K5217" s="465"/>
    </row>
    <row r="5218" spans="2:11" ht="19" customHeight="1">
      <c r="B5218" s="464">
        <v>46131</v>
      </c>
      <c r="C5218" s="436" t="s">
        <v>247</v>
      </c>
      <c r="D5218" s="436" t="s">
        <v>1241</v>
      </c>
      <c r="E5218" s="436">
        <v>1</v>
      </c>
      <c r="F5218" s="465">
        <v>1.7</v>
      </c>
      <c r="G5218" s="466">
        <v>1.7</v>
      </c>
      <c r="H5218" s="466">
        <f>G5218/1.1</f>
        <v>1.5454545454545452</v>
      </c>
      <c r="I5218" s="436"/>
      <c r="J5218" s="465"/>
      <c r="K5218" s="465"/>
    </row>
    <row r="5219" spans="2:11" ht="19" customHeight="1">
      <c r="B5219" s="464">
        <v>46131</v>
      </c>
      <c r="C5219" s="436" t="s">
        <v>862</v>
      </c>
      <c r="D5219" s="436" t="s">
        <v>907</v>
      </c>
      <c r="E5219" s="436">
        <v>1</v>
      </c>
      <c r="F5219" s="465">
        <v>0.15</v>
      </c>
      <c r="G5219" s="466">
        <v>0.15</v>
      </c>
      <c r="H5219" s="466">
        <f>G5219/1.1</f>
        <v>0.13636363636363635</v>
      </c>
      <c r="I5219" s="436"/>
      <c r="J5219" s="465"/>
      <c r="K5219" s="465"/>
    </row>
    <row r="5220" spans="2:11" ht="19" customHeight="1">
      <c r="B5220" s="464">
        <v>46131</v>
      </c>
      <c r="C5220" s="436" t="s">
        <v>247</v>
      </c>
      <c r="D5220" s="436" t="s">
        <v>1241</v>
      </c>
      <c r="E5220" s="436">
        <v>1</v>
      </c>
      <c r="F5220" s="465">
        <v>1.7</v>
      </c>
      <c r="G5220" s="466">
        <v>1.7</v>
      </c>
      <c r="H5220" s="466">
        <f>G5220/1.1</f>
        <v>1.5454545454545452</v>
      </c>
      <c r="I5220" s="436"/>
      <c r="J5220" s="465"/>
      <c r="K5220" s="465"/>
    </row>
    <row r="5221" spans="2:11" ht="19" customHeight="1">
      <c r="B5221" s="464">
        <v>46131</v>
      </c>
      <c r="C5221" s="436" t="s">
        <v>268</v>
      </c>
      <c r="D5221" s="436" t="s">
        <v>1318</v>
      </c>
      <c r="E5221" s="436">
        <v>1</v>
      </c>
      <c r="F5221" s="465">
        <v>1.5</v>
      </c>
      <c r="G5221" s="466">
        <v>1.5</v>
      </c>
      <c r="H5221" s="466">
        <f>G5221/1.1</f>
        <v>1.3636363636363635</v>
      </c>
      <c r="I5221" s="436"/>
      <c r="J5221" s="465"/>
      <c r="K5221" s="465"/>
    </row>
    <row r="5222" spans="2:11" ht="19" customHeight="1">
      <c r="B5222" s="464">
        <v>46131</v>
      </c>
      <c r="C5222" s="436" t="s">
        <v>247</v>
      </c>
      <c r="D5222" s="436" t="s">
        <v>1241</v>
      </c>
      <c r="E5222" s="436">
        <v>1</v>
      </c>
      <c r="F5222" s="465">
        <v>1.7</v>
      </c>
      <c r="G5222" s="466">
        <v>1.7</v>
      </c>
      <c r="H5222" s="466">
        <f>G5222/1.1</f>
        <v>1.5454545454545452</v>
      </c>
      <c r="I5222" s="436"/>
      <c r="J5222" s="465"/>
      <c r="K5222" s="465"/>
    </row>
    <row r="5223" spans="2:11" ht="19" customHeight="1">
      <c r="B5223" s="464">
        <v>46131</v>
      </c>
      <c r="C5223" s="436" t="s">
        <v>247</v>
      </c>
      <c r="D5223" s="436" t="s">
        <v>1241</v>
      </c>
      <c r="E5223" s="436">
        <v>3</v>
      </c>
      <c r="F5223" s="465">
        <v>1.7</v>
      </c>
      <c r="G5223" s="466">
        <v>5.0999999999999996</v>
      </c>
      <c r="H5223" s="466">
        <f>G5223/1.1</f>
        <v>4.6363636363636358</v>
      </c>
      <c r="I5223" s="436"/>
      <c r="J5223" s="465"/>
      <c r="K5223" s="465"/>
    </row>
    <row r="5224" spans="2:11" ht="19" customHeight="1">
      <c r="B5224" s="464">
        <v>46131</v>
      </c>
      <c r="C5224" s="436" t="s">
        <v>247</v>
      </c>
      <c r="D5224" s="436" t="s">
        <v>1241</v>
      </c>
      <c r="E5224" s="436">
        <v>1</v>
      </c>
      <c r="F5224" s="465">
        <v>1.7</v>
      </c>
      <c r="G5224" s="466">
        <v>1.7</v>
      </c>
      <c r="H5224" s="466">
        <f>G5224/1.1</f>
        <v>1.5454545454545452</v>
      </c>
      <c r="I5224" s="436"/>
      <c r="J5224" s="465"/>
      <c r="K5224" s="465"/>
    </row>
    <row r="5225" spans="2:11" ht="19" customHeight="1">
      <c r="B5225" s="464">
        <v>46131</v>
      </c>
      <c r="C5225" s="436" t="s">
        <v>247</v>
      </c>
      <c r="D5225" s="436" t="s">
        <v>248</v>
      </c>
      <c r="E5225" s="436">
        <v>1</v>
      </c>
      <c r="F5225" s="465">
        <v>1.5</v>
      </c>
      <c r="G5225" s="466">
        <v>1.5</v>
      </c>
      <c r="H5225" s="466">
        <f>G5225/1.1</f>
        <v>1.3636363636363635</v>
      </c>
      <c r="I5225" s="436"/>
      <c r="J5225" s="465"/>
      <c r="K5225" s="465"/>
    </row>
    <row r="5226" spans="2:11" ht="19" customHeight="1">
      <c r="B5226" s="464">
        <v>46131</v>
      </c>
      <c r="C5226" s="436" t="s">
        <v>268</v>
      </c>
      <c r="D5226" s="436" t="s">
        <v>1244</v>
      </c>
      <c r="E5226" s="436">
        <v>1</v>
      </c>
      <c r="F5226" s="465">
        <v>1.5</v>
      </c>
      <c r="G5226" s="466">
        <v>1.5</v>
      </c>
      <c r="H5226" s="466">
        <f>G5226/1.1</f>
        <v>1.3636363636363635</v>
      </c>
      <c r="I5226" s="436"/>
      <c r="J5226" s="465"/>
      <c r="K5226" s="465"/>
    </row>
    <row r="5227" spans="2:11" ht="19" customHeight="1">
      <c r="B5227" s="464">
        <v>46131</v>
      </c>
      <c r="C5227" s="436" t="s">
        <v>247</v>
      </c>
      <c r="D5227" s="436" t="s">
        <v>1241</v>
      </c>
      <c r="E5227" s="436">
        <v>1</v>
      </c>
      <c r="F5227" s="465">
        <v>1.7</v>
      </c>
      <c r="G5227" s="466">
        <v>1.7</v>
      </c>
      <c r="H5227" s="466">
        <f>G5227/1.1</f>
        <v>1.5454545454545452</v>
      </c>
      <c r="I5227" s="436"/>
      <c r="J5227" s="465"/>
      <c r="K5227" s="465"/>
    </row>
    <row r="5228" spans="2:11" ht="19" customHeight="1">
      <c r="B5228" s="464">
        <v>46131</v>
      </c>
      <c r="C5228" s="436" t="s">
        <v>247</v>
      </c>
      <c r="D5228" s="436" t="s">
        <v>248</v>
      </c>
      <c r="E5228" s="436">
        <v>1</v>
      </c>
      <c r="F5228" s="465">
        <v>1.5</v>
      </c>
      <c r="G5228" s="466">
        <v>1.5</v>
      </c>
      <c r="H5228" s="466">
        <f>G5228/1.1</f>
        <v>1.3636363636363635</v>
      </c>
      <c r="I5228" s="436"/>
      <c r="J5228" s="465"/>
      <c r="K5228" s="465"/>
    </row>
    <row r="5229" spans="2:11" ht="19" customHeight="1">
      <c r="B5229" s="464">
        <v>46131</v>
      </c>
      <c r="C5229" s="436" t="s">
        <v>268</v>
      </c>
      <c r="D5229" s="436" t="s">
        <v>1242</v>
      </c>
      <c r="E5229" s="436">
        <v>1</v>
      </c>
      <c r="F5229" s="465">
        <v>2.25</v>
      </c>
      <c r="G5229" s="466">
        <v>2.25</v>
      </c>
      <c r="H5229" s="466">
        <f>G5229/1.1</f>
        <v>2.0454545454545454</v>
      </c>
      <c r="I5229" s="436"/>
      <c r="J5229" s="465"/>
      <c r="K5229" s="465"/>
    </row>
    <row r="5230" spans="2:11" ht="19" customHeight="1">
      <c r="B5230" s="464">
        <v>46131</v>
      </c>
      <c r="C5230" s="436" t="s">
        <v>251</v>
      </c>
      <c r="D5230" s="436" t="s">
        <v>714</v>
      </c>
      <c r="E5230" s="436">
        <v>4</v>
      </c>
      <c r="F5230" s="465">
        <v>1.55</v>
      </c>
      <c r="G5230" s="466">
        <v>6.2</v>
      </c>
      <c r="H5230" s="466">
        <f>G5230/1.1</f>
        <v>5.6363636363636358</v>
      </c>
      <c r="I5230" s="436"/>
      <c r="J5230" s="465"/>
      <c r="K5230" s="465"/>
    </row>
    <row r="5231" spans="2:11" ht="19" customHeight="1">
      <c r="B5231" s="464">
        <v>46131</v>
      </c>
      <c r="C5231" s="436" t="s">
        <v>268</v>
      </c>
      <c r="D5231" s="436" t="s">
        <v>1244</v>
      </c>
      <c r="E5231" s="436">
        <v>1</v>
      </c>
      <c r="F5231" s="465">
        <v>1.5</v>
      </c>
      <c r="G5231" s="466">
        <v>1.5</v>
      </c>
      <c r="H5231" s="466">
        <f>G5231/1.1</f>
        <v>1.3636363636363635</v>
      </c>
      <c r="I5231" s="436"/>
      <c r="J5231" s="465"/>
      <c r="K5231" s="465"/>
    </row>
    <row r="5232" spans="2:11" ht="19" customHeight="1">
      <c r="B5232" s="464">
        <v>46131</v>
      </c>
      <c r="C5232" s="436" t="s">
        <v>247</v>
      </c>
      <c r="D5232" s="436" t="s">
        <v>248</v>
      </c>
      <c r="E5232" s="436">
        <v>1</v>
      </c>
      <c r="F5232" s="465">
        <v>1.5</v>
      </c>
      <c r="G5232" s="466">
        <v>1.5</v>
      </c>
      <c r="H5232" s="466">
        <f>G5232/1.1</f>
        <v>1.3636363636363635</v>
      </c>
      <c r="I5232" s="436"/>
      <c r="J5232" s="465"/>
      <c r="K5232" s="465"/>
    </row>
    <row r="5233" spans="2:11" ht="19" customHeight="1">
      <c r="B5233" s="464">
        <v>46131</v>
      </c>
      <c r="C5233" s="436" t="s">
        <v>247</v>
      </c>
      <c r="D5233" s="436" t="s">
        <v>677</v>
      </c>
      <c r="E5233" s="436">
        <v>1</v>
      </c>
      <c r="F5233" s="465">
        <v>1.95</v>
      </c>
      <c r="G5233" s="466">
        <v>1.95</v>
      </c>
      <c r="H5233" s="466">
        <f>G5233/1.1</f>
        <v>1.7727272727272725</v>
      </c>
      <c r="I5233" s="436"/>
      <c r="J5233" s="465"/>
      <c r="K5233" s="465"/>
    </row>
    <row r="5234" spans="2:11" ht="19" customHeight="1">
      <c r="B5234" s="464">
        <v>46131</v>
      </c>
      <c r="C5234" s="436" t="s">
        <v>247</v>
      </c>
      <c r="D5234" s="436" t="s">
        <v>1241</v>
      </c>
      <c r="E5234" s="436">
        <v>1</v>
      </c>
      <c r="F5234" s="465">
        <v>1.7</v>
      </c>
      <c r="G5234" s="466">
        <v>1.7</v>
      </c>
      <c r="H5234" s="466">
        <f>G5234/1.1</f>
        <v>1.5454545454545452</v>
      </c>
      <c r="I5234" s="436"/>
      <c r="J5234" s="465"/>
      <c r="K5234" s="465"/>
    </row>
    <row r="5235" spans="2:11" ht="19" customHeight="1">
      <c r="B5235" s="464">
        <v>46131</v>
      </c>
      <c r="C5235" s="436" t="s">
        <v>247</v>
      </c>
      <c r="D5235" s="436" t="s">
        <v>248</v>
      </c>
      <c r="E5235" s="436">
        <v>1</v>
      </c>
      <c r="F5235" s="465">
        <v>1.5</v>
      </c>
      <c r="G5235" s="466">
        <v>1.5</v>
      </c>
      <c r="H5235" s="466">
        <f>G5235/1.1</f>
        <v>1.3636363636363635</v>
      </c>
      <c r="I5235" s="436"/>
      <c r="J5235" s="465"/>
      <c r="K5235" s="465"/>
    </row>
    <row r="5236" spans="2:11" ht="19" customHeight="1">
      <c r="B5236" s="464">
        <v>46131</v>
      </c>
      <c r="C5236" s="436" t="s">
        <v>247</v>
      </c>
      <c r="D5236" s="436" t="s">
        <v>248</v>
      </c>
      <c r="E5236" s="436">
        <v>2</v>
      </c>
      <c r="F5236" s="465">
        <v>1.5</v>
      </c>
      <c r="G5236" s="466">
        <v>3</v>
      </c>
      <c r="H5236" s="466">
        <f>G5236/1.1</f>
        <v>2.7272727272727271</v>
      </c>
      <c r="I5236" s="436"/>
      <c r="J5236" s="465"/>
      <c r="K5236" s="465"/>
    </row>
    <row r="5237" spans="2:11" ht="19" customHeight="1">
      <c r="B5237" s="464">
        <v>46131</v>
      </c>
      <c r="C5237" s="436" t="s">
        <v>247</v>
      </c>
      <c r="D5237" s="436" t="s">
        <v>248</v>
      </c>
      <c r="E5237" s="436">
        <v>1</v>
      </c>
      <c r="F5237" s="465">
        <v>1.5</v>
      </c>
      <c r="G5237" s="466">
        <v>1.5</v>
      </c>
      <c r="H5237" s="466">
        <f>G5237/1.1</f>
        <v>1.3636363636363635</v>
      </c>
      <c r="I5237" s="436"/>
      <c r="J5237" s="465"/>
      <c r="K5237" s="465"/>
    </row>
    <row r="5238" spans="2:11" ht="19" customHeight="1">
      <c r="B5238" s="464">
        <v>46131</v>
      </c>
      <c r="C5238" s="436" t="s">
        <v>247</v>
      </c>
      <c r="D5238" s="436" t="s">
        <v>248</v>
      </c>
      <c r="E5238" s="436">
        <v>1</v>
      </c>
      <c r="F5238" s="465">
        <v>1.5</v>
      </c>
      <c r="G5238" s="466">
        <v>1.5</v>
      </c>
      <c r="H5238" s="466">
        <f>G5238/1.1</f>
        <v>1.3636363636363635</v>
      </c>
      <c r="I5238" s="436"/>
      <c r="J5238" s="465"/>
      <c r="K5238" s="465"/>
    </row>
    <row r="5239" spans="2:11" ht="19" customHeight="1">
      <c r="B5239" s="464">
        <v>46131</v>
      </c>
      <c r="C5239" s="436" t="s">
        <v>862</v>
      </c>
      <c r="D5239" s="436" t="s">
        <v>269</v>
      </c>
      <c r="E5239" s="436">
        <v>1</v>
      </c>
      <c r="F5239" s="465">
        <v>0.1</v>
      </c>
      <c r="G5239" s="466">
        <v>0.1</v>
      </c>
      <c r="H5239" s="466">
        <f>G5239/1.1</f>
        <v>9.0909090909090912E-2</v>
      </c>
      <c r="I5239" s="436"/>
      <c r="J5239" s="465"/>
      <c r="K5239" s="465"/>
    </row>
    <row r="5240" spans="2:11" ht="19" customHeight="1">
      <c r="B5240" s="464">
        <v>46131</v>
      </c>
      <c r="C5240" s="436" t="s">
        <v>247</v>
      </c>
      <c r="D5240" s="436" t="s">
        <v>1241</v>
      </c>
      <c r="E5240" s="436">
        <v>1</v>
      </c>
      <c r="F5240" s="465">
        <v>1.7</v>
      </c>
      <c r="G5240" s="466">
        <v>1.7</v>
      </c>
      <c r="H5240" s="466">
        <f>G5240/1.1</f>
        <v>1.5454545454545452</v>
      </c>
      <c r="I5240" s="436"/>
      <c r="J5240" s="465"/>
      <c r="K5240" s="465"/>
    </row>
    <row r="5241" spans="2:11" ht="19" customHeight="1">
      <c r="B5241" s="464">
        <v>46131</v>
      </c>
      <c r="C5241" s="436" t="s">
        <v>862</v>
      </c>
      <c r="D5241" s="436" t="s">
        <v>1235</v>
      </c>
      <c r="E5241" s="436">
        <v>1</v>
      </c>
      <c r="F5241" s="465">
        <v>10</v>
      </c>
      <c r="G5241" s="466">
        <v>10</v>
      </c>
      <c r="H5241" s="466">
        <f>G5241/1.1</f>
        <v>9.0909090909090899</v>
      </c>
      <c r="I5241" s="436"/>
      <c r="J5241" s="465"/>
      <c r="K5241" s="465"/>
    </row>
    <row r="5242" spans="2:11" ht="19" customHeight="1">
      <c r="B5242" s="464">
        <v>46131</v>
      </c>
      <c r="C5242" s="436" t="s">
        <v>256</v>
      </c>
      <c r="D5242" s="436" t="s">
        <v>986</v>
      </c>
      <c r="E5242" s="436">
        <v>1</v>
      </c>
      <c r="F5242" s="465">
        <v>14</v>
      </c>
      <c r="G5242" s="466">
        <v>14</v>
      </c>
      <c r="H5242" s="466">
        <f>G5242/1.1</f>
        <v>12.727272727272727</v>
      </c>
      <c r="I5242" s="436"/>
      <c r="J5242" s="465"/>
      <c r="K5242" s="465"/>
    </row>
    <row r="5243" spans="2:11" ht="19" customHeight="1">
      <c r="B5243" s="464">
        <v>46131</v>
      </c>
      <c r="C5243" s="436" t="s">
        <v>253</v>
      </c>
      <c r="D5243" s="436" t="s">
        <v>965</v>
      </c>
      <c r="E5243" s="436">
        <v>2</v>
      </c>
      <c r="F5243" s="465">
        <v>2.65</v>
      </c>
      <c r="G5243" s="466">
        <v>5.3</v>
      </c>
      <c r="H5243" s="466">
        <f>G5243/1.1</f>
        <v>4.8181818181818175</v>
      </c>
      <c r="I5243" s="436"/>
      <c r="J5243" s="465"/>
      <c r="K5243" s="465"/>
    </row>
    <row r="5244" spans="2:11" ht="19" customHeight="1">
      <c r="B5244" s="464">
        <v>46131</v>
      </c>
      <c r="C5244" s="436" t="s">
        <v>253</v>
      </c>
      <c r="D5244" s="436" t="s">
        <v>869</v>
      </c>
      <c r="E5244" s="436">
        <v>2</v>
      </c>
      <c r="F5244" s="465">
        <v>2.65</v>
      </c>
      <c r="G5244" s="466">
        <v>5.3</v>
      </c>
      <c r="H5244" s="466">
        <f>G5244/1.1</f>
        <v>4.8181818181818175</v>
      </c>
      <c r="I5244" s="436"/>
      <c r="J5244" s="465"/>
      <c r="K5244" s="465"/>
    </row>
    <row r="5245" spans="2:11" ht="19" customHeight="1">
      <c r="B5245" s="464">
        <v>46131</v>
      </c>
      <c r="C5245" s="436" t="s">
        <v>276</v>
      </c>
      <c r="D5245" s="436" t="s">
        <v>969</v>
      </c>
      <c r="E5245" s="436">
        <v>1</v>
      </c>
      <c r="F5245" s="465">
        <v>3.5</v>
      </c>
      <c r="G5245" s="466">
        <v>3.5</v>
      </c>
      <c r="H5245" s="466">
        <f>G5245/1.1</f>
        <v>3.1818181818181817</v>
      </c>
      <c r="I5245" s="436"/>
      <c r="J5245" s="465"/>
      <c r="K5245" s="465"/>
    </row>
    <row r="5246" spans="2:11" ht="19" customHeight="1">
      <c r="B5246" s="464">
        <v>46131</v>
      </c>
      <c r="C5246" s="436" t="s">
        <v>253</v>
      </c>
      <c r="D5246" s="436" t="s">
        <v>901</v>
      </c>
      <c r="E5246" s="436">
        <v>1</v>
      </c>
      <c r="F5246" s="465">
        <v>2.2999999999999998</v>
      </c>
      <c r="G5246" s="466">
        <v>2.2999999999999998</v>
      </c>
      <c r="H5246" s="466">
        <f>G5246/1.1</f>
        <v>2.0909090909090904</v>
      </c>
      <c r="I5246" s="436"/>
      <c r="J5246" s="465"/>
      <c r="K5246" s="465"/>
    </row>
    <row r="5247" spans="2:11" ht="19" customHeight="1">
      <c r="B5247" s="464">
        <v>46131</v>
      </c>
      <c r="C5247" s="436" t="s">
        <v>251</v>
      </c>
      <c r="D5247" s="436" t="s">
        <v>926</v>
      </c>
      <c r="E5247" s="436">
        <v>1</v>
      </c>
      <c r="F5247" s="465">
        <v>2.65</v>
      </c>
      <c r="G5247" s="466">
        <v>2.65</v>
      </c>
      <c r="H5247" s="466">
        <f>G5247/1.1</f>
        <v>2.4090909090909087</v>
      </c>
      <c r="I5247" s="436"/>
      <c r="J5247" s="465"/>
      <c r="K5247" s="465"/>
    </row>
    <row r="5248" spans="2:11" ht="19" customHeight="1">
      <c r="B5248" s="464">
        <v>46131</v>
      </c>
      <c r="C5248" s="436" t="s">
        <v>251</v>
      </c>
      <c r="D5248" s="436" t="s">
        <v>250</v>
      </c>
      <c r="E5248" s="436">
        <v>2</v>
      </c>
      <c r="F5248" s="465">
        <v>1.8</v>
      </c>
      <c r="G5248" s="466">
        <v>3.6</v>
      </c>
      <c r="H5248" s="466">
        <f>G5248/1.1</f>
        <v>3.2727272727272725</v>
      </c>
      <c r="I5248" s="436"/>
      <c r="J5248" s="465"/>
      <c r="K5248" s="465"/>
    </row>
    <row r="5249" spans="2:11" ht="19" customHeight="1">
      <c r="B5249" s="464">
        <v>46131</v>
      </c>
      <c r="C5249" s="436" t="s">
        <v>256</v>
      </c>
      <c r="D5249" s="436" t="s">
        <v>1319</v>
      </c>
      <c r="E5249" s="436">
        <v>1</v>
      </c>
      <c r="F5249" s="465">
        <v>7.5</v>
      </c>
      <c r="G5249" s="466">
        <v>7.5</v>
      </c>
      <c r="H5249" s="466">
        <f>G5249/1.1</f>
        <v>6.8181818181818175</v>
      </c>
      <c r="I5249" s="436"/>
      <c r="J5249" s="465"/>
      <c r="K5249" s="465"/>
    </row>
    <row r="5250" spans="2:11" ht="19" customHeight="1">
      <c r="B5250" s="464">
        <v>46131</v>
      </c>
      <c r="C5250" s="436" t="s">
        <v>256</v>
      </c>
      <c r="D5250" s="436" t="s">
        <v>738</v>
      </c>
      <c r="E5250" s="436">
        <v>1</v>
      </c>
      <c r="F5250" s="465">
        <v>7.9</v>
      </c>
      <c r="G5250" s="466">
        <v>7.9</v>
      </c>
      <c r="H5250" s="466">
        <f>G5250/1.1</f>
        <v>7.1818181818181817</v>
      </c>
      <c r="I5250" s="436"/>
      <c r="J5250" s="465"/>
      <c r="K5250" s="465"/>
    </row>
    <row r="5251" spans="2:11" ht="19" customHeight="1">
      <c r="B5251" s="464">
        <v>46131</v>
      </c>
      <c r="C5251" s="436" t="s">
        <v>862</v>
      </c>
      <c r="D5251" s="436" t="s">
        <v>1114</v>
      </c>
      <c r="E5251" s="436">
        <v>1</v>
      </c>
      <c r="F5251" s="465">
        <v>-0.4</v>
      </c>
      <c r="G5251" s="466">
        <v>-0.4</v>
      </c>
      <c r="H5251" s="466">
        <f>G5251/1.1</f>
        <v>-0.36363636363636365</v>
      </c>
      <c r="I5251" s="436"/>
      <c r="J5251" s="465"/>
      <c r="K5251" s="465"/>
    </row>
    <row r="5252" spans="2:11" ht="19" customHeight="1">
      <c r="B5252" s="464">
        <v>46131</v>
      </c>
      <c r="C5252" s="436" t="s">
        <v>256</v>
      </c>
      <c r="D5252" s="436" t="s">
        <v>1320</v>
      </c>
      <c r="E5252" s="436">
        <v>2</v>
      </c>
      <c r="F5252" s="465">
        <v>1.7</v>
      </c>
      <c r="G5252" s="466">
        <v>3.4</v>
      </c>
      <c r="H5252" s="466">
        <f>G5252/1.1</f>
        <v>3.0909090909090904</v>
      </c>
      <c r="I5252" s="436"/>
      <c r="J5252" s="465"/>
      <c r="K5252" s="465"/>
    </row>
    <row r="5253" spans="2:11" ht="19" customHeight="1">
      <c r="B5253" s="464">
        <v>46131</v>
      </c>
      <c r="C5253" s="436" t="s">
        <v>256</v>
      </c>
      <c r="D5253" s="436" t="s">
        <v>870</v>
      </c>
      <c r="E5253" s="436">
        <v>2</v>
      </c>
      <c r="F5253" s="465">
        <v>1.7</v>
      </c>
      <c r="G5253" s="466">
        <v>3.4</v>
      </c>
      <c r="H5253" s="466">
        <f>G5253/1.1</f>
        <v>3.0909090909090904</v>
      </c>
      <c r="I5253" s="436"/>
      <c r="J5253" s="465"/>
      <c r="K5253" s="465"/>
    </row>
    <row r="5254" spans="2:11" ht="19" customHeight="1">
      <c r="B5254" s="464">
        <v>46131</v>
      </c>
      <c r="C5254" s="436" t="s">
        <v>256</v>
      </c>
      <c r="D5254" s="436" t="s">
        <v>1321</v>
      </c>
      <c r="E5254" s="436">
        <v>2</v>
      </c>
      <c r="F5254" s="465">
        <v>1.7</v>
      </c>
      <c r="G5254" s="466">
        <v>3.4</v>
      </c>
      <c r="H5254" s="466">
        <f>G5254/1.1</f>
        <v>3.0909090909090904</v>
      </c>
      <c r="I5254" s="436"/>
      <c r="J5254" s="465"/>
      <c r="K5254" s="465"/>
    </row>
    <row r="5255" spans="2:11" ht="19" customHeight="1">
      <c r="B5255" s="464">
        <v>46131</v>
      </c>
      <c r="C5255" s="436" t="s">
        <v>256</v>
      </c>
      <c r="D5255" s="436" t="s">
        <v>871</v>
      </c>
      <c r="E5255" s="436">
        <v>1</v>
      </c>
      <c r="F5255" s="465">
        <v>3.5</v>
      </c>
      <c r="G5255" s="466">
        <v>3.5</v>
      </c>
      <c r="H5255" s="466">
        <f>G5255/1.1</f>
        <v>3.1818181818181817</v>
      </c>
      <c r="I5255" s="436"/>
      <c r="J5255" s="465"/>
      <c r="K5255" s="465"/>
    </row>
    <row r="5256" spans="2:11" ht="19" customHeight="1">
      <c r="B5256" s="464">
        <v>46131</v>
      </c>
      <c r="C5256" s="436" t="s">
        <v>256</v>
      </c>
      <c r="D5256" s="436" t="s">
        <v>1281</v>
      </c>
      <c r="E5256" s="436">
        <v>1</v>
      </c>
      <c r="F5256" s="465">
        <v>3.5</v>
      </c>
      <c r="G5256" s="466">
        <v>3.5</v>
      </c>
      <c r="H5256" s="466">
        <f>G5256/1.1</f>
        <v>3.1818181818181817</v>
      </c>
      <c r="I5256" s="436"/>
      <c r="J5256" s="465"/>
      <c r="K5256" s="465"/>
    </row>
    <row r="5257" spans="2:11" ht="19" customHeight="1">
      <c r="B5257" s="464">
        <v>46131</v>
      </c>
      <c r="C5257" s="436" t="s">
        <v>256</v>
      </c>
      <c r="D5257" s="436" t="s">
        <v>675</v>
      </c>
      <c r="E5257" s="436">
        <v>1</v>
      </c>
      <c r="F5257" s="465">
        <v>5.8</v>
      </c>
      <c r="G5257" s="466">
        <v>5.8</v>
      </c>
      <c r="H5257" s="466">
        <f>G5257/1.1</f>
        <v>5.2727272727272725</v>
      </c>
      <c r="I5257" s="436"/>
      <c r="J5257" s="465"/>
      <c r="K5257" s="465"/>
    </row>
    <row r="5258" spans="2:11" ht="19" customHeight="1">
      <c r="B5258" s="464">
        <v>46131</v>
      </c>
      <c r="C5258" s="436" t="s">
        <v>1322</v>
      </c>
      <c r="D5258" s="436" t="s">
        <v>1323</v>
      </c>
      <c r="E5258" s="436">
        <v>1</v>
      </c>
      <c r="F5258" s="465">
        <v>10.85</v>
      </c>
      <c r="G5258" s="466">
        <v>10.85</v>
      </c>
      <c r="H5258" s="466">
        <f>G5258/1.1</f>
        <v>9.8636363636363633</v>
      </c>
      <c r="I5258" s="436"/>
      <c r="J5258" s="465"/>
      <c r="K5258" s="465"/>
    </row>
    <row r="5259" spans="2:11" ht="19" customHeight="1">
      <c r="B5259" s="464">
        <v>46131</v>
      </c>
      <c r="C5259" s="436" t="s">
        <v>251</v>
      </c>
      <c r="D5259" s="436" t="s">
        <v>250</v>
      </c>
      <c r="E5259" s="436">
        <v>1</v>
      </c>
      <c r="F5259" s="465">
        <v>2.0499999999999998</v>
      </c>
      <c r="G5259" s="466">
        <v>2.0499999999999998</v>
      </c>
      <c r="H5259" s="466">
        <f>G5259/1.1</f>
        <v>1.8636363636363633</v>
      </c>
      <c r="I5259" s="436"/>
      <c r="J5259" s="465"/>
      <c r="K5259" s="465"/>
    </row>
    <row r="5260" spans="2:11" ht="19" customHeight="1">
      <c r="B5260" s="464">
        <v>46131</v>
      </c>
      <c r="C5260" s="436" t="s">
        <v>256</v>
      </c>
      <c r="D5260" s="436" t="s">
        <v>679</v>
      </c>
      <c r="E5260" s="436">
        <v>1</v>
      </c>
      <c r="F5260" s="465">
        <v>10.25</v>
      </c>
      <c r="G5260" s="466">
        <v>10.25</v>
      </c>
      <c r="H5260" s="466">
        <f>G5260/1.1</f>
        <v>9.3181818181818166</v>
      </c>
      <c r="I5260" s="436"/>
      <c r="J5260" s="465"/>
      <c r="K5260" s="465"/>
    </row>
    <row r="5261" spans="2:11" ht="19" customHeight="1">
      <c r="B5261" s="464">
        <v>46131</v>
      </c>
      <c r="C5261" s="436" t="s">
        <v>862</v>
      </c>
      <c r="D5261" s="436" t="s">
        <v>1134</v>
      </c>
      <c r="E5261" s="436">
        <v>1</v>
      </c>
      <c r="F5261" s="465">
        <v>0.4</v>
      </c>
      <c r="G5261" s="466">
        <v>0.4</v>
      </c>
      <c r="H5261" s="466">
        <f>G5261/1.1</f>
        <v>0.36363636363636365</v>
      </c>
      <c r="I5261" s="436"/>
      <c r="J5261" s="465"/>
      <c r="K5261" s="465"/>
    </row>
    <row r="5262" spans="2:11" ht="19" customHeight="1">
      <c r="B5262" s="464">
        <v>46131</v>
      </c>
      <c r="C5262" s="436" t="s">
        <v>862</v>
      </c>
      <c r="D5262" s="436" t="s">
        <v>1324</v>
      </c>
      <c r="E5262" s="436">
        <v>1</v>
      </c>
      <c r="F5262" s="465">
        <v>1</v>
      </c>
      <c r="G5262" s="466">
        <v>1</v>
      </c>
      <c r="H5262" s="466">
        <f>G5262/1.1</f>
        <v>0.90909090909090906</v>
      </c>
      <c r="I5262" s="436"/>
      <c r="J5262" s="465"/>
      <c r="K5262" s="465"/>
    </row>
    <row r="5263" spans="2:11" ht="19" customHeight="1">
      <c r="B5263" s="464">
        <v>46131</v>
      </c>
      <c r="C5263" s="436" t="s">
        <v>256</v>
      </c>
      <c r="D5263" s="436" t="s">
        <v>703</v>
      </c>
      <c r="E5263" s="436">
        <v>2</v>
      </c>
      <c r="F5263" s="465">
        <v>2.25</v>
      </c>
      <c r="G5263" s="466">
        <v>4.5</v>
      </c>
      <c r="H5263" s="466">
        <f>G5263/1.1</f>
        <v>4.0909090909090908</v>
      </c>
      <c r="I5263" s="436"/>
      <c r="J5263" s="465"/>
      <c r="K5263" s="465"/>
    </row>
    <row r="5264" spans="2:11" ht="19" customHeight="1">
      <c r="B5264" s="464">
        <v>46131</v>
      </c>
      <c r="C5264" s="436" t="s">
        <v>256</v>
      </c>
      <c r="D5264" s="436" t="s">
        <v>255</v>
      </c>
      <c r="E5264" s="436">
        <v>1</v>
      </c>
      <c r="F5264" s="465">
        <v>5.45</v>
      </c>
      <c r="G5264" s="466">
        <v>5.45</v>
      </c>
      <c r="H5264" s="466">
        <f>G5264/1.1</f>
        <v>4.9545454545454541</v>
      </c>
      <c r="I5264" s="436"/>
      <c r="J5264" s="465"/>
      <c r="K5264" s="465"/>
    </row>
    <row r="5265" spans="2:11" ht="19" customHeight="1">
      <c r="B5265" s="464">
        <v>46131</v>
      </c>
      <c r="C5265" s="436" t="s">
        <v>251</v>
      </c>
      <c r="D5265" s="436" t="s">
        <v>250</v>
      </c>
      <c r="E5265" s="436">
        <v>2</v>
      </c>
      <c r="F5265" s="465">
        <v>2.0499999999999998</v>
      </c>
      <c r="G5265" s="466">
        <v>4.0999999999999996</v>
      </c>
      <c r="H5265" s="466">
        <f>G5265/1.1</f>
        <v>3.7272727272727266</v>
      </c>
      <c r="I5265" s="436"/>
      <c r="J5265" s="465"/>
      <c r="K5265" s="465"/>
    </row>
    <row r="5266" spans="2:11" ht="19" customHeight="1">
      <c r="B5266" s="464">
        <v>46131</v>
      </c>
      <c r="C5266" s="436" t="s">
        <v>251</v>
      </c>
      <c r="D5266" s="436" t="s">
        <v>265</v>
      </c>
      <c r="E5266" s="436">
        <v>2</v>
      </c>
      <c r="F5266" s="465">
        <v>2.8</v>
      </c>
      <c r="G5266" s="466">
        <v>5.6</v>
      </c>
      <c r="H5266" s="466">
        <f>G5266/1.1</f>
        <v>5.0909090909090899</v>
      </c>
      <c r="I5266" s="436"/>
      <c r="J5266" s="465"/>
      <c r="K5266" s="465"/>
    </row>
    <row r="5267" spans="2:11" ht="19" customHeight="1">
      <c r="B5267" s="464">
        <v>46131</v>
      </c>
      <c r="C5267" s="436" t="s">
        <v>275</v>
      </c>
      <c r="D5267" s="436" t="s">
        <v>1246</v>
      </c>
      <c r="E5267" s="436">
        <v>1</v>
      </c>
      <c r="F5267" s="465">
        <v>6.75</v>
      </c>
      <c r="G5267" s="466">
        <v>6.75</v>
      </c>
      <c r="H5267" s="466">
        <f>G5267/1.1</f>
        <v>6.1363636363636358</v>
      </c>
      <c r="I5267" s="436"/>
      <c r="J5267" s="465"/>
      <c r="K5267" s="465"/>
    </row>
    <row r="5268" spans="2:11" ht="19" customHeight="1">
      <c r="B5268" s="464">
        <v>46131</v>
      </c>
      <c r="C5268" s="436" t="s">
        <v>256</v>
      </c>
      <c r="D5268" s="436" t="s">
        <v>1281</v>
      </c>
      <c r="E5268" s="436">
        <v>1</v>
      </c>
      <c r="F5268" s="465">
        <v>3.75</v>
      </c>
      <c r="G5268" s="466">
        <v>3.75</v>
      </c>
      <c r="H5268" s="466">
        <f>G5268/1.1</f>
        <v>3.4090909090909087</v>
      </c>
      <c r="I5268" s="436"/>
      <c r="J5268" s="465"/>
      <c r="K5268" s="465"/>
    </row>
    <row r="5269" spans="2:11" ht="19" customHeight="1">
      <c r="B5269" s="464">
        <v>46131</v>
      </c>
      <c r="C5269" s="436" t="s">
        <v>256</v>
      </c>
      <c r="D5269" s="436" t="s">
        <v>1325</v>
      </c>
      <c r="E5269" s="436">
        <v>1</v>
      </c>
      <c r="F5269" s="465">
        <v>17.25</v>
      </c>
      <c r="G5269" s="466">
        <v>17.25</v>
      </c>
      <c r="H5269" s="466">
        <f>G5269/1.1</f>
        <v>15.68181818181818</v>
      </c>
      <c r="I5269" s="436"/>
      <c r="J5269" s="465"/>
      <c r="K5269" s="465"/>
    </row>
    <row r="5270" spans="2:11" ht="19" customHeight="1">
      <c r="B5270" s="464">
        <v>46131</v>
      </c>
      <c r="C5270" s="436" t="s">
        <v>256</v>
      </c>
      <c r="D5270" s="436" t="s">
        <v>686</v>
      </c>
      <c r="E5270" s="436">
        <v>1</v>
      </c>
      <c r="F5270" s="465">
        <v>12.25</v>
      </c>
      <c r="G5270" s="466">
        <v>12.25</v>
      </c>
      <c r="H5270" s="466">
        <f>G5270/1.1</f>
        <v>11.136363636363635</v>
      </c>
      <c r="I5270" s="436"/>
      <c r="J5270" s="465"/>
      <c r="K5270" s="465"/>
    </row>
    <row r="5271" spans="2:11" ht="19" customHeight="1">
      <c r="B5271" s="464">
        <v>46131</v>
      </c>
      <c r="C5271" s="436" t="s">
        <v>256</v>
      </c>
      <c r="D5271" s="436" t="s">
        <v>1326</v>
      </c>
      <c r="E5271" s="436">
        <v>1</v>
      </c>
      <c r="F5271" s="465">
        <v>5.75</v>
      </c>
      <c r="G5271" s="466">
        <v>5.75</v>
      </c>
      <c r="H5271" s="466">
        <f>G5271/1.1</f>
        <v>5.2272727272727266</v>
      </c>
      <c r="I5271" s="436"/>
      <c r="J5271" s="465"/>
      <c r="K5271" s="465"/>
    </row>
    <row r="5272" spans="2:11" ht="19" customHeight="1">
      <c r="B5272" s="464">
        <v>46131</v>
      </c>
      <c r="C5272" s="436" t="s">
        <v>256</v>
      </c>
      <c r="D5272" s="436" t="s">
        <v>675</v>
      </c>
      <c r="E5272" s="436">
        <v>1</v>
      </c>
      <c r="F5272" s="465">
        <v>5.75</v>
      </c>
      <c r="G5272" s="466">
        <v>5.75</v>
      </c>
      <c r="H5272" s="466">
        <f>G5272/1.1</f>
        <v>5.2272727272727266</v>
      </c>
      <c r="I5272" s="436"/>
      <c r="J5272" s="465"/>
      <c r="K5272" s="465"/>
    </row>
    <row r="5273" spans="2:11" ht="19" customHeight="1">
      <c r="B5273" s="464">
        <v>46131</v>
      </c>
      <c r="C5273" s="436" t="s">
        <v>256</v>
      </c>
      <c r="D5273" s="436" t="s">
        <v>1281</v>
      </c>
      <c r="E5273" s="436">
        <v>1</v>
      </c>
      <c r="F5273" s="465">
        <v>3.75</v>
      </c>
      <c r="G5273" s="466">
        <v>3.75</v>
      </c>
      <c r="H5273" s="466">
        <f>G5273/1.1</f>
        <v>3.4090909090909087</v>
      </c>
      <c r="I5273" s="436"/>
      <c r="J5273" s="465"/>
      <c r="K5273" s="465"/>
    </row>
    <row r="5274" spans="2:11" ht="19" customHeight="1">
      <c r="B5274" s="464">
        <v>46131</v>
      </c>
      <c r="C5274" s="436" t="s">
        <v>256</v>
      </c>
      <c r="D5274" s="436" t="s">
        <v>1327</v>
      </c>
      <c r="E5274" s="436">
        <v>1</v>
      </c>
      <c r="F5274" s="465">
        <v>10</v>
      </c>
      <c r="G5274" s="466">
        <v>10</v>
      </c>
      <c r="H5274" s="466">
        <f>G5274/1.1</f>
        <v>9.0909090909090899</v>
      </c>
      <c r="I5274" s="436"/>
      <c r="J5274" s="465"/>
      <c r="K5274" s="465"/>
    </row>
    <row r="5275" spans="2:11" ht="19" customHeight="1">
      <c r="B5275" s="464">
        <v>46131</v>
      </c>
      <c r="C5275" s="436" t="s">
        <v>256</v>
      </c>
      <c r="D5275" s="436" t="s">
        <v>1319</v>
      </c>
      <c r="E5275" s="436">
        <v>1</v>
      </c>
      <c r="F5275" s="465">
        <v>7.5</v>
      </c>
      <c r="G5275" s="466">
        <v>7.5</v>
      </c>
      <c r="H5275" s="466">
        <f>G5275/1.1</f>
        <v>6.8181818181818175</v>
      </c>
      <c r="I5275" s="436"/>
      <c r="J5275" s="465"/>
      <c r="K5275" s="465"/>
    </row>
    <row r="5276" spans="2:11" ht="19" customHeight="1">
      <c r="B5276" s="464">
        <v>46131</v>
      </c>
      <c r="C5276" s="436" t="s">
        <v>256</v>
      </c>
      <c r="D5276" s="436" t="s">
        <v>262</v>
      </c>
      <c r="E5276" s="436">
        <v>1</v>
      </c>
      <c r="F5276" s="465">
        <v>12.15</v>
      </c>
      <c r="G5276" s="466">
        <v>12.15</v>
      </c>
      <c r="H5276" s="466">
        <f>G5276/1.1</f>
        <v>11.045454545454545</v>
      </c>
      <c r="I5276" s="436"/>
      <c r="J5276" s="465"/>
      <c r="K5276" s="465"/>
    </row>
    <row r="5277" spans="2:11" ht="19" customHeight="1">
      <c r="B5277" s="464">
        <v>46131</v>
      </c>
      <c r="C5277" s="436" t="s">
        <v>862</v>
      </c>
      <c r="D5277" s="436" t="s">
        <v>1114</v>
      </c>
      <c r="E5277" s="436">
        <v>1</v>
      </c>
      <c r="F5277" s="465">
        <v>-0.15</v>
      </c>
      <c r="G5277" s="466">
        <v>-0.15</v>
      </c>
      <c r="H5277" s="466">
        <f>G5277/1.1</f>
        <v>-0.13636363636363635</v>
      </c>
      <c r="I5277" s="436"/>
      <c r="J5277" s="465"/>
      <c r="K5277" s="465"/>
    </row>
    <row r="5278" spans="2:11" ht="19" customHeight="1">
      <c r="B5278" s="464">
        <v>46131</v>
      </c>
      <c r="C5278" s="436" t="s">
        <v>256</v>
      </c>
      <c r="D5278" s="436" t="s">
        <v>1320</v>
      </c>
      <c r="E5278" s="436">
        <v>2</v>
      </c>
      <c r="F5278" s="465">
        <v>1.7</v>
      </c>
      <c r="G5278" s="466">
        <v>3.4</v>
      </c>
      <c r="H5278" s="466">
        <f>G5278/1.1</f>
        <v>3.0909090909090904</v>
      </c>
      <c r="I5278" s="436"/>
      <c r="J5278" s="465"/>
      <c r="K5278" s="465"/>
    </row>
    <row r="5279" spans="2:11" ht="19" customHeight="1">
      <c r="B5279" s="464">
        <v>46131</v>
      </c>
      <c r="C5279" s="436" t="s">
        <v>256</v>
      </c>
      <c r="D5279" s="436" t="s">
        <v>870</v>
      </c>
      <c r="E5279" s="436">
        <v>2</v>
      </c>
      <c r="F5279" s="465">
        <v>1.7</v>
      </c>
      <c r="G5279" s="466">
        <v>3.4</v>
      </c>
      <c r="H5279" s="466">
        <f>G5279/1.1</f>
        <v>3.0909090909090904</v>
      </c>
      <c r="I5279" s="436"/>
      <c r="J5279" s="465"/>
      <c r="K5279" s="465"/>
    </row>
    <row r="5280" spans="2:11" ht="19" customHeight="1">
      <c r="B5280" s="464">
        <v>46131</v>
      </c>
      <c r="C5280" s="436" t="s">
        <v>256</v>
      </c>
      <c r="D5280" s="436" t="s">
        <v>1321</v>
      </c>
      <c r="E5280" s="436">
        <v>2</v>
      </c>
      <c r="F5280" s="465">
        <v>1.7</v>
      </c>
      <c r="G5280" s="466">
        <v>3.4</v>
      </c>
      <c r="H5280" s="466">
        <f>G5280/1.1</f>
        <v>3.0909090909090904</v>
      </c>
      <c r="I5280" s="436"/>
      <c r="J5280" s="465"/>
      <c r="K5280" s="465"/>
    </row>
    <row r="5281" spans="2:11" ht="19" customHeight="1">
      <c r="B5281" s="464">
        <v>46131</v>
      </c>
      <c r="C5281" s="436" t="s">
        <v>256</v>
      </c>
      <c r="D5281" s="436" t="s">
        <v>1328</v>
      </c>
      <c r="E5281" s="436">
        <v>1</v>
      </c>
      <c r="F5281" s="465">
        <v>10.6</v>
      </c>
      <c r="G5281" s="466">
        <v>10.6</v>
      </c>
      <c r="H5281" s="466">
        <f>G5281/1.1</f>
        <v>9.6363636363636349</v>
      </c>
      <c r="I5281" s="436"/>
      <c r="J5281" s="465"/>
      <c r="K5281" s="465"/>
    </row>
    <row r="5282" spans="2:11" ht="19" customHeight="1">
      <c r="B5282" s="464">
        <v>46131</v>
      </c>
      <c r="C5282" s="436" t="s">
        <v>251</v>
      </c>
      <c r="D5282" s="436" t="s">
        <v>250</v>
      </c>
      <c r="E5282" s="436">
        <v>3</v>
      </c>
      <c r="F5282" s="465">
        <v>1.8</v>
      </c>
      <c r="G5282" s="466">
        <v>5.4</v>
      </c>
      <c r="H5282" s="466">
        <f>G5282/1.1</f>
        <v>4.9090909090909092</v>
      </c>
      <c r="I5282" s="436"/>
      <c r="J5282" s="465"/>
      <c r="K5282" s="465"/>
    </row>
    <row r="5283" spans="2:11" ht="19" customHeight="1">
      <c r="B5283" s="464">
        <v>46131</v>
      </c>
      <c r="C5283" s="436" t="s">
        <v>251</v>
      </c>
      <c r="D5283" s="436" t="s">
        <v>926</v>
      </c>
      <c r="E5283" s="436">
        <v>1</v>
      </c>
      <c r="F5283" s="465">
        <v>2.65</v>
      </c>
      <c r="G5283" s="466">
        <v>2.65</v>
      </c>
      <c r="H5283" s="466">
        <f>G5283/1.1</f>
        <v>2.4090909090909087</v>
      </c>
      <c r="I5283" s="436"/>
      <c r="J5283" s="465"/>
      <c r="K5283" s="465"/>
    </row>
    <row r="5284" spans="2:11" ht="19" customHeight="1">
      <c r="B5284" s="464">
        <v>46131</v>
      </c>
      <c r="C5284" s="436" t="s">
        <v>256</v>
      </c>
      <c r="D5284" s="436" t="s">
        <v>1281</v>
      </c>
      <c r="E5284" s="436">
        <v>1</v>
      </c>
      <c r="F5284" s="465">
        <v>3.5</v>
      </c>
      <c r="G5284" s="466">
        <v>3.5</v>
      </c>
      <c r="H5284" s="466">
        <f>G5284/1.1</f>
        <v>3.1818181818181817</v>
      </c>
      <c r="I5284" s="436"/>
      <c r="J5284" s="465"/>
      <c r="K5284" s="465"/>
    </row>
    <row r="5285" spans="2:11" ht="19" customHeight="1">
      <c r="B5285" s="464">
        <v>46131</v>
      </c>
      <c r="C5285" s="436" t="s">
        <v>256</v>
      </c>
      <c r="D5285" s="436" t="s">
        <v>1325</v>
      </c>
      <c r="E5285" s="436">
        <v>1</v>
      </c>
      <c r="F5285" s="465">
        <v>12</v>
      </c>
      <c r="G5285" s="466">
        <v>12</v>
      </c>
      <c r="H5285" s="466">
        <f>G5285/1.1</f>
        <v>10.909090909090908</v>
      </c>
      <c r="I5285" s="436"/>
      <c r="J5285" s="465"/>
      <c r="K5285" s="465"/>
    </row>
    <row r="5286" spans="2:11" ht="19" customHeight="1">
      <c r="B5286" s="464">
        <v>46131</v>
      </c>
      <c r="C5286" s="436" t="s">
        <v>256</v>
      </c>
      <c r="D5286" s="436" t="s">
        <v>1329</v>
      </c>
      <c r="E5286" s="436">
        <v>1</v>
      </c>
      <c r="F5286" s="465">
        <v>3</v>
      </c>
      <c r="G5286" s="466">
        <v>3</v>
      </c>
      <c r="H5286" s="466">
        <f>G5286/1.1</f>
        <v>2.7272727272727271</v>
      </c>
      <c r="I5286" s="436"/>
      <c r="J5286" s="465"/>
      <c r="K5286" s="465"/>
    </row>
    <row r="5287" spans="2:11" ht="19" customHeight="1">
      <c r="B5287" s="464">
        <v>46131</v>
      </c>
      <c r="C5287" s="436" t="s">
        <v>256</v>
      </c>
      <c r="D5287" s="436" t="s">
        <v>684</v>
      </c>
      <c r="E5287" s="436">
        <v>1</v>
      </c>
      <c r="F5287" s="465">
        <v>10</v>
      </c>
      <c r="G5287" s="466">
        <v>10</v>
      </c>
      <c r="H5287" s="466">
        <f>G5287/1.1</f>
        <v>9.0909090909090899</v>
      </c>
      <c r="I5287" s="436"/>
      <c r="J5287" s="465"/>
      <c r="K5287" s="465"/>
    </row>
    <row r="5288" spans="2:11" ht="19" customHeight="1">
      <c r="B5288" s="464">
        <v>46131</v>
      </c>
      <c r="C5288" s="436" t="s">
        <v>256</v>
      </c>
      <c r="D5288" s="436" t="s">
        <v>679</v>
      </c>
      <c r="E5288" s="436">
        <v>1</v>
      </c>
      <c r="F5288" s="465">
        <v>10.25</v>
      </c>
      <c r="G5288" s="466">
        <v>10.25</v>
      </c>
      <c r="H5288" s="466">
        <f>G5288/1.1</f>
        <v>9.3181818181818166</v>
      </c>
      <c r="I5288" s="436"/>
      <c r="J5288" s="465"/>
      <c r="K5288" s="465"/>
    </row>
    <row r="5289" spans="2:11" ht="19" customHeight="1">
      <c r="B5289" s="464">
        <v>46131</v>
      </c>
      <c r="C5289" s="436" t="s">
        <v>256</v>
      </c>
      <c r="D5289" s="436" t="s">
        <v>738</v>
      </c>
      <c r="E5289" s="436">
        <v>1</v>
      </c>
      <c r="F5289" s="465">
        <v>7.9</v>
      </c>
      <c r="G5289" s="466">
        <v>7.9</v>
      </c>
      <c r="H5289" s="466">
        <f>G5289/1.1</f>
        <v>7.1818181818181817</v>
      </c>
      <c r="I5289" s="436"/>
      <c r="J5289" s="465"/>
      <c r="K5289" s="465"/>
    </row>
    <row r="5290" spans="2:11" ht="19" customHeight="1">
      <c r="B5290" s="464">
        <v>46131</v>
      </c>
      <c r="C5290" s="436" t="s">
        <v>256</v>
      </c>
      <c r="D5290" s="436" t="s">
        <v>255</v>
      </c>
      <c r="E5290" s="436">
        <v>1</v>
      </c>
      <c r="F5290" s="465">
        <v>5.85</v>
      </c>
      <c r="G5290" s="466">
        <v>5.85</v>
      </c>
      <c r="H5290" s="466">
        <f>G5290/1.1</f>
        <v>5.3181818181818175</v>
      </c>
      <c r="I5290" s="436"/>
      <c r="J5290" s="465"/>
      <c r="K5290" s="465"/>
    </row>
    <row r="5291" spans="2:11" ht="19" customHeight="1">
      <c r="B5291" s="464">
        <v>46131</v>
      </c>
      <c r="C5291" s="436" t="s">
        <v>247</v>
      </c>
      <c r="D5291" s="436" t="s">
        <v>248</v>
      </c>
      <c r="E5291" s="436">
        <v>3</v>
      </c>
      <c r="F5291" s="465">
        <v>1.55</v>
      </c>
      <c r="G5291" s="466">
        <v>4.6500000000000004</v>
      </c>
      <c r="H5291" s="466">
        <f>G5291/1.1</f>
        <v>4.2272727272727275</v>
      </c>
      <c r="I5291" s="436"/>
      <c r="J5291" s="465"/>
      <c r="K5291" s="465"/>
    </row>
    <row r="5292" spans="2:11" ht="19" customHeight="1">
      <c r="B5292" s="464">
        <v>46131</v>
      </c>
      <c r="C5292" s="436" t="s">
        <v>251</v>
      </c>
      <c r="D5292" s="436" t="s">
        <v>250</v>
      </c>
      <c r="E5292" s="436">
        <v>1</v>
      </c>
      <c r="F5292" s="465">
        <v>1.8</v>
      </c>
      <c r="G5292" s="466">
        <v>1.8</v>
      </c>
      <c r="H5292" s="466">
        <f>G5292/1.1</f>
        <v>1.6363636363636362</v>
      </c>
      <c r="I5292" s="436"/>
      <c r="J5292" s="465"/>
      <c r="K5292" s="465"/>
    </row>
    <row r="5293" spans="2:11" ht="19" customHeight="1">
      <c r="B5293" s="464">
        <v>46131</v>
      </c>
      <c r="C5293" s="436" t="s">
        <v>253</v>
      </c>
      <c r="D5293" s="436" t="s">
        <v>965</v>
      </c>
      <c r="E5293" s="436">
        <v>1</v>
      </c>
      <c r="F5293" s="465">
        <v>2.5</v>
      </c>
      <c r="G5293" s="466">
        <v>2.5</v>
      </c>
      <c r="H5293" s="466">
        <f>G5293/1.1</f>
        <v>2.2727272727272725</v>
      </c>
      <c r="I5293" s="436"/>
      <c r="J5293" s="465"/>
      <c r="K5293" s="465"/>
    </row>
    <row r="5294" spans="2:11" ht="19" customHeight="1">
      <c r="B5294" s="464">
        <v>46131</v>
      </c>
      <c r="C5294" s="436" t="s">
        <v>247</v>
      </c>
      <c r="D5294" s="436" t="s">
        <v>1312</v>
      </c>
      <c r="E5294" s="436">
        <v>1</v>
      </c>
      <c r="F5294" s="465">
        <v>1.7</v>
      </c>
      <c r="G5294" s="466">
        <v>1.7</v>
      </c>
      <c r="H5294" s="466">
        <f>G5294/1.1</f>
        <v>1.5454545454545452</v>
      </c>
      <c r="I5294" s="436"/>
      <c r="J5294" s="465"/>
      <c r="K5294" s="465"/>
    </row>
    <row r="5295" spans="2:11" ht="19" customHeight="1">
      <c r="B5295" s="464">
        <v>46131</v>
      </c>
      <c r="C5295" s="436" t="s">
        <v>275</v>
      </c>
      <c r="D5295" s="436" t="s">
        <v>1330</v>
      </c>
      <c r="E5295" s="436">
        <v>1</v>
      </c>
      <c r="F5295" s="465">
        <v>5.5</v>
      </c>
      <c r="G5295" s="466">
        <v>5.5</v>
      </c>
      <c r="H5295" s="466">
        <f>G5295/1.1</f>
        <v>5</v>
      </c>
      <c r="I5295" s="436"/>
      <c r="J5295" s="465"/>
      <c r="K5295" s="465"/>
    </row>
    <row r="5296" spans="2:11" ht="19" customHeight="1">
      <c r="B5296" s="464">
        <v>46131</v>
      </c>
      <c r="C5296" s="436" t="s">
        <v>277</v>
      </c>
      <c r="D5296" s="436" t="s">
        <v>954</v>
      </c>
      <c r="E5296" s="436">
        <v>1</v>
      </c>
      <c r="F5296" s="465">
        <v>12.9</v>
      </c>
      <c r="G5296" s="466">
        <v>12.9</v>
      </c>
      <c r="H5296" s="466">
        <f>G5296/1.1</f>
        <v>11.727272727272727</v>
      </c>
      <c r="I5296" s="436"/>
      <c r="J5296" s="465"/>
      <c r="K5296" s="465"/>
    </row>
    <row r="5297" spans="2:11" ht="19" customHeight="1">
      <c r="B5297" s="464">
        <v>46131</v>
      </c>
      <c r="C5297" s="436" t="s">
        <v>256</v>
      </c>
      <c r="D5297" s="436" t="s">
        <v>1012</v>
      </c>
      <c r="E5297" s="436">
        <v>1</v>
      </c>
      <c r="F5297" s="465">
        <v>12.9</v>
      </c>
      <c r="G5297" s="466">
        <v>12.9</v>
      </c>
      <c r="H5297" s="466">
        <f>G5297/1.1</f>
        <v>11.727272727272727</v>
      </c>
      <c r="I5297" s="436"/>
      <c r="J5297" s="465"/>
      <c r="K5297" s="465"/>
    </row>
    <row r="5298" spans="2:11" ht="19" customHeight="1">
      <c r="B5298" s="464">
        <v>46131</v>
      </c>
      <c r="C5298" s="436" t="s">
        <v>256</v>
      </c>
      <c r="D5298" s="436" t="s">
        <v>1281</v>
      </c>
      <c r="E5298" s="436">
        <v>1</v>
      </c>
      <c r="F5298" s="465">
        <v>3.5</v>
      </c>
      <c r="G5298" s="466">
        <v>3.5</v>
      </c>
      <c r="H5298" s="466">
        <f>G5298/1.1</f>
        <v>3.1818181818181817</v>
      </c>
      <c r="I5298" s="436"/>
      <c r="J5298" s="465"/>
      <c r="K5298" s="465"/>
    </row>
    <row r="5299" spans="2:11" ht="19" customHeight="1">
      <c r="B5299" s="464">
        <v>46131</v>
      </c>
      <c r="C5299" s="436" t="s">
        <v>251</v>
      </c>
      <c r="D5299" s="436" t="s">
        <v>250</v>
      </c>
      <c r="E5299" s="436">
        <v>2</v>
      </c>
      <c r="F5299" s="465">
        <v>1.8</v>
      </c>
      <c r="G5299" s="466">
        <v>3.6</v>
      </c>
      <c r="H5299" s="466">
        <f>G5299/1.1</f>
        <v>3.2727272727272725</v>
      </c>
      <c r="I5299" s="436"/>
      <c r="J5299" s="465"/>
      <c r="K5299" s="465"/>
    </row>
    <row r="5300" spans="2:11" ht="19" customHeight="1">
      <c r="B5300" s="464">
        <v>46131</v>
      </c>
      <c r="C5300" s="436" t="s">
        <v>251</v>
      </c>
      <c r="D5300" s="436" t="s">
        <v>708</v>
      </c>
      <c r="E5300" s="436">
        <v>1</v>
      </c>
      <c r="F5300" s="465">
        <v>1.95</v>
      </c>
      <c r="G5300" s="466">
        <v>1.95</v>
      </c>
      <c r="H5300" s="466">
        <f>G5300/1.1</f>
        <v>1.7727272727272725</v>
      </c>
      <c r="I5300" s="436"/>
      <c r="J5300" s="465"/>
      <c r="K5300" s="465"/>
    </row>
    <row r="5301" spans="2:11" ht="19" customHeight="1">
      <c r="B5301" s="464">
        <v>46131</v>
      </c>
      <c r="C5301" s="436" t="s">
        <v>253</v>
      </c>
      <c r="D5301" s="436" t="s">
        <v>869</v>
      </c>
      <c r="E5301" s="436">
        <v>1</v>
      </c>
      <c r="F5301" s="465">
        <v>2.5</v>
      </c>
      <c r="G5301" s="466">
        <v>2.5</v>
      </c>
      <c r="H5301" s="466">
        <f>G5301/1.1</f>
        <v>2.2727272727272725</v>
      </c>
      <c r="I5301" s="436"/>
      <c r="J5301" s="465"/>
      <c r="K5301" s="465"/>
    </row>
    <row r="5302" spans="2:11" ht="19" customHeight="1">
      <c r="B5302" s="464">
        <v>46131</v>
      </c>
      <c r="C5302" s="436" t="s">
        <v>276</v>
      </c>
      <c r="D5302" s="436" t="s">
        <v>1331</v>
      </c>
      <c r="E5302" s="436">
        <v>1</v>
      </c>
      <c r="F5302" s="465">
        <v>16.149999999999999</v>
      </c>
      <c r="G5302" s="466">
        <v>16.149999999999999</v>
      </c>
      <c r="H5302" s="466">
        <f>G5302/1.1</f>
        <v>14.68181818181818</v>
      </c>
      <c r="I5302" s="436"/>
      <c r="J5302" s="465"/>
      <c r="K5302" s="465"/>
    </row>
    <row r="5303" spans="2:11" ht="19" customHeight="1">
      <c r="B5303" s="464">
        <v>46131</v>
      </c>
      <c r="C5303" s="436" t="s">
        <v>256</v>
      </c>
      <c r="D5303" s="436" t="s">
        <v>697</v>
      </c>
      <c r="E5303" s="436">
        <v>1</v>
      </c>
      <c r="F5303" s="465">
        <v>10.9</v>
      </c>
      <c r="G5303" s="466">
        <v>10.9</v>
      </c>
      <c r="H5303" s="466">
        <f>G5303/1.1</f>
        <v>9.9090909090909083</v>
      </c>
      <c r="I5303" s="436"/>
      <c r="J5303" s="465"/>
      <c r="K5303" s="465"/>
    </row>
    <row r="5304" spans="2:11" ht="19" customHeight="1">
      <c r="B5304" s="464">
        <v>46131</v>
      </c>
      <c r="C5304" s="436" t="s">
        <v>256</v>
      </c>
      <c r="D5304" s="436" t="s">
        <v>871</v>
      </c>
      <c r="E5304" s="436">
        <v>1</v>
      </c>
      <c r="F5304" s="465">
        <v>11</v>
      </c>
      <c r="G5304" s="466">
        <v>11</v>
      </c>
      <c r="H5304" s="466">
        <f>G5304/1.1</f>
        <v>10</v>
      </c>
      <c r="I5304" s="436"/>
      <c r="J5304" s="465"/>
      <c r="K5304" s="465"/>
    </row>
    <row r="5305" spans="2:11" ht="19" customHeight="1">
      <c r="B5305" s="464">
        <v>46131</v>
      </c>
      <c r="C5305" s="436" t="s">
        <v>256</v>
      </c>
      <c r="D5305" s="436" t="s">
        <v>870</v>
      </c>
      <c r="E5305" s="436">
        <v>1</v>
      </c>
      <c r="F5305" s="465">
        <v>8.5</v>
      </c>
      <c r="G5305" s="466">
        <v>8.5</v>
      </c>
      <c r="H5305" s="466">
        <f>G5305/1.1</f>
        <v>7.7272727272727266</v>
      </c>
      <c r="I5305" s="436"/>
      <c r="J5305" s="465"/>
      <c r="K5305" s="465"/>
    </row>
    <row r="5306" spans="2:11" ht="19" customHeight="1">
      <c r="B5306" s="464">
        <v>46131</v>
      </c>
      <c r="C5306" s="436" t="s">
        <v>277</v>
      </c>
      <c r="D5306" s="436" t="s">
        <v>954</v>
      </c>
      <c r="E5306" s="436">
        <v>2</v>
      </c>
      <c r="F5306" s="465">
        <v>12.9</v>
      </c>
      <c r="G5306" s="466">
        <v>25.8</v>
      </c>
      <c r="H5306" s="466">
        <f>G5306/1.1</f>
        <v>23.454545454545453</v>
      </c>
      <c r="I5306" s="436"/>
      <c r="J5306" s="465"/>
      <c r="K5306" s="465"/>
    </row>
    <row r="5307" spans="2:11" ht="19" customHeight="1">
      <c r="B5307" s="464">
        <v>46131</v>
      </c>
      <c r="C5307" s="436" t="s">
        <v>256</v>
      </c>
      <c r="D5307" s="436" t="s">
        <v>986</v>
      </c>
      <c r="E5307" s="436">
        <v>1</v>
      </c>
      <c r="F5307" s="465">
        <v>14.25</v>
      </c>
      <c r="G5307" s="466">
        <v>14.25</v>
      </c>
      <c r="H5307" s="466">
        <f>G5307/1.1</f>
        <v>12.954545454545453</v>
      </c>
      <c r="I5307" s="436"/>
      <c r="J5307" s="465"/>
      <c r="K5307" s="465"/>
    </row>
    <row r="5308" spans="2:11" ht="19" customHeight="1">
      <c r="B5308" s="464">
        <v>46131</v>
      </c>
      <c r="C5308" s="436" t="s">
        <v>256</v>
      </c>
      <c r="D5308" s="436" t="s">
        <v>738</v>
      </c>
      <c r="E5308" s="436">
        <v>1</v>
      </c>
      <c r="F5308" s="465">
        <v>7.9</v>
      </c>
      <c r="G5308" s="466">
        <v>7.9</v>
      </c>
      <c r="H5308" s="466">
        <f>G5308/1.1</f>
        <v>7.1818181818181817</v>
      </c>
      <c r="I5308" s="436"/>
      <c r="J5308" s="465"/>
      <c r="K5308" s="465"/>
    </row>
    <row r="5309" spans="2:11" ht="19" customHeight="1">
      <c r="B5309" s="464">
        <v>46131</v>
      </c>
      <c r="C5309" s="436" t="s">
        <v>256</v>
      </c>
      <c r="D5309" s="436" t="s">
        <v>1281</v>
      </c>
      <c r="E5309" s="436">
        <v>1</v>
      </c>
      <c r="F5309" s="465">
        <v>7</v>
      </c>
      <c r="G5309" s="466">
        <v>7</v>
      </c>
      <c r="H5309" s="466">
        <f>G5309/1.1</f>
        <v>6.3636363636363633</v>
      </c>
      <c r="I5309" s="436"/>
      <c r="J5309" s="465"/>
      <c r="K5309" s="465"/>
    </row>
    <row r="5310" spans="2:11" ht="19" customHeight="1">
      <c r="B5310" s="464">
        <v>46131</v>
      </c>
      <c r="C5310" s="436" t="s">
        <v>256</v>
      </c>
      <c r="D5310" s="436" t="s">
        <v>751</v>
      </c>
      <c r="E5310" s="436">
        <v>1</v>
      </c>
      <c r="F5310" s="465">
        <v>7.9</v>
      </c>
      <c r="G5310" s="466">
        <v>7.9</v>
      </c>
      <c r="H5310" s="466">
        <f>G5310/1.1</f>
        <v>7.1818181818181817</v>
      </c>
      <c r="I5310" s="436"/>
      <c r="J5310" s="465"/>
      <c r="K5310" s="465"/>
    </row>
    <row r="5311" spans="2:11" ht="19" customHeight="1">
      <c r="B5311" s="464">
        <v>46131</v>
      </c>
      <c r="C5311" s="436" t="s">
        <v>247</v>
      </c>
      <c r="D5311" s="436" t="s">
        <v>677</v>
      </c>
      <c r="E5311" s="436">
        <v>1</v>
      </c>
      <c r="F5311" s="465">
        <v>1.95</v>
      </c>
      <c r="G5311" s="466">
        <v>1.95</v>
      </c>
      <c r="H5311" s="466">
        <f>G5311/1.1</f>
        <v>1.7727272727272725</v>
      </c>
      <c r="I5311" s="436"/>
      <c r="J5311" s="465"/>
      <c r="K5311" s="465"/>
    </row>
    <row r="5312" spans="2:11" ht="19" customHeight="1">
      <c r="B5312" s="464">
        <v>46131</v>
      </c>
      <c r="C5312" s="436" t="s">
        <v>247</v>
      </c>
      <c r="D5312" s="436" t="s">
        <v>698</v>
      </c>
      <c r="E5312" s="436">
        <v>1</v>
      </c>
      <c r="F5312" s="465">
        <v>2.5499999999999998</v>
      </c>
      <c r="G5312" s="466">
        <v>2.5499999999999998</v>
      </c>
      <c r="H5312" s="466">
        <f>G5312/1.1</f>
        <v>2.3181818181818179</v>
      </c>
      <c r="I5312" s="436"/>
      <c r="J5312" s="465"/>
      <c r="K5312" s="465"/>
    </row>
    <row r="5313" spans="2:11" ht="19" customHeight="1">
      <c r="B5313" s="464">
        <v>46131</v>
      </c>
      <c r="C5313" s="436" t="s">
        <v>275</v>
      </c>
      <c r="D5313" s="436" t="s">
        <v>951</v>
      </c>
      <c r="E5313" s="436">
        <v>1</v>
      </c>
      <c r="F5313" s="465">
        <v>5.25</v>
      </c>
      <c r="G5313" s="466">
        <v>5.25</v>
      </c>
      <c r="H5313" s="466">
        <f>G5313/1.1</f>
        <v>4.7727272727272725</v>
      </c>
      <c r="I5313" s="436"/>
      <c r="J5313" s="465"/>
      <c r="K5313" s="465"/>
    </row>
    <row r="5314" spans="2:11" ht="19" customHeight="1">
      <c r="B5314" s="464">
        <v>46131</v>
      </c>
      <c r="C5314" s="436" t="s">
        <v>275</v>
      </c>
      <c r="D5314" s="436" t="s">
        <v>933</v>
      </c>
      <c r="E5314" s="436">
        <v>1</v>
      </c>
      <c r="F5314" s="465">
        <v>5.25</v>
      </c>
      <c r="G5314" s="466">
        <v>5.25</v>
      </c>
      <c r="H5314" s="466">
        <f>G5314/1.1</f>
        <v>4.7727272727272725</v>
      </c>
      <c r="I5314" s="436"/>
      <c r="J5314" s="465"/>
      <c r="K5314" s="465"/>
    </row>
    <row r="5315" spans="2:11" ht="19" customHeight="1">
      <c r="B5315" s="464">
        <v>46131</v>
      </c>
      <c r="C5315" s="436" t="s">
        <v>275</v>
      </c>
      <c r="D5315" s="436" t="s">
        <v>1332</v>
      </c>
      <c r="E5315" s="436">
        <v>1</v>
      </c>
      <c r="F5315" s="465">
        <v>6.75</v>
      </c>
      <c r="G5315" s="466">
        <v>6.75</v>
      </c>
      <c r="H5315" s="466">
        <f>G5315/1.1</f>
        <v>6.1363636363636358</v>
      </c>
      <c r="I5315" s="436"/>
      <c r="J5315" s="465"/>
      <c r="K5315" s="465"/>
    </row>
    <row r="5316" spans="2:11" ht="19" customHeight="1">
      <c r="B5316" s="464">
        <v>46131</v>
      </c>
      <c r="C5316" s="436" t="s">
        <v>275</v>
      </c>
      <c r="D5316" s="436" t="s">
        <v>1333</v>
      </c>
      <c r="E5316" s="436">
        <v>1</v>
      </c>
      <c r="F5316" s="465">
        <v>6</v>
      </c>
      <c r="G5316" s="466">
        <v>6</v>
      </c>
      <c r="H5316" s="466">
        <f>G5316/1.1</f>
        <v>5.4545454545454541</v>
      </c>
      <c r="I5316" s="436"/>
      <c r="J5316" s="465"/>
      <c r="K5316" s="465"/>
    </row>
    <row r="5317" spans="2:11" ht="19" customHeight="1">
      <c r="B5317" s="464">
        <v>46131</v>
      </c>
      <c r="C5317" s="436" t="s">
        <v>573</v>
      </c>
      <c r="D5317" s="436" t="s">
        <v>1334</v>
      </c>
      <c r="E5317" s="436">
        <v>1</v>
      </c>
      <c r="F5317" s="465">
        <v>9.6999999999999993</v>
      </c>
      <c r="G5317" s="466">
        <v>9.6999999999999993</v>
      </c>
      <c r="H5317" s="466">
        <f>G5317/1.1</f>
        <v>8.8181818181818166</v>
      </c>
      <c r="I5317" s="436"/>
      <c r="J5317" s="465"/>
      <c r="K5317" s="465"/>
    </row>
    <row r="5318" spans="2:11" ht="19" customHeight="1">
      <c r="B5318" s="464">
        <v>46134</v>
      </c>
      <c r="C5318" s="436" t="s">
        <v>247</v>
      </c>
      <c r="D5318" s="436" t="s">
        <v>1241</v>
      </c>
      <c r="E5318" s="436">
        <v>1</v>
      </c>
      <c r="F5318" s="465">
        <v>1.7</v>
      </c>
      <c r="G5318" s="466">
        <v>1.7</v>
      </c>
      <c r="H5318" s="466">
        <f>G5318/1.1</f>
        <v>1.5454545454545452</v>
      </c>
      <c r="I5318" s="436"/>
      <c r="J5318" s="465"/>
      <c r="K5318" s="465"/>
    </row>
    <row r="5319" spans="2:11" ht="19" customHeight="1">
      <c r="B5319" s="464">
        <v>46134</v>
      </c>
      <c r="C5319" s="436" t="s">
        <v>247</v>
      </c>
      <c r="D5319" s="436" t="s">
        <v>1241</v>
      </c>
      <c r="E5319" s="436">
        <v>1</v>
      </c>
      <c r="F5319" s="465">
        <v>1.85</v>
      </c>
      <c r="G5319" s="466">
        <v>1.85</v>
      </c>
      <c r="H5319" s="466">
        <f>G5319/1.1</f>
        <v>1.6818181818181817</v>
      </c>
      <c r="I5319" s="436"/>
      <c r="J5319" s="465"/>
      <c r="K5319" s="465"/>
    </row>
    <row r="5320" spans="2:11" ht="19" customHeight="1">
      <c r="B5320" s="464">
        <v>46134</v>
      </c>
      <c r="C5320" s="436" t="s">
        <v>256</v>
      </c>
      <c r="D5320" s="436" t="s">
        <v>1012</v>
      </c>
      <c r="E5320" s="436">
        <v>1</v>
      </c>
      <c r="F5320" s="465">
        <v>12.15</v>
      </c>
      <c r="G5320" s="466">
        <v>12.15</v>
      </c>
      <c r="H5320" s="466">
        <f>G5320/1.1</f>
        <v>11.045454545454545</v>
      </c>
      <c r="I5320" s="436"/>
      <c r="J5320" s="465"/>
      <c r="K5320" s="465"/>
    </row>
    <row r="5321" spans="2:11" ht="19" customHeight="1">
      <c r="B5321" s="464">
        <v>46134</v>
      </c>
      <c r="C5321" s="436" t="s">
        <v>862</v>
      </c>
      <c r="D5321" s="436" t="s">
        <v>265</v>
      </c>
      <c r="E5321" s="436">
        <v>1</v>
      </c>
      <c r="F5321" s="465">
        <v>2.8</v>
      </c>
      <c r="G5321" s="466">
        <v>2.8</v>
      </c>
      <c r="H5321" s="466">
        <f>G5321/1.1</f>
        <v>2.545454545454545</v>
      </c>
      <c r="I5321" s="436"/>
      <c r="J5321" s="465"/>
      <c r="K5321" s="465"/>
    </row>
    <row r="5322" spans="2:11" ht="19" customHeight="1">
      <c r="B5322" s="464">
        <v>46134</v>
      </c>
      <c r="C5322" s="436" t="s">
        <v>253</v>
      </c>
      <c r="D5322" s="436" t="s">
        <v>1257</v>
      </c>
      <c r="E5322" s="436">
        <v>1</v>
      </c>
      <c r="F5322" s="465">
        <v>2.15</v>
      </c>
      <c r="G5322" s="466">
        <v>2.15</v>
      </c>
      <c r="H5322" s="466">
        <f>G5322/1.1</f>
        <v>1.9545454545454544</v>
      </c>
      <c r="I5322" s="436"/>
      <c r="J5322" s="465"/>
      <c r="K5322" s="465"/>
    </row>
    <row r="5323" spans="2:11" ht="19" customHeight="1">
      <c r="B5323" s="464">
        <v>46134</v>
      </c>
      <c r="C5323" s="436" t="s">
        <v>268</v>
      </c>
      <c r="D5323" s="436" t="s">
        <v>1335</v>
      </c>
      <c r="E5323" s="436">
        <v>1</v>
      </c>
      <c r="F5323" s="465">
        <v>1.75</v>
      </c>
      <c r="G5323" s="466">
        <v>1.75</v>
      </c>
      <c r="H5323" s="466">
        <f>G5323/1.1</f>
        <v>1.5909090909090908</v>
      </c>
      <c r="I5323" s="436"/>
      <c r="J5323" s="465"/>
      <c r="K5323" s="465"/>
    </row>
    <row r="5324" spans="2:11" ht="19" customHeight="1">
      <c r="B5324" s="464">
        <v>46134</v>
      </c>
      <c r="C5324" s="436" t="s">
        <v>253</v>
      </c>
      <c r="D5324" s="436" t="s">
        <v>1258</v>
      </c>
      <c r="E5324" s="436">
        <v>1</v>
      </c>
      <c r="F5324" s="465">
        <v>2.5</v>
      </c>
      <c r="G5324" s="466">
        <v>2.5</v>
      </c>
      <c r="H5324" s="466">
        <f>G5324/1.1</f>
        <v>2.2727272727272725</v>
      </c>
      <c r="I5324" s="436"/>
      <c r="J5324" s="465"/>
      <c r="K5324" s="465"/>
    </row>
    <row r="5325" spans="2:11" ht="19" customHeight="1">
      <c r="B5325" s="464">
        <v>46134</v>
      </c>
      <c r="C5325" s="436" t="s">
        <v>253</v>
      </c>
      <c r="D5325" s="436" t="s">
        <v>804</v>
      </c>
      <c r="E5325" s="436">
        <v>1</v>
      </c>
      <c r="F5325" s="465">
        <v>2.95</v>
      </c>
      <c r="G5325" s="466">
        <v>2.95</v>
      </c>
      <c r="H5325" s="466">
        <f>G5325/1.1</f>
        <v>2.6818181818181817</v>
      </c>
      <c r="I5325" s="436"/>
      <c r="J5325" s="465"/>
      <c r="K5325" s="465"/>
    </row>
    <row r="5326" spans="2:11" ht="19" customHeight="1">
      <c r="B5326" s="464">
        <v>46134</v>
      </c>
      <c r="C5326" s="436" t="s">
        <v>247</v>
      </c>
      <c r="D5326" s="436" t="s">
        <v>248</v>
      </c>
      <c r="E5326" s="436">
        <v>1</v>
      </c>
      <c r="F5326" s="465">
        <v>1.65</v>
      </c>
      <c r="G5326" s="466">
        <v>1.65</v>
      </c>
      <c r="H5326" s="466">
        <f>G5326/1.1</f>
        <v>1.4999999999999998</v>
      </c>
      <c r="I5326" s="436"/>
      <c r="J5326" s="465"/>
      <c r="K5326" s="465"/>
    </row>
    <row r="5327" spans="2:11" ht="19" customHeight="1">
      <c r="B5327" s="464">
        <v>46134</v>
      </c>
      <c r="C5327" s="436" t="s">
        <v>873</v>
      </c>
      <c r="D5327" s="436" t="s">
        <v>1336</v>
      </c>
      <c r="E5327" s="436">
        <v>1</v>
      </c>
      <c r="F5327" s="465"/>
      <c r="G5327" s="466"/>
      <c r="H5327" s="466">
        <f>G5327/1.1</f>
        <v>0</v>
      </c>
      <c r="I5327" s="436"/>
      <c r="J5327" s="465"/>
      <c r="K5327" s="465"/>
    </row>
    <row r="5328" spans="2:11" ht="19" customHeight="1">
      <c r="B5328" s="464">
        <v>46134</v>
      </c>
      <c r="C5328" s="436" t="s">
        <v>873</v>
      </c>
      <c r="D5328" s="436" t="s">
        <v>1337</v>
      </c>
      <c r="E5328" s="436">
        <v>1</v>
      </c>
      <c r="F5328" s="465"/>
      <c r="G5328" s="466"/>
      <c r="H5328" s="466">
        <f>G5328/1.1</f>
        <v>0</v>
      </c>
      <c r="I5328" s="436"/>
      <c r="J5328" s="465"/>
      <c r="K5328" s="465"/>
    </row>
    <row r="5329" spans="2:11" ht="19" customHeight="1">
      <c r="B5329" s="464">
        <v>46134</v>
      </c>
      <c r="C5329" s="436" t="s">
        <v>877</v>
      </c>
      <c r="D5329" s="436" t="s">
        <v>1015</v>
      </c>
      <c r="E5329" s="436">
        <v>1</v>
      </c>
      <c r="F5329" s="465"/>
      <c r="G5329" s="466"/>
      <c r="H5329" s="466">
        <f>G5329/1.1</f>
        <v>0</v>
      </c>
      <c r="I5329" s="436"/>
      <c r="J5329" s="465"/>
      <c r="K5329" s="465"/>
    </row>
    <row r="5330" spans="2:11" ht="19" customHeight="1">
      <c r="B5330" s="464">
        <v>46134</v>
      </c>
      <c r="C5330" s="436" t="s">
        <v>877</v>
      </c>
      <c r="D5330" s="436" t="s">
        <v>1338</v>
      </c>
      <c r="E5330" s="436">
        <v>1</v>
      </c>
      <c r="F5330" s="465">
        <v>3</v>
      </c>
      <c r="G5330" s="466"/>
      <c r="H5330" s="466">
        <f>G5330/1.1</f>
        <v>0</v>
      </c>
      <c r="I5330" s="436"/>
      <c r="J5330" s="465"/>
      <c r="K5330" s="465"/>
    </row>
    <row r="5331" spans="2:11" ht="19" customHeight="1">
      <c r="B5331" s="464">
        <v>46134</v>
      </c>
      <c r="C5331" s="436" t="s">
        <v>266</v>
      </c>
      <c r="D5331" s="436" t="s">
        <v>991</v>
      </c>
      <c r="E5331" s="436">
        <v>2</v>
      </c>
      <c r="F5331" s="465"/>
      <c r="G5331" s="466"/>
      <c r="H5331" s="466">
        <f>G5331/1.1</f>
        <v>0</v>
      </c>
      <c r="I5331" s="436"/>
      <c r="J5331" s="465"/>
      <c r="K5331" s="465"/>
    </row>
    <row r="5332" spans="2:11" ht="19" customHeight="1">
      <c r="B5332" s="464">
        <v>46134</v>
      </c>
      <c r="C5332" s="436" t="s">
        <v>873</v>
      </c>
      <c r="D5332" s="436" t="s">
        <v>913</v>
      </c>
      <c r="E5332" s="436">
        <v>2</v>
      </c>
      <c r="F5332" s="465">
        <v>5</v>
      </c>
      <c r="G5332" s="466"/>
      <c r="H5332" s="466">
        <f>G5332/1.1</f>
        <v>0</v>
      </c>
      <c r="I5332" s="436"/>
      <c r="J5332" s="465"/>
      <c r="K5332" s="465"/>
    </row>
    <row r="5333" spans="2:11" ht="19" customHeight="1">
      <c r="B5333" s="464">
        <v>46134</v>
      </c>
      <c r="C5333" s="436" t="s">
        <v>877</v>
      </c>
      <c r="D5333" s="436" t="s">
        <v>1338</v>
      </c>
      <c r="E5333" s="436">
        <v>2</v>
      </c>
      <c r="F5333" s="465">
        <v>3</v>
      </c>
      <c r="G5333" s="466"/>
      <c r="H5333" s="466">
        <f>G5333/1.1</f>
        <v>0</v>
      </c>
      <c r="I5333" s="436"/>
      <c r="J5333" s="465"/>
      <c r="K5333" s="465"/>
    </row>
    <row r="5334" spans="2:11" ht="19" customHeight="1">
      <c r="B5334" s="464">
        <v>46134</v>
      </c>
      <c r="C5334" s="436" t="s">
        <v>266</v>
      </c>
      <c r="D5334" s="436" t="s">
        <v>250</v>
      </c>
      <c r="E5334" s="436">
        <v>2</v>
      </c>
      <c r="F5334" s="465"/>
      <c r="G5334" s="466"/>
      <c r="H5334" s="466">
        <f>G5334/1.1</f>
        <v>0</v>
      </c>
      <c r="I5334" s="436"/>
      <c r="J5334" s="465"/>
      <c r="K5334" s="465"/>
    </row>
    <row r="5335" spans="2:11" ht="19" customHeight="1">
      <c r="B5335" s="464">
        <v>46134</v>
      </c>
      <c r="C5335" s="436" t="s">
        <v>258</v>
      </c>
      <c r="D5335" s="436" t="s">
        <v>882</v>
      </c>
      <c r="E5335" s="436">
        <v>2</v>
      </c>
      <c r="F5335" s="465"/>
      <c r="G5335" s="466"/>
      <c r="H5335" s="466">
        <f>G5335/1.1</f>
        <v>0</v>
      </c>
      <c r="I5335" s="436"/>
      <c r="J5335" s="465"/>
      <c r="K5335" s="465"/>
    </row>
    <row r="5336" spans="2:11" ht="19" customHeight="1">
      <c r="B5336" s="464">
        <v>46134</v>
      </c>
      <c r="C5336" s="436" t="s">
        <v>873</v>
      </c>
      <c r="D5336" s="436" t="s">
        <v>1339</v>
      </c>
      <c r="E5336" s="436">
        <v>1</v>
      </c>
      <c r="F5336" s="465">
        <v>3</v>
      </c>
      <c r="G5336" s="466"/>
      <c r="H5336" s="466">
        <f>G5336/1.1</f>
        <v>0</v>
      </c>
      <c r="I5336" s="436"/>
      <c r="J5336" s="465"/>
      <c r="K5336" s="465"/>
    </row>
    <row r="5337" spans="2:11" ht="19" customHeight="1">
      <c r="B5337" s="464">
        <v>46134</v>
      </c>
      <c r="C5337" s="436" t="s">
        <v>877</v>
      </c>
      <c r="D5337" s="436" t="s">
        <v>1338</v>
      </c>
      <c r="E5337" s="436">
        <v>1</v>
      </c>
      <c r="F5337" s="465">
        <v>3</v>
      </c>
      <c r="G5337" s="466"/>
      <c r="H5337" s="466">
        <f>G5337/1.1</f>
        <v>0</v>
      </c>
      <c r="I5337" s="436"/>
      <c r="J5337" s="465"/>
      <c r="K5337" s="465"/>
    </row>
    <row r="5338" spans="2:11" ht="19" customHeight="1">
      <c r="B5338" s="464">
        <v>46134</v>
      </c>
      <c r="C5338" s="436" t="s">
        <v>266</v>
      </c>
      <c r="D5338" s="436" t="s">
        <v>1066</v>
      </c>
      <c r="E5338" s="436">
        <v>1</v>
      </c>
      <c r="F5338" s="465"/>
      <c r="G5338" s="466"/>
      <c r="H5338" s="466">
        <f>G5338/1.1</f>
        <v>0</v>
      </c>
      <c r="I5338" s="436"/>
      <c r="J5338" s="465"/>
      <c r="K5338" s="465"/>
    </row>
    <row r="5339" spans="2:11" ht="19" customHeight="1">
      <c r="B5339" s="464">
        <v>46134</v>
      </c>
      <c r="C5339" s="436" t="s">
        <v>258</v>
      </c>
      <c r="D5339" s="436" t="s">
        <v>1340</v>
      </c>
      <c r="E5339" s="436">
        <v>1</v>
      </c>
      <c r="F5339" s="465"/>
      <c r="G5339" s="466"/>
      <c r="H5339" s="466">
        <f>G5339/1.1</f>
        <v>0</v>
      </c>
      <c r="I5339" s="436"/>
      <c r="J5339" s="465"/>
      <c r="K5339" s="465"/>
    </row>
    <row r="5340" spans="2:11" ht="19" customHeight="1">
      <c r="B5340" s="464">
        <v>46134</v>
      </c>
      <c r="C5340" s="436" t="s">
        <v>873</v>
      </c>
      <c r="D5340" s="436" t="s">
        <v>921</v>
      </c>
      <c r="E5340" s="436">
        <v>1</v>
      </c>
      <c r="F5340" s="465"/>
      <c r="G5340" s="466"/>
      <c r="H5340" s="466">
        <f>G5340/1.1</f>
        <v>0</v>
      </c>
      <c r="I5340" s="436"/>
      <c r="J5340" s="465"/>
      <c r="K5340" s="465"/>
    </row>
    <row r="5341" spans="2:11" ht="19" customHeight="1">
      <c r="B5341" s="464">
        <v>46134</v>
      </c>
      <c r="C5341" s="436" t="s">
        <v>873</v>
      </c>
      <c r="D5341" s="436" t="s">
        <v>1341</v>
      </c>
      <c r="E5341" s="436">
        <v>1</v>
      </c>
      <c r="F5341" s="465">
        <v>5</v>
      </c>
      <c r="G5341" s="466"/>
      <c r="H5341" s="466">
        <f>G5341/1.1</f>
        <v>0</v>
      </c>
      <c r="I5341" s="436"/>
      <c r="J5341" s="465"/>
      <c r="K5341" s="465"/>
    </row>
    <row r="5342" spans="2:11" ht="19" customHeight="1">
      <c r="B5342" s="464">
        <v>46134</v>
      </c>
      <c r="C5342" s="436" t="s">
        <v>877</v>
      </c>
      <c r="D5342" s="436" t="s">
        <v>1338</v>
      </c>
      <c r="E5342" s="436">
        <v>1</v>
      </c>
      <c r="F5342" s="465">
        <v>3</v>
      </c>
      <c r="G5342" s="466"/>
      <c r="H5342" s="466">
        <f>G5342/1.1</f>
        <v>0</v>
      </c>
      <c r="I5342" s="436"/>
      <c r="J5342" s="465"/>
      <c r="K5342" s="465"/>
    </row>
    <row r="5343" spans="2:11" ht="19" customHeight="1">
      <c r="B5343" s="464">
        <v>46134</v>
      </c>
      <c r="C5343" s="436" t="s">
        <v>877</v>
      </c>
      <c r="D5343" s="436" t="s">
        <v>1342</v>
      </c>
      <c r="E5343" s="436">
        <v>1</v>
      </c>
      <c r="F5343" s="465"/>
      <c r="G5343" s="466"/>
      <c r="H5343" s="466">
        <f>G5343/1.1</f>
        <v>0</v>
      </c>
      <c r="I5343" s="436"/>
      <c r="J5343" s="465"/>
      <c r="K5343" s="465"/>
    </row>
    <row r="5344" spans="2:11" ht="19" customHeight="1">
      <c r="B5344" s="464">
        <v>46134</v>
      </c>
      <c r="C5344" s="436" t="s">
        <v>266</v>
      </c>
      <c r="D5344" s="436" t="s">
        <v>250</v>
      </c>
      <c r="E5344" s="436">
        <v>2</v>
      </c>
      <c r="F5344" s="465"/>
      <c r="G5344" s="466"/>
      <c r="H5344" s="466">
        <f>G5344/1.1</f>
        <v>0</v>
      </c>
      <c r="I5344" s="436"/>
      <c r="J5344" s="465"/>
      <c r="K5344" s="465"/>
    </row>
    <row r="5345" spans="2:11" ht="19" customHeight="1">
      <c r="B5345" s="464">
        <v>46134</v>
      </c>
      <c r="C5345" s="436" t="s">
        <v>258</v>
      </c>
      <c r="D5345" s="436" t="s">
        <v>972</v>
      </c>
      <c r="E5345" s="436">
        <v>2</v>
      </c>
      <c r="F5345" s="465"/>
      <c r="G5345" s="466"/>
      <c r="H5345" s="466">
        <f>G5345/1.1</f>
        <v>0</v>
      </c>
      <c r="I5345" s="436"/>
      <c r="J5345" s="465"/>
      <c r="K5345" s="465"/>
    </row>
    <row r="5346" spans="2:11" ht="19" customHeight="1">
      <c r="B5346" s="464">
        <v>46134</v>
      </c>
      <c r="C5346" s="436" t="s">
        <v>873</v>
      </c>
      <c r="D5346" s="436" t="s">
        <v>1336</v>
      </c>
      <c r="E5346" s="436">
        <v>1</v>
      </c>
      <c r="F5346" s="465"/>
      <c r="G5346" s="466"/>
      <c r="H5346" s="466">
        <f>G5346/1.1</f>
        <v>0</v>
      </c>
      <c r="I5346" s="436"/>
      <c r="J5346" s="465"/>
      <c r="K5346" s="465"/>
    </row>
    <row r="5347" spans="2:11" ht="19" customHeight="1">
      <c r="B5347" s="464">
        <v>46134</v>
      </c>
      <c r="C5347" s="436" t="s">
        <v>873</v>
      </c>
      <c r="D5347" s="436" t="s">
        <v>921</v>
      </c>
      <c r="E5347" s="436">
        <v>1</v>
      </c>
      <c r="F5347" s="465"/>
      <c r="G5347" s="466"/>
      <c r="H5347" s="466">
        <f>G5347/1.1</f>
        <v>0</v>
      </c>
      <c r="I5347" s="436"/>
      <c r="J5347" s="465"/>
      <c r="K5347" s="465"/>
    </row>
    <row r="5348" spans="2:11" ht="19" customHeight="1">
      <c r="B5348" s="464">
        <v>46134</v>
      </c>
      <c r="C5348" s="436" t="s">
        <v>877</v>
      </c>
      <c r="D5348" s="436" t="s">
        <v>1343</v>
      </c>
      <c r="E5348" s="436">
        <v>1</v>
      </c>
      <c r="F5348" s="465">
        <v>5</v>
      </c>
      <c r="G5348" s="466"/>
      <c r="H5348" s="466">
        <f>G5348/1.1</f>
        <v>0</v>
      </c>
      <c r="I5348" s="436"/>
      <c r="J5348" s="465"/>
      <c r="K5348" s="465"/>
    </row>
    <row r="5349" spans="2:11" ht="19" customHeight="1">
      <c r="B5349" s="464">
        <v>46134</v>
      </c>
      <c r="C5349" s="436" t="s">
        <v>877</v>
      </c>
      <c r="D5349" s="436" t="s">
        <v>1338</v>
      </c>
      <c r="E5349" s="436">
        <v>1</v>
      </c>
      <c r="F5349" s="465">
        <v>3</v>
      </c>
      <c r="G5349" s="466"/>
      <c r="H5349" s="466">
        <f>G5349/1.1</f>
        <v>0</v>
      </c>
      <c r="I5349" s="436"/>
      <c r="J5349" s="465"/>
      <c r="K5349" s="465"/>
    </row>
    <row r="5350" spans="2:11" ht="19" customHeight="1">
      <c r="B5350" s="464">
        <v>46134</v>
      </c>
      <c r="C5350" s="436" t="s">
        <v>266</v>
      </c>
      <c r="D5350" s="436" t="s">
        <v>926</v>
      </c>
      <c r="E5350" s="436">
        <v>1</v>
      </c>
      <c r="F5350" s="465">
        <v>1</v>
      </c>
      <c r="G5350" s="466"/>
      <c r="H5350" s="466">
        <f>G5350/1.1</f>
        <v>0</v>
      </c>
      <c r="I5350" s="436"/>
      <c r="J5350" s="465"/>
      <c r="K5350" s="465"/>
    </row>
    <row r="5351" spans="2:11" ht="19" customHeight="1">
      <c r="B5351" s="464">
        <v>46134</v>
      </c>
      <c r="C5351" s="436" t="s">
        <v>266</v>
      </c>
      <c r="D5351" s="436" t="s">
        <v>250</v>
      </c>
      <c r="E5351" s="436">
        <v>1</v>
      </c>
      <c r="F5351" s="465"/>
      <c r="G5351" s="466"/>
      <c r="H5351" s="466">
        <f>G5351/1.1</f>
        <v>0</v>
      </c>
      <c r="I5351" s="436"/>
      <c r="J5351" s="465"/>
      <c r="K5351" s="465"/>
    </row>
    <row r="5352" spans="2:11" ht="19" customHeight="1">
      <c r="B5352" s="464">
        <v>46134</v>
      </c>
      <c r="C5352" s="436" t="s">
        <v>258</v>
      </c>
      <c r="D5352" s="436" t="s">
        <v>972</v>
      </c>
      <c r="E5352" s="436">
        <v>1</v>
      </c>
      <c r="F5352" s="465">
        <v>3</v>
      </c>
      <c r="G5352" s="466"/>
      <c r="H5352" s="466">
        <f>G5352/1.1</f>
        <v>0</v>
      </c>
      <c r="I5352" s="436"/>
      <c r="J5352" s="465"/>
      <c r="K5352" s="465"/>
    </row>
    <row r="5353" spans="2:11" ht="19" customHeight="1">
      <c r="B5353" s="464">
        <v>46134</v>
      </c>
      <c r="C5353" s="436" t="s">
        <v>877</v>
      </c>
      <c r="D5353" s="436" t="s">
        <v>1015</v>
      </c>
      <c r="E5353" s="436">
        <v>1</v>
      </c>
      <c r="F5353" s="465"/>
      <c r="G5353" s="466"/>
      <c r="H5353" s="466">
        <f>G5353/1.1</f>
        <v>0</v>
      </c>
      <c r="I5353" s="436"/>
      <c r="J5353" s="465"/>
      <c r="K5353" s="465"/>
    </row>
    <row r="5354" spans="2:11" ht="19" customHeight="1">
      <c r="B5354" s="464">
        <v>46134</v>
      </c>
      <c r="C5354" s="436" t="s">
        <v>873</v>
      </c>
      <c r="D5354" s="436" t="s">
        <v>1338</v>
      </c>
      <c r="E5354" s="436">
        <v>1</v>
      </c>
      <c r="F5354" s="465">
        <v>3</v>
      </c>
      <c r="G5354" s="466"/>
      <c r="H5354" s="466">
        <f>G5354/1.1</f>
        <v>0</v>
      </c>
      <c r="I5354" s="436"/>
      <c r="J5354" s="465"/>
      <c r="K5354" s="465"/>
    </row>
    <row r="5355" spans="2:11" ht="19" customHeight="1">
      <c r="B5355" s="464">
        <v>46134</v>
      </c>
      <c r="C5355" s="436" t="s">
        <v>266</v>
      </c>
      <c r="D5355" s="436" t="s">
        <v>250</v>
      </c>
      <c r="E5355" s="436">
        <v>1</v>
      </c>
      <c r="F5355" s="465"/>
      <c r="G5355" s="466"/>
      <c r="H5355" s="466">
        <f>G5355/1.1</f>
        <v>0</v>
      </c>
      <c r="I5355" s="436"/>
      <c r="J5355" s="465"/>
      <c r="K5355" s="465"/>
    </row>
    <row r="5356" spans="2:11" ht="19" customHeight="1">
      <c r="B5356" s="464">
        <v>46134</v>
      </c>
      <c r="C5356" s="436" t="s">
        <v>258</v>
      </c>
      <c r="D5356" s="436" t="s">
        <v>882</v>
      </c>
      <c r="E5356" s="436">
        <v>1</v>
      </c>
      <c r="F5356" s="465"/>
      <c r="G5356" s="466"/>
      <c r="H5356" s="466">
        <f>G5356/1.1</f>
        <v>0</v>
      </c>
      <c r="I5356" s="436"/>
      <c r="J5356" s="465"/>
      <c r="K5356" s="465"/>
    </row>
    <row r="5357" spans="2:11" ht="19" customHeight="1">
      <c r="B5357" s="464">
        <v>46134</v>
      </c>
      <c r="C5357" s="436" t="s">
        <v>328</v>
      </c>
      <c r="D5357" s="436" t="s">
        <v>1281</v>
      </c>
      <c r="E5357" s="436">
        <v>1</v>
      </c>
      <c r="F5357" s="465">
        <v>3.5</v>
      </c>
      <c r="G5357" s="466">
        <v>3.5</v>
      </c>
      <c r="H5357" s="466">
        <f>G5357/1.1</f>
        <v>3.1818181818181817</v>
      </c>
      <c r="I5357" s="436"/>
      <c r="J5357" s="465">
        <v>0</v>
      </c>
      <c r="K5357" s="467">
        <v>0</v>
      </c>
    </row>
    <row r="5358" spans="2:11" ht="19" customHeight="1">
      <c r="B5358" s="464">
        <v>46134</v>
      </c>
      <c r="C5358" s="436" t="s">
        <v>247</v>
      </c>
      <c r="D5358" s="436" t="s">
        <v>1241</v>
      </c>
      <c r="E5358" s="436">
        <v>1</v>
      </c>
      <c r="F5358" s="465">
        <v>1.7</v>
      </c>
      <c r="G5358" s="466">
        <v>1.7</v>
      </c>
      <c r="H5358" s="466">
        <f>G5358/1.1</f>
        <v>1.5454545454545452</v>
      </c>
      <c r="I5358" s="436"/>
      <c r="J5358" s="465">
        <v>0</v>
      </c>
      <c r="K5358" s="467">
        <v>0</v>
      </c>
    </row>
    <row r="5359" spans="2:11" ht="19" customHeight="1">
      <c r="B5359" s="464">
        <v>46134</v>
      </c>
      <c r="C5359" s="436" t="s">
        <v>1265</v>
      </c>
      <c r="D5359" s="436" t="s">
        <v>1344</v>
      </c>
      <c r="E5359" s="436">
        <v>1</v>
      </c>
      <c r="F5359" s="465">
        <v>11.9</v>
      </c>
      <c r="G5359" s="466">
        <v>11.9</v>
      </c>
      <c r="H5359" s="466">
        <f>G5359/1.1</f>
        <v>10.818181818181818</v>
      </c>
      <c r="I5359" s="436"/>
      <c r="J5359" s="465">
        <v>0</v>
      </c>
      <c r="K5359" s="467">
        <v>0</v>
      </c>
    </row>
    <row r="5360" spans="2:11" ht="19" customHeight="1">
      <c r="B5360" s="464">
        <v>46134</v>
      </c>
      <c r="C5360" s="436" t="s">
        <v>1265</v>
      </c>
      <c r="D5360" s="436" t="s">
        <v>1344</v>
      </c>
      <c r="E5360" s="436">
        <v>1</v>
      </c>
      <c r="F5360" s="465">
        <v>5.75</v>
      </c>
      <c r="G5360" s="466">
        <v>5.75</v>
      </c>
      <c r="H5360" s="466">
        <f>G5360/1.1</f>
        <v>5.2272727272727266</v>
      </c>
      <c r="I5360" s="436"/>
      <c r="J5360" s="465">
        <v>0</v>
      </c>
      <c r="K5360" s="467">
        <v>0</v>
      </c>
    </row>
    <row r="5361" spans="2:11" ht="19" customHeight="1">
      <c r="B5361" s="464">
        <v>46134</v>
      </c>
      <c r="C5361" s="436" t="s">
        <v>256</v>
      </c>
      <c r="D5361" s="436" t="s">
        <v>678</v>
      </c>
      <c r="E5361" s="436">
        <v>1</v>
      </c>
      <c r="F5361" s="465">
        <v>7.15</v>
      </c>
      <c r="G5361" s="466">
        <v>7.15</v>
      </c>
      <c r="H5361" s="466">
        <f>G5361/1.1</f>
        <v>6.5</v>
      </c>
      <c r="I5361" s="436"/>
      <c r="J5361" s="465">
        <v>0</v>
      </c>
      <c r="K5361" s="467">
        <v>0</v>
      </c>
    </row>
    <row r="5362" spans="2:11" ht="19" customHeight="1">
      <c r="B5362" s="464">
        <v>46134</v>
      </c>
      <c r="C5362" s="436" t="s">
        <v>253</v>
      </c>
      <c r="D5362" s="436" t="s">
        <v>1317</v>
      </c>
      <c r="E5362" s="436">
        <v>2</v>
      </c>
      <c r="F5362" s="465">
        <v>2.65</v>
      </c>
      <c r="G5362" s="466">
        <v>5.3</v>
      </c>
      <c r="H5362" s="466">
        <f>G5362/1.1</f>
        <v>4.8181818181818175</v>
      </c>
      <c r="I5362" s="436"/>
      <c r="J5362" s="465">
        <v>0</v>
      </c>
      <c r="K5362" s="467">
        <v>0</v>
      </c>
    </row>
    <row r="5363" spans="2:11" ht="19" customHeight="1">
      <c r="B5363" s="464">
        <v>46134</v>
      </c>
      <c r="C5363" s="436" t="s">
        <v>253</v>
      </c>
      <c r="D5363" s="436" t="s">
        <v>1317</v>
      </c>
      <c r="E5363" s="436">
        <v>2</v>
      </c>
      <c r="F5363" s="465">
        <v>2.5</v>
      </c>
      <c r="G5363" s="466">
        <v>5</v>
      </c>
      <c r="H5363" s="466">
        <f>G5363/1.1</f>
        <v>4.545454545454545</v>
      </c>
      <c r="I5363" s="436"/>
      <c r="J5363" s="465">
        <v>0</v>
      </c>
      <c r="K5363" s="467">
        <v>0</v>
      </c>
    </row>
    <row r="5364" spans="2:11" ht="19" customHeight="1">
      <c r="B5364" s="464">
        <v>46134</v>
      </c>
      <c r="C5364" s="436" t="s">
        <v>251</v>
      </c>
      <c r="D5364" s="436" t="s">
        <v>250</v>
      </c>
      <c r="E5364" s="436">
        <v>3</v>
      </c>
      <c r="F5364" s="465">
        <v>1.8</v>
      </c>
      <c r="G5364" s="466">
        <v>5.4</v>
      </c>
      <c r="H5364" s="466">
        <f>G5364/1.1</f>
        <v>4.9090909090909092</v>
      </c>
      <c r="I5364" s="436"/>
      <c r="J5364" s="465">
        <v>0</v>
      </c>
      <c r="K5364" s="467">
        <v>0</v>
      </c>
    </row>
    <row r="5365" spans="2:11" ht="19" customHeight="1">
      <c r="B5365" s="464">
        <v>46134</v>
      </c>
      <c r="C5365" s="436" t="s">
        <v>247</v>
      </c>
      <c r="D5365" s="436" t="s">
        <v>248</v>
      </c>
      <c r="E5365" s="436">
        <v>1</v>
      </c>
      <c r="F5365" s="465">
        <v>1.65</v>
      </c>
      <c r="G5365" s="466">
        <v>1.65</v>
      </c>
      <c r="H5365" s="466">
        <f>G5365/1.1</f>
        <v>1.4999999999999998</v>
      </c>
      <c r="I5365" s="436"/>
      <c r="J5365" s="465">
        <v>0</v>
      </c>
      <c r="K5365" s="467">
        <v>0</v>
      </c>
    </row>
    <row r="5366" spans="2:11" ht="19" customHeight="1">
      <c r="B5366" s="464">
        <v>46134</v>
      </c>
      <c r="C5366" s="436" t="s">
        <v>275</v>
      </c>
      <c r="D5366" s="436" t="s">
        <v>1292</v>
      </c>
      <c r="E5366" s="436">
        <v>1</v>
      </c>
      <c r="F5366" s="465">
        <v>6.5</v>
      </c>
      <c r="G5366" s="466">
        <v>6.5</v>
      </c>
      <c r="H5366" s="466">
        <f>G5366/1.1</f>
        <v>5.9090909090909083</v>
      </c>
      <c r="I5366" s="436"/>
      <c r="J5366" s="465">
        <v>0</v>
      </c>
      <c r="K5366" s="467">
        <v>0</v>
      </c>
    </row>
    <row r="5367" spans="2:11" ht="19" customHeight="1">
      <c r="B5367" s="464">
        <v>46134</v>
      </c>
      <c r="C5367" s="436" t="s">
        <v>256</v>
      </c>
      <c r="D5367" s="436" t="s">
        <v>262</v>
      </c>
      <c r="E5367" s="436">
        <v>1</v>
      </c>
      <c r="F5367" s="465">
        <v>11.9</v>
      </c>
      <c r="G5367" s="466">
        <v>11.9</v>
      </c>
      <c r="H5367" s="466">
        <f>G5367/1.1</f>
        <v>10.818181818181818</v>
      </c>
      <c r="I5367" s="436"/>
      <c r="J5367" s="465">
        <v>0</v>
      </c>
      <c r="K5367" s="467">
        <v>0</v>
      </c>
    </row>
    <row r="5368" spans="2:11" ht="19" customHeight="1">
      <c r="B5368" s="464">
        <v>46134</v>
      </c>
      <c r="C5368" s="436" t="s">
        <v>256</v>
      </c>
      <c r="D5368" s="436" t="s">
        <v>255</v>
      </c>
      <c r="E5368" s="436">
        <v>1</v>
      </c>
      <c r="F5368" s="465">
        <v>5.6</v>
      </c>
      <c r="G5368" s="466">
        <v>5.6</v>
      </c>
      <c r="H5368" s="466">
        <f>G5368/1.1</f>
        <v>5.0909090909090899</v>
      </c>
      <c r="I5368" s="436"/>
      <c r="J5368" s="465">
        <v>0</v>
      </c>
      <c r="K5368" s="467">
        <v>0</v>
      </c>
    </row>
    <row r="5369" spans="2:11" ht="19" customHeight="1">
      <c r="B5369" s="464">
        <v>46134</v>
      </c>
      <c r="C5369" s="436" t="s">
        <v>256</v>
      </c>
      <c r="D5369" s="436" t="s">
        <v>953</v>
      </c>
      <c r="E5369" s="436">
        <v>1</v>
      </c>
      <c r="F5369" s="465">
        <v>10</v>
      </c>
      <c r="G5369" s="466">
        <v>10</v>
      </c>
      <c r="H5369" s="466">
        <f>G5369/1.1</f>
        <v>9.0909090909090899</v>
      </c>
      <c r="I5369" s="436"/>
      <c r="J5369" s="465">
        <v>0</v>
      </c>
      <c r="K5369" s="467">
        <v>0</v>
      </c>
    </row>
    <row r="5370" spans="2:11" ht="19" customHeight="1">
      <c r="B5370" s="464">
        <v>46134</v>
      </c>
      <c r="C5370" s="436" t="s">
        <v>256</v>
      </c>
      <c r="D5370" s="436" t="s">
        <v>678</v>
      </c>
      <c r="E5370" s="436">
        <v>1</v>
      </c>
      <c r="F5370" s="465">
        <v>6.9</v>
      </c>
      <c r="G5370" s="466">
        <v>6.9</v>
      </c>
      <c r="H5370" s="466">
        <f>G5370/1.1</f>
        <v>6.2727272727272725</v>
      </c>
      <c r="I5370" s="436"/>
      <c r="J5370" s="465">
        <v>0</v>
      </c>
      <c r="K5370" s="467">
        <v>0</v>
      </c>
    </row>
    <row r="5371" spans="2:11" ht="19" customHeight="1">
      <c r="B5371" s="464">
        <v>46134</v>
      </c>
      <c r="C5371" s="436" t="s">
        <v>328</v>
      </c>
      <c r="D5371" s="436" t="s">
        <v>1281</v>
      </c>
      <c r="E5371" s="436">
        <v>1</v>
      </c>
      <c r="F5371" s="465">
        <v>3.5</v>
      </c>
      <c r="G5371" s="466">
        <v>3.5</v>
      </c>
      <c r="H5371" s="466">
        <f>G5371/1.1</f>
        <v>3.1818181818181817</v>
      </c>
      <c r="I5371" s="436"/>
      <c r="J5371" s="465">
        <v>0</v>
      </c>
      <c r="K5371" s="467">
        <v>0</v>
      </c>
    </row>
    <row r="5372" spans="2:11" ht="19" customHeight="1">
      <c r="B5372" s="464">
        <v>46134</v>
      </c>
      <c r="C5372" s="436" t="s">
        <v>256</v>
      </c>
      <c r="D5372" s="436" t="s">
        <v>734</v>
      </c>
      <c r="E5372" s="436">
        <v>1</v>
      </c>
      <c r="F5372" s="465">
        <v>20</v>
      </c>
      <c r="G5372" s="466">
        <v>20</v>
      </c>
      <c r="H5372" s="466">
        <f>G5372/1.1</f>
        <v>18.18181818181818</v>
      </c>
      <c r="I5372" s="436"/>
      <c r="J5372" s="465">
        <v>0</v>
      </c>
      <c r="K5372" s="467">
        <v>0</v>
      </c>
    </row>
    <row r="5373" spans="2:11" ht="19" customHeight="1">
      <c r="B5373" s="464">
        <v>46135</v>
      </c>
      <c r="C5373" s="436" t="s">
        <v>247</v>
      </c>
      <c r="D5373" s="436" t="s">
        <v>698</v>
      </c>
      <c r="E5373" s="436">
        <v>1</v>
      </c>
      <c r="F5373" s="465">
        <v>2.5499999999999998</v>
      </c>
      <c r="G5373" s="466">
        <v>2.5499999999999998</v>
      </c>
      <c r="H5373" s="466">
        <f>G5373/1.1</f>
        <v>2.3181818181818179</v>
      </c>
      <c r="I5373" s="436"/>
      <c r="J5373" s="465">
        <v>0</v>
      </c>
      <c r="K5373" s="467">
        <v>0</v>
      </c>
    </row>
    <row r="5374" spans="2:11" ht="19" customHeight="1">
      <c r="B5374" s="464">
        <v>46135</v>
      </c>
      <c r="C5374" s="436" t="s">
        <v>247</v>
      </c>
      <c r="D5374" s="436" t="s">
        <v>248</v>
      </c>
      <c r="E5374" s="436">
        <v>1</v>
      </c>
      <c r="F5374" s="465">
        <v>1.5</v>
      </c>
      <c r="G5374" s="466">
        <v>1.5</v>
      </c>
      <c r="H5374" s="466">
        <f>G5374/1.1</f>
        <v>1.3636363636363635</v>
      </c>
      <c r="I5374" s="436"/>
      <c r="J5374" s="465">
        <v>0</v>
      </c>
      <c r="K5374" s="467">
        <v>0</v>
      </c>
    </row>
    <row r="5375" spans="2:11" ht="19" customHeight="1">
      <c r="B5375" s="464">
        <v>46135</v>
      </c>
      <c r="C5375" s="436" t="s">
        <v>268</v>
      </c>
      <c r="D5375" s="436" t="s">
        <v>1244</v>
      </c>
      <c r="E5375" s="436">
        <v>1</v>
      </c>
      <c r="F5375" s="465">
        <v>1.5</v>
      </c>
      <c r="G5375" s="466">
        <v>1.5</v>
      </c>
      <c r="H5375" s="466">
        <f>G5375/1.1</f>
        <v>1.3636363636363635</v>
      </c>
      <c r="I5375" s="436"/>
      <c r="J5375" s="465">
        <v>0</v>
      </c>
      <c r="K5375" s="467">
        <v>0</v>
      </c>
    </row>
    <row r="5376" spans="2:11" ht="19" customHeight="1">
      <c r="B5376" s="464">
        <v>46135</v>
      </c>
      <c r="C5376" s="436" t="s">
        <v>247</v>
      </c>
      <c r="D5376" s="436" t="s">
        <v>1241</v>
      </c>
      <c r="E5376" s="436">
        <v>1</v>
      </c>
      <c r="F5376" s="465">
        <v>1.7</v>
      </c>
      <c r="G5376" s="466">
        <v>1.7</v>
      </c>
      <c r="H5376" s="466">
        <f>G5376/1.1</f>
        <v>1.5454545454545452</v>
      </c>
      <c r="I5376" s="436"/>
      <c r="J5376" s="465">
        <v>0</v>
      </c>
      <c r="K5376" s="467">
        <v>0</v>
      </c>
    </row>
    <row r="5377" spans="2:11" ht="19" customHeight="1">
      <c r="B5377" s="464">
        <v>46135</v>
      </c>
      <c r="C5377" s="436" t="s">
        <v>247</v>
      </c>
      <c r="D5377" s="436" t="s">
        <v>248</v>
      </c>
      <c r="E5377" s="436">
        <v>2</v>
      </c>
      <c r="F5377" s="465">
        <v>1.5</v>
      </c>
      <c r="G5377" s="466">
        <v>3</v>
      </c>
      <c r="H5377" s="466">
        <f>G5377/1.1</f>
        <v>2.7272727272727271</v>
      </c>
      <c r="I5377" s="436"/>
      <c r="J5377" s="465">
        <v>0</v>
      </c>
      <c r="K5377" s="467">
        <v>0</v>
      </c>
    </row>
    <row r="5378" spans="2:11" ht="19" customHeight="1">
      <c r="B5378" s="464">
        <v>46135</v>
      </c>
      <c r="C5378" s="436" t="s">
        <v>247</v>
      </c>
      <c r="D5378" s="436" t="s">
        <v>1241</v>
      </c>
      <c r="E5378" s="436">
        <v>2</v>
      </c>
      <c r="F5378" s="465">
        <v>1.7</v>
      </c>
      <c r="G5378" s="466">
        <v>3.4</v>
      </c>
      <c r="H5378" s="466">
        <f>G5378/1.1</f>
        <v>3.0909090909090904</v>
      </c>
      <c r="I5378" s="436"/>
      <c r="J5378" s="465">
        <v>0</v>
      </c>
      <c r="K5378" s="467">
        <v>0</v>
      </c>
    </row>
    <row r="5379" spans="2:11" ht="19" customHeight="1">
      <c r="B5379" s="464">
        <v>46135</v>
      </c>
      <c r="C5379" s="436" t="s">
        <v>862</v>
      </c>
      <c r="D5379" s="436" t="s">
        <v>1268</v>
      </c>
      <c r="E5379" s="436">
        <v>2</v>
      </c>
      <c r="F5379" s="465">
        <v>0.05</v>
      </c>
      <c r="G5379" s="466">
        <v>0.1</v>
      </c>
      <c r="H5379" s="466">
        <f>G5379/1.1</f>
        <v>9.0909090909090912E-2</v>
      </c>
      <c r="I5379" s="436"/>
      <c r="J5379" s="465">
        <v>0</v>
      </c>
      <c r="K5379" s="467">
        <v>0</v>
      </c>
    </row>
    <row r="5380" spans="2:11" ht="19" customHeight="1">
      <c r="B5380" s="464">
        <v>46135</v>
      </c>
      <c r="C5380" s="436" t="s">
        <v>327</v>
      </c>
      <c r="D5380" s="436" t="s">
        <v>949</v>
      </c>
      <c r="E5380" s="436">
        <v>1</v>
      </c>
      <c r="F5380" s="465">
        <v>15.4</v>
      </c>
      <c r="G5380" s="466">
        <v>15.4</v>
      </c>
      <c r="H5380" s="466">
        <f>G5380/1.1</f>
        <v>14</v>
      </c>
      <c r="I5380" s="436"/>
      <c r="J5380" s="465">
        <v>0</v>
      </c>
      <c r="K5380" s="467">
        <v>0</v>
      </c>
    </row>
    <row r="5381" spans="2:11" ht="19" customHeight="1">
      <c r="B5381" s="464">
        <v>46135</v>
      </c>
      <c r="C5381" s="436" t="s">
        <v>247</v>
      </c>
      <c r="D5381" s="436" t="s">
        <v>1241</v>
      </c>
      <c r="E5381" s="436">
        <v>2</v>
      </c>
      <c r="F5381" s="465">
        <v>1.7</v>
      </c>
      <c r="G5381" s="466">
        <v>3.4</v>
      </c>
      <c r="H5381" s="466">
        <f>G5381/1.1</f>
        <v>3.0909090909090904</v>
      </c>
      <c r="I5381" s="436"/>
      <c r="J5381" s="465">
        <v>0</v>
      </c>
      <c r="K5381" s="467">
        <v>0</v>
      </c>
    </row>
    <row r="5382" spans="2:11" ht="19" customHeight="1">
      <c r="B5382" s="464">
        <v>46135</v>
      </c>
      <c r="C5382" s="436" t="s">
        <v>862</v>
      </c>
      <c r="D5382" s="436" t="s">
        <v>1268</v>
      </c>
      <c r="E5382" s="436">
        <v>2</v>
      </c>
      <c r="F5382" s="465">
        <v>0.05</v>
      </c>
      <c r="G5382" s="466">
        <v>0.1</v>
      </c>
      <c r="H5382" s="466">
        <f>G5382/1.1</f>
        <v>9.0909090909090912E-2</v>
      </c>
      <c r="I5382" s="436"/>
      <c r="J5382" s="465">
        <v>0</v>
      </c>
      <c r="K5382" s="467">
        <v>0</v>
      </c>
    </row>
    <row r="5383" spans="2:11" ht="19" customHeight="1">
      <c r="B5383" s="464">
        <v>46135</v>
      </c>
      <c r="C5383" s="436" t="s">
        <v>862</v>
      </c>
      <c r="D5383" s="436" t="s">
        <v>863</v>
      </c>
      <c r="E5383" s="436">
        <v>2</v>
      </c>
      <c r="F5383" s="465">
        <v>0.15</v>
      </c>
      <c r="G5383" s="466">
        <v>0.3</v>
      </c>
      <c r="H5383" s="466">
        <f>G5383/1.1</f>
        <v>0.27272727272727271</v>
      </c>
      <c r="I5383" s="436"/>
      <c r="J5383" s="465">
        <v>0</v>
      </c>
      <c r="K5383" s="467">
        <v>0</v>
      </c>
    </row>
    <row r="5384" spans="2:11" ht="19" customHeight="1">
      <c r="B5384" s="464">
        <v>46135</v>
      </c>
      <c r="C5384" s="436" t="s">
        <v>328</v>
      </c>
      <c r="D5384" s="436" t="s">
        <v>1007</v>
      </c>
      <c r="E5384" s="436">
        <v>1</v>
      </c>
      <c r="F5384" s="465">
        <v>4</v>
      </c>
      <c r="G5384" s="466">
        <v>4</v>
      </c>
      <c r="H5384" s="466">
        <f>G5384/1.1</f>
        <v>3.6363636363636362</v>
      </c>
      <c r="I5384" s="436"/>
      <c r="J5384" s="465">
        <v>0</v>
      </c>
      <c r="K5384" s="467">
        <v>0</v>
      </c>
    </row>
    <row r="5385" spans="2:11" ht="19" customHeight="1">
      <c r="B5385" s="464">
        <v>46135</v>
      </c>
      <c r="C5385" s="436" t="s">
        <v>251</v>
      </c>
      <c r="D5385" s="436" t="s">
        <v>714</v>
      </c>
      <c r="E5385" s="436">
        <v>1</v>
      </c>
      <c r="F5385" s="465">
        <v>1.55</v>
      </c>
      <c r="G5385" s="466">
        <v>1.55</v>
      </c>
      <c r="H5385" s="466">
        <f>G5385/1.1</f>
        <v>1.4090909090909089</v>
      </c>
      <c r="I5385" s="436"/>
      <c r="J5385" s="465">
        <v>0</v>
      </c>
      <c r="K5385" s="467">
        <v>0</v>
      </c>
    </row>
    <row r="5386" spans="2:11" ht="19" customHeight="1">
      <c r="B5386" s="464">
        <v>46135</v>
      </c>
      <c r="C5386" s="436" t="s">
        <v>247</v>
      </c>
      <c r="D5386" s="436" t="s">
        <v>1253</v>
      </c>
      <c r="E5386" s="436">
        <v>1</v>
      </c>
      <c r="F5386" s="465">
        <v>1.4</v>
      </c>
      <c r="G5386" s="466">
        <v>1.4</v>
      </c>
      <c r="H5386" s="466">
        <f>G5386/1.1</f>
        <v>1.2727272727272725</v>
      </c>
      <c r="I5386" s="436"/>
      <c r="J5386" s="465">
        <v>0</v>
      </c>
      <c r="K5386" s="467">
        <v>0</v>
      </c>
    </row>
    <row r="5387" spans="2:11" ht="19" customHeight="1">
      <c r="B5387" s="464">
        <v>46135</v>
      </c>
      <c r="C5387" s="436" t="s">
        <v>268</v>
      </c>
      <c r="D5387" s="436" t="s">
        <v>858</v>
      </c>
      <c r="E5387" s="436">
        <v>1</v>
      </c>
      <c r="F5387" s="465">
        <v>0.65</v>
      </c>
      <c r="G5387" s="466">
        <v>0.65</v>
      </c>
      <c r="H5387" s="466">
        <f>G5387/1.1</f>
        <v>0.59090909090909083</v>
      </c>
      <c r="I5387" s="436"/>
      <c r="J5387" s="465">
        <v>0</v>
      </c>
      <c r="K5387" s="467">
        <v>0</v>
      </c>
    </row>
    <row r="5388" spans="2:11" ht="19" customHeight="1">
      <c r="B5388" s="464">
        <v>46135</v>
      </c>
      <c r="C5388" s="436" t="s">
        <v>247</v>
      </c>
      <c r="D5388" s="436" t="s">
        <v>1253</v>
      </c>
      <c r="E5388" s="436">
        <v>1</v>
      </c>
      <c r="F5388" s="465">
        <v>1.4</v>
      </c>
      <c r="G5388" s="466">
        <v>1.4</v>
      </c>
      <c r="H5388" s="466">
        <f>G5388/1.1</f>
        <v>1.2727272727272725</v>
      </c>
      <c r="I5388" s="436"/>
      <c r="J5388" s="465">
        <v>0</v>
      </c>
      <c r="K5388" s="467">
        <v>0</v>
      </c>
    </row>
    <row r="5389" spans="2:11" ht="19" customHeight="1">
      <c r="B5389" s="464">
        <v>46135</v>
      </c>
      <c r="C5389" s="436" t="s">
        <v>894</v>
      </c>
      <c r="D5389" s="436" t="s">
        <v>1243</v>
      </c>
      <c r="E5389" s="436">
        <v>2</v>
      </c>
      <c r="F5389" s="465">
        <v>5.7</v>
      </c>
      <c r="G5389" s="466">
        <v>11.4</v>
      </c>
      <c r="H5389" s="466">
        <f>G5389/1.1</f>
        <v>10.363636363636363</v>
      </c>
      <c r="I5389" s="436"/>
      <c r="J5389" s="465">
        <v>0</v>
      </c>
      <c r="K5389" s="467">
        <v>0</v>
      </c>
    </row>
    <row r="5390" spans="2:11" ht="19" customHeight="1">
      <c r="B5390" s="464">
        <v>46135</v>
      </c>
      <c r="C5390" s="436" t="s">
        <v>862</v>
      </c>
      <c r="D5390" s="436" t="s">
        <v>1268</v>
      </c>
      <c r="E5390" s="436">
        <v>1</v>
      </c>
      <c r="F5390" s="465">
        <v>0.05</v>
      </c>
      <c r="G5390" s="466">
        <v>0.05</v>
      </c>
      <c r="H5390" s="466">
        <f>G5390/1.1</f>
        <v>4.5454545454545456E-2</v>
      </c>
      <c r="I5390" s="436"/>
      <c r="J5390" s="465">
        <v>0</v>
      </c>
      <c r="K5390" s="467">
        <v>0</v>
      </c>
    </row>
    <row r="5391" spans="2:11" ht="19" customHeight="1">
      <c r="B5391" s="464">
        <v>46135</v>
      </c>
      <c r="C5391" s="436" t="s">
        <v>268</v>
      </c>
      <c r="D5391" s="436" t="s">
        <v>1244</v>
      </c>
      <c r="E5391" s="436">
        <v>1</v>
      </c>
      <c r="F5391" s="465">
        <v>1.55</v>
      </c>
      <c r="G5391" s="466">
        <v>1.55</v>
      </c>
      <c r="H5391" s="466">
        <f>G5391/1.1</f>
        <v>1.4090909090909089</v>
      </c>
      <c r="I5391" s="436"/>
      <c r="J5391" s="465">
        <v>0</v>
      </c>
      <c r="K5391" s="467">
        <v>0</v>
      </c>
    </row>
    <row r="5392" spans="2:11" ht="19" customHeight="1">
      <c r="B5392" s="464">
        <v>46135</v>
      </c>
      <c r="C5392" s="436" t="s">
        <v>1345</v>
      </c>
      <c r="D5392" s="436" t="s">
        <v>742</v>
      </c>
      <c r="E5392" s="436">
        <v>1</v>
      </c>
      <c r="F5392" s="465">
        <v>2.75</v>
      </c>
      <c r="G5392" s="466">
        <v>2.75</v>
      </c>
      <c r="H5392" s="466">
        <f>G5392/1.1</f>
        <v>2.5</v>
      </c>
      <c r="I5392" s="436"/>
      <c r="J5392" s="465">
        <v>0</v>
      </c>
      <c r="K5392" s="467">
        <v>0</v>
      </c>
    </row>
    <row r="5393" spans="2:11" ht="19" customHeight="1">
      <c r="B5393" s="464">
        <v>46135</v>
      </c>
      <c r="C5393" s="436" t="s">
        <v>251</v>
      </c>
      <c r="D5393" s="436" t="s">
        <v>265</v>
      </c>
      <c r="E5393" s="436">
        <v>1</v>
      </c>
      <c r="F5393" s="465">
        <v>2.65</v>
      </c>
      <c r="G5393" s="466">
        <v>2.65</v>
      </c>
      <c r="H5393" s="466">
        <f>G5393/1.1</f>
        <v>2.4090909090909087</v>
      </c>
      <c r="I5393" s="436"/>
      <c r="J5393" s="465">
        <v>0</v>
      </c>
      <c r="K5393" s="467">
        <v>0</v>
      </c>
    </row>
    <row r="5394" spans="2:11" ht="19" customHeight="1">
      <c r="B5394" s="464">
        <v>46135</v>
      </c>
      <c r="C5394" s="436" t="s">
        <v>251</v>
      </c>
      <c r="D5394" s="436" t="s">
        <v>708</v>
      </c>
      <c r="E5394" s="436">
        <v>1</v>
      </c>
      <c r="F5394" s="465">
        <v>1.95</v>
      </c>
      <c r="G5394" s="466">
        <v>1.95</v>
      </c>
      <c r="H5394" s="466">
        <f>G5394/1.1</f>
        <v>1.7727272727272725</v>
      </c>
      <c r="I5394" s="436"/>
      <c r="J5394" s="465">
        <v>0</v>
      </c>
      <c r="K5394" s="467">
        <v>0</v>
      </c>
    </row>
    <row r="5395" spans="2:11" ht="19" customHeight="1">
      <c r="B5395" s="464">
        <v>46135</v>
      </c>
      <c r="C5395" s="436" t="s">
        <v>253</v>
      </c>
      <c r="D5395" s="436" t="s">
        <v>1317</v>
      </c>
      <c r="E5395" s="436">
        <v>1</v>
      </c>
      <c r="F5395" s="465">
        <v>2.15</v>
      </c>
      <c r="G5395" s="466">
        <v>2.15</v>
      </c>
      <c r="H5395" s="466">
        <f>G5395/1.1</f>
        <v>1.9545454545454544</v>
      </c>
      <c r="I5395" s="436"/>
      <c r="J5395" s="465">
        <v>0</v>
      </c>
      <c r="K5395" s="467">
        <v>0</v>
      </c>
    </row>
    <row r="5396" spans="2:11" ht="19" customHeight="1">
      <c r="B5396" s="464">
        <v>46135</v>
      </c>
      <c r="C5396" s="436" t="s">
        <v>247</v>
      </c>
      <c r="D5396" s="436" t="s">
        <v>248</v>
      </c>
      <c r="E5396" s="436">
        <v>1</v>
      </c>
      <c r="F5396" s="465">
        <v>1.5</v>
      </c>
      <c r="G5396" s="466">
        <v>1.5</v>
      </c>
      <c r="H5396" s="466">
        <f>G5396/1.1</f>
        <v>1.3636363636363635</v>
      </c>
      <c r="I5396" s="436"/>
      <c r="J5396" s="465">
        <v>0</v>
      </c>
      <c r="K5396" s="467">
        <v>0</v>
      </c>
    </row>
    <row r="5397" spans="2:11" ht="19" customHeight="1">
      <c r="B5397" s="464">
        <v>46135</v>
      </c>
      <c r="C5397" s="436" t="s">
        <v>247</v>
      </c>
      <c r="D5397" s="436" t="s">
        <v>1241</v>
      </c>
      <c r="E5397" s="436">
        <v>1</v>
      </c>
      <c r="F5397" s="465">
        <v>1.7</v>
      </c>
      <c r="G5397" s="466">
        <v>1.7</v>
      </c>
      <c r="H5397" s="466">
        <f>G5397/1.1</f>
        <v>1.5454545454545452</v>
      </c>
      <c r="I5397" s="436"/>
      <c r="J5397" s="465">
        <v>0</v>
      </c>
      <c r="K5397" s="467">
        <v>0</v>
      </c>
    </row>
    <row r="5398" spans="2:11" ht="19" customHeight="1">
      <c r="B5398" s="464">
        <v>46135</v>
      </c>
      <c r="C5398" s="436" t="s">
        <v>328</v>
      </c>
      <c r="D5398" s="436" t="s">
        <v>799</v>
      </c>
      <c r="E5398" s="436">
        <v>1</v>
      </c>
      <c r="F5398" s="465">
        <v>3.5</v>
      </c>
      <c r="G5398" s="466">
        <v>3.5</v>
      </c>
      <c r="H5398" s="466">
        <f>G5398/1.1</f>
        <v>3.1818181818181817</v>
      </c>
      <c r="I5398" s="436"/>
      <c r="J5398" s="465">
        <v>0</v>
      </c>
      <c r="K5398" s="467">
        <v>0</v>
      </c>
    </row>
    <row r="5399" spans="2:11" ht="19" customHeight="1">
      <c r="B5399" s="464">
        <v>46135</v>
      </c>
      <c r="C5399" s="436" t="s">
        <v>247</v>
      </c>
      <c r="D5399" s="436" t="s">
        <v>1241</v>
      </c>
      <c r="E5399" s="436">
        <v>1</v>
      </c>
      <c r="F5399" s="465">
        <v>1.7</v>
      </c>
      <c r="G5399" s="466">
        <v>1.7</v>
      </c>
      <c r="H5399" s="466">
        <f>G5399/1.1</f>
        <v>1.5454545454545452</v>
      </c>
      <c r="I5399" s="436"/>
      <c r="J5399" s="465">
        <v>0</v>
      </c>
      <c r="K5399" s="467">
        <v>0</v>
      </c>
    </row>
    <row r="5400" spans="2:11" ht="19" customHeight="1">
      <c r="B5400" s="464">
        <v>46135</v>
      </c>
      <c r="C5400" s="436" t="s">
        <v>253</v>
      </c>
      <c r="D5400" s="436" t="s">
        <v>1346</v>
      </c>
      <c r="E5400" s="436">
        <v>2</v>
      </c>
      <c r="F5400" s="465">
        <v>2.2999999999999998</v>
      </c>
      <c r="G5400" s="466">
        <v>4.5999999999999996</v>
      </c>
      <c r="H5400" s="466">
        <f>G5400/1.1</f>
        <v>4.1818181818181808</v>
      </c>
      <c r="I5400" s="436"/>
      <c r="J5400" s="465">
        <v>0</v>
      </c>
      <c r="K5400" s="467">
        <v>0</v>
      </c>
    </row>
    <row r="5401" spans="2:11" ht="19" customHeight="1">
      <c r="B5401" s="464">
        <v>46135</v>
      </c>
      <c r="C5401" s="436" t="s">
        <v>256</v>
      </c>
      <c r="D5401" s="436" t="s">
        <v>255</v>
      </c>
      <c r="E5401" s="436">
        <v>1</v>
      </c>
      <c r="F5401" s="465">
        <v>5.85</v>
      </c>
      <c r="G5401" s="466">
        <v>5.85</v>
      </c>
      <c r="H5401" s="466">
        <f>G5401/1.1</f>
        <v>5.3181818181818175</v>
      </c>
      <c r="I5401" s="436"/>
      <c r="J5401" s="465">
        <v>0</v>
      </c>
      <c r="K5401" s="467">
        <v>0</v>
      </c>
    </row>
    <row r="5402" spans="2:11" ht="19" customHeight="1">
      <c r="B5402" s="464">
        <v>46135</v>
      </c>
      <c r="C5402" s="436" t="s">
        <v>256</v>
      </c>
      <c r="D5402" s="436" t="s">
        <v>983</v>
      </c>
      <c r="E5402" s="436">
        <v>1</v>
      </c>
      <c r="F5402" s="465">
        <v>3</v>
      </c>
      <c r="G5402" s="466">
        <v>3</v>
      </c>
      <c r="H5402" s="466">
        <f>G5402/1.1</f>
        <v>2.7272727272727271</v>
      </c>
      <c r="I5402" s="436"/>
      <c r="J5402" s="465">
        <v>0</v>
      </c>
      <c r="K5402" s="467">
        <v>0</v>
      </c>
    </row>
    <row r="5403" spans="2:11" ht="19" customHeight="1">
      <c r="B5403" s="464">
        <v>46135</v>
      </c>
      <c r="C5403" s="436" t="s">
        <v>321</v>
      </c>
      <c r="D5403" s="436" t="s">
        <v>728</v>
      </c>
      <c r="E5403" s="436">
        <v>1</v>
      </c>
      <c r="F5403" s="465">
        <v>9.75</v>
      </c>
      <c r="G5403" s="466">
        <v>9.75</v>
      </c>
      <c r="H5403" s="466">
        <f>G5403/1.1</f>
        <v>8.8636363636363633</v>
      </c>
      <c r="I5403" s="436"/>
      <c r="J5403" s="465">
        <v>0</v>
      </c>
      <c r="K5403" s="467">
        <v>0</v>
      </c>
    </row>
    <row r="5404" spans="2:11" ht="19" customHeight="1">
      <c r="B5404" s="464">
        <v>46135</v>
      </c>
      <c r="C5404" s="436" t="s">
        <v>256</v>
      </c>
      <c r="D5404" s="436" t="s">
        <v>255</v>
      </c>
      <c r="E5404" s="436">
        <v>1</v>
      </c>
      <c r="F5404" s="465">
        <v>5.85</v>
      </c>
      <c r="G5404" s="466">
        <v>5.85</v>
      </c>
      <c r="H5404" s="466">
        <f>G5404/1.1</f>
        <v>5.3181818181818175</v>
      </c>
      <c r="I5404" s="436"/>
      <c r="J5404" s="465">
        <v>0</v>
      </c>
      <c r="K5404" s="467">
        <v>0</v>
      </c>
    </row>
    <row r="5405" spans="2:11" ht="19" customHeight="1">
      <c r="B5405" s="464">
        <v>46135</v>
      </c>
      <c r="C5405" s="436" t="s">
        <v>253</v>
      </c>
      <c r="D5405" s="436" t="s">
        <v>1317</v>
      </c>
      <c r="E5405" s="436">
        <v>1</v>
      </c>
      <c r="F5405" s="465">
        <v>2.2999999999999998</v>
      </c>
      <c r="G5405" s="466">
        <v>2.2999999999999998</v>
      </c>
      <c r="H5405" s="466">
        <f>G5405/1.1</f>
        <v>2.0909090909090904</v>
      </c>
      <c r="I5405" s="436"/>
      <c r="J5405" s="465">
        <v>0</v>
      </c>
      <c r="K5405" s="467">
        <v>0</v>
      </c>
    </row>
    <row r="5406" spans="2:11" ht="19" customHeight="1">
      <c r="B5406" s="464">
        <v>46135</v>
      </c>
      <c r="C5406" s="436" t="s">
        <v>253</v>
      </c>
      <c r="D5406" s="436" t="s">
        <v>1317</v>
      </c>
      <c r="E5406" s="436">
        <v>1</v>
      </c>
      <c r="F5406" s="465">
        <v>2.0499999999999998</v>
      </c>
      <c r="G5406" s="466">
        <v>2.0499999999999998</v>
      </c>
      <c r="H5406" s="466">
        <f>G5406/1.1</f>
        <v>1.8636363636363633</v>
      </c>
      <c r="I5406" s="436"/>
      <c r="J5406" s="465">
        <v>0</v>
      </c>
      <c r="K5406" s="467">
        <v>0</v>
      </c>
    </row>
    <row r="5407" spans="2:11" ht="19" customHeight="1">
      <c r="B5407" s="464">
        <v>46135</v>
      </c>
      <c r="C5407" s="436" t="s">
        <v>276</v>
      </c>
      <c r="D5407" s="436" t="s">
        <v>1347</v>
      </c>
      <c r="E5407" s="436">
        <v>5</v>
      </c>
      <c r="F5407" s="465">
        <v>3.5</v>
      </c>
      <c r="G5407" s="466">
        <v>17.5</v>
      </c>
      <c r="H5407" s="466">
        <f>G5407/1.1</f>
        <v>15.909090909090908</v>
      </c>
      <c r="I5407" s="436"/>
      <c r="J5407" s="465">
        <v>0</v>
      </c>
      <c r="K5407" s="467">
        <v>0</v>
      </c>
    </row>
    <row r="5408" spans="2:11" ht="19" customHeight="1">
      <c r="B5408" s="464">
        <v>46135</v>
      </c>
      <c r="C5408" s="436" t="s">
        <v>276</v>
      </c>
      <c r="D5408" s="436" t="s">
        <v>857</v>
      </c>
      <c r="E5408" s="436">
        <v>3</v>
      </c>
      <c r="F5408" s="465">
        <v>3.3</v>
      </c>
      <c r="G5408" s="466">
        <v>9.9</v>
      </c>
      <c r="H5408" s="466">
        <f>G5408/1.1</f>
        <v>9</v>
      </c>
      <c r="I5408" s="436"/>
      <c r="J5408" s="465">
        <v>0</v>
      </c>
      <c r="K5408" s="467">
        <v>0</v>
      </c>
    </row>
    <row r="5409" spans="2:11" ht="19" customHeight="1">
      <c r="B5409" s="464">
        <v>46135</v>
      </c>
      <c r="C5409" s="436" t="s">
        <v>321</v>
      </c>
      <c r="D5409" s="436" t="s">
        <v>910</v>
      </c>
      <c r="E5409" s="436">
        <v>1</v>
      </c>
      <c r="F5409" s="465">
        <v>4</v>
      </c>
      <c r="G5409" s="466">
        <v>4</v>
      </c>
      <c r="H5409" s="466">
        <f>G5409/1.1</f>
        <v>3.6363636363636362</v>
      </c>
      <c r="I5409" s="436"/>
      <c r="J5409" s="465">
        <v>0</v>
      </c>
      <c r="K5409" s="467">
        <v>0</v>
      </c>
    </row>
    <row r="5410" spans="2:11" ht="19" customHeight="1">
      <c r="B5410" s="464">
        <v>46135</v>
      </c>
      <c r="C5410" s="436" t="s">
        <v>247</v>
      </c>
      <c r="D5410" s="436" t="s">
        <v>1241</v>
      </c>
      <c r="E5410" s="436">
        <v>3</v>
      </c>
      <c r="F5410" s="465">
        <v>1.7</v>
      </c>
      <c r="G5410" s="466">
        <v>5.0999999999999996</v>
      </c>
      <c r="H5410" s="466">
        <f>G5410/1.1</f>
        <v>4.6363636363636358</v>
      </c>
      <c r="I5410" s="436"/>
      <c r="J5410" s="465">
        <v>0</v>
      </c>
      <c r="K5410" s="467">
        <v>0</v>
      </c>
    </row>
    <row r="5411" spans="2:11" ht="19" customHeight="1">
      <c r="B5411" s="464">
        <v>46135</v>
      </c>
      <c r="C5411" s="436" t="s">
        <v>862</v>
      </c>
      <c r="D5411" s="436" t="s">
        <v>1268</v>
      </c>
      <c r="E5411" s="436">
        <v>3</v>
      </c>
      <c r="F5411" s="465">
        <v>0.05</v>
      </c>
      <c r="G5411" s="466">
        <v>0.15</v>
      </c>
      <c r="H5411" s="466">
        <f>G5411/1.1</f>
        <v>0.13636363636363635</v>
      </c>
      <c r="I5411" s="436"/>
      <c r="J5411" s="465">
        <v>0</v>
      </c>
      <c r="K5411" s="467">
        <v>0</v>
      </c>
    </row>
    <row r="5412" spans="2:11" ht="19" customHeight="1">
      <c r="B5412" s="464">
        <v>46135</v>
      </c>
      <c r="C5412" s="436" t="s">
        <v>725</v>
      </c>
      <c r="D5412" s="436" t="s">
        <v>1311</v>
      </c>
      <c r="E5412" s="436">
        <v>3</v>
      </c>
      <c r="F5412" s="465">
        <v>0.15</v>
      </c>
      <c r="G5412" s="466">
        <v>0.45</v>
      </c>
      <c r="H5412" s="466">
        <f>G5412/1.1</f>
        <v>0.40909090909090906</v>
      </c>
      <c r="I5412" s="436"/>
      <c r="J5412" s="465">
        <v>0</v>
      </c>
      <c r="K5412" s="467">
        <v>0</v>
      </c>
    </row>
    <row r="5413" spans="2:11" ht="19" customHeight="1">
      <c r="B5413" s="464">
        <v>46135</v>
      </c>
      <c r="C5413" s="436" t="s">
        <v>251</v>
      </c>
      <c r="D5413" s="436" t="s">
        <v>250</v>
      </c>
      <c r="E5413" s="436">
        <v>1</v>
      </c>
      <c r="F5413" s="465">
        <v>2.0499999999999998</v>
      </c>
      <c r="G5413" s="466">
        <v>2.0499999999999998</v>
      </c>
      <c r="H5413" s="466">
        <f>G5413/1.1</f>
        <v>1.8636363636363633</v>
      </c>
      <c r="I5413" s="436"/>
      <c r="J5413" s="465">
        <v>0</v>
      </c>
      <c r="K5413" s="467">
        <v>0</v>
      </c>
    </row>
    <row r="5414" spans="2:11" ht="19" customHeight="1">
      <c r="B5414" s="464">
        <v>46135</v>
      </c>
      <c r="C5414" s="436" t="s">
        <v>247</v>
      </c>
      <c r="D5414" s="436" t="s">
        <v>1241</v>
      </c>
      <c r="E5414" s="436">
        <v>2</v>
      </c>
      <c r="F5414" s="465">
        <v>1.85</v>
      </c>
      <c r="G5414" s="466">
        <v>3.7</v>
      </c>
      <c r="H5414" s="466">
        <f>G5414/1.1</f>
        <v>3.3636363636363633</v>
      </c>
      <c r="I5414" s="436"/>
      <c r="J5414" s="465">
        <v>0</v>
      </c>
      <c r="K5414" s="467">
        <v>0</v>
      </c>
    </row>
    <row r="5415" spans="2:11" ht="19" customHeight="1">
      <c r="B5415" s="464">
        <v>46135</v>
      </c>
      <c r="C5415" s="436" t="s">
        <v>275</v>
      </c>
      <c r="D5415" s="436" t="s">
        <v>1348</v>
      </c>
      <c r="E5415" s="436">
        <v>1</v>
      </c>
      <c r="F5415" s="465">
        <v>9.5</v>
      </c>
      <c r="G5415" s="466">
        <v>9.5</v>
      </c>
      <c r="H5415" s="466">
        <f>G5415/1.1</f>
        <v>8.6363636363636349</v>
      </c>
      <c r="I5415" s="436"/>
      <c r="J5415" s="465">
        <v>0</v>
      </c>
      <c r="K5415" s="467">
        <v>0</v>
      </c>
    </row>
    <row r="5416" spans="2:11" ht="19" customHeight="1">
      <c r="B5416" s="464">
        <v>46135</v>
      </c>
      <c r="C5416" s="436" t="s">
        <v>253</v>
      </c>
      <c r="D5416" s="436" t="s">
        <v>1317</v>
      </c>
      <c r="E5416" s="436">
        <v>1</v>
      </c>
      <c r="F5416" s="465">
        <v>2.65</v>
      </c>
      <c r="G5416" s="466">
        <v>2.65</v>
      </c>
      <c r="H5416" s="466">
        <f>G5416/1.1</f>
        <v>2.4090909090909087</v>
      </c>
      <c r="I5416" s="436"/>
      <c r="J5416" s="465">
        <v>0</v>
      </c>
      <c r="K5416" s="467">
        <v>0</v>
      </c>
    </row>
    <row r="5417" spans="2:11" ht="19" customHeight="1">
      <c r="B5417" s="464">
        <v>46135</v>
      </c>
      <c r="C5417" s="436" t="s">
        <v>251</v>
      </c>
      <c r="D5417" s="436" t="s">
        <v>708</v>
      </c>
      <c r="E5417" s="436">
        <v>1</v>
      </c>
      <c r="F5417" s="465">
        <v>2.2000000000000002</v>
      </c>
      <c r="G5417" s="466">
        <v>2.2000000000000002</v>
      </c>
      <c r="H5417" s="466">
        <f>G5417/1.1</f>
        <v>2</v>
      </c>
      <c r="I5417" s="436"/>
      <c r="J5417" s="465">
        <v>0</v>
      </c>
      <c r="K5417" s="467">
        <v>0</v>
      </c>
    </row>
    <row r="5418" spans="2:11" ht="19" customHeight="1">
      <c r="B5418" s="464">
        <v>46135</v>
      </c>
      <c r="C5418" s="436" t="s">
        <v>277</v>
      </c>
      <c r="D5418" s="436" t="s">
        <v>1044</v>
      </c>
      <c r="E5418" s="436">
        <v>1</v>
      </c>
      <c r="F5418" s="465">
        <v>9.75</v>
      </c>
      <c r="G5418" s="466">
        <v>9.75</v>
      </c>
      <c r="H5418" s="466">
        <f>G5418/1.1</f>
        <v>8.8636363636363633</v>
      </c>
      <c r="I5418" s="436"/>
      <c r="J5418" s="465">
        <v>0</v>
      </c>
      <c r="K5418" s="467">
        <v>0</v>
      </c>
    </row>
    <row r="5419" spans="2:11" ht="19" customHeight="1">
      <c r="B5419" s="464">
        <v>46135</v>
      </c>
      <c r="C5419" s="436" t="s">
        <v>256</v>
      </c>
      <c r="D5419" s="436" t="s">
        <v>255</v>
      </c>
      <c r="E5419" s="436">
        <v>1</v>
      </c>
      <c r="F5419" s="465">
        <v>5.85</v>
      </c>
      <c r="G5419" s="466">
        <v>5.85</v>
      </c>
      <c r="H5419" s="466">
        <f>G5419/1.1</f>
        <v>5.3181818181818175</v>
      </c>
      <c r="I5419" s="436"/>
      <c r="J5419" s="465">
        <v>0</v>
      </c>
      <c r="K5419" s="467">
        <v>0</v>
      </c>
    </row>
    <row r="5420" spans="2:11" ht="19" customHeight="1">
      <c r="B5420" s="464">
        <v>46135</v>
      </c>
      <c r="C5420" s="436" t="s">
        <v>328</v>
      </c>
      <c r="D5420" s="436" t="s">
        <v>1175</v>
      </c>
      <c r="E5420" s="436">
        <v>2</v>
      </c>
      <c r="F5420" s="465">
        <v>1.75</v>
      </c>
      <c r="G5420" s="466">
        <v>3.5</v>
      </c>
      <c r="H5420" s="466">
        <f>G5420/1.1</f>
        <v>3.1818181818181817</v>
      </c>
      <c r="I5420" s="436"/>
      <c r="J5420" s="465">
        <v>0</v>
      </c>
      <c r="K5420" s="467">
        <v>0</v>
      </c>
    </row>
    <row r="5421" spans="2:11" ht="19" customHeight="1">
      <c r="B5421" s="464">
        <v>46135</v>
      </c>
      <c r="C5421" s="436" t="s">
        <v>1265</v>
      </c>
      <c r="D5421" s="436" t="s">
        <v>1012</v>
      </c>
      <c r="E5421" s="436">
        <v>2</v>
      </c>
      <c r="F5421" s="465">
        <v>12.15</v>
      </c>
      <c r="G5421" s="466">
        <v>24.3</v>
      </c>
      <c r="H5421" s="466">
        <f>G5421/1.1</f>
        <v>22.09090909090909</v>
      </c>
      <c r="I5421" s="436"/>
      <c r="J5421" s="465">
        <v>0</v>
      </c>
      <c r="K5421" s="467">
        <v>0</v>
      </c>
    </row>
    <row r="5422" spans="2:11" ht="19" customHeight="1">
      <c r="B5422" s="464">
        <v>46135</v>
      </c>
      <c r="C5422" s="436" t="s">
        <v>256</v>
      </c>
      <c r="D5422" s="436" t="s">
        <v>932</v>
      </c>
      <c r="E5422" s="436">
        <v>1</v>
      </c>
      <c r="F5422" s="465">
        <v>8.75</v>
      </c>
      <c r="G5422" s="466">
        <v>8.75</v>
      </c>
      <c r="H5422" s="466">
        <f>G5422/1.1</f>
        <v>7.9545454545454541</v>
      </c>
      <c r="I5422" s="436"/>
      <c r="J5422" s="465">
        <v>0</v>
      </c>
      <c r="K5422" s="467">
        <v>0</v>
      </c>
    </row>
    <row r="5423" spans="2:11" ht="19" customHeight="1">
      <c r="B5423" s="464">
        <v>46135</v>
      </c>
      <c r="C5423" s="436" t="s">
        <v>247</v>
      </c>
      <c r="D5423" s="436" t="s">
        <v>1253</v>
      </c>
      <c r="E5423" s="436">
        <v>1</v>
      </c>
      <c r="F5423" s="465">
        <v>1.55</v>
      </c>
      <c r="G5423" s="466">
        <v>1.55</v>
      </c>
      <c r="H5423" s="466">
        <f>G5423/1.1</f>
        <v>1.4090909090909089</v>
      </c>
      <c r="I5423" s="436"/>
      <c r="J5423" s="465">
        <v>0</v>
      </c>
      <c r="K5423" s="467">
        <v>0</v>
      </c>
    </row>
    <row r="5424" spans="2:11" ht="19" customHeight="1">
      <c r="B5424" s="464">
        <v>46135</v>
      </c>
      <c r="C5424" s="436" t="s">
        <v>1265</v>
      </c>
      <c r="D5424" s="436" t="s">
        <v>793</v>
      </c>
      <c r="E5424" s="436">
        <v>3</v>
      </c>
      <c r="F5424" s="465">
        <v>6.95</v>
      </c>
      <c r="G5424" s="466">
        <v>20.85</v>
      </c>
      <c r="H5424" s="466">
        <f>G5424/1.1</f>
        <v>18.954545454545453</v>
      </c>
      <c r="I5424" s="436"/>
      <c r="J5424" s="465">
        <v>0</v>
      </c>
      <c r="K5424" s="467">
        <v>0</v>
      </c>
    </row>
    <row r="5425" spans="2:11" ht="19" customHeight="1">
      <c r="B5425" s="464">
        <v>46135</v>
      </c>
      <c r="C5425" s="436" t="s">
        <v>251</v>
      </c>
      <c r="D5425" s="436" t="s">
        <v>265</v>
      </c>
      <c r="E5425" s="436">
        <v>3</v>
      </c>
      <c r="F5425" s="465">
        <v>2.65</v>
      </c>
      <c r="G5425" s="466">
        <v>7.95</v>
      </c>
      <c r="H5425" s="466">
        <f>G5425/1.1</f>
        <v>7.2272727272727266</v>
      </c>
      <c r="I5425" s="436"/>
      <c r="J5425" s="465">
        <v>0</v>
      </c>
      <c r="K5425" s="467">
        <v>0</v>
      </c>
    </row>
    <row r="5426" spans="2:11" ht="19" customHeight="1">
      <c r="B5426" s="464">
        <v>46135</v>
      </c>
      <c r="C5426" s="436" t="s">
        <v>328</v>
      </c>
      <c r="D5426" s="436" t="s">
        <v>1281</v>
      </c>
      <c r="E5426" s="436">
        <v>1</v>
      </c>
      <c r="F5426" s="465">
        <v>3.5</v>
      </c>
      <c r="G5426" s="466">
        <v>3.5</v>
      </c>
      <c r="H5426" s="466">
        <f>G5426/1.1</f>
        <v>3.1818181818181817</v>
      </c>
      <c r="I5426" s="436"/>
      <c r="J5426" s="465">
        <v>0</v>
      </c>
      <c r="K5426" s="467">
        <v>0</v>
      </c>
    </row>
    <row r="5427" spans="2:11" ht="19" customHeight="1">
      <c r="B5427" s="464">
        <v>46135</v>
      </c>
      <c r="C5427" s="436" t="s">
        <v>256</v>
      </c>
      <c r="D5427" s="436" t="s">
        <v>678</v>
      </c>
      <c r="E5427" s="436">
        <v>1</v>
      </c>
      <c r="F5427" s="465">
        <v>7.9</v>
      </c>
      <c r="G5427" s="466">
        <v>7.9</v>
      </c>
      <c r="H5427" s="466">
        <f>G5427/1.1</f>
        <v>7.1818181818181817</v>
      </c>
      <c r="I5427" s="436"/>
      <c r="J5427" s="465">
        <v>0</v>
      </c>
      <c r="K5427" s="467">
        <v>0</v>
      </c>
    </row>
    <row r="5428" spans="2:11" ht="19" customHeight="1">
      <c r="B5428" s="464">
        <v>46135</v>
      </c>
      <c r="C5428" s="436" t="s">
        <v>277</v>
      </c>
      <c r="D5428" s="436" t="s">
        <v>1044</v>
      </c>
      <c r="E5428" s="436">
        <v>1</v>
      </c>
      <c r="F5428" s="465">
        <v>9.5</v>
      </c>
      <c r="G5428" s="466">
        <v>9.5</v>
      </c>
      <c r="H5428" s="466">
        <f>G5428/1.1</f>
        <v>8.6363636363636349</v>
      </c>
      <c r="I5428" s="436"/>
      <c r="J5428" s="465">
        <v>0</v>
      </c>
      <c r="K5428" s="467">
        <v>0</v>
      </c>
    </row>
    <row r="5429" spans="2:11" ht="19" customHeight="1">
      <c r="B5429" s="464">
        <v>46135</v>
      </c>
      <c r="C5429" s="436" t="s">
        <v>256</v>
      </c>
      <c r="D5429" s="436" t="s">
        <v>1073</v>
      </c>
      <c r="E5429" s="436">
        <v>1</v>
      </c>
      <c r="F5429" s="465">
        <v>10</v>
      </c>
      <c r="G5429" s="466">
        <v>10</v>
      </c>
      <c r="H5429" s="466">
        <f>G5429/1.1</f>
        <v>9.0909090909090899</v>
      </c>
      <c r="I5429" s="436"/>
      <c r="J5429" s="465">
        <v>0</v>
      </c>
      <c r="K5429" s="467">
        <v>0</v>
      </c>
    </row>
    <row r="5430" spans="2:11" ht="19" customHeight="1">
      <c r="B5430" s="464">
        <v>46135</v>
      </c>
      <c r="C5430" s="436" t="s">
        <v>256</v>
      </c>
      <c r="D5430" s="436" t="s">
        <v>1349</v>
      </c>
      <c r="E5430" s="436">
        <v>1</v>
      </c>
      <c r="F5430" s="465">
        <v>5.5</v>
      </c>
      <c r="G5430" s="466">
        <v>5.5</v>
      </c>
      <c r="H5430" s="466">
        <f>G5430/1.1</f>
        <v>5</v>
      </c>
      <c r="I5430" s="436"/>
      <c r="J5430" s="465">
        <v>0</v>
      </c>
      <c r="K5430" s="467">
        <v>0</v>
      </c>
    </row>
    <row r="5431" spans="2:11" ht="19" customHeight="1">
      <c r="B5431" s="464">
        <v>46135</v>
      </c>
      <c r="C5431" s="436" t="s">
        <v>251</v>
      </c>
      <c r="D5431" s="436" t="s">
        <v>265</v>
      </c>
      <c r="E5431" s="436">
        <v>1</v>
      </c>
      <c r="F5431" s="465">
        <v>1.8</v>
      </c>
      <c r="G5431" s="466">
        <v>1.8</v>
      </c>
      <c r="H5431" s="466">
        <f>G5431/1.1</f>
        <v>1.6363636363636362</v>
      </c>
      <c r="I5431" s="436"/>
      <c r="J5431" s="465">
        <v>0</v>
      </c>
      <c r="K5431" s="467">
        <v>0</v>
      </c>
    </row>
    <row r="5432" spans="2:11" ht="19" customHeight="1">
      <c r="B5432" s="464">
        <v>46135</v>
      </c>
      <c r="C5432" s="436" t="s">
        <v>247</v>
      </c>
      <c r="D5432" s="436" t="s">
        <v>248</v>
      </c>
      <c r="E5432" s="436">
        <v>3</v>
      </c>
      <c r="F5432" s="465">
        <v>1.65</v>
      </c>
      <c r="G5432" s="466">
        <v>4.95</v>
      </c>
      <c r="H5432" s="466">
        <f>G5432/1.1</f>
        <v>4.5</v>
      </c>
      <c r="I5432" s="436"/>
      <c r="J5432" s="465">
        <v>0</v>
      </c>
      <c r="K5432" s="467">
        <v>0</v>
      </c>
    </row>
    <row r="5433" spans="2:11" ht="19" customHeight="1">
      <c r="B5433" s="464">
        <v>46135</v>
      </c>
      <c r="C5433" s="436" t="s">
        <v>256</v>
      </c>
      <c r="D5433" s="436" t="s">
        <v>675</v>
      </c>
      <c r="E5433" s="436">
        <v>1</v>
      </c>
      <c r="F5433" s="465">
        <v>5.5</v>
      </c>
      <c r="G5433" s="466">
        <v>5.5</v>
      </c>
      <c r="H5433" s="466">
        <f>G5433/1.1</f>
        <v>5</v>
      </c>
      <c r="I5433" s="436"/>
      <c r="J5433" s="465">
        <v>0</v>
      </c>
      <c r="K5433" s="467">
        <v>0</v>
      </c>
    </row>
    <row r="5434" spans="2:11" ht="19" customHeight="1">
      <c r="B5434" s="464">
        <v>46135</v>
      </c>
      <c r="C5434" s="436" t="s">
        <v>251</v>
      </c>
      <c r="D5434" s="436" t="s">
        <v>250</v>
      </c>
      <c r="E5434" s="436">
        <v>1</v>
      </c>
      <c r="F5434" s="465">
        <v>1.8</v>
      </c>
      <c r="G5434" s="466">
        <v>1.8</v>
      </c>
      <c r="H5434" s="466">
        <f>G5434/1.1</f>
        <v>1.6363636363636362</v>
      </c>
      <c r="I5434" s="436"/>
      <c r="J5434" s="465">
        <v>0</v>
      </c>
      <c r="K5434" s="467">
        <v>0</v>
      </c>
    </row>
    <row r="5435" spans="2:11" ht="19" customHeight="1">
      <c r="B5435" s="464">
        <v>46135</v>
      </c>
      <c r="C5435" s="436" t="s">
        <v>251</v>
      </c>
      <c r="D5435" s="436" t="s">
        <v>945</v>
      </c>
      <c r="E5435" s="436">
        <v>1</v>
      </c>
      <c r="F5435" s="465">
        <v>2.65</v>
      </c>
      <c r="G5435" s="466">
        <v>2.65</v>
      </c>
      <c r="H5435" s="466">
        <f>G5435/1.1</f>
        <v>2.4090909090909087</v>
      </c>
      <c r="I5435" s="436"/>
      <c r="J5435" s="465">
        <v>0</v>
      </c>
      <c r="K5435" s="467">
        <v>0</v>
      </c>
    </row>
    <row r="5436" spans="2:11" ht="19" customHeight="1">
      <c r="B5436" s="464">
        <v>46135</v>
      </c>
      <c r="C5436" s="436" t="s">
        <v>276</v>
      </c>
      <c r="D5436" s="436" t="s">
        <v>1350</v>
      </c>
      <c r="E5436" s="436">
        <v>1</v>
      </c>
      <c r="F5436" s="465">
        <v>4.05</v>
      </c>
      <c r="G5436" s="466">
        <v>4.05</v>
      </c>
      <c r="H5436" s="466">
        <f>G5436/1.1</f>
        <v>3.6818181818181812</v>
      </c>
      <c r="I5436" s="436"/>
      <c r="J5436" s="465">
        <v>0</v>
      </c>
      <c r="K5436" s="467">
        <v>0</v>
      </c>
    </row>
    <row r="5437" spans="2:11" ht="19" customHeight="1">
      <c r="B5437" s="464">
        <v>46135</v>
      </c>
      <c r="C5437" s="436" t="s">
        <v>251</v>
      </c>
      <c r="D5437" s="436" t="s">
        <v>926</v>
      </c>
      <c r="E5437" s="436">
        <v>1</v>
      </c>
      <c r="F5437" s="465">
        <v>2.65</v>
      </c>
      <c r="G5437" s="466">
        <v>2.65</v>
      </c>
      <c r="H5437" s="466">
        <f>G5437/1.1</f>
        <v>2.4090909090909087</v>
      </c>
      <c r="I5437" s="436"/>
      <c r="J5437" s="465">
        <v>0</v>
      </c>
      <c r="K5437" s="467">
        <v>0</v>
      </c>
    </row>
    <row r="5438" spans="2:11" ht="19" customHeight="1">
      <c r="B5438" s="464">
        <v>46135</v>
      </c>
      <c r="C5438" s="436" t="s">
        <v>328</v>
      </c>
      <c r="D5438" s="436" t="s">
        <v>1281</v>
      </c>
      <c r="E5438" s="436">
        <v>1</v>
      </c>
      <c r="F5438" s="465">
        <v>3.5</v>
      </c>
      <c r="G5438" s="466">
        <v>3.5</v>
      </c>
      <c r="H5438" s="466">
        <f>G5438/1.1</f>
        <v>3.1818181818181817</v>
      </c>
      <c r="I5438" s="436"/>
      <c r="J5438" s="465">
        <v>0</v>
      </c>
      <c r="K5438" s="467">
        <v>0</v>
      </c>
    </row>
    <row r="5439" spans="2:11" ht="19" customHeight="1">
      <c r="B5439" s="464">
        <v>46135</v>
      </c>
      <c r="C5439" s="436" t="s">
        <v>256</v>
      </c>
      <c r="D5439" s="436" t="s">
        <v>1351</v>
      </c>
      <c r="E5439" s="436">
        <v>3</v>
      </c>
      <c r="F5439" s="465">
        <v>7.5</v>
      </c>
      <c r="G5439" s="466">
        <v>22.5</v>
      </c>
      <c r="H5439" s="466">
        <f>G5439/1.1</f>
        <v>20.454545454545453</v>
      </c>
      <c r="I5439" s="436"/>
      <c r="J5439" s="465">
        <v>0</v>
      </c>
      <c r="K5439" s="467">
        <v>0</v>
      </c>
    </row>
    <row r="5440" spans="2:11" ht="19" customHeight="1">
      <c r="B5440" s="464">
        <v>46135</v>
      </c>
      <c r="C5440" s="436" t="s">
        <v>277</v>
      </c>
      <c r="D5440" s="436" t="s">
        <v>1044</v>
      </c>
      <c r="E5440" s="436">
        <v>1</v>
      </c>
      <c r="F5440" s="465">
        <v>9.5</v>
      </c>
      <c r="G5440" s="466">
        <v>9.5</v>
      </c>
      <c r="H5440" s="466">
        <f>G5440/1.1</f>
        <v>8.6363636363636349</v>
      </c>
      <c r="I5440" s="436"/>
      <c r="J5440" s="465">
        <v>0</v>
      </c>
      <c r="K5440" s="467">
        <v>0</v>
      </c>
    </row>
    <row r="5441" spans="1:12" ht="19" customHeight="1">
      <c r="A5441" s="74"/>
      <c r="B5441" s="464">
        <v>46135</v>
      </c>
      <c r="C5441" s="436" t="s">
        <v>256</v>
      </c>
      <c r="D5441" s="436" t="s">
        <v>870</v>
      </c>
      <c r="E5441" s="436">
        <v>1</v>
      </c>
      <c r="F5441" s="465">
        <v>8.5</v>
      </c>
      <c r="G5441" s="466">
        <v>8.5</v>
      </c>
      <c r="H5441" s="466">
        <f>G5441/1.1</f>
        <v>7.7272727272727266</v>
      </c>
      <c r="I5441" s="436"/>
      <c r="J5441" s="465">
        <v>0</v>
      </c>
      <c r="K5441" s="467">
        <v>0</v>
      </c>
      <c r="L5441" s="74"/>
    </row>
    <row r="5442" spans="1:12" ht="19" customHeight="1">
      <c r="A5442" s="74"/>
      <c r="B5442" s="464">
        <v>46135</v>
      </c>
      <c r="C5442" s="436" t="s">
        <v>256</v>
      </c>
      <c r="D5442" s="436" t="s">
        <v>262</v>
      </c>
      <c r="E5442" s="436">
        <v>1</v>
      </c>
      <c r="F5442" s="465">
        <v>11.9</v>
      </c>
      <c r="G5442" s="466">
        <v>11.9</v>
      </c>
      <c r="H5442" s="466">
        <f>G5442/1.1</f>
        <v>10.818181818181818</v>
      </c>
      <c r="I5442" s="436"/>
      <c r="J5442" s="465">
        <v>0</v>
      </c>
      <c r="K5442" s="467">
        <v>0</v>
      </c>
      <c r="L5442" s="74"/>
    </row>
    <row r="5443" spans="1:12" ht="19" customHeight="1">
      <c r="A5443" s="74"/>
      <c r="B5443" s="464">
        <v>46135</v>
      </c>
      <c r="C5443" s="436" t="s">
        <v>277</v>
      </c>
      <c r="D5443" s="436" t="s">
        <v>897</v>
      </c>
      <c r="E5443" s="436">
        <v>1</v>
      </c>
      <c r="F5443" s="465">
        <v>6.5</v>
      </c>
      <c r="G5443" s="466">
        <v>6.5</v>
      </c>
      <c r="H5443" s="466">
        <f>G5443/1.1</f>
        <v>5.9090909090909083</v>
      </c>
      <c r="I5443" s="436"/>
      <c r="J5443" s="465">
        <v>0</v>
      </c>
      <c r="K5443" s="467">
        <v>0</v>
      </c>
      <c r="L5443" s="74"/>
    </row>
    <row r="5444" spans="1:12" ht="19" customHeight="1">
      <c r="A5444" s="74"/>
      <c r="B5444" s="1269">
        <v>46136</v>
      </c>
      <c r="C5444" s="1111" t="s">
        <v>256</v>
      </c>
      <c r="D5444" s="1111" t="s">
        <v>738</v>
      </c>
      <c r="E5444" s="1111">
        <v>1</v>
      </c>
      <c r="F5444" s="1112">
        <v>6.9</v>
      </c>
      <c r="G5444" s="1113">
        <v>6.9</v>
      </c>
      <c r="H5444" s="1113">
        <f t="shared" ref="H5444:H5475" si="0">G5444/1.1</f>
        <v>6.2727272727272725</v>
      </c>
      <c r="I5444" s="1111"/>
      <c r="J5444" s="1112"/>
      <c r="K5444" s="1112"/>
      <c r="L5444" s="74"/>
    </row>
    <row r="5445" spans="1:12" ht="19" customHeight="1">
      <c r="A5445" s="74"/>
      <c r="B5445" s="1269">
        <v>46136</v>
      </c>
      <c r="C5445" s="1111" t="s">
        <v>277</v>
      </c>
      <c r="D5445" s="1111" t="s">
        <v>1064</v>
      </c>
      <c r="E5445" s="1111">
        <v>1</v>
      </c>
      <c r="F5445" s="1112">
        <v>10.15</v>
      </c>
      <c r="G5445" s="1113">
        <v>10.15</v>
      </c>
      <c r="H5445" s="1113">
        <f t="shared" si="0"/>
        <v>9.2272727272727266</v>
      </c>
      <c r="I5445" s="1111"/>
      <c r="J5445" s="1112"/>
      <c r="K5445" s="1112"/>
      <c r="L5445" s="74"/>
    </row>
    <row r="5446" spans="1:12" ht="19" customHeight="1">
      <c r="A5446" s="74"/>
      <c r="B5446" s="1269">
        <v>46136</v>
      </c>
      <c r="C5446" s="1111" t="s">
        <v>862</v>
      </c>
      <c r="D5446" s="1111" t="s">
        <v>697</v>
      </c>
      <c r="E5446" s="1111">
        <v>1</v>
      </c>
      <c r="F5446" s="1112">
        <v>10.15</v>
      </c>
      <c r="G5446" s="1113">
        <v>10.15</v>
      </c>
      <c r="H5446" s="1113">
        <f t="shared" si="0"/>
        <v>9.2272727272727266</v>
      </c>
      <c r="I5446" s="1111"/>
      <c r="J5446" s="1112"/>
      <c r="K5446" s="1112"/>
      <c r="L5446" s="74"/>
    </row>
    <row r="5447" spans="1:12" ht="19" customHeight="1">
      <c r="A5447" s="74"/>
      <c r="B5447" s="1269">
        <v>46136</v>
      </c>
      <c r="C5447" s="1111" t="s">
        <v>253</v>
      </c>
      <c r="D5447" s="1111" t="s">
        <v>869</v>
      </c>
      <c r="E5447" s="1111">
        <v>5</v>
      </c>
      <c r="F5447" s="1112">
        <v>2.65</v>
      </c>
      <c r="G5447" s="1113">
        <v>13.25</v>
      </c>
      <c r="H5447" s="1113">
        <f t="shared" si="0"/>
        <v>12.045454545454545</v>
      </c>
      <c r="I5447" s="1111"/>
      <c r="J5447" s="1112"/>
      <c r="K5447" s="1112"/>
      <c r="L5447" s="74"/>
    </row>
    <row r="5448" spans="1:12" ht="19" customHeight="1">
      <c r="A5448" s="74"/>
      <c r="B5448" s="1269">
        <v>46136</v>
      </c>
      <c r="C5448" s="1111" t="s">
        <v>253</v>
      </c>
      <c r="D5448" s="1111" t="s">
        <v>869</v>
      </c>
      <c r="E5448" s="1111">
        <v>1</v>
      </c>
      <c r="F5448" s="1112">
        <v>2.65</v>
      </c>
      <c r="G5448" s="1113">
        <v>2.65</v>
      </c>
      <c r="H5448" s="1113">
        <f t="shared" si="0"/>
        <v>2.4090909090909087</v>
      </c>
      <c r="I5448" s="1111"/>
      <c r="J5448" s="1112"/>
      <c r="K5448" s="1112"/>
      <c r="L5448" s="74"/>
    </row>
    <row r="5449" spans="1:12" ht="19" customHeight="1">
      <c r="A5449" s="74"/>
      <c r="B5449" s="1269">
        <v>46136</v>
      </c>
      <c r="C5449" s="1111" t="s">
        <v>862</v>
      </c>
      <c r="D5449" s="1111" t="s">
        <v>1352</v>
      </c>
      <c r="E5449" s="1111">
        <v>1</v>
      </c>
      <c r="F5449" s="1112">
        <v>2.2000000000000002</v>
      </c>
      <c r="G5449" s="1113">
        <v>2.2000000000000002</v>
      </c>
      <c r="H5449" s="1113">
        <f t="shared" si="0"/>
        <v>2</v>
      </c>
      <c r="I5449" s="1111"/>
      <c r="J5449" s="1112"/>
      <c r="K5449" s="1112"/>
      <c r="L5449" s="74"/>
    </row>
    <row r="5450" spans="1:12" ht="19" customHeight="1">
      <c r="A5450" s="74"/>
      <c r="B5450" s="1269">
        <v>46136</v>
      </c>
      <c r="C5450" s="1111" t="s">
        <v>256</v>
      </c>
      <c r="D5450" s="1111" t="s">
        <v>912</v>
      </c>
      <c r="E5450" s="1111">
        <v>3</v>
      </c>
      <c r="F5450" s="1112">
        <v>5.75</v>
      </c>
      <c r="G5450" s="1113">
        <v>17.25</v>
      </c>
      <c r="H5450" s="1113">
        <f t="shared" si="0"/>
        <v>15.68181818181818</v>
      </c>
      <c r="I5450" s="1111"/>
      <c r="J5450" s="1112"/>
      <c r="K5450" s="1112"/>
      <c r="L5450" s="74"/>
    </row>
    <row r="5451" spans="1:12" ht="19" customHeight="1">
      <c r="A5451" s="74"/>
      <c r="B5451" s="1269">
        <v>46136</v>
      </c>
      <c r="C5451" s="1111" t="s">
        <v>256</v>
      </c>
      <c r="D5451" s="1111" t="s">
        <v>1353</v>
      </c>
      <c r="E5451" s="1111">
        <v>1</v>
      </c>
      <c r="F5451" s="1112">
        <v>10.25</v>
      </c>
      <c r="G5451" s="1113">
        <v>10.25</v>
      </c>
      <c r="H5451" s="1113">
        <f t="shared" si="0"/>
        <v>9.3181818181818166</v>
      </c>
      <c r="I5451" s="1111"/>
      <c r="J5451" s="1112"/>
      <c r="K5451" s="1112"/>
      <c r="L5451" s="74"/>
    </row>
    <row r="5452" spans="1:12" ht="19" customHeight="1">
      <c r="A5452" s="74"/>
      <c r="B5452" s="1269">
        <v>46136</v>
      </c>
      <c r="C5452" s="1111" t="s">
        <v>277</v>
      </c>
      <c r="D5452" s="1111" t="s">
        <v>1064</v>
      </c>
      <c r="E5452" s="1111">
        <v>1</v>
      </c>
      <c r="F5452" s="1112">
        <v>10.15</v>
      </c>
      <c r="G5452" s="1113">
        <v>10.15</v>
      </c>
      <c r="H5452" s="1113">
        <f t="shared" si="0"/>
        <v>9.2272727272727266</v>
      </c>
      <c r="I5452" s="1111"/>
      <c r="J5452" s="1112"/>
      <c r="K5452" s="1112"/>
      <c r="L5452" s="74"/>
    </row>
    <row r="5453" spans="1:12" ht="19" customHeight="1">
      <c r="A5453" s="74"/>
      <c r="B5453" s="1269">
        <v>46136</v>
      </c>
      <c r="C5453" s="1111" t="s">
        <v>862</v>
      </c>
      <c r="D5453" s="1111" t="s">
        <v>697</v>
      </c>
      <c r="E5453" s="1111">
        <v>1</v>
      </c>
      <c r="F5453" s="1112">
        <v>10.15</v>
      </c>
      <c r="G5453" s="1113">
        <v>10.15</v>
      </c>
      <c r="H5453" s="1113">
        <f t="shared" si="0"/>
        <v>9.2272727272727266</v>
      </c>
      <c r="I5453" s="1111"/>
      <c r="J5453" s="1112"/>
      <c r="K5453" s="1112"/>
      <c r="L5453" s="74"/>
    </row>
    <row r="5454" spans="1:12" ht="19" customHeight="1">
      <c r="A5454" s="74"/>
      <c r="B5454" s="1269">
        <v>46136</v>
      </c>
      <c r="C5454" s="1111" t="s">
        <v>253</v>
      </c>
      <c r="D5454" s="1111" t="s">
        <v>869</v>
      </c>
      <c r="E5454" s="1111">
        <v>10</v>
      </c>
      <c r="F5454" s="1112">
        <v>2.65</v>
      </c>
      <c r="G5454" s="1113">
        <v>26.5</v>
      </c>
      <c r="H5454" s="1113">
        <f t="shared" si="0"/>
        <v>24.09090909090909</v>
      </c>
      <c r="I5454" s="1111"/>
      <c r="J5454" s="1112"/>
      <c r="K5454" s="1112"/>
      <c r="L5454" s="74"/>
    </row>
    <row r="5455" spans="1:12" ht="19" customHeight="1">
      <c r="A5455" s="74"/>
      <c r="B5455" s="1269">
        <v>46136</v>
      </c>
      <c r="C5455" s="1111" t="s">
        <v>276</v>
      </c>
      <c r="D5455" s="1111" t="s">
        <v>1354</v>
      </c>
      <c r="E5455" s="1111">
        <v>1</v>
      </c>
      <c r="F5455" s="1112">
        <v>22.15</v>
      </c>
      <c r="G5455" s="1113">
        <v>22.15</v>
      </c>
      <c r="H5455" s="1113">
        <f t="shared" si="0"/>
        <v>20.136363636363633</v>
      </c>
      <c r="I5455" s="1111"/>
      <c r="J5455" s="1112"/>
      <c r="K5455" s="1112"/>
      <c r="L5455" s="74"/>
    </row>
    <row r="5456" spans="1:12" ht="19" customHeight="1">
      <c r="A5456" s="74"/>
      <c r="B5456" s="1269">
        <v>46136</v>
      </c>
      <c r="C5456" s="1111" t="s">
        <v>247</v>
      </c>
      <c r="D5456" s="1111" t="s">
        <v>1253</v>
      </c>
      <c r="E5456" s="1111">
        <v>1</v>
      </c>
      <c r="F5456" s="1112">
        <v>1.55</v>
      </c>
      <c r="G5456" s="1113">
        <v>1.55</v>
      </c>
      <c r="H5456" s="1113">
        <f t="shared" si="0"/>
        <v>1.4090909090909089</v>
      </c>
      <c r="I5456" s="1111"/>
      <c r="J5456" s="1112"/>
      <c r="K5456" s="1112"/>
      <c r="L5456" s="74"/>
    </row>
    <row r="5457" spans="1:12" ht="19" customHeight="1">
      <c r="A5457" s="74"/>
      <c r="B5457" s="1269">
        <v>46136</v>
      </c>
      <c r="C5457" s="1111" t="s">
        <v>862</v>
      </c>
      <c r="D5457" s="1111" t="s">
        <v>269</v>
      </c>
      <c r="E5457" s="1111">
        <v>1</v>
      </c>
      <c r="F5457" s="1112">
        <v>0.1</v>
      </c>
      <c r="G5457" s="1113">
        <v>0.1</v>
      </c>
      <c r="H5457" s="1113">
        <f t="shared" si="0"/>
        <v>9.0909090909090912E-2</v>
      </c>
      <c r="I5457" s="1111"/>
      <c r="J5457" s="1112"/>
      <c r="K5457" s="1112"/>
      <c r="L5457" s="74"/>
    </row>
    <row r="5458" spans="1:12" ht="19" customHeight="1">
      <c r="A5458" s="74"/>
      <c r="B5458" s="1269">
        <v>46136</v>
      </c>
      <c r="C5458" s="1111" t="s">
        <v>268</v>
      </c>
      <c r="D5458" s="1111" t="s">
        <v>674</v>
      </c>
      <c r="E5458" s="1111">
        <v>1</v>
      </c>
      <c r="F5458" s="1112">
        <v>5.75</v>
      </c>
      <c r="G5458" s="1113">
        <v>5.75</v>
      </c>
      <c r="H5458" s="1113">
        <f t="shared" si="0"/>
        <v>5.2272727272727266</v>
      </c>
      <c r="I5458" s="1111"/>
      <c r="J5458" s="1112"/>
      <c r="K5458" s="1112"/>
      <c r="L5458" s="74"/>
    </row>
    <row r="5459" spans="1:12" ht="19" customHeight="1">
      <c r="A5459" s="74"/>
      <c r="B5459" s="1269">
        <v>46136</v>
      </c>
      <c r="C5459" s="1111" t="s">
        <v>256</v>
      </c>
      <c r="D5459" s="1111" t="s">
        <v>1232</v>
      </c>
      <c r="E5459" s="1111">
        <v>1</v>
      </c>
      <c r="F5459" s="1112">
        <v>14.9</v>
      </c>
      <c r="G5459" s="1113">
        <v>14.9</v>
      </c>
      <c r="H5459" s="1113">
        <f t="shared" si="0"/>
        <v>13.545454545454545</v>
      </c>
      <c r="I5459" s="1111"/>
      <c r="J5459" s="1112"/>
      <c r="K5459" s="1112"/>
      <c r="L5459" s="74"/>
    </row>
    <row r="5460" spans="1:12" ht="19" customHeight="1">
      <c r="A5460" s="74"/>
      <c r="B5460" s="1269">
        <v>46136</v>
      </c>
      <c r="C5460" s="1111" t="s">
        <v>321</v>
      </c>
      <c r="D5460" s="1111" t="s">
        <v>930</v>
      </c>
      <c r="E5460" s="1111">
        <v>1</v>
      </c>
      <c r="F5460" s="1112">
        <v>3.5</v>
      </c>
      <c r="G5460" s="1113">
        <v>3.5</v>
      </c>
      <c r="H5460" s="1113">
        <f t="shared" si="0"/>
        <v>3.1818181818181817</v>
      </c>
      <c r="I5460" s="1111"/>
      <c r="J5460" s="1112"/>
      <c r="K5460" s="1112"/>
      <c r="L5460" s="74"/>
    </row>
    <row r="5461" spans="1:12" ht="19" customHeight="1">
      <c r="A5461" s="74"/>
      <c r="B5461" s="1269">
        <v>46136</v>
      </c>
      <c r="C5461" s="1111" t="s">
        <v>256</v>
      </c>
      <c r="D5461" s="1111" t="s">
        <v>1114</v>
      </c>
      <c r="E5461" s="1111">
        <v>1</v>
      </c>
      <c r="F5461" s="1112">
        <v>-0.2</v>
      </c>
      <c r="G5461" s="1113">
        <v>-0.2</v>
      </c>
      <c r="H5461" s="1113">
        <f t="shared" si="0"/>
        <v>-0.18181818181818182</v>
      </c>
      <c r="I5461" s="1111"/>
      <c r="J5461" s="1112"/>
      <c r="K5461" s="1112"/>
      <c r="L5461" s="74"/>
    </row>
    <row r="5462" spans="1:12" ht="19" customHeight="1">
      <c r="A5462" s="74"/>
      <c r="B5462" s="1269">
        <v>46136</v>
      </c>
      <c r="C5462" s="1111" t="s">
        <v>256</v>
      </c>
      <c r="D5462" s="1111" t="s">
        <v>261</v>
      </c>
      <c r="E5462" s="1111">
        <v>2</v>
      </c>
      <c r="F5462" s="1112">
        <v>3.4</v>
      </c>
      <c r="G5462" s="1113">
        <v>6.8</v>
      </c>
      <c r="H5462" s="1113">
        <f t="shared" si="0"/>
        <v>6.1818181818181808</v>
      </c>
      <c r="I5462" s="1111"/>
      <c r="J5462" s="1112"/>
      <c r="K5462" s="1112"/>
      <c r="L5462" s="74"/>
    </row>
    <row r="5463" spans="1:12" ht="19" customHeight="1">
      <c r="A5463" s="74"/>
      <c r="B5463" s="1269">
        <v>46136</v>
      </c>
      <c r="C5463" s="1111" t="s">
        <v>256</v>
      </c>
      <c r="D5463" s="1111" t="s">
        <v>870</v>
      </c>
      <c r="E5463" s="1111">
        <v>2</v>
      </c>
      <c r="F5463" s="1112">
        <v>3.4</v>
      </c>
      <c r="G5463" s="1113">
        <v>6.8</v>
      </c>
      <c r="H5463" s="1113">
        <f t="shared" si="0"/>
        <v>6.1818181818181808</v>
      </c>
      <c r="I5463" s="1111"/>
      <c r="J5463" s="1112"/>
      <c r="K5463" s="1112"/>
      <c r="L5463" s="74"/>
    </row>
    <row r="5464" spans="1:12" ht="19" customHeight="1">
      <c r="A5464" s="74"/>
      <c r="B5464" s="1269">
        <v>46136</v>
      </c>
      <c r="C5464" s="1111" t="s">
        <v>256</v>
      </c>
      <c r="D5464" s="1111" t="s">
        <v>932</v>
      </c>
      <c r="E5464" s="1111">
        <v>2</v>
      </c>
      <c r="F5464" s="1112">
        <v>3.4</v>
      </c>
      <c r="G5464" s="1113">
        <v>6.8</v>
      </c>
      <c r="H5464" s="1113">
        <f t="shared" si="0"/>
        <v>6.1818181818181808</v>
      </c>
      <c r="I5464" s="1111"/>
      <c r="J5464" s="1112"/>
      <c r="K5464" s="1112"/>
      <c r="L5464" s="74"/>
    </row>
    <row r="5465" spans="1:12" ht="19" customHeight="1">
      <c r="A5465" s="74"/>
      <c r="B5465" s="1269">
        <v>46136</v>
      </c>
      <c r="C5465" s="1111" t="s">
        <v>321</v>
      </c>
      <c r="D5465" s="1111" t="s">
        <v>793</v>
      </c>
      <c r="E5465" s="1111">
        <v>1</v>
      </c>
      <c r="F5465" s="1112">
        <v>3.4</v>
      </c>
      <c r="G5465" s="1113">
        <v>3.4</v>
      </c>
      <c r="H5465" s="1113">
        <f t="shared" si="0"/>
        <v>3.0909090909090904</v>
      </c>
      <c r="I5465" s="1111"/>
      <c r="J5465" s="1112"/>
      <c r="K5465" s="1112"/>
      <c r="L5465" s="74"/>
    </row>
    <row r="5466" spans="1:12" ht="19" customHeight="1">
      <c r="A5466" s="74"/>
      <c r="B5466" s="1269">
        <v>46136</v>
      </c>
      <c r="C5466" s="1111" t="s">
        <v>247</v>
      </c>
      <c r="D5466" s="1111" t="s">
        <v>1253</v>
      </c>
      <c r="E5466" s="1111">
        <v>1</v>
      </c>
      <c r="F5466" s="1112">
        <v>1.7</v>
      </c>
      <c r="G5466" s="1113">
        <v>1.7</v>
      </c>
      <c r="H5466" s="1113">
        <f t="shared" si="0"/>
        <v>1.5454545454545452</v>
      </c>
      <c r="I5466" s="1111"/>
      <c r="J5466" s="1112"/>
      <c r="K5466" s="1112"/>
      <c r="L5466" s="74"/>
    </row>
    <row r="5467" spans="1:12" ht="19" customHeight="1">
      <c r="A5467" s="74"/>
      <c r="B5467" s="1269">
        <v>46136</v>
      </c>
      <c r="C5467" s="1111" t="s">
        <v>256</v>
      </c>
      <c r="D5467" s="1111" t="s">
        <v>953</v>
      </c>
      <c r="E5467" s="1111">
        <v>1</v>
      </c>
      <c r="F5467" s="1112">
        <v>10.25</v>
      </c>
      <c r="G5467" s="1113">
        <v>10.25</v>
      </c>
      <c r="H5467" s="1113">
        <f t="shared" si="0"/>
        <v>9.3181818181818166</v>
      </c>
      <c r="I5467" s="1111"/>
      <c r="J5467" s="1112"/>
      <c r="K5467" s="1112"/>
      <c r="L5467" s="74"/>
    </row>
    <row r="5468" spans="1:12" ht="19" customHeight="1">
      <c r="A5468" s="74"/>
      <c r="B5468" s="1269">
        <v>46136</v>
      </c>
      <c r="C5468" s="1111" t="s">
        <v>321</v>
      </c>
      <c r="D5468" s="1111" t="s">
        <v>1355</v>
      </c>
      <c r="E5468" s="1111">
        <v>1</v>
      </c>
      <c r="F5468" s="1112">
        <v>9.25</v>
      </c>
      <c r="G5468" s="1113">
        <v>9.25</v>
      </c>
      <c r="H5468" s="1113">
        <f t="shared" si="0"/>
        <v>8.4090909090909083</v>
      </c>
      <c r="I5468" s="1111"/>
      <c r="J5468" s="1112"/>
      <c r="K5468" s="1112"/>
      <c r="L5468" s="74"/>
    </row>
    <row r="5469" spans="1:12" ht="19" customHeight="1">
      <c r="A5469" s="74"/>
      <c r="B5469" s="1269">
        <v>46136</v>
      </c>
      <c r="C5469" s="1111" t="s">
        <v>256</v>
      </c>
      <c r="D5469" s="1111" t="s">
        <v>255</v>
      </c>
      <c r="E5469" s="1111">
        <v>1</v>
      </c>
      <c r="F5469" s="1112">
        <v>5.85</v>
      </c>
      <c r="G5469" s="1113">
        <v>5.85</v>
      </c>
      <c r="H5469" s="1113">
        <f t="shared" si="0"/>
        <v>5.3181818181818175</v>
      </c>
      <c r="I5469" s="1111"/>
      <c r="J5469" s="1112"/>
      <c r="K5469" s="1112"/>
      <c r="L5469" s="74"/>
    </row>
    <row r="5470" spans="1:12" ht="19" customHeight="1">
      <c r="A5470" s="74"/>
      <c r="B5470" s="1269">
        <v>46136</v>
      </c>
      <c r="C5470" s="1111" t="s">
        <v>256</v>
      </c>
      <c r="D5470" s="1111" t="s">
        <v>1356</v>
      </c>
      <c r="E5470" s="1111">
        <v>1</v>
      </c>
      <c r="F5470" s="1112">
        <v>8.75</v>
      </c>
      <c r="G5470" s="1113">
        <v>8.75</v>
      </c>
      <c r="H5470" s="1113">
        <f t="shared" si="0"/>
        <v>7.9545454545454541</v>
      </c>
      <c r="I5470" s="1111"/>
      <c r="J5470" s="1112"/>
      <c r="K5470" s="1112"/>
      <c r="L5470" s="74"/>
    </row>
    <row r="5471" spans="1:12" ht="19" customHeight="1">
      <c r="A5471" s="74"/>
      <c r="B5471" s="1269">
        <v>46136</v>
      </c>
      <c r="C5471" s="1111" t="s">
        <v>321</v>
      </c>
      <c r="D5471" s="1111" t="s">
        <v>930</v>
      </c>
      <c r="E5471" s="1111">
        <v>1</v>
      </c>
      <c r="F5471" s="1112">
        <v>9.8000000000000007</v>
      </c>
      <c r="G5471" s="1113">
        <v>9.8000000000000007</v>
      </c>
      <c r="H5471" s="1113">
        <f t="shared" si="0"/>
        <v>8.9090909090909083</v>
      </c>
      <c r="I5471" s="1111"/>
      <c r="J5471" s="1112"/>
      <c r="K5471" s="1112"/>
      <c r="L5471" s="74"/>
    </row>
    <row r="5472" spans="1:12" ht="19" customHeight="1">
      <c r="A5472" s="74"/>
      <c r="B5472" s="1269">
        <v>46136</v>
      </c>
      <c r="C5472" s="1111" t="s">
        <v>276</v>
      </c>
      <c r="D5472" s="1111" t="s">
        <v>1357</v>
      </c>
      <c r="E5472" s="1111">
        <v>2</v>
      </c>
      <c r="F5472" s="1112">
        <v>4.9000000000000004</v>
      </c>
      <c r="G5472" s="1113">
        <v>9.8000000000000007</v>
      </c>
      <c r="H5472" s="1113">
        <f t="shared" si="0"/>
        <v>8.9090909090909083</v>
      </c>
      <c r="I5472" s="1111"/>
      <c r="J5472" s="1112"/>
      <c r="K5472" s="1112"/>
      <c r="L5472" s="74"/>
    </row>
    <row r="5473" spans="1:12" ht="19" customHeight="1">
      <c r="A5473" s="74"/>
      <c r="B5473" s="1269">
        <v>46136</v>
      </c>
      <c r="C5473" s="1111" t="s">
        <v>253</v>
      </c>
      <c r="D5473" s="1111" t="s">
        <v>869</v>
      </c>
      <c r="E5473" s="1111">
        <v>3</v>
      </c>
      <c r="F5473" s="1112">
        <v>2.65</v>
      </c>
      <c r="G5473" s="1113">
        <v>7.95</v>
      </c>
      <c r="H5473" s="1113">
        <f t="shared" si="0"/>
        <v>7.2272727272727266</v>
      </c>
      <c r="I5473" s="1111"/>
      <c r="J5473" s="1112"/>
      <c r="K5473" s="1112"/>
      <c r="L5473" s="74"/>
    </row>
    <row r="5474" spans="1:12" ht="19" customHeight="1">
      <c r="A5474" s="74"/>
      <c r="B5474" s="1269">
        <v>46136</v>
      </c>
      <c r="C5474" s="1111" t="s">
        <v>276</v>
      </c>
      <c r="D5474" s="1111" t="s">
        <v>1256</v>
      </c>
      <c r="E5474" s="1111">
        <v>1</v>
      </c>
      <c r="F5474" s="1112">
        <v>3.5</v>
      </c>
      <c r="G5474" s="1113">
        <v>3.5</v>
      </c>
      <c r="H5474" s="1113">
        <f t="shared" si="0"/>
        <v>3.1818181818181817</v>
      </c>
      <c r="I5474" s="1111"/>
      <c r="J5474" s="1112"/>
      <c r="K5474" s="1112"/>
      <c r="L5474" s="74"/>
    </row>
    <row r="5475" spans="1:12" ht="19" customHeight="1">
      <c r="A5475" s="74"/>
      <c r="B5475" s="1269">
        <v>46136</v>
      </c>
      <c r="C5475" s="1111" t="s">
        <v>862</v>
      </c>
      <c r="D5475" s="1111" t="s">
        <v>890</v>
      </c>
      <c r="E5475" s="1111">
        <v>1</v>
      </c>
      <c r="F5475" s="1112">
        <v>2.8</v>
      </c>
      <c r="G5475" s="1113">
        <v>2.8</v>
      </c>
      <c r="H5475" s="1113">
        <f t="shared" si="0"/>
        <v>2.545454545454545</v>
      </c>
      <c r="I5475" s="1111"/>
      <c r="J5475" s="1112"/>
      <c r="K5475" s="1112"/>
      <c r="L5475" s="74"/>
    </row>
    <row r="5476" spans="1:12" ht="19" customHeight="1">
      <c r="A5476" s="74"/>
      <c r="B5476" s="1269">
        <v>46136</v>
      </c>
      <c r="C5476" s="1111" t="s">
        <v>862</v>
      </c>
      <c r="D5476" s="1111" t="s">
        <v>1358</v>
      </c>
      <c r="E5476" s="1111">
        <v>2</v>
      </c>
      <c r="F5476" s="1112">
        <v>2.9</v>
      </c>
      <c r="G5476" s="1113">
        <v>5.8</v>
      </c>
      <c r="H5476" s="1113">
        <f t="shared" ref="H5476:H5507" si="1">G5476/1.1</f>
        <v>5.2727272727272725</v>
      </c>
      <c r="I5476" s="1111"/>
      <c r="J5476" s="1112"/>
      <c r="K5476" s="1112"/>
      <c r="L5476" s="74"/>
    </row>
    <row r="5477" spans="1:12" ht="19" customHeight="1">
      <c r="A5477" s="74"/>
      <c r="B5477" s="1269">
        <v>46136</v>
      </c>
      <c r="C5477" s="1111" t="s">
        <v>256</v>
      </c>
      <c r="D5477" s="1111" t="s">
        <v>255</v>
      </c>
      <c r="E5477" s="1111">
        <v>1</v>
      </c>
      <c r="F5477" s="1112">
        <v>5.85</v>
      </c>
      <c r="G5477" s="1113">
        <v>5.85</v>
      </c>
      <c r="H5477" s="1113">
        <f t="shared" si="1"/>
        <v>5.3181818181818175</v>
      </c>
      <c r="I5477" s="1111"/>
      <c r="J5477" s="1112"/>
      <c r="K5477" s="1112"/>
      <c r="L5477" s="74"/>
    </row>
    <row r="5478" spans="1:12" ht="19" customHeight="1">
      <c r="A5478" s="74"/>
      <c r="B5478" s="1269">
        <v>46136</v>
      </c>
      <c r="C5478" s="1111" t="s">
        <v>862</v>
      </c>
      <c r="D5478" s="1111" t="s">
        <v>1359</v>
      </c>
      <c r="E5478" s="1111">
        <v>1</v>
      </c>
      <c r="F5478" s="1112">
        <v>2.65</v>
      </c>
      <c r="G5478" s="1113">
        <v>2.65</v>
      </c>
      <c r="H5478" s="1113">
        <f t="shared" si="1"/>
        <v>2.4090909090909087</v>
      </c>
      <c r="I5478" s="1111"/>
      <c r="J5478" s="1112"/>
      <c r="K5478" s="1112"/>
      <c r="L5478" s="74"/>
    </row>
    <row r="5479" spans="1:12" ht="19" customHeight="1">
      <c r="A5479" s="74"/>
      <c r="B5479" s="1269">
        <v>46136</v>
      </c>
      <c r="C5479" s="1111" t="s">
        <v>862</v>
      </c>
      <c r="D5479" s="1111" t="s">
        <v>945</v>
      </c>
      <c r="E5479" s="1111">
        <v>1</v>
      </c>
      <c r="F5479" s="1112">
        <v>2.65</v>
      </c>
      <c r="G5479" s="1113">
        <v>2.65</v>
      </c>
      <c r="H5479" s="1113">
        <f t="shared" si="1"/>
        <v>2.4090909090909087</v>
      </c>
      <c r="I5479" s="1111"/>
      <c r="J5479" s="1112"/>
      <c r="K5479" s="1112"/>
      <c r="L5479" s="74"/>
    </row>
    <row r="5480" spans="1:12" ht="19" customHeight="1">
      <c r="A5480" s="74"/>
      <c r="B5480" s="1269">
        <v>46136</v>
      </c>
      <c r="C5480" s="1111" t="s">
        <v>247</v>
      </c>
      <c r="D5480" s="1111" t="s">
        <v>1241</v>
      </c>
      <c r="E5480" s="1111">
        <v>1</v>
      </c>
      <c r="F5480" s="1112">
        <v>1.85</v>
      </c>
      <c r="G5480" s="1113">
        <v>1.85</v>
      </c>
      <c r="H5480" s="1113">
        <f t="shared" si="1"/>
        <v>1.6818181818181817</v>
      </c>
      <c r="I5480" s="1111"/>
      <c r="J5480" s="1112"/>
      <c r="K5480" s="1112"/>
      <c r="L5480" s="74"/>
    </row>
    <row r="5481" spans="1:12" ht="19" customHeight="1">
      <c r="A5481" s="74"/>
      <c r="B5481" s="1269">
        <v>46136</v>
      </c>
      <c r="C5481" s="1111" t="s">
        <v>1265</v>
      </c>
      <c r="D5481" s="1111" t="s">
        <v>1266</v>
      </c>
      <c r="E5481" s="1111">
        <v>1</v>
      </c>
      <c r="F5481" s="1112">
        <v>14.9</v>
      </c>
      <c r="G5481" s="1113">
        <v>14.9</v>
      </c>
      <c r="H5481" s="1113">
        <f t="shared" si="1"/>
        <v>13.545454545454545</v>
      </c>
      <c r="I5481" s="1111"/>
      <c r="J5481" s="1112"/>
      <c r="K5481" s="1112"/>
      <c r="L5481" s="74"/>
    </row>
    <row r="5482" spans="1:12" ht="19" customHeight="1">
      <c r="A5482" s="74"/>
      <c r="B5482" s="1269">
        <v>46136</v>
      </c>
      <c r="C5482" s="1111" t="s">
        <v>247</v>
      </c>
      <c r="D5482" s="1111" t="s">
        <v>1241</v>
      </c>
      <c r="E5482" s="1111">
        <v>1</v>
      </c>
      <c r="F5482" s="1112">
        <v>1.7</v>
      </c>
      <c r="G5482" s="1113">
        <v>1.7</v>
      </c>
      <c r="H5482" s="1113">
        <f t="shared" si="1"/>
        <v>1.5454545454545452</v>
      </c>
      <c r="I5482" s="1111"/>
      <c r="J5482" s="1112"/>
      <c r="K5482" s="1112"/>
      <c r="L5482" s="74"/>
    </row>
    <row r="5483" spans="1:12" ht="19" customHeight="1">
      <c r="A5483" s="74"/>
      <c r="B5483" s="1269">
        <v>46137</v>
      </c>
      <c r="C5483" s="1111" t="s">
        <v>247</v>
      </c>
      <c r="D5483" s="1111" t="s">
        <v>248</v>
      </c>
      <c r="E5483" s="1111">
        <v>1</v>
      </c>
      <c r="F5483" s="1112">
        <v>1.5</v>
      </c>
      <c r="G5483" s="1113">
        <v>1.5</v>
      </c>
      <c r="H5483" s="1113">
        <f t="shared" si="1"/>
        <v>1.3636363636363635</v>
      </c>
      <c r="I5483" s="1111"/>
      <c r="J5483" s="1112"/>
      <c r="K5483" s="1112"/>
      <c r="L5483" s="74"/>
    </row>
    <row r="5484" spans="1:12" ht="19" customHeight="1">
      <c r="A5484" s="74"/>
      <c r="B5484" s="1269">
        <v>46137</v>
      </c>
      <c r="C5484" s="1111" t="s">
        <v>247</v>
      </c>
      <c r="D5484" s="1111" t="s">
        <v>1241</v>
      </c>
      <c r="E5484" s="1111">
        <v>1</v>
      </c>
      <c r="F5484" s="1112">
        <v>1.7</v>
      </c>
      <c r="G5484" s="1113">
        <v>1.7</v>
      </c>
      <c r="H5484" s="1113">
        <f t="shared" si="1"/>
        <v>1.5454545454545452</v>
      </c>
      <c r="I5484" s="1111"/>
      <c r="J5484" s="1112"/>
      <c r="K5484" s="1112"/>
      <c r="L5484" s="74"/>
    </row>
    <row r="5485" spans="1:12" ht="19" customHeight="1">
      <c r="A5485" s="74"/>
      <c r="B5485" s="1269">
        <v>46137</v>
      </c>
      <c r="C5485" s="1111" t="s">
        <v>268</v>
      </c>
      <c r="D5485" s="1111" t="s">
        <v>1246</v>
      </c>
      <c r="E5485" s="1111">
        <v>1</v>
      </c>
      <c r="F5485" s="1112">
        <v>6.75</v>
      </c>
      <c r="G5485" s="1113">
        <v>6.75</v>
      </c>
      <c r="H5485" s="1113">
        <f t="shared" si="1"/>
        <v>6.1363636363636358</v>
      </c>
      <c r="I5485" s="1111"/>
      <c r="J5485" s="1112"/>
      <c r="K5485" s="1112"/>
      <c r="L5485" s="74"/>
    </row>
    <row r="5486" spans="1:12" ht="19" customHeight="1">
      <c r="A5486" s="74"/>
      <c r="B5486" s="1269">
        <v>46137</v>
      </c>
      <c r="C5486" s="1111" t="s">
        <v>276</v>
      </c>
      <c r="D5486" s="1111" t="s">
        <v>709</v>
      </c>
      <c r="E5486" s="1111">
        <v>2</v>
      </c>
      <c r="F5486" s="1112">
        <v>3.7</v>
      </c>
      <c r="G5486" s="1113">
        <v>7.4</v>
      </c>
      <c r="H5486" s="1113">
        <f t="shared" si="1"/>
        <v>6.7272727272727266</v>
      </c>
      <c r="I5486" s="1111"/>
      <c r="J5486" s="1112"/>
      <c r="K5486" s="1112"/>
      <c r="L5486" s="74"/>
    </row>
    <row r="5487" spans="1:12" ht="19" customHeight="1">
      <c r="A5487" s="74"/>
      <c r="B5487" s="1269">
        <v>46137</v>
      </c>
      <c r="C5487" s="1111" t="s">
        <v>862</v>
      </c>
      <c r="D5487" s="1111" t="s">
        <v>250</v>
      </c>
      <c r="E5487" s="1111">
        <v>2</v>
      </c>
      <c r="F5487" s="1112">
        <v>2.0499999999999998</v>
      </c>
      <c r="G5487" s="1113">
        <v>4.0999999999999996</v>
      </c>
      <c r="H5487" s="1113">
        <f t="shared" si="1"/>
        <v>3.7272727272727266</v>
      </c>
      <c r="I5487" s="1111"/>
      <c r="J5487" s="1112"/>
      <c r="K5487" s="1112"/>
      <c r="L5487" s="74"/>
    </row>
    <row r="5488" spans="1:12" ht="19" customHeight="1">
      <c r="A5488" s="74"/>
      <c r="B5488" s="1269">
        <v>46137</v>
      </c>
      <c r="C5488" s="1111" t="s">
        <v>256</v>
      </c>
      <c r="D5488" s="1111" t="s">
        <v>738</v>
      </c>
      <c r="E5488" s="1111">
        <v>1</v>
      </c>
      <c r="F5488" s="1112">
        <v>7.15</v>
      </c>
      <c r="G5488" s="1113">
        <v>7.15</v>
      </c>
      <c r="H5488" s="1113">
        <f t="shared" si="1"/>
        <v>6.5</v>
      </c>
      <c r="I5488" s="1111"/>
      <c r="J5488" s="1112"/>
      <c r="K5488" s="1112"/>
      <c r="L5488" s="74"/>
    </row>
    <row r="5489" spans="1:12" ht="19" customHeight="1">
      <c r="A5489" s="74"/>
      <c r="B5489" s="1269">
        <v>46137</v>
      </c>
      <c r="C5489" s="1111" t="s">
        <v>321</v>
      </c>
      <c r="D5489" s="1111" t="s">
        <v>1175</v>
      </c>
      <c r="E5489" s="1111">
        <v>1</v>
      </c>
      <c r="F5489" s="1112">
        <v>1.75</v>
      </c>
      <c r="G5489" s="1113">
        <v>1.75</v>
      </c>
      <c r="H5489" s="1113">
        <f t="shared" si="1"/>
        <v>1.5909090909090908</v>
      </c>
      <c r="I5489" s="1111"/>
      <c r="J5489" s="1112"/>
      <c r="K5489" s="1112"/>
      <c r="L5489" s="74"/>
    </row>
    <row r="5490" spans="1:12" ht="19" customHeight="1">
      <c r="A5490" s="74"/>
      <c r="B5490" s="1269">
        <v>46137</v>
      </c>
      <c r="C5490" s="1111" t="s">
        <v>321</v>
      </c>
      <c r="D5490" s="1111" t="s">
        <v>930</v>
      </c>
      <c r="E5490" s="1111">
        <v>1</v>
      </c>
      <c r="F5490" s="1112">
        <v>3.75</v>
      </c>
      <c r="G5490" s="1113">
        <v>3.75</v>
      </c>
      <c r="H5490" s="1113">
        <f t="shared" si="1"/>
        <v>3.4090909090909087</v>
      </c>
      <c r="I5490" s="1111"/>
      <c r="J5490" s="1112"/>
      <c r="K5490" s="1112"/>
      <c r="L5490" s="74"/>
    </row>
    <row r="5491" spans="1:12" ht="19" customHeight="1">
      <c r="A5491" s="74"/>
      <c r="B5491" s="1269">
        <v>46137</v>
      </c>
      <c r="C5491" s="1111" t="s">
        <v>256</v>
      </c>
      <c r="D5491" s="1111" t="s">
        <v>255</v>
      </c>
      <c r="E5491" s="1111">
        <v>1</v>
      </c>
      <c r="F5491" s="1112">
        <v>5.85</v>
      </c>
      <c r="G5491" s="1113">
        <v>5.85</v>
      </c>
      <c r="H5491" s="1113">
        <f t="shared" si="1"/>
        <v>5.3181818181818175</v>
      </c>
      <c r="I5491" s="1111"/>
      <c r="J5491" s="1112"/>
      <c r="K5491" s="1112"/>
      <c r="L5491" s="74"/>
    </row>
    <row r="5492" spans="1:12" ht="19" customHeight="1">
      <c r="A5492" s="74"/>
      <c r="B5492" s="1269">
        <v>46137</v>
      </c>
      <c r="C5492" s="1111" t="s">
        <v>321</v>
      </c>
      <c r="D5492" s="1111" t="s">
        <v>793</v>
      </c>
      <c r="E5492" s="1111">
        <v>1</v>
      </c>
      <c r="F5492" s="1112">
        <v>7.2</v>
      </c>
      <c r="G5492" s="1113">
        <v>7.2</v>
      </c>
      <c r="H5492" s="1113">
        <f t="shared" si="1"/>
        <v>6.545454545454545</v>
      </c>
      <c r="I5492" s="1111"/>
      <c r="J5492" s="1112"/>
      <c r="K5492" s="1112"/>
      <c r="L5492" s="74"/>
    </row>
    <row r="5493" spans="1:12" ht="19" customHeight="1">
      <c r="A5493" s="74"/>
      <c r="B5493" s="1269">
        <v>46137</v>
      </c>
      <c r="C5493" s="1111" t="s">
        <v>256</v>
      </c>
      <c r="D5493" s="1111" t="s">
        <v>679</v>
      </c>
      <c r="E5493" s="1111">
        <v>1</v>
      </c>
      <c r="F5493" s="1112">
        <v>10.25</v>
      </c>
      <c r="G5493" s="1113">
        <v>10.25</v>
      </c>
      <c r="H5493" s="1113">
        <f t="shared" si="1"/>
        <v>9.3181818181818166</v>
      </c>
      <c r="I5493" s="1111"/>
      <c r="J5493" s="1112"/>
      <c r="K5493" s="1112"/>
      <c r="L5493" s="74"/>
    </row>
    <row r="5494" spans="1:12" ht="19" customHeight="1">
      <c r="A5494" s="74"/>
      <c r="B5494" s="1269">
        <v>46137</v>
      </c>
      <c r="C5494" s="1111" t="s">
        <v>256</v>
      </c>
      <c r="D5494" s="1111" t="s">
        <v>870</v>
      </c>
      <c r="E5494" s="1111">
        <v>1</v>
      </c>
      <c r="F5494" s="1112">
        <v>8.75</v>
      </c>
      <c r="G5494" s="1113">
        <v>8.75</v>
      </c>
      <c r="H5494" s="1113">
        <f t="shared" si="1"/>
        <v>7.9545454545454541</v>
      </c>
      <c r="I5494" s="1111"/>
      <c r="J5494" s="1112"/>
      <c r="K5494" s="1112"/>
      <c r="L5494" s="74"/>
    </row>
    <row r="5495" spans="1:12" ht="19" customHeight="1">
      <c r="A5495" s="74"/>
      <c r="B5495" s="1269">
        <v>46137</v>
      </c>
      <c r="C5495" s="1111" t="s">
        <v>256</v>
      </c>
      <c r="D5495" s="1111" t="s">
        <v>738</v>
      </c>
      <c r="E5495" s="1111">
        <v>1</v>
      </c>
      <c r="F5495" s="1112">
        <v>6.9</v>
      </c>
      <c r="G5495" s="1113">
        <v>6.9</v>
      </c>
      <c r="H5495" s="1113">
        <f t="shared" si="1"/>
        <v>6.2727272727272725</v>
      </c>
      <c r="I5495" s="1111"/>
      <c r="J5495" s="1112"/>
      <c r="K5495" s="1112"/>
      <c r="L5495" s="74"/>
    </row>
    <row r="5496" spans="1:12" ht="19" customHeight="1">
      <c r="A5496" s="74"/>
      <c r="B5496" s="1269">
        <v>46137</v>
      </c>
      <c r="C5496" s="1111" t="s">
        <v>256</v>
      </c>
      <c r="D5496" s="1111" t="s">
        <v>738</v>
      </c>
      <c r="E5496" s="1111">
        <v>1</v>
      </c>
      <c r="F5496" s="1112">
        <v>7.9</v>
      </c>
      <c r="G5496" s="1113">
        <v>7.9</v>
      </c>
      <c r="H5496" s="1113">
        <f t="shared" si="1"/>
        <v>7.1818181818181817</v>
      </c>
      <c r="I5496" s="1111"/>
      <c r="J5496" s="1112"/>
      <c r="K5496" s="1112"/>
      <c r="L5496" s="74"/>
    </row>
    <row r="5497" spans="1:12" ht="19" customHeight="1">
      <c r="A5497" s="74"/>
      <c r="B5497" s="1269">
        <v>46137</v>
      </c>
      <c r="C5497" s="1111" t="s">
        <v>321</v>
      </c>
      <c r="D5497" s="1111" t="s">
        <v>793</v>
      </c>
      <c r="E5497" s="1111">
        <v>1</v>
      </c>
      <c r="F5497" s="1112">
        <v>6.95</v>
      </c>
      <c r="G5497" s="1113">
        <v>6.95</v>
      </c>
      <c r="H5497" s="1113">
        <f t="shared" si="1"/>
        <v>6.3181818181818175</v>
      </c>
      <c r="I5497" s="1111"/>
      <c r="J5497" s="1112"/>
      <c r="K5497" s="1112"/>
      <c r="L5497" s="74"/>
    </row>
    <row r="5498" spans="1:12" ht="19" customHeight="1">
      <c r="A5498" s="74"/>
      <c r="B5498" s="1269">
        <v>46137</v>
      </c>
      <c r="C5498" s="1111" t="s">
        <v>256</v>
      </c>
      <c r="D5498" s="1111" t="s">
        <v>912</v>
      </c>
      <c r="E5498" s="1111">
        <v>2</v>
      </c>
      <c r="F5498" s="1112">
        <v>5.5</v>
      </c>
      <c r="G5498" s="1113">
        <v>11</v>
      </c>
      <c r="H5498" s="1113">
        <f t="shared" si="1"/>
        <v>10</v>
      </c>
      <c r="I5498" s="1111"/>
      <c r="J5498" s="1112"/>
      <c r="K5498" s="1112"/>
      <c r="L5498" s="74"/>
    </row>
    <row r="5499" spans="1:12" ht="19" customHeight="1">
      <c r="A5499" s="74"/>
      <c r="B5499" s="1269">
        <v>46137</v>
      </c>
      <c r="C5499" s="1111" t="s">
        <v>862</v>
      </c>
      <c r="D5499" s="1111" t="s">
        <v>1360</v>
      </c>
      <c r="E5499" s="1111">
        <v>1</v>
      </c>
      <c r="F5499" s="1112">
        <v>0.1</v>
      </c>
      <c r="G5499" s="1113">
        <v>0.1</v>
      </c>
      <c r="H5499" s="1113">
        <f t="shared" si="1"/>
        <v>9.0909090909090912E-2</v>
      </c>
      <c r="I5499" s="1111"/>
      <c r="J5499" s="1112"/>
      <c r="K5499" s="1112"/>
      <c r="L5499" s="74"/>
    </row>
    <row r="5500" spans="1:12" ht="19" customHeight="1">
      <c r="A5500" s="74"/>
      <c r="B5500" s="1269">
        <v>46137</v>
      </c>
      <c r="C5500" s="1111" t="s">
        <v>328</v>
      </c>
      <c r="D5500" s="1111" t="s">
        <v>1361</v>
      </c>
      <c r="E5500" s="1111">
        <v>1</v>
      </c>
      <c r="F5500" s="1112">
        <v>4.8499999999999996</v>
      </c>
      <c r="G5500" s="1113">
        <v>4.8499999999999996</v>
      </c>
      <c r="H5500" s="1113">
        <f t="shared" si="1"/>
        <v>4.4090909090909083</v>
      </c>
      <c r="I5500" s="1111"/>
      <c r="J5500" s="1112"/>
      <c r="K5500" s="1112"/>
      <c r="L5500" s="74"/>
    </row>
    <row r="5501" spans="1:12" ht="19" customHeight="1">
      <c r="A5501" s="74"/>
      <c r="B5501" s="1269">
        <v>46137</v>
      </c>
      <c r="C5501" s="1111" t="s">
        <v>862</v>
      </c>
      <c r="D5501" s="1111" t="s">
        <v>891</v>
      </c>
      <c r="E5501" s="1111">
        <v>1</v>
      </c>
      <c r="F5501" s="1112">
        <v>1.4</v>
      </c>
      <c r="G5501" s="1113">
        <v>1.4</v>
      </c>
      <c r="H5501" s="1113">
        <f t="shared" si="1"/>
        <v>1.2727272727272725</v>
      </c>
      <c r="I5501" s="1111"/>
      <c r="J5501" s="1112"/>
      <c r="K5501" s="1112"/>
      <c r="L5501" s="74"/>
    </row>
    <row r="5502" spans="1:12" ht="19" customHeight="1">
      <c r="A5502" s="74"/>
      <c r="B5502" s="1269">
        <v>46137</v>
      </c>
      <c r="C5502" s="1111" t="s">
        <v>862</v>
      </c>
      <c r="D5502" s="1111" t="s">
        <v>1362</v>
      </c>
      <c r="E5502" s="1111">
        <v>1</v>
      </c>
      <c r="F5502" s="1112">
        <v>1.5</v>
      </c>
      <c r="G5502" s="1113">
        <v>1.5</v>
      </c>
      <c r="H5502" s="1113">
        <f t="shared" si="1"/>
        <v>1.3636363636363635</v>
      </c>
      <c r="I5502" s="1111"/>
      <c r="J5502" s="1112"/>
      <c r="K5502" s="1112"/>
      <c r="L5502" s="74"/>
    </row>
    <row r="5503" spans="1:12" ht="19" customHeight="1">
      <c r="A5503" s="74"/>
      <c r="B5503" s="1269">
        <v>46137</v>
      </c>
      <c r="C5503" s="1111" t="s">
        <v>1265</v>
      </c>
      <c r="D5503" s="1111" t="s">
        <v>1363</v>
      </c>
      <c r="E5503" s="1111">
        <v>1</v>
      </c>
      <c r="F5503" s="1112">
        <v>5.4</v>
      </c>
      <c r="G5503" s="1113">
        <v>5.4</v>
      </c>
      <c r="H5503" s="1113">
        <f t="shared" si="1"/>
        <v>4.9090909090909092</v>
      </c>
      <c r="I5503" s="1111"/>
      <c r="J5503" s="1112"/>
      <c r="K5503" s="1112"/>
      <c r="L5503" s="74"/>
    </row>
    <row r="5504" spans="1:12" ht="19" customHeight="1">
      <c r="A5504" s="74"/>
      <c r="B5504" s="1269">
        <v>46137</v>
      </c>
      <c r="C5504" s="1111" t="s">
        <v>247</v>
      </c>
      <c r="D5504" s="1111" t="s">
        <v>1241</v>
      </c>
      <c r="E5504" s="1111">
        <v>1</v>
      </c>
      <c r="F5504" s="1112">
        <v>1.7</v>
      </c>
      <c r="G5504" s="1113">
        <v>1.7</v>
      </c>
      <c r="H5504" s="1113">
        <f t="shared" si="1"/>
        <v>1.5454545454545452</v>
      </c>
      <c r="I5504" s="1111"/>
      <c r="J5504" s="1112"/>
      <c r="K5504" s="1112"/>
      <c r="L5504" s="74"/>
    </row>
    <row r="5505" spans="1:12" ht="19" customHeight="1">
      <c r="A5505" s="74"/>
      <c r="B5505" s="1269">
        <v>46137</v>
      </c>
      <c r="C5505" s="1111" t="s">
        <v>268</v>
      </c>
      <c r="D5505" s="1111" t="s">
        <v>858</v>
      </c>
      <c r="E5505" s="1111">
        <v>1</v>
      </c>
      <c r="F5505" s="1112">
        <v>0.65</v>
      </c>
      <c r="G5505" s="1113">
        <v>0.65</v>
      </c>
      <c r="H5505" s="1113">
        <f t="shared" si="1"/>
        <v>0.59090909090909083</v>
      </c>
      <c r="I5505" s="1111"/>
      <c r="J5505" s="1112"/>
      <c r="K5505" s="1112"/>
      <c r="L5505" s="74"/>
    </row>
    <row r="5506" spans="1:12" ht="19" customHeight="1">
      <c r="A5506" s="74"/>
      <c r="B5506" s="1269">
        <v>46137</v>
      </c>
      <c r="C5506" s="1111" t="s">
        <v>247</v>
      </c>
      <c r="D5506" s="1111" t="s">
        <v>1253</v>
      </c>
      <c r="E5506" s="1111">
        <v>1</v>
      </c>
      <c r="F5506" s="1112">
        <v>1.4</v>
      </c>
      <c r="G5506" s="1113">
        <v>1.4</v>
      </c>
      <c r="H5506" s="1113">
        <f t="shared" si="1"/>
        <v>1.2727272727272725</v>
      </c>
      <c r="I5506" s="1111"/>
      <c r="J5506" s="1112"/>
      <c r="K5506" s="1112"/>
      <c r="L5506" s="74"/>
    </row>
    <row r="5507" spans="1:12" ht="19" customHeight="1">
      <c r="A5507" s="74"/>
      <c r="B5507" s="1269">
        <v>46137</v>
      </c>
      <c r="C5507" s="1111" t="s">
        <v>247</v>
      </c>
      <c r="D5507" s="1111" t="s">
        <v>1253</v>
      </c>
      <c r="E5507" s="1111">
        <v>1</v>
      </c>
      <c r="F5507" s="1112">
        <v>1.4</v>
      </c>
      <c r="G5507" s="1113">
        <v>1.4</v>
      </c>
      <c r="H5507" s="1113">
        <f t="shared" si="1"/>
        <v>1.2727272727272725</v>
      </c>
      <c r="I5507" s="1111"/>
      <c r="J5507" s="1112"/>
      <c r="K5507" s="1112"/>
      <c r="L5507" s="74"/>
    </row>
    <row r="5508" spans="1:12" ht="19" customHeight="1">
      <c r="A5508" s="74"/>
      <c r="B5508" s="1269">
        <v>46137</v>
      </c>
      <c r="C5508" s="1111" t="s">
        <v>1265</v>
      </c>
      <c r="D5508" s="1111" t="s">
        <v>895</v>
      </c>
      <c r="E5508" s="1111">
        <v>1</v>
      </c>
      <c r="F5508" s="1112">
        <v>7.1</v>
      </c>
      <c r="G5508" s="1113">
        <v>7.1</v>
      </c>
      <c r="H5508" s="1113">
        <f t="shared" ref="H5508:H5539" si="2">G5508/1.1</f>
        <v>6.4545454545454541</v>
      </c>
      <c r="I5508" s="1111"/>
      <c r="J5508" s="1112"/>
      <c r="K5508" s="1112"/>
      <c r="L5508" s="74"/>
    </row>
    <row r="5509" spans="1:12" ht="19" customHeight="1">
      <c r="A5509" s="74"/>
      <c r="B5509" s="1269">
        <v>46137</v>
      </c>
      <c r="C5509" s="1111" t="s">
        <v>1265</v>
      </c>
      <c r="D5509" s="1111" t="s">
        <v>1363</v>
      </c>
      <c r="E5509" s="1111">
        <v>1</v>
      </c>
      <c r="F5509" s="1112">
        <v>5.4</v>
      </c>
      <c r="G5509" s="1113">
        <v>5.4</v>
      </c>
      <c r="H5509" s="1113">
        <f t="shared" si="2"/>
        <v>4.9090909090909092</v>
      </c>
      <c r="I5509" s="1111"/>
      <c r="J5509" s="1112"/>
      <c r="K5509" s="1112"/>
      <c r="L5509" s="74"/>
    </row>
    <row r="5510" spans="1:12" ht="19" customHeight="1">
      <c r="A5510" s="74"/>
      <c r="B5510" s="1269">
        <v>46137</v>
      </c>
      <c r="C5510" s="1111" t="s">
        <v>268</v>
      </c>
      <c r="D5510" s="1111" t="s">
        <v>1364</v>
      </c>
      <c r="E5510" s="1111">
        <v>1</v>
      </c>
      <c r="F5510" s="1112">
        <v>1.75</v>
      </c>
      <c r="G5510" s="1113">
        <v>1.75</v>
      </c>
      <c r="H5510" s="1113">
        <f t="shared" si="2"/>
        <v>1.5909090909090908</v>
      </c>
      <c r="I5510" s="1111"/>
      <c r="J5510" s="1112"/>
      <c r="K5510" s="1112"/>
      <c r="L5510" s="74"/>
    </row>
    <row r="5511" spans="1:12" ht="19" customHeight="1">
      <c r="A5511" s="74"/>
      <c r="B5511" s="1269">
        <v>46137</v>
      </c>
      <c r="C5511" s="1111" t="s">
        <v>247</v>
      </c>
      <c r="D5511" s="1111" t="s">
        <v>1241</v>
      </c>
      <c r="E5511" s="1111">
        <v>1</v>
      </c>
      <c r="F5511" s="1112">
        <v>1.7</v>
      </c>
      <c r="G5511" s="1113">
        <v>1.7</v>
      </c>
      <c r="H5511" s="1113">
        <f t="shared" si="2"/>
        <v>1.5454545454545452</v>
      </c>
      <c r="I5511" s="1111"/>
      <c r="J5511" s="1112"/>
      <c r="K5511" s="1112"/>
      <c r="L5511" s="74"/>
    </row>
    <row r="5512" spans="1:12" ht="19" customHeight="1">
      <c r="A5512" s="74"/>
      <c r="B5512" s="1269">
        <v>46137</v>
      </c>
      <c r="C5512" s="1111" t="s">
        <v>862</v>
      </c>
      <c r="D5512" s="1111" t="s">
        <v>1268</v>
      </c>
      <c r="E5512" s="1111">
        <v>1</v>
      </c>
      <c r="F5512" s="1112">
        <v>0.05</v>
      </c>
      <c r="G5512" s="1113">
        <v>0.05</v>
      </c>
      <c r="H5512" s="1113">
        <f t="shared" si="2"/>
        <v>4.5454545454545456E-2</v>
      </c>
      <c r="I5512" s="1111"/>
      <c r="J5512" s="1112"/>
      <c r="K5512" s="1112"/>
      <c r="L5512" s="74"/>
    </row>
    <row r="5513" spans="1:12" ht="19" customHeight="1">
      <c r="A5513" s="74"/>
      <c r="B5513" s="1269">
        <v>46137</v>
      </c>
      <c r="C5513" s="1111" t="s">
        <v>247</v>
      </c>
      <c r="D5513" s="1111" t="s">
        <v>1253</v>
      </c>
      <c r="E5513" s="1111">
        <v>1</v>
      </c>
      <c r="F5513" s="1112">
        <v>1.4</v>
      </c>
      <c r="G5513" s="1113">
        <v>1.4</v>
      </c>
      <c r="H5513" s="1113">
        <f t="shared" si="2"/>
        <v>1.2727272727272725</v>
      </c>
      <c r="I5513" s="1111"/>
      <c r="J5513" s="1112"/>
      <c r="K5513" s="1112"/>
      <c r="L5513" s="74"/>
    </row>
    <row r="5514" spans="1:12" ht="19" customHeight="1">
      <c r="A5514" s="74"/>
      <c r="B5514" s="1269">
        <v>46137</v>
      </c>
      <c r="C5514" s="1111" t="s">
        <v>1345</v>
      </c>
      <c r="D5514" s="1111" t="s">
        <v>742</v>
      </c>
      <c r="E5514" s="1111">
        <v>1</v>
      </c>
      <c r="F5514" s="1112">
        <v>2.75</v>
      </c>
      <c r="G5514" s="1113">
        <v>2.75</v>
      </c>
      <c r="H5514" s="1113">
        <f t="shared" si="2"/>
        <v>2.5</v>
      </c>
      <c r="I5514" s="1111"/>
      <c r="J5514" s="1112"/>
      <c r="K5514" s="1112"/>
      <c r="L5514" s="74"/>
    </row>
    <row r="5515" spans="1:12" ht="19" customHeight="1">
      <c r="A5515" s="74"/>
      <c r="B5515" s="1269">
        <v>46137</v>
      </c>
      <c r="C5515" s="1111" t="s">
        <v>1265</v>
      </c>
      <c r="D5515" s="1111" t="s">
        <v>814</v>
      </c>
      <c r="E5515" s="1111">
        <v>1</v>
      </c>
      <c r="F5515" s="1112">
        <v>5.4</v>
      </c>
      <c r="G5515" s="1113">
        <v>5.4</v>
      </c>
      <c r="H5515" s="1113">
        <f t="shared" si="2"/>
        <v>4.9090909090909092</v>
      </c>
      <c r="I5515" s="1111"/>
      <c r="J5515" s="1112"/>
      <c r="K5515" s="1112"/>
      <c r="L5515" s="74"/>
    </row>
    <row r="5516" spans="1:12" ht="19" customHeight="1">
      <c r="A5516" s="74"/>
      <c r="B5516" s="1269">
        <v>46137</v>
      </c>
      <c r="C5516" s="1111" t="s">
        <v>247</v>
      </c>
      <c r="D5516" s="1111" t="s">
        <v>1241</v>
      </c>
      <c r="E5516" s="1111">
        <v>1</v>
      </c>
      <c r="F5516" s="1112">
        <v>1.7</v>
      </c>
      <c r="G5516" s="1113">
        <v>1.7</v>
      </c>
      <c r="H5516" s="1113">
        <f t="shared" si="2"/>
        <v>1.5454545454545452</v>
      </c>
      <c r="I5516" s="1111"/>
      <c r="J5516" s="1112"/>
      <c r="K5516" s="1112"/>
      <c r="L5516" s="74"/>
    </row>
    <row r="5517" spans="1:12" ht="19" customHeight="1">
      <c r="A5517" s="74"/>
      <c r="B5517" s="1269">
        <v>46137</v>
      </c>
      <c r="C5517" s="1111" t="s">
        <v>268</v>
      </c>
      <c r="D5517" s="1111" t="s">
        <v>1364</v>
      </c>
      <c r="E5517" s="1111">
        <v>1</v>
      </c>
      <c r="F5517" s="1112">
        <v>1.75</v>
      </c>
      <c r="G5517" s="1113">
        <v>1.75</v>
      </c>
      <c r="H5517" s="1113">
        <f t="shared" si="2"/>
        <v>1.5909090909090908</v>
      </c>
      <c r="I5517" s="1111"/>
      <c r="J5517" s="1112"/>
      <c r="K5517" s="1112"/>
      <c r="L5517" s="74"/>
    </row>
    <row r="5518" spans="1:12" ht="19" customHeight="1">
      <c r="A5518" s="74"/>
      <c r="B5518" s="1269">
        <v>46137</v>
      </c>
      <c r="C5518" s="1111" t="s">
        <v>268</v>
      </c>
      <c r="D5518" s="1111" t="s">
        <v>1242</v>
      </c>
      <c r="E5518" s="1111">
        <v>1</v>
      </c>
      <c r="F5518" s="1112">
        <v>2.25</v>
      </c>
      <c r="G5518" s="1113">
        <v>2.25</v>
      </c>
      <c r="H5518" s="1113">
        <f t="shared" si="2"/>
        <v>2.0454545454545454</v>
      </c>
      <c r="I5518" s="1111"/>
      <c r="J5518" s="1112"/>
      <c r="K5518" s="1112"/>
      <c r="L5518" s="74"/>
    </row>
    <row r="5519" spans="1:12" ht="19" customHeight="1">
      <c r="A5519" s="74"/>
      <c r="B5519" s="1269">
        <v>46137</v>
      </c>
      <c r="C5519" s="1111" t="s">
        <v>247</v>
      </c>
      <c r="D5519" s="1111" t="s">
        <v>1241</v>
      </c>
      <c r="E5519" s="1111">
        <v>1</v>
      </c>
      <c r="F5519" s="1112">
        <v>1.7</v>
      </c>
      <c r="G5519" s="1113">
        <v>1.7</v>
      </c>
      <c r="H5519" s="1113">
        <f t="shared" si="2"/>
        <v>1.5454545454545452</v>
      </c>
      <c r="I5519" s="1111"/>
      <c r="J5519" s="1112"/>
      <c r="K5519" s="1112"/>
      <c r="L5519" s="74"/>
    </row>
    <row r="5520" spans="1:12" ht="19" customHeight="1">
      <c r="A5520" s="74"/>
      <c r="B5520" s="1269">
        <v>46137</v>
      </c>
      <c r="C5520" s="1111" t="s">
        <v>268</v>
      </c>
      <c r="D5520" s="1111" t="s">
        <v>858</v>
      </c>
      <c r="E5520" s="1111">
        <v>1</v>
      </c>
      <c r="F5520" s="1112">
        <v>0.75</v>
      </c>
      <c r="G5520" s="1113">
        <v>0.75</v>
      </c>
      <c r="H5520" s="1113">
        <f t="shared" si="2"/>
        <v>0.68181818181818177</v>
      </c>
      <c r="I5520" s="1111"/>
      <c r="J5520" s="1112"/>
      <c r="K5520" s="1112"/>
      <c r="L5520" s="74"/>
    </row>
    <row r="5521" spans="1:12" ht="19" customHeight="1">
      <c r="A5521" s="74"/>
      <c r="B5521" s="1269">
        <v>46137</v>
      </c>
      <c r="C5521" s="1111" t="s">
        <v>1287</v>
      </c>
      <c r="D5521" s="1111" t="s">
        <v>677</v>
      </c>
      <c r="E5521" s="1111">
        <v>1</v>
      </c>
      <c r="F5521" s="1112">
        <v>1.95</v>
      </c>
      <c r="G5521" s="1113">
        <v>1.95</v>
      </c>
      <c r="H5521" s="1113">
        <f t="shared" si="2"/>
        <v>1.7727272727272725</v>
      </c>
      <c r="I5521" s="1111"/>
      <c r="J5521" s="1112"/>
      <c r="K5521" s="1112"/>
      <c r="L5521" s="74"/>
    </row>
    <row r="5522" spans="1:12" ht="19" customHeight="1">
      <c r="A5522" s="74"/>
      <c r="B5522" s="1269">
        <v>46137</v>
      </c>
      <c r="C5522" s="1111" t="s">
        <v>268</v>
      </c>
      <c r="D5522" s="1111" t="s">
        <v>1242</v>
      </c>
      <c r="E5522" s="1111">
        <v>1</v>
      </c>
      <c r="F5522" s="1112">
        <v>2.25</v>
      </c>
      <c r="G5522" s="1113">
        <v>2.25</v>
      </c>
      <c r="H5522" s="1113">
        <f t="shared" si="2"/>
        <v>2.0454545454545454</v>
      </c>
      <c r="I5522" s="1111"/>
      <c r="J5522" s="1112"/>
      <c r="K5522" s="1112"/>
      <c r="L5522" s="74"/>
    </row>
    <row r="5523" spans="1:12" ht="19" customHeight="1">
      <c r="A5523" s="74"/>
      <c r="B5523" s="1269">
        <v>46137</v>
      </c>
      <c r="C5523" s="1111" t="s">
        <v>247</v>
      </c>
      <c r="D5523" s="1111" t="s">
        <v>1241</v>
      </c>
      <c r="E5523" s="1111">
        <v>1</v>
      </c>
      <c r="F5523" s="1112">
        <v>1.7</v>
      </c>
      <c r="G5523" s="1113">
        <v>1.7</v>
      </c>
      <c r="H5523" s="1113">
        <f t="shared" si="2"/>
        <v>1.5454545454545452</v>
      </c>
      <c r="I5523" s="1111"/>
      <c r="J5523" s="1112"/>
      <c r="K5523" s="1112"/>
      <c r="L5523" s="74"/>
    </row>
    <row r="5524" spans="1:12" ht="19" customHeight="1">
      <c r="A5524" s="74"/>
      <c r="B5524" s="1269">
        <v>46137</v>
      </c>
      <c r="C5524" s="1111" t="s">
        <v>1265</v>
      </c>
      <c r="D5524" s="1111" t="s">
        <v>814</v>
      </c>
      <c r="E5524" s="1111">
        <v>1</v>
      </c>
      <c r="F5524" s="1112">
        <v>5.4</v>
      </c>
      <c r="G5524" s="1113">
        <v>5.4</v>
      </c>
      <c r="H5524" s="1113">
        <f t="shared" si="2"/>
        <v>4.9090909090909092</v>
      </c>
      <c r="I5524" s="1111"/>
      <c r="J5524" s="1112"/>
      <c r="K5524" s="1112"/>
      <c r="L5524" s="74"/>
    </row>
    <row r="5525" spans="1:12" ht="19" customHeight="1">
      <c r="A5525" s="74"/>
      <c r="B5525" s="1269">
        <v>46137</v>
      </c>
      <c r="C5525" s="1111" t="s">
        <v>247</v>
      </c>
      <c r="D5525" s="1111" t="s">
        <v>1253</v>
      </c>
      <c r="E5525" s="1111">
        <v>1</v>
      </c>
      <c r="F5525" s="1112">
        <v>1.4</v>
      </c>
      <c r="G5525" s="1113">
        <v>1.4</v>
      </c>
      <c r="H5525" s="1113">
        <f t="shared" si="2"/>
        <v>1.2727272727272725</v>
      </c>
      <c r="I5525" s="1111"/>
      <c r="J5525" s="1112"/>
      <c r="K5525" s="1112"/>
      <c r="L5525" s="74"/>
    </row>
    <row r="5526" spans="1:12" ht="19" customHeight="1">
      <c r="A5526" s="74"/>
      <c r="B5526" s="1269">
        <v>46137</v>
      </c>
      <c r="C5526" s="1111" t="s">
        <v>247</v>
      </c>
      <c r="D5526" s="1111" t="s">
        <v>1241</v>
      </c>
      <c r="E5526" s="1111">
        <v>1</v>
      </c>
      <c r="F5526" s="1112">
        <v>1.7</v>
      </c>
      <c r="G5526" s="1113">
        <v>1.7</v>
      </c>
      <c r="H5526" s="1113">
        <f t="shared" si="2"/>
        <v>1.5454545454545452</v>
      </c>
      <c r="I5526" s="1111"/>
      <c r="J5526" s="1112"/>
      <c r="K5526" s="1112"/>
      <c r="L5526" s="74"/>
    </row>
    <row r="5527" spans="1:12" ht="19" customHeight="1">
      <c r="A5527" s="74"/>
      <c r="B5527" s="1269">
        <v>46137</v>
      </c>
      <c r="C5527" s="1111" t="s">
        <v>247</v>
      </c>
      <c r="D5527" s="1111" t="s">
        <v>1253</v>
      </c>
      <c r="E5527" s="1111">
        <v>1</v>
      </c>
      <c r="F5527" s="1112">
        <v>1.4</v>
      </c>
      <c r="G5527" s="1113">
        <v>1.4</v>
      </c>
      <c r="H5527" s="1113">
        <f t="shared" si="2"/>
        <v>1.2727272727272725</v>
      </c>
      <c r="I5527" s="1111"/>
      <c r="J5527" s="1112"/>
      <c r="K5527" s="1112"/>
      <c r="L5527" s="74"/>
    </row>
    <row r="5528" spans="1:12" ht="19" customHeight="1">
      <c r="A5528" s="74"/>
      <c r="B5528" s="1269">
        <v>46137</v>
      </c>
      <c r="C5528" s="1111" t="s">
        <v>247</v>
      </c>
      <c r="D5528" s="1111" t="s">
        <v>1253</v>
      </c>
      <c r="E5528" s="1111">
        <v>1</v>
      </c>
      <c r="F5528" s="1112">
        <v>1.4</v>
      </c>
      <c r="G5528" s="1113">
        <v>1.4</v>
      </c>
      <c r="H5528" s="1113">
        <f t="shared" si="2"/>
        <v>1.2727272727272725</v>
      </c>
      <c r="I5528" s="1111"/>
      <c r="J5528" s="1112"/>
      <c r="K5528" s="1112"/>
      <c r="L5528" s="74"/>
    </row>
    <row r="5529" spans="1:12" ht="19" customHeight="1">
      <c r="A5529" s="74"/>
      <c r="B5529" s="1269">
        <v>46137</v>
      </c>
      <c r="C5529" s="1111" t="s">
        <v>247</v>
      </c>
      <c r="D5529" s="1111" t="s">
        <v>1253</v>
      </c>
      <c r="E5529" s="1111">
        <v>1</v>
      </c>
      <c r="F5529" s="1112">
        <v>1.4</v>
      </c>
      <c r="G5529" s="1113">
        <v>1.4</v>
      </c>
      <c r="H5529" s="1113">
        <f t="shared" si="2"/>
        <v>1.2727272727272725</v>
      </c>
      <c r="I5529" s="1111"/>
      <c r="J5529" s="1112"/>
      <c r="K5529" s="1112"/>
      <c r="L5529" s="74"/>
    </row>
    <row r="5530" spans="1:12" ht="19" customHeight="1">
      <c r="A5530" s="74"/>
      <c r="B5530" s="1269">
        <v>46137</v>
      </c>
      <c r="C5530" s="1111" t="s">
        <v>247</v>
      </c>
      <c r="D5530" s="1111" t="s">
        <v>248</v>
      </c>
      <c r="E5530" s="1111">
        <v>1</v>
      </c>
      <c r="F5530" s="1112">
        <v>1.5</v>
      </c>
      <c r="G5530" s="1113">
        <v>1.5</v>
      </c>
      <c r="H5530" s="1113">
        <f t="shared" si="2"/>
        <v>1.3636363636363635</v>
      </c>
      <c r="I5530" s="1111"/>
      <c r="J5530" s="1112"/>
      <c r="K5530" s="1112"/>
      <c r="L5530" s="74"/>
    </row>
    <row r="5531" spans="1:12" ht="19" customHeight="1">
      <c r="A5531" s="74"/>
      <c r="B5531" s="1269">
        <v>46137</v>
      </c>
      <c r="C5531" s="1111" t="s">
        <v>328</v>
      </c>
      <c r="D5531" s="1111" t="s">
        <v>772</v>
      </c>
      <c r="E5531" s="1111">
        <v>1</v>
      </c>
      <c r="F5531" s="1112">
        <v>3.25</v>
      </c>
      <c r="G5531" s="1113">
        <v>3.25</v>
      </c>
      <c r="H5531" s="1113">
        <f t="shared" si="2"/>
        <v>2.9545454545454541</v>
      </c>
      <c r="I5531" s="1111"/>
      <c r="J5531" s="1112"/>
      <c r="K5531" s="1112"/>
      <c r="L5531" s="74"/>
    </row>
    <row r="5532" spans="1:12" ht="19" customHeight="1">
      <c r="A5532" s="74"/>
      <c r="B5532" s="1269">
        <v>46137</v>
      </c>
      <c r="C5532" s="1111" t="s">
        <v>328</v>
      </c>
      <c r="D5532" s="1111" t="s">
        <v>1365</v>
      </c>
      <c r="E5532" s="1111">
        <v>1</v>
      </c>
      <c r="F5532" s="1112">
        <v>0.05</v>
      </c>
      <c r="G5532" s="1113">
        <v>0.05</v>
      </c>
      <c r="H5532" s="1113">
        <f t="shared" si="2"/>
        <v>4.5454545454545456E-2</v>
      </c>
      <c r="I5532" s="1111"/>
      <c r="J5532" s="1112"/>
      <c r="K5532" s="1112"/>
      <c r="L5532" s="74"/>
    </row>
    <row r="5533" spans="1:12" ht="19" customHeight="1">
      <c r="A5533" s="74"/>
      <c r="B5533" s="1269">
        <v>46137</v>
      </c>
      <c r="C5533" s="1111" t="s">
        <v>247</v>
      </c>
      <c r="D5533" s="1111" t="s">
        <v>1241</v>
      </c>
      <c r="E5533" s="1111">
        <v>2</v>
      </c>
      <c r="F5533" s="1112">
        <v>1.7</v>
      </c>
      <c r="G5533" s="1113">
        <v>3.4</v>
      </c>
      <c r="H5533" s="1113">
        <f t="shared" si="2"/>
        <v>3.0909090909090904</v>
      </c>
      <c r="I5533" s="1111"/>
      <c r="J5533" s="1112"/>
      <c r="K5533" s="1112"/>
      <c r="L5533" s="74"/>
    </row>
    <row r="5534" spans="1:12" ht="19" customHeight="1">
      <c r="A5534" s="74"/>
      <c r="B5534" s="1269">
        <v>46137</v>
      </c>
      <c r="C5534" s="1111" t="s">
        <v>268</v>
      </c>
      <c r="D5534" s="1111" t="s">
        <v>858</v>
      </c>
      <c r="E5534" s="1111">
        <v>1</v>
      </c>
      <c r="F5534" s="1112">
        <v>0.75</v>
      </c>
      <c r="G5534" s="1113">
        <v>0.75</v>
      </c>
      <c r="H5534" s="1113">
        <f t="shared" si="2"/>
        <v>0.68181818181818177</v>
      </c>
      <c r="I5534" s="1111"/>
      <c r="J5534" s="1112"/>
      <c r="K5534" s="1112"/>
      <c r="L5534" s="74"/>
    </row>
    <row r="5535" spans="1:12" ht="19" customHeight="1">
      <c r="A5535" s="74"/>
      <c r="B5535" s="1269">
        <v>46137</v>
      </c>
      <c r="C5535" s="1111" t="s">
        <v>247</v>
      </c>
      <c r="D5535" s="1111" t="s">
        <v>1253</v>
      </c>
      <c r="E5535" s="1111">
        <v>1</v>
      </c>
      <c r="F5535" s="1112">
        <v>1.55</v>
      </c>
      <c r="G5535" s="1113">
        <v>1.55</v>
      </c>
      <c r="H5535" s="1113">
        <f t="shared" si="2"/>
        <v>1.4090909090909089</v>
      </c>
      <c r="I5535" s="1111"/>
      <c r="J5535" s="1112"/>
      <c r="K5535" s="1112"/>
      <c r="L5535" s="74"/>
    </row>
    <row r="5536" spans="1:12" ht="19" customHeight="1">
      <c r="A5536" s="74"/>
      <c r="B5536" s="1269">
        <v>46137</v>
      </c>
      <c r="C5536" s="1111" t="s">
        <v>268</v>
      </c>
      <c r="D5536" s="1111" t="s">
        <v>858</v>
      </c>
      <c r="E5536" s="1111">
        <v>1</v>
      </c>
      <c r="F5536" s="1112">
        <v>0.75</v>
      </c>
      <c r="G5536" s="1113">
        <v>0.75</v>
      </c>
      <c r="H5536" s="1113">
        <f t="shared" si="2"/>
        <v>0.68181818181818177</v>
      </c>
      <c r="I5536" s="1111"/>
      <c r="J5536" s="1112"/>
      <c r="K5536" s="1112"/>
      <c r="L5536" s="74"/>
    </row>
    <row r="5537" spans="1:12" ht="19" customHeight="1">
      <c r="A5537" s="74"/>
      <c r="B5537" s="1269">
        <v>46137</v>
      </c>
      <c r="C5537" s="1111" t="s">
        <v>247</v>
      </c>
      <c r="D5537" s="1111" t="s">
        <v>1241</v>
      </c>
      <c r="E5537" s="1111">
        <v>1</v>
      </c>
      <c r="F5537" s="1112">
        <v>1.7</v>
      </c>
      <c r="G5537" s="1113">
        <v>1.7</v>
      </c>
      <c r="H5537" s="1113">
        <f t="shared" si="2"/>
        <v>1.5454545454545452</v>
      </c>
      <c r="I5537" s="1111"/>
      <c r="J5537" s="1112"/>
      <c r="K5537" s="1112"/>
      <c r="L5537" s="74"/>
    </row>
    <row r="5538" spans="1:12" ht="19" customHeight="1">
      <c r="A5538" s="74"/>
      <c r="B5538" s="1269">
        <v>46137</v>
      </c>
      <c r="C5538" s="1111" t="s">
        <v>268</v>
      </c>
      <c r="D5538" s="1111" t="s">
        <v>906</v>
      </c>
      <c r="E5538" s="1111">
        <v>1</v>
      </c>
      <c r="F5538" s="1112">
        <v>1.5</v>
      </c>
      <c r="G5538" s="1113">
        <v>1.5</v>
      </c>
      <c r="H5538" s="1113">
        <f t="shared" si="2"/>
        <v>1.3636363636363635</v>
      </c>
      <c r="I5538" s="1111"/>
      <c r="J5538" s="1112"/>
      <c r="K5538" s="1112"/>
      <c r="L5538" s="74"/>
    </row>
    <row r="5539" spans="1:12" ht="19" customHeight="1">
      <c r="A5539" s="74"/>
      <c r="B5539" s="1269">
        <v>46137</v>
      </c>
      <c r="C5539" s="1111" t="s">
        <v>247</v>
      </c>
      <c r="D5539" s="1111" t="s">
        <v>248</v>
      </c>
      <c r="E5539" s="1111">
        <v>1</v>
      </c>
      <c r="F5539" s="1112">
        <v>1.5</v>
      </c>
      <c r="G5539" s="1113">
        <v>1.5</v>
      </c>
      <c r="H5539" s="1113">
        <f t="shared" si="2"/>
        <v>1.3636363636363635</v>
      </c>
      <c r="I5539" s="1111"/>
      <c r="J5539" s="1112"/>
      <c r="K5539" s="1112"/>
      <c r="L5539" s="74"/>
    </row>
    <row r="5540" spans="1:12" ht="19" customHeight="1">
      <c r="A5540" s="74"/>
      <c r="B5540" s="1269">
        <v>46137</v>
      </c>
      <c r="C5540" s="1111" t="s">
        <v>862</v>
      </c>
      <c r="D5540" s="1111" t="s">
        <v>1268</v>
      </c>
      <c r="E5540" s="1111">
        <v>1</v>
      </c>
      <c r="F5540" s="1112">
        <v>1.5</v>
      </c>
      <c r="G5540" s="1113">
        <v>1.5</v>
      </c>
      <c r="H5540" s="1113">
        <f t="shared" ref="H5540:H5571" si="3">G5540/1.1</f>
        <v>1.3636363636363635</v>
      </c>
      <c r="I5540" s="1111"/>
      <c r="J5540" s="1112"/>
      <c r="K5540" s="1112"/>
      <c r="L5540" s="74"/>
    </row>
    <row r="5541" spans="1:12" ht="19" customHeight="1">
      <c r="A5541" s="74"/>
      <c r="B5541" s="1269">
        <v>46137</v>
      </c>
      <c r="C5541" s="1111" t="s">
        <v>247</v>
      </c>
      <c r="D5541" s="1111" t="s">
        <v>248</v>
      </c>
      <c r="E5541" s="1111">
        <v>1</v>
      </c>
      <c r="F5541" s="1112">
        <v>1.5</v>
      </c>
      <c r="G5541" s="1113">
        <v>1.5</v>
      </c>
      <c r="H5541" s="1113">
        <f t="shared" si="3"/>
        <v>1.3636363636363635</v>
      </c>
      <c r="I5541" s="1111"/>
      <c r="J5541" s="1112"/>
      <c r="K5541" s="1112"/>
      <c r="L5541" s="74"/>
    </row>
    <row r="5542" spans="1:12" ht="19" customHeight="1">
      <c r="A5542" s="74"/>
      <c r="B5542" s="1269">
        <v>46137</v>
      </c>
      <c r="C5542" s="1111" t="s">
        <v>1345</v>
      </c>
      <c r="D5542" s="1111" t="s">
        <v>1366</v>
      </c>
      <c r="E5542" s="1111">
        <v>1</v>
      </c>
      <c r="F5542" s="1112">
        <v>2.35</v>
      </c>
      <c r="G5542" s="1113">
        <v>2.35</v>
      </c>
      <c r="H5542" s="1113">
        <f t="shared" si="3"/>
        <v>2.1363636363636362</v>
      </c>
      <c r="I5542" s="1111"/>
      <c r="J5542" s="1112"/>
      <c r="K5542" s="1112"/>
      <c r="L5542" s="74"/>
    </row>
    <row r="5543" spans="1:12" ht="19" customHeight="1">
      <c r="A5543" s="74"/>
      <c r="B5543" s="1269">
        <v>46137</v>
      </c>
      <c r="C5543" s="1111" t="s">
        <v>328</v>
      </c>
      <c r="D5543" s="1111" t="s">
        <v>761</v>
      </c>
      <c r="E5543" s="1111">
        <v>1</v>
      </c>
      <c r="F5543" s="1112">
        <v>5.65</v>
      </c>
      <c r="G5543" s="1113">
        <v>5.65</v>
      </c>
      <c r="H5543" s="1113">
        <f t="shared" si="3"/>
        <v>5.1363636363636367</v>
      </c>
      <c r="I5543" s="1111"/>
      <c r="J5543" s="1112"/>
      <c r="K5543" s="1112"/>
      <c r="L5543" s="74"/>
    </row>
    <row r="5544" spans="1:12" ht="19" customHeight="1">
      <c r="A5544" s="74"/>
      <c r="B5544" s="1269">
        <v>46137</v>
      </c>
      <c r="C5544" s="1111" t="s">
        <v>328</v>
      </c>
      <c r="D5544" s="1111" t="s">
        <v>1367</v>
      </c>
      <c r="E5544" s="1111">
        <v>1</v>
      </c>
      <c r="F5544" s="1112">
        <v>1.65</v>
      </c>
      <c r="G5544" s="1113">
        <v>1.65</v>
      </c>
      <c r="H5544" s="1113">
        <f t="shared" si="3"/>
        <v>1.4999999999999998</v>
      </c>
      <c r="I5544" s="1111"/>
      <c r="J5544" s="1112"/>
      <c r="K5544" s="1112"/>
      <c r="L5544" s="74"/>
    </row>
    <row r="5545" spans="1:12" ht="19" customHeight="1">
      <c r="A5545" s="74"/>
      <c r="B5545" s="1269">
        <v>46137</v>
      </c>
      <c r="C5545" s="1111" t="s">
        <v>725</v>
      </c>
      <c r="D5545" s="1111" t="s">
        <v>1368</v>
      </c>
      <c r="E5545" s="1111">
        <v>13</v>
      </c>
      <c r="F5545" s="1112">
        <v>0</v>
      </c>
      <c r="G5545" s="1113">
        <v>0</v>
      </c>
      <c r="H5545" s="1113">
        <f t="shared" si="3"/>
        <v>0</v>
      </c>
      <c r="I5545" s="1111"/>
      <c r="J5545" s="1112"/>
      <c r="K5545" s="1112"/>
      <c r="L5545" s="74"/>
    </row>
    <row r="5546" spans="1:12" ht="19" customHeight="1">
      <c r="A5546" s="74"/>
      <c r="B5546" s="1269">
        <v>46136</v>
      </c>
      <c r="C5546" s="1111" t="s">
        <v>873</v>
      </c>
      <c r="D5546" s="1111" t="s">
        <v>1337</v>
      </c>
      <c r="E5546" s="1111">
        <v>1</v>
      </c>
      <c r="F5546" s="1112"/>
      <c r="G5546" s="1113"/>
      <c r="H5546" s="1113">
        <f t="shared" si="3"/>
        <v>0</v>
      </c>
      <c r="I5546" s="1111"/>
      <c r="J5546" s="1112"/>
      <c r="K5546" s="1112"/>
      <c r="L5546" s="74"/>
    </row>
    <row r="5547" spans="1:12" ht="19" customHeight="1">
      <c r="A5547" s="74"/>
      <c r="B5547" s="1269">
        <v>46136</v>
      </c>
      <c r="C5547" s="1111" t="s">
        <v>877</v>
      </c>
      <c r="D5547" s="1111" t="s">
        <v>1015</v>
      </c>
      <c r="E5547" s="1111">
        <v>1</v>
      </c>
      <c r="F5547" s="1112"/>
      <c r="G5547" s="1113"/>
      <c r="H5547" s="1113">
        <f t="shared" si="3"/>
        <v>0</v>
      </c>
      <c r="I5547" s="1111"/>
      <c r="J5547" s="1112"/>
      <c r="K5547" s="1112"/>
      <c r="L5547" s="74"/>
    </row>
    <row r="5548" spans="1:12" ht="19" customHeight="1">
      <c r="A5548" s="74"/>
      <c r="B5548" s="1269">
        <v>46136</v>
      </c>
      <c r="C5548" s="1111" t="s">
        <v>266</v>
      </c>
      <c r="D5548" s="1111" t="s">
        <v>942</v>
      </c>
      <c r="E5548" s="1111">
        <v>1</v>
      </c>
      <c r="F5548" s="1112"/>
      <c r="G5548" s="1113"/>
      <c r="H5548" s="1113">
        <f t="shared" si="3"/>
        <v>0</v>
      </c>
      <c r="I5548" s="1111"/>
      <c r="J5548" s="1112"/>
      <c r="K5548" s="1112"/>
      <c r="L5548" s="74"/>
    </row>
    <row r="5549" spans="1:12" ht="19" customHeight="1">
      <c r="A5549" s="74"/>
      <c r="B5549" s="1269">
        <v>46136</v>
      </c>
      <c r="C5549" s="1111" t="s">
        <v>258</v>
      </c>
      <c r="D5549" s="1111" t="s">
        <v>917</v>
      </c>
      <c r="E5549" s="1111">
        <v>1</v>
      </c>
      <c r="F5549" s="1112"/>
      <c r="G5549" s="1113"/>
      <c r="H5549" s="1113">
        <f t="shared" si="3"/>
        <v>0</v>
      </c>
      <c r="I5549" s="1111"/>
      <c r="J5549" s="1112"/>
      <c r="K5549" s="1112"/>
      <c r="L5549" s="74"/>
    </row>
    <row r="5550" spans="1:12" ht="19" customHeight="1">
      <c r="A5550" s="74"/>
      <c r="B5550" s="1269">
        <v>46136</v>
      </c>
      <c r="C5550" s="1111" t="s">
        <v>873</v>
      </c>
      <c r="D5550" s="1111" t="s">
        <v>1339</v>
      </c>
      <c r="E5550" s="1111">
        <v>1</v>
      </c>
      <c r="F5550" s="1112">
        <v>3</v>
      </c>
      <c r="G5550" s="1113"/>
      <c r="H5550" s="1113">
        <f t="shared" si="3"/>
        <v>0</v>
      </c>
      <c r="I5550" s="1111"/>
      <c r="J5550" s="1112"/>
      <c r="K5550" s="1112"/>
      <c r="L5550" s="74"/>
    </row>
    <row r="5551" spans="1:12" ht="19" customHeight="1">
      <c r="A5551" s="74"/>
      <c r="B5551" s="1269">
        <v>46136</v>
      </c>
      <c r="C5551" s="1111" t="s">
        <v>877</v>
      </c>
      <c r="D5551" s="1111" t="s">
        <v>1338</v>
      </c>
      <c r="E5551" s="1111">
        <v>1</v>
      </c>
      <c r="F5551" s="1112">
        <v>3</v>
      </c>
      <c r="G5551" s="1113"/>
      <c r="H5551" s="1113">
        <f t="shared" si="3"/>
        <v>0</v>
      </c>
      <c r="I5551" s="1111"/>
      <c r="J5551" s="1112"/>
      <c r="K5551" s="1112"/>
      <c r="L5551" s="74"/>
    </row>
    <row r="5552" spans="1:12" ht="19" customHeight="1">
      <c r="A5552" s="74"/>
      <c r="B5552" s="1269">
        <v>46136</v>
      </c>
      <c r="C5552" s="1111" t="s">
        <v>258</v>
      </c>
      <c r="D5552" s="1111" t="s">
        <v>917</v>
      </c>
      <c r="E5552" s="1111">
        <v>1</v>
      </c>
      <c r="F5552" s="1112"/>
      <c r="G5552" s="1113"/>
      <c r="H5552" s="1113">
        <f t="shared" si="3"/>
        <v>0</v>
      </c>
      <c r="I5552" s="1111"/>
      <c r="J5552" s="1112"/>
      <c r="K5552" s="1112"/>
      <c r="L5552" s="74"/>
    </row>
    <row r="5553" spans="1:12" ht="19" customHeight="1">
      <c r="A5553" s="74"/>
      <c r="B5553" s="1269">
        <v>46136</v>
      </c>
      <c r="C5553" s="1111" t="s">
        <v>873</v>
      </c>
      <c r="D5553" s="1111" t="s">
        <v>1369</v>
      </c>
      <c r="E5553" s="1111">
        <v>1</v>
      </c>
      <c r="F5553" s="1112">
        <v>5</v>
      </c>
      <c r="G5553" s="1113"/>
      <c r="H5553" s="1113">
        <f t="shared" si="3"/>
        <v>0</v>
      </c>
      <c r="I5553" s="1111"/>
      <c r="J5553" s="1112"/>
      <c r="K5553" s="1112"/>
      <c r="L5553" s="74"/>
    </row>
    <row r="5554" spans="1:12" ht="19" customHeight="1">
      <c r="A5554" s="74"/>
      <c r="B5554" s="1269">
        <v>46136</v>
      </c>
      <c r="C5554" s="1111" t="s">
        <v>873</v>
      </c>
      <c r="D5554" s="1111" t="s">
        <v>1336</v>
      </c>
      <c r="E5554" s="1111">
        <v>1</v>
      </c>
      <c r="F5554" s="1112"/>
      <c r="G5554" s="1113"/>
      <c r="H5554" s="1113">
        <f t="shared" si="3"/>
        <v>0</v>
      </c>
      <c r="I5554" s="1111"/>
      <c r="J5554" s="1112"/>
      <c r="K5554" s="1112"/>
      <c r="L5554" s="74"/>
    </row>
    <row r="5555" spans="1:12" ht="19" customHeight="1">
      <c r="A5555" s="74"/>
      <c r="B5555" s="1269">
        <v>46136</v>
      </c>
      <c r="C5555" s="1111" t="s">
        <v>877</v>
      </c>
      <c r="D5555" s="1111" t="s">
        <v>1342</v>
      </c>
      <c r="E5555" s="1111">
        <v>1</v>
      </c>
      <c r="F5555" s="1112"/>
      <c r="G5555" s="1113"/>
      <c r="H5555" s="1113">
        <f t="shared" si="3"/>
        <v>0</v>
      </c>
      <c r="I5555" s="1111"/>
      <c r="J5555" s="1112"/>
      <c r="K5555" s="1112"/>
      <c r="L5555" s="74"/>
    </row>
    <row r="5556" spans="1:12" ht="19" customHeight="1">
      <c r="A5556" s="74"/>
      <c r="B5556" s="1269">
        <v>46136</v>
      </c>
      <c r="C5556" s="1111" t="s">
        <v>877</v>
      </c>
      <c r="D5556" s="1111" t="s">
        <v>1338</v>
      </c>
      <c r="E5556" s="1111">
        <v>1</v>
      </c>
      <c r="F5556" s="1112">
        <v>3</v>
      </c>
      <c r="G5556" s="1113"/>
      <c r="H5556" s="1113">
        <f t="shared" si="3"/>
        <v>0</v>
      </c>
      <c r="I5556" s="1111"/>
      <c r="J5556" s="1112"/>
      <c r="K5556" s="1112"/>
      <c r="L5556" s="74"/>
    </row>
    <row r="5557" spans="1:12" ht="19" customHeight="1">
      <c r="A5557" s="74"/>
      <c r="B5557" s="1269">
        <v>46136</v>
      </c>
      <c r="C5557" s="1111" t="s">
        <v>266</v>
      </c>
      <c r="D5557" s="1111" t="s">
        <v>250</v>
      </c>
      <c r="E5557" s="1111">
        <v>2</v>
      </c>
      <c r="F5557" s="1112"/>
      <c r="G5557" s="1113"/>
      <c r="H5557" s="1113">
        <f t="shared" si="3"/>
        <v>0</v>
      </c>
      <c r="I5557" s="1111"/>
      <c r="J5557" s="1112"/>
      <c r="K5557" s="1112"/>
      <c r="L5557" s="74"/>
    </row>
    <row r="5558" spans="1:12" ht="19" customHeight="1">
      <c r="A5558" s="74"/>
      <c r="B5558" s="1270">
        <v>46136</v>
      </c>
      <c r="C5558" s="1114" t="s">
        <v>258</v>
      </c>
      <c r="D5558" s="1114" t="s">
        <v>1081</v>
      </c>
      <c r="E5558" s="1114">
        <v>2</v>
      </c>
      <c r="F5558" s="1115"/>
      <c r="G5558" s="1116"/>
      <c r="H5558" s="1116">
        <f t="shared" si="3"/>
        <v>0</v>
      </c>
      <c r="I5558" s="1114"/>
      <c r="J5558" s="1115"/>
      <c r="K5558" s="1115"/>
      <c r="L5558" s="74"/>
    </row>
    <row r="5559" spans="1:12" ht="19" customHeight="1">
      <c r="A5559" s="74"/>
      <c r="B5559" s="1269">
        <v>46141</v>
      </c>
      <c r="C5559" s="1111" t="s">
        <v>266</v>
      </c>
      <c r="D5559" s="1111" t="s">
        <v>250</v>
      </c>
      <c r="E5559" s="1111">
        <v>2</v>
      </c>
      <c r="F5559" s="1112"/>
      <c r="G5559" s="1113"/>
      <c r="H5559" s="1113">
        <f t="shared" ref="H5559:H5590" si="4">G5559/1.1</f>
        <v>0</v>
      </c>
      <c r="I5559" s="1111"/>
      <c r="J5559" s="1112">
        <v>0</v>
      </c>
      <c r="K5559" s="1112">
        <v>0</v>
      </c>
      <c r="L5559" s="74"/>
    </row>
    <row r="5560" spans="1:12" ht="19" customHeight="1">
      <c r="A5560" s="74"/>
      <c r="B5560" s="1269">
        <v>46141</v>
      </c>
      <c r="C5560" s="1111" t="s">
        <v>258</v>
      </c>
      <c r="D5560" s="1111" t="s">
        <v>1293</v>
      </c>
      <c r="E5560" s="1111">
        <v>1</v>
      </c>
      <c r="F5560" s="1112"/>
      <c r="G5560" s="1113"/>
      <c r="H5560" s="1113">
        <f t="shared" si="4"/>
        <v>0</v>
      </c>
      <c r="I5560" s="1111"/>
      <c r="J5560" s="1112">
        <v>0</v>
      </c>
      <c r="K5560" s="1112">
        <v>0</v>
      </c>
      <c r="L5560" s="74"/>
    </row>
    <row r="5561" spans="1:12" ht="19" customHeight="1">
      <c r="A5561" s="74"/>
      <c r="B5561" s="1269">
        <v>46141</v>
      </c>
      <c r="C5561" s="1111" t="s">
        <v>258</v>
      </c>
      <c r="D5561" s="1111" t="s">
        <v>1305</v>
      </c>
      <c r="E5561" s="1111">
        <v>1</v>
      </c>
      <c r="F5561" s="1112"/>
      <c r="G5561" s="1113"/>
      <c r="H5561" s="1113">
        <f t="shared" si="4"/>
        <v>0</v>
      </c>
      <c r="I5561" s="1111"/>
      <c r="J5561" s="1112">
        <v>0</v>
      </c>
      <c r="K5561" s="1112">
        <v>0</v>
      </c>
      <c r="L5561" s="74"/>
    </row>
    <row r="5562" spans="1:12" ht="19" customHeight="1">
      <c r="A5562" s="74"/>
      <c r="B5562" s="1269">
        <v>46141</v>
      </c>
      <c r="C5562" s="1111" t="s">
        <v>873</v>
      </c>
      <c r="D5562" s="1111" t="s">
        <v>1370</v>
      </c>
      <c r="E5562" s="1111">
        <v>1</v>
      </c>
      <c r="F5562" s="1112"/>
      <c r="G5562" s="1113"/>
      <c r="H5562" s="1113">
        <f t="shared" si="4"/>
        <v>0</v>
      </c>
      <c r="I5562" s="1111"/>
      <c r="J5562" s="1112">
        <v>0</v>
      </c>
      <c r="K5562" s="1112">
        <v>0</v>
      </c>
      <c r="L5562" s="74"/>
    </row>
    <row r="5563" spans="1:12" ht="19" customHeight="1">
      <c r="A5563" s="74"/>
      <c r="B5563" s="1269">
        <v>46141</v>
      </c>
      <c r="C5563" s="1111" t="s">
        <v>873</v>
      </c>
      <c r="D5563" s="1111" t="s">
        <v>1371</v>
      </c>
      <c r="E5563" s="1111">
        <v>1</v>
      </c>
      <c r="F5563" s="1112"/>
      <c r="G5563" s="1113"/>
      <c r="H5563" s="1113">
        <f t="shared" si="4"/>
        <v>0</v>
      </c>
      <c r="I5563" s="1111"/>
      <c r="J5563" s="1112">
        <v>0</v>
      </c>
      <c r="K5563" s="1112">
        <v>0</v>
      </c>
      <c r="L5563" s="74"/>
    </row>
    <row r="5564" spans="1:12" ht="19" customHeight="1">
      <c r="A5564" s="74"/>
      <c r="B5564" s="1269">
        <v>46141</v>
      </c>
      <c r="C5564" s="1111" t="s">
        <v>877</v>
      </c>
      <c r="D5564" s="1111" t="s">
        <v>1372</v>
      </c>
      <c r="E5564" s="1111">
        <v>1</v>
      </c>
      <c r="F5564" s="1112"/>
      <c r="G5564" s="1113"/>
      <c r="H5564" s="1113">
        <f t="shared" si="4"/>
        <v>0</v>
      </c>
      <c r="I5564" s="1111"/>
      <c r="J5564" s="1112">
        <v>0</v>
      </c>
      <c r="K5564" s="1112">
        <v>0</v>
      </c>
      <c r="L5564" s="74"/>
    </row>
    <row r="5565" spans="1:12" ht="19" customHeight="1">
      <c r="A5565" s="74"/>
      <c r="B5565" s="1269">
        <v>46141</v>
      </c>
      <c r="C5565" s="1111" t="s">
        <v>877</v>
      </c>
      <c r="D5565" s="1111" t="s">
        <v>1373</v>
      </c>
      <c r="E5565" s="1111">
        <v>1</v>
      </c>
      <c r="F5565" s="1112"/>
      <c r="G5565" s="1113"/>
      <c r="H5565" s="1113">
        <f t="shared" si="4"/>
        <v>0</v>
      </c>
      <c r="I5565" s="1111"/>
      <c r="J5565" s="1112">
        <v>0</v>
      </c>
      <c r="K5565" s="1112">
        <v>0</v>
      </c>
      <c r="L5565" s="74"/>
    </row>
    <row r="5566" spans="1:12" ht="19" customHeight="1">
      <c r="A5566" s="74"/>
      <c r="B5566" s="1269">
        <v>46141</v>
      </c>
      <c r="C5566" s="1111" t="s">
        <v>266</v>
      </c>
      <c r="D5566" s="1111" t="s">
        <v>250</v>
      </c>
      <c r="E5566" s="1111">
        <v>1</v>
      </c>
      <c r="F5566" s="1112"/>
      <c r="G5566" s="1113"/>
      <c r="H5566" s="1113">
        <f t="shared" si="4"/>
        <v>0</v>
      </c>
      <c r="I5566" s="1111"/>
      <c r="J5566" s="1112">
        <v>0</v>
      </c>
      <c r="K5566" s="1112">
        <v>0</v>
      </c>
      <c r="L5566" s="74"/>
    </row>
    <row r="5567" spans="1:12" ht="19" customHeight="1">
      <c r="A5567" s="74"/>
      <c r="B5567" s="1269">
        <v>46141</v>
      </c>
      <c r="C5567" s="1111" t="s">
        <v>258</v>
      </c>
      <c r="D5567" s="1111" t="s">
        <v>883</v>
      </c>
      <c r="E5567" s="1111">
        <v>1</v>
      </c>
      <c r="F5567" s="1112"/>
      <c r="G5567" s="1113"/>
      <c r="H5567" s="1113">
        <f t="shared" si="4"/>
        <v>0</v>
      </c>
      <c r="I5567" s="1111"/>
      <c r="J5567" s="1112">
        <v>0</v>
      </c>
      <c r="K5567" s="1112">
        <v>0</v>
      </c>
      <c r="L5567" s="74"/>
    </row>
    <row r="5568" spans="1:12" ht="19" customHeight="1">
      <c r="A5568" s="74"/>
      <c r="B5568" s="1269">
        <v>46141</v>
      </c>
      <c r="C5568" s="1111" t="s">
        <v>258</v>
      </c>
      <c r="D5568" s="1111" t="s">
        <v>1305</v>
      </c>
      <c r="E5568" s="1111">
        <v>1</v>
      </c>
      <c r="F5568" s="1112"/>
      <c r="G5568" s="1113"/>
      <c r="H5568" s="1113">
        <f t="shared" si="4"/>
        <v>0</v>
      </c>
      <c r="I5568" s="1111"/>
      <c r="J5568" s="1112">
        <v>0</v>
      </c>
      <c r="K5568" s="1112">
        <v>0</v>
      </c>
      <c r="L5568" s="74"/>
    </row>
    <row r="5569" spans="1:12" ht="19" customHeight="1">
      <c r="A5569" s="74"/>
      <c r="B5569" s="1269">
        <v>46141</v>
      </c>
      <c r="C5569" s="1111" t="s">
        <v>873</v>
      </c>
      <c r="D5569" s="1111" t="s">
        <v>1371</v>
      </c>
      <c r="E5569" s="1111">
        <v>1</v>
      </c>
      <c r="F5569" s="1112"/>
      <c r="G5569" s="1113"/>
      <c r="H5569" s="1113">
        <f t="shared" si="4"/>
        <v>0</v>
      </c>
      <c r="I5569" s="1111"/>
      <c r="J5569" s="1112">
        <v>0</v>
      </c>
      <c r="K5569" s="1112">
        <v>0</v>
      </c>
      <c r="L5569" s="74"/>
    </row>
    <row r="5570" spans="1:12" ht="19" customHeight="1">
      <c r="A5570" s="74"/>
      <c r="B5570" s="1269">
        <v>46141</v>
      </c>
      <c r="C5570" s="1111" t="s">
        <v>877</v>
      </c>
      <c r="D5570" s="1111" t="s">
        <v>1373</v>
      </c>
      <c r="E5570" s="1111">
        <v>1</v>
      </c>
      <c r="F5570" s="1112"/>
      <c r="G5570" s="1113"/>
      <c r="H5570" s="1113">
        <f t="shared" si="4"/>
        <v>0</v>
      </c>
      <c r="I5570" s="1111"/>
      <c r="J5570" s="1112">
        <v>0</v>
      </c>
      <c r="K5570" s="1112">
        <v>0</v>
      </c>
      <c r="L5570" s="74"/>
    </row>
    <row r="5571" spans="1:12" ht="19" customHeight="1">
      <c r="A5571" s="74"/>
      <c r="B5571" s="1269">
        <v>46141</v>
      </c>
      <c r="C5571" s="1111" t="s">
        <v>266</v>
      </c>
      <c r="D5571" s="1111" t="s">
        <v>250</v>
      </c>
      <c r="E5571" s="1111">
        <v>1</v>
      </c>
      <c r="F5571" s="1112"/>
      <c r="G5571" s="1113"/>
      <c r="H5571" s="1113">
        <f t="shared" si="4"/>
        <v>0</v>
      </c>
      <c r="I5571" s="1111"/>
      <c r="J5571" s="1112">
        <v>0</v>
      </c>
      <c r="K5571" s="1112">
        <v>0</v>
      </c>
      <c r="L5571" s="74"/>
    </row>
    <row r="5572" spans="1:12" ht="19" customHeight="1">
      <c r="A5572" s="74"/>
      <c r="B5572" s="1269">
        <v>46141</v>
      </c>
      <c r="C5572" s="1111" t="s">
        <v>258</v>
      </c>
      <c r="D5572" s="1111" t="s">
        <v>1305</v>
      </c>
      <c r="E5572" s="1111">
        <v>1</v>
      </c>
      <c r="F5572" s="1112"/>
      <c r="G5572" s="1113"/>
      <c r="H5572" s="1113">
        <f t="shared" si="4"/>
        <v>0</v>
      </c>
      <c r="I5572" s="1111"/>
      <c r="J5572" s="1112">
        <v>0</v>
      </c>
      <c r="K5572" s="1112">
        <v>0</v>
      </c>
      <c r="L5572" s="74"/>
    </row>
    <row r="5573" spans="1:12" ht="19" customHeight="1">
      <c r="A5573" s="74"/>
      <c r="B5573" s="1269">
        <v>46141</v>
      </c>
      <c r="C5573" s="1111" t="s">
        <v>873</v>
      </c>
      <c r="D5573" s="1111" t="s">
        <v>1370</v>
      </c>
      <c r="E5573" s="1111">
        <v>1</v>
      </c>
      <c r="F5573" s="1112"/>
      <c r="G5573" s="1113"/>
      <c r="H5573" s="1113">
        <f t="shared" si="4"/>
        <v>0</v>
      </c>
      <c r="I5573" s="1111"/>
      <c r="J5573" s="1112">
        <v>0</v>
      </c>
      <c r="K5573" s="1112">
        <v>0</v>
      </c>
      <c r="L5573" s="74"/>
    </row>
    <row r="5574" spans="1:12" ht="19" customHeight="1">
      <c r="A5574" s="74"/>
      <c r="B5574" s="1269">
        <v>46141</v>
      </c>
      <c r="C5574" s="1111" t="s">
        <v>877</v>
      </c>
      <c r="D5574" s="1111" t="s">
        <v>1372</v>
      </c>
      <c r="E5574" s="1111">
        <v>1</v>
      </c>
      <c r="F5574" s="1112"/>
      <c r="G5574" s="1113"/>
      <c r="H5574" s="1113">
        <f t="shared" si="4"/>
        <v>0</v>
      </c>
      <c r="I5574" s="1111"/>
      <c r="J5574" s="1112">
        <v>0</v>
      </c>
      <c r="K5574" s="1112">
        <v>0</v>
      </c>
      <c r="L5574" s="74"/>
    </row>
    <row r="5575" spans="1:12" ht="19" customHeight="1">
      <c r="A5575" s="74"/>
      <c r="B5575" s="1269">
        <v>46141</v>
      </c>
      <c r="C5575" s="1111" t="s">
        <v>266</v>
      </c>
      <c r="D5575" s="1111" t="s">
        <v>250</v>
      </c>
      <c r="E5575" s="1111">
        <v>1</v>
      </c>
      <c r="F5575" s="1112"/>
      <c r="G5575" s="1113"/>
      <c r="H5575" s="1113">
        <f t="shared" si="4"/>
        <v>0</v>
      </c>
      <c r="I5575" s="1111"/>
      <c r="J5575" s="1112">
        <v>0</v>
      </c>
      <c r="K5575" s="1112">
        <v>0</v>
      </c>
      <c r="L5575" s="74"/>
    </row>
    <row r="5576" spans="1:12" ht="19" customHeight="1">
      <c r="A5576" s="74"/>
      <c r="B5576" s="1269">
        <v>46141</v>
      </c>
      <c r="C5576" s="1111" t="s">
        <v>258</v>
      </c>
      <c r="D5576" s="1111" t="s">
        <v>1305</v>
      </c>
      <c r="E5576" s="1111">
        <v>1</v>
      </c>
      <c r="F5576" s="1112"/>
      <c r="G5576" s="1113"/>
      <c r="H5576" s="1113">
        <f t="shared" si="4"/>
        <v>0</v>
      </c>
      <c r="I5576" s="1111"/>
      <c r="J5576" s="1112">
        <v>0</v>
      </c>
      <c r="K5576" s="1112">
        <v>0</v>
      </c>
      <c r="L5576" s="74"/>
    </row>
    <row r="5577" spans="1:12" ht="19" customHeight="1">
      <c r="A5577" s="74"/>
      <c r="B5577" s="1269">
        <v>46141</v>
      </c>
      <c r="C5577" s="1111" t="s">
        <v>873</v>
      </c>
      <c r="D5577" s="1111" t="s">
        <v>1370</v>
      </c>
      <c r="E5577" s="1111">
        <v>1</v>
      </c>
      <c r="F5577" s="1112"/>
      <c r="G5577" s="1113"/>
      <c r="H5577" s="1113">
        <f t="shared" si="4"/>
        <v>0</v>
      </c>
      <c r="I5577" s="1111"/>
      <c r="J5577" s="1112">
        <v>0</v>
      </c>
      <c r="K5577" s="1112">
        <v>0</v>
      </c>
      <c r="L5577" s="74"/>
    </row>
    <row r="5578" spans="1:12" ht="19" customHeight="1">
      <c r="A5578" s="74"/>
      <c r="B5578" s="1269">
        <v>46141</v>
      </c>
      <c r="C5578" s="1111" t="s">
        <v>873</v>
      </c>
      <c r="D5578" s="1111" t="s">
        <v>1337</v>
      </c>
      <c r="E5578" s="1111">
        <v>1</v>
      </c>
      <c r="F5578" s="1112"/>
      <c r="G5578" s="1113"/>
      <c r="H5578" s="1113">
        <f t="shared" si="4"/>
        <v>0</v>
      </c>
      <c r="I5578" s="1111"/>
      <c r="J5578" s="1112">
        <v>0</v>
      </c>
      <c r="K5578" s="1112">
        <v>0</v>
      </c>
      <c r="L5578" s="74"/>
    </row>
    <row r="5579" spans="1:12" ht="19" customHeight="1">
      <c r="A5579" s="74"/>
      <c r="B5579" s="1269">
        <v>46141</v>
      </c>
      <c r="C5579" s="1111" t="s">
        <v>877</v>
      </c>
      <c r="D5579" s="1111" t="s">
        <v>1372</v>
      </c>
      <c r="E5579" s="1111">
        <v>1</v>
      </c>
      <c r="F5579" s="1112"/>
      <c r="G5579" s="1113"/>
      <c r="H5579" s="1113">
        <f t="shared" si="4"/>
        <v>0</v>
      </c>
      <c r="I5579" s="1111"/>
      <c r="J5579" s="1112">
        <v>0</v>
      </c>
      <c r="K5579" s="1112">
        <v>0</v>
      </c>
      <c r="L5579" s="74"/>
    </row>
    <row r="5580" spans="1:12" ht="19" customHeight="1">
      <c r="A5580" s="74"/>
      <c r="B5580" s="1269">
        <v>46141</v>
      </c>
      <c r="C5580" s="1111" t="s">
        <v>877</v>
      </c>
      <c r="D5580" s="1111" t="s">
        <v>1373</v>
      </c>
      <c r="E5580" s="1111">
        <v>1</v>
      </c>
      <c r="F5580" s="1112"/>
      <c r="G5580" s="1113"/>
      <c r="H5580" s="1113">
        <f t="shared" si="4"/>
        <v>0</v>
      </c>
      <c r="I5580" s="1111"/>
      <c r="J5580" s="1112">
        <v>0</v>
      </c>
      <c r="K5580" s="1112">
        <v>0</v>
      </c>
      <c r="L5580" s="74"/>
    </row>
    <row r="5581" spans="1:12" ht="19" customHeight="1">
      <c r="A5581" s="74"/>
      <c r="B5581" s="1269">
        <v>46141</v>
      </c>
      <c r="C5581" s="1111" t="s">
        <v>258</v>
      </c>
      <c r="D5581" s="1111" t="s">
        <v>1094</v>
      </c>
      <c r="E5581" s="1111">
        <v>2</v>
      </c>
      <c r="F5581" s="1112"/>
      <c r="G5581" s="1113"/>
      <c r="H5581" s="1113">
        <f t="shared" si="4"/>
        <v>0</v>
      </c>
      <c r="I5581" s="1111"/>
      <c r="J5581" s="1112">
        <v>0</v>
      </c>
      <c r="K5581" s="1112">
        <v>0</v>
      </c>
      <c r="L5581" s="74"/>
    </row>
    <row r="5582" spans="1:12" ht="19" customHeight="1">
      <c r="A5582" s="74"/>
      <c r="B5582" s="1269">
        <v>46141</v>
      </c>
      <c r="C5582" s="1111" t="s">
        <v>873</v>
      </c>
      <c r="D5582" s="1111" t="s">
        <v>1370</v>
      </c>
      <c r="E5582" s="1111">
        <v>1</v>
      </c>
      <c r="F5582" s="1112"/>
      <c r="G5582" s="1113"/>
      <c r="H5582" s="1113">
        <f t="shared" si="4"/>
        <v>0</v>
      </c>
      <c r="I5582" s="1111"/>
      <c r="J5582" s="1112">
        <v>0</v>
      </c>
      <c r="K5582" s="1112">
        <v>0</v>
      </c>
      <c r="L5582" s="74"/>
    </row>
    <row r="5583" spans="1:12" ht="19" customHeight="1">
      <c r="A5583" s="74"/>
      <c r="B5583" s="1269">
        <v>46141</v>
      </c>
      <c r="C5583" s="1111" t="s">
        <v>873</v>
      </c>
      <c r="D5583" s="1111" t="s">
        <v>1337</v>
      </c>
      <c r="E5583" s="1111">
        <v>2</v>
      </c>
      <c r="F5583" s="1112"/>
      <c r="G5583" s="1113"/>
      <c r="H5583" s="1113">
        <f t="shared" si="4"/>
        <v>0</v>
      </c>
      <c r="I5583" s="1111"/>
      <c r="J5583" s="1112">
        <v>0</v>
      </c>
      <c r="K5583" s="1112">
        <v>0</v>
      </c>
      <c r="L5583" s="74"/>
    </row>
    <row r="5584" spans="1:12" ht="19" customHeight="1">
      <c r="A5584" s="74"/>
      <c r="B5584" s="1269">
        <v>46141</v>
      </c>
      <c r="C5584" s="1111" t="s">
        <v>877</v>
      </c>
      <c r="D5584" s="1111" t="s">
        <v>1373</v>
      </c>
      <c r="E5584" s="1111">
        <v>1</v>
      </c>
      <c r="F5584" s="1112"/>
      <c r="G5584" s="1113"/>
      <c r="H5584" s="1113">
        <f t="shared" si="4"/>
        <v>0</v>
      </c>
      <c r="I5584" s="1111"/>
      <c r="J5584" s="1112">
        <v>0</v>
      </c>
      <c r="K5584" s="1112">
        <v>0</v>
      </c>
      <c r="L5584" s="74"/>
    </row>
    <row r="5585" spans="1:12" ht="19" customHeight="1">
      <c r="A5585" s="74"/>
      <c r="B5585" s="1269">
        <v>46141</v>
      </c>
      <c r="C5585" s="1111" t="s">
        <v>877</v>
      </c>
      <c r="D5585" s="1111" t="s">
        <v>1374</v>
      </c>
      <c r="E5585" s="1111">
        <v>1</v>
      </c>
      <c r="F5585" s="1112"/>
      <c r="G5585" s="1113"/>
      <c r="H5585" s="1113">
        <f t="shared" si="4"/>
        <v>0</v>
      </c>
      <c r="I5585" s="1111"/>
      <c r="J5585" s="1112">
        <v>0</v>
      </c>
      <c r="K5585" s="1112">
        <v>0</v>
      </c>
      <c r="L5585" s="74"/>
    </row>
    <row r="5586" spans="1:12" ht="19" customHeight="1">
      <c r="A5586" s="74"/>
      <c r="B5586" s="1269">
        <v>46141</v>
      </c>
      <c r="C5586" s="1111" t="s">
        <v>266</v>
      </c>
      <c r="D5586" s="1111" t="s">
        <v>250</v>
      </c>
      <c r="E5586" s="1111">
        <v>2</v>
      </c>
      <c r="F5586" s="1112"/>
      <c r="G5586" s="1113"/>
      <c r="H5586" s="1113">
        <f t="shared" si="4"/>
        <v>0</v>
      </c>
      <c r="I5586" s="1111"/>
      <c r="J5586" s="1112">
        <v>0</v>
      </c>
      <c r="K5586" s="1112">
        <v>0</v>
      </c>
      <c r="L5586" s="74"/>
    </row>
    <row r="5587" spans="1:12" ht="19" customHeight="1">
      <c r="A5587" s="74"/>
      <c r="B5587" s="1269">
        <v>46141</v>
      </c>
      <c r="C5587" s="1111" t="s">
        <v>258</v>
      </c>
      <c r="D5587" s="1111" t="s">
        <v>1305</v>
      </c>
      <c r="E5587" s="1111">
        <v>1</v>
      </c>
      <c r="F5587" s="1112"/>
      <c r="G5587" s="1113"/>
      <c r="H5587" s="1113">
        <f t="shared" si="4"/>
        <v>0</v>
      </c>
      <c r="I5587" s="1111"/>
      <c r="J5587" s="1112">
        <v>0</v>
      </c>
      <c r="K5587" s="1112">
        <v>0</v>
      </c>
      <c r="L5587" s="74"/>
    </row>
    <row r="5588" spans="1:12" ht="19" customHeight="1">
      <c r="A5588" s="74"/>
      <c r="B5588" s="1269">
        <v>46141</v>
      </c>
      <c r="C5588" s="1111" t="s">
        <v>258</v>
      </c>
      <c r="D5588" s="1111" t="s">
        <v>1094</v>
      </c>
      <c r="E5588" s="1111">
        <v>2</v>
      </c>
      <c r="F5588" s="1112"/>
      <c r="G5588" s="1113"/>
      <c r="H5588" s="1113">
        <f t="shared" si="4"/>
        <v>0</v>
      </c>
      <c r="I5588" s="1111"/>
      <c r="J5588" s="1112">
        <v>0</v>
      </c>
      <c r="K5588" s="1112">
        <v>0</v>
      </c>
      <c r="L5588" s="74"/>
    </row>
    <row r="5589" spans="1:12" ht="19" customHeight="1">
      <c r="A5589" s="74"/>
      <c r="B5589" s="1269">
        <v>46141</v>
      </c>
      <c r="C5589" s="1111" t="s">
        <v>873</v>
      </c>
      <c r="D5589" s="1111" t="s">
        <v>1337</v>
      </c>
      <c r="E5589" s="1111">
        <v>1</v>
      </c>
      <c r="F5589" s="1112"/>
      <c r="G5589" s="1113"/>
      <c r="H5589" s="1113">
        <f t="shared" si="4"/>
        <v>0</v>
      </c>
      <c r="I5589" s="1111"/>
      <c r="J5589" s="1112">
        <v>0</v>
      </c>
      <c r="K5589" s="1112">
        <v>0</v>
      </c>
      <c r="L5589" s="74"/>
    </row>
    <row r="5590" spans="1:12" ht="19" customHeight="1">
      <c r="A5590" s="74"/>
      <c r="B5590" s="1269">
        <v>46141</v>
      </c>
      <c r="C5590" s="1111" t="s">
        <v>877</v>
      </c>
      <c r="D5590" s="1111" t="s">
        <v>1374</v>
      </c>
      <c r="E5590" s="1111">
        <v>1</v>
      </c>
      <c r="F5590" s="1112"/>
      <c r="G5590" s="1113"/>
      <c r="H5590" s="1113">
        <f t="shared" si="4"/>
        <v>0</v>
      </c>
      <c r="I5590" s="1111"/>
      <c r="J5590" s="1112">
        <v>0</v>
      </c>
      <c r="K5590" s="1112">
        <v>0</v>
      </c>
      <c r="L5590" s="74"/>
    </row>
    <row r="5591" spans="1:12" ht="19" customHeight="1">
      <c r="A5591" s="74"/>
      <c r="B5591" s="1269">
        <v>46141</v>
      </c>
      <c r="C5591" s="1111" t="s">
        <v>266</v>
      </c>
      <c r="D5591" s="1111" t="s">
        <v>991</v>
      </c>
      <c r="E5591" s="1111">
        <v>1</v>
      </c>
      <c r="F5591" s="1112"/>
      <c r="G5591" s="1113"/>
      <c r="H5591" s="1113">
        <f t="shared" ref="H5591:H5622" si="5">G5591/1.1</f>
        <v>0</v>
      </c>
      <c r="I5591" s="1111"/>
      <c r="J5591" s="1112">
        <v>0</v>
      </c>
      <c r="K5591" s="1112">
        <v>0</v>
      </c>
      <c r="L5591" s="74"/>
    </row>
    <row r="5592" spans="1:12" ht="19" customHeight="1">
      <c r="A5592" s="74"/>
      <c r="B5592" s="1269">
        <v>46141</v>
      </c>
      <c r="C5592" s="1111" t="s">
        <v>258</v>
      </c>
      <c r="D5592" s="1111" t="s">
        <v>1094</v>
      </c>
      <c r="E5592" s="1111">
        <v>1</v>
      </c>
      <c r="F5592" s="1112"/>
      <c r="G5592" s="1113"/>
      <c r="H5592" s="1113">
        <f t="shared" si="5"/>
        <v>0</v>
      </c>
      <c r="I5592" s="1111"/>
      <c r="J5592" s="1112">
        <v>0</v>
      </c>
      <c r="K5592" s="1112">
        <v>0</v>
      </c>
      <c r="L5592" s="74"/>
    </row>
    <row r="5593" spans="1:12" ht="19" customHeight="1">
      <c r="A5593" s="74"/>
      <c r="B5593" s="1269">
        <v>46138</v>
      </c>
      <c r="C5593" s="1111" t="s">
        <v>337</v>
      </c>
      <c r="D5593" s="1111" t="s">
        <v>250</v>
      </c>
      <c r="E5593" s="1111">
        <v>2</v>
      </c>
      <c r="F5593" s="1112">
        <v>1.8</v>
      </c>
      <c r="G5593" s="1113">
        <f t="shared" ref="G5593:G5624" si="6">E5593*F5593</f>
        <v>3.6</v>
      </c>
      <c r="H5593" s="1113">
        <f t="shared" si="5"/>
        <v>3.2727272727272725</v>
      </c>
      <c r="I5593" s="1111"/>
      <c r="J5593" s="1112">
        <v>0</v>
      </c>
      <c r="K5593" s="1112">
        <v>0</v>
      </c>
      <c r="L5593" s="74"/>
    </row>
    <row r="5594" spans="1:12" ht="19" customHeight="1">
      <c r="A5594" s="74"/>
      <c r="B5594" s="1269">
        <v>46138</v>
      </c>
      <c r="C5594" s="1111" t="s">
        <v>256</v>
      </c>
      <c r="D5594" s="1111" t="s">
        <v>255</v>
      </c>
      <c r="E5594" s="1111">
        <v>1</v>
      </c>
      <c r="F5594" s="1112">
        <v>5.6</v>
      </c>
      <c r="G5594" s="1113">
        <f t="shared" si="6"/>
        <v>5.6</v>
      </c>
      <c r="H5594" s="1113">
        <f t="shared" si="5"/>
        <v>5.0909090909090899</v>
      </c>
      <c r="I5594" s="1111"/>
      <c r="J5594" s="1112">
        <v>0</v>
      </c>
      <c r="K5594" s="1112">
        <v>0</v>
      </c>
      <c r="L5594" s="74"/>
    </row>
    <row r="5595" spans="1:12" ht="19" customHeight="1">
      <c r="A5595" s="74"/>
      <c r="B5595" s="1269">
        <v>46138</v>
      </c>
      <c r="C5595" s="1111" t="s">
        <v>256</v>
      </c>
      <c r="D5595" s="1111" t="s">
        <v>679</v>
      </c>
      <c r="E5595" s="1111">
        <v>1</v>
      </c>
      <c r="F5595" s="1112">
        <v>10</v>
      </c>
      <c r="G5595" s="1113">
        <f t="shared" si="6"/>
        <v>10</v>
      </c>
      <c r="H5595" s="1113">
        <f t="shared" si="5"/>
        <v>9.0909090909090899</v>
      </c>
      <c r="I5595" s="1111"/>
      <c r="J5595" s="1112">
        <v>0</v>
      </c>
      <c r="K5595" s="1112">
        <v>0</v>
      </c>
      <c r="L5595" s="74"/>
    </row>
    <row r="5596" spans="1:12" ht="19" customHeight="1">
      <c r="A5596" s="74"/>
      <c r="B5596" s="1269">
        <v>46138</v>
      </c>
      <c r="C5596" s="1111" t="s">
        <v>256</v>
      </c>
      <c r="D5596" s="1111" t="s">
        <v>915</v>
      </c>
      <c r="E5596" s="1111">
        <v>1</v>
      </c>
      <c r="F5596" s="1112">
        <v>10.9</v>
      </c>
      <c r="G5596" s="1113">
        <f t="shared" si="6"/>
        <v>10.9</v>
      </c>
      <c r="H5596" s="1113">
        <f t="shared" si="5"/>
        <v>9.9090909090909083</v>
      </c>
      <c r="I5596" s="1111"/>
      <c r="J5596" s="1112">
        <v>0</v>
      </c>
      <c r="K5596" s="1112">
        <v>0</v>
      </c>
      <c r="L5596" s="74"/>
    </row>
    <row r="5597" spans="1:12" ht="19" customHeight="1">
      <c r="A5597" s="74"/>
      <c r="B5597" s="1269">
        <v>46138</v>
      </c>
      <c r="C5597" s="1111" t="s">
        <v>253</v>
      </c>
      <c r="D5597" s="1111" t="s">
        <v>1269</v>
      </c>
      <c r="E5597" s="1111">
        <v>1</v>
      </c>
      <c r="F5597" s="1112">
        <v>2.15</v>
      </c>
      <c r="G5597" s="1113">
        <f t="shared" si="6"/>
        <v>2.15</v>
      </c>
      <c r="H5597" s="1113">
        <f t="shared" si="5"/>
        <v>1.9545454545454544</v>
      </c>
      <c r="I5597" s="1111"/>
      <c r="J5597" s="1112">
        <v>0</v>
      </c>
      <c r="K5597" s="1112">
        <v>0</v>
      </c>
      <c r="L5597" s="74"/>
    </row>
    <row r="5598" spans="1:12" ht="19" customHeight="1">
      <c r="A5598" s="74"/>
      <c r="B5598" s="1269">
        <v>46138</v>
      </c>
      <c r="C5598" s="1111" t="s">
        <v>251</v>
      </c>
      <c r="D5598" s="1111" t="s">
        <v>265</v>
      </c>
      <c r="E5598" s="1111">
        <v>1</v>
      </c>
      <c r="F5598" s="1112">
        <v>2.65</v>
      </c>
      <c r="G5598" s="1113">
        <f t="shared" si="6"/>
        <v>2.65</v>
      </c>
      <c r="H5598" s="1113">
        <f t="shared" si="5"/>
        <v>2.4090909090909087</v>
      </c>
      <c r="I5598" s="1111"/>
      <c r="J5598" s="1112">
        <v>0</v>
      </c>
      <c r="K5598" s="1112">
        <v>0</v>
      </c>
      <c r="L5598" s="74"/>
    </row>
    <row r="5599" spans="1:12" ht="19" customHeight="1">
      <c r="A5599" s="74"/>
      <c r="B5599" s="1269">
        <v>46138</v>
      </c>
      <c r="C5599" s="1111" t="s">
        <v>321</v>
      </c>
      <c r="D5599" s="1111" t="s">
        <v>930</v>
      </c>
      <c r="E5599" s="1111">
        <v>1</v>
      </c>
      <c r="F5599" s="1112">
        <v>3.5</v>
      </c>
      <c r="G5599" s="1113">
        <f t="shared" si="6"/>
        <v>3.5</v>
      </c>
      <c r="H5599" s="1113">
        <f t="shared" si="5"/>
        <v>3.1818181818181817</v>
      </c>
      <c r="I5599" s="1111"/>
      <c r="J5599" s="1112">
        <v>0</v>
      </c>
      <c r="K5599" s="1112">
        <v>0</v>
      </c>
      <c r="L5599" s="74"/>
    </row>
    <row r="5600" spans="1:12" ht="19" customHeight="1">
      <c r="A5600" s="74"/>
      <c r="B5600" s="1269">
        <v>46138</v>
      </c>
      <c r="C5600" s="1111" t="s">
        <v>256</v>
      </c>
      <c r="D5600" s="1111" t="s">
        <v>986</v>
      </c>
      <c r="E5600" s="1111">
        <v>1</v>
      </c>
      <c r="F5600" s="1112">
        <v>14</v>
      </c>
      <c r="G5600" s="1113">
        <f t="shared" si="6"/>
        <v>14</v>
      </c>
      <c r="H5600" s="1113">
        <f t="shared" si="5"/>
        <v>12.727272727272727</v>
      </c>
      <c r="I5600" s="1111"/>
      <c r="J5600" s="1112">
        <v>0</v>
      </c>
      <c r="K5600" s="1112">
        <v>0</v>
      </c>
      <c r="L5600" s="74"/>
    </row>
    <row r="5601" spans="1:12" ht="19" customHeight="1">
      <c r="A5601" s="74"/>
      <c r="B5601" s="1269">
        <v>46138</v>
      </c>
      <c r="C5601" s="1111" t="s">
        <v>256</v>
      </c>
      <c r="D5601" s="1111" t="s">
        <v>1375</v>
      </c>
      <c r="E5601" s="1111">
        <v>1</v>
      </c>
      <c r="F5601" s="1112">
        <v>7.9</v>
      </c>
      <c r="G5601" s="1113">
        <f t="shared" si="6"/>
        <v>7.9</v>
      </c>
      <c r="H5601" s="1113">
        <f t="shared" si="5"/>
        <v>7.1818181818181817</v>
      </c>
      <c r="I5601" s="1111"/>
      <c r="J5601" s="1112">
        <v>0</v>
      </c>
      <c r="K5601" s="1112">
        <v>0</v>
      </c>
      <c r="L5601" s="74"/>
    </row>
    <row r="5602" spans="1:12" ht="19" customHeight="1">
      <c r="A5602" s="74"/>
      <c r="B5602" s="1269">
        <v>46138</v>
      </c>
      <c r="C5602" s="1111" t="s">
        <v>256</v>
      </c>
      <c r="D5602" s="1111" t="s">
        <v>1376</v>
      </c>
      <c r="E5602" s="1111">
        <v>1</v>
      </c>
      <c r="F5602" s="1112">
        <v>7.5</v>
      </c>
      <c r="G5602" s="1113">
        <f t="shared" si="6"/>
        <v>7.5</v>
      </c>
      <c r="H5602" s="1113">
        <f t="shared" si="5"/>
        <v>6.8181818181818175</v>
      </c>
      <c r="I5602" s="1111"/>
      <c r="J5602" s="1112">
        <v>0</v>
      </c>
      <c r="K5602" s="1112">
        <v>0</v>
      </c>
      <c r="L5602" s="74"/>
    </row>
    <row r="5603" spans="1:12" ht="19" customHeight="1">
      <c r="A5603" s="74"/>
      <c r="B5603" s="1269">
        <v>46138</v>
      </c>
      <c r="C5603" s="1111" t="s">
        <v>337</v>
      </c>
      <c r="D5603" s="1111" t="s">
        <v>927</v>
      </c>
      <c r="E5603" s="1111">
        <v>1</v>
      </c>
      <c r="F5603" s="1112">
        <v>2.8</v>
      </c>
      <c r="G5603" s="1113">
        <f t="shared" si="6"/>
        <v>2.8</v>
      </c>
      <c r="H5603" s="1113">
        <f t="shared" si="5"/>
        <v>2.545454545454545</v>
      </c>
      <c r="I5603" s="1111"/>
      <c r="J5603" s="1112">
        <v>0</v>
      </c>
      <c r="K5603" s="1112">
        <v>0</v>
      </c>
      <c r="L5603" s="74"/>
    </row>
    <row r="5604" spans="1:12" ht="19" customHeight="1">
      <c r="A5604" s="74"/>
      <c r="B5604" s="1269">
        <v>46138</v>
      </c>
      <c r="C5604" s="1111" t="s">
        <v>251</v>
      </c>
      <c r="D5604" s="1111" t="s">
        <v>926</v>
      </c>
      <c r="E5604" s="1111">
        <v>1</v>
      </c>
      <c r="F5604" s="1112">
        <v>2.8</v>
      </c>
      <c r="G5604" s="1113">
        <f t="shared" si="6"/>
        <v>2.8</v>
      </c>
      <c r="H5604" s="1113">
        <f t="shared" si="5"/>
        <v>2.545454545454545</v>
      </c>
      <c r="I5604" s="1111"/>
      <c r="J5604" s="1112">
        <v>0</v>
      </c>
      <c r="K5604" s="1112">
        <v>0</v>
      </c>
      <c r="L5604" s="74"/>
    </row>
    <row r="5605" spans="1:12" ht="19" customHeight="1">
      <c r="A5605" s="74"/>
      <c r="B5605" s="1269">
        <v>46138</v>
      </c>
      <c r="C5605" s="1111" t="s">
        <v>256</v>
      </c>
      <c r="D5605" s="1111" t="s">
        <v>255</v>
      </c>
      <c r="E5605" s="1111">
        <v>1</v>
      </c>
      <c r="F5605" s="1112">
        <v>5.85</v>
      </c>
      <c r="G5605" s="1113">
        <f t="shared" si="6"/>
        <v>5.85</v>
      </c>
      <c r="H5605" s="1113">
        <f t="shared" si="5"/>
        <v>5.3181818181818175</v>
      </c>
      <c r="I5605" s="1111"/>
      <c r="J5605" s="1112">
        <v>0</v>
      </c>
      <c r="K5605" s="1112">
        <v>0</v>
      </c>
      <c r="L5605" s="74"/>
    </row>
    <row r="5606" spans="1:12" ht="19" customHeight="1">
      <c r="A5606" s="74"/>
      <c r="B5606" s="1269">
        <v>46138</v>
      </c>
      <c r="C5606" s="1111" t="s">
        <v>276</v>
      </c>
      <c r="D5606" s="1111" t="s">
        <v>1256</v>
      </c>
      <c r="E5606" s="1111">
        <v>1</v>
      </c>
      <c r="F5606" s="1112">
        <v>3.5</v>
      </c>
      <c r="G5606" s="1113">
        <f t="shared" si="6"/>
        <v>3.5</v>
      </c>
      <c r="H5606" s="1113">
        <f t="shared" si="5"/>
        <v>3.1818181818181817</v>
      </c>
      <c r="I5606" s="1111"/>
      <c r="J5606" s="1112">
        <v>0</v>
      </c>
      <c r="K5606" s="1112">
        <v>0</v>
      </c>
      <c r="L5606" s="74"/>
    </row>
    <row r="5607" spans="1:12" ht="19" customHeight="1">
      <c r="A5607" s="74"/>
      <c r="B5607" s="1269">
        <v>46138</v>
      </c>
      <c r="C5607" s="1111" t="s">
        <v>337</v>
      </c>
      <c r="D5607" s="1111" t="s">
        <v>927</v>
      </c>
      <c r="E5607" s="1111">
        <v>1</v>
      </c>
      <c r="F5607" s="1112">
        <v>2.8</v>
      </c>
      <c r="G5607" s="1113">
        <f t="shared" si="6"/>
        <v>2.8</v>
      </c>
      <c r="H5607" s="1113">
        <f t="shared" si="5"/>
        <v>2.545454545454545</v>
      </c>
      <c r="I5607" s="1111"/>
      <c r="J5607" s="1112">
        <v>0</v>
      </c>
      <c r="K5607" s="1112">
        <v>0</v>
      </c>
      <c r="L5607" s="74"/>
    </row>
    <row r="5608" spans="1:12" ht="19" customHeight="1">
      <c r="A5608" s="74"/>
      <c r="B5608" s="1269">
        <v>46138</v>
      </c>
      <c r="C5608" s="1111" t="s">
        <v>253</v>
      </c>
      <c r="D5608" s="1111" t="s">
        <v>1269</v>
      </c>
      <c r="E5608" s="1111">
        <v>1</v>
      </c>
      <c r="F5608" s="1112">
        <v>2.15</v>
      </c>
      <c r="G5608" s="1113">
        <f t="shared" si="6"/>
        <v>2.15</v>
      </c>
      <c r="H5608" s="1113">
        <f t="shared" si="5"/>
        <v>1.9545454545454544</v>
      </c>
      <c r="I5608" s="1111"/>
      <c r="J5608" s="1112">
        <v>0</v>
      </c>
      <c r="K5608" s="1112">
        <v>0</v>
      </c>
      <c r="L5608" s="74"/>
    </row>
    <row r="5609" spans="1:12" ht="19" customHeight="1">
      <c r="A5609" s="74"/>
      <c r="B5609" s="1269">
        <v>46141</v>
      </c>
      <c r="C5609" s="1111" t="s">
        <v>253</v>
      </c>
      <c r="D5609" s="1111" t="s">
        <v>687</v>
      </c>
      <c r="E5609" s="1111">
        <v>5</v>
      </c>
      <c r="F5609" s="1112">
        <v>3.1</v>
      </c>
      <c r="G5609" s="1113">
        <f t="shared" si="6"/>
        <v>15.5</v>
      </c>
      <c r="H5609" s="1113">
        <f t="shared" si="5"/>
        <v>14.09090909090909</v>
      </c>
      <c r="I5609" s="1111"/>
      <c r="J5609" s="1112">
        <v>0</v>
      </c>
      <c r="K5609" s="1112">
        <v>0</v>
      </c>
      <c r="L5609" s="74"/>
    </row>
    <row r="5610" spans="1:12" ht="19" customHeight="1">
      <c r="A5610" s="74"/>
      <c r="B5610" s="1269">
        <v>46141</v>
      </c>
      <c r="C5610" s="1111" t="s">
        <v>256</v>
      </c>
      <c r="D5610" s="1111" t="s">
        <v>1377</v>
      </c>
      <c r="E5610" s="1111">
        <v>1</v>
      </c>
      <c r="F5610" s="1112">
        <v>7.5</v>
      </c>
      <c r="G5610" s="1113">
        <f t="shared" si="6"/>
        <v>7.5</v>
      </c>
      <c r="H5610" s="1113">
        <f t="shared" si="5"/>
        <v>6.8181818181818175</v>
      </c>
      <c r="I5610" s="1111"/>
      <c r="J5610" s="1112">
        <v>0</v>
      </c>
      <c r="K5610" s="1112">
        <v>0</v>
      </c>
      <c r="L5610" s="74"/>
    </row>
    <row r="5611" spans="1:12" ht="19" customHeight="1">
      <c r="A5611" s="74"/>
      <c r="B5611" s="1269">
        <v>46141</v>
      </c>
      <c r="C5611" s="1111" t="s">
        <v>321</v>
      </c>
      <c r="D5611" s="1111" t="s">
        <v>930</v>
      </c>
      <c r="E5611" s="1111">
        <v>1</v>
      </c>
      <c r="F5611" s="1112">
        <v>3.5</v>
      </c>
      <c r="G5611" s="1113">
        <f t="shared" si="6"/>
        <v>3.5</v>
      </c>
      <c r="H5611" s="1113">
        <f t="shared" si="5"/>
        <v>3.1818181818181817</v>
      </c>
      <c r="I5611" s="1111"/>
      <c r="J5611" s="1112">
        <v>0</v>
      </c>
      <c r="K5611" s="1112">
        <v>0</v>
      </c>
      <c r="L5611" s="74"/>
    </row>
    <row r="5612" spans="1:12" ht="19" customHeight="1">
      <c r="A5612" s="74"/>
      <c r="B5612" s="1269">
        <v>46141</v>
      </c>
      <c r="C5612" s="1111" t="s">
        <v>256</v>
      </c>
      <c r="D5612" s="1111" t="s">
        <v>931</v>
      </c>
      <c r="E5612" s="1111">
        <v>1</v>
      </c>
      <c r="F5612" s="1112">
        <v>8.5</v>
      </c>
      <c r="G5612" s="1113">
        <f t="shared" si="6"/>
        <v>8.5</v>
      </c>
      <c r="H5612" s="1113">
        <f t="shared" si="5"/>
        <v>7.7272727272727266</v>
      </c>
      <c r="I5612" s="1111"/>
      <c r="J5612" s="1112">
        <v>0</v>
      </c>
      <c r="K5612" s="1112">
        <v>0</v>
      </c>
      <c r="L5612" s="74"/>
    </row>
    <row r="5613" spans="1:12" ht="19" customHeight="1">
      <c r="A5613" s="74"/>
      <c r="B5613" s="1269">
        <v>46141</v>
      </c>
      <c r="C5613" s="1111" t="s">
        <v>256</v>
      </c>
      <c r="D5613" s="1111" t="s">
        <v>1378</v>
      </c>
      <c r="E5613" s="1111">
        <v>1</v>
      </c>
      <c r="F5613" s="1112">
        <v>6.9</v>
      </c>
      <c r="G5613" s="1113">
        <f t="shared" si="6"/>
        <v>6.9</v>
      </c>
      <c r="H5613" s="1113">
        <f t="shared" si="5"/>
        <v>6.2727272727272725</v>
      </c>
      <c r="I5613" s="1111"/>
      <c r="J5613" s="1112">
        <v>0</v>
      </c>
      <c r="K5613" s="1112">
        <v>0</v>
      </c>
      <c r="L5613" s="74"/>
    </row>
    <row r="5614" spans="1:12" ht="19" customHeight="1">
      <c r="A5614" s="74"/>
      <c r="B5614" s="1269">
        <v>46141</v>
      </c>
      <c r="C5614" s="1111" t="s">
        <v>251</v>
      </c>
      <c r="D5614" s="1111" t="s">
        <v>265</v>
      </c>
      <c r="E5614" s="1111">
        <v>2</v>
      </c>
      <c r="F5614" s="1112">
        <v>2.65</v>
      </c>
      <c r="G5614" s="1113">
        <f t="shared" si="6"/>
        <v>5.3</v>
      </c>
      <c r="H5614" s="1113">
        <f t="shared" si="5"/>
        <v>4.8181818181818175</v>
      </c>
      <c r="I5614" s="1111"/>
      <c r="J5614" s="1112">
        <v>0</v>
      </c>
      <c r="K5614" s="1112">
        <v>0</v>
      </c>
      <c r="L5614" s="74"/>
    </row>
    <row r="5615" spans="1:12" ht="19" customHeight="1">
      <c r="A5615" s="74"/>
      <c r="B5615" s="1269">
        <v>46141</v>
      </c>
      <c r="C5615" s="1111" t="s">
        <v>276</v>
      </c>
      <c r="D5615" s="1111" t="s">
        <v>1237</v>
      </c>
      <c r="E5615" s="1111">
        <v>1</v>
      </c>
      <c r="F5615" s="1112">
        <v>6.5</v>
      </c>
      <c r="G5615" s="1113">
        <f t="shared" si="6"/>
        <v>6.5</v>
      </c>
      <c r="H5615" s="1113">
        <f t="shared" si="5"/>
        <v>5.9090909090909083</v>
      </c>
      <c r="I5615" s="1111"/>
      <c r="J5615" s="1112">
        <v>0</v>
      </c>
      <c r="K5615" s="1112">
        <v>0</v>
      </c>
      <c r="L5615" s="74"/>
    </row>
    <row r="5616" spans="1:12" ht="19" customHeight="1">
      <c r="A5616" s="74"/>
      <c r="B5616" s="1269">
        <v>46141</v>
      </c>
      <c r="C5616" s="1111" t="s">
        <v>321</v>
      </c>
      <c r="D5616" s="1111" t="s">
        <v>703</v>
      </c>
      <c r="E5616" s="1111">
        <v>2</v>
      </c>
      <c r="F5616" s="1112">
        <v>2</v>
      </c>
      <c r="G5616" s="1113">
        <f t="shared" si="6"/>
        <v>4</v>
      </c>
      <c r="H5616" s="1113">
        <f t="shared" si="5"/>
        <v>3.6363636363636362</v>
      </c>
      <c r="I5616" s="1111"/>
      <c r="J5616" s="1112">
        <v>0</v>
      </c>
      <c r="K5616" s="1112">
        <v>0</v>
      </c>
      <c r="L5616" s="74"/>
    </row>
    <row r="5617" spans="1:12" ht="19" customHeight="1">
      <c r="A5617" s="74"/>
      <c r="B5617" s="1269">
        <v>46141</v>
      </c>
      <c r="C5617" s="1111" t="s">
        <v>256</v>
      </c>
      <c r="D5617" s="1111" t="s">
        <v>1114</v>
      </c>
      <c r="E5617" s="1111">
        <v>1</v>
      </c>
      <c r="F5617" s="1112">
        <v>3.4</v>
      </c>
      <c r="G5617" s="1113">
        <f t="shared" si="6"/>
        <v>3.4</v>
      </c>
      <c r="H5617" s="1113">
        <f t="shared" si="5"/>
        <v>3.0909090909090904</v>
      </c>
      <c r="I5617" s="1111"/>
      <c r="J5617" s="1112">
        <v>0</v>
      </c>
      <c r="K5617" s="1112">
        <v>0</v>
      </c>
      <c r="L5617" s="74"/>
    </row>
    <row r="5618" spans="1:12" ht="19" customHeight="1">
      <c r="A5618" s="74"/>
      <c r="B5618" s="1269">
        <v>46141</v>
      </c>
      <c r="C5618" s="1111" t="s">
        <v>256</v>
      </c>
      <c r="D5618" s="1111" t="s">
        <v>931</v>
      </c>
      <c r="E5618" s="1111">
        <v>2</v>
      </c>
      <c r="F5618" s="1112">
        <v>1.7</v>
      </c>
      <c r="G5618" s="1113">
        <f t="shared" si="6"/>
        <v>3.4</v>
      </c>
      <c r="H5618" s="1113">
        <f t="shared" si="5"/>
        <v>3.0909090909090904</v>
      </c>
      <c r="I5618" s="1111"/>
      <c r="J5618" s="1112">
        <v>0</v>
      </c>
      <c r="K5618" s="1112">
        <v>0</v>
      </c>
      <c r="L5618" s="74"/>
    </row>
    <row r="5619" spans="1:12" ht="19" customHeight="1">
      <c r="A5619" s="74"/>
      <c r="B5619" s="1269">
        <v>46141</v>
      </c>
      <c r="C5619" s="1111" t="s">
        <v>256</v>
      </c>
      <c r="D5619" s="1111" t="s">
        <v>932</v>
      </c>
      <c r="E5619" s="1111">
        <v>1</v>
      </c>
      <c r="F5619" s="1112">
        <v>4.7</v>
      </c>
      <c r="G5619" s="1113">
        <f t="shared" si="6"/>
        <v>4.7</v>
      </c>
      <c r="H5619" s="1113">
        <f t="shared" si="5"/>
        <v>4.2727272727272725</v>
      </c>
      <c r="I5619" s="1111"/>
      <c r="J5619" s="1112">
        <v>0</v>
      </c>
      <c r="K5619" s="1112">
        <v>0</v>
      </c>
      <c r="L5619" s="74"/>
    </row>
    <row r="5620" spans="1:12" ht="19" customHeight="1">
      <c r="A5620" s="74"/>
      <c r="B5620" s="1269">
        <v>46141</v>
      </c>
      <c r="C5620" s="1111" t="s">
        <v>256</v>
      </c>
      <c r="D5620" s="1111" t="s">
        <v>679</v>
      </c>
      <c r="E5620" s="1111">
        <v>1</v>
      </c>
      <c r="F5620" s="1112">
        <v>10</v>
      </c>
      <c r="G5620" s="1113">
        <f t="shared" si="6"/>
        <v>10</v>
      </c>
      <c r="H5620" s="1113">
        <f t="shared" si="5"/>
        <v>9.0909090909090899</v>
      </c>
      <c r="I5620" s="1111"/>
      <c r="J5620" s="1112">
        <v>0</v>
      </c>
      <c r="K5620" s="1112">
        <v>0</v>
      </c>
      <c r="L5620" s="74"/>
    </row>
    <row r="5621" spans="1:12" ht="19" customHeight="1">
      <c r="A5621" s="74"/>
      <c r="B5621" s="1269">
        <v>46141</v>
      </c>
      <c r="C5621" s="1111" t="s">
        <v>256</v>
      </c>
      <c r="D5621" s="1111" t="s">
        <v>255</v>
      </c>
      <c r="E5621" s="1111">
        <v>1</v>
      </c>
      <c r="F5621" s="1112">
        <v>5.6</v>
      </c>
      <c r="G5621" s="1113">
        <f t="shared" si="6"/>
        <v>5.6</v>
      </c>
      <c r="H5621" s="1113">
        <f t="shared" si="5"/>
        <v>5.0909090909090899</v>
      </c>
      <c r="I5621" s="1111"/>
      <c r="J5621" s="1112">
        <v>0</v>
      </c>
      <c r="K5621" s="1112">
        <v>0</v>
      </c>
      <c r="L5621" s="74"/>
    </row>
    <row r="5622" spans="1:12" ht="19" customHeight="1">
      <c r="A5622" s="74"/>
      <c r="B5622" s="1269">
        <v>46141</v>
      </c>
      <c r="C5622" s="1111" t="s">
        <v>256</v>
      </c>
      <c r="D5622" s="1111" t="s">
        <v>1378</v>
      </c>
      <c r="E5622" s="1111">
        <v>1</v>
      </c>
      <c r="F5622" s="1112">
        <v>5.6</v>
      </c>
      <c r="G5622" s="1113">
        <f t="shared" si="6"/>
        <v>5.6</v>
      </c>
      <c r="H5622" s="1113">
        <f t="shared" si="5"/>
        <v>5.0909090909090899</v>
      </c>
      <c r="I5622" s="1111"/>
      <c r="J5622" s="1112">
        <v>0</v>
      </c>
      <c r="K5622" s="1112">
        <v>0</v>
      </c>
      <c r="L5622" s="74"/>
    </row>
    <row r="5623" spans="1:12" ht="19" customHeight="1">
      <c r="A5623" s="74"/>
      <c r="B5623" s="1269">
        <v>46141</v>
      </c>
      <c r="C5623" s="1111" t="s">
        <v>253</v>
      </c>
      <c r="D5623" s="1111" t="s">
        <v>252</v>
      </c>
      <c r="E5623" s="1111">
        <v>2</v>
      </c>
      <c r="F5623" s="1112">
        <v>2.65</v>
      </c>
      <c r="G5623" s="1113">
        <f t="shared" si="6"/>
        <v>5.3</v>
      </c>
      <c r="H5623" s="1113">
        <f t="shared" ref="H5623:H5635" si="7">G5623/1.1</f>
        <v>4.8181818181818175</v>
      </c>
      <c r="I5623" s="1111"/>
      <c r="J5623" s="1112">
        <v>0</v>
      </c>
      <c r="K5623" s="1112">
        <v>0</v>
      </c>
      <c r="L5623" s="74"/>
    </row>
    <row r="5624" spans="1:12" ht="19" customHeight="1">
      <c r="A5624" s="74"/>
      <c r="B5624" s="1269">
        <v>46141</v>
      </c>
      <c r="C5624" s="1111" t="s">
        <v>254</v>
      </c>
      <c r="D5624" s="1111" t="s">
        <v>254</v>
      </c>
      <c r="E5624" s="1111">
        <v>4</v>
      </c>
      <c r="F5624" s="1112">
        <v>14.9</v>
      </c>
      <c r="G5624" s="1113">
        <f t="shared" si="6"/>
        <v>59.6</v>
      </c>
      <c r="H5624" s="1113">
        <f t="shared" si="7"/>
        <v>54.18181818181818</v>
      </c>
      <c r="I5624" s="1111"/>
      <c r="J5624" s="1112">
        <v>0</v>
      </c>
      <c r="K5624" s="1112">
        <v>0</v>
      </c>
      <c r="L5624" s="74"/>
    </row>
    <row r="5625" spans="1:12" ht="19" customHeight="1">
      <c r="A5625" s="74"/>
      <c r="B5625" s="1269">
        <v>46142</v>
      </c>
      <c r="C5625" s="1111" t="s">
        <v>254</v>
      </c>
      <c r="D5625" s="1111" t="s">
        <v>254</v>
      </c>
      <c r="E5625" s="1114">
        <v>1</v>
      </c>
      <c r="F5625" s="1115">
        <v>14.9</v>
      </c>
      <c r="G5625" s="1116">
        <f t="shared" ref="G5625:G5646" si="8">E5625*F5625</f>
        <v>14.9</v>
      </c>
      <c r="H5625" s="1116">
        <f t="shared" si="7"/>
        <v>13.545454545454545</v>
      </c>
      <c r="I5625" s="1111"/>
      <c r="J5625" s="1112">
        <v>0</v>
      </c>
      <c r="K5625" s="1112">
        <v>0</v>
      </c>
      <c r="L5625" s="74"/>
    </row>
    <row r="5626" spans="1:12" ht="19" customHeight="1">
      <c r="A5626" s="74"/>
      <c r="B5626" s="1269">
        <v>46142</v>
      </c>
      <c r="C5626" s="1111" t="s">
        <v>873</v>
      </c>
      <c r="D5626" s="1117" t="s">
        <v>1337</v>
      </c>
      <c r="E5626" s="1120">
        <v>1</v>
      </c>
      <c r="F5626" s="1121"/>
      <c r="G5626" s="1116">
        <f t="shared" si="8"/>
        <v>0</v>
      </c>
      <c r="H5626" s="1119">
        <f t="shared" si="7"/>
        <v>0</v>
      </c>
      <c r="I5626" s="1118"/>
      <c r="J5626" s="1112">
        <v>0</v>
      </c>
      <c r="K5626" s="1112">
        <v>0</v>
      </c>
      <c r="L5626" s="74"/>
    </row>
    <row r="5627" spans="1:12" ht="19" customHeight="1">
      <c r="A5627" s="74"/>
      <c r="B5627" s="1269">
        <v>46142</v>
      </c>
      <c r="C5627" s="1111" t="s">
        <v>877</v>
      </c>
      <c r="D5627" s="1117" t="s">
        <v>1374</v>
      </c>
      <c r="E5627" s="1120">
        <v>1</v>
      </c>
      <c r="F5627" s="1121"/>
      <c r="G5627" s="1116">
        <f t="shared" si="8"/>
        <v>0</v>
      </c>
      <c r="H5627" s="1119">
        <f t="shared" si="7"/>
        <v>0</v>
      </c>
      <c r="I5627" s="1118"/>
      <c r="J5627" s="1112">
        <v>0</v>
      </c>
      <c r="K5627" s="1112">
        <v>0</v>
      </c>
      <c r="L5627" s="74"/>
    </row>
    <row r="5628" spans="1:12" ht="19" customHeight="1">
      <c r="A5628" s="74"/>
      <c r="B5628" s="1269">
        <v>46142</v>
      </c>
      <c r="C5628" s="1111" t="s">
        <v>251</v>
      </c>
      <c r="D5628" s="1117" t="s">
        <v>265</v>
      </c>
      <c r="E5628" s="1120">
        <v>1</v>
      </c>
      <c r="F5628" s="1121">
        <v>2.65</v>
      </c>
      <c r="G5628" s="1116">
        <f t="shared" si="8"/>
        <v>2.65</v>
      </c>
      <c r="H5628" s="1119">
        <f t="shared" si="7"/>
        <v>2.4090909090909087</v>
      </c>
      <c r="I5628" s="1118"/>
      <c r="J5628" s="1112">
        <v>0</v>
      </c>
      <c r="K5628" s="1112">
        <v>0</v>
      </c>
      <c r="L5628" s="74"/>
    </row>
    <row r="5629" spans="1:12" ht="19" customHeight="1">
      <c r="A5629" s="74"/>
      <c r="B5629" s="1269">
        <v>46142</v>
      </c>
      <c r="C5629" s="1111" t="s">
        <v>251</v>
      </c>
      <c r="D5629" s="1117" t="s">
        <v>945</v>
      </c>
      <c r="E5629" s="1120">
        <v>1</v>
      </c>
      <c r="F5629" s="1121">
        <v>2.65</v>
      </c>
      <c r="G5629" s="1116">
        <f t="shared" si="8"/>
        <v>2.65</v>
      </c>
      <c r="H5629" s="1119">
        <f t="shared" si="7"/>
        <v>2.4090909090909087</v>
      </c>
      <c r="I5629" s="1118"/>
      <c r="J5629" s="1112">
        <v>0</v>
      </c>
      <c r="K5629" s="1112">
        <v>0</v>
      </c>
      <c r="L5629" s="74"/>
    </row>
    <row r="5630" spans="1:12" ht="19" customHeight="1">
      <c r="A5630" s="74"/>
      <c r="B5630" s="1269">
        <v>46142</v>
      </c>
      <c r="C5630" s="1111" t="s">
        <v>247</v>
      </c>
      <c r="D5630" s="1117" t="s">
        <v>1241</v>
      </c>
      <c r="E5630" s="1120">
        <v>1</v>
      </c>
      <c r="F5630" s="1121">
        <v>1.7</v>
      </c>
      <c r="G5630" s="1116">
        <f t="shared" si="8"/>
        <v>1.7</v>
      </c>
      <c r="H5630" s="1119">
        <f t="shared" si="7"/>
        <v>1.5454545454545452</v>
      </c>
      <c r="I5630" s="1118"/>
      <c r="J5630" s="1112">
        <v>0</v>
      </c>
      <c r="K5630" s="1112">
        <v>0</v>
      </c>
      <c r="L5630" s="74"/>
    </row>
    <row r="5631" spans="1:12" ht="19" customHeight="1">
      <c r="A5631" s="74"/>
      <c r="B5631" s="1269">
        <v>46142</v>
      </c>
      <c r="C5631" s="1111" t="s">
        <v>275</v>
      </c>
      <c r="D5631" s="1117" t="s">
        <v>883</v>
      </c>
      <c r="E5631" s="1120">
        <v>1</v>
      </c>
      <c r="F5631" s="1121"/>
      <c r="G5631" s="1116">
        <f t="shared" si="8"/>
        <v>0</v>
      </c>
      <c r="H5631" s="1119">
        <f t="shared" si="7"/>
        <v>0</v>
      </c>
      <c r="I5631" s="1118"/>
      <c r="J5631" s="1112">
        <v>0</v>
      </c>
      <c r="K5631" s="1112">
        <v>0</v>
      </c>
      <c r="L5631" s="74"/>
    </row>
    <row r="5632" spans="1:12" ht="19" customHeight="1">
      <c r="A5632" s="74"/>
      <c r="B5632" s="1269">
        <v>46142</v>
      </c>
      <c r="C5632" s="1111" t="s">
        <v>326</v>
      </c>
      <c r="D5632" s="1117" t="s">
        <v>1063</v>
      </c>
      <c r="E5632" s="1120">
        <v>1</v>
      </c>
      <c r="F5632" s="1121">
        <v>15</v>
      </c>
      <c r="G5632" s="1116">
        <f t="shared" si="8"/>
        <v>15</v>
      </c>
      <c r="H5632" s="1119">
        <f t="shared" si="7"/>
        <v>13.636363636363635</v>
      </c>
      <c r="I5632" s="1118"/>
      <c r="J5632" s="1112">
        <v>0</v>
      </c>
      <c r="K5632" s="1112">
        <v>0</v>
      </c>
      <c r="L5632" s="74"/>
    </row>
    <row r="5633" spans="1:12" ht="19" customHeight="1">
      <c r="A5633" s="74"/>
      <c r="B5633" s="1269">
        <v>46142</v>
      </c>
      <c r="C5633" s="1111" t="s">
        <v>256</v>
      </c>
      <c r="D5633" s="1117" t="s">
        <v>1012</v>
      </c>
      <c r="E5633" s="1120">
        <v>1</v>
      </c>
      <c r="F5633" s="1121">
        <v>11.9</v>
      </c>
      <c r="G5633" s="1116">
        <f t="shared" si="8"/>
        <v>11.9</v>
      </c>
      <c r="H5633" s="1119">
        <f t="shared" si="7"/>
        <v>10.818181818181818</v>
      </c>
      <c r="I5633" s="1118"/>
      <c r="J5633" s="1112">
        <v>0</v>
      </c>
      <c r="K5633" s="1112">
        <v>0</v>
      </c>
      <c r="L5633" s="74"/>
    </row>
    <row r="5634" spans="1:12" ht="19" customHeight="1">
      <c r="A5634" s="74"/>
      <c r="B5634" s="1269">
        <v>46142</v>
      </c>
      <c r="C5634" s="1111" t="s">
        <v>266</v>
      </c>
      <c r="D5634" s="1117" t="s">
        <v>250</v>
      </c>
      <c r="E5634" s="1120">
        <v>1</v>
      </c>
      <c r="F5634" s="1121"/>
      <c r="G5634" s="1116">
        <f t="shared" si="8"/>
        <v>0</v>
      </c>
      <c r="H5634" s="1119">
        <f t="shared" si="7"/>
        <v>0</v>
      </c>
      <c r="I5634" s="1118"/>
      <c r="J5634" s="1112">
        <v>0</v>
      </c>
      <c r="K5634" s="1112">
        <v>0</v>
      </c>
      <c r="L5634" s="74"/>
    </row>
    <row r="5635" spans="1:12" ht="19" customHeight="1">
      <c r="A5635" s="74"/>
      <c r="B5635" s="1269">
        <v>46142</v>
      </c>
      <c r="C5635" s="1111" t="s">
        <v>258</v>
      </c>
      <c r="D5635" s="1117" t="s">
        <v>917</v>
      </c>
      <c r="E5635" s="1120">
        <v>1</v>
      </c>
      <c r="F5635" s="1121"/>
      <c r="G5635" s="1116">
        <f t="shared" si="8"/>
        <v>0</v>
      </c>
      <c r="H5635" s="1119">
        <f t="shared" si="7"/>
        <v>0</v>
      </c>
      <c r="I5635" s="1118"/>
      <c r="J5635" s="1112">
        <v>0</v>
      </c>
      <c r="K5635" s="1112">
        <v>0</v>
      </c>
      <c r="L5635" s="74"/>
    </row>
    <row r="5636" spans="1:12" ht="19" customHeight="1">
      <c r="A5636" s="74"/>
      <c r="B5636" s="1269">
        <v>46142</v>
      </c>
      <c r="C5636" s="1111" t="s">
        <v>254</v>
      </c>
      <c r="D5636" s="1111" t="s">
        <v>254</v>
      </c>
      <c r="E5636" s="1120">
        <v>2</v>
      </c>
      <c r="F5636" s="1121">
        <v>14.9</v>
      </c>
      <c r="G5636" s="1116">
        <f t="shared" si="8"/>
        <v>29.8</v>
      </c>
      <c r="H5636" s="1119">
        <f>G5636/1.1</f>
        <v>27.09090909090909</v>
      </c>
      <c r="I5636" s="436"/>
      <c r="J5636" s="465"/>
      <c r="K5636" s="465"/>
      <c r="L5636" s="74"/>
    </row>
    <row r="5637" spans="1:12" ht="19" customHeight="1">
      <c r="A5637" s="74"/>
      <c r="B5637" s="1269">
        <v>46142</v>
      </c>
      <c r="C5637" s="1111" t="s">
        <v>873</v>
      </c>
      <c r="D5637" s="1117" t="s">
        <v>1337</v>
      </c>
      <c r="E5637" s="1120">
        <v>2</v>
      </c>
      <c r="F5637" s="1121"/>
      <c r="G5637" s="1116">
        <f t="shared" si="8"/>
        <v>0</v>
      </c>
      <c r="H5637" s="1119">
        <f>G5637/1.1</f>
        <v>0</v>
      </c>
      <c r="I5637" s="1118"/>
      <c r="J5637" s="1112">
        <v>0</v>
      </c>
      <c r="K5637" s="1112">
        <v>0</v>
      </c>
      <c r="L5637" s="74"/>
    </row>
    <row r="5638" spans="1:12" ht="19" customHeight="1">
      <c r="A5638" s="74"/>
      <c r="B5638" s="1269">
        <v>46142</v>
      </c>
      <c r="C5638" s="1111" t="s">
        <v>877</v>
      </c>
      <c r="D5638" s="1117" t="s">
        <v>1374</v>
      </c>
      <c r="E5638" s="1120">
        <v>2</v>
      </c>
      <c r="F5638" s="1121"/>
      <c r="G5638" s="1116">
        <f t="shared" si="8"/>
        <v>0</v>
      </c>
      <c r="H5638" s="1119">
        <f>G5638/1.1</f>
        <v>0</v>
      </c>
      <c r="I5638" s="436"/>
      <c r="J5638" s="465"/>
      <c r="K5638" s="465"/>
      <c r="L5638" s="74"/>
    </row>
    <row r="5639" spans="1:12" ht="19" customHeight="1">
      <c r="A5639" s="74"/>
      <c r="B5639" s="1269">
        <v>46142</v>
      </c>
      <c r="C5639" s="1111" t="s">
        <v>266</v>
      </c>
      <c r="D5639" s="1117" t="s">
        <v>996</v>
      </c>
      <c r="E5639" s="1120">
        <v>2</v>
      </c>
      <c r="F5639" s="1121"/>
      <c r="G5639" s="1116">
        <f t="shared" si="8"/>
        <v>0</v>
      </c>
      <c r="H5639" s="1119">
        <f>G5639/1.1</f>
        <v>0</v>
      </c>
      <c r="I5639" s="1118"/>
      <c r="J5639" s="1112">
        <v>0</v>
      </c>
      <c r="K5639" s="1112">
        <v>0</v>
      </c>
      <c r="L5639" s="74"/>
    </row>
    <row r="5640" spans="1:12" ht="19" customHeight="1">
      <c r="A5640" s="74"/>
      <c r="B5640" s="1269">
        <v>46142</v>
      </c>
      <c r="C5640" s="1111" t="s">
        <v>251</v>
      </c>
      <c r="D5640" s="1117" t="s">
        <v>250</v>
      </c>
      <c r="E5640" s="1120">
        <v>1</v>
      </c>
      <c r="F5640" s="1121">
        <v>1.8</v>
      </c>
      <c r="G5640" s="1116">
        <f t="shared" si="8"/>
        <v>1.8</v>
      </c>
      <c r="H5640" s="1119">
        <f>G5640/1.1</f>
        <v>1.6363636363636362</v>
      </c>
      <c r="I5640" s="436"/>
      <c r="J5640" s="465"/>
      <c r="K5640" s="465"/>
      <c r="L5640" s="74"/>
    </row>
    <row r="5641" spans="1:12" ht="19" customHeight="1">
      <c r="A5641" s="74"/>
      <c r="B5641" s="1269">
        <v>46142</v>
      </c>
      <c r="C5641" s="1111" t="s">
        <v>247</v>
      </c>
      <c r="D5641" s="1117" t="s">
        <v>1379</v>
      </c>
      <c r="E5641" s="1120">
        <v>2</v>
      </c>
      <c r="F5641" s="1121">
        <v>1.55</v>
      </c>
      <c r="G5641" s="1116">
        <f t="shared" si="8"/>
        <v>3.1</v>
      </c>
      <c r="H5641" s="1119">
        <f>G5641/1.1</f>
        <v>2.8181818181818179</v>
      </c>
      <c r="I5641" s="1118"/>
      <c r="J5641" s="1112">
        <v>0</v>
      </c>
      <c r="K5641" s="1112">
        <v>0</v>
      </c>
      <c r="L5641" s="74"/>
    </row>
    <row r="5642" spans="1:12" ht="19" customHeight="1">
      <c r="A5642" s="74"/>
      <c r="B5642" s="1269">
        <v>46142</v>
      </c>
      <c r="C5642" s="1111" t="s">
        <v>258</v>
      </c>
      <c r="D5642" s="1117" t="s">
        <v>1305</v>
      </c>
      <c r="E5642" s="1120">
        <v>1</v>
      </c>
      <c r="F5642" s="1121"/>
      <c r="G5642" s="1116">
        <f t="shared" si="8"/>
        <v>0</v>
      </c>
      <c r="H5642" s="1119">
        <f>G5642/1.1</f>
        <v>0</v>
      </c>
      <c r="I5642" s="436"/>
      <c r="J5642" s="465"/>
      <c r="K5642" s="465"/>
      <c r="L5642" s="74"/>
    </row>
    <row r="5643" spans="1:12" ht="19" customHeight="1">
      <c r="A5643" s="74"/>
      <c r="B5643" s="1269">
        <v>46142</v>
      </c>
      <c r="C5643" s="1111" t="s">
        <v>258</v>
      </c>
      <c r="D5643" s="1117" t="s">
        <v>883</v>
      </c>
      <c r="E5643" s="1120">
        <v>1</v>
      </c>
      <c r="F5643" s="1121"/>
      <c r="G5643" s="1116">
        <f t="shared" si="8"/>
        <v>0</v>
      </c>
      <c r="H5643" s="1119">
        <f>G5643/1.1</f>
        <v>0</v>
      </c>
      <c r="I5643" s="1118"/>
      <c r="J5643" s="1112">
        <v>0</v>
      </c>
      <c r="K5643" s="1112">
        <v>0</v>
      </c>
      <c r="L5643" s="74"/>
    </row>
    <row r="5644" spans="1:12" ht="19" customHeight="1">
      <c r="A5644" s="74"/>
      <c r="B5644" s="1269">
        <v>46142</v>
      </c>
      <c r="C5644" s="1111" t="s">
        <v>873</v>
      </c>
      <c r="D5644" s="1117" t="s">
        <v>1337</v>
      </c>
      <c r="E5644" s="1120">
        <v>1</v>
      </c>
      <c r="F5644" s="1121"/>
      <c r="G5644" s="1116">
        <f t="shared" si="8"/>
        <v>0</v>
      </c>
      <c r="H5644" s="1119">
        <f>G5644/1.1</f>
        <v>0</v>
      </c>
      <c r="I5644" s="436"/>
      <c r="J5644" s="465"/>
      <c r="K5644" s="465"/>
      <c r="L5644" s="74"/>
    </row>
    <row r="5645" spans="1:12" ht="19" customHeight="1">
      <c r="A5645" s="74"/>
      <c r="B5645" s="1269">
        <v>46142</v>
      </c>
      <c r="C5645" s="1111" t="s">
        <v>873</v>
      </c>
      <c r="D5645" s="1111" t="s">
        <v>1370</v>
      </c>
      <c r="E5645" s="1120">
        <v>1</v>
      </c>
      <c r="F5645" s="1121"/>
      <c r="G5645" s="1116">
        <f t="shared" si="8"/>
        <v>0</v>
      </c>
      <c r="H5645" s="1119">
        <f>G5645/1.1</f>
        <v>0</v>
      </c>
      <c r="I5645" s="1118"/>
      <c r="J5645" s="1112">
        <v>0</v>
      </c>
      <c r="K5645" s="1112">
        <v>0</v>
      </c>
      <c r="L5645" s="74"/>
    </row>
    <row r="5646" spans="1:12" ht="19" customHeight="1">
      <c r="A5646" s="74"/>
      <c r="B5646" s="1269">
        <v>46142</v>
      </c>
      <c r="C5646" s="1111" t="s">
        <v>877</v>
      </c>
      <c r="D5646" s="1117" t="s">
        <v>1374</v>
      </c>
      <c r="E5646" s="1120">
        <v>1</v>
      </c>
      <c r="F5646" s="1121"/>
      <c r="G5646" s="1116">
        <f t="shared" si="8"/>
        <v>0</v>
      </c>
      <c r="H5646" s="1119">
        <f t="shared" ref="H5646:H5677" si="9">G5646/1.1</f>
        <v>0</v>
      </c>
      <c r="I5646" s="436"/>
      <c r="J5646" s="465"/>
      <c r="K5646" s="465"/>
      <c r="L5646" s="74"/>
    </row>
    <row r="5647" spans="1:12" ht="19">
      <c r="A5647" s="74"/>
      <c r="B5647" s="1271">
        <v>46142</v>
      </c>
      <c r="C5647" s="436" t="s">
        <v>253</v>
      </c>
      <c r="D5647" s="436" t="s">
        <v>252</v>
      </c>
      <c r="E5647" s="436">
        <v>3</v>
      </c>
      <c r="F5647" s="465">
        <v>2.65</v>
      </c>
      <c r="G5647" s="466">
        <v>7.95</v>
      </c>
      <c r="H5647" s="466">
        <f t="shared" si="9"/>
        <v>7.2272727272727266</v>
      </c>
      <c r="I5647" s="436"/>
      <c r="J5647" s="465"/>
      <c r="K5647" s="465"/>
      <c r="L5647" s="74"/>
    </row>
    <row r="5648" spans="1:12" ht="19">
      <c r="A5648" s="74"/>
      <c r="B5648" s="1271">
        <v>46142</v>
      </c>
      <c r="C5648" s="436" t="s">
        <v>253</v>
      </c>
      <c r="D5648" s="436" t="s">
        <v>2711</v>
      </c>
      <c r="E5648" s="436">
        <v>2</v>
      </c>
      <c r="F5648" s="465">
        <v>2.95</v>
      </c>
      <c r="G5648" s="466">
        <v>5.9</v>
      </c>
      <c r="H5648" s="466">
        <f t="shared" si="9"/>
        <v>5.3636363636363633</v>
      </c>
      <c r="I5648" s="436"/>
      <c r="J5648" s="465"/>
      <c r="K5648" s="465"/>
      <c r="L5648" s="74"/>
    </row>
    <row r="5649" spans="1:12" ht="19">
      <c r="A5649" s="74"/>
      <c r="B5649" s="1271">
        <v>46142</v>
      </c>
      <c r="C5649" s="436" t="s">
        <v>253</v>
      </c>
      <c r="D5649" s="436" t="s">
        <v>252</v>
      </c>
      <c r="E5649" s="436">
        <v>2</v>
      </c>
      <c r="F5649" s="465">
        <v>2.5</v>
      </c>
      <c r="G5649" s="466">
        <v>5</v>
      </c>
      <c r="H5649" s="466">
        <f t="shared" si="9"/>
        <v>4.545454545454545</v>
      </c>
      <c r="I5649" s="436"/>
      <c r="J5649" s="465"/>
      <c r="K5649" s="465"/>
      <c r="L5649" s="74"/>
    </row>
    <row r="5650" spans="1:12" ht="19">
      <c r="A5650" s="74"/>
      <c r="B5650" s="1271">
        <v>46142</v>
      </c>
      <c r="C5650" s="436" t="s">
        <v>277</v>
      </c>
      <c r="D5650" s="436" t="s">
        <v>1179</v>
      </c>
      <c r="E5650" s="436">
        <v>1</v>
      </c>
      <c r="F5650" s="465">
        <v>12.9</v>
      </c>
      <c r="G5650" s="466">
        <v>12.9</v>
      </c>
      <c r="H5650" s="466">
        <f t="shared" si="9"/>
        <v>11.727272727272727</v>
      </c>
      <c r="I5650" s="436"/>
      <c r="J5650" s="465"/>
      <c r="K5650" s="465"/>
      <c r="L5650" s="74"/>
    </row>
    <row r="5651" spans="1:12" ht="19">
      <c r="A5651" s="74"/>
      <c r="B5651" s="1271">
        <v>46142</v>
      </c>
      <c r="C5651" s="436" t="s">
        <v>256</v>
      </c>
      <c r="D5651" s="436" t="s">
        <v>706</v>
      </c>
      <c r="E5651" s="436">
        <v>1</v>
      </c>
      <c r="F5651" s="465">
        <v>14</v>
      </c>
      <c r="G5651" s="466">
        <v>14</v>
      </c>
      <c r="H5651" s="466">
        <f t="shared" si="9"/>
        <v>12.727272727272727</v>
      </c>
      <c r="I5651" s="436"/>
      <c r="J5651" s="465"/>
      <c r="K5651" s="465"/>
      <c r="L5651" s="74"/>
    </row>
    <row r="5652" spans="1:12" ht="19">
      <c r="A5652" s="74"/>
      <c r="B5652" s="1271">
        <v>46142</v>
      </c>
      <c r="C5652" s="436" t="s">
        <v>256</v>
      </c>
      <c r="D5652" s="436" t="s">
        <v>912</v>
      </c>
      <c r="E5652" s="436">
        <v>1</v>
      </c>
      <c r="F5652" s="465">
        <v>5.5</v>
      </c>
      <c r="G5652" s="466">
        <v>5.5</v>
      </c>
      <c r="H5652" s="466">
        <f t="shared" si="9"/>
        <v>5</v>
      </c>
      <c r="I5652" s="436"/>
      <c r="J5652" s="465"/>
      <c r="K5652" s="465"/>
      <c r="L5652" s="74"/>
    </row>
    <row r="5653" spans="1:12" ht="19">
      <c r="A5653" s="74"/>
      <c r="B5653" s="1271">
        <v>46142</v>
      </c>
      <c r="C5653" s="436" t="s">
        <v>256</v>
      </c>
      <c r="D5653" s="436" t="s">
        <v>738</v>
      </c>
      <c r="E5653" s="436">
        <v>1</v>
      </c>
      <c r="F5653" s="465">
        <v>7.9</v>
      </c>
      <c r="G5653" s="466">
        <v>7.9</v>
      </c>
      <c r="H5653" s="466">
        <f t="shared" si="9"/>
        <v>7.1818181818181817</v>
      </c>
      <c r="I5653" s="436"/>
      <c r="J5653" s="465"/>
      <c r="K5653" s="465"/>
      <c r="L5653" s="74"/>
    </row>
    <row r="5654" spans="1:12" ht="19">
      <c r="A5654" s="74"/>
      <c r="B5654" s="1271">
        <v>46142</v>
      </c>
      <c r="C5654" s="436" t="s">
        <v>256</v>
      </c>
      <c r="D5654" s="436" t="s">
        <v>1064</v>
      </c>
      <c r="E5654" s="436">
        <v>1</v>
      </c>
      <c r="F5654" s="465">
        <v>10.15</v>
      </c>
      <c r="G5654" s="466">
        <v>10.15</v>
      </c>
      <c r="H5654" s="466">
        <f t="shared" si="9"/>
        <v>9.2272727272727266</v>
      </c>
      <c r="I5654" s="436"/>
      <c r="J5654" s="465"/>
      <c r="K5654" s="465"/>
      <c r="L5654" s="74"/>
    </row>
    <row r="5655" spans="1:12" ht="19">
      <c r="A5655" s="74"/>
      <c r="B5655" s="1271">
        <v>46142</v>
      </c>
      <c r="C5655" s="436" t="s">
        <v>256</v>
      </c>
      <c r="D5655" s="436" t="s">
        <v>1375</v>
      </c>
      <c r="E5655" s="436">
        <v>1</v>
      </c>
      <c r="F5655" s="465">
        <v>8.15</v>
      </c>
      <c r="G5655" s="466">
        <v>8.15</v>
      </c>
      <c r="H5655" s="466">
        <f t="shared" si="9"/>
        <v>7.4090909090909092</v>
      </c>
      <c r="I5655" s="436"/>
      <c r="J5655" s="465"/>
      <c r="K5655" s="465"/>
      <c r="L5655" s="74"/>
    </row>
    <row r="5656" spans="1:12" ht="19">
      <c r="A5656" s="74"/>
      <c r="B5656" s="1271">
        <v>46142</v>
      </c>
      <c r="C5656" s="436" t="s">
        <v>256</v>
      </c>
      <c r="D5656" s="436" t="s">
        <v>912</v>
      </c>
      <c r="E5656" s="436">
        <v>1</v>
      </c>
      <c r="F5656" s="465">
        <v>5.75</v>
      </c>
      <c r="G5656" s="466">
        <v>5.75</v>
      </c>
      <c r="H5656" s="466">
        <f t="shared" si="9"/>
        <v>5.2272727272727266</v>
      </c>
      <c r="I5656" s="436"/>
      <c r="J5656" s="465"/>
      <c r="K5656" s="465"/>
      <c r="L5656" s="74"/>
    </row>
    <row r="5657" spans="1:12" ht="19">
      <c r="A5657" s="74"/>
      <c r="B5657" s="1271">
        <v>46142</v>
      </c>
      <c r="C5657" s="436" t="s">
        <v>253</v>
      </c>
      <c r="D5657" s="436" t="s">
        <v>252</v>
      </c>
      <c r="E5657" s="436">
        <v>2</v>
      </c>
      <c r="F5657" s="465">
        <v>2.65</v>
      </c>
      <c r="G5657" s="466">
        <v>5.3</v>
      </c>
      <c r="H5657" s="466">
        <f t="shared" si="9"/>
        <v>4.8181818181818175</v>
      </c>
      <c r="I5657" s="436"/>
      <c r="J5657" s="465"/>
      <c r="K5657" s="465"/>
      <c r="L5657" s="74"/>
    </row>
    <row r="5658" spans="1:12" ht="19">
      <c r="A5658" s="74"/>
      <c r="B5658" s="1271">
        <v>46142</v>
      </c>
      <c r="C5658" s="436" t="s">
        <v>247</v>
      </c>
      <c r="D5658" s="436" t="s">
        <v>248</v>
      </c>
      <c r="E5658" s="436">
        <v>2</v>
      </c>
      <c r="F5658" s="465">
        <v>1.65</v>
      </c>
      <c r="G5658" s="466">
        <v>3.3</v>
      </c>
      <c r="H5658" s="466">
        <f t="shared" si="9"/>
        <v>2.9999999999999996</v>
      </c>
      <c r="I5658" s="436"/>
      <c r="J5658" s="465"/>
      <c r="K5658" s="465"/>
      <c r="L5658" s="74"/>
    </row>
    <row r="5659" spans="1:12" ht="19">
      <c r="A5659" s="74"/>
      <c r="B5659" s="1271">
        <v>46142</v>
      </c>
      <c r="C5659" s="436" t="s">
        <v>276</v>
      </c>
      <c r="D5659" s="436" t="s">
        <v>1567</v>
      </c>
      <c r="E5659" s="436">
        <v>1</v>
      </c>
      <c r="F5659" s="465">
        <v>15.15</v>
      </c>
      <c r="G5659" s="466">
        <v>15.15</v>
      </c>
      <c r="H5659" s="466">
        <f t="shared" si="9"/>
        <v>13.772727272727272</v>
      </c>
      <c r="I5659" s="436"/>
      <c r="J5659" s="465"/>
      <c r="K5659" s="465"/>
      <c r="L5659" s="74"/>
    </row>
    <row r="5660" spans="1:12" ht="19">
      <c r="A5660" s="74"/>
      <c r="B5660" s="1271">
        <v>46142</v>
      </c>
      <c r="C5660" s="436" t="s">
        <v>337</v>
      </c>
      <c r="D5660" s="436" t="s">
        <v>250</v>
      </c>
      <c r="E5660" s="436">
        <v>1</v>
      </c>
      <c r="F5660" s="465">
        <v>1.8</v>
      </c>
      <c r="G5660" s="466">
        <v>1.8</v>
      </c>
      <c r="H5660" s="466">
        <f t="shared" si="9"/>
        <v>1.6363636363636362</v>
      </c>
      <c r="I5660" s="436"/>
      <c r="J5660" s="465"/>
      <c r="K5660" s="465"/>
      <c r="L5660" s="74"/>
    </row>
    <row r="5661" spans="1:12" ht="19">
      <c r="A5661" s="74"/>
      <c r="B5661" s="1271">
        <v>46142</v>
      </c>
      <c r="C5661" s="436" t="s">
        <v>253</v>
      </c>
      <c r="D5661" s="436" t="s">
        <v>252</v>
      </c>
      <c r="E5661" s="436">
        <v>1</v>
      </c>
      <c r="F5661" s="465">
        <v>2.5</v>
      </c>
      <c r="G5661" s="466">
        <v>2.5</v>
      </c>
      <c r="H5661" s="466">
        <f t="shared" si="9"/>
        <v>2.2727272727272725</v>
      </c>
      <c r="I5661" s="436"/>
      <c r="J5661" s="465"/>
      <c r="K5661" s="465"/>
      <c r="L5661" s="74"/>
    </row>
    <row r="5662" spans="1:12" ht="19">
      <c r="A5662" s="74"/>
      <c r="B5662" s="1271">
        <v>46142</v>
      </c>
      <c r="C5662" s="436" t="s">
        <v>321</v>
      </c>
      <c r="D5662" s="436" t="s">
        <v>1175</v>
      </c>
      <c r="E5662" s="436">
        <v>1</v>
      </c>
      <c r="F5662" s="465">
        <v>1.6</v>
      </c>
      <c r="G5662" s="466">
        <v>1.6</v>
      </c>
      <c r="H5662" s="466">
        <f t="shared" si="9"/>
        <v>1.4545454545454546</v>
      </c>
      <c r="I5662" s="436"/>
      <c r="J5662" s="465"/>
      <c r="K5662" s="465"/>
      <c r="L5662" s="74"/>
    </row>
    <row r="5663" spans="1:12" ht="19">
      <c r="A5663" s="74"/>
      <c r="B5663" s="1271">
        <v>46142</v>
      </c>
      <c r="C5663" s="436" t="s">
        <v>256</v>
      </c>
      <c r="D5663" s="436" t="s">
        <v>2712</v>
      </c>
      <c r="E5663" s="436">
        <v>1</v>
      </c>
      <c r="F5663" s="465">
        <v>12.9</v>
      </c>
      <c r="G5663" s="466">
        <v>12.9</v>
      </c>
      <c r="H5663" s="466">
        <f t="shared" si="9"/>
        <v>11.727272727272727</v>
      </c>
      <c r="I5663" s="436"/>
      <c r="J5663" s="465"/>
      <c r="K5663" s="465"/>
      <c r="L5663" s="74"/>
    </row>
    <row r="5664" spans="1:12" ht="19">
      <c r="A5664" s="74"/>
      <c r="B5664" s="1271">
        <v>46142</v>
      </c>
      <c r="C5664" s="436" t="s">
        <v>326</v>
      </c>
      <c r="D5664" s="436" t="s">
        <v>705</v>
      </c>
      <c r="E5664" s="436">
        <v>1</v>
      </c>
      <c r="F5664" s="465">
        <v>10</v>
      </c>
      <c r="G5664" s="466">
        <v>10</v>
      </c>
      <c r="H5664" s="466">
        <f t="shared" si="9"/>
        <v>9.0909090909090899</v>
      </c>
      <c r="I5664" s="436"/>
      <c r="J5664" s="465"/>
      <c r="K5664" s="465"/>
      <c r="L5664" s="74"/>
    </row>
    <row r="5665" spans="1:12" ht="19">
      <c r="A5665" s="74"/>
      <c r="B5665" s="1271">
        <v>46142</v>
      </c>
      <c r="C5665" s="436" t="s">
        <v>256</v>
      </c>
      <c r="D5665" s="436" t="s">
        <v>1114</v>
      </c>
      <c r="E5665" s="436">
        <v>1</v>
      </c>
      <c r="F5665" s="465">
        <v>-0.2</v>
      </c>
      <c r="G5665" s="466">
        <v>-0.2</v>
      </c>
      <c r="H5665" s="466">
        <f t="shared" si="9"/>
        <v>-0.18181818181818182</v>
      </c>
      <c r="I5665" s="436"/>
      <c r="J5665" s="465"/>
      <c r="K5665" s="465"/>
      <c r="L5665" s="74"/>
    </row>
    <row r="5666" spans="1:12" ht="19">
      <c r="A5666" s="74"/>
      <c r="B5666" s="1271">
        <v>46142</v>
      </c>
      <c r="C5666" s="436" t="s">
        <v>256</v>
      </c>
      <c r="D5666" s="436" t="s">
        <v>931</v>
      </c>
      <c r="E5666" s="436">
        <v>2</v>
      </c>
      <c r="F5666" s="465">
        <v>1.7</v>
      </c>
      <c r="G5666" s="466">
        <v>3.4</v>
      </c>
      <c r="H5666" s="466">
        <f t="shared" si="9"/>
        <v>3.0909090909090904</v>
      </c>
      <c r="I5666" s="436"/>
      <c r="J5666" s="465"/>
      <c r="K5666" s="465"/>
      <c r="L5666" s="74"/>
    </row>
    <row r="5667" spans="1:12" ht="19">
      <c r="A5667" s="74"/>
      <c r="B5667" s="1271">
        <v>46142</v>
      </c>
      <c r="C5667" s="436" t="s">
        <v>256</v>
      </c>
      <c r="D5667" s="436" t="s">
        <v>870</v>
      </c>
      <c r="E5667" s="436">
        <v>1</v>
      </c>
      <c r="F5667" s="465">
        <v>3.4</v>
      </c>
      <c r="G5667" s="466">
        <v>3.4</v>
      </c>
      <c r="H5667" s="466">
        <f t="shared" si="9"/>
        <v>3.0909090909090904</v>
      </c>
      <c r="I5667" s="436"/>
      <c r="J5667" s="465"/>
      <c r="K5667" s="465"/>
      <c r="L5667" s="74"/>
    </row>
    <row r="5668" spans="1:12" ht="19">
      <c r="A5668" s="74"/>
      <c r="B5668" s="1271">
        <v>46142</v>
      </c>
      <c r="C5668" s="436" t="s">
        <v>256</v>
      </c>
      <c r="D5668" s="436" t="s">
        <v>932</v>
      </c>
      <c r="E5668" s="436">
        <v>2</v>
      </c>
      <c r="F5668" s="465">
        <v>1.7</v>
      </c>
      <c r="G5668" s="466">
        <v>3.4</v>
      </c>
      <c r="H5668" s="466">
        <f t="shared" si="9"/>
        <v>3.0909090909090904</v>
      </c>
      <c r="I5668" s="436"/>
      <c r="J5668" s="465"/>
      <c r="K5668" s="465"/>
      <c r="L5668" s="74"/>
    </row>
    <row r="5669" spans="1:12" ht="19">
      <c r="A5669" s="74"/>
      <c r="B5669" s="1271">
        <v>46143</v>
      </c>
      <c r="C5669" s="436" t="s">
        <v>247</v>
      </c>
      <c r="D5669" s="436" t="s">
        <v>248</v>
      </c>
      <c r="E5669" s="436">
        <v>1</v>
      </c>
      <c r="F5669" s="465">
        <v>1.5</v>
      </c>
      <c r="G5669" s="466">
        <v>1.5</v>
      </c>
      <c r="H5669" s="466">
        <f t="shared" si="9"/>
        <v>1.3636363636363635</v>
      </c>
      <c r="I5669" s="436"/>
      <c r="J5669" s="465"/>
      <c r="K5669" s="465"/>
      <c r="L5669" s="74"/>
    </row>
    <row r="5670" spans="1:12" ht="19">
      <c r="A5670" s="74"/>
      <c r="B5670" s="1271">
        <v>46143</v>
      </c>
      <c r="C5670" s="436" t="s">
        <v>247</v>
      </c>
      <c r="D5670" s="436" t="s">
        <v>1241</v>
      </c>
      <c r="E5670" s="436">
        <v>1</v>
      </c>
      <c r="F5670" s="465">
        <v>1.7</v>
      </c>
      <c r="G5670" s="466">
        <v>1.7</v>
      </c>
      <c r="H5670" s="466">
        <f t="shared" si="9"/>
        <v>1.5454545454545452</v>
      </c>
      <c r="I5670" s="436"/>
      <c r="J5670" s="465"/>
      <c r="K5670" s="465"/>
      <c r="L5670" s="74"/>
    </row>
    <row r="5671" spans="1:12" ht="19">
      <c r="A5671" s="74"/>
      <c r="B5671" s="1271">
        <v>46143</v>
      </c>
      <c r="C5671" s="436" t="s">
        <v>862</v>
      </c>
      <c r="D5671" s="436" t="s">
        <v>1268</v>
      </c>
      <c r="E5671" s="436">
        <v>1</v>
      </c>
      <c r="F5671" s="465">
        <v>0.05</v>
      </c>
      <c r="G5671" s="466">
        <v>0.05</v>
      </c>
      <c r="H5671" s="466">
        <f t="shared" si="9"/>
        <v>4.5454545454545456E-2</v>
      </c>
      <c r="I5671" s="436"/>
      <c r="J5671" s="465"/>
      <c r="K5671" s="465"/>
      <c r="L5671" s="74"/>
    </row>
    <row r="5672" spans="1:12" ht="19">
      <c r="A5672" s="74"/>
      <c r="B5672" s="1271">
        <v>46143</v>
      </c>
      <c r="C5672" s="436" t="s">
        <v>247</v>
      </c>
      <c r="D5672" s="436" t="s">
        <v>1253</v>
      </c>
      <c r="E5672" s="436">
        <v>1</v>
      </c>
      <c r="F5672" s="465">
        <v>1.4</v>
      </c>
      <c r="G5672" s="466">
        <v>1.4</v>
      </c>
      <c r="H5672" s="466">
        <f t="shared" si="9"/>
        <v>1.2727272727272725</v>
      </c>
      <c r="I5672" s="436"/>
      <c r="J5672" s="465"/>
      <c r="K5672" s="465"/>
      <c r="L5672" s="74"/>
    </row>
    <row r="5673" spans="1:12" ht="19">
      <c r="A5673" s="74"/>
      <c r="B5673" s="1271">
        <v>46143</v>
      </c>
      <c r="C5673" s="436" t="s">
        <v>247</v>
      </c>
      <c r="D5673" s="436" t="s">
        <v>1241</v>
      </c>
      <c r="E5673" s="436">
        <v>1</v>
      </c>
      <c r="F5673" s="465">
        <v>1.7</v>
      </c>
      <c r="G5673" s="466">
        <v>1.7</v>
      </c>
      <c r="H5673" s="466">
        <f t="shared" si="9"/>
        <v>1.5454545454545452</v>
      </c>
      <c r="I5673" s="436"/>
      <c r="J5673" s="465"/>
      <c r="K5673" s="465"/>
      <c r="L5673" s="74"/>
    </row>
    <row r="5674" spans="1:12" ht="19">
      <c r="A5674" s="74"/>
      <c r="B5674" s="1271">
        <v>46143</v>
      </c>
      <c r="C5674" s="436" t="s">
        <v>247</v>
      </c>
      <c r="D5674" s="436" t="s">
        <v>1241</v>
      </c>
      <c r="E5674" s="436">
        <v>2</v>
      </c>
      <c r="F5674" s="465">
        <v>1.7</v>
      </c>
      <c r="G5674" s="466">
        <v>3.4</v>
      </c>
      <c r="H5674" s="466">
        <f t="shared" si="9"/>
        <v>3.0909090909090904</v>
      </c>
      <c r="I5674" s="436"/>
      <c r="J5674" s="465"/>
      <c r="K5674" s="465"/>
      <c r="L5674" s="74"/>
    </row>
    <row r="5675" spans="1:12" ht="19">
      <c r="A5675" s="74"/>
      <c r="B5675" s="1271">
        <v>46143</v>
      </c>
      <c r="C5675" s="436" t="s">
        <v>328</v>
      </c>
      <c r="D5675" s="436" t="s">
        <v>761</v>
      </c>
      <c r="E5675" s="436">
        <v>1</v>
      </c>
      <c r="F5675" s="465">
        <v>3.1</v>
      </c>
      <c r="G5675" s="466">
        <v>3.1</v>
      </c>
      <c r="H5675" s="466">
        <f t="shared" si="9"/>
        <v>2.8181818181818179</v>
      </c>
      <c r="I5675" s="436"/>
      <c r="J5675" s="465"/>
      <c r="K5675" s="465"/>
      <c r="L5675" s="74"/>
    </row>
    <row r="5676" spans="1:12" ht="19">
      <c r="A5676" s="74"/>
      <c r="B5676" s="1271">
        <v>46143</v>
      </c>
      <c r="C5676" s="436" t="s">
        <v>328</v>
      </c>
      <c r="D5676" s="436" t="s">
        <v>1248</v>
      </c>
      <c r="E5676" s="436">
        <v>1</v>
      </c>
      <c r="F5676" s="465">
        <v>0.05</v>
      </c>
      <c r="G5676" s="466">
        <v>0.05</v>
      </c>
      <c r="H5676" s="466">
        <f t="shared" si="9"/>
        <v>4.5454545454545456E-2</v>
      </c>
      <c r="I5676" s="436"/>
      <c r="J5676" s="465"/>
      <c r="K5676" s="465"/>
      <c r="L5676" s="74"/>
    </row>
    <row r="5677" spans="1:12" ht="19">
      <c r="A5677" s="74"/>
      <c r="B5677" s="1271">
        <v>46143</v>
      </c>
      <c r="C5677" s="436" t="s">
        <v>247</v>
      </c>
      <c r="D5677" s="436" t="s">
        <v>248</v>
      </c>
      <c r="E5677" s="436">
        <v>1</v>
      </c>
      <c r="F5677" s="465">
        <v>1.5</v>
      </c>
      <c r="G5677" s="466">
        <v>1.5</v>
      </c>
      <c r="H5677" s="466">
        <f t="shared" si="9"/>
        <v>1.3636363636363635</v>
      </c>
      <c r="I5677" s="436"/>
      <c r="J5677" s="465"/>
      <c r="K5677" s="465"/>
      <c r="L5677" s="74"/>
    </row>
    <row r="5678" spans="1:12" ht="19">
      <c r="A5678" s="74"/>
      <c r="B5678" s="1271">
        <v>46143</v>
      </c>
      <c r="C5678" s="436" t="s">
        <v>862</v>
      </c>
      <c r="D5678" s="436" t="s">
        <v>1268</v>
      </c>
      <c r="E5678" s="436">
        <v>1</v>
      </c>
      <c r="F5678" s="465">
        <v>0.05</v>
      </c>
      <c r="G5678" s="466">
        <v>0.05</v>
      </c>
      <c r="H5678" s="466">
        <f t="shared" ref="H5678:H5709" si="10">G5678/1.1</f>
        <v>4.5454545454545456E-2</v>
      </c>
      <c r="I5678" s="436"/>
      <c r="J5678" s="465"/>
      <c r="K5678" s="465"/>
      <c r="L5678" s="74"/>
    </row>
    <row r="5679" spans="1:12" ht="19">
      <c r="A5679" s="74"/>
      <c r="B5679" s="1271">
        <v>46143</v>
      </c>
      <c r="C5679" s="436" t="s">
        <v>247</v>
      </c>
      <c r="D5679" s="436" t="s">
        <v>1241</v>
      </c>
      <c r="E5679" s="436">
        <v>1</v>
      </c>
      <c r="F5679" s="465">
        <v>1.7</v>
      </c>
      <c r="G5679" s="466">
        <v>1.7</v>
      </c>
      <c r="H5679" s="466">
        <f t="shared" si="10"/>
        <v>1.5454545454545452</v>
      </c>
      <c r="I5679" s="436"/>
      <c r="J5679" s="465"/>
      <c r="K5679" s="465"/>
      <c r="L5679" s="74"/>
    </row>
    <row r="5680" spans="1:12" ht="19">
      <c r="A5680" s="74"/>
      <c r="B5680" s="1271">
        <v>46143</v>
      </c>
      <c r="C5680" s="436" t="s">
        <v>328</v>
      </c>
      <c r="D5680" s="436" t="s">
        <v>723</v>
      </c>
      <c r="E5680" s="436">
        <v>1</v>
      </c>
      <c r="F5680" s="465">
        <v>3.1</v>
      </c>
      <c r="G5680" s="466">
        <v>3.1</v>
      </c>
      <c r="H5680" s="466">
        <f t="shared" si="10"/>
        <v>2.8181818181818179</v>
      </c>
      <c r="I5680" s="436"/>
      <c r="J5680" s="465"/>
      <c r="K5680" s="465"/>
      <c r="L5680" s="74"/>
    </row>
    <row r="5681" spans="1:12" ht="19">
      <c r="A5681" s="74"/>
      <c r="B5681" s="1271">
        <v>46143</v>
      </c>
      <c r="C5681" s="436" t="s">
        <v>328</v>
      </c>
      <c r="D5681" s="436" t="s">
        <v>1248</v>
      </c>
      <c r="E5681" s="436">
        <v>1</v>
      </c>
      <c r="F5681" s="465">
        <v>0.1</v>
      </c>
      <c r="G5681" s="466">
        <v>0.1</v>
      </c>
      <c r="H5681" s="466">
        <f t="shared" si="10"/>
        <v>9.0909090909090912E-2</v>
      </c>
      <c r="I5681" s="436"/>
      <c r="J5681" s="465"/>
      <c r="K5681" s="465"/>
      <c r="L5681" s="74"/>
    </row>
    <row r="5682" spans="1:12" ht="19">
      <c r="A5682" s="74"/>
      <c r="B5682" s="1271">
        <v>46143</v>
      </c>
      <c r="C5682" s="436" t="s">
        <v>268</v>
      </c>
      <c r="D5682" s="436" t="s">
        <v>859</v>
      </c>
      <c r="E5682" s="436">
        <v>1</v>
      </c>
      <c r="F5682" s="465">
        <v>0.75</v>
      </c>
      <c r="G5682" s="466">
        <v>0.75</v>
      </c>
      <c r="H5682" s="466">
        <f t="shared" si="10"/>
        <v>0.68181818181818177</v>
      </c>
      <c r="I5682" s="436"/>
      <c r="J5682" s="465"/>
      <c r="K5682" s="465"/>
      <c r="L5682" s="74"/>
    </row>
    <row r="5683" spans="1:12" ht="19">
      <c r="A5683" s="74"/>
      <c r="B5683" s="1271">
        <v>46143</v>
      </c>
      <c r="C5683" s="436" t="s">
        <v>247</v>
      </c>
      <c r="D5683" s="436" t="s">
        <v>1241</v>
      </c>
      <c r="E5683" s="436">
        <v>1</v>
      </c>
      <c r="F5683" s="465">
        <v>1.7</v>
      </c>
      <c r="G5683" s="466">
        <v>1.7</v>
      </c>
      <c r="H5683" s="466">
        <f t="shared" si="10"/>
        <v>1.5454545454545452</v>
      </c>
      <c r="I5683" s="436"/>
      <c r="J5683" s="465"/>
      <c r="K5683" s="465"/>
      <c r="L5683" s="74"/>
    </row>
    <row r="5684" spans="1:12" ht="19">
      <c r="A5684" s="74"/>
      <c r="B5684" s="1271">
        <v>46143</v>
      </c>
      <c r="C5684" s="436" t="s">
        <v>247</v>
      </c>
      <c r="D5684" s="436" t="s">
        <v>248</v>
      </c>
      <c r="E5684" s="436">
        <v>1</v>
      </c>
      <c r="F5684" s="465">
        <v>1.5</v>
      </c>
      <c r="G5684" s="466">
        <v>1.5</v>
      </c>
      <c r="H5684" s="466">
        <f t="shared" si="10"/>
        <v>1.3636363636363635</v>
      </c>
      <c r="I5684" s="436"/>
      <c r="J5684" s="465"/>
      <c r="K5684" s="465"/>
      <c r="L5684" s="74"/>
    </row>
    <row r="5685" spans="1:12" ht="19">
      <c r="A5685" s="74"/>
      <c r="B5685" s="1271">
        <v>46143</v>
      </c>
      <c r="C5685" s="436" t="s">
        <v>268</v>
      </c>
      <c r="D5685" s="436" t="s">
        <v>858</v>
      </c>
      <c r="E5685" s="436">
        <v>1</v>
      </c>
      <c r="F5685" s="465">
        <v>0.65</v>
      </c>
      <c r="G5685" s="466">
        <v>0.65</v>
      </c>
      <c r="H5685" s="466">
        <f t="shared" si="10"/>
        <v>0.59090909090909083</v>
      </c>
      <c r="I5685" s="436"/>
      <c r="J5685" s="465"/>
      <c r="K5685" s="465"/>
      <c r="L5685" s="74"/>
    </row>
    <row r="5686" spans="1:12" ht="19">
      <c r="A5686" s="74"/>
      <c r="B5686" s="1271">
        <v>46143</v>
      </c>
      <c r="C5686" s="436" t="s">
        <v>251</v>
      </c>
      <c r="D5686" s="436" t="s">
        <v>1173</v>
      </c>
      <c r="E5686" s="436">
        <v>1</v>
      </c>
      <c r="F5686" s="465">
        <v>2.2000000000000002</v>
      </c>
      <c r="G5686" s="466">
        <v>2.2000000000000002</v>
      </c>
      <c r="H5686" s="466">
        <f t="shared" si="10"/>
        <v>2</v>
      </c>
      <c r="I5686" s="436"/>
      <c r="J5686" s="465"/>
      <c r="K5686" s="465"/>
      <c r="L5686" s="74"/>
    </row>
    <row r="5687" spans="1:12" ht="19">
      <c r="A5687" s="74"/>
      <c r="B5687" s="1271">
        <v>46143</v>
      </c>
      <c r="C5687" s="436" t="s">
        <v>251</v>
      </c>
      <c r="D5687" s="436" t="s">
        <v>742</v>
      </c>
      <c r="E5687" s="436">
        <v>1</v>
      </c>
      <c r="F5687" s="465">
        <v>2.75</v>
      </c>
      <c r="G5687" s="466">
        <v>2.75</v>
      </c>
      <c r="H5687" s="466">
        <f t="shared" si="10"/>
        <v>2.5</v>
      </c>
      <c r="I5687" s="436"/>
      <c r="J5687" s="465"/>
      <c r="K5687" s="465"/>
      <c r="L5687" s="74"/>
    </row>
    <row r="5688" spans="1:12" ht="19">
      <c r="A5688" s="74"/>
      <c r="B5688" s="1271">
        <v>46143</v>
      </c>
      <c r="C5688" s="436" t="s">
        <v>328</v>
      </c>
      <c r="D5688" s="436" t="s">
        <v>735</v>
      </c>
      <c r="E5688" s="436">
        <v>1</v>
      </c>
      <c r="F5688" s="465">
        <v>3.1</v>
      </c>
      <c r="G5688" s="466">
        <v>3.1</v>
      </c>
      <c r="H5688" s="466">
        <f t="shared" si="10"/>
        <v>2.8181818181818179</v>
      </c>
      <c r="I5688" s="436"/>
      <c r="J5688" s="465"/>
      <c r="K5688" s="465"/>
      <c r="L5688" s="74"/>
    </row>
    <row r="5689" spans="1:12" ht="19">
      <c r="A5689" s="74"/>
      <c r="B5689" s="1271">
        <v>46143</v>
      </c>
      <c r="C5689" s="436" t="s">
        <v>247</v>
      </c>
      <c r="D5689" s="436" t="s">
        <v>1241</v>
      </c>
      <c r="E5689" s="436">
        <v>1</v>
      </c>
      <c r="F5689" s="465">
        <v>1.7</v>
      </c>
      <c r="G5689" s="466">
        <v>1.7</v>
      </c>
      <c r="H5689" s="466">
        <f t="shared" si="10"/>
        <v>1.5454545454545452</v>
      </c>
      <c r="I5689" s="436"/>
      <c r="J5689" s="465"/>
      <c r="K5689" s="465"/>
      <c r="L5689" s="74"/>
    </row>
    <row r="5690" spans="1:12" ht="19">
      <c r="A5690" s="74"/>
      <c r="B5690" s="1271">
        <v>46143</v>
      </c>
      <c r="C5690" s="436" t="s">
        <v>268</v>
      </c>
      <c r="D5690" s="436" t="s">
        <v>950</v>
      </c>
      <c r="E5690" s="436">
        <v>1</v>
      </c>
      <c r="F5690" s="465">
        <v>5.7</v>
      </c>
      <c r="G5690" s="466">
        <v>5.7</v>
      </c>
      <c r="H5690" s="466">
        <f t="shared" si="10"/>
        <v>5.1818181818181817</v>
      </c>
      <c r="I5690" s="436"/>
      <c r="J5690" s="465"/>
      <c r="K5690" s="465"/>
      <c r="L5690" s="74"/>
    </row>
    <row r="5691" spans="1:12" ht="19">
      <c r="A5691" s="74"/>
      <c r="B5691" s="1271">
        <v>46143</v>
      </c>
      <c r="C5691" s="436" t="s">
        <v>268</v>
      </c>
      <c r="D5691" s="436" t="s">
        <v>1061</v>
      </c>
      <c r="E5691" s="436">
        <v>1</v>
      </c>
      <c r="F5691" s="465">
        <v>0.85</v>
      </c>
      <c r="G5691" s="466">
        <v>0.85</v>
      </c>
      <c r="H5691" s="466">
        <f t="shared" si="10"/>
        <v>0.7727272727272726</v>
      </c>
      <c r="I5691" s="436"/>
      <c r="J5691" s="465"/>
      <c r="K5691" s="465"/>
      <c r="L5691" s="74"/>
    </row>
    <row r="5692" spans="1:12" ht="19">
      <c r="A5692" s="74"/>
      <c r="B5692" s="1271">
        <v>46143</v>
      </c>
      <c r="C5692" s="436" t="s">
        <v>247</v>
      </c>
      <c r="D5692" s="436" t="s">
        <v>248</v>
      </c>
      <c r="E5692" s="436">
        <v>2</v>
      </c>
      <c r="F5692" s="465">
        <v>1.5</v>
      </c>
      <c r="G5692" s="466">
        <v>3</v>
      </c>
      <c r="H5692" s="466">
        <f t="shared" si="10"/>
        <v>2.7272727272727271</v>
      </c>
      <c r="I5692" s="436"/>
      <c r="J5692" s="465"/>
      <c r="K5692" s="465"/>
      <c r="L5692" s="74"/>
    </row>
    <row r="5693" spans="1:12" ht="19">
      <c r="A5693" s="74"/>
      <c r="B5693" s="1271">
        <v>46143</v>
      </c>
      <c r="C5693" s="436" t="s">
        <v>268</v>
      </c>
      <c r="D5693" s="436" t="s">
        <v>950</v>
      </c>
      <c r="E5693" s="436">
        <v>1</v>
      </c>
      <c r="F5693" s="465">
        <v>5.7</v>
      </c>
      <c r="G5693" s="466">
        <v>5.7</v>
      </c>
      <c r="H5693" s="466">
        <f t="shared" si="10"/>
        <v>5.1818181818181817</v>
      </c>
      <c r="I5693" s="436"/>
      <c r="J5693" s="465"/>
      <c r="K5693" s="465"/>
      <c r="L5693" s="74"/>
    </row>
    <row r="5694" spans="1:12" ht="19">
      <c r="A5694" s="74"/>
      <c r="B5694" s="1271">
        <v>46143</v>
      </c>
      <c r="C5694" s="436" t="s">
        <v>268</v>
      </c>
      <c r="D5694" s="436" t="s">
        <v>1061</v>
      </c>
      <c r="E5694" s="436">
        <v>1</v>
      </c>
      <c r="F5694" s="465">
        <v>0.85</v>
      </c>
      <c r="G5694" s="466">
        <v>0.85</v>
      </c>
      <c r="H5694" s="466">
        <f t="shared" si="10"/>
        <v>0.7727272727272726</v>
      </c>
      <c r="I5694" s="436"/>
      <c r="J5694" s="465"/>
      <c r="K5694" s="465"/>
      <c r="L5694" s="74"/>
    </row>
    <row r="5695" spans="1:12" ht="19">
      <c r="A5695" s="74"/>
      <c r="B5695" s="1271">
        <v>46143</v>
      </c>
      <c r="C5695" s="436" t="s">
        <v>268</v>
      </c>
      <c r="D5695" s="436" t="s">
        <v>895</v>
      </c>
      <c r="E5695" s="436">
        <v>2</v>
      </c>
      <c r="F5695" s="465">
        <v>7.1</v>
      </c>
      <c r="G5695" s="466">
        <v>14.2</v>
      </c>
      <c r="H5695" s="466">
        <f t="shared" si="10"/>
        <v>12.909090909090908</v>
      </c>
      <c r="I5695" s="436"/>
      <c r="J5695" s="465"/>
      <c r="K5695" s="465"/>
      <c r="L5695" s="74"/>
    </row>
    <row r="5696" spans="1:12" ht="19">
      <c r="A5696" s="74"/>
      <c r="B5696" s="1271">
        <v>46143</v>
      </c>
      <c r="C5696" s="436" t="s">
        <v>276</v>
      </c>
      <c r="D5696" s="436" t="s">
        <v>2713</v>
      </c>
      <c r="E5696" s="436">
        <v>1</v>
      </c>
      <c r="F5696" s="465">
        <v>4.5</v>
      </c>
      <c r="G5696" s="466">
        <v>4.5</v>
      </c>
      <c r="H5696" s="466">
        <f t="shared" si="10"/>
        <v>4.0909090909090908</v>
      </c>
      <c r="I5696" s="436"/>
      <c r="J5696" s="465"/>
      <c r="K5696" s="465"/>
      <c r="L5696" s="74"/>
    </row>
    <row r="5697" spans="1:12" ht="19">
      <c r="A5697" s="74"/>
      <c r="B5697" s="1271">
        <v>46143</v>
      </c>
      <c r="C5697" s="436" t="s">
        <v>276</v>
      </c>
      <c r="D5697" s="436" t="s">
        <v>867</v>
      </c>
      <c r="E5697" s="436">
        <v>1</v>
      </c>
      <c r="F5697" s="465">
        <v>6.8</v>
      </c>
      <c r="G5697" s="466">
        <v>6.8</v>
      </c>
      <c r="H5697" s="466">
        <f t="shared" si="10"/>
        <v>6.1818181818181808</v>
      </c>
      <c r="I5697" s="436"/>
      <c r="J5697" s="465"/>
      <c r="K5697" s="465"/>
      <c r="L5697" s="74"/>
    </row>
    <row r="5698" spans="1:12">
      <c r="A5698" s="74"/>
      <c r="B5698" s="684"/>
      <c r="C5698" s="74"/>
      <c r="D5698" s="74"/>
      <c r="E5698" s="74"/>
      <c r="F5698" s="717"/>
      <c r="G5698" s="717"/>
      <c r="H5698" s="717"/>
      <c r="I5698" s="74"/>
      <c r="J5698" s="74"/>
      <c r="K5698" s="74"/>
      <c r="L5698" s="74"/>
    </row>
    <row r="5699" spans="1:12">
      <c r="A5699" s="74"/>
      <c r="B5699" s="684"/>
      <c r="C5699" s="74"/>
      <c r="D5699" s="74"/>
      <c r="E5699" s="74"/>
      <c r="F5699" s="717"/>
      <c r="G5699" s="717"/>
      <c r="H5699" s="717"/>
      <c r="I5699" s="74"/>
      <c r="J5699" s="74"/>
      <c r="K5699" s="74"/>
      <c r="L5699" s="74"/>
    </row>
    <row r="5700" spans="1:12">
      <c r="A5700" s="74"/>
      <c r="B5700" s="684"/>
      <c r="C5700" s="74"/>
      <c r="D5700" s="74"/>
      <c r="E5700" s="74"/>
      <c r="F5700" s="717"/>
      <c r="G5700" s="717"/>
      <c r="H5700" s="717"/>
      <c r="I5700" s="74"/>
      <c r="J5700" s="74"/>
      <c r="K5700" s="74"/>
      <c r="L5700" s="74"/>
    </row>
    <row r="5701" spans="1:12">
      <c r="A5701" s="74"/>
      <c r="B5701" s="684"/>
      <c r="C5701" s="74"/>
      <c r="D5701" s="74"/>
      <c r="E5701" s="74"/>
      <c r="F5701" s="717"/>
      <c r="G5701" s="717"/>
      <c r="H5701" s="717"/>
      <c r="I5701" s="74"/>
      <c r="J5701" s="74"/>
      <c r="K5701" s="74"/>
      <c r="L5701" s="74"/>
    </row>
    <row r="5702" spans="1:12">
      <c r="A5702" s="74"/>
      <c r="B5702" s="684"/>
      <c r="C5702" s="74"/>
      <c r="D5702" s="74"/>
      <c r="E5702" s="74"/>
      <c r="F5702" s="717"/>
      <c r="G5702" s="717"/>
      <c r="H5702" s="717"/>
      <c r="I5702" s="74"/>
      <c r="J5702" s="74"/>
      <c r="K5702" s="74"/>
      <c r="L5702" s="74"/>
    </row>
    <row r="5703" spans="1:12">
      <c r="A5703" s="74"/>
      <c r="B5703" s="684"/>
      <c r="C5703" s="74"/>
      <c r="D5703" s="74"/>
      <c r="E5703" s="74"/>
      <c r="F5703" s="717"/>
      <c r="G5703" s="717"/>
      <c r="H5703" s="717"/>
      <c r="I5703" s="74"/>
      <c r="J5703" s="74"/>
      <c r="K5703" s="74"/>
      <c r="L5703" s="74"/>
    </row>
    <row r="5704" spans="1:12">
      <c r="A5704" s="74"/>
      <c r="B5704" s="684"/>
      <c r="C5704" s="74"/>
      <c r="D5704" s="74"/>
      <c r="E5704" s="74"/>
      <c r="F5704" s="717"/>
      <c r="G5704" s="717"/>
      <c r="H5704" s="717"/>
      <c r="I5704" s="74"/>
      <c r="J5704" s="74"/>
      <c r="K5704" s="74"/>
      <c r="L5704" s="74"/>
    </row>
    <row r="5705" spans="1:12">
      <c r="A5705" s="74"/>
      <c r="B5705" s="684"/>
      <c r="C5705" s="74"/>
      <c r="D5705" s="74"/>
      <c r="E5705" s="74"/>
      <c r="F5705" s="717"/>
      <c r="G5705" s="717"/>
      <c r="H5705" s="717"/>
      <c r="I5705" s="74"/>
      <c r="J5705" s="74"/>
      <c r="K5705" s="74"/>
      <c r="L5705" s="74"/>
    </row>
    <row r="5706" spans="1:12">
      <c r="A5706" s="74"/>
      <c r="B5706" s="684"/>
      <c r="C5706" s="74"/>
      <c r="D5706" s="74"/>
      <c r="E5706" s="74"/>
      <c r="F5706" s="717"/>
      <c r="G5706" s="717"/>
      <c r="H5706" s="717"/>
      <c r="I5706" s="74"/>
      <c r="J5706" s="74"/>
      <c r="K5706" s="74"/>
      <c r="L5706" s="74"/>
    </row>
    <row r="5707" spans="1:12">
      <c r="A5707" s="74"/>
      <c r="B5707" s="684"/>
      <c r="C5707" s="74"/>
      <c r="D5707" s="74"/>
      <c r="E5707" s="74"/>
      <c r="F5707" s="717"/>
      <c r="G5707" s="717"/>
      <c r="H5707" s="717"/>
      <c r="I5707" s="74"/>
      <c r="J5707" s="74"/>
      <c r="K5707" s="74"/>
      <c r="L5707" s="74"/>
    </row>
    <row r="5708" spans="1:12">
      <c r="A5708" s="74"/>
      <c r="B5708" s="684"/>
      <c r="C5708" s="74"/>
      <c r="D5708" s="74"/>
      <c r="E5708" s="74"/>
      <c r="F5708" s="717"/>
      <c r="G5708" s="717"/>
      <c r="H5708" s="717"/>
      <c r="I5708" s="74"/>
      <c r="J5708" s="74"/>
      <c r="K5708" s="74"/>
      <c r="L5708" s="74"/>
    </row>
    <row r="5709" spans="1:12">
      <c r="A5709" s="74"/>
      <c r="B5709" s="684"/>
      <c r="C5709" s="74"/>
      <c r="D5709" s="74"/>
      <c r="E5709" s="74"/>
      <c r="F5709" s="717"/>
      <c r="G5709" s="717"/>
      <c r="H5709" s="717"/>
      <c r="I5709" s="74"/>
      <c r="J5709" s="74"/>
      <c r="K5709" s="74"/>
      <c r="L5709" s="74"/>
    </row>
  </sheetData>
  <pageMargins left="0.7" right="0.7" top="0.75" bottom="0.75" header="0.3" footer="0.3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1005"/>
  <sheetViews>
    <sheetView showGridLines="0" topLeftCell="G1" zoomScale="187" workbookViewId="0">
      <pane ySplit="3" topLeftCell="A5" activePane="bottomLeft" state="frozen"/>
      <selection pane="bottomLeft" activeCell="B11" sqref="B11"/>
    </sheetView>
  </sheetViews>
  <sheetFormatPr baseColWidth="10" defaultColWidth="14.5" defaultRowHeight="15" customHeight="1"/>
  <cols>
    <col min="1" max="1" width="11" style="1" customWidth="1"/>
    <col min="2" max="2" width="9.6640625" bestFit="1" customWidth="1"/>
    <col min="3" max="3" width="30" customWidth="1"/>
    <col min="4" max="4" width="16" customWidth="1"/>
    <col min="5" max="5" width="12" customWidth="1"/>
    <col min="6" max="7" width="13" customWidth="1"/>
    <col min="8" max="8" width="12" customWidth="1"/>
    <col min="9" max="9" width="10" customWidth="1"/>
    <col min="10" max="10" width="16" customWidth="1"/>
    <col min="11" max="11" width="24" customWidth="1"/>
    <col min="12" max="12" width="8.6640625" customWidth="1"/>
    <col min="13" max="13" width="9.5" bestFit="1" customWidth="1"/>
    <col min="14" max="14" width="10.5" style="1054" bestFit="1" customWidth="1"/>
    <col min="15" max="15" width="29" bestFit="1" customWidth="1"/>
    <col min="16" max="16" width="16.83203125" bestFit="1" customWidth="1"/>
    <col min="17" max="17" width="4.5" bestFit="1" customWidth="1"/>
    <col min="18" max="18" width="10.1640625" bestFit="1" customWidth="1"/>
    <col min="19" max="19" width="21.6640625" bestFit="1" customWidth="1"/>
    <col min="20" max="20" width="13" bestFit="1" customWidth="1"/>
    <col min="21" max="21" width="16.33203125" bestFit="1" customWidth="1"/>
    <col min="22" max="26" width="8.6640625" customWidth="1"/>
  </cols>
  <sheetData>
    <row r="1" spans="1:21" ht="31.5" customHeight="1">
      <c r="A1" s="1168" t="s">
        <v>1380</v>
      </c>
      <c r="B1" s="1140"/>
      <c r="C1" s="1140"/>
      <c r="D1" s="1140"/>
      <c r="E1" s="1140"/>
      <c r="F1" s="1140"/>
      <c r="G1" s="1140"/>
      <c r="H1" s="1140"/>
      <c r="I1" s="1140"/>
      <c r="J1" s="1140"/>
      <c r="K1" s="1140"/>
      <c r="L1" s="74"/>
      <c r="M1" s="1168" t="s">
        <v>1381</v>
      </c>
      <c r="N1" s="1207"/>
      <c r="O1" s="1140"/>
      <c r="P1" s="1140"/>
      <c r="Q1" s="1140"/>
      <c r="R1" s="1140"/>
      <c r="S1" s="1140"/>
      <c r="T1" s="1140"/>
      <c r="U1" s="1140"/>
    </row>
    <row r="2" spans="1:21" ht="18" customHeight="1">
      <c r="A2" s="1206" t="s">
        <v>1382</v>
      </c>
      <c r="B2" s="1140"/>
      <c r="C2" s="1140"/>
      <c r="D2" s="1140"/>
      <c r="E2" s="1140"/>
      <c r="F2" s="1140"/>
      <c r="G2" s="1140"/>
      <c r="H2" s="1140"/>
      <c r="I2" s="1140"/>
      <c r="J2" s="1140"/>
      <c r="K2" s="1140"/>
      <c r="L2" s="74"/>
      <c r="M2" s="74"/>
      <c r="N2" s="1082"/>
      <c r="O2" s="74"/>
      <c r="P2" s="74"/>
      <c r="Q2" s="74"/>
      <c r="R2" s="74"/>
      <c r="S2" s="74"/>
      <c r="T2" s="74"/>
      <c r="U2" s="74"/>
    </row>
    <row r="3" spans="1:21" ht="21.75" customHeight="1">
      <c r="A3" s="5" t="s">
        <v>66</v>
      </c>
      <c r="B3" s="5" t="s">
        <v>438</v>
      </c>
      <c r="C3" s="5" t="s">
        <v>657</v>
      </c>
      <c r="D3" s="5" t="s">
        <v>1383</v>
      </c>
      <c r="E3" s="5" t="s">
        <v>1384</v>
      </c>
      <c r="F3" s="5" t="s">
        <v>1385</v>
      </c>
      <c r="G3" s="5" t="s">
        <v>1386</v>
      </c>
      <c r="H3" s="5" t="s">
        <v>658</v>
      </c>
      <c r="I3" s="5" t="s">
        <v>655</v>
      </c>
      <c r="J3" s="5" t="s">
        <v>7</v>
      </c>
      <c r="K3" s="5" t="s">
        <v>1387</v>
      </c>
      <c r="L3" s="74"/>
      <c r="M3" s="5" t="s">
        <v>66</v>
      </c>
      <c r="N3" s="1055" t="s">
        <v>438</v>
      </c>
      <c r="O3" s="5" t="s">
        <v>1388</v>
      </c>
      <c r="P3" s="5" t="s">
        <v>1383</v>
      </c>
      <c r="Q3" s="5" t="s">
        <v>1389</v>
      </c>
      <c r="R3" s="5" t="s">
        <v>1390</v>
      </c>
      <c r="S3" s="5" t="s">
        <v>1391</v>
      </c>
      <c r="T3" s="5" t="s">
        <v>7</v>
      </c>
      <c r="U3" s="5" t="s">
        <v>1387</v>
      </c>
    </row>
    <row r="4" spans="1:21" ht="15" customHeight="1">
      <c r="A4" s="32" t="s">
        <v>78</v>
      </c>
      <c r="B4" s="33" t="s">
        <v>1392</v>
      </c>
      <c r="C4" s="34" t="s">
        <v>1393</v>
      </c>
      <c r="D4" s="35" t="s">
        <v>1394</v>
      </c>
      <c r="E4" s="36">
        <v>1.5</v>
      </c>
      <c r="F4" s="37">
        <v>1800</v>
      </c>
      <c r="G4" s="38"/>
      <c r="H4" s="39">
        <f t="shared" ref="H4:H9" si="0">IFERROR(G4-F4,"")</f>
        <v>-1800</v>
      </c>
      <c r="I4" s="40">
        <f t="shared" ref="I4:I9" si="1">IFERROR(H4/F4,"")</f>
        <v>-1</v>
      </c>
      <c r="J4" s="41" t="s">
        <v>1395</v>
      </c>
      <c r="K4" s="42" t="s">
        <v>1396</v>
      </c>
      <c r="L4" s="74"/>
      <c r="M4" s="32" t="s">
        <v>95</v>
      </c>
      <c r="N4" s="1056" t="s">
        <v>1397</v>
      </c>
      <c r="O4" s="34" t="s">
        <v>1398</v>
      </c>
      <c r="P4" s="35" t="s">
        <v>1399</v>
      </c>
      <c r="Q4" s="36">
        <v>2</v>
      </c>
      <c r="R4" s="37">
        <v>3000</v>
      </c>
      <c r="S4" s="38"/>
      <c r="T4" s="39" t="s">
        <v>1400</v>
      </c>
      <c r="U4" s="40"/>
    </row>
    <row r="5" spans="1:21" ht="15" customHeight="1">
      <c r="A5" s="723" t="s">
        <v>80</v>
      </c>
      <c r="B5" s="724" t="s">
        <v>1401</v>
      </c>
      <c r="C5" s="725" t="s">
        <v>1402</v>
      </c>
      <c r="D5" s="726" t="s">
        <v>1403</v>
      </c>
      <c r="E5" s="727">
        <v>2.8</v>
      </c>
      <c r="F5" s="728">
        <v>4000</v>
      </c>
      <c r="G5" s="729">
        <v>3542.72</v>
      </c>
      <c r="H5" s="730">
        <f t="shared" si="0"/>
        <v>-457.2800000000002</v>
      </c>
      <c r="I5" s="731">
        <f t="shared" si="1"/>
        <v>-0.11432000000000005</v>
      </c>
      <c r="J5" s="732" t="s">
        <v>1395</v>
      </c>
      <c r="K5" s="733" t="s">
        <v>1404</v>
      </c>
      <c r="L5" s="74"/>
      <c r="M5" s="32" t="s">
        <v>82</v>
      </c>
      <c r="N5" s="1056">
        <v>46116</v>
      </c>
      <c r="O5" s="34" t="s">
        <v>1405</v>
      </c>
      <c r="P5" s="35" t="s">
        <v>1406</v>
      </c>
      <c r="Q5" s="36">
        <v>1.3</v>
      </c>
      <c r="R5" s="37"/>
      <c r="S5" s="38"/>
      <c r="T5" s="39" t="s">
        <v>1395</v>
      </c>
      <c r="U5" s="40" t="s">
        <v>1407</v>
      </c>
    </row>
    <row r="6" spans="1:21" ht="15" customHeight="1">
      <c r="A6" s="723" t="s">
        <v>80</v>
      </c>
      <c r="B6" s="724" t="s">
        <v>1408</v>
      </c>
      <c r="C6" s="725" t="s">
        <v>1409</v>
      </c>
      <c r="D6" s="726" t="s">
        <v>1410</v>
      </c>
      <c r="E6" s="727">
        <v>2</v>
      </c>
      <c r="F6" s="728">
        <v>3500</v>
      </c>
      <c r="G6" s="729">
        <v>3184.45</v>
      </c>
      <c r="H6" s="730">
        <f t="shared" si="0"/>
        <v>-315.55000000000018</v>
      </c>
      <c r="I6" s="731">
        <f t="shared" si="1"/>
        <v>-9.0157142857142908E-2</v>
      </c>
      <c r="J6" s="732" t="s">
        <v>1395</v>
      </c>
      <c r="K6" s="733" t="s">
        <v>1404</v>
      </c>
      <c r="L6" s="74"/>
      <c r="M6" s="32" t="s">
        <v>82</v>
      </c>
      <c r="N6" s="1056">
        <v>46238</v>
      </c>
      <c r="O6" s="34" t="s">
        <v>1411</v>
      </c>
      <c r="P6" s="35" t="s">
        <v>1412</v>
      </c>
      <c r="Q6" s="36">
        <v>1.8</v>
      </c>
      <c r="R6" s="37"/>
      <c r="S6" s="38"/>
      <c r="T6" s="39" t="s">
        <v>1413</v>
      </c>
      <c r="U6" s="40" t="s">
        <v>1407</v>
      </c>
    </row>
    <row r="7" spans="1:21" ht="15" customHeight="1">
      <c r="A7" s="723" t="s">
        <v>81</v>
      </c>
      <c r="B7" s="724" t="s">
        <v>1414</v>
      </c>
      <c r="C7" s="725" t="s">
        <v>1415</v>
      </c>
      <c r="D7" s="726" t="s">
        <v>1416</v>
      </c>
      <c r="E7" s="727">
        <v>1.8</v>
      </c>
      <c r="F7" s="728">
        <v>2800</v>
      </c>
      <c r="G7" s="729">
        <v>2683.33</v>
      </c>
      <c r="H7" s="730">
        <f t="shared" si="0"/>
        <v>-116.67000000000007</v>
      </c>
      <c r="I7" s="731">
        <f t="shared" si="1"/>
        <v>-4.1667857142857166E-2</v>
      </c>
      <c r="J7" s="732" t="s">
        <v>1395</v>
      </c>
      <c r="K7" s="733" t="s">
        <v>1404</v>
      </c>
      <c r="L7" s="74"/>
      <c r="M7" s="32" t="s">
        <v>82</v>
      </c>
      <c r="N7" s="1056" t="s">
        <v>1417</v>
      </c>
      <c r="O7" s="34" t="s">
        <v>1418</v>
      </c>
      <c r="P7" s="35" t="s">
        <v>1412</v>
      </c>
      <c r="Q7" s="36">
        <v>1.6</v>
      </c>
      <c r="R7" s="37" t="s">
        <v>1419</v>
      </c>
      <c r="S7" s="38" t="s">
        <v>1387</v>
      </c>
      <c r="T7" s="39" t="s">
        <v>1413</v>
      </c>
      <c r="U7" s="40" t="s">
        <v>1407</v>
      </c>
    </row>
    <row r="8" spans="1:21" ht="15" customHeight="1">
      <c r="A8" s="723" t="s">
        <v>81</v>
      </c>
      <c r="B8" s="724" t="s">
        <v>1420</v>
      </c>
      <c r="C8" s="725" t="s">
        <v>1421</v>
      </c>
      <c r="D8" s="726" t="s">
        <v>1422</v>
      </c>
      <c r="E8" s="727">
        <v>1.9</v>
      </c>
      <c r="F8" s="728">
        <v>2200</v>
      </c>
      <c r="G8" s="729">
        <v>1812.63</v>
      </c>
      <c r="H8" s="730">
        <f t="shared" si="0"/>
        <v>-387.36999999999989</v>
      </c>
      <c r="I8" s="731">
        <f t="shared" si="1"/>
        <v>-0.17607727272727267</v>
      </c>
      <c r="J8" s="732" t="s">
        <v>1395</v>
      </c>
      <c r="K8" s="733" t="s">
        <v>1404</v>
      </c>
      <c r="L8" s="74"/>
      <c r="M8" s="32" t="s">
        <v>82</v>
      </c>
      <c r="N8" s="1056" t="s">
        <v>1423</v>
      </c>
      <c r="O8" s="34" t="s">
        <v>1424</v>
      </c>
      <c r="P8" s="35" t="s">
        <v>1406</v>
      </c>
      <c r="Q8" s="36">
        <v>1.3</v>
      </c>
      <c r="R8" s="37">
        <v>16</v>
      </c>
      <c r="S8" s="38" t="s">
        <v>1425</v>
      </c>
      <c r="T8" s="39" t="s">
        <v>1413</v>
      </c>
      <c r="U8" s="40" t="s">
        <v>1407</v>
      </c>
    </row>
    <row r="9" spans="1:21" s="74" customFormat="1" ht="15" customHeight="1">
      <c r="A9" s="723" t="s">
        <v>82</v>
      </c>
      <c r="B9" s="1002">
        <f>46135</f>
        <v>46135</v>
      </c>
      <c r="C9" s="725" t="s">
        <v>500</v>
      </c>
      <c r="D9" s="726" t="s">
        <v>1394</v>
      </c>
      <c r="E9" s="727">
        <v>2.2000000000000002</v>
      </c>
      <c r="F9" s="728">
        <v>2400</v>
      </c>
      <c r="G9" s="729">
        <v>2405.46</v>
      </c>
      <c r="H9" s="730">
        <f t="shared" si="0"/>
        <v>5.4600000000000364</v>
      </c>
      <c r="I9" s="731">
        <f t="shared" si="1"/>
        <v>2.2750000000000153E-3</v>
      </c>
      <c r="J9" s="732" t="s">
        <v>1395</v>
      </c>
      <c r="K9" s="733"/>
      <c r="M9" s="32" t="s">
        <v>82</v>
      </c>
      <c r="N9" s="1056" t="s">
        <v>1426</v>
      </c>
      <c r="O9" s="34" t="s">
        <v>1427</v>
      </c>
      <c r="P9" s="35" t="s">
        <v>1406</v>
      </c>
      <c r="Q9" s="36">
        <v>1.2</v>
      </c>
      <c r="R9" s="37">
        <v>15</v>
      </c>
      <c r="S9" s="38" t="s">
        <v>1425</v>
      </c>
      <c r="T9" s="39" t="s">
        <v>1413</v>
      </c>
      <c r="U9" s="40" t="s">
        <v>1407</v>
      </c>
    </row>
    <row r="10" spans="1:21" s="74" customFormat="1" ht="15" customHeight="1">
      <c r="A10" s="723" t="s">
        <v>82</v>
      </c>
      <c r="B10" s="1002">
        <v>46137</v>
      </c>
      <c r="C10" s="725" t="s">
        <v>1428</v>
      </c>
      <c r="D10" s="726" t="s">
        <v>1429</v>
      </c>
      <c r="E10" s="727">
        <v>1.8</v>
      </c>
      <c r="F10" s="728">
        <v>2200</v>
      </c>
      <c r="G10" s="729"/>
      <c r="H10" s="730">
        <v>-2200</v>
      </c>
      <c r="I10" s="731">
        <v>-1</v>
      </c>
      <c r="J10" s="732" t="s">
        <v>1400</v>
      </c>
      <c r="K10" s="733" t="s">
        <v>1430</v>
      </c>
      <c r="M10" s="32" t="s">
        <v>82</v>
      </c>
      <c r="N10" s="1056" t="s">
        <v>1426</v>
      </c>
      <c r="O10" s="34" t="s">
        <v>1431</v>
      </c>
      <c r="P10" s="35" t="s">
        <v>1412</v>
      </c>
      <c r="Q10" s="36">
        <v>1.8</v>
      </c>
      <c r="R10" s="37">
        <v>18</v>
      </c>
      <c r="S10" s="38" t="s">
        <v>1425</v>
      </c>
      <c r="T10" s="39" t="s">
        <v>1413</v>
      </c>
      <c r="U10" s="40" t="s">
        <v>1407</v>
      </c>
    </row>
    <row r="11" spans="1:21" s="74" customFormat="1" ht="15" customHeight="1">
      <c r="A11" s="723" t="s">
        <v>84</v>
      </c>
      <c r="B11" s="1002">
        <v>46143</v>
      </c>
      <c r="C11" s="725" t="s">
        <v>1432</v>
      </c>
      <c r="D11" s="726" t="s">
        <v>1433</v>
      </c>
      <c r="E11" s="727">
        <v>1.6</v>
      </c>
      <c r="F11" s="728">
        <v>2500</v>
      </c>
      <c r="G11" s="729"/>
      <c r="H11" s="730">
        <f t="shared" ref="H11:H23" si="2">IFERROR(G11-F11,"")</f>
        <v>-2500</v>
      </c>
      <c r="I11" s="731">
        <f t="shared" ref="I11:I23" si="3">IFERROR(H11/F11,"")</f>
        <v>-1</v>
      </c>
      <c r="J11" s="732" t="s">
        <v>1400</v>
      </c>
      <c r="K11" s="733" t="s">
        <v>1434</v>
      </c>
      <c r="M11" s="32" t="s">
        <v>84</v>
      </c>
      <c r="N11" s="1056">
        <v>46086</v>
      </c>
      <c r="O11" s="34" t="s">
        <v>1435</v>
      </c>
      <c r="P11" s="35" t="s">
        <v>1406</v>
      </c>
      <c r="Q11" s="36">
        <v>1.2</v>
      </c>
      <c r="R11" s="37">
        <v>14</v>
      </c>
      <c r="S11" s="38" t="s">
        <v>1425</v>
      </c>
      <c r="T11" s="39" t="s">
        <v>1400</v>
      </c>
      <c r="U11" s="40" t="s">
        <v>1407</v>
      </c>
    </row>
    <row r="12" spans="1:21" s="74" customFormat="1" ht="15" customHeight="1">
      <c r="A12" s="723" t="s">
        <v>84</v>
      </c>
      <c r="B12" s="1002">
        <v>46145</v>
      </c>
      <c r="C12" s="725" t="s">
        <v>1436</v>
      </c>
      <c r="D12" s="726" t="s">
        <v>1403</v>
      </c>
      <c r="E12" s="727">
        <v>1.8</v>
      </c>
      <c r="F12" s="728">
        <v>2800</v>
      </c>
      <c r="G12" s="729"/>
      <c r="H12" s="730">
        <f t="shared" si="2"/>
        <v>-2800</v>
      </c>
      <c r="I12" s="731">
        <f t="shared" si="3"/>
        <v>-1</v>
      </c>
      <c r="J12" s="732" t="s">
        <v>1400</v>
      </c>
      <c r="K12" s="733" t="s">
        <v>1437</v>
      </c>
      <c r="M12" s="32" t="s">
        <v>84</v>
      </c>
      <c r="N12" s="1056">
        <v>46300</v>
      </c>
      <c r="O12" s="34" t="s">
        <v>1438</v>
      </c>
      <c r="P12" s="35" t="s">
        <v>1406</v>
      </c>
      <c r="Q12" s="36">
        <v>2.5</v>
      </c>
      <c r="R12" s="37">
        <v>10</v>
      </c>
      <c r="S12" s="38" t="s">
        <v>1425</v>
      </c>
      <c r="T12" s="39" t="s">
        <v>1413</v>
      </c>
      <c r="U12" s="40" t="s">
        <v>1407</v>
      </c>
    </row>
    <row r="13" spans="1:21" ht="15" customHeight="1">
      <c r="A13" s="734" t="s">
        <v>82</v>
      </c>
      <c r="B13" s="735" t="s">
        <v>1439</v>
      </c>
      <c r="C13" s="736" t="s">
        <v>1440</v>
      </c>
      <c r="D13" s="737" t="s">
        <v>1441</v>
      </c>
      <c r="E13" s="727">
        <v>2.5</v>
      </c>
      <c r="F13" s="738">
        <v>2800</v>
      </c>
      <c r="G13" s="739"/>
      <c r="H13" s="740">
        <f t="shared" si="2"/>
        <v>-2800</v>
      </c>
      <c r="I13" s="741">
        <f t="shared" si="3"/>
        <v>-1</v>
      </c>
      <c r="J13" s="649" t="s">
        <v>1413</v>
      </c>
      <c r="K13" s="742" t="s">
        <v>1442</v>
      </c>
      <c r="L13" s="74"/>
      <c r="M13" s="32" t="s">
        <v>84</v>
      </c>
      <c r="N13" s="1056" t="s">
        <v>1443</v>
      </c>
      <c r="O13" s="34" t="s">
        <v>1444</v>
      </c>
      <c r="P13" s="35" t="s">
        <v>1406</v>
      </c>
      <c r="Q13" s="36">
        <v>1.2</v>
      </c>
      <c r="R13" s="37"/>
      <c r="S13" s="38" t="s">
        <v>1445</v>
      </c>
      <c r="T13" s="39" t="s">
        <v>1400</v>
      </c>
      <c r="U13" s="40" t="s">
        <v>1407</v>
      </c>
    </row>
    <row r="14" spans="1:21" ht="15" customHeight="1">
      <c r="A14" s="584" t="s">
        <v>84</v>
      </c>
      <c r="B14" s="50" t="s">
        <v>1446</v>
      </c>
      <c r="C14" s="161" t="s">
        <v>1447</v>
      </c>
      <c r="D14" s="614" t="s">
        <v>1448</v>
      </c>
      <c r="E14" s="727">
        <v>1.5</v>
      </c>
      <c r="F14" s="609">
        <v>1800</v>
      </c>
      <c r="G14" s="743"/>
      <c r="H14" s="704">
        <f t="shared" si="2"/>
        <v>-1800</v>
      </c>
      <c r="I14" s="744">
        <f t="shared" si="3"/>
        <v>-1</v>
      </c>
      <c r="J14" s="613" t="s">
        <v>1400</v>
      </c>
      <c r="K14" s="745" t="s">
        <v>1396</v>
      </c>
      <c r="L14" s="74"/>
      <c r="M14" s="32" t="s">
        <v>84</v>
      </c>
      <c r="N14" s="1056" t="s">
        <v>1449</v>
      </c>
      <c r="O14" s="34" t="s">
        <v>1450</v>
      </c>
      <c r="P14" s="35" t="s">
        <v>1406</v>
      </c>
      <c r="Q14" s="36">
        <v>1.3</v>
      </c>
      <c r="R14" s="37"/>
      <c r="S14" s="38" t="s">
        <v>1445</v>
      </c>
      <c r="T14" s="39" t="s">
        <v>1400</v>
      </c>
      <c r="U14" s="40" t="s">
        <v>1407</v>
      </c>
    </row>
    <row r="15" spans="1:21" ht="15" customHeight="1">
      <c r="A15" s="573" t="s">
        <v>86</v>
      </c>
      <c r="B15" s="582" t="s">
        <v>1451</v>
      </c>
      <c r="C15" s="167" t="s">
        <v>1452</v>
      </c>
      <c r="D15" s="607" t="s">
        <v>1422</v>
      </c>
      <c r="E15" s="727">
        <v>1.5</v>
      </c>
      <c r="F15" s="602">
        <v>2000</v>
      </c>
      <c r="G15" s="746"/>
      <c r="H15" s="699">
        <f t="shared" si="2"/>
        <v>-2000</v>
      </c>
      <c r="I15" s="747">
        <f t="shared" si="3"/>
        <v>-1</v>
      </c>
      <c r="J15" s="606" t="s">
        <v>1400</v>
      </c>
      <c r="K15" s="748" t="s">
        <v>1396</v>
      </c>
      <c r="L15" s="74"/>
      <c r="M15" s="32" t="s">
        <v>84</v>
      </c>
      <c r="N15" s="1056" t="s">
        <v>1453</v>
      </c>
      <c r="O15" s="34" t="s">
        <v>1454</v>
      </c>
      <c r="P15" s="35" t="s">
        <v>1406</v>
      </c>
      <c r="Q15" s="36">
        <v>1.4</v>
      </c>
      <c r="R15" s="37"/>
      <c r="S15" s="38"/>
      <c r="T15" s="39" t="s">
        <v>1400</v>
      </c>
      <c r="U15" s="40" t="s">
        <v>1407</v>
      </c>
    </row>
    <row r="16" spans="1:21" s="74" customFormat="1" ht="15" customHeight="1">
      <c r="A16" s="584" t="s">
        <v>87</v>
      </c>
      <c r="B16" s="1053">
        <v>46207</v>
      </c>
      <c r="C16" s="161" t="s">
        <v>1455</v>
      </c>
      <c r="D16" s="614" t="s">
        <v>1429</v>
      </c>
      <c r="E16" s="727">
        <v>1.6</v>
      </c>
      <c r="F16" s="609">
        <v>1800</v>
      </c>
      <c r="G16" s="743"/>
      <c r="H16" s="704">
        <f t="shared" si="2"/>
        <v>-1800</v>
      </c>
      <c r="I16" s="744">
        <f t="shared" si="3"/>
        <v>-1</v>
      </c>
      <c r="J16" s="613" t="s">
        <v>1400</v>
      </c>
      <c r="K16" s="745" t="s">
        <v>1456</v>
      </c>
      <c r="M16" s="32"/>
      <c r="N16" s="1056"/>
      <c r="O16" s="34"/>
      <c r="P16" s="35"/>
      <c r="Q16" s="36"/>
      <c r="R16" s="37"/>
      <c r="S16" s="38"/>
      <c r="T16" s="39"/>
      <c r="U16" s="40"/>
    </row>
    <row r="17" spans="1:21" ht="15" customHeight="1">
      <c r="A17" s="584" t="s">
        <v>87</v>
      </c>
      <c r="B17" s="50" t="s">
        <v>1457</v>
      </c>
      <c r="C17" s="161" t="s">
        <v>1458</v>
      </c>
      <c r="D17" s="614" t="s">
        <v>1459</v>
      </c>
      <c r="E17" s="727">
        <v>2.1</v>
      </c>
      <c r="F17" s="609">
        <v>3800</v>
      </c>
      <c r="G17" s="743"/>
      <c r="H17" s="704">
        <f t="shared" si="2"/>
        <v>-3800</v>
      </c>
      <c r="I17" s="744">
        <f t="shared" si="3"/>
        <v>-1</v>
      </c>
      <c r="J17" s="613" t="s">
        <v>1400</v>
      </c>
      <c r="K17" s="745" t="s">
        <v>1456</v>
      </c>
      <c r="L17" s="74"/>
      <c r="M17" s="32" t="s">
        <v>86</v>
      </c>
      <c r="N17" s="1056" t="s">
        <v>1460</v>
      </c>
      <c r="O17" s="34" t="s">
        <v>1461</v>
      </c>
      <c r="P17" s="35" t="s">
        <v>1462</v>
      </c>
      <c r="Q17" s="36">
        <v>2</v>
      </c>
      <c r="R17" s="37"/>
      <c r="S17" s="38"/>
      <c r="T17" s="39" t="s">
        <v>1413</v>
      </c>
      <c r="U17" s="40" t="s">
        <v>1463</v>
      </c>
    </row>
    <row r="18" spans="1:21" ht="15" customHeight="1">
      <c r="A18" s="573" t="s">
        <v>89</v>
      </c>
      <c r="B18" s="582" t="s">
        <v>1464</v>
      </c>
      <c r="C18" s="167" t="s">
        <v>1465</v>
      </c>
      <c r="D18" s="607" t="s">
        <v>1422</v>
      </c>
      <c r="E18" s="727">
        <v>1.8</v>
      </c>
      <c r="F18" s="602">
        <v>3500</v>
      </c>
      <c r="G18" s="746"/>
      <c r="H18" s="699">
        <f t="shared" si="2"/>
        <v>-3500</v>
      </c>
      <c r="I18" s="747">
        <f t="shared" si="3"/>
        <v>-1</v>
      </c>
      <c r="J18" s="606" t="s">
        <v>1400</v>
      </c>
      <c r="K18" s="748"/>
      <c r="L18" s="74"/>
      <c r="M18" s="32" t="s">
        <v>86</v>
      </c>
      <c r="N18" s="1056" t="s">
        <v>1466</v>
      </c>
      <c r="O18" s="34" t="s">
        <v>1467</v>
      </c>
      <c r="P18" s="35" t="s">
        <v>1462</v>
      </c>
      <c r="Q18" s="36">
        <v>2.2000000000000002</v>
      </c>
      <c r="R18" s="37"/>
      <c r="S18" s="38"/>
      <c r="T18" s="39" t="s">
        <v>1413</v>
      </c>
      <c r="U18" s="40" t="s">
        <v>1463</v>
      </c>
    </row>
    <row r="19" spans="1:21" ht="15" customHeight="1">
      <c r="A19" s="584" t="s">
        <v>91</v>
      </c>
      <c r="B19" s="50" t="s">
        <v>1468</v>
      </c>
      <c r="C19" s="161" t="s">
        <v>1469</v>
      </c>
      <c r="D19" s="614" t="s">
        <v>1470</v>
      </c>
      <c r="E19" s="727">
        <v>1.5</v>
      </c>
      <c r="F19" s="609">
        <v>2200</v>
      </c>
      <c r="G19" s="743"/>
      <c r="H19" s="704">
        <f t="shared" si="2"/>
        <v>-2200</v>
      </c>
      <c r="I19" s="744">
        <f t="shared" si="3"/>
        <v>-1</v>
      </c>
      <c r="J19" s="613" t="s">
        <v>1400</v>
      </c>
      <c r="K19" s="745" t="s">
        <v>1396</v>
      </c>
      <c r="L19" s="74"/>
      <c r="M19" s="32" t="s">
        <v>87</v>
      </c>
      <c r="N19" s="1056">
        <v>46029</v>
      </c>
      <c r="O19" s="34" t="s">
        <v>1471</v>
      </c>
      <c r="P19" s="35" t="s">
        <v>1462</v>
      </c>
      <c r="Q19" s="36">
        <v>2.5</v>
      </c>
      <c r="R19" s="37"/>
      <c r="S19" s="38"/>
      <c r="T19" s="39" t="s">
        <v>1472</v>
      </c>
      <c r="U19" s="40"/>
    </row>
    <row r="20" spans="1:21" ht="15" customHeight="1">
      <c r="A20" s="573" t="s">
        <v>92</v>
      </c>
      <c r="B20" s="582" t="s">
        <v>1473</v>
      </c>
      <c r="C20" s="167" t="s">
        <v>1474</v>
      </c>
      <c r="D20" s="607" t="s">
        <v>1459</v>
      </c>
      <c r="E20" s="727">
        <v>2.7</v>
      </c>
      <c r="F20" s="602">
        <v>6500</v>
      </c>
      <c r="G20" s="746"/>
      <c r="H20" s="699">
        <f t="shared" si="2"/>
        <v>-6500</v>
      </c>
      <c r="I20" s="747">
        <f t="shared" si="3"/>
        <v>-1</v>
      </c>
      <c r="J20" s="606" t="s">
        <v>1400</v>
      </c>
      <c r="K20" s="748" t="s">
        <v>1475</v>
      </c>
      <c r="L20" s="74"/>
      <c r="M20" s="32" t="s">
        <v>87</v>
      </c>
      <c r="N20" s="1056">
        <v>46149</v>
      </c>
      <c r="O20" s="34" t="s">
        <v>1476</v>
      </c>
      <c r="P20" s="35" t="s">
        <v>1462</v>
      </c>
      <c r="Q20" s="36">
        <v>2.8</v>
      </c>
      <c r="R20" s="37"/>
      <c r="S20" s="38"/>
      <c r="T20" s="39" t="s">
        <v>1472</v>
      </c>
      <c r="U20" s="40"/>
    </row>
    <row r="21" spans="1:21" ht="15" customHeight="1">
      <c r="A21" s="584" t="s">
        <v>92</v>
      </c>
      <c r="B21" s="50" t="s">
        <v>1477</v>
      </c>
      <c r="C21" s="161" t="s">
        <v>1478</v>
      </c>
      <c r="D21" s="614" t="s">
        <v>1479</v>
      </c>
      <c r="E21" s="727">
        <v>1.9</v>
      </c>
      <c r="F21" s="609">
        <v>3800</v>
      </c>
      <c r="G21" s="743"/>
      <c r="H21" s="704">
        <f t="shared" si="2"/>
        <v>-3800</v>
      </c>
      <c r="I21" s="744">
        <f t="shared" si="3"/>
        <v>-1</v>
      </c>
      <c r="J21" s="613" t="s">
        <v>1400</v>
      </c>
      <c r="K21" s="745" t="s">
        <v>1396</v>
      </c>
      <c r="L21" s="74"/>
      <c r="M21" s="32" t="s">
        <v>89</v>
      </c>
      <c r="N21" s="1056" t="s">
        <v>1480</v>
      </c>
      <c r="O21" s="34" t="s">
        <v>1481</v>
      </c>
      <c r="P21" s="35" t="s">
        <v>1406</v>
      </c>
      <c r="Q21" s="36">
        <v>1.3</v>
      </c>
      <c r="R21" s="37"/>
      <c r="S21" s="38"/>
      <c r="T21" s="39" t="s">
        <v>1400</v>
      </c>
      <c r="U21" s="40" t="s">
        <v>1407</v>
      </c>
    </row>
    <row r="22" spans="1:21" ht="15" customHeight="1">
      <c r="A22" s="749" t="s">
        <v>94</v>
      </c>
      <c r="B22" s="55" t="s">
        <v>1482</v>
      </c>
      <c r="C22" s="750" t="s">
        <v>1483</v>
      </c>
      <c r="D22" s="751" t="s">
        <v>1441</v>
      </c>
      <c r="E22" s="727">
        <v>2.5</v>
      </c>
      <c r="F22" s="752">
        <v>4200</v>
      </c>
      <c r="G22" s="753"/>
      <c r="H22" s="754">
        <f t="shared" si="2"/>
        <v>-4200</v>
      </c>
      <c r="I22" s="755">
        <f t="shared" si="3"/>
        <v>-1</v>
      </c>
      <c r="J22" s="645" t="s">
        <v>1472</v>
      </c>
      <c r="K22" s="756" t="s">
        <v>1442</v>
      </c>
      <c r="L22" s="74"/>
      <c r="M22" s="32" t="s">
        <v>91</v>
      </c>
      <c r="N22" s="1056" t="s">
        <v>1484</v>
      </c>
      <c r="O22" s="34" t="s">
        <v>1485</v>
      </c>
      <c r="P22" s="35" t="s">
        <v>1462</v>
      </c>
      <c r="Q22" s="36">
        <v>1.5</v>
      </c>
      <c r="R22" s="37"/>
      <c r="S22" s="38"/>
      <c r="T22" s="39" t="s">
        <v>1400</v>
      </c>
      <c r="U22" s="40" t="s">
        <v>1486</v>
      </c>
    </row>
    <row r="23" spans="1:21" ht="15" customHeight="1">
      <c r="A23" s="584" t="s">
        <v>95</v>
      </c>
      <c r="B23" s="50" t="s">
        <v>1487</v>
      </c>
      <c r="C23" s="161" t="s">
        <v>1488</v>
      </c>
      <c r="D23" s="614" t="s">
        <v>1489</v>
      </c>
      <c r="E23" s="727">
        <v>2.4</v>
      </c>
      <c r="F23" s="609">
        <v>5500</v>
      </c>
      <c r="G23" s="743"/>
      <c r="H23" s="704">
        <f t="shared" si="2"/>
        <v>-5500</v>
      </c>
      <c r="I23" s="744">
        <f t="shared" si="3"/>
        <v>-1</v>
      </c>
      <c r="J23" s="613" t="s">
        <v>1400</v>
      </c>
      <c r="K23" s="745" t="s">
        <v>1396</v>
      </c>
      <c r="L23" s="74"/>
      <c r="M23" s="32" t="s">
        <v>91</v>
      </c>
      <c r="N23" s="1056" t="s">
        <v>1490</v>
      </c>
      <c r="O23" s="34" t="s">
        <v>1491</v>
      </c>
      <c r="P23" s="35" t="s">
        <v>1462</v>
      </c>
      <c r="Q23" s="36">
        <v>1.5</v>
      </c>
      <c r="R23" s="37"/>
      <c r="S23" s="38"/>
      <c r="T23" s="39" t="s">
        <v>1400</v>
      </c>
      <c r="U23" s="40" t="s">
        <v>1486</v>
      </c>
    </row>
    <row r="24" spans="1:21" ht="1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32" t="s">
        <v>92</v>
      </c>
      <c r="N24" s="1056">
        <v>46091</v>
      </c>
      <c r="O24" s="34" t="s">
        <v>1492</v>
      </c>
      <c r="P24" s="35" t="s">
        <v>1462</v>
      </c>
      <c r="Q24" s="36">
        <v>1.3</v>
      </c>
      <c r="R24" s="37"/>
      <c r="S24" s="38"/>
      <c r="T24" s="39" t="s">
        <v>1400</v>
      </c>
      <c r="U24" s="40" t="s">
        <v>1486</v>
      </c>
    </row>
    <row r="25" spans="1:2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32" t="s">
        <v>92</v>
      </c>
      <c r="N25" s="1056">
        <v>46183</v>
      </c>
      <c r="O25" s="34" t="s">
        <v>1493</v>
      </c>
      <c r="P25" s="35" t="s">
        <v>1462</v>
      </c>
      <c r="Q25" s="36">
        <v>1.3</v>
      </c>
      <c r="R25" s="37"/>
      <c r="S25" s="38"/>
      <c r="T25" s="39" t="s">
        <v>1400</v>
      </c>
      <c r="U25" s="40" t="s">
        <v>1486</v>
      </c>
    </row>
    <row r="26" spans="1:21" ht="15.7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32" t="s">
        <v>94</v>
      </c>
      <c r="N26" s="1056">
        <v>46367</v>
      </c>
      <c r="O26" s="34" t="s">
        <v>1494</v>
      </c>
      <c r="P26" s="35" t="s">
        <v>1462</v>
      </c>
      <c r="Q26" s="36">
        <v>1.3</v>
      </c>
      <c r="R26" s="37"/>
      <c r="S26" s="38"/>
      <c r="T26" s="39" t="s">
        <v>1400</v>
      </c>
      <c r="U26" s="40" t="s">
        <v>1486</v>
      </c>
    </row>
    <row r="27" spans="1:21" ht="19.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 t="s">
        <v>94</v>
      </c>
      <c r="N27" s="1082" t="s">
        <v>1495</v>
      </c>
      <c r="O27" s="74" t="s">
        <v>1496</v>
      </c>
      <c r="P27" s="74" t="s">
        <v>1462</v>
      </c>
      <c r="Q27" s="74">
        <v>1.8</v>
      </c>
      <c r="R27" s="74"/>
      <c r="S27" s="74"/>
      <c r="T27" s="74" t="s">
        <v>1400</v>
      </c>
      <c r="U27" s="74" t="s">
        <v>1486</v>
      </c>
    </row>
    <row r="28" spans="1:21" ht="19.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1082"/>
      <c r="O28" s="74"/>
      <c r="P28" s="74"/>
      <c r="Q28" s="74"/>
      <c r="R28" s="74"/>
      <c r="S28" s="74"/>
      <c r="T28" s="74"/>
      <c r="U28" s="74"/>
    </row>
    <row r="29" spans="1:21" ht="1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1082"/>
      <c r="O29" s="74"/>
      <c r="P29" s="74"/>
      <c r="Q29" s="74"/>
      <c r="R29" s="74"/>
      <c r="S29" s="74"/>
      <c r="T29" s="74"/>
      <c r="U29" s="74"/>
    </row>
    <row r="30" spans="1:21" ht="1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1082"/>
      <c r="O30" s="74"/>
      <c r="P30" s="74"/>
      <c r="Q30" s="74"/>
      <c r="R30" s="74"/>
      <c r="S30" s="74"/>
      <c r="T30" s="74"/>
      <c r="U30" s="74"/>
    </row>
    <row r="31" spans="1:21" ht="15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1082"/>
      <c r="O31" s="74"/>
      <c r="P31" s="74"/>
      <c r="Q31" s="74"/>
      <c r="R31" s="74"/>
      <c r="S31" s="74"/>
      <c r="T31" s="74"/>
      <c r="U31" s="74"/>
    </row>
    <row r="32" spans="1:21" ht="15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1082"/>
      <c r="O32" s="74"/>
      <c r="P32" s="74"/>
      <c r="Q32" s="74"/>
      <c r="R32" s="74"/>
      <c r="S32" s="74"/>
      <c r="T32" s="74"/>
      <c r="U32" s="74"/>
    </row>
    <row r="33" spans="1:1" ht="15" customHeight="1">
      <c r="A33" s="74"/>
    </row>
    <row r="34" spans="1:1" ht="15" customHeight="1">
      <c r="A34" s="74"/>
    </row>
    <row r="35" spans="1:1" ht="15" customHeight="1">
      <c r="A35" s="74"/>
    </row>
    <row r="36" spans="1:1" ht="15.75" customHeight="1">
      <c r="A36" s="74"/>
    </row>
    <row r="37" spans="1:1" ht="15.75" customHeight="1">
      <c r="A37" s="74"/>
    </row>
    <row r="38" spans="1:1" ht="19.5" customHeight="1">
      <c r="A38" s="74"/>
    </row>
    <row r="39" spans="1:1" ht="19.5" customHeight="1">
      <c r="A39" s="74"/>
    </row>
    <row r="40" spans="1:1" ht="15" customHeight="1">
      <c r="A40" s="74"/>
    </row>
    <row r="41" spans="1:1" ht="15" customHeight="1">
      <c r="A41" s="74"/>
    </row>
    <row r="42" spans="1:1" ht="15" customHeight="1">
      <c r="A42" s="74"/>
    </row>
    <row r="43" spans="1:1" ht="15" customHeight="1">
      <c r="A43" s="74"/>
    </row>
    <row r="44" spans="1:1" ht="15" customHeight="1">
      <c r="A44" s="74"/>
    </row>
    <row r="45" spans="1:1" ht="15.75" customHeight="1">
      <c r="A45" s="74"/>
    </row>
    <row r="46" spans="1:1" ht="15.75" customHeight="1">
      <c r="A46" s="74"/>
    </row>
    <row r="47" spans="1:1" ht="15.75" customHeight="1">
      <c r="A47" s="74"/>
    </row>
    <row r="48" spans="1:1" ht="15.75" customHeight="1">
      <c r="A48" s="74"/>
    </row>
    <row r="49" spans="1:11" ht="15.75" customHeight="1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</row>
    <row r="50" spans="1:11" ht="15.75" customHeight="1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</row>
    <row r="51" spans="1:11" ht="15.75" customHeight="1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</row>
    <row r="52" spans="1:11" ht="15.75" customHeight="1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</row>
    <row r="53" spans="1:11" ht="15.75" customHeight="1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</row>
    <row r="54" spans="1:11" ht="15.75" customHeight="1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</row>
    <row r="55" spans="1:11" ht="15.75" customHeight="1">
      <c r="A55" s="145"/>
      <c r="B55" s="145"/>
      <c r="C55" s="145"/>
      <c r="D55" s="145"/>
      <c r="E55" s="145"/>
      <c r="F55" s="145"/>
      <c r="G55" s="145"/>
      <c r="H55" s="145"/>
      <c r="I55" s="145"/>
      <c r="J55" s="145"/>
      <c r="K55" s="145"/>
    </row>
    <row r="56" spans="1:11" ht="15.75" customHeight="1">
      <c r="A56" s="145"/>
      <c r="B56" s="145"/>
      <c r="C56" s="145"/>
      <c r="D56" s="145"/>
      <c r="E56" s="145"/>
      <c r="F56" s="145"/>
      <c r="G56" s="145"/>
      <c r="H56" s="145"/>
      <c r="I56" s="145"/>
      <c r="J56" s="145"/>
      <c r="K56" s="145"/>
    </row>
    <row r="57" spans="1:11" ht="15.75" customHeight="1">
      <c r="A57" s="145"/>
      <c r="B57" s="145"/>
      <c r="C57" s="145"/>
      <c r="D57" s="145"/>
      <c r="E57" s="145"/>
      <c r="F57" s="145"/>
      <c r="G57" s="145"/>
      <c r="H57" s="145"/>
      <c r="I57" s="145"/>
      <c r="J57" s="145"/>
      <c r="K57" s="145"/>
    </row>
    <row r="58" spans="1:11" ht="15.75" customHeight="1">
      <c r="A58" s="145"/>
      <c r="B58" s="145"/>
      <c r="C58" s="145"/>
      <c r="D58" s="145"/>
      <c r="E58" s="145"/>
      <c r="F58" s="145"/>
      <c r="G58" s="145"/>
      <c r="H58" s="145"/>
      <c r="I58" s="145"/>
      <c r="J58" s="145"/>
      <c r="K58" s="145"/>
    </row>
    <row r="59" spans="1:11" ht="15.75" customHeight="1">
      <c r="A59" s="145"/>
      <c r="B59" s="145"/>
      <c r="C59" s="145"/>
      <c r="D59" s="145"/>
      <c r="E59" s="145"/>
      <c r="F59" s="145"/>
      <c r="G59" s="145"/>
      <c r="H59" s="145"/>
      <c r="I59" s="145"/>
      <c r="J59" s="145"/>
      <c r="K59" s="145"/>
    </row>
    <row r="60" spans="1:11" ht="15.75" customHeight="1">
      <c r="A60" s="145"/>
      <c r="B60" s="145"/>
      <c r="C60" s="145"/>
      <c r="D60" s="145"/>
      <c r="E60" s="145"/>
      <c r="F60" s="145"/>
      <c r="G60" s="145"/>
      <c r="H60" s="145"/>
      <c r="I60" s="145"/>
      <c r="J60" s="145"/>
      <c r="K60" s="145"/>
    </row>
    <row r="61" spans="1:11" ht="15.75" customHeight="1">
      <c r="A61" s="145"/>
      <c r="B61" s="145"/>
      <c r="C61" s="145"/>
      <c r="D61" s="145"/>
      <c r="E61" s="145"/>
      <c r="F61" s="145"/>
      <c r="G61" s="145"/>
      <c r="H61" s="145"/>
      <c r="I61" s="145"/>
      <c r="J61" s="145"/>
      <c r="K61" s="145"/>
    </row>
    <row r="62" spans="1:11" ht="15.75" customHeight="1">
      <c r="A62" s="145"/>
      <c r="B62" s="145"/>
      <c r="C62" s="145"/>
      <c r="D62" s="145"/>
      <c r="E62" s="145"/>
      <c r="F62" s="145"/>
      <c r="G62" s="145"/>
      <c r="H62" s="145"/>
      <c r="I62" s="145"/>
      <c r="J62" s="145"/>
      <c r="K62" s="145"/>
    </row>
    <row r="63" spans="1:11" ht="15.75" customHeight="1">
      <c r="A63" s="145"/>
      <c r="B63" s="145"/>
      <c r="C63" s="145"/>
      <c r="D63" s="145"/>
      <c r="E63" s="145"/>
      <c r="F63" s="145"/>
      <c r="G63" s="145"/>
      <c r="H63" s="145"/>
      <c r="I63" s="145"/>
      <c r="J63" s="145"/>
      <c r="K63" s="145"/>
    </row>
    <row r="64" spans="1:11" ht="15.75" customHeight="1">
      <c r="A64" s="145"/>
      <c r="B64" s="145"/>
      <c r="C64" s="145"/>
      <c r="D64" s="145"/>
      <c r="E64" s="145"/>
      <c r="F64" s="145"/>
      <c r="G64" s="145"/>
      <c r="H64" s="145"/>
      <c r="I64" s="145"/>
      <c r="J64" s="145"/>
      <c r="K64" s="145"/>
    </row>
    <row r="65" spans="2:11" ht="15.75" customHeight="1">
      <c r="B65" s="145"/>
      <c r="C65" s="145"/>
      <c r="D65" s="145"/>
      <c r="E65" s="145"/>
      <c r="F65" s="145"/>
      <c r="G65" s="145"/>
      <c r="H65" s="145"/>
      <c r="I65" s="145"/>
      <c r="J65" s="145"/>
      <c r="K65" s="145"/>
    </row>
    <row r="66" spans="2:11" ht="15.75" customHeight="1">
      <c r="B66" s="145"/>
      <c r="C66" s="145"/>
      <c r="D66" s="145"/>
      <c r="E66" s="145"/>
      <c r="F66" s="145"/>
      <c r="G66" s="145"/>
      <c r="H66" s="145"/>
      <c r="I66" s="145"/>
      <c r="J66" s="145"/>
      <c r="K66" s="145"/>
    </row>
    <row r="67" spans="2:11" ht="15.75" customHeight="1">
      <c r="B67" s="145"/>
      <c r="C67" s="145"/>
      <c r="D67" s="145"/>
      <c r="E67" s="145"/>
      <c r="F67" s="145"/>
      <c r="G67" s="145"/>
      <c r="H67" s="145"/>
      <c r="I67" s="145"/>
      <c r="J67" s="145"/>
      <c r="K67" s="145"/>
    </row>
    <row r="68" spans="2:11" ht="15.75" customHeight="1">
      <c r="B68" s="145"/>
      <c r="C68" s="145"/>
      <c r="D68" s="145"/>
      <c r="E68" s="145"/>
      <c r="F68" s="145"/>
      <c r="G68" s="145"/>
      <c r="H68" s="145"/>
      <c r="I68" s="145"/>
      <c r="J68" s="145"/>
      <c r="K68" s="145"/>
    </row>
    <row r="69" spans="2:11" ht="15.75" customHeight="1">
      <c r="B69" s="145"/>
      <c r="C69" s="145"/>
      <c r="D69" s="145"/>
      <c r="E69" s="145"/>
      <c r="F69" s="145"/>
      <c r="G69" s="145"/>
      <c r="H69" s="145"/>
      <c r="I69" s="145"/>
      <c r="J69" s="145"/>
      <c r="K69" s="145"/>
    </row>
    <row r="70" spans="2:11" ht="15.75" customHeight="1">
      <c r="B70" s="145"/>
      <c r="C70" s="145"/>
      <c r="D70" s="145"/>
      <c r="E70" s="145"/>
      <c r="F70" s="145"/>
      <c r="G70" s="145"/>
      <c r="H70" s="145"/>
      <c r="I70" s="145"/>
      <c r="J70" s="145"/>
      <c r="K70" s="145"/>
    </row>
    <row r="71" spans="2:11" ht="15.75" customHeight="1">
      <c r="B71" s="145"/>
      <c r="C71" s="145"/>
      <c r="D71" s="145"/>
      <c r="E71" s="145"/>
      <c r="F71" s="145"/>
      <c r="G71" s="145"/>
      <c r="H71" s="145"/>
      <c r="I71" s="145"/>
      <c r="J71" s="145"/>
      <c r="K71" s="145"/>
    </row>
    <row r="72" spans="2:11" ht="15.75" customHeight="1">
      <c r="B72" s="145"/>
      <c r="C72" s="145"/>
      <c r="D72" s="145"/>
      <c r="E72" s="145"/>
      <c r="F72" s="145"/>
      <c r="G72" s="145"/>
      <c r="H72" s="145"/>
      <c r="I72" s="145"/>
      <c r="J72" s="145"/>
      <c r="K72" s="145"/>
    </row>
    <row r="73" spans="2:11" ht="15.75" customHeight="1">
      <c r="B73" s="145"/>
      <c r="C73" s="145"/>
      <c r="D73" s="145"/>
      <c r="E73" s="145"/>
      <c r="F73" s="145"/>
      <c r="G73" s="145"/>
      <c r="H73" s="145"/>
      <c r="I73" s="145"/>
      <c r="J73" s="145"/>
      <c r="K73" s="145"/>
    </row>
    <row r="74" spans="2:11" ht="15.75" customHeight="1">
      <c r="B74" s="145"/>
      <c r="C74" s="145"/>
      <c r="D74" s="145"/>
      <c r="E74" s="145"/>
      <c r="F74" s="145"/>
      <c r="G74" s="145"/>
      <c r="H74" s="145"/>
      <c r="I74" s="145"/>
      <c r="J74" s="145"/>
      <c r="K74" s="145"/>
    </row>
    <row r="75" spans="2:11" ht="15.75" customHeight="1">
      <c r="B75" s="145"/>
      <c r="C75" s="145"/>
      <c r="D75" s="145"/>
      <c r="E75" s="145"/>
      <c r="F75" s="145"/>
      <c r="G75" s="145"/>
      <c r="H75" s="145"/>
      <c r="I75" s="145"/>
      <c r="J75" s="145"/>
      <c r="K75" s="145"/>
    </row>
    <row r="76" spans="2:11" ht="15.75" customHeight="1">
      <c r="B76" s="145"/>
      <c r="C76" s="145"/>
      <c r="D76" s="145"/>
      <c r="E76" s="145"/>
      <c r="F76" s="145"/>
      <c r="G76" s="145"/>
      <c r="H76" s="145"/>
      <c r="I76" s="145"/>
      <c r="J76" s="145"/>
      <c r="K76" s="145"/>
    </row>
    <row r="77" spans="2:11" ht="15.75" customHeight="1">
      <c r="B77" s="145"/>
      <c r="C77" s="145"/>
      <c r="D77" s="145"/>
      <c r="E77" s="145"/>
      <c r="F77" s="145"/>
      <c r="G77" s="145"/>
      <c r="H77" s="145"/>
      <c r="I77" s="145"/>
      <c r="J77" s="145"/>
      <c r="K77" s="145"/>
    </row>
    <row r="78" spans="2:11" ht="15.75" customHeight="1">
      <c r="B78" s="145"/>
      <c r="C78" s="145"/>
      <c r="D78" s="145"/>
      <c r="E78" s="145"/>
      <c r="F78" s="145"/>
      <c r="G78" s="145"/>
      <c r="H78" s="145"/>
      <c r="I78" s="145"/>
      <c r="J78" s="145"/>
      <c r="K78" s="145"/>
    </row>
    <row r="79" spans="2:11" ht="15.75" customHeight="1">
      <c r="B79" s="145"/>
      <c r="C79" s="145"/>
      <c r="D79" s="145"/>
      <c r="E79" s="145"/>
      <c r="F79" s="145"/>
      <c r="G79" s="145"/>
      <c r="H79" s="145"/>
      <c r="I79" s="145"/>
      <c r="J79" s="145"/>
      <c r="K79" s="145"/>
    </row>
    <row r="80" spans="2:11" ht="15.75" customHeight="1">
      <c r="B80" s="145"/>
      <c r="C80" s="145"/>
      <c r="D80" s="145"/>
      <c r="E80" s="145"/>
      <c r="F80" s="145"/>
      <c r="G80" s="145"/>
      <c r="H80" s="145"/>
      <c r="I80" s="145"/>
      <c r="J80" s="145"/>
      <c r="K80" s="145"/>
    </row>
    <row r="81" spans="2:11" ht="15.75" customHeight="1">
      <c r="B81" s="145"/>
      <c r="C81" s="145"/>
      <c r="D81" s="145"/>
      <c r="E81" s="145"/>
      <c r="F81" s="145"/>
      <c r="G81" s="145"/>
      <c r="H81" s="145"/>
      <c r="I81" s="145"/>
      <c r="J81" s="145"/>
      <c r="K81" s="145"/>
    </row>
    <row r="82" spans="2:11" ht="15.75" customHeight="1">
      <c r="B82" s="145"/>
      <c r="C82" s="145"/>
      <c r="D82" s="145"/>
      <c r="E82" s="145"/>
      <c r="F82" s="145"/>
      <c r="G82" s="145"/>
      <c r="H82" s="145"/>
      <c r="I82" s="145"/>
      <c r="J82" s="145"/>
      <c r="K82" s="145"/>
    </row>
    <row r="83" spans="2:11" ht="15.75" customHeight="1">
      <c r="B83" s="145"/>
      <c r="C83" s="145"/>
      <c r="D83" s="145"/>
      <c r="E83" s="145"/>
      <c r="F83" s="145"/>
      <c r="G83" s="145"/>
      <c r="H83" s="145"/>
      <c r="I83" s="145"/>
      <c r="J83" s="145"/>
      <c r="K83" s="145"/>
    </row>
    <row r="84" spans="2:11" ht="15.75" customHeight="1">
      <c r="B84" s="145"/>
      <c r="C84" s="145"/>
      <c r="D84" s="145"/>
      <c r="E84" s="145"/>
      <c r="F84" s="145"/>
      <c r="G84" s="145"/>
      <c r="H84" s="145"/>
      <c r="I84" s="145"/>
      <c r="J84" s="145"/>
      <c r="K84" s="145"/>
    </row>
    <row r="85" spans="2:11" ht="15.75" customHeight="1">
      <c r="B85" s="145"/>
      <c r="C85" s="145"/>
      <c r="D85" s="145"/>
      <c r="E85" s="145"/>
      <c r="F85" s="145"/>
      <c r="G85" s="145"/>
      <c r="H85" s="145"/>
      <c r="I85" s="145"/>
      <c r="J85" s="145"/>
      <c r="K85" s="145"/>
    </row>
    <row r="86" spans="2:11" ht="15.75" customHeight="1">
      <c r="B86" s="145"/>
      <c r="C86" s="145"/>
      <c r="D86" s="145"/>
      <c r="E86" s="145"/>
      <c r="F86" s="145"/>
      <c r="G86" s="145"/>
      <c r="H86" s="145"/>
      <c r="I86" s="145"/>
      <c r="J86" s="145"/>
      <c r="K86" s="145"/>
    </row>
    <row r="87" spans="2:11" ht="15.75" customHeight="1">
      <c r="B87" s="145"/>
      <c r="C87" s="145"/>
      <c r="D87" s="145"/>
      <c r="E87" s="145"/>
      <c r="F87" s="145"/>
      <c r="G87" s="145"/>
      <c r="H87" s="145"/>
      <c r="I87" s="145"/>
      <c r="J87" s="145"/>
      <c r="K87" s="145"/>
    </row>
    <row r="88" spans="2:11" ht="15.75" customHeight="1">
      <c r="B88" s="145"/>
      <c r="C88" s="145"/>
      <c r="D88" s="145"/>
      <c r="E88" s="145"/>
      <c r="F88" s="145"/>
      <c r="G88" s="145"/>
      <c r="H88" s="145"/>
      <c r="I88" s="145"/>
      <c r="J88" s="145"/>
      <c r="K88" s="145"/>
    </row>
    <row r="89" spans="2:11" ht="15.75" customHeight="1">
      <c r="B89" s="145"/>
      <c r="C89" s="145"/>
      <c r="D89" s="145"/>
      <c r="E89" s="145"/>
      <c r="F89" s="145"/>
      <c r="G89" s="145"/>
      <c r="H89" s="145"/>
      <c r="I89" s="145"/>
      <c r="J89" s="145"/>
      <c r="K89" s="145"/>
    </row>
    <row r="90" spans="2:11" ht="15.75" customHeight="1">
      <c r="B90" s="145"/>
      <c r="C90" s="145"/>
      <c r="D90" s="145"/>
      <c r="E90" s="145"/>
      <c r="F90" s="145"/>
      <c r="G90" s="145"/>
      <c r="H90" s="145"/>
      <c r="I90" s="145"/>
      <c r="J90" s="145"/>
      <c r="K90" s="145"/>
    </row>
    <row r="91" spans="2:11" ht="15.75" customHeight="1">
      <c r="B91" s="145"/>
      <c r="C91" s="145"/>
      <c r="D91" s="145"/>
      <c r="E91" s="145"/>
      <c r="F91" s="145"/>
      <c r="G91" s="145"/>
      <c r="H91" s="145"/>
      <c r="I91" s="145"/>
      <c r="J91" s="145"/>
      <c r="K91" s="145"/>
    </row>
    <row r="92" spans="2:11" ht="15.75" customHeight="1">
      <c r="B92" s="145"/>
      <c r="C92" s="145"/>
      <c r="D92" s="145"/>
      <c r="E92" s="145"/>
      <c r="F92" s="145"/>
      <c r="G92" s="145"/>
      <c r="H92" s="145"/>
      <c r="I92" s="145"/>
      <c r="J92" s="145"/>
      <c r="K92" s="145"/>
    </row>
    <row r="93" spans="2:11" ht="15.75" customHeight="1">
      <c r="B93" s="145"/>
      <c r="C93" s="145"/>
      <c r="D93" s="145"/>
      <c r="E93" s="145"/>
      <c r="F93" s="145"/>
      <c r="G93" s="145"/>
      <c r="H93" s="145"/>
      <c r="I93" s="145"/>
      <c r="J93" s="145"/>
      <c r="K93" s="145"/>
    </row>
    <row r="94" spans="2:11" ht="15.75" customHeight="1">
      <c r="B94" s="145"/>
      <c r="C94" s="145"/>
      <c r="D94" s="145"/>
      <c r="E94" s="145"/>
      <c r="F94" s="145"/>
      <c r="G94" s="145"/>
      <c r="H94" s="145"/>
      <c r="I94" s="145"/>
      <c r="J94" s="145"/>
      <c r="K94" s="145"/>
    </row>
    <row r="95" spans="2:11" ht="15.75" customHeight="1">
      <c r="B95" s="145"/>
      <c r="C95" s="145"/>
      <c r="D95" s="145"/>
      <c r="E95" s="145"/>
      <c r="F95" s="145"/>
      <c r="G95" s="145"/>
      <c r="H95" s="145"/>
      <c r="I95" s="145"/>
      <c r="J95" s="145"/>
      <c r="K95" s="145"/>
    </row>
    <row r="96" spans="2:11" ht="15.75" customHeight="1">
      <c r="B96" s="145"/>
      <c r="C96" s="145"/>
      <c r="D96" s="145"/>
      <c r="E96" s="145"/>
      <c r="F96" s="145"/>
      <c r="G96" s="145"/>
      <c r="H96" s="145"/>
      <c r="I96" s="145"/>
      <c r="J96" s="145"/>
      <c r="K96" s="145"/>
    </row>
    <row r="97" spans="2:11" ht="15.75" customHeight="1">
      <c r="B97" s="145"/>
      <c r="C97" s="145"/>
      <c r="D97" s="145"/>
      <c r="E97" s="145"/>
      <c r="F97" s="145"/>
      <c r="G97" s="145"/>
      <c r="H97" s="145"/>
      <c r="I97" s="145"/>
      <c r="J97" s="145"/>
      <c r="K97" s="145"/>
    </row>
    <row r="98" spans="2:11" ht="15.75" customHeight="1">
      <c r="B98" s="145"/>
      <c r="C98" s="145"/>
      <c r="D98" s="145"/>
      <c r="E98" s="145"/>
      <c r="F98" s="145"/>
      <c r="G98" s="145"/>
      <c r="H98" s="145"/>
      <c r="I98" s="145"/>
      <c r="J98" s="145"/>
      <c r="K98" s="145"/>
    </row>
    <row r="99" spans="2:11" ht="15.75" customHeight="1">
      <c r="B99" s="145"/>
      <c r="C99" s="145"/>
      <c r="D99" s="145"/>
      <c r="E99" s="145"/>
      <c r="F99" s="145"/>
      <c r="G99" s="145"/>
      <c r="H99" s="145"/>
      <c r="I99" s="145"/>
      <c r="J99" s="145"/>
      <c r="K99" s="145"/>
    </row>
    <row r="100" spans="2:11" ht="15.75" customHeight="1"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</row>
    <row r="101" spans="2:11" ht="15.75" customHeight="1"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</row>
    <row r="102" spans="2:11" ht="15.75" customHeight="1"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</row>
    <row r="103" spans="2:11" ht="15.75" customHeight="1"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</row>
    <row r="104" spans="2:11" ht="15.75" customHeight="1"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</row>
    <row r="105" spans="2:11" ht="15.75" customHeight="1"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</row>
    <row r="106" spans="2:11" ht="15.75" customHeight="1"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</row>
    <row r="107" spans="2:11" ht="15.75" customHeight="1"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</row>
    <row r="108" spans="2:11" ht="15.75" customHeight="1"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</row>
    <row r="109" spans="2:11" ht="15.75" customHeight="1"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</row>
    <row r="110" spans="2:11" ht="15.75" customHeight="1"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</row>
    <row r="111" spans="2:11" ht="15.75" customHeight="1"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</row>
    <row r="112" spans="2:11" ht="15.75" customHeight="1"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</row>
    <row r="113" spans="2:11" ht="15.75" customHeight="1"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</row>
    <row r="114" spans="2:11" ht="15.75" customHeight="1"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</row>
    <row r="115" spans="2:11" ht="15.75" customHeight="1"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</row>
    <row r="116" spans="2:11" ht="15.75" customHeight="1"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</row>
    <row r="117" spans="2:11" ht="15.75" customHeight="1"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</row>
    <row r="118" spans="2:11" ht="15.75" customHeight="1"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</row>
    <row r="119" spans="2:11" ht="15.75" customHeight="1"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</row>
    <row r="120" spans="2:11" ht="15.75" customHeight="1"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</row>
    <row r="121" spans="2:11" ht="15.75" customHeight="1"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</row>
    <row r="122" spans="2:11" ht="15.75" customHeight="1"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</row>
    <row r="123" spans="2:11" ht="15.75" customHeight="1"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</row>
    <row r="124" spans="2:11" ht="15.75" customHeight="1"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</row>
    <row r="125" spans="2:11" ht="15.75" customHeight="1"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</row>
    <row r="126" spans="2:11" ht="15.75" customHeight="1"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</row>
    <row r="127" spans="2:11" ht="15.75" customHeight="1"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</row>
    <row r="128" spans="2:11" ht="15.75" customHeight="1"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</row>
    <row r="129" spans="2:11" ht="15.75" customHeight="1"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</row>
    <row r="130" spans="2:11" ht="15.75" customHeight="1"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</row>
    <row r="131" spans="2:11" ht="15.75" customHeight="1"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</row>
    <row r="132" spans="2:11" ht="15.75" customHeight="1"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</row>
    <row r="133" spans="2:11" ht="15.75" customHeight="1"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</row>
    <row r="134" spans="2:11" ht="15.75" customHeight="1"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</row>
    <row r="135" spans="2:11" ht="15.75" customHeight="1"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</row>
    <row r="136" spans="2:11" ht="15.75" customHeight="1"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</row>
    <row r="137" spans="2:11" ht="15.75" customHeight="1"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</row>
    <row r="138" spans="2:11" ht="15.75" customHeight="1"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</row>
    <row r="139" spans="2:11" ht="15.75" customHeight="1"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</row>
    <row r="140" spans="2:11" ht="15.75" customHeight="1"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</row>
    <row r="141" spans="2:11" ht="15.75" customHeight="1"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</row>
    <row r="142" spans="2:11" ht="15.75" customHeight="1"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</row>
    <row r="143" spans="2:11" ht="15.75" customHeight="1"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</row>
    <row r="144" spans="2:11" ht="15.75" customHeight="1"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</row>
    <row r="145" spans="2:11" ht="15.75" customHeight="1"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</row>
    <row r="146" spans="2:11" ht="15.75" customHeight="1"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</row>
    <row r="147" spans="2:11" ht="15.75" customHeight="1"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</row>
    <row r="148" spans="2:11" ht="15.75" customHeight="1"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</row>
    <row r="149" spans="2:11" ht="15.75" customHeight="1"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</row>
    <row r="150" spans="2:11" ht="15.75" customHeight="1"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</row>
    <row r="151" spans="2:11" ht="15.75" customHeight="1"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</row>
    <row r="152" spans="2:11" ht="15.75" customHeight="1"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</row>
    <row r="153" spans="2:11" ht="15.75" customHeight="1"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</row>
    <row r="154" spans="2:11" ht="15.75" customHeight="1"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</row>
    <row r="155" spans="2:11" ht="15.75" customHeight="1"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</row>
    <row r="156" spans="2:11" ht="15.75" customHeight="1"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</row>
    <row r="157" spans="2:11" ht="15.75" customHeight="1"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</row>
    <row r="158" spans="2:11" ht="15.75" customHeight="1"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</row>
    <row r="159" spans="2:11" ht="15.75" customHeight="1"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</row>
    <row r="160" spans="2:11" ht="15.75" customHeight="1"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</row>
    <row r="161" spans="2:11" ht="15.75" customHeight="1"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</row>
    <row r="162" spans="2:11" ht="15.75" customHeight="1"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</row>
    <row r="163" spans="2:11" ht="15.75" customHeight="1"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</row>
    <row r="164" spans="2:11" ht="15.75" customHeight="1"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</row>
    <row r="165" spans="2:11" ht="15.75" customHeight="1"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</row>
    <row r="166" spans="2:11" ht="15.75" customHeight="1"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</row>
    <row r="167" spans="2:11" ht="15.75" customHeight="1"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</row>
    <row r="168" spans="2:11" ht="15.75" customHeight="1"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</row>
    <row r="169" spans="2:11" ht="15.75" customHeight="1"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</row>
    <row r="170" spans="2:11" ht="15.75" customHeight="1"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</row>
    <row r="171" spans="2:11" ht="15.75" customHeight="1"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</row>
    <row r="172" spans="2:11" ht="15.75" customHeight="1"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</row>
    <row r="173" spans="2:11" ht="15.75" customHeight="1"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</row>
    <row r="174" spans="2:11" ht="15.75" customHeight="1"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</row>
    <row r="175" spans="2:11" ht="15.75" customHeight="1"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</row>
    <row r="176" spans="2:11" ht="15.75" customHeight="1"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</row>
    <row r="177" spans="2:11" ht="15.75" customHeight="1"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</row>
    <row r="178" spans="2:11" ht="15.75" customHeight="1"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</row>
    <row r="179" spans="2:11" ht="15.75" customHeight="1"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</row>
    <row r="180" spans="2:11" ht="15.75" customHeight="1"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</row>
    <row r="181" spans="2:11" ht="15.75" customHeight="1"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</row>
    <row r="182" spans="2:11" ht="15.75" customHeight="1"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</row>
    <row r="183" spans="2:11" ht="15.75" customHeight="1"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</row>
    <row r="184" spans="2:11" ht="15.75" customHeight="1"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</row>
    <row r="185" spans="2:11" ht="15.75" customHeight="1"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</row>
    <row r="186" spans="2:11" ht="15.75" customHeight="1"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</row>
    <row r="187" spans="2:11" ht="15.75" customHeight="1"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</row>
    <row r="188" spans="2:11" ht="15.75" customHeight="1"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</row>
    <row r="189" spans="2:11" ht="15.75" customHeight="1"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</row>
    <row r="190" spans="2:11" ht="15.75" customHeight="1"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</row>
    <row r="191" spans="2:11" ht="15.75" customHeight="1"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</row>
    <row r="192" spans="2:11" ht="15.75" customHeight="1"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</row>
    <row r="193" spans="2:11" ht="15.75" customHeight="1"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</row>
    <row r="194" spans="2:11" ht="15.75" customHeight="1"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</row>
    <row r="195" spans="2:11" ht="15.75" customHeight="1"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</row>
    <row r="196" spans="2:11" ht="15.75" customHeight="1"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</row>
    <row r="197" spans="2:11" ht="15.75" customHeight="1"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</row>
    <row r="198" spans="2:11" ht="15.75" customHeight="1"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</row>
    <row r="199" spans="2:11" ht="15.75" customHeight="1"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</row>
    <row r="200" spans="2:11" ht="15.75" customHeight="1"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</row>
    <row r="201" spans="2:11" ht="15.75" customHeight="1"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</row>
    <row r="202" spans="2:11" ht="15.75" customHeight="1"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</row>
    <row r="203" spans="2:11" ht="15.75" customHeight="1"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</row>
    <row r="204" spans="2:11" ht="15.75" customHeight="1"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</row>
    <row r="205" spans="2:11" ht="15.75" customHeight="1"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</row>
    <row r="206" spans="2:11" ht="15.75" customHeight="1"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</row>
    <row r="207" spans="2:11" ht="15.75" customHeight="1"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</row>
    <row r="208" spans="2:11" ht="15.75" customHeight="1"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</row>
    <row r="209" spans="2:11" ht="15.75" customHeight="1"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</row>
    <row r="210" spans="2:11" ht="15.75" customHeight="1"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</row>
    <row r="211" spans="2:11" ht="15.75" customHeight="1"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</row>
    <row r="212" spans="2:11" ht="15.75" customHeight="1"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</row>
    <row r="213" spans="2:11" ht="15.75" customHeight="1"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</row>
    <row r="214" spans="2:11" ht="15.75" customHeight="1"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</row>
    <row r="215" spans="2:11" ht="15.75" customHeight="1"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</row>
    <row r="216" spans="2:11" ht="15.75" customHeight="1"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</row>
    <row r="217" spans="2:11" ht="15.75" customHeight="1"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</row>
    <row r="218" spans="2:11" ht="15.75" customHeight="1"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</row>
    <row r="219" spans="2:11" ht="15.75" customHeight="1"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</row>
    <row r="220" spans="2:11" ht="15.75" customHeight="1"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</row>
    <row r="221" spans="2:11" ht="15.75" customHeight="1"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</row>
    <row r="222" spans="2:11" ht="15.75" customHeight="1"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</row>
    <row r="223" spans="2:11" ht="15.75" customHeight="1"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</row>
    <row r="224" spans="2:11" ht="15.75" customHeight="1"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</row>
    <row r="225" spans="2:11" ht="15.75" customHeight="1"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</row>
    <row r="226" spans="2:11" ht="15.75" customHeight="1"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</row>
    <row r="227" spans="2:11" ht="15.75" customHeight="1"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</row>
    <row r="228" spans="2:11" ht="15.75" customHeight="1"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</row>
    <row r="229" spans="2:11" ht="15.75" customHeight="1"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</row>
    <row r="230" spans="2:11" ht="15.75" customHeight="1"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</row>
    <row r="231" spans="2:11" ht="15.75" customHeight="1"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</row>
    <row r="232" spans="2:11" ht="15.75" customHeight="1"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</row>
    <row r="233" spans="2:11" ht="15.75" customHeight="1"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</row>
    <row r="234" spans="2:11" ht="15.75" customHeight="1"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</row>
    <row r="235" spans="2:11" ht="15.75" customHeight="1"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</row>
    <row r="236" spans="2:11" ht="15.75" customHeight="1"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</row>
    <row r="237" spans="2:11" ht="15.75" customHeight="1"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</row>
    <row r="238" spans="2:11" ht="15.75" customHeight="1"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</row>
    <row r="239" spans="2:11" ht="15.75" customHeight="1"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</row>
    <row r="240" spans="2:11" ht="15.75" customHeight="1"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</row>
    <row r="241" spans="2:11" ht="15.75" customHeight="1"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</row>
    <row r="242" spans="2:11" ht="15.75" customHeight="1"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</row>
    <row r="243" spans="2:11" ht="15.75" customHeight="1"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</row>
    <row r="244" spans="2:11" ht="15.75" customHeight="1"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</row>
    <row r="245" spans="2:11" ht="15.75" customHeight="1"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</row>
    <row r="246" spans="2:11" ht="15.75" customHeight="1"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</row>
    <row r="247" spans="2:11" ht="15.75" customHeight="1"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</row>
    <row r="248" spans="2:11" ht="15.75" customHeight="1"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</row>
    <row r="249" spans="2:11" ht="15.75" customHeight="1"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</row>
    <row r="250" spans="2:11" ht="15.75" customHeight="1"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</row>
    <row r="251" spans="2:11" ht="15.75" customHeight="1"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</row>
    <row r="252" spans="2:11" ht="15.75" customHeight="1"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</row>
    <row r="253" spans="2:11" ht="15.75" customHeight="1"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</row>
    <row r="254" spans="2:11" ht="15.75" customHeight="1"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</row>
    <row r="255" spans="2:11" ht="15.75" customHeight="1"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</row>
    <row r="256" spans="2:11" ht="15.75" customHeight="1"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</row>
    <row r="257" spans="2:11" ht="15.75" customHeight="1"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</row>
    <row r="258" spans="2:11" ht="15.75" customHeight="1"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</row>
    <row r="259" spans="2:11" ht="15.75" customHeight="1"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</row>
    <row r="260" spans="2:11" ht="15.75" customHeight="1"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</row>
    <row r="261" spans="2:11" ht="15.75" customHeight="1"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</row>
    <row r="262" spans="2:11" ht="15.75" customHeight="1"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</row>
    <row r="263" spans="2:11" ht="15.75" customHeight="1"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</row>
    <row r="264" spans="2:11" ht="15.75" customHeight="1"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</row>
    <row r="265" spans="2:11" ht="15.75" customHeight="1"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</row>
    <row r="266" spans="2:11" ht="15.75" customHeight="1"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</row>
    <row r="267" spans="2:11" ht="15.75" customHeight="1"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</row>
    <row r="268" spans="2:11" ht="15.75" customHeight="1"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</row>
    <row r="269" spans="2:11" ht="15.75" customHeight="1"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</row>
    <row r="270" spans="2:11" ht="15.75" customHeight="1"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</row>
    <row r="271" spans="2:11" ht="15.75" customHeight="1"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</row>
    <row r="272" spans="2:11" ht="15.75" customHeight="1"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</row>
    <row r="273" spans="2:11" ht="15.75" customHeight="1"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</row>
    <row r="274" spans="2:11" ht="15.75" customHeight="1"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</row>
    <row r="275" spans="2:11" ht="15.75" customHeight="1"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</row>
    <row r="276" spans="2:11" ht="15.75" customHeight="1"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</row>
    <row r="277" spans="2:11" ht="15.75" customHeight="1"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</row>
    <row r="278" spans="2:11" ht="15.75" customHeight="1"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</row>
    <row r="279" spans="2:11" ht="15.75" customHeight="1"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</row>
    <row r="280" spans="2:11" ht="15.75" customHeight="1"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</row>
    <row r="281" spans="2:11" ht="15.75" customHeight="1"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</row>
    <row r="282" spans="2:11" ht="15.75" customHeight="1"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</row>
    <row r="283" spans="2:11" ht="15.75" customHeight="1"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</row>
    <row r="284" spans="2:11" ht="15.75" customHeight="1"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</row>
    <row r="285" spans="2:11" ht="15.75" customHeight="1"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</row>
    <row r="286" spans="2:11" ht="15.75" customHeight="1"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</row>
    <row r="287" spans="2:11" ht="15.75" customHeight="1"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</row>
    <row r="288" spans="2:11" ht="15.75" customHeight="1"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</row>
    <row r="289" spans="2:11" ht="15.75" customHeight="1"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</row>
    <row r="290" spans="2:11" ht="15.75" customHeight="1"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</row>
    <row r="291" spans="2:11" ht="15.75" customHeight="1"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</row>
    <row r="292" spans="2:11" ht="15.75" customHeight="1"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</row>
    <row r="293" spans="2:11" ht="15.75" customHeight="1"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</row>
    <row r="294" spans="2:11" ht="15.75" customHeight="1"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</row>
    <row r="295" spans="2:11" ht="15.75" customHeight="1"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</row>
    <row r="296" spans="2:11" ht="15.75" customHeight="1"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</row>
    <row r="297" spans="2:11" ht="15.75" customHeight="1"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</row>
    <row r="298" spans="2:11" ht="15.75" customHeight="1"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</row>
    <row r="299" spans="2:11" ht="15.75" customHeight="1"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</row>
    <row r="300" spans="2:11" ht="15.75" customHeight="1"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</row>
    <row r="301" spans="2:11" ht="15.75" customHeight="1"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</row>
    <row r="302" spans="2:11" ht="15.75" customHeight="1"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</row>
    <row r="303" spans="2:11" ht="15.75" customHeight="1"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</row>
    <row r="304" spans="2:11" ht="15.75" customHeight="1"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</row>
    <row r="305" spans="2:11" ht="15.75" customHeight="1"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</row>
    <row r="306" spans="2:11" ht="15.75" customHeight="1"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</row>
    <row r="307" spans="2:11" ht="15.75" customHeight="1"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</row>
    <row r="308" spans="2:11" ht="15.75" customHeight="1"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</row>
    <row r="309" spans="2:11" ht="15.75" customHeight="1"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</row>
    <row r="310" spans="2:11" ht="15.75" customHeight="1"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</row>
    <row r="311" spans="2:11" ht="15.75" customHeight="1"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</row>
    <row r="312" spans="2:11" ht="15.75" customHeight="1"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</row>
    <row r="313" spans="2:11" ht="15.75" customHeight="1"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</row>
    <row r="314" spans="2:11" ht="15.75" customHeight="1"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</row>
    <row r="315" spans="2:11" ht="15.75" customHeight="1"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</row>
    <row r="316" spans="2:11" ht="15.75" customHeight="1"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</row>
    <row r="317" spans="2:11" ht="15.75" customHeight="1"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</row>
    <row r="318" spans="2:11" ht="15.75" customHeight="1"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</row>
    <row r="319" spans="2:11" ht="15.75" customHeight="1"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</row>
    <row r="320" spans="2:11" ht="15.75" customHeight="1"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</row>
    <row r="321" spans="2:11" ht="15.75" customHeight="1"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</row>
    <row r="322" spans="2:11" ht="15.75" customHeight="1"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</row>
    <row r="323" spans="2:11" ht="15.75" customHeight="1"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</row>
    <row r="324" spans="2:11" ht="15.75" customHeight="1"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</row>
    <row r="325" spans="2:11" ht="15.75" customHeight="1"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</row>
    <row r="326" spans="2:11" ht="15.75" customHeight="1"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</row>
    <row r="327" spans="2:11" ht="15.75" customHeight="1"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</row>
    <row r="328" spans="2:11" ht="15.75" customHeight="1"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</row>
    <row r="329" spans="2:11" ht="15.75" customHeight="1"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</row>
    <row r="330" spans="2:11" ht="15.75" customHeight="1"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</row>
    <row r="331" spans="2:11" ht="15.75" customHeight="1"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</row>
    <row r="332" spans="2:11" ht="15.75" customHeight="1"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</row>
    <row r="333" spans="2:11" ht="15.75" customHeight="1"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</row>
    <row r="334" spans="2:11" ht="15.75" customHeight="1"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</row>
    <row r="335" spans="2:11" ht="15.75" customHeight="1"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</row>
    <row r="336" spans="2:11" ht="15.75" customHeight="1"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</row>
    <row r="337" spans="2:11" ht="15.75" customHeight="1"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</row>
    <row r="338" spans="2:11" ht="15.75" customHeight="1"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</row>
    <row r="339" spans="2:11" ht="15.75" customHeight="1"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</row>
    <row r="340" spans="2:11" ht="15.75" customHeight="1"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</row>
    <row r="341" spans="2:11" ht="15.75" customHeight="1"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</row>
    <row r="342" spans="2:11" ht="15.75" customHeight="1"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</row>
    <row r="343" spans="2:11" ht="15.75" customHeight="1"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</row>
    <row r="344" spans="2:11" ht="15.75" customHeight="1"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</row>
    <row r="345" spans="2:11" ht="15.75" customHeight="1"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</row>
    <row r="346" spans="2:11" ht="15.75" customHeight="1"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</row>
    <row r="347" spans="2:11" ht="15.75" customHeight="1"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</row>
    <row r="348" spans="2:11" ht="15.75" customHeight="1"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</row>
    <row r="349" spans="2:11" ht="15.75" customHeight="1"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</row>
    <row r="350" spans="2:11" ht="15.75" customHeight="1"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</row>
    <row r="351" spans="2:11" ht="15.75" customHeight="1"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</row>
    <row r="352" spans="2:11" ht="15.75" customHeight="1"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</row>
    <row r="353" spans="2:11" ht="15.75" customHeight="1"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</row>
    <row r="354" spans="2:11" ht="15.75" customHeight="1"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</row>
    <row r="355" spans="2:11" ht="15.75" customHeight="1"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</row>
    <row r="356" spans="2:11" ht="15.75" customHeight="1"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</row>
    <row r="357" spans="2:11" ht="15.75" customHeight="1"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</row>
    <row r="358" spans="2:11" ht="15.75" customHeight="1"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</row>
    <row r="359" spans="2:11" ht="15.75" customHeight="1"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</row>
    <row r="360" spans="2:11" ht="15.75" customHeight="1"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</row>
    <row r="361" spans="2:11" ht="15.75" customHeight="1"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</row>
    <row r="362" spans="2:11" ht="15.75" customHeight="1"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</row>
    <row r="363" spans="2:11" ht="15.75" customHeight="1"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</row>
    <row r="364" spans="2:11" ht="15.75" customHeight="1"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</row>
    <row r="365" spans="2:11" ht="15.75" customHeight="1"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</row>
    <row r="366" spans="2:11" ht="15.75" customHeight="1"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</row>
    <row r="367" spans="2:11" ht="15.75" customHeight="1"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</row>
    <row r="368" spans="2:11" ht="15.75" customHeight="1"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</row>
    <row r="369" spans="2:11" ht="15.75" customHeight="1"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</row>
    <row r="370" spans="2:11" ht="15.75" customHeight="1"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</row>
    <row r="371" spans="2:11" ht="15.75" customHeight="1"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</row>
    <row r="372" spans="2:11" ht="15.75" customHeight="1"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</row>
    <row r="373" spans="2:11" ht="15.75" customHeight="1"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</row>
    <row r="374" spans="2:11" ht="15.75" customHeight="1"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</row>
    <row r="375" spans="2:11" ht="15.75" customHeight="1"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</row>
    <row r="376" spans="2:11" ht="15.75" customHeight="1"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</row>
    <row r="377" spans="2:11" ht="15.75" customHeight="1"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</row>
    <row r="378" spans="2:11" ht="15.75" customHeight="1"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</row>
    <row r="379" spans="2:11" ht="15.75" customHeight="1"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</row>
    <row r="380" spans="2:11" ht="15.75" customHeight="1"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</row>
    <row r="381" spans="2:11" ht="15.75" customHeight="1"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</row>
    <row r="382" spans="2:11" ht="15.75" customHeight="1"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</row>
    <row r="383" spans="2:11" ht="15.75" customHeight="1"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</row>
    <row r="384" spans="2:11" ht="15.75" customHeight="1"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</row>
    <row r="385" spans="2:11" ht="15.75" customHeight="1"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</row>
    <row r="386" spans="2:11" ht="15.75" customHeight="1"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</row>
    <row r="387" spans="2:11" ht="15.75" customHeight="1"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</row>
    <row r="388" spans="2:11" ht="15.75" customHeight="1"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</row>
    <row r="389" spans="2:11" ht="15.75" customHeight="1"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</row>
    <row r="390" spans="2:11" ht="15.75" customHeight="1"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</row>
    <row r="391" spans="2:11" ht="15.75" customHeight="1"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</row>
    <row r="392" spans="2:11" ht="15.75" customHeight="1"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</row>
    <row r="393" spans="2:11" ht="15.75" customHeight="1"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</row>
    <row r="394" spans="2:11" ht="15.75" customHeight="1"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</row>
    <row r="395" spans="2:11" ht="15.75" customHeight="1"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</row>
    <row r="396" spans="2:11" ht="15.75" customHeight="1"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</row>
    <row r="397" spans="2:11" ht="15.75" customHeight="1"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</row>
    <row r="398" spans="2:11" ht="15.75" customHeight="1"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</row>
    <row r="399" spans="2:11" ht="15.75" customHeight="1"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</row>
    <row r="400" spans="2:11" ht="15.75" customHeight="1"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</row>
    <row r="401" spans="2:11" ht="15.75" customHeight="1"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</row>
    <row r="402" spans="2:11" ht="15.75" customHeight="1"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</row>
    <row r="403" spans="2:11" ht="15.75" customHeight="1"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</row>
    <row r="404" spans="2:11" ht="15.75" customHeight="1"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</row>
    <row r="405" spans="2:11" ht="15.75" customHeight="1"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</row>
    <row r="406" spans="2:11" ht="15.75" customHeight="1"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</row>
    <row r="407" spans="2:11" ht="15.75" customHeight="1"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</row>
    <row r="408" spans="2:11" ht="15.75" customHeight="1"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</row>
    <row r="409" spans="2:11" ht="15.75" customHeight="1"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</row>
    <row r="410" spans="2:11" ht="15.75" customHeight="1"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</row>
    <row r="411" spans="2:11" ht="15.75" customHeight="1"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</row>
    <row r="412" spans="2:11" ht="15.75" customHeight="1"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</row>
    <row r="413" spans="2:11" ht="15.75" customHeight="1"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</row>
    <row r="414" spans="2:11" ht="15.75" customHeight="1"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</row>
    <row r="415" spans="2:11" ht="15.75" customHeight="1"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</row>
    <row r="416" spans="2:11" ht="15.75" customHeight="1"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</row>
    <row r="417" spans="2:11" ht="15.75" customHeight="1"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</row>
    <row r="418" spans="2:11" ht="15.75" customHeight="1"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</row>
    <row r="419" spans="2:11" ht="15.75" customHeight="1"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</row>
    <row r="420" spans="2:11" ht="15.75" customHeight="1"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</row>
    <row r="421" spans="2:11" ht="15.75" customHeight="1"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</row>
    <row r="422" spans="2:11" ht="15.75" customHeight="1"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</row>
    <row r="423" spans="2:11" ht="15.75" customHeight="1"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</row>
    <row r="424" spans="2:11" ht="15.75" customHeight="1"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</row>
    <row r="425" spans="2:11" ht="15.75" customHeight="1"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</row>
    <row r="426" spans="2:11" ht="15.75" customHeight="1"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</row>
    <row r="427" spans="2:11" ht="15.75" customHeight="1"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</row>
    <row r="428" spans="2:11" ht="15.75" customHeight="1"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</row>
    <row r="429" spans="2:11" ht="15.75" customHeight="1"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</row>
    <row r="430" spans="2:11" ht="15.75" customHeight="1"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</row>
    <row r="431" spans="2:11" ht="15.75" customHeight="1"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</row>
    <row r="432" spans="2:11" ht="15.75" customHeight="1"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</row>
    <row r="433" spans="2:11" ht="15.75" customHeight="1"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</row>
    <row r="434" spans="2:11" ht="15.75" customHeight="1"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</row>
    <row r="435" spans="2:11" ht="15.75" customHeight="1"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</row>
    <row r="436" spans="2:11" ht="15.75" customHeight="1"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</row>
    <row r="437" spans="2:11" ht="15.75" customHeight="1"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</row>
    <row r="438" spans="2:11" ht="15.75" customHeight="1"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</row>
    <row r="439" spans="2:11" ht="15.75" customHeight="1"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</row>
    <row r="440" spans="2:11" ht="15.75" customHeight="1"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</row>
    <row r="441" spans="2:11" ht="15.75" customHeight="1"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</row>
    <row r="442" spans="2:11" ht="15.75" customHeight="1"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</row>
    <row r="443" spans="2:11" ht="15.75" customHeight="1"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</row>
    <row r="444" spans="2:11" ht="15.75" customHeight="1"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</row>
    <row r="445" spans="2:11" ht="15.75" customHeight="1"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</row>
    <row r="446" spans="2:11" ht="15.75" customHeight="1"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</row>
    <row r="447" spans="2:11" ht="15.75" customHeight="1"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</row>
    <row r="448" spans="2:11" ht="15.75" customHeight="1"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</row>
    <row r="449" spans="2:11" ht="15.75" customHeight="1"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</row>
    <row r="450" spans="2:11" ht="15.75" customHeight="1"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</row>
    <row r="451" spans="2:11" ht="15.75" customHeight="1"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</row>
    <row r="452" spans="2:11" ht="15.75" customHeight="1"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</row>
    <row r="453" spans="2:11" ht="15.75" customHeight="1"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</row>
    <row r="454" spans="2:11" ht="15.75" customHeight="1"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</row>
    <row r="455" spans="2:11" ht="15.75" customHeight="1"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</row>
    <row r="456" spans="2:11" ht="15.75" customHeight="1"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</row>
    <row r="457" spans="2:11" ht="15.75" customHeight="1"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</row>
    <row r="458" spans="2:11" ht="15.75" customHeight="1"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</row>
    <row r="459" spans="2:11" ht="15.75" customHeight="1"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</row>
    <row r="460" spans="2:11" ht="15.75" customHeight="1"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</row>
    <row r="461" spans="2:11" ht="15.75" customHeight="1"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</row>
    <row r="462" spans="2:11" ht="15.75" customHeight="1"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</row>
    <row r="463" spans="2:11" ht="15.75" customHeight="1"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</row>
    <row r="464" spans="2:11" ht="15.75" customHeight="1"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</row>
    <row r="465" spans="2:11" ht="15.75" customHeight="1"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</row>
    <row r="466" spans="2:11" ht="15.75" customHeight="1"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</row>
    <row r="467" spans="2:11" ht="15.75" customHeight="1"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</row>
    <row r="468" spans="2:11" ht="15.75" customHeight="1"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</row>
    <row r="469" spans="2:11" ht="15.75" customHeight="1"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</row>
    <row r="470" spans="2:11" ht="15.75" customHeight="1"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</row>
    <row r="471" spans="2:11" ht="15.75" customHeight="1"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</row>
    <row r="472" spans="2:11" ht="15.75" customHeight="1"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</row>
    <row r="473" spans="2:11" ht="15.75" customHeight="1"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</row>
    <row r="474" spans="2:11" ht="15.75" customHeight="1"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</row>
    <row r="475" spans="2:11" ht="15.75" customHeight="1"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</row>
    <row r="476" spans="2:11" ht="15.75" customHeight="1"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</row>
    <row r="477" spans="2:11" ht="15.75" customHeight="1"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</row>
    <row r="478" spans="2:11" ht="15.75" customHeight="1"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</row>
    <row r="479" spans="2:11" ht="15.75" customHeight="1"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</row>
    <row r="480" spans="2:11" ht="15.75" customHeight="1"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</row>
    <row r="481" spans="2:11" ht="15.75" customHeight="1"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</row>
    <row r="482" spans="2:11" ht="15.75" customHeight="1"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</row>
    <row r="483" spans="2:11" ht="15.75" customHeight="1"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</row>
    <row r="484" spans="2:11" ht="15.75" customHeight="1"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</row>
    <row r="485" spans="2:11" ht="15.75" customHeight="1"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</row>
    <row r="486" spans="2:11" ht="15.75" customHeight="1"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</row>
    <row r="487" spans="2:11" ht="15.75" customHeight="1"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</row>
    <row r="488" spans="2:11" ht="15.75" customHeight="1"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</row>
    <row r="489" spans="2:11" ht="15.75" customHeight="1"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</row>
    <row r="490" spans="2:11" ht="15.75" customHeight="1"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</row>
    <row r="491" spans="2:11" ht="15.75" customHeight="1"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</row>
    <row r="492" spans="2:11" ht="15.75" customHeight="1"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</row>
    <row r="493" spans="2:11" ht="15.75" customHeight="1"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</row>
    <row r="494" spans="2:11" ht="15.75" customHeight="1"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</row>
    <row r="495" spans="2:11" ht="15.75" customHeight="1"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</row>
    <row r="496" spans="2:11" ht="15.75" customHeight="1"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</row>
    <row r="497" spans="2:11" ht="15.75" customHeight="1"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</row>
    <row r="498" spans="2:11" ht="15.75" customHeight="1"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</row>
    <row r="499" spans="2:11" ht="15.75" customHeight="1"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</row>
    <row r="500" spans="2:11" ht="15.75" customHeight="1"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</row>
    <row r="501" spans="2:11" ht="15.75" customHeight="1"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</row>
    <row r="502" spans="2:11" ht="15.75" customHeight="1"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</row>
    <row r="503" spans="2:11" ht="15.75" customHeight="1"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</row>
    <row r="504" spans="2:11" ht="15.75" customHeight="1"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</row>
    <row r="505" spans="2:11" ht="15.75" customHeight="1"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</row>
    <row r="506" spans="2:11" ht="15.75" customHeight="1"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</row>
    <row r="507" spans="2:11" ht="15.75" customHeight="1"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</row>
    <row r="508" spans="2:11" ht="15.75" customHeight="1"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</row>
    <row r="509" spans="2:11" ht="15.75" customHeight="1"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</row>
    <row r="510" spans="2:11" ht="15.75" customHeight="1"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</row>
    <row r="511" spans="2:11" ht="15.75" customHeight="1"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</row>
    <row r="512" spans="2:11" ht="15.75" customHeight="1"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</row>
    <row r="513" spans="2:11" ht="15.75" customHeight="1"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</row>
    <row r="514" spans="2:11" ht="15.75" customHeight="1"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</row>
    <row r="515" spans="2:11" ht="15.75" customHeight="1"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</row>
    <row r="516" spans="2:11" ht="15.75" customHeight="1"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</row>
    <row r="517" spans="2:11" ht="15.75" customHeight="1"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</row>
    <row r="518" spans="2:11" ht="15.75" customHeight="1"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</row>
    <row r="519" spans="2:11" ht="15.75" customHeight="1"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</row>
    <row r="520" spans="2:11" ht="15.75" customHeight="1"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</row>
    <row r="521" spans="2:11" ht="15.75" customHeight="1"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</row>
    <row r="522" spans="2:11" ht="15.75" customHeight="1"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</row>
    <row r="523" spans="2:11" ht="15.75" customHeight="1"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</row>
    <row r="524" spans="2:11" ht="15.75" customHeight="1"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</row>
    <row r="525" spans="2:11" ht="15.75" customHeight="1"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</row>
    <row r="526" spans="2:11" ht="15.75" customHeight="1"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</row>
    <row r="527" spans="2:11" ht="15.75" customHeight="1"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</row>
    <row r="528" spans="2:11" ht="15.75" customHeight="1"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</row>
    <row r="529" spans="2:11" ht="15.75" customHeight="1"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</row>
    <row r="530" spans="2:11" ht="15.75" customHeight="1"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</row>
    <row r="531" spans="2:11" ht="15.75" customHeight="1"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</row>
    <row r="532" spans="2:11" ht="15.75" customHeight="1"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</row>
    <row r="533" spans="2:11" ht="15.75" customHeight="1"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</row>
    <row r="534" spans="2:11" ht="15.75" customHeight="1"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</row>
    <row r="535" spans="2:11" ht="15.75" customHeight="1"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</row>
    <row r="536" spans="2:11" ht="15.75" customHeight="1"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</row>
    <row r="537" spans="2:11" ht="15.75" customHeight="1"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</row>
    <row r="538" spans="2:11" ht="15.75" customHeight="1"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</row>
    <row r="539" spans="2:11" ht="15.75" customHeight="1"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</row>
    <row r="540" spans="2:11" ht="15.75" customHeight="1"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</row>
    <row r="541" spans="2:11" ht="15.75" customHeight="1"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</row>
    <row r="542" spans="2:11" ht="15.75" customHeight="1"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</row>
    <row r="543" spans="2:11" ht="15.75" customHeight="1"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</row>
    <row r="544" spans="2:11" ht="15.75" customHeight="1"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</row>
    <row r="545" spans="2:11" ht="15.75" customHeight="1"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</row>
    <row r="546" spans="2:11" ht="15.75" customHeight="1"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</row>
    <row r="547" spans="2:11" ht="15.75" customHeight="1"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</row>
    <row r="548" spans="2:11" ht="15.75" customHeight="1"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</row>
    <row r="549" spans="2:11" ht="15.75" customHeight="1"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</row>
    <row r="550" spans="2:11" ht="15.75" customHeight="1"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</row>
    <row r="551" spans="2:11" ht="15.75" customHeight="1"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</row>
    <row r="552" spans="2:11" ht="15.75" customHeight="1"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</row>
    <row r="553" spans="2:11" ht="15.75" customHeight="1"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</row>
    <row r="554" spans="2:11" ht="15.75" customHeight="1"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</row>
    <row r="555" spans="2:11" ht="15.75" customHeight="1"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</row>
    <row r="556" spans="2:11" ht="15.75" customHeight="1"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</row>
    <row r="557" spans="2:11" ht="15.75" customHeight="1"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</row>
    <row r="558" spans="2:11" ht="15.75" customHeight="1"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</row>
    <row r="559" spans="2:11" ht="15.75" customHeight="1"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</row>
    <row r="560" spans="2:11" ht="15.75" customHeight="1"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</row>
    <row r="561" spans="2:11" ht="15.75" customHeight="1"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</row>
    <row r="562" spans="2:11" ht="15.75" customHeight="1"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</row>
    <row r="563" spans="2:11" ht="15.75" customHeight="1"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</row>
    <row r="564" spans="2:11" ht="15.75" customHeight="1"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</row>
    <row r="565" spans="2:11" ht="15.75" customHeight="1"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</row>
    <row r="566" spans="2:11" ht="15.75" customHeight="1"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</row>
    <row r="567" spans="2:11" ht="15.75" customHeight="1"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</row>
    <row r="568" spans="2:11" ht="15.75" customHeight="1"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</row>
    <row r="569" spans="2:11" ht="15.75" customHeight="1"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</row>
    <row r="570" spans="2:11" ht="15.75" customHeight="1"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</row>
    <row r="571" spans="2:11" ht="15.75" customHeight="1"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</row>
    <row r="572" spans="2:11" ht="15.75" customHeight="1"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</row>
    <row r="573" spans="2:11" ht="15.75" customHeight="1"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</row>
    <row r="574" spans="2:11" ht="15.75" customHeight="1"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</row>
    <row r="575" spans="2:11" ht="15.75" customHeight="1"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</row>
    <row r="576" spans="2:11" ht="15.75" customHeight="1"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</row>
    <row r="577" spans="2:11" ht="15.75" customHeight="1"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</row>
    <row r="578" spans="2:11" ht="15.75" customHeight="1"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</row>
    <row r="579" spans="2:11" ht="15.75" customHeight="1"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</row>
    <row r="580" spans="2:11" ht="15.75" customHeight="1"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</row>
    <row r="581" spans="2:11" ht="15.75" customHeight="1"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</row>
    <row r="582" spans="2:11" ht="15.75" customHeight="1"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</row>
    <row r="583" spans="2:11" ht="15.75" customHeight="1"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</row>
    <row r="584" spans="2:11" ht="15.75" customHeight="1"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</row>
    <row r="585" spans="2:11" ht="15.75" customHeight="1"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</row>
    <row r="586" spans="2:11" ht="15.75" customHeight="1"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</row>
    <row r="587" spans="2:11" ht="15.75" customHeight="1"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</row>
    <row r="588" spans="2:11" ht="15.75" customHeight="1"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</row>
    <row r="589" spans="2:11" ht="15.75" customHeight="1"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</row>
    <row r="590" spans="2:11" ht="15.75" customHeight="1"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</row>
    <row r="591" spans="2:11" ht="15.75" customHeight="1"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</row>
    <row r="592" spans="2:11" ht="15.75" customHeight="1"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</row>
    <row r="593" spans="2:11" ht="15.75" customHeight="1"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</row>
    <row r="594" spans="2:11" ht="15.75" customHeight="1"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</row>
    <row r="595" spans="2:11" ht="15.75" customHeight="1"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</row>
    <row r="596" spans="2:11" ht="15.75" customHeight="1"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</row>
    <row r="597" spans="2:11" ht="15.75" customHeight="1"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</row>
    <row r="598" spans="2:11" ht="15.75" customHeight="1"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</row>
    <row r="599" spans="2:11" ht="15.75" customHeight="1"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</row>
    <row r="600" spans="2:11" ht="15.75" customHeight="1"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</row>
    <row r="601" spans="2:11" ht="15.75" customHeight="1"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</row>
    <row r="602" spans="2:11" ht="15.75" customHeight="1"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</row>
    <row r="603" spans="2:11" ht="15.75" customHeight="1"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</row>
    <row r="604" spans="2:11" ht="15.75" customHeight="1"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</row>
    <row r="605" spans="2:11" ht="15.75" customHeight="1"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</row>
    <row r="606" spans="2:11" ht="15.75" customHeight="1"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</row>
    <row r="607" spans="2:11" ht="15.75" customHeight="1"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</row>
    <row r="608" spans="2:11" ht="15.75" customHeight="1"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</row>
    <row r="609" spans="2:11" ht="15.75" customHeight="1"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</row>
    <row r="610" spans="2:11" ht="15.75" customHeight="1"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</row>
    <row r="611" spans="2:11" ht="15.75" customHeight="1"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</row>
    <row r="612" spans="2:11" ht="15.75" customHeight="1"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</row>
    <row r="613" spans="2:11" ht="15.75" customHeight="1"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</row>
    <row r="614" spans="2:11" ht="15.75" customHeight="1"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</row>
    <row r="615" spans="2:11" ht="15.75" customHeight="1"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</row>
    <row r="616" spans="2:11" ht="15.75" customHeight="1"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</row>
    <row r="617" spans="2:11" ht="15.75" customHeight="1"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</row>
    <row r="618" spans="2:11" ht="15.75" customHeight="1"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</row>
    <row r="619" spans="2:11" ht="15.75" customHeight="1"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</row>
    <row r="620" spans="2:11" ht="15.75" customHeight="1"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</row>
    <row r="621" spans="2:11" ht="15.75" customHeight="1"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</row>
    <row r="622" spans="2:11" ht="15.75" customHeight="1"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</row>
    <row r="623" spans="2:11" ht="15.75" customHeight="1"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</row>
    <row r="624" spans="2:11" ht="15.75" customHeight="1"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</row>
    <row r="625" spans="2:11" ht="15.75" customHeight="1"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</row>
    <row r="626" spans="2:11" ht="15.75" customHeight="1"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</row>
    <row r="627" spans="2:11" ht="15.75" customHeight="1"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</row>
    <row r="628" spans="2:11" ht="15.75" customHeight="1"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</row>
    <row r="629" spans="2:11" ht="15.75" customHeight="1"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</row>
    <row r="630" spans="2:11" ht="15.75" customHeight="1"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</row>
    <row r="631" spans="2:11" ht="15.75" customHeight="1"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</row>
    <row r="632" spans="2:11" ht="15.75" customHeight="1"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</row>
    <row r="633" spans="2:11" ht="15.75" customHeight="1"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</row>
    <row r="634" spans="2:11" ht="15.75" customHeight="1"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</row>
    <row r="635" spans="2:11" ht="15.75" customHeight="1"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</row>
    <row r="636" spans="2:11" ht="15.75" customHeight="1"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</row>
    <row r="637" spans="2:11" ht="15.75" customHeight="1"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</row>
    <row r="638" spans="2:11" ht="15.75" customHeight="1"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</row>
    <row r="639" spans="2:11" ht="15.75" customHeight="1"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</row>
    <row r="640" spans="2:11" ht="15.75" customHeight="1"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</row>
    <row r="641" spans="2:11" ht="15.75" customHeight="1"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</row>
    <row r="642" spans="2:11" ht="15.75" customHeight="1"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</row>
    <row r="643" spans="2:11" ht="15.75" customHeight="1"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</row>
    <row r="644" spans="2:11" ht="15.75" customHeight="1"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</row>
    <row r="645" spans="2:11" ht="15.75" customHeight="1"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</row>
    <row r="646" spans="2:11" ht="15.75" customHeight="1"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</row>
    <row r="647" spans="2:11" ht="15.75" customHeight="1"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</row>
    <row r="648" spans="2:11" ht="15.75" customHeight="1"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</row>
    <row r="649" spans="2:11" ht="15.75" customHeight="1"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</row>
    <row r="650" spans="2:11" ht="15.75" customHeight="1"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</row>
    <row r="651" spans="2:11" ht="15.75" customHeight="1"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</row>
    <row r="652" spans="2:11" ht="15.75" customHeight="1"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</row>
    <row r="653" spans="2:11" ht="15.75" customHeight="1"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</row>
    <row r="654" spans="2:11" ht="15.75" customHeight="1"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</row>
    <row r="655" spans="2:11" ht="15.75" customHeight="1"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</row>
    <row r="656" spans="2:11" ht="15.75" customHeight="1"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</row>
    <row r="657" spans="2:11" ht="15.75" customHeight="1"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</row>
    <row r="658" spans="2:11" ht="15.75" customHeight="1"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</row>
    <row r="659" spans="2:11" ht="15.75" customHeight="1"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</row>
    <row r="660" spans="2:11" ht="15.75" customHeight="1"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</row>
    <row r="661" spans="2:11" ht="15.75" customHeight="1"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</row>
    <row r="662" spans="2:11" ht="15.75" customHeight="1"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</row>
    <row r="663" spans="2:11" ht="15.75" customHeight="1"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</row>
    <row r="664" spans="2:11" ht="15.75" customHeight="1"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</row>
    <row r="665" spans="2:11" ht="15.75" customHeight="1"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</row>
    <row r="666" spans="2:11" ht="15.75" customHeight="1"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</row>
    <row r="667" spans="2:11" ht="15.75" customHeight="1"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</row>
    <row r="668" spans="2:11" ht="15.75" customHeight="1"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</row>
    <row r="669" spans="2:11" ht="15.75" customHeight="1"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</row>
    <row r="670" spans="2:11" ht="15.75" customHeight="1"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</row>
    <row r="671" spans="2:11" ht="15.75" customHeight="1"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</row>
    <row r="672" spans="2:11" ht="15.75" customHeight="1"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</row>
    <row r="673" spans="2:11" ht="15.75" customHeight="1"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</row>
    <row r="674" spans="2:11" ht="15.75" customHeight="1"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</row>
    <row r="675" spans="2:11" ht="15.75" customHeight="1"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</row>
    <row r="676" spans="2:11" ht="15.75" customHeight="1"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</row>
    <row r="677" spans="2:11" ht="15.75" customHeight="1"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</row>
    <row r="678" spans="2:11" ht="15.75" customHeight="1"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</row>
    <row r="679" spans="2:11" ht="15.75" customHeight="1"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</row>
    <row r="680" spans="2:11" ht="15.75" customHeight="1"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</row>
    <row r="681" spans="2:11" ht="15.75" customHeight="1"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</row>
    <row r="682" spans="2:11" ht="15.75" customHeight="1"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</row>
    <row r="683" spans="2:11" ht="15.75" customHeight="1"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</row>
    <row r="684" spans="2:11" ht="15.75" customHeight="1"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</row>
    <row r="685" spans="2:11" ht="15.75" customHeight="1"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</row>
    <row r="686" spans="2:11" ht="15.75" customHeight="1"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</row>
    <row r="687" spans="2:11" ht="15.75" customHeight="1"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</row>
    <row r="688" spans="2:11" ht="15.75" customHeight="1"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</row>
    <row r="689" spans="2:11" ht="15.75" customHeight="1"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</row>
    <row r="690" spans="2:11" ht="15.75" customHeight="1"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</row>
    <row r="691" spans="2:11" ht="15.75" customHeight="1"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</row>
    <row r="692" spans="2:11" ht="15.75" customHeight="1"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</row>
    <row r="693" spans="2:11" ht="15.75" customHeight="1"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</row>
    <row r="694" spans="2:11" ht="15.75" customHeight="1"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</row>
    <row r="695" spans="2:11" ht="15.75" customHeight="1"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</row>
    <row r="696" spans="2:11" ht="15.75" customHeight="1"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</row>
    <row r="697" spans="2:11" ht="15.75" customHeight="1"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</row>
    <row r="698" spans="2:11" ht="15.75" customHeight="1"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</row>
    <row r="699" spans="2:11" ht="15.75" customHeight="1"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</row>
    <row r="700" spans="2:11" ht="15.75" customHeight="1"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</row>
    <row r="701" spans="2:11" ht="15.75" customHeight="1"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</row>
    <row r="702" spans="2:11" ht="15.75" customHeight="1"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</row>
    <row r="703" spans="2:11" ht="15.75" customHeight="1"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</row>
    <row r="704" spans="2:11" ht="15.75" customHeight="1"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</row>
    <row r="705" spans="2:11" ht="15.75" customHeight="1"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</row>
    <row r="706" spans="2:11" ht="15.75" customHeight="1"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</row>
    <row r="707" spans="2:11" ht="15.75" customHeight="1"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</row>
    <row r="708" spans="2:11" ht="15.75" customHeight="1"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</row>
    <row r="709" spans="2:11" ht="15.75" customHeight="1"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</row>
    <row r="710" spans="2:11" ht="15.75" customHeight="1"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</row>
    <row r="711" spans="2:11" ht="15.75" customHeight="1"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</row>
    <row r="712" spans="2:11" ht="15.75" customHeight="1"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</row>
    <row r="713" spans="2:11" ht="15.75" customHeight="1"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</row>
    <row r="714" spans="2:11" ht="15.75" customHeight="1"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</row>
    <row r="715" spans="2:11" ht="15.75" customHeight="1"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</row>
    <row r="716" spans="2:11" ht="15.75" customHeight="1"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</row>
    <row r="717" spans="2:11" ht="15.75" customHeight="1"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</row>
    <row r="718" spans="2:11" ht="15.75" customHeight="1"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</row>
    <row r="719" spans="2:11" ht="15.75" customHeight="1"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</row>
    <row r="720" spans="2:11" ht="15.75" customHeight="1"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</row>
    <row r="721" spans="2:11" ht="15.75" customHeight="1"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</row>
    <row r="722" spans="2:11" ht="15.75" customHeight="1"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</row>
    <row r="723" spans="2:11" ht="15.75" customHeight="1"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</row>
    <row r="724" spans="2:11" ht="15.75" customHeight="1"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</row>
    <row r="725" spans="2:11" ht="15.75" customHeight="1"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</row>
    <row r="726" spans="2:11" ht="15.75" customHeight="1"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</row>
    <row r="727" spans="2:11" ht="15.75" customHeight="1"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</row>
    <row r="728" spans="2:11" ht="15.75" customHeight="1"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</row>
    <row r="729" spans="2:11" ht="15.75" customHeight="1"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</row>
    <row r="730" spans="2:11" ht="15.75" customHeight="1"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</row>
    <row r="731" spans="2:11" ht="15.75" customHeight="1"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</row>
    <row r="732" spans="2:11" ht="15.75" customHeight="1"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</row>
    <row r="733" spans="2:11" ht="15.75" customHeight="1"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</row>
    <row r="734" spans="2:11" ht="15.75" customHeight="1"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</row>
    <row r="735" spans="2:11" ht="15.75" customHeight="1"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</row>
    <row r="736" spans="2:11" ht="15.75" customHeight="1"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</row>
    <row r="737" spans="2:11" ht="15.75" customHeight="1"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</row>
    <row r="738" spans="2:11" ht="15.75" customHeight="1"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</row>
    <row r="739" spans="2:11" ht="15.75" customHeight="1"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</row>
    <row r="740" spans="2:11" ht="15.75" customHeight="1"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</row>
    <row r="741" spans="2:11" ht="15.75" customHeight="1"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</row>
    <row r="742" spans="2:11" ht="15.75" customHeight="1"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</row>
    <row r="743" spans="2:11" ht="15.75" customHeight="1"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</row>
    <row r="744" spans="2:11" ht="15.75" customHeight="1"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</row>
    <row r="745" spans="2:11" ht="15.75" customHeight="1"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</row>
    <row r="746" spans="2:11" ht="15.75" customHeight="1"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</row>
    <row r="747" spans="2:11" ht="15.75" customHeight="1"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</row>
    <row r="748" spans="2:11" ht="15.75" customHeight="1"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</row>
    <row r="749" spans="2:11" ht="15.75" customHeight="1"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</row>
    <row r="750" spans="2:11" ht="15.75" customHeight="1"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</row>
    <row r="751" spans="2:11" ht="15.75" customHeight="1"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</row>
    <row r="752" spans="2:11" ht="15.75" customHeight="1"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</row>
    <row r="753" spans="2:11" ht="15.75" customHeight="1"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</row>
    <row r="754" spans="2:11" ht="15.75" customHeight="1"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</row>
    <row r="755" spans="2:11" ht="15.75" customHeight="1"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</row>
    <row r="756" spans="2:11" ht="15.75" customHeight="1"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</row>
    <row r="757" spans="2:11" ht="15.75" customHeight="1"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</row>
    <row r="758" spans="2:11" ht="15.75" customHeight="1"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</row>
    <row r="759" spans="2:11" ht="15.75" customHeight="1"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</row>
    <row r="760" spans="2:11" ht="15.75" customHeight="1"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</row>
    <row r="761" spans="2:11" ht="15.75" customHeight="1"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</row>
    <row r="762" spans="2:11" ht="15.75" customHeight="1"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</row>
    <row r="763" spans="2:11" ht="15.75" customHeight="1"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</row>
    <row r="764" spans="2:11" ht="15.75" customHeight="1"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</row>
    <row r="765" spans="2:11" ht="15.75" customHeight="1"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</row>
    <row r="766" spans="2:11" ht="15.75" customHeight="1"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</row>
    <row r="767" spans="2:11" ht="15.75" customHeight="1"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</row>
    <row r="768" spans="2:11" ht="15.75" customHeight="1"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</row>
    <row r="769" spans="2:11" ht="15.75" customHeight="1"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</row>
    <row r="770" spans="2:11" ht="15.75" customHeight="1"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</row>
    <row r="771" spans="2:11" ht="15.75" customHeight="1"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</row>
    <row r="772" spans="2:11" ht="15.75" customHeight="1"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</row>
    <row r="773" spans="2:11" ht="15.75" customHeight="1"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</row>
    <row r="774" spans="2:11" ht="15.75" customHeight="1"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</row>
    <row r="775" spans="2:11" ht="15.75" customHeight="1"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</row>
    <row r="776" spans="2:11" ht="15.75" customHeight="1"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</row>
    <row r="777" spans="2:11" ht="15.75" customHeight="1"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</row>
    <row r="778" spans="2:11" ht="15.75" customHeight="1"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</row>
    <row r="779" spans="2:11" ht="15.75" customHeight="1"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</row>
    <row r="780" spans="2:11" ht="15.75" customHeight="1"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</row>
    <row r="781" spans="2:11" ht="15.75" customHeight="1"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</row>
    <row r="782" spans="2:11" ht="15.75" customHeight="1"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</row>
    <row r="783" spans="2:11" ht="15.75" customHeight="1"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</row>
    <row r="784" spans="2:11" ht="15.75" customHeight="1"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</row>
    <row r="785" spans="2:11" ht="15.75" customHeight="1"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</row>
    <row r="786" spans="2:11" ht="15.75" customHeight="1"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</row>
    <row r="787" spans="2:11" ht="15.75" customHeight="1"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</row>
    <row r="788" spans="2:11" ht="15.75" customHeight="1"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</row>
    <row r="789" spans="2:11" ht="15.75" customHeight="1"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</row>
    <row r="790" spans="2:11" ht="15.75" customHeight="1"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</row>
    <row r="791" spans="2:11" ht="15.75" customHeight="1"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</row>
    <row r="792" spans="2:11" ht="15.75" customHeight="1"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</row>
    <row r="793" spans="2:11" ht="15.75" customHeight="1"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</row>
    <row r="794" spans="2:11" ht="15.75" customHeight="1"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</row>
    <row r="795" spans="2:11" ht="15.75" customHeight="1"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</row>
    <row r="796" spans="2:11" ht="15.75" customHeight="1"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</row>
    <row r="797" spans="2:11" ht="15.75" customHeight="1"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</row>
    <row r="798" spans="2:11" ht="15.75" customHeight="1"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</row>
    <row r="799" spans="2:11" ht="15.75" customHeight="1"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</row>
    <row r="800" spans="2:11" ht="15.75" customHeight="1"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</row>
    <row r="801" spans="2:11" ht="15.75" customHeight="1"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</row>
    <row r="802" spans="2:11" ht="15.75" customHeight="1"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</row>
    <row r="803" spans="2:11" ht="15.75" customHeight="1"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</row>
    <row r="804" spans="2:11" ht="15.75" customHeight="1"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</row>
    <row r="805" spans="2:11" ht="15.75" customHeight="1"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</row>
    <row r="806" spans="2:11" ht="15.75" customHeight="1"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</row>
    <row r="807" spans="2:11" ht="15.75" customHeight="1"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</row>
    <row r="808" spans="2:11" ht="15.75" customHeight="1"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</row>
    <row r="809" spans="2:11" ht="15.75" customHeight="1"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</row>
    <row r="810" spans="2:11" ht="15.75" customHeight="1"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</row>
    <row r="811" spans="2:11" ht="15.75" customHeight="1"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</row>
    <row r="812" spans="2:11" ht="15.75" customHeight="1"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</row>
    <row r="813" spans="2:11" ht="15.75" customHeight="1"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</row>
    <row r="814" spans="2:11" ht="15.75" customHeight="1"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</row>
    <row r="815" spans="2:11" ht="15.75" customHeight="1"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</row>
    <row r="816" spans="2:11" ht="15.75" customHeight="1"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</row>
    <row r="817" spans="2:11" ht="15.75" customHeight="1"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</row>
    <row r="818" spans="2:11" ht="15.75" customHeight="1"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</row>
    <row r="819" spans="2:11" ht="15.75" customHeight="1"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</row>
    <row r="820" spans="2:11" ht="15.75" customHeight="1"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</row>
    <row r="821" spans="2:11" ht="15.75" customHeight="1"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</row>
    <row r="822" spans="2:11" ht="15.75" customHeight="1"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</row>
    <row r="823" spans="2:11" ht="15.75" customHeight="1"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</row>
    <row r="824" spans="2:11" ht="15.75" customHeight="1"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</row>
    <row r="825" spans="2:11" ht="15.75" customHeight="1"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</row>
    <row r="826" spans="2:11" ht="15.75" customHeight="1"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</row>
    <row r="827" spans="2:11" ht="15.75" customHeight="1"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</row>
    <row r="828" spans="2:11" ht="15.75" customHeight="1"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</row>
    <row r="829" spans="2:11" ht="15.75" customHeight="1"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</row>
    <row r="830" spans="2:11" ht="15.75" customHeight="1"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</row>
    <row r="831" spans="2:11" ht="15.75" customHeight="1"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</row>
    <row r="832" spans="2:11" ht="15.75" customHeight="1"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</row>
    <row r="833" spans="2:11" ht="15.75" customHeight="1"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</row>
    <row r="834" spans="2:11" ht="15.75" customHeight="1"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</row>
    <row r="835" spans="2:11" ht="15.75" customHeight="1"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</row>
    <row r="836" spans="2:11" ht="15.75" customHeight="1"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</row>
    <row r="837" spans="2:11" ht="15.75" customHeight="1"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</row>
    <row r="838" spans="2:11" ht="15.75" customHeight="1"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</row>
    <row r="839" spans="2:11" ht="15.75" customHeight="1"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</row>
    <row r="840" spans="2:11" ht="15.75" customHeight="1"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</row>
    <row r="841" spans="2:11" ht="15.75" customHeight="1"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</row>
    <row r="842" spans="2:11" ht="15.75" customHeight="1"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</row>
    <row r="843" spans="2:11" ht="15.75" customHeight="1"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</row>
    <row r="844" spans="2:11" ht="15.75" customHeight="1"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</row>
    <row r="845" spans="2:11" ht="15.75" customHeight="1"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</row>
    <row r="846" spans="2:11" ht="15.75" customHeight="1"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</row>
    <row r="847" spans="2:11" ht="15.75" customHeight="1"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</row>
    <row r="848" spans="2:11" ht="15.75" customHeight="1"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</row>
    <row r="849" spans="2:11" ht="15.75" customHeight="1"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</row>
    <row r="850" spans="2:11" ht="15.75" customHeight="1"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</row>
    <row r="851" spans="2:11" ht="15.75" customHeight="1"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</row>
    <row r="852" spans="2:11" ht="15.75" customHeight="1"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</row>
    <row r="853" spans="2:11" ht="15.75" customHeight="1"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</row>
    <row r="854" spans="2:11" ht="15.75" customHeight="1"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</row>
    <row r="855" spans="2:11" ht="15.75" customHeight="1"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</row>
    <row r="856" spans="2:11" ht="15.75" customHeight="1"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</row>
    <row r="857" spans="2:11" ht="15.75" customHeight="1"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</row>
    <row r="858" spans="2:11" ht="15.75" customHeight="1"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</row>
    <row r="859" spans="2:11" ht="15.75" customHeight="1"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</row>
    <row r="860" spans="2:11" ht="15.75" customHeight="1"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</row>
    <row r="861" spans="2:11" ht="15.75" customHeight="1"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</row>
    <row r="862" spans="2:11" ht="15.75" customHeight="1"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</row>
    <row r="863" spans="2:11" ht="15.75" customHeight="1"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</row>
    <row r="864" spans="2:11" ht="15.75" customHeight="1"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</row>
    <row r="865" spans="2:11" ht="15.75" customHeight="1"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</row>
    <row r="866" spans="2:11" ht="15.75" customHeight="1"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</row>
    <row r="867" spans="2:11" ht="15.75" customHeight="1"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</row>
    <row r="868" spans="2:11" ht="15.75" customHeight="1"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</row>
    <row r="869" spans="2:11" ht="15.75" customHeight="1"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</row>
    <row r="870" spans="2:11" ht="15.75" customHeight="1"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</row>
    <row r="871" spans="2:11" ht="15.75" customHeight="1"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</row>
    <row r="872" spans="2:11" ht="15.75" customHeight="1"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</row>
    <row r="873" spans="2:11" ht="15.75" customHeight="1"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</row>
    <row r="874" spans="2:11" ht="15.75" customHeight="1"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</row>
    <row r="875" spans="2:11" ht="15.75" customHeight="1"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</row>
    <row r="876" spans="2:11" ht="15.75" customHeight="1"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</row>
    <row r="877" spans="2:11" ht="15.75" customHeight="1"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</row>
    <row r="878" spans="2:11" ht="15.75" customHeight="1"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</row>
    <row r="879" spans="2:11" ht="15.75" customHeight="1"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</row>
    <row r="880" spans="2:11" ht="15.75" customHeight="1"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</row>
    <row r="881" spans="2:11" ht="15.75" customHeight="1"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</row>
    <row r="882" spans="2:11" ht="15.75" customHeight="1"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</row>
    <row r="883" spans="2:11" ht="15.75" customHeight="1"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</row>
    <row r="884" spans="2:11" ht="15.75" customHeight="1"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</row>
    <row r="885" spans="2:11" ht="15.75" customHeight="1"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</row>
    <row r="886" spans="2:11" ht="15.75" customHeight="1"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</row>
    <row r="887" spans="2:11" ht="15.75" customHeight="1"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</row>
    <row r="888" spans="2:11" ht="15.75" customHeight="1"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</row>
    <row r="889" spans="2:11" ht="15.75" customHeight="1"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</row>
    <row r="890" spans="2:11" ht="15.75" customHeight="1"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</row>
    <row r="891" spans="2:11" ht="15.75" customHeight="1"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</row>
    <row r="892" spans="2:11" ht="15.75" customHeight="1"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</row>
    <row r="893" spans="2:11" ht="15.75" customHeight="1"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</row>
    <row r="894" spans="2:11" ht="15.75" customHeight="1"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</row>
    <row r="895" spans="2:11" ht="15.75" customHeight="1"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</row>
    <row r="896" spans="2:11" ht="15.75" customHeight="1"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</row>
    <row r="897" spans="2:11" ht="15.75" customHeight="1"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</row>
    <row r="898" spans="2:11" ht="15.75" customHeight="1"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</row>
    <row r="899" spans="2:11" ht="15.75" customHeight="1"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</row>
    <row r="900" spans="2:11" ht="15.75" customHeight="1"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</row>
    <row r="901" spans="2:11" ht="15.75" customHeight="1"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</row>
    <row r="902" spans="2:11" ht="15.75" customHeight="1"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</row>
    <row r="903" spans="2:11" ht="15.75" customHeight="1"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</row>
    <row r="904" spans="2:11" ht="15.75" customHeight="1"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</row>
    <row r="905" spans="2:11" ht="15.75" customHeight="1"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</row>
    <row r="906" spans="2:11" ht="15.75" customHeight="1"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</row>
    <row r="907" spans="2:11" ht="15.75" customHeight="1"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</row>
    <row r="908" spans="2:11" ht="15.75" customHeight="1"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</row>
    <row r="909" spans="2:11" ht="15.75" customHeight="1"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</row>
    <row r="910" spans="2:11" ht="15.75" customHeight="1"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</row>
    <row r="911" spans="2:11" ht="15.75" customHeight="1"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</row>
    <row r="912" spans="2:11" ht="15.75" customHeight="1"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</row>
    <row r="913" spans="2:11" ht="15.75" customHeight="1"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</row>
    <row r="914" spans="2:11" ht="15.75" customHeight="1"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</row>
    <row r="915" spans="2:11" ht="15.75" customHeight="1"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</row>
    <row r="916" spans="2:11" ht="15.75" customHeight="1"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</row>
    <row r="917" spans="2:11" ht="15.75" customHeight="1"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</row>
    <row r="918" spans="2:11" ht="15.75" customHeight="1"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</row>
    <row r="919" spans="2:11" ht="15.75" customHeight="1"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</row>
    <row r="920" spans="2:11" ht="15.75" customHeight="1"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</row>
    <row r="921" spans="2:11" ht="15.75" customHeight="1"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</row>
    <row r="922" spans="2:11" ht="15.75" customHeight="1"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</row>
    <row r="923" spans="2:11" ht="15.75" customHeight="1"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</row>
    <row r="924" spans="2:11" ht="15.75" customHeight="1"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</row>
    <row r="925" spans="2:11" ht="15.75" customHeight="1"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</row>
    <row r="926" spans="2:11" ht="15.75" customHeight="1"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</row>
    <row r="927" spans="2:11" ht="15.75" customHeight="1"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</row>
    <row r="928" spans="2:11" ht="15.75" customHeight="1"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</row>
    <row r="929" spans="2:11" ht="15.75" customHeight="1"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</row>
    <row r="930" spans="2:11" ht="15.75" customHeight="1"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</row>
    <row r="931" spans="2:11" ht="15.75" customHeight="1"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</row>
    <row r="932" spans="2:11" ht="15.75" customHeight="1"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</row>
    <row r="933" spans="2:11" ht="15.75" customHeight="1"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</row>
    <row r="934" spans="2:11" ht="15.75" customHeight="1"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</row>
    <row r="935" spans="2:11" ht="15.75" customHeight="1"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</row>
    <row r="936" spans="2:11" ht="15.75" customHeight="1"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</row>
    <row r="937" spans="2:11" ht="15.75" customHeight="1"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</row>
    <row r="938" spans="2:11" ht="15.75" customHeight="1"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</row>
    <row r="939" spans="2:11" ht="15.75" customHeight="1"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</row>
    <row r="940" spans="2:11" ht="15.75" customHeight="1"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</row>
    <row r="941" spans="2:11" ht="15.75" customHeight="1"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</row>
    <row r="942" spans="2:11" ht="15.75" customHeight="1"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</row>
    <row r="943" spans="2:11" ht="15.75" customHeight="1"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</row>
    <row r="944" spans="2:11" ht="15.75" customHeight="1"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</row>
    <row r="945" spans="2:11" ht="15.75" customHeight="1"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</row>
    <row r="946" spans="2:11" ht="15.75" customHeight="1"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</row>
    <row r="947" spans="2:11" ht="15.75" customHeight="1"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</row>
    <row r="948" spans="2:11" ht="15.75" customHeight="1"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</row>
    <row r="949" spans="2:11" ht="15.75" customHeight="1"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</row>
    <row r="950" spans="2:11" ht="15.75" customHeight="1"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</row>
    <row r="951" spans="2:11" ht="15.75" customHeight="1"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</row>
    <row r="952" spans="2:11" ht="15.75" customHeight="1"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</row>
    <row r="953" spans="2:11" ht="15.75" customHeight="1"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</row>
    <row r="954" spans="2:11" ht="15.75" customHeight="1"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</row>
    <row r="955" spans="2:11" ht="15.75" customHeight="1"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</row>
    <row r="956" spans="2:11" ht="15.75" customHeight="1"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</row>
    <row r="957" spans="2:11" ht="15.75" customHeight="1"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</row>
    <row r="958" spans="2:11" ht="15.75" customHeight="1"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</row>
    <row r="959" spans="2:11" ht="15.75" customHeight="1"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</row>
    <row r="960" spans="2:11" ht="15.75" customHeight="1"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</row>
    <row r="961" spans="2:11" ht="15.75" customHeight="1"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</row>
    <row r="962" spans="2:11" ht="15.75" customHeight="1"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</row>
    <row r="963" spans="2:11" ht="15.75" customHeight="1"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</row>
    <row r="964" spans="2:11" ht="15.75" customHeight="1"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</row>
    <row r="965" spans="2:11" ht="15.75" customHeight="1"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</row>
    <row r="966" spans="2:11" ht="15.75" customHeight="1"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</row>
    <row r="967" spans="2:11" ht="15.75" customHeight="1"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</row>
    <row r="968" spans="2:11" ht="15.75" customHeight="1"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</row>
    <row r="969" spans="2:11" ht="15.75" customHeight="1"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</row>
    <row r="970" spans="2:11" ht="15.75" customHeight="1"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</row>
    <row r="971" spans="2:11" ht="15.75" customHeight="1">
      <c r="B971" s="145"/>
      <c r="C971" s="145"/>
      <c r="D971" s="145"/>
      <c r="E971" s="145"/>
      <c r="F971" s="145"/>
      <c r="G971" s="145"/>
      <c r="H971" s="145"/>
      <c r="I971" s="145"/>
      <c r="J971" s="145"/>
      <c r="K971" s="145"/>
    </row>
    <row r="972" spans="2:11" ht="15.75" customHeight="1">
      <c r="B972" s="145"/>
      <c r="C972" s="145"/>
      <c r="D972" s="145"/>
      <c r="E972" s="145"/>
      <c r="F972" s="145"/>
      <c r="G972" s="145"/>
      <c r="H972" s="145"/>
      <c r="I972" s="145"/>
      <c r="J972" s="145"/>
      <c r="K972" s="145"/>
    </row>
    <row r="973" spans="2:11" ht="15.75" customHeight="1">
      <c r="B973" s="145"/>
      <c r="C973" s="145"/>
      <c r="D973" s="145"/>
      <c r="E973" s="145"/>
      <c r="F973" s="145"/>
      <c r="G973" s="145"/>
      <c r="H973" s="145"/>
      <c r="I973" s="145"/>
      <c r="J973" s="145"/>
      <c r="K973" s="145"/>
    </row>
    <row r="974" spans="2:11" ht="15.75" customHeight="1">
      <c r="B974" s="145"/>
      <c r="C974" s="145"/>
      <c r="D974" s="145"/>
      <c r="E974" s="145"/>
      <c r="F974" s="145"/>
      <c r="G974" s="145"/>
      <c r="H974" s="145"/>
      <c r="I974" s="145"/>
      <c r="J974" s="145"/>
      <c r="K974" s="145"/>
    </row>
    <row r="975" spans="2:11" ht="15.75" customHeight="1">
      <c r="B975" s="145"/>
      <c r="C975" s="145"/>
      <c r="D975" s="145"/>
      <c r="E975" s="145"/>
      <c r="F975" s="145"/>
      <c r="G975" s="145"/>
      <c r="H975" s="145"/>
      <c r="I975" s="145"/>
      <c r="J975" s="145"/>
      <c r="K975" s="145"/>
    </row>
    <row r="976" spans="2:11" ht="15.75" customHeight="1">
      <c r="B976" s="145"/>
      <c r="C976" s="145"/>
      <c r="D976" s="145"/>
      <c r="E976" s="145"/>
      <c r="F976" s="145"/>
      <c r="G976" s="145"/>
      <c r="H976" s="145"/>
      <c r="I976" s="145"/>
      <c r="J976" s="145"/>
      <c r="K976" s="145"/>
    </row>
    <row r="977" spans="2:11" ht="15.75" customHeight="1">
      <c r="B977" s="145"/>
      <c r="C977" s="145"/>
      <c r="D977" s="145"/>
      <c r="E977" s="145"/>
      <c r="F977" s="145"/>
      <c r="G977" s="145"/>
      <c r="H977" s="145"/>
      <c r="I977" s="145"/>
      <c r="J977" s="145"/>
      <c r="K977" s="145"/>
    </row>
    <row r="978" spans="2:11" ht="15.75" customHeight="1">
      <c r="B978" s="145"/>
      <c r="C978" s="145"/>
      <c r="D978" s="145"/>
      <c r="E978" s="145"/>
      <c r="F978" s="145"/>
      <c r="G978" s="145"/>
      <c r="H978" s="145"/>
      <c r="I978" s="145"/>
      <c r="J978" s="145"/>
      <c r="K978" s="145"/>
    </row>
    <row r="979" spans="2:11" ht="15.75" customHeight="1">
      <c r="B979" s="145"/>
      <c r="C979" s="145"/>
      <c r="D979" s="145"/>
      <c r="E979" s="145"/>
      <c r="F979" s="145"/>
      <c r="G979" s="145"/>
      <c r="H979" s="145"/>
      <c r="I979" s="145"/>
      <c r="J979" s="145"/>
      <c r="K979" s="145"/>
    </row>
    <row r="980" spans="2:11" ht="15.75" customHeight="1">
      <c r="B980" s="145"/>
      <c r="C980" s="145"/>
      <c r="D980" s="145"/>
      <c r="E980" s="145"/>
      <c r="F980" s="145"/>
      <c r="G980" s="145"/>
      <c r="H980" s="145"/>
      <c r="I980" s="145"/>
      <c r="J980" s="145"/>
      <c r="K980" s="145"/>
    </row>
    <row r="981" spans="2:11" ht="15.75" customHeight="1">
      <c r="B981" s="145"/>
      <c r="C981" s="145"/>
      <c r="D981" s="145"/>
      <c r="E981" s="145"/>
      <c r="F981" s="145"/>
      <c r="G981" s="145"/>
      <c r="H981" s="145"/>
      <c r="I981" s="145"/>
      <c r="J981" s="145"/>
      <c r="K981" s="145"/>
    </row>
    <row r="982" spans="2:11" ht="15.75" customHeight="1">
      <c r="B982" s="145"/>
      <c r="C982" s="145"/>
      <c r="D982" s="145"/>
      <c r="E982" s="145"/>
      <c r="F982" s="145"/>
      <c r="G982" s="145"/>
      <c r="H982" s="145"/>
      <c r="I982" s="145"/>
      <c r="J982" s="145"/>
      <c r="K982" s="145"/>
    </row>
    <row r="983" spans="2:11" ht="15.75" customHeight="1"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</row>
    <row r="984" spans="2:11" ht="15.75" customHeight="1">
      <c r="B984" s="145"/>
      <c r="C984" s="145"/>
      <c r="D984" s="145"/>
      <c r="E984" s="145"/>
      <c r="F984" s="145"/>
      <c r="G984" s="145"/>
      <c r="H984" s="145"/>
      <c r="I984" s="145"/>
      <c r="J984" s="145"/>
      <c r="K984" s="145"/>
    </row>
    <row r="985" spans="2:11" ht="15.75" customHeight="1">
      <c r="B985" s="145"/>
      <c r="C985" s="145"/>
      <c r="D985" s="145"/>
      <c r="E985" s="145"/>
      <c r="F985" s="145"/>
      <c r="G985" s="145"/>
      <c r="H985" s="145"/>
      <c r="I985" s="145"/>
      <c r="J985" s="145"/>
      <c r="K985" s="145"/>
    </row>
    <row r="986" spans="2:11" ht="15.75" customHeight="1">
      <c r="B986" s="145"/>
      <c r="C986" s="145"/>
      <c r="D986" s="145"/>
      <c r="E986" s="145"/>
      <c r="F986" s="145"/>
      <c r="G986" s="145"/>
      <c r="H986" s="145"/>
      <c r="I986" s="145"/>
      <c r="J986" s="145"/>
      <c r="K986" s="145"/>
    </row>
    <row r="987" spans="2:11" ht="15.75" customHeight="1">
      <c r="B987" s="145"/>
      <c r="C987" s="145"/>
      <c r="D987" s="145"/>
      <c r="E987" s="145"/>
      <c r="F987" s="145"/>
      <c r="G987" s="145"/>
      <c r="H987" s="145"/>
      <c r="I987" s="145"/>
      <c r="J987" s="145"/>
      <c r="K987" s="145"/>
    </row>
    <row r="988" spans="2:11" ht="15.75" customHeight="1">
      <c r="B988" s="145"/>
      <c r="C988" s="145"/>
      <c r="D988" s="145"/>
      <c r="E988" s="145"/>
      <c r="F988" s="145"/>
      <c r="G988" s="145"/>
      <c r="H988" s="145"/>
      <c r="I988" s="145"/>
      <c r="J988" s="145"/>
      <c r="K988" s="145"/>
    </row>
    <row r="989" spans="2:11" ht="15.75" customHeight="1">
      <c r="B989" s="145"/>
      <c r="C989" s="145"/>
      <c r="D989" s="145"/>
      <c r="E989" s="145"/>
      <c r="F989" s="145"/>
      <c r="G989" s="145"/>
      <c r="H989" s="145"/>
      <c r="I989" s="145"/>
      <c r="J989" s="145"/>
      <c r="K989" s="145"/>
    </row>
    <row r="990" spans="2:11" ht="15.75" customHeight="1">
      <c r="B990" s="145"/>
      <c r="C990" s="145"/>
      <c r="D990" s="145"/>
      <c r="E990" s="145"/>
      <c r="F990" s="145"/>
      <c r="G990" s="145"/>
      <c r="H990" s="145"/>
      <c r="I990" s="145"/>
      <c r="J990" s="145"/>
      <c r="K990" s="145"/>
    </row>
    <row r="991" spans="2:11" ht="15.75" customHeight="1">
      <c r="B991" s="145"/>
      <c r="C991" s="145"/>
      <c r="D991" s="145"/>
      <c r="E991" s="145"/>
      <c r="F991" s="145"/>
      <c r="G991" s="145"/>
      <c r="H991" s="145"/>
      <c r="I991" s="145"/>
      <c r="J991" s="145"/>
      <c r="K991" s="145"/>
    </row>
    <row r="992" spans="2:11" ht="15.75" customHeight="1">
      <c r="B992" s="145"/>
      <c r="C992" s="145"/>
      <c r="D992" s="145"/>
      <c r="E992" s="145"/>
      <c r="F992" s="145"/>
      <c r="G992" s="145"/>
      <c r="H992" s="145"/>
      <c r="I992" s="145"/>
      <c r="J992" s="145"/>
      <c r="K992" s="145"/>
    </row>
    <row r="993" spans="2:11" ht="15.75" customHeight="1">
      <c r="B993" s="145"/>
      <c r="C993" s="145"/>
      <c r="D993" s="145"/>
      <c r="E993" s="145"/>
      <c r="F993" s="145"/>
      <c r="G993" s="145"/>
      <c r="H993" s="145"/>
      <c r="I993" s="145"/>
      <c r="J993" s="145"/>
      <c r="K993" s="145"/>
    </row>
    <row r="994" spans="2:11" ht="15.75" customHeight="1">
      <c r="B994" s="145"/>
      <c r="C994" s="145"/>
      <c r="D994" s="145"/>
      <c r="E994" s="145"/>
      <c r="F994" s="145"/>
      <c r="G994" s="145"/>
      <c r="H994" s="145"/>
      <c r="I994" s="145"/>
      <c r="J994" s="145"/>
      <c r="K994" s="145"/>
    </row>
    <row r="995" spans="2:11" ht="15.75" customHeight="1">
      <c r="B995" s="145"/>
      <c r="C995" s="145"/>
      <c r="D995" s="145"/>
      <c r="E995" s="145"/>
      <c r="F995" s="145"/>
      <c r="G995" s="145"/>
      <c r="H995" s="145"/>
      <c r="I995" s="145"/>
      <c r="J995" s="145"/>
      <c r="K995" s="145"/>
    </row>
    <row r="996" spans="2:11" ht="15.75" customHeight="1">
      <c r="B996" s="145"/>
      <c r="C996" s="145"/>
      <c r="D996" s="145"/>
      <c r="E996" s="145"/>
      <c r="F996" s="145"/>
      <c r="G996" s="145"/>
      <c r="H996" s="145"/>
      <c r="I996" s="145"/>
      <c r="J996" s="145"/>
      <c r="K996" s="145"/>
    </row>
    <row r="997" spans="2:11" ht="15.75" customHeight="1">
      <c r="B997" s="145"/>
      <c r="C997" s="145"/>
      <c r="D997" s="145"/>
      <c r="E997" s="145"/>
      <c r="F997" s="145"/>
      <c r="G997" s="145"/>
      <c r="H997" s="145"/>
      <c r="I997" s="145"/>
      <c r="J997" s="145"/>
      <c r="K997" s="145"/>
    </row>
    <row r="998" spans="2:11" ht="15.75" customHeight="1">
      <c r="B998" s="145"/>
      <c r="C998" s="145"/>
      <c r="D998" s="145"/>
      <c r="E998" s="145"/>
      <c r="F998" s="145"/>
      <c r="G998" s="145"/>
      <c r="H998" s="145"/>
      <c r="I998" s="145"/>
      <c r="J998" s="145"/>
      <c r="K998" s="145"/>
    </row>
    <row r="999" spans="2:11" ht="15.75" customHeight="1">
      <c r="B999" s="145"/>
      <c r="C999" s="145"/>
      <c r="D999" s="145"/>
      <c r="E999" s="145"/>
      <c r="F999" s="145"/>
      <c r="G999" s="145"/>
      <c r="H999" s="145"/>
      <c r="I999" s="145"/>
      <c r="J999" s="145"/>
      <c r="K999" s="145"/>
    </row>
    <row r="1000" spans="2:11" ht="15.75" customHeight="1">
      <c r="B1000" s="145"/>
      <c r="C1000" s="145"/>
      <c r="D1000" s="145"/>
      <c r="E1000" s="145"/>
      <c r="F1000" s="145"/>
      <c r="G1000" s="145"/>
      <c r="H1000" s="145"/>
      <c r="I1000" s="145"/>
      <c r="J1000" s="145"/>
      <c r="K1000" s="145"/>
    </row>
    <row r="1001" spans="2:11" ht="15.75" customHeight="1">
      <c r="B1001" s="145"/>
      <c r="C1001" s="145"/>
      <c r="D1001" s="145"/>
      <c r="E1001" s="145"/>
      <c r="F1001" s="145"/>
      <c r="G1001" s="145"/>
      <c r="H1001" s="145"/>
      <c r="I1001" s="145"/>
      <c r="J1001" s="145"/>
      <c r="K1001" s="145"/>
    </row>
    <row r="1002" spans="2:11" ht="15.75" customHeight="1">
      <c r="B1002" s="145"/>
      <c r="C1002" s="145"/>
      <c r="D1002" s="145"/>
      <c r="E1002" s="145"/>
      <c r="F1002" s="145"/>
      <c r="G1002" s="145"/>
      <c r="H1002" s="145"/>
      <c r="I1002" s="145"/>
      <c r="J1002" s="145"/>
      <c r="K1002" s="145"/>
    </row>
    <row r="1003" spans="2:11" ht="15.75" customHeight="1">
      <c r="B1003" s="145"/>
      <c r="C1003" s="145"/>
      <c r="D1003" s="145"/>
      <c r="E1003" s="145"/>
      <c r="F1003" s="145"/>
      <c r="G1003" s="145"/>
      <c r="H1003" s="145"/>
      <c r="I1003" s="145"/>
      <c r="J1003" s="145"/>
      <c r="K1003" s="145"/>
    </row>
    <row r="1004" spans="2:11" ht="15.75" customHeight="1">
      <c r="B1004" s="145"/>
      <c r="C1004" s="145"/>
      <c r="D1004" s="145"/>
      <c r="E1004" s="145"/>
      <c r="F1004" s="145"/>
      <c r="G1004" s="145"/>
      <c r="H1004" s="145"/>
      <c r="I1004" s="145"/>
      <c r="J1004" s="145"/>
      <c r="K1004" s="145"/>
    </row>
    <row r="1005" spans="2:11" ht="15.75" customHeight="1">
      <c r="B1005" s="145"/>
      <c r="C1005" s="145"/>
      <c r="D1005" s="145"/>
      <c r="E1005" s="145"/>
      <c r="F1005" s="145"/>
      <c r="G1005" s="145"/>
      <c r="H1005" s="145"/>
      <c r="I1005" s="145"/>
      <c r="J1005" s="145"/>
      <c r="K1005" s="145"/>
    </row>
  </sheetData>
  <mergeCells count="3">
    <mergeCell ref="A2:K2"/>
    <mergeCell ref="M1:U1"/>
    <mergeCell ref="A1:K1"/>
  </mergeCells>
  <pageMargins left="0.75" right="0.75" top="1" bottom="1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6813"/>
  <sheetViews>
    <sheetView workbookViewId="0">
      <selection activeCell="O21" sqref="O21"/>
    </sheetView>
  </sheetViews>
  <sheetFormatPr baseColWidth="10" defaultColWidth="11.5" defaultRowHeight="15" outlineLevelCol="1"/>
  <cols>
    <col min="13" max="16" width="10.83203125" customWidth="1" outlineLevel="1"/>
  </cols>
  <sheetData>
    <row r="1" spans="1:16">
      <c r="A1" s="74" t="s">
        <v>240</v>
      </c>
      <c r="B1" s="74" t="s">
        <v>241</v>
      </c>
      <c r="C1" s="74" t="s">
        <v>662</v>
      </c>
      <c r="D1" s="74" t="s">
        <v>66</v>
      </c>
      <c r="E1" s="74" t="s">
        <v>1497</v>
      </c>
      <c r="F1" s="74" t="s">
        <v>627</v>
      </c>
      <c r="G1" s="757" t="s">
        <v>1498</v>
      </c>
      <c r="H1" s="757" t="s">
        <v>1499</v>
      </c>
      <c r="I1" s="757" t="s">
        <v>1500</v>
      </c>
      <c r="J1" s="757" t="s">
        <v>1501</v>
      </c>
      <c r="K1" s="74"/>
      <c r="L1" s="74"/>
      <c r="M1" s="74" t="s">
        <v>1502</v>
      </c>
      <c r="N1" s="74" t="s">
        <v>1503</v>
      </c>
      <c r="O1" s="74" t="s">
        <v>1504</v>
      </c>
      <c r="P1" s="74" t="s">
        <v>1505</v>
      </c>
    </row>
    <row r="2" spans="1:16">
      <c r="A2" s="74" t="s">
        <v>1506</v>
      </c>
      <c r="B2" s="74" t="s">
        <v>328</v>
      </c>
      <c r="C2" s="74" t="s">
        <v>1507</v>
      </c>
      <c r="D2" s="74" t="s">
        <v>86</v>
      </c>
      <c r="E2" s="74">
        <v>1</v>
      </c>
      <c r="F2" s="74">
        <v>3.1</v>
      </c>
      <c r="G2" s="758">
        <f t="shared" ref="G2:G65" si="0">IFERROR(VLOOKUP(A2,$M$1:$P$1014,2,FALSE),0)</f>
        <v>0</v>
      </c>
      <c r="H2" s="759">
        <f t="shared" ref="H2:H65" si="1">IFERROR(VLOOKUP(A2,$M$1:$P$1014,3,FALSE),0)</f>
        <v>0</v>
      </c>
      <c r="I2" s="758">
        <f t="shared" ref="I2:I65" si="2">IFERROR(F2/E2-G2,0)</f>
        <v>3.1</v>
      </c>
      <c r="J2" s="760">
        <f t="shared" ref="J2:J65" si="3">IFERROR(1-G2*E2/F2,0)</f>
        <v>1</v>
      </c>
      <c r="K2" s="74"/>
      <c r="L2" s="74"/>
      <c r="M2" s="74" t="s">
        <v>1506</v>
      </c>
      <c r="N2" s="74">
        <v>0</v>
      </c>
      <c r="O2" s="74">
        <v>0</v>
      </c>
      <c r="P2" s="74">
        <v>1</v>
      </c>
    </row>
    <row r="3" spans="1:16">
      <c r="A3" s="74" t="s">
        <v>765</v>
      </c>
      <c r="B3" s="74" t="s">
        <v>256</v>
      </c>
      <c r="C3" s="74" t="s">
        <v>1508</v>
      </c>
      <c r="D3" s="74" t="s">
        <v>78</v>
      </c>
      <c r="E3" s="74">
        <v>2</v>
      </c>
      <c r="F3" s="74">
        <v>7.7</v>
      </c>
      <c r="G3" s="758">
        <f t="shared" si="0"/>
        <v>0.18</v>
      </c>
      <c r="H3" s="759">
        <f t="shared" si="1"/>
        <v>0.21</v>
      </c>
      <c r="I3" s="758">
        <f t="shared" si="2"/>
        <v>3.67</v>
      </c>
      <c r="J3" s="760">
        <f t="shared" si="3"/>
        <v>0.95324675324675323</v>
      </c>
      <c r="K3" s="74"/>
      <c r="L3" s="74"/>
      <c r="M3" s="74" t="s">
        <v>765</v>
      </c>
      <c r="N3" s="74">
        <v>0.18</v>
      </c>
      <c r="O3" s="74">
        <v>0.21</v>
      </c>
      <c r="P3" s="74">
        <v>0.95289999999999997</v>
      </c>
    </row>
    <row r="4" spans="1:16">
      <c r="A4" s="74" t="s">
        <v>765</v>
      </c>
      <c r="B4" s="74" t="s">
        <v>256</v>
      </c>
      <c r="C4" s="74" t="s">
        <v>1509</v>
      </c>
      <c r="D4" s="74" t="s">
        <v>78</v>
      </c>
      <c r="E4" s="74">
        <v>2</v>
      </c>
      <c r="F4" s="74">
        <v>7.35</v>
      </c>
      <c r="G4" s="758">
        <f t="shared" si="0"/>
        <v>0.18</v>
      </c>
      <c r="H4" s="759">
        <f t="shared" si="1"/>
        <v>0.21</v>
      </c>
      <c r="I4" s="758">
        <f t="shared" si="2"/>
        <v>3.4949999999999997</v>
      </c>
      <c r="J4" s="760">
        <f t="shared" si="3"/>
        <v>0.95102040816326527</v>
      </c>
      <c r="K4" s="74"/>
      <c r="L4" s="74"/>
      <c r="M4" s="74" t="s">
        <v>1510</v>
      </c>
      <c r="N4" s="74">
        <v>0.64</v>
      </c>
      <c r="O4" s="74">
        <v>0</v>
      </c>
      <c r="P4" s="74">
        <v>0</v>
      </c>
    </row>
    <row r="5" spans="1:16">
      <c r="A5" s="74" t="s">
        <v>765</v>
      </c>
      <c r="B5" s="74" t="s">
        <v>256</v>
      </c>
      <c r="C5" s="74" t="s">
        <v>1511</v>
      </c>
      <c r="D5" s="74" t="s">
        <v>80</v>
      </c>
      <c r="E5" s="74">
        <v>1</v>
      </c>
      <c r="F5" s="74">
        <v>3.5</v>
      </c>
      <c r="G5" s="758">
        <f t="shared" si="0"/>
        <v>0.18</v>
      </c>
      <c r="H5" s="759">
        <f t="shared" si="1"/>
        <v>0.21</v>
      </c>
      <c r="I5" s="758">
        <f t="shared" si="2"/>
        <v>3.32</v>
      </c>
      <c r="J5" s="760">
        <f t="shared" si="3"/>
        <v>0.94857142857142862</v>
      </c>
      <c r="K5" s="74"/>
      <c r="L5" s="74"/>
      <c r="M5" s="74" t="s">
        <v>712</v>
      </c>
      <c r="N5" s="74">
        <v>0.34</v>
      </c>
      <c r="O5" s="74">
        <v>0.21</v>
      </c>
      <c r="P5" s="74">
        <v>0.90639999999999998</v>
      </c>
    </row>
    <row r="6" spans="1:16">
      <c r="A6" s="74" t="s">
        <v>765</v>
      </c>
      <c r="B6" s="74" t="s">
        <v>256</v>
      </c>
      <c r="C6" s="74" t="s">
        <v>1512</v>
      </c>
      <c r="D6" s="74" t="s">
        <v>80</v>
      </c>
      <c r="E6" s="74">
        <v>1</v>
      </c>
      <c r="F6" s="74">
        <v>3.73</v>
      </c>
      <c r="G6" s="758">
        <f t="shared" si="0"/>
        <v>0.18</v>
      </c>
      <c r="H6" s="759">
        <f t="shared" si="1"/>
        <v>0.21</v>
      </c>
      <c r="I6" s="758">
        <f t="shared" si="2"/>
        <v>3.55</v>
      </c>
      <c r="J6" s="760">
        <f t="shared" si="3"/>
        <v>0.95174262734584447</v>
      </c>
      <c r="K6" s="74"/>
      <c r="L6" s="74"/>
      <c r="M6" s="74" t="s">
        <v>1009</v>
      </c>
      <c r="N6" s="74">
        <v>0.56000000000000005</v>
      </c>
      <c r="O6" s="74">
        <v>0.26</v>
      </c>
      <c r="P6" s="74">
        <v>0.84</v>
      </c>
    </row>
    <row r="7" spans="1:16">
      <c r="A7" s="74" t="s">
        <v>765</v>
      </c>
      <c r="B7" s="74" t="s">
        <v>256</v>
      </c>
      <c r="C7" s="74" t="s">
        <v>1513</v>
      </c>
      <c r="D7" s="74" t="s">
        <v>81</v>
      </c>
      <c r="E7" s="74">
        <v>2</v>
      </c>
      <c r="F7" s="74">
        <v>7.95</v>
      </c>
      <c r="G7" s="758">
        <f t="shared" si="0"/>
        <v>0.18</v>
      </c>
      <c r="H7" s="759">
        <f t="shared" si="1"/>
        <v>0.21</v>
      </c>
      <c r="I7" s="758">
        <f t="shared" si="2"/>
        <v>3.7949999999999999</v>
      </c>
      <c r="J7" s="760">
        <f t="shared" si="3"/>
        <v>0.95471698113207548</v>
      </c>
      <c r="K7" s="74"/>
      <c r="L7" s="74"/>
      <c r="M7" s="74" t="s">
        <v>787</v>
      </c>
      <c r="N7" s="74">
        <v>0.77</v>
      </c>
      <c r="O7" s="74">
        <v>0.38</v>
      </c>
      <c r="P7" s="74">
        <v>0.79310000000000003</v>
      </c>
    </row>
    <row r="8" spans="1:16">
      <c r="A8" s="74" t="s">
        <v>765</v>
      </c>
      <c r="B8" s="74" t="s">
        <v>256</v>
      </c>
      <c r="C8" s="74" t="s">
        <v>1514</v>
      </c>
      <c r="D8" s="74" t="s">
        <v>81</v>
      </c>
      <c r="E8" s="74">
        <v>2</v>
      </c>
      <c r="F8" s="74">
        <v>7.35</v>
      </c>
      <c r="G8" s="758">
        <f t="shared" si="0"/>
        <v>0.18</v>
      </c>
      <c r="H8" s="759">
        <f t="shared" si="1"/>
        <v>0.21</v>
      </c>
      <c r="I8" s="758">
        <f t="shared" si="2"/>
        <v>3.4949999999999997</v>
      </c>
      <c r="J8" s="760">
        <f t="shared" si="3"/>
        <v>0.95102040816326527</v>
      </c>
      <c r="K8" s="74"/>
      <c r="L8" s="74"/>
      <c r="M8" s="74" t="s">
        <v>761</v>
      </c>
      <c r="N8" s="74">
        <v>0.18</v>
      </c>
      <c r="O8" s="74">
        <v>0.11</v>
      </c>
      <c r="P8" s="74">
        <v>0.9405</v>
      </c>
    </row>
    <row r="9" spans="1:16">
      <c r="A9" s="74" t="s">
        <v>765</v>
      </c>
      <c r="B9" s="74" t="s">
        <v>256</v>
      </c>
      <c r="C9" s="74" t="s">
        <v>1515</v>
      </c>
      <c r="D9" s="74" t="s">
        <v>81</v>
      </c>
      <c r="E9" s="74">
        <v>2</v>
      </c>
      <c r="F9" s="74">
        <v>8.6999999999999993</v>
      </c>
      <c r="G9" s="758">
        <f t="shared" si="0"/>
        <v>0.18</v>
      </c>
      <c r="H9" s="759">
        <f t="shared" si="1"/>
        <v>0.21</v>
      </c>
      <c r="I9" s="758">
        <f t="shared" si="2"/>
        <v>4.17</v>
      </c>
      <c r="J9" s="760">
        <f t="shared" si="3"/>
        <v>0.95862068965517244</v>
      </c>
      <c r="K9" s="74"/>
      <c r="L9" s="74"/>
      <c r="M9" s="74" t="s">
        <v>903</v>
      </c>
      <c r="N9" s="74">
        <v>0.36</v>
      </c>
      <c r="O9" s="74">
        <v>0.23</v>
      </c>
      <c r="P9" s="74">
        <v>0.90510000000000002</v>
      </c>
    </row>
    <row r="10" spans="1:16">
      <c r="A10" s="74" t="s">
        <v>765</v>
      </c>
      <c r="B10" s="74" t="s">
        <v>256</v>
      </c>
      <c r="C10" s="74" t="s">
        <v>1516</v>
      </c>
      <c r="D10" s="74" t="s">
        <v>82</v>
      </c>
      <c r="E10" s="74">
        <v>2</v>
      </c>
      <c r="F10" s="74">
        <v>3.85</v>
      </c>
      <c r="G10" s="758">
        <f t="shared" si="0"/>
        <v>0.18</v>
      </c>
      <c r="H10" s="759">
        <f t="shared" si="1"/>
        <v>0.21</v>
      </c>
      <c r="I10" s="758">
        <f t="shared" si="2"/>
        <v>1.7450000000000001</v>
      </c>
      <c r="J10" s="760">
        <f t="shared" si="3"/>
        <v>0.90649350649350646</v>
      </c>
      <c r="K10" s="74"/>
      <c r="L10" s="74"/>
      <c r="M10" s="74" t="s">
        <v>864</v>
      </c>
      <c r="N10" s="74">
        <v>0</v>
      </c>
      <c r="O10" s="74">
        <v>0</v>
      </c>
      <c r="P10" s="74">
        <v>1</v>
      </c>
    </row>
    <row r="11" spans="1:16">
      <c r="A11" s="74" t="s">
        <v>765</v>
      </c>
      <c r="B11" s="74" t="s">
        <v>256</v>
      </c>
      <c r="C11" s="74" t="s">
        <v>1517</v>
      </c>
      <c r="D11" s="74" t="s">
        <v>82</v>
      </c>
      <c r="E11" s="74">
        <v>1</v>
      </c>
      <c r="F11" s="74">
        <v>3.85</v>
      </c>
      <c r="G11" s="758">
        <f t="shared" si="0"/>
        <v>0.18</v>
      </c>
      <c r="H11" s="759">
        <f t="shared" si="1"/>
        <v>0.21</v>
      </c>
      <c r="I11" s="758">
        <f t="shared" si="2"/>
        <v>3.67</v>
      </c>
      <c r="J11" s="760">
        <f t="shared" si="3"/>
        <v>0.95324675324675323</v>
      </c>
      <c r="K11" s="74"/>
      <c r="L11" s="74"/>
      <c r="M11" s="74" t="s">
        <v>739</v>
      </c>
      <c r="N11" s="74">
        <v>0.89</v>
      </c>
      <c r="O11" s="74">
        <v>0.38</v>
      </c>
      <c r="P11" s="74">
        <v>0.82550000000000001</v>
      </c>
    </row>
    <row r="12" spans="1:16">
      <c r="A12" s="74" t="s">
        <v>765</v>
      </c>
      <c r="B12" s="74" t="s">
        <v>256</v>
      </c>
      <c r="C12" s="74" t="s">
        <v>1518</v>
      </c>
      <c r="D12" s="74" t="s">
        <v>82</v>
      </c>
      <c r="E12" s="74">
        <v>2</v>
      </c>
      <c r="F12" s="74">
        <v>7.7</v>
      </c>
      <c r="G12" s="758">
        <f t="shared" si="0"/>
        <v>0.18</v>
      </c>
      <c r="H12" s="759">
        <f t="shared" si="1"/>
        <v>0.21</v>
      </c>
      <c r="I12" s="758">
        <f t="shared" si="2"/>
        <v>3.67</v>
      </c>
      <c r="J12" s="760">
        <f t="shared" si="3"/>
        <v>0.95324675324675323</v>
      </c>
      <c r="K12" s="74"/>
      <c r="L12" s="74"/>
      <c r="M12" s="74" t="s">
        <v>861</v>
      </c>
      <c r="N12" s="74">
        <v>0.35</v>
      </c>
      <c r="O12" s="74">
        <v>0.24</v>
      </c>
      <c r="P12" s="74">
        <v>0.89949999999999997</v>
      </c>
    </row>
    <row r="13" spans="1:16">
      <c r="A13" s="74" t="s">
        <v>765</v>
      </c>
      <c r="B13" s="74" t="s">
        <v>256</v>
      </c>
      <c r="C13" s="74" t="s">
        <v>1519</v>
      </c>
      <c r="D13" s="74" t="s">
        <v>84</v>
      </c>
      <c r="E13" s="74">
        <v>1</v>
      </c>
      <c r="F13" s="74">
        <v>3.85</v>
      </c>
      <c r="G13" s="758">
        <f t="shared" si="0"/>
        <v>0.18</v>
      </c>
      <c r="H13" s="759">
        <f t="shared" si="1"/>
        <v>0.21</v>
      </c>
      <c r="I13" s="758">
        <f t="shared" si="2"/>
        <v>3.67</v>
      </c>
      <c r="J13" s="760">
        <f t="shared" si="3"/>
        <v>0.95324675324675323</v>
      </c>
      <c r="K13" s="74"/>
      <c r="L13" s="74"/>
      <c r="M13" s="74" t="s">
        <v>773</v>
      </c>
      <c r="N13" s="74">
        <v>0.2</v>
      </c>
      <c r="O13" s="74">
        <v>0.19</v>
      </c>
      <c r="P13" s="74">
        <v>0.93779999999999997</v>
      </c>
    </row>
    <row r="14" spans="1:16">
      <c r="A14" s="74" t="s">
        <v>765</v>
      </c>
      <c r="B14" s="74" t="s">
        <v>256</v>
      </c>
      <c r="C14" s="74" t="s">
        <v>1520</v>
      </c>
      <c r="D14" s="74" t="s">
        <v>84</v>
      </c>
      <c r="E14" s="74">
        <v>1</v>
      </c>
      <c r="F14" s="74">
        <v>3.85</v>
      </c>
      <c r="G14" s="758">
        <f t="shared" si="0"/>
        <v>0.18</v>
      </c>
      <c r="H14" s="759">
        <f t="shared" si="1"/>
        <v>0.21</v>
      </c>
      <c r="I14" s="758">
        <f t="shared" si="2"/>
        <v>3.67</v>
      </c>
      <c r="J14" s="760">
        <f t="shared" si="3"/>
        <v>0.95324675324675323</v>
      </c>
      <c r="K14" s="74"/>
      <c r="L14" s="74"/>
      <c r="M14" s="74" t="s">
        <v>1521</v>
      </c>
      <c r="N14" s="74">
        <v>1.03</v>
      </c>
      <c r="O14" s="74">
        <v>0.33</v>
      </c>
      <c r="P14" s="74">
        <v>0.72540000000000004</v>
      </c>
    </row>
    <row r="15" spans="1:16">
      <c r="A15" s="74" t="s">
        <v>765</v>
      </c>
      <c r="B15" s="74" t="s">
        <v>256</v>
      </c>
      <c r="C15" s="74" t="s">
        <v>1522</v>
      </c>
      <c r="D15" s="74" t="s">
        <v>91</v>
      </c>
      <c r="E15" s="74">
        <v>1</v>
      </c>
      <c r="F15" s="74">
        <v>3.85</v>
      </c>
      <c r="G15" s="758">
        <f t="shared" si="0"/>
        <v>0.18</v>
      </c>
      <c r="H15" s="759">
        <f t="shared" si="1"/>
        <v>0.21</v>
      </c>
      <c r="I15" s="758">
        <f t="shared" si="2"/>
        <v>3.67</v>
      </c>
      <c r="J15" s="760">
        <f t="shared" si="3"/>
        <v>0.95324675324675323</v>
      </c>
      <c r="K15" s="74"/>
      <c r="L15" s="74"/>
      <c r="M15" s="74" t="s">
        <v>1523</v>
      </c>
      <c r="N15" s="74">
        <v>0.94</v>
      </c>
      <c r="O15" s="74">
        <v>0.27</v>
      </c>
      <c r="P15" s="74">
        <v>0.75900000000000001</v>
      </c>
    </row>
    <row r="16" spans="1:16">
      <c r="A16" s="74" t="s">
        <v>765</v>
      </c>
      <c r="B16" s="74" t="s">
        <v>256</v>
      </c>
      <c r="C16" s="74" t="s">
        <v>1524</v>
      </c>
      <c r="D16" s="74" t="s">
        <v>91</v>
      </c>
      <c r="E16" s="74">
        <v>1</v>
      </c>
      <c r="F16" s="74">
        <v>3.85</v>
      </c>
      <c r="G16" s="758">
        <f t="shared" si="0"/>
        <v>0.18</v>
      </c>
      <c r="H16" s="759">
        <f t="shared" si="1"/>
        <v>0.21</v>
      </c>
      <c r="I16" s="758">
        <f t="shared" si="2"/>
        <v>3.67</v>
      </c>
      <c r="J16" s="760">
        <f t="shared" si="3"/>
        <v>0.95324675324675323</v>
      </c>
      <c r="K16" s="74"/>
      <c r="L16" s="74"/>
      <c r="M16" s="74" t="s">
        <v>1525</v>
      </c>
      <c r="N16" s="74">
        <v>0.64</v>
      </c>
      <c r="O16" s="74">
        <v>0.28999999999999998</v>
      </c>
      <c r="P16" s="74">
        <v>0.80610000000000004</v>
      </c>
    </row>
    <row r="17" spans="1:16">
      <c r="A17" s="74" t="s">
        <v>765</v>
      </c>
      <c r="B17" s="74" t="s">
        <v>256</v>
      </c>
      <c r="C17" s="74" t="s">
        <v>1526</v>
      </c>
      <c r="D17" s="74" t="s">
        <v>95</v>
      </c>
      <c r="E17" s="74">
        <v>1</v>
      </c>
      <c r="F17" s="74">
        <v>4.0999999999999996</v>
      </c>
      <c r="G17" s="758">
        <f t="shared" si="0"/>
        <v>0.18</v>
      </c>
      <c r="H17" s="759">
        <f t="shared" si="1"/>
        <v>0.21</v>
      </c>
      <c r="I17" s="758">
        <f t="shared" si="2"/>
        <v>3.9199999999999995</v>
      </c>
      <c r="J17" s="760">
        <f t="shared" si="3"/>
        <v>0.95609756097560972</v>
      </c>
      <c r="K17" s="74"/>
      <c r="L17" s="74"/>
      <c r="M17" s="74" t="s">
        <v>735</v>
      </c>
      <c r="N17" s="74">
        <v>0.19</v>
      </c>
      <c r="O17" s="74">
        <v>0.19</v>
      </c>
      <c r="P17" s="74">
        <v>0.93959999999999999</v>
      </c>
    </row>
    <row r="18" spans="1:16">
      <c r="A18" s="74" t="s">
        <v>1510</v>
      </c>
      <c r="B18" s="74" t="s">
        <v>256</v>
      </c>
      <c r="C18" s="74" t="s">
        <v>1527</v>
      </c>
      <c r="D18" s="74" t="s">
        <v>82</v>
      </c>
      <c r="E18" s="74">
        <v>1</v>
      </c>
      <c r="F18" s="74">
        <v>0</v>
      </c>
      <c r="G18" s="758">
        <f t="shared" si="0"/>
        <v>0.64</v>
      </c>
      <c r="H18" s="759">
        <f t="shared" si="1"/>
        <v>0</v>
      </c>
      <c r="I18" s="758">
        <f t="shared" si="2"/>
        <v>-0.64</v>
      </c>
      <c r="J18" s="760">
        <f t="shared" si="3"/>
        <v>0</v>
      </c>
      <c r="K18" s="74"/>
      <c r="L18" s="74"/>
      <c r="M18" s="74" t="s">
        <v>723</v>
      </c>
      <c r="N18" s="74">
        <v>0.23</v>
      </c>
      <c r="O18" s="74">
        <v>0.18</v>
      </c>
      <c r="P18" s="74">
        <v>0.92949999999999999</v>
      </c>
    </row>
    <row r="19" spans="1:16">
      <c r="A19" s="74" t="s">
        <v>712</v>
      </c>
      <c r="B19" s="74" t="s">
        <v>713</v>
      </c>
      <c r="C19" s="74" t="s">
        <v>1528</v>
      </c>
      <c r="D19" s="74" t="s">
        <v>78</v>
      </c>
      <c r="E19" s="74">
        <v>4</v>
      </c>
      <c r="F19" s="74">
        <v>13.21</v>
      </c>
      <c r="G19" s="758">
        <f t="shared" si="0"/>
        <v>0.34</v>
      </c>
      <c r="H19" s="759">
        <f t="shared" si="1"/>
        <v>0.21</v>
      </c>
      <c r="I19" s="758">
        <f t="shared" si="2"/>
        <v>2.9625000000000004</v>
      </c>
      <c r="J19" s="760">
        <f t="shared" si="3"/>
        <v>0.89704769114307337</v>
      </c>
      <c r="K19" s="74"/>
      <c r="L19" s="74"/>
      <c r="M19" s="74" t="s">
        <v>856</v>
      </c>
      <c r="N19" s="74">
        <v>0.32</v>
      </c>
      <c r="O19" s="74">
        <v>0.16</v>
      </c>
      <c r="P19" s="74">
        <v>0.9103</v>
      </c>
    </row>
    <row r="20" spans="1:16">
      <c r="A20" s="74" t="s">
        <v>712</v>
      </c>
      <c r="B20" s="74" t="s">
        <v>713</v>
      </c>
      <c r="C20" s="74" t="s">
        <v>1508</v>
      </c>
      <c r="D20" s="74" t="s">
        <v>78</v>
      </c>
      <c r="E20" s="74">
        <v>4</v>
      </c>
      <c r="F20" s="74">
        <v>16</v>
      </c>
      <c r="G20" s="758">
        <f t="shared" si="0"/>
        <v>0.34</v>
      </c>
      <c r="H20" s="759">
        <f t="shared" si="1"/>
        <v>0.21</v>
      </c>
      <c r="I20" s="758">
        <f t="shared" si="2"/>
        <v>3.66</v>
      </c>
      <c r="J20" s="760">
        <f t="shared" si="3"/>
        <v>0.91500000000000004</v>
      </c>
      <c r="K20" s="74"/>
      <c r="L20" s="74"/>
      <c r="M20" s="74" t="s">
        <v>1529</v>
      </c>
      <c r="N20" s="74">
        <v>0</v>
      </c>
      <c r="O20" s="74">
        <v>0</v>
      </c>
      <c r="P20" s="74">
        <v>1</v>
      </c>
    </row>
    <row r="21" spans="1:16">
      <c r="A21" s="74" t="s">
        <v>712</v>
      </c>
      <c r="B21" s="74" t="s">
        <v>713</v>
      </c>
      <c r="C21" s="74" t="s">
        <v>1509</v>
      </c>
      <c r="D21" s="74" t="s">
        <v>78</v>
      </c>
      <c r="E21" s="74">
        <v>4</v>
      </c>
      <c r="F21" s="74">
        <v>13.68</v>
      </c>
      <c r="G21" s="758">
        <f t="shared" si="0"/>
        <v>0.34</v>
      </c>
      <c r="H21" s="759">
        <f t="shared" si="1"/>
        <v>0.21</v>
      </c>
      <c r="I21" s="758">
        <f t="shared" si="2"/>
        <v>3.08</v>
      </c>
      <c r="J21" s="760">
        <f t="shared" si="3"/>
        <v>0.90058479532163738</v>
      </c>
      <c r="K21" s="74"/>
      <c r="L21" s="74"/>
      <c r="M21" s="74" t="s">
        <v>1101</v>
      </c>
      <c r="N21" s="74">
        <v>0.42</v>
      </c>
      <c r="O21" s="74">
        <v>0.26</v>
      </c>
      <c r="P21" s="74">
        <v>0.88</v>
      </c>
    </row>
    <row r="22" spans="1:16">
      <c r="A22" s="74" t="s">
        <v>712</v>
      </c>
      <c r="B22" s="74" t="s">
        <v>713</v>
      </c>
      <c r="C22" s="74" t="s">
        <v>1530</v>
      </c>
      <c r="D22" s="74" t="s">
        <v>80</v>
      </c>
      <c r="E22" s="74">
        <v>2</v>
      </c>
      <c r="F22" s="74">
        <v>7.38</v>
      </c>
      <c r="G22" s="758">
        <f t="shared" si="0"/>
        <v>0.34</v>
      </c>
      <c r="H22" s="759">
        <f t="shared" si="1"/>
        <v>0.21</v>
      </c>
      <c r="I22" s="758">
        <f t="shared" si="2"/>
        <v>3.35</v>
      </c>
      <c r="J22" s="760">
        <f t="shared" si="3"/>
        <v>0.90785907859078585</v>
      </c>
      <c r="K22" s="74"/>
      <c r="L22" s="74"/>
      <c r="M22" s="74" t="s">
        <v>1531</v>
      </c>
      <c r="N22" s="74">
        <v>1.46</v>
      </c>
      <c r="O22" s="74">
        <v>0.41</v>
      </c>
      <c r="P22" s="74">
        <v>0.62560000000000004</v>
      </c>
    </row>
    <row r="23" spans="1:16">
      <c r="A23" s="74" t="s">
        <v>712</v>
      </c>
      <c r="B23" s="74" t="s">
        <v>713</v>
      </c>
      <c r="C23" s="74" t="s">
        <v>1532</v>
      </c>
      <c r="D23" s="74" t="s">
        <v>80</v>
      </c>
      <c r="E23" s="74">
        <v>1</v>
      </c>
      <c r="F23" s="74">
        <v>3.18</v>
      </c>
      <c r="G23" s="758">
        <f t="shared" si="0"/>
        <v>0.34</v>
      </c>
      <c r="H23" s="759">
        <f t="shared" si="1"/>
        <v>0.21</v>
      </c>
      <c r="I23" s="758">
        <f t="shared" si="2"/>
        <v>2.8400000000000003</v>
      </c>
      <c r="J23" s="760">
        <f t="shared" si="3"/>
        <v>0.89308176100628933</v>
      </c>
      <c r="K23" s="74"/>
      <c r="L23" s="74"/>
      <c r="M23" s="74" t="s">
        <v>1533</v>
      </c>
      <c r="N23" s="74">
        <v>0</v>
      </c>
      <c r="O23" s="74">
        <v>0</v>
      </c>
      <c r="P23" s="74">
        <v>1</v>
      </c>
    </row>
    <row r="24" spans="1:16">
      <c r="A24" s="74" t="s">
        <v>712</v>
      </c>
      <c r="B24" s="74" t="s">
        <v>713</v>
      </c>
      <c r="C24" s="74" t="s">
        <v>1511</v>
      </c>
      <c r="D24" s="74" t="s">
        <v>80</v>
      </c>
      <c r="E24" s="74">
        <v>2</v>
      </c>
      <c r="F24" s="74">
        <v>6.68</v>
      </c>
      <c r="G24" s="758">
        <f t="shared" si="0"/>
        <v>0.34</v>
      </c>
      <c r="H24" s="759">
        <f t="shared" si="1"/>
        <v>0.21</v>
      </c>
      <c r="I24" s="758">
        <f t="shared" si="2"/>
        <v>3</v>
      </c>
      <c r="J24" s="760">
        <f t="shared" si="3"/>
        <v>0.89820359281437123</v>
      </c>
      <c r="K24" s="74"/>
      <c r="L24" s="74"/>
      <c r="M24" s="74" t="s">
        <v>967</v>
      </c>
      <c r="N24" s="74">
        <v>0.05</v>
      </c>
      <c r="O24" s="74">
        <v>0.3</v>
      </c>
      <c r="P24" s="74">
        <v>0.92400000000000004</v>
      </c>
    </row>
    <row r="25" spans="1:16">
      <c r="A25" s="74" t="s">
        <v>712</v>
      </c>
      <c r="B25" s="74" t="s">
        <v>713</v>
      </c>
      <c r="C25" s="74" t="s">
        <v>1534</v>
      </c>
      <c r="D25" s="74" t="s">
        <v>81</v>
      </c>
      <c r="E25" s="74">
        <v>2</v>
      </c>
      <c r="F25" s="74">
        <v>7</v>
      </c>
      <c r="G25" s="758">
        <f t="shared" si="0"/>
        <v>0.34</v>
      </c>
      <c r="H25" s="759">
        <f t="shared" si="1"/>
        <v>0.21</v>
      </c>
      <c r="I25" s="758">
        <f t="shared" si="2"/>
        <v>3.16</v>
      </c>
      <c r="J25" s="760">
        <f t="shared" si="3"/>
        <v>0.9028571428571428</v>
      </c>
      <c r="K25" s="74"/>
      <c r="L25" s="74"/>
      <c r="M25" s="74" t="s">
        <v>754</v>
      </c>
      <c r="N25" s="74">
        <v>0</v>
      </c>
      <c r="O25" s="74">
        <v>0.2</v>
      </c>
      <c r="P25" s="74">
        <v>1</v>
      </c>
    </row>
    <row r="26" spans="1:16">
      <c r="A26" s="74" t="s">
        <v>712</v>
      </c>
      <c r="B26" s="74" t="s">
        <v>713</v>
      </c>
      <c r="C26" s="74" t="s">
        <v>1513</v>
      </c>
      <c r="D26" s="74" t="s">
        <v>81</v>
      </c>
      <c r="E26" s="74">
        <v>2</v>
      </c>
      <c r="F26" s="74">
        <v>8.4</v>
      </c>
      <c r="G26" s="758">
        <f t="shared" si="0"/>
        <v>0.34</v>
      </c>
      <c r="H26" s="759">
        <f t="shared" si="1"/>
        <v>0.21</v>
      </c>
      <c r="I26" s="758">
        <f t="shared" si="2"/>
        <v>3.8600000000000003</v>
      </c>
      <c r="J26" s="760">
        <f t="shared" si="3"/>
        <v>0.919047619047619</v>
      </c>
      <c r="K26" s="74"/>
      <c r="L26" s="74"/>
      <c r="M26" s="74" t="s">
        <v>1535</v>
      </c>
      <c r="N26" s="74">
        <v>1.08</v>
      </c>
      <c r="O26" s="74">
        <v>0.26</v>
      </c>
      <c r="P26" s="74">
        <v>0.76</v>
      </c>
    </row>
    <row r="27" spans="1:16">
      <c r="A27" s="74" t="s">
        <v>712</v>
      </c>
      <c r="B27" s="74" t="s">
        <v>713</v>
      </c>
      <c r="C27" s="74" t="s">
        <v>1515</v>
      </c>
      <c r="D27" s="74" t="s">
        <v>81</v>
      </c>
      <c r="E27" s="74">
        <v>2</v>
      </c>
      <c r="F27" s="74">
        <v>8.08</v>
      </c>
      <c r="G27" s="758">
        <f t="shared" si="0"/>
        <v>0.34</v>
      </c>
      <c r="H27" s="759">
        <f t="shared" si="1"/>
        <v>0.21</v>
      </c>
      <c r="I27" s="758">
        <f t="shared" si="2"/>
        <v>3.7</v>
      </c>
      <c r="J27" s="760">
        <f t="shared" si="3"/>
        <v>0.91584158415841588</v>
      </c>
      <c r="K27" s="74"/>
      <c r="L27" s="74"/>
      <c r="M27" s="74" t="s">
        <v>1536</v>
      </c>
      <c r="N27" s="74">
        <v>0</v>
      </c>
      <c r="O27" s="74">
        <v>0</v>
      </c>
      <c r="P27" s="74">
        <v>1</v>
      </c>
    </row>
    <row r="28" spans="1:16">
      <c r="A28" s="74" t="s">
        <v>712</v>
      </c>
      <c r="B28" s="74" t="s">
        <v>713</v>
      </c>
      <c r="C28" s="74" t="s">
        <v>1516</v>
      </c>
      <c r="D28" s="74" t="s">
        <v>82</v>
      </c>
      <c r="E28" s="74">
        <v>1</v>
      </c>
      <c r="F28" s="74">
        <v>4.2</v>
      </c>
      <c r="G28" s="758">
        <f t="shared" si="0"/>
        <v>0.34</v>
      </c>
      <c r="H28" s="759">
        <f t="shared" si="1"/>
        <v>0.21</v>
      </c>
      <c r="I28" s="758">
        <f t="shared" si="2"/>
        <v>3.8600000000000003</v>
      </c>
      <c r="J28" s="760">
        <f t="shared" si="3"/>
        <v>0.919047619047619</v>
      </c>
      <c r="K28" s="74"/>
      <c r="L28" s="74"/>
      <c r="M28" s="74" t="s">
        <v>1537</v>
      </c>
      <c r="N28" s="74">
        <v>0.3</v>
      </c>
      <c r="O28" s="74">
        <v>0.24</v>
      </c>
      <c r="P28" s="74">
        <v>0.85219999999999996</v>
      </c>
    </row>
    <row r="29" spans="1:16">
      <c r="A29" s="74" t="s">
        <v>712</v>
      </c>
      <c r="B29" s="74" t="s">
        <v>713</v>
      </c>
      <c r="C29" s="74" t="s">
        <v>1517</v>
      </c>
      <c r="D29" s="74" t="s">
        <v>82</v>
      </c>
      <c r="E29" s="74">
        <v>3</v>
      </c>
      <c r="F29" s="74">
        <v>11.9</v>
      </c>
      <c r="G29" s="758">
        <f t="shared" si="0"/>
        <v>0.34</v>
      </c>
      <c r="H29" s="759">
        <f t="shared" si="1"/>
        <v>0.21</v>
      </c>
      <c r="I29" s="758">
        <f t="shared" si="2"/>
        <v>3.6266666666666669</v>
      </c>
      <c r="J29" s="760">
        <f t="shared" si="3"/>
        <v>0.91428571428571426</v>
      </c>
      <c r="K29" s="74"/>
      <c r="L29" s="74"/>
      <c r="M29" s="74" t="s">
        <v>1538</v>
      </c>
      <c r="N29" s="74">
        <v>0</v>
      </c>
      <c r="O29" s="74">
        <v>0.21</v>
      </c>
      <c r="P29" s="74">
        <v>1</v>
      </c>
    </row>
    <row r="30" spans="1:16">
      <c r="A30" s="74" t="s">
        <v>712</v>
      </c>
      <c r="B30" s="74" t="s">
        <v>713</v>
      </c>
      <c r="C30" s="74" t="s">
        <v>1527</v>
      </c>
      <c r="D30" s="74" t="s">
        <v>82</v>
      </c>
      <c r="E30" s="74">
        <v>1</v>
      </c>
      <c r="F30" s="74">
        <v>4.2</v>
      </c>
      <c r="G30" s="758">
        <f t="shared" si="0"/>
        <v>0.34</v>
      </c>
      <c r="H30" s="759">
        <f t="shared" si="1"/>
        <v>0.21</v>
      </c>
      <c r="I30" s="758">
        <f t="shared" si="2"/>
        <v>3.8600000000000003</v>
      </c>
      <c r="J30" s="760">
        <f t="shared" si="3"/>
        <v>0.919047619047619</v>
      </c>
      <c r="K30" s="74"/>
      <c r="L30" s="74"/>
      <c r="M30" s="74" t="s">
        <v>1539</v>
      </c>
      <c r="N30" s="74">
        <v>0</v>
      </c>
      <c r="O30" s="74">
        <v>0</v>
      </c>
      <c r="P30" s="74">
        <v>1</v>
      </c>
    </row>
    <row r="31" spans="1:16">
      <c r="A31" s="74" t="s">
        <v>712</v>
      </c>
      <c r="B31" s="74" t="s">
        <v>713</v>
      </c>
      <c r="C31" s="74" t="s">
        <v>1540</v>
      </c>
      <c r="D31" s="74" t="s">
        <v>84</v>
      </c>
      <c r="E31" s="74">
        <v>1</v>
      </c>
      <c r="F31" s="74">
        <v>3.5</v>
      </c>
      <c r="G31" s="758">
        <f t="shared" si="0"/>
        <v>0.34</v>
      </c>
      <c r="H31" s="759">
        <f t="shared" si="1"/>
        <v>0.21</v>
      </c>
      <c r="I31" s="758">
        <f t="shared" si="2"/>
        <v>3.16</v>
      </c>
      <c r="J31" s="760">
        <f t="shared" si="3"/>
        <v>0.9028571428571428</v>
      </c>
      <c r="K31" s="74"/>
      <c r="L31" s="74"/>
      <c r="M31" s="74" t="s">
        <v>703</v>
      </c>
      <c r="N31" s="74">
        <v>0</v>
      </c>
      <c r="O31" s="74">
        <v>0</v>
      </c>
      <c r="P31" s="74">
        <v>1</v>
      </c>
    </row>
    <row r="32" spans="1:16">
      <c r="A32" s="74" t="s">
        <v>712</v>
      </c>
      <c r="B32" s="74" t="s">
        <v>713</v>
      </c>
      <c r="C32" s="74" t="s">
        <v>1507</v>
      </c>
      <c r="D32" s="74" t="s">
        <v>86</v>
      </c>
      <c r="E32" s="74">
        <v>1</v>
      </c>
      <c r="F32" s="74">
        <v>3.5</v>
      </c>
      <c r="G32" s="758">
        <f t="shared" si="0"/>
        <v>0.34</v>
      </c>
      <c r="H32" s="759">
        <f t="shared" si="1"/>
        <v>0.21</v>
      </c>
      <c r="I32" s="758">
        <f t="shared" si="2"/>
        <v>3.16</v>
      </c>
      <c r="J32" s="760">
        <f t="shared" si="3"/>
        <v>0.9028571428571428</v>
      </c>
      <c r="K32" s="74"/>
      <c r="L32" s="74"/>
      <c r="M32" s="74" t="s">
        <v>839</v>
      </c>
      <c r="N32" s="74">
        <v>0</v>
      </c>
      <c r="O32" s="74">
        <v>0.21</v>
      </c>
      <c r="P32" s="74">
        <v>1</v>
      </c>
    </row>
    <row r="33" spans="1:16">
      <c r="A33" s="74" t="s">
        <v>712</v>
      </c>
      <c r="B33" s="74" t="s">
        <v>713</v>
      </c>
      <c r="C33" s="74" t="s">
        <v>1541</v>
      </c>
      <c r="D33" s="74" t="s">
        <v>86</v>
      </c>
      <c r="E33" s="74">
        <v>4</v>
      </c>
      <c r="F33" s="74">
        <v>14</v>
      </c>
      <c r="G33" s="758">
        <f t="shared" si="0"/>
        <v>0.34</v>
      </c>
      <c r="H33" s="759">
        <f t="shared" si="1"/>
        <v>0.21</v>
      </c>
      <c r="I33" s="758">
        <f t="shared" si="2"/>
        <v>3.16</v>
      </c>
      <c r="J33" s="760">
        <f t="shared" si="3"/>
        <v>0.9028571428571428</v>
      </c>
      <c r="K33" s="74"/>
      <c r="L33" s="74"/>
      <c r="M33" s="74" t="s">
        <v>1542</v>
      </c>
      <c r="N33" s="74">
        <v>0</v>
      </c>
      <c r="O33" s="74">
        <v>0</v>
      </c>
      <c r="P33" s="74">
        <v>1</v>
      </c>
    </row>
    <row r="34" spans="1:16">
      <c r="A34" s="74" t="s">
        <v>712</v>
      </c>
      <c r="B34" s="74" t="s">
        <v>713</v>
      </c>
      <c r="C34" s="74" t="s">
        <v>1543</v>
      </c>
      <c r="D34" s="74" t="s">
        <v>87</v>
      </c>
      <c r="E34" s="74">
        <v>3</v>
      </c>
      <c r="F34" s="74">
        <v>10.5</v>
      </c>
      <c r="G34" s="758">
        <f t="shared" si="0"/>
        <v>0.34</v>
      </c>
      <c r="H34" s="759">
        <f t="shared" si="1"/>
        <v>0.21</v>
      </c>
      <c r="I34" s="758">
        <f t="shared" si="2"/>
        <v>3.16</v>
      </c>
      <c r="J34" s="760">
        <f t="shared" si="3"/>
        <v>0.9028571428571428</v>
      </c>
      <c r="K34" s="74"/>
      <c r="L34" s="74"/>
      <c r="M34" s="74" t="s">
        <v>687</v>
      </c>
      <c r="N34" s="74">
        <v>0.57999999999999996</v>
      </c>
      <c r="O34" s="74">
        <v>0.34</v>
      </c>
      <c r="P34" s="74">
        <v>0.86899999999999999</v>
      </c>
    </row>
    <row r="35" spans="1:16">
      <c r="A35" s="74" t="s">
        <v>712</v>
      </c>
      <c r="B35" s="74" t="s">
        <v>713</v>
      </c>
      <c r="C35" s="74" t="s">
        <v>1544</v>
      </c>
      <c r="D35" s="74" t="s">
        <v>87</v>
      </c>
      <c r="E35" s="74">
        <v>1</v>
      </c>
      <c r="F35" s="74">
        <v>3.5</v>
      </c>
      <c r="G35" s="758">
        <f t="shared" si="0"/>
        <v>0.34</v>
      </c>
      <c r="H35" s="759">
        <f t="shared" si="1"/>
        <v>0.21</v>
      </c>
      <c r="I35" s="758">
        <f t="shared" si="2"/>
        <v>3.16</v>
      </c>
      <c r="J35" s="760">
        <f t="shared" si="3"/>
        <v>0.9028571428571428</v>
      </c>
      <c r="K35" s="74"/>
      <c r="L35" s="74"/>
      <c r="M35" s="74" t="s">
        <v>1545</v>
      </c>
      <c r="N35" s="74">
        <v>0</v>
      </c>
      <c r="O35" s="74">
        <v>0</v>
      </c>
      <c r="P35" s="74">
        <v>0</v>
      </c>
    </row>
    <row r="36" spans="1:16">
      <c r="A36" s="74" t="s">
        <v>712</v>
      </c>
      <c r="B36" s="74" t="s">
        <v>713</v>
      </c>
      <c r="C36" s="74" t="s">
        <v>1546</v>
      </c>
      <c r="D36" s="74" t="s">
        <v>89</v>
      </c>
      <c r="E36" s="74">
        <v>2</v>
      </c>
      <c r="F36" s="74">
        <v>7</v>
      </c>
      <c r="G36" s="758">
        <f t="shared" si="0"/>
        <v>0.34</v>
      </c>
      <c r="H36" s="759">
        <f t="shared" si="1"/>
        <v>0.21</v>
      </c>
      <c r="I36" s="758">
        <f t="shared" si="2"/>
        <v>3.16</v>
      </c>
      <c r="J36" s="760">
        <f t="shared" si="3"/>
        <v>0.9028571428571428</v>
      </c>
      <c r="K36" s="74"/>
      <c r="L36" s="74"/>
      <c r="M36" s="74" t="s">
        <v>708</v>
      </c>
      <c r="N36" s="74">
        <v>0.11</v>
      </c>
      <c r="O36" s="74">
        <v>0.22</v>
      </c>
      <c r="P36" s="74">
        <v>0.93810000000000004</v>
      </c>
    </row>
    <row r="37" spans="1:16">
      <c r="A37" s="74" t="s">
        <v>712</v>
      </c>
      <c r="B37" s="74" t="s">
        <v>713</v>
      </c>
      <c r="C37" s="74" t="s">
        <v>1547</v>
      </c>
      <c r="D37" s="74" t="s">
        <v>89</v>
      </c>
      <c r="E37" s="74">
        <v>1</v>
      </c>
      <c r="F37" s="74">
        <v>3.5</v>
      </c>
      <c r="G37" s="758">
        <f t="shared" si="0"/>
        <v>0.34</v>
      </c>
      <c r="H37" s="759">
        <f t="shared" si="1"/>
        <v>0.21</v>
      </c>
      <c r="I37" s="758">
        <f t="shared" si="2"/>
        <v>3.16</v>
      </c>
      <c r="J37" s="760">
        <f t="shared" si="3"/>
        <v>0.9028571428571428</v>
      </c>
      <c r="K37" s="74"/>
      <c r="L37" s="74"/>
      <c r="M37" s="74" t="s">
        <v>1548</v>
      </c>
      <c r="N37" s="74">
        <v>0</v>
      </c>
      <c r="O37" s="74">
        <v>0</v>
      </c>
      <c r="P37" s="74">
        <v>0</v>
      </c>
    </row>
    <row r="38" spans="1:16">
      <c r="A38" s="74" t="s">
        <v>712</v>
      </c>
      <c r="B38" s="74" t="s">
        <v>713</v>
      </c>
      <c r="C38" s="74" t="s">
        <v>1522</v>
      </c>
      <c r="D38" s="74" t="s">
        <v>91</v>
      </c>
      <c r="E38" s="74">
        <v>1</v>
      </c>
      <c r="F38" s="74">
        <v>3.5</v>
      </c>
      <c r="G38" s="758">
        <f t="shared" si="0"/>
        <v>0.34</v>
      </c>
      <c r="H38" s="759">
        <f t="shared" si="1"/>
        <v>0.21</v>
      </c>
      <c r="I38" s="758">
        <f t="shared" si="2"/>
        <v>3.16</v>
      </c>
      <c r="J38" s="760">
        <f t="shared" si="3"/>
        <v>0.9028571428571428</v>
      </c>
      <c r="K38" s="74"/>
      <c r="L38" s="74"/>
      <c r="M38" s="74" t="s">
        <v>1549</v>
      </c>
      <c r="N38" s="74">
        <v>0</v>
      </c>
      <c r="O38" s="74">
        <v>0</v>
      </c>
      <c r="P38" s="74">
        <v>0</v>
      </c>
    </row>
    <row r="39" spans="1:16">
      <c r="A39" s="74" t="s">
        <v>712</v>
      </c>
      <c r="B39" s="74" t="s">
        <v>713</v>
      </c>
      <c r="C39" s="74" t="s">
        <v>1550</v>
      </c>
      <c r="D39" s="74" t="s">
        <v>91</v>
      </c>
      <c r="E39" s="74">
        <v>3</v>
      </c>
      <c r="F39" s="74">
        <v>10.5</v>
      </c>
      <c r="G39" s="758">
        <f t="shared" si="0"/>
        <v>0.34</v>
      </c>
      <c r="H39" s="759">
        <f t="shared" si="1"/>
        <v>0.21</v>
      </c>
      <c r="I39" s="758">
        <f t="shared" si="2"/>
        <v>3.16</v>
      </c>
      <c r="J39" s="760">
        <f t="shared" si="3"/>
        <v>0.9028571428571428</v>
      </c>
      <c r="K39" s="74"/>
      <c r="L39" s="74"/>
      <c r="M39" s="74" t="s">
        <v>1551</v>
      </c>
      <c r="N39" s="74">
        <v>0.23</v>
      </c>
      <c r="O39" s="74">
        <v>0.16</v>
      </c>
      <c r="P39" s="74">
        <v>0.82540000000000002</v>
      </c>
    </row>
    <row r="40" spans="1:16">
      <c r="A40" s="74" t="s">
        <v>712</v>
      </c>
      <c r="B40" s="74" t="s">
        <v>713</v>
      </c>
      <c r="C40" s="74" t="s">
        <v>1552</v>
      </c>
      <c r="D40" s="74" t="s">
        <v>92</v>
      </c>
      <c r="E40" s="74">
        <v>2</v>
      </c>
      <c r="F40" s="74">
        <v>7</v>
      </c>
      <c r="G40" s="758">
        <f t="shared" si="0"/>
        <v>0.34</v>
      </c>
      <c r="H40" s="759">
        <f t="shared" si="1"/>
        <v>0.21</v>
      </c>
      <c r="I40" s="758">
        <f t="shared" si="2"/>
        <v>3.16</v>
      </c>
      <c r="J40" s="760">
        <f t="shared" si="3"/>
        <v>0.9028571428571428</v>
      </c>
      <c r="K40" s="74"/>
      <c r="L40" s="74"/>
      <c r="M40" s="74" t="s">
        <v>250</v>
      </c>
      <c r="N40" s="74">
        <v>0.05</v>
      </c>
      <c r="O40" s="74">
        <v>0.21</v>
      </c>
      <c r="P40" s="74">
        <v>0.97529999999999994</v>
      </c>
    </row>
    <row r="41" spans="1:16">
      <c r="A41" s="74" t="s">
        <v>712</v>
      </c>
      <c r="B41" s="74" t="s">
        <v>713</v>
      </c>
      <c r="C41" s="74" t="s">
        <v>1553</v>
      </c>
      <c r="D41" s="74" t="s">
        <v>94</v>
      </c>
      <c r="E41" s="74">
        <v>1</v>
      </c>
      <c r="F41" s="74">
        <v>3.5</v>
      </c>
      <c r="G41" s="758">
        <f t="shared" si="0"/>
        <v>0.34</v>
      </c>
      <c r="H41" s="759">
        <f t="shared" si="1"/>
        <v>0.21</v>
      </c>
      <c r="I41" s="758">
        <f t="shared" si="2"/>
        <v>3.16</v>
      </c>
      <c r="J41" s="760">
        <f t="shared" si="3"/>
        <v>0.9028571428571428</v>
      </c>
      <c r="K41" s="74"/>
      <c r="L41" s="74"/>
      <c r="M41" s="74" t="s">
        <v>1554</v>
      </c>
      <c r="N41" s="74">
        <v>0</v>
      </c>
      <c r="O41" s="74">
        <v>0.11</v>
      </c>
      <c r="P41" s="74">
        <v>0</v>
      </c>
    </row>
    <row r="42" spans="1:16">
      <c r="A42" s="74" t="s">
        <v>712</v>
      </c>
      <c r="B42" s="74" t="s">
        <v>713</v>
      </c>
      <c r="C42" s="74" t="s">
        <v>1555</v>
      </c>
      <c r="D42" s="74" t="s">
        <v>94</v>
      </c>
      <c r="E42" s="74">
        <v>2</v>
      </c>
      <c r="F42" s="74">
        <v>7</v>
      </c>
      <c r="G42" s="758">
        <f t="shared" si="0"/>
        <v>0.34</v>
      </c>
      <c r="H42" s="759">
        <f t="shared" si="1"/>
        <v>0.21</v>
      </c>
      <c r="I42" s="758">
        <f t="shared" si="2"/>
        <v>3.16</v>
      </c>
      <c r="J42" s="760">
        <f t="shared" si="3"/>
        <v>0.9028571428571428</v>
      </c>
      <c r="K42" s="74"/>
      <c r="L42" s="74"/>
      <c r="M42" s="74" t="s">
        <v>1556</v>
      </c>
      <c r="N42" s="74">
        <v>0</v>
      </c>
      <c r="O42" s="74">
        <v>0.24</v>
      </c>
      <c r="P42" s="74">
        <v>1</v>
      </c>
    </row>
    <row r="43" spans="1:16">
      <c r="A43" s="74" t="s">
        <v>712</v>
      </c>
      <c r="B43" s="74" t="s">
        <v>713</v>
      </c>
      <c r="C43" s="74" t="s">
        <v>1557</v>
      </c>
      <c r="D43" s="74" t="s">
        <v>95</v>
      </c>
      <c r="E43" s="74">
        <v>1</v>
      </c>
      <c r="F43" s="74">
        <v>3.5</v>
      </c>
      <c r="G43" s="758">
        <f t="shared" si="0"/>
        <v>0.34</v>
      </c>
      <c r="H43" s="759">
        <f t="shared" si="1"/>
        <v>0.21</v>
      </c>
      <c r="I43" s="758">
        <f t="shared" si="2"/>
        <v>3.16</v>
      </c>
      <c r="J43" s="760">
        <f t="shared" si="3"/>
        <v>0.9028571428571428</v>
      </c>
      <c r="K43" s="74"/>
      <c r="L43" s="74"/>
      <c r="M43" s="74" t="s">
        <v>1558</v>
      </c>
      <c r="N43" s="74">
        <v>0</v>
      </c>
      <c r="O43" s="74">
        <v>0.23</v>
      </c>
      <c r="P43" s="74">
        <v>1</v>
      </c>
    </row>
    <row r="44" spans="1:16">
      <c r="A44" s="74" t="s">
        <v>712</v>
      </c>
      <c r="B44" s="74" t="s">
        <v>713</v>
      </c>
      <c r="C44" s="74" t="s">
        <v>1526</v>
      </c>
      <c r="D44" s="74" t="s">
        <v>95</v>
      </c>
      <c r="E44" s="74">
        <v>2</v>
      </c>
      <c r="F44" s="74">
        <v>7</v>
      </c>
      <c r="G44" s="758">
        <f t="shared" si="0"/>
        <v>0.34</v>
      </c>
      <c r="H44" s="759">
        <f t="shared" si="1"/>
        <v>0.21</v>
      </c>
      <c r="I44" s="758">
        <f t="shared" si="2"/>
        <v>3.16</v>
      </c>
      <c r="J44" s="760">
        <f t="shared" si="3"/>
        <v>0.9028571428571428</v>
      </c>
      <c r="K44" s="74"/>
      <c r="L44" s="74"/>
      <c r="M44" s="74" t="s">
        <v>1559</v>
      </c>
      <c r="N44" s="74">
        <v>0</v>
      </c>
      <c r="O44" s="74">
        <v>0</v>
      </c>
      <c r="P44" s="74">
        <v>0</v>
      </c>
    </row>
    <row r="45" spans="1:16">
      <c r="A45" s="74" t="s">
        <v>1009</v>
      </c>
      <c r="B45" s="74" t="s">
        <v>327</v>
      </c>
      <c r="C45" s="74" t="s">
        <v>1512</v>
      </c>
      <c r="D45" s="74" t="s">
        <v>80</v>
      </c>
      <c r="E45" s="74">
        <v>1</v>
      </c>
      <c r="F45" s="74">
        <v>3.5</v>
      </c>
      <c r="G45" s="758">
        <f t="shared" si="0"/>
        <v>0.56000000000000005</v>
      </c>
      <c r="H45" s="759">
        <f t="shared" si="1"/>
        <v>0.26</v>
      </c>
      <c r="I45" s="758">
        <f t="shared" si="2"/>
        <v>2.94</v>
      </c>
      <c r="J45" s="760">
        <f t="shared" si="3"/>
        <v>0.84</v>
      </c>
      <c r="K45" s="74"/>
      <c r="L45" s="74"/>
      <c r="M45" s="74" t="s">
        <v>714</v>
      </c>
      <c r="N45" s="74">
        <v>0</v>
      </c>
      <c r="O45" s="74">
        <v>0.2</v>
      </c>
      <c r="P45" s="74">
        <v>1</v>
      </c>
    </row>
    <row r="46" spans="1:16">
      <c r="A46" s="74" t="s">
        <v>1009</v>
      </c>
      <c r="B46" s="74" t="s">
        <v>327</v>
      </c>
      <c r="C46" s="74" t="s">
        <v>1518</v>
      </c>
      <c r="D46" s="74" t="s">
        <v>82</v>
      </c>
      <c r="E46" s="74">
        <v>1</v>
      </c>
      <c r="F46" s="74">
        <v>3.5</v>
      </c>
      <c r="G46" s="758">
        <f t="shared" si="0"/>
        <v>0.56000000000000005</v>
      </c>
      <c r="H46" s="759">
        <f t="shared" si="1"/>
        <v>0.26</v>
      </c>
      <c r="I46" s="758">
        <f t="shared" si="2"/>
        <v>2.94</v>
      </c>
      <c r="J46" s="760">
        <f t="shared" si="3"/>
        <v>0.84</v>
      </c>
      <c r="K46" s="74"/>
      <c r="L46" s="74"/>
      <c r="M46" s="74" t="s">
        <v>1560</v>
      </c>
      <c r="N46" s="74">
        <v>0</v>
      </c>
      <c r="O46" s="74">
        <v>0</v>
      </c>
      <c r="P46" s="74">
        <v>0</v>
      </c>
    </row>
    <row r="47" spans="1:16">
      <c r="A47" s="74" t="s">
        <v>1009</v>
      </c>
      <c r="B47" s="74" t="s">
        <v>327</v>
      </c>
      <c r="C47" s="74" t="s">
        <v>1561</v>
      </c>
      <c r="D47" s="74" t="s">
        <v>87</v>
      </c>
      <c r="E47" s="74">
        <v>1</v>
      </c>
      <c r="F47" s="74">
        <v>3.5</v>
      </c>
      <c r="G47" s="758">
        <f t="shared" si="0"/>
        <v>0.56000000000000005</v>
      </c>
      <c r="H47" s="759">
        <f t="shared" si="1"/>
        <v>0.26</v>
      </c>
      <c r="I47" s="758">
        <f t="shared" si="2"/>
        <v>2.94</v>
      </c>
      <c r="J47" s="760">
        <f t="shared" si="3"/>
        <v>0.84</v>
      </c>
      <c r="K47" s="74"/>
      <c r="L47" s="74"/>
      <c r="M47" s="74" t="s">
        <v>1562</v>
      </c>
      <c r="N47" s="74">
        <v>0</v>
      </c>
      <c r="O47" s="74">
        <v>0.16</v>
      </c>
      <c r="P47" s="74">
        <v>0</v>
      </c>
    </row>
    <row r="48" spans="1:16">
      <c r="A48" s="74" t="s">
        <v>787</v>
      </c>
      <c r="B48" s="74" t="s">
        <v>713</v>
      </c>
      <c r="C48" s="74" t="s">
        <v>1528</v>
      </c>
      <c r="D48" s="74" t="s">
        <v>78</v>
      </c>
      <c r="E48" s="74">
        <v>2</v>
      </c>
      <c r="F48" s="74">
        <v>6.4</v>
      </c>
      <c r="G48" s="758">
        <f t="shared" si="0"/>
        <v>0.77</v>
      </c>
      <c r="H48" s="759">
        <f t="shared" si="1"/>
        <v>0.38</v>
      </c>
      <c r="I48" s="758">
        <f t="shared" si="2"/>
        <v>2.4300000000000002</v>
      </c>
      <c r="J48" s="760">
        <f t="shared" si="3"/>
        <v>0.75937500000000002</v>
      </c>
      <c r="K48" s="74"/>
      <c r="L48" s="74"/>
      <c r="M48" s="74" t="s">
        <v>1563</v>
      </c>
      <c r="N48" s="74">
        <v>0</v>
      </c>
      <c r="O48" s="74">
        <v>0.16</v>
      </c>
      <c r="P48" s="74">
        <v>1</v>
      </c>
    </row>
    <row r="49" spans="1:16">
      <c r="A49" s="74" t="s">
        <v>787</v>
      </c>
      <c r="B49" s="74" t="s">
        <v>713</v>
      </c>
      <c r="C49" s="74" t="s">
        <v>1508</v>
      </c>
      <c r="D49" s="74" t="s">
        <v>78</v>
      </c>
      <c r="E49" s="74">
        <v>3</v>
      </c>
      <c r="F49" s="74">
        <v>10.050000000000001</v>
      </c>
      <c r="G49" s="758">
        <f t="shared" si="0"/>
        <v>0.77</v>
      </c>
      <c r="H49" s="759">
        <f t="shared" si="1"/>
        <v>0.38</v>
      </c>
      <c r="I49" s="758">
        <f t="shared" si="2"/>
        <v>2.58</v>
      </c>
      <c r="J49" s="760">
        <f t="shared" si="3"/>
        <v>0.77014925373134324</v>
      </c>
      <c r="K49" s="74"/>
      <c r="L49" s="74"/>
      <c r="M49" s="74" t="s">
        <v>1564</v>
      </c>
      <c r="N49" s="74">
        <v>0</v>
      </c>
      <c r="O49" s="74">
        <v>0.25</v>
      </c>
      <c r="P49" s="74">
        <v>1</v>
      </c>
    </row>
    <row r="50" spans="1:16">
      <c r="A50" s="74" t="s">
        <v>787</v>
      </c>
      <c r="B50" s="74" t="s">
        <v>713</v>
      </c>
      <c r="C50" s="74" t="s">
        <v>1509</v>
      </c>
      <c r="D50" s="74" t="s">
        <v>78</v>
      </c>
      <c r="E50" s="74">
        <v>2</v>
      </c>
      <c r="F50" s="74">
        <v>6.4</v>
      </c>
      <c r="G50" s="758">
        <f t="shared" si="0"/>
        <v>0.77</v>
      </c>
      <c r="H50" s="759">
        <f t="shared" si="1"/>
        <v>0.38</v>
      </c>
      <c r="I50" s="758">
        <f t="shared" si="2"/>
        <v>2.4300000000000002</v>
      </c>
      <c r="J50" s="760">
        <f t="shared" si="3"/>
        <v>0.75937500000000002</v>
      </c>
      <c r="K50" s="74"/>
      <c r="L50" s="74"/>
      <c r="M50" s="74" t="s">
        <v>1083</v>
      </c>
      <c r="N50" s="74">
        <v>2</v>
      </c>
      <c r="O50" s="74">
        <v>0.2</v>
      </c>
      <c r="P50" s="74">
        <v>0.86799999999999999</v>
      </c>
    </row>
    <row r="51" spans="1:16">
      <c r="A51" s="74" t="s">
        <v>787</v>
      </c>
      <c r="B51" s="74" t="s">
        <v>713</v>
      </c>
      <c r="C51" s="74" t="s">
        <v>1565</v>
      </c>
      <c r="D51" s="74" t="s">
        <v>78</v>
      </c>
      <c r="E51" s="74">
        <v>2</v>
      </c>
      <c r="F51" s="74">
        <v>6.75</v>
      </c>
      <c r="G51" s="758">
        <f t="shared" si="0"/>
        <v>0.77</v>
      </c>
      <c r="H51" s="759">
        <f t="shared" si="1"/>
        <v>0.38</v>
      </c>
      <c r="I51" s="758">
        <f t="shared" si="2"/>
        <v>2.605</v>
      </c>
      <c r="J51" s="760">
        <f t="shared" si="3"/>
        <v>0.77185185185185179</v>
      </c>
      <c r="K51" s="74"/>
      <c r="L51" s="74"/>
      <c r="M51" s="74" t="s">
        <v>1566</v>
      </c>
      <c r="N51" s="74">
        <v>0</v>
      </c>
      <c r="O51" s="74">
        <v>0</v>
      </c>
      <c r="P51" s="74">
        <v>1</v>
      </c>
    </row>
    <row r="52" spans="1:16">
      <c r="A52" s="74" t="s">
        <v>787</v>
      </c>
      <c r="B52" s="74" t="s">
        <v>713</v>
      </c>
      <c r="C52" s="74" t="s">
        <v>1530</v>
      </c>
      <c r="D52" s="74" t="s">
        <v>80</v>
      </c>
      <c r="E52" s="74">
        <v>2</v>
      </c>
      <c r="F52" s="74">
        <v>7.72</v>
      </c>
      <c r="G52" s="758">
        <f t="shared" si="0"/>
        <v>0.77</v>
      </c>
      <c r="H52" s="759">
        <f t="shared" si="1"/>
        <v>0.38</v>
      </c>
      <c r="I52" s="758">
        <f t="shared" si="2"/>
        <v>3.09</v>
      </c>
      <c r="J52" s="760">
        <f t="shared" si="3"/>
        <v>0.80051813471502586</v>
      </c>
      <c r="K52" s="74"/>
      <c r="L52" s="74"/>
      <c r="M52" s="74" t="s">
        <v>857</v>
      </c>
      <c r="N52" s="74">
        <v>0.25</v>
      </c>
      <c r="O52" s="74">
        <v>0.23</v>
      </c>
      <c r="P52" s="74">
        <v>0.90890000000000004</v>
      </c>
    </row>
    <row r="53" spans="1:16">
      <c r="A53" s="74" t="s">
        <v>787</v>
      </c>
      <c r="B53" s="74" t="s">
        <v>713</v>
      </c>
      <c r="C53" s="74" t="s">
        <v>1532</v>
      </c>
      <c r="D53" s="74" t="s">
        <v>80</v>
      </c>
      <c r="E53" s="74">
        <v>5</v>
      </c>
      <c r="F53" s="74">
        <v>17.82</v>
      </c>
      <c r="G53" s="758">
        <f t="shared" si="0"/>
        <v>0.77</v>
      </c>
      <c r="H53" s="759">
        <f t="shared" si="1"/>
        <v>0.38</v>
      </c>
      <c r="I53" s="758">
        <f t="shared" si="2"/>
        <v>2.794</v>
      </c>
      <c r="J53" s="760">
        <f t="shared" si="3"/>
        <v>0.78395061728395066</v>
      </c>
      <c r="K53" s="74"/>
      <c r="L53" s="74"/>
      <c r="M53" s="74" t="s">
        <v>1567</v>
      </c>
      <c r="N53" s="74">
        <v>0</v>
      </c>
      <c r="O53" s="74">
        <v>0.24</v>
      </c>
      <c r="P53" s="74">
        <v>1</v>
      </c>
    </row>
    <row r="54" spans="1:16">
      <c r="A54" s="74" t="s">
        <v>787</v>
      </c>
      <c r="B54" s="74" t="s">
        <v>713</v>
      </c>
      <c r="C54" s="74" t="s">
        <v>1511</v>
      </c>
      <c r="D54" s="74" t="s">
        <v>80</v>
      </c>
      <c r="E54" s="74">
        <v>3</v>
      </c>
      <c r="F54" s="74">
        <v>12.95</v>
      </c>
      <c r="G54" s="758">
        <f t="shared" si="0"/>
        <v>0.77</v>
      </c>
      <c r="H54" s="759">
        <f t="shared" si="1"/>
        <v>0.38</v>
      </c>
      <c r="I54" s="758">
        <f t="shared" si="2"/>
        <v>3.5466666666666664</v>
      </c>
      <c r="J54" s="760">
        <f t="shared" si="3"/>
        <v>0.82162162162162167</v>
      </c>
      <c r="K54" s="74"/>
      <c r="L54" s="74"/>
      <c r="M54" s="74" t="s">
        <v>1568</v>
      </c>
      <c r="N54" s="74">
        <v>0</v>
      </c>
      <c r="O54" s="74">
        <v>0.24</v>
      </c>
      <c r="P54" s="74">
        <v>1</v>
      </c>
    </row>
    <row r="55" spans="1:16">
      <c r="A55" s="74" t="s">
        <v>787</v>
      </c>
      <c r="B55" s="74" t="s">
        <v>713</v>
      </c>
      <c r="C55" s="74" t="s">
        <v>1512</v>
      </c>
      <c r="D55" s="74" t="s">
        <v>80</v>
      </c>
      <c r="E55" s="74">
        <v>1</v>
      </c>
      <c r="F55" s="74">
        <v>3.35</v>
      </c>
      <c r="G55" s="758">
        <f t="shared" si="0"/>
        <v>0.77</v>
      </c>
      <c r="H55" s="759">
        <f t="shared" si="1"/>
        <v>0.38</v>
      </c>
      <c r="I55" s="758">
        <f t="shared" si="2"/>
        <v>2.58</v>
      </c>
      <c r="J55" s="760">
        <f t="shared" si="3"/>
        <v>0.77014925373134324</v>
      </c>
      <c r="K55" s="74"/>
      <c r="L55" s="74"/>
      <c r="M55" s="74" t="s">
        <v>1569</v>
      </c>
      <c r="N55" s="74">
        <v>0</v>
      </c>
      <c r="O55" s="74">
        <v>0.24</v>
      </c>
      <c r="P55" s="74">
        <v>1</v>
      </c>
    </row>
    <row r="56" spans="1:16">
      <c r="A56" s="74" t="s">
        <v>787</v>
      </c>
      <c r="B56" s="74" t="s">
        <v>713</v>
      </c>
      <c r="C56" s="74" t="s">
        <v>1534</v>
      </c>
      <c r="D56" s="74" t="s">
        <v>81</v>
      </c>
      <c r="E56" s="74">
        <v>3</v>
      </c>
      <c r="F56" s="74">
        <v>10.15</v>
      </c>
      <c r="G56" s="758">
        <f t="shared" si="0"/>
        <v>0.77</v>
      </c>
      <c r="H56" s="759">
        <f t="shared" si="1"/>
        <v>0.38</v>
      </c>
      <c r="I56" s="758">
        <f t="shared" si="2"/>
        <v>2.6133333333333333</v>
      </c>
      <c r="J56" s="760">
        <f t="shared" si="3"/>
        <v>0.77241379310344827</v>
      </c>
      <c r="K56" s="74"/>
      <c r="L56" s="74"/>
      <c r="M56" s="74" t="s">
        <v>1570</v>
      </c>
      <c r="N56" s="74">
        <v>0</v>
      </c>
      <c r="O56" s="74">
        <v>0.23</v>
      </c>
      <c r="P56" s="74">
        <v>1</v>
      </c>
    </row>
    <row r="57" spans="1:16">
      <c r="A57" s="74" t="s">
        <v>787</v>
      </c>
      <c r="B57" s="74" t="s">
        <v>713</v>
      </c>
      <c r="C57" s="74" t="s">
        <v>1513</v>
      </c>
      <c r="D57" s="74" t="s">
        <v>81</v>
      </c>
      <c r="E57" s="74">
        <v>1</v>
      </c>
      <c r="F57" s="74">
        <v>3.35</v>
      </c>
      <c r="G57" s="758">
        <f t="shared" si="0"/>
        <v>0.77</v>
      </c>
      <c r="H57" s="759">
        <f t="shared" si="1"/>
        <v>0.38</v>
      </c>
      <c r="I57" s="758">
        <f t="shared" si="2"/>
        <v>2.58</v>
      </c>
      <c r="J57" s="760">
        <f t="shared" si="3"/>
        <v>0.77014925373134324</v>
      </c>
      <c r="K57" s="74"/>
      <c r="L57" s="74"/>
      <c r="M57" s="74" t="s">
        <v>1571</v>
      </c>
      <c r="N57" s="74">
        <v>0</v>
      </c>
      <c r="O57" s="74">
        <v>0.16</v>
      </c>
      <c r="P57" s="74">
        <v>1</v>
      </c>
    </row>
    <row r="58" spans="1:16">
      <c r="A58" s="74" t="s">
        <v>787</v>
      </c>
      <c r="B58" s="74" t="s">
        <v>713</v>
      </c>
      <c r="C58" s="74" t="s">
        <v>1514</v>
      </c>
      <c r="D58" s="74" t="s">
        <v>81</v>
      </c>
      <c r="E58" s="74">
        <v>2</v>
      </c>
      <c r="F58" s="74">
        <v>7.72</v>
      </c>
      <c r="G58" s="758">
        <f t="shared" si="0"/>
        <v>0.77</v>
      </c>
      <c r="H58" s="759">
        <f t="shared" si="1"/>
        <v>0.38</v>
      </c>
      <c r="I58" s="758">
        <f t="shared" si="2"/>
        <v>3.09</v>
      </c>
      <c r="J58" s="760">
        <f t="shared" si="3"/>
        <v>0.80051813471502586</v>
      </c>
      <c r="K58" s="74"/>
      <c r="L58" s="74"/>
      <c r="M58" s="74" t="s">
        <v>1572</v>
      </c>
      <c r="N58" s="74">
        <v>0</v>
      </c>
      <c r="O58" s="74">
        <v>0.16</v>
      </c>
      <c r="P58" s="74">
        <v>1</v>
      </c>
    </row>
    <row r="59" spans="1:16">
      <c r="A59" s="74" t="s">
        <v>787</v>
      </c>
      <c r="B59" s="74" t="s">
        <v>713</v>
      </c>
      <c r="C59" s="74" t="s">
        <v>1516</v>
      </c>
      <c r="D59" s="74" t="s">
        <v>82</v>
      </c>
      <c r="E59" s="74">
        <v>2</v>
      </c>
      <c r="F59" s="74">
        <v>6.75</v>
      </c>
      <c r="G59" s="758">
        <f t="shared" si="0"/>
        <v>0.77</v>
      </c>
      <c r="H59" s="759">
        <f t="shared" si="1"/>
        <v>0.38</v>
      </c>
      <c r="I59" s="758">
        <f t="shared" si="2"/>
        <v>2.605</v>
      </c>
      <c r="J59" s="760">
        <f t="shared" si="3"/>
        <v>0.77185185185185179</v>
      </c>
      <c r="K59" s="74"/>
      <c r="L59" s="74"/>
      <c r="M59" s="74" t="s">
        <v>1573</v>
      </c>
      <c r="N59" s="74">
        <v>0</v>
      </c>
      <c r="O59" s="74">
        <v>0</v>
      </c>
      <c r="P59" s="74">
        <v>0</v>
      </c>
    </row>
    <row r="60" spans="1:16">
      <c r="A60" s="74" t="s">
        <v>787</v>
      </c>
      <c r="B60" s="74" t="s">
        <v>713</v>
      </c>
      <c r="C60" s="74" t="s">
        <v>1517</v>
      </c>
      <c r="D60" s="74" t="s">
        <v>82</v>
      </c>
      <c r="E60" s="74">
        <v>2</v>
      </c>
      <c r="F60" s="74">
        <v>6.8</v>
      </c>
      <c r="G60" s="758">
        <f t="shared" si="0"/>
        <v>0.77</v>
      </c>
      <c r="H60" s="759">
        <f t="shared" si="1"/>
        <v>0.38</v>
      </c>
      <c r="I60" s="758">
        <f t="shared" si="2"/>
        <v>2.63</v>
      </c>
      <c r="J60" s="760">
        <f t="shared" si="3"/>
        <v>0.77352941176470591</v>
      </c>
      <c r="K60" s="74"/>
      <c r="L60" s="74"/>
      <c r="M60" s="74" t="s">
        <v>1574</v>
      </c>
      <c r="N60" s="74">
        <v>2.37</v>
      </c>
      <c r="O60" s="74">
        <v>0.3</v>
      </c>
      <c r="P60" s="74">
        <v>0.68500000000000005</v>
      </c>
    </row>
    <row r="61" spans="1:16">
      <c r="A61" s="74" t="s">
        <v>787</v>
      </c>
      <c r="B61" s="74" t="s">
        <v>713</v>
      </c>
      <c r="C61" s="74" t="s">
        <v>1527</v>
      </c>
      <c r="D61" s="74" t="s">
        <v>82</v>
      </c>
      <c r="E61" s="74">
        <v>2</v>
      </c>
      <c r="F61" s="74">
        <v>6.75</v>
      </c>
      <c r="G61" s="758">
        <f t="shared" si="0"/>
        <v>0.77</v>
      </c>
      <c r="H61" s="759">
        <f t="shared" si="1"/>
        <v>0.38</v>
      </c>
      <c r="I61" s="758">
        <f t="shared" si="2"/>
        <v>2.605</v>
      </c>
      <c r="J61" s="760">
        <f t="shared" si="3"/>
        <v>0.77185185185185179</v>
      </c>
      <c r="K61" s="74"/>
      <c r="L61" s="74"/>
      <c r="M61" s="74" t="s">
        <v>1575</v>
      </c>
      <c r="N61" s="74">
        <v>0</v>
      </c>
      <c r="O61" s="74">
        <v>0.24</v>
      </c>
      <c r="P61" s="74">
        <v>0</v>
      </c>
    </row>
    <row r="62" spans="1:16">
      <c r="A62" s="74" t="s">
        <v>787</v>
      </c>
      <c r="B62" s="74" t="s">
        <v>713</v>
      </c>
      <c r="C62" s="74" t="s">
        <v>1518</v>
      </c>
      <c r="D62" s="74" t="s">
        <v>82</v>
      </c>
      <c r="E62" s="74">
        <v>3</v>
      </c>
      <c r="F62" s="74">
        <v>10.6</v>
      </c>
      <c r="G62" s="758">
        <f t="shared" si="0"/>
        <v>0.77</v>
      </c>
      <c r="H62" s="759">
        <f t="shared" si="1"/>
        <v>0.38</v>
      </c>
      <c r="I62" s="758">
        <f t="shared" si="2"/>
        <v>2.7633333333333332</v>
      </c>
      <c r="J62" s="760">
        <f t="shared" si="3"/>
        <v>0.7820754716981132</v>
      </c>
      <c r="K62" s="74"/>
      <c r="L62" s="74"/>
      <c r="M62" s="74" t="s">
        <v>760</v>
      </c>
      <c r="N62" s="74">
        <v>0</v>
      </c>
      <c r="O62" s="74">
        <v>0</v>
      </c>
      <c r="P62" s="74">
        <v>1</v>
      </c>
    </row>
    <row r="63" spans="1:16">
      <c r="A63" s="74" t="s">
        <v>787</v>
      </c>
      <c r="B63" s="74" t="s">
        <v>713</v>
      </c>
      <c r="C63" s="74" t="s">
        <v>1519</v>
      </c>
      <c r="D63" s="74" t="s">
        <v>84</v>
      </c>
      <c r="E63" s="74">
        <v>4</v>
      </c>
      <c r="F63" s="74">
        <v>14.45</v>
      </c>
      <c r="G63" s="758">
        <f t="shared" si="0"/>
        <v>0.77</v>
      </c>
      <c r="H63" s="759">
        <f t="shared" si="1"/>
        <v>0.38</v>
      </c>
      <c r="I63" s="758">
        <f t="shared" si="2"/>
        <v>2.8424999999999998</v>
      </c>
      <c r="J63" s="760">
        <f t="shared" si="3"/>
        <v>0.78685121107266431</v>
      </c>
      <c r="K63" s="74"/>
      <c r="L63" s="74"/>
      <c r="M63" s="74" t="s">
        <v>1269</v>
      </c>
      <c r="N63" s="74">
        <v>0.61</v>
      </c>
      <c r="O63" s="74">
        <v>0.38</v>
      </c>
      <c r="P63" s="74">
        <v>0.74860000000000004</v>
      </c>
    </row>
    <row r="64" spans="1:16">
      <c r="A64" s="74" t="s">
        <v>787</v>
      </c>
      <c r="B64" s="74" t="s">
        <v>713</v>
      </c>
      <c r="C64" s="74" t="s">
        <v>1520</v>
      </c>
      <c r="D64" s="74" t="s">
        <v>84</v>
      </c>
      <c r="E64" s="74">
        <v>1</v>
      </c>
      <c r="F64" s="74">
        <v>3.6</v>
      </c>
      <c r="G64" s="758">
        <f t="shared" si="0"/>
        <v>0.77</v>
      </c>
      <c r="H64" s="759">
        <f t="shared" si="1"/>
        <v>0.38</v>
      </c>
      <c r="I64" s="758">
        <f t="shared" si="2"/>
        <v>2.83</v>
      </c>
      <c r="J64" s="760">
        <f t="shared" si="3"/>
        <v>0.78611111111111109</v>
      </c>
      <c r="K64" s="74"/>
      <c r="L64" s="74"/>
      <c r="M64" s="74" t="s">
        <v>1576</v>
      </c>
      <c r="N64" s="74">
        <v>0</v>
      </c>
      <c r="O64" s="74">
        <v>0.16</v>
      </c>
      <c r="P64" s="74">
        <v>0</v>
      </c>
    </row>
    <row r="65" spans="1:16">
      <c r="A65" s="74" t="s">
        <v>787</v>
      </c>
      <c r="B65" s="74" t="s">
        <v>713</v>
      </c>
      <c r="C65" s="74" t="s">
        <v>1577</v>
      </c>
      <c r="D65" s="74" t="s">
        <v>84</v>
      </c>
      <c r="E65" s="74">
        <v>1</v>
      </c>
      <c r="F65" s="74">
        <v>3.6</v>
      </c>
      <c r="G65" s="758">
        <f t="shared" si="0"/>
        <v>0.77</v>
      </c>
      <c r="H65" s="759">
        <f t="shared" si="1"/>
        <v>0.38</v>
      </c>
      <c r="I65" s="758">
        <f t="shared" si="2"/>
        <v>2.83</v>
      </c>
      <c r="J65" s="760">
        <f t="shared" si="3"/>
        <v>0.78611111111111109</v>
      </c>
      <c r="K65" s="74"/>
      <c r="L65" s="74"/>
      <c r="M65" s="74" t="s">
        <v>252</v>
      </c>
      <c r="N65" s="74">
        <v>1.06</v>
      </c>
      <c r="O65" s="74">
        <v>0.45</v>
      </c>
      <c r="P65" s="74">
        <v>0.87329999999999997</v>
      </c>
    </row>
    <row r="66" spans="1:16">
      <c r="A66" s="74" t="s">
        <v>787</v>
      </c>
      <c r="B66" s="74" t="s">
        <v>713</v>
      </c>
      <c r="C66" s="74" t="s">
        <v>1507</v>
      </c>
      <c r="D66" s="74" t="s">
        <v>86</v>
      </c>
      <c r="E66" s="74">
        <v>1</v>
      </c>
      <c r="F66" s="74">
        <v>3.6</v>
      </c>
      <c r="G66" s="758">
        <f t="shared" ref="G66:G129" si="4">IFERROR(VLOOKUP(A66,$M$1:$P$1014,2,FALSE),0)</f>
        <v>0.77</v>
      </c>
      <c r="H66" s="759">
        <f t="shared" ref="H66:H129" si="5">IFERROR(VLOOKUP(A66,$M$1:$P$1014,3,FALSE),0)</f>
        <v>0.38</v>
      </c>
      <c r="I66" s="758">
        <f t="shared" ref="I66:I129" si="6">IFERROR(F66/E66-G66,0)</f>
        <v>2.83</v>
      </c>
      <c r="J66" s="760">
        <f t="shared" ref="J66:J129" si="7">IFERROR(1-G66*E66/F66,0)</f>
        <v>0.78611111111111109</v>
      </c>
      <c r="K66" s="74"/>
      <c r="L66" s="74"/>
      <c r="M66" s="74" t="s">
        <v>901</v>
      </c>
      <c r="N66" s="74">
        <v>0</v>
      </c>
      <c r="O66" s="74">
        <v>0</v>
      </c>
      <c r="P66" s="74">
        <v>1</v>
      </c>
    </row>
    <row r="67" spans="1:16">
      <c r="A67" s="74" t="s">
        <v>787</v>
      </c>
      <c r="B67" s="74" t="s">
        <v>713</v>
      </c>
      <c r="C67" s="74" t="s">
        <v>1578</v>
      </c>
      <c r="D67" s="74" t="s">
        <v>86</v>
      </c>
      <c r="E67" s="74">
        <v>2</v>
      </c>
      <c r="F67" s="74">
        <v>7.2</v>
      </c>
      <c r="G67" s="758">
        <f t="shared" si="4"/>
        <v>0.77</v>
      </c>
      <c r="H67" s="759">
        <f t="shared" si="5"/>
        <v>0.38</v>
      </c>
      <c r="I67" s="758">
        <f t="shared" si="6"/>
        <v>2.83</v>
      </c>
      <c r="J67" s="760">
        <f t="shared" si="7"/>
        <v>0.78611111111111109</v>
      </c>
      <c r="K67" s="74"/>
      <c r="L67" s="74"/>
      <c r="M67" s="74" t="s">
        <v>869</v>
      </c>
      <c r="N67" s="74">
        <v>0</v>
      </c>
      <c r="O67" s="74">
        <v>0</v>
      </c>
      <c r="P67" s="74">
        <v>1</v>
      </c>
    </row>
    <row r="68" spans="1:16">
      <c r="A68" s="74" t="s">
        <v>787</v>
      </c>
      <c r="B68" s="74" t="s">
        <v>713</v>
      </c>
      <c r="C68" s="74" t="s">
        <v>1543</v>
      </c>
      <c r="D68" s="74" t="s">
        <v>87</v>
      </c>
      <c r="E68" s="74">
        <v>2</v>
      </c>
      <c r="F68" s="74">
        <v>9.5</v>
      </c>
      <c r="G68" s="758">
        <f t="shared" si="4"/>
        <v>0.77</v>
      </c>
      <c r="H68" s="759">
        <f t="shared" si="5"/>
        <v>0.38</v>
      </c>
      <c r="I68" s="758">
        <f t="shared" si="6"/>
        <v>3.98</v>
      </c>
      <c r="J68" s="760">
        <f t="shared" si="7"/>
        <v>0.83789473684210525</v>
      </c>
      <c r="K68" s="74"/>
      <c r="L68" s="74"/>
      <c r="M68" s="74" t="s">
        <v>1579</v>
      </c>
      <c r="N68" s="74">
        <v>0</v>
      </c>
      <c r="O68" s="74">
        <v>0</v>
      </c>
      <c r="P68" s="74">
        <v>1</v>
      </c>
    </row>
    <row r="69" spans="1:16">
      <c r="A69" s="74" t="s">
        <v>787</v>
      </c>
      <c r="B69" s="74" t="s">
        <v>713</v>
      </c>
      <c r="C69" s="74" t="s">
        <v>1544</v>
      </c>
      <c r="D69" s="74" t="s">
        <v>87</v>
      </c>
      <c r="E69" s="74">
        <v>4</v>
      </c>
      <c r="F69" s="74">
        <v>18.75</v>
      </c>
      <c r="G69" s="758">
        <f t="shared" si="4"/>
        <v>0.77</v>
      </c>
      <c r="H69" s="759">
        <f t="shared" si="5"/>
        <v>0.38</v>
      </c>
      <c r="I69" s="758">
        <f t="shared" si="6"/>
        <v>3.9175</v>
      </c>
      <c r="J69" s="760">
        <f t="shared" si="7"/>
        <v>0.83573333333333333</v>
      </c>
      <c r="K69" s="74"/>
      <c r="L69" s="74"/>
      <c r="M69" s="74" t="s">
        <v>1580</v>
      </c>
      <c r="N69" s="74">
        <v>0</v>
      </c>
      <c r="O69" s="74">
        <v>0</v>
      </c>
      <c r="P69" s="74">
        <v>1</v>
      </c>
    </row>
    <row r="70" spans="1:16">
      <c r="A70" s="74" t="s">
        <v>787</v>
      </c>
      <c r="B70" s="74" t="s">
        <v>713</v>
      </c>
      <c r="C70" s="74" t="s">
        <v>1561</v>
      </c>
      <c r="D70" s="74" t="s">
        <v>87</v>
      </c>
      <c r="E70" s="74">
        <v>1</v>
      </c>
      <c r="F70" s="74">
        <v>4.75</v>
      </c>
      <c r="G70" s="758">
        <f t="shared" si="4"/>
        <v>0.77</v>
      </c>
      <c r="H70" s="759">
        <f t="shared" si="5"/>
        <v>0.38</v>
      </c>
      <c r="I70" s="758">
        <f t="shared" si="6"/>
        <v>3.98</v>
      </c>
      <c r="J70" s="760">
        <f t="shared" si="7"/>
        <v>0.83789473684210525</v>
      </c>
      <c r="K70" s="74"/>
      <c r="L70" s="74"/>
      <c r="M70" s="74" t="s">
        <v>1581</v>
      </c>
      <c r="N70" s="74">
        <v>0</v>
      </c>
      <c r="O70" s="74">
        <v>0</v>
      </c>
      <c r="P70" s="74">
        <v>1</v>
      </c>
    </row>
    <row r="71" spans="1:16">
      <c r="A71" s="74" t="s">
        <v>787</v>
      </c>
      <c r="B71" s="74" t="s">
        <v>713</v>
      </c>
      <c r="C71" s="74" t="s">
        <v>1582</v>
      </c>
      <c r="D71" s="74" t="s">
        <v>89</v>
      </c>
      <c r="E71" s="74">
        <v>1</v>
      </c>
      <c r="F71" s="74">
        <v>4.75</v>
      </c>
      <c r="G71" s="758">
        <f t="shared" si="4"/>
        <v>0.77</v>
      </c>
      <c r="H71" s="759">
        <f t="shared" si="5"/>
        <v>0.38</v>
      </c>
      <c r="I71" s="758">
        <f t="shared" si="6"/>
        <v>3.98</v>
      </c>
      <c r="J71" s="760">
        <f t="shared" si="7"/>
        <v>0.83789473684210525</v>
      </c>
      <c r="K71" s="74"/>
      <c r="L71" s="74"/>
      <c r="M71" s="74" t="s">
        <v>1583</v>
      </c>
      <c r="N71" s="74">
        <v>0.4</v>
      </c>
      <c r="O71" s="74">
        <v>0.18</v>
      </c>
      <c r="P71" s="74">
        <v>0.90610000000000002</v>
      </c>
    </row>
    <row r="72" spans="1:16">
      <c r="A72" s="74" t="s">
        <v>787</v>
      </c>
      <c r="B72" s="74" t="s">
        <v>713</v>
      </c>
      <c r="C72" s="74" t="s">
        <v>1550</v>
      </c>
      <c r="D72" s="74" t="s">
        <v>91</v>
      </c>
      <c r="E72" s="74">
        <v>1</v>
      </c>
      <c r="F72" s="74">
        <v>4.75</v>
      </c>
      <c r="G72" s="758">
        <f t="shared" si="4"/>
        <v>0.77</v>
      </c>
      <c r="H72" s="759">
        <f t="shared" si="5"/>
        <v>0.38</v>
      </c>
      <c r="I72" s="758">
        <f t="shared" si="6"/>
        <v>3.98</v>
      </c>
      <c r="J72" s="760">
        <f t="shared" si="7"/>
        <v>0.83789473684210525</v>
      </c>
      <c r="K72" s="74"/>
      <c r="L72" s="74"/>
      <c r="M72" s="74" t="s">
        <v>1136</v>
      </c>
      <c r="N72" s="74">
        <v>0</v>
      </c>
      <c r="O72" s="74">
        <v>0</v>
      </c>
      <c r="P72" s="74">
        <v>1</v>
      </c>
    </row>
    <row r="73" spans="1:16">
      <c r="A73" s="74" t="s">
        <v>787</v>
      </c>
      <c r="B73" s="74" t="s">
        <v>713</v>
      </c>
      <c r="C73" s="74" t="s">
        <v>1584</v>
      </c>
      <c r="D73" s="74" t="s">
        <v>92</v>
      </c>
      <c r="E73" s="74">
        <v>1</v>
      </c>
      <c r="F73" s="74">
        <v>4.75</v>
      </c>
      <c r="G73" s="758">
        <f t="shared" si="4"/>
        <v>0.77</v>
      </c>
      <c r="H73" s="759">
        <f t="shared" si="5"/>
        <v>0.38</v>
      </c>
      <c r="I73" s="758">
        <f t="shared" si="6"/>
        <v>3.98</v>
      </c>
      <c r="J73" s="760">
        <f t="shared" si="7"/>
        <v>0.83789473684210525</v>
      </c>
      <c r="K73" s="74"/>
      <c r="L73" s="74"/>
      <c r="M73" s="74" t="s">
        <v>1585</v>
      </c>
      <c r="N73" s="74">
        <v>0</v>
      </c>
      <c r="O73" s="74">
        <v>0</v>
      </c>
      <c r="P73" s="74">
        <v>0</v>
      </c>
    </row>
    <row r="74" spans="1:16">
      <c r="A74" s="74" t="s">
        <v>787</v>
      </c>
      <c r="B74" s="74" t="s">
        <v>713</v>
      </c>
      <c r="C74" s="74" t="s">
        <v>1553</v>
      </c>
      <c r="D74" s="74" t="s">
        <v>94</v>
      </c>
      <c r="E74" s="74">
        <v>1</v>
      </c>
      <c r="F74" s="74">
        <v>4.5</v>
      </c>
      <c r="G74" s="758">
        <f t="shared" si="4"/>
        <v>0.77</v>
      </c>
      <c r="H74" s="759">
        <f t="shared" si="5"/>
        <v>0.38</v>
      </c>
      <c r="I74" s="758">
        <f t="shared" si="6"/>
        <v>3.73</v>
      </c>
      <c r="J74" s="760">
        <f t="shared" si="7"/>
        <v>0.8288888888888889</v>
      </c>
      <c r="K74" s="74"/>
      <c r="L74" s="74"/>
      <c r="M74" s="74" t="s">
        <v>696</v>
      </c>
      <c r="N74" s="74">
        <v>2.75</v>
      </c>
      <c r="O74" s="74">
        <v>0.28000000000000003</v>
      </c>
      <c r="P74" s="74">
        <v>0.79879999999999995</v>
      </c>
    </row>
    <row r="75" spans="1:16">
      <c r="A75" s="74" t="s">
        <v>787</v>
      </c>
      <c r="B75" s="74" t="s">
        <v>713</v>
      </c>
      <c r="C75" s="74" t="s">
        <v>1557</v>
      </c>
      <c r="D75" s="74" t="s">
        <v>95</v>
      </c>
      <c r="E75" s="74">
        <v>1</v>
      </c>
      <c r="F75" s="74">
        <v>4.75</v>
      </c>
      <c r="G75" s="758">
        <f t="shared" si="4"/>
        <v>0.77</v>
      </c>
      <c r="H75" s="759">
        <f t="shared" si="5"/>
        <v>0.38</v>
      </c>
      <c r="I75" s="758">
        <f t="shared" si="6"/>
        <v>3.98</v>
      </c>
      <c r="J75" s="760">
        <f t="shared" si="7"/>
        <v>0.83789473684210525</v>
      </c>
      <c r="K75" s="74"/>
      <c r="L75" s="74"/>
      <c r="M75" s="74" t="s">
        <v>1586</v>
      </c>
      <c r="N75" s="74">
        <v>0</v>
      </c>
      <c r="O75" s="74">
        <v>0</v>
      </c>
      <c r="P75" s="74">
        <v>1</v>
      </c>
    </row>
    <row r="76" spans="1:16">
      <c r="A76" s="74" t="s">
        <v>761</v>
      </c>
      <c r="B76" s="74" t="s">
        <v>730</v>
      </c>
      <c r="C76" s="74" t="s">
        <v>1528</v>
      </c>
      <c r="D76" s="74" t="s">
        <v>78</v>
      </c>
      <c r="E76" s="74">
        <v>2</v>
      </c>
      <c r="F76" s="74">
        <v>6.1</v>
      </c>
      <c r="G76" s="758">
        <f t="shared" si="4"/>
        <v>0.18</v>
      </c>
      <c r="H76" s="759">
        <f t="shared" si="5"/>
        <v>0.11</v>
      </c>
      <c r="I76" s="758">
        <f t="shared" si="6"/>
        <v>2.8699999999999997</v>
      </c>
      <c r="J76" s="760">
        <f t="shared" si="7"/>
        <v>0.94098360655737701</v>
      </c>
      <c r="K76" s="74"/>
      <c r="L76" s="74"/>
      <c r="M76" s="74" t="s">
        <v>1587</v>
      </c>
      <c r="N76" s="74">
        <v>2.69</v>
      </c>
      <c r="O76" s="74">
        <v>0.26</v>
      </c>
      <c r="P76" s="74">
        <v>0.78820000000000001</v>
      </c>
    </row>
    <row r="77" spans="1:16">
      <c r="A77" s="74" t="s">
        <v>761</v>
      </c>
      <c r="B77" s="74" t="s">
        <v>730</v>
      </c>
      <c r="C77" s="74" t="s">
        <v>1508</v>
      </c>
      <c r="D77" s="74" t="s">
        <v>78</v>
      </c>
      <c r="E77" s="74">
        <v>3</v>
      </c>
      <c r="F77" s="74">
        <v>9.3000000000000007</v>
      </c>
      <c r="G77" s="758">
        <f t="shared" si="4"/>
        <v>0.18</v>
      </c>
      <c r="H77" s="759">
        <f t="shared" si="5"/>
        <v>0.11</v>
      </c>
      <c r="I77" s="758">
        <f t="shared" si="6"/>
        <v>2.92</v>
      </c>
      <c r="J77" s="760">
        <f t="shared" si="7"/>
        <v>0.9419354838709677</v>
      </c>
      <c r="K77" s="74"/>
      <c r="L77" s="74"/>
      <c r="M77" s="74" t="s">
        <v>726</v>
      </c>
      <c r="N77" s="74">
        <v>0</v>
      </c>
      <c r="O77" s="74">
        <v>0</v>
      </c>
      <c r="P77" s="74">
        <v>0</v>
      </c>
    </row>
    <row r="78" spans="1:16">
      <c r="A78" s="74" t="s">
        <v>761</v>
      </c>
      <c r="B78" s="74" t="s">
        <v>730</v>
      </c>
      <c r="C78" s="74" t="s">
        <v>1509</v>
      </c>
      <c r="D78" s="74" t="s">
        <v>78</v>
      </c>
      <c r="E78" s="74">
        <v>5</v>
      </c>
      <c r="F78" s="74">
        <v>14.64</v>
      </c>
      <c r="G78" s="758">
        <f t="shared" si="4"/>
        <v>0.18</v>
      </c>
      <c r="H78" s="759">
        <f t="shared" si="5"/>
        <v>0.11</v>
      </c>
      <c r="I78" s="758">
        <f t="shared" si="6"/>
        <v>2.7479999999999998</v>
      </c>
      <c r="J78" s="760">
        <f t="shared" si="7"/>
        <v>0.93852459016393441</v>
      </c>
      <c r="K78" s="74"/>
      <c r="L78" s="74"/>
      <c r="M78" s="74" t="s">
        <v>1588</v>
      </c>
      <c r="N78" s="74">
        <v>0</v>
      </c>
      <c r="O78" s="74">
        <v>0</v>
      </c>
      <c r="P78" s="74">
        <v>1</v>
      </c>
    </row>
    <row r="79" spans="1:16">
      <c r="A79" s="74" t="s">
        <v>761</v>
      </c>
      <c r="B79" s="74" t="s">
        <v>730</v>
      </c>
      <c r="C79" s="74" t="s">
        <v>1565</v>
      </c>
      <c r="D79" s="74" t="s">
        <v>78</v>
      </c>
      <c r="E79" s="74">
        <v>5</v>
      </c>
      <c r="F79" s="74">
        <v>14.65</v>
      </c>
      <c r="G79" s="758">
        <f t="shared" si="4"/>
        <v>0.18</v>
      </c>
      <c r="H79" s="759">
        <f t="shared" si="5"/>
        <v>0.11</v>
      </c>
      <c r="I79" s="758">
        <f t="shared" si="6"/>
        <v>2.75</v>
      </c>
      <c r="J79" s="760">
        <f t="shared" si="7"/>
        <v>0.93856655290102387</v>
      </c>
      <c r="K79" s="74"/>
      <c r="L79" s="74"/>
      <c r="M79" s="74" t="s">
        <v>684</v>
      </c>
      <c r="N79" s="74">
        <v>0.68</v>
      </c>
      <c r="O79" s="74">
        <v>0.21</v>
      </c>
      <c r="P79" s="74">
        <v>0.92949999999999999</v>
      </c>
    </row>
    <row r="80" spans="1:16">
      <c r="A80" s="74" t="s">
        <v>761</v>
      </c>
      <c r="B80" s="74" t="s">
        <v>730</v>
      </c>
      <c r="C80" s="74" t="s">
        <v>1530</v>
      </c>
      <c r="D80" s="74" t="s">
        <v>80</v>
      </c>
      <c r="E80" s="74">
        <v>3</v>
      </c>
      <c r="F80" s="74">
        <v>8.74</v>
      </c>
      <c r="G80" s="758">
        <f t="shared" si="4"/>
        <v>0.18</v>
      </c>
      <c r="H80" s="759">
        <f t="shared" si="5"/>
        <v>0.11</v>
      </c>
      <c r="I80" s="758">
        <f t="shared" si="6"/>
        <v>2.7333333333333334</v>
      </c>
      <c r="J80" s="760">
        <f t="shared" si="7"/>
        <v>0.93821510297482835</v>
      </c>
      <c r="K80" s="74"/>
      <c r="L80" s="74"/>
      <c r="M80" s="74" t="s">
        <v>1589</v>
      </c>
      <c r="N80" s="74">
        <v>1.02</v>
      </c>
      <c r="O80" s="74">
        <v>0.2</v>
      </c>
      <c r="P80" s="74">
        <v>0.82279999999999998</v>
      </c>
    </row>
    <row r="81" spans="1:16">
      <c r="A81" s="74" t="s">
        <v>761</v>
      </c>
      <c r="B81" s="74" t="s">
        <v>730</v>
      </c>
      <c r="C81" s="74" t="s">
        <v>1532</v>
      </c>
      <c r="D81" s="74" t="s">
        <v>80</v>
      </c>
      <c r="E81" s="74">
        <v>4</v>
      </c>
      <c r="F81" s="74">
        <v>11.84</v>
      </c>
      <c r="G81" s="758">
        <f t="shared" si="4"/>
        <v>0.18</v>
      </c>
      <c r="H81" s="759">
        <f t="shared" si="5"/>
        <v>0.11</v>
      </c>
      <c r="I81" s="758">
        <f t="shared" si="6"/>
        <v>2.78</v>
      </c>
      <c r="J81" s="760">
        <f t="shared" si="7"/>
        <v>0.93918918918918914</v>
      </c>
      <c r="K81" s="74"/>
      <c r="L81" s="74"/>
      <c r="M81" s="74" t="s">
        <v>1590</v>
      </c>
      <c r="N81" s="74">
        <v>1.0900000000000001</v>
      </c>
      <c r="O81" s="74">
        <v>0.2</v>
      </c>
      <c r="P81" s="74">
        <v>0.81679999999999997</v>
      </c>
    </row>
    <row r="82" spans="1:16">
      <c r="A82" s="74" t="s">
        <v>761</v>
      </c>
      <c r="B82" s="74" t="s">
        <v>730</v>
      </c>
      <c r="C82" s="74" t="s">
        <v>1511</v>
      </c>
      <c r="D82" s="74" t="s">
        <v>80</v>
      </c>
      <c r="E82" s="74">
        <v>1</v>
      </c>
      <c r="F82" s="74">
        <v>2.82</v>
      </c>
      <c r="G82" s="758">
        <f t="shared" si="4"/>
        <v>0.18</v>
      </c>
      <c r="H82" s="759">
        <f t="shared" si="5"/>
        <v>0.11</v>
      </c>
      <c r="I82" s="758">
        <f t="shared" si="6"/>
        <v>2.6399999999999997</v>
      </c>
      <c r="J82" s="760">
        <f t="shared" si="7"/>
        <v>0.93617021276595747</v>
      </c>
      <c r="K82" s="74"/>
      <c r="L82" s="74"/>
      <c r="M82" s="74" t="s">
        <v>1296</v>
      </c>
      <c r="N82" s="74">
        <v>0</v>
      </c>
      <c r="O82" s="74">
        <v>0</v>
      </c>
      <c r="P82" s="74">
        <v>0</v>
      </c>
    </row>
    <row r="83" spans="1:16">
      <c r="A83" s="74" t="s">
        <v>761</v>
      </c>
      <c r="B83" s="74" t="s">
        <v>730</v>
      </c>
      <c r="C83" s="74" t="s">
        <v>1512</v>
      </c>
      <c r="D83" s="74" t="s">
        <v>80</v>
      </c>
      <c r="E83" s="74">
        <v>8</v>
      </c>
      <c r="F83" s="74">
        <v>23.16</v>
      </c>
      <c r="G83" s="758">
        <f t="shared" si="4"/>
        <v>0.18</v>
      </c>
      <c r="H83" s="759">
        <f t="shared" si="5"/>
        <v>0.11</v>
      </c>
      <c r="I83" s="758">
        <f t="shared" si="6"/>
        <v>2.7149999999999999</v>
      </c>
      <c r="J83" s="760">
        <f t="shared" si="7"/>
        <v>0.93782383419689119</v>
      </c>
      <c r="K83" s="74"/>
      <c r="L83" s="74"/>
      <c r="M83" s="74" t="s">
        <v>1591</v>
      </c>
      <c r="N83" s="74">
        <v>0</v>
      </c>
      <c r="O83" s="74">
        <v>0</v>
      </c>
      <c r="P83" s="74">
        <v>0</v>
      </c>
    </row>
    <row r="84" spans="1:16">
      <c r="A84" s="74" t="s">
        <v>761</v>
      </c>
      <c r="B84" s="74" t="s">
        <v>730</v>
      </c>
      <c r="C84" s="74" t="s">
        <v>1534</v>
      </c>
      <c r="D84" s="74" t="s">
        <v>81</v>
      </c>
      <c r="E84" s="74">
        <v>1</v>
      </c>
      <c r="F84" s="74">
        <v>3.15</v>
      </c>
      <c r="G84" s="758">
        <f t="shared" si="4"/>
        <v>0.18</v>
      </c>
      <c r="H84" s="759">
        <f t="shared" si="5"/>
        <v>0.11</v>
      </c>
      <c r="I84" s="758">
        <f t="shared" si="6"/>
        <v>2.9699999999999998</v>
      </c>
      <c r="J84" s="760">
        <f t="shared" si="7"/>
        <v>0.94285714285714284</v>
      </c>
      <c r="K84" s="74"/>
      <c r="L84" s="74"/>
      <c r="M84" s="74" t="s">
        <v>1592</v>
      </c>
      <c r="N84" s="74">
        <v>0</v>
      </c>
      <c r="O84" s="74">
        <v>0</v>
      </c>
      <c r="P84" s="74">
        <v>0</v>
      </c>
    </row>
    <row r="85" spans="1:16">
      <c r="A85" s="74" t="s">
        <v>761</v>
      </c>
      <c r="B85" s="74" t="s">
        <v>730</v>
      </c>
      <c r="C85" s="74" t="s">
        <v>1513</v>
      </c>
      <c r="D85" s="74" t="s">
        <v>81</v>
      </c>
      <c r="E85" s="74">
        <v>14</v>
      </c>
      <c r="F85" s="74">
        <v>40.58</v>
      </c>
      <c r="G85" s="758">
        <f t="shared" si="4"/>
        <v>0.18</v>
      </c>
      <c r="H85" s="759">
        <f t="shared" si="5"/>
        <v>0.11</v>
      </c>
      <c r="I85" s="758">
        <f t="shared" si="6"/>
        <v>2.7185714285714284</v>
      </c>
      <c r="J85" s="760">
        <f t="shared" si="7"/>
        <v>0.93790044356826019</v>
      </c>
      <c r="K85" s="74"/>
      <c r="L85" s="74"/>
      <c r="M85" s="74" t="s">
        <v>1593</v>
      </c>
      <c r="N85" s="74">
        <v>1.35</v>
      </c>
      <c r="O85" s="74">
        <v>0</v>
      </c>
      <c r="P85" s="74">
        <v>0</v>
      </c>
    </row>
    <row r="86" spans="1:16">
      <c r="A86" s="74" t="s">
        <v>761</v>
      </c>
      <c r="B86" s="74" t="s">
        <v>730</v>
      </c>
      <c r="C86" s="74" t="s">
        <v>1514</v>
      </c>
      <c r="D86" s="74" t="s">
        <v>81</v>
      </c>
      <c r="E86" s="74">
        <v>7</v>
      </c>
      <c r="F86" s="74">
        <v>21.14</v>
      </c>
      <c r="G86" s="758">
        <f t="shared" si="4"/>
        <v>0.18</v>
      </c>
      <c r="H86" s="759">
        <f t="shared" si="5"/>
        <v>0.11</v>
      </c>
      <c r="I86" s="758">
        <f t="shared" si="6"/>
        <v>2.84</v>
      </c>
      <c r="J86" s="760">
        <f t="shared" si="7"/>
        <v>0.94039735099337751</v>
      </c>
      <c r="K86" s="74"/>
      <c r="L86" s="74"/>
      <c r="M86" s="74" t="s">
        <v>1594</v>
      </c>
      <c r="N86" s="74">
        <v>0</v>
      </c>
      <c r="O86" s="74">
        <v>0</v>
      </c>
      <c r="P86" s="74">
        <v>0</v>
      </c>
    </row>
    <row r="87" spans="1:16">
      <c r="A87" s="74" t="s">
        <v>761</v>
      </c>
      <c r="B87" s="74" t="s">
        <v>730</v>
      </c>
      <c r="C87" s="74" t="s">
        <v>1515</v>
      </c>
      <c r="D87" s="74" t="s">
        <v>81</v>
      </c>
      <c r="E87" s="74">
        <v>9</v>
      </c>
      <c r="F87" s="74">
        <v>27.62</v>
      </c>
      <c r="G87" s="758">
        <f t="shared" si="4"/>
        <v>0.18</v>
      </c>
      <c r="H87" s="759">
        <f t="shared" si="5"/>
        <v>0.11</v>
      </c>
      <c r="I87" s="758">
        <f t="shared" si="6"/>
        <v>2.8888888888888888</v>
      </c>
      <c r="J87" s="760">
        <f t="shared" si="7"/>
        <v>0.94134685010861696</v>
      </c>
      <c r="K87" s="74"/>
      <c r="L87" s="74"/>
      <c r="M87" s="74" t="s">
        <v>1595</v>
      </c>
      <c r="N87" s="74">
        <v>0</v>
      </c>
      <c r="O87" s="74">
        <v>0</v>
      </c>
      <c r="P87" s="74">
        <v>0</v>
      </c>
    </row>
    <row r="88" spans="1:16">
      <c r="A88" s="74" t="s">
        <v>761</v>
      </c>
      <c r="B88" s="74" t="s">
        <v>730</v>
      </c>
      <c r="C88" s="74" t="s">
        <v>1516</v>
      </c>
      <c r="D88" s="74" t="s">
        <v>82</v>
      </c>
      <c r="E88" s="74">
        <v>5</v>
      </c>
      <c r="F88" s="74">
        <v>16.5</v>
      </c>
      <c r="G88" s="758">
        <f t="shared" si="4"/>
        <v>0.18</v>
      </c>
      <c r="H88" s="759">
        <f t="shared" si="5"/>
        <v>0.11</v>
      </c>
      <c r="I88" s="758">
        <f t="shared" si="6"/>
        <v>3.1199999999999997</v>
      </c>
      <c r="J88" s="760">
        <f t="shared" si="7"/>
        <v>0.94545454545454544</v>
      </c>
      <c r="K88" s="74"/>
      <c r="L88" s="74"/>
      <c r="M88" s="74" t="s">
        <v>1596</v>
      </c>
      <c r="N88" s="74">
        <v>0</v>
      </c>
      <c r="O88" s="74">
        <v>0.28999999999999998</v>
      </c>
      <c r="P88" s="74">
        <v>0</v>
      </c>
    </row>
    <row r="89" spans="1:16">
      <c r="A89" s="74" t="s">
        <v>761</v>
      </c>
      <c r="B89" s="74" t="s">
        <v>730</v>
      </c>
      <c r="C89" s="74" t="s">
        <v>1517</v>
      </c>
      <c r="D89" s="74" t="s">
        <v>82</v>
      </c>
      <c r="E89" s="74">
        <v>7</v>
      </c>
      <c r="F89" s="74">
        <v>21.7</v>
      </c>
      <c r="G89" s="758">
        <f t="shared" si="4"/>
        <v>0.18</v>
      </c>
      <c r="H89" s="759">
        <f t="shared" si="5"/>
        <v>0.11</v>
      </c>
      <c r="I89" s="758">
        <f t="shared" si="6"/>
        <v>2.92</v>
      </c>
      <c r="J89" s="760">
        <f t="shared" si="7"/>
        <v>0.9419354838709677</v>
      </c>
      <c r="K89" s="74"/>
      <c r="L89" s="74"/>
      <c r="M89" s="74" t="s">
        <v>1597</v>
      </c>
      <c r="N89" s="74">
        <v>0</v>
      </c>
      <c r="O89" s="74">
        <v>0</v>
      </c>
      <c r="P89" s="74">
        <v>0</v>
      </c>
    </row>
    <row r="90" spans="1:16">
      <c r="A90" s="74" t="s">
        <v>761</v>
      </c>
      <c r="B90" s="74" t="s">
        <v>730</v>
      </c>
      <c r="C90" s="74" t="s">
        <v>1527</v>
      </c>
      <c r="D90" s="74" t="s">
        <v>82</v>
      </c>
      <c r="E90" s="74">
        <v>9</v>
      </c>
      <c r="F90" s="74">
        <v>27.9</v>
      </c>
      <c r="G90" s="758">
        <f t="shared" si="4"/>
        <v>0.18</v>
      </c>
      <c r="H90" s="759">
        <f t="shared" si="5"/>
        <v>0.11</v>
      </c>
      <c r="I90" s="758">
        <f t="shared" si="6"/>
        <v>2.9199999999999995</v>
      </c>
      <c r="J90" s="760">
        <f t="shared" si="7"/>
        <v>0.9419354838709677</v>
      </c>
      <c r="K90" s="74"/>
      <c r="L90" s="74"/>
      <c r="M90" s="74" t="s">
        <v>1598</v>
      </c>
      <c r="N90" s="74">
        <v>0</v>
      </c>
      <c r="O90" s="74">
        <v>0</v>
      </c>
      <c r="P90" s="74">
        <v>0</v>
      </c>
    </row>
    <row r="91" spans="1:16">
      <c r="A91" s="74" t="s">
        <v>761</v>
      </c>
      <c r="B91" s="74" t="s">
        <v>730</v>
      </c>
      <c r="C91" s="74" t="s">
        <v>1518</v>
      </c>
      <c r="D91" s="74" t="s">
        <v>82</v>
      </c>
      <c r="E91" s="74">
        <v>7</v>
      </c>
      <c r="F91" s="74">
        <v>21.7</v>
      </c>
      <c r="G91" s="758">
        <f t="shared" si="4"/>
        <v>0.18</v>
      </c>
      <c r="H91" s="759">
        <f t="shared" si="5"/>
        <v>0.11</v>
      </c>
      <c r="I91" s="758">
        <f t="shared" si="6"/>
        <v>2.92</v>
      </c>
      <c r="J91" s="760">
        <f t="shared" si="7"/>
        <v>0.9419354838709677</v>
      </c>
      <c r="K91" s="74"/>
      <c r="L91" s="74"/>
      <c r="M91" s="74" t="s">
        <v>1599</v>
      </c>
      <c r="N91" s="74">
        <v>0</v>
      </c>
      <c r="O91" s="74">
        <v>0</v>
      </c>
      <c r="P91" s="74">
        <v>0</v>
      </c>
    </row>
    <row r="92" spans="1:16">
      <c r="A92" s="74" t="s">
        <v>761</v>
      </c>
      <c r="B92" s="74" t="s">
        <v>730</v>
      </c>
      <c r="C92" s="74" t="s">
        <v>1519</v>
      </c>
      <c r="D92" s="74" t="s">
        <v>84</v>
      </c>
      <c r="E92" s="74">
        <v>3</v>
      </c>
      <c r="F92" s="74">
        <v>9.3000000000000007</v>
      </c>
      <c r="G92" s="758">
        <f t="shared" si="4"/>
        <v>0.18</v>
      </c>
      <c r="H92" s="759">
        <f t="shared" si="5"/>
        <v>0.11</v>
      </c>
      <c r="I92" s="758">
        <f t="shared" si="6"/>
        <v>2.92</v>
      </c>
      <c r="J92" s="760">
        <f t="shared" si="7"/>
        <v>0.9419354838709677</v>
      </c>
      <c r="K92" s="74"/>
      <c r="L92" s="74"/>
      <c r="M92" s="74" t="s">
        <v>1600</v>
      </c>
      <c r="N92" s="74">
        <v>0</v>
      </c>
      <c r="O92" s="74">
        <v>0</v>
      </c>
      <c r="P92" s="74">
        <v>1</v>
      </c>
    </row>
    <row r="93" spans="1:16">
      <c r="A93" s="74" t="s">
        <v>761</v>
      </c>
      <c r="B93" s="74" t="s">
        <v>730</v>
      </c>
      <c r="C93" s="74" t="s">
        <v>1540</v>
      </c>
      <c r="D93" s="74" t="s">
        <v>84</v>
      </c>
      <c r="E93" s="74">
        <v>1</v>
      </c>
      <c r="F93" s="74">
        <v>3.1</v>
      </c>
      <c r="G93" s="758">
        <f t="shared" si="4"/>
        <v>0.18</v>
      </c>
      <c r="H93" s="759">
        <f t="shared" si="5"/>
        <v>0.11</v>
      </c>
      <c r="I93" s="758">
        <f t="shared" si="6"/>
        <v>2.92</v>
      </c>
      <c r="J93" s="760">
        <f t="shared" si="7"/>
        <v>0.9419354838709677</v>
      </c>
      <c r="K93" s="74"/>
      <c r="L93" s="74"/>
      <c r="M93" s="74" t="s">
        <v>1601</v>
      </c>
      <c r="N93" s="74">
        <v>0</v>
      </c>
      <c r="O93" s="74">
        <v>0.19</v>
      </c>
      <c r="P93" s="74">
        <v>0</v>
      </c>
    </row>
    <row r="94" spans="1:16">
      <c r="A94" s="74" t="s">
        <v>761</v>
      </c>
      <c r="B94" s="74" t="s">
        <v>730</v>
      </c>
      <c r="C94" s="74" t="s">
        <v>1520</v>
      </c>
      <c r="D94" s="74" t="s">
        <v>84</v>
      </c>
      <c r="E94" s="74">
        <v>2</v>
      </c>
      <c r="F94" s="74">
        <v>6.2</v>
      </c>
      <c r="G94" s="758">
        <f t="shared" si="4"/>
        <v>0.18</v>
      </c>
      <c r="H94" s="759">
        <f t="shared" si="5"/>
        <v>0.11</v>
      </c>
      <c r="I94" s="758">
        <f t="shared" si="6"/>
        <v>2.92</v>
      </c>
      <c r="J94" s="760">
        <f t="shared" si="7"/>
        <v>0.9419354838709677</v>
      </c>
      <c r="K94" s="74"/>
      <c r="L94" s="74"/>
      <c r="M94" s="74" t="s">
        <v>1602</v>
      </c>
      <c r="N94" s="74">
        <v>0</v>
      </c>
      <c r="O94" s="74">
        <v>0</v>
      </c>
      <c r="P94" s="74">
        <v>0</v>
      </c>
    </row>
    <row r="95" spans="1:16">
      <c r="A95" s="74" t="s">
        <v>761</v>
      </c>
      <c r="B95" s="74" t="s">
        <v>730</v>
      </c>
      <c r="C95" s="74" t="s">
        <v>1507</v>
      </c>
      <c r="D95" s="74" t="s">
        <v>86</v>
      </c>
      <c r="E95" s="74">
        <v>2</v>
      </c>
      <c r="F95" s="74">
        <v>6.2</v>
      </c>
      <c r="G95" s="758">
        <f t="shared" si="4"/>
        <v>0.18</v>
      </c>
      <c r="H95" s="759">
        <f t="shared" si="5"/>
        <v>0.11</v>
      </c>
      <c r="I95" s="758">
        <f t="shared" si="6"/>
        <v>2.92</v>
      </c>
      <c r="J95" s="760">
        <f t="shared" si="7"/>
        <v>0.9419354838709677</v>
      </c>
      <c r="K95" s="74"/>
      <c r="L95" s="74"/>
      <c r="M95" s="74" t="s">
        <v>1070</v>
      </c>
      <c r="N95" s="74">
        <v>0</v>
      </c>
      <c r="O95" s="74">
        <v>0</v>
      </c>
      <c r="P95" s="74">
        <v>0</v>
      </c>
    </row>
    <row r="96" spans="1:16">
      <c r="A96" s="74" t="s">
        <v>761</v>
      </c>
      <c r="B96" s="74" t="s">
        <v>730</v>
      </c>
      <c r="C96" s="74" t="s">
        <v>1578</v>
      </c>
      <c r="D96" s="74" t="s">
        <v>86</v>
      </c>
      <c r="E96" s="74">
        <v>1</v>
      </c>
      <c r="F96" s="74">
        <v>3.1</v>
      </c>
      <c r="G96" s="758">
        <f t="shared" si="4"/>
        <v>0.18</v>
      </c>
      <c r="H96" s="759">
        <f t="shared" si="5"/>
        <v>0.11</v>
      </c>
      <c r="I96" s="758">
        <f t="shared" si="6"/>
        <v>2.92</v>
      </c>
      <c r="J96" s="760">
        <f t="shared" si="7"/>
        <v>0.9419354838709677</v>
      </c>
      <c r="K96" s="74"/>
      <c r="L96" s="74"/>
      <c r="M96" s="74" t="s">
        <v>1603</v>
      </c>
      <c r="N96" s="74">
        <v>0</v>
      </c>
      <c r="O96" s="74">
        <v>0.12</v>
      </c>
      <c r="P96" s="74">
        <v>0</v>
      </c>
    </row>
    <row r="97" spans="1:16">
      <c r="A97" s="74" t="s">
        <v>761</v>
      </c>
      <c r="B97" s="74" t="s">
        <v>730</v>
      </c>
      <c r="C97" s="74" t="s">
        <v>1543</v>
      </c>
      <c r="D97" s="74" t="s">
        <v>87</v>
      </c>
      <c r="E97" s="74">
        <v>2</v>
      </c>
      <c r="F97" s="74">
        <v>6.2</v>
      </c>
      <c r="G97" s="758">
        <f t="shared" si="4"/>
        <v>0.18</v>
      </c>
      <c r="H97" s="759">
        <f t="shared" si="5"/>
        <v>0.11</v>
      </c>
      <c r="I97" s="758">
        <f t="shared" si="6"/>
        <v>2.92</v>
      </c>
      <c r="J97" s="760">
        <f t="shared" si="7"/>
        <v>0.9419354838709677</v>
      </c>
      <c r="K97" s="74"/>
      <c r="L97" s="74"/>
      <c r="M97" s="74" t="s">
        <v>911</v>
      </c>
      <c r="N97" s="74">
        <v>0</v>
      </c>
      <c r="O97" s="74">
        <v>0</v>
      </c>
      <c r="P97" s="74">
        <v>0</v>
      </c>
    </row>
    <row r="98" spans="1:16">
      <c r="A98" s="74" t="s">
        <v>761</v>
      </c>
      <c r="B98" s="74" t="s">
        <v>730</v>
      </c>
      <c r="C98" s="74" t="s">
        <v>1544</v>
      </c>
      <c r="D98" s="74" t="s">
        <v>87</v>
      </c>
      <c r="E98" s="74">
        <v>3</v>
      </c>
      <c r="F98" s="74">
        <v>9.3000000000000007</v>
      </c>
      <c r="G98" s="758">
        <f t="shared" si="4"/>
        <v>0.18</v>
      </c>
      <c r="H98" s="759">
        <f t="shared" si="5"/>
        <v>0.11</v>
      </c>
      <c r="I98" s="758">
        <f t="shared" si="6"/>
        <v>2.92</v>
      </c>
      <c r="J98" s="760">
        <f t="shared" si="7"/>
        <v>0.9419354838709677</v>
      </c>
      <c r="K98" s="74"/>
      <c r="L98" s="74"/>
      <c r="M98" s="74" t="s">
        <v>1604</v>
      </c>
      <c r="N98" s="74">
        <v>0</v>
      </c>
      <c r="O98" s="74">
        <v>0.16</v>
      </c>
      <c r="P98" s="74">
        <v>0</v>
      </c>
    </row>
    <row r="99" spans="1:16">
      <c r="A99" s="74" t="s">
        <v>761</v>
      </c>
      <c r="B99" s="74" t="s">
        <v>730</v>
      </c>
      <c r="C99" s="74" t="s">
        <v>1605</v>
      </c>
      <c r="D99" s="74" t="s">
        <v>87</v>
      </c>
      <c r="E99" s="74">
        <v>1</v>
      </c>
      <c r="F99" s="74">
        <v>3.1</v>
      </c>
      <c r="G99" s="758">
        <f t="shared" si="4"/>
        <v>0.18</v>
      </c>
      <c r="H99" s="759">
        <f t="shared" si="5"/>
        <v>0.11</v>
      </c>
      <c r="I99" s="758">
        <f t="shared" si="6"/>
        <v>2.92</v>
      </c>
      <c r="J99" s="760">
        <f t="shared" si="7"/>
        <v>0.9419354838709677</v>
      </c>
      <c r="K99" s="74"/>
      <c r="L99" s="74"/>
      <c r="M99" s="74" t="s">
        <v>1606</v>
      </c>
      <c r="N99" s="74">
        <v>0</v>
      </c>
      <c r="O99" s="74">
        <v>0.34</v>
      </c>
      <c r="P99" s="74">
        <v>0</v>
      </c>
    </row>
    <row r="100" spans="1:16">
      <c r="A100" s="74" t="s">
        <v>761</v>
      </c>
      <c r="B100" s="74" t="s">
        <v>730</v>
      </c>
      <c r="C100" s="74" t="s">
        <v>1561</v>
      </c>
      <c r="D100" s="74" t="s">
        <v>87</v>
      </c>
      <c r="E100" s="74">
        <v>1</v>
      </c>
      <c r="F100" s="74">
        <v>3.1</v>
      </c>
      <c r="G100" s="758">
        <f t="shared" si="4"/>
        <v>0.18</v>
      </c>
      <c r="H100" s="759">
        <f t="shared" si="5"/>
        <v>0.11</v>
      </c>
      <c r="I100" s="758">
        <f t="shared" si="6"/>
        <v>2.92</v>
      </c>
      <c r="J100" s="760">
        <f t="shared" si="7"/>
        <v>0.9419354838709677</v>
      </c>
      <c r="K100" s="74"/>
      <c r="L100" s="74"/>
      <c r="M100" s="74" t="s">
        <v>1607</v>
      </c>
      <c r="N100" s="74">
        <v>0</v>
      </c>
      <c r="O100" s="74">
        <v>0</v>
      </c>
      <c r="P100" s="74">
        <v>0</v>
      </c>
    </row>
    <row r="101" spans="1:16">
      <c r="A101" s="74" t="s">
        <v>761</v>
      </c>
      <c r="B101" s="74" t="s">
        <v>730</v>
      </c>
      <c r="C101" s="74" t="s">
        <v>1608</v>
      </c>
      <c r="D101" s="74" t="s">
        <v>89</v>
      </c>
      <c r="E101" s="74">
        <v>1</v>
      </c>
      <c r="F101" s="74">
        <v>3.1</v>
      </c>
      <c r="G101" s="758">
        <f t="shared" si="4"/>
        <v>0.18</v>
      </c>
      <c r="H101" s="759">
        <f t="shared" si="5"/>
        <v>0.11</v>
      </c>
      <c r="I101" s="758">
        <f t="shared" si="6"/>
        <v>2.92</v>
      </c>
      <c r="J101" s="760">
        <f t="shared" si="7"/>
        <v>0.9419354838709677</v>
      </c>
      <c r="K101" s="74"/>
      <c r="L101" s="74"/>
      <c r="M101" s="74" t="s">
        <v>1609</v>
      </c>
      <c r="N101" s="74">
        <v>0</v>
      </c>
      <c r="O101" s="74">
        <v>0.25</v>
      </c>
      <c r="P101" s="74">
        <v>0</v>
      </c>
    </row>
    <row r="102" spans="1:16">
      <c r="A102" s="74" t="s">
        <v>761</v>
      </c>
      <c r="B102" s="74" t="s">
        <v>730</v>
      </c>
      <c r="C102" s="74" t="s">
        <v>1610</v>
      </c>
      <c r="D102" s="74" t="s">
        <v>89</v>
      </c>
      <c r="E102" s="74">
        <v>2</v>
      </c>
      <c r="F102" s="74">
        <v>6.2</v>
      </c>
      <c r="G102" s="758">
        <f t="shared" si="4"/>
        <v>0.18</v>
      </c>
      <c r="H102" s="759">
        <f t="shared" si="5"/>
        <v>0.11</v>
      </c>
      <c r="I102" s="758">
        <f t="shared" si="6"/>
        <v>2.92</v>
      </c>
      <c r="J102" s="760">
        <f t="shared" si="7"/>
        <v>0.9419354838709677</v>
      </c>
      <c r="K102" s="74"/>
      <c r="L102" s="74"/>
      <c r="M102" s="74" t="s">
        <v>1611</v>
      </c>
      <c r="N102" s="74">
        <v>0</v>
      </c>
      <c r="O102" s="74">
        <v>0</v>
      </c>
      <c r="P102" s="74">
        <v>0</v>
      </c>
    </row>
    <row r="103" spans="1:16">
      <c r="A103" s="74" t="s">
        <v>761</v>
      </c>
      <c r="B103" s="74" t="s">
        <v>730</v>
      </c>
      <c r="C103" s="74" t="s">
        <v>1546</v>
      </c>
      <c r="D103" s="74" t="s">
        <v>89</v>
      </c>
      <c r="E103" s="74">
        <v>3</v>
      </c>
      <c r="F103" s="74">
        <v>9.3000000000000007</v>
      </c>
      <c r="G103" s="758">
        <f t="shared" si="4"/>
        <v>0.18</v>
      </c>
      <c r="H103" s="759">
        <f t="shared" si="5"/>
        <v>0.11</v>
      </c>
      <c r="I103" s="758">
        <f t="shared" si="6"/>
        <v>2.92</v>
      </c>
      <c r="J103" s="760">
        <f t="shared" si="7"/>
        <v>0.9419354838709677</v>
      </c>
      <c r="K103" s="74"/>
      <c r="L103" s="74"/>
      <c r="M103" s="74" t="s">
        <v>1612</v>
      </c>
      <c r="N103" s="74">
        <v>0</v>
      </c>
      <c r="O103" s="74">
        <v>0</v>
      </c>
      <c r="P103" s="74">
        <v>0</v>
      </c>
    </row>
    <row r="104" spans="1:16">
      <c r="A104" s="74" t="s">
        <v>761</v>
      </c>
      <c r="B104" s="74" t="s">
        <v>730</v>
      </c>
      <c r="C104" s="74" t="s">
        <v>1547</v>
      </c>
      <c r="D104" s="74" t="s">
        <v>89</v>
      </c>
      <c r="E104" s="74">
        <v>4</v>
      </c>
      <c r="F104" s="74">
        <v>12.4</v>
      </c>
      <c r="G104" s="758">
        <f t="shared" si="4"/>
        <v>0.18</v>
      </c>
      <c r="H104" s="759">
        <f t="shared" si="5"/>
        <v>0.11</v>
      </c>
      <c r="I104" s="758">
        <f t="shared" si="6"/>
        <v>2.92</v>
      </c>
      <c r="J104" s="760">
        <f t="shared" si="7"/>
        <v>0.9419354838709677</v>
      </c>
      <c r="K104" s="74"/>
      <c r="L104" s="74"/>
      <c r="M104" s="74" t="s">
        <v>1613</v>
      </c>
      <c r="N104" s="74">
        <v>0</v>
      </c>
      <c r="O104" s="74">
        <v>0</v>
      </c>
      <c r="P104" s="74">
        <v>0</v>
      </c>
    </row>
    <row r="105" spans="1:16">
      <c r="A105" s="74" t="s">
        <v>761</v>
      </c>
      <c r="B105" s="74" t="s">
        <v>730</v>
      </c>
      <c r="C105" s="74" t="s">
        <v>1582</v>
      </c>
      <c r="D105" s="74" t="s">
        <v>89</v>
      </c>
      <c r="E105" s="74">
        <v>2</v>
      </c>
      <c r="F105" s="74">
        <v>6.2</v>
      </c>
      <c r="G105" s="758">
        <f t="shared" si="4"/>
        <v>0.18</v>
      </c>
      <c r="H105" s="759">
        <f t="shared" si="5"/>
        <v>0.11</v>
      </c>
      <c r="I105" s="758">
        <f t="shared" si="6"/>
        <v>2.92</v>
      </c>
      <c r="J105" s="760">
        <f t="shared" si="7"/>
        <v>0.9419354838709677</v>
      </c>
      <c r="K105" s="74"/>
      <c r="L105" s="74"/>
      <c r="M105" s="74" t="s">
        <v>1108</v>
      </c>
      <c r="N105" s="74">
        <v>0</v>
      </c>
      <c r="O105" s="74">
        <v>0</v>
      </c>
      <c r="P105" s="74">
        <v>0</v>
      </c>
    </row>
    <row r="106" spans="1:16">
      <c r="A106" s="74" t="s">
        <v>761</v>
      </c>
      <c r="B106" s="74" t="s">
        <v>730</v>
      </c>
      <c r="C106" s="74" t="s">
        <v>1522</v>
      </c>
      <c r="D106" s="74" t="s">
        <v>91</v>
      </c>
      <c r="E106" s="74">
        <v>4</v>
      </c>
      <c r="F106" s="74">
        <v>12.4</v>
      </c>
      <c r="G106" s="758">
        <f t="shared" si="4"/>
        <v>0.18</v>
      </c>
      <c r="H106" s="759">
        <f t="shared" si="5"/>
        <v>0.11</v>
      </c>
      <c r="I106" s="758">
        <f t="shared" si="6"/>
        <v>2.92</v>
      </c>
      <c r="J106" s="760">
        <f t="shared" si="7"/>
        <v>0.9419354838709677</v>
      </c>
      <c r="K106" s="74"/>
      <c r="L106" s="74"/>
      <c r="M106" s="74" t="s">
        <v>919</v>
      </c>
      <c r="N106" s="74">
        <v>0</v>
      </c>
      <c r="O106" s="74">
        <v>0</v>
      </c>
      <c r="P106" s="74">
        <v>1</v>
      </c>
    </row>
    <row r="107" spans="1:16">
      <c r="A107" s="74" t="s">
        <v>761</v>
      </c>
      <c r="B107" s="74" t="s">
        <v>730</v>
      </c>
      <c r="C107" s="74" t="s">
        <v>1550</v>
      </c>
      <c r="D107" s="74" t="s">
        <v>91</v>
      </c>
      <c r="E107" s="74">
        <v>4</v>
      </c>
      <c r="F107" s="74">
        <v>12.4</v>
      </c>
      <c r="G107" s="758">
        <f t="shared" si="4"/>
        <v>0.18</v>
      </c>
      <c r="H107" s="759">
        <f t="shared" si="5"/>
        <v>0.11</v>
      </c>
      <c r="I107" s="758">
        <f t="shared" si="6"/>
        <v>2.92</v>
      </c>
      <c r="J107" s="760">
        <f t="shared" si="7"/>
        <v>0.9419354838709677</v>
      </c>
      <c r="K107" s="74"/>
      <c r="L107" s="74"/>
      <c r="M107" s="74" t="s">
        <v>915</v>
      </c>
      <c r="N107" s="74">
        <v>2.54</v>
      </c>
      <c r="O107" s="74">
        <v>0.26</v>
      </c>
      <c r="P107" s="74">
        <v>0.77539999999999998</v>
      </c>
    </row>
    <row r="108" spans="1:16">
      <c r="A108" s="74" t="s">
        <v>761</v>
      </c>
      <c r="B108" s="74" t="s">
        <v>730</v>
      </c>
      <c r="C108" s="74" t="s">
        <v>1614</v>
      </c>
      <c r="D108" s="74" t="s">
        <v>92</v>
      </c>
      <c r="E108" s="74">
        <v>3</v>
      </c>
      <c r="F108" s="74">
        <v>9.3000000000000007</v>
      </c>
      <c r="G108" s="758">
        <f t="shared" si="4"/>
        <v>0.18</v>
      </c>
      <c r="H108" s="759">
        <f t="shared" si="5"/>
        <v>0.11</v>
      </c>
      <c r="I108" s="758">
        <f t="shared" si="6"/>
        <v>2.92</v>
      </c>
      <c r="J108" s="760">
        <f t="shared" si="7"/>
        <v>0.9419354838709677</v>
      </c>
      <c r="K108" s="74"/>
      <c r="L108" s="74"/>
      <c r="M108" s="74" t="s">
        <v>1615</v>
      </c>
      <c r="N108" s="74">
        <v>0</v>
      </c>
      <c r="O108" s="74">
        <v>0</v>
      </c>
      <c r="P108" s="74">
        <v>1</v>
      </c>
    </row>
    <row r="109" spans="1:16">
      <c r="A109" s="74" t="s">
        <v>761</v>
      </c>
      <c r="B109" s="74" t="s">
        <v>730</v>
      </c>
      <c r="C109" s="74" t="s">
        <v>1552</v>
      </c>
      <c r="D109" s="74" t="s">
        <v>92</v>
      </c>
      <c r="E109" s="74">
        <v>2</v>
      </c>
      <c r="F109" s="74">
        <v>6.2</v>
      </c>
      <c r="G109" s="758">
        <f t="shared" si="4"/>
        <v>0.18</v>
      </c>
      <c r="H109" s="759">
        <f t="shared" si="5"/>
        <v>0.11</v>
      </c>
      <c r="I109" s="758">
        <f t="shared" si="6"/>
        <v>2.92</v>
      </c>
      <c r="J109" s="760">
        <f t="shared" si="7"/>
        <v>0.9419354838709677</v>
      </c>
      <c r="K109" s="74"/>
      <c r="L109" s="74"/>
      <c r="M109" s="74" t="s">
        <v>1616</v>
      </c>
      <c r="N109" s="74">
        <v>0.45</v>
      </c>
      <c r="O109" s="74">
        <v>0.16</v>
      </c>
      <c r="P109" s="74">
        <v>0.8448</v>
      </c>
    </row>
    <row r="110" spans="1:16">
      <c r="A110" s="74" t="s">
        <v>761</v>
      </c>
      <c r="B110" s="74" t="s">
        <v>730</v>
      </c>
      <c r="C110" s="74" t="s">
        <v>1617</v>
      </c>
      <c r="D110" s="74" t="s">
        <v>94</v>
      </c>
      <c r="E110" s="74">
        <v>1</v>
      </c>
      <c r="F110" s="74">
        <v>3.1</v>
      </c>
      <c r="G110" s="758">
        <f t="shared" si="4"/>
        <v>0.18</v>
      </c>
      <c r="H110" s="759">
        <f t="shared" si="5"/>
        <v>0.11</v>
      </c>
      <c r="I110" s="758">
        <f t="shared" si="6"/>
        <v>2.92</v>
      </c>
      <c r="J110" s="760">
        <f t="shared" si="7"/>
        <v>0.9419354838709677</v>
      </c>
      <c r="K110" s="74"/>
      <c r="L110" s="74"/>
      <c r="M110" s="74" t="s">
        <v>1618</v>
      </c>
      <c r="N110" s="74">
        <v>0</v>
      </c>
      <c r="O110" s="74">
        <v>0.16</v>
      </c>
      <c r="P110" s="74">
        <v>1</v>
      </c>
    </row>
    <row r="111" spans="1:16">
      <c r="A111" s="74" t="s">
        <v>761</v>
      </c>
      <c r="B111" s="74" t="s">
        <v>730</v>
      </c>
      <c r="C111" s="74" t="s">
        <v>1553</v>
      </c>
      <c r="D111" s="74" t="s">
        <v>94</v>
      </c>
      <c r="E111" s="74">
        <v>2</v>
      </c>
      <c r="F111" s="74">
        <v>6.2</v>
      </c>
      <c r="G111" s="758">
        <f t="shared" si="4"/>
        <v>0.18</v>
      </c>
      <c r="H111" s="759">
        <f t="shared" si="5"/>
        <v>0.11</v>
      </c>
      <c r="I111" s="758">
        <f t="shared" si="6"/>
        <v>2.92</v>
      </c>
      <c r="J111" s="760">
        <f t="shared" si="7"/>
        <v>0.9419354838709677</v>
      </c>
      <c r="K111" s="74"/>
      <c r="L111" s="74"/>
      <c r="M111" s="74" t="s">
        <v>1323</v>
      </c>
      <c r="N111" s="74">
        <v>0</v>
      </c>
      <c r="O111" s="74">
        <v>0.16</v>
      </c>
      <c r="P111" s="74">
        <v>1</v>
      </c>
    </row>
    <row r="112" spans="1:16">
      <c r="A112" s="74" t="s">
        <v>761</v>
      </c>
      <c r="B112" s="74" t="s">
        <v>730</v>
      </c>
      <c r="C112" s="74" t="s">
        <v>1555</v>
      </c>
      <c r="D112" s="74" t="s">
        <v>94</v>
      </c>
      <c r="E112" s="74">
        <v>3</v>
      </c>
      <c r="F112" s="74">
        <v>9.3000000000000007</v>
      </c>
      <c r="G112" s="758">
        <f t="shared" si="4"/>
        <v>0.18</v>
      </c>
      <c r="H112" s="759">
        <f t="shared" si="5"/>
        <v>0.11</v>
      </c>
      <c r="I112" s="758">
        <f t="shared" si="6"/>
        <v>2.92</v>
      </c>
      <c r="J112" s="760">
        <f t="shared" si="7"/>
        <v>0.9419354838709677</v>
      </c>
      <c r="K112" s="74"/>
      <c r="L112" s="74"/>
      <c r="M112" s="74" t="s">
        <v>1160</v>
      </c>
      <c r="N112" s="74">
        <v>0</v>
      </c>
      <c r="O112" s="74">
        <v>0</v>
      </c>
      <c r="P112" s="74">
        <v>1</v>
      </c>
    </row>
    <row r="113" spans="1:16">
      <c r="A113" s="74" t="s">
        <v>761</v>
      </c>
      <c r="B113" s="74" t="s">
        <v>730</v>
      </c>
      <c r="C113" s="74" t="s">
        <v>1557</v>
      </c>
      <c r="D113" s="74" t="s">
        <v>95</v>
      </c>
      <c r="E113" s="74">
        <v>1</v>
      </c>
      <c r="F113" s="74">
        <v>3.1</v>
      </c>
      <c r="G113" s="758">
        <f t="shared" si="4"/>
        <v>0.18</v>
      </c>
      <c r="H113" s="759">
        <f t="shared" si="5"/>
        <v>0.11</v>
      </c>
      <c r="I113" s="758">
        <f t="shared" si="6"/>
        <v>2.92</v>
      </c>
      <c r="J113" s="760">
        <f t="shared" si="7"/>
        <v>0.9419354838709677</v>
      </c>
      <c r="K113" s="74"/>
      <c r="L113" s="74"/>
      <c r="M113" s="74" t="s">
        <v>927</v>
      </c>
      <c r="N113" s="74">
        <v>0.5</v>
      </c>
      <c r="O113" s="74">
        <v>0.28000000000000003</v>
      </c>
      <c r="P113" s="74">
        <v>0.81440000000000001</v>
      </c>
    </row>
    <row r="114" spans="1:16">
      <c r="A114" s="74" t="s">
        <v>903</v>
      </c>
      <c r="B114" s="74" t="s">
        <v>327</v>
      </c>
      <c r="C114" s="74" t="s">
        <v>1565</v>
      </c>
      <c r="D114" s="74" t="s">
        <v>78</v>
      </c>
      <c r="E114" s="74">
        <v>1</v>
      </c>
      <c r="F114" s="74">
        <v>3.5</v>
      </c>
      <c r="G114" s="758">
        <f t="shared" si="4"/>
        <v>0.36</v>
      </c>
      <c r="H114" s="759">
        <f t="shared" si="5"/>
        <v>0.23</v>
      </c>
      <c r="I114" s="758">
        <f t="shared" si="6"/>
        <v>3.14</v>
      </c>
      <c r="J114" s="760">
        <f t="shared" si="7"/>
        <v>0.89714285714285713</v>
      </c>
      <c r="K114" s="74"/>
      <c r="L114" s="74"/>
      <c r="M114" s="74" t="s">
        <v>1619</v>
      </c>
      <c r="N114" s="74">
        <v>0.68</v>
      </c>
      <c r="O114" s="74">
        <v>0</v>
      </c>
      <c r="P114" s="74">
        <v>0</v>
      </c>
    </row>
    <row r="115" spans="1:16">
      <c r="A115" s="74" t="s">
        <v>903</v>
      </c>
      <c r="B115" s="74" t="s">
        <v>327</v>
      </c>
      <c r="C115" s="74" t="s">
        <v>1511</v>
      </c>
      <c r="D115" s="74" t="s">
        <v>80</v>
      </c>
      <c r="E115" s="74">
        <v>2</v>
      </c>
      <c r="F115" s="74">
        <v>7</v>
      </c>
      <c r="G115" s="758">
        <f t="shared" si="4"/>
        <v>0.36</v>
      </c>
      <c r="H115" s="759">
        <f t="shared" si="5"/>
        <v>0.23</v>
      </c>
      <c r="I115" s="758">
        <f t="shared" si="6"/>
        <v>3.14</v>
      </c>
      <c r="J115" s="760">
        <f t="shared" si="7"/>
        <v>0.89714285714285713</v>
      </c>
      <c r="K115" s="74"/>
      <c r="L115" s="74"/>
      <c r="M115" s="74" t="s">
        <v>1620</v>
      </c>
      <c r="N115" s="74">
        <v>0</v>
      </c>
      <c r="O115" s="74">
        <v>0</v>
      </c>
      <c r="P115" s="74">
        <v>1</v>
      </c>
    </row>
    <row r="116" spans="1:16">
      <c r="A116" s="74" t="s">
        <v>903</v>
      </c>
      <c r="B116" s="74" t="s">
        <v>327</v>
      </c>
      <c r="C116" s="74" t="s">
        <v>1512</v>
      </c>
      <c r="D116" s="74" t="s">
        <v>80</v>
      </c>
      <c r="E116" s="74">
        <v>1</v>
      </c>
      <c r="F116" s="74">
        <v>4.2</v>
      </c>
      <c r="G116" s="758">
        <f t="shared" si="4"/>
        <v>0.36</v>
      </c>
      <c r="H116" s="759">
        <f t="shared" si="5"/>
        <v>0.23</v>
      </c>
      <c r="I116" s="758">
        <f t="shared" si="6"/>
        <v>3.8400000000000003</v>
      </c>
      <c r="J116" s="760">
        <f t="shared" si="7"/>
        <v>0.91428571428571426</v>
      </c>
      <c r="K116" s="74"/>
      <c r="L116" s="74"/>
      <c r="M116" s="74" t="s">
        <v>722</v>
      </c>
      <c r="N116" s="74">
        <v>0.51</v>
      </c>
      <c r="O116" s="74">
        <v>0.27</v>
      </c>
      <c r="P116" s="74">
        <v>0.83030000000000004</v>
      </c>
    </row>
    <row r="117" spans="1:16">
      <c r="A117" s="74" t="s">
        <v>903</v>
      </c>
      <c r="B117" s="74" t="s">
        <v>327</v>
      </c>
      <c r="C117" s="74" t="s">
        <v>1534</v>
      </c>
      <c r="D117" s="74" t="s">
        <v>81</v>
      </c>
      <c r="E117" s="74">
        <v>2</v>
      </c>
      <c r="F117" s="74">
        <v>8.4</v>
      </c>
      <c r="G117" s="758">
        <f t="shared" si="4"/>
        <v>0.36</v>
      </c>
      <c r="H117" s="759">
        <f t="shared" si="5"/>
        <v>0.23</v>
      </c>
      <c r="I117" s="758">
        <f t="shared" si="6"/>
        <v>3.8400000000000003</v>
      </c>
      <c r="J117" s="760">
        <f t="shared" si="7"/>
        <v>0.91428571428571426</v>
      </c>
      <c r="K117" s="74"/>
      <c r="L117" s="74"/>
      <c r="M117" s="74" t="s">
        <v>1621</v>
      </c>
      <c r="N117" s="74">
        <v>0</v>
      </c>
      <c r="O117" s="74">
        <v>0</v>
      </c>
      <c r="P117" s="74">
        <v>0</v>
      </c>
    </row>
    <row r="118" spans="1:16">
      <c r="A118" s="74" t="s">
        <v>903</v>
      </c>
      <c r="B118" s="74" t="s">
        <v>327</v>
      </c>
      <c r="C118" s="74" t="s">
        <v>1515</v>
      </c>
      <c r="D118" s="74" t="s">
        <v>81</v>
      </c>
      <c r="E118" s="74">
        <v>1</v>
      </c>
      <c r="F118" s="74">
        <v>3.5</v>
      </c>
      <c r="G118" s="758">
        <f t="shared" si="4"/>
        <v>0.36</v>
      </c>
      <c r="H118" s="759">
        <f t="shared" si="5"/>
        <v>0.23</v>
      </c>
      <c r="I118" s="758">
        <f t="shared" si="6"/>
        <v>3.14</v>
      </c>
      <c r="J118" s="760">
        <f t="shared" si="7"/>
        <v>0.89714285714285713</v>
      </c>
      <c r="K118" s="74"/>
      <c r="L118" s="74"/>
      <c r="M118" s="74" t="s">
        <v>1622</v>
      </c>
      <c r="N118" s="74">
        <v>0</v>
      </c>
      <c r="O118" s="74">
        <v>0</v>
      </c>
      <c r="P118" s="74">
        <v>0</v>
      </c>
    </row>
    <row r="119" spans="1:16">
      <c r="A119" s="74" t="s">
        <v>903</v>
      </c>
      <c r="B119" s="74" t="s">
        <v>327</v>
      </c>
      <c r="C119" s="74" t="s">
        <v>1516</v>
      </c>
      <c r="D119" s="74" t="s">
        <v>82</v>
      </c>
      <c r="E119" s="74">
        <v>1</v>
      </c>
      <c r="F119" s="74">
        <v>4.2</v>
      </c>
      <c r="G119" s="758">
        <f t="shared" si="4"/>
        <v>0.36</v>
      </c>
      <c r="H119" s="759">
        <f t="shared" si="5"/>
        <v>0.23</v>
      </c>
      <c r="I119" s="758">
        <f t="shared" si="6"/>
        <v>3.8400000000000003</v>
      </c>
      <c r="J119" s="760">
        <f t="shared" si="7"/>
        <v>0.91428571428571426</v>
      </c>
      <c r="K119" s="74"/>
      <c r="L119" s="74"/>
      <c r="M119" s="74" t="s">
        <v>1623</v>
      </c>
      <c r="N119" s="74">
        <v>0</v>
      </c>
      <c r="O119" s="74">
        <v>0</v>
      </c>
      <c r="P119" s="74">
        <v>0</v>
      </c>
    </row>
    <row r="120" spans="1:16">
      <c r="A120" s="74" t="s">
        <v>903</v>
      </c>
      <c r="B120" s="74" t="s">
        <v>327</v>
      </c>
      <c r="C120" s="74" t="s">
        <v>1517</v>
      </c>
      <c r="D120" s="74" t="s">
        <v>82</v>
      </c>
      <c r="E120" s="74">
        <v>3</v>
      </c>
      <c r="F120" s="74">
        <v>13.3</v>
      </c>
      <c r="G120" s="758">
        <f t="shared" si="4"/>
        <v>0.36</v>
      </c>
      <c r="H120" s="759">
        <f t="shared" si="5"/>
        <v>0.23</v>
      </c>
      <c r="I120" s="758">
        <f t="shared" si="6"/>
        <v>4.0733333333333333</v>
      </c>
      <c r="J120" s="760">
        <f t="shared" si="7"/>
        <v>0.91879699248120295</v>
      </c>
      <c r="K120" s="74"/>
      <c r="L120" s="74"/>
      <c r="M120" s="74" t="s">
        <v>1226</v>
      </c>
      <c r="N120" s="74">
        <v>0</v>
      </c>
      <c r="O120" s="74">
        <v>0</v>
      </c>
      <c r="P120" s="74">
        <v>1</v>
      </c>
    </row>
    <row r="121" spans="1:16">
      <c r="A121" s="74" t="s">
        <v>903</v>
      </c>
      <c r="B121" s="74" t="s">
        <v>327</v>
      </c>
      <c r="C121" s="74" t="s">
        <v>1519</v>
      </c>
      <c r="D121" s="74" t="s">
        <v>84</v>
      </c>
      <c r="E121" s="74">
        <v>1</v>
      </c>
      <c r="F121" s="74">
        <v>3.5</v>
      </c>
      <c r="G121" s="758">
        <f t="shared" si="4"/>
        <v>0.36</v>
      </c>
      <c r="H121" s="759">
        <f t="shared" si="5"/>
        <v>0.23</v>
      </c>
      <c r="I121" s="758">
        <f t="shared" si="6"/>
        <v>3.14</v>
      </c>
      <c r="J121" s="760">
        <f t="shared" si="7"/>
        <v>0.89714285714285713</v>
      </c>
      <c r="K121" s="74"/>
      <c r="L121" s="74"/>
      <c r="M121" s="74" t="s">
        <v>1624</v>
      </c>
      <c r="N121" s="74">
        <v>0</v>
      </c>
      <c r="O121" s="74">
        <v>0</v>
      </c>
      <c r="P121" s="74">
        <v>0</v>
      </c>
    </row>
    <row r="122" spans="1:16">
      <c r="A122" s="74" t="s">
        <v>903</v>
      </c>
      <c r="B122" s="74" t="s">
        <v>327</v>
      </c>
      <c r="C122" s="74" t="s">
        <v>1605</v>
      </c>
      <c r="D122" s="74" t="s">
        <v>87</v>
      </c>
      <c r="E122" s="74">
        <v>1</v>
      </c>
      <c r="F122" s="74">
        <v>3.5</v>
      </c>
      <c r="G122" s="758">
        <f t="shared" si="4"/>
        <v>0.36</v>
      </c>
      <c r="H122" s="759">
        <f t="shared" si="5"/>
        <v>0.23</v>
      </c>
      <c r="I122" s="758">
        <f t="shared" si="6"/>
        <v>3.14</v>
      </c>
      <c r="J122" s="760">
        <f t="shared" si="7"/>
        <v>0.89714285714285713</v>
      </c>
      <c r="K122" s="74"/>
      <c r="L122" s="74"/>
      <c r="M122" s="74" t="s">
        <v>1625</v>
      </c>
      <c r="N122" s="74">
        <v>0</v>
      </c>
      <c r="O122" s="74">
        <v>0</v>
      </c>
      <c r="P122" s="74">
        <v>1</v>
      </c>
    </row>
    <row r="123" spans="1:16">
      <c r="A123" s="74" t="s">
        <v>903</v>
      </c>
      <c r="B123" s="74" t="s">
        <v>327</v>
      </c>
      <c r="C123" s="74" t="s">
        <v>1546</v>
      </c>
      <c r="D123" s="74" t="s">
        <v>89</v>
      </c>
      <c r="E123" s="74">
        <v>1</v>
      </c>
      <c r="F123" s="74">
        <v>3.5</v>
      </c>
      <c r="G123" s="758">
        <f t="shared" si="4"/>
        <v>0.36</v>
      </c>
      <c r="H123" s="759">
        <f t="shared" si="5"/>
        <v>0.23</v>
      </c>
      <c r="I123" s="758">
        <f t="shared" si="6"/>
        <v>3.14</v>
      </c>
      <c r="J123" s="760">
        <f t="shared" si="7"/>
        <v>0.89714285714285713</v>
      </c>
      <c r="K123" s="74"/>
      <c r="L123" s="74"/>
      <c r="M123" s="74" t="s">
        <v>947</v>
      </c>
      <c r="N123" s="74">
        <v>0.02</v>
      </c>
      <c r="O123" s="74">
        <v>0.22</v>
      </c>
      <c r="P123" s="74">
        <v>0.99209999999999998</v>
      </c>
    </row>
    <row r="124" spans="1:16">
      <c r="A124" s="74" t="s">
        <v>903</v>
      </c>
      <c r="B124" s="74" t="s">
        <v>327</v>
      </c>
      <c r="C124" s="74" t="s">
        <v>1522</v>
      </c>
      <c r="D124" s="74" t="s">
        <v>91</v>
      </c>
      <c r="E124" s="74">
        <v>1</v>
      </c>
      <c r="F124" s="74">
        <v>3.5</v>
      </c>
      <c r="G124" s="758">
        <f t="shared" si="4"/>
        <v>0.36</v>
      </c>
      <c r="H124" s="759">
        <f t="shared" si="5"/>
        <v>0.23</v>
      </c>
      <c r="I124" s="758">
        <f t="shared" si="6"/>
        <v>3.14</v>
      </c>
      <c r="J124" s="760">
        <f t="shared" si="7"/>
        <v>0.89714285714285713</v>
      </c>
      <c r="K124" s="74"/>
      <c r="L124" s="74"/>
      <c r="M124" s="74" t="s">
        <v>1626</v>
      </c>
      <c r="N124" s="74">
        <v>0.68</v>
      </c>
      <c r="O124" s="74">
        <v>0.23</v>
      </c>
      <c r="P124" s="74">
        <v>0.79390000000000005</v>
      </c>
    </row>
    <row r="125" spans="1:16">
      <c r="A125" s="74" t="s">
        <v>903</v>
      </c>
      <c r="B125" s="74" t="s">
        <v>327</v>
      </c>
      <c r="C125" s="74" t="s">
        <v>1584</v>
      </c>
      <c r="D125" s="74" t="s">
        <v>92</v>
      </c>
      <c r="E125" s="74">
        <v>1</v>
      </c>
      <c r="F125" s="74">
        <v>3.5</v>
      </c>
      <c r="G125" s="758">
        <f t="shared" si="4"/>
        <v>0.36</v>
      </c>
      <c r="H125" s="759">
        <f t="shared" si="5"/>
        <v>0.23</v>
      </c>
      <c r="I125" s="758">
        <f t="shared" si="6"/>
        <v>3.14</v>
      </c>
      <c r="J125" s="760">
        <f t="shared" si="7"/>
        <v>0.89714285714285713</v>
      </c>
      <c r="K125" s="74"/>
      <c r="L125" s="74"/>
      <c r="M125" s="74" t="s">
        <v>1627</v>
      </c>
      <c r="N125" s="74">
        <v>0.31</v>
      </c>
      <c r="O125" s="74">
        <v>0.15</v>
      </c>
      <c r="P125" s="74">
        <v>0.86219999999999997</v>
      </c>
    </row>
    <row r="126" spans="1:16">
      <c r="A126" s="74" t="s">
        <v>903</v>
      </c>
      <c r="B126" s="74" t="s">
        <v>327</v>
      </c>
      <c r="C126" s="74" t="s">
        <v>1614</v>
      </c>
      <c r="D126" s="74" t="s">
        <v>92</v>
      </c>
      <c r="E126" s="74">
        <v>1</v>
      </c>
      <c r="F126" s="74">
        <v>3.5</v>
      </c>
      <c r="G126" s="758">
        <f t="shared" si="4"/>
        <v>0.36</v>
      </c>
      <c r="H126" s="759">
        <f t="shared" si="5"/>
        <v>0.23</v>
      </c>
      <c r="I126" s="758">
        <f t="shared" si="6"/>
        <v>3.14</v>
      </c>
      <c r="J126" s="760">
        <f t="shared" si="7"/>
        <v>0.89714285714285713</v>
      </c>
      <c r="K126" s="74"/>
      <c r="L126" s="74"/>
      <c r="M126" s="74" t="s">
        <v>1628</v>
      </c>
      <c r="N126" s="74">
        <v>0.68</v>
      </c>
      <c r="O126" s="74">
        <v>0.25</v>
      </c>
      <c r="P126" s="74">
        <v>0.77329999999999999</v>
      </c>
    </row>
    <row r="127" spans="1:16">
      <c r="A127" s="74" t="s">
        <v>903</v>
      </c>
      <c r="B127" s="74" t="s">
        <v>327</v>
      </c>
      <c r="C127" s="74" t="s">
        <v>1553</v>
      </c>
      <c r="D127" s="74" t="s">
        <v>94</v>
      </c>
      <c r="E127" s="74">
        <v>1</v>
      </c>
      <c r="F127" s="74">
        <v>3.5</v>
      </c>
      <c r="G127" s="758">
        <f t="shared" si="4"/>
        <v>0.36</v>
      </c>
      <c r="H127" s="759">
        <f t="shared" si="5"/>
        <v>0.23</v>
      </c>
      <c r="I127" s="758">
        <f t="shared" si="6"/>
        <v>3.14</v>
      </c>
      <c r="J127" s="760">
        <f t="shared" si="7"/>
        <v>0.89714285714285713</v>
      </c>
      <c r="K127" s="74"/>
      <c r="L127" s="74"/>
      <c r="M127" s="74" t="s">
        <v>1629</v>
      </c>
      <c r="N127" s="74">
        <v>0.19</v>
      </c>
      <c r="O127" s="74">
        <v>0.18</v>
      </c>
      <c r="P127" s="74">
        <v>0.96079999999999999</v>
      </c>
    </row>
    <row r="128" spans="1:16">
      <c r="A128" s="74" t="s">
        <v>903</v>
      </c>
      <c r="B128" s="74" t="s">
        <v>327</v>
      </c>
      <c r="C128" s="74" t="s">
        <v>1555</v>
      </c>
      <c r="D128" s="74" t="s">
        <v>94</v>
      </c>
      <c r="E128" s="74">
        <v>1</v>
      </c>
      <c r="F128" s="74">
        <v>3.5</v>
      </c>
      <c r="G128" s="758">
        <f t="shared" si="4"/>
        <v>0.36</v>
      </c>
      <c r="H128" s="759">
        <f t="shared" si="5"/>
        <v>0.23</v>
      </c>
      <c r="I128" s="758">
        <f t="shared" si="6"/>
        <v>3.14</v>
      </c>
      <c r="J128" s="760">
        <f t="shared" si="7"/>
        <v>0.89714285714285713</v>
      </c>
      <c r="K128" s="74"/>
      <c r="L128" s="74"/>
      <c r="M128" s="74" t="s">
        <v>1630</v>
      </c>
      <c r="N128" s="74">
        <v>0</v>
      </c>
      <c r="O128" s="74">
        <v>0</v>
      </c>
      <c r="P128" s="74">
        <v>1</v>
      </c>
    </row>
    <row r="129" spans="1:16">
      <c r="A129" s="74" t="s">
        <v>864</v>
      </c>
      <c r="B129" s="74" t="s">
        <v>328</v>
      </c>
      <c r="C129" s="74" t="s">
        <v>1631</v>
      </c>
      <c r="D129" s="74" t="s">
        <v>92</v>
      </c>
      <c r="E129" s="74">
        <v>1</v>
      </c>
      <c r="F129" s="74">
        <v>3.1</v>
      </c>
      <c r="G129" s="758">
        <f t="shared" si="4"/>
        <v>0</v>
      </c>
      <c r="H129" s="759">
        <f t="shared" si="5"/>
        <v>0</v>
      </c>
      <c r="I129" s="758">
        <f t="shared" si="6"/>
        <v>3.1</v>
      </c>
      <c r="J129" s="760">
        <f t="shared" si="7"/>
        <v>1</v>
      </c>
      <c r="K129" s="74"/>
      <c r="L129" s="74"/>
      <c r="M129" s="74" t="s">
        <v>1632</v>
      </c>
      <c r="N129" s="74">
        <v>0</v>
      </c>
      <c r="O129" s="74">
        <v>0</v>
      </c>
      <c r="P129" s="74">
        <v>1</v>
      </c>
    </row>
    <row r="130" spans="1:16">
      <c r="A130" s="74" t="s">
        <v>739</v>
      </c>
      <c r="B130" s="74" t="s">
        <v>730</v>
      </c>
      <c r="C130" s="74" t="s">
        <v>1528</v>
      </c>
      <c r="D130" s="74" t="s">
        <v>78</v>
      </c>
      <c r="E130" s="74">
        <v>1</v>
      </c>
      <c r="F130" s="74">
        <v>5.32</v>
      </c>
      <c r="G130" s="758">
        <f t="shared" ref="G130:G193" si="8">IFERROR(VLOOKUP(A130,$M$1:$P$1014,2,FALSE),0)</f>
        <v>0.89</v>
      </c>
      <c r="H130" s="759">
        <f t="shared" ref="H130:H193" si="9">IFERROR(VLOOKUP(A130,$M$1:$P$1014,3,FALSE),0)</f>
        <v>0.38</v>
      </c>
      <c r="I130" s="758">
        <f t="shared" ref="I130:I193" si="10">IFERROR(F130/E130-G130,0)</f>
        <v>4.4300000000000006</v>
      </c>
      <c r="J130" s="760">
        <f t="shared" ref="J130:J193" si="11">IFERROR(1-G130*E130/F130,0)</f>
        <v>0.83270676691729317</v>
      </c>
      <c r="K130" s="74"/>
      <c r="L130" s="74"/>
      <c r="M130" s="74" t="s">
        <v>1172</v>
      </c>
      <c r="N130" s="74">
        <v>0</v>
      </c>
      <c r="O130" s="74">
        <v>0</v>
      </c>
      <c r="P130" s="74">
        <v>1</v>
      </c>
    </row>
    <row r="131" spans="1:16">
      <c r="A131" s="74" t="s">
        <v>739</v>
      </c>
      <c r="B131" s="74" t="s">
        <v>730</v>
      </c>
      <c r="C131" s="74" t="s">
        <v>1508</v>
      </c>
      <c r="D131" s="74" t="s">
        <v>78</v>
      </c>
      <c r="E131" s="74">
        <v>2</v>
      </c>
      <c r="F131" s="74">
        <v>9.7200000000000006</v>
      </c>
      <c r="G131" s="758">
        <f t="shared" si="8"/>
        <v>0.89</v>
      </c>
      <c r="H131" s="759">
        <f t="shared" si="9"/>
        <v>0.38</v>
      </c>
      <c r="I131" s="758">
        <f t="shared" si="10"/>
        <v>3.97</v>
      </c>
      <c r="J131" s="760">
        <f t="shared" si="11"/>
        <v>0.8168724279835391</v>
      </c>
      <c r="K131" s="74"/>
      <c r="L131" s="74"/>
      <c r="M131" s="74" t="s">
        <v>1633</v>
      </c>
      <c r="N131" s="74">
        <v>2.88</v>
      </c>
      <c r="O131" s="74">
        <v>0.25</v>
      </c>
      <c r="P131" s="74">
        <v>0.77729999999999999</v>
      </c>
    </row>
    <row r="132" spans="1:16">
      <c r="A132" s="74" t="s">
        <v>739</v>
      </c>
      <c r="B132" s="74" t="s">
        <v>730</v>
      </c>
      <c r="C132" s="74" t="s">
        <v>1509</v>
      </c>
      <c r="D132" s="74" t="s">
        <v>78</v>
      </c>
      <c r="E132" s="74">
        <v>3</v>
      </c>
      <c r="F132" s="74">
        <v>14.12</v>
      </c>
      <c r="G132" s="758">
        <f t="shared" si="8"/>
        <v>0.89</v>
      </c>
      <c r="H132" s="759">
        <f t="shared" si="9"/>
        <v>0.38</v>
      </c>
      <c r="I132" s="758">
        <f t="shared" si="10"/>
        <v>3.816666666666666</v>
      </c>
      <c r="J132" s="760">
        <f t="shared" si="11"/>
        <v>0.81090651558073656</v>
      </c>
      <c r="K132" s="74"/>
      <c r="L132" s="74"/>
      <c r="M132" s="74" t="s">
        <v>733</v>
      </c>
      <c r="N132" s="74">
        <v>2.21</v>
      </c>
      <c r="O132" s="74">
        <v>0.5</v>
      </c>
      <c r="P132" s="74">
        <v>0.54430000000000001</v>
      </c>
    </row>
    <row r="133" spans="1:16">
      <c r="A133" s="74" t="s">
        <v>739</v>
      </c>
      <c r="B133" s="74" t="s">
        <v>730</v>
      </c>
      <c r="C133" s="74" t="s">
        <v>1565</v>
      </c>
      <c r="D133" s="74" t="s">
        <v>78</v>
      </c>
      <c r="E133" s="74">
        <v>3</v>
      </c>
      <c r="F133" s="74">
        <v>13.2</v>
      </c>
      <c r="G133" s="758">
        <f t="shared" si="8"/>
        <v>0.89</v>
      </c>
      <c r="H133" s="759">
        <f t="shared" si="9"/>
        <v>0.38</v>
      </c>
      <c r="I133" s="758">
        <f t="shared" si="10"/>
        <v>3.5099999999999993</v>
      </c>
      <c r="J133" s="760">
        <f t="shared" si="11"/>
        <v>0.79772727272727273</v>
      </c>
      <c r="K133" s="74"/>
      <c r="L133" s="74"/>
      <c r="M133" s="74" t="s">
        <v>1634</v>
      </c>
      <c r="N133" s="74">
        <v>0</v>
      </c>
      <c r="O133" s="74">
        <v>0</v>
      </c>
      <c r="P133" s="74">
        <v>1</v>
      </c>
    </row>
    <row r="134" spans="1:16">
      <c r="A134" s="74" t="s">
        <v>739</v>
      </c>
      <c r="B134" s="74" t="s">
        <v>730</v>
      </c>
      <c r="C134" s="74" t="s">
        <v>1530</v>
      </c>
      <c r="D134" s="74" t="s">
        <v>80</v>
      </c>
      <c r="E134" s="74">
        <v>2</v>
      </c>
      <c r="F134" s="74">
        <v>8.8000000000000007</v>
      </c>
      <c r="G134" s="758">
        <f t="shared" si="8"/>
        <v>0.89</v>
      </c>
      <c r="H134" s="759">
        <f t="shared" si="9"/>
        <v>0.38</v>
      </c>
      <c r="I134" s="758">
        <f t="shared" si="10"/>
        <v>3.5100000000000002</v>
      </c>
      <c r="J134" s="760">
        <f t="shared" si="11"/>
        <v>0.79772727272727273</v>
      </c>
      <c r="K134" s="74"/>
      <c r="L134" s="74"/>
      <c r="M134" s="74" t="s">
        <v>799</v>
      </c>
      <c r="N134" s="74">
        <v>0.24</v>
      </c>
      <c r="O134" s="74">
        <v>0.17</v>
      </c>
      <c r="P134" s="74">
        <v>0.93110000000000004</v>
      </c>
    </row>
    <row r="135" spans="1:16">
      <c r="A135" s="74" t="s">
        <v>739</v>
      </c>
      <c r="B135" s="74" t="s">
        <v>730</v>
      </c>
      <c r="C135" s="74" t="s">
        <v>1532</v>
      </c>
      <c r="D135" s="74" t="s">
        <v>80</v>
      </c>
      <c r="E135" s="74">
        <v>1</v>
      </c>
      <c r="F135" s="74">
        <v>4.45</v>
      </c>
      <c r="G135" s="758">
        <f t="shared" si="8"/>
        <v>0.89</v>
      </c>
      <c r="H135" s="759">
        <f t="shared" si="9"/>
        <v>0.38</v>
      </c>
      <c r="I135" s="758">
        <f t="shared" si="10"/>
        <v>3.56</v>
      </c>
      <c r="J135" s="760">
        <f t="shared" si="11"/>
        <v>0.8</v>
      </c>
      <c r="K135" s="74"/>
      <c r="L135" s="74"/>
      <c r="M135" s="74" t="s">
        <v>1635</v>
      </c>
      <c r="N135" s="74">
        <v>0</v>
      </c>
      <c r="O135" s="74">
        <v>0</v>
      </c>
      <c r="P135" s="74">
        <v>0</v>
      </c>
    </row>
    <row r="136" spans="1:16">
      <c r="A136" s="74" t="s">
        <v>739</v>
      </c>
      <c r="B136" s="74" t="s">
        <v>730</v>
      </c>
      <c r="C136" s="74" t="s">
        <v>1511</v>
      </c>
      <c r="D136" s="74" t="s">
        <v>80</v>
      </c>
      <c r="E136" s="74">
        <v>6</v>
      </c>
      <c r="F136" s="74">
        <v>28.75</v>
      </c>
      <c r="G136" s="758">
        <f t="shared" si="8"/>
        <v>0.89</v>
      </c>
      <c r="H136" s="759">
        <f t="shared" si="9"/>
        <v>0.38</v>
      </c>
      <c r="I136" s="758">
        <f t="shared" si="10"/>
        <v>3.9016666666666668</v>
      </c>
      <c r="J136" s="760">
        <f t="shared" si="11"/>
        <v>0.81426086956521737</v>
      </c>
      <c r="K136" s="74"/>
      <c r="L136" s="74"/>
      <c r="M136" s="74" t="s">
        <v>1065</v>
      </c>
      <c r="N136" s="74">
        <v>0.5</v>
      </c>
      <c r="O136" s="74">
        <v>0.28000000000000003</v>
      </c>
      <c r="P136" s="74">
        <v>0.8236</v>
      </c>
    </row>
    <row r="137" spans="1:16">
      <c r="A137" s="74" t="s">
        <v>739</v>
      </c>
      <c r="B137" s="74" t="s">
        <v>730</v>
      </c>
      <c r="C137" s="74" t="s">
        <v>1512</v>
      </c>
      <c r="D137" s="74" t="s">
        <v>80</v>
      </c>
      <c r="E137" s="74">
        <v>5</v>
      </c>
      <c r="F137" s="74">
        <v>22.98</v>
      </c>
      <c r="G137" s="758">
        <f t="shared" si="8"/>
        <v>0.89</v>
      </c>
      <c r="H137" s="759">
        <f t="shared" si="9"/>
        <v>0.38</v>
      </c>
      <c r="I137" s="758">
        <f t="shared" si="10"/>
        <v>3.706</v>
      </c>
      <c r="J137" s="760">
        <f t="shared" si="11"/>
        <v>0.80635335073977377</v>
      </c>
      <c r="K137" s="74"/>
      <c r="L137" s="74"/>
      <c r="M137" s="74" t="s">
        <v>1050</v>
      </c>
      <c r="N137" s="74">
        <v>0</v>
      </c>
      <c r="O137" s="74">
        <v>0</v>
      </c>
      <c r="P137" s="74">
        <v>0</v>
      </c>
    </row>
    <row r="138" spans="1:16">
      <c r="A138" s="74" t="s">
        <v>739</v>
      </c>
      <c r="B138" s="74" t="s">
        <v>730</v>
      </c>
      <c r="C138" s="74" t="s">
        <v>1534</v>
      </c>
      <c r="D138" s="74" t="s">
        <v>81</v>
      </c>
      <c r="E138" s="74">
        <v>7</v>
      </c>
      <c r="F138" s="74">
        <v>30.9</v>
      </c>
      <c r="G138" s="758">
        <f t="shared" si="8"/>
        <v>0.89</v>
      </c>
      <c r="H138" s="759">
        <f t="shared" si="9"/>
        <v>0.38</v>
      </c>
      <c r="I138" s="758">
        <f t="shared" si="10"/>
        <v>3.5242857142857136</v>
      </c>
      <c r="J138" s="760">
        <f t="shared" si="11"/>
        <v>0.79838187702265373</v>
      </c>
      <c r="K138" s="74"/>
      <c r="L138" s="74"/>
      <c r="M138" s="74" t="s">
        <v>1636</v>
      </c>
      <c r="N138" s="74">
        <v>0</v>
      </c>
      <c r="O138" s="74">
        <v>0</v>
      </c>
      <c r="P138" s="74">
        <v>1</v>
      </c>
    </row>
    <row r="139" spans="1:16">
      <c r="A139" s="74" t="s">
        <v>739</v>
      </c>
      <c r="B139" s="74" t="s">
        <v>730</v>
      </c>
      <c r="C139" s="74" t="s">
        <v>1514</v>
      </c>
      <c r="D139" s="74" t="s">
        <v>81</v>
      </c>
      <c r="E139" s="74">
        <v>4</v>
      </c>
      <c r="F139" s="74">
        <v>20.350000000000001</v>
      </c>
      <c r="G139" s="758">
        <f t="shared" si="8"/>
        <v>0.89</v>
      </c>
      <c r="H139" s="759">
        <f t="shared" si="9"/>
        <v>0.38</v>
      </c>
      <c r="I139" s="758">
        <f t="shared" si="10"/>
        <v>4.1975000000000007</v>
      </c>
      <c r="J139" s="760">
        <f t="shared" si="11"/>
        <v>0.8250614250614251</v>
      </c>
      <c r="K139" s="74"/>
      <c r="L139" s="74"/>
      <c r="M139" s="74" t="s">
        <v>1637</v>
      </c>
      <c r="N139" s="74">
        <v>0</v>
      </c>
      <c r="O139" s="74">
        <v>0</v>
      </c>
      <c r="P139" s="74">
        <v>0</v>
      </c>
    </row>
    <row r="140" spans="1:16">
      <c r="A140" s="74" t="s">
        <v>739</v>
      </c>
      <c r="B140" s="74" t="s">
        <v>730</v>
      </c>
      <c r="C140" s="74" t="s">
        <v>1515</v>
      </c>
      <c r="D140" s="74" t="s">
        <v>81</v>
      </c>
      <c r="E140" s="74">
        <v>4</v>
      </c>
      <c r="F140" s="74">
        <v>18.649999999999999</v>
      </c>
      <c r="G140" s="758">
        <f t="shared" si="8"/>
        <v>0.89</v>
      </c>
      <c r="H140" s="759">
        <f t="shared" si="9"/>
        <v>0.38</v>
      </c>
      <c r="I140" s="758">
        <f t="shared" si="10"/>
        <v>3.7724999999999995</v>
      </c>
      <c r="J140" s="760">
        <f t="shared" si="11"/>
        <v>0.80911528150134049</v>
      </c>
      <c r="K140" s="74"/>
      <c r="L140" s="74"/>
      <c r="M140" s="74" t="s">
        <v>912</v>
      </c>
      <c r="N140" s="74">
        <v>1.25</v>
      </c>
      <c r="O140" s="74">
        <v>0.22</v>
      </c>
      <c r="P140" s="74">
        <v>0.85440000000000005</v>
      </c>
    </row>
    <row r="141" spans="1:16">
      <c r="A141" s="74" t="s">
        <v>739</v>
      </c>
      <c r="B141" s="74" t="s">
        <v>730</v>
      </c>
      <c r="C141" s="74" t="s">
        <v>1517</v>
      </c>
      <c r="D141" s="74" t="s">
        <v>82</v>
      </c>
      <c r="E141" s="74">
        <v>2</v>
      </c>
      <c r="F141" s="74">
        <v>8.85</v>
      </c>
      <c r="G141" s="758">
        <f t="shared" si="8"/>
        <v>0.89</v>
      </c>
      <c r="H141" s="759">
        <f t="shared" si="9"/>
        <v>0.38</v>
      </c>
      <c r="I141" s="758">
        <f t="shared" si="10"/>
        <v>3.5349999999999997</v>
      </c>
      <c r="J141" s="760">
        <f t="shared" si="11"/>
        <v>0.79887005649717513</v>
      </c>
      <c r="K141" s="74"/>
      <c r="L141" s="74"/>
      <c r="M141" s="74" t="s">
        <v>1638</v>
      </c>
      <c r="N141" s="74">
        <v>0</v>
      </c>
      <c r="O141" s="74">
        <v>0</v>
      </c>
      <c r="P141" s="74">
        <v>0</v>
      </c>
    </row>
    <row r="142" spans="1:16">
      <c r="A142" s="74" t="s">
        <v>739</v>
      </c>
      <c r="B142" s="74" t="s">
        <v>730</v>
      </c>
      <c r="C142" s="74" t="s">
        <v>1527</v>
      </c>
      <c r="D142" s="74" t="s">
        <v>82</v>
      </c>
      <c r="E142" s="74">
        <v>1</v>
      </c>
      <c r="F142" s="74">
        <v>4.4000000000000004</v>
      </c>
      <c r="G142" s="758">
        <f t="shared" si="8"/>
        <v>0.89</v>
      </c>
      <c r="H142" s="759">
        <f t="shared" si="9"/>
        <v>0.38</v>
      </c>
      <c r="I142" s="758">
        <f t="shared" si="10"/>
        <v>3.5100000000000002</v>
      </c>
      <c r="J142" s="760">
        <f t="shared" si="11"/>
        <v>0.79772727272727273</v>
      </c>
      <c r="K142" s="74"/>
      <c r="L142" s="74"/>
      <c r="M142" s="74" t="s">
        <v>1639</v>
      </c>
      <c r="N142" s="74">
        <v>0.16</v>
      </c>
      <c r="O142" s="74">
        <v>0.2</v>
      </c>
      <c r="P142" s="74">
        <v>0.82220000000000004</v>
      </c>
    </row>
    <row r="143" spans="1:16">
      <c r="A143" s="74" t="s">
        <v>739</v>
      </c>
      <c r="B143" s="74" t="s">
        <v>730</v>
      </c>
      <c r="C143" s="74" t="s">
        <v>1518</v>
      </c>
      <c r="D143" s="74" t="s">
        <v>82</v>
      </c>
      <c r="E143" s="74">
        <v>3</v>
      </c>
      <c r="F143" s="74">
        <v>23.75</v>
      </c>
      <c r="G143" s="758">
        <f t="shared" si="8"/>
        <v>0.89</v>
      </c>
      <c r="H143" s="759">
        <f t="shared" si="9"/>
        <v>0.38</v>
      </c>
      <c r="I143" s="758">
        <f t="shared" si="10"/>
        <v>7.0266666666666673</v>
      </c>
      <c r="J143" s="760">
        <f t="shared" si="11"/>
        <v>0.88757894736842102</v>
      </c>
      <c r="K143" s="74"/>
      <c r="L143" s="74"/>
      <c r="M143" s="74" t="s">
        <v>1640</v>
      </c>
      <c r="N143" s="74">
        <v>0</v>
      </c>
      <c r="O143" s="74">
        <v>0</v>
      </c>
      <c r="P143" s="74">
        <v>0</v>
      </c>
    </row>
    <row r="144" spans="1:16">
      <c r="A144" s="74" t="s">
        <v>739</v>
      </c>
      <c r="B144" s="74" t="s">
        <v>730</v>
      </c>
      <c r="C144" s="74" t="s">
        <v>1519</v>
      </c>
      <c r="D144" s="74" t="s">
        <v>84</v>
      </c>
      <c r="E144" s="74">
        <v>1</v>
      </c>
      <c r="F144" s="74">
        <v>4.95</v>
      </c>
      <c r="G144" s="758">
        <f t="shared" si="8"/>
        <v>0.89</v>
      </c>
      <c r="H144" s="759">
        <f t="shared" si="9"/>
        <v>0.38</v>
      </c>
      <c r="I144" s="758">
        <f t="shared" si="10"/>
        <v>4.0600000000000005</v>
      </c>
      <c r="J144" s="760">
        <f t="shared" si="11"/>
        <v>0.82020202020202015</v>
      </c>
      <c r="K144" s="74"/>
      <c r="L144" s="74"/>
      <c r="M144" s="74" t="s">
        <v>1641</v>
      </c>
      <c r="N144" s="74">
        <v>1.38</v>
      </c>
      <c r="O144" s="74">
        <v>0</v>
      </c>
      <c r="P144" s="74">
        <v>0</v>
      </c>
    </row>
    <row r="145" spans="1:16">
      <c r="A145" s="74" t="s">
        <v>739</v>
      </c>
      <c r="B145" s="74" t="s">
        <v>730</v>
      </c>
      <c r="C145" s="74" t="s">
        <v>1540</v>
      </c>
      <c r="D145" s="74" t="s">
        <v>84</v>
      </c>
      <c r="E145" s="74">
        <v>1</v>
      </c>
      <c r="F145" s="74">
        <v>4.95</v>
      </c>
      <c r="G145" s="758">
        <f t="shared" si="8"/>
        <v>0.89</v>
      </c>
      <c r="H145" s="759">
        <f t="shared" si="9"/>
        <v>0.38</v>
      </c>
      <c r="I145" s="758">
        <f t="shared" si="10"/>
        <v>4.0600000000000005</v>
      </c>
      <c r="J145" s="760">
        <f t="shared" si="11"/>
        <v>0.82020202020202015</v>
      </c>
      <c r="K145" s="74"/>
      <c r="L145" s="74"/>
      <c r="M145" s="74" t="s">
        <v>1642</v>
      </c>
      <c r="N145" s="74">
        <v>0</v>
      </c>
      <c r="O145" s="74">
        <v>0</v>
      </c>
      <c r="P145" s="74">
        <v>0</v>
      </c>
    </row>
    <row r="146" spans="1:16">
      <c r="A146" s="74" t="s">
        <v>739</v>
      </c>
      <c r="B146" s="74" t="s">
        <v>730</v>
      </c>
      <c r="C146" s="74" t="s">
        <v>1520</v>
      </c>
      <c r="D146" s="74" t="s">
        <v>84</v>
      </c>
      <c r="E146" s="74">
        <v>1</v>
      </c>
      <c r="F146" s="74">
        <v>4.95</v>
      </c>
      <c r="G146" s="758">
        <f t="shared" si="8"/>
        <v>0.89</v>
      </c>
      <c r="H146" s="759">
        <f t="shared" si="9"/>
        <v>0.38</v>
      </c>
      <c r="I146" s="758">
        <f t="shared" si="10"/>
        <v>4.0600000000000005</v>
      </c>
      <c r="J146" s="760">
        <f t="shared" si="11"/>
        <v>0.82020202020202015</v>
      </c>
      <c r="K146" s="74"/>
      <c r="L146" s="74"/>
      <c r="M146" s="74" t="s">
        <v>909</v>
      </c>
      <c r="N146" s="74">
        <v>0</v>
      </c>
      <c r="O146" s="74">
        <v>0</v>
      </c>
      <c r="P146" s="74">
        <v>1</v>
      </c>
    </row>
    <row r="147" spans="1:16">
      <c r="A147" s="74" t="s">
        <v>739</v>
      </c>
      <c r="B147" s="74" t="s">
        <v>730</v>
      </c>
      <c r="C147" s="74" t="s">
        <v>1507</v>
      </c>
      <c r="D147" s="74" t="s">
        <v>86</v>
      </c>
      <c r="E147" s="74">
        <v>3</v>
      </c>
      <c r="F147" s="74">
        <v>14.85</v>
      </c>
      <c r="G147" s="758">
        <f t="shared" si="8"/>
        <v>0.89</v>
      </c>
      <c r="H147" s="759">
        <f t="shared" si="9"/>
        <v>0.38</v>
      </c>
      <c r="I147" s="758">
        <f t="shared" si="10"/>
        <v>4.0600000000000005</v>
      </c>
      <c r="J147" s="760">
        <f t="shared" si="11"/>
        <v>0.82020202020202015</v>
      </c>
      <c r="K147" s="74"/>
      <c r="L147" s="74"/>
      <c r="M147" s="74" t="s">
        <v>1643</v>
      </c>
      <c r="N147" s="74">
        <v>0</v>
      </c>
      <c r="O147" s="74">
        <v>0</v>
      </c>
      <c r="P147" s="74">
        <v>1</v>
      </c>
    </row>
    <row r="148" spans="1:16">
      <c r="A148" s="74" t="s">
        <v>739</v>
      </c>
      <c r="B148" s="74" t="s">
        <v>730</v>
      </c>
      <c r="C148" s="74" t="s">
        <v>1644</v>
      </c>
      <c r="D148" s="74" t="s">
        <v>86</v>
      </c>
      <c r="E148" s="74">
        <v>2</v>
      </c>
      <c r="F148" s="74">
        <v>9.9</v>
      </c>
      <c r="G148" s="758">
        <f t="shared" si="8"/>
        <v>0.89</v>
      </c>
      <c r="H148" s="759">
        <f t="shared" si="9"/>
        <v>0.38</v>
      </c>
      <c r="I148" s="758">
        <f t="shared" si="10"/>
        <v>4.0600000000000005</v>
      </c>
      <c r="J148" s="760">
        <f t="shared" si="11"/>
        <v>0.82020202020202015</v>
      </c>
      <c r="K148" s="74"/>
      <c r="L148" s="74"/>
      <c r="M148" s="74" t="s">
        <v>1645</v>
      </c>
      <c r="N148" s="74">
        <v>0</v>
      </c>
      <c r="O148" s="74">
        <v>0</v>
      </c>
      <c r="P148" s="74">
        <v>1</v>
      </c>
    </row>
    <row r="149" spans="1:16">
      <c r="A149" s="74" t="s">
        <v>739</v>
      </c>
      <c r="B149" s="74" t="s">
        <v>730</v>
      </c>
      <c r="C149" s="74" t="s">
        <v>1646</v>
      </c>
      <c r="D149" s="74" t="s">
        <v>86</v>
      </c>
      <c r="E149" s="74">
        <v>1</v>
      </c>
      <c r="F149" s="74">
        <v>5.85</v>
      </c>
      <c r="G149" s="758">
        <f t="shared" si="8"/>
        <v>0.89</v>
      </c>
      <c r="H149" s="759">
        <f t="shared" si="9"/>
        <v>0.38</v>
      </c>
      <c r="I149" s="758">
        <f t="shared" si="10"/>
        <v>4.96</v>
      </c>
      <c r="J149" s="760">
        <f t="shared" si="11"/>
        <v>0.84786324786324785</v>
      </c>
      <c r="K149" s="74"/>
      <c r="L149" s="74"/>
      <c r="M149" s="74" t="s">
        <v>1647</v>
      </c>
      <c r="N149" s="74">
        <v>0</v>
      </c>
      <c r="O149" s="74">
        <v>0</v>
      </c>
      <c r="P149" s="74">
        <v>0</v>
      </c>
    </row>
    <row r="150" spans="1:16">
      <c r="A150" s="74" t="s">
        <v>739</v>
      </c>
      <c r="B150" s="74" t="s">
        <v>730</v>
      </c>
      <c r="C150" s="74" t="s">
        <v>1544</v>
      </c>
      <c r="D150" s="74" t="s">
        <v>87</v>
      </c>
      <c r="E150" s="74">
        <v>1</v>
      </c>
      <c r="F150" s="74">
        <v>5.85</v>
      </c>
      <c r="G150" s="758">
        <f t="shared" si="8"/>
        <v>0.89</v>
      </c>
      <c r="H150" s="759">
        <f t="shared" si="9"/>
        <v>0.38</v>
      </c>
      <c r="I150" s="758">
        <f t="shared" si="10"/>
        <v>4.96</v>
      </c>
      <c r="J150" s="760">
        <f t="shared" si="11"/>
        <v>0.84786324786324785</v>
      </c>
      <c r="K150" s="74"/>
      <c r="L150" s="74"/>
      <c r="M150" s="74" t="s">
        <v>1056</v>
      </c>
      <c r="N150" s="74">
        <v>0</v>
      </c>
      <c r="O150" s="74">
        <v>0</v>
      </c>
      <c r="P150" s="74">
        <v>0</v>
      </c>
    </row>
    <row r="151" spans="1:16">
      <c r="A151" s="74" t="s">
        <v>739</v>
      </c>
      <c r="B151" s="74" t="s">
        <v>730</v>
      </c>
      <c r="C151" s="74" t="s">
        <v>1608</v>
      </c>
      <c r="D151" s="74" t="s">
        <v>89</v>
      </c>
      <c r="E151" s="74">
        <v>4</v>
      </c>
      <c r="F151" s="74">
        <v>23.55</v>
      </c>
      <c r="G151" s="758">
        <f t="shared" si="8"/>
        <v>0.89</v>
      </c>
      <c r="H151" s="759">
        <f t="shared" si="9"/>
        <v>0.38</v>
      </c>
      <c r="I151" s="758">
        <f t="shared" si="10"/>
        <v>4.9975000000000005</v>
      </c>
      <c r="J151" s="760">
        <f t="shared" si="11"/>
        <v>0.8488322717622081</v>
      </c>
      <c r="K151" s="74"/>
      <c r="L151" s="74"/>
      <c r="M151" s="74" t="s">
        <v>1648</v>
      </c>
      <c r="N151" s="74">
        <v>0</v>
      </c>
      <c r="O151" s="74">
        <v>0</v>
      </c>
      <c r="P151" s="74">
        <v>0</v>
      </c>
    </row>
    <row r="152" spans="1:16">
      <c r="A152" s="74" t="s">
        <v>739</v>
      </c>
      <c r="B152" s="74" t="s">
        <v>730</v>
      </c>
      <c r="C152" s="74" t="s">
        <v>1610</v>
      </c>
      <c r="D152" s="74" t="s">
        <v>89</v>
      </c>
      <c r="E152" s="74">
        <v>2</v>
      </c>
      <c r="F152" s="74">
        <v>11.7</v>
      </c>
      <c r="G152" s="758">
        <f t="shared" si="8"/>
        <v>0.89</v>
      </c>
      <c r="H152" s="759">
        <f t="shared" si="9"/>
        <v>0.38</v>
      </c>
      <c r="I152" s="758">
        <f t="shared" si="10"/>
        <v>4.96</v>
      </c>
      <c r="J152" s="760">
        <f t="shared" si="11"/>
        <v>0.84786324786324785</v>
      </c>
      <c r="K152" s="74"/>
      <c r="L152" s="74"/>
      <c r="M152" s="74" t="s">
        <v>1649</v>
      </c>
      <c r="N152" s="74">
        <v>0</v>
      </c>
      <c r="O152" s="74">
        <v>0.16</v>
      </c>
      <c r="P152" s="74">
        <v>0</v>
      </c>
    </row>
    <row r="153" spans="1:16">
      <c r="A153" s="74" t="s">
        <v>739</v>
      </c>
      <c r="B153" s="74" t="s">
        <v>730</v>
      </c>
      <c r="C153" s="74" t="s">
        <v>1546</v>
      </c>
      <c r="D153" s="74" t="s">
        <v>89</v>
      </c>
      <c r="E153" s="74">
        <v>1</v>
      </c>
      <c r="F153" s="74">
        <v>5.85</v>
      </c>
      <c r="G153" s="758">
        <f t="shared" si="8"/>
        <v>0.89</v>
      </c>
      <c r="H153" s="759">
        <f t="shared" si="9"/>
        <v>0.38</v>
      </c>
      <c r="I153" s="758">
        <f t="shared" si="10"/>
        <v>4.96</v>
      </c>
      <c r="J153" s="760">
        <f t="shared" si="11"/>
        <v>0.84786324786324785</v>
      </c>
      <c r="K153" s="74"/>
      <c r="L153" s="74"/>
      <c r="M153" s="74" t="s">
        <v>1650</v>
      </c>
      <c r="N153" s="74">
        <v>0</v>
      </c>
      <c r="O153" s="74">
        <v>0</v>
      </c>
      <c r="P153" s="74">
        <v>0</v>
      </c>
    </row>
    <row r="154" spans="1:16">
      <c r="A154" s="74" t="s">
        <v>739</v>
      </c>
      <c r="B154" s="74" t="s">
        <v>730</v>
      </c>
      <c r="C154" s="74" t="s">
        <v>1547</v>
      </c>
      <c r="D154" s="74" t="s">
        <v>89</v>
      </c>
      <c r="E154" s="74">
        <v>1</v>
      </c>
      <c r="F154" s="74">
        <v>4.4000000000000004</v>
      </c>
      <c r="G154" s="758">
        <f t="shared" si="8"/>
        <v>0.89</v>
      </c>
      <c r="H154" s="759">
        <f t="shared" si="9"/>
        <v>0.38</v>
      </c>
      <c r="I154" s="758">
        <f t="shared" si="10"/>
        <v>3.5100000000000002</v>
      </c>
      <c r="J154" s="760">
        <f t="shared" si="11"/>
        <v>0.79772727272727273</v>
      </c>
      <c r="K154" s="74"/>
      <c r="L154" s="74"/>
      <c r="M154" s="74" t="s">
        <v>1651</v>
      </c>
      <c r="N154" s="74">
        <v>0</v>
      </c>
      <c r="O154" s="74">
        <v>0.24</v>
      </c>
      <c r="P154" s="74">
        <v>0</v>
      </c>
    </row>
    <row r="155" spans="1:16">
      <c r="A155" s="74" t="s">
        <v>739</v>
      </c>
      <c r="B155" s="74" t="s">
        <v>730</v>
      </c>
      <c r="C155" s="74" t="s">
        <v>1522</v>
      </c>
      <c r="D155" s="74" t="s">
        <v>91</v>
      </c>
      <c r="E155" s="74">
        <v>1</v>
      </c>
      <c r="F155" s="74">
        <v>4.4000000000000004</v>
      </c>
      <c r="G155" s="758">
        <f t="shared" si="8"/>
        <v>0.89</v>
      </c>
      <c r="H155" s="759">
        <f t="shared" si="9"/>
        <v>0.38</v>
      </c>
      <c r="I155" s="758">
        <f t="shared" si="10"/>
        <v>3.5100000000000002</v>
      </c>
      <c r="J155" s="760">
        <f t="shared" si="11"/>
        <v>0.79772727272727273</v>
      </c>
      <c r="K155" s="74"/>
      <c r="L155" s="74"/>
      <c r="M155" s="74" t="s">
        <v>1146</v>
      </c>
      <c r="N155" s="74">
        <v>0</v>
      </c>
      <c r="O155" s="74">
        <v>0</v>
      </c>
      <c r="P155" s="74">
        <v>1</v>
      </c>
    </row>
    <row r="156" spans="1:16">
      <c r="A156" s="74" t="s">
        <v>739</v>
      </c>
      <c r="B156" s="74" t="s">
        <v>730</v>
      </c>
      <c r="C156" s="74" t="s">
        <v>1524</v>
      </c>
      <c r="D156" s="74" t="s">
        <v>91</v>
      </c>
      <c r="E156" s="74">
        <v>1</v>
      </c>
      <c r="F156" s="74">
        <v>5.85</v>
      </c>
      <c r="G156" s="758">
        <f t="shared" si="8"/>
        <v>0.89</v>
      </c>
      <c r="H156" s="759">
        <f t="shared" si="9"/>
        <v>0.38</v>
      </c>
      <c r="I156" s="758">
        <f t="shared" si="10"/>
        <v>4.96</v>
      </c>
      <c r="J156" s="760">
        <f t="shared" si="11"/>
        <v>0.84786324786324785</v>
      </c>
      <c r="K156" s="74"/>
      <c r="L156" s="74"/>
      <c r="M156" s="74" t="s">
        <v>1652</v>
      </c>
      <c r="N156" s="74">
        <v>0</v>
      </c>
      <c r="O156" s="74">
        <v>0</v>
      </c>
      <c r="P156" s="74">
        <v>0</v>
      </c>
    </row>
    <row r="157" spans="1:16">
      <c r="A157" s="74" t="s">
        <v>739</v>
      </c>
      <c r="B157" s="74" t="s">
        <v>730</v>
      </c>
      <c r="C157" s="74" t="s">
        <v>1584</v>
      </c>
      <c r="D157" s="74" t="s">
        <v>92</v>
      </c>
      <c r="E157" s="74">
        <v>1</v>
      </c>
      <c r="F157" s="74">
        <v>5.85</v>
      </c>
      <c r="G157" s="758">
        <f t="shared" si="8"/>
        <v>0.89</v>
      </c>
      <c r="H157" s="759">
        <f t="shared" si="9"/>
        <v>0.38</v>
      </c>
      <c r="I157" s="758">
        <f t="shared" si="10"/>
        <v>4.96</v>
      </c>
      <c r="J157" s="760">
        <f t="shared" si="11"/>
        <v>0.84786324786324785</v>
      </c>
      <c r="K157" s="74"/>
      <c r="L157" s="74"/>
      <c r="M157" s="74" t="s">
        <v>1653</v>
      </c>
      <c r="N157" s="74">
        <v>0</v>
      </c>
      <c r="O157" s="74">
        <v>0</v>
      </c>
      <c r="P157" s="74">
        <v>0</v>
      </c>
    </row>
    <row r="158" spans="1:16">
      <c r="A158" s="74" t="s">
        <v>739</v>
      </c>
      <c r="B158" s="74" t="s">
        <v>730</v>
      </c>
      <c r="C158" s="74" t="s">
        <v>1614</v>
      </c>
      <c r="D158" s="74" t="s">
        <v>92</v>
      </c>
      <c r="E158" s="74">
        <v>1</v>
      </c>
      <c r="F158" s="74">
        <v>5.85</v>
      </c>
      <c r="G158" s="758">
        <f t="shared" si="8"/>
        <v>0.89</v>
      </c>
      <c r="H158" s="759">
        <f t="shared" si="9"/>
        <v>0.38</v>
      </c>
      <c r="I158" s="758">
        <f t="shared" si="10"/>
        <v>4.96</v>
      </c>
      <c r="J158" s="760">
        <f t="shared" si="11"/>
        <v>0.84786324786324785</v>
      </c>
      <c r="K158" s="74"/>
      <c r="L158" s="74"/>
      <c r="M158" s="74" t="s">
        <v>1654</v>
      </c>
      <c r="N158" s="74">
        <v>1.37</v>
      </c>
      <c r="O158" s="74">
        <v>0</v>
      </c>
      <c r="P158" s="74">
        <v>0</v>
      </c>
    </row>
    <row r="159" spans="1:16">
      <c r="A159" s="74" t="s">
        <v>739</v>
      </c>
      <c r="B159" s="74" t="s">
        <v>730</v>
      </c>
      <c r="C159" s="74" t="s">
        <v>1631</v>
      </c>
      <c r="D159" s="74" t="s">
        <v>92</v>
      </c>
      <c r="E159" s="74">
        <v>2</v>
      </c>
      <c r="F159" s="74">
        <v>11.7</v>
      </c>
      <c r="G159" s="758">
        <f t="shared" si="8"/>
        <v>0.89</v>
      </c>
      <c r="H159" s="759">
        <f t="shared" si="9"/>
        <v>0.38</v>
      </c>
      <c r="I159" s="758">
        <f t="shared" si="10"/>
        <v>4.96</v>
      </c>
      <c r="J159" s="760">
        <f t="shared" si="11"/>
        <v>0.84786324786324785</v>
      </c>
      <c r="K159" s="74"/>
      <c r="L159" s="74"/>
      <c r="M159" s="74" t="s">
        <v>1655</v>
      </c>
      <c r="N159" s="74">
        <v>0</v>
      </c>
      <c r="O159" s="74">
        <v>0</v>
      </c>
      <c r="P159" s="74">
        <v>0</v>
      </c>
    </row>
    <row r="160" spans="1:16">
      <c r="A160" s="74" t="s">
        <v>739</v>
      </c>
      <c r="B160" s="74" t="s">
        <v>730</v>
      </c>
      <c r="C160" s="74" t="s">
        <v>1617</v>
      </c>
      <c r="D160" s="74" t="s">
        <v>94</v>
      </c>
      <c r="E160" s="74">
        <v>1</v>
      </c>
      <c r="F160" s="74">
        <v>5.85</v>
      </c>
      <c r="G160" s="758">
        <f t="shared" si="8"/>
        <v>0.89</v>
      </c>
      <c r="H160" s="759">
        <f t="shared" si="9"/>
        <v>0.38</v>
      </c>
      <c r="I160" s="758">
        <f t="shared" si="10"/>
        <v>4.96</v>
      </c>
      <c r="J160" s="760">
        <f t="shared" si="11"/>
        <v>0.84786324786324785</v>
      </c>
      <c r="K160" s="74"/>
      <c r="L160" s="74"/>
      <c r="M160" s="74" t="s">
        <v>1656</v>
      </c>
      <c r="N160" s="74">
        <v>0</v>
      </c>
      <c r="O160" s="74">
        <v>0</v>
      </c>
      <c r="P160" s="74">
        <v>0</v>
      </c>
    </row>
    <row r="161" spans="1:16">
      <c r="A161" s="74" t="s">
        <v>739</v>
      </c>
      <c r="B161" s="74" t="s">
        <v>730</v>
      </c>
      <c r="C161" s="74" t="s">
        <v>1555</v>
      </c>
      <c r="D161" s="74" t="s">
        <v>94</v>
      </c>
      <c r="E161" s="74">
        <v>1</v>
      </c>
      <c r="F161" s="74">
        <v>5.85</v>
      </c>
      <c r="G161" s="758">
        <f t="shared" si="8"/>
        <v>0.89</v>
      </c>
      <c r="H161" s="759">
        <f t="shared" si="9"/>
        <v>0.38</v>
      </c>
      <c r="I161" s="758">
        <f t="shared" si="10"/>
        <v>4.96</v>
      </c>
      <c r="J161" s="760">
        <f t="shared" si="11"/>
        <v>0.84786324786324785</v>
      </c>
      <c r="K161" s="74"/>
      <c r="L161" s="74"/>
      <c r="M161" s="74" t="s">
        <v>1657</v>
      </c>
      <c r="N161" s="74">
        <v>0</v>
      </c>
      <c r="O161" s="74">
        <v>0.16</v>
      </c>
      <c r="P161" s="74">
        <v>1</v>
      </c>
    </row>
    <row r="162" spans="1:16">
      <c r="A162" s="74" t="s">
        <v>739</v>
      </c>
      <c r="B162" s="74" t="s">
        <v>730</v>
      </c>
      <c r="C162" s="74" t="s">
        <v>1526</v>
      </c>
      <c r="D162" s="74" t="s">
        <v>95</v>
      </c>
      <c r="E162" s="74">
        <v>2</v>
      </c>
      <c r="F162" s="74">
        <v>11.7</v>
      </c>
      <c r="G162" s="758">
        <f t="shared" si="8"/>
        <v>0.89</v>
      </c>
      <c r="H162" s="759">
        <f t="shared" si="9"/>
        <v>0.38</v>
      </c>
      <c r="I162" s="758">
        <f t="shared" si="10"/>
        <v>4.96</v>
      </c>
      <c r="J162" s="760">
        <f t="shared" si="11"/>
        <v>0.84786324786324785</v>
      </c>
      <c r="K162" s="74"/>
      <c r="L162" s="74"/>
      <c r="M162" s="74" t="s">
        <v>1214</v>
      </c>
      <c r="N162" s="74">
        <v>0.9</v>
      </c>
      <c r="O162" s="74">
        <v>0.39</v>
      </c>
      <c r="P162" s="74">
        <v>0.74009999999999998</v>
      </c>
    </row>
    <row r="163" spans="1:16">
      <c r="A163" s="74" t="s">
        <v>861</v>
      </c>
      <c r="B163" s="74" t="s">
        <v>328</v>
      </c>
      <c r="C163" s="74" t="s">
        <v>1528</v>
      </c>
      <c r="D163" s="74" t="s">
        <v>78</v>
      </c>
      <c r="E163" s="74">
        <v>4</v>
      </c>
      <c r="F163" s="74">
        <v>12.4</v>
      </c>
      <c r="G163" s="758">
        <f t="shared" si="8"/>
        <v>0.35</v>
      </c>
      <c r="H163" s="759">
        <f t="shared" si="9"/>
        <v>0.24</v>
      </c>
      <c r="I163" s="758">
        <f t="shared" si="10"/>
        <v>2.75</v>
      </c>
      <c r="J163" s="760">
        <f t="shared" si="11"/>
        <v>0.88709677419354838</v>
      </c>
      <c r="K163" s="74"/>
      <c r="L163" s="74"/>
      <c r="M163" s="74" t="s">
        <v>1658</v>
      </c>
      <c r="N163" s="74">
        <v>0</v>
      </c>
      <c r="O163" s="74">
        <v>0</v>
      </c>
      <c r="P163" s="74">
        <v>0</v>
      </c>
    </row>
    <row r="164" spans="1:16">
      <c r="A164" s="74" t="s">
        <v>861</v>
      </c>
      <c r="B164" s="74" t="s">
        <v>328</v>
      </c>
      <c r="C164" s="74" t="s">
        <v>1508</v>
      </c>
      <c r="D164" s="74" t="s">
        <v>78</v>
      </c>
      <c r="E164" s="74">
        <v>2</v>
      </c>
      <c r="F164" s="74">
        <v>6.35</v>
      </c>
      <c r="G164" s="758">
        <f t="shared" si="8"/>
        <v>0.35</v>
      </c>
      <c r="H164" s="759">
        <f t="shared" si="9"/>
        <v>0.24</v>
      </c>
      <c r="I164" s="758">
        <f t="shared" si="10"/>
        <v>2.8249999999999997</v>
      </c>
      <c r="J164" s="760">
        <f t="shared" si="11"/>
        <v>0.88976377952755903</v>
      </c>
      <c r="K164" s="74"/>
      <c r="L164" s="74"/>
      <c r="M164" s="74" t="s">
        <v>1659</v>
      </c>
      <c r="N164" s="74">
        <v>0.73</v>
      </c>
      <c r="O164" s="74">
        <v>0</v>
      </c>
      <c r="P164" s="74">
        <v>0</v>
      </c>
    </row>
    <row r="165" spans="1:16">
      <c r="A165" s="74" t="s">
        <v>861</v>
      </c>
      <c r="B165" s="74" t="s">
        <v>328</v>
      </c>
      <c r="C165" s="74" t="s">
        <v>1509</v>
      </c>
      <c r="D165" s="74" t="s">
        <v>78</v>
      </c>
      <c r="E165" s="74">
        <v>1</v>
      </c>
      <c r="F165" s="74">
        <v>3.25</v>
      </c>
      <c r="G165" s="758">
        <f t="shared" si="8"/>
        <v>0.35</v>
      </c>
      <c r="H165" s="759">
        <f t="shared" si="9"/>
        <v>0.24</v>
      </c>
      <c r="I165" s="758">
        <f t="shared" si="10"/>
        <v>2.9</v>
      </c>
      <c r="J165" s="760">
        <f t="shared" si="11"/>
        <v>0.89230769230769236</v>
      </c>
      <c r="K165" s="74"/>
      <c r="L165" s="74"/>
      <c r="M165" s="74" t="s">
        <v>1660</v>
      </c>
      <c r="N165" s="74">
        <v>0.7</v>
      </c>
      <c r="O165" s="74">
        <v>0.2</v>
      </c>
      <c r="P165" s="74">
        <v>-0.9446</v>
      </c>
    </row>
    <row r="166" spans="1:16">
      <c r="A166" s="74" t="s">
        <v>861</v>
      </c>
      <c r="B166" s="74" t="s">
        <v>328</v>
      </c>
      <c r="C166" s="74" t="s">
        <v>1565</v>
      </c>
      <c r="D166" s="74" t="s">
        <v>78</v>
      </c>
      <c r="E166" s="74">
        <v>2</v>
      </c>
      <c r="F166" s="74">
        <v>6.5</v>
      </c>
      <c r="G166" s="758">
        <f t="shared" si="8"/>
        <v>0.35</v>
      </c>
      <c r="H166" s="759">
        <f t="shared" si="9"/>
        <v>0.24</v>
      </c>
      <c r="I166" s="758">
        <f t="shared" si="10"/>
        <v>2.9</v>
      </c>
      <c r="J166" s="760">
        <f t="shared" si="11"/>
        <v>0.89230769230769236</v>
      </c>
      <c r="K166" s="74"/>
      <c r="L166" s="74"/>
      <c r="M166" s="74" t="s">
        <v>1661</v>
      </c>
      <c r="N166" s="74">
        <v>0.12</v>
      </c>
      <c r="O166" s="74">
        <v>0.28999999999999998</v>
      </c>
      <c r="P166" s="74">
        <v>0.77190000000000003</v>
      </c>
    </row>
    <row r="167" spans="1:16">
      <c r="A167" s="74" t="s">
        <v>861</v>
      </c>
      <c r="B167" s="74" t="s">
        <v>328</v>
      </c>
      <c r="C167" s="74" t="s">
        <v>1532</v>
      </c>
      <c r="D167" s="74" t="s">
        <v>80</v>
      </c>
      <c r="E167" s="74">
        <v>1</v>
      </c>
      <c r="F167" s="74">
        <v>3.25</v>
      </c>
      <c r="G167" s="758">
        <f t="shared" si="8"/>
        <v>0.35</v>
      </c>
      <c r="H167" s="759">
        <f t="shared" si="9"/>
        <v>0.24</v>
      </c>
      <c r="I167" s="758">
        <f t="shared" si="10"/>
        <v>2.9</v>
      </c>
      <c r="J167" s="760">
        <f t="shared" si="11"/>
        <v>0.89230769230769236</v>
      </c>
      <c r="K167" s="74"/>
      <c r="L167" s="74"/>
      <c r="M167" s="74" t="s">
        <v>1662</v>
      </c>
      <c r="N167" s="74">
        <v>0</v>
      </c>
      <c r="O167" s="74">
        <v>0</v>
      </c>
      <c r="P167" s="74">
        <v>0</v>
      </c>
    </row>
    <row r="168" spans="1:16">
      <c r="A168" s="74" t="s">
        <v>861</v>
      </c>
      <c r="B168" s="74" t="s">
        <v>328</v>
      </c>
      <c r="C168" s="74" t="s">
        <v>1511</v>
      </c>
      <c r="D168" s="74" t="s">
        <v>80</v>
      </c>
      <c r="E168" s="74">
        <v>3</v>
      </c>
      <c r="F168" s="74">
        <v>9.75</v>
      </c>
      <c r="G168" s="758">
        <f t="shared" si="8"/>
        <v>0.35</v>
      </c>
      <c r="H168" s="759">
        <f t="shared" si="9"/>
        <v>0.24</v>
      </c>
      <c r="I168" s="758">
        <f t="shared" si="10"/>
        <v>2.9</v>
      </c>
      <c r="J168" s="760">
        <f t="shared" si="11"/>
        <v>0.89230769230769236</v>
      </c>
      <c r="K168" s="74"/>
      <c r="L168" s="74"/>
      <c r="M168" s="74" t="s">
        <v>1663</v>
      </c>
      <c r="N168" s="74">
        <v>0</v>
      </c>
      <c r="O168" s="74">
        <v>0.16</v>
      </c>
      <c r="P168" s="74">
        <v>1</v>
      </c>
    </row>
    <row r="169" spans="1:16">
      <c r="A169" s="74" t="s">
        <v>861</v>
      </c>
      <c r="B169" s="74" t="s">
        <v>328</v>
      </c>
      <c r="C169" s="74" t="s">
        <v>1512</v>
      </c>
      <c r="D169" s="74" t="s">
        <v>80</v>
      </c>
      <c r="E169" s="74">
        <v>2</v>
      </c>
      <c r="F169" s="74">
        <v>6.75</v>
      </c>
      <c r="G169" s="758">
        <f t="shared" si="8"/>
        <v>0.35</v>
      </c>
      <c r="H169" s="759">
        <f t="shared" si="9"/>
        <v>0.24</v>
      </c>
      <c r="I169" s="758">
        <f t="shared" si="10"/>
        <v>3.0249999999999999</v>
      </c>
      <c r="J169" s="760">
        <f t="shared" si="11"/>
        <v>0.89629629629629626</v>
      </c>
      <c r="K169" s="74"/>
      <c r="L169" s="74"/>
      <c r="M169" s="74" t="s">
        <v>1664</v>
      </c>
      <c r="N169" s="74">
        <v>0</v>
      </c>
      <c r="O169" s="74">
        <v>0</v>
      </c>
      <c r="P169" s="74">
        <v>1</v>
      </c>
    </row>
    <row r="170" spans="1:16">
      <c r="A170" s="74" t="s">
        <v>861</v>
      </c>
      <c r="B170" s="74" t="s">
        <v>328</v>
      </c>
      <c r="C170" s="74" t="s">
        <v>1534</v>
      </c>
      <c r="D170" s="74" t="s">
        <v>81</v>
      </c>
      <c r="E170" s="74">
        <v>2</v>
      </c>
      <c r="F170" s="74">
        <v>6.5</v>
      </c>
      <c r="G170" s="758">
        <f t="shared" si="8"/>
        <v>0.35</v>
      </c>
      <c r="H170" s="759">
        <f t="shared" si="9"/>
        <v>0.24</v>
      </c>
      <c r="I170" s="758">
        <f t="shared" si="10"/>
        <v>2.9</v>
      </c>
      <c r="J170" s="760">
        <f t="shared" si="11"/>
        <v>0.89230769230769236</v>
      </c>
      <c r="K170" s="74"/>
      <c r="L170" s="74"/>
      <c r="M170" s="74" t="s">
        <v>710</v>
      </c>
      <c r="N170" s="74">
        <v>0.74</v>
      </c>
      <c r="O170" s="74">
        <v>0.4</v>
      </c>
      <c r="P170" s="74">
        <v>0.72270000000000001</v>
      </c>
    </row>
    <row r="171" spans="1:16">
      <c r="A171" s="74" t="s">
        <v>861</v>
      </c>
      <c r="B171" s="74" t="s">
        <v>328</v>
      </c>
      <c r="C171" s="74" t="s">
        <v>1515</v>
      </c>
      <c r="D171" s="74" t="s">
        <v>81</v>
      </c>
      <c r="E171" s="74">
        <v>1</v>
      </c>
      <c r="F171" s="74">
        <v>3.25</v>
      </c>
      <c r="G171" s="758">
        <f t="shared" si="8"/>
        <v>0.35</v>
      </c>
      <c r="H171" s="759">
        <f t="shared" si="9"/>
        <v>0.24</v>
      </c>
      <c r="I171" s="758">
        <f t="shared" si="10"/>
        <v>2.9</v>
      </c>
      <c r="J171" s="760">
        <f t="shared" si="11"/>
        <v>0.89230769230769236</v>
      </c>
      <c r="K171" s="74"/>
      <c r="L171" s="74"/>
      <c r="M171" s="74" t="s">
        <v>1665</v>
      </c>
      <c r="N171" s="74">
        <v>0</v>
      </c>
      <c r="O171" s="74">
        <v>0</v>
      </c>
      <c r="P171" s="74">
        <v>0</v>
      </c>
    </row>
    <row r="172" spans="1:16">
      <c r="A172" s="74" t="s">
        <v>861</v>
      </c>
      <c r="B172" s="74" t="s">
        <v>328</v>
      </c>
      <c r="C172" s="74" t="s">
        <v>1516</v>
      </c>
      <c r="D172" s="74" t="s">
        <v>82</v>
      </c>
      <c r="E172" s="74">
        <v>2</v>
      </c>
      <c r="F172" s="74">
        <v>17.100000000000001</v>
      </c>
      <c r="G172" s="758">
        <f t="shared" si="8"/>
        <v>0.35</v>
      </c>
      <c r="H172" s="759">
        <f t="shared" si="9"/>
        <v>0.24</v>
      </c>
      <c r="I172" s="758">
        <f t="shared" si="10"/>
        <v>8.2000000000000011</v>
      </c>
      <c r="J172" s="760">
        <f t="shared" si="11"/>
        <v>0.95906432748538017</v>
      </c>
      <c r="K172" s="74"/>
      <c r="L172" s="74"/>
      <c r="M172" s="74" t="s">
        <v>1239</v>
      </c>
      <c r="N172" s="74">
        <v>0.26</v>
      </c>
      <c r="O172" s="74">
        <v>0.19</v>
      </c>
      <c r="P172" s="74">
        <v>0.84650000000000003</v>
      </c>
    </row>
    <row r="173" spans="1:16">
      <c r="A173" s="74" t="s">
        <v>861</v>
      </c>
      <c r="B173" s="74" t="s">
        <v>328</v>
      </c>
      <c r="C173" s="74" t="s">
        <v>1517</v>
      </c>
      <c r="D173" s="74" t="s">
        <v>82</v>
      </c>
      <c r="E173" s="74">
        <v>2</v>
      </c>
      <c r="F173" s="74">
        <v>6.55</v>
      </c>
      <c r="G173" s="758">
        <f t="shared" si="8"/>
        <v>0.35</v>
      </c>
      <c r="H173" s="759">
        <f t="shared" si="9"/>
        <v>0.24</v>
      </c>
      <c r="I173" s="758">
        <f t="shared" si="10"/>
        <v>2.9249999999999998</v>
      </c>
      <c r="J173" s="760">
        <f t="shared" si="11"/>
        <v>0.89312977099236646</v>
      </c>
      <c r="K173" s="74"/>
      <c r="L173" s="74"/>
      <c r="M173" s="74" t="s">
        <v>257</v>
      </c>
      <c r="N173" s="74">
        <v>0.25</v>
      </c>
      <c r="O173" s="74">
        <v>0.21</v>
      </c>
      <c r="P173" s="74">
        <v>0.8498</v>
      </c>
    </row>
    <row r="174" spans="1:16">
      <c r="A174" s="74" t="s">
        <v>861</v>
      </c>
      <c r="B174" s="74" t="s">
        <v>328</v>
      </c>
      <c r="C174" s="74" t="s">
        <v>1527</v>
      </c>
      <c r="D174" s="74" t="s">
        <v>82</v>
      </c>
      <c r="E174" s="74">
        <v>2</v>
      </c>
      <c r="F174" s="74">
        <v>6.5</v>
      </c>
      <c r="G174" s="758">
        <f t="shared" si="8"/>
        <v>0.35</v>
      </c>
      <c r="H174" s="759">
        <f t="shared" si="9"/>
        <v>0.24</v>
      </c>
      <c r="I174" s="758">
        <f t="shared" si="10"/>
        <v>2.9</v>
      </c>
      <c r="J174" s="760">
        <f t="shared" si="11"/>
        <v>0.89230769230769236</v>
      </c>
      <c r="K174" s="74"/>
      <c r="L174" s="74"/>
      <c r="M174" s="74" t="s">
        <v>1666</v>
      </c>
      <c r="N174" s="74">
        <v>0.28000000000000003</v>
      </c>
      <c r="O174" s="74">
        <v>0</v>
      </c>
      <c r="P174" s="74">
        <v>0</v>
      </c>
    </row>
    <row r="175" spans="1:16">
      <c r="A175" s="74" t="s">
        <v>861</v>
      </c>
      <c r="B175" s="74" t="s">
        <v>328</v>
      </c>
      <c r="C175" s="74" t="s">
        <v>1518</v>
      </c>
      <c r="D175" s="74" t="s">
        <v>82</v>
      </c>
      <c r="E175" s="74">
        <v>1</v>
      </c>
      <c r="F175" s="74">
        <v>3.25</v>
      </c>
      <c r="G175" s="758">
        <f t="shared" si="8"/>
        <v>0.35</v>
      </c>
      <c r="H175" s="759">
        <f t="shared" si="9"/>
        <v>0.24</v>
      </c>
      <c r="I175" s="758">
        <f t="shared" si="10"/>
        <v>2.9</v>
      </c>
      <c r="J175" s="760">
        <f t="shared" si="11"/>
        <v>0.89230769230769236</v>
      </c>
      <c r="K175" s="74"/>
      <c r="L175" s="74"/>
      <c r="M175" s="74" t="s">
        <v>246</v>
      </c>
      <c r="N175" s="74">
        <v>0.19</v>
      </c>
      <c r="O175" s="74">
        <v>0.26</v>
      </c>
      <c r="P175" s="74">
        <v>0.88680000000000003</v>
      </c>
    </row>
    <row r="176" spans="1:16">
      <c r="A176" s="74" t="s">
        <v>861</v>
      </c>
      <c r="B176" s="74" t="s">
        <v>328</v>
      </c>
      <c r="C176" s="74" t="s">
        <v>1519</v>
      </c>
      <c r="D176" s="74" t="s">
        <v>84</v>
      </c>
      <c r="E176" s="74">
        <v>1</v>
      </c>
      <c r="F176" s="74">
        <v>3.25</v>
      </c>
      <c r="G176" s="758">
        <f t="shared" si="8"/>
        <v>0.35</v>
      </c>
      <c r="H176" s="759">
        <f t="shared" si="9"/>
        <v>0.24</v>
      </c>
      <c r="I176" s="758">
        <f t="shared" si="10"/>
        <v>2.9</v>
      </c>
      <c r="J176" s="760">
        <f t="shared" si="11"/>
        <v>0.89230769230769236</v>
      </c>
      <c r="K176" s="74"/>
      <c r="L176" s="74"/>
      <c r="M176" s="74" t="s">
        <v>1667</v>
      </c>
      <c r="N176" s="74">
        <v>0</v>
      </c>
      <c r="O176" s="74">
        <v>0</v>
      </c>
      <c r="P176" s="74">
        <v>0</v>
      </c>
    </row>
    <row r="177" spans="1:16">
      <c r="A177" s="74" t="s">
        <v>861</v>
      </c>
      <c r="B177" s="74" t="s">
        <v>328</v>
      </c>
      <c r="C177" s="74" t="s">
        <v>1507</v>
      </c>
      <c r="D177" s="74" t="s">
        <v>86</v>
      </c>
      <c r="E177" s="74">
        <v>1</v>
      </c>
      <c r="F177" s="74">
        <v>3.25</v>
      </c>
      <c r="G177" s="758">
        <f t="shared" si="8"/>
        <v>0.35</v>
      </c>
      <c r="H177" s="759">
        <f t="shared" si="9"/>
        <v>0.24</v>
      </c>
      <c r="I177" s="758">
        <f t="shared" si="10"/>
        <v>2.9</v>
      </c>
      <c r="J177" s="760">
        <f t="shared" si="11"/>
        <v>0.89230769230769236</v>
      </c>
      <c r="K177" s="74"/>
      <c r="L177" s="74"/>
      <c r="M177" s="74" t="s">
        <v>1668</v>
      </c>
      <c r="N177" s="74">
        <v>0.4</v>
      </c>
      <c r="O177" s="74">
        <v>0.32</v>
      </c>
      <c r="P177" s="74">
        <v>0.70589999999999997</v>
      </c>
    </row>
    <row r="178" spans="1:16">
      <c r="A178" s="74" t="s">
        <v>861</v>
      </c>
      <c r="B178" s="74" t="s">
        <v>328</v>
      </c>
      <c r="C178" s="74" t="s">
        <v>1541</v>
      </c>
      <c r="D178" s="74" t="s">
        <v>86</v>
      </c>
      <c r="E178" s="74">
        <v>2</v>
      </c>
      <c r="F178" s="74">
        <v>6.5</v>
      </c>
      <c r="G178" s="758">
        <f t="shared" si="8"/>
        <v>0.35</v>
      </c>
      <c r="H178" s="759">
        <f t="shared" si="9"/>
        <v>0.24</v>
      </c>
      <c r="I178" s="758">
        <f t="shared" si="10"/>
        <v>2.9</v>
      </c>
      <c r="J178" s="760">
        <f t="shared" si="11"/>
        <v>0.89230769230769236</v>
      </c>
      <c r="K178" s="74"/>
      <c r="L178" s="74"/>
      <c r="M178" s="74" t="s">
        <v>1669</v>
      </c>
      <c r="N178" s="74">
        <v>0</v>
      </c>
      <c r="O178" s="74">
        <v>0</v>
      </c>
      <c r="P178" s="74">
        <v>1</v>
      </c>
    </row>
    <row r="179" spans="1:16">
      <c r="A179" s="74" t="s">
        <v>861</v>
      </c>
      <c r="B179" s="74" t="s">
        <v>328</v>
      </c>
      <c r="C179" s="74" t="s">
        <v>1543</v>
      </c>
      <c r="D179" s="74" t="s">
        <v>87</v>
      </c>
      <c r="E179" s="74">
        <v>3</v>
      </c>
      <c r="F179" s="74">
        <v>9.75</v>
      </c>
      <c r="G179" s="758">
        <f t="shared" si="8"/>
        <v>0.35</v>
      </c>
      <c r="H179" s="759">
        <f t="shared" si="9"/>
        <v>0.24</v>
      </c>
      <c r="I179" s="758">
        <f t="shared" si="10"/>
        <v>2.9</v>
      </c>
      <c r="J179" s="760">
        <f t="shared" si="11"/>
        <v>0.89230769230769236</v>
      </c>
      <c r="K179" s="74"/>
      <c r="L179" s="74"/>
      <c r="M179" s="74" t="s">
        <v>1670</v>
      </c>
      <c r="N179" s="74">
        <v>0</v>
      </c>
      <c r="O179" s="74">
        <v>0</v>
      </c>
      <c r="P179" s="74">
        <v>0</v>
      </c>
    </row>
    <row r="180" spans="1:16">
      <c r="A180" s="74" t="s">
        <v>861</v>
      </c>
      <c r="B180" s="74" t="s">
        <v>328</v>
      </c>
      <c r="C180" s="74" t="s">
        <v>1546</v>
      </c>
      <c r="D180" s="74" t="s">
        <v>89</v>
      </c>
      <c r="E180" s="74">
        <v>2</v>
      </c>
      <c r="F180" s="74">
        <v>6.5</v>
      </c>
      <c r="G180" s="758">
        <f t="shared" si="8"/>
        <v>0.35</v>
      </c>
      <c r="H180" s="759">
        <f t="shared" si="9"/>
        <v>0.24</v>
      </c>
      <c r="I180" s="758">
        <f t="shared" si="10"/>
        <v>2.9</v>
      </c>
      <c r="J180" s="760">
        <f t="shared" si="11"/>
        <v>0.89230769230769236</v>
      </c>
      <c r="K180" s="74"/>
      <c r="L180" s="74"/>
      <c r="M180" s="74" t="s">
        <v>1671</v>
      </c>
      <c r="N180" s="74">
        <v>0</v>
      </c>
      <c r="O180" s="74">
        <v>0</v>
      </c>
      <c r="P180" s="74">
        <v>1</v>
      </c>
    </row>
    <row r="181" spans="1:16">
      <c r="A181" s="74" t="s">
        <v>861</v>
      </c>
      <c r="B181" s="74" t="s">
        <v>328</v>
      </c>
      <c r="C181" s="74" t="s">
        <v>1547</v>
      </c>
      <c r="D181" s="74" t="s">
        <v>89</v>
      </c>
      <c r="E181" s="74">
        <v>4</v>
      </c>
      <c r="F181" s="74">
        <v>13</v>
      </c>
      <c r="G181" s="758">
        <f t="shared" si="8"/>
        <v>0.35</v>
      </c>
      <c r="H181" s="759">
        <f t="shared" si="9"/>
        <v>0.24</v>
      </c>
      <c r="I181" s="758">
        <f t="shared" si="10"/>
        <v>2.9</v>
      </c>
      <c r="J181" s="760">
        <f t="shared" si="11"/>
        <v>0.89230769230769236</v>
      </c>
      <c r="K181" s="74"/>
      <c r="L181" s="74"/>
      <c r="M181" s="74" t="s">
        <v>1672</v>
      </c>
      <c r="N181" s="74">
        <v>0</v>
      </c>
      <c r="O181" s="74">
        <v>0</v>
      </c>
      <c r="P181" s="74">
        <v>1</v>
      </c>
    </row>
    <row r="182" spans="1:16">
      <c r="A182" s="74" t="s">
        <v>861</v>
      </c>
      <c r="B182" s="74" t="s">
        <v>328</v>
      </c>
      <c r="C182" s="74" t="s">
        <v>1582</v>
      </c>
      <c r="D182" s="74" t="s">
        <v>89</v>
      </c>
      <c r="E182" s="74">
        <v>1</v>
      </c>
      <c r="F182" s="74">
        <v>3.25</v>
      </c>
      <c r="G182" s="758">
        <f t="shared" si="8"/>
        <v>0.35</v>
      </c>
      <c r="H182" s="759">
        <f t="shared" si="9"/>
        <v>0.24</v>
      </c>
      <c r="I182" s="758">
        <f t="shared" si="10"/>
        <v>2.9</v>
      </c>
      <c r="J182" s="760">
        <f t="shared" si="11"/>
        <v>0.89230769230769236</v>
      </c>
      <c r="K182" s="74"/>
      <c r="L182" s="74"/>
      <c r="M182" s="74" t="s">
        <v>262</v>
      </c>
      <c r="N182" s="74">
        <v>2.69</v>
      </c>
      <c r="O182" s="74">
        <v>0.28000000000000003</v>
      </c>
      <c r="P182" s="74">
        <v>0.75549999999999995</v>
      </c>
    </row>
    <row r="183" spans="1:16">
      <c r="A183" s="74" t="s">
        <v>861</v>
      </c>
      <c r="B183" s="74" t="s">
        <v>328</v>
      </c>
      <c r="C183" s="74" t="s">
        <v>1522</v>
      </c>
      <c r="D183" s="74" t="s">
        <v>91</v>
      </c>
      <c r="E183" s="74">
        <v>1</v>
      </c>
      <c r="F183" s="74">
        <v>3.25</v>
      </c>
      <c r="G183" s="758">
        <f t="shared" si="8"/>
        <v>0.35</v>
      </c>
      <c r="H183" s="759">
        <f t="shared" si="9"/>
        <v>0.24</v>
      </c>
      <c r="I183" s="758">
        <f t="shared" si="10"/>
        <v>2.9</v>
      </c>
      <c r="J183" s="760">
        <f t="shared" si="11"/>
        <v>0.89230769230769236</v>
      </c>
      <c r="K183" s="74"/>
      <c r="L183" s="74"/>
      <c r="M183" s="74" t="s">
        <v>1673</v>
      </c>
      <c r="N183" s="74">
        <v>2.89</v>
      </c>
      <c r="O183" s="74">
        <v>0</v>
      </c>
      <c r="P183" s="74">
        <v>0</v>
      </c>
    </row>
    <row r="184" spans="1:16">
      <c r="A184" s="74" t="s">
        <v>861</v>
      </c>
      <c r="B184" s="74" t="s">
        <v>328</v>
      </c>
      <c r="C184" s="74" t="s">
        <v>1550</v>
      </c>
      <c r="D184" s="74" t="s">
        <v>91</v>
      </c>
      <c r="E184" s="74">
        <v>4</v>
      </c>
      <c r="F184" s="74">
        <v>13</v>
      </c>
      <c r="G184" s="758">
        <f t="shared" si="8"/>
        <v>0.35</v>
      </c>
      <c r="H184" s="759">
        <f t="shared" si="9"/>
        <v>0.24</v>
      </c>
      <c r="I184" s="758">
        <f t="shared" si="10"/>
        <v>2.9</v>
      </c>
      <c r="J184" s="760">
        <f t="shared" si="11"/>
        <v>0.89230769230769236</v>
      </c>
      <c r="K184" s="74"/>
      <c r="L184" s="74"/>
      <c r="M184" s="74" t="s">
        <v>1674</v>
      </c>
      <c r="N184" s="74">
        <v>0</v>
      </c>
      <c r="O184" s="74">
        <v>0</v>
      </c>
      <c r="P184" s="74">
        <v>1</v>
      </c>
    </row>
    <row r="185" spans="1:16">
      <c r="A185" s="74" t="s">
        <v>861</v>
      </c>
      <c r="B185" s="74" t="s">
        <v>328</v>
      </c>
      <c r="C185" s="74" t="s">
        <v>1675</v>
      </c>
      <c r="D185" s="74" t="s">
        <v>91</v>
      </c>
      <c r="E185" s="74">
        <v>2</v>
      </c>
      <c r="F185" s="74">
        <v>6.5</v>
      </c>
      <c r="G185" s="758">
        <f t="shared" si="8"/>
        <v>0.35</v>
      </c>
      <c r="H185" s="759">
        <f t="shared" si="9"/>
        <v>0.24</v>
      </c>
      <c r="I185" s="758">
        <f t="shared" si="10"/>
        <v>2.9</v>
      </c>
      <c r="J185" s="760">
        <f t="shared" si="11"/>
        <v>0.89230769230769236</v>
      </c>
      <c r="K185" s="74"/>
      <c r="L185" s="74"/>
      <c r="M185" s="74" t="s">
        <v>1676</v>
      </c>
      <c r="N185" s="74">
        <v>0</v>
      </c>
      <c r="O185" s="74">
        <v>0</v>
      </c>
      <c r="P185" s="74">
        <v>1</v>
      </c>
    </row>
    <row r="186" spans="1:16">
      <c r="A186" s="74" t="s">
        <v>861</v>
      </c>
      <c r="B186" s="74" t="s">
        <v>328</v>
      </c>
      <c r="C186" s="74" t="s">
        <v>1524</v>
      </c>
      <c r="D186" s="74" t="s">
        <v>91</v>
      </c>
      <c r="E186" s="74">
        <v>1</v>
      </c>
      <c r="F186" s="74">
        <v>3.25</v>
      </c>
      <c r="G186" s="758">
        <f t="shared" si="8"/>
        <v>0.35</v>
      </c>
      <c r="H186" s="759">
        <f t="shared" si="9"/>
        <v>0.24</v>
      </c>
      <c r="I186" s="758">
        <f t="shared" si="10"/>
        <v>2.9</v>
      </c>
      <c r="J186" s="760">
        <f t="shared" si="11"/>
        <v>0.89230769230769236</v>
      </c>
      <c r="K186" s="74"/>
      <c r="L186" s="74"/>
      <c r="M186" s="74" t="s">
        <v>1182</v>
      </c>
      <c r="N186" s="74">
        <v>0</v>
      </c>
      <c r="O186" s="74">
        <v>0</v>
      </c>
      <c r="P186" s="74">
        <v>1</v>
      </c>
    </row>
    <row r="187" spans="1:16">
      <c r="A187" s="74" t="s">
        <v>861</v>
      </c>
      <c r="B187" s="74" t="s">
        <v>328</v>
      </c>
      <c r="C187" s="74" t="s">
        <v>1631</v>
      </c>
      <c r="D187" s="74" t="s">
        <v>92</v>
      </c>
      <c r="E187" s="74">
        <v>1</v>
      </c>
      <c r="F187" s="74">
        <v>3.25</v>
      </c>
      <c r="G187" s="758">
        <f t="shared" si="8"/>
        <v>0.35</v>
      </c>
      <c r="H187" s="759">
        <f t="shared" si="9"/>
        <v>0.24</v>
      </c>
      <c r="I187" s="758">
        <f t="shared" si="10"/>
        <v>2.9</v>
      </c>
      <c r="J187" s="760">
        <f t="shared" si="11"/>
        <v>0.89230769230769236</v>
      </c>
      <c r="K187" s="74"/>
      <c r="L187" s="74"/>
      <c r="M187" s="74" t="s">
        <v>1677</v>
      </c>
      <c r="N187" s="74">
        <v>2.33</v>
      </c>
      <c r="O187" s="74">
        <v>0</v>
      </c>
      <c r="P187" s="74">
        <v>0</v>
      </c>
    </row>
    <row r="188" spans="1:16">
      <c r="A188" s="74" t="s">
        <v>861</v>
      </c>
      <c r="B188" s="74" t="s">
        <v>328</v>
      </c>
      <c r="C188" s="74" t="s">
        <v>1552</v>
      </c>
      <c r="D188" s="74" t="s">
        <v>92</v>
      </c>
      <c r="E188" s="74">
        <v>1</v>
      </c>
      <c r="F188" s="74">
        <v>3.25</v>
      </c>
      <c r="G188" s="758">
        <f t="shared" si="8"/>
        <v>0.35</v>
      </c>
      <c r="H188" s="759">
        <f t="shared" si="9"/>
        <v>0.24</v>
      </c>
      <c r="I188" s="758">
        <f t="shared" si="10"/>
        <v>2.9</v>
      </c>
      <c r="J188" s="760">
        <f t="shared" si="11"/>
        <v>0.89230769230769236</v>
      </c>
      <c r="K188" s="74"/>
      <c r="L188" s="74"/>
      <c r="M188" s="74" t="s">
        <v>1678</v>
      </c>
      <c r="N188" s="74">
        <v>2.33</v>
      </c>
      <c r="O188" s="74">
        <v>0</v>
      </c>
      <c r="P188" s="74">
        <v>0</v>
      </c>
    </row>
    <row r="189" spans="1:16">
      <c r="A189" s="74" t="s">
        <v>861</v>
      </c>
      <c r="B189" s="74" t="s">
        <v>328</v>
      </c>
      <c r="C189" s="74" t="s">
        <v>1617</v>
      </c>
      <c r="D189" s="74" t="s">
        <v>94</v>
      </c>
      <c r="E189" s="74">
        <v>2</v>
      </c>
      <c r="F189" s="74">
        <v>6.5</v>
      </c>
      <c r="G189" s="758">
        <f t="shared" si="8"/>
        <v>0.35</v>
      </c>
      <c r="H189" s="759">
        <f t="shared" si="9"/>
        <v>0.24</v>
      </c>
      <c r="I189" s="758">
        <f t="shared" si="10"/>
        <v>2.9</v>
      </c>
      <c r="J189" s="760">
        <f t="shared" si="11"/>
        <v>0.89230769230769236</v>
      </c>
      <c r="K189" s="74"/>
      <c r="L189" s="74"/>
      <c r="M189" s="74" t="s">
        <v>1679</v>
      </c>
      <c r="N189" s="74">
        <v>2.33</v>
      </c>
      <c r="O189" s="74">
        <v>0</v>
      </c>
      <c r="P189" s="74">
        <v>0</v>
      </c>
    </row>
    <row r="190" spans="1:16">
      <c r="A190" s="74" t="s">
        <v>861</v>
      </c>
      <c r="B190" s="74" t="s">
        <v>328</v>
      </c>
      <c r="C190" s="74" t="s">
        <v>1553</v>
      </c>
      <c r="D190" s="74" t="s">
        <v>94</v>
      </c>
      <c r="E190" s="74">
        <v>2</v>
      </c>
      <c r="F190" s="74">
        <v>6.5</v>
      </c>
      <c r="G190" s="758">
        <f t="shared" si="8"/>
        <v>0.35</v>
      </c>
      <c r="H190" s="759">
        <f t="shared" si="9"/>
        <v>0.24</v>
      </c>
      <c r="I190" s="758">
        <f t="shared" si="10"/>
        <v>2.9</v>
      </c>
      <c r="J190" s="760">
        <f t="shared" si="11"/>
        <v>0.89230769230769236</v>
      </c>
      <c r="K190" s="74"/>
      <c r="L190" s="74"/>
      <c r="M190" s="74" t="s">
        <v>920</v>
      </c>
      <c r="N190" s="74">
        <v>0</v>
      </c>
      <c r="O190" s="74">
        <v>0</v>
      </c>
      <c r="P190" s="74">
        <v>1</v>
      </c>
    </row>
    <row r="191" spans="1:16">
      <c r="A191" s="74" t="s">
        <v>861</v>
      </c>
      <c r="B191" s="74" t="s">
        <v>328</v>
      </c>
      <c r="C191" s="74" t="s">
        <v>1555</v>
      </c>
      <c r="D191" s="74" t="s">
        <v>94</v>
      </c>
      <c r="E191" s="74">
        <v>2</v>
      </c>
      <c r="F191" s="74">
        <v>6.5</v>
      </c>
      <c r="G191" s="758">
        <f t="shared" si="8"/>
        <v>0.35</v>
      </c>
      <c r="H191" s="759">
        <f t="shared" si="9"/>
        <v>0.24</v>
      </c>
      <c r="I191" s="758">
        <f t="shared" si="10"/>
        <v>2.9</v>
      </c>
      <c r="J191" s="760">
        <f t="shared" si="11"/>
        <v>0.89230769230769236</v>
      </c>
      <c r="K191" s="74"/>
      <c r="L191" s="74"/>
      <c r="M191" s="74" t="s">
        <v>1680</v>
      </c>
      <c r="N191" s="74">
        <v>0</v>
      </c>
      <c r="O191" s="74">
        <v>0</v>
      </c>
      <c r="P191" s="74">
        <v>1</v>
      </c>
    </row>
    <row r="192" spans="1:16">
      <c r="A192" s="74" t="s">
        <v>772</v>
      </c>
      <c r="B192" s="74" t="s">
        <v>730</v>
      </c>
      <c r="C192" s="74" t="s">
        <v>1565</v>
      </c>
      <c r="D192" s="74" t="s">
        <v>78</v>
      </c>
      <c r="E192" s="74">
        <v>3</v>
      </c>
      <c r="F192" s="74">
        <v>8.86</v>
      </c>
      <c r="G192" s="758">
        <f t="shared" si="8"/>
        <v>0</v>
      </c>
      <c r="H192" s="759">
        <f t="shared" si="9"/>
        <v>0</v>
      </c>
      <c r="I192" s="758">
        <f t="shared" si="10"/>
        <v>2.9533333333333331</v>
      </c>
      <c r="J192" s="760">
        <f t="shared" si="11"/>
        <v>1</v>
      </c>
      <c r="K192" s="74"/>
      <c r="L192" s="74"/>
      <c r="M192" s="74" t="s">
        <v>829</v>
      </c>
      <c r="N192" s="74">
        <v>1.9</v>
      </c>
      <c r="O192" s="74">
        <v>0.33</v>
      </c>
      <c r="P192" s="74">
        <v>0.78190000000000004</v>
      </c>
    </row>
    <row r="193" spans="1:16">
      <c r="A193" s="74" t="s">
        <v>772</v>
      </c>
      <c r="B193" s="74" t="s">
        <v>730</v>
      </c>
      <c r="C193" s="74" t="s">
        <v>1530</v>
      </c>
      <c r="D193" s="74" t="s">
        <v>80</v>
      </c>
      <c r="E193" s="74">
        <v>4</v>
      </c>
      <c r="F193" s="74">
        <v>11.82</v>
      </c>
      <c r="G193" s="758">
        <f t="shared" si="8"/>
        <v>0</v>
      </c>
      <c r="H193" s="759">
        <f t="shared" si="9"/>
        <v>0</v>
      </c>
      <c r="I193" s="758">
        <f t="shared" si="10"/>
        <v>2.9550000000000001</v>
      </c>
      <c r="J193" s="760">
        <f t="shared" si="11"/>
        <v>1</v>
      </c>
      <c r="K193" s="74"/>
      <c r="L193" s="74"/>
      <c r="M193" s="74" t="s">
        <v>952</v>
      </c>
      <c r="N193" s="74">
        <v>1.05</v>
      </c>
      <c r="O193" s="74">
        <v>0.38</v>
      </c>
      <c r="P193" s="74">
        <v>0.81420000000000003</v>
      </c>
    </row>
    <row r="194" spans="1:16">
      <c r="A194" s="74" t="s">
        <v>772</v>
      </c>
      <c r="B194" s="74" t="s">
        <v>730</v>
      </c>
      <c r="C194" s="74" t="s">
        <v>1532</v>
      </c>
      <c r="D194" s="74" t="s">
        <v>80</v>
      </c>
      <c r="E194" s="74">
        <v>4</v>
      </c>
      <c r="F194" s="74">
        <v>11.82</v>
      </c>
      <c r="G194" s="758">
        <f t="shared" ref="G194:G257" si="12">IFERROR(VLOOKUP(A194,$M$1:$P$1014,2,FALSE),0)</f>
        <v>0</v>
      </c>
      <c r="H194" s="759">
        <f t="shared" ref="H194:H257" si="13">IFERROR(VLOOKUP(A194,$M$1:$P$1014,3,FALSE),0)</f>
        <v>0</v>
      </c>
      <c r="I194" s="758">
        <f t="shared" ref="I194:I257" si="14">IFERROR(F194/E194-G194,0)</f>
        <v>2.9550000000000001</v>
      </c>
      <c r="J194" s="760">
        <f t="shared" ref="J194:J257" si="15">IFERROR(1-G194*E194/F194,0)</f>
        <v>1</v>
      </c>
      <c r="K194" s="74"/>
      <c r="L194" s="74"/>
      <c r="M194" s="74" t="s">
        <v>1681</v>
      </c>
      <c r="N194" s="74">
        <v>0</v>
      </c>
      <c r="O194" s="74">
        <v>0</v>
      </c>
      <c r="P194" s="74">
        <v>1</v>
      </c>
    </row>
    <row r="195" spans="1:16">
      <c r="A195" s="74" t="s">
        <v>772</v>
      </c>
      <c r="B195" s="74" t="s">
        <v>730</v>
      </c>
      <c r="C195" s="74" t="s">
        <v>1511</v>
      </c>
      <c r="D195" s="74" t="s">
        <v>80</v>
      </c>
      <c r="E195" s="74">
        <v>1</v>
      </c>
      <c r="F195" s="74">
        <v>2.95</v>
      </c>
      <c r="G195" s="758">
        <f t="shared" si="12"/>
        <v>0</v>
      </c>
      <c r="H195" s="759">
        <f t="shared" si="13"/>
        <v>0</v>
      </c>
      <c r="I195" s="758">
        <f t="shared" si="14"/>
        <v>2.95</v>
      </c>
      <c r="J195" s="760">
        <f t="shared" si="15"/>
        <v>1</v>
      </c>
      <c r="K195" s="74"/>
      <c r="L195" s="74"/>
      <c r="M195" s="74" t="s">
        <v>1682</v>
      </c>
      <c r="N195" s="74">
        <v>0</v>
      </c>
      <c r="O195" s="74">
        <v>0</v>
      </c>
      <c r="P195" s="74">
        <v>1</v>
      </c>
    </row>
    <row r="196" spans="1:16">
      <c r="A196" s="74" t="s">
        <v>772</v>
      </c>
      <c r="B196" s="74" t="s">
        <v>730</v>
      </c>
      <c r="C196" s="74" t="s">
        <v>1512</v>
      </c>
      <c r="D196" s="74" t="s">
        <v>80</v>
      </c>
      <c r="E196" s="74">
        <v>1</v>
      </c>
      <c r="F196" s="74">
        <v>2.95</v>
      </c>
      <c r="G196" s="758">
        <f t="shared" si="12"/>
        <v>0</v>
      </c>
      <c r="H196" s="759">
        <f t="shared" si="13"/>
        <v>0</v>
      </c>
      <c r="I196" s="758">
        <f t="shared" si="14"/>
        <v>2.95</v>
      </c>
      <c r="J196" s="760">
        <f t="shared" si="15"/>
        <v>1</v>
      </c>
      <c r="K196" s="74"/>
      <c r="L196" s="74"/>
      <c r="M196" s="74" t="s">
        <v>1683</v>
      </c>
      <c r="N196" s="74">
        <v>0</v>
      </c>
      <c r="O196" s="74">
        <v>0.24</v>
      </c>
      <c r="P196" s="74">
        <v>0</v>
      </c>
    </row>
    <row r="197" spans="1:16">
      <c r="A197" s="74" t="s">
        <v>772</v>
      </c>
      <c r="B197" s="74" t="s">
        <v>730</v>
      </c>
      <c r="C197" s="74" t="s">
        <v>1514</v>
      </c>
      <c r="D197" s="74" t="s">
        <v>81</v>
      </c>
      <c r="E197" s="74">
        <v>1</v>
      </c>
      <c r="F197" s="74">
        <v>2.95</v>
      </c>
      <c r="G197" s="758">
        <f t="shared" si="12"/>
        <v>0</v>
      </c>
      <c r="H197" s="759">
        <f t="shared" si="13"/>
        <v>0</v>
      </c>
      <c r="I197" s="758">
        <f t="shared" si="14"/>
        <v>2.95</v>
      </c>
      <c r="J197" s="760">
        <f t="shared" si="15"/>
        <v>1</v>
      </c>
      <c r="K197" s="74"/>
      <c r="L197" s="74"/>
      <c r="M197" s="74" t="s">
        <v>1684</v>
      </c>
      <c r="N197" s="74">
        <v>0</v>
      </c>
      <c r="O197" s="74">
        <v>0</v>
      </c>
      <c r="P197" s="74">
        <v>1</v>
      </c>
    </row>
    <row r="198" spans="1:16">
      <c r="A198" s="74" t="s">
        <v>772</v>
      </c>
      <c r="B198" s="74" t="s">
        <v>730</v>
      </c>
      <c r="C198" s="74" t="s">
        <v>1515</v>
      </c>
      <c r="D198" s="74" t="s">
        <v>81</v>
      </c>
      <c r="E198" s="74">
        <v>1</v>
      </c>
      <c r="F198" s="74">
        <v>2.95</v>
      </c>
      <c r="G198" s="758">
        <f t="shared" si="12"/>
        <v>0</v>
      </c>
      <c r="H198" s="759">
        <f t="shared" si="13"/>
        <v>0</v>
      </c>
      <c r="I198" s="758">
        <f t="shared" si="14"/>
        <v>2.95</v>
      </c>
      <c r="J198" s="760">
        <f t="shared" si="15"/>
        <v>1</v>
      </c>
      <c r="K198" s="74"/>
      <c r="L198" s="74"/>
      <c r="M198" s="74" t="s">
        <v>1685</v>
      </c>
      <c r="N198" s="74">
        <v>0</v>
      </c>
      <c r="O198" s="74">
        <v>0</v>
      </c>
      <c r="P198" s="74">
        <v>1</v>
      </c>
    </row>
    <row r="199" spans="1:16">
      <c r="A199" s="74" t="s">
        <v>773</v>
      </c>
      <c r="B199" s="74" t="s">
        <v>730</v>
      </c>
      <c r="C199" s="74" t="s">
        <v>1528</v>
      </c>
      <c r="D199" s="74" t="s">
        <v>78</v>
      </c>
      <c r="E199" s="74">
        <v>2</v>
      </c>
      <c r="F199" s="74">
        <v>5.9</v>
      </c>
      <c r="G199" s="758">
        <f t="shared" si="12"/>
        <v>0.2</v>
      </c>
      <c r="H199" s="759">
        <f t="shared" si="13"/>
        <v>0.19</v>
      </c>
      <c r="I199" s="758">
        <f t="shared" si="14"/>
        <v>2.75</v>
      </c>
      <c r="J199" s="760">
        <f t="shared" si="15"/>
        <v>0.93220338983050843</v>
      </c>
      <c r="K199" s="74"/>
      <c r="L199" s="74"/>
      <c r="M199" s="74" t="s">
        <v>1686</v>
      </c>
      <c r="N199" s="74">
        <v>0</v>
      </c>
      <c r="O199" s="74">
        <v>0</v>
      </c>
      <c r="P199" s="74">
        <v>1</v>
      </c>
    </row>
    <row r="200" spans="1:16">
      <c r="A200" s="74" t="s">
        <v>773</v>
      </c>
      <c r="B200" s="74" t="s">
        <v>730</v>
      </c>
      <c r="C200" s="74" t="s">
        <v>1508</v>
      </c>
      <c r="D200" s="74" t="s">
        <v>78</v>
      </c>
      <c r="E200" s="74">
        <v>2</v>
      </c>
      <c r="F200" s="74">
        <v>7.05</v>
      </c>
      <c r="G200" s="758">
        <f t="shared" si="12"/>
        <v>0.2</v>
      </c>
      <c r="H200" s="759">
        <f t="shared" si="13"/>
        <v>0.19</v>
      </c>
      <c r="I200" s="758">
        <f t="shared" si="14"/>
        <v>3.3249999999999997</v>
      </c>
      <c r="J200" s="760">
        <f t="shared" si="15"/>
        <v>0.94326241134751776</v>
      </c>
      <c r="K200" s="74"/>
      <c r="L200" s="74"/>
      <c r="M200" s="74" t="s">
        <v>1687</v>
      </c>
      <c r="N200" s="74">
        <v>0</v>
      </c>
      <c r="O200" s="74">
        <v>0</v>
      </c>
      <c r="P200" s="74">
        <v>1</v>
      </c>
    </row>
    <row r="201" spans="1:16">
      <c r="A201" s="74" t="s">
        <v>773</v>
      </c>
      <c r="B201" s="74" t="s">
        <v>730</v>
      </c>
      <c r="C201" s="74" t="s">
        <v>1565</v>
      </c>
      <c r="D201" s="74" t="s">
        <v>78</v>
      </c>
      <c r="E201" s="74">
        <v>5</v>
      </c>
      <c r="F201" s="74">
        <v>14.94</v>
      </c>
      <c r="G201" s="758">
        <f t="shared" si="12"/>
        <v>0.2</v>
      </c>
      <c r="H201" s="759">
        <f t="shared" si="13"/>
        <v>0.19</v>
      </c>
      <c r="I201" s="758">
        <f t="shared" si="14"/>
        <v>2.7879999999999998</v>
      </c>
      <c r="J201" s="760">
        <f t="shared" si="15"/>
        <v>0.93306559571619818</v>
      </c>
      <c r="K201" s="74"/>
      <c r="L201" s="74"/>
      <c r="M201" s="74" t="s">
        <v>1688</v>
      </c>
      <c r="N201" s="74">
        <v>0</v>
      </c>
      <c r="O201" s="74">
        <v>0</v>
      </c>
      <c r="P201" s="74">
        <v>1</v>
      </c>
    </row>
    <row r="202" spans="1:16">
      <c r="A202" s="74" t="s">
        <v>773</v>
      </c>
      <c r="B202" s="74" t="s">
        <v>730</v>
      </c>
      <c r="C202" s="74" t="s">
        <v>1530</v>
      </c>
      <c r="D202" s="74" t="s">
        <v>80</v>
      </c>
      <c r="E202" s="74">
        <v>1</v>
      </c>
      <c r="F202" s="74">
        <v>3.1</v>
      </c>
      <c r="G202" s="758">
        <f t="shared" si="12"/>
        <v>0.2</v>
      </c>
      <c r="H202" s="759">
        <f t="shared" si="13"/>
        <v>0.19</v>
      </c>
      <c r="I202" s="758">
        <f t="shared" si="14"/>
        <v>2.9</v>
      </c>
      <c r="J202" s="760">
        <f t="shared" si="15"/>
        <v>0.93548387096774199</v>
      </c>
      <c r="K202" s="74"/>
      <c r="L202" s="74"/>
      <c r="M202" s="74" t="s">
        <v>1689</v>
      </c>
      <c r="N202" s="74">
        <v>0</v>
      </c>
      <c r="O202" s="74">
        <v>0</v>
      </c>
      <c r="P202" s="74">
        <v>1</v>
      </c>
    </row>
    <row r="203" spans="1:16">
      <c r="A203" s="74" t="s">
        <v>773</v>
      </c>
      <c r="B203" s="74" t="s">
        <v>730</v>
      </c>
      <c r="C203" s="74" t="s">
        <v>1532</v>
      </c>
      <c r="D203" s="74" t="s">
        <v>80</v>
      </c>
      <c r="E203" s="74">
        <v>2</v>
      </c>
      <c r="F203" s="74">
        <v>6.2</v>
      </c>
      <c r="G203" s="758">
        <f t="shared" si="12"/>
        <v>0.2</v>
      </c>
      <c r="H203" s="759">
        <f t="shared" si="13"/>
        <v>0.19</v>
      </c>
      <c r="I203" s="758">
        <f t="shared" si="14"/>
        <v>2.9</v>
      </c>
      <c r="J203" s="760">
        <f t="shared" si="15"/>
        <v>0.93548387096774199</v>
      </c>
      <c r="K203" s="74"/>
      <c r="L203" s="74"/>
      <c r="M203" s="74" t="s">
        <v>1690</v>
      </c>
      <c r="N203" s="74">
        <v>0</v>
      </c>
      <c r="O203" s="74">
        <v>0</v>
      </c>
      <c r="P203" s="74">
        <v>1</v>
      </c>
    </row>
    <row r="204" spans="1:16">
      <c r="A204" s="74" t="s">
        <v>773</v>
      </c>
      <c r="B204" s="74" t="s">
        <v>730</v>
      </c>
      <c r="C204" s="74" t="s">
        <v>1511</v>
      </c>
      <c r="D204" s="74" t="s">
        <v>80</v>
      </c>
      <c r="E204" s="74">
        <v>2</v>
      </c>
      <c r="F204" s="74">
        <v>6.2</v>
      </c>
      <c r="G204" s="758">
        <f t="shared" si="12"/>
        <v>0.2</v>
      </c>
      <c r="H204" s="759">
        <f t="shared" si="13"/>
        <v>0.19</v>
      </c>
      <c r="I204" s="758">
        <f t="shared" si="14"/>
        <v>2.9</v>
      </c>
      <c r="J204" s="760">
        <f t="shared" si="15"/>
        <v>0.93548387096774199</v>
      </c>
      <c r="K204" s="74"/>
      <c r="L204" s="74"/>
      <c r="M204" s="74" t="s">
        <v>1691</v>
      </c>
      <c r="N204" s="74">
        <v>0</v>
      </c>
      <c r="O204" s="74">
        <v>0</v>
      </c>
      <c r="P204" s="74">
        <v>1</v>
      </c>
    </row>
    <row r="205" spans="1:16">
      <c r="A205" s="74" t="s">
        <v>773</v>
      </c>
      <c r="B205" s="74" t="s">
        <v>730</v>
      </c>
      <c r="C205" s="74" t="s">
        <v>1512</v>
      </c>
      <c r="D205" s="74" t="s">
        <v>80</v>
      </c>
      <c r="E205" s="74">
        <v>3</v>
      </c>
      <c r="F205" s="74">
        <v>8.74</v>
      </c>
      <c r="G205" s="758">
        <f t="shared" si="12"/>
        <v>0.2</v>
      </c>
      <c r="H205" s="759">
        <f t="shared" si="13"/>
        <v>0.19</v>
      </c>
      <c r="I205" s="758">
        <f t="shared" si="14"/>
        <v>2.7133333333333334</v>
      </c>
      <c r="J205" s="760">
        <f t="shared" si="15"/>
        <v>0.93135011441647597</v>
      </c>
      <c r="K205" s="74"/>
      <c r="L205" s="74"/>
      <c r="M205" s="74" t="s">
        <v>1692</v>
      </c>
      <c r="N205" s="74">
        <v>0</v>
      </c>
      <c r="O205" s="74">
        <v>0</v>
      </c>
      <c r="P205" s="74">
        <v>1</v>
      </c>
    </row>
    <row r="206" spans="1:16">
      <c r="A206" s="74" t="s">
        <v>773</v>
      </c>
      <c r="B206" s="74" t="s">
        <v>730</v>
      </c>
      <c r="C206" s="74" t="s">
        <v>1534</v>
      </c>
      <c r="D206" s="74" t="s">
        <v>81</v>
      </c>
      <c r="E206" s="74">
        <v>5</v>
      </c>
      <c r="F206" s="74">
        <v>15.5</v>
      </c>
      <c r="G206" s="758">
        <f t="shared" si="12"/>
        <v>0.2</v>
      </c>
      <c r="H206" s="759">
        <f t="shared" si="13"/>
        <v>0.19</v>
      </c>
      <c r="I206" s="758">
        <f t="shared" si="14"/>
        <v>2.9</v>
      </c>
      <c r="J206" s="760">
        <f t="shared" si="15"/>
        <v>0.93548387096774199</v>
      </c>
      <c r="K206" s="74"/>
      <c r="L206" s="74"/>
      <c r="M206" s="74" t="s">
        <v>1693</v>
      </c>
      <c r="N206" s="74">
        <v>2.17</v>
      </c>
      <c r="O206" s="74">
        <v>0</v>
      </c>
      <c r="P206" s="74">
        <v>0</v>
      </c>
    </row>
    <row r="207" spans="1:16">
      <c r="A207" s="74" t="s">
        <v>773</v>
      </c>
      <c r="B207" s="74" t="s">
        <v>730</v>
      </c>
      <c r="C207" s="74" t="s">
        <v>1513</v>
      </c>
      <c r="D207" s="74" t="s">
        <v>81</v>
      </c>
      <c r="E207" s="74">
        <v>3</v>
      </c>
      <c r="F207" s="74">
        <v>8.74</v>
      </c>
      <c r="G207" s="758">
        <f t="shared" si="12"/>
        <v>0.2</v>
      </c>
      <c r="H207" s="759">
        <f t="shared" si="13"/>
        <v>0.19</v>
      </c>
      <c r="I207" s="758">
        <f t="shared" si="14"/>
        <v>2.7133333333333334</v>
      </c>
      <c r="J207" s="760">
        <f t="shared" si="15"/>
        <v>0.93135011441647597</v>
      </c>
      <c r="K207" s="74"/>
      <c r="L207" s="74"/>
      <c r="M207" s="74" t="s">
        <v>1694</v>
      </c>
      <c r="N207" s="74">
        <v>0.96</v>
      </c>
      <c r="O207" s="74">
        <v>0.16</v>
      </c>
      <c r="P207" s="74">
        <v>0.83750000000000002</v>
      </c>
    </row>
    <row r="208" spans="1:16">
      <c r="A208" s="74" t="s">
        <v>773</v>
      </c>
      <c r="B208" s="74" t="s">
        <v>730</v>
      </c>
      <c r="C208" s="74" t="s">
        <v>1514</v>
      </c>
      <c r="D208" s="74" t="s">
        <v>81</v>
      </c>
      <c r="E208" s="74">
        <v>1</v>
      </c>
      <c r="F208" s="74">
        <v>3.05</v>
      </c>
      <c r="G208" s="758">
        <f t="shared" si="12"/>
        <v>0.2</v>
      </c>
      <c r="H208" s="759">
        <f t="shared" si="13"/>
        <v>0.19</v>
      </c>
      <c r="I208" s="758">
        <f t="shared" si="14"/>
        <v>2.8499999999999996</v>
      </c>
      <c r="J208" s="760">
        <f t="shared" si="15"/>
        <v>0.93442622950819676</v>
      </c>
      <c r="K208" s="74"/>
      <c r="L208" s="74"/>
      <c r="M208" s="74" t="s">
        <v>1695</v>
      </c>
      <c r="N208" s="74">
        <v>0</v>
      </c>
      <c r="O208" s="74">
        <v>0</v>
      </c>
      <c r="P208" s="74">
        <v>0</v>
      </c>
    </row>
    <row r="209" spans="1:16">
      <c r="A209" s="74" t="s">
        <v>773</v>
      </c>
      <c r="B209" s="74" t="s">
        <v>730</v>
      </c>
      <c r="C209" s="74" t="s">
        <v>1515</v>
      </c>
      <c r="D209" s="74" t="s">
        <v>81</v>
      </c>
      <c r="E209" s="74">
        <v>1</v>
      </c>
      <c r="F209" s="74">
        <v>4.0999999999999996</v>
      </c>
      <c r="G209" s="758">
        <f t="shared" si="12"/>
        <v>0.2</v>
      </c>
      <c r="H209" s="759">
        <f t="shared" si="13"/>
        <v>0.19</v>
      </c>
      <c r="I209" s="758">
        <f t="shared" si="14"/>
        <v>3.8999999999999995</v>
      </c>
      <c r="J209" s="760">
        <f t="shared" si="15"/>
        <v>0.95121951219512191</v>
      </c>
      <c r="K209" s="74"/>
      <c r="L209" s="74"/>
      <c r="M209" s="74" t="s">
        <v>1696</v>
      </c>
      <c r="N209" s="74">
        <v>0</v>
      </c>
      <c r="O209" s="74">
        <v>0</v>
      </c>
      <c r="P209" s="74">
        <v>1</v>
      </c>
    </row>
    <row r="210" spans="1:16">
      <c r="A210" s="74" t="s">
        <v>773</v>
      </c>
      <c r="B210" s="74" t="s">
        <v>730</v>
      </c>
      <c r="C210" s="74" t="s">
        <v>1516</v>
      </c>
      <c r="D210" s="74" t="s">
        <v>82</v>
      </c>
      <c r="E210" s="74">
        <v>4</v>
      </c>
      <c r="F210" s="74">
        <v>22.6</v>
      </c>
      <c r="G210" s="758">
        <f t="shared" si="12"/>
        <v>0.2</v>
      </c>
      <c r="H210" s="759">
        <f t="shared" si="13"/>
        <v>0.19</v>
      </c>
      <c r="I210" s="758">
        <f t="shared" si="14"/>
        <v>5.45</v>
      </c>
      <c r="J210" s="760">
        <f t="shared" si="15"/>
        <v>0.96460176991150437</v>
      </c>
      <c r="K210" s="74"/>
      <c r="L210" s="74"/>
      <c r="M210" s="74" t="s">
        <v>1697</v>
      </c>
      <c r="N210" s="74">
        <v>0</v>
      </c>
      <c r="O210" s="74">
        <v>0</v>
      </c>
      <c r="P210" s="74">
        <v>1</v>
      </c>
    </row>
    <row r="211" spans="1:16">
      <c r="A211" s="74" t="s">
        <v>773</v>
      </c>
      <c r="B211" s="74" t="s">
        <v>730</v>
      </c>
      <c r="C211" s="74" t="s">
        <v>1517</v>
      </c>
      <c r="D211" s="74" t="s">
        <v>82</v>
      </c>
      <c r="E211" s="74">
        <v>2</v>
      </c>
      <c r="F211" s="74">
        <v>6.2</v>
      </c>
      <c r="G211" s="758">
        <f t="shared" si="12"/>
        <v>0.2</v>
      </c>
      <c r="H211" s="759">
        <f t="shared" si="13"/>
        <v>0.19</v>
      </c>
      <c r="I211" s="758">
        <f t="shared" si="14"/>
        <v>2.9</v>
      </c>
      <c r="J211" s="760">
        <f t="shared" si="15"/>
        <v>0.93548387096774199</v>
      </c>
      <c r="K211" s="74"/>
      <c r="L211" s="74"/>
      <c r="M211" s="74" t="s">
        <v>1319</v>
      </c>
      <c r="N211" s="74">
        <v>0.5</v>
      </c>
      <c r="O211" s="74">
        <v>0.21</v>
      </c>
      <c r="P211" s="74">
        <v>0.94520000000000004</v>
      </c>
    </row>
    <row r="212" spans="1:16">
      <c r="A212" s="74" t="s">
        <v>773</v>
      </c>
      <c r="B212" s="74" t="s">
        <v>730</v>
      </c>
      <c r="C212" s="74" t="s">
        <v>1527</v>
      </c>
      <c r="D212" s="74" t="s">
        <v>82</v>
      </c>
      <c r="E212" s="74">
        <v>3</v>
      </c>
      <c r="F212" s="74">
        <v>9.3000000000000007</v>
      </c>
      <c r="G212" s="758">
        <f t="shared" si="12"/>
        <v>0.2</v>
      </c>
      <c r="H212" s="759">
        <f t="shared" si="13"/>
        <v>0.19</v>
      </c>
      <c r="I212" s="758">
        <f t="shared" si="14"/>
        <v>2.9</v>
      </c>
      <c r="J212" s="760">
        <f t="shared" si="15"/>
        <v>0.93548387096774199</v>
      </c>
      <c r="K212" s="74"/>
      <c r="L212" s="74"/>
      <c r="M212" s="74" t="s">
        <v>1698</v>
      </c>
      <c r="N212" s="74">
        <v>0</v>
      </c>
      <c r="O212" s="74">
        <v>0.24</v>
      </c>
      <c r="P212" s="74">
        <v>0</v>
      </c>
    </row>
    <row r="213" spans="1:16">
      <c r="A213" s="74" t="s">
        <v>773</v>
      </c>
      <c r="B213" s="74" t="s">
        <v>730</v>
      </c>
      <c r="C213" s="74" t="s">
        <v>1519</v>
      </c>
      <c r="D213" s="74" t="s">
        <v>84</v>
      </c>
      <c r="E213" s="74">
        <v>1</v>
      </c>
      <c r="F213" s="74">
        <v>3.1</v>
      </c>
      <c r="G213" s="758">
        <f t="shared" si="12"/>
        <v>0.2</v>
      </c>
      <c r="H213" s="759">
        <f t="shared" si="13"/>
        <v>0.19</v>
      </c>
      <c r="I213" s="758">
        <f t="shared" si="14"/>
        <v>2.9</v>
      </c>
      <c r="J213" s="760">
        <f t="shared" si="15"/>
        <v>0.93548387096774199</v>
      </c>
      <c r="K213" s="74"/>
      <c r="L213" s="74"/>
      <c r="M213" s="74" t="s">
        <v>1699</v>
      </c>
      <c r="N213" s="74">
        <v>1.33</v>
      </c>
      <c r="O213" s="74">
        <v>0.49</v>
      </c>
      <c r="P213" s="74">
        <v>0.55669999999999997</v>
      </c>
    </row>
    <row r="214" spans="1:16">
      <c r="A214" s="74" t="s">
        <v>773</v>
      </c>
      <c r="B214" s="74" t="s">
        <v>730</v>
      </c>
      <c r="C214" s="74" t="s">
        <v>1540</v>
      </c>
      <c r="D214" s="74" t="s">
        <v>84</v>
      </c>
      <c r="E214" s="74">
        <v>2</v>
      </c>
      <c r="F214" s="74">
        <v>6.2</v>
      </c>
      <c r="G214" s="758">
        <f t="shared" si="12"/>
        <v>0.2</v>
      </c>
      <c r="H214" s="759">
        <f t="shared" si="13"/>
        <v>0.19</v>
      </c>
      <c r="I214" s="758">
        <f t="shared" si="14"/>
        <v>2.9</v>
      </c>
      <c r="J214" s="760">
        <f t="shared" si="15"/>
        <v>0.93548387096774199</v>
      </c>
      <c r="K214" s="74"/>
      <c r="L214" s="74"/>
      <c r="M214" s="74" t="s">
        <v>1700</v>
      </c>
      <c r="N214" s="74">
        <v>0</v>
      </c>
      <c r="O214" s="74">
        <v>0</v>
      </c>
      <c r="P214" s="74">
        <v>1</v>
      </c>
    </row>
    <row r="215" spans="1:16">
      <c r="A215" s="74" t="s">
        <v>773</v>
      </c>
      <c r="B215" s="74" t="s">
        <v>730</v>
      </c>
      <c r="C215" s="74" t="s">
        <v>1577</v>
      </c>
      <c r="D215" s="74" t="s">
        <v>84</v>
      </c>
      <c r="E215" s="74">
        <v>2</v>
      </c>
      <c r="F215" s="74">
        <v>6.2</v>
      </c>
      <c r="G215" s="758">
        <f t="shared" si="12"/>
        <v>0.2</v>
      </c>
      <c r="H215" s="759">
        <f t="shared" si="13"/>
        <v>0.19</v>
      </c>
      <c r="I215" s="758">
        <f t="shared" si="14"/>
        <v>2.9</v>
      </c>
      <c r="J215" s="760">
        <f t="shared" si="15"/>
        <v>0.93548387096774199</v>
      </c>
      <c r="K215" s="74"/>
      <c r="L215" s="74"/>
      <c r="M215" s="74" t="s">
        <v>880</v>
      </c>
      <c r="N215" s="74">
        <v>0</v>
      </c>
      <c r="O215" s="74">
        <v>0</v>
      </c>
      <c r="P215" s="74">
        <v>0</v>
      </c>
    </row>
    <row r="216" spans="1:16">
      <c r="A216" s="74" t="s">
        <v>773</v>
      </c>
      <c r="B216" s="74" t="s">
        <v>730</v>
      </c>
      <c r="C216" s="74" t="s">
        <v>1507</v>
      </c>
      <c r="D216" s="74" t="s">
        <v>86</v>
      </c>
      <c r="E216" s="74">
        <v>1</v>
      </c>
      <c r="F216" s="74">
        <v>3.1</v>
      </c>
      <c r="G216" s="758">
        <f t="shared" si="12"/>
        <v>0.2</v>
      </c>
      <c r="H216" s="759">
        <f t="shared" si="13"/>
        <v>0.19</v>
      </c>
      <c r="I216" s="758">
        <f t="shared" si="14"/>
        <v>2.9</v>
      </c>
      <c r="J216" s="760">
        <f t="shared" si="15"/>
        <v>0.93548387096774199</v>
      </c>
      <c r="K216" s="74"/>
      <c r="L216" s="74"/>
      <c r="M216" s="74" t="s">
        <v>1701</v>
      </c>
      <c r="N216" s="74">
        <v>0</v>
      </c>
      <c r="O216" s="74">
        <v>0</v>
      </c>
      <c r="P216" s="74">
        <v>1</v>
      </c>
    </row>
    <row r="217" spans="1:16">
      <c r="A217" s="74" t="s">
        <v>773</v>
      </c>
      <c r="B217" s="74" t="s">
        <v>730</v>
      </c>
      <c r="C217" s="74" t="s">
        <v>1644</v>
      </c>
      <c r="D217" s="74" t="s">
        <v>86</v>
      </c>
      <c r="E217" s="74">
        <v>6</v>
      </c>
      <c r="F217" s="74">
        <v>18.600000000000001</v>
      </c>
      <c r="G217" s="758">
        <f t="shared" si="12"/>
        <v>0.2</v>
      </c>
      <c r="H217" s="759">
        <f t="shared" si="13"/>
        <v>0.19</v>
      </c>
      <c r="I217" s="758">
        <f t="shared" si="14"/>
        <v>2.9</v>
      </c>
      <c r="J217" s="760">
        <f t="shared" si="15"/>
        <v>0.93548387096774199</v>
      </c>
      <c r="K217" s="74"/>
      <c r="L217" s="74"/>
      <c r="M217" s="74" t="s">
        <v>1702</v>
      </c>
      <c r="N217" s="74">
        <v>0</v>
      </c>
      <c r="O217" s="74">
        <v>0</v>
      </c>
      <c r="P217" s="74">
        <v>0</v>
      </c>
    </row>
    <row r="218" spans="1:16">
      <c r="A218" s="74" t="s">
        <v>773</v>
      </c>
      <c r="B218" s="74" t="s">
        <v>730</v>
      </c>
      <c r="C218" s="74" t="s">
        <v>1578</v>
      </c>
      <c r="D218" s="74" t="s">
        <v>86</v>
      </c>
      <c r="E218" s="74">
        <v>1</v>
      </c>
      <c r="F218" s="74">
        <v>3.1</v>
      </c>
      <c r="G218" s="758">
        <f t="shared" si="12"/>
        <v>0.2</v>
      </c>
      <c r="H218" s="759">
        <f t="shared" si="13"/>
        <v>0.19</v>
      </c>
      <c r="I218" s="758">
        <f t="shared" si="14"/>
        <v>2.9</v>
      </c>
      <c r="J218" s="760">
        <f t="shared" si="15"/>
        <v>0.93548387096774199</v>
      </c>
      <c r="K218" s="74"/>
      <c r="L218" s="74"/>
      <c r="M218" s="74" t="s">
        <v>938</v>
      </c>
      <c r="N218" s="74">
        <v>0.28999999999999998</v>
      </c>
      <c r="O218" s="74">
        <v>0.25</v>
      </c>
      <c r="P218" s="74">
        <v>0.87260000000000004</v>
      </c>
    </row>
    <row r="219" spans="1:16">
      <c r="A219" s="74" t="s">
        <v>773</v>
      </c>
      <c r="B219" s="74" t="s">
        <v>730</v>
      </c>
      <c r="C219" s="74" t="s">
        <v>1646</v>
      </c>
      <c r="D219" s="74" t="s">
        <v>86</v>
      </c>
      <c r="E219" s="74">
        <v>1</v>
      </c>
      <c r="F219" s="74">
        <v>3.1</v>
      </c>
      <c r="G219" s="758">
        <f t="shared" si="12"/>
        <v>0.2</v>
      </c>
      <c r="H219" s="759">
        <f t="shared" si="13"/>
        <v>0.19</v>
      </c>
      <c r="I219" s="758">
        <f t="shared" si="14"/>
        <v>2.9</v>
      </c>
      <c r="J219" s="760">
        <f t="shared" si="15"/>
        <v>0.93548387096774199</v>
      </c>
      <c r="K219" s="74"/>
      <c r="L219" s="74"/>
      <c r="M219" s="74" t="s">
        <v>1703</v>
      </c>
      <c r="N219" s="74">
        <v>0</v>
      </c>
      <c r="O219" s="74">
        <v>0.24</v>
      </c>
      <c r="P219" s="74">
        <v>1</v>
      </c>
    </row>
    <row r="220" spans="1:16">
      <c r="A220" s="74" t="s">
        <v>773</v>
      </c>
      <c r="B220" s="74" t="s">
        <v>730</v>
      </c>
      <c r="C220" s="74" t="s">
        <v>1541</v>
      </c>
      <c r="D220" s="74" t="s">
        <v>86</v>
      </c>
      <c r="E220" s="74">
        <v>3</v>
      </c>
      <c r="F220" s="74">
        <v>9.3000000000000007</v>
      </c>
      <c r="G220" s="758">
        <f t="shared" si="12"/>
        <v>0.2</v>
      </c>
      <c r="H220" s="759">
        <f t="shared" si="13"/>
        <v>0.19</v>
      </c>
      <c r="I220" s="758">
        <f t="shared" si="14"/>
        <v>2.9</v>
      </c>
      <c r="J220" s="760">
        <f t="shared" si="15"/>
        <v>0.93548387096774199</v>
      </c>
      <c r="K220" s="74"/>
      <c r="L220" s="74"/>
      <c r="M220" s="74" t="s">
        <v>986</v>
      </c>
      <c r="N220" s="74">
        <v>0</v>
      </c>
      <c r="O220" s="74">
        <v>0</v>
      </c>
      <c r="P220" s="74">
        <v>1</v>
      </c>
    </row>
    <row r="221" spans="1:16">
      <c r="A221" s="74" t="s">
        <v>773</v>
      </c>
      <c r="B221" s="74" t="s">
        <v>730</v>
      </c>
      <c r="C221" s="74" t="s">
        <v>1543</v>
      </c>
      <c r="D221" s="74" t="s">
        <v>87</v>
      </c>
      <c r="E221" s="74">
        <v>4</v>
      </c>
      <c r="F221" s="74">
        <v>12.4</v>
      </c>
      <c r="G221" s="758">
        <f t="shared" si="12"/>
        <v>0.2</v>
      </c>
      <c r="H221" s="759">
        <f t="shared" si="13"/>
        <v>0.19</v>
      </c>
      <c r="I221" s="758">
        <f t="shared" si="14"/>
        <v>2.9</v>
      </c>
      <c r="J221" s="760">
        <f t="shared" si="15"/>
        <v>0.93548387096774199</v>
      </c>
      <c r="K221" s="74"/>
      <c r="L221" s="74"/>
      <c r="M221" s="74" t="s">
        <v>1012</v>
      </c>
      <c r="N221" s="74">
        <v>2.66</v>
      </c>
      <c r="O221" s="74">
        <v>0.28000000000000003</v>
      </c>
      <c r="P221" s="74">
        <v>0.76900000000000002</v>
      </c>
    </row>
    <row r="222" spans="1:16">
      <c r="A222" s="74" t="s">
        <v>773</v>
      </c>
      <c r="B222" s="74" t="s">
        <v>730</v>
      </c>
      <c r="C222" s="74" t="s">
        <v>1544</v>
      </c>
      <c r="D222" s="74" t="s">
        <v>87</v>
      </c>
      <c r="E222" s="74">
        <v>2</v>
      </c>
      <c r="F222" s="74">
        <v>6.2</v>
      </c>
      <c r="G222" s="758">
        <f t="shared" si="12"/>
        <v>0.2</v>
      </c>
      <c r="H222" s="759">
        <f t="shared" si="13"/>
        <v>0.19</v>
      </c>
      <c r="I222" s="758">
        <f t="shared" si="14"/>
        <v>2.9</v>
      </c>
      <c r="J222" s="760">
        <f t="shared" si="15"/>
        <v>0.93548387096774199</v>
      </c>
      <c r="K222" s="74"/>
      <c r="L222" s="74"/>
      <c r="M222" s="74" t="s">
        <v>1704</v>
      </c>
      <c r="N222" s="74">
        <v>2.76</v>
      </c>
      <c r="O222" s="74">
        <v>0</v>
      </c>
      <c r="P222" s="74">
        <v>0</v>
      </c>
    </row>
    <row r="223" spans="1:16">
      <c r="A223" s="74" t="s">
        <v>773</v>
      </c>
      <c r="B223" s="74" t="s">
        <v>730</v>
      </c>
      <c r="C223" s="74" t="s">
        <v>1605</v>
      </c>
      <c r="D223" s="74" t="s">
        <v>87</v>
      </c>
      <c r="E223" s="74">
        <v>4</v>
      </c>
      <c r="F223" s="74">
        <v>12.4</v>
      </c>
      <c r="G223" s="758">
        <f t="shared" si="12"/>
        <v>0.2</v>
      </c>
      <c r="H223" s="759">
        <f t="shared" si="13"/>
        <v>0.19</v>
      </c>
      <c r="I223" s="758">
        <f t="shared" si="14"/>
        <v>2.9</v>
      </c>
      <c r="J223" s="760">
        <f t="shared" si="15"/>
        <v>0.93548387096774199</v>
      </c>
      <c r="K223" s="74"/>
      <c r="L223" s="74"/>
      <c r="M223" s="74" t="s">
        <v>1705</v>
      </c>
      <c r="N223" s="74">
        <v>0</v>
      </c>
      <c r="O223" s="74">
        <v>0</v>
      </c>
      <c r="P223" s="74">
        <v>1</v>
      </c>
    </row>
    <row r="224" spans="1:16">
      <c r="A224" s="74" t="s">
        <v>773</v>
      </c>
      <c r="B224" s="74" t="s">
        <v>730</v>
      </c>
      <c r="C224" s="74" t="s">
        <v>1561</v>
      </c>
      <c r="D224" s="74" t="s">
        <v>87</v>
      </c>
      <c r="E224" s="74">
        <v>3</v>
      </c>
      <c r="F224" s="74">
        <v>9.3000000000000007</v>
      </c>
      <c r="G224" s="758">
        <f t="shared" si="12"/>
        <v>0.2</v>
      </c>
      <c r="H224" s="759">
        <f t="shared" si="13"/>
        <v>0.19</v>
      </c>
      <c r="I224" s="758">
        <f t="shared" si="14"/>
        <v>2.9</v>
      </c>
      <c r="J224" s="760">
        <f t="shared" si="15"/>
        <v>0.93548387096774199</v>
      </c>
      <c r="K224" s="74"/>
      <c r="L224" s="74"/>
      <c r="M224" s="74" t="s">
        <v>1224</v>
      </c>
      <c r="N224" s="74">
        <v>0</v>
      </c>
      <c r="O224" s="74">
        <v>0</v>
      </c>
      <c r="P224" s="74">
        <v>1</v>
      </c>
    </row>
    <row r="225" spans="1:16">
      <c r="A225" s="74" t="s">
        <v>773</v>
      </c>
      <c r="B225" s="74" t="s">
        <v>730</v>
      </c>
      <c r="C225" s="74" t="s">
        <v>1608</v>
      </c>
      <c r="D225" s="74" t="s">
        <v>89</v>
      </c>
      <c r="E225" s="74">
        <v>1</v>
      </c>
      <c r="F225" s="74">
        <v>3.1</v>
      </c>
      <c r="G225" s="758">
        <f t="shared" si="12"/>
        <v>0.2</v>
      </c>
      <c r="H225" s="759">
        <f t="shared" si="13"/>
        <v>0.19</v>
      </c>
      <c r="I225" s="758">
        <f t="shared" si="14"/>
        <v>2.9</v>
      </c>
      <c r="J225" s="760">
        <f t="shared" si="15"/>
        <v>0.93548387096774199</v>
      </c>
      <c r="K225" s="74"/>
      <c r="L225" s="74"/>
      <c r="M225" s="74" t="s">
        <v>1105</v>
      </c>
      <c r="N225" s="74">
        <v>0</v>
      </c>
      <c r="O225" s="74">
        <v>0</v>
      </c>
      <c r="P225" s="74">
        <v>1</v>
      </c>
    </row>
    <row r="226" spans="1:16">
      <c r="A226" s="74" t="s">
        <v>773</v>
      </c>
      <c r="B226" s="74" t="s">
        <v>730</v>
      </c>
      <c r="C226" s="74" t="s">
        <v>1610</v>
      </c>
      <c r="D226" s="74" t="s">
        <v>89</v>
      </c>
      <c r="E226" s="74">
        <v>3</v>
      </c>
      <c r="F226" s="74">
        <v>9.4499999999999993</v>
      </c>
      <c r="G226" s="758">
        <f t="shared" si="12"/>
        <v>0.2</v>
      </c>
      <c r="H226" s="759">
        <f t="shared" si="13"/>
        <v>0.19</v>
      </c>
      <c r="I226" s="758">
        <f t="shared" si="14"/>
        <v>2.9499999999999997</v>
      </c>
      <c r="J226" s="760">
        <f t="shared" si="15"/>
        <v>0.93650793650793651</v>
      </c>
      <c r="K226" s="74"/>
      <c r="L226" s="74"/>
      <c r="M226" s="74" t="s">
        <v>1706</v>
      </c>
      <c r="N226" s="74">
        <v>0</v>
      </c>
      <c r="O226" s="74">
        <v>0</v>
      </c>
      <c r="P226" s="74">
        <v>0</v>
      </c>
    </row>
    <row r="227" spans="1:16">
      <c r="A227" s="74" t="s">
        <v>773</v>
      </c>
      <c r="B227" s="74" t="s">
        <v>730</v>
      </c>
      <c r="C227" s="74" t="s">
        <v>1547</v>
      </c>
      <c r="D227" s="74" t="s">
        <v>89</v>
      </c>
      <c r="E227" s="74">
        <v>3</v>
      </c>
      <c r="F227" s="74">
        <v>9.3000000000000007</v>
      </c>
      <c r="G227" s="758">
        <f t="shared" si="12"/>
        <v>0.2</v>
      </c>
      <c r="H227" s="759">
        <f t="shared" si="13"/>
        <v>0.19</v>
      </c>
      <c r="I227" s="758">
        <f t="shared" si="14"/>
        <v>2.9</v>
      </c>
      <c r="J227" s="760">
        <f t="shared" si="15"/>
        <v>0.93548387096774199</v>
      </c>
      <c r="K227" s="74"/>
      <c r="L227" s="74"/>
      <c r="M227" s="74" t="s">
        <v>1707</v>
      </c>
      <c r="N227" s="74">
        <v>2.76</v>
      </c>
      <c r="O227" s="74">
        <v>0</v>
      </c>
      <c r="P227" s="74">
        <v>0</v>
      </c>
    </row>
    <row r="228" spans="1:16">
      <c r="A228" s="74" t="s">
        <v>773</v>
      </c>
      <c r="B228" s="74" t="s">
        <v>730</v>
      </c>
      <c r="C228" s="74" t="s">
        <v>1582</v>
      </c>
      <c r="D228" s="74" t="s">
        <v>89</v>
      </c>
      <c r="E228" s="74">
        <v>8</v>
      </c>
      <c r="F228" s="74">
        <v>24.8</v>
      </c>
      <c r="G228" s="758">
        <f t="shared" si="12"/>
        <v>0.2</v>
      </c>
      <c r="H228" s="759">
        <f t="shared" si="13"/>
        <v>0.19</v>
      </c>
      <c r="I228" s="758">
        <f t="shared" si="14"/>
        <v>2.9</v>
      </c>
      <c r="J228" s="760">
        <f t="shared" si="15"/>
        <v>0.93548387096774199</v>
      </c>
      <c r="K228" s="74"/>
      <c r="L228" s="74"/>
      <c r="M228" s="74" t="s">
        <v>1708</v>
      </c>
      <c r="N228" s="74">
        <v>3.34</v>
      </c>
      <c r="O228" s="74">
        <v>0.25</v>
      </c>
      <c r="P228" s="74">
        <v>0.77680000000000005</v>
      </c>
    </row>
    <row r="229" spans="1:16">
      <c r="A229" s="74" t="s">
        <v>773</v>
      </c>
      <c r="B229" s="74" t="s">
        <v>730</v>
      </c>
      <c r="C229" s="74" t="s">
        <v>1522</v>
      </c>
      <c r="D229" s="74" t="s">
        <v>91</v>
      </c>
      <c r="E229" s="74">
        <v>1</v>
      </c>
      <c r="F229" s="74">
        <v>3.1</v>
      </c>
      <c r="G229" s="758">
        <f t="shared" si="12"/>
        <v>0.2</v>
      </c>
      <c r="H229" s="759">
        <f t="shared" si="13"/>
        <v>0.19</v>
      </c>
      <c r="I229" s="758">
        <f t="shared" si="14"/>
        <v>2.9</v>
      </c>
      <c r="J229" s="760">
        <f t="shared" si="15"/>
        <v>0.93548387096774199</v>
      </c>
      <c r="K229" s="74"/>
      <c r="L229" s="74"/>
      <c r="M229" s="74" t="s">
        <v>1709</v>
      </c>
      <c r="N229" s="74">
        <v>3.34</v>
      </c>
      <c r="O229" s="74">
        <v>0</v>
      </c>
      <c r="P229" s="74">
        <v>0</v>
      </c>
    </row>
    <row r="230" spans="1:16">
      <c r="A230" s="74" t="s">
        <v>773</v>
      </c>
      <c r="B230" s="74" t="s">
        <v>730</v>
      </c>
      <c r="C230" s="74" t="s">
        <v>1550</v>
      </c>
      <c r="D230" s="74" t="s">
        <v>91</v>
      </c>
      <c r="E230" s="74">
        <v>5</v>
      </c>
      <c r="F230" s="74">
        <v>16.25</v>
      </c>
      <c r="G230" s="758">
        <f t="shared" si="12"/>
        <v>0.2</v>
      </c>
      <c r="H230" s="759">
        <f t="shared" si="13"/>
        <v>0.19</v>
      </c>
      <c r="I230" s="758">
        <f t="shared" si="14"/>
        <v>3.05</v>
      </c>
      <c r="J230" s="760">
        <f t="shared" si="15"/>
        <v>0.93846153846153846</v>
      </c>
      <c r="K230" s="74"/>
      <c r="L230" s="74"/>
      <c r="M230" s="74" t="s">
        <v>1710</v>
      </c>
      <c r="N230" s="74">
        <v>0</v>
      </c>
      <c r="O230" s="74">
        <v>0</v>
      </c>
      <c r="P230" s="74">
        <v>0</v>
      </c>
    </row>
    <row r="231" spans="1:16">
      <c r="A231" s="74" t="s">
        <v>773</v>
      </c>
      <c r="B231" s="74" t="s">
        <v>730</v>
      </c>
      <c r="C231" s="74" t="s">
        <v>1524</v>
      </c>
      <c r="D231" s="74" t="s">
        <v>91</v>
      </c>
      <c r="E231" s="74">
        <v>1</v>
      </c>
      <c r="F231" s="74">
        <v>3.1</v>
      </c>
      <c r="G231" s="758">
        <f t="shared" si="12"/>
        <v>0.2</v>
      </c>
      <c r="H231" s="759">
        <f t="shared" si="13"/>
        <v>0.19</v>
      </c>
      <c r="I231" s="758">
        <f t="shared" si="14"/>
        <v>2.9</v>
      </c>
      <c r="J231" s="760">
        <f t="shared" si="15"/>
        <v>0.93548387096774199</v>
      </c>
      <c r="K231" s="74"/>
      <c r="L231" s="74"/>
      <c r="M231" s="74" t="s">
        <v>1711</v>
      </c>
      <c r="N231" s="74">
        <v>3.34</v>
      </c>
      <c r="O231" s="74">
        <v>0.92</v>
      </c>
      <c r="P231" s="74">
        <v>0.16500000000000001</v>
      </c>
    </row>
    <row r="232" spans="1:16">
      <c r="A232" s="74" t="s">
        <v>773</v>
      </c>
      <c r="B232" s="74" t="s">
        <v>730</v>
      </c>
      <c r="C232" s="74" t="s">
        <v>1584</v>
      </c>
      <c r="D232" s="74" t="s">
        <v>92</v>
      </c>
      <c r="E232" s="74">
        <v>1</v>
      </c>
      <c r="F232" s="74">
        <v>3.1</v>
      </c>
      <c r="G232" s="758">
        <f t="shared" si="12"/>
        <v>0.2</v>
      </c>
      <c r="H232" s="759">
        <f t="shared" si="13"/>
        <v>0.19</v>
      </c>
      <c r="I232" s="758">
        <f t="shared" si="14"/>
        <v>2.9</v>
      </c>
      <c r="J232" s="760">
        <f t="shared" si="15"/>
        <v>0.93548387096774199</v>
      </c>
      <c r="K232" s="74"/>
      <c r="L232" s="74"/>
      <c r="M232" s="74" t="s">
        <v>1712</v>
      </c>
      <c r="N232" s="74">
        <v>3.34</v>
      </c>
      <c r="O232" s="74">
        <v>0.69</v>
      </c>
      <c r="P232" s="74">
        <v>0.45950000000000002</v>
      </c>
    </row>
    <row r="233" spans="1:16">
      <c r="A233" s="74" t="s">
        <v>773</v>
      </c>
      <c r="B233" s="74" t="s">
        <v>730</v>
      </c>
      <c r="C233" s="74" t="s">
        <v>1614</v>
      </c>
      <c r="D233" s="74" t="s">
        <v>92</v>
      </c>
      <c r="E233" s="74">
        <v>2</v>
      </c>
      <c r="F233" s="74">
        <v>6.2</v>
      </c>
      <c r="G233" s="758">
        <f t="shared" si="12"/>
        <v>0.2</v>
      </c>
      <c r="H233" s="759">
        <f t="shared" si="13"/>
        <v>0.19</v>
      </c>
      <c r="I233" s="758">
        <f t="shared" si="14"/>
        <v>2.9</v>
      </c>
      <c r="J233" s="760">
        <f t="shared" si="15"/>
        <v>0.93548387096774199</v>
      </c>
      <c r="K233" s="74"/>
      <c r="L233" s="74"/>
      <c r="M233" s="74" t="s">
        <v>1713</v>
      </c>
      <c r="N233" s="74">
        <v>2.5099999999999998</v>
      </c>
      <c r="O233" s="74">
        <v>0.33</v>
      </c>
      <c r="P233" s="74">
        <v>0.70220000000000005</v>
      </c>
    </row>
    <row r="234" spans="1:16">
      <c r="A234" s="74" t="s">
        <v>773</v>
      </c>
      <c r="B234" s="74" t="s">
        <v>730</v>
      </c>
      <c r="C234" s="74" t="s">
        <v>1552</v>
      </c>
      <c r="D234" s="74" t="s">
        <v>92</v>
      </c>
      <c r="E234" s="74">
        <v>1</v>
      </c>
      <c r="F234" s="74">
        <v>3.1</v>
      </c>
      <c r="G234" s="758">
        <f t="shared" si="12"/>
        <v>0.2</v>
      </c>
      <c r="H234" s="759">
        <f t="shared" si="13"/>
        <v>0.19</v>
      </c>
      <c r="I234" s="758">
        <f t="shared" si="14"/>
        <v>2.9</v>
      </c>
      <c r="J234" s="760">
        <f t="shared" si="15"/>
        <v>0.93548387096774199</v>
      </c>
      <c r="K234" s="74"/>
      <c r="L234" s="74"/>
      <c r="M234" s="74" t="s">
        <v>1714</v>
      </c>
      <c r="N234" s="74">
        <v>0</v>
      </c>
      <c r="O234" s="74">
        <v>0</v>
      </c>
      <c r="P234" s="74">
        <v>1</v>
      </c>
    </row>
    <row r="235" spans="1:16">
      <c r="A235" s="74" t="s">
        <v>773</v>
      </c>
      <c r="B235" s="74" t="s">
        <v>730</v>
      </c>
      <c r="C235" s="74" t="s">
        <v>1617</v>
      </c>
      <c r="D235" s="74" t="s">
        <v>94</v>
      </c>
      <c r="E235" s="74">
        <v>3</v>
      </c>
      <c r="F235" s="74">
        <v>9.3000000000000007</v>
      </c>
      <c r="G235" s="758">
        <f t="shared" si="12"/>
        <v>0.2</v>
      </c>
      <c r="H235" s="759">
        <f t="shared" si="13"/>
        <v>0.19</v>
      </c>
      <c r="I235" s="758">
        <f t="shared" si="14"/>
        <v>2.9</v>
      </c>
      <c r="J235" s="760">
        <f t="shared" si="15"/>
        <v>0.93548387096774199</v>
      </c>
      <c r="K235" s="74"/>
      <c r="L235" s="74"/>
      <c r="M235" s="74" t="s">
        <v>1715</v>
      </c>
      <c r="N235" s="74">
        <v>2.31</v>
      </c>
      <c r="O235" s="74">
        <v>0.26</v>
      </c>
      <c r="P235" s="74">
        <v>0.76429999999999998</v>
      </c>
    </row>
    <row r="236" spans="1:16">
      <c r="A236" s="74" t="s">
        <v>773</v>
      </c>
      <c r="B236" s="74" t="s">
        <v>730</v>
      </c>
      <c r="C236" s="74" t="s">
        <v>1526</v>
      </c>
      <c r="D236" s="74" t="s">
        <v>95</v>
      </c>
      <c r="E236" s="74">
        <v>1</v>
      </c>
      <c r="F236" s="74">
        <v>3.1</v>
      </c>
      <c r="G236" s="758">
        <f t="shared" si="12"/>
        <v>0.2</v>
      </c>
      <c r="H236" s="759">
        <f t="shared" si="13"/>
        <v>0.19</v>
      </c>
      <c r="I236" s="758">
        <f t="shared" si="14"/>
        <v>2.9</v>
      </c>
      <c r="J236" s="760">
        <f t="shared" si="15"/>
        <v>0.93548387096774199</v>
      </c>
      <c r="K236" s="74"/>
      <c r="L236" s="74"/>
      <c r="M236" s="74" t="s">
        <v>1716</v>
      </c>
      <c r="N236" s="74">
        <v>0</v>
      </c>
      <c r="O236" s="74">
        <v>0</v>
      </c>
      <c r="P236" s="74">
        <v>1</v>
      </c>
    </row>
    <row r="237" spans="1:16">
      <c r="A237" s="74" t="s">
        <v>1717</v>
      </c>
      <c r="B237" s="74" t="s">
        <v>328</v>
      </c>
      <c r="C237" s="74" t="s">
        <v>1608</v>
      </c>
      <c r="D237" s="74" t="s">
        <v>89</v>
      </c>
      <c r="E237" s="74">
        <v>2</v>
      </c>
      <c r="F237" s="74">
        <v>6.22</v>
      </c>
      <c r="G237" s="758">
        <f t="shared" si="12"/>
        <v>0.2</v>
      </c>
      <c r="H237" s="759">
        <f t="shared" si="13"/>
        <v>0.19</v>
      </c>
      <c r="I237" s="758">
        <f t="shared" si="14"/>
        <v>2.9099999999999997</v>
      </c>
      <c r="J237" s="760">
        <f t="shared" si="15"/>
        <v>0.93569131832797425</v>
      </c>
      <c r="K237" s="74"/>
      <c r="L237" s="74"/>
      <c r="M237" s="74" t="s">
        <v>747</v>
      </c>
      <c r="N237" s="74">
        <v>2.34</v>
      </c>
      <c r="O237" s="74">
        <v>0.24</v>
      </c>
      <c r="P237" s="74">
        <v>0.72740000000000005</v>
      </c>
    </row>
    <row r="238" spans="1:16">
      <c r="A238" s="74" t="s">
        <v>1717</v>
      </c>
      <c r="B238" s="74" t="s">
        <v>328</v>
      </c>
      <c r="C238" s="74" t="s">
        <v>1614</v>
      </c>
      <c r="D238" s="74" t="s">
        <v>92</v>
      </c>
      <c r="E238" s="74">
        <v>1</v>
      </c>
      <c r="F238" s="74">
        <v>3.1</v>
      </c>
      <c r="G238" s="758">
        <f t="shared" si="12"/>
        <v>0.2</v>
      </c>
      <c r="H238" s="759">
        <f t="shared" si="13"/>
        <v>0.19</v>
      </c>
      <c r="I238" s="758">
        <f t="shared" si="14"/>
        <v>2.9</v>
      </c>
      <c r="J238" s="760">
        <f t="shared" si="15"/>
        <v>0.93548387096774199</v>
      </c>
      <c r="K238" s="74"/>
      <c r="L238" s="74"/>
      <c r="M238" s="74" t="s">
        <v>1718</v>
      </c>
      <c r="N238" s="74">
        <v>0</v>
      </c>
      <c r="O238" s="74">
        <v>0</v>
      </c>
      <c r="P238" s="74">
        <v>1</v>
      </c>
    </row>
    <row r="239" spans="1:16">
      <c r="A239" s="74" t="s">
        <v>1521</v>
      </c>
      <c r="B239" s="74" t="s">
        <v>328</v>
      </c>
      <c r="C239" s="74" t="s">
        <v>1508</v>
      </c>
      <c r="D239" s="74" t="s">
        <v>78</v>
      </c>
      <c r="E239" s="74">
        <v>1</v>
      </c>
      <c r="F239" s="74">
        <v>4.6500000000000004</v>
      </c>
      <c r="G239" s="758">
        <f t="shared" si="12"/>
        <v>1.03</v>
      </c>
      <c r="H239" s="759">
        <f t="shared" si="13"/>
        <v>0.33</v>
      </c>
      <c r="I239" s="758">
        <f t="shared" si="14"/>
        <v>3.62</v>
      </c>
      <c r="J239" s="760">
        <f t="shared" si="15"/>
        <v>0.77849462365591404</v>
      </c>
      <c r="K239" s="74"/>
      <c r="L239" s="74"/>
      <c r="M239" s="74" t="s">
        <v>1719</v>
      </c>
      <c r="N239" s="74">
        <v>0</v>
      </c>
      <c r="O239" s="74">
        <v>0</v>
      </c>
      <c r="P239" s="74">
        <v>1</v>
      </c>
    </row>
    <row r="240" spans="1:16">
      <c r="A240" s="74" t="s">
        <v>1521</v>
      </c>
      <c r="B240" s="74" t="s">
        <v>328</v>
      </c>
      <c r="C240" s="74" t="s">
        <v>1565</v>
      </c>
      <c r="D240" s="74" t="s">
        <v>78</v>
      </c>
      <c r="E240" s="74">
        <v>2</v>
      </c>
      <c r="F240" s="74">
        <v>7.3</v>
      </c>
      <c r="G240" s="758">
        <f t="shared" si="12"/>
        <v>1.03</v>
      </c>
      <c r="H240" s="759">
        <f t="shared" si="13"/>
        <v>0.33</v>
      </c>
      <c r="I240" s="758">
        <f t="shared" si="14"/>
        <v>2.62</v>
      </c>
      <c r="J240" s="760">
        <f t="shared" si="15"/>
        <v>0.71780821917808213</v>
      </c>
      <c r="K240" s="74"/>
      <c r="L240" s="74"/>
      <c r="M240" s="74" t="s">
        <v>1720</v>
      </c>
      <c r="N240" s="74">
        <v>0.8</v>
      </c>
      <c r="O240" s="74">
        <v>0</v>
      </c>
      <c r="P240" s="74">
        <v>0</v>
      </c>
    </row>
    <row r="241" spans="1:16">
      <c r="A241" s="74" t="s">
        <v>1521</v>
      </c>
      <c r="B241" s="74" t="s">
        <v>328</v>
      </c>
      <c r="C241" s="74" t="s">
        <v>1511</v>
      </c>
      <c r="D241" s="74" t="s">
        <v>80</v>
      </c>
      <c r="E241" s="74">
        <v>1</v>
      </c>
      <c r="F241" s="74">
        <v>3.65</v>
      </c>
      <c r="G241" s="758">
        <f t="shared" si="12"/>
        <v>1.03</v>
      </c>
      <c r="H241" s="759">
        <f t="shared" si="13"/>
        <v>0.33</v>
      </c>
      <c r="I241" s="758">
        <f t="shared" si="14"/>
        <v>2.62</v>
      </c>
      <c r="J241" s="760">
        <f t="shared" si="15"/>
        <v>0.71780821917808213</v>
      </c>
      <c r="K241" s="74"/>
      <c r="L241" s="74"/>
      <c r="M241" s="74" t="s">
        <v>1721</v>
      </c>
      <c r="N241" s="74">
        <v>0</v>
      </c>
      <c r="O241" s="74">
        <v>0</v>
      </c>
      <c r="P241" s="74">
        <v>1</v>
      </c>
    </row>
    <row r="242" spans="1:16">
      <c r="A242" s="74" t="s">
        <v>1521</v>
      </c>
      <c r="B242" s="74" t="s">
        <v>328</v>
      </c>
      <c r="C242" s="74" t="s">
        <v>1534</v>
      </c>
      <c r="D242" s="74" t="s">
        <v>81</v>
      </c>
      <c r="E242" s="74">
        <v>1</v>
      </c>
      <c r="F242" s="74">
        <v>3.65</v>
      </c>
      <c r="G242" s="758">
        <f t="shared" si="12"/>
        <v>1.03</v>
      </c>
      <c r="H242" s="759">
        <f t="shared" si="13"/>
        <v>0.33</v>
      </c>
      <c r="I242" s="758">
        <f t="shared" si="14"/>
        <v>2.62</v>
      </c>
      <c r="J242" s="760">
        <f t="shared" si="15"/>
        <v>0.71780821917808213</v>
      </c>
      <c r="K242" s="74"/>
      <c r="L242" s="74"/>
      <c r="M242" s="74" t="s">
        <v>1722</v>
      </c>
      <c r="N242" s="74">
        <v>1.71</v>
      </c>
      <c r="O242" s="74">
        <v>0.2</v>
      </c>
      <c r="P242" s="74">
        <v>0.82069999999999999</v>
      </c>
    </row>
    <row r="243" spans="1:16">
      <c r="A243" s="74" t="s">
        <v>1521</v>
      </c>
      <c r="B243" s="74" t="s">
        <v>328</v>
      </c>
      <c r="C243" s="74" t="s">
        <v>1514</v>
      </c>
      <c r="D243" s="74" t="s">
        <v>81</v>
      </c>
      <c r="E243" s="74">
        <v>3</v>
      </c>
      <c r="F243" s="74">
        <v>10.95</v>
      </c>
      <c r="G243" s="758">
        <f t="shared" si="12"/>
        <v>1.03</v>
      </c>
      <c r="H243" s="759">
        <f t="shared" si="13"/>
        <v>0.33</v>
      </c>
      <c r="I243" s="758">
        <f t="shared" si="14"/>
        <v>2.62</v>
      </c>
      <c r="J243" s="760">
        <f t="shared" si="15"/>
        <v>0.71780821917808213</v>
      </c>
      <c r="K243" s="74"/>
      <c r="L243" s="74"/>
      <c r="M243" s="74" t="s">
        <v>1723</v>
      </c>
      <c r="N243" s="74">
        <v>0</v>
      </c>
      <c r="O243" s="74">
        <v>0</v>
      </c>
      <c r="P243" s="74">
        <v>1</v>
      </c>
    </row>
    <row r="244" spans="1:16">
      <c r="A244" s="74" t="s">
        <v>1521</v>
      </c>
      <c r="B244" s="74" t="s">
        <v>328</v>
      </c>
      <c r="C244" s="74" t="s">
        <v>1517</v>
      </c>
      <c r="D244" s="74" t="s">
        <v>82</v>
      </c>
      <c r="E244" s="74">
        <v>2</v>
      </c>
      <c r="F244" s="74">
        <v>7.3</v>
      </c>
      <c r="G244" s="758">
        <f t="shared" si="12"/>
        <v>1.03</v>
      </c>
      <c r="H244" s="759">
        <f t="shared" si="13"/>
        <v>0.33</v>
      </c>
      <c r="I244" s="758">
        <f t="shared" si="14"/>
        <v>2.62</v>
      </c>
      <c r="J244" s="760">
        <f t="shared" si="15"/>
        <v>0.71780821917808213</v>
      </c>
      <c r="K244" s="74"/>
      <c r="L244" s="74"/>
      <c r="M244" s="74" t="s">
        <v>1724</v>
      </c>
      <c r="N244" s="74">
        <v>0</v>
      </c>
      <c r="O244" s="74">
        <v>0</v>
      </c>
      <c r="P244" s="74">
        <v>1</v>
      </c>
    </row>
    <row r="245" spans="1:16">
      <c r="A245" s="74" t="s">
        <v>1521</v>
      </c>
      <c r="B245" s="74" t="s">
        <v>328</v>
      </c>
      <c r="C245" s="74" t="s">
        <v>1578</v>
      </c>
      <c r="D245" s="74" t="s">
        <v>86</v>
      </c>
      <c r="E245" s="74">
        <v>1</v>
      </c>
      <c r="F245" s="74">
        <v>3.65</v>
      </c>
      <c r="G245" s="758">
        <f t="shared" si="12"/>
        <v>1.03</v>
      </c>
      <c r="H245" s="759">
        <f t="shared" si="13"/>
        <v>0.33</v>
      </c>
      <c r="I245" s="758">
        <f t="shared" si="14"/>
        <v>2.62</v>
      </c>
      <c r="J245" s="760">
        <f t="shared" si="15"/>
        <v>0.71780821917808213</v>
      </c>
      <c r="K245" s="74"/>
      <c r="L245" s="74"/>
      <c r="M245" s="74" t="s">
        <v>991</v>
      </c>
      <c r="N245" s="74">
        <v>0.32</v>
      </c>
      <c r="O245" s="74">
        <v>0</v>
      </c>
      <c r="P245" s="74">
        <v>-0.92159999999999997</v>
      </c>
    </row>
    <row r="246" spans="1:16">
      <c r="A246" s="74" t="s">
        <v>1725</v>
      </c>
      <c r="B246" s="74" t="s">
        <v>328</v>
      </c>
      <c r="C246" s="74" t="s">
        <v>1577</v>
      </c>
      <c r="D246" s="74" t="s">
        <v>84</v>
      </c>
      <c r="E246" s="74">
        <v>1</v>
      </c>
      <c r="F246" s="74">
        <v>3.65</v>
      </c>
      <c r="G246" s="758">
        <f t="shared" si="12"/>
        <v>1.03</v>
      </c>
      <c r="H246" s="759">
        <f t="shared" si="13"/>
        <v>0.33</v>
      </c>
      <c r="I246" s="758">
        <f t="shared" si="14"/>
        <v>2.62</v>
      </c>
      <c r="J246" s="760">
        <f t="shared" si="15"/>
        <v>0.71780821917808213</v>
      </c>
      <c r="K246" s="74"/>
      <c r="L246" s="74"/>
      <c r="M246" s="74" t="s">
        <v>1726</v>
      </c>
      <c r="N246" s="74">
        <v>0</v>
      </c>
      <c r="O246" s="74">
        <v>0</v>
      </c>
      <c r="P246" s="74">
        <v>0</v>
      </c>
    </row>
    <row r="247" spans="1:16">
      <c r="A247" s="74" t="s">
        <v>1523</v>
      </c>
      <c r="B247" s="74" t="s">
        <v>327</v>
      </c>
      <c r="C247" s="74" t="s">
        <v>1511</v>
      </c>
      <c r="D247" s="74" t="s">
        <v>80</v>
      </c>
      <c r="E247" s="74">
        <v>1</v>
      </c>
      <c r="F247" s="74">
        <v>3.9</v>
      </c>
      <c r="G247" s="758">
        <f t="shared" si="12"/>
        <v>0.94</v>
      </c>
      <c r="H247" s="759">
        <f t="shared" si="13"/>
        <v>0.27</v>
      </c>
      <c r="I247" s="758">
        <f t="shared" si="14"/>
        <v>2.96</v>
      </c>
      <c r="J247" s="760">
        <f t="shared" si="15"/>
        <v>0.75897435897435894</v>
      </c>
      <c r="K247" s="74"/>
      <c r="L247" s="74"/>
      <c r="M247" s="74" t="s">
        <v>1727</v>
      </c>
      <c r="N247" s="74">
        <v>0</v>
      </c>
      <c r="O247" s="74">
        <v>0</v>
      </c>
      <c r="P247" s="74">
        <v>0</v>
      </c>
    </row>
    <row r="248" spans="1:16">
      <c r="A248" s="74" t="s">
        <v>1525</v>
      </c>
      <c r="B248" s="74" t="s">
        <v>328</v>
      </c>
      <c r="C248" s="74" t="s">
        <v>1528</v>
      </c>
      <c r="D248" s="74" t="s">
        <v>78</v>
      </c>
      <c r="E248" s="74">
        <v>1</v>
      </c>
      <c r="F248" s="74">
        <v>2.9</v>
      </c>
      <c r="G248" s="758">
        <f t="shared" si="12"/>
        <v>0.64</v>
      </c>
      <c r="H248" s="759">
        <f t="shared" si="13"/>
        <v>0.28999999999999998</v>
      </c>
      <c r="I248" s="758">
        <f t="shared" si="14"/>
        <v>2.2599999999999998</v>
      </c>
      <c r="J248" s="760">
        <f t="shared" si="15"/>
        <v>0.77931034482758621</v>
      </c>
      <c r="K248" s="74"/>
      <c r="L248" s="74"/>
      <c r="M248" s="74" t="s">
        <v>1187</v>
      </c>
      <c r="N248" s="74">
        <v>0</v>
      </c>
      <c r="O248" s="74">
        <v>0</v>
      </c>
      <c r="P248" s="74">
        <v>1</v>
      </c>
    </row>
    <row r="249" spans="1:16">
      <c r="A249" s="74" t="s">
        <v>1525</v>
      </c>
      <c r="B249" s="74" t="s">
        <v>328</v>
      </c>
      <c r="C249" s="74" t="s">
        <v>1508</v>
      </c>
      <c r="D249" s="74" t="s">
        <v>78</v>
      </c>
      <c r="E249" s="74">
        <v>2</v>
      </c>
      <c r="F249" s="74">
        <v>6</v>
      </c>
      <c r="G249" s="758">
        <f t="shared" si="12"/>
        <v>0.64</v>
      </c>
      <c r="H249" s="759">
        <f t="shared" si="13"/>
        <v>0.28999999999999998</v>
      </c>
      <c r="I249" s="758">
        <f t="shared" si="14"/>
        <v>2.36</v>
      </c>
      <c r="J249" s="760">
        <f t="shared" si="15"/>
        <v>0.78666666666666663</v>
      </c>
      <c r="K249" s="74"/>
      <c r="L249" s="74"/>
      <c r="M249" s="74" t="s">
        <v>1728</v>
      </c>
      <c r="N249" s="74">
        <v>0</v>
      </c>
      <c r="O249" s="74">
        <v>0</v>
      </c>
      <c r="P249" s="74">
        <v>0</v>
      </c>
    </row>
    <row r="250" spans="1:16">
      <c r="A250" s="74" t="s">
        <v>1525</v>
      </c>
      <c r="B250" s="74" t="s">
        <v>328</v>
      </c>
      <c r="C250" s="74" t="s">
        <v>1532</v>
      </c>
      <c r="D250" s="74" t="s">
        <v>80</v>
      </c>
      <c r="E250" s="74">
        <v>1</v>
      </c>
      <c r="F250" s="74">
        <v>3.1</v>
      </c>
      <c r="G250" s="758">
        <f t="shared" si="12"/>
        <v>0.64</v>
      </c>
      <c r="H250" s="759">
        <f t="shared" si="13"/>
        <v>0.28999999999999998</v>
      </c>
      <c r="I250" s="758">
        <f t="shared" si="14"/>
        <v>2.46</v>
      </c>
      <c r="J250" s="760">
        <f t="shared" si="15"/>
        <v>0.79354838709677422</v>
      </c>
      <c r="K250" s="74"/>
      <c r="L250" s="74"/>
      <c r="M250" s="74" t="s">
        <v>1729</v>
      </c>
      <c r="N250" s="74">
        <v>1.06</v>
      </c>
      <c r="O250" s="74">
        <v>0</v>
      </c>
      <c r="P250" s="74">
        <v>0</v>
      </c>
    </row>
    <row r="251" spans="1:16">
      <c r="A251" s="74" t="s">
        <v>1525</v>
      </c>
      <c r="B251" s="74" t="s">
        <v>328</v>
      </c>
      <c r="C251" s="74" t="s">
        <v>1507</v>
      </c>
      <c r="D251" s="74" t="s">
        <v>86</v>
      </c>
      <c r="E251" s="74">
        <v>1</v>
      </c>
      <c r="F251" s="74">
        <v>4.5</v>
      </c>
      <c r="G251" s="758">
        <f t="shared" si="12"/>
        <v>0.64</v>
      </c>
      <c r="H251" s="759">
        <f t="shared" si="13"/>
        <v>0.28999999999999998</v>
      </c>
      <c r="I251" s="758">
        <f t="shared" si="14"/>
        <v>3.86</v>
      </c>
      <c r="J251" s="760">
        <f t="shared" si="15"/>
        <v>0.85777777777777775</v>
      </c>
      <c r="K251" s="74"/>
      <c r="L251" s="74"/>
      <c r="M251" s="74" t="s">
        <v>1730</v>
      </c>
      <c r="N251" s="74">
        <v>0</v>
      </c>
      <c r="O251" s="74">
        <v>0</v>
      </c>
      <c r="P251" s="74">
        <v>0</v>
      </c>
    </row>
    <row r="252" spans="1:16">
      <c r="A252" s="74" t="s">
        <v>735</v>
      </c>
      <c r="B252" s="74" t="s">
        <v>730</v>
      </c>
      <c r="C252" s="74" t="s">
        <v>1528</v>
      </c>
      <c r="D252" s="74" t="s">
        <v>78</v>
      </c>
      <c r="E252" s="74">
        <v>1</v>
      </c>
      <c r="F252" s="74">
        <v>2.82</v>
      </c>
      <c r="G252" s="758">
        <f t="shared" si="12"/>
        <v>0.19</v>
      </c>
      <c r="H252" s="759">
        <f t="shared" si="13"/>
        <v>0.19</v>
      </c>
      <c r="I252" s="758">
        <f t="shared" si="14"/>
        <v>2.63</v>
      </c>
      <c r="J252" s="760">
        <f t="shared" si="15"/>
        <v>0.93262411347517726</v>
      </c>
      <c r="K252" s="74"/>
      <c r="L252" s="74"/>
      <c r="M252" s="74" t="s">
        <v>1731</v>
      </c>
      <c r="N252" s="74">
        <v>0</v>
      </c>
      <c r="O252" s="74">
        <v>0</v>
      </c>
      <c r="P252" s="74">
        <v>1</v>
      </c>
    </row>
    <row r="253" spans="1:16">
      <c r="A253" s="74" t="s">
        <v>735</v>
      </c>
      <c r="B253" s="74" t="s">
        <v>730</v>
      </c>
      <c r="C253" s="74" t="s">
        <v>1508</v>
      </c>
      <c r="D253" s="74" t="s">
        <v>78</v>
      </c>
      <c r="E253" s="74">
        <v>3</v>
      </c>
      <c r="F253" s="74">
        <v>9.02</v>
      </c>
      <c r="G253" s="758">
        <f t="shared" si="12"/>
        <v>0.19</v>
      </c>
      <c r="H253" s="759">
        <f t="shared" si="13"/>
        <v>0.19</v>
      </c>
      <c r="I253" s="758">
        <f t="shared" si="14"/>
        <v>2.8166666666666664</v>
      </c>
      <c r="J253" s="760">
        <f t="shared" si="15"/>
        <v>0.93680709534368067</v>
      </c>
      <c r="K253" s="74"/>
      <c r="L253" s="74"/>
      <c r="M253" s="74" t="s">
        <v>899</v>
      </c>
      <c r="N253" s="74">
        <v>0</v>
      </c>
      <c r="O253" s="74">
        <v>0.22</v>
      </c>
      <c r="P253" s="74">
        <v>0.92520000000000002</v>
      </c>
    </row>
    <row r="254" spans="1:16">
      <c r="A254" s="74" t="s">
        <v>735</v>
      </c>
      <c r="B254" s="74" t="s">
        <v>730</v>
      </c>
      <c r="C254" s="74" t="s">
        <v>1509</v>
      </c>
      <c r="D254" s="74" t="s">
        <v>78</v>
      </c>
      <c r="E254" s="74">
        <v>5</v>
      </c>
      <c r="F254" s="74">
        <v>15.22</v>
      </c>
      <c r="G254" s="758">
        <f t="shared" si="12"/>
        <v>0.19</v>
      </c>
      <c r="H254" s="759">
        <f t="shared" si="13"/>
        <v>0.19</v>
      </c>
      <c r="I254" s="758">
        <f t="shared" si="14"/>
        <v>2.8540000000000001</v>
      </c>
      <c r="J254" s="760">
        <f t="shared" si="15"/>
        <v>0.9375821287779238</v>
      </c>
      <c r="K254" s="74"/>
      <c r="L254" s="74"/>
      <c r="M254" s="74" t="s">
        <v>1732</v>
      </c>
      <c r="N254" s="74">
        <v>0.01</v>
      </c>
      <c r="O254" s="74">
        <v>0.28000000000000003</v>
      </c>
      <c r="P254" s="74">
        <v>0.75</v>
      </c>
    </row>
    <row r="255" spans="1:16">
      <c r="A255" s="74" t="s">
        <v>735</v>
      </c>
      <c r="B255" s="74" t="s">
        <v>730</v>
      </c>
      <c r="C255" s="74" t="s">
        <v>1565</v>
      </c>
      <c r="D255" s="74" t="s">
        <v>78</v>
      </c>
      <c r="E255" s="74">
        <v>3</v>
      </c>
      <c r="F255" s="74">
        <v>8.74</v>
      </c>
      <c r="G255" s="758">
        <f t="shared" si="12"/>
        <v>0.19</v>
      </c>
      <c r="H255" s="759">
        <f t="shared" si="13"/>
        <v>0.19</v>
      </c>
      <c r="I255" s="758">
        <f t="shared" si="14"/>
        <v>2.7233333333333336</v>
      </c>
      <c r="J255" s="760">
        <f t="shared" si="15"/>
        <v>0.93478260869565211</v>
      </c>
      <c r="K255" s="74"/>
      <c r="L255" s="74"/>
      <c r="M255" s="74" t="s">
        <v>855</v>
      </c>
      <c r="N255" s="74">
        <v>0.32</v>
      </c>
      <c r="O255" s="74">
        <v>0.25</v>
      </c>
      <c r="P255" s="74">
        <v>0.87519999999999998</v>
      </c>
    </row>
    <row r="256" spans="1:16">
      <c r="A256" s="74" t="s">
        <v>735</v>
      </c>
      <c r="B256" s="74" t="s">
        <v>730</v>
      </c>
      <c r="C256" s="74" t="s">
        <v>1530</v>
      </c>
      <c r="D256" s="74" t="s">
        <v>80</v>
      </c>
      <c r="E256" s="74">
        <v>1</v>
      </c>
      <c r="F256" s="74">
        <v>2.82</v>
      </c>
      <c r="G256" s="758">
        <f t="shared" si="12"/>
        <v>0.19</v>
      </c>
      <c r="H256" s="759">
        <f t="shared" si="13"/>
        <v>0.19</v>
      </c>
      <c r="I256" s="758">
        <f t="shared" si="14"/>
        <v>2.63</v>
      </c>
      <c r="J256" s="760">
        <f t="shared" si="15"/>
        <v>0.93262411347517726</v>
      </c>
      <c r="K256" s="74"/>
      <c r="L256" s="74"/>
      <c r="M256" s="74" t="s">
        <v>1733</v>
      </c>
      <c r="N256" s="74">
        <v>0.57999999999999996</v>
      </c>
      <c r="O256" s="74">
        <v>0</v>
      </c>
      <c r="P256" s="74">
        <v>0</v>
      </c>
    </row>
    <row r="257" spans="1:16">
      <c r="A257" s="74" t="s">
        <v>735</v>
      </c>
      <c r="B257" s="74" t="s">
        <v>730</v>
      </c>
      <c r="C257" s="74" t="s">
        <v>1532</v>
      </c>
      <c r="D257" s="74" t="s">
        <v>80</v>
      </c>
      <c r="E257" s="74">
        <v>3</v>
      </c>
      <c r="F257" s="74">
        <v>9.07</v>
      </c>
      <c r="G257" s="758">
        <f t="shared" si="12"/>
        <v>0.19</v>
      </c>
      <c r="H257" s="759">
        <f t="shared" si="13"/>
        <v>0.19</v>
      </c>
      <c r="I257" s="758">
        <f t="shared" si="14"/>
        <v>2.8333333333333335</v>
      </c>
      <c r="J257" s="760">
        <f t="shared" si="15"/>
        <v>0.9371554575523704</v>
      </c>
      <c r="K257" s="74"/>
      <c r="L257" s="74"/>
      <c r="M257" s="74" t="s">
        <v>1734</v>
      </c>
      <c r="N257" s="74">
        <v>0</v>
      </c>
      <c r="O257" s="74">
        <v>0</v>
      </c>
      <c r="P257" s="74">
        <v>0</v>
      </c>
    </row>
    <row r="258" spans="1:16">
      <c r="A258" s="74" t="s">
        <v>735</v>
      </c>
      <c r="B258" s="74" t="s">
        <v>730</v>
      </c>
      <c r="C258" s="74" t="s">
        <v>1511</v>
      </c>
      <c r="D258" s="74" t="s">
        <v>80</v>
      </c>
      <c r="E258" s="74">
        <v>2</v>
      </c>
      <c r="F258" s="74">
        <v>5.64</v>
      </c>
      <c r="G258" s="758">
        <f t="shared" ref="G258:G321" si="16">IFERROR(VLOOKUP(A258,$M$1:$P$1014,2,FALSE),0)</f>
        <v>0.19</v>
      </c>
      <c r="H258" s="759">
        <f t="shared" ref="H258:H321" si="17">IFERROR(VLOOKUP(A258,$M$1:$P$1014,3,FALSE),0)</f>
        <v>0.19</v>
      </c>
      <c r="I258" s="758">
        <f t="shared" ref="I258:I321" si="18">IFERROR(F258/E258-G258,0)</f>
        <v>2.63</v>
      </c>
      <c r="J258" s="760">
        <f t="shared" ref="J258:J321" si="19">IFERROR(1-G258*E258/F258,0)</f>
        <v>0.93262411347517726</v>
      </c>
      <c r="K258" s="74"/>
      <c r="L258" s="74"/>
      <c r="M258" s="74" t="s">
        <v>1735</v>
      </c>
      <c r="N258" s="74">
        <v>2.23</v>
      </c>
      <c r="O258" s="74">
        <v>0</v>
      </c>
      <c r="P258" s="74">
        <v>0</v>
      </c>
    </row>
    <row r="259" spans="1:16">
      <c r="A259" s="74" t="s">
        <v>735</v>
      </c>
      <c r="B259" s="74" t="s">
        <v>730</v>
      </c>
      <c r="C259" s="74" t="s">
        <v>1512</v>
      </c>
      <c r="D259" s="74" t="s">
        <v>80</v>
      </c>
      <c r="E259" s="74">
        <v>1</v>
      </c>
      <c r="F259" s="74">
        <v>3.1</v>
      </c>
      <c r="G259" s="758">
        <f t="shared" si="16"/>
        <v>0.19</v>
      </c>
      <c r="H259" s="759">
        <f t="shared" si="17"/>
        <v>0.19</v>
      </c>
      <c r="I259" s="758">
        <f t="shared" si="18"/>
        <v>2.91</v>
      </c>
      <c r="J259" s="760">
        <f t="shared" si="19"/>
        <v>0.93870967741935485</v>
      </c>
      <c r="K259" s="74"/>
      <c r="L259" s="74"/>
      <c r="M259" s="74" t="s">
        <v>1736</v>
      </c>
      <c r="N259" s="74">
        <v>1.5</v>
      </c>
      <c r="O259" s="74">
        <v>0.41</v>
      </c>
      <c r="P259" s="74">
        <v>0.66959999999999997</v>
      </c>
    </row>
    <row r="260" spans="1:16">
      <c r="A260" s="74" t="s">
        <v>735</v>
      </c>
      <c r="B260" s="74" t="s">
        <v>730</v>
      </c>
      <c r="C260" s="74" t="s">
        <v>1513</v>
      </c>
      <c r="D260" s="74" t="s">
        <v>81</v>
      </c>
      <c r="E260" s="74">
        <v>8</v>
      </c>
      <c r="F260" s="74">
        <v>22.55</v>
      </c>
      <c r="G260" s="758">
        <f t="shared" si="16"/>
        <v>0.19</v>
      </c>
      <c r="H260" s="759">
        <f t="shared" si="17"/>
        <v>0.19</v>
      </c>
      <c r="I260" s="758">
        <f t="shared" si="18"/>
        <v>2.6287500000000001</v>
      </c>
      <c r="J260" s="760">
        <f t="shared" si="19"/>
        <v>0.93259423503325944</v>
      </c>
      <c r="K260" s="74"/>
      <c r="L260" s="74"/>
      <c r="M260" s="74" t="s">
        <v>942</v>
      </c>
      <c r="N260" s="74">
        <v>0</v>
      </c>
      <c r="O260" s="74">
        <v>0</v>
      </c>
      <c r="P260" s="74">
        <v>1</v>
      </c>
    </row>
    <row r="261" spans="1:16">
      <c r="A261" s="74" t="s">
        <v>735</v>
      </c>
      <c r="B261" s="74" t="s">
        <v>730</v>
      </c>
      <c r="C261" s="74" t="s">
        <v>1514</v>
      </c>
      <c r="D261" s="74" t="s">
        <v>81</v>
      </c>
      <c r="E261" s="74">
        <v>5</v>
      </c>
      <c r="F261" s="74">
        <v>14.94</v>
      </c>
      <c r="G261" s="758">
        <f t="shared" si="16"/>
        <v>0.19</v>
      </c>
      <c r="H261" s="759">
        <f t="shared" si="17"/>
        <v>0.19</v>
      </c>
      <c r="I261" s="758">
        <f t="shared" si="18"/>
        <v>2.798</v>
      </c>
      <c r="J261" s="760">
        <f t="shared" si="19"/>
        <v>0.93641231593038821</v>
      </c>
      <c r="K261" s="74"/>
      <c r="L261" s="74"/>
      <c r="M261" s="74" t="s">
        <v>1252</v>
      </c>
      <c r="N261" s="74">
        <v>0.8</v>
      </c>
      <c r="O261" s="74">
        <v>0.42</v>
      </c>
      <c r="P261" s="74">
        <v>0.61899999999999999</v>
      </c>
    </row>
    <row r="262" spans="1:16">
      <c r="A262" s="74" t="s">
        <v>735</v>
      </c>
      <c r="B262" s="74" t="s">
        <v>730</v>
      </c>
      <c r="C262" s="74" t="s">
        <v>1515</v>
      </c>
      <c r="D262" s="74" t="s">
        <v>81</v>
      </c>
      <c r="E262" s="74">
        <v>5</v>
      </c>
      <c r="F262" s="74">
        <v>15.49</v>
      </c>
      <c r="G262" s="758">
        <f t="shared" si="16"/>
        <v>0.19</v>
      </c>
      <c r="H262" s="759">
        <f t="shared" si="17"/>
        <v>0.19</v>
      </c>
      <c r="I262" s="758">
        <f t="shared" si="18"/>
        <v>2.9079999999999999</v>
      </c>
      <c r="J262" s="760">
        <f t="shared" si="19"/>
        <v>0.93867010974822462</v>
      </c>
      <c r="K262" s="74"/>
      <c r="L262" s="74"/>
      <c r="M262" s="74" t="s">
        <v>1264</v>
      </c>
      <c r="N262" s="74">
        <v>0.8</v>
      </c>
      <c r="O262" s="74">
        <v>0.33</v>
      </c>
      <c r="P262" s="74">
        <v>0.68830000000000002</v>
      </c>
    </row>
    <row r="263" spans="1:16">
      <c r="A263" s="74" t="s">
        <v>735</v>
      </c>
      <c r="B263" s="74" t="s">
        <v>730</v>
      </c>
      <c r="C263" s="74" t="s">
        <v>1516</v>
      </c>
      <c r="D263" s="74" t="s">
        <v>82</v>
      </c>
      <c r="E263" s="74">
        <v>2</v>
      </c>
      <c r="F263" s="74">
        <v>6.2</v>
      </c>
      <c r="G263" s="758">
        <f t="shared" si="16"/>
        <v>0.19</v>
      </c>
      <c r="H263" s="759">
        <f t="shared" si="17"/>
        <v>0.19</v>
      </c>
      <c r="I263" s="758">
        <f t="shared" si="18"/>
        <v>2.91</v>
      </c>
      <c r="J263" s="760">
        <f t="shared" si="19"/>
        <v>0.93870967741935485</v>
      </c>
      <c r="K263" s="74"/>
      <c r="L263" s="74"/>
      <c r="M263" s="74" t="s">
        <v>997</v>
      </c>
      <c r="N263" s="74">
        <v>0</v>
      </c>
      <c r="O263" s="74">
        <v>0</v>
      </c>
      <c r="P263" s="74">
        <v>1</v>
      </c>
    </row>
    <row r="264" spans="1:16">
      <c r="A264" s="74" t="s">
        <v>735</v>
      </c>
      <c r="B264" s="74" t="s">
        <v>730</v>
      </c>
      <c r="C264" s="74" t="s">
        <v>1517</v>
      </c>
      <c r="D264" s="74" t="s">
        <v>82</v>
      </c>
      <c r="E264" s="74">
        <v>1</v>
      </c>
      <c r="F264" s="74">
        <v>3.1</v>
      </c>
      <c r="G264" s="758">
        <f t="shared" si="16"/>
        <v>0.19</v>
      </c>
      <c r="H264" s="759">
        <f t="shared" si="17"/>
        <v>0.19</v>
      </c>
      <c r="I264" s="758">
        <f t="shared" si="18"/>
        <v>2.91</v>
      </c>
      <c r="J264" s="760">
        <f t="shared" si="19"/>
        <v>0.93870967741935485</v>
      </c>
      <c r="K264" s="74"/>
      <c r="L264" s="74"/>
      <c r="M264" s="74" t="s">
        <v>965</v>
      </c>
      <c r="N264" s="74">
        <v>0</v>
      </c>
      <c r="O264" s="74">
        <v>0</v>
      </c>
      <c r="P264" s="74">
        <v>1</v>
      </c>
    </row>
    <row r="265" spans="1:16">
      <c r="A265" s="74" t="s">
        <v>735</v>
      </c>
      <c r="B265" s="74" t="s">
        <v>730</v>
      </c>
      <c r="C265" s="74" t="s">
        <v>1527</v>
      </c>
      <c r="D265" s="74" t="s">
        <v>82</v>
      </c>
      <c r="E265" s="74">
        <v>1</v>
      </c>
      <c r="F265" s="74">
        <v>3.1</v>
      </c>
      <c r="G265" s="758">
        <f t="shared" si="16"/>
        <v>0.19</v>
      </c>
      <c r="H265" s="759">
        <f t="shared" si="17"/>
        <v>0.19</v>
      </c>
      <c r="I265" s="758">
        <f t="shared" si="18"/>
        <v>2.91</v>
      </c>
      <c r="J265" s="760">
        <f t="shared" si="19"/>
        <v>0.93870967741935485</v>
      </c>
      <c r="K265" s="74"/>
      <c r="L265" s="74"/>
      <c r="M265" s="74" t="s">
        <v>1076</v>
      </c>
      <c r="N265" s="74">
        <v>0</v>
      </c>
      <c r="O265" s="74">
        <v>0</v>
      </c>
      <c r="P265" s="74">
        <v>0</v>
      </c>
    </row>
    <row r="266" spans="1:16">
      <c r="A266" s="74" t="s">
        <v>735</v>
      </c>
      <c r="B266" s="74" t="s">
        <v>730</v>
      </c>
      <c r="C266" s="74" t="s">
        <v>1518</v>
      </c>
      <c r="D266" s="74" t="s">
        <v>82</v>
      </c>
      <c r="E266" s="74">
        <v>1</v>
      </c>
      <c r="F266" s="74">
        <v>3.1</v>
      </c>
      <c r="G266" s="758">
        <f t="shared" si="16"/>
        <v>0.19</v>
      </c>
      <c r="H266" s="759">
        <f t="shared" si="17"/>
        <v>0.19</v>
      </c>
      <c r="I266" s="758">
        <f t="shared" si="18"/>
        <v>2.91</v>
      </c>
      <c r="J266" s="760">
        <f t="shared" si="19"/>
        <v>0.93870967741935485</v>
      </c>
      <c r="K266" s="74"/>
      <c r="L266" s="74"/>
      <c r="M266" s="74" t="s">
        <v>1737</v>
      </c>
      <c r="N266" s="74">
        <v>0</v>
      </c>
      <c r="O266" s="74">
        <v>0</v>
      </c>
      <c r="P266" s="74">
        <v>0</v>
      </c>
    </row>
    <row r="267" spans="1:16">
      <c r="A267" s="74" t="s">
        <v>735</v>
      </c>
      <c r="B267" s="74" t="s">
        <v>730</v>
      </c>
      <c r="C267" s="74" t="s">
        <v>1577</v>
      </c>
      <c r="D267" s="74" t="s">
        <v>84</v>
      </c>
      <c r="E267" s="74">
        <v>2</v>
      </c>
      <c r="F267" s="74">
        <v>6.2</v>
      </c>
      <c r="G267" s="758">
        <f t="shared" si="16"/>
        <v>0.19</v>
      </c>
      <c r="H267" s="759">
        <f t="shared" si="17"/>
        <v>0.19</v>
      </c>
      <c r="I267" s="758">
        <f t="shared" si="18"/>
        <v>2.91</v>
      </c>
      <c r="J267" s="760">
        <f t="shared" si="19"/>
        <v>0.93870967741935485</v>
      </c>
      <c r="K267" s="74"/>
      <c r="L267" s="74"/>
      <c r="M267" s="74" t="s">
        <v>1738</v>
      </c>
      <c r="N267" s="74">
        <v>0</v>
      </c>
      <c r="O267" s="74">
        <v>0</v>
      </c>
      <c r="P267" s="74">
        <v>1</v>
      </c>
    </row>
    <row r="268" spans="1:16">
      <c r="A268" s="74" t="s">
        <v>735</v>
      </c>
      <c r="B268" s="74" t="s">
        <v>730</v>
      </c>
      <c r="C268" s="74" t="s">
        <v>1507</v>
      </c>
      <c r="D268" s="74" t="s">
        <v>86</v>
      </c>
      <c r="E268" s="74">
        <v>2</v>
      </c>
      <c r="F268" s="74">
        <v>6.2</v>
      </c>
      <c r="G268" s="758">
        <f t="shared" si="16"/>
        <v>0.19</v>
      </c>
      <c r="H268" s="759">
        <f t="shared" si="17"/>
        <v>0.19</v>
      </c>
      <c r="I268" s="758">
        <f t="shared" si="18"/>
        <v>2.91</v>
      </c>
      <c r="J268" s="760">
        <f t="shared" si="19"/>
        <v>0.93870967741935485</v>
      </c>
      <c r="K268" s="74"/>
      <c r="L268" s="74"/>
      <c r="M268" s="74" t="s">
        <v>1739</v>
      </c>
      <c r="N268" s="74">
        <v>0</v>
      </c>
      <c r="O268" s="74">
        <v>0</v>
      </c>
      <c r="P268" s="74">
        <v>1</v>
      </c>
    </row>
    <row r="269" spans="1:16">
      <c r="A269" s="74" t="s">
        <v>735</v>
      </c>
      <c r="B269" s="74" t="s">
        <v>730</v>
      </c>
      <c r="C269" s="74" t="s">
        <v>1541</v>
      </c>
      <c r="D269" s="74" t="s">
        <v>86</v>
      </c>
      <c r="E269" s="74">
        <v>2</v>
      </c>
      <c r="F269" s="74">
        <v>6.45</v>
      </c>
      <c r="G269" s="758">
        <f t="shared" si="16"/>
        <v>0.19</v>
      </c>
      <c r="H269" s="759">
        <f t="shared" si="17"/>
        <v>0.19</v>
      </c>
      <c r="I269" s="758">
        <f t="shared" si="18"/>
        <v>3.0350000000000001</v>
      </c>
      <c r="J269" s="760">
        <f t="shared" si="19"/>
        <v>0.94108527131782949</v>
      </c>
      <c r="K269" s="74"/>
      <c r="L269" s="74"/>
      <c r="M269" s="74" t="s">
        <v>1740</v>
      </c>
      <c r="N269" s="74">
        <v>0.38</v>
      </c>
      <c r="O269" s="74">
        <v>0.19</v>
      </c>
      <c r="P269" s="74">
        <v>0.82730000000000004</v>
      </c>
    </row>
    <row r="270" spans="1:16">
      <c r="A270" s="74" t="s">
        <v>735</v>
      </c>
      <c r="B270" s="74" t="s">
        <v>730</v>
      </c>
      <c r="C270" s="74" t="s">
        <v>1543</v>
      </c>
      <c r="D270" s="74" t="s">
        <v>87</v>
      </c>
      <c r="E270" s="74">
        <v>3</v>
      </c>
      <c r="F270" s="74">
        <v>9.3000000000000007</v>
      </c>
      <c r="G270" s="758">
        <f t="shared" si="16"/>
        <v>0.19</v>
      </c>
      <c r="H270" s="759">
        <f t="shared" si="17"/>
        <v>0.19</v>
      </c>
      <c r="I270" s="758">
        <f t="shared" si="18"/>
        <v>2.91</v>
      </c>
      <c r="J270" s="760">
        <f t="shared" si="19"/>
        <v>0.93870967741935485</v>
      </c>
      <c r="K270" s="74"/>
      <c r="L270" s="74"/>
      <c r="M270" s="74" t="s">
        <v>1741</v>
      </c>
      <c r="N270" s="74">
        <v>0.11</v>
      </c>
      <c r="O270" s="74">
        <v>0.22</v>
      </c>
      <c r="P270" s="74">
        <v>0.95920000000000005</v>
      </c>
    </row>
    <row r="271" spans="1:16">
      <c r="A271" s="74" t="s">
        <v>735</v>
      </c>
      <c r="B271" s="74" t="s">
        <v>730</v>
      </c>
      <c r="C271" s="74" t="s">
        <v>1544</v>
      </c>
      <c r="D271" s="74" t="s">
        <v>87</v>
      </c>
      <c r="E271" s="74">
        <v>1</v>
      </c>
      <c r="F271" s="74">
        <v>3.1</v>
      </c>
      <c r="G271" s="758">
        <f t="shared" si="16"/>
        <v>0.19</v>
      </c>
      <c r="H271" s="759">
        <f t="shared" si="17"/>
        <v>0.19</v>
      </c>
      <c r="I271" s="758">
        <f t="shared" si="18"/>
        <v>2.91</v>
      </c>
      <c r="J271" s="760">
        <f t="shared" si="19"/>
        <v>0.93870967741935485</v>
      </c>
      <c r="K271" s="74"/>
      <c r="L271" s="74"/>
      <c r="M271" s="74" t="s">
        <v>1742</v>
      </c>
      <c r="N271" s="74">
        <v>0.46</v>
      </c>
      <c r="O271" s="74">
        <v>0.16</v>
      </c>
      <c r="P271" s="74">
        <v>0.85160000000000002</v>
      </c>
    </row>
    <row r="272" spans="1:16">
      <c r="A272" s="74" t="s">
        <v>735</v>
      </c>
      <c r="B272" s="74" t="s">
        <v>730</v>
      </c>
      <c r="C272" s="74" t="s">
        <v>1605</v>
      </c>
      <c r="D272" s="74" t="s">
        <v>87</v>
      </c>
      <c r="E272" s="74">
        <v>1</v>
      </c>
      <c r="F272" s="74">
        <v>3.1</v>
      </c>
      <c r="G272" s="758">
        <f t="shared" si="16"/>
        <v>0.19</v>
      </c>
      <c r="H272" s="759">
        <f t="shared" si="17"/>
        <v>0.19</v>
      </c>
      <c r="I272" s="758">
        <f t="shared" si="18"/>
        <v>2.91</v>
      </c>
      <c r="J272" s="760">
        <f t="shared" si="19"/>
        <v>0.93870967741935485</v>
      </c>
      <c r="K272" s="74"/>
      <c r="L272" s="74"/>
      <c r="M272" s="74" t="s">
        <v>1743</v>
      </c>
      <c r="N272" s="74">
        <v>0</v>
      </c>
      <c r="O272" s="74">
        <v>0</v>
      </c>
      <c r="P272" s="74">
        <v>1</v>
      </c>
    </row>
    <row r="273" spans="1:16">
      <c r="A273" s="74" t="s">
        <v>735</v>
      </c>
      <c r="B273" s="74" t="s">
        <v>730</v>
      </c>
      <c r="C273" s="74" t="s">
        <v>1561</v>
      </c>
      <c r="D273" s="74" t="s">
        <v>87</v>
      </c>
      <c r="E273" s="74">
        <v>3</v>
      </c>
      <c r="F273" s="74">
        <v>9.3000000000000007</v>
      </c>
      <c r="G273" s="758">
        <f t="shared" si="16"/>
        <v>0.19</v>
      </c>
      <c r="H273" s="759">
        <f t="shared" si="17"/>
        <v>0.19</v>
      </c>
      <c r="I273" s="758">
        <f t="shared" si="18"/>
        <v>2.91</v>
      </c>
      <c r="J273" s="760">
        <f t="shared" si="19"/>
        <v>0.93870967741935485</v>
      </c>
      <c r="K273" s="74"/>
      <c r="L273" s="74"/>
      <c r="M273" s="74" t="s">
        <v>1744</v>
      </c>
      <c r="N273" s="74">
        <v>0</v>
      </c>
      <c r="O273" s="74">
        <v>0</v>
      </c>
      <c r="P273" s="74">
        <v>0</v>
      </c>
    </row>
    <row r="274" spans="1:16">
      <c r="A274" s="74" t="s">
        <v>735</v>
      </c>
      <c r="B274" s="74" t="s">
        <v>730</v>
      </c>
      <c r="C274" s="74" t="s">
        <v>1546</v>
      </c>
      <c r="D274" s="74" t="s">
        <v>89</v>
      </c>
      <c r="E274" s="74">
        <v>1</v>
      </c>
      <c r="F274" s="74">
        <v>3.1</v>
      </c>
      <c r="G274" s="758">
        <f t="shared" si="16"/>
        <v>0.19</v>
      </c>
      <c r="H274" s="759">
        <f t="shared" si="17"/>
        <v>0.19</v>
      </c>
      <c r="I274" s="758">
        <f t="shared" si="18"/>
        <v>2.91</v>
      </c>
      <c r="J274" s="760">
        <f t="shared" si="19"/>
        <v>0.93870967741935485</v>
      </c>
      <c r="K274" s="74"/>
      <c r="L274" s="74"/>
      <c r="M274" s="74" t="s">
        <v>1745</v>
      </c>
      <c r="N274" s="74">
        <v>0</v>
      </c>
      <c r="O274" s="74">
        <v>0</v>
      </c>
      <c r="P274" s="74">
        <v>0</v>
      </c>
    </row>
    <row r="275" spans="1:16">
      <c r="A275" s="74" t="s">
        <v>735</v>
      </c>
      <c r="B275" s="74" t="s">
        <v>730</v>
      </c>
      <c r="C275" s="74" t="s">
        <v>1547</v>
      </c>
      <c r="D275" s="74" t="s">
        <v>89</v>
      </c>
      <c r="E275" s="74">
        <v>2</v>
      </c>
      <c r="F275" s="74">
        <v>6.2</v>
      </c>
      <c r="G275" s="758">
        <f t="shared" si="16"/>
        <v>0.19</v>
      </c>
      <c r="H275" s="759">
        <f t="shared" si="17"/>
        <v>0.19</v>
      </c>
      <c r="I275" s="758">
        <f t="shared" si="18"/>
        <v>2.91</v>
      </c>
      <c r="J275" s="760">
        <f t="shared" si="19"/>
        <v>0.93870967741935485</v>
      </c>
      <c r="K275" s="74"/>
      <c r="L275" s="74"/>
      <c r="M275" s="74" t="s">
        <v>1044</v>
      </c>
      <c r="N275" s="74">
        <v>0.53</v>
      </c>
      <c r="O275" s="74">
        <v>0.22</v>
      </c>
      <c r="P275" s="74">
        <v>0.9466</v>
      </c>
    </row>
    <row r="276" spans="1:16">
      <c r="A276" s="74" t="s">
        <v>735</v>
      </c>
      <c r="B276" s="74" t="s">
        <v>730</v>
      </c>
      <c r="C276" s="74" t="s">
        <v>1582</v>
      </c>
      <c r="D276" s="74" t="s">
        <v>89</v>
      </c>
      <c r="E276" s="74">
        <v>3</v>
      </c>
      <c r="F276" s="74">
        <v>12.4</v>
      </c>
      <c r="G276" s="758">
        <f t="shared" si="16"/>
        <v>0.19</v>
      </c>
      <c r="H276" s="759">
        <f t="shared" si="17"/>
        <v>0.19</v>
      </c>
      <c r="I276" s="758">
        <f t="shared" si="18"/>
        <v>3.9433333333333338</v>
      </c>
      <c r="J276" s="760">
        <f t="shared" si="19"/>
        <v>0.95403225806451608</v>
      </c>
      <c r="K276" s="74"/>
      <c r="L276" s="74"/>
      <c r="M276" s="74" t="s">
        <v>1746</v>
      </c>
      <c r="N276" s="74">
        <v>0</v>
      </c>
      <c r="O276" s="74">
        <v>0</v>
      </c>
      <c r="P276" s="74">
        <v>0</v>
      </c>
    </row>
    <row r="277" spans="1:16">
      <c r="A277" s="74" t="s">
        <v>735</v>
      </c>
      <c r="B277" s="74" t="s">
        <v>730</v>
      </c>
      <c r="C277" s="74" t="s">
        <v>1522</v>
      </c>
      <c r="D277" s="74" t="s">
        <v>91</v>
      </c>
      <c r="E277" s="74">
        <v>1</v>
      </c>
      <c r="F277" s="74">
        <v>3.1</v>
      </c>
      <c r="G277" s="758">
        <f t="shared" si="16"/>
        <v>0.19</v>
      </c>
      <c r="H277" s="759">
        <f t="shared" si="17"/>
        <v>0.19</v>
      </c>
      <c r="I277" s="758">
        <f t="shared" si="18"/>
        <v>2.91</v>
      </c>
      <c r="J277" s="760">
        <f t="shared" si="19"/>
        <v>0.93870967741935485</v>
      </c>
      <c r="K277" s="74"/>
      <c r="L277" s="74"/>
      <c r="M277" s="74" t="s">
        <v>1747</v>
      </c>
      <c r="N277" s="74">
        <v>1.55</v>
      </c>
      <c r="O277" s="74">
        <v>0</v>
      </c>
      <c r="P277" s="74">
        <v>0</v>
      </c>
    </row>
    <row r="278" spans="1:16">
      <c r="A278" s="74" t="s">
        <v>735</v>
      </c>
      <c r="B278" s="74" t="s">
        <v>730</v>
      </c>
      <c r="C278" s="74" t="s">
        <v>1550</v>
      </c>
      <c r="D278" s="74" t="s">
        <v>91</v>
      </c>
      <c r="E278" s="74">
        <v>5</v>
      </c>
      <c r="F278" s="74">
        <v>16.75</v>
      </c>
      <c r="G278" s="758">
        <f t="shared" si="16"/>
        <v>0.19</v>
      </c>
      <c r="H278" s="759">
        <f t="shared" si="17"/>
        <v>0.19</v>
      </c>
      <c r="I278" s="758">
        <f t="shared" si="18"/>
        <v>3.16</v>
      </c>
      <c r="J278" s="760">
        <f t="shared" si="19"/>
        <v>0.94328358208955221</v>
      </c>
      <c r="K278" s="74"/>
      <c r="L278" s="74"/>
      <c r="M278" s="74" t="s">
        <v>1029</v>
      </c>
      <c r="N278" s="74">
        <v>0</v>
      </c>
      <c r="O278" s="74">
        <v>0</v>
      </c>
      <c r="P278" s="74">
        <v>0</v>
      </c>
    </row>
    <row r="279" spans="1:16">
      <c r="A279" s="74" t="s">
        <v>735</v>
      </c>
      <c r="B279" s="74" t="s">
        <v>730</v>
      </c>
      <c r="C279" s="74" t="s">
        <v>1675</v>
      </c>
      <c r="D279" s="74" t="s">
        <v>91</v>
      </c>
      <c r="E279" s="74">
        <v>1</v>
      </c>
      <c r="F279" s="74">
        <v>3.1</v>
      </c>
      <c r="G279" s="758">
        <f t="shared" si="16"/>
        <v>0.19</v>
      </c>
      <c r="H279" s="759">
        <f t="shared" si="17"/>
        <v>0.19</v>
      </c>
      <c r="I279" s="758">
        <f t="shared" si="18"/>
        <v>2.91</v>
      </c>
      <c r="J279" s="760">
        <f t="shared" si="19"/>
        <v>0.93870967741935485</v>
      </c>
      <c r="K279" s="74"/>
      <c r="L279" s="74"/>
      <c r="M279" s="74" t="s">
        <v>1748</v>
      </c>
      <c r="N279" s="74">
        <v>0</v>
      </c>
      <c r="O279" s="74">
        <v>0</v>
      </c>
      <c r="P279" s="74">
        <v>0</v>
      </c>
    </row>
    <row r="280" spans="1:16">
      <c r="A280" s="74" t="s">
        <v>735</v>
      </c>
      <c r="B280" s="74" t="s">
        <v>730</v>
      </c>
      <c r="C280" s="74" t="s">
        <v>1524</v>
      </c>
      <c r="D280" s="74" t="s">
        <v>91</v>
      </c>
      <c r="E280" s="74">
        <v>2</v>
      </c>
      <c r="F280" s="74">
        <v>6.2</v>
      </c>
      <c r="G280" s="758">
        <f t="shared" si="16"/>
        <v>0.19</v>
      </c>
      <c r="H280" s="759">
        <f t="shared" si="17"/>
        <v>0.19</v>
      </c>
      <c r="I280" s="758">
        <f t="shared" si="18"/>
        <v>2.91</v>
      </c>
      <c r="J280" s="760">
        <f t="shared" si="19"/>
        <v>0.93870967741935485</v>
      </c>
      <c r="K280" s="74"/>
      <c r="L280" s="74"/>
      <c r="M280" s="74" t="s">
        <v>1749</v>
      </c>
      <c r="N280" s="74">
        <v>1.55</v>
      </c>
      <c r="O280" s="74">
        <v>0</v>
      </c>
      <c r="P280" s="74">
        <v>0</v>
      </c>
    </row>
    <row r="281" spans="1:16">
      <c r="A281" s="74" t="s">
        <v>735</v>
      </c>
      <c r="B281" s="74" t="s">
        <v>730</v>
      </c>
      <c r="C281" s="74" t="s">
        <v>1614</v>
      </c>
      <c r="D281" s="74" t="s">
        <v>92</v>
      </c>
      <c r="E281" s="74">
        <v>1</v>
      </c>
      <c r="F281" s="74">
        <v>3.1</v>
      </c>
      <c r="G281" s="758">
        <f t="shared" si="16"/>
        <v>0.19</v>
      </c>
      <c r="H281" s="759">
        <f t="shared" si="17"/>
        <v>0.19</v>
      </c>
      <c r="I281" s="758">
        <f t="shared" si="18"/>
        <v>2.91</v>
      </c>
      <c r="J281" s="760">
        <f t="shared" si="19"/>
        <v>0.93870967741935485</v>
      </c>
      <c r="K281" s="74"/>
      <c r="L281" s="74"/>
      <c r="M281" s="74" t="s">
        <v>1750</v>
      </c>
      <c r="N281" s="74">
        <v>0</v>
      </c>
      <c r="O281" s="74">
        <v>0</v>
      </c>
      <c r="P281" s="74">
        <v>0</v>
      </c>
    </row>
    <row r="282" spans="1:16">
      <c r="A282" s="74" t="s">
        <v>735</v>
      </c>
      <c r="B282" s="74" t="s">
        <v>730</v>
      </c>
      <c r="C282" s="74" t="s">
        <v>1631</v>
      </c>
      <c r="D282" s="74" t="s">
        <v>92</v>
      </c>
      <c r="E282" s="74">
        <v>4</v>
      </c>
      <c r="F282" s="74">
        <v>12.4</v>
      </c>
      <c r="G282" s="758">
        <f t="shared" si="16"/>
        <v>0.19</v>
      </c>
      <c r="H282" s="759">
        <f t="shared" si="17"/>
        <v>0.19</v>
      </c>
      <c r="I282" s="758">
        <f t="shared" si="18"/>
        <v>2.91</v>
      </c>
      <c r="J282" s="760">
        <f t="shared" si="19"/>
        <v>0.93870967741935485</v>
      </c>
      <c r="K282" s="74"/>
      <c r="L282" s="74"/>
      <c r="M282" s="74" t="s">
        <v>1751</v>
      </c>
      <c r="N282" s="74">
        <v>0</v>
      </c>
      <c r="O282" s="74">
        <v>0</v>
      </c>
      <c r="P282" s="74">
        <v>0</v>
      </c>
    </row>
    <row r="283" spans="1:16">
      <c r="A283" s="74" t="s">
        <v>735</v>
      </c>
      <c r="B283" s="74" t="s">
        <v>730</v>
      </c>
      <c r="C283" s="74" t="s">
        <v>1552</v>
      </c>
      <c r="D283" s="74" t="s">
        <v>92</v>
      </c>
      <c r="E283" s="74">
        <v>1</v>
      </c>
      <c r="F283" s="74">
        <v>3.1</v>
      </c>
      <c r="G283" s="758">
        <f t="shared" si="16"/>
        <v>0.19</v>
      </c>
      <c r="H283" s="759">
        <f t="shared" si="17"/>
        <v>0.19</v>
      </c>
      <c r="I283" s="758">
        <f t="shared" si="18"/>
        <v>2.91</v>
      </c>
      <c r="J283" s="760">
        <f t="shared" si="19"/>
        <v>0.93870967741935485</v>
      </c>
      <c r="K283" s="74"/>
      <c r="L283" s="74"/>
      <c r="M283" s="74" t="s">
        <v>1752</v>
      </c>
      <c r="N283" s="74">
        <v>0.22</v>
      </c>
      <c r="O283" s="74">
        <v>0</v>
      </c>
      <c r="P283" s="74">
        <v>0</v>
      </c>
    </row>
    <row r="284" spans="1:16">
      <c r="A284" s="74" t="s">
        <v>735</v>
      </c>
      <c r="B284" s="74" t="s">
        <v>730</v>
      </c>
      <c r="C284" s="74" t="s">
        <v>1553</v>
      </c>
      <c r="D284" s="74" t="s">
        <v>94</v>
      </c>
      <c r="E284" s="74">
        <v>1</v>
      </c>
      <c r="F284" s="74">
        <v>3.1</v>
      </c>
      <c r="G284" s="758">
        <f t="shared" si="16"/>
        <v>0.19</v>
      </c>
      <c r="H284" s="759">
        <f t="shared" si="17"/>
        <v>0.19</v>
      </c>
      <c r="I284" s="758">
        <f t="shared" si="18"/>
        <v>2.91</v>
      </c>
      <c r="J284" s="760">
        <f t="shared" si="19"/>
        <v>0.93870967741935485</v>
      </c>
      <c r="K284" s="74"/>
      <c r="L284" s="74"/>
      <c r="M284" s="74" t="s">
        <v>1753</v>
      </c>
      <c r="N284" s="74">
        <v>0</v>
      </c>
      <c r="O284" s="74">
        <v>0</v>
      </c>
      <c r="P284" s="74">
        <v>0</v>
      </c>
    </row>
    <row r="285" spans="1:16">
      <c r="A285" s="74" t="s">
        <v>735</v>
      </c>
      <c r="B285" s="74" t="s">
        <v>730</v>
      </c>
      <c r="C285" s="74" t="s">
        <v>1557</v>
      </c>
      <c r="D285" s="74" t="s">
        <v>95</v>
      </c>
      <c r="E285" s="74">
        <v>1</v>
      </c>
      <c r="F285" s="74">
        <v>3.1</v>
      </c>
      <c r="G285" s="758">
        <f t="shared" si="16"/>
        <v>0.19</v>
      </c>
      <c r="H285" s="759">
        <f t="shared" si="17"/>
        <v>0.19</v>
      </c>
      <c r="I285" s="758">
        <f t="shared" si="18"/>
        <v>2.91</v>
      </c>
      <c r="J285" s="760">
        <f t="shared" si="19"/>
        <v>0.93870967741935485</v>
      </c>
      <c r="K285" s="74"/>
      <c r="L285" s="74"/>
      <c r="M285" s="74" t="s">
        <v>265</v>
      </c>
      <c r="N285" s="74">
        <v>0.53</v>
      </c>
      <c r="O285" s="74">
        <v>0.32</v>
      </c>
      <c r="P285" s="74">
        <v>0.79059999999999997</v>
      </c>
    </row>
    <row r="286" spans="1:16">
      <c r="A286" s="74" t="s">
        <v>735</v>
      </c>
      <c r="B286" s="74" t="s">
        <v>730</v>
      </c>
      <c r="C286" s="74" t="s">
        <v>1526</v>
      </c>
      <c r="D286" s="74" t="s">
        <v>95</v>
      </c>
      <c r="E286" s="74">
        <v>2</v>
      </c>
      <c r="F286" s="74">
        <v>6.2</v>
      </c>
      <c r="G286" s="758">
        <f t="shared" si="16"/>
        <v>0.19</v>
      </c>
      <c r="H286" s="759">
        <f t="shared" si="17"/>
        <v>0.19</v>
      </c>
      <c r="I286" s="758">
        <f t="shared" si="18"/>
        <v>2.91</v>
      </c>
      <c r="J286" s="760">
        <f t="shared" si="19"/>
        <v>0.93870967741935485</v>
      </c>
      <c r="K286" s="74"/>
      <c r="L286" s="74"/>
      <c r="M286" s="74" t="s">
        <v>1754</v>
      </c>
      <c r="N286" s="74">
        <v>0.78</v>
      </c>
      <c r="O286" s="74">
        <v>0</v>
      </c>
      <c r="P286" s="74">
        <v>0</v>
      </c>
    </row>
    <row r="287" spans="1:16">
      <c r="A287" s="74" t="s">
        <v>723</v>
      </c>
      <c r="B287" s="74" t="s">
        <v>713</v>
      </c>
      <c r="C287" s="74" t="s">
        <v>1528</v>
      </c>
      <c r="D287" s="74" t="s">
        <v>78</v>
      </c>
      <c r="E287" s="74">
        <v>4</v>
      </c>
      <c r="F287" s="74">
        <v>11.74</v>
      </c>
      <c r="G287" s="758">
        <f t="shared" si="16"/>
        <v>0.23</v>
      </c>
      <c r="H287" s="759">
        <f t="shared" si="17"/>
        <v>0.18</v>
      </c>
      <c r="I287" s="758">
        <f t="shared" si="18"/>
        <v>2.7050000000000001</v>
      </c>
      <c r="J287" s="760">
        <f t="shared" si="19"/>
        <v>0.9216354344122657</v>
      </c>
      <c r="K287" s="74"/>
      <c r="L287" s="74"/>
      <c r="M287" s="74" t="s">
        <v>1755</v>
      </c>
      <c r="N287" s="74">
        <v>0</v>
      </c>
      <c r="O287" s="74">
        <v>0</v>
      </c>
      <c r="P287" s="74">
        <v>1</v>
      </c>
    </row>
    <row r="288" spans="1:16">
      <c r="A288" s="74" t="s">
        <v>723</v>
      </c>
      <c r="B288" s="74" t="s">
        <v>713</v>
      </c>
      <c r="C288" s="74" t="s">
        <v>1508</v>
      </c>
      <c r="D288" s="74" t="s">
        <v>78</v>
      </c>
      <c r="E288" s="74">
        <v>5</v>
      </c>
      <c r="F288" s="74">
        <v>15.22</v>
      </c>
      <c r="G288" s="758">
        <f t="shared" si="16"/>
        <v>0.23</v>
      </c>
      <c r="H288" s="759">
        <f t="shared" si="17"/>
        <v>0.18</v>
      </c>
      <c r="I288" s="758">
        <f t="shared" si="18"/>
        <v>2.8140000000000001</v>
      </c>
      <c r="J288" s="760">
        <f t="shared" si="19"/>
        <v>0.92444152431011828</v>
      </c>
      <c r="K288" s="74"/>
      <c r="L288" s="74"/>
      <c r="M288" s="74" t="s">
        <v>1756</v>
      </c>
      <c r="N288" s="74">
        <v>0.6</v>
      </c>
      <c r="O288" s="74">
        <v>0.31</v>
      </c>
      <c r="P288" s="74">
        <v>0.71430000000000005</v>
      </c>
    </row>
    <row r="289" spans="1:16">
      <c r="A289" s="74" t="s">
        <v>723</v>
      </c>
      <c r="B289" s="74" t="s">
        <v>713</v>
      </c>
      <c r="C289" s="74" t="s">
        <v>1509</v>
      </c>
      <c r="D289" s="74" t="s">
        <v>78</v>
      </c>
      <c r="E289" s="74">
        <v>9</v>
      </c>
      <c r="F289" s="74">
        <v>27.17</v>
      </c>
      <c r="G289" s="758">
        <f t="shared" si="16"/>
        <v>0.23</v>
      </c>
      <c r="H289" s="759">
        <f t="shared" si="17"/>
        <v>0.18</v>
      </c>
      <c r="I289" s="758">
        <f t="shared" si="18"/>
        <v>2.7888888888888892</v>
      </c>
      <c r="J289" s="760">
        <f t="shared" si="19"/>
        <v>0.92381302907618701</v>
      </c>
      <c r="K289" s="74"/>
      <c r="L289" s="74"/>
      <c r="M289" s="74" t="s">
        <v>1757</v>
      </c>
      <c r="N289" s="74">
        <v>0</v>
      </c>
      <c r="O289" s="74">
        <v>0</v>
      </c>
      <c r="P289" s="74">
        <v>1</v>
      </c>
    </row>
    <row r="290" spans="1:16">
      <c r="A290" s="74" t="s">
        <v>723</v>
      </c>
      <c r="B290" s="74" t="s">
        <v>713</v>
      </c>
      <c r="C290" s="74" t="s">
        <v>1565</v>
      </c>
      <c r="D290" s="74" t="s">
        <v>78</v>
      </c>
      <c r="E290" s="74">
        <v>7</v>
      </c>
      <c r="F290" s="74">
        <v>20.010000000000002</v>
      </c>
      <c r="G290" s="758">
        <f t="shared" si="16"/>
        <v>0.23</v>
      </c>
      <c r="H290" s="759">
        <f t="shared" si="17"/>
        <v>0.18</v>
      </c>
      <c r="I290" s="758">
        <f t="shared" si="18"/>
        <v>2.628571428571429</v>
      </c>
      <c r="J290" s="760">
        <f t="shared" si="19"/>
        <v>0.91954022988505746</v>
      </c>
      <c r="K290" s="74"/>
      <c r="L290" s="74"/>
      <c r="M290" s="74" t="s">
        <v>926</v>
      </c>
      <c r="N290" s="74">
        <v>0.53</v>
      </c>
      <c r="O290" s="74">
        <v>0.28999999999999998</v>
      </c>
      <c r="P290" s="74">
        <v>0.81730000000000003</v>
      </c>
    </row>
    <row r="291" spans="1:16">
      <c r="A291" s="74" t="s">
        <v>723</v>
      </c>
      <c r="B291" s="74" t="s">
        <v>713</v>
      </c>
      <c r="C291" s="74" t="s">
        <v>1530</v>
      </c>
      <c r="D291" s="74" t="s">
        <v>80</v>
      </c>
      <c r="E291" s="74">
        <v>4</v>
      </c>
      <c r="F291" s="74">
        <v>11.55</v>
      </c>
      <c r="G291" s="758">
        <f t="shared" si="16"/>
        <v>0.23</v>
      </c>
      <c r="H291" s="759">
        <f t="shared" si="17"/>
        <v>0.18</v>
      </c>
      <c r="I291" s="758">
        <f t="shared" si="18"/>
        <v>2.6575000000000002</v>
      </c>
      <c r="J291" s="760">
        <f t="shared" si="19"/>
        <v>0.92034632034632036</v>
      </c>
      <c r="K291" s="74"/>
      <c r="L291" s="74"/>
      <c r="M291" s="74" t="s">
        <v>1758</v>
      </c>
      <c r="N291" s="74">
        <v>0.73</v>
      </c>
      <c r="O291" s="74">
        <v>0</v>
      </c>
      <c r="P291" s="74">
        <v>0</v>
      </c>
    </row>
    <row r="292" spans="1:16">
      <c r="A292" s="74" t="s">
        <v>723</v>
      </c>
      <c r="B292" s="74" t="s">
        <v>713</v>
      </c>
      <c r="C292" s="74" t="s">
        <v>1532</v>
      </c>
      <c r="D292" s="74" t="s">
        <v>80</v>
      </c>
      <c r="E292" s="74">
        <v>6</v>
      </c>
      <c r="F292" s="74">
        <v>17.75</v>
      </c>
      <c r="G292" s="758">
        <f t="shared" si="16"/>
        <v>0.23</v>
      </c>
      <c r="H292" s="759">
        <f t="shared" si="17"/>
        <v>0.18</v>
      </c>
      <c r="I292" s="758">
        <f t="shared" si="18"/>
        <v>2.7283333333333335</v>
      </c>
      <c r="J292" s="760">
        <f t="shared" si="19"/>
        <v>0.92225352112676051</v>
      </c>
      <c r="K292" s="74"/>
      <c r="L292" s="74"/>
      <c r="M292" s="74" t="s">
        <v>1759</v>
      </c>
      <c r="N292" s="74">
        <v>0.73</v>
      </c>
      <c r="O292" s="74">
        <v>0</v>
      </c>
      <c r="P292" s="74">
        <v>0</v>
      </c>
    </row>
    <row r="293" spans="1:16">
      <c r="A293" s="74" t="s">
        <v>723</v>
      </c>
      <c r="B293" s="74" t="s">
        <v>713</v>
      </c>
      <c r="C293" s="74" t="s">
        <v>1511</v>
      </c>
      <c r="D293" s="74" t="s">
        <v>80</v>
      </c>
      <c r="E293" s="74">
        <v>4</v>
      </c>
      <c r="F293" s="74">
        <v>11.27</v>
      </c>
      <c r="G293" s="758">
        <f t="shared" si="16"/>
        <v>0.23</v>
      </c>
      <c r="H293" s="759">
        <f t="shared" si="17"/>
        <v>0.18</v>
      </c>
      <c r="I293" s="758">
        <f t="shared" si="18"/>
        <v>2.5874999999999999</v>
      </c>
      <c r="J293" s="760">
        <f t="shared" si="19"/>
        <v>0.91836734693877553</v>
      </c>
      <c r="K293" s="74"/>
      <c r="L293" s="74"/>
      <c r="M293" s="74" t="s">
        <v>1359</v>
      </c>
      <c r="N293" s="74">
        <v>0</v>
      </c>
      <c r="O293" s="74">
        <v>0</v>
      </c>
      <c r="P293" s="74">
        <v>1</v>
      </c>
    </row>
    <row r="294" spans="1:16">
      <c r="A294" s="74" t="s">
        <v>723</v>
      </c>
      <c r="B294" s="74" t="s">
        <v>713</v>
      </c>
      <c r="C294" s="74" t="s">
        <v>1512</v>
      </c>
      <c r="D294" s="74" t="s">
        <v>80</v>
      </c>
      <c r="E294" s="74">
        <v>8</v>
      </c>
      <c r="F294" s="74">
        <v>23.67</v>
      </c>
      <c r="G294" s="758">
        <f t="shared" si="16"/>
        <v>0.23</v>
      </c>
      <c r="H294" s="759">
        <f t="shared" si="17"/>
        <v>0.18</v>
      </c>
      <c r="I294" s="758">
        <f t="shared" si="18"/>
        <v>2.7287500000000002</v>
      </c>
      <c r="J294" s="760">
        <f t="shared" si="19"/>
        <v>0.92226446979298693</v>
      </c>
      <c r="K294" s="74"/>
      <c r="L294" s="74"/>
      <c r="M294" s="74" t="s">
        <v>1760</v>
      </c>
      <c r="N294" s="74">
        <v>0</v>
      </c>
      <c r="O294" s="74">
        <v>0</v>
      </c>
      <c r="P294" s="74">
        <v>1</v>
      </c>
    </row>
    <row r="295" spans="1:16">
      <c r="A295" s="74" t="s">
        <v>723</v>
      </c>
      <c r="B295" s="74" t="s">
        <v>713</v>
      </c>
      <c r="C295" s="74" t="s">
        <v>1534</v>
      </c>
      <c r="D295" s="74" t="s">
        <v>81</v>
      </c>
      <c r="E295" s="74">
        <v>1</v>
      </c>
      <c r="F295" s="74">
        <v>3.1</v>
      </c>
      <c r="G295" s="758">
        <f t="shared" si="16"/>
        <v>0.23</v>
      </c>
      <c r="H295" s="759">
        <f t="shared" si="17"/>
        <v>0.18</v>
      </c>
      <c r="I295" s="758">
        <f t="shared" si="18"/>
        <v>2.87</v>
      </c>
      <c r="J295" s="760">
        <f t="shared" si="19"/>
        <v>0.9258064516129032</v>
      </c>
      <c r="K295" s="74"/>
      <c r="L295" s="74"/>
      <c r="M295" s="74" t="s">
        <v>1761</v>
      </c>
      <c r="N295" s="74">
        <v>0</v>
      </c>
      <c r="O295" s="74">
        <v>0</v>
      </c>
      <c r="P295" s="74">
        <v>1</v>
      </c>
    </row>
    <row r="296" spans="1:16">
      <c r="A296" s="74" t="s">
        <v>723</v>
      </c>
      <c r="B296" s="74" t="s">
        <v>713</v>
      </c>
      <c r="C296" s="74" t="s">
        <v>1513</v>
      </c>
      <c r="D296" s="74" t="s">
        <v>81</v>
      </c>
      <c r="E296" s="74">
        <v>7</v>
      </c>
      <c r="F296" s="74">
        <v>20.010000000000002</v>
      </c>
      <c r="G296" s="758">
        <f t="shared" si="16"/>
        <v>0.23</v>
      </c>
      <c r="H296" s="759">
        <f t="shared" si="17"/>
        <v>0.18</v>
      </c>
      <c r="I296" s="758">
        <f t="shared" si="18"/>
        <v>2.628571428571429</v>
      </c>
      <c r="J296" s="760">
        <f t="shared" si="19"/>
        <v>0.91954022988505746</v>
      </c>
      <c r="K296" s="74"/>
      <c r="L296" s="74"/>
      <c r="M296" s="74" t="s">
        <v>717</v>
      </c>
      <c r="N296" s="74">
        <v>0.51</v>
      </c>
      <c r="O296" s="74">
        <v>0.27</v>
      </c>
      <c r="P296" s="74">
        <v>0.75929999999999997</v>
      </c>
    </row>
    <row r="297" spans="1:16">
      <c r="A297" s="74" t="s">
        <v>723</v>
      </c>
      <c r="B297" s="74" t="s">
        <v>713</v>
      </c>
      <c r="C297" s="74" t="s">
        <v>1514</v>
      </c>
      <c r="D297" s="74" t="s">
        <v>81</v>
      </c>
      <c r="E297" s="74">
        <v>5</v>
      </c>
      <c r="F297" s="74">
        <v>14.65</v>
      </c>
      <c r="G297" s="758">
        <f t="shared" si="16"/>
        <v>0.23</v>
      </c>
      <c r="H297" s="759">
        <f t="shared" si="17"/>
        <v>0.18</v>
      </c>
      <c r="I297" s="758">
        <f t="shared" si="18"/>
        <v>2.7</v>
      </c>
      <c r="J297" s="760">
        <f t="shared" si="19"/>
        <v>0.92150170648464158</v>
      </c>
      <c r="K297" s="74"/>
      <c r="L297" s="74"/>
      <c r="M297" s="74" t="s">
        <v>1762</v>
      </c>
      <c r="N297" s="74">
        <v>0</v>
      </c>
      <c r="O297" s="74">
        <v>0</v>
      </c>
      <c r="P297" s="74">
        <v>1</v>
      </c>
    </row>
    <row r="298" spans="1:16">
      <c r="A298" s="74" t="s">
        <v>723</v>
      </c>
      <c r="B298" s="74" t="s">
        <v>713</v>
      </c>
      <c r="C298" s="74" t="s">
        <v>1515</v>
      </c>
      <c r="D298" s="74" t="s">
        <v>81</v>
      </c>
      <c r="E298" s="74">
        <v>9</v>
      </c>
      <c r="F298" s="74">
        <v>36.69</v>
      </c>
      <c r="G298" s="758">
        <f t="shared" si="16"/>
        <v>0.23</v>
      </c>
      <c r="H298" s="759">
        <f t="shared" si="17"/>
        <v>0.18</v>
      </c>
      <c r="I298" s="758">
        <f t="shared" si="18"/>
        <v>3.8466666666666662</v>
      </c>
      <c r="J298" s="760">
        <f t="shared" si="19"/>
        <v>0.94358135731807036</v>
      </c>
      <c r="K298" s="74"/>
      <c r="L298" s="74"/>
      <c r="M298" s="74" t="s">
        <v>904</v>
      </c>
      <c r="N298" s="74">
        <v>0</v>
      </c>
      <c r="O298" s="74">
        <v>0</v>
      </c>
      <c r="P298" s="74">
        <v>1</v>
      </c>
    </row>
    <row r="299" spans="1:16">
      <c r="A299" s="74" t="s">
        <v>723</v>
      </c>
      <c r="B299" s="74" t="s">
        <v>713</v>
      </c>
      <c r="C299" s="74" t="s">
        <v>1516</v>
      </c>
      <c r="D299" s="74" t="s">
        <v>82</v>
      </c>
      <c r="E299" s="74">
        <v>5</v>
      </c>
      <c r="F299" s="74">
        <v>16.5</v>
      </c>
      <c r="G299" s="758">
        <f t="shared" si="16"/>
        <v>0.23</v>
      </c>
      <c r="H299" s="759">
        <f t="shared" si="17"/>
        <v>0.18</v>
      </c>
      <c r="I299" s="758">
        <f t="shared" si="18"/>
        <v>3.07</v>
      </c>
      <c r="J299" s="760">
        <f t="shared" si="19"/>
        <v>0.9303030303030303</v>
      </c>
      <c r="K299" s="74"/>
      <c r="L299" s="74"/>
      <c r="M299" s="74" t="s">
        <v>1000</v>
      </c>
      <c r="N299" s="74">
        <v>0.06</v>
      </c>
      <c r="O299" s="74">
        <v>0.24</v>
      </c>
      <c r="P299" s="74">
        <v>0.96940000000000004</v>
      </c>
    </row>
    <row r="300" spans="1:16">
      <c r="A300" s="74" t="s">
        <v>723</v>
      </c>
      <c r="B300" s="74" t="s">
        <v>713</v>
      </c>
      <c r="C300" s="74" t="s">
        <v>1517</v>
      </c>
      <c r="D300" s="74" t="s">
        <v>82</v>
      </c>
      <c r="E300" s="74">
        <v>1</v>
      </c>
      <c r="F300" s="74">
        <v>3.1</v>
      </c>
      <c r="G300" s="758">
        <f t="shared" si="16"/>
        <v>0.23</v>
      </c>
      <c r="H300" s="759">
        <f t="shared" si="17"/>
        <v>0.18</v>
      </c>
      <c r="I300" s="758">
        <f t="shared" si="18"/>
        <v>2.87</v>
      </c>
      <c r="J300" s="760">
        <f t="shared" si="19"/>
        <v>0.9258064516129032</v>
      </c>
      <c r="K300" s="74"/>
      <c r="L300" s="74"/>
      <c r="M300" s="74" t="s">
        <v>1763</v>
      </c>
      <c r="N300" s="74">
        <v>3.65</v>
      </c>
      <c r="O300" s="74">
        <v>0.26</v>
      </c>
      <c r="P300" s="74">
        <v>0.76039999999999996</v>
      </c>
    </row>
    <row r="301" spans="1:16">
      <c r="A301" s="74" t="s">
        <v>723</v>
      </c>
      <c r="B301" s="74" t="s">
        <v>713</v>
      </c>
      <c r="C301" s="74" t="s">
        <v>1527</v>
      </c>
      <c r="D301" s="74" t="s">
        <v>82</v>
      </c>
      <c r="E301" s="74">
        <v>1</v>
      </c>
      <c r="F301" s="74">
        <v>3.1</v>
      </c>
      <c r="G301" s="758">
        <f t="shared" si="16"/>
        <v>0.23</v>
      </c>
      <c r="H301" s="759">
        <f t="shared" si="17"/>
        <v>0.18</v>
      </c>
      <c r="I301" s="758">
        <f t="shared" si="18"/>
        <v>2.87</v>
      </c>
      <c r="J301" s="760">
        <f t="shared" si="19"/>
        <v>0.9258064516129032</v>
      </c>
      <c r="K301" s="74"/>
      <c r="L301" s="74"/>
      <c r="M301" s="74" t="s">
        <v>1764</v>
      </c>
      <c r="N301" s="74">
        <v>0.73</v>
      </c>
      <c r="O301" s="74">
        <v>0.24</v>
      </c>
      <c r="P301" s="74">
        <v>0.78239999999999998</v>
      </c>
    </row>
    <row r="302" spans="1:16">
      <c r="A302" s="74" t="s">
        <v>723</v>
      </c>
      <c r="B302" s="74" t="s">
        <v>713</v>
      </c>
      <c r="C302" s="74" t="s">
        <v>1518</v>
      </c>
      <c r="D302" s="74" t="s">
        <v>82</v>
      </c>
      <c r="E302" s="74">
        <v>1</v>
      </c>
      <c r="F302" s="74">
        <v>3.1</v>
      </c>
      <c r="G302" s="758">
        <f t="shared" si="16"/>
        <v>0.23</v>
      </c>
      <c r="H302" s="759">
        <f t="shared" si="17"/>
        <v>0.18</v>
      </c>
      <c r="I302" s="758">
        <f t="shared" si="18"/>
        <v>2.87</v>
      </c>
      <c r="J302" s="760">
        <f t="shared" si="19"/>
        <v>0.9258064516129032</v>
      </c>
      <c r="K302" s="74"/>
      <c r="L302" s="74"/>
      <c r="M302" s="74" t="s">
        <v>1765</v>
      </c>
      <c r="N302" s="74">
        <v>0</v>
      </c>
      <c r="O302" s="74">
        <v>0</v>
      </c>
      <c r="P302" s="74">
        <v>0</v>
      </c>
    </row>
    <row r="303" spans="1:16">
      <c r="A303" s="74" t="s">
        <v>723</v>
      </c>
      <c r="B303" s="74" t="s">
        <v>713</v>
      </c>
      <c r="C303" s="74" t="s">
        <v>1519</v>
      </c>
      <c r="D303" s="74" t="s">
        <v>84</v>
      </c>
      <c r="E303" s="74">
        <v>2</v>
      </c>
      <c r="F303" s="74">
        <v>6.2</v>
      </c>
      <c r="G303" s="758">
        <f t="shared" si="16"/>
        <v>0.23</v>
      </c>
      <c r="H303" s="759">
        <f t="shared" si="17"/>
        <v>0.18</v>
      </c>
      <c r="I303" s="758">
        <f t="shared" si="18"/>
        <v>2.87</v>
      </c>
      <c r="J303" s="760">
        <f t="shared" si="19"/>
        <v>0.9258064516129032</v>
      </c>
      <c r="K303" s="74"/>
      <c r="L303" s="74"/>
      <c r="M303" s="74" t="s">
        <v>1766</v>
      </c>
      <c r="N303" s="74">
        <v>0</v>
      </c>
      <c r="O303" s="74">
        <v>0</v>
      </c>
      <c r="P303" s="74">
        <v>1</v>
      </c>
    </row>
    <row r="304" spans="1:16">
      <c r="A304" s="74" t="s">
        <v>723</v>
      </c>
      <c r="B304" s="74" t="s">
        <v>713</v>
      </c>
      <c r="C304" s="74" t="s">
        <v>1540</v>
      </c>
      <c r="D304" s="74" t="s">
        <v>84</v>
      </c>
      <c r="E304" s="74">
        <v>1</v>
      </c>
      <c r="F304" s="74">
        <v>3.1</v>
      </c>
      <c r="G304" s="758">
        <f t="shared" si="16"/>
        <v>0.23</v>
      </c>
      <c r="H304" s="759">
        <f t="shared" si="17"/>
        <v>0.18</v>
      </c>
      <c r="I304" s="758">
        <f t="shared" si="18"/>
        <v>2.87</v>
      </c>
      <c r="J304" s="760">
        <f t="shared" si="19"/>
        <v>0.9258064516129032</v>
      </c>
      <c r="K304" s="74"/>
      <c r="L304" s="74"/>
      <c r="M304" s="74" t="s">
        <v>1140</v>
      </c>
      <c r="N304" s="74">
        <v>0.66</v>
      </c>
      <c r="O304" s="74">
        <v>0.22</v>
      </c>
      <c r="P304" s="74">
        <v>0.80269999999999997</v>
      </c>
    </row>
    <row r="305" spans="1:16">
      <c r="A305" s="74" t="s">
        <v>723</v>
      </c>
      <c r="B305" s="74" t="s">
        <v>713</v>
      </c>
      <c r="C305" s="74" t="s">
        <v>1507</v>
      </c>
      <c r="D305" s="74" t="s">
        <v>86</v>
      </c>
      <c r="E305" s="74">
        <v>2</v>
      </c>
      <c r="F305" s="74">
        <v>6.2</v>
      </c>
      <c r="G305" s="758">
        <f t="shared" si="16"/>
        <v>0.23</v>
      </c>
      <c r="H305" s="759">
        <f t="shared" si="17"/>
        <v>0.18</v>
      </c>
      <c r="I305" s="758">
        <f t="shared" si="18"/>
        <v>2.87</v>
      </c>
      <c r="J305" s="760">
        <f t="shared" si="19"/>
        <v>0.9258064516129032</v>
      </c>
      <c r="K305" s="74"/>
      <c r="L305" s="74"/>
      <c r="M305" s="74" t="s">
        <v>1767</v>
      </c>
      <c r="N305" s="74">
        <v>0</v>
      </c>
      <c r="O305" s="74">
        <v>0</v>
      </c>
      <c r="P305" s="74">
        <v>1</v>
      </c>
    </row>
    <row r="306" spans="1:16">
      <c r="A306" s="74" t="s">
        <v>723</v>
      </c>
      <c r="B306" s="74" t="s">
        <v>713</v>
      </c>
      <c r="C306" s="74" t="s">
        <v>1646</v>
      </c>
      <c r="D306" s="74" t="s">
        <v>86</v>
      </c>
      <c r="E306" s="74">
        <v>1</v>
      </c>
      <c r="F306" s="74">
        <v>3.1</v>
      </c>
      <c r="G306" s="758">
        <f t="shared" si="16"/>
        <v>0.23</v>
      </c>
      <c r="H306" s="759">
        <f t="shared" si="17"/>
        <v>0.18</v>
      </c>
      <c r="I306" s="758">
        <f t="shared" si="18"/>
        <v>2.87</v>
      </c>
      <c r="J306" s="760">
        <f t="shared" si="19"/>
        <v>0.9258064516129032</v>
      </c>
      <c r="K306" s="74"/>
      <c r="L306" s="74"/>
      <c r="M306" s="74" t="s">
        <v>1768</v>
      </c>
      <c r="N306" s="74">
        <v>0</v>
      </c>
      <c r="O306" s="74">
        <v>0.16</v>
      </c>
      <c r="P306" s="74">
        <v>0</v>
      </c>
    </row>
    <row r="307" spans="1:16">
      <c r="A307" s="74" t="s">
        <v>723</v>
      </c>
      <c r="B307" s="74" t="s">
        <v>713</v>
      </c>
      <c r="C307" s="74" t="s">
        <v>1543</v>
      </c>
      <c r="D307" s="74" t="s">
        <v>87</v>
      </c>
      <c r="E307" s="74">
        <v>1</v>
      </c>
      <c r="F307" s="74">
        <v>3.1</v>
      </c>
      <c r="G307" s="758">
        <f t="shared" si="16"/>
        <v>0.23</v>
      </c>
      <c r="H307" s="759">
        <f t="shared" si="17"/>
        <v>0.18</v>
      </c>
      <c r="I307" s="758">
        <f t="shared" si="18"/>
        <v>2.87</v>
      </c>
      <c r="J307" s="760">
        <f t="shared" si="19"/>
        <v>0.9258064516129032</v>
      </c>
      <c r="K307" s="74"/>
      <c r="L307" s="74"/>
      <c r="M307" s="74" t="s">
        <v>1769</v>
      </c>
      <c r="N307" s="74">
        <v>0</v>
      </c>
      <c r="O307" s="74">
        <v>0</v>
      </c>
      <c r="P307" s="74">
        <v>0</v>
      </c>
    </row>
    <row r="308" spans="1:16">
      <c r="A308" s="74" t="s">
        <v>723</v>
      </c>
      <c r="B308" s="74" t="s">
        <v>713</v>
      </c>
      <c r="C308" s="74" t="s">
        <v>1544</v>
      </c>
      <c r="D308" s="74" t="s">
        <v>87</v>
      </c>
      <c r="E308" s="74">
        <v>2</v>
      </c>
      <c r="F308" s="74">
        <v>6.2</v>
      </c>
      <c r="G308" s="758">
        <f t="shared" si="16"/>
        <v>0.23</v>
      </c>
      <c r="H308" s="759">
        <f t="shared" si="17"/>
        <v>0.18</v>
      </c>
      <c r="I308" s="758">
        <f t="shared" si="18"/>
        <v>2.87</v>
      </c>
      <c r="J308" s="760">
        <f t="shared" si="19"/>
        <v>0.9258064516129032</v>
      </c>
      <c r="K308" s="74"/>
      <c r="L308" s="74"/>
      <c r="M308" s="74" t="s">
        <v>1066</v>
      </c>
      <c r="N308" s="74">
        <v>0</v>
      </c>
      <c r="O308" s="74">
        <v>0</v>
      </c>
      <c r="P308" s="74">
        <v>1</v>
      </c>
    </row>
    <row r="309" spans="1:16">
      <c r="A309" s="74" t="s">
        <v>723</v>
      </c>
      <c r="B309" s="74" t="s">
        <v>713</v>
      </c>
      <c r="C309" s="74" t="s">
        <v>1605</v>
      </c>
      <c r="D309" s="74" t="s">
        <v>87</v>
      </c>
      <c r="E309" s="74">
        <v>1</v>
      </c>
      <c r="F309" s="74">
        <v>3.1</v>
      </c>
      <c r="G309" s="758">
        <f t="shared" si="16"/>
        <v>0.23</v>
      </c>
      <c r="H309" s="759">
        <f t="shared" si="17"/>
        <v>0.18</v>
      </c>
      <c r="I309" s="758">
        <f t="shared" si="18"/>
        <v>2.87</v>
      </c>
      <c r="J309" s="760">
        <f t="shared" si="19"/>
        <v>0.9258064516129032</v>
      </c>
      <c r="K309" s="74"/>
      <c r="L309" s="74"/>
      <c r="M309" s="74" t="s">
        <v>1770</v>
      </c>
      <c r="N309" s="74">
        <v>0.25</v>
      </c>
      <c r="O309" s="74">
        <v>0</v>
      </c>
      <c r="P309" s="74">
        <v>0</v>
      </c>
    </row>
    <row r="310" spans="1:16">
      <c r="A310" s="74" t="s">
        <v>723</v>
      </c>
      <c r="B310" s="74" t="s">
        <v>713</v>
      </c>
      <c r="C310" s="74" t="s">
        <v>1610</v>
      </c>
      <c r="D310" s="74" t="s">
        <v>89</v>
      </c>
      <c r="E310" s="74">
        <v>3</v>
      </c>
      <c r="F310" s="74">
        <v>9.3000000000000007</v>
      </c>
      <c r="G310" s="758">
        <f t="shared" si="16"/>
        <v>0.23</v>
      </c>
      <c r="H310" s="759">
        <f t="shared" si="17"/>
        <v>0.18</v>
      </c>
      <c r="I310" s="758">
        <f t="shared" si="18"/>
        <v>2.87</v>
      </c>
      <c r="J310" s="760">
        <f t="shared" si="19"/>
        <v>0.9258064516129032</v>
      </c>
      <c r="K310" s="74"/>
      <c r="L310" s="74"/>
      <c r="M310" s="74" t="s">
        <v>1771</v>
      </c>
      <c r="N310" s="74">
        <v>0</v>
      </c>
      <c r="O310" s="74">
        <v>0</v>
      </c>
      <c r="P310" s="74">
        <v>0</v>
      </c>
    </row>
    <row r="311" spans="1:16">
      <c r="A311" s="74" t="s">
        <v>723</v>
      </c>
      <c r="B311" s="74" t="s">
        <v>713</v>
      </c>
      <c r="C311" s="74" t="s">
        <v>1550</v>
      </c>
      <c r="D311" s="74" t="s">
        <v>91</v>
      </c>
      <c r="E311" s="74">
        <v>3</v>
      </c>
      <c r="F311" s="74">
        <v>9.3000000000000007</v>
      </c>
      <c r="G311" s="758">
        <f t="shared" si="16"/>
        <v>0.23</v>
      </c>
      <c r="H311" s="759">
        <f t="shared" si="17"/>
        <v>0.18</v>
      </c>
      <c r="I311" s="758">
        <f t="shared" si="18"/>
        <v>2.87</v>
      </c>
      <c r="J311" s="760">
        <f t="shared" si="19"/>
        <v>0.9258064516129032</v>
      </c>
      <c r="K311" s="74"/>
      <c r="L311" s="74"/>
      <c r="M311" s="74" t="s">
        <v>980</v>
      </c>
      <c r="N311" s="74">
        <v>0</v>
      </c>
      <c r="O311" s="74">
        <v>0</v>
      </c>
      <c r="P311" s="74">
        <v>0</v>
      </c>
    </row>
    <row r="312" spans="1:16">
      <c r="A312" s="74" t="s">
        <v>723</v>
      </c>
      <c r="B312" s="74" t="s">
        <v>713</v>
      </c>
      <c r="C312" s="74" t="s">
        <v>1675</v>
      </c>
      <c r="D312" s="74" t="s">
        <v>91</v>
      </c>
      <c r="E312" s="74">
        <v>4</v>
      </c>
      <c r="F312" s="74">
        <v>12.4</v>
      </c>
      <c r="G312" s="758">
        <f t="shared" si="16"/>
        <v>0.23</v>
      </c>
      <c r="H312" s="759">
        <f t="shared" si="17"/>
        <v>0.18</v>
      </c>
      <c r="I312" s="758">
        <f t="shared" si="18"/>
        <v>2.87</v>
      </c>
      <c r="J312" s="760">
        <f t="shared" si="19"/>
        <v>0.9258064516129032</v>
      </c>
      <c r="K312" s="74"/>
      <c r="L312" s="74"/>
      <c r="M312" s="74" t="s">
        <v>1772</v>
      </c>
      <c r="N312" s="74">
        <v>0</v>
      </c>
      <c r="O312" s="74">
        <v>0</v>
      </c>
      <c r="P312" s="74">
        <v>0</v>
      </c>
    </row>
    <row r="313" spans="1:16">
      <c r="A313" s="74" t="s">
        <v>723</v>
      </c>
      <c r="B313" s="74" t="s">
        <v>713</v>
      </c>
      <c r="C313" s="74" t="s">
        <v>1524</v>
      </c>
      <c r="D313" s="74" t="s">
        <v>91</v>
      </c>
      <c r="E313" s="74">
        <v>3</v>
      </c>
      <c r="F313" s="74">
        <v>9.3000000000000007</v>
      </c>
      <c r="G313" s="758">
        <f t="shared" si="16"/>
        <v>0.23</v>
      </c>
      <c r="H313" s="759">
        <f t="shared" si="17"/>
        <v>0.18</v>
      </c>
      <c r="I313" s="758">
        <f t="shared" si="18"/>
        <v>2.87</v>
      </c>
      <c r="J313" s="760">
        <f t="shared" si="19"/>
        <v>0.9258064516129032</v>
      </c>
      <c r="K313" s="74"/>
      <c r="L313" s="74"/>
      <c r="M313" s="74" t="s">
        <v>1099</v>
      </c>
      <c r="N313" s="74">
        <v>0</v>
      </c>
      <c r="O313" s="74">
        <v>0</v>
      </c>
      <c r="P313" s="74">
        <v>0</v>
      </c>
    </row>
    <row r="314" spans="1:16">
      <c r="A314" s="74" t="s">
        <v>723</v>
      </c>
      <c r="B314" s="74" t="s">
        <v>713</v>
      </c>
      <c r="C314" s="74" t="s">
        <v>1584</v>
      </c>
      <c r="D314" s="74" t="s">
        <v>92</v>
      </c>
      <c r="E314" s="74">
        <v>7</v>
      </c>
      <c r="F314" s="74">
        <v>21.7</v>
      </c>
      <c r="G314" s="758">
        <f t="shared" si="16"/>
        <v>0.23</v>
      </c>
      <c r="H314" s="759">
        <f t="shared" si="17"/>
        <v>0.18</v>
      </c>
      <c r="I314" s="758">
        <f t="shared" si="18"/>
        <v>2.87</v>
      </c>
      <c r="J314" s="760">
        <f t="shared" si="19"/>
        <v>0.9258064516129032</v>
      </c>
      <c r="K314" s="74"/>
      <c r="L314" s="74"/>
      <c r="M314" s="74" t="s">
        <v>1250</v>
      </c>
      <c r="N314" s="74">
        <v>0</v>
      </c>
      <c r="O314" s="74">
        <v>0</v>
      </c>
      <c r="P314" s="74">
        <v>0</v>
      </c>
    </row>
    <row r="315" spans="1:16">
      <c r="A315" s="74" t="s">
        <v>723</v>
      </c>
      <c r="B315" s="74" t="s">
        <v>713</v>
      </c>
      <c r="C315" s="74" t="s">
        <v>1614</v>
      </c>
      <c r="D315" s="74" t="s">
        <v>92</v>
      </c>
      <c r="E315" s="74">
        <v>3</v>
      </c>
      <c r="F315" s="74">
        <v>9.3000000000000007</v>
      </c>
      <c r="G315" s="758">
        <f t="shared" si="16"/>
        <v>0.23</v>
      </c>
      <c r="H315" s="759">
        <f t="shared" si="17"/>
        <v>0.18</v>
      </c>
      <c r="I315" s="758">
        <f t="shared" si="18"/>
        <v>2.87</v>
      </c>
      <c r="J315" s="760">
        <f t="shared" si="19"/>
        <v>0.9258064516129032</v>
      </c>
      <c r="K315" s="74"/>
      <c r="L315" s="74"/>
      <c r="M315" s="74" t="s">
        <v>1773</v>
      </c>
      <c r="N315" s="74">
        <v>0</v>
      </c>
      <c r="O315" s="74">
        <v>0</v>
      </c>
      <c r="P315" s="74">
        <v>0</v>
      </c>
    </row>
    <row r="316" spans="1:16">
      <c r="A316" s="74" t="s">
        <v>723</v>
      </c>
      <c r="B316" s="74" t="s">
        <v>713</v>
      </c>
      <c r="C316" s="74" t="s">
        <v>1631</v>
      </c>
      <c r="D316" s="74" t="s">
        <v>92</v>
      </c>
      <c r="E316" s="74">
        <v>2</v>
      </c>
      <c r="F316" s="74">
        <v>6.2</v>
      </c>
      <c r="G316" s="758">
        <f t="shared" si="16"/>
        <v>0.23</v>
      </c>
      <c r="H316" s="759">
        <f t="shared" si="17"/>
        <v>0.18</v>
      </c>
      <c r="I316" s="758">
        <f t="shared" si="18"/>
        <v>2.87</v>
      </c>
      <c r="J316" s="760">
        <f t="shared" si="19"/>
        <v>0.9258064516129032</v>
      </c>
      <c r="K316" s="74"/>
      <c r="L316" s="74"/>
      <c r="M316" s="74" t="s">
        <v>976</v>
      </c>
      <c r="N316" s="74">
        <v>0</v>
      </c>
      <c r="O316" s="74">
        <v>0</v>
      </c>
      <c r="P316" s="74">
        <v>1</v>
      </c>
    </row>
    <row r="317" spans="1:16">
      <c r="A317" s="74" t="s">
        <v>723</v>
      </c>
      <c r="B317" s="74" t="s">
        <v>713</v>
      </c>
      <c r="C317" s="74" t="s">
        <v>1552</v>
      </c>
      <c r="D317" s="74" t="s">
        <v>92</v>
      </c>
      <c r="E317" s="74">
        <v>3</v>
      </c>
      <c r="F317" s="74">
        <v>9.3000000000000007</v>
      </c>
      <c r="G317" s="758">
        <f t="shared" si="16"/>
        <v>0.23</v>
      </c>
      <c r="H317" s="759">
        <f t="shared" si="17"/>
        <v>0.18</v>
      </c>
      <c r="I317" s="758">
        <f t="shared" si="18"/>
        <v>2.87</v>
      </c>
      <c r="J317" s="760">
        <f t="shared" si="19"/>
        <v>0.9258064516129032</v>
      </c>
      <c r="K317" s="74"/>
      <c r="L317" s="74"/>
      <c r="M317" s="74" t="s">
        <v>1774</v>
      </c>
      <c r="N317" s="74">
        <v>0</v>
      </c>
      <c r="O317" s="74">
        <v>0</v>
      </c>
      <c r="P317" s="74">
        <v>1</v>
      </c>
    </row>
    <row r="318" spans="1:16">
      <c r="A318" s="74" t="s">
        <v>723</v>
      </c>
      <c r="B318" s="74" t="s">
        <v>713</v>
      </c>
      <c r="C318" s="74" t="s">
        <v>1617</v>
      </c>
      <c r="D318" s="74" t="s">
        <v>94</v>
      </c>
      <c r="E318" s="74">
        <v>3</v>
      </c>
      <c r="F318" s="74">
        <v>9.3000000000000007</v>
      </c>
      <c r="G318" s="758">
        <f t="shared" si="16"/>
        <v>0.23</v>
      </c>
      <c r="H318" s="759">
        <f t="shared" si="17"/>
        <v>0.18</v>
      </c>
      <c r="I318" s="758">
        <f t="shared" si="18"/>
        <v>2.87</v>
      </c>
      <c r="J318" s="760">
        <f t="shared" si="19"/>
        <v>0.9258064516129032</v>
      </c>
      <c r="K318" s="74"/>
      <c r="L318" s="74"/>
      <c r="M318" s="74" t="s">
        <v>1775</v>
      </c>
      <c r="N318" s="74">
        <v>0</v>
      </c>
      <c r="O318" s="74">
        <v>0</v>
      </c>
      <c r="P318" s="74">
        <v>1</v>
      </c>
    </row>
    <row r="319" spans="1:16">
      <c r="A319" s="74" t="s">
        <v>723</v>
      </c>
      <c r="B319" s="74" t="s">
        <v>713</v>
      </c>
      <c r="C319" s="74" t="s">
        <v>1553</v>
      </c>
      <c r="D319" s="74" t="s">
        <v>94</v>
      </c>
      <c r="E319" s="74">
        <v>2</v>
      </c>
      <c r="F319" s="74">
        <v>6.2</v>
      </c>
      <c r="G319" s="758">
        <f t="shared" si="16"/>
        <v>0.23</v>
      </c>
      <c r="H319" s="759">
        <f t="shared" si="17"/>
        <v>0.18</v>
      </c>
      <c r="I319" s="758">
        <f t="shared" si="18"/>
        <v>2.87</v>
      </c>
      <c r="J319" s="760">
        <f t="shared" si="19"/>
        <v>0.9258064516129032</v>
      </c>
      <c r="K319" s="74"/>
      <c r="L319" s="74"/>
      <c r="M319" s="74" t="s">
        <v>1776</v>
      </c>
      <c r="N319" s="74">
        <v>0</v>
      </c>
      <c r="O319" s="74">
        <v>0</v>
      </c>
      <c r="P319" s="74">
        <v>1</v>
      </c>
    </row>
    <row r="320" spans="1:16">
      <c r="A320" s="74" t="s">
        <v>723</v>
      </c>
      <c r="B320" s="74" t="s">
        <v>713</v>
      </c>
      <c r="C320" s="74" t="s">
        <v>1555</v>
      </c>
      <c r="D320" s="74" t="s">
        <v>94</v>
      </c>
      <c r="E320" s="74">
        <v>1</v>
      </c>
      <c r="F320" s="74">
        <v>3.1</v>
      </c>
      <c r="G320" s="758">
        <f t="shared" si="16"/>
        <v>0.23</v>
      </c>
      <c r="H320" s="759">
        <f t="shared" si="17"/>
        <v>0.18</v>
      </c>
      <c r="I320" s="758">
        <f t="shared" si="18"/>
        <v>2.87</v>
      </c>
      <c r="J320" s="760">
        <f t="shared" si="19"/>
        <v>0.9258064516129032</v>
      </c>
      <c r="K320" s="74"/>
      <c r="L320" s="74"/>
      <c r="M320" s="74" t="s">
        <v>1077</v>
      </c>
      <c r="N320" s="74">
        <v>0.66</v>
      </c>
      <c r="O320" s="74">
        <v>0.34</v>
      </c>
      <c r="P320" s="74">
        <v>0.80449999999999999</v>
      </c>
    </row>
    <row r="321" spans="1:16">
      <c r="A321" s="74" t="s">
        <v>723</v>
      </c>
      <c r="B321" s="74" t="s">
        <v>713</v>
      </c>
      <c r="C321" s="74" t="s">
        <v>1557</v>
      </c>
      <c r="D321" s="74" t="s">
        <v>95</v>
      </c>
      <c r="E321" s="74">
        <v>3</v>
      </c>
      <c r="F321" s="74">
        <v>9.3000000000000007</v>
      </c>
      <c r="G321" s="758">
        <f t="shared" si="16"/>
        <v>0.23</v>
      </c>
      <c r="H321" s="759">
        <f t="shared" si="17"/>
        <v>0.18</v>
      </c>
      <c r="I321" s="758">
        <f t="shared" si="18"/>
        <v>2.87</v>
      </c>
      <c r="J321" s="760">
        <f t="shared" si="19"/>
        <v>0.9258064516129032</v>
      </c>
      <c r="K321" s="74"/>
      <c r="L321" s="74"/>
      <c r="M321" s="74" t="s">
        <v>1777</v>
      </c>
      <c r="N321" s="74">
        <v>0</v>
      </c>
      <c r="O321" s="74">
        <v>0</v>
      </c>
      <c r="P321" s="74">
        <v>1</v>
      </c>
    </row>
    <row r="322" spans="1:16">
      <c r="A322" s="74" t="s">
        <v>723</v>
      </c>
      <c r="B322" s="74" t="s">
        <v>713</v>
      </c>
      <c r="C322" s="74" t="s">
        <v>1526</v>
      </c>
      <c r="D322" s="74" t="s">
        <v>95</v>
      </c>
      <c r="E322" s="74">
        <v>2</v>
      </c>
      <c r="F322" s="74">
        <v>6.2</v>
      </c>
      <c r="G322" s="758">
        <f t="shared" ref="G322:G385" si="20">IFERROR(VLOOKUP(A322,$M$1:$P$1014,2,FALSE),0)</f>
        <v>0.23</v>
      </c>
      <c r="H322" s="759">
        <f t="shared" ref="H322:H385" si="21">IFERROR(VLOOKUP(A322,$M$1:$P$1014,3,FALSE),0)</f>
        <v>0.18</v>
      </c>
      <c r="I322" s="758">
        <f t="shared" ref="I322:I385" si="22">IFERROR(F322/E322-G322,0)</f>
        <v>2.87</v>
      </c>
      <c r="J322" s="760">
        <f t="shared" ref="J322:J385" si="23">IFERROR(1-G322*E322/F322,0)</f>
        <v>0.9258064516129032</v>
      </c>
      <c r="K322" s="74"/>
      <c r="L322" s="74"/>
      <c r="M322" s="74" t="s">
        <v>1778</v>
      </c>
      <c r="N322" s="74">
        <v>0</v>
      </c>
      <c r="O322" s="74">
        <v>0</v>
      </c>
      <c r="P322" s="74">
        <v>1</v>
      </c>
    </row>
    <row r="323" spans="1:16">
      <c r="A323" s="74" t="s">
        <v>856</v>
      </c>
      <c r="B323" s="74" t="s">
        <v>327</v>
      </c>
      <c r="C323" s="74" t="s">
        <v>1528</v>
      </c>
      <c r="D323" s="74" t="s">
        <v>78</v>
      </c>
      <c r="E323" s="74">
        <v>1</v>
      </c>
      <c r="F323" s="74">
        <v>3.5</v>
      </c>
      <c r="G323" s="758">
        <f t="shared" si="20"/>
        <v>0.32</v>
      </c>
      <c r="H323" s="759">
        <f t="shared" si="21"/>
        <v>0.16</v>
      </c>
      <c r="I323" s="758">
        <f t="shared" si="22"/>
        <v>3.18</v>
      </c>
      <c r="J323" s="760">
        <f t="shared" si="23"/>
        <v>0.90857142857142859</v>
      </c>
      <c r="K323" s="74"/>
      <c r="L323" s="74"/>
      <c r="M323" s="74" t="s">
        <v>974</v>
      </c>
      <c r="N323" s="74">
        <v>0</v>
      </c>
      <c r="O323" s="74">
        <v>0</v>
      </c>
      <c r="P323" s="74">
        <v>0</v>
      </c>
    </row>
    <row r="324" spans="1:16">
      <c r="A324" s="74" t="s">
        <v>856</v>
      </c>
      <c r="B324" s="74" t="s">
        <v>327</v>
      </c>
      <c r="C324" s="74" t="s">
        <v>1508</v>
      </c>
      <c r="D324" s="74" t="s">
        <v>78</v>
      </c>
      <c r="E324" s="74">
        <v>2</v>
      </c>
      <c r="F324" s="74">
        <v>7.1</v>
      </c>
      <c r="G324" s="758">
        <f t="shared" si="20"/>
        <v>0.32</v>
      </c>
      <c r="H324" s="759">
        <f t="shared" si="21"/>
        <v>0.16</v>
      </c>
      <c r="I324" s="758">
        <f t="shared" si="22"/>
        <v>3.23</v>
      </c>
      <c r="J324" s="760">
        <f t="shared" si="23"/>
        <v>0.90985915492957747</v>
      </c>
      <c r="K324" s="74"/>
      <c r="L324" s="74"/>
      <c r="M324" s="74" t="s">
        <v>1779</v>
      </c>
      <c r="N324" s="74">
        <v>0</v>
      </c>
      <c r="O324" s="74">
        <v>0</v>
      </c>
      <c r="P324" s="74">
        <v>0</v>
      </c>
    </row>
    <row r="325" spans="1:16">
      <c r="A325" s="74" t="s">
        <v>856</v>
      </c>
      <c r="B325" s="74" t="s">
        <v>327</v>
      </c>
      <c r="C325" s="74" t="s">
        <v>1565</v>
      </c>
      <c r="D325" s="74" t="s">
        <v>78</v>
      </c>
      <c r="E325" s="74">
        <v>3</v>
      </c>
      <c r="F325" s="74">
        <v>10.5</v>
      </c>
      <c r="G325" s="758">
        <f t="shared" si="20"/>
        <v>0.32</v>
      </c>
      <c r="H325" s="759">
        <f t="shared" si="21"/>
        <v>0.16</v>
      </c>
      <c r="I325" s="758">
        <f t="shared" si="22"/>
        <v>3.18</v>
      </c>
      <c r="J325" s="760">
        <f t="shared" si="23"/>
        <v>0.90857142857142859</v>
      </c>
      <c r="K325" s="74"/>
      <c r="L325" s="74"/>
      <c r="M325" s="74" t="s">
        <v>811</v>
      </c>
      <c r="N325" s="74">
        <v>0.42</v>
      </c>
      <c r="O325" s="74">
        <v>0.19</v>
      </c>
      <c r="P325" s="74">
        <v>0.80549999999999999</v>
      </c>
    </row>
    <row r="326" spans="1:16">
      <c r="A326" s="74" t="s">
        <v>856</v>
      </c>
      <c r="B326" s="74" t="s">
        <v>327</v>
      </c>
      <c r="C326" s="74" t="s">
        <v>1532</v>
      </c>
      <c r="D326" s="74" t="s">
        <v>80</v>
      </c>
      <c r="E326" s="74">
        <v>3</v>
      </c>
      <c r="F326" s="74">
        <v>10.5</v>
      </c>
      <c r="G326" s="758">
        <f t="shared" si="20"/>
        <v>0.32</v>
      </c>
      <c r="H326" s="759">
        <f t="shared" si="21"/>
        <v>0.16</v>
      </c>
      <c r="I326" s="758">
        <f t="shared" si="22"/>
        <v>3.18</v>
      </c>
      <c r="J326" s="760">
        <f t="shared" si="23"/>
        <v>0.90857142857142859</v>
      </c>
      <c r="K326" s="74"/>
      <c r="L326" s="74"/>
      <c r="M326" s="74" t="s">
        <v>951</v>
      </c>
      <c r="N326" s="74">
        <v>0.87</v>
      </c>
      <c r="O326" s="74">
        <v>0.21</v>
      </c>
      <c r="P326" s="74">
        <v>0.81759999999999999</v>
      </c>
    </row>
    <row r="327" spans="1:16">
      <c r="A327" s="74" t="s">
        <v>856</v>
      </c>
      <c r="B327" s="74" t="s">
        <v>327</v>
      </c>
      <c r="C327" s="74" t="s">
        <v>1511</v>
      </c>
      <c r="D327" s="74" t="s">
        <v>80</v>
      </c>
      <c r="E327" s="74">
        <v>1</v>
      </c>
      <c r="F327" s="74">
        <v>3.5</v>
      </c>
      <c r="G327" s="758">
        <f t="shared" si="20"/>
        <v>0.32</v>
      </c>
      <c r="H327" s="759">
        <f t="shared" si="21"/>
        <v>0.16</v>
      </c>
      <c r="I327" s="758">
        <f t="shared" si="22"/>
        <v>3.18</v>
      </c>
      <c r="J327" s="760">
        <f t="shared" si="23"/>
        <v>0.90857142857142859</v>
      </c>
      <c r="K327" s="74"/>
      <c r="L327" s="74"/>
      <c r="M327" s="74" t="s">
        <v>1780</v>
      </c>
      <c r="N327" s="74">
        <v>1.82</v>
      </c>
      <c r="O327" s="74">
        <v>0</v>
      </c>
      <c r="P327" s="74">
        <v>0</v>
      </c>
    </row>
    <row r="328" spans="1:16">
      <c r="A328" s="74" t="s">
        <v>856</v>
      </c>
      <c r="B328" s="74" t="s">
        <v>327</v>
      </c>
      <c r="C328" s="74" t="s">
        <v>1534</v>
      </c>
      <c r="D328" s="74" t="s">
        <v>81</v>
      </c>
      <c r="E328" s="74">
        <v>2</v>
      </c>
      <c r="F328" s="74">
        <v>7</v>
      </c>
      <c r="G328" s="758">
        <f t="shared" si="20"/>
        <v>0.32</v>
      </c>
      <c r="H328" s="759">
        <f t="shared" si="21"/>
        <v>0.16</v>
      </c>
      <c r="I328" s="758">
        <f t="shared" si="22"/>
        <v>3.18</v>
      </c>
      <c r="J328" s="760">
        <f t="shared" si="23"/>
        <v>0.90857142857142859</v>
      </c>
      <c r="K328" s="74"/>
      <c r="L328" s="74"/>
      <c r="M328" s="74" t="s">
        <v>1781</v>
      </c>
      <c r="N328" s="74">
        <v>0</v>
      </c>
      <c r="O328" s="74">
        <v>0</v>
      </c>
      <c r="P328" s="74">
        <v>0</v>
      </c>
    </row>
    <row r="329" spans="1:16">
      <c r="A329" s="74" t="s">
        <v>856</v>
      </c>
      <c r="B329" s="74" t="s">
        <v>327</v>
      </c>
      <c r="C329" s="74" t="s">
        <v>1516</v>
      </c>
      <c r="D329" s="74" t="s">
        <v>82</v>
      </c>
      <c r="E329" s="74">
        <v>1</v>
      </c>
      <c r="F329" s="74">
        <v>4.5</v>
      </c>
      <c r="G329" s="758">
        <f t="shared" si="20"/>
        <v>0.32</v>
      </c>
      <c r="H329" s="759">
        <f t="shared" si="21"/>
        <v>0.16</v>
      </c>
      <c r="I329" s="758">
        <f t="shared" si="22"/>
        <v>4.18</v>
      </c>
      <c r="J329" s="760">
        <f t="shared" si="23"/>
        <v>0.92888888888888888</v>
      </c>
      <c r="K329" s="74"/>
      <c r="L329" s="74"/>
      <c r="M329" s="74" t="s">
        <v>1782</v>
      </c>
      <c r="N329" s="74">
        <v>0</v>
      </c>
      <c r="O329" s="74">
        <v>0</v>
      </c>
      <c r="P329" s="74">
        <v>0</v>
      </c>
    </row>
    <row r="330" spans="1:16">
      <c r="A330" s="74" t="s">
        <v>856</v>
      </c>
      <c r="B330" s="74" t="s">
        <v>327</v>
      </c>
      <c r="C330" s="74" t="s">
        <v>1517</v>
      </c>
      <c r="D330" s="74" t="s">
        <v>82</v>
      </c>
      <c r="E330" s="74">
        <v>1</v>
      </c>
      <c r="F330" s="74">
        <v>3.5</v>
      </c>
      <c r="G330" s="758">
        <f t="shared" si="20"/>
        <v>0.32</v>
      </c>
      <c r="H330" s="759">
        <f t="shared" si="21"/>
        <v>0.16</v>
      </c>
      <c r="I330" s="758">
        <f t="shared" si="22"/>
        <v>3.18</v>
      </c>
      <c r="J330" s="760">
        <f t="shared" si="23"/>
        <v>0.90857142857142859</v>
      </c>
      <c r="K330" s="74"/>
      <c r="L330" s="74"/>
      <c r="M330" s="74" t="s">
        <v>1783</v>
      </c>
      <c r="N330" s="74">
        <v>0</v>
      </c>
      <c r="O330" s="74">
        <v>0</v>
      </c>
      <c r="P330" s="74">
        <v>0</v>
      </c>
    </row>
    <row r="331" spans="1:16">
      <c r="A331" s="74" t="s">
        <v>856</v>
      </c>
      <c r="B331" s="74" t="s">
        <v>327</v>
      </c>
      <c r="C331" s="74" t="s">
        <v>1527</v>
      </c>
      <c r="D331" s="74" t="s">
        <v>82</v>
      </c>
      <c r="E331" s="74">
        <v>2</v>
      </c>
      <c r="F331" s="74">
        <v>7</v>
      </c>
      <c r="G331" s="758">
        <f t="shared" si="20"/>
        <v>0.32</v>
      </c>
      <c r="H331" s="759">
        <f t="shared" si="21"/>
        <v>0.16</v>
      </c>
      <c r="I331" s="758">
        <f t="shared" si="22"/>
        <v>3.18</v>
      </c>
      <c r="J331" s="760">
        <f t="shared" si="23"/>
        <v>0.90857142857142859</v>
      </c>
      <c r="K331" s="74"/>
      <c r="L331" s="74"/>
      <c r="M331" s="74" t="s">
        <v>1784</v>
      </c>
      <c r="N331" s="74">
        <v>0</v>
      </c>
      <c r="O331" s="74">
        <v>0.28999999999999998</v>
      </c>
      <c r="P331" s="74">
        <v>0</v>
      </c>
    </row>
    <row r="332" spans="1:16">
      <c r="A332" s="74" t="s">
        <v>856</v>
      </c>
      <c r="B332" s="74" t="s">
        <v>327</v>
      </c>
      <c r="C332" s="74" t="s">
        <v>1518</v>
      </c>
      <c r="D332" s="74" t="s">
        <v>82</v>
      </c>
      <c r="E332" s="74">
        <v>2</v>
      </c>
      <c r="F332" s="74">
        <v>7</v>
      </c>
      <c r="G332" s="758">
        <f t="shared" si="20"/>
        <v>0.32</v>
      </c>
      <c r="H332" s="759">
        <f t="shared" si="21"/>
        <v>0.16</v>
      </c>
      <c r="I332" s="758">
        <f t="shared" si="22"/>
        <v>3.18</v>
      </c>
      <c r="J332" s="760">
        <f t="shared" si="23"/>
        <v>0.90857142857142859</v>
      </c>
      <c r="K332" s="74"/>
      <c r="L332" s="74"/>
      <c r="M332" s="74" t="s">
        <v>1785</v>
      </c>
      <c r="N332" s="74">
        <v>0</v>
      </c>
      <c r="O332" s="74">
        <v>0</v>
      </c>
      <c r="P332" s="74">
        <v>0</v>
      </c>
    </row>
    <row r="333" spans="1:16">
      <c r="A333" s="74" t="s">
        <v>856</v>
      </c>
      <c r="B333" s="74" t="s">
        <v>327</v>
      </c>
      <c r="C333" s="74" t="s">
        <v>1519</v>
      </c>
      <c r="D333" s="74" t="s">
        <v>84</v>
      </c>
      <c r="E333" s="74">
        <v>2</v>
      </c>
      <c r="F333" s="74">
        <v>7</v>
      </c>
      <c r="G333" s="758">
        <f t="shared" si="20"/>
        <v>0.32</v>
      </c>
      <c r="H333" s="759">
        <f t="shared" si="21"/>
        <v>0.16</v>
      </c>
      <c r="I333" s="758">
        <f t="shared" si="22"/>
        <v>3.18</v>
      </c>
      <c r="J333" s="760">
        <f t="shared" si="23"/>
        <v>0.90857142857142859</v>
      </c>
      <c r="K333" s="74"/>
      <c r="L333" s="74"/>
      <c r="M333" s="74" t="s">
        <v>1786</v>
      </c>
      <c r="N333" s="74">
        <v>0</v>
      </c>
      <c r="O333" s="74">
        <v>0.16</v>
      </c>
      <c r="P333" s="74">
        <v>0</v>
      </c>
    </row>
    <row r="334" spans="1:16">
      <c r="A334" s="74" t="s">
        <v>856</v>
      </c>
      <c r="B334" s="74" t="s">
        <v>327</v>
      </c>
      <c r="C334" s="74" t="s">
        <v>1540</v>
      </c>
      <c r="D334" s="74" t="s">
        <v>84</v>
      </c>
      <c r="E334" s="74">
        <v>1</v>
      </c>
      <c r="F334" s="74">
        <v>3.5</v>
      </c>
      <c r="G334" s="758">
        <f t="shared" si="20"/>
        <v>0.32</v>
      </c>
      <c r="H334" s="759">
        <f t="shared" si="21"/>
        <v>0.16</v>
      </c>
      <c r="I334" s="758">
        <f t="shared" si="22"/>
        <v>3.18</v>
      </c>
      <c r="J334" s="760">
        <f t="shared" si="23"/>
        <v>0.90857142857142859</v>
      </c>
      <c r="K334" s="74"/>
      <c r="L334" s="74"/>
      <c r="M334" s="74" t="s">
        <v>1787</v>
      </c>
      <c r="N334" s="74">
        <v>0</v>
      </c>
      <c r="O334" s="74">
        <v>0.21</v>
      </c>
      <c r="P334" s="74">
        <v>0</v>
      </c>
    </row>
    <row r="335" spans="1:16">
      <c r="A335" s="74" t="s">
        <v>856</v>
      </c>
      <c r="B335" s="74" t="s">
        <v>327</v>
      </c>
      <c r="C335" s="74" t="s">
        <v>1507</v>
      </c>
      <c r="D335" s="74" t="s">
        <v>86</v>
      </c>
      <c r="E335" s="74">
        <v>1</v>
      </c>
      <c r="F335" s="74">
        <v>3.5</v>
      </c>
      <c r="G335" s="758">
        <f t="shared" si="20"/>
        <v>0.32</v>
      </c>
      <c r="H335" s="759">
        <f t="shared" si="21"/>
        <v>0.16</v>
      </c>
      <c r="I335" s="758">
        <f t="shared" si="22"/>
        <v>3.18</v>
      </c>
      <c r="J335" s="760">
        <f t="shared" si="23"/>
        <v>0.90857142857142859</v>
      </c>
      <c r="K335" s="74"/>
      <c r="L335" s="74"/>
      <c r="M335" s="74" t="s">
        <v>267</v>
      </c>
      <c r="N335" s="74">
        <v>0.25</v>
      </c>
      <c r="O335" s="74">
        <v>0.33</v>
      </c>
      <c r="P335" s="74">
        <v>0.83689999999999998</v>
      </c>
    </row>
    <row r="336" spans="1:16">
      <c r="A336" s="74" t="s">
        <v>856</v>
      </c>
      <c r="B336" s="74" t="s">
        <v>327</v>
      </c>
      <c r="C336" s="74" t="s">
        <v>1578</v>
      </c>
      <c r="D336" s="74" t="s">
        <v>86</v>
      </c>
      <c r="E336" s="74">
        <v>1</v>
      </c>
      <c r="F336" s="74">
        <v>3.5</v>
      </c>
      <c r="G336" s="758">
        <f t="shared" si="20"/>
        <v>0.32</v>
      </c>
      <c r="H336" s="759">
        <f t="shared" si="21"/>
        <v>0.16</v>
      </c>
      <c r="I336" s="758">
        <f t="shared" si="22"/>
        <v>3.18</v>
      </c>
      <c r="J336" s="760">
        <f t="shared" si="23"/>
        <v>0.90857142857142859</v>
      </c>
      <c r="K336" s="74"/>
      <c r="L336" s="74"/>
      <c r="M336" s="74" t="s">
        <v>1788</v>
      </c>
      <c r="N336" s="74">
        <v>0.89</v>
      </c>
      <c r="O336" s="74">
        <v>0.38</v>
      </c>
      <c r="P336" s="74">
        <v>0.65669999999999995</v>
      </c>
    </row>
    <row r="337" spans="1:16">
      <c r="A337" s="74" t="s">
        <v>856</v>
      </c>
      <c r="B337" s="74" t="s">
        <v>327</v>
      </c>
      <c r="C337" s="74" t="s">
        <v>1541</v>
      </c>
      <c r="D337" s="74" t="s">
        <v>86</v>
      </c>
      <c r="E337" s="74">
        <v>1</v>
      </c>
      <c r="F337" s="74">
        <v>3.9</v>
      </c>
      <c r="G337" s="758">
        <f t="shared" si="20"/>
        <v>0.32</v>
      </c>
      <c r="H337" s="759">
        <f t="shared" si="21"/>
        <v>0.16</v>
      </c>
      <c r="I337" s="758">
        <f t="shared" si="22"/>
        <v>3.58</v>
      </c>
      <c r="J337" s="760">
        <f t="shared" si="23"/>
        <v>0.91794871794871791</v>
      </c>
      <c r="K337" s="74"/>
      <c r="L337" s="74"/>
      <c r="M337" s="74" t="s">
        <v>1061</v>
      </c>
      <c r="N337" s="74">
        <v>0</v>
      </c>
      <c r="O337" s="74">
        <v>0</v>
      </c>
      <c r="P337" s="74">
        <v>1</v>
      </c>
    </row>
    <row r="338" spans="1:16">
      <c r="A338" s="74" t="s">
        <v>856</v>
      </c>
      <c r="B338" s="74" t="s">
        <v>327</v>
      </c>
      <c r="C338" s="74" t="s">
        <v>1543</v>
      </c>
      <c r="D338" s="74" t="s">
        <v>87</v>
      </c>
      <c r="E338" s="74">
        <v>3</v>
      </c>
      <c r="F338" s="74">
        <v>11.3</v>
      </c>
      <c r="G338" s="758">
        <f t="shared" si="20"/>
        <v>0.32</v>
      </c>
      <c r="H338" s="759">
        <f t="shared" si="21"/>
        <v>0.16</v>
      </c>
      <c r="I338" s="758">
        <f t="shared" si="22"/>
        <v>3.4466666666666672</v>
      </c>
      <c r="J338" s="760">
        <f t="shared" si="23"/>
        <v>0.91504424778761062</v>
      </c>
      <c r="K338" s="74"/>
      <c r="L338" s="74"/>
      <c r="M338" s="74" t="s">
        <v>860</v>
      </c>
      <c r="N338" s="74">
        <v>0.37</v>
      </c>
      <c r="O338" s="74">
        <v>0.39</v>
      </c>
      <c r="P338" s="74">
        <v>0.83320000000000005</v>
      </c>
    </row>
    <row r="339" spans="1:16">
      <c r="A339" s="74" t="s">
        <v>856</v>
      </c>
      <c r="B339" s="74" t="s">
        <v>327</v>
      </c>
      <c r="C339" s="74" t="s">
        <v>1544</v>
      </c>
      <c r="D339" s="74" t="s">
        <v>87</v>
      </c>
      <c r="E339" s="74">
        <v>1</v>
      </c>
      <c r="F339" s="74">
        <v>3.5</v>
      </c>
      <c r="G339" s="758">
        <f t="shared" si="20"/>
        <v>0.32</v>
      </c>
      <c r="H339" s="759">
        <f t="shared" si="21"/>
        <v>0.16</v>
      </c>
      <c r="I339" s="758">
        <f t="shared" si="22"/>
        <v>3.18</v>
      </c>
      <c r="J339" s="760">
        <f t="shared" si="23"/>
        <v>0.90857142857142859</v>
      </c>
      <c r="K339" s="74"/>
      <c r="L339" s="74"/>
      <c r="M339" s="74" t="s">
        <v>1789</v>
      </c>
      <c r="N339" s="74">
        <v>0</v>
      </c>
      <c r="O339" s="74">
        <v>0</v>
      </c>
      <c r="P339" s="74">
        <v>0</v>
      </c>
    </row>
    <row r="340" spans="1:16">
      <c r="A340" s="74" t="s">
        <v>856</v>
      </c>
      <c r="B340" s="74" t="s">
        <v>327</v>
      </c>
      <c r="C340" s="74" t="s">
        <v>1550</v>
      </c>
      <c r="D340" s="74" t="s">
        <v>91</v>
      </c>
      <c r="E340" s="74">
        <v>1</v>
      </c>
      <c r="F340" s="74">
        <v>3.5</v>
      </c>
      <c r="G340" s="758">
        <f t="shared" si="20"/>
        <v>0.32</v>
      </c>
      <c r="H340" s="759">
        <f t="shared" si="21"/>
        <v>0.16</v>
      </c>
      <c r="I340" s="758">
        <f t="shared" si="22"/>
        <v>3.18</v>
      </c>
      <c r="J340" s="760">
        <f t="shared" si="23"/>
        <v>0.90857142857142859</v>
      </c>
      <c r="K340" s="74"/>
      <c r="L340" s="74"/>
      <c r="M340" s="74" t="s">
        <v>1005</v>
      </c>
      <c r="N340" s="74">
        <v>0</v>
      </c>
      <c r="O340" s="74">
        <v>0</v>
      </c>
      <c r="P340" s="74">
        <v>1</v>
      </c>
    </row>
    <row r="341" spans="1:16">
      <c r="A341" s="74" t="s">
        <v>856</v>
      </c>
      <c r="B341" s="74" t="s">
        <v>327</v>
      </c>
      <c r="C341" s="74" t="s">
        <v>1584</v>
      </c>
      <c r="D341" s="74" t="s">
        <v>92</v>
      </c>
      <c r="E341" s="74">
        <v>1</v>
      </c>
      <c r="F341" s="74">
        <v>3.5</v>
      </c>
      <c r="G341" s="758">
        <f t="shared" si="20"/>
        <v>0.32</v>
      </c>
      <c r="H341" s="759">
        <f t="shared" si="21"/>
        <v>0.16</v>
      </c>
      <c r="I341" s="758">
        <f t="shared" si="22"/>
        <v>3.18</v>
      </c>
      <c r="J341" s="760">
        <f t="shared" si="23"/>
        <v>0.90857142857142859</v>
      </c>
      <c r="K341" s="74"/>
      <c r="L341" s="74"/>
      <c r="M341" s="74" t="s">
        <v>921</v>
      </c>
      <c r="N341" s="74">
        <v>0</v>
      </c>
      <c r="O341" s="74">
        <v>0</v>
      </c>
      <c r="P341" s="74">
        <v>0</v>
      </c>
    </row>
    <row r="342" spans="1:16">
      <c r="A342" s="74" t="s">
        <v>856</v>
      </c>
      <c r="B342" s="74" t="s">
        <v>327</v>
      </c>
      <c r="C342" s="74" t="s">
        <v>1614</v>
      </c>
      <c r="D342" s="74" t="s">
        <v>92</v>
      </c>
      <c r="E342" s="74">
        <v>1</v>
      </c>
      <c r="F342" s="74">
        <v>3.5</v>
      </c>
      <c r="G342" s="758">
        <f t="shared" si="20"/>
        <v>0.32</v>
      </c>
      <c r="H342" s="759">
        <f t="shared" si="21"/>
        <v>0.16</v>
      </c>
      <c r="I342" s="758">
        <f t="shared" si="22"/>
        <v>3.18</v>
      </c>
      <c r="J342" s="760">
        <f t="shared" si="23"/>
        <v>0.90857142857142859</v>
      </c>
      <c r="K342" s="74"/>
      <c r="L342" s="74"/>
      <c r="M342" s="74" t="s">
        <v>1790</v>
      </c>
      <c r="N342" s="74">
        <v>1.34</v>
      </c>
      <c r="O342" s="74">
        <v>0.18</v>
      </c>
      <c r="P342" s="74">
        <v>0.8327</v>
      </c>
    </row>
    <row r="343" spans="1:16">
      <c r="A343" s="74" t="s">
        <v>856</v>
      </c>
      <c r="B343" s="74" t="s">
        <v>327</v>
      </c>
      <c r="C343" s="74" t="s">
        <v>1552</v>
      </c>
      <c r="D343" s="74" t="s">
        <v>92</v>
      </c>
      <c r="E343" s="74">
        <v>1</v>
      </c>
      <c r="F343" s="74">
        <v>3.95</v>
      </c>
      <c r="G343" s="758">
        <f t="shared" si="20"/>
        <v>0.32</v>
      </c>
      <c r="H343" s="759">
        <f t="shared" si="21"/>
        <v>0.16</v>
      </c>
      <c r="I343" s="758">
        <f t="shared" si="22"/>
        <v>3.6300000000000003</v>
      </c>
      <c r="J343" s="760">
        <f t="shared" si="23"/>
        <v>0.91898734177215191</v>
      </c>
      <c r="K343" s="74"/>
      <c r="L343" s="74"/>
      <c r="M343" s="74" t="s">
        <v>870</v>
      </c>
      <c r="N343" s="74">
        <v>1.1599999999999999</v>
      </c>
      <c r="O343" s="74">
        <v>0.23</v>
      </c>
      <c r="P343" s="74">
        <v>0.81610000000000005</v>
      </c>
    </row>
    <row r="344" spans="1:16">
      <c r="A344" s="74" t="s">
        <v>856</v>
      </c>
      <c r="B344" s="74" t="s">
        <v>327</v>
      </c>
      <c r="C344" s="74" t="s">
        <v>1617</v>
      </c>
      <c r="D344" s="74" t="s">
        <v>94</v>
      </c>
      <c r="E344" s="74">
        <v>1</v>
      </c>
      <c r="F344" s="74">
        <v>3.5</v>
      </c>
      <c r="G344" s="758">
        <f t="shared" si="20"/>
        <v>0.32</v>
      </c>
      <c r="H344" s="759">
        <f t="shared" si="21"/>
        <v>0.16</v>
      </c>
      <c r="I344" s="758">
        <f t="shared" si="22"/>
        <v>3.18</v>
      </c>
      <c r="J344" s="760">
        <f t="shared" si="23"/>
        <v>0.90857142857142859</v>
      </c>
      <c r="K344" s="74"/>
      <c r="L344" s="74"/>
      <c r="M344" s="74" t="s">
        <v>1791</v>
      </c>
      <c r="N344" s="74">
        <v>0.34</v>
      </c>
      <c r="O344" s="74">
        <v>0.24</v>
      </c>
      <c r="P344" s="74">
        <v>0.78639999999999999</v>
      </c>
    </row>
    <row r="345" spans="1:16">
      <c r="A345" s="74" t="s">
        <v>856</v>
      </c>
      <c r="B345" s="74" t="s">
        <v>327</v>
      </c>
      <c r="C345" s="74" t="s">
        <v>1553</v>
      </c>
      <c r="D345" s="74" t="s">
        <v>94</v>
      </c>
      <c r="E345" s="74">
        <v>1</v>
      </c>
      <c r="F345" s="74">
        <v>3.5</v>
      </c>
      <c r="G345" s="758">
        <f t="shared" si="20"/>
        <v>0.32</v>
      </c>
      <c r="H345" s="759">
        <f t="shared" si="21"/>
        <v>0.16</v>
      </c>
      <c r="I345" s="758">
        <f t="shared" si="22"/>
        <v>3.18</v>
      </c>
      <c r="J345" s="760">
        <f t="shared" si="23"/>
        <v>0.90857142857142859</v>
      </c>
      <c r="K345" s="74"/>
      <c r="L345" s="74"/>
      <c r="M345" s="74" t="s">
        <v>1792</v>
      </c>
      <c r="N345" s="74">
        <v>0</v>
      </c>
      <c r="O345" s="74">
        <v>0</v>
      </c>
      <c r="P345" s="74">
        <v>1</v>
      </c>
    </row>
    <row r="346" spans="1:16">
      <c r="A346" s="74" t="s">
        <v>1793</v>
      </c>
      <c r="B346" s="74" t="s">
        <v>327</v>
      </c>
      <c r="C346" s="74" t="s">
        <v>1520</v>
      </c>
      <c r="D346" s="74" t="s">
        <v>84</v>
      </c>
      <c r="E346" s="74">
        <v>1</v>
      </c>
      <c r="F346" s="74">
        <v>3.1</v>
      </c>
      <c r="G346" s="758">
        <f t="shared" si="20"/>
        <v>0.23</v>
      </c>
      <c r="H346" s="759">
        <f t="shared" si="21"/>
        <v>0.18</v>
      </c>
      <c r="I346" s="758">
        <f t="shared" si="22"/>
        <v>2.87</v>
      </c>
      <c r="J346" s="760">
        <f t="shared" si="23"/>
        <v>0.9258064516129032</v>
      </c>
      <c r="K346" s="74"/>
      <c r="L346" s="74"/>
      <c r="M346" s="74" t="s">
        <v>1794</v>
      </c>
      <c r="N346" s="74">
        <v>0.37</v>
      </c>
      <c r="O346" s="74">
        <v>0.15</v>
      </c>
      <c r="P346" s="74">
        <v>0.8679</v>
      </c>
    </row>
    <row r="347" spans="1:16">
      <c r="A347" s="74" t="s">
        <v>1793</v>
      </c>
      <c r="B347" s="74" t="s">
        <v>327</v>
      </c>
      <c r="C347" s="74" t="s">
        <v>1644</v>
      </c>
      <c r="D347" s="74" t="s">
        <v>86</v>
      </c>
      <c r="E347" s="74">
        <v>2</v>
      </c>
      <c r="F347" s="74">
        <v>6.2</v>
      </c>
      <c r="G347" s="758">
        <f t="shared" si="20"/>
        <v>0.23</v>
      </c>
      <c r="H347" s="759">
        <f t="shared" si="21"/>
        <v>0.18</v>
      </c>
      <c r="I347" s="758">
        <f t="shared" si="22"/>
        <v>2.87</v>
      </c>
      <c r="J347" s="760">
        <f t="shared" si="23"/>
        <v>0.9258064516129032</v>
      </c>
      <c r="K347" s="74"/>
      <c r="L347" s="74"/>
      <c r="M347" s="74" t="s">
        <v>1795</v>
      </c>
      <c r="N347" s="74">
        <v>0</v>
      </c>
      <c r="O347" s="74">
        <v>0</v>
      </c>
      <c r="P347" s="74">
        <v>0</v>
      </c>
    </row>
    <row r="348" spans="1:16">
      <c r="A348" s="74" t="s">
        <v>1793</v>
      </c>
      <c r="B348" s="74" t="s">
        <v>327</v>
      </c>
      <c r="C348" s="74" t="s">
        <v>1578</v>
      </c>
      <c r="D348" s="74" t="s">
        <v>86</v>
      </c>
      <c r="E348" s="74">
        <v>3</v>
      </c>
      <c r="F348" s="74">
        <v>9.3000000000000007</v>
      </c>
      <c r="G348" s="758">
        <f t="shared" si="20"/>
        <v>0.23</v>
      </c>
      <c r="H348" s="759">
        <f t="shared" si="21"/>
        <v>0.18</v>
      </c>
      <c r="I348" s="758">
        <f t="shared" si="22"/>
        <v>2.87</v>
      </c>
      <c r="J348" s="760">
        <f t="shared" si="23"/>
        <v>0.9258064516129032</v>
      </c>
      <c r="K348" s="74"/>
      <c r="L348" s="74"/>
      <c r="M348" s="74" t="s">
        <v>1796</v>
      </c>
      <c r="N348" s="74">
        <v>0</v>
      </c>
      <c r="O348" s="74">
        <v>0</v>
      </c>
      <c r="P348" s="74">
        <v>0</v>
      </c>
    </row>
    <row r="349" spans="1:16">
      <c r="A349" s="74" t="s">
        <v>1793</v>
      </c>
      <c r="B349" s="74" t="s">
        <v>327</v>
      </c>
      <c r="C349" s="74" t="s">
        <v>1646</v>
      </c>
      <c r="D349" s="74" t="s">
        <v>86</v>
      </c>
      <c r="E349" s="74">
        <v>1</v>
      </c>
      <c r="F349" s="74">
        <v>3.1</v>
      </c>
      <c r="G349" s="758">
        <f t="shared" si="20"/>
        <v>0.23</v>
      </c>
      <c r="H349" s="759">
        <f t="shared" si="21"/>
        <v>0.18</v>
      </c>
      <c r="I349" s="758">
        <f t="shared" si="22"/>
        <v>2.87</v>
      </c>
      <c r="J349" s="760">
        <f t="shared" si="23"/>
        <v>0.9258064516129032</v>
      </c>
      <c r="K349" s="74"/>
      <c r="L349" s="74"/>
      <c r="M349" s="74" t="s">
        <v>1797</v>
      </c>
      <c r="N349" s="74">
        <v>0</v>
      </c>
      <c r="O349" s="74">
        <v>0</v>
      </c>
      <c r="P349" s="74">
        <v>1</v>
      </c>
    </row>
    <row r="350" spans="1:16">
      <c r="A350" s="74" t="s">
        <v>1793</v>
      </c>
      <c r="B350" s="74" t="s">
        <v>327</v>
      </c>
      <c r="C350" s="74" t="s">
        <v>1541</v>
      </c>
      <c r="D350" s="74" t="s">
        <v>86</v>
      </c>
      <c r="E350" s="74">
        <v>3</v>
      </c>
      <c r="F350" s="74">
        <v>9.3000000000000007</v>
      </c>
      <c r="G350" s="758">
        <f t="shared" si="20"/>
        <v>0.23</v>
      </c>
      <c r="H350" s="759">
        <f t="shared" si="21"/>
        <v>0.18</v>
      </c>
      <c r="I350" s="758">
        <f t="shared" si="22"/>
        <v>2.87</v>
      </c>
      <c r="J350" s="760">
        <f t="shared" si="23"/>
        <v>0.9258064516129032</v>
      </c>
      <c r="K350" s="74"/>
      <c r="L350" s="74"/>
      <c r="M350" s="74" t="s">
        <v>871</v>
      </c>
      <c r="N350" s="74">
        <v>1.66</v>
      </c>
      <c r="O350" s="74">
        <v>0.24</v>
      </c>
      <c r="P350" s="74">
        <v>0.79339999999999999</v>
      </c>
    </row>
    <row r="351" spans="1:16">
      <c r="A351" s="74" t="s">
        <v>1793</v>
      </c>
      <c r="B351" s="74" t="s">
        <v>327</v>
      </c>
      <c r="C351" s="74" t="s">
        <v>1544</v>
      </c>
      <c r="D351" s="74" t="s">
        <v>87</v>
      </c>
      <c r="E351" s="74">
        <v>1</v>
      </c>
      <c r="F351" s="74">
        <v>3.1</v>
      </c>
      <c r="G351" s="758">
        <f t="shared" si="20"/>
        <v>0.23</v>
      </c>
      <c r="H351" s="759">
        <f t="shared" si="21"/>
        <v>0.18</v>
      </c>
      <c r="I351" s="758">
        <f t="shared" si="22"/>
        <v>2.87</v>
      </c>
      <c r="J351" s="760">
        <f t="shared" si="23"/>
        <v>0.9258064516129032</v>
      </c>
      <c r="K351" s="74"/>
      <c r="L351" s="74"/>
      <c r="M351" s="74" t="s">
        <v>1798</v>
      </c>
      <c r="N351" s="74">
        <v>0.49</v>
      </c>
      <c r="O351" s="74">
        <v>0.3</v>
      </c>
      <c r="P351" s="74">
        <v>0.7278</v>
      </c>
    </row>
    <row r="352" spans="1:16">
      <c r="A352" s="74" t="s">
        <v>1793</v>
      </c>
      <c r="B352" s="74" t="s">
        <v>327</v>
      </c>
      <c r="C352" s="74" t="s">
        <v>1547</v>
      </c>
      <c r="D352" s="74" t="s">
        <v>89</v>
      </c>
      <c r="E352" s="74">
        <v>1</v>
      </c>
      <c r="F352" s="74">
        <v>3.1</v>
      </c>
      <c r="G352" s="758">
        <f t="shared" si="20"/>
        <v>0.23</v>
      </c>
      <c r="H352" s="759">
        <f t="shared" si="21"/>
        <v>0.18</v>
      </c>
      <c r="I352" s="758">
        <f t="shared" si="22"/>
        <v>2.87</v>
      </c>
      <c r="J352" s="760">
        <f t="shared" si="23"/>
        <v>0.9258064516129032</v>
      </c>
      <c r="K352" s="74"/>
      <c r="L352" s="74"/>
      <c r="M352" s="74" t="s">
        <v>1799</v>
      </c>
      <c r="N352" s="74">
        <v>1.82</v>
      </c>
      <c r="O352" s="74">
        <v>0.23</v>
      </c>
      <c r="P352" s="74">
        <v>0.79320000000000002</v>
      </c>
    </row>
    <row r="353" spans="1:16">
      <c r="A353" s="74" t="s">
        <v>1793</v>
      </c>
      <c r="B353" s="74" t="s">
        <v>327</v>
      </c>
      <c r="C353" s="74" t="s">
        <v>1522</v>
      </c>
      <c r="D353" s="74" t="s">
        <v>91</v>
      </c>
      <c r="E353" s="74">
        <v>4</v>
      </c>
      <c r="F353" s="74">
        <v>12.4</v>
      </c>
      <c r="G353" s="758">
        <f t="shared" si="20"/>
        <v>0.23</v>
      </c>
      <c r="H353" s="759">
        <f t="shared" si="21"/>
        <v>0.18</v>
      </c>
      <c r="I353" s="758">
        <f t="shared" si="22"/>
        <v>2.87</v>
      </c>
      <c r="J353" s="760">
        <f t="shared" si="23"/>
        <v>0.9258064516129032</v>
      </c>
      <c r="K353" s="74"/>
      <c r="L353" s="74"/>
      <c r="M353" s="74" t="s">
        <v>1800</v>
      </c>
      <c r="N353" s="74">
        <v>0.46</v>
      </c>
      <c r="O353" s="74">
        <v>0.23</v>
      </c>
      <c r="P353" s="74">
        <v>0.79239999999999999</v>
      </c>
    </row>
    <row r="354" spans="1:16">
      <c r="A354" s="74" t="s">
        <v>1793</v>
      </c>
      <c r="B354" s="74" t="s">
        <v>327</v>
      </c>
      <c r="C354" s="74" t="s">
        <v>1552</v>
      </c>
      <c r="D354" s="74" t="s">
        <v>92</v>
      </c>
      <c r="E354" s="74">
        <v>2</v>
      </c>
      <c r="F354" s="74">
        <v>6.2</v>
      </c>
      <c r="G354" s="758">
        <f t="shared" si="20"/>
        <v>0.23</v>
      </c>
      <c r="H354" s="759">
        <f t="shared" si="21"/>
        <v>0.18</v>
      </c>
      <c r="I354" s="758">
        <f t="shared" si="22"/>
        <v>2.87</v>
      </c>
      <c r="J354" s="760">
        <f t="shared" si="23"/>
        <v>0.9258064516129032</v>
      </c>
      <c r="K354" s="74"/>
      <c r="L354" s="74"/>
      <c r="M354" s="74" t="s">
        <v>932</v>
      </c>
      <c r="N354" s="74">
        <v>0.9</v>
      </c>
      <c r="O354" s="74">
        <v>0.18</v>
      </c>
      <c r="P354" s="74">
        <v>0.85609999999999997</v>
      </c>
    </row>
    <row r="355" spans="1:16">
      <c r="A355" s="74" t="s">
        <v>1801</v>
      </c>
      <c r="B355" s="74" t="s">
        <v>327</v>
      </c>
      <c r="C355" s="74" t="s">
        <v>1520</v>
      </c>
      <c r="D355" s="74" t="s">
        <v>84</v>
      </c>
      <c r="E355" s="74">
        <v>2</v>
      </c>
      <c r="F355" s="74">
        <v>7</v>
      </c>
      <c r="G355" s="758">
        <f t="shared" si="20"/>
        <v>0.32</v>
      </c>
      <c r="H355" s="759">
        <f t="shared" si="21"/>
        <v>0.16</v>
      </c>
      <c r="I355" s="758">
        <f t="shared" si="22"/>
        <v>3.18</v>
      </c>
      <c r="J355" s="760">
        <f t="shared" si="23"/>
        <v>0.90857142857142859</v>
      </c>
      <c r="K355" s="74"/>
      <c r="L355" s="74"/>
      <c r="M355" s="74" t="s">
        <v>1802</v>
      </c>
      <c r="N355" s="74">
        <v>0.27</v>
      </c>
      <c r="O355" s="74">
        <v>0.18</v>
      </c>
      <c r="P355" s="74">
        <v>0.83250000000000002</v>
      </c>
    </row>
    <row r="356" spans="1:16">
      <c r="A356" s="74" t="s">
        <v>1801</v>
      </c>
      <c r="B356" s="74" t="s">
        <v>327</v>
      </c>
      <c r="C356" s="74" t="s">
        <v>1577</v>
      </c>
      <c r="D356" s="74" t="s">
        <v>84</v>
      </c>
      <c r="E356" s="74">
        <v>1</v>
      </c>
      <c r="F356" s="74">
        <v>3.5</v>
      </c>
      <c r="G356" s="758">
        <f t="shared" si="20"/>
        <v>0.32</v>
      </c>
      <c r="H356" s="759">
        <f t="shared" si="21"/>
        <v>0.16</v>
      </c>
      <c r="I356" s="758">
        <f t="shared" si="22"/>
        <v>3.18</v>
      </c>
      <c r="J356" s="760">
        <f t="shared" si="23"/>
        <v>0.90857142857142859</v>
      </c>
      <c r="K356" s="74"/>
      <c r="L356" s="74"/>
      <c r="M356" s="74" t="s">
        <v>1803</v>
      </c>
      <c r="N356" s="74">
        <v>0</v>
      </c>
      <c r="O356" s="74">
        <v>0</v>
      </c>
      <c r="P356" s="74">
        <v>0</v>
      </c>
    </row>
    <row r="357" spans="1:16">
      <c r="A357" s="74" t="s">
        <v>1529</v>
      </c>
      <c r="B357" s="74" t="s">
        <v>327</v>
      </c>
      <c r="C357" s="74" t="s">
        <v>1550</v>
      </c>
      <c r="D357" s="74" t="s">
        <v>91</v>
      </c>
      <c r="E357" s="74">
        <v>1</v>
      </c>
      <c r="F357" s="74">
        <v>4.0999999999999996</v>
      </c>
      <c r="G357" s="758">
        <f t="shared" si="20"/>
        <v>0</v>
      </c>
      <c r="H357" s="759">
        <f t="shared" si="21"/>
        <v>0</v>
      </c>
      <c r="I357" s="758">
        <f t="shared" si="22"/>
        <v>4.0999999999999996</v>
      </c>
      <c r="J357" s="760">
        <f t="shared" si="23"/>
        <v>1</v>
      </c>
      <c r="K357" s="74"/>
      <c r="L357" s="74"/>
      <c r="M357" s="74" t="s">
        <v>1804</v>
      </c>
      <c r="N357" s="74">
        <v>1.82</v>
      </c>
      <c r="O357" s="74">
        <v>0.23</v>
      </c>
      <c r="P357" s="74">
        <v>0.79320000000000002</v>
      </c>
    </row>
    <row r="358" spans="1:16">
      <c r="A358" s="74" t="s">
        <v>1101</v>
      </c>
      <c r="B358" s="74" t="s">
        <v>327</v>
      </c>
      <c r="C358" s="74" t="s">
        <v>1528</v>
      </c>
      <c r="D358" s="74" t="s">
        <v>78</v>
      </c>
      <c r="E358" s="74">
        <v>1</v>
      </c>
      <c r="F358" s="74">
        <v>3.5</v>
      </c>
      <c r="G358" s="758">
        <f t="shared" si="20"/>
        <v>0.42</v>
      </c>
      <c r="H358" s="759">
        <f t="shared" si="21"/>
        <v>0.26</v>
      </c>
      <c r="I358" s="758">
        <f t="shared" si="22"/>
        <v>3.08</v>
      </c>
      <c r="J358" s="760">
        <f t="shared" si="23"/>
        <v>0.88</v>
      </c>
      <c r="K358" s="74"/>
      <c r="L358" s="74"/>
      <c r="M358" s="74" t="s">
        <v>1805</v>
      </c>
      <c r="N358" s="74">
        <v>0</v>
      </c>
      <c r="O358" s="74">
        <v>0</v>
      </c>
      <c r="P358" s="74">
        <v>1</v>
      </c>
    </row>
    <row r="359" spans="1:16">
      <c r="A359" s="74" t="s">
        <v>1101</v>
      </c>
      <c r="B359" s="74" t="s">
        <v>327</v>
      </c>
      <c r="C359" s="74" t="s">
        <v>1508</v>
      </c>
      <c r="D359" s="74" t="s">
        <v>78</v>
      </c>
      <c r="E359" s="74">
        <v>1</v>
      </c>
      <c r="F359" s="74">
        <v>3.5</v>
      </c>
      <c r="G359" s="758">
        <f t="shared" si="20"/>
        <v>0.42</v>
      </c>
      <c r="H359" s="759">
        <f t="shared" si="21"/>
        <v>0.26</v>
      </c>
      <c r="I359" s="758">
        <f t="shared" si="22"/>
        <v>3.08</v>
      </c>
      <c r="J359" s="760">
        <f t="shared" si="23"/>
        <v>0.88</v>
      </c>
      <c r="K359" s="74"/>
      <c r="L359" s="74"/>
      <c r="M359" s="74" t="s">
        <v>1806</v>
      </c>
      <c r="N359" s="74">
        <v>0</v>
      </c>
      <c r="O359" s="74">
        <v>0</v>
      </c>
      <c r="P359" s="74">
        <v>1</v>
      </c>
    </row>
    <row r="360" spans="1:16">
      <c r="A360" s="74" t="s">
        <v>1101</v>
      </c>
      <c r="B360" s="74" t="s">
        <v>327</v>
      </c>
      <c r="C360" s="74" t="s">
        <v>1522</v>
      </c>
      <c r="D360" s="74" t="s">
        <v>91</v>
      </c>
      <c r="E360" s="74">
        <v>1</v>
      </c>
      <c r="F360" s="74">
        <v>3.5</v>
      </c>
      <c r="G360" s="758">
        <f t="shared" si="20"/>
        <v>0.42</v>
      </c>
      <c r="H360" s="759">
        <f t="shared" si="21"/>
        <v>0.26</v>
      </c>
      <c r="I360" s="758">
        <f t="shared" si="22"/>
        <v>3.08</v>
      </c>
      <c r="J360" s="760">
        <f t="shared" si="23"/>
        <v>0.88</v>
      </c>
      <c r="K360" s="74"/>
      <c r="L360" s="74"/>
      <c r="M360" s="74" t="s">
        <v>1807</v>
      </c>
      <c r="N360" s="74">
        <v>0</v>
      </c>
      <c r="O360" s="74">
        <v>0</v>
      </c>
      <c r="P360" s="74">
        <v>0</v>
      </c>
    </row>
    <row r="361" spans="1:16">
      <c r="A361" s="74" t="s">
        <v>1101</v>
      </c>
      <c r="B361" s="74" t="s">
        <v>327</v>
      </c>
      <c r="C361" s="74" t="s">
        <v>1557</v>
      </c>
      <c r="D361" s="74" t="s">
        <v>95</v>
      </c>
      <c r="E361" s="74">
        <v>1</v>
      </c>
      <c r="F361" s="74">
        <v>3.5</v>
      </c>
      <c r="G361" s="758">
        <f t="shared" si="20"/>
        <v>0.42</v>
      </c>
      <c r="H361" s="759">
        <f t="shared" si="21"/>
        <v>0.26</v>
      </c>
      <c r="I361" s="758">
        <f t="shared" si="22"/>
        <v>3.08</v>
      </c>
      <c r="J361" s="760">
        <f t="shared" si="23"/>
        <v>0.88</v>
      </c>
      <c r="K361" s="74"/>
      <c r="L361" s="74"/>
      <c r="M361" s="74" t="s">
        <v>931</v>
      </c>
      <c r="N361" s="74">
        <v>0.88</v>
      </c>
      <c r="O361" s="74">
        <v>0.19</v>
      </c>
      <c r="P361" s="74">
        <v>0.85770000000000002</v>
      </c>
    </row>
    <row r="362" spans="1:16">
      <c r="A362" s="74" t="s">
        <v>810</v>
      </c>
      <c r="B362" s="74" t="s">
        <v>713</v>
      </c>
      <c r="C362" s="74" t="s">
        <v>1512</v>
      </c>
      <c r="D362" s="74" t="s">
        <v>80</v>
      </c>
      <c r="E362" s="74">
        <v>1</v>
      </c>
      <c r="F362" s="74">
        <v>3.18</v>
      </c>
      <c r="G362" s="758">
        <f t="shared" si="20"/>
        <v>0</v>
      </c>
      <c r="H362" s="759">
        <f t="shared" si="21"/>
        <v>0</v>
      </c>
      <c r="I362" s="758">
        <f t="shared" si="22"/>
        <v>3.18</v>
      </c>
      <c r="J362" s="760">
        <f t="shared" si="23"/>
        <v>1</v>
      </c>
      <c r="K362" s="74"/>
      <c r="L362" s="74"/>
      <c r="M362" s="74" t="s">
        <v>261</v>
      </c>
      <c r="N362" s="74">
        <v>1.42</v>
      </c>
      <c r="O362" s="74">
        <v>0.19</v>
      </c>
      <c r="P362" s="74">
        <v>0.82850000000000001</v>
      </c>
    </row>
    <row r="363" spans="1:16">
      <c r="A363" s="74" t="s">
        <v>1808</v>
      </c>
      <c r="B363" s="74" t="s">
        <v>327</v>
      </c>
      <c r="C363" s="74" t="s">
        <v>1561</v>
      </c>
      <c r="D363" s="74" t="s">
        <v>87</v>
      </c>
      <c r="E363" s="74">
        <v>1</v>
      </c>
      <c r="F363" s="74">
        <v>3.5</v>
      </c>
      <c r="G363" s="758">
        <f t="shared" si="20"/>
        <v>0.32</v>
      </c>
      <c r="H363" s="759">
        <f t="shared" si="21"/>
        <v>0.16</v>
      </c>
      <c r="I363" s="758">
        <f t="shared" si="22"/>
        <v>3.18</v>
      </c>
      <c r="J363" s="760">
        <f t="shared" si="23"/>
        <v>0.90857142857142859</v>
      </c>
      <c r="K363" s="74"/>
      <c r="L363" s="74"/>
      <c r="M363" s="74" t="s">
        <v>1809</v>
      </c>
      <c r="N363" s="74">
        <v>0.28000000000000003</v>
      </c>
      <c r="O363" s="74">
        <v>0.19</v>
      </c>
      <c r="P363" s="74">
        <v>0.82430000000000003</v>
      </c>
    </row>
    <row r="364" spans="1:16">
      <c r="A364" s="74" t="s">
        <v>1531</v>
      </c>
      <c r="B364" s="74" t="s">
        <v>327</v>
      </c>
      <c r="C364" s="74" t="s">
        <v>1517</v>
      </c>
      <c r="D364" s="74" t="s">
        <v>82</v>
      </c>
      <c r="E364" s="74">
        <v>1</v>
      </c>
      <c r="F364" s="74">
        <v>3.9</v>
      </c>
      <c r="G364" s="758">
        <f t="shared" si="20"/>
        <v>1.46</v>
      </c>
      <c r="H364" s="759">
        <f t="shared" si="21"/>
        <v>0.41</v>
      </c>
      <c r="I364" s="758">
        <f t="shared" si="22"/>
        <v>2.44</v>
      </c>
      <c r="J364" s="760">
        <f t="shared" si="23"/>
        <v>0.62564102564102564</v>
      </c>
      <c r="K364" s="74"/>
      <c r="L364" s="74"/>
      <c r="M364" s="74" t="s">
        <v>1810</v>
      </c>
      <c r="N364" s="74">
        <v>0</v>
      </c>
      <c r="O364" s="74">
        <v>0</v>
      </c>
      <c r="P364" s="74">
        <v>0</v>
      </c>
    </row>
    <row r="365" spans="1:16">
      <c r="A365" s="74" t="s">
        <v>1533</v>
      </c>
      <c r="B365" s="74" t="s">
        <v>328</v>
      </c>
      <c r="C365" s="74" t="s">
        <v>1552</v>
      </c>
      <c r="D365" s="74" t="s">
        <v>92</v>
      </c>
      <c r="E365" s="74">
        <v>1</v>
      </c>
      <c r="F365" s="74">
        <v>3.1</v>
      </c>
      <c r="G365" s="758">
        <f t="shared" si="20"/>
        <v>0</v>
      </c>
      <c r="H365" s="759">
        <f t="shared" si="21"/>
        <v>0</v>
      </c>
      <c r="I365" s="758">
        <f t="shared" si="22"/>
        <v>3.1</v>
      </c>
      <c r="J365" s="760">
        <f t="shared" si="23"/>
        <v>1</v>
      </c>
      <c r="K365" s="74"/>
      <c r="L365" s="74"/>
      <c r="M365" s="74" t="s">
        <v>1811</v>
      </c>
      <c r="N365" s="74">
        <v>0</v>
      </c>
      <c r="O365" s="74">
        <v>0</v>
      </c>
      <c r="P365" s="74">
        <v>0</v>
      </c>
    </row>
    <row r="366" spans="1:16">
      <c r="A366" s="74" t="s">
        <v>967</v>
      </c>
      <c r="B366" s="74" t="s">
        <v>264</v>
      </c>
      <c r="C366" s="74" t="s">
        <v>1528</v>
      </c>
      <c r="D366" s="74" t="s">
        <v>78</v>
      </c>
      <c r="E366" s="74">
        <v>1</v>
      </c>
      <c r="F366" s="74">
        <v>0.7</v>
      </c>
      <c r="G366" s="758">
        <f t="shared" si="20"/>
        <v>0.05</v>
      </c>
      <c r="H366" s="759">
        <f t="shared" si="21"/>
        <v>0.3</v>
      </c>
      <c r="I366" s="758">
        <f t="shared" si="22"/>
        <v>0.64999999999999991</v>
      </c>
      <c r="J366" s="760">
        <f t="shared" si="23"/>
        <v>0.9285714285714286</v>
      </c>
      <c r="K366" s="74"/>
      <c r="L366" s="74"/>
      <c r="M366" s="74" t="s">
        <v>1812</v>
      </c>
      <c r="N366" s="74">
        <v>0</v>
      </c>
      <c r="O366" s="74">
        <v>0</v>
      </c>
      <c r="P366" s="74">
        <v>1</v>
      </c>
    </row>
    <row r="367" spans="1:16">
      <c r="A367" s="74" t="s">
        <v>967</v>
      </c>
      <c r="B367" s="74" t="s">
        <v>264</v>
      </c>
      <c r="C367" s="74" t="s">
        <v>1508</v>
      </c>
      <c r="D367" s="74" t="s">
        <v>78</v>
      </c>
      <c r="E367" s="74">
        <v>1</v>
      </c>
      <c r="F367" s="74">
        <v>0.7</v>
      </c>
      <c r="G367" s="758">
        <f t="shared" si="20"/>
        <v>0.05</v>
      </c>
      <c r="H367" s="759">
        <f t="shared" si="21"/>
        <v>0.3</v>
      </c>
      <c r="I367" s="758">
        <f t="shared" si="22"/>
        <v>0.64999999999999991</v>
      </c>
      <c r="J367" s="760">
        <f t="shared" si="23"/>
        <v>0.9285714285714286</v>
      </c>
      <c r="K367" s="74"/>
      <c r="L367" s="74"/>
      <c r="M367" s="74" t="s">
        <v>1813</v>
      </c>
      <c r="N367" s="74">
        <v>1.48</v>
      </c>
      <c r="O367" s="74">
        <v>0.19</v>
      </c>
      <c r="P367" s="74">
        <v>0.82279999999999998</v>
      </c>
    </row>
    <row r="368" spans="1:16">
      <c r="A368" s="74" t="s">
        <v>967</v>
      </c>
      <c r="B368" s="74" t="s">
        <v>264</v>
      </c>
      <c r="C368" s="74" t="s">
        <v>1509</v>
      </c>
      <c r="D368" s="74" t="s">
        <v>78</v>
      </c>
      <c r="E368" s="74">
        <v>2</v>
      </c>
      <c r="F368" s="74">
        <v>1.4</v>
      </c>
      <c r="G368" s="758">
        <f t="shared" si="20"/>
        <v>0.05</v>
      </c>
      <c r="H368" s="759">
        <f t="shared" si="21"/>
        <v>0.3</v>
      </c>
      <c r="I368" s="758">
        <f t="shared" si="22"/>
        <v>0.64999999999999991</v>
      </c>
      <c r="J368" s="760">
        <f t="shared" si="23"/>
        <v>0.9285714285714286</v>
      </c>
      <c r="K368" s="74"/>
      <c r="L368" s="74"/>
      <c r="M368" s="74" t="s">
        <v>1814</v>
      </c>
      <c r="N368" s="74">
        <v>0.37</v>
      </c>
      <c r="O368" s="74">
        <v>0.19</v>
      </c>
      <c r="P368" s="74">
        <v>0.83179999999999998</v>
      </c>
    </row>
    <row r="369" spans="1:16">
      <c r="A369" s="74" t="s">
        <v>967</v>
      </c>
      <c r="B369" s="74" t="s">
        <v>264</v>
      </c>
      <c r="C369" s="74" t="s">
        <v>1565</v>
      </c>
      <c r="D369" s="74" t="s">
        <v>78</v>
      </c>
      <c r="E369" s="74">
        <v>1</v>
      </c>
      <c r="F369" s="74">
        <v>0.7</v>
      </c>
      <c r="G369" s="758">
        <f t="shared" si="20"/>
        <v>0.05</v>
      </c>
      <c r="H369" s="759">
        <f t="shared" si="21"/>
        <v>0.3</v>
      </c>
      <c r="I369" s="758">
        <f t="shared" si="22"/>
        <v>0.64999999999999991</v>
      </c>
      <c r="J369" s="760">
        <f t="shared" si="23"/>
        <v>0.9285714285714286</v>
      </c>
      <c r="K369" s="74"/>
      <c r="L369" s="74"/>
      <c r="M369" s="74" t="s">
        <v>1815</v>
      </c>
      <c r="N369" s="74">
        <v>0</v>
      </c>
      <c r="O369" s="74">
        <v>0</v>
      </c>
      <c r="P369" s="74">
        <v>1</v>
      </c>
    </row>
    <row r="370" spans="1:16">
      <c r="A370" s="74" t="s">
        <v>967</v>
      </c>
      <c r="B370" s="74" t="s">
        <v>264</v>
      </c>
      <c r="C370" s="74" t="s">
        <v>1511</v>
      </c>
      <c r="D370" s="74" t="s">
        <v>80</v>
      </c>
      <c r="E370" s="74">
        <v>1</v>
      </c>
      <c r="F370" s="74">
        <v>0.7</v>
      </c>
      <c r="G370" s="758">
        <f t="shared" si="20"/>
        <v>0.05</v>
      </c>
      <c r="H370" s="759">
        <f t="shared" si="21"/>
        <v>0.3</v>
      </c>
      <c r="I370" s="758">
        <f t="shared" si="22"/>
        <v>0.64999999999999991</v>
      </c>
      <c r="J370" s="760">
        <f t="shared" si="23"/>
        <v>0.9285714285714286</v>
      </c>
      <c r="K370" s="74"/>
      <c r="L370" s="74"/>
      <c r="M370" s="74" t="s">
        <v>859</v>
      </c>
      <c r="N370" s="74">
        <v>0.12</v>
      </c>
      <c r="O370" s="74">
        <v>0.22</v>
      </c>
      <c r="P370" s="74">
        <v>0.84379999999999999</v>
      </c>
    </row>
    <row r="371" spans="1:16">
      <c r="A371" s="74" t="s">
        <v>967</v>
      </c>
      <c r="B371" s="74" t="s">
        <v>264</v>
      </c>
      <c r="C371" s="74" t="s">
        <v>1516</v>
      </c>
      <c r="D371" s="74" t="s">
        <v>82</v>
      </c>
      <c r="E371" s="74">
        <v>2</v>
      </c>
      <c r="F371" s="74">
        <v>1.8</v>
      </c>
      <c r="G371" s="758">
        <f t="shared" si="20"/>
        <v>0.05</v>
      </c>
      <c r="H371" s="759">
        <f t="shared" si="21"/>
        <v>0.3</v>
      </c>
      <c r="I371" s="758">
        <f t="shared" si="22"/>
        <v>0.85</v>
      </c>
      <c r="J371" s="760">
        <f t="shared" si="23"/>
        <v>0.94444444444444442</v>
      </c>
      <c r="K371" s="74"/>
      <c r="L371" s="74"/>
      <c r="M371" s="74" t="s">
        <v>1816</v>
      </c>
      <c r="N371" s="74">
        <v>0</v>
      </c>
      <c r="O371" s="74">
        <v>0</v>
      </c>
      <c r="P371" s="74">
        <v>1</v>
      </c>
    </row>
    <row r="372" spans="1:16">
      <c r="A372" s="74" t="s">
        <v>967</v>
      </c>
      <c r="B372" s="74" t="s">
        <v>264</v>
      </c>
      <c r="C372" s="74" t="s">
        <v>1519</v>
      </c>
      <c r="D372" s="74" t="s">
        <v>84</v>
      </c>
      <c r="E372" s="74">
        <v>1</v>
      </c>
      <c r="F372" s="74">
        <v>0.7</v>
      </c>
      <c r="G372" s="758">
        <f t="shared" si="20"/>
        <v>0.05</v>
      </c>
      <c r="H372" s="759">
        <f t="shared" si="21"/>
        <v>0.3</v>
      </c>
      <c r="I372" s="758">
        <f t="shared" si="22"/>
        <v>0.64999999999999991</v>
      </c>
      <c r="J372" s="760">
        <f t="shared" si="23"/>
        <v>0.9285714285714286</v>
      </c>
      <c r="K372" s="74"/>
      <c r="L372" s="74"/>
      <c r="M372" s="74" t="s">
        <v>1817</v>
      </c>
      <c r="N372" s="74">
        <v>0</v>
      </c>
      <c r="O372" s="74">
        <v>0</v>
      </c>
      <c r="P372" s="74">
        <v>1</v>
      </c>
    </row>
    <row r="373" spans="1:16">
      <c r="A373" s="74" t="s">
        <v>967</v>
      </c>
      <c r="B373" s="74" t="s">
        <v>264</v>
      </c>
      <c r="C373" s="74" t="s">
        <v>1541</v>
      </c>
      <c r="D373" s="74" t="s">
        <v>86</v>
      </c>
      <c r="E373" s="74">
        <v>1</v>
      </c>
      <c r="F373" s="74">
        <v>0.7</v>
      </c>
      <c r="G373" s="758">
        <f t="shared" si="20"/>
        <v>0.05</v>
      </c>
      <c r="H373" s="759">
        <f t="shared" si="21"/>
        <v>0.3</v>
      </c>
      <c r="I373" s="758">
        <f t="shared" si="22"/>
        <v>0.64999999999999991</v>
      </c>
      <c r="J373" s="760">
        <f t="shared" si="23"/>
        <v>0.9285714285714286</v>
      </c>
      <c r="K373" s="74"/>
      <c r="L373" s="74"/>
      <c r="M373" s="74" t="s">
        <v>858</v>
      </c>
      <c r="N373" s="74">
        <v>0.13</v>
      </c>
      <c r="O373" s="74">
        <v>0.41</v>
      </c>
      <c r="P373" s="74">
        <v>0.80379999999999996</v>
      </c>
    </row>
    <row r="374" spans="1:16">
      <c r="A374" s="74" t="s">
        <v>967</v>
      </c>
      <c r="B374" s="74" t="s">
        <v>264</v>
      </c>
      <c r="C374" s="74" t="s">
        <v>1543</v>
      </c>
      <c r="D374" s="74" t="s">
        <v>87</v>
      </c>
      <c r="E374" s="74">
        <v>2</v>
      </c>
      <c r="F374" s="74">
        <v>1.4</v>
      </c>
      <c r="G374" s="758">
        <f t="shared" si="20"/>
        <v>0.05</v>
      </c>
      <c r="H374" s="759">
        <f t="shared" si="21"/>
        <v>0.3</v>
      </c>
      <c r="I374" s="758">
        <f t="shared" si="22"/>
        <v>0.64999999999999991</v>
      </c>
      <c r="J374" s="760">
        <f t="shared" si="23"/>
        <v>0.9285714285714286</v>
      </c>
      <c r="K374" s="74"/>
      <c r="L374" s="74"/>
      <c r="M374" s="74" t="s">
        <v>1818</v>
      </c>
      <c r="N374" s="74">
        <v>0</v>
      </c>
      <c r="O374" s="74">
        <v>0</v>
      </c>
      <c r="P374" s="74">
        <v>1</v>
      </c>
    </row>
    <row r="375" spans="1:16">
      <c r="A375" s="74" t="s">
        <v>967</v>
      </c>
      <c r="B375" s="74" t="s">
        <v>264</v>
      </c>
      <c r="C375" s="74" t="s">
        <v>1544</v>
      </c>
      <c r="D375" s="74" t="s">
        <v>87</v>
      </c>
      <c r="E375" s="74">
        <v>1</v>
      </c>
      <c r="F375" s="74">
        <v>0.7</v>
      </c>
      <c r="G375" s="758">
        <f t="shared" si="20"/>
        <v>0.05</v>
      </c>
      <c r="H375" s="759">
        <f t="shared" si="21"/>
        <v>0.3</v>
      </c>
      <c r="I375" s="758">
        <f t="shared" si="22"/>
        <v>0.64999999999999991</v>
      </c>
      <c r="J375" s="760">
        <f t="shared" si="23"/>
        <v>0.9285714285714286</v>
      </c>
      <c r="K375" s="74"/>
      <c r="L375" s="74"/>
      <c r="M375" s="74" t="s">
        <v>1819</v>
      </c>
      <c r="N375" s="74">
        <v>1.71</v>
      </c>
      <c r="O375" s="74">
        <v>0.19</v>
      </c>
      <c r="P375" s="74">
        <v>0.82920000000000005</v>
      </c>
    </row>
    <row r="376" spans="1:16">
      <c r="A376" s="74" t="s">
        <v>967</v>
      </c>
      <c r="B376" s="74" t="s">
        <v>264</v>
      </c>
      <c r="C376" s="74" t="s">
        <v>1546</v>
      </c>
      <c r="D376" s="74" t="s">
        <v>89</v>
      </c>
      <c r="E376" s="74">
        <v>1</v>
      </c>
      <c r="F376" s="74">
        <v>0.7</v>
      </c>
      <c r="G376" s="758">
        <f t="shared" si="20"/>
        <v>0.05</v>
      </c>
      <c r="H376" s="759">
        <f t="shared" si="21"/>
        <v>0.3</v>
      </c>
      <c r="I376" s="758">
        <f t="shared" si="22"/>
        <v>0.64999999999999991</v>
      </c>
      <c r="J376" s="760">
        <f t="shared" si="23"/>
        <v>0.9285714285714286</v>
      </c>
      <c r="K376" s="74"/>
      <c r="L376" s="74"/>
      <c r="M376" s="74" t="s">
        <v>906</v>
      </c>
      <c r="N376" s="74">
        <v>0.44</v>
      </c>
      <c r="O376" s="74">
        <v>0.4</v>
      </c>
      <c r="P376" s="74">
        <v>0.75649999999999995</v>
      </c>
    </row>
    <row r="377" spans="1:16">
      <c r="A377" s="74" t="s">
        <v>967</v>
      </c>
      <c r="B377" s="74" t="s">
        <v>264</v>
      </c>
      <c r="C377" s="74" t="s">
        <v>1550</v>
      </c>
      <c r="D377" s="74" t="s">
        <v>91</v>
      </c>
      <c r="E377" s="74">
        <v>3</v>
      </c>
      <c r="F377" s="74">
        <v>2.1</v>
      </c>
      <c r="G377" s="758">
        <f t="shared" si="20"/>
        <v>0.05</v>
      </c>
      <c r="H377" s="759">
        <f t="shared" si="21"/>
        <v>0.3</v>
      </c>
      <c r="I377" s="758">
        <f t="shared" si="22"/>
        <v>0.65</v>
      </c>
      <c r="J377" s="760">
        <f t="shared" si="23"/>
        <v>0.9285714285714286</v>
      </c>
      <c r="K377" s="74"/>
      <c r="L377" s="74"/>
      <c r="M377" s="74" t="s">
        <v>1820</v>
      </c>
      <c r="N377" s="74">
        <v>0</v>
      </c>
      <c r="O377" s="74">
        <v>0</v>
      </c>
      <c r="P377" s="74">
        <v>1</v>
      </c>
    </row>
    <row r="378" spans="1:16">
      <c r="A378" s="74" t="s">
        <v>967</v>
      </c>
      <c r="B378" s="74" t="s">
        <v>264</v>
      </c>
      <c r="C378" s="74" t="s">
        <v>1675</v>
      </c>
      <c r="D378" s="74" t="s">
        <v>91</v>
      </c>
      <c r="E378" s="74">
        <v>1</v>
      </c>
      <c r="F378" s="74">
        <v>0.7</v>
      </c>
      <c r="G378" s="758">
        <f t="shared" si="20"/>
        <v>0.05</v>
      </c>
      <c r="H378" s="759">
        <f t="shared" si="21"/>
        <v>0.3</v>
      </c>
      <c r="I378" s="758">
        <f t="shared" si="22"/>
        <v>0.64999999999999991</v>
      </c>
      <c r="J378" s="760">
        <f t="shared" si="23"/>
        <v>0.9285714285714286</v>
      </c>
      <c r="K378" s="74"/>
      <c r="L378" s="74"/>
      <c r="M378" s="74" t="s">
        <v>1821</v>
      </c>
      <c r="N378" s="74">
        <v>0</v>
      </c>
      <c r="O378" s="74">
        <v>0</v>
      </c>
      <c r="P378" s="74">
        <v>0</v>
      </c>
    </row>
    <row r="379" spans="1:16">
      <c r="A379" s="74" t="s">
        <v>967</v>
      </c>
      <c r="B379" s="74" t="s">
        <v>264</v>
      </c>
      <c r="C379" s="74" t="s">
        <v>1584</v>
      </c>
      <c r="D379" s="74" t="s">
        <v>92</v>
      </c>
      <c r="E379" s="74">
        <v>1</v>
      </c>
      <c r="F379" s="74">
        <v>0.7</v>
      </c>
      <c r="G379" s="758">
        <f t="shared" si="20"/>
        <v>0.05</v>
      </c>
      <c r="H379" s="759">
        <f t="shared" si="21"/>
        <v>0.3</v>
      </c>
      <c r="I379" s="758">
        <f t="shared" si="22"/>
        <v>0.64999999999999991</v>
      </c>
      <c r="J379" s="760">
        <f t="shared" si="23"/>
        <v>0.9285714285714286</v>
      </c>
      <c r="K379" s="74"/>
      <c r="L379" s="74"/>
      <c r="M379" s="74" t="s">
        <v>1267</v>
      </c>
      <c r="N379" s="74">
        <v>0.98</v>
      </c>
      <c r="O379" s="74">
        <v>0</v>
      </c>
      <c r="P379" s="74">
        <v>0</v>
      </c>
    </row>
    <row r="380" spans="1:16">
      <c r="A380" s="74" t="s">
        <v>967</v>
      </c>
      <c r="B380" s="74" t="s">
        <v>264</v>
      </c>
      <c r="C380" s="74" t="s">
        <v>1614</v>
      </c>
      <c r="D380" s="74" t="s">
        <v>92</v>
      </c>
      <c r="E380" s="74">
        <v>1</v>
      </c>
      <c r="F380" s="74">
        <v>0.7</v>
      </c>
      <c r="G380" s="758">
        <f t="shared" si="20"/>
        <v>0.05</v>
      </c>
      <c r="H380" s="759">
        <f t="shared" si="21"/>
        <v>0.3</v>
      </c>
      <c r="I380" s="758">
        <f t="shared" si="22"/>
        <v>0.64999999999999991</v>
      </c>
      <c r="J380" s="760">
        <f t="shared" si="23"/>
        <v>0.9285714285714286</v>
      </c>
      <c r="K380" s="74"/>
      <c r="L380" s="74"/>
      <c r="M380" s="74" t="s">
        <v>1822</v>
      </c>
      <c r="N380" s="74">
        <v>0.98</v>
      </c>
      <c r="O380" s="74">
        <v>0</v>
      </c>
      <c r="P380" s="74">
        <v>0</v>
      </c>
    </row>
    <row r="381" spans="1:16">
      <c r="A381" s="74" t="s">
        <v>967</v>
      </c>
      <c r="B381" s="74" t="s">
        <v>264</v>
      </c>
      <c r="C381" s="74" t="s">
        <v>1552</v>
      </c>
      <c r="D381" s="74" t="s">
        <v>92</v>
      </c>
      <c r="E381" s="74">
        <v>2</v>
      </c>
      <c r="F381" s="74">
        <v>1.4</v>
      </c>
      <c r="G381" s="758">
        <f t="shared" si="20"/>
        <v>0.05</v>
      </c>
      <c r="H381" s="759">
        <f t="shared" si="21"/>
        <v>0.3</v>
      </c>
      <c r="I381" s="758">
        <f t="shared" si="22"/>
        <v>0.64999999999999991</v>
      </c>
      <c r="J381" s="760">
        <f t="shared" si="23"/>
        <v>0.9285714285714286</v>
      </c>
      <c r="K381" s="74"/>
      <c r="L381" s="74"/>
      <c r="M381" s="74" t="s">
        <v>1823</v>
      </c>
      <c r="N381" s="74">
        <v>0.98</v>
      </c>
      <c r="O381" s="74">
        <v>0</v>
      </c>
      <c r="P381" s="74">
        <v>0</v>
      </c>
    </row>
    <row r="382" spans="1:16">
      <c r="A382" s="74" t="s">
        <v>967</v>
      </c>
      <c r="B382" s="74" t="s">
        <v>264</v>
      </c>
      <c r="C382" s="74" t="s">
        <v>1553</v>
      </c>
      <c r="D382" s="74" t="s">
        <v>94</v>
      </c>
      <c r="E382" s="74">
        <v>1</v>
      </c>
      <c r="F382" s="74">
        <v>0.7</v>
      </c>
      <c r="G382" s="758">
        <f t="shared" si="20"/>
        <v>0.05</v>
      </c>
      <c r="H382" s="759">
        <f t="shared" si="21"/>
        <v>0.3</v>
      </c>
      <c r="I382" s="758">
        <f t="shared" si="22"/>
        <v>0.64999999999999991</v>
      </c>
      <c r="J382" s="760">
        <f t="shared" si="23"/>
        <v>0.9285714285714286</v>
      </c>
      <c r="K382" s="74"/>
      <c r="L382" s="74"/>
      <c r="M382" s="74" t="s">
        <v>1824</v>
      </c>
      <c r="N382" s="74">
        <v>0</v>
      </c>
      <c r="O382" s="74">
        <v>0</v>
      </c>
      <c r="P382" s="74">
        <v>1</v>
      </c>
    </row>
    <row r="383" spans="1:16">
      <c r="A383" s="74" t="s">
        <v>967</v>
      </c>
      <c r="B383" s="74" t="s">
        <v>264</v>
      </c>
      <c r="C383" s="74" t="s">
        <v>1555</v>
      </c>
      <c r="D383" s="74" t="s">
        <v>94</v>
      </c>
      <c r="E383" s="74">
        <v>3</v>
      </c>
      <c r="F383" s="74">
        <v>2.1</v>
      </c>
      <c r="G383" s="758">
        <f t="shared" si="20"/>
        <v>0.05</v>
      </c>
      <c r="H383" s="759">
        <f t="shared" si="21"/>
        <v>0.3</v>
      </c>
      <c r="I383" s="758">
        <f t="shared" si="22"/>
        <v>0.65</v>
      </c>
      <c r="J383" s="760">
        <f t="shared" si="23"/>
        <v>0.9285714285714286</v>
      </c>
      <c r="K383" s="74"/>
      <c r="L383" s="74"/>
      <c r="M383" s="74" t="s">
        <v>1825</v>
      </c>
      <c r="N383" s="74">
        <v>0</v>
      </c>
      <c r="O383" s="74">
        <v>0</v>
      </c>
      <c r="P383" s="74">
        <v>1</v>
      </c>
    </row>
    <row r="384" spans="1:16">
      <c r="A384" s="74" t="s">
        <v>967</v>
      </c>
      <c r="B384" s="74" t="s">
        <v>264</v>
      </c>
      <c r="C384" s="74" t="s">
        <v>1557</v>
      </c>
      <c r="D384" s="74" t="s">
        <v>95</v>
      </c>
      <c r="E384" s="74">
        <v>1</v>
      </c>
      <c r="F384" s="74">
        <v>0.7</v>
      </c>
      <c r="G384" s="758">
        <f t="shared" si="20"/>
        <v>0.05</v>
      </c>
      <c r="H384" s="759">
        <f t="shared" si="21"/>
        <v>0.3</v>
      </c>
      <c r="I384" s="758">
        <f t="shared" si="22"/>
        <v>0.64999999999999991</v>
      </c>
      <c r="J384" s="760">
        <f t="shared" si="23"/>
        <v>0.9285714285714286</v>
      </c>
      <c r="K384" s="74"/>
      <c r="L384" s="74"/>
      <c r="M384" s="74" t="s">
        <v>1826</v>
      </c>
      <c r="N384" s="74">
        <v>0.1</v>
      </c>
      <c r="O384" s="74">
        <v>0.11</v>
      </c>
      <c r="P384" s="74">
        <v>0.9</v>
      </c>
    </row>
    <row r="385" spans="1:16">
      <c r="A385" s="74" t="s">
        <v>967</v>
      </c>
      <c r="B385" s="74" t="s">
        <v>264</v>
      </c>
      <c r="C385" s="74" t="s">
        <v>1526</v>
      </c>
      <c r="D385" s="74" t="s">
        <v>95</v>
      </c>
      <c r="E385" s="74">
        <v>1</v>
      </c>
      <c r="F385" s="74">
        <v>0.7</v>
      </c>
      <c r="G385" s="758">
        <f t="shared" si="20"/>
        <v>0.05</v>
      </c>
      <c r="H385" s="759">
        <f t="shared" si="21"/>
        <v>0.3</v>
      </c>
      <c r="I385" s="758">
        <f t="shared" si="22"/>
        <v>0.64999999999999991</v>
      </c>
      <c r="J385" s="760">
        <f t="shared" si="23"/>
        <v>0.9285714285714286</v>
      </c>
      <c r="K385" s="74"/>
      <c r="L385" s="74"/>
      <c r="M385" s="74" t="s">
        <v>1827</v>
      </c>
      <c r="N385" s="74">
        <v>0</v>
      </c>
      <c r="O385" s="74">
        <v>0</v>
      </c>
      <c r="P385" s="74">
        <v>1</v>
      </c>
    </row>
    <row r="386" spans="1:16">
      <c r="A386" s="74" t="s">
        <v>754</v>
      </c>
      <c r="B386" s="74" t="s">
        <v>713</v>
      </c>
      <c r="C386" s="74" t="s">
        <v>1508</v>
      </c>
      <c r="D386" s="74" t="s">
        <v>78</v>
      </c>
      <c r="E386" s="74">
        <v>1</v>
      </c>
      <c r="F386" s="74">
        <v>3.64</v>
      </c>
      <c r="G386" s="758">
        <f t="shared" ref="G386:G449" si="24">IFERROR(VLOOKUP(A386,$M$1:$P$1014,2,FALSE),0)</f>
        <v>0</v>
      </c>
      <c r="H386" s="759">
        <f t="shared" ref="H386:H449" si="25">IFERROR(VLOOKUP(A386,$M$1:$P$1014,3,FALSE),0)</f>
        <v>0.2</v>
      </c>
      <c r="I386" s="758">
        <f t="shared" ref="I386:I449" si="26">IFERROR(F386/E386-G386,0)</f>
        <v>3.64</v>
      </c>
      <c r="J386" s="760">
        <f t="shared" ref="J386:J449" si="27">IFERROR(1-G386*E386/F386,0)</f>
        <v>1</v>
      </c>
      <c r="K386" s="74"/>
      <c r="L386" s="74"/>
      <c r="M386" s="74" t="s">
        <v>1828</v>
      </c>
      <c r="N386" s="74">
        <v>0</v>
      </c>
      <c r="O386" s="74">
        <v>0</v>
      </c>
      <c r="P386" s="74">
        <v>0</v>
      </c>
    </row>
    <row r="387" spans="1:16">
      <c r="A387" s="74" t="s">
        <v>754</v>
      </c>
      <c r="B387" s="74" t="s">
        <v>713</v>
      </c>
      <c r="C387" s="74" t="s">
        <v>1511</v>
      </c>
      <c r="D387" s="74" t="s">
        <v>80</v>
      </c>
      <c r="E387" s="74">
        <v>2</v>
      </c>
      <c r="F387" s="74">
        <v>7.86</v>
      </c>
      <c r="G387" s="758">
        <f t="shared" si="24"/>
        <v>0</v>
      </c>
      <c r="H387" s="759">
        <f t="shared" si="25"/>
        <v>0.2</v>
      </c>
      <c r="I387" s="758">
        <f t="shared" si="26"/>
        <v>3.93</v>
      </c>
      <c r="J387" s="760">
        <f t="shared" si="27"/>
        <v>1</v>
      </c>
      <c r="K387" s="74"/>
      <c r="L387" s="74"/>
      <c r="M387" s="74" t="s">
        <v>1829</v>
      </c>
      <c r="N387" s="74">
        <v>0</v>
      </c>
      <c r="O387" s="74">
        <v>0</v>
      </c>
      <c r="P387" s="74">
        <v>0</v>
      </c>
    </row>
    <row r="388" spans="1:16">
      <c r="A388" s="74" t="s">
        <v>754</v>
      </c>
      <c r="B388" s="74" t="s">
        <v>713</v>
      </c>
      <c r="C388" s="74" t="s">
        <v>1516</v>
      </c>
      <c r="D388" s="74" t="s">
        <v>82</v>
      </c>
      <c r="E388" s="74">
        <v>1</v>
      </c>
      <c r="F388" s="74">
        <v>5.25</v>
      </c>
      <c r="G388" s="758">
        <f t="shared" si="24"/>
        <v>0</v>
      </c>
      <c r="H388" s="759">
        <f t="shared" si="25"/>
        <v>0.2</v>
      </c>
      <c r="I388" s="758">
        <f t="shared" si="26"/>
        <v>5.25</v>
      </c>
      <c r="J388" s="760">
        <f t="shared" si="27"/>
        <v>1</v>
      </c>
      <c r="K388" s="74"/>
      <c r="L388" s="74"/>
      <c r="M388" s="74" t="s">
        <v>1830</v>
      </c>
      <c r="N388" s="74">
        <v>0</v>
      </c>
      <c r="O388" s="74">
        <v>0</v>
      </c>
      <c r="P388" s="74">
        <v>1</v>
      </c>
    </row>
    <row r="389" spans="1:16">
      <c r="A389" s="74" t="s">
        <v>754</v>
      </c>
      <c r="B389" s="74" t="s">
        <v>713</v>
      </c>
      <c r="C389" s="74" t="s">
        <v>1524</v>
      </c>
      <c r="D389" s="74" t="s">
        <v>91</v>
      </c>
      <c r="E389" s="74">
        <v>2</v>
      </c>
      <c r="F389" s="74">
        <v>8.5</v>
      </c>
      <c r="G389" s="758">
        <f t="shared" si="24"/>
        <v>0</v>
      </c>
      <c r="H389" s="759">
        <f t="shared" si="25"/>
        <v>0.2</v>
      </c>
      <c r="I389" s="758">
        <f t="shared" si="26"/>
        <v>4.25</v>
      </c>
      <c r="J389" s="760">
        <f t="shared" si="27"/>
        <v>1</v>
      </c>
      <c r="K389" s="74"/>
      <c r="L389" s="74"/>
      <c r="M389" s="74" t="s">
        <v>1831</v>
      </c>
      <c r="N389" s="74">
        <v>1.21</v>
      </c>
      <c r="O389" s="74">
        <v>0</v>
      </c>
      <c r="P389" s="74">
        <v>0</v>
      </c>
    </row>
    <row r="390" spans="1:16">
      <c r="A390" s="74" t="s">
        <v>777</v>
      </c>
      <c r="B390" s="74" t="s">
        <v>713</v>
      </c>
      <c r="C390" s="74" t="s">
        <v>1565</v>
      </c>
      <c r="D390" s="74" t="s">
        <v>78</v>
      </c>
      <c r="E390" s="74">
        <v>1</v>
      </c>
      <c r="F390" s="74">
        <v>3.86</v>
      </c>
      <c r="G390" s="758">
        <f t="shared" si="24"/>
        <v>0</v>
      </c>
      <c r="H390" s="759">
        <f t="shared" si="25"/>
        <v>0</v>
      </c>
      <c r="I390" s="758">
        <f t="shared" si="26"/>
        <v>3.86</v>
      </c>
      <c r="J390" s="760">
        <f t="shared" si="27"/>
        <v>1</v>
      </c>
      <c r="K390" s="74"/>
      <c r="L390" s="74"/>
      <c r="M390" s="74" t="s">
        <v>977</v>
      </c>
      <c r="N390" s="74">
        <v>0</v>
      </c>
      <c r="O390" s="74">
        <v>0</v>
      </c>
      <c r="P390" s="74">
        <v>0</v>
      </c>
    </row>
    <row r="391" spans="1:16">
      <c r="A391" s="74" t="s">
        <v>777</v>
      </c>
      <c r="B391" s="74" t="s">
        <v>713</v>
      </c>
      <c r="C391" s="74" t="s">
        <v>1513</v>
      </c>
      <c r="D391" s="74" t="s">
        <v>81</v>
      </c>
      <c r="E391" s="74">
        <v>1</v>
      </c>
      <c r="F391" s="74">
        <v>4.25</v>
      </c>
      <c r="G391" s="758">
        <f t="shared" si="24"/>
        <v>0</v>
      </c>
      <c r="H391" s="759">
        <f t="shared" si="25"/>
        <v>0</v>
      </c>
      <c r="I391" s="758">
        <f t="shared" si="26"/>
        <v>4.25</v>
      </c>
      <c r="J391" s="760">
        <f t="shared" si="27"/>
        <v>1</v>
      </c>
      <c r="K391" s="74"/>
      <c r="L391" s="74"/>
      <c r="M391" s="74" t="s">
        <v>1832</v>
      </c>
      <c r="N391" s="74">
        <v>1.21</v>
      </c>
      <c r="O391" s="74">
        <v>0</v>
      </c>
      <c r="P391" s="74">
        <v>0</v>
      </c>
    </row>
    <row r="392" spans="1:16">
      <c r="A392" s="74" t="s">
        <v>777</v>
      </c>
      <c r="B392" s="74" t="s">
        <v>713</v>
      </c>
      <c r="C392" s="74" t="s">
        <v>1516</v>
      </c>
      <c r="D392" s="74" t="s">
        <v>82</v>
      </c>
      <c r="E392" s="74">
        <v>1</v>
      </c>
      <c r="F392" s="74">
        <v>4.5</v>
      </c>
      <c r="G392" s="758">
        <f t="shared" si="24"/>
        <v>0</v>
      </c>
      <c r="H392" s="759">
        <f t="shared" si="25"/>
        <v>0</v>
      </c>
      <c r="I392" s="758">
        <f t="shared" si="26"/>
        <v>4.5</v>
      </c>
      <c r="J392" s="760">
        <f t="shared" si="27"/>
        <v>1</v>
      </c>
      <c r="K392" s="74"/>
      <c r="L392" s="74"/>
      <c r="M392" s="74" t="s">
        <v>939</v>
      </c>
      <c r="N392" s="74">
        <v>0</v>
      </c>
      <c r="O392" s="74">
        <v>0</v>
      </c>
      <c r="P392" s="74">
        <v>1</v>
      </c>
    </row>
    <row r="393" spans="1:16">
      <c r="A393" s="74" t="s">
        <v>777</v>
      </c>
      <c r="B393" s="74" t="s">
        <v>713</v>
      </c>
      <c r="C393" s="74" t="s">
        <v>1675</v>
      </c>
      <c r="D393" s="74" t="s">
        <v>91</v>
      </c>
      <c r="E393" s="74">
        <v>1</v>
      </c>
      <c r="F393" s="74">
        <v>4.5</v>
      </c>
      <c r="G393" s="758">
        <f t="shared" si="24"/>
        <v>0</v>
      </c>
      <c r="H393" s="759">
        <f t="shared" si="25"/>
        <v>0</v>
      </c>
      <c r="I393" s="758">
        <f t="shared" si="26"/>
        <v>4.5</v>
      </c>
      <c r="J393" s="760">
        <f t="shared" si="27"/>
        <v>1</v>
      </c>
      <c r="K393" s="74"/>
      <c r="L393" s="74"/>
      <c r="M393" s="74" t="s">
        <v>801</v>
      </c>
      <c r="N393" s="74">
        <v>1.26</v>
      </c>
      <c r="O393" s="74">
        <v>0.4</v>
      </c>
      <c r="P393" s="74">
        <v>0.75760000000000005</v>
      </c>
    </row>
    <row r="394" spans="1:16">
      <c r="A394" s="74" t="s">
        <v>1833</v>
      </c>
      <c r="B394" s="74" t="s">
        <v>264</v>
      </c>
      <c r="C394" s="74" t="s">
        <v>1547</v>
      </c>
      <c r="D394" s="74" t="s">
        <v>89</v>
      </c>
      <c r="E394" s="74">
        <v>1</v>
      </c>
      <c r="F394" s="74">
        <v>2</v>
      </c>
      <c r="G394" s="758">
        <f t="shared" si="24"/>
        <v>0.3</v>
      </c>
      <c r="H394" s="759">
        <f t="shared" si="25"/>
        <v>0.24</v>
      </c>
      <c r="I394" s="758">
        <f t="shared" si="26"/>
        <v>1.7</v>
      </c>
      <c r="J394" s="760">
        <f t="shared" si="27"/>
        <v>0.85</v>
      </c>
      <c r="K394" s="74"/>
      <c r="L394" s="74"/>
      <c r="M394" s="74" t="s">
        <v>1834</v>
      </c>
      <c r="N394" s="74">
        <v>0</v>
      </c>
      <c r="O394" s="74">
        <v>0</v>
      </c>
      <c r="P394" s="74">
        <v>1</v>
      </c>
    </row>
    <row r="395" spans="1:16">
      <c r="A395" s="74" t="s">
        <v>1536</v>
      </c>
      <c r="B395" s="74" t="s">
        <v>264</v>
      </c>
      <c r="C395" s="74" t="s">
        <v>1675</v>
      </c>
      <c r="D395" s="74" t="s">
        <v>91</v>
      </c>
      <c r="E395" s="74">
        <v>1</v>
      </c>
      <c r="F395" s="74">
        <v>2</v>
      </c>
      <c r="G395" s="758">
        <f t="shared" si="24"/>
        <v>0</v>
      </c>
      <c r="H395" s="759">
        <f t="shared" si="25"/>
        <v>0</v>
      </c>
      <c r="I395" s="758">
        <f t="shared" si="26"/>
        <v>2</v>
      </c>
      <c r="J395" s="760">
        <f t="shared" si="27"/>
        <v>1</v>
      </c>
      <c r="K395" s="74"/>
      <c r="L395" s="74"/>
      <c r="M395" s="74" t="s">
        <v>905</v>
      </c>
      <c r="N395" s="74">
        <v>1.27</v>
      </c>
      <c r="O395" s="74">
        <v>0.33</v>
      </c>
      <c r="P395" s="74">
        <v>0.77859999999999996</v>
      </c>
    </row>
    <row r="396" spans="1:16">
      <c r="A396" s="74" t="s">
        <v>1537</v>
      </c>
      <c r="B396" s="74" t="s">
        <v>264</v>
      </c>
      <c r="C396" s="74" t="s">
        <v>1528</v>
      </c>
      <c r="D396" s="74" t="s">
        <v>78</v>
      </c>
      <c r="E396" s="74">
        <v>3</v>
      </c>
      <c r="F396" s="74">
        <v>6</v>
      </c>
      <c r="G396" s="758">
        <f t="shared" si="24"/>
        <v>0.3</v>
      </c>
      <c r="H396" s="759">
        <f t="shared" si="25"/>
        <v>0.24</v>
      </c>
      <c r="I396" s="758">
        <f t="shared" si="26"/>
        <v>1.7</v>
      </c>
      <c r="J396" s="760">
        <f t="shared" si="27"/>
        <v>0.85</v>
      </c>
      <c r="K396" s="74"/>
      <c r="L396" s="74"/>
      <c r="M396" s="74" t="s">
        <v>776</v>
      </c>
      <c r="N396" s="74">
        <v>1.89</v>
      </c>
      <c r="O396" s="74">
        <v>0.37</v>
      </c>
      <c r="P396" s="74">
        <v>0.75070000000000003</v>
      </c>
    </row>
    <row r="397" spans="1:16">
      <c r="A397" s="74" t="s">
        <v>1537</v>
      </c>
      <c r="B397" s="74" t="s">
        <v>264</v>
      </c>
      <c r="C397" s="74" t="s">
        <v>1508</v>
      </c>
      <c r="D397" s="74" t="s">
        <v>78</v>
      </c>
      <c r="E397" s="74">
        <v>4</v>
      </c>
      <c r="F397" s="74">
        <v>8.5</v>
      </c>
      <c r="G397" s="758">
        <f t="shared" si="24"/>
        <v>0.3</v>
      </c>
      <c r="H397" s="759">
        <f t="shared" si="25"/>
        <v>0.24</v>
      </c>
      <c r="I397" s="758">
        <f t="shared" si="26"/>
        <v>1.825</v>
      </c>
      <c r="J397" s="760">
        <f t="shared" si="27"/>
        <v>0.85882352941176476</v>
      </c>
      <c r="K397" s="74"/>
      <c r="L397" s="74"/>
      <c r="M397" s="74" t="s">
        <v>769</v>
      </c>
      <c r="N397" s="74">
        <v>0.95</v>
      </c>
      <c r="O397" s="74">
        <v>0.3</v>
      </c>
      <c r="P397" s="74">
        <v>0.81320000000000003</v>
      </c>
    </row>
    <row r="398" spans="1:16">
      <c r="A398" s="74" t="s">
        <v>1537</v>
      </c>
      <c r="B398" s="74" t="s">
        <v>264</v>
      </c>
      <c r="C398" s="74" t="s">
        <v>1509</v>
      </c>
      <c r="D398" s="74" t="s">
        <v>78</v>
      </c>
      <c r="E398" s="74">
        <v>6</v>
      </c>
      <c r="F398" s="74">
        <v>12.25</v>
      </c>
      <c r="G398" s="758">
        <f t="shared" si="24"/>
        <v>0.3</v>
      </c>
      <c r="H398" s="759">
        <f t="shared" si="25"/>
        <v>0.24</v>
      </c>
      <c r="I398" s="758">
        <f t="shared" si="26"/>
        <v>1.7416666666666665</v>
      </c>
      <c r="J398" s="760">
        <f t="shared" si="27"/>
        <v>0.85306122448979593</v>
      </c>
      <c r="K398" s="74"/>
      <c r="L398" s="74"/>
      <c r="M398" s="74" t="s">
        <v>817</v>
      </c>
      <c r="N398" s="74">
        <v>0.78</v>
      </c>
      <c r="O398" s="74">
        <v>0.28999999999999998</v>
      </c>
      <c r="P398" s="74">
        <v>0.85050000000000003</v>
      </c>
    </row>
    <row r="399" spans="1:16">
      <c r="A399" s="74" t="s">
        <v>1537</v>
      </c>
      <c r="B399" s="74" t="s">
        <v>264</v>
      </c>
      <c r="C399" s="74" t="s">
        <v>1565</v>
      </c>
      <c r="D399" s="74" t="s">
        <v>78</v>
      </c>
      <c r="E399" s="74">
        <v>3</v>
      </c>
      <c r="F399" s="74">
        <v>6</v>
      </c>
      <c r="G399" s="758">
        <f t="shared" si="24"/>
        <v>0.3</v>
      </c>
      <c r="H399" s="759">
        <f t="shared" si="25"/>
        <v>0.24</v>
      </c>
      <c r="I399" s="758">
        <f t="shared" si="26"/>
        <v>1.7</v>
      </c>
      <c r="J399" s="760">
        <f t="shared" si="27"/>
        <v>0.85</v>
      </c>
      <c r="K399" s="74"/>
      <c r="L399" s="74"/>
      <c r="M399" s="74" t="s">
        <v>1835</v>
      </c>
      <c r="N399" s="74">
        <v>0</v>
      </c>
      <c r="O399" s="74">
        <v>0</v>
      </c>
      <c r="P399" s="74">
        <v>1</v>
      </c>
    </row>
    <row r="400" spans="1:16">
      <c r="A400" s="74" t="s">
        <v>1537</v>
      </c>
      <c r="B400" s="74" t="s">
        <v>264</v>
      </c>
      <c r="C400" s="74" t="s">
        <v>1530</v>
      </c>
      <c r="D400" s="74" t="s">
        <v>80</v>
      </c>
      <c r="E400" s="74">
        <v>1</v>
      </c>
      <c r="F400" s="74">
        <v>2</v>
      </c>
      <c r="G400" s="758">
        <f t="shared" si="24"/>
        <v>0.3</v>
      </c>
      <c r="H400" s="759">
        <f t="shared" si="25"/>
        <v>0.24</v>
      </c>
      <c r="I400" s="758">
        <f t="shared" si="26"/>
        <v>1.7</v>
      </c>
      <c r="J400" s="760">
        <f t="shared" si="27"/>
        <v>0.85</v>
      </c>
      <c r="K400" s="74"/>
      <c r="L400" s="74"/>
      <c r="M400" s="74" t="s">
        <v>1836</v>
      </c>
      <c r="N400" s="74">
        <v>0</v>
      </c>
      <c r="O400" s="74">
        <v>0</v>
      </c>
      <c r="P400" s="74">
        <v>1</v>
      </c>
    </row>
    <row r="401" spans="1:16">
      <c r="A401" s="74" t="s">
        <v>1537</v>
      </c>
      <c r="B401" s="74" t="s">
        <v>264</v>
      </c>
      <c r="C401" s="74" t="s">
        <v>1512</v>
      </c>
      <c r="D401" s="74" t="s">
        <v>80</v>
      </c>
      <c r="E401" s="74">
        <v>1</v>
      </c>
      <c r="F401" s="74">
        <v>2</v>
      </c>
      <c r="G401" s="758">
        <f t="shared" si="24"/>
        <v>0.3</v>
      </c>
      <c r="H401" s="759">
        <f t="shared" si="25"/>
        <v>0.24</v>
      </c>
      <c r="I401" s="758">
        <f t="shared" si="26"/>
        <v>1.7</v>
      </c>
      <c r="J401" s="760">
        <f t="shared" si="27"/>
        <v>0.85</v>
      </c>
      <c r="K401" s="74"/>
      <c r="L401" s="74"/>
      <c r="M401" s="74" t="s">
        <v>1837</v>
      </c>
      <c r="N401" s="74">
        <v>1.28</v>
      </c>
      <c r="O401" s="74">
        <v>0.31</v>
      </c>
      <c r="P401" s="74">
        <v>0.71560000000000001</v>
      </c>
    </row>
    <row r="402" spans="1:16">
      <c r="A402" s="74" t="s">
        <v>1537</v>
      </c>
      <c r="B402" s="74" t="s">
        <v>264</v>
      </c>
      <c r="C402" s="74" t="s">
        <v>1514</v>
      </c>
      <c r="D402" s="74" t="s">
        <v>81</v>
      </c>
      <c r="E402" s="74">
        <v>1</v>
      </c>
      <c r="F402" s="74">
        <v>2</v>
      </c>
      <c r="G402" s="758">
        <f t="shared" si="24"/>
        <v>0.3</v>
      </c>
      <c r="H402" s="759">
        <f t="shared" si="25"/>
        <v>0.24</v>
      </c>
      <c r="I402" s="758">
        <f t="shared" si="26"/>
        <v>1.7</v>
      </c>
      <c r="J402" s="760">
        <f t="shared" si="27"/>
        <v>0.85</v>
      </c>
      <c r="K402" s="74"/>
      <c r="L402" s="74"/>
      <c r="M402" s="74" t="s">
        <v>1838</v>
      </c>
      <c r="N402" s="74">
        <v>3</v>
      </c>
      <c r="O402" s="74">
        <v>0.39</v>
      </c>
      <c r="P402" s="74">
        <v>0.66090000000000004</v>
      </c>
    </row>
    <row r="403" spans="1:16">
      <c r="A403" s="74" t="s">
        <v>1537</v>
      </c>
      <c r="B403" s="74" t="s">
        <v>264</v>
      </c>
      <c r="C403" s="74" t="s">
        <v>1516</v>
      </c>
      <c r="D403" s="74" t="s">
        <v>82</v>
      </c>
      <c r="E403" s="74">
        <v>2</v>
      </c>
      <c r="F403" s="74">
        <v>4</v>
      </c>
      <c r="G403" s="758">
        <f t="shared" si="24"/>
        <v>0.3</v>
      </c>
      <c r="H403" s="759">
        <f t="shared" si="25"/>
        <v>0.24</v>
      </c>
      <c r="I403" s="758">
        <f t="shared" si="26"/>
        <v>1.7</v>
      </c>
      <c r="J403" s="760">
        <f t="shared" si="27"/>
        <v>0.85</v>
      </c>
      <c r="K403" s="74"/>
      <c r="L403" s="74"/>
      <c r="M403" s="74" t="s">
        <v>1839</v>
      </c>
      <c r="N403" s="74">
        <v>1.88</v>
      </c>
      <c r="O403" s="74">
        <v>0.4</v>
      </c>
      <c r="P403" s="74">
        <v>0.65259999999999996</v>
      </c>
    </row>
    <row r="404" spans="1:16">
      <c r="A404" s="74" t="s">
        <v>1537</v>
      </c>
      <c r="B404" s="74" t="s">
        <v>264</v>
      </c>
      <c r="C404" s="74" t="s">
        <v>1517</v>
      </c>
      <c r="D404" s="74" t="s">
        <v>82</v>
      </c>
      <c r="E404" s="74">
        <v>1</v>
      </c>
      <c r="F404" s="74">
        <v>2</v>
      </c>
      <c r="G404" s="758">
        <f t="shared" si="24"/>
        <v>0.3</v>
      </c>
      <c r="H404" s="759">
        <f t="shared" si="25"/>
        <v>0.24</v>
      </c>
      <c r="I404" s="758">
        <f t="shared" si="26"/>
        <v>1.7</v>
      </c>
      <c r="J404" s="760">
        <f t="shared" si="27"/>
        <v>0.85</v>
      </c>
      <c r="K404" s="74"/>
      <c r="L404" s="74"/>
      <c r="M404" s="74" t="s">
        <v>1003</v>
      </c>
      <c r="N404" s="74">
        <v>0</v>
      </c>
      <c r="O404" s="74">
        <v>0</v>
      </c>
      <c r="P404" s="74">
        <v>1</v>
      </c>
    </row>
    <row r="405" spans="1:16">
      <c r="A405" s="74" t="s">
        <v>1537</v>
      </c>
      <c r="B405" s="74" t="s">
        <v>264</v>
      </c>
      <c r="C405" s="74" t="s">
        <v>1540</v>
      </c>
      <c r="D405" s="74" t="s">
        <v>84</v>
      </c>
      <c r="E405" s="74">
        <v>1</v>
      </c>
      <c r="F405" s="74">
        <v>2</v>
      </c>
      <c r="G405" s="758">
        <f t="shared" si="24"/>
        <v>0.3</v>
      </c>
      <c r="H405" s="759">
        <f t="shared" si="25"/>
        <v>0.24</v>
      </c>
      <c r="I405" s="758">
        <f t="shared" si="26"/>
        <v>1.7</v>
      </c>
      <c r="J405" s="760">
        <f t="shared" si="27"/>
        <v>0.85</v>
      </c>
      <c r="K405" s="74"/>
      <c r="L405" s="74"/>
      <c r="M405" s="74" t="s">
        <v>1840</v>
      </c>
      <c r="N405" s="74">
        <v>0</v>
      </c>
      <c r="O405" s="74">
        <v>0</v>
      </c>
      <c r="P405" s="74">
        <v>1</v>
      </c>
    </row>
    <row r="406" spans="1:16">
      <c r="A406" s="74" t="s">
        <v>1537</v>
      </c>
      <c r="B406" s="74" t="s">
        <v>264</v>
      </c>
      <c r="C406" s="74" t="s">
        <v>1507</v>
      </c>
      <c r="D406" s="74" t="s">
        <v>86</v>
      </c>
      <c r="E406" s="74">
        <v>1</v>
      </c>
      <c r="F406" s="74">
        <v>2.25</v>
      </c>
      <c r="G406" s="758">
        <f t="shared" si="24"/>
        <v>0.3</v>
      </c>
      <c r="H406" s="759">
        <f t="shared" si="25"/>
        <v>0.24</v>
      </c>
      <c r="I406" s="758">
        <f t="shared" si="26"/>
        <v>1.95</v>
      </c>
      <c r="J406" s="760">
        <f t="shared" si="27"/>
        <v>0.8666666666666667</v>
      </c>
      <c r="K406" s="74"/>
      <c r="L406" s="74"/>
      <c r="M406" s="74" t="s">
        <v>1144</v>
      </c>
      <c r="N406" s="74">
        <v>0</v>
      </c>
      <c r="O406" s="74">
        <v>0</v>
      </c>
      <c r="P406" s="74">
        <v>1</v>
      </c>
    </row>
    <row r="407" spans="1:16">
      <c r="A407" s="74" t="s">
        <v>1537</v>
      </c>
      <c r="B407" s="74" t="s">
        <v>264</v>
      </c>
      <c r="C407" s="74" t="s">
        <v>1644</v>
      </c>
      <c r="D407" s="74" t="s">
        <v>86</v>
      </c>
      <c r="E407" s="74">
        <v>1</v>
      </c>
      <c r="F407" s="74">
        <v>2</v>
      </c>
      <c r="G407" s="758">
        <f t="shared" si="24"/>
        <v>0.3</v>
      </c>
      <c r="H407" s="759">
        <f t="shared" si="25"/>
        <v>0.24</v>
      </c>
      <c r="I407" s="758">
        <f t="shared" si="26"/>
        <v>1.7</v>
      </c>
      <c r="J407" s="760">
        <f t="shared" si="27"/>
        <v>0.85</v>
      </c>
      <c r="K407" s="74"/>
      <c r="L407" s="74"/>
      <c r="M407" s="74" t="s">
        <v>1002</v>
      </c>
      <c r="N407" s="74">
        <v>1.17</v>
      </c>
      <c r="O407" s="74">
        <v>0.34</v>
      </c>
      <c r="P407" s="74">
        <v>0.75839999999999996</v>
      </c>
    </row>
    <row r="408" spans="1:16">
      <c r="A408" s="74" t="s">
        <v>1537</v>
      </c>
      <c r="B408" s="74" t="s">
        <v>264</v>
      </c>
      <c r="C408" s="74" t="s">
        <v>1578</v>
      </c>
      <c r="D408" s="74" t="s">
        <v>86</v>
      </c>
      <c r="E408" s="74">
        <v>1</v>
      </c>
      <c r="F408" s="74">
        <v>2</v>
      </c>
      <c r="G408" s="758">
        <f t="shared" si="24"/>
        <v>0.3</v>
      </c>
      <c r="H408" s="759">
        <f t="shared" si="25"/>
        <v>0.24</v>
      </c>
      <c r="I408" s="758">
        <f t="shared" si="26"/>
        <v>1.7</v>
      </c>
      <c r="J408" s="760">
        <f t="shared" si="27"/>
        <v>0.85</v>
      </c>
      <c r="K408" s="74"/>
      <c r="L408" s="74"/>
      <c r="M408" s="74" t="s">
        <v>1841</v>
      </c>
      <c r="N408" s="74">
        <v>3.32</v>
      </c>
      <c r="O408" s="74">
        <v>0.42</v>
      </c>
      <c r="P408" s="74">
        <v>0.62270000000000003</v>
      </c>
    </row>
    <row r="409" spans="1:16">
      <c r="A409" s="74" t="s">
        <v>1537</v>
      </c>
      <c r="B409" s="74" t="s">
        <v>264</v>
      </c>
      <c r="C409" s="74" t="s">
        <v>1541</v>
      </c>
      <c r="D409" s="74" t="s">
        <v>86</v>
      </c>
      <c r="E409" s="74">
        <v>2</v>
      </c>
      <c r="F409" s="74">
        <v>4</v>
      </c>
      <c r="G409" s="758">
        <f t="shared" si="24"/>
        <v>0.3</v>
      </c>
      <c r="H409" s="759">
        <f t="shared" si="25"/>
        <v>0.24</v>
      </c>
      <c r="I409" s="758">
        <f t="shared" si="26"/>
        <v>1.7</v>
      </c>
      <c r="J409" s="760">
        <f t="shared" si="27"/>
        <v>0.85</v>
      </c>
      <c r="K409" s="74"/>
      <c r="L409" s="74"/>
      <c r="M409" s="74" t="s">
        <v>802</v>
      </c>
      <c r="N409" s="74">
        <v>0.86</v>
      </c>
      <c r="O409" s="74">
        <v>0.2</v>
      </c>
      <c r="P409" s="74">
        <v>0.81789999999999996</v>
      </c>
    </row>
    <row r="410" spans="1:16">
      <c r="A410" s="74" t="s">
        <v>1537</v>
      </c>
      <c r="B410" s="74" t="s">
        <v>264</v>
      </c>
      <c r="C410" s="74" t="s">
        <v>1543</v>
      </c>
      <c r="D410" s="74" t="s">
        <v>87</v>
      </c>
      <c r="E410" s="74">
        <v>1</v>
      </c>
      <c r="F410" s="74">
        <v>2.25</v>
      </c>
      <c r="G410" s="758">
        <f t="shared" si="24"/>
        <v>0.3</v>
      </c>
      <c r="H410" s="759">
        <f t="shared" si="25"/>
        <v>0.24</v>
      </c>
      <c r="I410" s="758">
        <f t="shared" si="26"/>
        <v>1.95</v>
      </c>
      <c r="J410" s="760">
        <f t="shared" si="27"/>
        <v>0.8666666666666667</v>
      </c>
      <c r="K410" s="74"/>
      <c r="L410" s="74"/>
      <c r="M410" s="74" t="s">
        <v>1090</v>
      </c>
      <c r="N410" s="74">
        <v>0.6</v>
      </c>
      <c r="O410" s="74">
        <v>0.28999999999999998</v>
      </c>
      <c r="P410" s="74">
        <v>0.88390000000000002</v>
      </c>
    </row>
    <row r="411" spans="1:16">
      <c r="A411" s="74" t="s">
        <v>1537</v>
      </c>
      <c r="B411" s="74" t="s">
        <v>264</v>
      </c>
      <c r="C411" s="74" t="s">
        <v>1547</v>
      </c>
      <c r="D411" s="74" t="s">
        <v>89</v>
      </c>
      <c r="E411" s="74">
        <v>1</v>
      </c>
      <c r="F411" s="74">
        <v>2.25</v>
      </c>
      <c r="G411" s="758">
        <f t="shared" si="24"/>
        <v>0.3</v>
      </c>
      <c r="H411" s="759">
        <f t="shared" si="25"/>
        <v>0.24</v>
      </c>
      <c r="I411" s="758">
        <f t="shared" si="26"/>
        <v>1.95</v>
      </c>
      <c r="J411" s="760">
        <f t="shared" si="27"/>
        <v>0.8666666666666667</v>
      </c>
      <c r="K411" s="74"/>
      <c r="L411" s="74"/>
      <c r="M411" s="74" t="s">
        <v>1842</v>
      </c>
      <c r="N411" s="74">
        <v>0.97</v>
      </c>
      <c r="O411" s="74">
        <v>0.17</v>
      </c>
      <c r="P411" s="74">
        <v>0.84099999999999997</v>
      </c>
    </row>
    <row r="412" spans="1:16">
      <c r="A412" s="74" t="s">
        <v>1537</v>
      </c>
      <c r="B412" s="74" t="s">
        <v>264</v>
      </c>
      <c r="C412" s="74" t="s">
        <v>1522</v>
      </c>
      <c r="D412" s="74" t="s">
        <v>91</v>
      </c>
      <c r="E412" s="74">
        <v>1</v>
      </c>
      <c r="F412" s="74">
        <v>2</v>
      </c>
      <c r="G412" s="758">
        <f t="shared" si="24"/>
        <v>0.3</v>
      </c>
      <c r="H412" s="759">
        <f t="shared" si="25"/>
        <v>0.24</v>
      </c>
      <c r="I412" s="758">
        <f t="shared" si="26"/>
        <v>1.7</v>
      </c>
      <c r="J412" s="760">
        <f t="shared" si="27"/>
        <v>0.85</v>
      </c>
      <c r="K412" s="74"/>
      <c r="L412" s="74"/>
      <c r="M412" s="74" t="s">
        <v>1843</v>
      </c>
      <c r="N412" s="74">
        <v>0</v>
      </c>
      <c r="O412" s="74">
        <v>0</v>
      </c>
      <c r="P412" s="74">
        <v>1</v>
      </c>
    </row>
    <row r="413" spans="1:16">
      <c r="A413" s="74" t="s">
        <v>1537</v>
      </c>
      <c r="B413" s="74" t="s">
        <v>264</v>
      </c>
      <c r="C413" s="74" t="s">
        <v>1524</v>
      </c>
      <c r="D413" s="74" t="s">
        <v>91</v>
      </c>
      <c r="E413" s="74">
        <v>1</v>
      </c>
      <c r="F413" s="74">
        <v>2</v>
      </c>
      <c r="G413" s="758">
        <f t="shared" si="24"/>
        <v>0.3</v>
      </c>
      <c r="H413" s="759">
        <f t="shared" si="25"/>
        <v>0.24</v>
      </c>
      <c r="I413" s="758">
        <f t="shared" si="26"/>
        <v>1.7</v>
      </c>
      <c r="J413" s="760">
        <f t="shared" si="27"/>
        <v>0.85</v>
      </c>
      <c r="K413" s="74"/>
      <c r="L413" s="74"/>
      <c r="M413" s="74" t="s">
        <v>940</v>
      </c>
      <c r="N413" s="74">
        <v>0.8</v>
      </c>
      <c r="O413" s="74">
        <v>0.3</v>
      </c>
      <c r="P413" s="74">
        <v>0.86519999999999997</v>
      </c>
    </row>
    <row r="414" spans="1:16">
      <c r="A414" s="74" t="s">
        <v>1538</v>
      </c>
      <c r="B414" s="74" t="s">
        <v>264</v>
      </c>
      <c r="C414" s="74" t="s">
        <v>1532</v>
      </c>
      <c r="D414" s="74" t="s">
        <v>80</v>
      </c>
      <c r="E414" s="74">
        <v>2</v>
      </c>
      <c r="F414" s="74">
        <v>4</v>
      </c>
      <c r="G414" s="758">
        <f t="shared" si="24"/>
        <v>0</v>
      </c>
      <c r="H414" s="759">
        <f t="shared" si="25"/>
        <v>0.21</v>
      </c>
      <c r="I414" s="758">
        <f t="shared" si="26"/>
        <v>2</v>
      </c>
      <c r="J414" s="760">
        <f t="shared" si="27"/>
        <v>1</v>
      </c>
      <c r="K414" s="74"/>
      <c r="L414" s="74"/>
      <c r="M414" s="74" t="s">
        <v>1844</v>
      </c>
      <c r="N414" s="74">
        <v>0</v>
      </c>
      <c r="O414" s="74">
        <v>0</v>
      </c>
      <c r="P414" s="74">
        <v>1</v>
      </c>
    </row>
    <row r="415" spans="1:16">
      <c r="A415" s="74" t="s">
        <v>1538</v>
      </c>
      <c r="B415" s="74" t="s">
        <v>264</v>
      </c>
      <c r="C415" s="74" t="s">
        <v>1511</v>
      </c>
      <c r="D415" s="74" t="s">
        <v>80</v>
      </c>
      <c r="E415" s="74">
        <v>7</v>
      </c>
      <c r="F415" s="74">
        <v>14</v>
      </c>
      <c r="G415" s="758">
        <f t="shared" si="24"/>
        <v>0</v>
      </c>
      <c r="H415" s="759">
        <f t="shared" si="25"/>
        <v>0.21</v>
      </c>
      <c r="I415" s="758">
        <f t="shared" si="26"/>
        <v>2</v>
      </c>
      <c r="J415" s="760">
        <f t="shared" si="27"/>
        <v>1</v>
      </c>
      <c r="K415" s="74"/>
      <c r="L415" s="74"/>
      <c r="M415" s="74" t="s">
        <v>1845</v>
      </c>
      <c r="N415" s="74">
        <v>1.46</v>
      </c>
      <c r="O415" s="74">
        <v>0.23</v>
      </c>
      <c r="P415" s="74">
        <v>0.79139999999999999</v>
      </c>
    </row>
    <row r="416" spans="1:16">
      <c r="A416" s="74" t="s">
        <v>1538</v>
      </c>
      <c r="B416" s="74" t="s">
        <v>264</v>
      </c>
      <c r="C416" s="74" t="s">
        <v>1512</v>
      </c>
      <c r="D416" s="74" t="s">
        <v>80</v>
      </c>
      <c r="E416" s="74">
        <v>8</v>
      </c>
      <c r="F416" s="74">
        <v>16.25</v>
      </c>
      <c r="G416" s="758">
        <f t="shared" si="24"/>
        <v>0</v>
      </c>
      <c r="H416" s="759">
        <f t="shared" si="25"/>
        <v>0.21</v>
      </c>
      <c r="I416" s="758">
        <f t="shared" si="26"/>
        <v>2.03125</v>
      </c>
      <c r="J416" s="760">
        <f t="shared" si="27"/>
        <v>1</v>
      </c>
      <c r="K416" s="74"/>
      <c r="L416" s="74"/>
      <c r="M416" s="74" t="s">
        <v>1023</v>
      </c>
      <c r="N416" s="74">
        <v>0</v>
      </c>
      <c r="O416" s="74">
        <v>0</v>
      </c>
      <c r="P416" s="74">
        <v>0</v>
      </c>
    </row>
    <row r="417" spans="1:16">
      <c r="A417" s="74" t="s">
        <v>1538</v>
      </c>
      <c r="B417" s="74" t="s">
        <v>264</v>
      </c>
      <c r="C417" s="74" t="s">
        <v>1534</v>
      </c>
      <c r="D417" s="74" t="s">
        <v>81</v>
      </c>
      <c r="E417" s="74">
        <v>7</v>
      </c>
      <c r="F417" s="74">
        <v>14.25</v>
      </c>
      <c r="G417" s="758">
        <f t="shared" si="24"/>
        <v>0</v>
      </c>
      <c r="H417" s="759">
        <f t="shared" si="25"/>
        <v>0.21</v>
      </c>
      <c r="I417" s="758">
        <f t="shared" si="26"/>
        <v>2.0357142857142856</v>
      </c>
      <c r="J417" s="760">
        <f t="shared" si="27"/>
        <v>1</v>
      </c>
      <c r="K417" s="74"/>
      <c r="L417" s="74"/>
      <c r="M417" s="74" t="s">
        <v>1846</v>
      </c>
      <c r="N417" s="74">
        <v>0</v>
      </c>
      <c r="O417" s="74">
        <v>0.25</v>
      </c>
      <c r="P417" s="74">
        <v>0</v>
      </c>
    </row>
    <row r="418" spans="1:16">
      <c r="A418" s="74" t="s">
        <v>1538</v>
      </c>
      <c r="B418" s="74" t="s">
        <v>264</v>
      </c>
      <c r="C418" s="74" t="s">
        <v>1513</v>
      </c>
      <c r="D418" s="74" t="s">
        <v>81</v>
      </c>
      <c r="E418" s="74">
        <v>6</v>
      </c>
      <c r="F418" s="74">
        <v>13.5</v>
      </c>
      <c r="G418" s="758">
        <f t="shared" si="24"/>
        <v>0</v>
      </c>
      <c r="H418" s="759">
        <f t="shared" si="25"/>
        <v>0.21</v>
      </c>
      <c r="I418" s="758">
        <f t="shared" si="26"/>
        <v>2.25</v>
      </c>
      <c r="J418" s="760">
        <f t="shared" si="27"/>
        <v>1</v>
      </c>
      <c r="K418" s="74"/>
      <c r="L418" s="74"/>
      <c r="M418" s="74" t="s">
        <v>1847</v>
      </c>
      <c r="N418" s="74">
        <v>0</v>
      </c>
      <c r="O418" s="74">
        <v>0</v>
      </c>
      <c r="P418" s="74">
        <v>0</v>
      </c>
    </row>
    <row r="419" spans="1:16">
      <c r="A419" s="74" t="s">
        <v>1538</v>
      </c>
      <c r="B419" s="74" t="s">
        <v>264</v>
      </c>
      <c r="C419" s="74" t="s">
        <v>1514</v>
      </c>
      <c r="D419" s="74" t="s">
        <v>81</v>
      </c>
      <c r="E419" s="74">
        <v>4</v>
      </c>
      <c r="F419" s="74">
        <v>8.25</v>
      </c>
      <c r="G419" s="758">
        <f t="shared" si="24"/>
        <v>0</v>
      </c>
      <c r="H419" s="759">
        <f t="shared" si="25"/>
        <v>0.21</v>
      </c>
      <c r="I419" s="758">
        <f t="shared" si="26"/>
        <v>2.0625</v>
      </c>
      <c r="J419" s="760">
        <f t="shared" si="27"/>
        <v>1</v>
      </c>
      <c r="K419" s="74"/>
      <c r="L419" s="74"/>
      <c r="M419" s="74" t="s">
        <v>732</v>
      </c>
      <c r="N419" s="74">
        <v>0</v>
      </c>
      <c r="O419" s="74">
        <v>0</v>
      </c>
      <c r="P419" s="74">
        <v>1</v>
      </c>
    </row>
    <row r="420" spans="1:16">
      <c r="A420" s="74" t="s">
        <v>1538</v>
      </c>
      <c r="B420" s="74" t="s">
        <v>264</v>
      </c>
      <c r="C420" s="74" t="s">
        <v>1515</v>
      </c>
      <c r="D420" s="74" t="s">
        <v>81</v>
      </c>
      <c r="E420" s="74">
        <v>6</v>
      </c>
      <c r="F420" s="74">
        <v>12.25</v>
      </c>
      <c r="G420" s="758">
        <f t="shared" si="24"/>
        <v>0</v>
      </c>
      <c r="H420" s="759">
        <f t="shared" si="25"/>
        <v>0.21</v>
      </c>
      <c r="I420" s="758">
        <f t="shared" si="26"/>
        <v>2.0416666666666665</v>
      </c>
      <c r="J420" s="760">
        <f t="shared" si="27"/>
        <v>1</v>
      </c>
      <c r="K420" s="74"/>
      <c r="L420" s="74"/>
      <c r="M420" s="74" t="s">
        <v>1848</v>
      </c>
      <c r="N420" s="74">
        <v>0</v>
      </c>
      <c r="O420" s="74">
        <v>0</v>
      </c>
      <c r="P420" s="74">
        <v>1</v>
      </c>
    </row>
    <row r="421" spans="1:16">
      <c r="A421" s="74" t="s">
        <v>1538</v>
      </c>
      <c r="B421" s="74" t="s">
        <v>264</v>
      </c>
      <c r="C421" s="74" t="s">
        <v>1516</v>
      </c>
      <c r="D421" s="74" t="s">
        <v>82</v>
      </c>
      <c r="E421" s="74">
        <v>9</v>
      </c>
      <c r="F421" s="74">
        <v>20.5</v>
      </c>
      <c r="G421" s="758">
        <f t="shared" si="24"/>
        <v>0</v>
      </c>
      <c r="H421" s="759">
        <f t="shared" si="25"/>
        <v>0.21</v>
      </c>
      <c r="I421" s="758">
        <f t="shared" si="26"/>
        <v>2.2777777777777777</v>
      </c>
      <c r="J421" s="760">
        <f t="shared" si="27"/>
        <v>1</v>
      </c>
      <c r="K421" s="74"/>
      <c r="L421" s="74"/>
      <c r="M421" s="74" t="s">
        <v>1849</v>
      </c>
      <c r="N421" s="74">
        <v>0</v>
      </c>
      <c r="O421" s="74">
        <v>0</v>
      </c>
      <c r="P421" s="74">
        <v>1</v>
      </c>
    </row>
    <row r="422" spans="1:16">
      <c r="A422" s="74" t="s">
        <v>1538</v>
      </c>
      <c r="B422" s="74" t="s">
        <v>264</v>
      </c>
      <c r="C422" s="74" t="s">
        <v>1517</v>
      </c>
      <c r="D422" s="74" t="s">
        <v>82</v>
      </c>
      <c r="E422" s="74">
        <v>8</v>
      </c>
      <c r="F422" s="74">
        <v>16.25</v>
      </c>
      <c r="G422" s="758">
        <f t="shared" si="24"/>
        <v>0</v>
      </c>
      <c r="H422" s="759">
        <f t="shared" si="25"/>
        <v>0.21</v>
      </c>
      <c r="I422" s="758">
        <f t="shared" si="26"/>
        <v>2.03125</v>
      </c>
      <c r="J422" s="760">
        <f t="shared" si="27"/>
        <v>1</v>
      </c>
      <c r="K422" s="74"/>
      <c r="L422" s="74"/>
      <c r="M422" s="74" t="s">
        <v>946</v>
      </c>
      <c r="N422" s="74">
        <v>0.74</v>
      </c>
      <c r="O422" s="74">
        <v>0.24</v>
      </c>
      <c r="P422" s="74">
        <v>0.90080000000000005</v>
      </c>
    </row>
    <row r="423" spans="1:16">
      <c r="A423" s="74" t="s">
        <v>1538</v>
      </c>
      <c r="B423" s="74" t="s">
        <v>264</v>
      </c>
      <c r="C423" s="74" t="s">
        <v>1527</v>
      </c>
      <c r="D423" s="74" t="s">
        <v>82</v>
      </c>
      <c r="E423" s="74">
        <v>17</v>
      </c>
      <c r="F423" s="74">
        <v>36</v>
      </c>
      <c r="G423" s="758">
        <f t="shared" si="24"/>
        <v>0</v>
      </c>
      <c r="H423" s="759">
        <f t="shared" si="25"/>
        <v>0.21</v>
      </c>
      <c r="I423" s="758">
        <f t="shared" si="26"/>
        <v>2.1176470588235294</v>
      </c>
      <c r="J423" s="760">
        <f t="shared" si="27"/>
        <v>1</v>
      </c>
      <c r="K423" s="74"/>
      <c r="L423" s="74"/>
      <c r="M423" s="74" t="s">
        <v>1850</v>
      </c>
      <c r="N423" s="74">
        <v>0</v>
      </c>
      <c r="O423" s="74">
        <v>0</v>
      </c>
      <c r="P423" s="74">
        <v>1</v>
      </c>
    </row>
    <row r="424" spans="1:16">
      <c r="A424" s="74" t="s">
        <v>1538</v>
      </c>
      <c r="B424" s="74" t="s">
        <v>264</v>
      </c>
      <c r="C424" s="74" t="s">
        <v>1518</v>
      </c>
      <c r="D424" s="74" t="s">
        <v>82</v>
      </c>
      <c r="E424" s="74">
        <v>10</v>
      </c>
      <c r="F424" s="74">
        <v>20.25</v>
      </c>
      <c r="G424" s="758">
        <f t="shared" si="24"/>
        <v>0</v>
      </c>
      <c r="H424" s="759">
        <f t="shared" si="25"/>
        <v>0.21</v>
      </c>
      <c r="I424" s="758">
        <f t="shared" si="26"/>
        <v>2.0249999999999999</v>
      </c>
      <c r="J424" s="760">
        <f t="shared" si="27"/>
        <v>1</v>
      </c>
      <c r="K424" s="74"/>
      <c r="L424" s="74"/>
      <c r="M424" s="74" t="s">
        <v>1001</v>
      </c>
      <c r="N424" s="74">
        <v>0.68</v>
      </c>
      <c r="O424" s="74">
        <v>0.23</v>
      </c>
      <c r="P424" s="74">
        <v>0.88149999999999995</v>
      </c>
    </row>
    <row r="425" spans="1:16">
      <c r="A425" s="74" t="s">
        <v>1538</v>
      </c>
      <c r="B425" s="74" t="s">
        <v>264</v>
      </c>
      <c r="C425" s="74" t="s">
        <v>1519</v>
      </c>
      <c r="D425" s="74" t="s">
        <v>84</v>
      </c>
      <c r="E425" s="74">
        <v>2</v>
      </c>
      <c r="F425" s="74">
        <v>4.25</v>
      </c>
      <c r="G425" s="758">
        <f t="shared" si="24"/>
        <v>0</v>
      </c>
      <c r="H425" s="759">
        <f t="shared" si="25"/>
        <v>0.21</v>
      </c>
      <c r="I425" s="758">
        <f t="shared" si="26"/>
        <v>2.125</v>
      </c>
      <c r="J425" s="760">
        <f t="shared" si="27"/>
        <v>1</v>
      </c>
      <c r="K425" s="74"/>
      <c r="L425" s="74"/>
      <c r="M425" s="74" t="s">
        <v>1851</v>
      </c>
      <c r="N425" s="74">
        <v>1.57</v>
      </c>
      <c r="O425" s="74">
        <v>0.28000000000000003</v>
      </c>
      <c r="P425" s="74">
        <v>0.748</v>
      </c>
    </row>
    <row r="426" spans="1:16">
      <c r="A426" s="74" t="s">
        <v>1539</v>
      </c>
      <c r="B426" s="74" t="s">
        <v>264</v>
      </c>
      <c r="C426" s="74" t="s">
        <v>1610</v>
      </c>
      <c r="D426" s="74" t="s">
        <v>89</v>
      </c>
      <c r="E426" s="74">
        <v>1</v>
      </c>
      <c r="F426" s="74">
        <v>2.25</v>
      </c>
      <c r="G426" s="758">
        <f t="shared" si="24"/>
        <v>0</v>
      </c>
      <c r="H426" s="759">
        <f t="shared" si="25"/>
        <v>0</v>
      </c>
      <c r="I426" s="758">
        <f t="shared" si="26"/>
        <v>2.25</v>
      </c>
      <c r="J426" s="760">
        <f t="shared" si="27"/>
        <v>1</v>
      </c>
      <c r="K426" s="74"/>
      <c r="L426" s="74"/>
      <c r="M426" s="74" t="s">
        <v>1852</v>
      </c>
      <c r="N426" s="74">
        <v>0</v>
      </c>
      <c r="O426" s="74">
        <v>0</v>
      </c>
      <c r="P426" s="74">
        <v>1</v>
      </c>
    </row>
    <row r="427" spans="1:16">
      <c r="A427" s="74" t="s">
        <v>703</v>
      </c>
      <c r="B427" s="74" t="s">
        <v>256</v>
      </c>
      <c r="C427" s="74" t="s">
        <v>1528</v>
      </c>
      <c r="D427" s="74" t="s">
        <v>78</v>
      </c>
      <c r="E427" s="74">
        <v>4</v>
      </c>
      <c r="F427" s="74">
        <v>7.95</v>
      </c>
      <c r="G427" s="758">
        <f t="shared" si="24"/>
        <v>0</v>
      </c>
      <c r="H427" s="759">
        <f t="shared" si="25"/>
        <v>0</v>
      </c>
      <c r="I427" s="758">
        <f t="shared" si="26"/>
        <v>1.9875</v>
      </c>
      <c r="J427" s="760">
        <f t="shared" si="27"/>
        <v>1</v>
      </c>
      <c r="K427" s="74"/>
      <c r="L427" s="74"/>
      <c r="M427" s="74" t="s">
        <v>895</v>
      </c>
      <c r="N427" s="74">
        <v>1.23</v>
      </c>
      <c r="O427" s="74">
        <v>0.26</v>
      </c>
      <c r="P427" s="74">
        <v>0.82669999999999999</v>
      </c>
    </row>
    <row r="428" spans="1:16">
      <c r="A428" s="74" t="s">
        <v>703</v>
      </c>
      <c r="B428" s="74" t="s">
        <v>256</v>
      </c>
      <c r="C428" s="74" t="s">
        <v>1508</v>
      </c>
      <c r="D428" s="74" t="s">
        <v>78</v>
      </c>
      <c r="E428" s="74">
        <v>7</v>
      </c>
      <c r="F428" s="74">
        <v>13.18</v>
      </c>
      <c r="G428" s="758">
        <f t="shared" si="24"/>
        <v>0</v>
      </c>
      <c r="H428" s="759">
        <f t="shared" si="25"/>
        <v>0</v>
      </c>
      <c r="I428" s="758">
        <f t="shared" si="26"/>
        <v>1.8828571428571428</v>
      </c>
      <c r="J428" s="760">
        <f t="shared" si="27"/>
        <v>1</v>
      </c>
      <c r="K428" s="74"/>
      <c r="L428" s="74"/>
      <c r="M428" s="74" t="s">
        <v>1120</v>
      </c>
      <c r="N428" s="74">
        <v>0</v>
      </c>
      <c r="O428" s="74">
        <v>0</v>
      </c>
      <c r="P428" s="74">
        <v>1</v>
      </c>
    </row>
    <row r="429" spans="1:16">
      <c r="A429" s="74" t="s">
        <v>703</v>
      </c>
      <c r="B429" s="74" t="s">
        <v>256</v>
      </c>
      <c r="C429" s="74" t="s">
        <v>1509</v>
      </c>
      <c r="D429" s="74" t="s">
        <v>78</v>
      </c>
      <c r="E429" s="74">
        <v>3</v>
      </c>
      <c r="F429" s="74">
        <v>5.45</v>
      </c>
      <c r="G429" s="758">
        <f t="shared" si="24"/>
        <v>0</v>
      </c>
      <c r="H429" s="759">
        <f t="shared" si="25"/>
        <v>0</v>
      </c>
      <c r="I429" s="758">
        <f t="shared" si="26"/>
        <v>1.8166666666666667</v>
      </c>
      <c r="J429" s="760">
        <f t="shared" si="27"/>
        <v>1</v>
      </c>
      <c r="K429" s="74"/>
      <c r="L429" s="74"/>
      <c r="M429" s="74" t="s">
        <v>950</v>
      </c>
      <c r="N429" s="74">
        <v>0</v>
      </c>
      <c r="O429" s="74">
        <v>0</v>
      </c>
      <c r="P429" s="74">
        <v>1</v>
      </c>
    </row>
    <row r="430" spans="1:16">
      <c r="A430" s="74" t="s">
        <v>703</v>
      </c>
      <c r="B430" s="74" t="s">
        <v>256</v>
      </c>
      <c r="C430" s="74" t="s">
        <v>1565</v>
      </c>
      <c r="D430" s="74" t="s">
        <v>78</v>
      </c>
      <c r="E430" s="74">
        <v>6</v>
      </c>
      <c r="F430" s="74">
        <v>11.14</v>
      </c>
      <c r="G430" s="758">
        <f t="shared" si="24"/>
        <v>0</v>
      </c>
      <c r="H430" s="759">
        <f t="shared" si="25"/>
        <v>0</v>
      </c>
      <c r="I430" s="758">
        <f t="shared" si="26"/>
        <v>1.8566666666666667</v>
      </c>
      <c r="J430" s="760">
        <f t="shared" si="27"/>
        <v>1</v>
      </c>
      <c r="K430" s="74"/>
      <c r="L430" s="74"/>
      <c r="M430" s="74" t="s">
        <v>1853</v>
      </c>
      <c r="N430" s="74">
        <v>0</v>
      </c>
      <c r="O430" s="74">
        <v>0</v>
      </c>
      <c r="P430" s="74">
        <v>0</v>
      </c>
    </row>
    <row r="431" spans="1:16">
      <c r="A431" s="74" t="s">
        <v>703</v>
      </c>
      <c r="B431" s="74" t="s">
        <v>256</v>
      </c>
      <c r="C431" s="74" t="s">
        <v>1530</v>
      </c>
      <c r="D431" s="74" t="s">
        <v>80</v>
      </c>
      <c r="E431" s="74">
        <v>5</v>
      </c>
      <c r="F431" s="74">
        <v>9.32</v>
      </c>
      <c r="G431" s="758">
        <f t="shared" si="24"/>
        <v>0</v>
      </c>
      <c r="H431" s="759">
        <f t="shared" si="25"/>
        <v>0</v>
      </c>
      <c r="I431" s="758">
        <f t="shared" si="26"/>
        <v>1.8640000000000001</v>
      </c>
      <c r="J431" s="760">
        <f t="shared" si="27"/>
        <v>1</v>
      </c>
      <c r="K431" s="74"/>
      <c r="L431" s="74"/>
      <c r="M431" s="74" t="s">
        <v>1854</v>
      </c>
      <c r="N431" s="74">
        <v>0</v>
      </c>
      <c r="O431" s="74">
        <v>0.24</v>
      </c>
      <c r="P431" s="74">
        <v>1</v>
      </c>
    </row>
    <row r="432" spans="1:16">
      <c r="A432" s="74" t="s">
        <v>703</v>
      </c>
      <c r="B432" s="74" t="s">
        <v>256</v>
      </c>
      <c r="C432" s="74" t="s">
        <v>1532</v>
      </c>
      <c r="D432" s="74" t="s">
        <v>80</v>
      </c>
      <c r="E432" s="74">
        <v>5</v>
      </c>
      <c r="F432" s="74">
        <v>9.32</v>
      </c>
      <c r="G432" s="758">
        <f t="shared" si="24"/>
        <v>0</v>
      </c>
      <c r="H432" s="759">
        <f t="shared" si="25"/>
        <v>0</v>
      </c>
      <c r="I432" s="758">
        <f t="shared" si="26"/>
        <v>1.8640000000000001</v>
      </c>
      <c r="J432" s="760">
        <f t="shared" si="27"/>
        <v>1</v>
      </c>
      <c r="K432" s="74"/>
      <c r="L432" s="74"/>
      <c r="M432" s="74" t="s">
        <v>830</v>
      </c>
      <c r="N432" s="74">
        <v>0.88</v>
      </c>
      <c r="O432" s="74">
        <v>0.27</v>
      </c>
      <c r="P432" s="74">
        <v>0.89890000000000003</v>
      </c>
    </row>
    <row r="433" spans="1:16">
      <c r="A433" s="74" t="s">
        <v>703</v>
      </c>
      <c r="B433" s="74" t="s">
        <v>256</v>
      </c>
      <c r="C433" s="74" t="s">
        <v>1511</v>
      </c>
      <c r="D433" s="74" t="s">
        <v>80</v>
      </c>
      <c r="E433" s="74">
        <v>9</v>
      </c>
      <c r="F433" s="74">
        <v>16.59</v>
      </c>
      <c r="G433" s="758">
        <f t="shared" si="24"/>
        <v>0</v>
      </c>
      <c r="H433" s="759">
        <f t="shared" si="25"/>
        <v>0</v>
      </c>
      <c r="I433" s="758">
        <f t="shared" si="26"/>
        <v>1.8433333333333333</v>
      </c>
      <c r="J433" s="760">
        <f t="shared" si="27"/>
        <v>1</v>
      </c>
      <c r="K433" s="74"/>
      <c r="L433" s="74"/>
      <c r="M433" s="74" t="s">
        <v>1855</v>
      </c>
      <c r="N433" s="74">
        <v>0</v>
      </c>
      <c r="O433" s="74">
        <v>0</v>
      </c>
      <c r="P433" s="74">
        <v>0</v>
      </c>
    </row>
    <row r="434" spans="1:16">
      <c r="A434" s="74" t="s">
        <v>703</v>
      </c>
      <c r="B434" s="74" t="s">
        <v>256</v>
      </c>
      <c r="C434" s="74" t="s">
        <v>1512</v>
      </c>
      <c r="D434" s="74" t="s">
        <v>80</v>
      </c>
      <c r="E434" s="74">
        <v>4</v>
      </c>
      <c r="F434" s="74">
        <v>7.5</v>
      </c>
      <c r="G434" s="758">
        <f t="shared" si="24"/>
        <v>0</v>
      </c>
      <c r="H434" s="759">
        <f t="shared" si="25"/>
        <v>0</v>
      </c>
      <c r="I434" s="758">
        <f t="shared" si="26"/>
        <v>1.875</v>
      </c>
      <c r="J434" s="760">
        <f t="shared" si="27"/>
        <v>1</v>
      </c>
      <c r="K434" s="74"/>
      <c r="L434" s="74"/>
      <c r="M434" s="74" t="s">
        <v>1856</v>
      </c>
      <c r="N434" s="74">
        <v>0</v>
      </c>
      <c r="O434" s="74">
        <v>0</v>
      </c>
      <c r="P434" s="74">
        <v>0</v>
      </c>
    </row>
    <row r="435" spans="1:16">
      <c r="A435" s="74" t="s">
        <v>703</v>
      </c>
      <c r="B435" s="74" t="s">
        <v>256</v>
      </c>
      <c r="C435" s="74" t="s">
        <v>1513</v>
      </c>
      <c r="D435" s="74" t="s">
        <v>81</v>
      </c>
      <c r="E435" s="74">
        <v>6</v>
      </c>
      <c r="F435" s="74">
        <v>10.91</v>
      </c>
      <c r="G435" s="758">
        <f t="shared" si="24"/>
        <v>0</v>
      </c>
      <c r="H435" s="759">
        <f t="shared" si="25"/>
        <v>0</v>
      </c>
      <c r="I435" s="758">
        <f t="shared" si="26"/>
        <v>1.8183333333333334</v>
      </c>
      <c r="J435" s="760">
        <f t="shared" si="27"/>
        <v>1</v>
      </c>
      <c r="K435" s="74"/>
      <c r="L435" s="74"/>
      <c r="M435" s="74" t="s">
        <v>1857</v>
      </c>
      <c r="N435" s="74">
        <v>1.44</v>
      </c>
      <c r="O435" s="74">
        <v>0</v>
      </c>
      <c r="P435" s="74">
        <v>0</v>
      </c>
    </row>
    <row r="436" spans="1:16">
      <c r="A436" s="74" t="s">
        <v>703</v>
      </c>
      <c r="B436" s="74" t="s">
        <v>256</v>
      </c>
      <c r="C436" s="74" t="s">
        <v>1514</v>
      </c>
      <c r="D436" s="74" t="s">
        <v>81</v>
      </c>
      <c r="E436" s="74">
        <v>7</v>
      </c>
      <c r="F436" s="74">
        <v>12.73</v>
      </c>
      <c r="G436" s="758">
        <f t="shared" si="24"/>
        <v>0</v>
      </c>
      <c r="H436" s="759">
        <f t="shared" si="25"/>
        <v>0</v>
      </c>
      <c r="I436" s="758">
        <f t="shared" si="26"/>
        <v>1.8185714285714287</v>
      </c>
      <c r="J436" s="760">
        <f t="shared" si="27"/>
        <v>1</v>
      </c>
      <c r="K436" s="74"/>
      <c r="L436" s="74"/>
      <c r="M436" s="74" t="s">
        <v>1858</v>
      </c>
      <c r="N436" s="74">
        <v>0</v>
      </c>
      <c r="O436" s="74">
        <v>0</v>
      </c>
      <c r="P436" s="74">
        <v>0</v>
      </c>
    </row>
    <row r="437" spans="1:16">
      <c r="A437" s="74" t="s">
        <v>703</v>
      </c>
      <c r="B437" s="74" t="s">
        <v>256</v>
      </c>
      <c r="C437" s="74" t="s">
        <v>1515</v>
      </c>
      <c r="D437" s="74" t="s">
        <v>81</v>
      </c>
      <c r="E437" s="74">
        <v>7</v>
      </c>
      <c r="F437" s="74">
        <v>13.41</v>
      </c>
      <c r="G437" s="758">
        <f t="shared" si="24"/>
        <v>0</v>
      </c>
      <c r="H437" s="759">
        <f t="shared" si="25"/>
        <v>0</v>
      </c>
      <c r="I437" s="758">
        <f t="shared" si="26"/>
        <v>1.9157142857142857</v>
      </c>
      <c r="J437" s="760">
        <f t="shared" si="27"/>
        <v>1</v>
      </c>
      <c r="K437" s="74"/>
      <c r="L437" s="74"/>
      <c r="M437" s="74" t="s">
        <v>979</v>
      </c>
      <c r="N437" s="74">
        <v>0</v>
      </c>
      <c r="O437" s="74">
        <v>0</v>
      </c>
      <c r="P437" s="74">
        <v>1</v>
      </c>
    </row>
    <row r="438" spans="1:16">
      <c r="A438" s="74" t="s">
        <v>703</v>
      </c>
      <c r="B438" s="74" t="s">
        <v>256</v>
      </c>
      <c r="C438" s="74" t="s">
        <v>1631</v>
      </c>
      <c r="D438" s="74" t="s">
        <v>92</v>
      </c>
      <c r="E438" s="74">
        <v>1</v>
      </c>
      <c r="F438" s="74">
        <v>2</v>
      </c>
      <c r="G438" s="758">
        <f t="shared" si="24"/>
        <v>0</v>
      </c>
      <c r="H438" s="759">
        <f t="shared" si="25"/>
        <v>0</v>
      </c>
      <c r="I438" s="758">
        <f t="shared" si="26"/>
        <v>2</v>
      </c>
      <c r="J438" s="760">
        <f t="shared" si="27"/>
        <v>1</v>
      </c>
      <c r="K438" s="74"/>
      <c r="L438" s="74"/>
      <c r="M438" s="74" t="s">
        <v>1859</v>
      </c>
      <c r="N438" s="74">
        <v>0</v>
      </c>
      <c r="O438" s="74">
        <v>0</v>
      </c>
      <c r="P438" s="74">
        <v>0</v>
      </c>
    </row>
    <row r="439" spans="1:16">
      <c r="A439" s="74" t="s">
        <v>839</v>
      </c>
      <c r="B439" s="74" t="s">
        <v>264</v>
      </c>
      <c r="C439" s="74" t="s">
        <v>1532</v>
      </c>
      <c r="D439" s="74" t="s">
        <v>80</v>
      </c>
      <c r="E439" s="74">
        <v>1</v>
      </c>
      <c r="F439" s="74">
        <v>0.9</v>
      </c>
      <c r="G439" s="758">
        <f t="shared" si="24"/>
        <v>0</v>
      </c>
      <c r="H439" s="759">
        <f t="shared" si="25"/>
        <v>0.21</v>
      </c>
      <c r="I439" s="758">
        <f t="shared" si="26"/>
        <v>0.9</v>
      </c>
      <c r="J439" s="760">
        <f t="shared" si="27"/>
        <v>1</v>
      </c>
      <c r="K439" s="74"/>
      <c r="L439" s="74"/>
      <c r="M439" s="74" t="s">
        <v>890</v>
      </c>
      <c r="N439" s="74">
        <v>0.59</v>
      </c>
      <c r="O439" s="74">
        <v>0.28000000000000003</v>
      </c>
      <c r="P439" s="74">
        <v>0.79120000000000001</v>
      </c>
    </row>
    <row r="440" spans="1:16">
      <c r="A440" s="74" t="s">
        <v>839</v>
      </c>
      <c r="B440" s="74" t="s">
        <v>264</v>
      </c>
      <c r="C440" s="74" t="s">
        <v>1516</v>
      </c>
      <c r="D440" s="74" t="s">
        <v>82</v>
      </c>
      <c r="E440" s="74">
        <v>1</v>
      </c>
      <c r="F440" s="74">
        <v>0.9</v>
      </c>
      <c r="G440" s="758">
        <f t="shared" si="24"/>
        <v>0</v>
      </c>
      <c r="H440" s="759">
        <f t="shared" si="25"/>
        <v>0.21</v>
      </c>
      <c r="I440" s="758">
        <f t="shared" si="26"/>
        <v>0.9</v>
      </c>
      <c r="J440" s="760">
        <f t="shared" si="27"/>
        <v>1</v>
      </c>
      <c r="K440" s="74"/>
      <c r="L440" s="74"/>
      <c r="M440" s="74" t="s">
        <v>1086</v>
      </c>
      <c r="N440" s="74">
        <v>0.14000000000000001</v>
      </c>
      <c r="O440" s="74">
        <v>0</v>
      </c>
      <c r="P440" s="74">
        <v>0</v>
      </c>
    </row>
    <row r="441" spans="1:16">
      <c r="A441" s="74" t="s">
        <v>839</v>
      </c>
      <c r="B441" s="74" t="s">
        <v>264</v>
      </c>
      <c r="C441" s="74" t="s">
        <v>1610</v>
      </c>
      <c r="D441" s="74" t="s">
        <v>89</v>
      </c>
      <c r="E441" s="74">
        <v>1</v>
      </c>
      <c r="F441" s="74">
        <v>0.9</v>
      </c>
      <c r="G441" s="758">
        <f t="shared" si="24"/>
        <v>0</v>
      </c>
      <c r="H441" s="759">
        <f t="shared" si="25"/>
        <v>0.21</v>
      </c>
      <c r="I441" s="758">
        <f t="shared" si="26"/>
        <v>0.9</v>
      </c>
      <c r="J441" s="760">
        <f t="shared" si="27"/>
        <v>1</v>
      </c>
      <c r="K441" s="74"/>
      <c r="L441" s="74"/>
      <c r="M441" s="74" t="s">
        <v>945</v>
      </c>
      <c r="N441" s="74">
        <v>0.52</v>
      </c>
      <c r="O441" s="74">
        <v>0.28000000000000003</v>
      </c>
      <c r="P441" s="74">
        <v>0.7964</v>
      </c>
    </row>
    <row r="442" spans="1:16">
      <c r="A442" s="74" t="s">
        <v>839</v>
      </c>
      <c r="B442" s="74" t="s">
        <v>264</v>
      </c>
      <c r="C442" s="74" t="s">
        <v>1582</v>
      </c>
      <c r="D442" s="74" t="s">
        <v>89</v>
      </c>
      <c r="E442" s="74">
        <v>1</v>
      </c>
      <c r="F442" s="74">
        <v>0.9</v>
      </c>
      <c r="G442" s="758">
        <f t="shared" si="24"/>
        <v>0</v>
      </c>
      <c r="H442" s="759">
        <f t="shared" si="25"/>
        <v>0.21</v>
      </c>
      <c r="I442" s="758">
        <f t="shared" si="26"/>
        <v>0.9</v>
      </c>
      <c r="J442" s="760">
        <f t="shared" si="27"/>
        <v>1</v>
      </c>
      <c r="K442" s="74"/>
      <c r="L442" s="74"/>
      <c r="M442" s="74" t="s">
        <v>1860</v>
      </c>
      <c r="N442" s="74">
        <v>0</v>
      </c>
      <c r="O442" s="74">
        <v>0</v>
      </c>
      <c r="P442" s="74">
        <v>1</v>
      </c>
    </row>
    <row r="443" spans="1:16">
      <c r="A443" s="74" t="s">
        <v>1861</v>
      </c>
      <c r="B443" s="74" t="s">
        <v>264</v>
      </c>
      <c r="C443" s="74" t="s">
        <v>1541</v>
      </c>
      <c r="D443" s="74" t="s">
        <v>86</v>
      </c>
      <c r="E443" s="74">
        <v>1</v>
      </c>
      <c r="F443" s="74">
        <v>0.9</v>
      </c>
      <c r="G443" s="758">
        <f t="shared" si="24"/>
        <v>0</v>
      </c>
      <c r="H443" s="759">
        <f t="shared" si="25"/>
        <v>0.21</v>
      </c>
      <c r="I443" s="758">
        <f t="shared" si="26"/>
        <v>0.9</v>
      </c>
      <c r="J443" s="760">
        <f t="shared" si="27"/>
        <v>1</v>
      </c>
      <c r="K443" s="74"/>
      <c r="L443" s="74"/>
      <c r="M443" s="74" t="s">
        <v>1862</v>
      </c>
      <c r="N443" s="74">
        <v>0</v>
      </c>
      <c r="O443" s="74">
        <v>0</v>
      </c>
      <c r="P443" s="74">
        <v>0</v>
      </c>
    </row>
    <row r="444" spans="1:16">
      <c r="A444" s="74" t="s">
        <v>1542</v>
      </c>
      <c r="B444" s="74" t="s">
        <v>955</v>
      </c>
      <c r="C444" s="74" t="s">
        <v>1644</v>
      </c>
      <c r="D444" s="74" t="s">
        <v>86</v>
      </c>
      <c r="E444" s="74">
        <v>1</v>
      </c>
      <c r="F444" s="74">
        <v>1.25</v>
      </c>
      <c r="G444" s="758">
        <f t="shared" si="24"/>
        <v>0</v>
      </c>
      <c r="H444" s="759">
        <f t="shared" si="25"/>
        <v>0</v>
      </c>
      <c r="I444" s="758">
        <f t="shared" si="26"/>
        <v>1.25</v>
      </c>
      <c r="J444" s="760">
        <f t="shared" si="27"/>
        <v>1</v>
      </c>
      <c r="K444" s="74"/>
      <c r="L444" s="74"/>
      <c r="M444" s="74" t="s">
        <v>679</v>
      </c>
      <c r="N444" s="74">
        <v>2.34</v>
      </c>
      <c r="O444" s="74">
        <v>0.28000000000000003</v>
      </c>
      <c r="P444" s="74">
        <v>0.76639999999999997</v>
      </c>
    </row>
    <row r="445" spans="1:16">
      <c r="A445" s="74" t="s">
        <v>687</v>
      </c>
      <c r="B445" s="74" t="s">
        <v>253</v>
      </c>
      <c r="C445" s="74" t="s">
        <v>1528</v>
      </c>
      <c r="D445" s="74" t="s">
        <v>78</v>
      </c>
      <c r="E445" s="74">
        <v>16</v>
      </c>
      <c r="F445" s="74">
        <v>46.65</v>
      </c>
      <c r="G445" s="758">
        <f t="shared" si="24"/>
        <v>0.57999999999999996</v>
      </c>
      <c r="H445" s="759">
        <f t="shared" si="25"/>
        <v>0.34</v>
      </c>
      <c r="I445" s="758">
        <f t="shared" si="26"/>
        <v>2.3356249999999998</v>
      </c>
      <c r="J445" s="760">
        <f t="shared" si="27"/>
        <v>0.80107181136120043</v>
      </c>
      <c r="K445" s="74"/>
      <c r="L445" s="74"/>
      <c r="M445" s="74" t="s">
        <v>1863</v>
      </c>
      <c r="N445" s="74">
        <v>0</v>
      </c>
      <c r="O445" s="74">
        <v>0</v>
      </c>
      <c r="P445" s="74">
        <v>1</v>
      </c>
    </row>
    <row r="446" spans="1:16">
      <c r="A446" s="74" t="s">
        <v>687</v>
      </c>
      <c r="B446" s="74" t="s">
        <v>253</v>
      </c>
      <c r="C446" s="74" t="s">
        <v>1508</v>
      </c>
      <c r="D446" s="74" t="s">
        <v>78</v>
      </c>
      <c r="E446" s="74">
        <v>16</v>
      </c>
      <c r="F446" s="74">
        <v>45.92</v>
      </c>
      <c r="G446" s="758">
        <f t="shared" si="24"/>
        <v>0.57999999999999996</v>
      </c>
      <c r="H446" s="759">
        <f t="shared" si="25"/>
        <v>0.34</v>
      </c>
      <c r="I446" s="758">
        <f t="shared" si="26"/>
        <v>2.29</v>
      </c>
      <c r="J446" s="760">
        <f t="shared" si="27"/>
        <v>0.79790940766550522</v>
      </c>
      <c r="K446" s="74"/>
      <c r="L446" s="74"/>
      <c r="M446" s="74" t="s">
        <v>1864</v>
      </c>
      <c r="N446" s="74">
        <v>0</v>
      </c>
      <c r="O446" s="74">
        <v>0</v>
      </c>
      <c r="P446" s="74">
        <v>0</v>
      </c>
    </row>
    <row r="447" spans="1:16">
      <c r="A447" s="74" t="s">
        <v>687</v>
      </c>
      <c r="B447" s="74" t="s">
        <v>253</v>
      </c>
      <c r="C447" s="74" t="s">
        <v>1509</v>
      </c>
      <c r="D447" s="74" t="s">
        <v>78</v>
      </c>
      <c r="E447" s="74">
        <v>22</v>
      </c>
      <c r="F447" s="74">
        <v>64.64</v>
      </c>
      <c r="G447" s="758">
        <f t="shared" si="24"/>
        <v>0.57999999999999996</v>
      </c>
      <c r="H447" s="759">
        <f t="shared" si="25"/>
        <v>0.34</v>
      </c>
      <c r="I447" s="758">
        <f t="shared" si="26"/>
        <v>2.3581818181818179</v>
      </c>
      <c r="J447" s="760">
        <f t="shared" si="27"/>
        <v>0.80259900990099009</v>
      </c>
      <c r="K447" s="74"/>
      <c r="L447" s="74"/>
      <c r="M447" s="74" t="s">
        <v>1865</v>
      </c>
      <c r="N447" s="74">
        <v>0.41</v>
      </c>
      <c r="O447" s="74">
        <v>0</v>
      </c>
      <c r="P447" s="74">
        <v>0</v>
      </c>
    </row>
    <row r="448" spans="1:16">
      <c r="A448" s="74" t="s">
        <v>687</v>
      </c>
      <c r="B448" s="74" t="s">
        <v>253</v>
      </c>
      <c r="C448" s="74" t="s">
        <v>1565</v>
      </c>
      <c r="D448" s="74" t="s">
        <v>78</v>
      </c>
      <c r="E448" s="74">
        <v>19</v>
      </c>
      <c r="F448" s="74">
        <v>53</v>
      </c>
      <c r="G448" s="758">
        <f t="shared" si="24"/>
        <v>0.57999999999999996</v>
      </c>
      <c r="H448" s="759">
        <f t="shared" si="25"/>
        <v>0.34</v>
      </c>
      <c r="I448" s="758">
        <f t="shared" si="26"/>
        <v>2.209473684210526</v>
      </c>
      <c r="J448" s="760">
        <f t="shared" si="27"/>
        <v>0.79207547169811321</v>
      </c>
      <c r="K448" s="74"/>
      <c r="L448" s="74"/>
      <c r="M448" s="74" t="s">
        <v>1866</v>
      </c>
      <c r="N448" s="74">
        <v>0</v>
      </c>
      <c r="O448" s="74">
        <v>0</v>
      </c>
      <c r="P448" s="74">
        <v>0</v>
      </c>
    </row>
    <row r="449" spans="1:16">
      <c r="A449" s="74" t="s">
        <v>687</v>
      </c>
      <c r="B449" s="74" t="s">
        <v>253</v>
      </c>
      <c r="C449" s="74" t="s">
        <v>1530</v>
      </c>
      <c r="D449" s="74" t="s">
        <v>80</v>
      </c>
      <c r="E449" s="74">
        <v>21</v>
      </c>
      <c r="F449" s="74">
        <v>58.11</v>
      </c>
      <c r="G449" s="758">
        <f t="shared" si="24"/>
        <v>0.57999999999999996</v>
      </c>
      <c r="H449" s="759">
        <f t="shared" si="25"/>
        <v>0.34</v>
      </c>
      <c r="I449" s="758">
        <f t="shared" si="26"/>
        <v>2.1871428571428568</v>
      </c>
      <c r="J449" s="760">
        <f t="shared" si="27"/>
        <v>0.7903975219411461</v>
      </c>
      <c r="K449" s="74"/>
      <c r="L449" s="74"/>
      <c r="M449" s="74" t="s">
        <v>1867</v>
      </c>
      <c r="N449" s="74">
        <v>0</v>
      </c>
      <c r="O449" s="74">
        <v>0</v>
      </c>
      <c r="P449" s="74">
        <v>0</v>
      </c>
    </row>
    <row r="450" spans="1:16">
      <c r="A450" s="74" t="s">
        <v>687</v>
      </c>
      <c r="B450" s="74" t="s">
        <v>253</v>
      </c>
      <c r="C450" s="74" t="s">
        <v>1532</v>
      </c>
      <c r="D450" s="74" t="s">
        <v>80</v>
      </c>
      <c r="E450" s="74">
        <v>34</v>
      </c>
      <c r="F450" s="74">
        <v>97.96</v>
      </c>
      <c r="G450" s="758">
        <f t="shared" ref="G450:G513" si="28">IFERROR(VLOOKUP(A450,$M$1:$P$1014,2,FALSE),0)</f>
        <v>0.57999999999999996</v>
      </c>
      <c r="H450" s="759">
        <f t="shared" ref="H450:H513" si="29">IFERROR(VLOOKUP(A450,$M$1:$P$1014,3,FALSE),0)</f>
        <v>0.34</v>
      </c>
      <c r="I450" s="758">
        <f t="shared" ref="I450:I513" si="30">IFERROR(F450/E450-G450,0)</f>
        <v>2.3011764705882349</v>
      </c>
      <c r="J450" s="760">
        <f t="shared" ref="J450:J513" si="31">IFERROR(1-G450*E450/F450,0)</f>
        <v>0.79869334422213145</v>
      </c>
      <c r="K450" s="74"/>
      <c r="L450" s="74"/>
      <c r="M450" s="74" t="s">
        <v>1868</v>
      </c>
      <c r="N450" s="74">
        <v>0</v>
      </c>
      <c r="O450" s="74">
        <v>0</v>
      </c>
      <c r="P450" s="74">
        <v>0</v>
      </c>
    </row>
    <row r="451" spans="1:16">
      <c r="A451" s="74" t="s">
        <v>687</v>
      </c>
      <c r="B451" s="74" t="s">
        <v>253</v>
      </c>
      <c r="C451" s="74" t="s">
        <v>1511</v>
      </c>
      <c r="D451" s="74" t="s">
        <v>80</v>
      </c>
      <c r="E451" s="74">
        <v>24</v>
      </c>
      <c r="F451" s="74">
        <v>68.86</v>
      </c>
      <c r="G451" s="758">
        <f t="shared" si="28"/>
        <v>0.57999999999999996</v>
      </c>
      <c r="H451" s="759">
        <f t="shared" si="29"/>
        <v>0.34</v>
      </c>
      <c r="I451" s="758">
        <f t="shared" si="30"/>
        <v>2.2891666666666666</v>
      </c>
      <c r="J451" s="760">
        <f t="shared" si="31"/>
        <v>0.79785071158873078</v>
      </c>
      <c r="K451" s="74"/>
      <c r="L451" s="74"/>
      <c r="M451" s="74" t="s">
        <v>1869</v>
      </c>
      <c r="N451" s="74">
        <v>0</v>
      </c>
      <c r="O451" s="74">
        <v>0</v>
      </c>
      <c r="P451" s="74">
        <v>0</v>
      </c>
    </row>
    <row r="452" spans="1:16">
      <c r="A452" s="74" t="s">
        <v>687</v>
      </c>
      <c r="B452" s="74" t="s">
        <v>253</v>
      </c>
      <c r="C452" s="74" t="s">
        <v>1512</v>
      </c>
      <c r="D452" s="74" t="s">
        <v>80</v>
      </c>
      <c r="E452" s="74">
        <v>13</v>
      </c>
      <c r="F452" s="74">
        <v>37.85</v>
      </c>
      <c r="G452" s="758">
        <f t="shared" si="28"/>
        <v>0.57999999999999996</v>
      </c>
      <c r="H452" s="759">
        <f t="shared" si="29"/>
        <v>0.34</v>
      </c>
      <c r="I452" s="758">
        <f t="shared" si="30"/>
        <v>2.3315384615384618</v>
      </c>
      <c r="J452" s="760">
        <f t="shared" si="31"/>
        <v>0.80079260237780714</v>
      </c>
      <c r="K452" s="74"/>
      <c r="L452" s="74"/>
      <c r="M452" s="74" t="s">
        <v>1197</v>
      </c>
      <c r="N452" s="74">
        <v>0</v>
      </c>
      <c r="O452" s="74">
        <v>0</v>
      </c>
      <c r="P452" s="74">
        <v>0</v>
      </c>
    </row>
    <row r="453" spans="1:16">
      <c r="A453" s="74" t="s">
        <v>687</v>
      </c>
      <c r="B453" s="74" t="s">
        <v>253</v>
      </c>
      <c r="C453" s="74" t="s">
        <v>1534</v>
      </c>
      <c r="D453" s="74" t="s">
        <v>81</v>
      </c>
      <c r="E453" s="74">
        <v>9</v>
      </c>
      <c r="F453" s="74">
        <v>27.15</v>
      </c>
      <c r="G453" s="758">
        <f t="shared" si="28"/>
        <v>0.57999999999999996</v>
      </c>
      <c r="H453" s="759">
        <f t="shared" si="29"/>
        <v>0.34</v>
      </c>
      <c r="I453" s="758">
        <f t="shared" si="30"/>
        <v>2.4366666666666665</v>
      </c>
      <c r="J453" s="760">
        <f t="shared" si="31"/>
        <v>0.80773480662983421</v>
      </c>
      <c r="K453" s="74"/>
      <c r="L453" s="74"/>
      <c r="M453" s="74" t="s">
        <v>1870</v>
      </c>
      <c r="N453" s="74">
        <v>0</v>
      </c>
      <c r="O453" s="74">
        <v>0</v>
      </c>
      <c r="P453" s="74">
        <v>0</v>
      </c>
    </row>
    <row r="454" spans="1:16">
      <c r="A454" s="74" t="s">
        <v>687</v>
      </c>
      <c r="B454" s="74" t="s">
        <v>253</v>
      </c>
      <c r="C454" s="74" t="s">
        <v>1513</v>
      </c>
      <c r="D454" s="74" t="s">
        <v>81</v>
      </c>
      <c r="E454" s="74">
        <v>17</v>
      </c>
      <c r="F454" s="74">
        <v>54.39</v>
      </c>
      <c r="G454" s="758">
        <f t="shared" si="28"/>
        <v>0.57999999999999996</v>
      </c>
      <c r="H454" s="759">
        <f t="shared" si="29"/>
        <v>0.34</v>
      </c>
      <c r="I454" s="758">
        <f t="shared" si="30"/>
        <v>2.6194117647058821</v>
      </c>
      <c r="J454" s="760">
        <f t="shared" si="31"/>
        <v>0.81871667585953301</v>
      </c>
      <c r="K454" s="74"/>
      <c r="L454" s="74"/>
      <c r="M454" s="74" t="s">
        <v>1871</v>
      </c>
      <c r="N454" s="74">
        <v>0</v>
      </c>
      <c r="O454" s="74">
        <v>0</v>
      </c>
      <c r="P454" s="74">
        <v>0</v>
      </c>
    </row>
    <row r="455" spans="1:16">
      <c r="A455" s="74" t="s">
        <v>687</v>
      </c>
      <c r="B455" s="74" t="s">
        <v>253</v>
      </c>
      <c r="C455" s="74" t="s">
        <v>1514</v>
      </c>
      <c r="D455" s="74" t="s">
        <v>81</v>
      </c>
      <c r="E455" s="74">
        <v>26</v>
      </c>
      <c r="F455" s="74">
        <v>77.19</v>
      </c>
      <c r="G455" s="758">
        <f t="shared" si="28"/>
        <v>0.57999999999999996</v>
      </c>
      <c r="H455" s="759">
        <f t="shared" si="29"/>
        <v>0.34</v>
      </c>
      <c r="I455" s="758">
        <f t="shared" si="30"/>
        <v>2.3888461538461536</v>
      </c>
      <c r="J455" s="760">
        <f t="shared" si="31"/>
        <v>0.8046379064645679</v>
      </c>
      <c r="K455" s="74"/>
      <c r="L455" s="74"/>
      <c r="M455" s="74" t="s">
        <v>1872</v>
      </c>
      <c r="N455" s="74">
        <v>0</v>
      </c>
      <c r="O455" s="74">
        <v>0</v>
      </c>
      <c r="P455" s="74">
        <v>0</v>
      </c>
    </row>
    <row r="456" spans="1:16">
      <c r="A456" s="74" t="s">
        <v>687</v>
      </c>
      <c r="B456" s="74" t="s">
        <v>253</v>
      </c>
      <c r="C456" s="74" t="s">
        <v>1515</v>
      </c>
      <c r="D456" s="74" t="s">
        <v>81</v>
      </c>
      <c r="E456" s="74">
        <v>39</v>
      </c>
      <c r="F456" s="74">
        <v>196.39</v>
      </c>
      <c r="G456" s="758">
        <f t="shared" si="28"/>
        <v>0.57999999999999996</v>
      </c>
      <c r="H456" s="759">
        <f t="shared" si="29"/>
        <v>0.34</v>
      </c>
      <c r="I456" s="758">
        <f t="shared" si="30"/>
        <v>4.4556410256410253</v>
      </c>
      <c r="J456" s="760">
        <f t="shared" si="31"/>
        <v>0.8848210194001731</v>
      </c>
      <c r="K456" s="74"/>
      <c r="L456" s="74"/>
      <c r="M456" s="74" t="s">
        <v>1873</v>
      </c>
      <c r="N456" s="74">
        <v>0</v>
      </c>
      <c r="O456" s="74">
        <v>0</v>
      </c>
      <c r="P456" s="74">
        <v>0</v>
      </c>
    </row>
    <row r="457" spans="1:16">
      <c r="A457" s="74" t="s">
        <v>687</v>
      </c>
      <c r="B457" s="74" t="s">
        <v>253</v>
      </c>
      <c r="C457" s="74" t="s">
        <v>1516</v>
      </c>
      <c r="D457" s="74" t="s">
        <v>82</v>
      </c>
      <c r="E457" s="74">
        <v>26</v>
      </c>
      <c r="F457" s="74">
        <v>315.3</v>
      </c>
      <c r="G457" s="758">
        <f t="shared" si="28"/>
        <v>0.57999999999999996</v>
      </c>
      <c r="H457" s="759">
        <f t="shared" si="29"/>
        <v>0.34</v>
      </c>
      <c r="I457" s="758">
        <f t="shared" si="30"/>
        <v>11.546923076923077</v>
      </c>
      <c r="J457" s="760">
        <f t="shared" si="31"/>
        <v>0.95217253409451319</v>
      </c>
      <c r="K457" s="74"/>
      <c r="L457" s="74"/>
      <c r="M457" s="74" t="s">
        <v>1874</v>
      </c>
      <c r="N457" s="74">
        <v>0</v>
      </c>
      <c r="O457" s="74">
        <v>0</v>
      </c>
      <c r="P457" s="74">
        <v>0</v>
      </c>
    </row>
    <row r="458" spans="1:16">
      <c r="A458" s="74" t="s">
        <v>687</v>
      </c>
      <c r="B458" s="74" t="s">
        <v>253</v>
      </c>
      <c r="C458" s="74" t="s">
        <v>1517</v>
      </c>
      <c r="D458" s="74" t="s">
        <v>82</v>
      </c>
      <c r="E458" s="74">
        <v>19</v>
      </c>
      <c r="F458" s="74">
        <v>58.45</v>
      </c>
      <c r="G458" s="758">
        <f t="shared" si="28"/>
        <v>0.57999999999999996</v>
      </c>
      <c r="H458" s="759">
        <f t="shared" si="29"/>
        <v>0.34</v>
      </c>
      <c r="I458" s="758">
        <f t="shared" si="30"/>
        <v>2.4963157894736843</v>
      </c>
      <c r="J458" s="760">
        <f t="shared" si="31"/>
        <v>0.81146278870829769</v>
      </c>
      <c r="K458" s="74"/>
      <c r="L458" s="74"/>
      <c r="M458" s="74" t="s">
        <v>1875</v>
      </c>
      <c r="N458" s="74">
        <v>0.41</v>
      </c>
      <c r="O458" s="74">
        <v>0.09</v>
      </c>
      <c r="P458" s="74">
        <v>0.91100000000000003</v>
      </c>
    </row>
    <row r="459" spans="1:16">
      <c r="A459" s="74" t="s">
        <v>687</v>
      </c>
      <c r="B459" s="74" t="s">
        <v>253</v>
      </c>
      <c r="C459" s="74" t="s">
        <v>1527</v>
      </c>
      <c r="D459" s="74" t="s">
        <v>82</v>
      </c>
      <c r="E459" s="74">
        <v>12</v>
      </c>
      <c r="F459" s="74">
        <v>36.9</v>
      </c>
      <c r="G459" s="758">
        <f t="shared" si="28"/>
        <v>0.57999999999999996</v>
      </c>
      <c r="H459" s="759">
        <f t="shared" si="29"/>
        <v>0.34</v>
      </c>
      <c r="I459" s="758">
        <f t="shared" si="30"/>
        <v>2.4949999999999997</v>
      </c>
      <c r="J459" s="760">
        <f t="shared" si="31"/>
        <v>0.81138211382113823</v>
      </c>
      <c r="K459" s="74"/>
      <c r="L459" s="74"/>
      <c r="M459" s="74" t="s">
        <v>1876</v>
      </c>
      <c r="N459" s="74">
        <v>2.11</v>
      </c>
      <c r="O459" s="74">
        <v>0</v>
      </c>
      <c r="P459" s="74">
        <v>0</v>
      </c>
    </row>
    <row r="460" spans="1:16">
      <c r="A460" s="74" t="s">
        <v>687</v>
      </c>
      <c r="B460" s="74" t="s">
        <v>253</v>
      </c>
      <c r="C460" s="74" t="s">
        <v>1518</v>
      </c>
      <c r="D460" s="74" t="s">
        <v>82</v>
      </c>
      <c r="E460" s="74">
        <v>20</v>
      </c>
      <c r="F460" s="74">
        <v>97.4</v>
      </c>
      <c r="G460" s="758">
        <f t="shared" si="28"/>
        <v>0.57999999999999996</v>
      </c>
      <c r="H460" s="759">
        <f t="shared" si="29"/>
        <v>0.34</v>
      </c>
      <c r="I460" s="758">
        <f t="shared" si="30"/>
        <v>4.29</v>
      </c>
      <c r="J460" s="760">
        <f t="shared" si="31"/>
        <v>0.8809034907597536</v>
      </c>
      <c r="K460" s="74"/>
      <c r="L460" s="74"/>
      <c r="M460" s="74" t="s">
        <v>1877</v>
      </c>
      <c r="N460" s="74">
        <v>0.46</v>
      </c>
      <c r="O460" s="74">
        <v>0.09</v>
      </c>
      <c r="P460" s="74">
        <v>0.76290000000000002</v>
      </c>
    </row>
    <row r="461" spans="1:16">
      <c r="A461" s="74" t="s">
        <v>687</v>
      </c>
      <c r="B461" s="74" t="s">
        <v>253</v>
      </c>
      <c r="C461" s="74" t="s">
        <v>1519</v>
      </c>
      <c r="D461" s="74" t="s">
        <v>84</v>
      </c>
      <c r="E461" s="74">
        <v>3</v>
      </c>
      <c r="F461" s="74">
        <v>9</v>
      </c>
      <c r="G461" s="758">
        <f t="shared" si="28"/>
        <v>0.57999999999999996</v>
      </c>
      <c r="H461" s="759">
        <f t="shared" si="29"/>
        <v>0.34</v>
      </c>
      <c r="I461" s="758">
        <f t="shared" si="30"/>
        <v>2.42</v>
      </c>
      <c r="J461" s="760">
        <f t="shared" si="31"/>
        <v>0.80666666666666664</v>
      </c>
      <c r="K461" s="74"/>
      <c r="L461" s="74"/>
      <c r="M461" s="74" t="s">
        <v>1878</v>
      </c>
      <c r="N461" s="74">
        <v>0</v>
      </c>
      <c r="O461" s="74">
        <v>0</v>
      </c>
      <c r="P461" s="74">
        <v>0</v>
      </c>
    </row>
    <row r="462" spans="1:16">
      <c r="A462" s="74" t="s">
        <v>687</v>
      </c>
      <c r="B462" s="74" t="s">
        <v>253</v>
      </c>
      <c r="C462" s="74" t="s">
        <v>1520</v>
      </c>
      <c r="D462" s="74" t="s">
        <v>84</v>
      </c>
      <c r="E462" s="74">
        <v>1</v>
      </c>
      <c r="F462" s="74">
        <v>2.95</v>
      </c>
      <c r="G462" s="758">
        <f t="shared" si="28"/>
        <v>0.57999999999999996</v>
      </c>
      <c r="H462" s="759">
        <f t="shared" si="29"/>
        <v>0.34</v>
      </c>
      <c r="I462" s="758">
        <f t="shared" si="30"/>
        <v>2.37</v>
      </c>
      <c r="J462" s="760">
        <f t="shared" si="31"/>
        <v>0.80338983050847457</v>
      </c>
      <c r="K462" s="74"/>
      <c r="L462" s="74"/>
      <c r="M462" s="74" t="s">
        <v>1025</v>
      </c>
      <c r="N462" s="74">
        <v>0</v>
      </c>
      <c r="O462" s="74">
        <v>0</v>
      </c>
      <c r="P462" s="74">
        <v>0</v>
      </c>
    </row>
    <row r="463" spans="1:16">
      <c r="A463" s="74" t="s">
        <v>687</v>
      </c>
      <c r="B463" s="74" t="s">
        <v>253</v>
      </c>
      <c r="C463" s="74" t="s">
        <v>1577</v>
      </c>
      <c r="D463" s="74" t="s">
        <v>84</v>
      </c>
      <c r="E463" s="74">
        <v>1</v>
      </c>
      <c r="F463" s="74">
        <v>2.95</v>
      </c>
      <c r="G463" s="758">
        <f t="shared" si="28"/>
        <v>0.57999999999999996</v>
      </c>
      <c r="H463" s="759">
        <f t="shared" si="29"/>
        <v>0.34</v>
      </c>
      <c r="I463" s="758">
        <f t="shared" si="30"/>
        <v>2.37</v>
      </c>
      <c r="J463" s="760">
        <f t="shared" si="31"/>
        <v>0.80338983050847457</v>
      </c>
      <c r="K463" s="74"/>
      <c r="L463" s="74"/>
      <c r="M463" s="74" t="s">
        <v>1879</v>
      </c>
      <c r="N463" s="74">
        <v>0</v>
      </c>
      <c r="O463" s="74">
        <v>0</v>
      </c>
      <c r="P463" s="74">
        <v>0</v>
      </c>
    </row>
    <row r="464" spans="1:16">
      <c r="A464" s="74" t="s">
        <v>687</v>
      </c>
      <c r="B464" s="74" t="s">
        <v>253</v>
      </c>
      <c r="C464" s="74" t="s">
        <v>1507</v>
      </c>
      <c r="D464" s="74" t="s">
        <v>86</v>
      </c>
      <c r="E464" s="74">
        <v>1</v>
      </c>
      <c r="F464" s="74">
        <v>2.95</v>
      </c>
      <c r="G464" s="758">
        <f t="shared" si="28"/>
        <v>0.57999999999999996</v>
      </c>
      <c r="H464" s="759">
        <f t="shared" si="29"/>
        <v>0.34</v>
      </c>
      <c r="I464" s="758">
        <f t="shared" si="30"/>
        <v>2.37</v>
      </c>
      <c r="J464" s="760">
        <f t="shared" si="31"/>
        <v>0.80338983050847457</v>
      </c>
      <c r="K464" s="74"/>
      <c r="L464" s="74"/>
      <c r="M464" s="74" t="s">
        <v>990</v>
      </c>
      <c r="N464" s="74">
        <v>0</v>
      </c>
      <c r="O464" s="74">
        <v>0</v>
      </c>
      <c r="P464" s="74">
        <v>0</v>
      </c>
    </row>
    <row r="465" spans="1:16">
      <c r="A465" s="74" t="s">
        <v>687</v>
      </c>
      <c r="B465" s="74" t="s">
        <v>253</v>
      </c>
      <c r="C465" s="74" t="s">
        <v>1543</v>
      </c>
      <c r="D465" s="74" t="s">
        <v>87</v>
      </c>
      <c r="E465" s="74">
        <v>8</v>
      </c>
      <c r="F465" s="74">
        <v>24.5</v>
      </c>
      <c r="G465" s="758">
        <f t="shared" si="28"/>
        <v>0.57999999999999996</v>
      </c>
      <c r="H465" s="759">
        <f t="shared" si="29"/>
        <v>0.34</v>
      </c>
      <c r="I465" s="758">
        <f t="shared" si="30"/>
        <v>2.4824999999999999</v>
      </c>
      <c r="J465" s="760">
        <f t="shared" si="31"/>
        <v>0.81061224489795913</v>
      </c>
      <c r="K465" s="74"/>
      <c r="L465" s="74"/>
      <c r="M465" s="74" t="s">
        <v>1880</v>
      </c>
      <c r="N465" s="74">
        <v>0</v>
      </c>
      <c r="O465" s="74">
        <v>0</v>
      </c>
      <c r="P465" s="74">
        <v>0</v>
      </c>
    </row>
    <row r="466" spans="1:16">
      <c r="A466" s="74" t="s">
        <v>687</v>
      </c>
      <c r="B466" s="74" t="s">
        <v>253</v>
      </c>
      <c r="C466" s="74" t="s">
        <v>1605</v>
      </c>
      <c r="D466" s="74" t="s">
        <v>87</v>
      </c>
      <c r="E466" s="74">
        <v>1</v>
      </c>
      <c r="F466" s="74">
        <v>3.1</v>
      </c>
      <c r="G466" s="758">
        <f t="shared" si="28"/>
        <v>0.57999999999999996</v>
      </c>
      <c r="H466" s="759">
        <f t="shared" si="29"/>
        <v>0.34</v>
      </c>
      <c r="I466" s="758">
        <f t="shared" si="30"/>
        <v>2.52</v>
      </c>
      <c r="J466" s="760">
        <f t="shared" si="31"/>
        <v>0.81290322580645169</v>
      </c>
      <c r="K466" s="74"/>
      <c r="L466" s="74"/>
      <c r="M466" s="74" t="s">
        <v>1881</v>
      </c>
      <c r="N466" s="74">
        <v>0</v>
      </c>
      <c r="O466" s="74">
        <v>0</v>
      </c>
      <c r="P466" s="74">
        <v>0</v>
      </c>
    </row>
    <row r="467" spans="1:16">
      <c r="A467" s="74" t="s">
        <v>687</v>
      </c>
      <c r="B467" s="74" t="s">
        <v>253</v>
      </c>
      <c r="C467" s="74" t="s">
        <v>1561</v>
      </c>
      <c r="D467" s="74" t="s">
        <v>87</v>
      </c>
      <c r="E467" s="74">
        <v>2</v>
      </c>
      <c r="F467" s="74">
        <v>6.2</v>
      </c>
      <c r="G467" s="758">
        <f t="shared" si="28"/>
        <v>0.57999999999999996</v>
      </c>
      <c r="H467" s="759">
        <f t="shared" si="29"/>
        <v>0.34</v>
      </c>
      <c r="I467" s="758">
        <f t="shared" si="30"/>
        <v>2.52</v>
      </c>
      <c r="J467" s="760">
        <f t="shared" si="31"/>
        <v>0.81290322580645169</v>
      </c>
      <c r="K467" s="74"/>
      <c r="L467" s="74"/>
      <c r="M467" s="74" t="s">
        <v>1882</v>
      </c>
      <c r="N467" s="74">
        <v>0</v>
      </c>
      <c r="O467" s="74">
        <v>0</v>
      </c>
      <c r="P467" s="74">
        <v>0</v>
      </c>
    </row>
    <row r="468" spans="1:16">
      <c r="A468" s="74" t="s">
        <v>687</v>
      </c>
      <c r="B468" s="74" t="s">
        <v>253</v>
      </c>
      <c r="C468" s="74" t="s">
        <v>1608</v>
      </c>
      <c r="D468" s="74" t="s">
        <v>89</v>
      </c>
      <c r="E468" s="74">
        <v>11</v>
      </c>
      <c r="F468" s="74">
        <v>27.44</v>
      </c>
      <c r="G468" s="758">
        <f t="shared" si="28"/>
        <v>0.57999999999999996</v>
      </c>
      <c r="H468" s="759">
        <f t="shared" si="29"/>
        <v>0.34</v>
      </c>
      <c r="I468" s="758">
        <f t="shared" si="30"/>
        <v>1.9145454545454546</v>
      </c>
      <c r="J468" s="760">
        <f t="shared" si="31"/>
        <v>0.76749271137026243</v>
      </c>
      <c r="K468" s="74"/>
      <c r="L468" s="74"/>
      <c r="M468" s="74" t="s">
        <v>1883</v>
      </c>
      <c r="N468" s="74">
        <v>0</v>
      </c>
      <c r="O468" s="74">
        <v>0</v>
      </c>
      <c r="P468" s="74">
        <v>0</v>
      </c>
    </row>
    <row r="469" spans="1:16">
      <c r="A469" s="74" t="s">
        <v>687</v>
      </c>
      <c r="B469" s="74" t="s">
        <v>253</v>
      </c>
      <c r="C469" s="74" t="s">
        <v>1610</v>
      </c>
      <c r="D469" s="74" t="s">
        <v>89</v>
      </c>
      <c r="E469" s="74">
        <v>3</v>
      </c>
      <c r="F469" s="74">
        <v>9.15</v>
      </c>
      <c r="G469" s="758">
        <f t="shared" si="28"/>
        <v>0.57999999999999996</v>
      </c>
      <c r="H469" s="759">
        <f t="shared" si="29"/>
        <v>0.34</v>
      </c>
      <c r="I469" s="758">
        <f t="shared" si="30"/>
        <v>2.4700000000000002</v>
      </c>
      <c r="J469" s="760">
        <f t="shared" si="31"/>
        <v>0.80983606557377052</v>
      </c>
      <c r="K469" s="74"/>
      <c r="L469" s="74"/>
      <c r="M469" s="74" t="s">
        <v>865</v>
      </c>
      <c r="N469" s="74">
        <v>0</v>
      </c>
      <c r="O469" s="74">
        <v>0.09</v>
      </c>
      <c r="P469" s="74">
        <v>1</v>
      </c>
    </row>
    <row r="470" spans="1:16">
      <c r="A470" s="74" t="s">
        <v>687</v>
      </c>
      <c r="B470" s="74" t="s">
        <v>253</v>
      </c>
      <c r="C470" s="74" t="s">
        <v>1547</v>
      </c>
      <c r="D470" s="74" t="s">
        <v>89</v>
      </c>
      <c r="E470" s="74">
        <v>1</v>
      </c>
      <c r="F470" s="74">
        <v>2.95</v>
      </c>
      <c r="G470" s="758">
        <f t="shared" si="28"/>
        <v>0.57999999999999996</v>
      </c>
      <c r="H470" s="759">
        <f t="shared" si="29"/>
        <v>0.34</v>
      </c>
      <c r="I470" s="758">
        <f t="shared" si="30"/>
        <v>2.37</v>
      </c>
      <c r="J470" s="760">
        <f t="shared" si="31"/>
        <v>0.80338983050847457</v>
      </c>
      <c r="K470" s="74"/>
      <c r="L470" s="74"/>
      <c r="M470" s="74" t="s">
        <v>1042</v>
      </c>
      <c r="N470" s="74">
        <v>3.51</v>
      </c>
      <c r="O470" s="74">
        <v>0.32</v>
      </c>
      <c r="P470" s="74">
        <v>0.73060000000000003</v>
      </c>
    </row>
    <row r="471" spans="1:16">
      <c r="A471" s="74" t="s">
        <v>687</v>
      </c>
      <c r="B471" s="74" t="s">
        <v>253</v>
      </c>
      <c r="C471" s="74" t="s">
        <v>1582</v>
      </c>
      <c r="D471" s="74" t="s">
        <v>89</v>
      </c>
      <c r="E471" s="74">
        <v>1</v>
      </c>
      <c r="F471" s="74">
        <v>2.95</v>
      </c>
      <c r="G471" s="758">
        <f t="shared" si="28"/>
        <v>0.57999999999999996</v>
      </c>
      <c r="H471" s="759">
        <f t="shared" si="29"/>
        <v>0.34</v>
      </c>
      <c r="I471" s="758">
        <f t="shared" si="30"/>
        <v>2.37</v>
      </c>
      <c r="J471" s="760">
        <f t="shared" si="31"/>
        <v>0.80338983050847457</v>
      </c>
      <c r="K471" s="74"/>
      <c r="L471" s="74"/>
      <c r="M471" s="74" t="s">
        <v>1884</v>
      </c>
      <c r="N471" s="74">
        <v>0</v>
      </c>
      <c r="O471" s="74">
        <v>0</v>
      </c>
      <c r="P471" s="74">
        <v>1</v>
      </c>
    </row>
    <row r="472" spans="1:16">
      <c r="A472" s="74" t="s">
        <v>687</v>
      </c>
      <c r="B472" s="74" t="s">
        <v>253</v>
      </c>
      <c r="C472" s="74" t="s">
        <v>1522</v>
      </c>
      <c r="D472" s="74" t="s">
        <v>91</v>
      </c>
      <c r="E472" s="74">
        <v>2</v>
      </c>
      <c r="F472" s="74">
        <v>6.2</v>
      </c>
      <c r="G472" s="758">
        <f t="shared" si="28"/>
        <v>0.57999999999999996</v>
      </c>
      <c r="H472" s="759">
        <f t="shared" si="29"/>
        <v>0.34</v>
      </c>
      <c r="I472" s="758">
        <f t="shared" si="30"/>
        <v>2.52</v>
      </c>
      <c r="J472" s="760">
        <f t="shared" si="31"/>
        <v>0.81290322580645169</v>
      </c>
      <c r="K472" s="74"/>
      <c r="L472" s="74"/>
      <c r="M472" s="74" t="s">
        <v>1885</v>
      </c>
      <c r="N472" s="74">
        <v>0</v>
      </c>
      <c r="O472" s="74">
        <v>0</v>
      </c>
      <c r="P472" s="74">
        <v>0</v>
      </c>
    </row>
    <row r="473" spans="1:16">
      <c r="A473" s="74" t="s">
        <v>687</v>
      </c>
      <c r="B473" s="74" t="s">
        <v>253</v>
      </c>
      <c r="C473" s="74" t="s">
        <v>1584</v>
      </c>
      <c r="D473" s="74" t="s">
        <v>92</v>
      </c>
      <c r="E473" s="74">
        <v>4</v>
      </c>
      <c r="F473" s="74">
        <v>11.8</v>
      </c>
      <c r="G473" s="758">
        <f t="shared" si="28"/>
        <v>0.57999999999999996</v>
      </c>
      <c r="H473" s="759">
        <f t="shared" si="29"/>
        <v>0.34</v>
      </c>
      <c r="I473" s="758">
        <f t="shared" si="30"/>
        <v>2.37</v>
      </c>
      <c r="J473" s="760">
        <f t="shared" si="31"/>
        <v>0.80338983050847457</v>
      </c>
      <c r="K473" s="74"/>
      <c r="L473" s="74"/>
      <c r="M473" s="74" t="s">
        <v>987</v>
      </c>
      <c r="N473" s="74">
        <v>3.77</v>
      </c>
      <c r="O473" s="74">
        <v>1.04</v>
      </c>
      <c r="P473" s="74">
        <v>5.7500000000000002E-2</v>
      </c>
    </row>
    <row r="474" spans="1:16">
      <c r="A474" s="74" t="s">
        <v>687</v>
      </c>
      <c r="B474" s="74" t="s">
        <v>253</v>
      </c>
      <c r="C474" s="74" t="s">
        <v>1614</v>
      </c>
      <c r="D474" s="74" t="s">
        <v>92</v>
      </c>
      <c r="E474" s="74">
        <v>2</v>
      </c>
      <c r="F474" s="74">
        <v>5.9</v>
      </c>
      <c r="G474" s="758">
        <f t="shared" si="28"/>
        <v>0.57999999999999996</v>
      </c>
      <c r="H474" s="759">
        <f t="shared" si="29"/>
        <v>0.34</v>
      </c>
      <c r="I474" s="758">
        <f t="shared" si="30"/>
        <v>2.37</v>
      </c>
      <c r="J474" s="760">
        <f t="shared" si="31"/>
        <v>0.80338983050847457</v>
      </c>
      <c r="K474" s="74"/>
      <c r="L474" s="74"/>
      <c r="M474" s="74" t="s">
        <v>913</v>
      </c>
      <c r="N474" s="74">
        <v>0</v>
      </c>
      <c r="O474" s="74">
        <v>0</v>
      </c>
      <c r="P474" s="74">
        <v>1</v>
      </c>
    </row>
    <row r="475" spans="1:16">
      <c r="A475" s="74" t="s">
        <v>687</v>
      </c>
      <c r="B475" s="74" t="s">
        <v>253</v>
      </c>
      <c r="C475" s="74" t="s">
        <v>1617</v>
      </c>
      <c r="D475" s="74" t="s">
        <v>94</v>
      </c>
      <c r="E475" s="74">
        <v>4</v>
      </c>
      <c r="F475" s="74">
        <v>11.8</v>
      </c>
      <c r="G475" s="758">
        <f t="shared" si="28"/>
        <v>0.57999999999999996</v>
      </c>
      <c r="H475" s="759">
        <f t="shared" si="29"/>
        <v>0.34</v>
      </c>
      <c r="I475" s="758">
        <f t="shared" si="30"/>
        <v>2.37</v>
      </c>
      <c r="J475" s="760">
        <f t="shared" si="31"/>
        <v>0.80338983050847457</v>
      </c>
      <c r="K475" s="74"/>
      <c r="L475" s="74"/>
      <c r="M475" s="74" t="s">
        <v>1886</v>
      </c>
      <c r="N475" s="74">
        <v>0</v>
      </c>
      <c r="O475" s="74">
        <v>0</v>
      </c>
      <c r="P475" s="74">
        <v>1</v>
      </c>
    </row>
    <row r="476" spans="1:16">
      <c r="A476" s="74" t="s">
        <v>687</v>
      </c>
      <c r="B476" s="74" t="s">
        <v>253</v>
      </c>
      <c r="C476" s="74" t="s">
        <v>1557</v>
      </c>
      <c r="D476" s="74" t="s">
        <v>95</v>
      </c>
      <c r="E476" s="74">
        <v>1</v>
      </c>
      <c r="F476" s="74">
        <v>2.95</v>
      </c>
      <c r="G476" s="758">
        <f t="shared" si="28"/>
        <v>0.57999999999999996</v>
      </c>
      <c r="H476" s="759">
        <f t="shared" si="29"/>
        <v>0.34</v>
      </c>
      <c r="I476" s="758">
        <f t="shared" si="30"/>
        <v>2.37</v>
      </c>
      <c r="J476" s="760">
        <f t="shared" si="31"/>
        <v>0.80338983050847457</v>
      </c>
      <c r="K476" s="74"/>
      <c r="L476" s="74"/>
      <c r="M476" s="74" t="s">
        <v>1887</v>
      </c>
      <c r="N476" s="74">
        <v>0</v>
      </c>
      <c r="O476" s="74">
        <v>0</v>
      </c>
      <c r="P476" s="74">
        <v>1</v>
      </c>
    </row>
    <row r="477" spans="1:16">
      <c r="A477" s="74" t="s">
        <v>1888</v>
      </c>
      <c r="B477" s="74" t="s">
        <v>253</v>
      </c>
      <c r="C477" s="74" t="s">
        <v>1631</v>
      </c>
      <c r="D477" s="74" t="s">
        <v>92</v>
      </c>
      <c r="E477" s="74">
        <v>1</v>
      </c>
      <c r="F477" s="74">
        <v>3.1</v>
      </c>
      <c r="G477" s="758">
        <f t="shared" si="28"/>
        <v>0.57999999999999996</v>
      </c>
      <c r="H477" s="759">
        <f t="shared" si="29"/>
        <v>0.34</v>
      </c>
      <c r="I477" s="758">
        <f t="shared" si="30"/>
        <v>2.52</v>
      </c>
      <c r="J477" s="760">
        <f t="shared" si="31"/>
        <v>0.81290322580645169</v>
      </c>
      <c r="K477" s="74"/>
      <c r="L477" s="74"/>
      <c r="M477" s="74" t="s">
        <v>1889</v>
      </c>
      <c r="N477" s="74">
        <v>0</v>
      </c>
      <c r="O477" s="74">
        <v>0</v>
      </c>
      <c r="P477" s="74">
        <v>1</v>
      </c>
    </row>
    <row r="478" spans="1:16">
      <c r="A478" s="74" t="s">
        <v>797</v>
      </c>
      <c r="B478" s="74" t="s">
        <v>253</v>
      </c>
      <c r="C478" s="74" t="s">
        <v>1511</v>
      </c>
      <c r="D478" s="74" t="s">
        <v>80</v>
      </c>
      <c r="E478" s="74">
        <v>4</v>
      </c>
      <c r="F478" s="74">
        <v>12.73</v>
      </c>
      <c r="G478" s="758">
        <f t="shared" si="28"/>
        <v>0</v>
      </c>
      <c r="H478" s="759">
        <f t="shared" si="29"/>
        <v>0</v>
      </c>
      <c r="I478" s="758">
        <f t="shared" si="30"/>
        <v>3.1825000000000001</v>
      </c>
      <c r="J478" s="760">
        <f t="shared" si="31"/>
        <v>1</v>
      </c>
      <c r="K478" s="74"/>
      <c r="L478" s="74"/>
      <c r="M478" s="74" t="s">
        <v>1890</v>
      </c>
      <c r="N478" s="74">
        <v>0</v>
      </c>
      <c r="O478" s="74">
        <v>0</v>
      </c>
      <c r="P478" s="74">
        <v>1</v>
      </c>
    </row>
    <row r="479" spans="1:16">
      <c r="A479" s="74" t="s">
        <v>797</v>
      </c>
      <c r="B479" s="74" t="s">
        <v>253</v>
      </c>
      <c r="C479" s="74" t="s">
        <v>1512</v>
      </c>
      <c r="D479" s="74" t="s">
        <v>80</v>
      </c>
      <c r="E479" s="74">
        <v>3</v>
      </c>
      <c r="F479" s="74">
        <v>9.5500000000000007</v>
      </c>
      <c r="G479" s="758">
        <f t="shared" si="28"/>
        <v>0</v>
      </c>
      <c r="H479" s="759">
        <f t="shared" si="29"/>
        <v>0</v>
      </c>
      <c r="I479" s="758">
        <f t="shared" si="30"/>
        <v>3.1833333333333336</v>
      </c>
      <c r="J479" s="760">
        <f t="shared" si="31"/>
        <v>1</v>
      </c>
      <c r="K479" s="74"/>
      <c r="L479" s="74"/>
      <c r="M479" s="74" t="s">
        <v>1891</v>
      </c>
      <c r="N479" s="74">
        <v>0</v>
      </c>
      <c r="O479" s="74">
        <v>0</v>
      </c>
      <c r="P479" s="74">
        <v>1</v>
      </c>
    </row>
    <row r="480" spans="1:16">
      <c r="A480" s="74" t="s">
        <v>797</v>
      </c>
      <c r="B480" s="74" t="s">
        <v>253</v>
      </c>
      <c r="C480" s="74" t="s">
        <v>1513</v>
      </c>
      <c r="D480" s="74" t="s">
        <v>81</v>
      </c>
      <c r="E480" s="74">
        <v>22</v>
      </c>
      <c r="F480" s="74">
        <v>71.09</v>
      </c>
      <c r="G480" s="758">
        <f t="shared" si="28"/>
        <v>0</v>
      </c>
      <c r="H480" s="759">
        <f t="shared" si="29"/>
        <v>0</v>
      </c>
      <c r="I480" s="758">
        <f t="shared" si="30"/>
        <v>3.2313636363636364</v>
      </c>
      <c r="J480" s="760">
        <f t="shared" si="31"/>
        <v>1</v>
      </c>
      <c r="K480" s="74"/>
      <c r="L480" s="74"/>
      <c r="M480" s="74" t="s">
        <v>1892</v>
      </c>
      <c r="N480" s="74">
        <v>0</v>
      </c>
      <c r="O480" s="74">
        <v>0</v>
      </c>
      <c r="P480" s="74">
        <v>0</v>
      </c>
    </row>
    <row r="481" spans="1:16">
      <c r="A481" s="74" t="s">
        <v>797</v>
      </c>
      <c r="B481" s="74" t="s">
        <v>253</v>
      </c>
      <c r="C481" s="74" t="s">
        <v>1514</v>
      </c>
      <c r="D481" s="74" t="s">
        <v>81</v>
      </c>
      <c r="E481" s="74">
        <v>2</v>
      </c>
      <c r="F481" s="74">
        <v>6.36</v>
      </c>
      <c r="G481" s="758">
        <f t="shared" si="28"/>
        <v>0</v>
      </c>
      <c r="H481" s="759">
        <f t="shared" si="29"/>
        <v>0</v>
      </c>
      <c r="I481" s="758">
        <f t="shared" si="30"/>
        <v>3.18</v>
      </c>
      <c r="J481" s="760">
        <f t="shared" si="31"/>
        <v>1</v>
      </c>
      <c r="K481" s="74"/>
      <c r="L481" s="74"/>
      <c r="M481" s="74" t="s">
        <v>1893</v>
      </c>
      <c r="N481" s="74">
        <v>0</v>
      </c>
      <c r="O481" s="74">
        <v>0</v>
      </c>
      <c r="P481" s="74">
        <v>1</v>
      </c>
    </row>
    <row r="482" spans="1:16">
      <c r="A482" s="74" t="s">
        <v>797</v>
      </c>
      <c r="B482" s="74" t="s">
        <v>253</v>
      </c>
      <c r="C482" s="74" t="s">
        <v>1515</v>
      </c>
      <c r="D482" s="74" t="s">
        <v>81</v>
      </c>
      <c r="E482" s="74">
        <v>1</v>
      </c>
      <c r="F482" s="74">
        <v>3.18</v>
      </c>
      <c r="G482" s="758">
        <f t="shared" si="28"/>
        <v>0</v>
      </c>
      <c r="H482" s="759">
        <f t="shared" si="29"/>
        <v>0</v>
      </c>
      <c r="I482" s="758">
        <f t="shared" si="30"/>
        <v>3.18</v>
      </c>
      <c r="J482" s="760">
        <f t="shared" si="31"/>
        <v>1</v>
      </c>
      <c r="K482" s="74"/>
      <c r="L482" s="74"/>
      <c r="M482" s="74" t="s">
        <v>1894</v>
      </c>
      <c r="N482" s="74">
        <v>0</v>
      </c>
      <c r="O482" s="74">
        <v>0</v>
      </c>
      <c r="P482" s="74">
        <v>1</v>
      </c>
    </row>
    <row r="483" spans="1:16">
      <c r="A483" s="74" t="s">
        <v>1545</v>
      </c>
      <c r="B483" s="74" t="s">
        <v>266</v>
      </c>
      <c r="C483" s="74" t="s">
        <v>1543</v>
      </c>
      <c r="D483" s="74" t="s">
        <v>87</v>
      </c>
      <c r="E483" s="74">
        <v>1</v>
      </c>
      <c r="F483" s="74">
        <v>0</v>
      </c>
      <c r="G483" s="758">
        <f t="shared" si="28"/>
        <v>0</v>
      </c>
      <c r="H483" s="759">
        <f t="shared" si="29"/>
        <v>0</v>
      </c>
      <c r="I483" s="758">
        <f t="shared" si="30"/>
        <v>0</v>
      </c>
      <c r="J483" s="760">
        <f t="shared" si="31"/>
        <v>0</v>
      </c>
      <c r="K483" s="74"/>
      <c r="L483" s="74"/>
      <c r="M483" s="74" t="s">
        <v>1895</v>
      </c>
      <c r="N483" s="74">
        <v>3.77</v>
      </c>
      <c r="O483" s="74">
        <v>0.47</v>
      </c>
      <c r="P483" s="74">
        <v>0.57640000000000002</v>
      </c>
    </row>
    <row r="484" spans="1:16">
      <c r="A484" s="74" t="s">
        <v>708</v>
      </c>
      <c r="B484" s="74" t="s">
        <v>251</v>
      </c>
      <c r="C484" s="74" t="s">
        <v>1528</v>
      </c>
      <c r="D484" s="74" t="s">
        <v>78</v>
      </c>
      <c r="E484" s="74">
        <v>16</v>
      </c>
      <c r="F484" s="74">
        <v>30.47</v>
      </c>
      <c r="G484" s="758">
        <f t="shared" si="28"/>
        <v>0.11</v>
      </c>
      <c r="H484" s="759">
        <f t="shared" si="29"/>
        <v>0.22</v>
      </c>
      <c r="I484" s="758">
        <f t="shared" si="30"/>
        <v>1.7943749999999998</v>
      </c>
      <c r="J484" s="760">
        <f t="shared" si="31"/>
        <v>0.9422382671480144</v>
      </c>
      <c r="K484" s="74"/>
      <c r="L484" s="74"/>
      <c r="M484" s="74" t="s">
        <v>1896</v>
      </c>
      <c r="N484" s="74">
        <v>3.77</v>
      </c>
      <c r="O484" s="74">
        <v>0.47</v>
      </c>
      <c r="P484" s="74">
        <v>0.57640000000000002</v>
      </c>
    </row>
    <row r="485" spans="1:16">
      <c r="A485" s="74" t="s">
        <v>708</v>
      </c>
      <c r="B485" s="74" t="s">
        <v>251</v>
      </c>
      <c r="C485" s="74" t="s">
        <v>1508</v>
      </c>
      <c r="D485" s="74" t="s">
        <v>78</v>
      </c>
      <c r="E485" s="74">
        <v>18</v>
      </c>
      <c r="F485" s="74">
        <v>30.59</v>
      </c>
      <c r="G485" s="758">
        <f t="shared" si="28"/>
        <v>0.11</v>
      </c>
      <c r="H485" s="759">
        <f t="shared" si="29"/>
        <v>0.22</v>
      </c>
      <c r="I485" s="758">
        <f t="shared" si="30"/>
        <v>1.5894444444444444</v>
      </c>
      <c r="J485" s="760">
        <f t="shared" si="31"/>
        <v>0.93527296502124879</v>
      </c>
      <c r="K485" s="74"/>
      <c r="L485" s="74"/>
      <c r="M485" s="74" t="s">
        <v>1897</v>
      </c>
      <c r="N485" s="74">
        <v>0</v>
      </c>
      <c r="O485" s="74">
        <v>0</v>
      </c>
      <c r="P485" s="74">
        <v>0</v>
      </c>
    </row>
    <row r="486" spans="1:16">
      <c r="A486" s="74" t="s">
        <v>708</v>
      </c>
      <c r="B486" s="74" t="s">
        <v>251</v>
      </c>
      <c r="C486" s="74" t="s">
        <v>1509</v>
      </c>
      <c r="D486" s="74" t="s">
        <v>78</v>
      </c>
      <c r="E486" s="74">
        <v>17</v>
      </c>
      <c r="F486" s="74">
        <v>22.82</v>
      </c>
      <c r="G486" s="758">
        <f t="shared" si="28"/>
        <v>0.11</v>
      </c>
      <c r="H486" s="759">
        <f t="shared" si="29"/>
        <v>0.22</v>
      </c>
      <c r="I486" s="758">
        <f t="shared" si="30"/>
        <v>1.2323529411764704</v>
      </c>
      <c r="J486" s="760">
        <f t="shared" si="31"/>
        <v>0.91805433829973704</v>
      </c>
      <c r="K486" s="74"/>
      <c r="L486" s="74"/>
      <c r="M486" s="74" t="s">
        <v>1075</v>
      </c>
      <c r="N486" s="74">
        <v>3.3</v>
      </c>
      <c r="O486" s="74">
        <v>0</v>
      </c>
      <c r="P486" s="74">
        <v>-7.7967000000000004</v>
      </c>
    </row>
    <row r="487" spans="1:16">
      <c r="A487" s="74" t="s">
        <v>708</v>
      </c>
      <c r="B487" s="74" t="s">
        <v>251</v>
      </c>
      <c r="C487" s="74" t="s">
        <v>1565</v>
      </c>
      <c r="D487" s="74" t="s">
        <v>78</v>
      </c>
      <c r="E487" s="74">
        <v>29</v>
      </c>
      <c r="F487" s="74">
        <v>47.92</v>
      </c>
      <c r="G487" s="758">
        <f t="shared" si="28"/>
        <v>0.11</v>
      </c>
      <c r="H487" s="759">
        <f t="shared" si="29"/>
        <v>0.22</v>
      </c>
      <c r="I487" s="758">
        <f t="shared" si="30"/>
        <v>1.5424137931034483</v>
      </c>
      <c r="J487" s="760">
        <f t="shared" si="31"/>
        <v>0.93343071786310516</v>
      </c>
      <c r="K487" s="74"/>
      <c r="L487" s="74"/>
      <c r="M487" s="74" t="s">
        <v>891</v>
      </c>
      <c r="N487" s="74">
        <v>0.03</v>
      </c>
      <c r="O487" s="74">
        <v>0.24</v>
      </c>
      <c r="P487" s="74">
        <v>0.97670000000000001</v>
      </c>
    </row>
    <row r="488" spans="1:16">
      <c r="A488" s="74" t="s">
        <v>708</v>
      </c>
      <c r="B488" s="74" t="s">
        <v>251</v>
      </c>
      <c r="C488" s="74" t="s">
        <v>1530</v>
      </c>
      <c r="D488" s="74" t="s">
        <v>80</v>
      </c>
      <c r="E488" s="74">
        <v>7</v>
      </c>
      <c r="F488" s="74">
        <v>12.9</v>
      </c>
      <c r="G488" s="758">
        <f t="shared" si="28"/>
        <v>0.11</v>
      </c>
      <c r="H488" s="759">
        <f t="shared" si="29"/>
        <v>0.22</v>
      </c>
      <c r="I488" s="758">
        <f t="shared" si="30"/>
        <v>1.7328571428571429</v>
      </c>
      <c r="J488" s="760">
        <f t="shared" si="31"/>
        <v>0.94031007751937989</v>
      </c>
      <c r="K488" s="74"/>
      <c r="L488" s="74"/>
      <c r="M488" s="74" t="s">
        <v>1898</v>
      </c>
      <c r="N488" s="74">
        <v>0</v>
      </c>
      <c r="O488" s="74">
        <v>0</v>
      </c>
      <c r="P488" s="74">
        <v>1</v>
      </c>
    </row>
    <row r="489" spans="1:16">
      <c r="A489" s="74" t="s">
        <v>708</v>
      </c>
      <c r="B489" s="74" t="s">
        <v>251</v>
      </c>
      <c r="C489" s="74" t="s">
        <v>1532</v>
      </c>
      <c r="D489" s="74" t="s">
        <v>80</v>
      </c>
      <c r="E489" s="74">
        <v>20</v>
      </c>
      <c r="F489" s="74">
        <v>30.9</v>
      </c>
      <c r="G489" s="758">
        <f t="shared" si="28"/>
        <v>0.11</v>
      </c>
      <c r="H489" s="759">
        <f t="shared" si="29"/>
        <v>0.22</v>
      </c>
      <c r="I489" s="758">
        <f t="shared" si="30"/>
        <v>1.4349999999999998</v>
      </c>
      <c r="J489" s="760">
        <f t="shared" si="31"/>
        <v>0.92880258899676371</v>
      </c>
      <c r="K489" s="74"/>
      <c r="L489" s="74"/>
      <c r="M489" s="74" t="s">
        <v>1899</v>
      </c>
      <c r="N489" s="74">
        <v>0</v>
      </c>
      <c r="O489" s="74">
        <v>0</v>
      </c>
      <c r="P489" s="74">
        <v>0</v>
      </c>
    </row>
    <row r="490" spans="1:16">
      <c r="A490" s="74" t="s">
        <v>708</v>
      </c>
      <c r="B490" s="74" t="s">
        <v>251</v>
      </c>
      <c r="C490" s="74" t="s">
        <v>1511</v>
      </c>
      <c r="D490" s="74" t="s">
        <v>80</v>
      </c>
      <c r="E490" s="74">
        <v>23</v>
      </c>
      <c r="F490" s="74">
        <v>37.979999999999997</v>
      </c>
      <c r="G490" s="758">
        <f t="shared" si="28"/>
        <v>0.11</v>
      </c>
      <c r="H490" s="759">
        <f t="shared" si="29"/>
        <v>0.22</v>
      </c>
      <c r="I490" s="758">
        <f t="shared" si="30"/>
        <v>1.5413043478260868</v>
      </c>
      <c r="J490" s="760">
        <f t="shared" si="31"/>
        <v>0.93338599262769884</v>
      </c>
      <c r="K490" s="74"/>
      <c r="L490" s="74"/>
      <c r="M490" s="74" t="s">
        <v>1900</v>
      </c>
      <c r="N490" s="74">
        <v>0.83</v>
      </c>
      <c r="O490" s="74">
        <v>0.24</v>
      </c>
      <c r="P490" s="74">
        <v>0.81759999999999999</v>
      </c>
    </row>
    <row r="491" spans="1:16">
      <c r="A491" s="74" t="s">
        <v>708</v>
      </c>
      <c r="B491" s="74" t="s">
        <v>251</v>
      </c>
      <c r="C491" s="74" t="s">
        <v>1512</v>
      </c>
      <c r="D491" s="74" t="s">
        <v>80</v>
      </c>
      <c r="E491" s="74">
        <v>17</v>
      </c>
      <c r="F491" s="74">
        <v>30.11</v>
      </c>
      <c r="G491" s="758">
        <f t="shared" si="28"/>
        <v>0.11</v>
      </c>
      <c r="H491" s="759">
        <f t="shared" si="29"/>
        <v>0.22</v>
      </c>
      <c r="I491" s="758">
        <f t="shared" si="30"/>
        <v>1.6611764705882353</v>
      </c>
      <c r="J491" s="760">
        <f t="shared" si="31"/>
        <v>0.93789438724676188</v>
      </c>
      <c r="K491" s="74"/>
      <c r="L491" s="74"/>
      <c r="M491" s="74" t="s">
        <v>1901</v>
      </c>
      <c r="N491" s="74">
        <v>0</v>
      </c>
      <c r="O491" s="74">
        <v>0</v>
      </c>
      <c r="P491" s="74">
        <v>1</v>
      </c>
    </row>
    <row r="492" spans="1:16">
      <c r="A492" s="74" t="s">
        <v>708</v>
      </c>
      <c r="B492" s="74" t="s">
        <v>251</v>
      </c>
      <c r="C492" s="74" t="s">
        <v>1534</v>
      </c>
      <c r="D492" s="74" t="s">
        <v>81</v>
      </c>
      <c r="E492" s="74">
        <v>7</v>
      </c>
      <c r="F492" s="74">
        <v>13.95</v>
      </c>
      <c r="G492" s="758">
        <f t="shared" si="28"/>
        <v>0.11</v>
      </c>
      <c r="H492" s="759">
        <f t="shared" si="29"/>
        <v>0.22</v>
      </c>
      <c r="I492" s="758">
        <f t="shared" si="30"/>
        <v>1.8828571428571426</v>
      </c>
      <c r="J492" s="760">
        <f t="shared" si="31"/>
        <v>0.94480286738351249</v>
      </c>
      <c r="K492" s="74"/>
      <c r="L492" s="74"/>
      <c r="M492" s="74" t="s">
        <v>1902</v>
      </c>
      <c r="N492" s="74">
        <v>0</v>
      </c>
      <c r="O492" s="74">
        <v>0.24</v>
      </c>
      <c r="P492" s="74">
        <v>1</v>
      </c>
    </row>
    <row r="493" spans="1:16">
      <c r="A493" s="74" t="s">
        <v>708</v>
      </c>
      <c r="B493" s="74" t="s">
        <v>251</v>
      </c>
      <c r="C493" s="74" t="s">
        <v>1513</v>
      </c>
      <c r="D493" s="74" t="s">
        <v>81</v>
      </c>
      <c r="E493" s="74">
        <v>37</v>
      </c>
      <c r="F493" s="74">
        <v>69.7</v>
      </c>
      <c r="G493" s="758">
        <f t="shared" si="28"/>
        <v>0.11</v>
      </c>
      <c r="H493" s="759">
        <f t="shared" si="29"/>
        <v>0.22</v>
      </c>
      <c r="I493" s="758">
        <f t="shared" si="30"/>
        <v>1.7737837837837838</v>
      </c>
      <c r="J493" s="760">
        <f t="shared" si="31"/>
        <v>0.9416068866571019</v>
      </c>
      <c r="K493" s="74"/>
      <c r="L493" s="74"/>
      <c r="M493" s="74" t="s">
        <v>1903</v>
      </c>
      <c r="N493" s="74">
        <v>2.4</v>
      </c>
      <c r="O493" s="74">
        <v>0.88</v>
      </c>
      <c r="P493" s="74">
        <v>0.2</v>
      </c>
    </row>
    <row r="494" spans="1:16">
      <c r="A494" s="74" t="s">
        <v>708</v>
      </c>
      <c r="B494" s="74" t="s">
        <v>251</v>
      </c>
      <c r="C494" s="74" t="s">
        <v>1514</v>
      </c>
      <c r="D494" s="74" t="s">
        <v>81</v>
      </c>
      <c r="E494" s="74">
        <v>25</v>
      </c>
      <c r="F494" s="74">
        <v>41.71</v>
      </c>
      <c r="G494" s="758">
        <f t="shared" si="28"/>
        <v>0.11</v>
      </c>
      <c r="H494" s="759">
        <f t="shared" si="29"/>
        <v>0.22</v>
      </c>
      <c r="I494" s="758">
        <f t="shared" si="30"/>
        <v>1.5584</v>
      </c>
      <c r="J494" s="760">
        <f t="shared" si="31"/>
        <v>0.93406856868856392</v>
      </c>
      <c r="K494" s="74"/>
      <c r="L494" s="74"/>
      <c r="M494" s="74" t="s">
        <v>1904</v>
      </c>
      <c r="N494" s="74">
        <v>2.4</v>
      </c>
      <c r="O494" s="74">
        <v>0.71</v>
      </c>
      <c r="P494" s="74">
        <v>0.69410000000000005</v>
      </c>
    </row>
    <row r="495" spans="1:16">
      <c r="A495" s="74" t="s">
        <v>708</v>
      </c>
      <c r="B495" s="74" t="s">
        <v>251</v>
      </c>
      <c r="C495" s="74" t="s">
        <v>1515</v>
      </c>
      <c r="D495" s="74" t="s">
        <v>81</v>
      </c>
      <c r="E495" s="74">
        <v>25</v>
      </c>
      <c r="F495" s="74">
        <v>105.93</v>
      </c>
      <c r="G495" s="758">
        <f t="shared" si="28"/>
        <v>0.11</v>
      </c>
      <c r="H495" s="759">
        <f t="shared" si="29"/>
        <v>0.22</v>
      </c>
      <c r="I495" s="758">
        <f t="shared" si="30"/>
        <v>4.1272000000000002</v>
      </c>
      <c r="J495" s="760">
        <f t="shared" si="31"/>
        <v>0.97403946002076847</v>
      </c>
      <c r="K495" s="74"/>
      <c r="L495" s="74"/>
      <c r="M495" s="74" t="s">
        <v>1232</v>
      </c>
      <c r="N495" s="74">
        <v>2.4</v>
      </c>
      <c r="O495" s="74">
        <v>0.19</v>
      </c>
      <c r="P495" s="74">
        <v>0.82789999999999997</v>
      </c>
    </row>
    <row r="496" spans="1:16">
      <c r="A496" s="74" t="s">
        <v>708</v>
      </c>
      <c r="B496" s="74" t="s">
        <v>251</v>
      </c>
      <c r="C496" s="74" t="s">
        <v>1516</v>
      </c>
      <c r="D496" s="74" t="s">
        <v>82</v>
      </c>
      <c r="E496" s="74">
        <v>21</v>
      </c>
      <c r="F496" s="74">
        <v>84.35</v>
      </c>
      <c r="G496" s="758">
        <f t="shared" si="28"/>
        <v>0.11</v>
      </c>
      <c r="H496" s="759">
        <f t="shared" si="29"/>
        <v>0.22</v>
      </c>
      <c r="I496" s="758">
        <f t="shared" si="30"/>
        <v>3.9066666666666667</v>
      </c>
      <c r="J496" s="760">
        <f t="shared" si="31"/>
        <v>0.97261410788381741</v>
      </c>
      <c r="K496" s="74"/>
      <c r="L496" s="74"/>
      <c r="M496" s="74" t="s">
        <v>1905</v>
      </c>
      <c r="N496" s="74">
        <v>0</v>
      </c>
      <c r="O496" s="74">
        <v>0</v>
      </c>
      <c r="P496" s="74">
        <v>1</v>
      </c>
    </row>
    <row r="497" spans="1:16">
      <c r="A497" s="74" t="s">
        <v>708</v>
      </c>
      <c r="B497" s="74" t="s">
        <v>251</v>
      </c>
      <c r="C497" s="74" t="s">
        <v>1517</v>
      </c>
      <c r="D497" s="74" t="s">
        <v>82</v>
      </c>
      <c r="E497" s="74">
        <v>13</v>
      </c>
      <c r="F497" s="74">
        <v>25.5</v>
      </c>
      <c r="G497" s="758">
        <f t="shared" si="28"/>
        <v>0.11</v>
      </c>
      <c r="H497" s="759">
        <f t="shared" si="29"/>
        <v>0.22</v>
      </c>
      <c r="I497" s="758">
        <f t="shared" si="30"/>
        <v>1.8515384615384614</v>
      </c>
      <c r="J497" s="760">
        <f t="shared" si="31"/>
        <v>0.94392156862745102</v>
      </c>
      <c r="K497" s="74"/>
      <c r="L497" s="74"/>
      <c r="M497" s="74" t="s">
        <v>1906</v>
      </c>
      <c r="N497" s="74">
        <v>0</v>
      </c>
      <c r="O497" s="74">
        <v>0</v>
      </c>
      <c r="P497" s="74">
        <v>0</v>
      </c>
    </row>
    <row r="498" spans="1:16">
      <c r="A498" s="74" t="s">
        <v>708</v>
      </c>
      <c r="B498" s="74" t="s">
        <v>251</v>
      </c>
      <c r="C498" s="74" t="s">
        <v>1527</v>
      </c>
      <c r="D498" s="74" t="s">
        <v>82</v>
      </c>
      <c r="E498" s="74">
        <v>14</v>
      </c>
      <c r="F498" s="74">
        <v>27.9</v>
      </c>
      <c r="G498" s="758">
        <f t="shared" si="28"/>
        <v>0.11</v>
      </c>
      <c r="H498" s="759">
        <f t="shared" si="29"/>
        <v>0.22</v>
      </c>
      <c r="I498" s="758">
        <f t="shared" si="30"/>
        <v>1.8828571428571426</v>
      </c>
      <c r="J498" s="760">
        <f t="shared" si="31"/>
        <v>0.94480286738351249</v>
      </c>
      <c r="K498" s="74"/>
      <c r="L498" s="74"/>
      <c r="M498" s="74" t="s">
        <v>1006</v>
      </c>
      <c r="N498" s="74">
        <v>0</v>
      </c>
      <c r="O498" s="74">
        <v>0</v>
      </c>
      <c r="P498" s="74">
        <v>1</v>
      </c>
    </row>
    <row r="499" spans="1:16">
      <c r="A499" s="74" t="s">
        <v>708</v>
      </c>
      <c r="B499" s="74" t="s">
        <v>251</v>
      </c>
      <c r="C499" s="74" t="s">
        <v>1518</v>
      </c>
      <c r="D499" s="74" t="s">
        <v>82</v>
      </c>
      <c r="E499" s="74">
        <v>16</v>
      </c>
      <c r="F499" s="74">
        <v>29.7</v>
      </c>
      <c r="G499" s="758">
        <f t="shared" si="28"/>
        <v>0.11</v>
      </c>
      <c r="H499" s="759">
        <f t="shared" si="29"/>
        <v>0.22</v>
      </c>
      <c r="I499" s="758">
        <f t="shared" si="30"/>
        <v>1.7462499999999999</v>
      </c>
      <c r="J499" s="760">
        <f t="shared" si="31"/>
        <v>0.94074074074074077</v>
      </c>
      <c r="K499" s="74"/>
      <c r="L499" s="74"/>
      <c r="M499" s="74" t="s">
        <v>957</v>
      </c>
      <c r="N499" s="74">
        <v>0</v>
      </c>
      <c r="O499" s="74">
        <v>0</v>
      </c>
      <c r="P499" s="74">
        <v>1</v>
      </c>
    </row>
    <row r="500" spans="1:16">
      <c r="A500" s="74" t="s">
        <v>708</v>
      </c>
      <c r="B500" s="74" t="s">
        <v>251</v>
      </c>
      <c r="C500" s="74" t="s">
        <v>1519</v>
      </c>
      <c r="D500" s="74" t="s">
        <v>84</v>
      </c>
      <c r="E500" s="74">
        <v>1</v>
      </c>
      <c r="F500" s="74">
        <v>0</v>
      </c>
      <c r="G500" s="758">
        <f t="shared" si="28"/>
        <v>0.11</v>
      </c>
      <c r="H500" s="759">
        <f t="shared" si="29"/>
        <v>0.22</v>
      </c>
      <c r="I500" s="758">
        <f t="shared" si="30"/>
        <v>-0.11</v>
      </c>
      <c r="J500" s="760">
        <f t="shared" si="31"/>
        <v>0</v>
      </c>
      <c r="K500" s="74"/>
      <c r="L500" s="74"/>
      <c r="M500" s="74" t="s">
        <v>1100</v>
      </c>
      <c r="N500" s="74">
        <v>0</v>
      </c>
      <c r="O500" s="74">
        <v>0</v>
      </c>
      <c r="P500" s="74">
        <v>1</v>
      </c>
    </row>
    <row r="501" spans="1:16">
      <c r="A501" s="74" t="s">
        <v>708</v>
      </c>
      <c r="B501" s="74" t="s">
        <v>251</v>
      </c>
      <c r="C501" s="74" t="s">
        <v>1540</v>
      </c>
      <c r="D501" s="74" t="s">
        <v>84</v>
      </c>
      <c r="E501" s="74">
        <v>1</v>
      </c>
      <c r="F501" s="74">
        <v>1.95</v>
      </c>
      <c r="G501" s="758">
        <f t="shared" si="28"/>
        <v>0.11</v>
      </c>
      <c r="H501" s="759">
        <f t="shared" si="29"/>
        <v>0.22</v>
      </c>
      <c r="I501" s="758">
        <f t="shared" si="30"/>
        <v>1.8399999999999999</v>
      </c>
      <c r="J501" s="760">
        <f t="shared" si="31"/>
        <v>0.94358974358974357</v>
      </c>
      <c r="K501" s="74"/>
      <c r="L501" s="74"/>
      <c r="M501" s="74" t="s">
        <v>1907</v>
      </c>
      <c r="N501" s="74">
        <v>0</v>
      </c>
      <c r="O501" s="74">
        <v>0</v>
      </c>
      <c r="P501" s="74">
        <v>0</v>
      </c>
    </row>
    <row r="502" spans="1:16">
      <c r="A502" s="74" t="s">
        <v>708</v>
      </c>
      <c r="B502" s="74" t="s">
        <v>251</v>
      </c>
      <c r="C502" s="74" t="s">
        <v>1520</v>
      </c>
      <c r="D502" s="74" t="s">
        <v>84</v>
      </c>
      <c r="E502" s="74">
        <v>3</v>
      </c>
      <c r="F502" s="74">
        <v>3.9</v>
      </c>
      <c r="G502" s="758">
        <f t="shared" si="28"/>
        <v>0.11</v>
      </c>
      <c r="H502" s="759">
        <f t="shared" si="29"/>
        <v>0.22</v>
      </c>
      <c r="I502" s="758">
        <f t="shared" si="30"/>
        <v>1.19</v>
      </c>
      <c r="J502" s="760">
        <f t="shared" si="31"/>
        <v>0.91538461538461535</v>
      </c>
      <c r="K502" s="74"/>
      <c r="L502" s="74"/>
      <c r="M502" s="74" t="s">
        <v>1219</v>
      </c>
      <c r="N502" s="74">
        <v>0</v>
      </c>
      <c r="O502" s="74">
        <v>0</v>
      </c>
      <c r="P502" s="74">
        <v>0</v>
      </c>
    </row>
    <row r="503" spans="1:16">
      <c r="A503" s="74" t="s">
        <v>708</v>
      </c>
      <c r="B503" s="74" t="s">
        <v>251</v>
      </c>
      <c r="C503" s="74" t="s">
        <v>1577</v>
      </c>
      <c r="D503" s="74" t="s">
        <v>84</v>
      </c>
      <c r="E503" s="74">
        <v>2</v>
      </c>
      <c r="F503" s="74">
        <v>1.8</v>
      </c>
      <c r="G503" s="758">
        <f t="shared" si="28"/>
        <v>0.11</v>
      </c>
      <c r="H503" s="759">
        <f t="shared" si="29"/>
        <v>0.22</v>
      </c>
      <c r="I503" s="758">
        <f t="shared" si="30"/>
        <v>0.79</v>
      </c>
      <c r="J503" s="760">
        <f t="shared" si="31"/>
        <v>0.87777777777777777</v>
      </c>
      <c r="K503" s="74"/>
      <c r="L503" s="74"/>
      <c r="M503" s="74" t="s">
        <v>1908</v>
      </c>
      <c r="N503" s="74">
        <v>0</v>
      </c>
      <c r="O503" s="74">
        <v>0</v>
      </c>
      <c r="P503" s="74">
        <v>0</v>
      </c>
    </row>
    <row r="504" spans="1:16">
      <c r="A504" s="74" t="s">
        <v>708</v>
      </c>
      <c r="B504" s="74" t="s">
        <v>251</v>
      </c>
      <c r="C504" s="74" t="s">
        <v>1507</v>
      </c>
      <c r="D504" s="74" t="s">
        <v>86</v>
      </c>
      <c r="E504" s="74">
        <v>3</v>
      </c>
      <c r="F504" s="74">
        <v>0</v>
      </c>
      <c r="G504" s="758">
        <f t="shared" si="28"/>
        <v>0.11</v>
      </c>
      <c r="H504" s="759">
        <f t="shared" si="29"/>
        <v>0.22</v>
      </c>
      <c r="I504" s="758">
        <f t="shared" si="30"/>
        <v>-0.11</v>
      </c>
      <c r="J504" s="760">
        <f t="shared" si="31"/>
        <v>0</v>
      </c>
      <c r="K504" s="74"/>
      <c r="L504" s="74"/>
      <c r="M504" s="74" t="s">
        <v>1909</v>
      </c>
      <c r="N504" s="74">
        <v>0</v>
      </c>
      <c r="O504" s="74">
        <v>0</v>
      </c>
      <c r="P504" s="74">
        <v>0</v>
      </c>
    </row>
    <row r="505" spans="1:16">
      <c r="A505" s="74" t="s">
        <v>708</v>
      </c>
      <c r="B505" s="74" t="s">
        <v>251</v>
      </c>
      <c r="C505" s="74" t="s">
        <v>1644</v>
      </c>
      <c r="D505" s="74" t="s">
        <v>86</v>
      </c>
      <c r="E505" s="74">
        <v>2</v>
      </c>
      <c r="F505" s="74">
        <v>0</v>
      </c>
      <c r="G505" s="758">
        <f t="shared" si="28"/>
        <v>0.11</v>
      </c>
      <c r="H505" s="759">
        <f t="shared" si="29"/>
        <v>0.22</v>
      </c>
      <c r="I505" s="758">
        <f t="shared" si="30"/>
        <v>-0.11</v>
      </c>
      <c r="J505" s="760">
        <f t="shared" si="31"/>
        <v>0</v>
      </c>
      <c r="K505" s="74"/>
      <c r="L505" s="74"/>
      <c r="M505" s="74" t="s">
        <v>269</v>
      </c>
      <c r="N505" s="74">
        <v>0</v>
      </c>
      <c r="O505" s="74">
        <v>0.23</v>
      </c>
      <c r="P505" s="74">
        <v>0.97130000000000005</v>
      </c>
    </row>
    <row r="506" spans="1:16">
      <c r="A506" s="74" t="s">
        <v>708</v>
      </c>
      <c r="B506" s="74" t="s">
        <v>251</v>
      </c>
      <c r="C506" s="74" t="s">
        <v>1578</v>
      </c>
      <c r="D506" s="74" t="s">
        <v>86</v>
      </c>
      <c r="E506" s="74">
        <v>2</v>
      </c>
      <c r="F506" s="74">
        <v>1.95</v>
      </c>
      <c r="G506" s="758">
        <f t="shared" si="28"/>
        <v>0.11</v>
      </c>
      <c r="H506" s="759">
        <f t="shared" si="29"/>
        <v>0.22</v>
      </c>
      <c r="I506" s="758">
        <f t="shared" si="30"/>
        <v>0.86499999999999999</v>
      </c>
      <c r="J506" s="760">
        <f t="shared" si="31"/>
        <v>0.88717948717948714</v>
      </c>
      <c r="K506" s="74"/>
      <c r="L506" s="74"/>
      <c r="M506" s="74" t="s">
        <v>1910</v>
      </c>
      <c r="N506" s="74">
        <v>0.65</v>
      </c>
      <c r="O506" s="74">
        <v>0.16</v>
      </c>
      <c r="P506" s="74">
        <v>0.84399999999999997</v>
      </c>
    </row>
    <row r="507" spans="1:16">
      <c r="A507" s="74" t="s">
        <v>708</v>
      </c>
      <c r="B507" s="74" t="s">
        <v>251</v>
      </c>
      <c r="C507" s="74" t="s">
        <v>1646</v>
      </c>
      <c r="D507" s="74" t="s">
        <v>86</v>
      </c>
      <c r="E507" s="74">
        <v>4</v>
      </c>
      <c r="F507" s="74">
        <v>8.1</v>
      </c>
      <c r="G507" s="758">
        <f t="shared" si="28"/>
        <v>0.11</v>
      </c>
      <c r="H507" s="759">
        <f t="shared" si="29"/>
        <v>0.22</v>
      </c>
      <c r="I507" s="758">
        <f t="shared" si="30"/>
        <v>1.9149999999999998</v>
      </c>
      <c r="J507" s="760">
        <f t="shared" si="31"/>
        <v>0.94567901234567897</v>
      </c>
      <c r="K507" s="74"/>
      <c r="L507" s="74"/>
      <c r="M507" s="74" t="s">
        <v>1911</v>
      </c>
      <c r="N507" s="74">
        <v>0.65</v>
      </c>
      <c r="O507" s="74">
        <v>0</v>
      </c>
      <c r="P507" s="74">
        <v>0</v>
      </c>
    </row>
    <row r="508" spans="1:16">
      <c r="A508" s="74" t="s">
        <v>708</v>
      </c>
      <c r="B508" s="74" t="s">
        <v>251</v>
      </c>
      <c r="C508" s="74" t="s">
        <v>1541</v>
      </c>
      <c r="D508" s="74" t="s">
        <v>86</v>
      </c>
      <c r="E508" s="74">
        <v>4</v>
      </c>
      <c r="F508" s="74">
        <v>3.9</v>
      </c>
      <c r="G508" s="758">
        <f t="shared" si="28"/>
        <v>0.11</v>
      </c>
      <c r="H508" s="759">
        <f t="shared" si="29"/>
        <v>0.22</v>
      </c>
      <c r="I508" s="758">
        <f t="shared" si="30"/>
        <v>0.86499999999999999</v>
      </c>
      <c r="J508" s="760">
        <f t="shared" si="31"/>
        <v>0.88717948717948714</v>
      </c>
      <c r="K508" s="74"/>
      <c r="L508" s="74"/>
      <c r="M508" s="74" t="s">
        <v>1198</v>
      </c>
      <c r="N508" s="74">
        <v>0.53</v>
      </c>
      <c r="O508" s="74">
        <v>0.17</v>
      </c>
      <c r="P508" s="74">
        <v>0.87770000000000004</v>
      </c>
    </row>
    <row r="509" spans="1:16">
      <c r="A509" s="74" t="s">
        <v>708</v>
      </c>
      <c r="B509" s="74" t="s">
        <v>251</v>
      </c>
      <c r="C509" s="74" t="s">
        <v>1543</v>
      </c>
      <c r="D509" s="74" t="s">
        <v>87</v>
      </c>
      <c r="E509" s="74">
        <v>10</v>
      </c>
      <c r="F509" s="74">
        <v>9.9</v>
      </c>
      <c r="G509" s="758">
        <f t="shared" si="28"/>
        <v>0.11</v>
      </c>
      <c r="H509" s="759">
        <f t="shared" si="29"/>
        <v>0.22</v>
      </c>
      <c r="I509" s="758">
        <f t="shared" si="30"/>
        <v>0.88</v>
      </c>
      <c r="J509" s="760">
        <f t="shared" si="31"/>
        <v>0.88888888888888884</v>
      </c>
      <c r="K509" s="74"/>
      <c r="L509" s="74"/>
      <c r="M509" s="74" t="s">
        <v>1008</v>
      </c>
      <c r="N509" s="74">
        <v>0</v>
      </c>
      <c r="O509" s="74">
        <v>0</v>
      </c>
      <c r="P509" s="74">
        <v>1</v>
      </c>
    </row>
    <row r="510" spans="1:16">
      <c r="A510" s="74" t="s">
        <v>708</v>
      </c>
      <c r="B510" s="74" t="s">
        <v>251</v>
      </c>
      <c r="C510" s="74" t="s">
        <v>1544</v>
      </c>
      <c r="D510" s="74" t="s">
        <v>87</v>
      </c>
      <c r="E510" s="74">
        <v>6</v>
      </c>
      <c r="F510" s="74">
        <v>9.75</v>
      </c>
      <c r="G510" s="758">
        <f t="shared" si="28"/>
        <v>0.11</v>
      </c>
      <c r="H510" s="759">
        <f t="shared" si="29"/>
        <v>0.22</v>
      </c>
      <c r="I510" s="758">
        <f t="shared" si="30"/>
        <v>1.5149999999999999</v>
      </c>
      <c r="J510" s="760">
        <f t="shared" si="31"/>
        <v>0.93230769230769228</v>
      </c>
      <c r="K510" s="74"/>
      <c r="L510" s="74"/>
      <c r="M510" s="74" t="s">
        <v>1912</v>
      </c>
      <c r="N510" s="74">
        <v>0.26</v>
      </c>
      <c r="O510" s="74">
        <v>0.17</v>
      </c>
      <c r="P510" s="74">
        <v>0.8448</v>
      </c>
    </row>
    <row r="511" spans="1:16">
      <c r="A511" s="74" t="s">
        <v>708</v>
      </c>
      <c r="B511" s="74" t="s">
        <v>251</v>
      </c>
      <c r="C511" s="74" t="s">
        <v>1605</v>
      </c>
      <c r="D511" s="74" t="s">
        <v>87</v>
      </c>
      <c r="E511" s="74">
        <v>4</v>
      </c>
      <c r="F511" s="74">
        <v>6</v>
      </c>
      <c r="G511" s="758">
        <f t="shared" si="28"/>
        <v>0.11</v>
      </c>
      <c r="H511" s="759">
        <f t="shared" si="29"/>
        <v>0.22</v>
      </c>
      <c r="I511" s="758">
        <f t="shared" si="30"/>
        <v>1.39</v>
      </c>
      <c r="J511" s="760">
        <f t="shared" si="31"/>
        <v>0.92666666666666664</v>
      </c>
      <c r="K511" s="74"/>
      <c r="L511" s="74"/>
      <c r="M511" s="74" t="s">
        <v>763</v>
      </c>
      <c r="N511" s="74">
        <v>0</v>
      </c>
      <c r="O511" s="74">
        <v>0</v>
      </c>
      <c r="P511" s="74">
        <v>1</v>
      </c>
    </row>
    <row r="512" spans="1:16">
      <c r="A512" s="74" t="s">
        <v>708</v>
      </c>
      <c r="B512" s="74" t="s">
        <v>251</v>
      </c>
      <c r="C512" s="74" t="s">
        <v>1561</v>
      </c>
      <c r="D512" s="74" t="s">
        <v>87</v>
      </c>
      <c r="E512" s="74">
        <v>3</v>
      </c>
      <c r="F512" s="74">
        <v>2.1</v>
      </c>
      <c r="G512" s="758">
        <f t="shared" si="28"/>
        <v>0.11</v>
      </c>
      <c r="H512" s="759">
        <f t="shared" si="29"/>
        <v>0.22</v>
      </c>
      <c r="I512" s="758">
        <f t="shared" si="30"/>
        <v>0.59000000000000008</v>
      </c>
      <c r="J512" s="760">
        <f t="shared" si="31"/>
        <v>0.84285714285714286</v>
      </c>
      <c r="K512" s="74"/>
      <c r="L512" s="74"/>
      <c r="M512" s="74" t="s">
        <v>1913</v>
      </c>
      <c r="N512" s="74">
        <v>0</v>
      </c>
      <c r="O512" s="74">
        <v>0</v>
      </c>
      <c r="P512" s="74">
        <v>0</v>
      </c>
    </row>
    <row r="513" spans="1:16">
      <c r="A513" s="74" t="s">
        <v>708</v>
      </c>
      <c r="B513" s="74" t="s">
        <v>251</v>
      </c>
      <c r="C513" s="74" t="s">
        <v>1608</v>
      </c>
      <c r="D513" s="74" t="s">
        <v>89</v>
      </c>
      <c r="E513" s="74">
        <v>6</v>
      </c>
      <c r="F513" s="74">
        <v>7.95</v>
      </c>
      <c r="G513" s="758">
        <f t="shared" si="28"/>
        <v>0.11</v>
      </c>
      <c r="H513" s="759">
        <f t="shared" si="29"/>
        <v>0.22</v>
      </c>
      <c r="I513" s="758">
        <f t="shared" si="30"/>
        <v>1.2149999999999999</v>
      </c>
      <c r="J513" s="760">
        <f t="shared" si="31"/>
        <v>0.91698113207547172</v>
      </c>
      <c r="K513" s="74"/>
      <c r="L513" s="74"/>
      <c r="M513" s="74" t="s">
        <v>1914</v>
      </c>
      <c r="N513" s="74">
        <v>0</v>
      </c>
      <c r="O513" s="74">
        <v>0</v>
      </c>
      <c r="P513" s="74">
        <v>0</v>
      </c>
    </row>
    <row r="514" spans="1:16">
      <c r="A514" s="74" t="s">
        <v>708</v>
      </c>
      <c r="B514" s="74" t="s">
        <v>251</v>
      </c>
      <c r="C514" s="74" t="s">
        <v>1610</v>
      </c>
      <c r="D514" s="74" t="s">
        <v>89</v>
      </c>
      <c r="E514" s="74">
        <v>2</v>
      </c>
      <c r="F514" s="74">
        <v>3.9</v>
      </c>
      <c r="G514" s="758">
        <f t="shared" ref="G514:G577" si="32">IFERROR(VLOOKUP(A514,$M$1:$P$1014,2,FALSE),0)</f>
        <v>0.11</v>
      </c>
      <c r="H514" s="759">
        <f t="shared" ref="H514:H577" si="33">IFERROR(VLOOKUP(A514,$M$1:$P$1014,3,FALSE),0)</f>
        <v>0.22</v>
      </c>
      <c r="I514" s="758">
        <f t="shared" ref="I514:I577" si="34">IFERROR(F514/E514-G514,0)</f>
        <v>1.8399999999999999</v>
      </c>
      <c r="J514" s="760">
        <f t="shared" ref="J514:J577" si="35">IFERROR(1-G514*E514/F514,0)</f>
        <v>0.94358974358974357</v>
      </c>
      <c r="K514" s="74"/>
      <c r="L514" s="74"/>
      <c r="M514" s="74" t="s">
        <v>1915</v>
      </c>
      <c r="N514" s="74">
        <v>0</v>
      </c>
      <c r="O514" s="74">
        <v>0</v>
      </c>
      <c r="P514" s="74">
        <v>0</v>
      </c>
    </row>
    <row r="515" spans="1:16">
      <c r="A515" s="74" t="s">
        <v>708</v>
      </c>
      <c r="B515" s="74" t="s">
        <v>251</v>
      </c>
      <c r="C515" s="74" t="s">
        <v>1546</v>
      </c>
      <c r="D515" s="74" t="s">
        <v>89</v>
      </c>
      <c r="E515" s="74">
        <v>1</v>
      </c>
      <c r="F515" s="74">
        <v>0</v>
      </c>
      <c r="G515" s="758">
        <f t="shared" si="32"/>
        <v>0.11</v>
      </c>
      <c r="H515" s="759">
        <f t="shared" si="33"/>
        <v>0.22</v>
      </c>
      <c r="I515" s="758">
        <f t="shared" si="34"/>
        <v>-0.11</v>
      </c>
      <c r="J515" s="760">
        <f t="shared" si="35"/>
        <v>0</v>
      </c>
      <c r="K515" s="74"/>
      <c r="L515" s="74"/>
      <c r="M515" s="74" t="s">
        <v>1916</v>
      </c>
      <c r="N515" s="74">
        <v>0</v>
      </c>
      <c r="O515" s="74">
        <v>0</v>
      </c>
      <c r="P515" s="74">
        <v>0</v>
      </c>
    </row>
    <row r="516" spans="1:16">
      <c r="A516" s="74" t="s">
        <v>708</v>
      </c>
      <c r="B516" s="74" t="s">
        <v>251</v>
      </c>
      <c r="C516" s="74" t="s">
        <v>1547</v>
      </c>
      <c r="D516" s="74" t="s">
        <v>89</v>
      </c>
      <c r="E516" s="74">
        <v>2</v>
      </c>
      <c r="F516" s="74">
        <v>1.95</v>
      </c>
      <c r="G516" s="758">
        <f t="shared" si="32"/>
        <v>0.11</v>
      </c>
      <c r="H516" s="759">
        <f t="shared" si="33"/>
        <v>0.22</v>
      </c>
      <c r="I516" s="758">
        <f t="shared" si="34"/>
        <v>0.86499999999999999</v>
      </c>
      <c r="J516" s="760">
        <f t="shared" si="35"/>
        <v>0.88717948717948714</v>
      </c>
      <c r="K516" s="74"/>
      <c r="L516" s="74"/>
      <c r="M516" s="74" t="s">
        <v>1917</v>
      </c>
      <c r="N516" s="74">
        <v>0</v>
      </c>
      <c r="O516" s="74">
        <v>0</v>
      </c>
      <c r="P516" s="74">
        <v>0</v>
      </c>
    </row>
    <row r="517" spans="1:16">
      <c r="A517" s="74" t="s">
        <v>708</v>
      </c>
      <c r="B517" s="74" t="s">
        <v>251</v>
      </c>
      <c r="C517" s="74" t="s">
        <v>1582</v>
      </c>
      <c r="D517" s="74" t="s">
        <v>89</v>
      </c>
      <c r="E517" s="74">
        <v>3</v>
      </c>
      <c r="F517" s="74">
        <v>1.95</v>
      </c>
      <c r="G517" s="758">
        <f t="shared" si="32"/>
        <v>0.11</v>
      </c>
      <c r="H517" s="759">
        <f t="shared" si="33"/>
        <v>0.22</v>
      </c>
      <c r="I517" s="758">
        <f t="shared" si="34"/>
        <v>0.54</v>
      </c>
      <c r="J517" s="760">
        <f t="shared" si="35"/>
        <v>0.8307692307692307</v>
      </c>
      <c r="K517" s="74"/>
      <c r="L517" s="74"/>
      <c r="M517" s="74" t="s">
        <v>1918</v>
      </c>
      <c r="N517" s="74">
        <v>2.35</v>
      </c>
      <c r="O517" s="74">
        <v>0</v>
      </c>
      <c r="P517" s="74">
        <v>0</v>
      </c>
    </row>
    <row r="518" spans="1:16">
      <c r="A518" s="74" t="s">
        <v>708</v>
      </c>
      <c r="B518" s="74" t="s">
        <v>251</v>
      </c>
      <c r="C518" s="74" t="s">
        <v>1522</v>
      </c>
      <c r="D518" s="74" t="s">
        <v>91</v>
      </c>
      <c r="E518" s="74">
        <v>5</v>
      </c>
      <c r="F518" s="74">
        <v>1.95</v>
      </c>
      <c r="G518" s="758">
        <f t="shared" si="32"/>
        <v>0.11</v>
      </c>
      <c r="H518" s="759">
        <f t="shared" si="33"/>
        <v>0.22</v>
      </c>
      <c r="I518" s="758">
        <f t="shared" si="34"/>
        <v>0.28000000000000003</v>
      </c>
      <c r="J518" s="760">
        <f t="shared" si="35"/>
        <v>0.71794871794871784</v>
      </c>
      <c r="K518" s="74"/>
      <c r="L518" s="74"/>
      <c r="M518" s="74" t="s">
        <v>1919</v>
      </c>
      <c r="N518" s="74">
        <v>0</v>
      </c>
      <c r="O518" s="74">
        <v>0</v>
      </c>
      <c r="P518" s="74">
        <v>0</v>
      </c>
    </row>
    <row r="519" spans="1:16">
      <c r="A519" s="74" t="s">
        <v>708</v>
      </c>
      <c r="B519" s="74" t="s">
        <v>251</v>
      </c>
      <c r="C519" s="74" t="s">
        <v>1550</v>
      </c>
      <c r="D519" s="74" t="s">
        <v>91</v>
      </c>
      <c r="E519" s="74">
        <v>8</v>
      </c>
      <c r="F519" s="74">
        <v>1.95</v>
      </c>
      <c r="G519" s="758">
        <f t="shared" si="32"/>
        <v>0.11</v>
      </c>
      <c r="H519" s="759">
        <f t="shared" si="33"/>
        <v>0.22</v>
      </c>
      <c r="I519" s="758">
        <f t="shared" si="34"/>
        <v>0.13374999999999998</v>
      </c>
      <c r="J519" s="760">
        <f t="shared" si="35"/>
        <v>0.54871794871794877</v>
      </c>
      <c r="K519" s="74"/>
      <c r="L519" s="74"/>
      <c r="M519" s="74" t="s">
        <v>1920</v>
      </c>
      <c r="N519" s="74">
        <v>0</v>
      </c>
      <c r="O519" s="74">
        <v>0</v>
      </c>
      <c r="P519" s="74">
        <v>1</v>
      </c>
    </row>
    <row r="520" spans="1:16">
      <c r="A520" s="74" t="s">
        <v>708</v>
      </c>
      <c r="B520" s="74" t="s">
        <v>251</v>
      </c>
      <c r="C520" s="74" t="s">
        <v>1675</v>
      </c>
      <c r="D520" s="74" t="s">
        <v>91</v>
      </c>
      <c r="E520" s="74">
        <v>2</v>
      </c>
      <c r="F520" s="74">
        <v>2.1</v>
      </c>
      <c r="G520" s="758">
        <f t="shared" si="32"/>
        <v>0.11</v>
      </c>
      <c r="H520" s="759">
        <f t="shared" si="33"/>
        <v>0.22</v>
      </c>
      <c r="I520" s="758">
        <f t="shared" si="34"/>
        <v>0.94000000000000006</v>
      </c>
      <c r="J520" s="760">
        <f t="shared" si="35"/>
        <v>0.89523809523809528</v>
      </c>
      <c r="K520" s="74"/>
      <c r="L520" s="74"/>
      <c r="M520" s="74" t="s">
        <v>1921</v>
      </c>
      <c r="N520" s="74">
        <v>0</v>
      </c>
      <c r="O520" s="74">
        <v>0</v>
      </c>
      <c r="P520" s="74">
        <v>1</v>
      </c>
    </row>
    <row r="521" spans="1:16">
      <c r="A521" s="74" t="s">
        <v>708</v>
      </c>
      <c r="B521" s="74" t="s">
        <v>251</v>
      </c>
      <c r="C521" s="74" t="s">
        <v>1524</v>
      </c>
      <c r="D521" s="74" t="s">
        <v>91</v>
      </c>
      <c r="E521" s="74">
        <v>2</v>
      </c>
      <c r="F521" s="74">
        <v>1.95</v>
      </c>
      <c r="G521" s="758">
        <f t="shared" si="32"/>
        <v>0.11</v>
      </c>
      <c r="H521" s="759">
        <f t="shared" si="33"/>
        <v>0.22</v>
      </c>
      <c r="I521" s="758">
        <f t="shared" si="34"/>
        <v>0.86499999999999999</v>
      </c>
      <c r="J521" s="760">
        <f t="shared" si="35"/>
        <v>0.88717948717948714</v>
      </c>
      <c r="K521" s="74"/>
      <c r="L521" s="74"/>
      <c r="M521" s="74" t="s">
        <v>1922</v>
      </c>
      <c r="N521" s="74">
        <v>1.3</v>
      </c>
      <c r="O521" s="74">
        <v>0</v>
      </c>
      <c r="P521" s="74">
        <v>0</v>
      </c>
    </row>
    <row r="522" spans="1:16">
      <c r="A522" s="74" t="s">
        <v>708</v>
      </c>
      <c r="B522" s="74" t="s">
        <v>251</v>
      </c>
      <c r="C522" s="74" t="s">
        <v>1584</v>
      </c>
      <c r="D522" s="74" t="s">
        <v>92</v>
      </c>
      <c r="E522" s="74">
        <v>3</v>
      </c>
      <c r="F522" s="74">
        <v>6.15</v>
      </c>
      <c r="G522" s="758">
        <f t="shared" si="32"/>
        <v>0.11</v>
      </c>
      <c r="H522" s="759">
        <f t="shared" si="33"/>
        <v>0.22</v>
      </c>
      <c r="I522" s="758">
        <f t="shared" si="34"/>
        <v>1.9400000000000002</v>
      </c>
      <c r="J522" s="760">
        <f t="shared" si="35"/>
        <v>0.9463414634146341</v>
      </c>
      <c r="K522" s="74"/>
      <c r="L522" s="74"/>
      <c r="M522" s="74" t="s">
        <v>1923</v>
      </c>
      <c r="N522" s="74">
        <v>0.49</v>
      </c>
      <c r="O522" s="74">
        <v>0.06</v>
      </c>
      <c r="P522" s="74">
        <v>0.9698</v>
      </c>
    </row>
    <row r="523" spans="1:16">
      <c r="A523" s="74" t="s">
        <v>708</v>
      </c>
      <c r="B523" s="74" t="s">
        <v>251</v>
      </c>
      <c r="C523" s="74" t="s">
        <v>1614</v>
      </c>
      <c r="D523" s="74" t="s">
        <v>92</v>
      </c>
      <c r="E523" s="74">
        <v>2</v>
      </c>
      <c r="F523" s="74">
        <v>1.95</v>
      </c>
      <c r="G523" s="758">
        <f t="shared" si="32"/>
        <v>0.11</v>
      </c>
      <c r="H523" s="759">
        <f t="shared" si="33"/>
        <v>0.22</v>
      </c>
      <c r="I523" s="758">
        <f t="shared" si="34"/>
        <v>0.86499999999999999</v>
      </c>
      <c r="J523" s="760">
        <f t="shared" si="35"/>
        <v>0.88717948717948714</v>
      </c>
      <c r="K523" s="74"/>
      <c r="L523" s="74"/>
      <c r="M523" s="74" t="s">
        <v>1924</v>
      </c>
      <c r="N523" s="74">
        <v>0</v>
      </c>
      <c r="O523" s="74">
        <v>0</v>
      </c>
      <c r="P523" s="74">
        <v>0</v>
      </c>
    </row>
    <row r="524" spans="1:16">
      <c r="A524" s="74" t="s">
        <v>708</v>
      </c>
      <c r="B524" s="74" t="s">
        <v>251</v>
      </c>
      <c r="C524" s="74" t="s">
        <v>1631</v>
      </c>
      <c r="D524" s="74" t="s">
        <v>92</v>
      </c>
      <c r="E524" s="74">
        <v>5</v>
      </c>
      <c r="F524" s="74">
        <v>0</v>
      </c>
      <c r="G524" s="758">
        <f t="shared" si="32"/>
        <v>0.11</v>
      </c>
      <c r="H524" s="759">
        <f t="shared" si="33"/>
        <v>0.22</v>
      </c>
      <c r="I524" s="758">
        <f t="shared" si="34"/>
        <v>-0.11</v>
      </c>
      <c r="J524" s="760">
        <f t="shared" si="35"/>
        <v>0</v>
      </c>
      <c r="K524" s="74"/>
      <c r="L524" s="74"/>
      <c r="M524" s="74" t="s">
        <v>1925</v>
      </c>
      <c r="N524" s="74">
        <v>0.49</v>
      </c>
      <c r="O524" s="74">
        <v>0</v>
      </c>
      <c r="P524" s="74">
        <v>0</v>
      </c>
    </row>
    <row r="525" spans="1:16">
      <c r="A525" s="74" t="s">
        <v>708</v>
      </c>
      <c r="B525" s="74" t="s">
        <v>251</v>
      </c>
      <c r="C525" s="74" t="s">
        <v>1552</v>
      </c>
      <c r="D525" s="74" t="s">
        <v>92</v>
      </c>
      <c r="E525" s="74">
        <v>6</v>
      </c>
      <c r="F525" s="74">
        <v>3.9</v>
      </c>
      <c r="G525" s="758">
        <f t="shared" si="32"/>
        <v>0.11</v>
      </c>
      <c r="H525" s="759">
        <f t="shared" si="33"/>
        <v>0.22</v>
      </c>
      <c r="I525" s="758">
        <f t="shared" si="34"/>
        <v>0.54</v>
      </c>
      <c r="J525" s="760">
        <f t="shared" si="35"/>
        <v>0.8307692307692307</v>
      </c>
      <c r="K525" s="74"/>
      <c r="L525" s="74"/>
      <c r="M525" s="74" t="s">
        <v>1926</v>
      </c>
      <c r="N525" s="74">
        <v>0</v>
      </c>
      <c r="O525" s="74">
        <v>0</v>
      </c>
      <c r="P525" s="74">
        <v>0</v>
      </c>
    </row>
    <row r="526" spans="1:16">
      <c r="A526" s="74" t="s">
        <v>708</v>
      </c>
      <c r="B526" s="74" t="s">
        <v>251</v>
      </c>
      <c r="C526" s="74" t="s">
        <v>1617</v>
      </c>
      <c r="D526" s="74" t="s">
        <v>94</v>
      </c>
      <c r="E526" s="74">
        <v>7</v>
      </c>
      <c r="F526" s="74">
        <v>1.95</v>
      </c>
      <c r="G526" s="758">
        <f t="shared" si="32"/>
        <v>0.11</v>
      </c>
      <c r="H526" s="759">
        <f t="shared" si="33"/>
        <v>0.22</v>
      </c>
      <c r="I526" s="758">
        <f t="shared" si="34"/>
        <v>0.16857142857142859</v>
      </c>
      <c r="J526" s="760">
        <f t="shared" si="35"/>
        <v>0.60512820512820509</v>
      </c>
      <c r="K526" s="74"/>
      <c r="L526" s="74"/>
      <c r="M526" s="74" t="s">
        <v>1927</v>
      </c>
      <c r="N526" s="74">
        <v>0</v>
      </c>
      <c r="O526" s="74">
        <v>0</v>
      </c>
      <c r="P526" s="74">
        <v>0</v>
      </c>
    </row>
    <row r="527" spans="1:16">
      <c r="A527" s="74" t="s">
        <v>708</v>
      </c>
      <c r="B527" s="74" t="s">
        <v>251</v>
      </c>
      <c r="C527" s="74" t="s">
        <v>1553</v>
      </c>
      <c r="D527" s="74" t="s">
        <v>94</v>
      </c>
      <c r="E527" s="74">
        <v>2</v>
      </c>
      <c r="F527" s="74">
        <v>0</v>
      </c>
      <c r="G527" s="758">
        <f t="shared" si="32"/>
        <v>0.11</v>
      </c>
      <c r="H527" s="759">
        <f t="shared" si="33"/>
        <v>0.22</v>
      </c>
      <c r="I527" s="758">
        <f t="shared" si="34"/>
        <v>-0.11</v>
      </c>
      <c r="J527" s="760">
        <f t="shared" si="35"/>
        <v>0</v>
      </c>
      <c r="K527" s="74"/>
      <c r="L527" s="74"/>
      <c r="M527" s="74" t="s">
        <v>1928</v>
      </c>
      <c r="N527" s="74">
        <v>0</v>
      </c>
      <c r="O527" s="74">
        <v>0</v>
      </c>
      <c r="P527" s="74">
        <v>1</v>
      </c>
    </row>
    <row r="528" spans="1:16">
      <c r="A528" s="74" t="s">
        <v>708</v>
      </c>
      <c r="B528" s="74" t="s">
        <v>251</v>
      </c>
      <c r="C528" s="74" t="s">
        <v>1555</v>
      </c>
      <c r="D528" s="74" t="s">
        <v>94</v>
      </c>
      <c r="E528" s="74">
        <v>3</v>
      </c>
      <c r="F528" s="74">
        <v>0</v>
      </c>
      <c r="G528" s="758">
        <f t="shared" si="32"/>
        <v>0.11</v>
      </c>
      <c r="H528" s="759">
        <f t="shared" si="33"/>
        <v>0.22</v>
      </c>
      <c r="I528" s="758">
        <f t="shared" si="34"/>
        <v>-0.11</v>
      </c>
      <c r="J528" s="760">
        <f t="shared" si="35"/>
        <v>0</v>
      </c>
      <c r="K528" s="74"/>
      <c r="L528" s="74"/>
      <c r="M528" s="74" t="s">
        <v>902</v>
      </c>
      <c r="N528" s="74">
        <v>0.31</v>
      </c>
      <c r="O528" s="74">
        <v>0.24</v>
      </c>
      <c r="P528" s="74">
        <v>0.84409999999999996</v>
      </c>
    </row>
    <row r="529" spans="1:16">
      <c r="A529" s="74" t="s">
        <v>708</v>
      </c>
      <c r="B529" s="74" t="s">
        <v>251</v>
      </c>
      <c r="C529" s="74" t="s">
        <v>1557</v>
      </c>
      <c r="D529" s="74" t="s">
        <v>95</v>
      </c>
      <c r="E529" s="74">
        <v>5</v>
      </c>
      <c r="F529" s="74">
        <v>1.95</v>
      </c>
      <c r="G529" s="758">
        <f t="shared" si="32"/>
        <v>0.11</v>
      </c>
      <c r="H529" s="759">
        <f t="shared" si="33"/>
        <v>0.22</v>
      </c>
      <c r="I529" s="758">
        <f t="shared" si="34"/>
        <v>0.28000000000000003</v>
      </c>
      <c r="J529" s="760">
        <f t="shared" si="35"/>
        <v>0.71794871794871784</v>
      </c>
      <c r="K529" s="74"/>
      <c r="L529" s="74"/>
      <c r="M529" s="74" t="s">
        <v>888</v>
      </c>
      <c r="N529" s="74">
        <v>0.09</v>
      </c>
      <c r="O529" s="74">
        <v>0</v>
      </c>
      <c r="P529" s="74">
        <v>0</v>
      </c>
    </row>
    <row r="530" spans="1:16">
      <c r="A530" s="74" t="s">
        <v>708</v>
      </c>
      <c r="B530" s="74" t="s">
        <v>251</v>
      </c>
      <c r="C530" s="74" t="s">
        <v>1526</v>
      </c>
      <c r="D530" s="74" t="s">
        <v>95</v>
      </c>
      <c r="E530" s="74">
        <v>6</v>
      </c>
      <c r="F530" s="74">
        <v>4.05</v>
      </c>
      <c r="G530" s="758">
        <f t="shared" si="32"/>
        <v>0.11</v>
      </c>
      <c r="H530" s="759">
        <f t="shared" si="33"/>
        <v>0.22</v>
      </c>
      <c r="I530" s="758">
        <f t="shared" si="34"/>
        <v>0.56499999999999995</v>
      </c>
      <c r="J530" s="760">
        <f t="shared" si="35"/>
        <v>0.83703703703703702</v>
      </c>
      <c r="K530" s="74"/>
      <c r="L530" s="74"/>
      <c r="M530" s="74" t="s">
        <v>1929</v>
      </c>
      <c r="N530" s="74">
        <v>0.28999999999999998</v>
      </c>
      <c r="O530" s="74">
        <v>0.16</v>
      </c>
      <c r="P530" s="74">
        <v>0.91149999999999998</v>
      </c>
    </row>
    <row r="531" spans="1:16">
      <c r="A531" s="74" t="s">
        <v>708</v>
      </c>
      <c r="B531" s="74" t="s">
        <v>251</v>
      </c>
      <c r="C531" s="74" t="s">
        <v>1930</v>
      </c>
      <c r="D531" s="74" t="s">
        <v>95</v>
      </c>
      <c r="E531" s="74">
        <v>4</v>
      </c>
      <c r="F531" s="74">
        <v>0</v>
      </c>
      <c r="G531" s="758">
        <f t="shared" si="32"/>
        <v>0.11</v>
      </c>
      <c r="H531" s="759">
        <f t="shared" si="33"/>
        <v>0.22</v>
      </c>
      <c r="I531" s="758">
        <f t="shared" si="34"/>
        <v>-0.11</v>
      </c>
      <c r="J531" s="760">
        <f t="shared" si="35"/>
        <v>0</v>
      </c>
      <c r="K531" s="74"/>
      <c r="L531" s="74"/>
      <c r="M531" s="74" t="s">
        <v>1931</v>
      </c>
      <c r="N531" s="74">
        <v>0</v>
      </c>
      <c r="O531" s="74">
        <v>0</v>
      </c>
      <c r="P531" s="74">
        <v>1</v>
      </c>
    </row>
    <row r="532" spans="1:16">
      <c r="A532" s="74" t="s">
        <v>1548</v>
      </c>
      <c r="B532" s="74" t="s">
        <v>251</v>
      </c>
      <c r="C532" s="74" t="s">
        <v>1610</v>
      </c>
      <c r="D532" s="74" t="s">
        <v>89</v>
      </c>
      <c r="E532" s="74">
        <v>2</v>
      </c>
      <c r="F532" s="74">
        <v>0</v>
      </c>
      <c r="G532" s="758">
        <f t="shared" si="32"/>
        <v>0</v>
      </c>
      <c r="H532" s="759">
        <f t="shared" si="33"/>
        <v>0</v>
      </c>
      <c r="I532" s="758">
        <f t="shared" si="34"/>
        <v>0</v>
      </c>
      <c r="J532" s="760">
        <f t="shared" si="35"/>
        <v>0</v>
      </c>
      <c r="K532" s="74"/>
      <c r="L532" s="74"/>
      <c r="M532" s="74" t="s">
        <v>1932</v>
      </c>
      <c r="N532" s="74">
        <v>0</v>
      </c>
      <c r="O532" s="74">
        <v>0</v>
      </c>
      <c r="P532" s="74">
        <v>1</v>
      </c>
    </row>
    <row r="533" spans="1:16">
      <c r="A533" s="74" t="s">
        <v>716</v>
      </c>
      <c r="B533" s="74" t="s">
        <v>251</v>
      </c>
      <c r="C533" s="74" t="s">
        <v>1528</v>
      </c>
      <c r="D533" s="74" t="s">
        <v>78</v>
      </c>
      <c r="E533" s="74">
        <v>2</v>
      </c>
      <c r="F533" s="74">
        <v>0</v>
      </c>
      <c r="G533" s="758">
        <f t="shared" si="32"/>
        <v>0.05</v>
      </c>
      <c r="H533" s="759">
        <f t="shared" si="33"/>
        <v>0.21</v>
      </c>
      <c r="I533" s="758">
        <f t="shared" si="34"/>
        <v>-0.05</v>
      </c>
      <c r="J533" s="760">
        <f t="shared" si="35"/>
        <v>0</v>
      </c>
      <c r="K533" s="74"/>
      <c r="L533" s="74"/>
      <c r="M533" s="74" t="s">
        <v>1933</v>
      </c>
      <c r="N533" s="74">
        <v>0.46</v>
      </c>
      <c r="O533" s="74">
        <v>0.16</v>
      </c>
      <c r="P533" s="74">
        <v>0.82640000000000002</v>
      </c>
    </row>
    <row r="534" spans="1:16">
      <c r="A534" s="74" t="s">
        <v>716</v>
      </c>
      <c r="B534" s="74" t="s">
        <v>251</v>
      </c>
      <c r="C534" s="74" t="s">
        <v>1508</v>
      </c>
      <c r="D534" s="74" t="s">
        <v>78</v>
      </c>
      <c r="E534" s="74">
        <v>10</v>
      </c>
      <c r="F534" s="74">
        <v>0</v>
      </c>
      <c r="G534" s="758">
        <f t="shared" si="32"/>
        <v>0.05</v>
      </c>
      <c r="H534" s="759">
        <f t="shared" si="33"/>
        <v>0.21</v>
      </c>
      <c r="I534" s="758">
        <f t="shared" si="34"/>
        <v>-0.05</v>
      </c>
      <c r="J534" s="760">
        <f t="shared" si="35"/>
        <v>0</v>
      </c>
      <c r="K534" s="74"/>
      <c r="L534" s="74"/>
      <c r="M534" s="74" t="s">
        <v>1934</v>
      </c>
      <c r="N534" s="74">
        <v>0</v>
      </c>
      <c r="O534" s="74">
        <v>0.16</v>
      </c>
      <c r="P534" s="74">
        <v>1</v>
      </c>
    </row>
    <row r="535" spans="1:16">
      <c r="A535" s="74" t="s">
        <v>716</v>
      </c>
      <c r="B535" s="74" t="s">
        <v>251</v>
      </c>
      <c r="C535" s="74" t="s">
        <v>1509</v>
      </c>
      <c r="D535" s="74" t="s">
        <v>78</v>
      </c>
      <c r="E535" s="74">
        <v>14</v>
      </c>
      <c r="F535" s="74">
        <v>0</v>
      </c>
      <c r="G535" s="758">
        <f t="shared" si="32"/>
        <v>0.05</v>
      </c>
      <c r="H535" s="759">
        <f t="shared" si="33"/>
        <v>0.21</v>
      </c>
      <c r="I535" s="758">
        <f t="shared" si="34"/>
        <v>-0.05</v>
      </c>
      <c r="J535" s="760">
        <f t="shared" si="35"/>
        <v>0</v>
      </c>
      <c r="K535" s="74"/>
      <c r="L535" s="74"/>
      <c r="M535" s="74" t="s">
        <v>1935</v>
      </c>
      <c r="N535" s="74">
        <v>0</v>
      </c>
      <c r="O535" s="74">
        <v>0</v>
      </c>
      <c r="P535" s="74">
        <v>0</v>
      </c>
    </row>
    <row r="536" spans="1:16">
      <c r="A536" s="74" t="s">
        <v>716</v>
      </c>
      <c r="B536" s="74" t="s">
        <v>251</v>
      </c>
      <c r="C536" s="74" t="s">
        <v>1565</v>
      </c>
      <c r="D536" s="74" t="s">
        <v>78</v>
      </c>
      <c r="E536" s="74">
        <v>4</v>
      </c>
      <c r="F536" s="74">
        <v>0</v>
      </c>
      <c r="G536" s="758">
        <f t="shared" si="32"/>
        <v>0.05</v>
      </c>
      <c r="H536" s="759">
        <f t="shared" si="33"/>
        <v>0.21</v>
      </c>
      <c r="I536" s="758">
        <f t="shared" si="34"/>
        <v>-0.05</v>
      </c>
      <c r="J536" s="760">
        <f t="shared" si="35"/>
        <v>0</v>
      </c>
      <c r="K536" s="74"/>
      <c r="L536" s="74"/>
      <c r="M536" s="74" t="s">
        <v>1936</v>
      </c>
      <c r="N536" s="74">
        <v>0</v>
      </c>
      <c r="O536" s="74">
        <v>0.16</v>
      </c>
      <c r="P536" s="74">
        <v>0</v>
      </c>
    </row>
    <row r="537" spans="1:16">
      <c r="A537" s="74" t="s">
        <v>716</v>
      </c>
      <c r="B537" s="74" t="s">
        <v>251</v>
      </c>
      <c r="C537" s="74" t="s">
        <v>1530</v>
      </c>
      <c r="D537" s="74" t="s">
        <v>80</v>
      </c>
      <c r="E537" s="74">
        <v>14</v>
      </c>
      <c r="F537" s="74">
        <v>0</v>
      </c>
      <c r="G537" s="758">
        <f t="shared" si="32"/>
        <v>0.05</v>
      </c>
      <c r="H537" s="759">
        <f t="shared" si="33"/>
        <v>0.21</v>
      </c>
      <c r="I537" s="758">
        <f t="shared" si="34"/>
        <v>-0.05</v>
      </c>
      <c r="J537" s="760">
        <f t="shared" si="35"/>
        <v>0</v>
      </c>
      <c r="K537" s="74"/>
      <c r="L537" s="74"/>
      <c r="M537" s="74" t="s">
        <v>1937</v>
      </c>
      <c r="N537" s="74">
        <v>0.31</v>
      </c>
      <c r="O537" s="74">
        <v>0.16</v>
      </c>
      <c r="P537" s="74">
        <v>0</v>
      </c>
    </row>
    <row r="538" spans="1:16">
      <c r="A538" s="74" t="s">
        <v>716</v>
      </c>
      <c r="B538" s="74" t="s">
        <v>251</v>
      </c>
      <c r="C538" s="74" t="s">
        <v>1532</v>
      </c>
      <c r="D538" s="74" t="s">
        <v>80</v>
      </c>
      <c r="E538" s="74">
        <v>14</v>
      </c>
      <c r="F538" s="74">
        <v>0</v>
      </c>
      <c r="G538" s="758">
        <f t="shared" si="32"/>
        <v>0.05</v>
      </c>
      <c r="H538" s="759">
        <f t="shared" si="33"/>
        <v>0.21</v>
      </c>
      <c r="I538" s="758">
        <f t="shared" si="34"/>
        <v>-0.05</v>
      </c>
      <c r="J538" s="760">
        <f t="shared" si="35"/>
        <v>0</v>
      </c>
      <c r="K538" s="74"/>
      <c r="L538" s="74"/>
      <c r="M538" s="74" t="s">
        <v>1938</v>
      </c>
      <c r="N538" s="74">
        <v>0</v>
      </c>
      <c r="O538" s="74">
        <v>0.16</v>
      </c>
      <c r="P538" s="74">
        <v>0</v>
      </c>
    </row>
    <row r="539" spans="1:16">
      <c r="A539" s="74" t="s">
        <v>716</v>
      </c>
      <c r="B539" s="74" t="s">
        <v>251</v>
      </c>
      <c r="C539" s="74" t="s">
        <v>1511</v>
      </c>
      <c r="D539" s="74" t="s">
        <v>80</v>
      </c>
      <c r="E539" s="74">
        <v>5</v>
      </c>
      <c r="F539" s="74">
        <v>0</v>
      </c>
      <c r="G539" s="758">
        <f t="shared" si="32"/>
        <v>0.05</v>
      </c>
      <c r="H539" s="759">
        <f t="shared" si="33"/>
        <v>0.21</v>
      </c>
      <c r="I539" s="758">
        <f t="shared" si="34"/>
        <v>-0.05</v>
      </c>
      <c r="J539" s="760">
        <f t="shared" si="35"/>
        <v>0</v>
      </c>
      <c r="K539" s="74"/>
      <c r="L539" s="74"/>
      <c r="M539" s="74" t="s">
        <v>1939</v>
      </c>
      <c r="N539" s="74">
        <v>0</v>
      </c>
      <c r="O539" s="74">
        <v>0.16</v>
      </c>
      <c r="P539" s="74">
        <v>0</v>
      </c>
    </row>
    <row r="540" spans="1:16">
      <c r="A540" s="74" t="s">
        <v>716</v>
      </c>
      <c r="B540" s="74" t="s">
        <v>251</v>
      </c>
      <c r="C540" s="74" t="s">
        <v>1512</v>
      </c>
      <c r="D540" s="74" t="s">
        <v>80</v>
      </c>
      <c r="E540" s="74">
        <v>8</v>
      </c>
      <c r="F540" s="74">
        <v>0</v>
      </c>
      <c r="G540" s="758">
        <f t="shared" si="32"/>
        <v>0.05</v>
      </c>
      <c r="H540" s="759">
        <f t="shared" si="33"/>
        <v>0.21</v>
      </c>
      <c r="I540" s="758">
        <f t="shared" si="34"/>
        <v>-0.05</v>
      </c>
      <c r="J540" s="760">
        <f t="shared" si="35"/>
        <v>0</v>
      </c>
      <c r="K540" s="74"/>
      <c r="L540" s="74"/>
      <c r="M540" s="74" t="s">
        <v>1940</v>
      </c>
      <c r="N540" s="74">
        <v>0.17</v>
      </c>
      <c r="O540" s="74">
        <v>0.13</v>
      </c>
      <c r="P540" s="74">
        <v>0.89319999999999999</v>
      </c>
    </row>
    <row r="541" spans="1:16">
      <c r="A541" s="74" t="s">
        <v>716</v>
      </c>
      <c r="B541" s="74" t="s">
        <v>251</v>
      </c>
      <c r="C541" s="74" t="s">
        <v>1513</v>
      </c>
      <c r="D541" s="74" t="s">
        <v>81</v>
      </c>
      <c r="E541" s="74">
        <v>24</v>
      </c>
      <c r="F541" s="74">
        <v>0</v>
      </c>
      <c r="G541" s="758">
        <f t="shared" si="32"/>
        <v>0.05</v>
      </c>
      <c r="H541" s="759">
        <f t="shared" si="33"/>
        <v>0.21</v>
      </c>
      <c r="I541" s="758">
        <f t="shared" si="34"/>
        <v>-0.05</v>
      </c>
      <c r="J541" s="760">
        <f t="shared" si="35"/>
        <v>0</v>
      </c>
      <c r="K541" s="74"/>
      <c r="L541" s="74"/>
      <c r="M541" s="74" t="s">
        <v>1174</v>
      </c>
      <c r="N541" s="74">
        <v>0.12</v>
      </c>
      <c r="O541" s="74">
        <v>0.95</v>
      </c>
      <c r="P541" s="74">
        <v>0.1938</v>
      </c>
    </row>
    <row r="542" spans="1:16">
      <c r="A542" s="74" t="s">
        <v>716</v>
      </c>
      <c r="B542" s="74" t="s">
        <v>251</v>
      </c>
      <c r="C542" s="74" t="s">
        <v>1514</v>
      </c>
      <c r="D542" s="74" t="s">
        <v>81</v>
      </c>
      <c r="E542" s="74">
        <v>12</v>
      </c>
      <c r="F542" s="74">
        <v>0</v>
      </c>
      <c r="G542" s="758">
        <f t="shared" si="32"/>
        <v>0.05</v>
      </c>
      <c r="H542" s="759">
        <f t="shared" si="33"/>
        <v>0.21</v>
      </c>
      <c r="I542" s="758">
        <f t="shared" si="34"/>
        <v>-0.05</v>
      </c>
      <c r="J542" s="760">
        <f t="shared" si="35"/>
        <v>0</v>
      </c>
      <c r="K542" s="74"/>
      <c r="L542" s="74"/>
      <c r="M542" s="74" t="s">
        <v>1941</v>
      </c>
      <c r="N542" s="74">
        <v>1.0900000000000001</v>
      </c>
      <c r="O542" s="74">
        <v>0</v>
      </c>
      <c r="P542" s="74">
        <v>0</v>
      </c>
    </row>
    <row r="543" spans="1:16">
      <c r="A543" s="74" t="s">
        <v>716</v>
      </c>
      <c r="B543" s="74" t="s">
        <v>251</v>
      </c>
      <c r="C543" s="74" t="s">
        <v>1515</v>
      </c>
      <c r="D543" s="74" t="s">
        <v>81</v>
      </c>
      <c r="E543" s="74">
        <v>6</v>
      </c>
      <c r="F543" s="74">
        <v>0</v>
      </c>
      <c r="G543" s="758">
        <f t="shared" si="32"/>
        <v>0.05</v>
      </c>
      <c r="H543" s="759">
        <f t="shared" si="33"/>
        <v>0.21</v>
      </c>
      <c r="I543" s="758">
        <f t="shared" si="34"/>
        <v>-0.05</v>
      </c>
      <c r="J543" s="760">
        <f t="shared" si="35"/>
        <v>0</v>
      </c>
      <c r="K543" s="74"/>
      <c r="L543" s="74"/>
      <c r="M543" s="74" t="s">
        <v>1942</v>
      </c>
      <c r="N543" s="74">
        <v>0</v>
      </c>
      <c r="O543" s="74">
        <v>0</v>
      </c>
      <c r="P543" s="74">
        <v>1</v>
      </c>
    </row>
    <row r="544" spans="1:16">
      <c r="A544" s="74" t="s">
        <v>1549</v>
      </c>
      <c r="B544" s="74" t="s">
        <v>266</v>
      </c>
      <c r="C544" s="74" t="s">
        <v>1507</v>
      </c>
      <c r="D544" s="74" t="s">
        <v>86</v>
      </c>
      <c r="E544" s="74">
        <v>1</v>
      </c>
      <c r="F544" s="74">
        <v>0</v>
      </c>
      <c r="G544" s="758">
        <f t="shared" si="32"/>
        <v>0</v>
      </c>
      <c r="H544" s="759">
        <f t="shared" si="33"/>
        <v>0</v>
      </c>
      <c r="I544" s="758">
        <f t="shared" si="34"/>
        <v>0</v>
      </c>
      <c r="J544" s="760">
        <f t="shared" si="35"/>
        <v>0</v>
      </c>
      <c r="K544" s="74"/>
      <c r="L544" s="74"/>
      <c r="M544" s="74" t="s">
        <v>1943</v>
      </c>
      <c r="N544" s="74">
        <v>0</v>
      </c>
      <c r="O544" s="74">
        <v>0</v>
      </c>
      <c r="P544" s="74">
        <v>1</v>
      </c>
    </row>
    <row r="545" spans="1:16">
      <c r="A545" s="74" t="s">
        <v>1551</v>
      </c>
      <c r="B545" s="74" t="s">
        <v>251</v>
      </c>
      <c r="C545" s="74" t="s">
        <v>1528</v>
      </c>
      <c r="D545" s="74" t="s">
        <v>78</v>
      </c>
      <c r="E545" s="74">
        <v>16</v>
      </c>
      <c r="F545" s="74">
        <v>28.2</v>
      </c>
      <c r="G545" s="758">
        <f t="shared" si="32"/>
        <v>0.23</v>
      </c>
      <c r="H545" s="759">
        <f t="shared" si="33"/>
        <v>0.16</v>
      </c>
      <c r="I545" s="758">
        <f t="shared" si="34"/>
        <v>1.5325</v>
      </c>
      <c r="J545" s="760">
        <f t="shared" si="35"/>
        <v>0.86950354609929081</v>
      </c>
      <c r="K545" s="74"/>
      <c r="L545" s="74"/>
      <c r="M545" s="74" t="s">
        <v>1944</v>
      </c>
      <c r="N545" s="74">
        <v>0</v>
      </c>
      <c r="O545" s="74">
        <v>0.24</v>
      </c>
      <c r="P545" s="74">
        <v>1</v>
      </c>
    </row>
    <row r="546" spans="1:16">
      <c r="A546" s="74" t="s">
        <v>1551</v>
      </c>
      <c r="B546" s="74" t="s">
        <v>251</v>
      </c>
      <c r="C546" s="74" t="s">
        <v>1508</v>
      </c>
      <c r="D546" s="74" t="s">
        <v>78</v>
      </c>
      <c r="E546" s="74">
        <v>8</v>
      </c>
      <c r="F546" s="74">
        <v>12.1</v>
      </c>
      <c r="G546" s="758">
        <f t="shared" si="32"/>
        <v>0.23</v>
      </c>
      <c r="H546" s="759">
        <f t="shared" si="33"/>
        <v>0.16</v>
      </c>
      <c r="I546" s="758">
        <f t="shared" si="34"/>
        <v>1.2825</v>
      </c>
      <c r="J546" s="760">
        <f t="shared" si="35"/>
        <v>0.84793388429752059</v>
      </c>
      <c r="K546" s="74"/>
      <c r="L546" s="74"/>
      <c r="M546" s="74" t="s">
        <v>1945</v>
      </c>
      <c r="N546" s="74">
        <v>3.04</v>
      </c>
      <c r="O546" s="74">
        <v>0.22</v>
      </c>
      <c r="P546" s="74">
        <v>1.0200000000000001E-2</v>
      </c>
    </row>
    <row r="547" spans="1:16">
      <c r="A547" s="74" t="s">
        <v>1551</v>
      </c>
      <c r="B547" s="74" t="s">
        <v>251</v>
      </c>
      <c r="C547" s="74" t="s">
        <v>1509</v>
      </c>
      <c r="D547" s="74" t="s">
        <v>78</v>
      </c>
      <c r="E547" s="74">
        <v>7</v>
      </c>
      <c r="F547" s="74">
        <v>10.75</v>
      </c>
      <c r="G547" s="758">
        <f t="shared" si="32"/>
        <v>0.23</v>
      </c>
      <c r="H547" s="759">
        <f t="shared" si="33"/>
        <v>0.16</v>
      </c>
      <c r="I547" s="758">
        <f t="shared" si="34"/>
        <v>1.3057142857142858</v>
      </c>
      <c r="J547" s="760">
        <f t="shared" si="35"/>
        <v>0.85023255813953491</v>
      </c>
      <c r="K547" s="74"/>
      <c r="L547" s="74"/>
      <c r="M547" s="74" t="s">
        <v>1946</v>
      </c>
      <c r="N547" s="74">
        <v>0.56999999999999995</v>
      </c>
      <c r="O547" s="74">
        <v>0.34</v>
      </c>
      <c r="P547" s="74">
        <v>0.75070000000000003</v>
      </c>
    </row>
    <row r="548" spans="1:16">
      <c r="A548" s="74" t="s">
        <v>1551</v>
      </c>
      <c r="B548" s="74" t="s">
        <v>251</v>
      </c>
      <c r="C548" s="74" t="s">
        <v>1565</v>
      </c>
      <c r="D548" s="74" t="s">
        <v>78</v>
      </c>
      <c r="E548" s="74">
        <v>11</v>
      </c>
      <c r="F548" s="74">
        <v>17.05</v>
      </c>
      <c r="G548" s="758">
        <f t="shared" si="32"/>
        <v>0.23</v>
      </c>
      <c r="H548" s="759">
        <f t="shared" si="33"/>
        <v>0.16</v>
      </c>
      <c r="I548" s="758">
        <f t="shared" si="34"/>
        <v>1.32</v>
      </c>
      <c r="J548" s="760">
        <f t="shared" si="35"/>
        <v>0.85161290322580641</v>
      </c>
      <c r="K548" s="74"/>
      <c r="L548" s="74"/>
      <c r="M548" s="74" t="s">
        <v>1010</v>
      </c>
      <c r="N548" s="74">
        <v>0</v>
      </c>
      <c r="O548" s="74">
        <v>0</v>
      </c>
      <c r="P548" s="74">
        <v>1</v>
      </c>
    </row>
    <row r="549" spans="1:16">
      <c r="A549" s="74" t="s">
        <v>1551</v>
      </c>
      <c r="B549" s="74" t="s">
        <v>251</v>
      </c>
      <c r="C549" s="74" t="s">
        <v>1530</v>
      </c>
      <c r="D549" s="74" t="s">
        <v>80</v>
      </c>
      <c r="E549" s="74">
        <v>3</v>
      </c>
      <c r="F549" s="74">
        <v>4.75</v>
      </c>
      <c r="G549" s="758">
        <f t="shared" si="32"/>
        <v>0.23</v>
      </c>
      <c r="H549" s="759">
        <f t="shared" si="33"/>
        <v>0.16</v>
      </c>
      <c r="I549" s="758">
        <f t="shared" si="34"/>
        <v>1.3533333333333333</v>
      </c>
      <c r="J549" s="760">
        <f t="shared" si="35"/>
        <v>0.85473684210526313</v>
      </c>
      <c r="K549" s="74"/>
      <c r="L549" s="74"/>
      <c r="M549" s="74" t="s">
        <v>1149</v>
      </c>
      <c r="N549" s="74">
        <v>0</v>
      </c>
      <c r="O549" s="74">
        <v>0</v>
      </c>
      <c r="P549" s="74">
        <v>1</v>
      </c>
    </row>
    <row r="550" spans="1:16">
      <c r="A550" s="74" t="s">
        <v>1551</v>
      </c>
      <c r="B550" s="74" t="s">
        <v>251</v>
      </c>
      <c r="C550" s="74" t="s">
        <v>1532</v>
      </c>
      <c r="D550" s="74" t="s">
        <v>80</v>
      </c>
      <c r="E550" s="74">
        <v>3</v>
      </c>
      <c r="F550" s="74">
        <v>4.6500000000000004</v>
      </c>
      <c r="G550" s="758">
        <f t="shared" si="32"/>
        <v>0.23</v>
      </c>
      <c r="H550" s="759">
        <f t="shared" si="33"/>
        <v>0.16</v>
      </c>
      <c r="I550" s="758">
        <f t="shared" si="34"/>
        <v>1.32</v>
      </c>
      <c r="J550" s="760">
        <f t="shared" si="35"/>
        <v>0.85161290322580641</v>
      </c>
      <c r="K550" s="74"/>
      <c r="L550" s="74"/>
      <c r="M550" s="74" t="s">
        <v>1947</v>
      </c>
      <c r="N550" s="74">
        <v>0</v>
      </c>
      <c r="O550" s="74">
        <v>0.24</v>
      </c>
      <c r="P550" s="74">
        <v>1</v>
      </c>
    </row>
    <row r="551" spans="1:16">
      <c r="A551" s="74" t="s">
        <v>1551</v>
      </c>
      <c r="B551" s="74" t="s">
        <v>251</v>
      </c>
      <c r="C551" s="74" t="s">
        <v>1511</v>
      </c>
      <c r="D551" s="74" t="s">
        <v>80</v>
      </c>
      <c r="E551" s="74">
        <v>6</v>
      </c>
      <c r="F551" s="74">
        <v>7.75</v>
      </c>
      <c r="G551" s="758">
        <f t="shared" si="32"/>
        <v>0.23</v>
      </c>
      <c r="H551" s="759">
        <f t="shared" si="33"/>
        <v>0.16</v>
      </c>
      <c r="I551" s="758">
        <f t="shared" si="34"/>
        <v>1.0616666666666668</v>
      </c>
      <c r="J551" s="760">
        <f t="shared" si="35"/>
        <v>0.82193548387096771</v>
      </c>
      <c r="K551" s="74"/>
      <c r="L551" s="74"/>
      <c r="M551" s="74" t="s">
        <v>1948</v>
      </c>
      <c r="N551" s="74">
        <v>0.1</v>
      </c>
      <c r="O551" s="74">
        <v>0.25</v>
      </c>
      <c r="P551" s="74">
        <v>0.94569999999999999</v>
      </c>
    </row>
    <row r="552" spans="1:16">
      <c r="A552" s="74" t="s">
        <v>1551</v>
      </c>
      <c r="B552" s="74" t="s">
        <v>251</v>
      </c>
      <c r="C552" s="74" t="s">
        <v>1512</v>
      </c>
      <c r="D552" s="74" t="s">
        <v>80</v>
      </c>
      <c r="E552" s="74">
        <v>2</v>
      </c>
      <c r="F552" s="74">
        <v>3.1</v>
      </c>
      <c r="G552" s="758">
        <f t="shared" si="32"/>
        <v>0.23</v>
      </c>
      <c r="H552" s="759">
        <f t="shared" si="33"/>
        <v>0.16</v>
      </c>
      <c r="I552" s="758">
        <f t="shared" si="34"/>
        <v>1.32</v>
      </c>
      <c r="J552" s="760">
        <f t="shared" si="35"/>
        <v>0.85161290322580641</v>
      </c>
      <c r="K552" s="74"/>
      <c r="L552" s="74"/>
      <c r="M552" s="74" t="s">
        <v>1949</v>
      </c>
      <c r="N552" s="74">
        <v>0</v>
      </c>
      <c r="O552" s="74">
        <v>0</v>
      </c>
      <c r="P552" s="74">
        <v>1</v>
      </c>
    </row>
    <row r="553" spans="1:16">
      <c r="A553" s="74" t="s">
        <v>1551</v>
      </c>
      <c r="B553" s="74" t="s">
        <v>251</v>
      </c>
      <c r="C553" s="74" t="s">
        <v>1534</v>
      </c>
      <c r="D553" s="74" t="s">
        <v>81</v>
      </c>
      <c r="E553" s="74">
        <v>8</v>
      </c>
      <c r="F553" s="74">
        <v>10.8</v>
      </c>
      <c r="G553" s="758">
        <f t="shared" si="32"/>
        <v>0.23</v>
      </c>
      <c r="H553" s="759">
        <f t="shared" si="33"/>
        <v>0.16</v>
      </c>
      <c r="I553" s="758">
        <f t="shared" si="34"/>
        <v>1.1200000000000001</v>
      </c>
      <c r="J553" s="760">
        <f t="shared" si="35"/>
        <v>0.82962962962962961</v>
      </c>
      <c r="K553" s="74"/>
      <c r="L553" s="74"/>
      <c r="M553" s="74" t="s">
        <v>1950</v>
      </c>
      <c r="N553" s="74">
        <v>0</v>
      </c>
      <c r="O553" s="74">
        <v>0</v>
      </c>
      <c r="P553" s="74">
        <v>1</v>
      </c>
    </row>
    <row r="554" spans="1:16">
      <c r="A554" s="74" t="s">
        <v>1551</v>
      </c>
      <c r="B554" s="74" t="s">
        <v>251</v>
      </c>
      <c r="C554" s="74" t="s">
        <v>1513</v>
      </c>
      <c r="D554" s="74" t="s">
        <v>81</v>
      </c>
      <c r="E554" s="74">
        <v>2</v>
      </c>
      <c r="F554" s="74">
        <v>1.55</v>
      </c>
      <c r="G554" s="758">
        <f t="shared" si="32"/>
        <v>0.23</v>
      </c>
      <c r="H554" s="759">
        <f t="shared" si="33"/>
        <v>0.16</v>
      </c>
      <c r="I554" s="758">
        <f t="shared" si="34"/>
        <v>0.54500000000000004</v>
      </c>
      <c r="J554" s="760">
        <f t="shared" si="35"/>
        <v>0.70322580645161292</v>
      </c>
      <c r="K554" s="74"/>
      <c r="L554" s="74"/>
      <c r="M554" s="74" t="s">
        <v>1951</v>
      </c>
      <c r="N554" s="74">
        <v>0</v>
      </c>
      <c r="O554" s="74">
        <v>0.16</v>
      </c>
      <c r="P554" s="74">
        <v>1</v>
      </c>
    </row>
    <row r="555" spans="1:16">
      <c r="A555" s="74" t="s">
        <v>1551</v>
      </c>
      <c r="B555" s="74" t="s">
        <v>251</v>
      </c>
      <c r="C555" s="74" t="s">
        <v>1514</v>
      </c>
      <c r="D555" s="74" t="s">
        <v>81</v>
      </c>
      <c r="E555" s="74">
        <v>11</v>
      </c>
      <c r="F555" s="74">
        <v>4.6500000000000004</v>
      </c>
      <c r="G555" s="758">
        <f t="shared" si="32"/>
        <v>0.23</v>
      </c>
      <c r="H555" s="759">
        <f t="shared" si="33"/>
        <v>0.16</v>
      </c>
      <c r="I555" s="758">
        <f t="shared" si="34"/>
        <v>0.19272727272727277</v>
      </c>
      <c r="J555" s="760">
        <f t="shared" si="35"/>
        <v>0.45591397849462367</v>
      </c>
      <c r="K555" s="74"/>
      <c r="L555" s="74"/>
      <c r="M555" s="74" t="s">
        <v>1045</v>
      </c>
      <c r="N555" s="74">
        <v>0</v>
      </c>
      <c r="O555" s="74">
        <v>0</v>
      </c>
      <c r="P555" s="74">
        <v>1</v>
      </c>
    </row>
    <row r="556" spans="1:16">
      <c r="A556" s="74" t="s">
        <v>1551</v>
      </c>
      <c r="B556" s="74" t="s">
        <v>251</v>
      </c>
      <c r="C556" s="74" t="s">
        <v>1515</v>
      </c>
      <c r="D556" s="74" t="s">
        <v>81</v>
      </c>
      <c r="E556" s="74">
        <v>7</v>
      </c>
      <c r="F556" s="74">
        <v>4.6500000000000004</v>
      </c>
      <c r="G556" s="758">
        <f t="shared" si="32"/>
        <v>0.23</v>
      </c>
      <c r="H556" s="759">
        <f t="shared" si="33"/>
        <v>0.16</v>
      </c>
      <c r="I556" s="758">
        <f t="shared" si="34"/>
        <v>0.43428571428571439</v>
      </c>
      <c r="J556" s="760">
        <f t="shared" si="35"/>
        <v>0.65376344086021509</v>
      </c>
      <c r="K556" s="74"/>
      <c r="L556" s="74"/>
      <c r="M556" s="74" t="s">
        <v>1952</v>
      </c>
      <c r="N556" s="74">
        <v>3.14</v>
      </c>
      <c r="O556" s="74">
        <v>0.27</v>
      </c>
      <c r="P556" s="74">
        <v>0.81110000000000004</v>
      </c>
    </row>
    <row r="557" spans="1:16">
      <c r="A557" s="74" t="s">
        <v>1551</v>
      </c>
      <c r="B557" s="74" t="s">
        <v>251</v>
      </c>
      <c r="C557" s="74" t="s">
        <v>1516</v>
      </c>
      <c r="D557" s="74" t="s">
        <v>82</v>
      </c>
      <c r="E557" s="74">
        <v>8</v>
      </c>
      <c r="F557" s="74">
        <v>7.75</v>
      </c>
      <c r="G557" s="758">
        <f t="shared" si="32"/>
        <v>0.23</v>
      </c>
      <c r="H557" s="759">
        <f t="shared" si="33"/>
        <v>0.16</v>
      </c>
      <c r="I557" s="758">
        <f t="shared" si="34"/>
        <v>0.73875000000000002</v>
      </c>
      <c r="J557" s="760">
        <f t="shared" si="35"/>
        <v>0.76258064516129032</v>
      </c>
      <c r="K557" s="74"/>
      <c r="L557" s="74"/>
      <c r="M557" s="74" t="s">
        <v>1068</v>
      </c>
      <c r="N557" s="74">
        <v>0</v>
      </c>
      <c r="O557" s="74">
        <v>0</v>
      </c>
      <c r="P557" s="74">
        <v>0</v>
      </c>
    </row>
    <row r="558" spans="1:16">
      <c r="A558" s="74" t="s">
        <v>1551</v>
      </c>
      <c r="B558" s="74" t="s">
        <v>251</v>
      </c>
      <c r="C558" s="74" t="s">
        <v>1517</v>
      </c>
      <c r="D558" s="74" t="s">
        <v>82</v>
      </c>
      <c r="E558" s="74">
        <v>2</v>
      </c>
      <c r="F558" s="74">
        <v>3.1</v>
      </c>
      <c r="G558" s="758">
        <f t="shared" si="32"/>
        <v>0.23</v>
      </c>
      <c r="H558" s="759">
        <f t="shared" si="33"/>
        <v>0.16</v>
      </c>
      <c r="I558" s="758">
        <f t="shared" si="34"/>
        <v>1.32</v>
      </c>
      <c r="J558" s="760">
        <f t="shared" si="35"/>
        <v>0.85161290322580641</v>
      </c>
      <c r="K558" s="74"/>
      <c r="L558" s="74"/>
      <c r="M558" s="74" t="s">
        <v>1953</v>
      </c>
      <c r="N558" s="74">
        <v>0</v>
      </c>
      <c r="O558" s="74">
        <v>0</v>
      </c>
      <c r="P558" s="74">
        <v>0</v>
      </c>
    </row>
    <row r="559" spans="1:16">
      <c r="A559" s="74" t="s">
        <v>1551</v>
      </c>
      <c r="B559" s="74" t="s">
        <v>251</v>
      </c>
      <c r="C559" s="74" t="s">
        <v>1527</v>
      </c>
      <c r="D559" s="74" t="s">
        <v>82</v>
      </c>
      <c r="E559" s="74">
        <v>6</v>
      </c>
      <c r="F559" s="74">
        <v>9.3000000000000007</v>
      </c>
      <c r="G559" s="758">
        <f t="shared" si="32"/>
        <v>0.23</v>
      </c>
      <c r="H559" s="759">
        <f t="shared" si="33"/>
        <v>0.16</v>
      </c>
      <c r="I559" s="758">
        <f t="shared" si="34"/>
        <v>1.32</v>
      </c>
      <c r="J559" s="760">
        <f t="shared" si="35"/>
        <v>0.85161290322580641</v>
      </c>
      <c r="K559" s="74"/>
      <c r="L559" s="74"/>
      <c r="M559" s="74" t="s">
        <v>1954</v>
      </c>
      <c r="N559" s="74">
        <v>0.87</v>
      </c>
      <c r="O559" s="74">
        <v>0</v>
      </c>
      <c r="P559" s="74">
        <v>0</v>
      </c>
    </row>
    <row r="560" spans="1:16">
      <c r="A560" s="74" t="s">
        <v>1551</v>
      </c>
      <c r="B560" s="74" t="s">
        <v>251</v>
      </c>
      <c r="C560" s="74" t="s">
        <v>1540</v>
      </c>
      <c r="D560" s="74" t="s">
        <v>84</v>
      </c>
      <c r="E560" s="74">
        <v>1</v>
      </c>
      <c r="F560" s="74">
        <v>1.55</v>
      </c>
      <c r="G560" s="758">
        <f t="shared" si="32"/>
        <v>0.23</v>
      </c>
      <c r="H560" s="759">
        <f t="shared" si="33"/>
        <v>0.16</v>
      </c>
      <c r="I560" s="758">
        <f t="shared" si="34"/>
        <v>1.32</v>
      </c>
      <c r="J560" s="760">
        <f t="shared" si="35"/>
        <v>0.85161290322580641</v>
      </c>
      <c r="K560" s="74"/>
      <c r="L560" s="74"/>
      <c r="M560" s="74" t="s">
        <v>1955</v>
      </c>
      <c r="N560" s="74">
        <v>0</v>
      </c>
      <c r="O560" s="74">
        <v>0</v>
      </c>
      <c r="P560" s="74">
        <v>0</v>
      </c>
    </row>
    <row r="561" spans="1:16">
      <c r="A561" s="74" t="s">
        <v>250</v>
      </c>
      <c r="B561" s="74" t="s">
        <v>251</v>
      </c>
      <c r="C561" s="74" t="s">
        <v>1528</v>
      </c>
      <c r="D561" s="74" t="s">
        <v>78</v>
      </c>
      <c r="E561" s="74">
        <v>53</v>
      </c>
      <c r="F561" s="74">
        <v>91.08</v>
      </c>
      <c r="G561" s="758">
        <f t="shared" si="32"/>
        <v>0.05</v>
      </c>
      <c r="H561" s="759">
        <f t="shared" si="33"/>
        <v>0.21</v>
      </c>
      <c r="I561" s="758">
        <f t="shared" si="34"/>
        <v>1.6684905660377358</v>
      </c>
      <c r="J561" s="760">
        <f t="shared" si="35"/>
        <v>0.97090469916556876</v>
      </c>
      <c r="K561" s="74"/>
      <c r="L561" s="74"/>
      <c r="M561" s="74" t="s">
        <v>1956</v>
      </c>
      <c r="N561" s="74">
        <v>0</v>
      </c>
      <c r="O561" s="74">
        <v>0</v>
      </c>
      <c r="P561" s="74">
        <v>1</v>
      </c>
    </row>
    <row r="562" spans="1:16">
      <c r="A562" s="74" t="s">
        <v>250</v>
      </c>
      <c r="B562" s="74" t="s">
        <v>251</v>
      </c>
      <c r="C562" s="74" t="s">
        <v>1508</v>
      </c>
      <c r="D562" s="74" t="s">
        <v>78</v>
      </c>
      <c r="E562" s="74">
        <v>81</v>
      </c>
      <c r="F562" s="74">
        <v>133.07</v>
      </c>
      <c r="G562" s="758">
        <f t="shared" si="32"/>
        <v>0.05</v>
      </c>
      <c r="H562" s="759">
        <f t="shared" si="33"/>
        <v>0.21</v>
      </c>
      <c r="I562" s="758">
        <f t="shared" si="34"/>
        <v>1.5928395061728393</v>
      </c>
      <c r="J562" s="760">
        <f t="shared" si="35"/>
        <v>0.9695648906590516</v>
      </c>
      <c r="K562" s="74"/>
      <c r="L562" s="74"/>
      <c r="M562" s="74" t="s">
        <v>863</v>
      </c>
      <c r="N562" s="74">
        <v>0.04</v>
      </c>
      <c r="O562" s="74">
        <v>0.95</v>
      </c>
      <c r="P562" s="74">
        <v>0.77610000000000001</v>
      </c>
    </row>
    <row r="563" spans="1:16">
      <c r="A563" s="74" t="s">
        <v>250</v>
      </c>
      <c r="B563" s="74" t="s">
        <v>251</v>
      </c>
      <c r="C563" s="74" t="s">
        <v>1509</v>
      </c>
      <c r="D563" s="74" t="s">
        <v>78</v>
      </c>
      <c r="E563" s="74">
        <v>83</v>
      </c>
      <c r="F563" s="74">
        <v>128.57</v>
      </c>
      <c r="G563" s="758">
        <f t="shared" si="32"/>
        <v>0.05</v>
      </c>
      <c r="H563" s="759">
        <f t="shared" si="33"/>
        <v>0.21</v>
      </c>
      <c r="I563" s="758">
        <f t="shared" si="34"/>
        <v>1.4990361445783131</v>
      </c>
      <c r="J563" s="760">
        <f t="shared" si="35"/>
        <v>0.967721863576262</v>
      </c>
      <c r="K563" s="74"/>
      <c r="L563" s="74"/>
      <c r="M563" s="74" t="s">
        <v>982</v>
      </c>
      <c r="N563" s="74">
        <v>0.13</v>
      </c>
      <c r="O563" s="74">
        <v>0.95</v>
      </c>
      <c r="P563" s="74">
        <v>0.1333</v>
      </c>
    </row>
    <row r="564" spans="1:16">
      <c r="A564" s="74" t="s">
        <v>250</v>
      </c>
      <c r="B564" s="74" t="s">
        <v>251</v>
      </c>
      <c r="C564" s="74" t="s">
        <v>1565</v>
      </c>
      <c r="D564" s="74" t="s">
        <v>78</v>
      </c>
      <c r="E564" s="74">
        <v>103</v>
      </c>
      <c r="F564" s="74">
        <v>131.35</v>
      </c>
      <c r="G564" s="758">
        <f t="shared" si="32"/>
        <v>0.05</v>
      </c>
      <c r="H564" s="759">
        <f t="shared" si="33"/>
        <v>0.21</v>
      </c>
      <c r="I564" s="758">
        <f t="shared" si="34"/>
        <v>1.2252427184466019</v>
      </c>
      <c r="J564" s="760">
        <f t="shared" si="35"/>
        <v>0.96079177769318613</v>
      </c>
      <c r="K564" s="74"/>
      <c r="L564" s="74"/>
      <c r="M564" s="74" t="s">
        <v>1957</v>
      </c>
      <c r="N564" s="74">
        <v>0</v>
      </c>
      <c r="O564" s="74">
        <v>0</v>
      </c>
      <c r="P564" s="74">
        <v>1</v>
      </c>
    </row>
    <row r="565" spans="1:16">
      <c r="A565" s="74" t="s">
        <v>250</v>
      </c>
      <c r="B565" s="74" t="s">
        <v>251</v>
      </c>
      <c r="C565" s="74" t="s">
        <v>1530</v>
      </c>
      <c r="D565" s="74" t="s">
        <v>80</v>
      </c>
      <c r="E565" s="74">
        <v>65</v>
      </c>
      <c r="F565" s="74">
        <v>93.25</v>
      </c>
      <c r="G565" s="758">
        <f t="shared" si="32"/>
        <v>0.05</v>
      </c>
      <c r="H565" s="759">
        <f t="shared" si="33"/>
        <v>0.21</v>
      </c>
      <c r="I565" s="758">
        <f t="shared" si="34"/>
        <v>1.3846153846153846</v>
      </c>
      <c r="J565" s="760">
        <f t="shared" si="35"/>
        <v>0.9651474530831099</v>
      </c>
      <c r="K565" s="74"/>
      <c r="L565" s="74"/>
      <c r="M565" s="74" t="s">
        <v>1958</v>
      </c>
      <c r="N565" s="74">
        <v>0</v>
      </c>
      <c r="O565" s="74">
        <v>0</v>
      </c>
      <c r="P565" s="74">
        <v>0</v>
      </c>
    </row>
    <row r="566" spans="1:16">
      <c r="A566" s="74" t="s">
        <v>250</v>
      </c>
      <c r="B566" s="74" t="s">
        <v>251</v>
      </c>
      <c r="C566" s="74" t="s">
        <v>1532</v>
      </c>
      <c r="D566" s="74" t="s">
        <v>80</v>
      </c>
      <c r="E566" s="74">
        <v>105</v>
      </c>
      <c r="F566" s="74">
        <v>150.25</v>
      </c>
      <c r="G566" s="758">
        <f t="shared" si="32"/>
        <v>0.05</v>
      </c>
      <c r="H566" s="759">
        <f t="shared" si="33"/>
        <v>0.21</v>
      </c>
      <c r="I566" s="758">
        <f t="shared" si="34"/>
        <v>1.3809523809523809</v>
      </c>
      <c r="J566" s="760">
        <f t="shared" si="35"/>
        <v>0.96505823627287857</v>
      </c>
      <c r="K566" s="74"/>
      <c r="L566" s="74"/>
      <c r="M566" s="74" t="s">
        <v>1959</v>
      </c>
      <c r="N566" s="74">
        <v>0</v>
      </c>
      <c r="O566" s="74">
        <v>0</v>
      </c>
      <c r="P566" s="74">
        <v>0</v>
      </c>
    </row>
    <row r="567" spans="1:16">
      <c r="A567" s="74" t="s">
        <v>250</v>
      </c>
      <c r="B567" s="74" t="s">
        <v>251</v>
      </c>
      <c r="C567" s="74" t="s">
        <v>1511</v>
      </c>
      <c r="D567" s="74" t="s">
        <v>80</v>
      </c>
      <c r="E567" s="74">
        <v>95</v>
      </c>
      <c r="F567" s="74">
        <v>163.28</v>
      </c>
      <c r="G567" s="758">
        <f t="shared" si="32"/>
        <v>0.05</v>
      </c>
      <c r="H567" s="759">
        <f t="shared" si="33"/>
        <v>0.21</v>
      </c>
      <c r="I567" s="758">
        <f t="shared" si="34"/>
        <v>1.6687368421052631</v>
      </c>
      <c r="J567" s="760">
        <f t="shared" si="35"/>
        <v>0.97090886820186184</v>
      </c>
      <c r="K567" s="74"/>
      <c r="L567" s="74"/>
      <c r="M567" s="74" t="s">
        <v>1960</v>
      </c>
      <c r="N567" s="74">
        <v>0</v>
      </c>
      <c r="O567" s="74">
        <v>0</v>
      </c>
      <c r="P567" s="74">
        <v>0</v>
      </c>
    </row>
    <row r="568" spans="1:16">
      <c r="A568" s="74" t="s">
        <v>250</v>
      </c>
      <c r="B568" s="74" t="s">
        <v>251</v>
      </c>
      <c r="C568" s="74" t="s">
        <v>1512</v>
      </c>
      <c r="D568" s="74" t="s">
        <v>80</v>
      </c>
      <c r="E568" s="74">
        <v>131</v>
      </c>
      <c r="F568" s="74">
        <v>223.03</v>
      </c>
      <c r="G568" s="758">
        <f t="shared" si="32"/>
        <v>0.05</v>
      </c>
      <c r="H568" s="759">
        <f t="shared" si="33"/>
        <v>0.21</v>
      </c>
      <c r="I568" s="758">
        <f t="shared" si="34"/>
        <v>1.6525190839694657</v>
      </c>
      <c r="J568" s="760">
        <f t="shared" si="35"/>
        <v>0.97063175357575215</v>
      </c>
      <c r="K568" s="74"/>
      <c r="L568" s="74"/>
      <c r="M568" s="74" t="s">
        <v>1961</v>
      </c>
      <c r="N568" s="74">
        <v>0</v>
      </c>
      <c r="O568" s="74">
        <v>0</v>
      </c>
      <c r="P568" s="74">
        <v>0</v>
      </c>
    </row>
    <row r="569" spans="1:16">
      <c r="A569" s="74" t="s">
        <v>250</v>
      </c>
      <c r="B569" s="74" t="s">
        <v>251</v>
      </c>
      <c r="C569" s="74" t="s">
        <v>1534</v>
      </c>
      <c r="D569" s="74" t="s">
        <v>81</v>
      </c>
      <c r="E569" s="74">
        <v>79</v>
      </c>
      <c r="F569" s="74">
        <v>125.7</v>
      </c>
      <c r="G569" s="758">
        <f t="shared" si="32"/>
        <v>0.05</v>
      </c>
      <c r="H569" s="759">
        <f t="shared" si="33"/>
        <v>0.21</v>
      </c>
      <c r="I569" s="758">
        <f t="shared" si="34"/>
        <v>1.5411392405063291</v>
      </c>
      <c r="J569" s="760">
        <f t="shared" si="35"/>
        <v>0.96857597454256161</v>
      </c>
      <c r="K569" s="74"/>
      <c r="L569" s="74"/>
      <c r="M569" s="74" t="s">
        <v>1962</v>
      </c>
      <c r="N569" s="74">
        <v>0</v>
      </c>
      <c r="O569" s="74">
        <v>0</v>
      </c>
      <c r="P569" s="74">
        <v>0</v>
      </c>
    </row>
    <row r="570" spans="1:16">
      <c r="A570" s="74" t="s">
        <v>250</v>
      </c>
      <c r="B570" s="74" t="s">
        <v>251</v>
      </c>
      <c r="C570" s="74" t="s">
        <v>1513</v>
      </c>
      <c r="D570" s="74" t="s">
        <v>81</v>
      </c>
      <c r="E570" s="74">
        <v>177</v>
      </c>
      <c r="F570" s="74">
        <v>545.87</v>
      </c>
      <c r="G570" s="758">
        <f t="shared" si="32"/>
        <v>0.05</v>
      </c>
      <c r="H570" s="759">
        <f t="shared" si="33"/>
        <v>0.21</v>
      </c>
      <c r="I570" s="758">
        <f t="shared" si="34"/>
        <v>3.0340112994350283</v>
      </c>
      <c r="J570" s="760">
        <f t="shared" si="35"/>
        <v>0.98378734863612216</v>
      </c>
      <c r="K570" s="74"/>
      <c r="L570" s="74"/>
      <c r="M570" s="74" t="s">
        <v>1963</v>
      </c>
      <c r="N570" s="74">
        <v>1.38</v>
      </c>
      <c r="O570" s="74">
        <v>0</v>
      </c>
      <c r="P570" s="74">
        <v>0</v>
      </c>
    </row>
    <row r="571" spans="1:16">
      <c r="A571" s="74" t="s">
        <v>250</v>
      </c>
      <c r="B571" s="74" t="s">
        <v>251</v>
      </c>
      <c r="C571" s="74" t="s">
        <v>1514</v>
      </c>
      <c r="D571" s="74" t="s">
        <v>81</v>
      </c>
      <c r="E571" s="74">
        <v>78</v>
      </c>
      <c r="F571" s="74">
        <v>135.59</v>
      </c>
      <c r="G571" s="758">
        <f t="shared" si="32"/>
        <v>0.05</v>
      </c>
      <c r="H571" s="759">
        <f t="shared" si="33"/>
        <v>0.21</v>
      </c>
      <c r="I571" s="758">
        <f t="shared" si="34"/>
        <v>1.6883333333333332</v>
      </c>
      <c r="J571" s="760">
        <f t="shared" si="35"/>
        <v>0.97123681687440078</v>
      </c>
      <c r="K571" s="74"/>
      <c r="L571" s="74"/>
      <c r="M571" s="74" t="s">
        <v>1964</v>
      </c>
      <c r="N571" s="74">
        <v>0</v>
      </c>
      <c r="O571" s="74">
        <v>0</v>
      </c>
      <c r="P571" s="74">
        <v>1</v>
      </c>
    </row>
    <row r="572" spans="1:16">
      <c r="A572" s="74" t="s">
        <v>250</v>
      </c>
      <c r="B572" s="74" t="s">
        <v>251</v>
      </c>
      <c r="C572" s="74" t="s">
        <v>1515</v>
      </c>
      <c r="D572" s="74" t="s">
        <v>81</v>
      </c>
      <c r="E572" s="74">
        <v>92</v>
      </c>
      <c r="F572" s="74">
        <v>547.51</v>
      </c>
      <c r="G572" s="758">
        <f t="shared" si="32"/>
        <v>0.05</v>
      </c>
      <c r="H572" s="759">
        <f t="shared" si="33"/>
        <v>0.21</v>
      </c>
      <c r="I572" s="758">
        <f t="shared" si="34"/>
        <v>5.9011956521739135</v>
      </c>
      <c r="J572" s="760">
        <f t="shared" si="35"/>
        <v>0.99159832697119688</v>
      </c>
      <c r="K572" s="74"/>
      <c r="L572" s="74"/>
      <c r="M572" s="74" t="s">
        <v>1965</v>
      </c>
      <c r="N572" s="74">
        <v>0</v>
      </c>
      <c r="O572" s="74">
        <v>0</v>
      </c>
      <c r="P572" s="74">
        <v>1</v>
      </c>
    </row>
    <row r="573" spans="1:16">
      <c r="A573" s="74" t="s">
        <v>250</v>
      </c>
      <c r="B573" s="74" t="s">
        <v>251</v>
      </c>
      <c r="C573" s="74" t="s">
        <v>1516</v>
      </c>
      <c r="D573" s="74" t="s">
        <v>82</v>
      </c>
      <c r="E573" s="74">
        <v>66</v>
      </c>
      <c r="F573" s="74">
        <v>507.1</v>
      </c>
      <c r="G573" s="758">
        <f t="shared" si="32"/>
        <v>0.05</v>
      </c>
      <c r="H573" s="759">
        <f t="shared" si="33"/>
        <v>0.21</v>
      </c>
      <c r="I573" s="758">
        <f t="shared" si="34"/>
        <v>7.6333333333333337</v>
      </c>
      <c r="J573" s="760">
        <f t="shared" si="35"/>
        <v>0.99349240780911063</v>
      </c>
      <c r="K573" s="74"/>
      <c r="L573" s="74"/>
      <c r="M573" s="74" t="s">
        <v>1966</v>
      </c>
      <c r="N573" s="74">
        <v>1.66</v>
      </c>
      <c r="O573" s="74">
        <v>0</v>
      </c>
      <c r="P573" s="74">
        <v>0</v>
      </c>
    </row>
    <row r="574" spans="1:16">
      <c r="A574" s="74" t="s">
        <v>250</v>
      </c>
      <c r="B574" s="74" t="s">
        <v>251</v>
      </c>
      <c r="C574" s="74" t="s">
        <v>1517</v>
      </c>
      <c r="D574" s="74" t="s">
        <v>82</v>
      </c>
      <c r="E574" s="74">
        <v>72</v>
      </c>
      <c r="F574" s="74">
        <v>112.05</v>
      </c>
      <c r="G574" s="758">
        <f t="shared" si="32"/>
        <v>0.05</v>
      </c>
      <c r="H574" s="759">
        <f t="shared" si="33"/>
        <v>0.21</v>
      </c>
      <c r="I574" s="758">
        <f t="shared" si="34"/>
        <v>1.5062499999999999</v>
      </c>
      <c r="J574" s="760">
        <f t="shared" si="35"/>
        <v>0.96787148594377514</v>
      </c>
      <c r="K574" s="74"/>
      <c r="L574" s="74"/>
      <c r="M574" s="74" t="s">
        <v>1053</v>
      </c>
      <c r="N574" s="74">
        <v>0.75</v>
      </c>
      <c r="O574" s="74">
        <v>0</v>
      </c>
      <c r="P574" s="74">
        <v>0</v>
      </c>
    </row>
    <row r="575" spans="1:16">
      <c r="A575" s="74" t="s">
        <v>250</v>
      </c>
      <c r="B575" s="74" t="s">
        <v>251</v>
      </c>
      <c r="C575" s="74" t="s">
        <v>1527</v>
      </c>
      <c r="D575" s="74" t="s">
        <v>82</v>
      </c>
      <c r="E575" s="74">
        <v>85</v>
      </c>
      <c r="F575" s="74">
        <v>151.19999999999999</v>
      </c>
      <c r="G575" s="758">
        <f t="shared" si="32"/>
        <v>0.05</v>
      </c>
      <c r="H575" s="759">
        <f t="shared" si="33"/>
        <v>0.21</v>
      </c>
      <c r="I575" s="758">
        <f t="shared" si="34"/>
        <v>1.7288235294117644</v>
      </c>
      <c r="J575" s="760">
        <f t="shared" si="35"/>
        <v>0.97189153439153442</v>
      </c>
      <c r="K575" s="74"/>
      <c r="L575" s="74"/>
      <c r="M575" s="74" t="s">
        <v>1967</v>
      </c>
      <c r="N575" s="74">
        <v>1.66</v>
      </c>
      <c r="O575" s="74">
        <v>0</v>
      </c>
      <c r="P575" s="74">
        <v>0</v>
      </c>
    </row>
    <row r="576" spans="1:16">
      <c r="A576" s="74" t="s">
        <v>250</v>
      </c>
      <c r="B576" s="74" t="s">
        <v>251</v>
      </c>
      <c r="C576" s="74" t="s">
        <v>1518</v>
      </c>
      <c r="D576" s="74" t="s">
        <v>82</v>
      </c>
      <c r="E576" s="74">
        <v>71</v>
      </c>
      <c r="F576" s="74">
        <v>403.35</v>
      </c>
      <c r="G576" s="758">
        <f t="shared" si="32"/>
        <v>0.05</v>
      </c>
      <c r="H576" s="759">
        <f t="shared" si="33"/>
        <v>0.21</v>
      </c>
      <c r="I576" s="758">
        <f t="shared" si="34"/>
        <v>5.6309859154929587</v>
      </c>
      <c r="J576" s="760">
        <f t="shared" si="35"/>
        <v>0.99119871079707456</v>
      </c>
      <c r="K576" s="74"/>
      <c r="L576" s="74"/>
      <c r="M576" s="74" t="s">
        <v>1370</v>
      </c>
      <c r="N576" s="74">
        <v>0</v>
      </c>
      <c r="O576" s="74">
        <v>0</v>
      </c>
      <c r="P576" s="74">
        <v>0</v>
      </c>
    </row>
    <row r="577" spans="1:16">
      <c r="A577" s="74" t="s">
        <v>250</v>
      </c>
      <c r="B577" s="74" t="s">
        <v>251</v>
      </c>
      <c r="C577" s="74" t="s">
        <v>1519</v>
      </c>
      <c r="D577" s="74" t="s">
        <v>84</v>
      </c>
      <c r="E577" s="74">
        <v>18</v>
      </c>
      <c r="F577" s="74">
        <v>23.49</v>
      </c>
      <c r="G577" s="758">
        <f t="shared" si="32"/>
        <v>0.05</v>
      </c>
      <c r="H577" s="759">
        <f t="shared" si="33"/>
        <v>0.21</v>
      </c>
      <c r="I577" s="758">
        <f t="shared" si="34"/>
        <v>1.2549999999999999</v>
      </c>
      <c r="J577" s="760">
        <f t="shared" si="35"/>
        <v>0.96168582375478928</v>
      </c>
      <c r="K577" s="74"/>
      <c r="L577" s="74"/>
      <c r="M577" s="74" t="s">
        <v>1968</v>
      </c>
      <c r="N577" s="74">
        <v>1.66</v>
      </c>
      <c r="O577" s="74">
        <v>0</v>
      </c>
      <c r="P577" s="74">
        <v>0</v>
      </c>
    </row>
    <row r="578" spans="1:16">
      <c r="A578" s="74" t="s">
        <v>250</v>
      </c>
      <c r="B578" s="74" t="s">
        <v>251</v>
      </c>
      <c r="C578" s="74" t="s">
        <v>1540</v>
      </c>
      <c r="D578" s="74" t="s">
        <v>84</v>
      </c>
      <c r="E578" s="74">
        <v>7</v>
      </c>
      <c r="F578" s="74">
        <v>3.6</v>
      </c>
      <c r="G578" s="758">
        <f t="shared" ref="G578:G641" si="36">IFERROR(VLOOKUP(A578,$M$1:$P$1014,2,FALSE),0)</f>
        <v>0.05</v>
      </c>
      <c r="H578" s="759">
        <f t="shared" ref="H578:H641" si="37">IFERROR(VLOOKUP(A578,$M$1:$P$1014,3,FALSE),0)</f>
        <v>0.21</v>
      </c>
      <c r="I578" s="758">
        <f t="shared" ref="I578:I641" si="38">IFERROR(F578/E578-G578,0)</f>
        <v>0.46428571428571436</v>
      </c>
      <c r="J578" s="760">
        <f t="shared" ref="J578:J641" si="39">IFERROR(1-G578*E578/F578,0)</f>
        <v>0.90277777777777779</v>
      </c>
      <c r="K578" s="74"/>
      <c r="L578" s="74"/>
      <c r="M578" s="74" t="s">
        <v>1969</v>
      </c>
      <c r="N578" s="74">
        <v>1.66</v>
      </c>
      <c r="O578" s="74">
        <v>0</v>
      </c>
      <c r="P578" s="74">
        <v>0</v>
      </c>
    </row>
    <row r="579" spans="1:16">
      <c r="A579" s="74" t="s">
        <v>250</v>
      </c>
      <c r="B579" s="74" t="s">
        <v>251</v>
      </c>
      <c r="C579" s="74" t="s">
        <v>1520</v>
      </c>
      <c r="D579" s="74" t="s">
        <v>84</v>
      </c>
      <c r="E579" s="74">
        <v>8</v>
      </c>
      <c r="F579" s="74">
        <v>3.9</v>
      </c>
      <c r="G579" s="758">
        <f t="shared" si="36"/>
        <v>0.05</v>
      </c>
      <c r="H579" s="759">
        <f t="shared" si="37"/>
        <v>0.21</v>
      </c>
      <c r="I579" s="758">
        <f t="shared" si="38"/>
        <v>0.4375</v>
      </c>
      <c r="J579" s="760">
        <f t="shared" si="39"/>
        <v>0.89743589743589747</v>
      </c>
      <c r="K579" s="74"/>
      <c r="L579" s="74"/>
      <c r="M579" s="74" t="s">
        <v>1970</v>
      </c>
      <c r="N579" s="74">
        <v>1.66</v>
      </c>
      <c r="O579" s="74">
        <v>0</v>
      </c>
      <c r="P579" s="74">
        <v>0</v>
      </c>
    </row>
    <row r="580" spans="1:16">
      <c r="A580" s="74" t="s">
        <v>250</v>
      </c>
      <c r="B580" s="74" t="s">
        <v>251</v>
      </c>
      <c r="C580" s="74" t="s">
        <v>1577</v>
      </c>
      <c r="D580" s="74" t="s">
        <v>84</v>
      </c>
      <c r="E580" s="74">
        <v>3</v>
      </c>
      <c r="F580" s="74">
        <v>5.55</v>
      </c>
      <c r="G580" s="758">
        <f t="shared" si="36"/>
        <v>0.05</v>
      </c>
      <c r="H580" s="759">
        <f t="shared" si="37"/>
        <v>0.21</v>
      </c>
      <c r="I580" s="758">
        <f t="shared" si="38"/>
        <v>1.7999999999999998</v>
      </c>
      <c r="J580" s="760">
        <f t="shared" si="39"/>
        <v>0.97297297297297292</v>
      </c>
      <c r="K580" s="74"/>
      <c r="L580" s="74"/>
      <c r="M580" s="74" t="s">
        <v>1971</v>
      </c>
      <c r="N580" s="74">
        <v>0</v>
      </c>
      <c r="O580" s="74">
        <v>0</v>
      </c>
      <c r="P580" s="74">
        <v>0</v>
      </c>
    </row>
    <row r="581" spans="1:16">
      <c r="A581" s="74" t="s">
        <v>250</v>
      </c>
      <c r="B581" s="74" t="s">
        <v>251</v>
      </c>
      <c r="C581" s="74" t="s">
        <v>1507</v>
      </c>
      <c r="D581" s="74" t="s">
        <v>86</v>
      </c>
      <c r="E581" s="74">
        <v>18</v>
      </c>
      <c r="F581" s="74">
        <v>9.3000000000000007</v>
      </c>
      <c r="G581" s="758">
        <f t="shared" si="36"/>
        <v>0.05</v>
      </c>
      <c r="H581" s="759">
        <f t="shared" si="37"/>
        <v>0.21</v>
      </c>
      <c r="I581" s="758">
        <f t="shared" si="38"/>
        <v>0.46666666666666673</v>
      </c>
      <c r="J581" s="760">
        <f t="shared" si="39"/>
        <v>0.90322580645161288</v>
      </c>
      <c r="K581" s="74"/>
      <c r="L581" s="74"/>
      <c r="M581" s="74" t="s">
        <v>1305</v>
      </c>
      <c r="N581" s="74">
        <v>0.47</v>
      </c>
      <c r="O581" s="74">
        <v>0</v>
      </c>
      <c r="P581" s="74">
        <v>0</v>
      </c>
    </row>
    <row r="582" spans="1:16">
      <c r="A582" s="74" t="s">
        <v>250</v>
      </c>
      <c r="B582" s="74" t="s">
        <v>251</v>
      </c>
      <c r="C582" s="74" t="s">
        <v>1644</v>
      </c>
      <c r="D582" s="74" t="s">
        <v>86</v>
      </c>
      <c r="E582" s="74">
        <v>15</v>
      </c>
      <c r="F582" s="74">
        <v>1.8</v>
      </c>
      <c r="G582" s="758">
        <f t="shared" si="36"/>
        <v>0.05</v>
      </c>
      <c r="H582" s="759">
        <f t="shared" si="37"/>
        <v>0.21</v>
      </c>
      <c r="I582" s="758">
        <f t="shared" si="38"/>
        <v>7.0000000000000007E-2</v>
      </c>
      <c r="J582" s="760">
        <f t="shared" si="39"/>
        <v>0.58333333333333337</v>
      </c>
      <c r="K582" s="74"/>
      <c r="L582" s="74"/>
      <c r="M582" s="74" t="s">
        <v>819</v>
      </c>
      <c r="N582" s="74">
        <v>2.5499999999999998</v>
      </c>
      <c r="O582" s="74">
        <v>0.37</v>
      </c>
      <c r="P582" s="74">
        <v>0.71319999999999995</v>
      </c>
    </row>
    <row r="583" spans="1:16">
      <c r="A583" s="74" t="s">
        <v>250</v>
      </c>
      <c r="B583" s="74" t="s">
        <v>251</v>
      </c>
      <c r="C583" s="74" t="s">
        <v>1578</v>
      </c>
      <c r="D583" s="74" t="s">
        <v>86</v>
      </c>
      <c r="E583" s="74">
        <v>20</v>
      </c>
      <c r="F583" s="74">
        <v>1.8</v>
      </c>
      <c r="G583" s="758">
        <f t="shared" si="36"/>
        <v>0.05</v>
      </c>
      <c r="H583" s="759">
        <f t="shared" si="37"/>
        <v>0.21</v>
      </c>
      <c r="I583" s="758">
        <f t="shared" si="38"/>
        <v>3.9999999999999994E-2</v>
      </c>
      <c r="J583" s="760">
        <f t="shared" si="39"/>
        <v>0.44444444444444442</v>
      </c>
      <c r="K583" s="74"/>
      <c r="L583" s="74"/>
      <c r="M583" s="74" t="s">
        <v>1972</v>
      </c>
      <c r="N583" s="74">
        <v>1.1499999999999999</v>
      </c>
      <c r="O583" s="74">
        <v>0.21</v>
      </c>
      <c r="P583" s="74">
        <v>0.80669999999999997</v>
      </c>
    </row>
    <row r="584" spans="1:16">
      <c r="A584" s="74" t="s">
        <v>250</v>
      </c>
      <c r="B584" s="74" t="s">
        <v>251</v>
      </c>
      <c r="C584" s="74" t="s">
        <v>1646</v>
      </c>
      <c r="D584" s="74" t="s">
        <v>86</v>
      </c>
      <c r="E584" s="74">
        <v>10</v>
      </c>
      <c r="F584" s="74">
        <v>9.15</v>
      </c>
      <c r="G584" s="758">
        <f t="shared" si="36"/>
        <v>0.05</v>
      </c>
      <c r="H584" s="759">
        <f t="shared" si="37"/>
        <v>0.21</v>
      </c>
      <c r="I584" s="758">
        <f t="shared" si="38"/>
        <v>0.86499999999999999</v>
      </c>
      <c r="J584" s="760">
        <f t="shared" si="39"/>
        <v>0.94535519125683065</v>
      </c>
      <c r="K584" s="74"/>
      <c r="L584" s="74"/>
      <c r="M584" s="74" t="s">
        <v>1973</v>
      </c>
      <c r="N584" s="74">
        <v>0</v>
      </c>
      <c r="O584" s="74">
        <v>0</v>
      </c>
      <c r="P584" s="74">
        <v>1</v>
      </c>
    </row>
    <row r="585" spans="1:16">
      <c r="A585" s="74" t="s">
        <v>250</v>
      </c>
      <c r="B585" s="74" t="s">
        <v>251</v>
      </c>
      <c r="C585" s="74" t="s">
        <v>1541</v>
      </c>
      <c r="D585" s="74" t="s">
        <v>86</v>
      </c>
      <c r="E585" s="74">
        <v>31</v>
      </c>
      <c r="F585" s="74">
        <v>25.35</v>
      </c>
      <c r="G585" s="758">
        <f t="shared" si="36"/>
        <v>0.05</v>
      </c>
      <c r="H585" s="759">
        <f t="shared" si="37"/>
        <v>0.21</v>
      </c>
      <c r="I585" s="758">
        <f t="shared" si="38"/>
        <v>0.76774193548387093</v>
      </c>
      <c r="J585" s="760">
        <f t="shared" si="39"/>
        <v>0.93885601577909272</v>
      </c>
      <c r="K585" s="74"/>
      <c r="L585" s="74"/>
      <c r="M585" s="74" t="s">
        <v>1974</v>
      </c>
      <c r="N585" s="74">
        <v>0</v>
      </c>
      <c r="O585" s="74">
        <v>0</v>
      </c>
      <c r="P585" s="74">
        <v>1</v>
      </c>
    </row>
    <row r="586" spans="1:16">
      <c r="A586" s="74" t="s">
        <v>250</v>
      </c>
      <c r="B586" s="74" t="s">
        <v>251</v>
      </c>
      <c r="C586" s="74" t="s">
        <v>1543</v>
      </c>
      <c r="D586" s="74" t="s">
        <v>87</v>
      </c>
      <c r="E586" s="74">
        <v>31</v>
      </c>
      <c r="F586" s="74">
        <v>15</v>
      </c>
      <c r="G586" s="758">
        <f t="shared" si="36"/>
        <v>0.05</v>
      </c>
      <c r="H586" s="759">
        <f t="shared" si="37"/>
        <v>0.21</v>
      </c>
      <c r="I586" s="758">
        <f t="shared" si="38"/>
        <v>0.43387096774193551</v>
      </c>
      <c r="J586" s="760">
        <f t="shared" si="39"/>
        <v>0.89666666666666672</v>
      </c>
      <c r="K586" s="74"/>
      <c r="L586" s="74"/>
      <c r="M586" s="74" t="s">
        <v>1062</v>
      </c>
      <c r="N586" s="74">
        <v>0</v>
      </c>
      <c r="O586" s="74">
        <v>0</v>
      </c>
      <c r="P586" s="74">
        <v>1</v>
      </c>
    </row>
    <row r="587" spans="1:16">
      <c r="A587" s="74" t="s">
        <v>250</v>
      </c>
      <c r="B587" s="74" t="s">
        <v>251</v>
      </c>
      <c r="C587" s="74" t="s">
        <v>1544</v>
      </c>
      <c r="D587" s="74" t="s">
        <v>87</v>
      </c>
      <c r="E587" s="74">
        <v>15</v>
      </c>
      <c r="F587" s="74">
        <v>9</v>
      </c>
      <c r="G587" s="758">
        <f t="shared" si="36"/>
        <v>0.05</v>
      </c>
      <c r="H587" s="759">
        <f t="shared" si="37"/>
        <v>0.21</v>
      </c>
      <c r="I587" s="758">
        <f t="shared" si="38"/>
        <v>0.54999999999999993</v>
      </c>
      <c r="J587" s="760">
        <f t="shared" si="39"/>
        <v>0.91666666666666663</v>
      </c>
      <c r="K587" s="74"/>
      <c r="L587" s="74"/>
      <c r="M587" s="74" t="s">
        <v>676</v>
      </c>
      <c r="N587" s="74">
        <v>0.92</v>
      </c>
      <c r="O587" s="74">
        <v>0.41</v>
      </c>
      <c r="P587" s="74">
        <v>0.69340000000000002</v>
      </c>
    </row>
    <row r="588" spans="1:16">
      <c r="A588" s="74" t="s">
        <v>250</v>
      </c>
      <c r="B588" s="74" t="s">
        <v>251</v>
      </c>
      <c r="C588" s="74" t="s">
        <v>1605</v>
      </c>
      <c r="D588" s="74" t="s">
        <v>87</v>
      </c>
      <c r="E588" s="74">
        <v>13</v>
      </c>
      <c r="F588" s="74">
        <v>5.7</v>
      </c>
      <c r="G588" s="758">
        <f t="shared" si="36"/>
        <v>0.05</v>
      </c>
      <c r="H588" s="759">
        <f t="shared" si="37"/>
        <v>0.21</v>
      </c>
      <c r="I588" s="758">
        <f t="shared" si="38"/>
        <v>0.38846153846153847</v>
      </c>
      <c r="J588" s="760">
        <f t="shared" si="39"/>
        <v>0.88596491228070173</v>
      </c>
      <c r="K588" s="74"/>
      <c r="L588" s="74"/>
      <c r="M588" s="74" t="s">
        <v>1975</v>
      </c>
      <c r="N588" s="74">
        <v>1.43</v>
      </c>
      <c r="O588" s="74">
        <v>0.53</v>
      </c>
      <c r="P588" s="74">
        <v>0.51929999999999998</v>
      </c>
    </row>
    <row r="589" spans="1:16">
      <c r="A589" s="74" t="s">
        <v>250</v>
      </c>
      <c r="B589" s="74" t="s">
        <v>251</v>
      </c>
      <c r="C589" s="74" t="s">
        <v>1561</v>
      </c>
      <c r="D589" s="74" t="s">
        <v>87</v>
      </c>
      <c r="E589" s="74">
        <v>12</v>
      </c>
      <c r="F589" s="74">
        <v>5.7</v>
      </c>
      <c r="G589" s="758">
        <f t="shared" si="36"/>
        <v>0.05</v>
      </c>
      <c r="H589" s="759">
        <f t="shared" si="37"/>
        <v>0.21</v>
      </c>
      <c r="I589" s="758">
        <f t="shared" si="38"/>
        <v>0.42500000000000004</v>
      </c>
      <c r="J589" s="760">
        <f t="shared" si="39"/>
        <v>0.89473684210526316</v>
      </c>
      <c r="K589" s="74"/>
      <c r="L589" s="74"/>
      <c r="M589" s="74" t="s">
        <v>1976</v>
      </c>
      <c r="N589" s="74">
        <v>1.43</v>
      </c>
      <c r="O589" s="74">
        <v>0.52</v>
      </c>
      <c r="P589" s="74">
        <v>0.52229999999999999</v>
      </c>
    </row>
    <row r="590" spans="1:16">
      <c r="A590" s="74" t="s">
        <v>250</v>
      </c>
      <c r="B590" s="74" t="s">
        <v>251</v>
      </c>
      <c r="C590" s="74" t="s">
        <v>1608</v>
      </c>
      <c r="D590" s="74" t="s">
        <v>89</v>
      </c>
      <c r="E590" s="74">
        <v>9</v>
      </c>
      <c r="F590" s="74">
        <v>1.8</v>
      </c>
      <c r="G590" s="758">
        <f t="shared" si="36"/>
        <v>0.05</v>
      </c>
      <c r="H590" s="759">
        <f t="shared" si="37"/>
        <v>0.21</v>
      </c>
      <c r="I590" s="758">
        <f t="shared" si="38"/>
        <v>0.15000000000000002</v>
      </c>
      <c r="J590" s="760">
        <f t="shared" si="39"/>
        <v>0.75</v>
      </c>
      <c r="K590" s="74"/>
      <c r="L590" s="74"/>
      <c r="M590" s="74" t="s">
        <v>1067</v>
      </c>
      <c r="N590" s="74">
        <v>0</v>
      </c>
      <c r="O590" s="74">
        <v>0</v>
      </c>
      <c r="P590" s="74">
        <v>0</v>
      </c>
    </row>
    <row r="591" spans="1:16">
      <c r="A591" s="74" t="s">
        <v>250</v>
      </c>
      <c r="B591" s="74" t="s">
        <v>251</v>
      </c>
      <c r="C591" s="74" t="s">
        <v>1610</v>
      </c>
      <c r="D591" s="74" t="s">
        <v>89</v>
      </c>
      <c r="E591" s="74">
        <v>26</v>
      </c>
      <c r="F591" s="74">
        <v>18.45</v>
      </c>
      <c r="G591" s="758">
        <f t="shared" si="36"/>
        <v>0.05</v>
      </c>
      <c r="H591" s="759">
        <f t="shared" si="37"/>
        <v>0.21</v>
      </c>
      <c r="I591" s="758">
        <f t="shared" si="38"/>
        <v>0.65961538461538449</v>
      </c>
      <c r="J591" s="760">
        <f t="shared" si="39"/>
        <v>0.92953929539295388</v>
      </c>
      <c r="K591" s="74"/>
      <c r="L591" s="74"/>
      <c r="M591" s="74" t="s">
        <v>1977</v>
      </c>
      <c r="N591" s="74">
        <v>2.38</v>
      </c>
      <c r="O591" s="74">
        <v>0</v>
      </c>
      <c r="P591" s="74">
        <v>0</v>
      </c>
    </row>
    <row r="592" spans="1:16">
      <c r="A592" s="74" t="s">
        <v>250</v>
      </c>
      <c r="B592" s="74" t="s">
        <v>251</v>
      </c>
      <c r="C592" s="74" t="s">
        <v>1546</v>
      </c>
      <c r="D592" s="74" t="s">
        <v>89</v>
      </c>
      <c r="E592" s="74">
        <v>10</v>
      </c>
      <c r="F592" s="74">
        <v>1.8</v>
      </c>
      <c r="G592" s="758">
        <f t="shared" si="36"/>
        <v>0.05</v>
      </c>
      <c r="H592" s="759">
        <f t="shared" si="37"/>
        <v>0.21</v>
      </c>
      <c r="I592" s="758">
        <f t="shared" si="38"/>
        <v>0.13</v>
      </c>
      <c r="J592" s="760">
        <f t="shared" si="39"/>
        <v>0.72222222222222221</v>
      </c>
      <c r="K592" s="74"/>
      <c r="L592" s="74"/>
      <c r="M592" s="74" t="s">
        <v>1978</v>
      </c>
      <c r="N592" s="74">
        <v>0</v>
      </c>
      <c r="O592" s="74">
        <v>0</v>
      </c>
      <c r="P592" s="74">
        <v>0</v>
      </c>
    </row>
    <row r="593" spans="1:16">
      <c r="A593" s="74" t="s">
        <v>250</v>
      </c>
      <c r="B593" s="74" t="s">
        <v>251</v>
      </c>
      <c r="C593" s="74" t="s">
        <v>1547</v>
      </c>
      <c r="D593" s="74" t="s">
        <v>89</v>
      </c>
      <c r="E593" s="74">
        <v>14</v>
      </c>
      <c r="F593" s="74">
        <v>5.55</v>
      </c>
      <c r="G593" s="758">
        <f t="shared" si="36"/>
        <v>0.05</v>
      </c>
      <c r="H593" s="759">
        <f t="shared" si="37"/>
        <v>0.21</v>
      </c>
      <c r="I593" s="758">
        <f t="shared" si="38"/>
        <v>0.34642857142857142</v>
      </c>
      <c r="J593" s="760">
        <f t="shared" si="39"/>
        <v>0.87387387387387383</v>
      </c>
      <c r="K593" s="74"/>
      <c r="L593" s="74"/>
      <c r="M593" s="74" t="s">
        <v>1979</v>
      </c>
      <c r="N593" s="74">
        <v>2.38</v>
      </c>
      <c r="O593" s="74">
        <v>0.36</v>
      </c>
      <c r="P593" s="74">
        <v>-0.90400000000000003</v>
      </c>
    </row>
    <row r="594" spans="1:16">
      <c r="A594" s="74" t="s">
        <v>250</v>
      </c>
      <c r="B594" s="74" t="s">
        <v>251</v>
      </c>
      <c r="C594" s="74" t="s">
        <v>1582</v>
      </c>
      <c r="D594" s="74" t="s">
        <v>89</v>
      </c>
      <c r="E594" s="74">
        <v>9</v>
      </c>
      <c r="F594" s="74">
        <v>1.8</v>
      </c>
      <c r="G594" s="758">
        <f t="shared" si="36"/>
        <v>0.05</v>
      </c>
      <c r="H594" s="759">
        <f t="shared" si="37"/>
        <v>0.21</v>
      </c>
      <c r="I594" s="758">
        <f t="shared" si="38"/>
        <v>0.15000000000000002</v>
      </c>
      <c r="J594" s="760">
        <f t="shared" si="39"/>
        <v>0.75</v>
      </c>
      <c r="K594" s="74"/>
      <c r="L594" s="74"/>
      <c r="M594" s="74" t="s">
        <v>1980</v>
      </c>
      <c r="N594" s="74">
        <v>2.38</v>
      </c>
      <c r="O594" s="74">
        <v>0</v>
      </c>
      <c r="P594" s="74">
        <v>0</v>
      </c>
    </row>
    <row r="595" spans="1:16">
      <c r="A595" s="74" t="s">
        <v>250</v>
      </c>
      <c r="B595" s="74" t="s">
        <v>251</v>
      </c>
      <c r="C595" s="74" t="s">
        <v>1522</v>
      </c>
      <c r="D595" s="74" t="s">
        <v>91</v>
      </c>
      <c r="E595" s="74">
        <v>14</v>
      </c>
      <c r="F595" s="74">
        <v>0</v>
      </c>
      <c r="G595" s="758">
        <f t="shared" si="36"/>
        <v>0.05</v>
      </c>
      <c r="H595" s="759">
        <f t="shared" si="37"/>
        <v>0.21</v>
      </c>
      <c r="I595" s="758">
        <f t="shared" si="38"/>
        <v>-0.05</v>
      </c>
      <c r="J595" s="760">
        <f t="shared" si="39"/>
        <v>0</v>
      </c>
      <c r="K595" s="74"/>
      <c r="L595" s="74"/>
      <c r="M595" s="74" t="s">
        <v>1981</v>
      </c>
      <c r="N595" s="74">
        <v>0</v>
      </c>
      <c r="O595" s="74">
        <v>0</v>
      </c>
      <c r="P595" s="74">
        <v>0</v>
      </c>
    </row>
    <row r="596" spans="1:16">
      <c r="A596" s="74" t="s">
        <v>250</v>
      </c>
      <c r="B596" s="74" t="s">
        <v>251</v>
      </c>
      <c r="C596" s="74" t="s">
        <v>1550</v>
      </c>
      <c r="D596" s="74" t="s">
        <v>91</v>
      </c>
      <c r="E596" s="74">
        <v>9</v>
      </c>
      <c r="F596" s="74">
        <v>1.8</v>
      </c>
      <c r="G596" s="758">
        <f t="shared" si="36"/>
        <v>0.05</v>
      </c>
      <c r="H596" s="759">
        <f t="shared" si="37"/>
        <v>0.21</v>
      </c>
      <c r="I596" s="758">
        <f t="shared" si="38"/>
        <v>0.15000000000000002</v>
      </c>
      <c r="J596" s="760">
        <f t="shared" si="39"/>
        <v>0.75</v>
      </c>
      <c r="K596" s="74"/>
      <c r="L596" s="74"/>
      <c r="M596" s="74" t="s">
        <v>1028</v>
      </c>
      <c r="N596" s="74">
        <v>0</v>
      </c>
      <c r="O596" s="74">
        <v>0</v>
      </c>
      <c r="P596" s="74">
        <v>0</v>
      </c>
    </row>
    <row r="597" spans="1:16">
      <c r="A597" s="74" t="s">
        <v>250</v>
      </c>
      <c r="B597" s="74" t="s">
        <v>251</v>
      </c>
      <c r="C597" s="74" t="s">
        <v>1675</v>
      </c>
      <c r="D597" s="74" t="s">
        <v>91</v>
      </c>
      <c r="E597" s="74">
        <v>12</v>
      </c>
      <c r="F597" s="74">
        <v>3.6</v>
      </c>
      <c r="G597" s="758">
        <f t="shared" si="36"/>
        <v>0.05</v>
      </c>
      <c r="H597" s="759">
        <f t="shared" si="37"/>
        <v>0.21</v>
      </c>
      <c r="I597" s="758">
        <f t="shared" si="38"/>
        <v>0.25</v>
      </c>
      <c r="J597" s="760">
        <f t="shared" si="39"/>
        <v>0.83333333333333326</v>
      </c>
      <c r="K597" s="74"/>
      <c r="L597" s="74"/>
      <c r="M597" s="74" t="s">
        <v>692</v>
      </c>
      <c r="N597" s="74">
        <v>0</v>
      </c>
      <c r="O597" s="74">
        <v>0</v>
      </c>
      <c r="P597" s="74">
        <v>0</v>
      </c>
    </row>
    <row r="598" spans="1:16">
      <c r="A598" s="74" t="s">
        <v>250</v>
      </c>
      <c r="B598" s="74" t="s">
        <v>251</v>
      </c>
      <c r="C598" s="74" t="s">
        <v>1524</v>
      </c>
      <c r="D598" s="74" t="s">
        <v>91</v>
      </c>
      <c r="E598" s="74">
        <v>19</v>
      </c>
      <c r="F598" s="74">
        <v>7.35</v>
      </c>
      <c r="G598" s="758">
        <f t="shared" si="36"/>
        <v>0.05</v>
      </c>
      <c r="H598" s="759">
        <f t="shared" si="37"/>
        <v>0.21</v>
      </c>
      <c r="I598" s="758">
        <f t="shared" si="38"/>
        <v>0.33684210526315789</v>
      </c>
      <c r="J598" s="760">
        <f t="shared" si="39"/>
        <v>0.87074829931972786</v>
      </c>
      <c r="K598" s="74"/>
      <c r="L598" s="74"/>
      <c r="M598" s="74" t="s">
        <v>1982</v>
      </c>
      <c r="N598" s="74">
        <v>0</v>
      </c>
      <c r="O598" s="74">
        <v>0</v>
      </c>
      <c r="P598" s="74">
        <v>1</v>
      </c>
    </row>
    <row r="599" spans="1:16">
      <c r="A599" s="74" t="s">
        <v>250</v>
      </c>
      <c r="B599" s="74" t="s">
        <v>251</v>
      </c>
      <c r="C599" s="74" t="s">
        <v>1584</v>
      </c>
      <c r="D599" s="74" t="s">
        <v>92</v>
      </c>
      <c r="E599" s="74">
        <v>21</v>
      </c>
      <c r="F599" s="74">
        <v>10.8</v>
      </c>
      <c r="G599" s="758">
        <f t="shared" si="36"/>
        <v>0.05</v>
      </c>
      <c r="H599" s="759">
        <f t="shared" si="37"/>
        <v>0.21</v>
      </c>
      <c r="I599" s="758">
        <f t="shared" si="38"/>
        <v>0.46428571428571436</v>
      </c>
      <c r="J599" s="760">
        <f t="shared" si="39"/>
        <v>0.90277777777777779</v>
      </c>
      <c r="K599" s="74"/>
      <c r="L599" s="74"/>
      <c r="M599" s="74" t="s">
        <v>1983</v>
      </c>
      <c r="N599" s="74">
        <v>0</v>
      </c>
      <c r="O599" s="74">
        <v>0.24</v>
      </c>
      <c r="P599" s="74">
        <v>1</v>
      </c>
    </row>
    <row r="600" spans="1:16">
      <c r="A600" s="74" t="s">
        <v>250</v>
      </c>
      <c r="B600" s="74" t="s">
        <v>251</v>
      </c>
      <c r="C600" s="74" t="s">
        <v>1614</v>
      </c>
      <c r="D600" s="74" t="s">
        <v>92</v>
      </c>
      <c r="E600" s="74">
        <v>11</v>
      </c>
      <c r="F600" s="74">
        <v>1.8</v>
      </c>
      <c r="G600" s="758">
        <f t="shared" si="36"/>
        <v>0.05</v>
      </c>
      <c r="H600" s="759">
        <f t="shared" si="37"/>
        <v>0.21</v>
      </c>
      <c r="I600" s="758">
        <f t="shared" si="38"/>
        <v>0.11363636363636363</v>
      </c>
      <c r="J600" s="760">
        <f t="shared" si="39"/>
        <v>0.69444444444444442</v>
      </c>
      <c r="K600" s="74"/>
      <c r="L600" s="74"/>
      <c r="M600" s="74" t="s">
        <v>1984</v>
      </c>
      <c r="N600" s="74">
        <v>0</v>
      </c>
      <c r="O600" s="74">
        <v>0.2</v>
      </c>
      <c r="P600" s="74">
        <v>1</v>
      </c>
    </row>
    <row r="601" spans="1:16">
      <c r="A601" s="74" t="s">
        <v>250</v>
      </c>
      <c r="B601" s="74" t="s">
        <v>251</v>
      </c>
      <c r="C601" s="74" t="s">
        <v>1631</v>
      </c>
      <c r="D601" s="74" t="s">
        <v>92</v>
      </c>
      <c r="E601" s="74">
        <v>13</v>
      </c>
      <c r="F601" s="74">
        <v>3.75</v>
      </c>
      <c r="G601" s="758">
        <f t="shared" si="36"/>
        <v>0.05</v>
      </c>
      <c r="H601" s="759">
        <f t="shared" si="37"/>
        <v>0.21</v>
      </c>
      <c r="I601" s="758">
        <f t="shared" si="38"/>
        <v>0.23846153846153845</v>
      </c>
      <c r="J601" s="760">
        <f t="shared" si="39"/>
        <v>0.82666666666666666</v>
      </c>
      <c r="K601" s="74"/>
      <c r="L601" s="74"/>
      <c r="M601" s="74" t="s">
        <v>1985</v>
      </c>
      <c r="N601" s="74">
        <v>0</v>
      </c>
      <c r="O601" s="74">
        <v>0</v>
      </c>
      <c r="P601" s="74">
        <v>1</v>
      </c>
    </row>
    <row r="602" spans="1:16">
      <c r="A602" s="74" t="s">
        <v>250</v>
      </c>
      <c r="B602" s="74" t="s">
        <v>251</v>
      </c>
      <c r="C602" s="74" t="s">
        <v>1552</v>
      </c>
      <c r="D602" s="74" t="s">
        <v>92</v>
      </c>
      <c r="E602" s="74">
        <v>6</v>
      </c>
      <c r="F602" s="74">
        <v>0</v>
      </c>
      <c r="G602" s="758">
        <f t="shared" si="36"/>
        <v>0.05</v>
      </c>
      <c r="H602" s="759">
        <f t="shared" si="37"/>
        <v>0.21</v>
      </c>
      <c r="I602" s="758">
        <f t="shared" si="38"/>
        <v>-0.05</v>
      </c>
      <c r="J602" s="760">
        <f t="shared" si="39"/>
        <v>0</v>
      </c>
      <c r="K602" s="74"/>
      <c r="L602" s="74"/>
      <c r="M602" s="74" t="s">
        <v>1986</v>
      </c>
      <c r="N602" s="74">
        <v>0</v>
      </c>
      <c r="O602" s="74">
        <v>0</v>
      </c>
      <c r="P602" s="74">
        <v>1</v>
      </c>
    </row>
    <row r="603" spans="1:16">
      <c r="A603" s="74" t="s">
        <v>250</v>
      </c>
      <c r="B603" s="74" t="s">
        <v>251</v>
      </c>
      <c r="C603" s="74" t="s">
        <v>1617</v>
      </c>
      <c r="D603" s="74" t="s">
        <v>94</v>
      </c>
      <c r="E603" s="74">
        <v>19</v>
      </c>
      <c r="F603" s="74">
        <v>3.6</v>
      </c>
      <c r="G603" s="758">
        <f t="shared" si="36"/>
        <v>0.05</v>
      </c>
      <c r="H603" s="759">
        <f t="shared" si="37"/>
        <v>0.21</v>
      </c>
      <c r="I603" s="758">
        <f t="shared" si="38"/>
        <v>0.13947368421052631</v>
      </c>
      <c r="J603" s="760">
        <f t="shared" si="39"/>
        <v>0.73611111111111116</v>
      </c>
      <c r="K603" s="74"/>
      <c r="L603" s="74"/>
      <c r="M603" s="74" t="s">
        <v>1987</v>
      </c>
      <c r="N603" s="74">
        <v>0.84</v>
      </c>
      <c r="O603" s="74">
        <v>0.16</v>
      </c>
      <c r="P603" s="74">
        <v>0.79259999999999997</v>
      </c>
    </row>
    <row r="604" spans="1:16">
      <c r="A604" s="74" t="s">
        <v>250</v>
      </c>
      <c r="B604" s="74" t="s">
        <v>251</v>
      </c>
      <c r="C604" s="74" t="s">
        <v>1553</v>
      </c>
      <c r="D604" s="74" t="s">
        <v>94</v>
      </c>
      <c r="E604" s="74">
        <v>7</v>
      </c>
      <c r="F604" s="74">
        <v>0</v>
      </c>
      <c r="G604" s="758">
        <f t="shared" si="36"/>
        <v>0.05</v>
      </c>
      <c r="H604" s="759">
        <f t="shared" si="37"/>
        <v>0.21</v>
      </c>
      <c r="I604" s="758">
        <f t="shared" si="38"/>
        <v>-0.05</v>
      </c>
      <c r="J604" s="760">
        <f t="shared" si="39"/>
        <v>0</v>
      </c>
      <c r="K604" s="74"/>
      <c r="L604" s="74"/>
      <c r="M604" s="74" t="s">
        <v>1988</v>
      </c>
      <c r="N604" s="74">
        <v>0</v>
      </c>
      <c r="O604" s="74">
        <v>0.16</v>
      </c>
      <c r="P604" s="74">
        <v>1</v>
      </c>
    </row>
    <row r="605" spans="1:16">
      <c r="A605" s="74" t="s">
        <v>250</v>
      </c>
      <c r="B605" s="74" t="s">
        <v>251</v>
      </c>
      <c r="C605" s="74" t="s">
        <v>1555</v>
      </c>
      <c r="D605" s="74" t="s">
        <v>94</v>
      </c>
      <c r="E605" s="74">
        <v>12</v>
      </c>
      <c r="F605" s="74">
        <v>1.8</v>
      </c>
      <c r="G605" s="758">
        <f t="shared" si="36"/>
        <v>0.05</v>
      </c>
      <c r="H605" s="759">
        <f t="shared" si="37"/>
        <v>0.21</v>
      </c>
      <c r="I605" s="758">
        <f t="shared" si="38"/>
        <v>9.9999999999999992E-2</v>
      </c>
      <c r="J605" s="760">
        <f t="shared" si="39"/>
        <v>0.66666666666666663</v>
      </c>
      <c r="K605" s="74"/>
      <c r="L605" s="74"/>
      <c r="M605" s="74" t="s">
        <v>1989</v>
      </c>
      <c r="N605" s="74">
        <v>0</v>
      </c>
      <c r="O605" s="74">
        <v>0</v>
      </c>
      <c r="P605" s="74">
        <v>0</v>
      </c>
    </row>
    <row r="606" spans="1:16">
      <c r="A606" s="74" t="s">
        <v>250</v>
      </c>
      <c r="B606" s="74" t="s">
        <v>251</v>
      </c>
      <c r="C606" s="74" t="s">
        <v>1557</v>
      </c>
      <c r="D606" s="74" t="s">
        <v>95</v>
      </c>
      <c r="E606" s="74">
        <v>12</v>
      </c>
      <c r="F606" s="74">
        <v>1.95</v>
      </c>
      <c r="G606" s="758">
        <f t="shared" si="36"/>
        <v>0.05</v>
      </c>
      <c r="H606" s="759">
        <f t="shared" si="37"/>
        <v>0.21</v>
      </c>
      <c r="I606" s="758">
        <f t="shared" si="38"/>
        <v>0.1125</v>
      </c>
      <c r="J606" s="760">
        <f t="shared" si="39"/>
        <v>0.69230769230769229</v>
      </c>
      <c r="K606" s="74"/>
      <c r="L606" s="74"/>
      <c r="M606" s="74" t="s">
        <v>953</v>
      </c>
      <c r="N606" s="74">
        <v>3</v>
      </c>
      <c r="O606" s="74">
        <v>0.38</v>
      </c>
      <c r="P606" s="74">
        <v>0.69830000000000003</v>
      </c>
    </row>
    <row r="607" spans="1:16">
      <c r="A607" s="74" t="s">
        <v>250</v>
      </c>
      <c r="B607" s="74" t="s">
        <v>251</v>
      </c>
      <c r="C607" s="74" t="s">
        <v>1526</v>
      </c>
      <c r="D607" s="74" t="s">
        <v>95</v>
      </c>
      <c r="E607" s="74">
        <v>13</v>
      </c>
      <c r="F607" s="74">
        <v>0</v>
      </c>
      <c r="G607" s="758">
        <f t="shared" si="36"/>
        <v>0.05</v>
      </c>
      <c r="H607" s="759">
        <f t="shared" si="37"/>
        <v>0.21</v>
      </c>
      <c r="I607" s="758">
        <f t="shared" si="38"/>
        <v>-0.05</v>
      </c>
      <c r="J607" s="760">
        <f t="shared" si="39"/>
        <v>0</v>
      </c>
      <c r="K607" s="74"/>
      <c r="L607" s="74"/>
      <c r="M607" s="74" t="s">
        <v>1135</v>
      </c>
      <c r="N607" s="74">
        <v>0</v>
      </c>
      <c r="O607" s="74">
        <v>0</v>
      </c>
      <c r="P607" s="74">
        <v>1</v>
      </c>
    </row>
    <row r="608" spans="1:16">
      <c r="A608" s="74" t="s">
        <v>250</v>
      </c>
      <c r="B608" s="74" t="s">
        <v>251</v>
      </c>
      <c r="C608" s="74" t="s">
        <v>1930</v>
      </c>
      <c r="D608" s="74" t="s">
        <v>95</v>
      </c>
      <c r="E608" s="74">
        <v>4</v>
      </c>
      <c r="F608" s="74">
        <v>0</v>
      </c>
      <c r="G608" s="758">
        <f t="shared" si="36"/>
        <v>0.05</v>
      </c>
      <c r="H608" s="759">
        <f t="shared" si="37"/>
        <v>0.21</v>
      </c>
      <c r="I608" s="758">
        <f t="shared" si="38"/>
        <v>-0.05</v>
      </c>
      <c r="J608" s="760">
        <f t="shared" si="39"/>
        <v>0</v>
      </c>
      <c r="K608" s="74"/>
      <c r="L608" s="74"/>
      <c r="M608" s="74" t="s">
        <v>1990</v>
      </c>
      <c r="N608" s="74">
        <v>1.32</v>
      </c>
      <c r="O608" s="74">
        <v>0.52</v>
      </c>
      <c r="P608" s="74">
        <v>0.61180000000000001</v>
      </c>
    </row>
    <row r="609" spans="1:16">
      <c r="A609" s="74" t="s">
        <v>1554</v>
      </c>
      <c r="B609" s="74" t="s">
        <v>251</v>
      </c>
      <c r="C609" s="74" t="s">
        <v>1527</v>
      </c>
      <c r="D609" s="74" t="s">
        <v>82</v>
      </c>
      <c r="E609" s="74">
        <v>1</v>
      </c>
      <c r="F609" s="74">
        <v>0</v>
      </c>
      <c r="G609" s="758">
        <f t="shared" si="36"/>
        <v>0</v>
      </c>
      <c r="H609" s="759">
        <f t="shared" si="37"/>
        <v>0.11</v>
      </c>
      <c r="I609" s="758">
        <f t="shared" si="38"/>
        <v>0</v>
      </c>
      <c r="J609" s="760">
        <f t="shared" si="39"/>
        <v>0</v>
      </c>
      <c r="K609" s="74"/>
      <c r="L609" s="74"/>
      <c r="M609" s="74" t="s">
        <v>1991</v>
      </c>
      <c r="N609" s="74">
        <v>0</v>
      </c>
      <c r="O609" s="74">
        <v>0</v>
      </c>
      <c r="P609" s="74">
        <v>0</v>
      </c>
    </row>
    <row r="610" spans="1:16">
      <c r="A610" s="74" t="s">
        <v>711</v>
      </c>
      <c r="B610" s="74" t="s">
        <v>251</v>
      </c>
      <c r="C610" s="74" t="s">
        <v>1528</v>
      </c>
      <c r="D610" s="74" t="s">
        <v>78</v>
      </c>
      <c r="E610" s="74">
        <v>2</v>
      </c>
      <c r="F610" s="74">
        <v>0</v>
      </c>
      <c r="G610" s="758">
        <f t="shared" si="36"/>
        <v>0.11</v>
      </c>
      <c r="H610" s="759">
        <f t="shared" si="37"/>
        <v>0.22</v>
      </c>
      <c r="I610" s="758">
        <f t="shared" si="38"/>
        <v>-0.11</v>
      </c>
      <c r="J610" s="760">
        <f t="shared" si="39"/>
        <v>0</v>
      </c>
      <c r="K610" s="74"/>
      <c r="L610" s="74"/>
      <c r="M610" s="74" t="s">
        <v>836</v>
      </c>
      <c r="N610" s="74">
        <v>1.66</v>
      </c>
      <c r="O610" s="74">
        <v>0.31</v>
      </c>
      <c r="P610" s="74">
        <v>0.80920000000000003</v>
      </c>
    </row>
    <row r="611" spans="1:16">
      <c r="A611" s="74" t="s">
        <v>711</v>
      </c>
      <c r="B611" s="74" t="s">
        <v>251</v>
      </c>
      <c r="C611" s="74" t="s">
        <v>1508</v>
      </c>
      <c r="D611" s="74" t="s">
        <v>78</v>
      </c>
      <c r="E611" s="74">
        <v>6</v>
      </c>
      <c r="F611" s="74">
        <v>0</v>
      </c>
      <c r="G611" s="758">
        <f t="shared" si="36"/>
        <v>0.11</v>
      </c>
      <c r="H611" s="759">
        <f t="shared" si="37"/>
        <v>0.22</v>
      </c>
      <c r="I611" s="758">
        <f t="shared" si="38"/>
        <v>-0.11</v>
      </c>
      <c r="J611" s="760">
        <f t="shared" si="39"/>
        <v>0</v>
      </c>
      <c r="K611" s="74"/>
      <c r="L611" s="74"/>
      <c r="M611" s="74" t="s">
        <v>1992</v>
      </c>
      <c r="N611" s="74">
        <v>0</v>
      </c>
      <c r="O611" s="74">
        <v>0</v>
      </c>
      <c r="P611" s="74">
        <v>0</v>
      </c>
    </row>
    <row r="612" spans="1:16">
      <c r="A612" s="74" t="s">
        <v>711</v>
      </c>
      <c r="B612" s="74" t="s">
        <v>251</v>
      </c>
      <c r="C612" s="74" t="s">
        <v>1509</v>
      </c>
      <c r="D612" s="74" t="s">
        <v>78</v>
      </c>
      <c r="E612" s="74">
        <v>2</v>
      </c>
      <c r="F612" s="74">
        <v>0</v>
      </c>
      <c r="G612" s="758">
        <f t="shared" si="36"/>
        <v>0.11</v>
      </c>
      <c r="H612" s="759">
        <f t="shared" si="37"/>
        <v>0.22</v>
      </c>
      <c r="I612" s="758">
        <f t="shared" si="38"/>
        <v>-0.11</v>
      </c>
      <c r="J612" s="760">
        <f t="shared" si="39"/>
        <v>0</v>
      </c>
      <c r="K612" s="74"/>
      <c r="L612" s="74"/>
      <c r="M612" s="74" t="s">
        <v>1993</v>
      </c>
      <c r="N612" s="74">
        <v>0</v>
      </c>
      <c r="O612" s="74">
        <v>0</v>
      </c>
      <c r="P612" s="74">
        <v>1</v>
      </c>
    </row>
    <row r="613" spans="1:16">
      <c r="A613" s="74" t="s">
        <v>711</v>
      </c>
      <c r="B613" s="74" t="s">
        <v>251</v>
      </c>
      <c r="C613" s="74" t="s">
        <v>1565</v>
      </c>
      <c r="D613" s="74" t="s">
        <v>78</v>
      </c>
      <c r="E613" s="74">
        <v>4</v>
      </c>
      <c r="F613" s="74">
        <v>0</v>
      </c>
      <c r="G613" s="758">
        <f t="shared" si="36"/>
        <v>0.11</v>
      </c>
      <c r="H613" s="759">
        <f t="shared" si="37"/>
        <v>0.22</v>
      </c>
      <c r="I613" s="758">
        <f t="shared" si="38"/>
        <v>-0.11</v>
      </c>
      <c r="J613" s="760">
        <f t="shared" si="39"/>
        <v>0</v>
      </c>
      <c r="K613" s="74"/>
      <c r="L613" s="74"/>
      <c r="M613" s="74" t="s">
        <v>1994</v>
      </c>
      <c r="N613" s="74">
        <v>0</v>
      </c>
      <c r="O613" s="74">
        <v>0</v>
      </c>
      <c r="P613" s="74">
        <v>1</v>
      </c>
    </row>
    <row r="614" spans="1:16">
      <c r="A614" s="74" t="s">
        <v>711</v>
      </c>
      <c r="B614" s="74" t="s">
        <v>251</v>
      </c>
      <c r="C614" s="74" t="s">
        <v>1530</v>
      </c>
      <c r="D614" s="74" t="s">
        <v>80</v>
      </c>
      <c r="E614" s="74">
        <v>3</v>
      </c>
      <c r="F614" s="74">
        <v>0</v>
      </c>
      <c r="G614" s="758">
        <f t="shared" si="36"/>
        <v>0.11</v>
      </c>
      <c r="H614" s="759">
        <f t="shared" si="37"/>
        <v>0.22</v>
      </c>
      <c r="I614" s="758">
        <f t="shared" si="38"/>
        <v>-0.11</v>
      </c>
      <c r="J614" s="760">
        <f t="shared" si="39"/>
        <v>0</v>
      </c>
      <c r="K614" s="74"/>
      <c r="L614" s="74"/>
      <c r="M614" s="74" t="s">
        <v>814</v>
      </c>
      <c r="N614" s="74">
        <v>0.6</v>
      </c>
      <c r="O614" s="74">
        <v>0.26</v>
      </c>
      <c r="P614" s="74">
        <v>0.88819999999999999</v>
      </c>
    </row>
    <row r="615" spans="1:16">
      <c r="A615" s="74" t="s">
        <v>711</v>
      </c>
      <c r="B615" s="74" t="s">
        <v>251</v>
      </c>
      <c r="C615" s="74" t="s">
        <v>1532</v>
      </c>
      <c r="D615" s="74" t="s">
        <v>80</v>
      </c>
      <c r="E615" s="74">
        <v>3</v>
      </c>
      <c r="F615" s="74">
        <v>0</v>
      </c>
      <c r="G615" s="758">
        <f t="shared" si="36"/>
        <v>0.11</v>
      </c>
      <c r="H615" s="759">
        <f t="shared" si="37"/>
        <v>0.22</v>
      </c>
      <c r="I615" s="758">
        <f t="shared" si="38"/>
        <v>-0.11</v>
      </c>
      <c r="J615" s="760">
        <f t="shared" si="39"/>
        <v>0</v>
      </c>
      <c r="K615" s="74"/>
      <c r="L615" s="74"/>
      <c r="M615" s="74" t="s">
        <v>1091</v>
      </c>
      <c r="N615" s="74">
        <v>1.31</v>
      </c>
      <c r="O615" s="74">
        <v>0.23</v>
      </c>
      <c r="P615" s="74">
        <v>0.79530000000000001</v>
      </c>
    </row>
    <row r="616" spans="1:16">
      <c r="A616" s="74" t="s">
        <v>711</v>
      </c>
      <c r="B616" s="74" t="s">
        <v>251</v>
      </c>
      <c r="C616" s="74" t="s">
        <v>1511</v>
      </c>
      <c r="D616" s="74" t="s">
        <v>80</v>
      </c>
      <c r="E616" s="74">
        <v>2</v>
      </c>
      <c r="F616" s="74">
        <v>0</v>
      </c>
      <c r="G616" s="758">
        <f t="shared" si="36"/>
        <v>0.11</v>
      </c>
      <c r="H616" s="759">
        <f t="shared" si="37"/>
        <v>0.22</v>
      </c>
      <c r="I616" s="758">
        <f t="shared" si="38"/>
        <v>-0.11</v>
      </c>
      <c r="J616" s="760">
        <f t="shared" si="39"/>
        <v>0</v>
      </c>
      <c r="K616" s="74"/>
      <c r="L616" s="74"/>
      <c r="M616" s="74" t="s">
        <v>896</v>
      </c>
      <c r="N616" s="74">
        <v>0</v>
      </c>
      <c r="O616" s="74">
        <v>0</v>
      </c>
      <c r="P616" s="74">
        <v>1</v>
      </c>
    </row>
    <row r="617" spans="1:16">
      <c r="A617" s="74" t="s">
        <v>711</v>
      </c>
      <c r="B617" s="74" t="s">
        <v>251</v>
      </c>
      <c r="C617" s="74" t="s">
        <v>1512</v>
      </c>
      <c r="D617" s="74" t="s">
        <v>80</v>
      </c>
      <c r="E617" s="74">
        <v>2</v>
      </c>
      <c r="F617" s="74">
        <v>0</v>
      </c>
      <c r="G617" s="758">
        <f t="shared" si="36"/>
        <v>0.11</v>
      </c>
      <c r="H617" s="759">
        <f t="shared" si="37"/>
        <v>0.22</v>
      </c>
      <c r="I617" s="758">
        <f t="shared" si="38"/>
        <v>-0.11</v>
      </c>
      <c r="J617" s="760">
        <f t="shared" si="39"/>
        <v>0</v>
      </c>
      <c r="K617" s="74"/>
      <c r="L617" s="74"/>
      <c r="M617" s="74" t="s">
        <v>1995</v>
      </c>
      <c r="N617" s="74">
        <v>0</v>
      </c>
      <c r="O617" s="74">
        <v>0</v>
      </c>
      <c r="P617" s="74">
        <v>1</v>
      </c>
    </row>
    <row r="618" spans="1:16">
      <c r="A618" s="74" t="s">
        <v>711</v>
      </c>
      <c r="B618" s="74" t="s">
        <v>251</v>
      </c>
      <c r="C618" s="74" t="s">
        <v>1513</v>
      </c>
      <c r="D618" s="74" t="s">
        <v>81</v>
      </c>
      <c r="E618" s="74">
        <v>8</v>
      </c>
      <c r="F618" s="74">
        <v>0</v>
      </c>
      <c r="G618" s="758">
        <f t="shared" si="36"/>
        <v>0.11</v>
      </c>
      <c r="H618" s="759">
        <f t="shared" si="37"/>
        <v>0.22</v>
      </c>
      <c r="I618" s="758">
        <f t="shared" si="38"/>
        <v>-0.11</v>
      </c>
      <c r="J618" s="760">
        <f t="shared" si="39"/>
        <v>0</v>
      </c>
      <c r="K618" s="74"/>
      <c r="L618" s="74"/>
      <c r="M618" s="74" t="s">
        <v>1996</v>
      </c>
      <c r="N618" s="74">
        <v>0</v>
      </c>
      <c r="O618" s="74">
        <v>0</v>
      </c>
      <c r="P618" s="74">
        <v>1</v>
      </c>
    </row>
    <row r="619" spans="1:16">
      <c r="A619" s="74" t="s">
        <v>711</v>
      </c>
      <c r="B619" s="74" t="s">
        <v>251</v>
      </c>
      <c r="C619" s="74" t="s">
        <v>1514</v>
      </c>
      <c r="D619" s="74" t="s">
        <v>81</v>
      </c>
      <c r="E619" s="74">
        <v>4</v>
      </c>
      <c r="F619" s="74">
        <v>0</v>
      </c>
      <c r="G619" s="758">
        <f t="shared" si="36"/>
        <v>0.11</v>
      </c>
      <c r="H619" s="759">
        <f t="shared" si="37"/>
        <v>0.22</v>
      </c>
      <c r="I619" s="758">
        <f t="shared" si="38"/>
        <v>-0.11</v>
      </c>
      <c r="J619" s="760">
        <f t="shared" si="39"/>
        <v>0</v>
      </c>
      <c r="K619" s="74"/>
      <c r="L619" s="74"/>
      <c r="M619" s="74" t="s">
        <v>1997</v>
      </c>
      <c r="N619" s="74">
        <v>0</v>
      </c>
      <c r="O619" s="74">
        <v>0</v>
      </c>
      <c r="P619" s="74">
        <v>1</v>
      </c>
    </row>
    <row r="620" spans="1:16">
      <c r="A620" s="74" t="s">
        <v>1556</v>
      </c>
      <c r="B620" s="74" t="s">
        <v>251</v>
      </c>
      <c r="C620" s="74" t="s">
        <v>1516</v>
      </c>
      <c r="D620" s="74" t="s">
        <v>82</v>
      </c>
      <c r="E620" s="74">
        <v>2</v>
      </c>
      <c r="F620" s="74">
        <v>4</v>
      </c>
      <c r="G620" s="758">
        <f t="shared" si="36"/>
        <v>0</v>
      </c>
      <c r="H620" s="759">
        <f t="shared" si="37"/>
        <v>0.24</v>
      </c>
      <c r="I620" s="758">
        <f t="shared" si="38"/>
        <v>2</v>
      </c>
      <c r="J620" s="760">
        <f t="shared" si="39"/>
        <v>1</v>
      </c>
      <c r="K620" s="74"/>
      <c r="L620" s="74"/>
      <c r="M620" s="74" t="s">
        <v>1998</v>
      </c>
      <c r="N620" s="74">
        <v>0</v>
      </c>
      <c r="O620" s="74">
        <v>0</v>
      </c>
      <c r="P620" s="74">
        <v>1</v>
      </c>
    </row>
    <row r="621" spans="1:16">
      <c r="A621" s="74" t="s">
        <v>1558</v>
      </c>
      <c r="B621" s="74" t="s">
        <v>251</v>
      </c>
      <c r="C621" s="74" t="s">
        <v>1512</v>
      </c>
      <c r="D621" s="74" t="s">
        <v>80</v>
      </c>
      <c r="E621" s="74">
        <v>1</v>
      </c>
      <c r="F621" s="74">
        <v>0</v>
      </c>
      <c r="G621" s="758">
        <f t="shared" si="36"/>
        <v>0</v>
      </c>
      <c r="H621" s="759">
        <f t="shared" si="37"/>
        <v>0.23</v>
      </c>
      <c r="I621" s="758">
        <f t="shared" si="38"/>
        <v>0</v>
      </c>
      <c r="J621" s="760">
        <f t="shared" si="39"/>
        <v>0</v>
      </c>
      <c r="K621" s="74"/>
      <c r="L621" s="74"/>
      <c r="M621" s="74" t="s">
        <v>1999</v>
      </c>
      <c r="N621" s="74">
        <v>0</v>
      </c>
      <c r="O621" s="74">
        <v>0</v>
      </c>
      <c r="P621" s="74">
        <v>1</v>
      </c>
    </row>
    <row r="622" spans="1:16">
      <c r="A622" s="74" t="s">
        <v>1558</v>
      </c>
      <c r="B622" s="74" t="s">
        <v>251</v>
      </c>
      <c r="C622" s="74" t="s">
        <v>1515</v>
      </c>
      <c r="D622" s="74" t="s">
        <v>81</v>
      </c>
      <c r="E622" s="74">
        <v>4</v>
      </c>
      <c r="F622" s="74">
        <v>0</v>
      </c>
      <c r="G622" s="758">
        <f t="shared" si="36"/>
        <v>0</v>
      </c>
      <c r="H622" s="759">
        <f t="shared" si="37"/>
        <v>0.23</v>
      </c>
      <c r="I622" s="758">
        <f t="shared" si="38"/>
        <v>0</v>
      </c>
      <c r="J622" s="760">
        <f t="shared" si="39"/>
        <v>0</v>
      </c>
      <c r="K622" s="74"/>
      <c r="L622" s="74"/>
      <c r="M622" s="74" t="s">
        <v>2000</v>
      </c>
      <c r="N622" s="74">
        <v>0</v>
      </c>
      <c r="O622" s="74">
        <v>0</v>
      </c>
      <c r="P622" s="74">
        <v>1</v>
      </c>
    </row>
    <row r="623" spans="1:16">
      <c r="A623" s="74" t="s">
        <v>1558</v>
      </c>
      <c r="B623" s="74" t="s">
        <v>251</v>
      </c>
      <c r="C623" s="74" t="s">
        <v>1516</v>
      </c>
      <c r="D623" s="74" t="s">
        <v>82</v>
      </c>
      <c r="E623" s="74">
        <v>8</v>
      </c>
      <c r="F623" s="74">
        <v>34</v>
      </c>
      <c r="G623" s="758">
        <f t="shared" si="36"/>
        <v>0</v>
      </c>
      <c r="H623" s="759">
        <f t="shared" si="37"/>
        <v>0.23</v>
      </c>
      <c r="I623" s="758">
        <f t="shared" si="38"/>
        <v>4.25</v>
      </c>
      <c r="J623" s="760">
        <f t="shared" si="39"/>
        <v>1</v>
      </c>
      <c r="K623" s="74"/>
      <c r="L623" s="74"/>
      <c r="M623" s="74" t="s">
        <v>2001</v>
      </c>
      <c r="N623" s="74">
        <v>0</v>
      </c>
      <c r="O623" s="74">
        <v>0</v>
      </c>
      <c r="P623" s="74">
        <v>1</v>
      </c>
    </row>
    <row r="624" spans="1:16">
      <c r="A624" s="74" t="s">
        <v>1558</v>
      </c>
      <c r="B624" s="74" t="s">
        <v>251</v>
      </c>
      <c r="C624" s="74" t="s">
        <v>1517</v>
      </c>
      <c r="D624" s="74" t="s">
        <v>82</v>
      </c>
      <c r="E624" s="74">
        <v>7</v>
      </c>
      <c r="F624" s="74">
        <v>0</v>
      </c>
      <c r="G624" s="758">
        <f t="shared" si="36"/>
        <v>0</v>
      </c>
      <c r="H624" s="759">
        <f t="shared" si="37"/>
        <v>0.23</v>
      </c>
      <c r="I624" s="758">
        <f t="shared" si="38"/>
        <v>0</v>
      </c>
      <c r="J624" s="760">
        <f t="shared" si="39"/>
        <v>0</v>
      </c>
      <c r="K624" s="74"/>
      <c r="L624" s="74"/>
      <c r="M624" s="74" t="s">
        <v>2002</v>
      </c>
      <c r="N624" s="74">
        <v>0</v>
      </c>
      <c r="O624" s="74">
        <v>0</v>
      </c>
      <c r="P624" s="74">
        <v>1</v>
      </c>
    </row>
    <row r="625" spans="1:16">
      <c r="A625" s="74" t="s">
        <v>1559</v>
      </c>
      <c r="B625" s="74" t="s">
        <v>266</v>
      </c>
      <c r="C625" s="74" t="s">
        <v>1561</v>
      </c>
      <c r="D625" s="74" t="s">
        <v>87</v>
      </c>
      <c r="E625" s="74">
        <v>1</v>
      </c>
      <c r="F625" s="74">
        <v>0</v>
      </c>
      <c r="G625" s="758">
        <f t="shared" si="36"/>
        <v>0</v>
      </c>
      <c r="H625" s="759">
        <f t="shared" si="37"/>
        <v>0</v>
      </c>
      <c r="I625" s="758">
        <f t="shared" si="38"/>
        <v>0</v>
      </c>
      <c r="J625" s="760">
        <f t="shared" si="39"/>
        <v>0</v>
      </c>
      <c r="K625" s="74"/>
      <c r="L625" s="74"/>
      <c r="M625" s="74" t="s">
        <v>2003</v>
      </c>
      <c r="N625" s="74">
        <v>0</v>
      </c>
      <c r="O625" s="74">
        <v>0</v>
      </c>
      <c r="P625" s="74">
        <v>1</v>
      </c>
    </row>
    <row r="626" spans="1:16">
      <c r="A626" s="74" t="s">
        <v>854</v>
      </c>
      <c r="B626" s="74" t="s">
        <v>251</v>
      </c>
      <c r="C626" s="74" t="s">
        <v>1518</v>
      </c>
      <c r="D626" s="74" t="s">
        <v>82</v>
      </c>
      <c r="E626" s="74">
        <v>3</v>
      </c>
      <c r="F626" s="74">
        <v>4.6500000000000004</v>
      </c>
      <c r="G626" s="758">
        <f t="shared" si="36"/>
        <v>0.23</v>
      </c>
      <c r="H626" s="759">
        <f t="shared" si="37"/>
        <v>0.16</v>
      </c>
      <c r="I626" s="758">
        <f t="shared" si="38"/>
        <v>1.32</v>
      </c>
      <c r="J626" s="760">
        <f t="shared" si="39"/>
        <v>0.85161290322580641</v>
      </c>
      <c r="K626" s="74"/>
      <c r="L626" s="74"/>
      <c r="M626" s="74" t="s">
        <v>2004</v>
      </c>
      <c r="N626" s="74">
        <v>0</v>
      </c>
      <c r="O626" s="74">
        <v>0.24</v>
      </c>
      <c r="P626" s="74">
        <v>1</v>
      </c>
    </row>
    <row r="627" spans="1:16">
      <c r="A627" s="74" t="s">
        <v>854</v>
      </c>
      <c r="B627" s="74" t="s">
        <v>251</v>
      </c>
      <c r="C627" s="74" t="s">
        <v>1519</v>
      </c>
      <c r="D627" s="74" t="s">
        <v>84</v>
      </c>
      <c r="E627" s="74">
        <v>1</v>
      </c>
      <c r="F627" s="74">
        <v>1.55</v>
      </c>
      <c r="G627" s="758">
        <f t="shared" si="36"/>
        <v>0.23</v>
      </c>
      <c r="H627" s="759">
        <f t="shared" si="37"/>
        <v>0.16</v>
      </c>
      <c r="I627" s="758">
        <f t="shared" si="38"/>
        <v>1.32</v>
      </c>
      <c r="J627" s="760">
        <f t="shared" si="39"/>
        <v>0.85161290322580641</v>
      </c>
      <c r="K627" s="74"/>
      <c r="L627" s="74"/>
      <c r="M627" s="74" t="s">
        <v>1114</v>
      </c>
      <c r="N627" s="74">
        <v>1.71</v>
      </c>
      <c r="O627" s="74">
        <v>0.22</v>
      </c>
      <c r="P627" s="74">
        <v>0.80049999999999999</v>
      </c>
    </row>
    <row r="628" spans="1:16">
      <c r="A628" s="74" t="s">
        <v>854</v>
      </c>
      <c r="B628" s="74" t="s">
        <v>251</v>
      </c>
      <c r="C628" s="74" t="s">
        <v>1540</v>
      </c>
      <c r="D628" s="74" t="s">
        <v>84</v>
      </c>
      <c r="E628" s="74">
        <v>1</v>
      </c>
      <c r="F628" s="74">
        <v>1.55</v>
      </c>
      <c r="G628" s="758">
        <f t="shared" si="36"/>
        <v>0.23</v>
      </c>
      <c r="H628" s="759">
        <f t="shared" si="37"/>
        <v>0.16</v>
      </c>
      <c r="I628" s="758">
        <f t="shared" si="38"/>
        <v>1.32</v>
      </c>
      <c r="J628" s="760">
        <f t="shared" si="39"/>
        <v>0.85161290322580641</v>
      </c>
      <c r="K628" s="74"/>
      <c r="L628" s="74"/>
      <c r="M628" s="74" t="s">
        <v>2005</v>
      </c>
      <c r="N628" s="74">
        <v>0</v>
      </c>
      <c r="O628" s="74">
        <v>0</v>
      </c>
      <c r="P628" s="74">
        <v>1</v>
      </c>
    </row>
    <row r="629" spans="1:16">
      <c r="A629" s="74" t="s">
        <v>854</v>
      </c>
      <c r="B629" s="74" t="s">
        <v>251</v>
      </c>
      <c r="C629" s="74" t="s">
        <v>1520</v>
      </c>
      <c r="D629" s="74" t="s">
        <v>84</v>
      </c>
      <c r="E629" s="74">
        <v>1</v>
      </c>
      <c r="F629" s="74">
        <v>1.55</v>
      </c>
      <c r="G629" s="758">
        <f t="shared" si="36"/>
        <v>0.23</v>
      </c>
      <c r="H629" s="759">
        <f t="shared" si="37"/>
        <v>0.16</v>
      </c>
      <c r="I629" s="758">
        <f t="shared" si="38"/>
        <v>1.32</v>
      </c>
      <c r="J629" s="760">
        <f t="shared" si="39"/>
        <v>0.85161290322580641</v>
      </c>
      <c r="K629" s="74"/>
      <c r="L629" s="74"/>
      <c r="M629" s="74" t="s">
        <v>2006</v>
      </c>
      <c r="N629" s="74">
        <v>0</v>
      </c>
      <c r="O629" s="74">
        <v>0</v>
      </c>
      <c r="P629" s="74">
        <v>0</v>
      </c>
    </row>
    <row r="630" spans="1:16">
      <c r="A630" s="74" t="s">
        <v>854</v>
      </c>
      <c r="B630" s="74" t="s">
        <v>251</v>
      </c>
      <c r="C630" s="74" t="s">
        <v>1577</v>
      </c>
      <c r="D630" s="74" t="s">
        <v>84</v>
      </c>
      <c r="E630" s="74">
        <v>3</v>
      </c>
      <c r="F630" s="74">
        <v>4.6500000000000004</v>
      </c>
      <c r="G630" s="758">
        <f t="shared" si="36"/>
        <v>0.23</v>
      </c>
      <c r="H630" s="759">
        <f t="shared" si="37"/>
        <v>0.16</v>
      </c>
      <c r="I630" s="758">
        <f t="shared" si="38"/>
        <v>1.32</v>
      </c>
      <c r="J630" s="760">
        <f t="shared" si="39"/>
        <v>0.85161290322580641</v>
      </c>
      <c r="K630" s="74"/>
      <c r="L630" s="74"/>
      <c r="M630" s="74" t="s">
        <v>2007</v>
      </c>
      <c r="N630" s="74">
        <v>0</v>
      </c>
      <c r="O630" s="74">
        <v>0</v>
      </c>
      <c r="P630" s="74">
        <v>1</v>
      </c>
    </row>
    <row r="631" spans="1:16">
      <c r="A631" s="74" t="s">
        <v>854</v>
      </c>
      <c r="B631" s="74" t="s">
        <v>251</v>
      </c>
      <c r="C631" s="74" t="s">
        <v>1507</v>
      </c>
      <c r="D631" s="74" t="s">
        <v>86</v>
      </c>
      <c r="E631" s="74">
        <v>4</v>
      </c>
      <c r="F631" s="74">
        <v>6.2</v>
      </c>
      <c r="G631" s="758">
        <f t="shared" si="36"/>
        <v>0.23</v>
      </c>
      <c r="H631" s="759">
        <f t="shared" si="37"/>
        <v>0.16</v>
      </c>
      <c r="I631" s="758">
        <f t="shared" si="38"/>
        <v>1.32</v>
      </c>
      <c r="J631" s="760">
        <f t="shared" si="39"/>
        <v>0.85161290322580641</v>
      </c>
      <c r="K631" s="74"/>
      <c r="L631" s="74"/>
      <c r="M631" s="74" t="s">
        <v>2008</v>
      </c>
      <c r="N631" s="74">
        <v>0</v>
      </c>
      <c r="O631" s="74">
        <v>0</v>
      </c>
      <c r="P631" s="74">
        <v>1</v>
      </c>
    </row>
    <row r="632" spans="1:16">
      <c r="A632" s="74" t="s">
        <v>854</v>
      </c>
      <c r="B632" s="74" t="s">
        <v>251</v>
      </c>
      <c r="C632" s="74" t="s">
        <v>1644</v>
      </c>
      <c r="D632" s="74" t="s">
        <v>86</v>
      </c>
      <c r="E632" s="74">
        <v>2</v>
      </c>
      <c r="F632" s="74">
        <v>3.1</v>
      </c>
      <c r="G632" s="758">
        <f t="shared" si="36"/>
        <v>0.23</v>
      </c>
      <c r="H632" s="759">
        <f t="shared" si="37"/>
        <v>0.16</v>
      </c>
      <c r="I632" s="758">
        <f t="shared" si="38"/>
        <v>1.32</v>
      </c>
      <c r="J632" s="760">
        <f t="shared" si="39"/>
        <v>0.85161290322580641</v>
      </c>
      <c r="K632" s="74"/>
      <c r="L632" s="74"/>
      <c r="M632" s="74" t="s">
        <v>828</v>
      </c>
      <c r="N632" s="74">
        <v>1.65</v>
      </c>
      <c r="O632" s="74">
        <v>0.36</v>
      </c>
      <c r="P632" s="74">
        <v>0.78639999999999999</v>
      </c>
    </row>
    <row r="633" spans="1:16">
      <c r="A633" s="74" t="s">
        <v>854</v>
      </c>
      <c r="B633" s="74" t="s">
        <v>251</v>
      </c>
      <c r="C633" s="74" t="s">
        <v>1578</v>
      </c>
      <c r="D633" s="74" t="s">
        <v>86</v>
      </c>
      <c r="E633" s="74">
        <v>2</v>
      </c>
      <c r="F633" s="74">
        <v>3.1</v>
      </c>
      <c r="G633" s="758">
        <f t="shared" si="36"/>
        <v>0.23</v>
      </c>
      <c r="H633" s="759">
        <f t="shared" si="37"/>
        <v>0.16</v>
      </c>
      <c r="I633" s="758">
        <f t="shared" si="38"/>
        <v>1.32</v>
      </c>
      <c r="J633" s="760">
        <f t="shared" si="39"/>
        <v>0.85161290322580641</v>
      </c>
      <c r="K633" s="74"/>
      <c r="L633" s="74"/>
      <c r="M633" s="74" t="s">
        <v>2009</v>
      </c>
      <c r="N633" s="74">
        <v>1.1200000000000001</v>
      </c>
      <c r="O633" s="74">
        <v>0.3</v>
      </c>
      <c r="P633" s="74">
        <v>0.58430000000000004</v>
      </c>
    </row>
    <row r="634" spans="1:16">
      <c r="A634" s="74" t="s">
        <v>854</v>
      </c>
      <c r="B634" s="74" t="s">
        <v>251</v>
      </c>
      <c r="C634" s="74" t="s">
        <v>1646</v>
      </c>
      <c r="D634" s="74" t="s">
        <v>86</v>
      </c>
      <c r="E634" s="74">
        <v>3</v>
      </c>
      <c r="F634" s="74">
        <v>4.6500000000000004</v>
      </c>
      <c r="G634" s="758">
        <f t="shared" si="36"/>
        <v>0.23</v>
      </c>
      <c r="H634" s="759">
        <f t="shared" si="37"/>
        <v>0.16</v>
      </c>
      <c r="I634" s="758">
        <f t="shared" si="38"/>
        <v>1.32</v>
      </c>
      <c r="J634" s="760">
        <f t="shared" si="39"/>
        <v>0.85161290322580641</v>
      </c>
      <c r="K634" s="74"/>
      <c r="L634" s="74"/>
      <c r="M634" s="74" t="s">
        <v>1019</v>
      </c>
      <c r="N634" s="74">
        <v>0</v>
      </c>
      <c r="O634" s="74">
        <v>0</v>
      </c>
      <c r="P634" s="74">
        <v>1</v>
      </c>
    </row>
    <row r="635" spans="1:16">
      <c r="A635" s="74" t="s">
        <v>854</v>
      </c>
      <c r="B635" s="74" t="s">
        <v>251</v>
      </c>
      <c r="C635" s="74" t="s">
        <v>1541</v>
      </c>
      <c r="D635" s="74" t="s">
        <v>86</v>
      </c>
      <c r="E635" s="74">
        <v>9</v>
      </c>
      <c r="F635" s="74">
        <v>14.1</v>
      </c>
      <c r="G635" s="758">
        <f t="shared" si="36"/>
        <v>0.23</v>
      </c>
      <c r="H635" s="759">
        <f t="shared" si="37"/>
        <v>0.16</v>
      </c>
      <c r="I635" s="758">
        <f t="shared" si="38"/>
        <v>1.3366666666666667</v>
      </c>
      <c r="J635" s="760">
        <f t="shared" si="39"/>
        <v>0.85319148936170208</v>
      </c>
      <c r="K635" s="74"/>
      <c r="L635" s="74"/>
      <c r="M635" s="74" t="s">
        <v>1229</v>
      </c>
      <c r="N635" s="74">
        <v>0</v>
      </c>
      <c r="O635" s="74">
        <v>0</v>
      </c>
      <c r="P635" s="74">
        <v>0</v>
      </c>
    </row>
    <row r="636" spans="1:16">
      <c r="A636" s="74" t="s">
        <v>854</v>
      </c>
      <c r="B636" s="74" t="s">
        <v>251</v>
      </c>
      <c r="C636" s="74" t="s">
        <v>1543</v>
      </c>
      <c r="D636" s="74" t="s">
        <v>87</v>
      </c>
      <c r="E636" s="74">
        <v>11</v>
      </c>
      <c r="F636" s="74">
        <v>17.05</v>
      </c>
      <c r="G636" s="758">
        <f t="shared" si="36"/>
        <v>0.23</v>
      </c>
      <c r="H636" s="759">
        <f t="shared" si="37"/>
        <v>0.16</v>
      </c>
      <c r="I636" s="758">
        <f t="shared" si="38"/>
        <v>1.32</v>
      </c>
      <c r="J636" s="760">
        <f t="shared" si="39"/>
        <v>0.85161290322580641</v>
      </c>
      <c r="K636" s="74"/>
      <c r="L636" s="74"/>
      <c r="M636" s="74" t="s">
        <v>2010</v>
      </c>
      <c r="N636" s="74">
        <v>5.6</v>
      </c>
      <c r="O636" s="74">
        <v>0.31</v>
      </c>
      <c r="P636" s="74">
        <v>0.72209999999999996</v>
      </c>
    </row>
    <row r="637" spans="1:16">
      <c r="A637" s="74" t="s">
        <v>854</v>
      </c>
      <c r="B637" s="74" t="s">
        <v>251</v>
      </c>
      <c r="C637" s="74" t="s">
        <v>1544</v>
      </c>
      <c r="D637" s="74" t="s">
        <v>87</v>
      </c>
      <c r="E637" s="74">
        <v>9</v>
      </c>
      <c r="F637" s="74">
        <v>13.95</v>
      </c>
      <c r="G637" s="758">
        <f t="shared" si="36"/>
        <v>0.23</v>
      </c>
      <c r="H637" s="759">
        <f t="shared" si="37"/>
        <v>0.16</v>
      </c>
      <c r="I637" s="758">
        <f t="shared" si="38"/>
        <v>1.3199999999999998</v>
      </c>
      <c r="J637" s="760">
        <f t="shared" si="39"/>
        <v>0.85161290322580641</v>
      </c>
      <c r="K637" s="74"/>
      <c r="L637" s="74"/>
      <c r="M637" s="74" t="s">
        <v>1017</v>
      </c>
      <c r="N637" s="74">
        <v>0.14000000000000001</v>
      </c>
      <c r="O637" s="74">
        <v>0</v>
      </c>
      <c r="P637" s="74">
        <v>0.96160000000000001</v>
      </c>
    </row>
    <row r="638" spans="1:16">
      <c r="A638" s="74" t="s">
        <v>854</v>
      </c>
      <c r="B638" s="74" t="s">
        <v>251</v>
      </c>
      <c r="C638" s="74" t="s">
        <v>1605</v>
      </c>
      <c r="D638" s="74" t="s">
        <v>87</v>
      </c>
      <c r="E638" s="74">
        <v>10</v>
      </c>
      <c r="F638" s="74">
        <v>15.5</v>
      </c>
      <c r="G638" s="758">
        <f t="shared" si="36"/>
        <v>0.23</v>
      </c>
      <c r="H638" s="759">
        <f t="shared" si="37"/>
        <v>0.16</v>
      </c>
      <c r="I638" s="758">
        <f t="shared" si="38"/>
        <v>1.32</v>
      </c>
      <c r="J638" s="760">
        <f t="shared" si="39"/>
        <v>0.85161290322580641</v>
      </c>
      <c r="K638" s="74"/>
      <c r="L638" s="74"/>
      <c r="M638" s="74" t="s">
        <v>2011</v>
      </c>
      <c r="N638" s="74">
        <v>1.1200000000000001</v>
      </c>
      <c r="O638" s="74">
        <v>0.28999999999999998</v>
      </c>
      <c r="P638" s="74">
        <v>0.73950000000000005</v>
      </c>
    </row>
    <row r="639" spans="1:16">
      <c r="A639" s="74" t="s">
        <v>854</v>
      </c>
      <c r="B639" s="74" t="s">
        <v>251</v>
      </c>
      <c r="C639" s="74" t="s">
        <v>1561</v>
      </c>
      <c r="D639" s="74" t="s">
        <v>87</v>
      </c>
      <c r="E639" s="74">
        <v>5</v>
      </c>
      <c r="F639" s="74">
        <v>7.75</v>
      </c>
      <c r="G639" s="758">
        <f t="shared" si="36"/>
        <v>0.23</v>
      </c>
      <c r="H639" s="759">
        <f t="shared" si="37"/>
        <v>0.16</v>
      </c>
      <c r="I639" s="758">
        <f t="shared" si="38"/>
        <v>1.32</v>
      </c>
      <c r="J639" s="760">
        <f t="shared" si="39"/>
        <v>0.85161290322580641</v>
      </c>
      <c r="K639" s="74"/>
      <c r="L639" s="74"/>
      <c r="M639" s="74" t="s">
        <v>2012</v>
      </c>
      <c r="N639" s="74">
        <v>0</v>
      </c>
      <c r="O639" s="74">
        <v>0</v>
      </c>
      <c r="P639" s="74">
        <v>1</v>
      </c>
    </row>
    <row r="640" spans="1:16">
      <c r="A640" s="74" t="s">
        <v>854</v>
      </c>
      <c r="B640" s="74" t="s">
        <v>251</v>
      </c>
      <c r="C640" s="74" t="s">
        <v>1608</v>
      </c>
      <c r="D640" s="74" t="s">
        <v>89</v>
      </c>
      <c r="E640" s="74">
        <v>3</v>
      </c>
      <c r="F640" s="74">
        <v>4.6500000000000004</v>
      </c>
      <c r="G640" s="758">
        <f t="shared" si="36"/>
        <v>0.23</v>
      </c>
      <c r="H640" s="759">
        <f t="shared" si="37"/>
        <v>0.16</v>
      </c>
      <c r="I640" s="758">
        <f t="shared" si="38"/>
        <v>1.32</v>
      </c>
      <c r="J640" s="760">
        <f t="shared" si="39"/>
        <v>0.85161290322580641</v>
      </c>
      <c r="K640" s="74"/>
      <c r="L640" s="74"/>
      <c r="M640" s="74" t="s">
        <v>1357</v>
      </c>
      <c r="N640" s="74">
        <v>1.1200000000000001</v>
      </c>
      <c r="O640" s="74">
        <v>0.28999999999999998</v>
      </c>
      <c r="P640" s="74">
        <v>0.73950000000000005</v>
      </c>
    </row>
    <row r="641" spans="1:16">
      <c r="A641" s="74" t="s">
        <v>854</v>
      </c>
      <c r="B641" s="74" t="s">
        <v>251</v>
      </c>
      <c r="C641" s="74" t="s">
        <v>1610</v>
      </c>
      <c r="D641" s="74" t="s">
        <v>89</v>
      </c>
      <c r="E641" s="74">
        <v>4</v>
      </c>
      <c r="F641" s="74">
        <v>6.2</v>
      </c>
      <c r="G641" s="758">
        <f t="shared" si="36"/>
        <v>0.23</v>
      </c>
      <c r="H641" s="759">
        <f t="shared" si="37"/>
        <v>0.16</v>
      </c>
      <c r="I641" s="758">
        <f t="shared" si="38"/>
        <v>1.32</v>
      </c>
      <c r="J641" s="760">
        <f t="shared" si="39"/>
        <v>0.85161290322580641</v>
      </c>
      <c r="K641" s="74"/>
      <c r="L641" s="74"/>
      <c r="M641" s="74" t="s">
        <v>2013</v>
      </c>
      <c r="N641" s="74">
        <v>5.6</v>
      </c>
      <c r="O641" s="74">
        <v>0.28000000000000003</v>
      </c>
      <c r="P641" s="74">
        <v>0.78959999999999997</v>
      </c>
    </row>
    <row r="642" spans="1:16">
      <c r="A642" s="74" t="s">
        <v>854</v>
      </c>
      <c r="B642" s="74" t="s">
        <v>251</v>
      </c>
      <c r="C642" s="74" t="s">
        <v>1546</v>
      </c>
      <c r="D642" s="74" t="s">
        <v>89</v>
      </c>
      <c r="E642" s="74">
        <v>4</v>
      </c>
      <c r="F642" s="74">
        <v>6.2</v>
      </c>
      <c r="G642" s="758">
        <f t="shared" ref="G642:G705" si="40">IFERROR(VLOOKUP(A642,$M$1:$P$1014,2,FALSE),0)</f>
        <v>0.23</v>
      </c>
      <c r="H642" s="759">
        <f t="shared" ref="H642:H705" si="41">IFERROR(VLOOKUP(A642,$M$1:$P$1014,3,FALSE),0)</f>
        <v>0.16</v>
      </c>
      <c r="I642" s="758">
        <f t="shared" ref="I642:I705" si="42">IFERROR(F642/E642-G642,0)</f>
        <v>1.32</v>
      </c>
      <c r="J642" s="760">
        <f t="shared" ref="J642:J705" si="43">IFERROR(1-G642*E642/F642,0)</f>
        <v>0.85161290322580641</v>
      </c>
      <c r="K642" s="74"/>
      <c r="L642" s="74"/>
      <c r="M642" s="74" t="s">
        <v>2014</v>
      </c>
      <c r="N642" s="74">
        <v>1.1200000000000001</v>
      </c>
      <c r="O642" s="74">
        <v>0.26</v>
      </c>
      <c r="P642" s="74">
        <v>0.79530000000000001</v>
      </c>
    </row>
    <row r="643" spans="1:16">
      <c r="A643" s="74" t="s">
        <v>854</v>
      </c>
      <c r="B643" s="74" t="s">
        <v>251</v>
      </c>
      <c r="C643" s="74" t="s">
        <v>1547</v>
      </c>
      <c r="D643" s="74" t="s">
        <v>89</v>
      </c>
      <c r="E643" s="74">
        <v>3</v>
      </c>
      <c r="F643" s="74">
        <v>4.6500000000000004</v>
      </c>
      <c r="G643" s="758">
        <f t="shared" si="40"/>
        <v>0.23</v>
      </c>
      <c r="H643" s="759">
        <f t="shared" si="41"/>
        <v>0.16</v>
      </c>
      <c r="I643" s="758">
        <f t="shared" si="42"/>
        <v>1.32</v>
      </c>
      <c r="J643" s="760">
        <f t="shared" si="43"/>
        <v>0.85161290322580641</v>
      </c>
      <c r="K643" s="74"/>
      <c r="L643" s="74"/>
      <c r="M643" s="74" t="s">
        <v>2015</v>
      </c>
      <c r="N643" s="74">
        <v>5.6</v>
      </c>
      <c r="O643" s="74">
        <v>0.31</v>
      </c>
      <c r="P643" s="74">
        <v>0.72209999999999996</v>
      </c>
    </row>
    <row r="644" spans="1:16">
      <c r="A644" s="74" t="s">
        <v>854</v>
      </c>
      <c r="B644" s="74" t="s">
        <v>251</v>
      </c>
      <c r="C644" s="74" t="s">
        <v>1582</v>
      </c>
      <c r="D644" s="74" t="s">
        <v>89</v>
      </c>
      <c r="E644" s="74">
        <v>3</v>
      </c>
      <c r="F644" s="74">
        <v>4.6500000000000004</v>
      </c>
      <c r="G644" s="758">
        <f t="shared" si="40"/>
        <v>0.23</v>
      </c>
      <c r="H644" s="759">
        <f t="shared" si="41"/>
        <v>0.16</v>
      </c>
      <c r="I644" s="758">
        <f t="shared" si="42"/>
        <v>1.32</v>
      </c>
      <c r="J644" s="760">
        <f t="shared" si="43"/>
        <v>0.85161290322580641</v>
      </c>
      <c r="K644" s="74"/>
      <c r="L644" s="74"/>
      <c r="M644" s="74" t="s">
        <v>2016</v>
      </c>
      <c r="N644" s="74">
        <v>5.6</v>
      </c>
      <c r="O644" s="74">
        <v>1.48</v>
      </c>
      <c r="P644" s="74">
        <v>-0.34710000000000002</v>
      </c>
    </row>
    <row r="645" spans="1:16">
      <c r="A645" s="74" t="s">
        <v>854</v>
      </c>
      <c r="B645" s="74" t="s">
        <v>251</v>
      </c>
      <c r="C645" s="74" t="s">
        <v>1522</v>
      </c>
      <c r="D645" s="74" t="s">
        <v>91</v>
      </c>
      <c r="E645" s="74">
        <v>2</v>
      </c>
      <c r="F645" s="74">
        <v>3.1</v>
      </c>
      <c r="G645" s="758">
        <f t="shared" si="40"/>
        <v>0.23</v>
      </c>
      <c r="H645" s="759">
        <f t="shared" si="41"/>
        <v>0.16</v>
      </c>
      <c r="I645" s="758">
        <f t="shared" si="42"/>
        <v>1.32</v>
      </c>
      <c r="J645" s="760">
        <f t="shared" si="43"/>
        <v>0.85161290322580641</v>
      </c>
      <c r="K645" s="74"/>
      <c r="L645" s="74"/>
      <c r="M645" s="74" t="s">
        <v>867</v>
      </c>
      <c r="N645" s="74">
        <v>0</v>
      </c>
      <c r="O645" s="74">
        <v>0</v>
      </c>
      <c r="P645" s="74">
        <v>1</v>
      </c>
    </row>
    <row r="646" spans="1:16">
      <c r="A646" s="74" t="s">
        <v>854</v>
      </c>
      <c r="B646" s="74" t="s">
        <v>251</v>
      </c>
      <c r="C646" s="74" t="s">
        <v>1550</v>
      </c>
      <c r="D646" s="74" t="s">
        <v>91</v>
      </c>
      <c r="E646" s="74">
        <v>2</v>
      </c>
      <c r="F646" s="74">
        <v>3.1</v>
      </c>
      <c r="G646" s="758">
        <f t="shared" si="40"/>
        <v>0.23</v>
      </c>
      <c r="H646" s="759">
        <f t="shared" si="41"/>
        <v>0.16</v>
      </c>
      <c r="I646" s="758">
        <f t="shared" si="42"/>
        <v>1.32</v>
      </c>
      <c r="J646" s="760">
        <f t="shared" si="43"/>
        <v>0.85161290322580641</v>
      </c>
      <c r="K646" s="74"/>
      <c r="L646" s="74"/>
      <c r="M646" s="74" t="s">
        <v>2017</v>
      </c>
      <c r="N646" s="74">
        <v>0</v>
      </c>
      <c r="O646" s="74">
        <v>0</v>
      </c>
      <c r="P646" s="74">
        <v>1</v>
      </c>
    </row>
    <row r="647" spans="1:16">
      <c r="A647" s="74" t="s">
        <v>854</v>
      </c>
      <c r="B647" s="74" t="s">
        <v>251</v>
      </c>
      <c r="C647" s="74" t="s">
        <v>1675</v>
      </c>
      <c r="D647" s="74" t="s">
        <v>91</v>
      </c>
      <c r="E647" s="74">
        <v>4</v>
      </c>
      <c r="F647" s="74">
        <v>6.2</v>
      </c>
      <c r="G647" s="758">
        <f t="shared" si="40"/>
        <v>0.23</v>
      </c>
      <c r="H647" s="759">
        <f t="shared" si="41"/>
        <v>0.16</v>
      </c>
      <c r="I647" s="758">
        <f t="shared" si="42"/>
        <v>1.32</v>
      </c>
      <c r="J647" s="760">
        <f t="shared" si="43"/>
        <v>0.85161290322580641</v>
      </c>
      <c r="K647" s="74"/>
      <c r="L647" s="74"/>
      <c r="M647" s="74" t="s">
        <v>678</v>
      </c>
      <c r="N647" s="74">
        <v>1.56</v>
      </c>
      <c r="O647" s="74">
        <v>0.28000000000000003</v>
      </c>
      <c r="P647" s="74">
        <v>0.7631</v>
      </c>
    </row>
    <row r="648" spans="1:16">
      <c r="A648" s="74" t="s">
        <v>854</v>
      </c>
      <c r="B648" s="74" t="s">
        <v>251</v>
      </c>
      <c r="C648" s="74" t="s">
        <v>1524</v>
      </c>
      <c r="D648" s="74" t="s">
        <v>91</v>
      </c>
      <c r="E648" s="74">
        <v>1</v>
      </c>
      <c r="F648" s="74">
        <v>1.55</v>
      </c>
      <c r="G648" s="758">
        <f t="shared" si="40"/>
        <v>0.23</v>
      </c>
      <c r="H648" s="759">
        <f t="shared" si="41"/>
        <v>0.16</v>
      </c>
      <c r="I648" s="758">
        <f t="shared" si="42"/>
        <v>1.32</v>
      </c>
      <c r="J648" s="760">
        <f t="shared" si="43"/>
        <v>0.85161290322580641</v>
      </c>
      <c r="K648" s="74"/>
      <c r="L648" s="74"/>
      <c r="M648" s="74" t="s">
        <v>738</v>
      </c>
      <c r="N648" s="74">
        <v>1.81</v>
      </c>
      <c r="O648" s="74">
        <v>0.27</v>
      </c>
      <c r="P648" s="74">
        <v>0.77649999999999997</v>
      </c>
    </row>
    <row r="649" spans="1:16">
      <c r="A649" s="74" t="s">
        <v>854</v>
      </c>
      <c r="B649" s="74" t="s">
        <v>251</v>
      </c>
      <c r="C649" s="74" t="s">
        <v>1584</v>
      </c>
      <c r="D649" s="74" t="s">
        <v>92</v>
      </c>
      <c r="E649" s="74">
        <v>3</v>
      </c>
      <c r="F649" s="74">
        <v>4.6500000000000004</v>
      </c>
      <c r="G649" s="758">
        <f t="shared" si="40"/>
        <v>0.23</v>
      </c>
      <c r="H649" s="759">
        <f t="shared" si="41"/>
        <v>0.16</v>
      </c>
      <c r="I649" s="758">
        <f t="shared" si="42"/>
        <v>1.32</v>
      </c>
      <c r="J649" s="760">
        <f t="shared" si="43"/>
        <v>0.85161290322580641</v>
      </c>
      <c r="K649" s="74"/>
      <c r="L649" s="74"/>
      <c r="M649" s="74" t="s">
        <v>2018</v>
      </c>
      <c r="N649" s="74">
        <v>0</v>
      </c>
      <c r="O649" s="74">
        <v>0</v>
      </c>
      <c r="P649" s="74">
        <v>1</v>
      </c>
    </row>
    <row r="650" spans="1:16">
      <c r="A650" s="74" t="s">
        <v>854</v>
      </c>
      <c r="B650" s="74" t="s">
        <v>251</v>
      </c>
      <c r="C650" s="74" t="s">
        <v>1614</v>
      </c>
      <c r="D650" s="74" t="s">
        <v>92</v>
      </c>
      <c r="E650" s="74">
        <v>4</v>
      </c>
      <c r="F650" s="74">
        <v>6.2</v>
      </c>
      <c r="G650" s="758">
        <f t="shared" si="40"/>
        <v>0.23</v>
      </c>
      <c r="H650" s="759">
        <f t="shared" si="41"/>
        <v>0.16</v>
      </c>
      <c r="I650" s="758">
        <f t="shared" si="42"/>
        <v>1.32</v>
      </c>
      <c r="J650" s="760">
        <f t="shared" si="43"/>
        <v>0.85161290322580641</v>
      </c>
      <c r="K650" s="74"/>
      <c r="L650" s="74"/>
      <c r="M650" s="74" t="s">
        <v>2019</v>
      </c>
      <c r="N650" s="74">
        <v>2.09</v>
      </c>
      <c r="O650" s="74">
        <v>0.42</v>
      </c>
      <c r="P650" s="74">
        <v>0.61029999999999995</v>
      </c>
    </row>
    <row r="651" spans="1:16">
      <c r="A651" s="74" t="s">
        <v>854</v>
      </c>
      <c r="B651" s="74" t="s">
        <v>251</v>
      </c>
      <c r="C651" s="74" t="s">
        <v>1631</v>
      </c>
      <c r="D651" s="74" t="s">
        <v>92</v>
      </c>
      <c r="E651" s="74">
        <v>2</v>
      </c>
      <c r="F651" s="74">
        <v>3.1</v>
      </c>
      <c r="G651" s="758">
        <f t="shared" si="40"/>
        <v>0.23</v>
      </c>
      <c r="H651" s="759">
        <f t="shared" si="41"/>
        <v>0.16</v>
      </c>
      <c r="I651" s="758">
        <f t="shared" si="42"/>
        <v>1.32</v>
      </c>
      <c r="J651" s="760">
        <f t="shared" si="43"/>
        <v>0.85161290322580641</v>
      </c>
      <c r="K651" s="74"/>
      <c r="L651" s="74"/>
      <c r="M651" s="74" t="s">
        <v>685</v>
      </c>
      <c r="N651" s="74">
        <v>1.84</v>
      </c>
      <c r="O651" s="74">
        <v>0.24</v>
      </c>
      <c r="P651" s="74">
        <v>0.79410000000000003</v>
      </c>
    </row>
    <row r="652" spans="1:16">
      <c r="A652" s="74" t="s">
        <v>854</v>
      </c>
      <c r="B652" s="74" t="s">
        <v>251</v>
      </c>
      <c r="C652" s="74" t="s">
        <v>1552</v>
      </c>
      <c r="D652" s="74" t="s">
        <v>92</v>
      </c>
      <c r="E652" s="74">
        <v>5</v>
      </c>
      <c r="F652" s="74">
        <v>7.75</v>
      </c>
      <c r="G652" s="758">
        <f t="shared" si="40"/>
        <v>0.23</v>
      </c>
      <c r="H652" s="759">
        <f t="shared" si="41"/>
        <v>0.16</v>
      </c>
      <c r="I652" s="758">
        <f t="shared" si="42"/>
        <v>1.32</v>
      </c>
      <c r="J652" s="760">
        <f t="shared" si="43"/>
        <v>0.85161290322580641</v>
      </c>
      <c r="K652" s="74"/>
      <c r="L652" s="74"/>
      <c r="M652" s="74" t="s">
        <v>2020</v>
      </c>
      <c r="N652" s="74">
        <v>0.28000000000000003</v>
      </c>
      <c r="O652" s="74">
        <v>0</v>
      </c>
      <c r="P652" s="74">
        <v>0</v>
      </c>
    </row>
    <row r="653" spans="1:16">
      <c r="A653" s="74" t="s">
        <v>854</v>
      </c>
      <c r="B653" s="74" t="s">
        <v>251</v>
      </c>
      <c r="C653" s="74" t="s">
        <v>1617</v>
      </c>
      <c r="D653" s="74" t="s">
        <v>94</v>
      </c>
      <c r="E653" s="74">
        <v>4</v>
      </c>
      <c r="F653" s="74">
        <v>6.2</v>
      </c>
      <c r="G653" s="758">
        <f t="shared" si="40"/>
        <v>0.23</v>
      </c>
      <c r="H653" s="759">
        <f t="shared" si="41"/>
        <v>0.16</v>
      </c>
      <c r="I653" s="758">
        <f t="shared" si="42"/>
        <v>1.32</v>
      </c>
      <c r="J653" s="760">
        <f t="shared" si="43"/>
        <v>0.85161290322580641</v>
      </c>
      <c r="K653" s="74"/>
      <c r="L653" s="74"/>
      <c r="M653" s="74" t="s">
        <v>2021</v>
      </c>
      <c r="N653" s="74">
        <v>0</v>
      </c>
      <c r="O653" s="74">
        <v>0</v>
      </c>
      <c r="P653" s="74">
        <v>0</v>
      </c>
    </row>
    <row r="654" spans="1:16">
      <c r="A654" s="74" t="s">
        <v>854</v>
      </c>
      <c r="B654" s="74" t="s">
        <v>251</v>
      </c>
      <c r="C654" s="74" t="s">
        <v>1553</v>
      </c>
      <c r="D654" s="74" t="s">
        <v>94</v>
      </c>
      <c r="E654" s="74">
        <v>3</v>
      </c>
      <c r="F654" s="74">
        <v>4.6500000000000004</v>
      </c>
      <c r="G654" s="758">
        <f t="shared" si="40"/>
        <v>0.23</v>
      </c>
      <c r="H654" s="759">
        <f t="shared" si="41"/>
        <v>0.16</v>
      </c>
      <c r="I654" s="758">
        <f t="shared" si="42"/>
        <v>1.32</v>
      </c>
      <c r="J654" s="760">
        <f t="shared" si="43"/>
        <v>0.85161290322580641</v>
      </c>
      <c r="K654" s="74"/>
      <c r="L654" s="74"/>
      <c r="M654" s="74" t="s">
        <v>2022</v>
      </c>
      <c r="N654" s="74">
        <v>0</v>
      </c>
      <c r="O654" s="74">
        <v>0</v>
      </c>
      <c r="P654" s="74">
        <v>0</v>
      </c>
    </row>
    <row r="655" spans="1:16">
      <c r="A655" s="74" t="s">
        <v>854</v>
      </c>
      <c r="B655" s="74" t="s">
        <v>251</v>
      </c>
      <c r="C655" s="74" t="s">
        <v>1555</v>
      </c>
      <c r="D655" s="74" t="s">
        <v>94</v>
      </c>
      <c r="E655" s="74">
        <v>1</v>
      </c>
      <c r="F655" s="74">
        <v>1.55</v>
      </c>
      <c r="G655" s="758">
        <f t="shared" si="40"/>
        <v>0.23</v>
      </c>
      <c r="H655" s="759">
        <f t="shared" si="41"/>
        <v>0.16</v>
      </c>
      <c r="I655" s="758">
        <f t="shared" si="42"/>
        <v>1.32</v>
      </c>
      <c r="J655" s="760">
        <f t="shared" si="43"/>
        <v>0.85161290322580641</v>
      </c>
      <c r="K655" s="74"/>
      <c r="L655" s="74"/>
      <c r="M655" s="74" t="s">
        <v>2023</v>
      </c>
      <c r="N655" s="74">
        <v>0</v>
      </c>
      <c r="O655" s="74">
        <v>0</v>
      </c>
      <c r="P655" s="74">
        <v>0</v>
      </c>
    </row>
    <row r="656" spans="1:16">
      <c r="A656" s="74" t="s">
        <v>854</v>
      </c>
      <c r="B656" s="74" t="s">
        <v>251</v>
      </c>
      <c r="C656" s="74" t="s">
        <v>1557</v>
      </c>
      <c r="D656" s="74" t="s">
        <v>95</v>
      </c>
      <c r="E656" s="74">
        <v>4</v>
      </c>
      <c r="F656" s="74">
        <v>6.2</v>
      </c>
      <c r="G656" s="758">
        <f t="shared" si="40"/>
        <v>0.23</v>
      </c>
      <c r="H656" s="759">
        <f t="shared" si="41"/>
        <v>0.16</v>
      </c>
      <c r="I656" s="758">
        <f t="shared" si="42"/>
        <v>1.32</v>
      </c>
      <c r="J656" s="760">
        <f t="shared" si="43"/>
        <v>0.85161290322580641</v>
      </c>
      <c r="K656" s="74"/>
      <c r="L656" s="74"/>
      <c r="M656" s="74" t="s">
        <v>2024</v>
      </c>
      <c r="N656" s="74">
        <v>0</v>
      </c>
      <c r="O656" s="74">
        <v>0</v>
      </c>
      <c r="P656" s="74">
        <v>0</v>
      </c>
    </row>
    <row r="657" spans="1:16">
      <c r="A657" s="74" t="s">
        <v>854</v>
      </c>
      <c r="B657" s="74" t="s">
        <v>251</v>
      </c>
      <c r="C657" s="74" t="s">
        <v>1526</v>
      </c>
      <c r="D657" s="74" t="s">
        <v>95</v>
      </c>
      <c r="E657" s="74">
        <v>2</v>
      </c>
      <c r="F657" s="74">
        <v>3.1</v>
      </c>
      <c r="G657" s="758">
        <f t="shared" si="40"/>
        <v>0.23</v>
      </c>
      <c r="H657" s="759">
        <f t="shared" si="41"/>
        <v>0.16</v>
      </c>
      <c r="I657" s="758">
        <f t="shared" si="42"/>
        <v>1.32</v>
      </c>
      <c r="J657" s="760">
        <f t="shared" si="43"/>
        <v>0.85161290322580641</v>
      </c>
      <c r="K657" s="74"/>
      <c r="L657" s="74"/>
      <c r="M657" s="74" t="s">
        <v>2025</v>
      </c>
      <c r="N657" s="74">
        <v>0</v>
      </c>
      <c r="O657" s="74">
        <v>0</v>
      </c>
      <c r="P657" s="74">
        <v>0</v>
      </c>
    </row>
    <row r="658" spans="1:16">
      <c r="A658" s="74" t="s">
        <v>854</v>
      </c>
      <c r="B658" s="74" t="s">
        <v>251</v>
      </c>
      <c r="C658" s="74" t="s">
        <v>1930</v>
      </c>
      <c r="D658" s="74" t="s">
        <v>95</v>
      </c>
      <c r="E658" s="74">
        <v>3</v>
      </c>
      <c r="F658" s="74">
        <v>4.6500000000000004</v>
      </c>
      <c r="G658" s="758">
        <f t="shared" si="40"/>
        <v>0.23</v>
      </c>
      <c r="H658" s="759">
        <f t="shared" si="41"/>
        <v>0.16</v>
      </c>
      <c r="I658" s="758">
        <f t="shared" si="42"/>
        <v>1.32</v>
      </c>
      <c r="J658" s="760">
        <f t="shared" si="43"/>
        <v>0.85161290322580641</v>
      </c>
      <c r="K658" s="74"/>
      <c r="L658" s="74"/>
      <c r="M658" s="74" t="s">
        <v>2026</v>
      </c>
      <c r="N658" s="74">
        <v>0.21</v>
      </c>
      <c r="O658" s="74">
        <v>0</v>
      </c>
      <c r="P658" s="74">
        <v>0</v>
      </c>
    </row>
    <row r="659" spans="1:16">
      <c r="A659" s="74" t="s">
        <v>714</v>
      </c>
      <c r="B659" s="74" t="s">
        <v>251</v>
      </c>
      <c r="C659" s="74" t="s">
        <v>1528</v>
      </c>
      <c r="D659" s="74" t="s">
        <v>78</v>
      </c>
      <c r="E659" s="74">
        <v>2</v>
      </c>
      <c r="F659" s="74">
        <v>1.41</v>
      </c>
      <c r="G659" s="758">
        <f t="shared" si="40"/>
        <v>0</v>
      </c>
      <c r="H659" s="759">
        <f t="shared" si="41"/>
        <v>0.2</v>
      </c>
      <c r="I659" s="758">
        <f t="shared" si="42"/>
        <v>0.70499999999999996</v>
      </c>
      <c r="J659" s="760">
        <f t="shared" si="43"/>
        <v>1</v>
      </c>
      <c r="K659" s="74"/>
      <c r="L659" s="74"/>
      <c r="M659" s="74" t="s">
        <v>2027</v>
      </c>
      <c r="N659" s="74">
        <v>0</v>
      </c>
      <c r="O659" s="74">
        <v>0</v>
      </c>
      <c r="P659" s="74">
        <v>0</v>
      </c>
    </row>
    <row r="660" spans="1:16">
      <c r="A660" s="74" t="s">
        <v>714</v>
      </c>
      <c r="B660" s="74" t="s">
        <v>251</v>
      </c>
      <c r="C660" s="74" t="s">
        <v>1508</v>
      </c>
      <c r="D660" s="74" t="s">
        <v>78</v>
      </c>
      <c r="E660" s="74">
        <v>3</v>
      </c>
      <c r="F660" s="74">
        <v>4.5</v>
      </c>
      <c r="G660" s="758">
        <f t="shared" si="40"/>
        <v>0</v>
      </c>
      <c r="H660" s="759">
        <f t="shared" si="41"/>
        <v>0.2</v>
      </c>
      <c r="I660" s="758">
        <f t="shared" si="42"/>
        <v>1.5</v>
      </c>
      <c r="J660" s="760">
        <f t="shared" si="43"/>
        <v>1</v>
      </c>
      <c r="K660" s="74"/>
      <c r="L660" s="74"/>
      <c r="M660" s="74" t="s">
        <v>2028</v>
      </c>
      <c r="N660" s="74">
        <v>0.42</v>
      </c>
      <c r="O660" s="74">
        <v>0</v>
      </c>
      <c r="P660" s="74">
        <v>0</v>
      </c>
    </row>
    <row r="661" spans="1:16">
      <c r="A661" s="74" t="s">
        <v>714</v>
      </c>
      <c r="B661" s="74" t="s">
        <v>251</v>
      </c>
      <c r="C661" s="74" t="s">
        <v>1509</v>
      </c>
      <c r="D661" s="74" t="s">
        <v>78</v>
      </c>
      <c r="E661" s="74">
        <v>1</v>
      </c>
      <c r="F661" s="74">
        <v>1.41</v>
      </c>
      <c r="G661" s="758">
        <f t="shared" si="40"/>
        <v>0</v>
      </c>
      <c r="H661" s="759">
        <f t="shared" si="41"/>
        <v>0.2</v>
      </c>
      <c r="I661" s="758">
        <f t="shared" si="42"/>
        <v>1.41</v>
      </c>
      <c r="J661" s="760">
        <f t="shared" si="43"/>
        <v>1</v>
      </c>
      <c r="K661" s="74"/>
      <c r="L661" s="74"/>
      <c r="M661" s="74" t="s">
        <v>2029</v>
      </c>
      <c r="N661" s="74">
        <v>0.42</v>
      </c>
      <c r="O661" s="74">
        <v>0</v>
      </c>
      <c r="P661" s="74">
        <v>0</v>
      </c>
    </row>
    <row r="662" spans="1:16">
      <c r="A662" s="74" t="s">
        <v>714</v>
      </c>
      <c r="B662" s="74" t="s">
        <v>251</v>
      </c>
      <c r="C662" s="74" t="s">
        <v>1565</v>
      </c>
      <c r="D662" s="74" t="s">
        <v>78</v>
      </c>
      <c r="E662" s="74">
        <v>3</v>
      </c>
      <c r="F662" s="74">
        <v>2.82</v>
      </c>
      <c r="G662" s="758">
        <f t="shared" si="40"/>
        <v>0</v>
      </c>
      <c r="H662" s="759">
        <f t="shared" si="41"/>
        <v>0.2</v>
      </c>
      <c r="I662" s="758">
        <f t="shared" si="42"/>
        <v>0.94</v>
      </c>
      <c r="J662" s="760">
        <f t="shared" si="43"/>
        <v>1</v>
      </c>
      <c r="K662" s="74"/>
      <c r="L662" s="74"/>
      <c r="M662" s="74" t="s">
        <v>2030</v>
      </c>
      <c r="N662" s="74">
        <v>0.42</v>
      </c>
      <c r="O662" s="74">
        <v>0</v>
      </c>
      <c r="P662" s="74">
        <v>0</v>
      </c>
    </row>
    <row r="663" spans="1:16">
      <c r="A663" s="74" t="s">
        <v>714</v>
      </c>
      <c r="B663" s="74" t="s">
        <v>251</v>
      </c>
      <c r="C663" s="74" t="s">
        <v>1530</v>
      </c>
      <c r="D663" s="74" t="s">
        <v>80</v>
      </c>
      <c r="E663" s="74">
        <v>5</v>
      </c>
      <c r="F663" s="74">
        <v>9.02</v>
      </c>
      <c r="G663" s="758">
        <f t="shared" si="40"/>
        <v>0</v>
      </c>
      <c r="H663" s="759">
        <f t="shared" si="41"/>
        <v>0.2</v>
      </c>
      <c r="I663" s="758">
        <f t="shared" si="42"/>
        <v>1.8039999999999998</v>
      </c>
      <c r="J663" s="760">
        <f t="shared" si="43"/>
        <v>1</v>
      </c>
      <c r="K663" s="74"/>
      <c r="L663" s="74"/>
      <c r="M663" s="74" t="s">
        <v>2031</v>
      </c>
      <c r="N663" s="74">
        <v>0.42</v>
      </c>
      <c r="O663" s="74">
        <v>0.92</v>
      </c>
      <c r="P663" s="74">
        <v>-3.2</v>
      </c>
    </row>
    <row r="664" spans="1:16">
      <c r="A664" s="74" t="s">
        <v>714</v>
      </c>
      <c r="B664" s="74" t="s">
        <v>251</v>
      </c>
      <c r="C664" s="74" t="s">
        <v>1532</v>
      </c>
      <c r="D664" s="74" t="s">
        <v>80</v>
      </c>
      <c r="E664" s="74">
        <v>8</v>
      </c>
      <c r="F664" s="74">
        <v>10.57</v>
      </c>
      <c r="G664" s="758">
        <f t="shared" si="40"/>
        <v>0</v>
      </c>
      <c r="H664" s="759">
        <f t="shared" si="41"/>
        <v>0.2</v>
      </c>
      <c r="I664" s="758">
        <f t="shared" si="42"/>
        <v>1.32125</v>
      </c>
      <c r="J664" s="760">
        <f t="shared" si="43"/>
        <v>1</v>
      </c>
      <c r="K664" s="74"/>
      <c r="L664" s="74"/>
      <c r="M664" s="74" t="s">
        <v>917</v>
      </c>
      <c r="N664" s="74">
        <v>0.04</v>
      </c>
      <c r="O664" s="74">
        <v>0</v>
      </c>
      <c r="P664" s="74">
        <v>0</v>
      </c>
    </row>
    <row r="665" spans="1:16">
      <c r="A665" s="74" t="s">
        <v>714</v>
      </c>
      <c r="B665" s="74" t="s">
        <v>251</v>
      </c>
      <c r="C665" s="74" t="s">
        <v>1511</v>
      </c>
      <c r="D665" s="74" t="s">
        <v>80</v>
      </c>
      <c r="E665" s="74">
        <v>11</v>
      </c>
      <c r="F665" s="74">
        <v>15.22</v>
      </c>
      <c r="G665" s="758">
        <f t="shared" si="40"/>
        <v>0</v>
      </c>
      <c r="H665" s="759">
        <f t="shared" si="41"/>
        <v>0.2</v>
      </c>
      <c r="I665" s="758">
        <f t="shared" si="42"/>
        <v>1.3836363636363638</v>
      </c>
      <c r="J665" s="760">
        <f t="shared" si="43"/>
        <v>1</v>
      </c>
      <c r="K665" s="74"/>
      <c r="L665" s="74"/>
      <c r="M665" s="74" t="s">
        <v>1094</v>
      </c>
      <c r="N665" s="74">
        <v>0</v>
      </c>
      <c r="O665" s="74">
        <v>0</v>
      </c>
      <c r="P665" s="74">
        <v>0</v>
      </c>
    </row>
    <row r="666" spans="1:16">
      <c r="A666" s="74" t="s">
        <v>714</v>
      </c>
      <c r="B666" s="74" t="s">
        <v>251</v>
      </c>
      <c r="C666" s="74" t="s">
        <v>1512</v>
      </c>
      <c r="D666" s="74" t="s">
        <v>80</v>
      </c>
      <c r="E666" s="74">
        <v>13</v>
      </c>
      <c r="F666" s="74">
        <v>18.48</v>
      </c>
      <c r="G666" s="758">
        <f t="shared" si="40"/>
        <v>0</v>
      </c>
      <c r="H666" s="759">
        <f t="shared" si="41"/>
        <v>0.2</v>
      </c>
      <c r="I666" s="758">
        <f t="shared" si="42"/>
        <v>1.4215384615384616</v>
      </c>
      <c r="J666" s="760">
        <f t="shared" si="43"/>
        <v>1</v>
      </c>
      <c r="K666" s="74"/>
      <c r="L666" s="74"/>
      <c r="M666" s="74" t="s">
        <v>2032</v>
      </c>
      <c r="N666" s="74">
        <v>0</v>
      </c>
      <c r="O666" s="74">
        <v>0</v>
      </c>
      <c r="P666" s="74">
        <v>0</v>
      </c>
    </row>
    <row r="667" spans="1:16">
      <c r="A667" s="74" t="s">
        <v>714</v>
      </c>
      <c r="B667" s="74" t="s">
        <v>251</v>
      </c>
      <c r="C667" s="74" t="s">
        <v>1534</v>
      </c>
      <c r="D667" s="74" t="s">
        <v>81</v>
      </c>
      <c r="E667" s="74">
        <v>5</v>
      </c>
      <c r="F667" s="74">
        <v>7.9</v>
      </c>
      <c r="G667" s="758">
        <f t="shared" si="40"/>
        <v>0</v>
      </c>
      <c r="H667" s="759">
        <f t="shared" si="41"/>
        <v>0.2</v>
      </c>
      <c r="I667" s="758">
        <f t="shared" si="42"/>
        <v>1.58</v>
      </c>
      <c r="J667" s="760">
        <f t="shared" si="43"/>
        <v>1</v>
      </c>
      <c r="K667" s="74"/>
      <c r="L667" s="74"/>
      <c r="M667" s="74" t="s">
        <v>2033</v>
      </c>
      <c r="N667" s="74">
        <v>0</v>
      </c>
      <c r="O667" s="74">
        <v>0</v>
      </c>
      <c r="P667" s="74">
        <v>0</v>
      </c>
    </row>
    <row r="668" spans="1:16">
      <c r="A668" s="74" t="s">
        <v>714</v>
      </c>
      <c r="B668" s="74" t="s">
        <v>251</v>
      </c>
      <c r="C668" s="74" t="s">
        <v>1513</v>
      </c>
      <c r="D668" s="74" t="s">
        <v>81</v>
      </c>
      <c r="E668" s="74">
        <v>23</v>
      </c>
      <c r="F668" s="74">
        <v>27.2</v>
      </c>
      <c r="G668" s="758">
        <f t="shared" si="40"/>
        <v>0</v>
      </c>
      <c r="H668" s="759">
        <f t="shared" si="41"/>
        <v>0.2</v>
      </c>
      <c r="I668" s="758">
        <f t="shared" si="42"/>
        <v>1.182608695652174</v>
      </c>
      <c r="J668" s="760">
        <f t="shared" si="43"/>
        <v>1</v>
      </c>
      <c r="K668" s="74"/>
      <c r="L668" s="74"/>
      <c r="M668" s="74" t="s">
        <v>2034</v>
      </c>
      <c r="N668" s="74">
        <v>0</v>
      </c>
      <c r="O668" s="74">
        <v>0</v>
      </c>
      <c r="P668" s="74">
        <v>0</v>
      </c>
    </row>
    <row r="669" spans="1:16">
      <c r="A669" s="74" t="s">
        <v>714</v>
      </c>
      <c r="B669" s="74" t="s">
        <v>251</v>
      </c>
      <c r="C669" s="74" t="s">
        <v>1514</v>
      </c>
      <c r="D669" s="74" t="s">
        <v>81</v>
      </c>
      <c r="E669" s="74">
        <v>12</v>
      </c>
      <c r="F669" s="74">
        <v>14.65</v>
      </c>
      <c r="G669" s="758">
        <f t="shared" si="40"/>
        <v>0</v>
      </c>
      <c r="H669" s="759">
        <f t="shared" si="41"/>
        <v>0.2</v>
      </c>
      <c r="I669" s="758">
        <f t="shared" si="42"/>
        <v>1.2208333333333334</v>
      </c>
      <c r="J669" s="760">
        <f t="shared" si="43"/>
        <v>1</v>
      </c>
      <c r="K669" s="74"/>
      <c r="L669" s="74"/>
      <c r="M669" s="74" t="s">
        <v>2035</v>
      </c>
      <c r="N669" s="74">
        <v>0.42</v>
      </c>
      <c r="O669" s="74">
        <v>0</v>
      </c>
      <c r="P669" s="74">
        <v>0</v>
      </c>
    </row>
    <row r="670" spans="1:16">
      <c r="A670" s="74" t="s">
        <v>714</v>
      </c>
      <c r="B670" s="74" t="s">
        <v>251</v>
      </c>
      <c r="C670" s="74" t="s">
        <v>1515</v>
      </c>
      <c r="D670" s="74" t="s">
        <v>81</v>
      </c>
      <c r="E670" s="74">
        <v>8</v>
      </c>
      <c r="F670" s="74">
        <v>11.7</v>
      </c>
      <c r="G670" s="758">
        <f t="shared" si="40"/>
        <v>0</v>
      </c>
      <c r="H670" s="759">
        <f t="shared" si="41"/>
        <v>0.2</v>
      </c>
      <c r="I670" s="758">
        <f t="shared" si="42"/>
        <v>1.4624999999999999</v>
      </c>
      <c r="J670" s="760">
        <f t="shared" si="43"/>
        <v>1</v>
      </c>
      <c r="K670" s="74"/>
      <c r="L670" s="74"/>
      <c r="M670" s="74" t="s">
        <v>2036</v>
      </c>
      <c r="N670" s="74">
        <v>0.42</v>
      </c>
      <c r="O670" s="74">
        <v>0</v>
      </c>
      <c r="P670" s="74">
        <v>0</v>
      </c>
    </row>
    <row r="671" spans="1:16">
      <c r="A671" s="74" t="s">
        <v>714</v>
      </c>
      <c r="B671" s="74" t="s">
        <v>251</v>
      </c>
      <c r="C671" s="74" t="s">
        <v>1516</v>
      </c>
      <c r="D671" s="74" t="s">
        <v>82</v>
      </c>
      <c r="E671" s="74">
        <v>7</v>
      </c>
      <c r="F671" s="74">
        <v>13.15</v>
      </c>
      <c r="G671" s="758">
        <f t="shared" si="40"/>
        <v>0</v>
      </c>
      <c r="H671" s="759">
        <f t="shared" si="41"/>
        <v>0.2</v>
      </c>
      <c r="I671" s="758">
        <f t="shared" si="42"/>
        <v>1.8785714285714286</v>
      </c>
      <c r="J671" s="760">
        <f t="shared" si="43"/>
        <v>1</v>
      </c>
      <c r="K671" s="74"/>
      <c r="L671" s="74"/>
      <c r="M671" s="74" t="s">
        <v>933</v>
      </c>
      <c r="N671" s="74">
        <v>0.41</v>
      </c>
      <c r="O671" s="74">
        <v>0.09</v>
      </c>
      <c r="P671" s="74">
        <v>0.93459999999999999</v>
      </c>
    </row>
    <row r="672" spans="1:16">
      <c r="A672" s="74" t="s">
        <v>714</v>
      </c>
      <c r="B672" s="74" t="s">
        <v>251</v>
      </c>
      <c r="C672" s="74" t="s">
        <v>1517</v>
      </c>
      <c r="D672" s="74" t="s">
        <v>82</v>
      </c>
      <c r="E672" s="74">
        <v>6</v>
      </c>
      <c r="F672" s="74">
        <v>9.3000000000000007</v>
      </c>
      <c r="G672" s="758">
        <f t="shared" si="40"/>
        <v>0</v>
      </c>
      <c r="H672" s="759">
        <f t="shared" si="41"/>
        <v>0.2</v>
      </c>
      <c r="I672" s="758">
        <f t="shared" si="42"/>
        <v>1.55</v>
      </c>
      <c r="J672" s="760">
        <f t="shared" si="43"/>
        <v>1</v>
      </c>
      <c r="K672" s="74"/>
      <c r="L672" s="74"/>
      <c r="M672" s="74" t="s">
        <v>2037</v>
      </c>
      <c r="N672" s="74">
        <v>0.42</v>
      </c>
      <c r="O672" s="74">
        <v>0.08</v>
      </c>
      <c r="P672" s="74">
        <v>0.92359999999999998</v>
      </c>
    </row>
    <row r="673" spans="1:16">
      <c r="A673" s="74" t="s">
        <v>714</v>
      </c>
      <c r="B673" s="74" t="s">
        <v>251</v>
      </c>
      <c r="C673" s="74" t="s">
        <v>1527</v>
      </c>
      <c r="D673" s="74" t="s">
        <v>82</v>
      </c>
      <c r="E673" s="74">
        <v>7</v>
      </c>
      <c r="F673" s="74">
        <v>11</v>
      </c>
      <c r="G673" s="758">
        <f t="shared" si="40"/>
        <v>0</v>
      </c>
      <c r="H673" s="759">
        <f t="shared" si="41"/>
        <v>0.2</v>
      </c>
      <c r="I673" s="758">
        <f t="shared" si="42"/>
        <v>1.5714285714285714</v>
      </c>
      <c r="J673" s="760">
        <f t="shared" si="43"/>
        <v>1</v>
      </c>
      <c r="K673" s="74"/>
      <c r="L673" s="74"/>
      <c r="M673" s="74" t="s">
        <v>2038</v>
      </c>
      <c r="N673" s="74">
        <v>0.32</v>
      </c>
      <c r="O673" s="74">
        <v>0</v>
      </c>
      <c r="P673" s="74">
        <v>0</v>
      </c>
    </row>
    <row r="674" spans="1:16">
      <c r="A674" s="74" t="s">
        <v>714</v>
      </c>
      <c r="B674" s="74" t="s">
        <v>251</v>
      </c>
      <c r="C674" s="74" t="s">
        <v>1518</v>
      </c>
      <c r="D674" s="74" t="s">
        <v>82</v>
      </c>
      <c r="E674" s="74">
        <v>9</v>
      </c>
      <c r="F674" s="74">
        <v>14.1</v>
      </c>
      <c r="G674" s="758">
        <f t="shared" si="40"/>
        <v>0</v>
      </c>
      <c r="H674" s="759">
        <f t="shared" si="41"/>
        <v>0.2</v>
      </c>
      <c r="I674" s="758">
        <f t="shared" si="42"/>
        <v>1.5666666666666667</v>
      </c>
      <c r="J674" s="760">
        <f t="shared" si="43"/>
        <v>1</v>
      </c>
      <c r="K674" s="74"/>
      <c r="L674" s="74"/>
      <c r="M674" s="74" t="s">
        <v>2039</v>
      </c>
      <c r="N674" s="74">
        <v>0.42</v>
      </c>
      <c r="O674" s="74">
        <v>0</v>
      </c>
      <c r="P674" s="74">
        <v>0</v>
      </c>
    </row>
    <row r="675" spans="1:16">
      <c r="A675" s="74" t="s">
        <v>1560</v>
      </c>
      <c r="B675" s="74" t="s">
        <v>266</v>
      </c>
      <c r="C675" s="74" t="s">
        <v>1675</v>
      </c>
      <c r="D675" s="74" t="s">
        <v>91</v>
      </c>
      <c r="E675" s="74">
        <v>2</v>
      </c>
      <c r="F675" s="74">
        <v>0</v>
      </c>
      <c r="G675" s="758">
        <f t="shared" si="40"/>
        <v>0</v>
      </c>
      <c r="H675" s="759">
        <f t="shared" si="41"/>
        <v>0</v>
      </c>
      <c r="I675" s="758">
        <f t="shared" si="42"/>
        <v>0</v>
      </c>
      <c r="J675" s="760">
        <f t="shared" si="43"/>
        <v>0</v>
      </c>
      <c r="K675" s="74"/>
      <c r="L675" s="74"/>
      <c r="M675" s="74" t="s">
        <v>2040</v>
      </c>
      <c r="N675" s="74">
        <v>2.44</v>
      </c>
      <c r="O675" s="74">
        <v>0.34</v>
      </c>
      <c r="P675" s="74">
        <v>0.68579999999999997</v>
      </c>
    </row>
    <row r="676" spans="1:16">
      <c r="A676" s="74" t="s">
        <v>1562</v>
      </c>
      <c r="B676" s="74" t="s">
        <v>276</v>
      </c>
      <c r="C676" s="74" t="s">
        <v>1511</v>
      </c>
      <c r="D676" s="74" t="s">
        <v>80</v>
      </c>
      <c r="E676" s="74">
        <v>2</v>
      </c>
      <c r="F676" s="74">
        <v>0</v>
      </c>
      <c r="G676" s="758">
        <f t="shared" si="40"/>
        <v>0</v>
      </c>
      <c r="H676" s="759">
        <f t="shared" si="41"/>
        <v>0.16</v>
      </c>
      <c r="I676" s="758">
        <f t="shared" si="42"/>
        <v>0</v>
      </c>
      <c r="J676" s="760">
        <f t="shared" si="43"/>
        <v>0</v>
      </c>
      <c r="K676" s="74"/>
      <c r="L676" s="74"/>
      <c r="M676" s="74" t="s">
        <v>2041</v>
      </c>
      <c r="N676" s="74">
        <v>0</v>
      </c>
      <c r="O676" s="74">
        <v>0</v>
      </c>
      <c r="P676" s="74">
        <v>1</v>
      </c>
    </row>
    <row r="677" spans="1:16">
      <c r="A677" s="74" t="s">
        <v>1563</v>
      </c>
      <c r="B677" s="74" t="s">
        <v>276</v>
      </c>
      <c r="C677" s="74" t="s">
        <v>1511</v>
      </c>
      <c r="D677" s="74" t="s">
        <v>80</v>
      </c>
      <c r="E677" s="74">
        <v>4</v>
      </c>
      <c r="F677" s="74">
        <v>13.36</v>
      </c>
      <c r="G677" s="758">
        <f t="shared" si="40"/>
        <v>0</v>
      </c>
      <c r="H677" s="759">
        <f t="shared" si="41"/>
        <v>0.16</v>
      </c>
      <c r="I677" s="758">
        <f t="shared" si="42"/>
        <v>3.34</v>
      </c>
      <c r="J677" s="760">
        <f t="shared" si="43"/>
        <v>1</v>
      </c>
      <c r="K677" s="74"/>
      <c r="L677" s="74"/>
      <c r="M677" s="74" t="s">
        <v>2042</v>
      </c>
      <c r="N677" s="74">
        <v>2.36</v>
      </c>
      <c r="O677" s="74">
        <v>0.3</v>
      </c>
      <c r="P677" s="74">
        <v>0.73180000000000001</v>
      </c>
    </row>
    <row r="678" spans="1:16">
      <c r="A678" s="74" t="s">
        <v>1564</v>
      </c>
      <c r="B678" s="74" t="s">
        <v>276</v>
      </c>
      <c r="C678" s="74" t="s">
        <v>1540</v>
      </c>
      <c r="D678" s="74" t="s">
        <v>84</v>
      </c>
      <c r="E678" s="74">
        <v>1</v>
      </c>
      <c r="F678" s="74">
        <v>3.45</v>
      </c>
      <c r="G678" s="758">
        <f t="shared" si="40"/>
        <v>0</v>
      </c>
      <c r="H678" s="759">
        <f t="shared" si="41"/>
        <v>0.25</v>
      </c>
      <c r="I678" s="758">
        <f t="shared" si="42"/>
        <v>3.45</v>
      </c>
      <c r="J678" s="760">
        <f t="shared" si="43"/>
        <v>1</v>
      </c>
      <c r="K678" s="74"/>
      <c r="L678" s="74"/>
      <c r="M678" s="74" t="s">
        <v>697</v>
      </c>
      <c r="N678" s="74">
        <v>2.57</v>
      </c>
      <c r="O678" s="74">
        <v>0.27</v>
      </c>
      <c r="P678" s="74">
        <v>0.75880000000000003</v>
      </c>
    </row>
    <row r="679" spans="1:16">
      <c r="A679" s="74" t="s">
        <v>1083</v>
      </c>
      <c r="B679" s="74" t="s">
        <v>276</v>
      </c>
      <c r="C679" s="74" t="s">
        <v>1528</v>
      </c>
      <c r="D679" s="74" t="s">
        <v>78</v>
      </c>
      <c r="E679" s="74">
        <v>1</v>
      </c>
      <c r="F679" s="74">
        <v>15.15</v>
      </c>
      <c r="G679" s="758">
        <f t="shared" si="40"/>
        <v>2</v>
      </c>
      <c r="H679" s="759">
        <f t="shared" si="41"/>
        <v>0.2</v>
      </c>
      <c r="I679" s="758">
        <f t="shared" si="42"/>
        <v>13.15</v>
      </c>
      <c r="J679" s="760">
        <f t="shared" si="43"/>
        <v>0.86798679867986794</v>
      </c>
      <c r="K679" s="74"/>
      <c r="L679" s="74"/>
      <c r="M679" s="74" t="s">
        <v>2043</v>
      </c>
      <c r="N679" s="74">
        <v>0</v>
      </c>
      <c r="O679" s="74">
        <v>0</v>
      </c>
      <c r="P679" s="74">
        <v>1</v>
      </c>
    </row>
    <row r="680" spans="1:16">
      <c r="A680" s="74" t="s">
        <v>1083</v>
      </c>
      <c r="B680" s="74" t="s">
        <v>276</v>
      </c>
      <c r="C680" s="74" t="s">
        <v>1565</v>
      </c>
      <c r="D680" s="74" t="s">
        <v>78</v>
      </c>
      <c r="E680" s="74">
        <v>1</v>
      </c>
      <c r="F680" s="74">
        <v>15.15</v>
      </c>
      <c r="G680" s="758">
        <f t="shared" si="40"/>
        <v>2</v>
      </c>
      <c r="H680" s="759">
        <f t="shared" si="41"/>
        <v>0.2</v>
      </c>
      <c r="I680" s="758">
        <f t="shared" si="42"/>
        <v>13.15</v>
      </c>
      <c r="J680" s="760">
        <f t="shared" si="43"/>
        <v>0.86798679867986794</v>
      </c>
      <c r="K680" s="74"/>
      <c r="L680" s="74"/>
      <c r="M680" s="74" t="s">
        <v>2044</v>
      </c>
      <c r="N680" s="74">
        <v>0</v>
      </c>
      <c r="O680" s="74">
        <v>0</v>
      </c>
      <c r="P680" s="74">
        <v>1</v>
      </c>
    </row>
    <row r="681" spans="1:16">
      <c r="A681" s="74" t="s">
        <v>1083</v>
      </c>
      <c r="B681" s="74" t="s">
        <v>276</v>
      </c>
      <c r="C681" s="74" t="s">
        <v>1555</v>
      </c>
      <c r="D681" s="74" t="s">
        <v>94</v>
      </c>
      <c r="E681" s="74">
        <v>1</v>
      </c>
      <c r="F681" s="74">
        <v>15.15</v>
      </c>
      <c r="G681" s="758">
        <f t="shared" si="40"/>
        <v>2</v>
      </c>
      <c r="H681" s="759">
        <f t="shared" si="41"/>
        <v>0.2</v>
      </c>
      <c r="I681" s="758">
        <f t="shared" si="42"/>
        <v>13.15</v>
      </c>
      <c r="J681" s="760">
        <f t="shared" si="43"/>
        <v>0.86798679867986794</v>
      </c>
      <c r="K681" s="74"/>
      <c r="L681" s="74"/>
      <c r="M681" s="74" t="s">
        <v>954</v>
      </c>
      <c r="N681" s="74">
        <v>2.39</v>
      </c>
      <c r="O681" s="74">
        <v>0.24</v>
      </c>
      <c r="P681" s="74">
        <v>0.81530000000000002</v>
      </c>
    </row>
    <row r="682" spans="1:16">
      <c r="A682" s="74" t="s">
        <v>1566</v>
      </c>
      <c r="B682" s="74" t="s">
        <v>276</v>
      </c>
      <c r="C682" s="74" t="s">
        <v>1507</v>
      </c>
      <c r="D682" s="74" t="s">
        <v>86</v>
      </c>
      <c r="E682" s="74">
        <v>1</v>
      </c>
      <c r="F682" s="74">
        <v>2.0499999999999998</v>
      </c>
      <c r="G682" s="758">
        <f t="shared" si="40"/>
        <v>0</v>
      </c>
      <c r="H682" s="759">
        <f t="shared" si="41"/>
        <v>0</v>
      </c>
      <c r="I682" s="758">
        <f t="shared" si="42"/>
        <v>2.0499999999999998</v>
      </c>
      <c r="J682" s="760">
        <f t="shared" si="43"/>
        <v>1</v>
      </c>
      <c r="K682" s="74"/>
      <c r="L682" s="74"/>
      <c r="M682" s="74" t="s">
        <v>2045</v>
      </c>
      <c r="N682" s="74">
        <v>0</v>
      </c>
      <c r="O682" s="74">
        <v>0</v>
      </c>
      <c r="P682" s="74">
        <v>1</v>
      </c>
    </row>
    <row r="683" spans="1:16">
      <c r="A683" s="74" t="s">
        <v>857</v>
      </c>
      <c r="B683" s="74" t="s">
        <v>276</v>
      </c>
      <c r="C683" s="74" t="s">
        <v>1528</v>
      </c>
      <c r="D683" s="74" t="s">
        <v>78</v>
      </c>
      <c r="E683" s="74">
        <v>4</v>
      </c>
      <c r="F683" s="74">
        <v>13.2</v>
      </c>
      <c r="G683" s="758">
        <f t="shared" si="40"/>
        <v>0.25</v>
      </c>
      <c r="H683" s="759">
        <f t="shared" si="41"/>
        <v>0.23</v>
      </c>
      <c r="I683" s="758">
        <f t="shared" si="42"/>
        <v>3.05</v>
      </c>
      <c r="J683" s="760">
        <f t="shared" si="43"/>
        <v>0.9242424242424242</v>
      </c>
      <c r="K683" s="74"/>
      <c r="L683" s="74"/>
      <c r="M683" s="74" t="s">
        <v>1033</v>
      </c>
      <c r="N683" s="74">
        <v>0</v>
      </c>
      <c r="O683" s="74">
        <v>0</v>
      </c>
      <c r="P683" s="74">
        <v>1</v>
      </c>
    </row>
    <row r="684" spans="1:16">
      <c r="A684" s="74" t="s">
        <v>857</v>
      </c>
      <c r="B684" s="74" t="s">
        <v>276</v>
      </c>
      <c r="C684" s="74" t="s">
        <v>1508</v>
      </c>
      <c r="D684" s="74" t="s">
        <v>78</v>
      </c>
      <c r="E684" s="74">
        <v>3</v>
      </c>
      <c r="F684" s="74">
        <v>10.050000000000001</v>
      </c>
      <c r="G684" s="758">
        <f t="shared" si="40"/>
        <v>0.25</v>
      </c>
      <c r="H684" s="759">
        <f t="shared" si="41"/>
        <v>0.23</v>
      </c>
      <c r="I684" s="758">
        <f t="shared" si="42"/>
        <v>3.1</v>
      </c>
      <c r="J684" s="760">
        <f t="shared" si="43"/>
        <v>0.92537313432835822</v>
      </c>
      <c r="K684" s="74"/>
      <c r="L684" s="74"/>
      <c r="M684" s="74" t="s">
        <v>2046</v>
      </c>
      <c r="N684" s="74">
        <v>0</v>
      </c>
      <c r="O684" s="74">
        <v>0</v>
      </c>
      <c r="P684" s="74">
        <v>0</v>
      </c>
    </row>
    <row r="685" spans="1:16">
      <c r="A685" s="74" t="s">
        <v>857</v>
      </c>
      <c r="B685" s="74" t="s">
        <v>276</v>
      </c>
      <c r="C685" s="74" t="s">
        <v>1509</v>
      </c>
      <c r="D685" s="74" t="s">
        <v>78</v>
      </c>
      <c r="E685" s="74">
        <v>3</v>
      </c>
      <c r="F685" s="74">
        <v>9.9</v>
      </c>
      <c r="G685" s="758">
        <f t="shared" si="40"/>
        <v>0.25</v>
      </c>
      <c r="H685" s="759">
        <f t="shared" si="41"/>
        <v>0.23</v>
      </c>
      <c r="I685" s="758">
        <f t="shared" si="42"/>
        <v>3.0500000000000003</v>
      </c>
      <c r="J685" s="760">
        <f t="shared" si="43"/>
        <v>0.9242424242424242</v>
      </c>
      <c r="K685" s="74"/>
      <c r="L685" s="74"/>
      <c r="M685" s="74" t="s">
        <v>2047</v>
      </c>
      <c r="N685" s="74">
        <v>0.56000000000000005</v>
      </c>
      <c r="O685" s="74">
        <v>0.27</v>
      </c>
      <c r="P685" s="74">
        <v>0.78720000000000001</v>
      </c>
    </row>
    <row r="686" spans="1:16">
      <c r="A686" s="74" t="s">
        <v>857</v>
      </c>
      <c r="B686" s="74" t="s">
        <v>276</v>
      </c>
      <c r="C686" s="74" t="s">
        <v>1565</v>
      </c>
      <c r="D686" s="74" t="s">
        <v>78</v>
      </c>
      <c r="E686" s="74">
        <v>5</v>
      </c>
      <c r="F686" s="74">
        <v>0</v>
      </c>
      <c r="G686" s="758">
        <f t="shared" si="40"/>
        <v>0.25</v>
      </c>
      <c r="H686" s="759">
        <f t="shared" si="41"/>
        <v>0.23</v>
      </c>
      <c r="I686" s="758">
        <f t="shared" si="42"/>
        <v>-0.25</v>
      </c>
      <c r="J686" s="760">
        <f t="shared" si="43"/>
        <v>0</v>
      </c>
      <c r="K686" s="74"/>
      <c r="L686" s="74"/>
      <c r="M686" s="74" t="s">
        <v>2048</v>
      </c>
      <c r="N686" s="74">
        <v>0</v>
      </c>
      <c r="O686" s="74">
        <v>0</v>
      </c>
      <c r="P686" s="74">
        <v>1</v>
      </c>
    </row>
    <row r="687" spans="1:16">
      <c r="A687" s="74" t="s">
        <v>857</v>
      </c>
      <c r="B687" s="74" t="s">
        <v>276</v>
      </c>
      <c r="C687" s="74" t="s">
        <v>1511</v>
      </c>
      <c r="D687" s="74" t="s">
        <v>80</v>
      </c>
      <c r="E687" s="74">
        <v>1</v>
      </c>
      <c r="F687" s="74">
        <v>3.3</v>
      </c>
      <c r="G687" s="758">
        <f t="shared" si="40"/>
        <v>0.25</v>
      </c>
      <c r="H687" s="759">
        <f t="shared" si="41"/>
        <v>0.23</v>
      </c>
      <c r="I687" s="758">
        <f t="shared" si="42"/>
        <v>3.05</v>
      </c>
      <c r="J687" s="760">
        <f t="shared" si="43"/>
        <v>0.9242424242424242</v>
      </c>
      <c r="K687" s="74"/>
      <c r="L687" s="74"/>
      <c r="M687" s="74" t="s">
        <v>2049</v>
      </c>
      <c r="N687" s="74">
        <v>0.51</v>
      </c>
      <c r="O687" s="74">
        <v>0.27</v>
      </c>
      <c r="P687" s="74">
        <v>0.80810000000000004</v>
      </c>
    </row>
    <row r="688" spans="1:16">
      <c r="A688" s="74" t="s">
        <v>857</v>
      </c>
      <c r="B688" s="74" t="s">
        <v>276</v>
      </c>
      <c r="C688" s="74" t="s">
        <v>1534</v>
      </c>
      <c r="D688" s="74" t="s">
        <v>81</v>
      </c>
      <c r="E688" s="74">
        <v>3</v>
      </c>
      <c r="F688" s="74">
        <v>0</v>
      </c>
      <c r="G688" s="758">
        <f t="shared" si="40"/>
        <v>0.25</v>
      </c>
      <c r="H688" s="759">
        <f t="shared" si="41"/>
        <v>0.23</v>
      </c>
      <c r="I688" s="758">
        <f t="shared" si="42"/>
        <v>-0.25</v>
      </c>
      <c r="J688" s="760">
        <f t="shared" si="43"/>
        <v>0</v>
      </c>
      <c r="K688" s="74"/>
      <c r="L688" s="74"/>
      <c r="M688" s="74" t="s">
        <v>2050</v>
      </c>
      <c r="N688" s="74">
        <v>0.66</v>
      </c>
      <c r="O688" s="74">
        <v>0</v>
      </c>
      <c r="P688" s="74">
        <v>0</v>
      </c>
    </row>
    <row r="689" spans="1:16">
      <c r="A689" s="74" t="s">
        <v>857</v>
      </c>
      <c r="B689" s="74" t="s">
        <v>276</v>
      </c>
      <c r="C689" s="74" t="s">
        <v>1514</v>
      </c>
      <c r="D689" s="74" t="s">
        <v>81</v>
      </c>
      <c r="E689" s="74">
        <v>1</v>
      </c>
      <c r="F689" s="74">
        <v>3.3</v>
      </c>
      <c r="G689" s="758">
        <f t="shared" si="40"/>
        <v>0.25</v>
      </c>
      <c r="H689" s="759">
        <f t="shared" si="41"/>
        <v>0.23</v>
      </c>
      <c r="I689" s="758">
        <f t="shared" si="42"/>
        <v>3.05</v>
      </c>
      <c r="J689" s="760">
        <f t="shared" si="43"/>
        <v>0.9242424242424242</v>
      </c>
      <c r="K689" s="74"/>
      <c r="L689" s="74"/>
      <c r="M689" s="74" t="s">
        <v>823</v>
      </c>
      <c r="N689" s="74">
        <v>3.72</v>
      </c>
      <c r="O689" s="74">
        <v>0.35</v>
      </c>
      <c r="P689" s="74">
        <v>0.68169999999999997</v>
      </c>
    </row>
    <row r="690" spans="1:16">
      <c r="A690" s="74" t="s">
        <v>857</v>
      </c>
      <c r="B690" s="74" t="s">
        <v>276</v>
      </c>
      <c r="C690" s="74" t="s">
        <v>1515</v>
      </c>
      <c r="D690" s="74" t="s">
        <v>81</v>
      </c>
      <c r="E690" s="74">
        <v>1</v>
      </c>
      <c r="F690" s="74">
        <v>3.3</v>
      </c>
      <c r="G690" s="758">
        <f t="shared" si="40"/>
        <v>0.25</v>
      </c>
      <c r="H690" s="759">
        <f t="shared" si="41"/>
        <v>0.23</v>
      </c>
      <c r="I690" s="758">
        <f t="shared" si="42"/>
        <v>3.05</v>
      </c>
      <c r="J690" s="760">
        <f t="shared" si="43"/>
        <v>0.9242424242424242</v>
      </c>
      <c r="K690" s="74"/>
      <c r="L690" s="74"/>
      <c r="M690" s="74" t="s">
        <v>2051</v>
      </c>
      <c r="N690" s="74">
        <v>3.72</v>
      </c>
      <c r="O690" s="74">
        <v>0.35</v>
      </c>
      <c r="P690" s="74">
        <v>0.68159999999999998</v>
      </c>
    </row>
    <row r="691" spans="1:16">
      <c r="A691" s="74" t="s">
        <v>857</v>
      </c>
      <c r="B691" s="74" t="s">
        <v>276</v>
      </c>
      <c r="C691" s="74" t="s">
        <v>1519</v>
      </c>
      <c r="D691" s="74" t="s">
        <v>84</v>
      </c>
      <c r="E691" s="74">
        <v>1</v>
      </c>
      <c r="F691" s="74">
        <v>3.3</v>
      </c>
      <c r="G691" s="758">
        <f t="shared" si="40"/>
        <v>0.25</v>
      </c>
      <c r="H691" s="759">
        <f t="shared" si="41"/>
        <v>0.23</v>
      </c>
      <c r="I691" s="758">
        <f t="shared" si="42"/>
        <v>3.05</v>
      </c>
      <c r="J691" s="760">
        <f t="shared" si="43"/>
        <v>0.9242424242424242</v>
      </c>
      <c r="K691" s="74"/>
      <c r="L691" s="74"/>
      <c r="M691" s="74" t="s">
        <v>1179</v>
      </c>
      <c r="N691" s="74">
        <v>2.82</v>
      </c>
      <c r="O691" s="74">
        <v>0.24</v>
      </c>
      <c r="P691" s="74">
        <v>0.78659999999999997</v>
      </c>
    </row>
    <row r="692" spans="1:16">
      <c r="A692" s="74" t="s">
        <v>857</v>
      </c>
      <c r="B692" s="74" t="s">
        <v>276</v>
      </c>
      <c r="C692" s="74" t="s">
        <v>1520</v>
      </c>
      <c r="D692" s="74" t="s">
        <v>84</v>
      </c>
      <c r="E692" s="74">
        <v>1</v>
      </c>
      <c r="F692" s="74">
        <v>3.3</v>
      </c>
      <c r="G692" s="758">
        <f t="shared" si="40"/>
        <v>0.25</v>
      </c>
      <c r="H692" s="759">
        <f t="shared" si="41"/>
        <v>0.23</v>
      </c>
      <c r="I692" s="758">
        <f t="shared" si="42"/>
        <v>3.05</v>
      </c>
      <c r="J692" s="760">
        <f t="shared" si="43"/>
        <v>0.9242424242424242</v>
      </c>
      <c r="K692" s="74"/>
      <c r="L692" s="74"/>
      <c r="M692" s="74" t="s">
        <v>2052</v>
      </c>
      <c r="N692" s="74">
        <v>0</v>
      </c>
      <c r="O692" s="74">
        <v>0</v>
      </c>
      <c r="P692" s="74">
        <v>1</v>
      </c>
    </row>
    <row r="693" spans="1:16">
      <c r="A693" s="74" t="s">
        <v>857</v>
      </c>
      <c r="B693" s="74" t="s">
        <v>276</v>
      </c>
      <c r="C693" s="74" t="s">
        <v>1577</v>
      </c>
      <c r="D693" s="74" t="s">
        <v>84</v>
      </c>
      <c r="E693" s="74">
        <v>1</v>
      </c>
      <c r="F693" s="74">
        <v>3.3</v>
      </c>
      <c r="G693" s="758">
        <f t="shared" si="40"/>
        <v>0.25</v>
      </c>
      <c r="H693" s="759">
        <f t="shared" si="41"/>
        <v>0.23</v>
      </c>
      <c r="I693" s="758">
        <f t="shared" si="42"/>
        <v>3.05</v>
      </c>
      <c r="J693" s="760">
        <f t="shared" si="43"/>
        <v>0.9242424242424242</v>
      </c>
      <c r="K693" s="74"/>
      <c r="L693" s="74"/>
      <c r="M693" s="74" t="s">
        <v>2053</v>
      </c>
      <c r="N693" s="74">
        <v>0.55000000000000004</v>
      </c>
      <c r="O693" s="74">
        <v>0.15</v>
      </c>
      <c r="P693" s="74">
        <v>0.88480000000000003</v>
      </c>
    </row>
    <row r="694" spans="1:16">
      <c r="A694" s="74" t="s">
        <v>857</v>
      </c>
      <c r="B694" s="74" t="s">
        <v>276</v>
      </c>
      <c r="C694" s="74" t="s">
        <v>1507</v>
      </c>
      <c r="D694" s="74" t="s">
        <v>86</v>
      </c>
      <c r="E694" s="74">
        <v>4</v>
      </c>
      <c r="F694" s="74">
        <v>13.2</v>
      </c>
      <c r="G694" s="758">
        <f t="shared" si="40"/>
        <v>0.25</v>
      </c>
      <c r="H694" s="759">
        <f t="shared" si="41"/>
        <v>0.23</v>
      </c>
      <c r="I694" s="758">
        <f t="shared" si="42"/>
        <v>3.05</v>
      </c>
      <c r="J694" s="760">
        <f t="shared" si="43"/>
        <v>0.9242424242424242</v>
      </c>
      <c r="K694" s="74"/>
      <c r="L694" s="74"/>
      <c r="M694" s="74" t="s">
        <v>910</v>
      </c>
      <c r="N694" s="74">
        <v>0</v>
      </c>
      <c r="O694" s="74">
        <v>0</v>
      </c>
      <c r="P694" s="74">
        <v>1</v>
      </c>
    </row>
    <row r="695" spans="1:16">
      <c r="A695" s="74" t="s">
        <v>857</v>
      </c>
      <c r="B695" s="74" t="s">
        <v>276</v>
      </c>
      <c r="C695" s="74" t="s">
        <v>1578</v>
      </c>
      <c r="D695" s="74" t="s">
        <v>86</v>
      </c>
      <c r="E695" s="74">
        <v>1</v>
      </c>
      <c r="F695" s="74">
        <v>3.3</v>
      </c>
      <c r="G695" s="758">
        <f t="shared" si="40"/>
        <v>0.25</v>
      </c>
      <c r="H695" s="759">
        <f t="shared" si="41"/>
        <v>0.23</v>
      </c>
      <c r="I695" s="758">
        <f t="shared" si="42"/>
        <v>3.05</v>
      </c>
      <c r="J695" s="760">
        <f t="shared" si="43"/>
        <v>0.9242424242424242</v>
      </c>
      <c r="K695" s="74"/>
      <c r="L695" s="74"/>
      <c r="M695" s="74" t="s">
        <v>694</v>
      </c>
      <c r="N695" s="74">
        <v>0.67</v>
      </c>
      <c r="O695" s="74">
        <v>0.23</v>
      </c>
      <c r="P695" s="74">
        <v>0.83309999999999995</v>
      </c>
    </row>
    <row r="696" spans="1:16">
      <c r="A696" s="74" t="s">
        <v>857</v>
      </c>
      <c r="B696" s="74" t="s">
        <v>276</v>
      </c>
      <c r="C696" s="74" t="s">
        <v>1646</v>
      </c>
      <c r="D696" s="74" t="s">
        <v>86</v>
      </c>
      <c r="E696" s="74">
        <v>1</v>
      </c>
      <c r="F696" s="74">
        <v>3.3</v>
      </c>
      <c r="G696" s="758">
        <f t="shared" si="40"/>
        <v>0.25</v>
      </c>
      <c r="H696" s="759">
        <f t="shared" si="41"/>
        <v>0.23</v>
      </c>
      <c r="I696" s="758">
        <f t="shared" si="42"/>
        <v>3.05</v>
      </c>
      <c r="J696" s="760">
        <f t="shared" si="43"/>
        <v>0.9242424242424242</v>
      </c>
      <c r="K696" s="74"/>
      <c r="L696" s="74"/>
      <c r="M696" s="74" t="s">
        <v>2054</v>
      </c>
      <c r="N696" s="74">
        <v>0</v>
      </c>
      <c r="O696" s="74">
        <v>0</v>
      </c>
      <c r="P696" s="74">
        <v>1</v>
      </c>
    </row>
    <row r="697" spans="1:16">
      <c r="A697" s="74" t="s">
        <v>857</v>
      </c>
      <c r="B697" s="74" t="s">
        <v>276</v>
      </c>
      <c r="C697" s="74" t="s">
        <v>1541</v>
      </c>
      <c r="D697" s="74" t="s">
        <v>86</v>
      </c>
      <c r="E697" s="74">
        <v>1</v>
      </c>
      <c r="F697" s="74">
        <v>3.3</v>
      </c>
      <c r="G697" s="758">
        <f t="shared" si="40"/>
        <v>0.25</v>
      </c>
      <c r="H697" s="759">
        <f t="shared" si="41"/>
        <v>0.23</v>
      </c>
      <c r="I697" s="758">
        <f t="shared" si="42"/>
        <v>3.05</v>
      </c>
      <c r="J697" s="760">
        <f t="shared" si="43"/>
        <v>0.9242424242424242</v>
      </c>
      <c r="K697" s="74"/>
      <c r="L697" s="74"/>
      <c r="M697" s="74" t="s">
        <v>751</v>
      </c>
      <c r="N697" s="74">
        <v>0.76</v>
      </c>
      <c r="O697" s="74">
        <v>0.14000000000000001</v>
      </c>
      <c r="P697" s="74">
        <v>0.88219999999999998</v>
      </c>
    </row>
    <row r="698" spans="1:16">
      <c r="A698" s="74" t="s">
        <v>857</v>
      </c>
      <c r="B698" s="74" t="s">
        <v>276</v>
      </c>
      <c r="C698" s="74" t="s">
        <v>1543</v>
      </c>
      <c r="D698" s="74" t="s">
        <v>87</v>
      </c>
      <c r="E698" s="74">
        <v>5</v>
      </c>
      <c r="F698" s="74">
        <v>15.85</v>
      </c>
      <c r="G698" s="758">
        <f t="shared" si="40"/>
        <v>0.25</v>
      </c>
      <c r="H698" s="759">
        <f t="shared" si="41"/>
        <v>0.23</v>
      </c>
      <c r="I698" s="758">
        <f t="shared" si="42"/>
        <v>2.92</v>
      </c>
      <c r="J698" s="760">
        <f t="shared" si="43"/>
        <v>0.92113564668769721</v>
      </c>
      <c r="K698" s="74"/>
      <c r="L698" s="74"/>
      <c r="M698" s="74" t="s">
        <v>2055</v>
      </c>
      <c r="N698" s="74">
        <v>0.97</v>
      </c>
      <c r="O698" s="74">
        <v>0</v>
      </c>
      <c r="P698" s="74">
        <v>0</v>
      </c>
    </row>
    <row r="699" spans="1:16">
      <c r="A699" s="74" t="s">
        <v>857</v>
      </c>
      <c r="B699" s="74" t="s">
        <v>276</v>
      </c>
      <c r="C699" s="74" t="s">
        <v>1544</v>
      </c>
      <c r="D699" s="74" t="s">
        <v>87</v>
      </c>
      <c r="E699" s="74">
        <v>1</v>
      </c>
      <c r="F699" s="74">
        <v>3.3</v>
      </c>
      <c r="G699" s="758">
        <f t="shared" si="40"/>
        <v>0.25</v>
      </c>
      <c r="H699" s="759">
        <f t="shared" si="41"/>
        <v>0.23</v>
      </c>
      <c r="I699" s="758">
        <f t="shared" si="42"/>
        <v>3.05</v>
      </c>
      <c r="J699" s="760">
        <f t="shared" si="43"/>
        <v>0.9242424242424242</v>
      </c>
      <c r="K699" s="74"/>
      <c r="L699" s="74"/>
      <c r="M699" s="74" t="s">
        <v>2056</v>
      </c>
      <c r="N699" s="74">
        <v>0</v>
      </c>
      <c r="O699" s="74">
        <v>0</v>
      </c>
      <c r="P699" s="74">
        <v>1</v>
      </c>
    </row>
    <row r="700" spans="1:16">
      <c r="A700" s="74" t="s">
        <v>857</v>
      </c>
      <c r="B700" s="74" t="s">
        <v>276</v>
      </c>
      <c r="C700" s="74" t="s">
        <v>1561</v>
      </c>
      <c r="D700" s="74" t="s">
        <v>87</v>
      </c>
      <c r="E700" s="74">
        <v>2</v>
      </c>
      <c r="F700" s="74">
        <v>5.95</v>
      </c>
      <c r="G700" s="758">
        <f t="shared" si="40"/>
        <v>0.25</v>
      </c>
      <c r="H700" s="759">
        <f t="shared" si="41"/>
        <v>0.23</v>
      </c>
      <c r="I700" s="758">
        <f t="shared" si="42"/>
        <v>2.7250000000000001</v>
      </c>
      <c r="J700" s="760">
        <f t="shared" si="43"/>
        <v>0.91596638655462181</v>
      </c>
      <c r="K700" s="74"/>
      <c r="L700" s="74"/>
      <c r="M700" s="74" t="s">
        <v>2057</v>
      </c>
      <c r="N700" s="74">
        <v>0</v>
      </c>
      <c r="O700" s="74">
        <v>0</v>
      </c>
      <c r="P700" s="74">
        <v>1</v>
      </c>
    </row>
    <row r="701" spans="1:16">
      <c r="A701" s="74" t="s">
        <v>857</v>
      </c>
      <c r="B701" s="74" t="s">
        <v>276</v>
      </c>
      <c r="C701" s="74" t="s">
        <v>1610</v>
      </c>
      <c r="D701" s="74" t="s">
        <v>89</v>
      </c>
      <c r="E701" s="74">
        <v>1</v>
      </c>
      <c r="F701" s="74">
        <v>3.3</v>
      </c>
      <c r="G701" s="758">
        <f t="shared" si="40"/>
        <v>0.25</v>
      </c>
      <c r="H701" s="759">
        <f t="shared" si="41"/>
        <v>0.23</v>
      </c>
      <c r="I701" s="758">
        <f t="shared" si="42"/>
        <v>3.05</v>
      </c>
      <c r="J701" s="760">
        <f t="shared" si="43"/>
        <v>0.9242424242424242</v>
      </c>
      <c r="K701" s="74"/>
      <c r="L701" s="74"/>
      <c r="M701" s="74" t="s">
        <v>2058</v>
      </c>
      <c r="N701" s="74">
        <v>0</v>
      </c>
      <c r="O701" s="74">
        <v>0</v>
      </c>
      <c r="P701" s="74">
        <v>1</v>
      </c>
    </row>
    <row r="702" spans="1:16">
      <c r="A702" s="74" t="s">
        <v>857</v>
      </c>
      <c r="B702" s="74" t="s">
        <v>276</v>
      </c>
      <c r="C702" s="74" t="s">
        <v>1547</v>
      </c>
      <c r="D702" s="74" t="s">
        <v>89</v>
      </c>
      <c r="E702" s="74">
        <v>1</v>
      </c>
      <c r="F702" s="74">
        <v>3.45</v>
      </c>
      <c r="G702" s="758">
        <f t="shared" si="40"/>
        <v>0.25</v>
      </c>
      <c r="H702" s="759">
        <f t="shared" si="41"/>
        <v>0.23</v>
      </c>
      <c r="I702" s="758">
        <f t="shared" si="42"/>
        <v>3.2</v>
      </c>
      <c r="J702" s="760">
        <f t="shared" si="43"/>
        <v>0.92753623188405798</v>
      </c>
      <c r="K702" s="74"/>
      <c r="L702" s="74"/>
      <c r="M702" s="74" t="s">
        <v>2059</v>
      </c>
      <c r="N702" s="74">
        <v>0.98</v>
      </c>
      <c r="O702" s="74">
        <v>0.13</v>
      </c>
      <c r="P702" s="74">
        <v>0.87749999999999995</v>
      </c>
    </row>
    <row r="703" spans="1:16">
      <c r="A703" s="74" t="s">
        <v>857</v>
      </c>
      <c r="B703" s="74" t="s">
        <v>276</v>
      </c>
      <c r="C703" s="74" t="s">
        <v>1582</v>
      </c>
      <c r="D703" s="74" t="s">
        <v>89</v>
      </c>
      <c r="E703" s="74">
        <v>1</v>
      </c>
      <c r="F703" s="74">
        <v>0</v>
      </c>
      <c r="G703" s="758">
        <f t="shared" si="40"/>
        <v>0.25</v>
      </c>
      <c r="H703" s="759">
        <f t="shared" si="41"/>
        <v>0.23</v>
      </c>
      <c r="I703" s="758">
        <f t="shared" si="42"/>
        <v>-0.25</v>
      </c>
      <c r="J703" s="760">
        <f t="shared" si="43"/>
        <v>0</v>
      </c>
      <c r="K703" s="74"/>
      <c r="L703" s="74"/>
      <c r="M703" s="74" t="s">
        <v>2060</v>
      </c>
      <c r="N703" s="74">
        <v>0.99</v>
      </c>
      <c r="O703" s="74">
        <v>0</v>
      </c>
      <c r="P703" s="74">
        <v>0</v>
      </c>
    </row>
    <row r="704" spans="1:16">
      <c r="A704" s="74" t="s">
        <v>857</v>
      </c>
      <c r="B704" s="74" t="s">
        <v>276</v>
      </c>
      <c r="C704" s="74" t="s">
        <v>1522</v>
      </c>
      <c r="D704" s="74" t="s">
        <v>91</v>
      </c>
      <c r="E704" s="74">
        <v>1</v>
      </c>
      <c r="F704" s="74">
        <v>3.3</v>
      </c>
      <c r="G704" s="758">
        <f t="shared" si="40"/>
        <v>0.25</v>
      </c>
      <c r="H704" s="759">
        <f t="shared" si="41"/>
        <v>0.23</v>
      </c>
      <c r="I704" s="758">
        <f t="shared" si="42"/>
        <v>3.05</v>
      </c>
      <c r="J704" s="760">
        <f t="shared" si="43"/>
        <v>0.9242424242424242</v>
      </c>
      <c r="K704" s="74"/>
      <c r="L704" s="74"/>
      <c r="M704" s="74" t="s">
        <v>1073</v>
      </c>
      <c r="N704" s="74">
        <v>1.66</v>
      </c>
      <c r="O704" s="74">
        <v>0.21</v>
      </c>
      <c r="P704" s="74">
        <v>0.8266</v>
      </c>
    </row>
    <row r="705" spans="1:16">
      <c r="A705" s="74" t="s">
        <v>857</v>
      </c>
      <c r="B705" s="74" t="s">
        <v>276</v>
      </c>
      <c r="C705" s="74" t="s">
        <v>1675</v>
      </c>
      <c r="D705" s="74" t="s">
        <v>91</v>
      </c>
      <c r="E705" s="74">
        <v>2</v>
      </c>
      <c r="F705" s="74">
        <v>6.9</v>
      </c>
      <c r="G705" s="758">
        <f t="shared" si="40"/>
        <v>0.25</v>
      </c>
      <c r="H705" s="759">
        <f t="shared" si="41"/>
        <v>0.23</v>
      </c>
      <c r="I705" s="758">
        <f t="shared" si="42"/>
        <v>3.2</v>
      </c>
      <c r="J705" s="760">
        <f t="shared" si="43"/>
        <v>0.92753623188405798</v>
      </c>
      <c r="K705" s="74"/>
      <c r="L705" s="74"/>
      <c r="M705" s="74" t="s">
        <v>1063</v>
      </c>
      <c r="N705" s="74">
        <v>0</v>
      </c>
      <c r="O705" s="74">
        <v>0</v>
      </c>
      <c r="P705" s="74">
        <v>1</v>
      </c>
    </row>
    <row r="706" spans="1:16">
      <c r="A706" s="74" t="s">
        <v>857</v>
      </c>
      <c r="B706" s="74" t="s">
        <v>276</v>
      </c>
      <c r="C706" s="74" t="s">
        <v>1584</v>
      </c>
      <c r="D706" s="74" t="s">
        <v>92</v>
      </c>
      <c r="E706" s="74">
        <v>1</v>
      </c>
      <c r="F706" s="74">
        <v>3.45</v>
      </c>
      <c r="G706" s="758">
        <f t="shared" ref="G706:G769" si="44">IFERROR(VLOOKUP(A706,$M$1:$P$1014,2,FALSE),0)</f>
        <v>0.25</v>
      </c>
      <c r="H706" s="759">
        <f t="shared" ref="H706:H769" si="45">IFERROR(VLOOKUP(A706,$M$1:$P$1014,3,FALSE),0)</f>
        <v>0.23</v>
      </c>
      <c r="I706" s="758">
        <f t="shared" ref="I706:I769" si="46">IFERROR(F706/E706-G706,0)</f>
        <v>3.2</v>
      </c>
      <c r="J706" s="760">
        <f t="shared" ref="J706:J769" si="47">IFERROR(1-G706*E706/F706,0)</f>
        <v>0.92753623188405798</v>
      </c>
      <c r="K706" s="74"/>
      <c r="L706" s="74"/>
      <c r="M706" s="74" t="s">
        <v>686</v>
      </c>
      <c r="N706" s="74">
        <v>3.5</v>
      </c>
      <c r="O706" s="74">
        <v>0.26</v>
      </c>
      <c r="P706" s="74">
        <v>0.78100000000000003</v>
      </c>
    </row>
    <row r="707" spans="1:16">
      <c r="A707" s="74" t="s">
        <v>857</v>
      </c>
      <c r="B707" s="74" t="s">
        <v>276</v>
      </c>
      <c r="C707" s="74" t="s">
        <v>1617</v>
      </c>
      <c r="D707" s="74" t="s">
        <v>94</v>
      </c>
      <c r="E707" s="74">
        <v>1</v>
      </c>
      <c r="F707" s="74">
        <v>3.3</v>
      </c>
      <c r="G707" s="758">
        <f t="shared" si="44"/>
        <v>0.25</v>
      </c>
      <c r="H707" s="759">
        <f t="shared" si="45"/>
        <v>0.23</v>
      </c>
      <c r="I707" s="758">
        <f t="shared" si="46"/>
        <v>3.05</v>
      </c>
      <c r="J707" s="760">
        <f t="shared" si="47"/>
        <v>0.9242424242424242</v>
      </c>
      <c r="K707" s="74"/>
      <c r="L707" s="74"/>
      <c r="M707" s="74" t="s">
        <v>812</v>
      </c>
      <c r="N707" s="74">
        <v>1.78</v>
      </c>
      <c r="O707" s="74">
        <v>0.24</v>
      </c>
      <c r="P707" s="74">
        <v>0.86309999999999998</v>
      </c>
    </row>
    <row r="708" spans="1:16">
      <c r="A708" s="74" t="s">
        <v>857</v>
      </c>
      <c r="B708" s="74" t="s">
        <v>276</v>
      </c>
      <c r="C708" s="74" t="s">
        <v>1555</v>
      </c>
      <c r="D708" s="74" t="s">
        <v>94</v>
      </c>
      <c r="E708" s="74">
        <v>1</v>
      </c>
      <c r="F708" s="74">
        <v>3.3</v>
      </c>
      <c r="G708" s="758">
        <f t="shared" si="44"/>
        <v>0.25</v>
      </c>
      <c r="H708" s="759">
        <f t="shared" si="45"/>
        <v>0.23</v>
      </c>
      <c r="I708" s="758">
        <f t="shared" si="46"/>
        <v>3.05</v>
      </c>
      <c r="J708" s="760">
        <f t="shared" si="47"/>
        <v>0.9242424242424242</v>
      </c>
      <c r="K708" s="74"/>
      <c r="L708" s="74"/>
      <c r="M708" s="74" t="s">
        <v>2061</v>
      </c>
      <c r="N708" s="74">
        <v>2.8</v>
      </c>
      <c r="O708" s="74">
        <v>0</v>
      </c>
      <c r="P708" s="74">
        <v>0</v>
      </c>
    </row>
    <row r="709" spans="1:16">
      <c r="A709" s="74" t="s">
        <v>857</v>
      </c>
      <c r="B709" s="74" t="s">
        <v>276</v>
      </c>
      <c r="C709" s="74" t="s">
        <v>1526</v>
      </c>
      <c r="D709" s="74" t="s">
        <v>95</v>
      </c>
      <c r="E709" s="74">
        <v>3</v>
      </c>
      <c r="F709" s="74">
        <v>10.199999999999999</v>
      </c>
      <c r="G709" s="758">
        <f t="shared" si="44"/>
        <v>0.25</v>
      </c>
      <c r="H709" s="759">
        <f t="shared" si="45"/>
        <v>0.23</v>
      </c>
      <c r="I709" s="758">
        <f t="shared" si="46"/>
        <v>3.15</v>
      </c>
      <c r="J709" s="760">
        <f t="shared" si="47"/>
        <v>0.92647058823529416</v>
      </c>
      <c r="K709" s="74"/>
      <c r="L709" s="74"/>
      <c r="M709" s="74" t="s">
        <v>2062</v>
      </c>
      <c r="N709" s="74">
        <v>2.0099999999999998</v>
      </c>
      <c r="O709" s="74">
        <v>0.19</v>
      </c>
      <c r="P709" s="74">
        <v>0.83109999999999995</v>
      </c>
    </row>
    <row r="710" spans="1:16">
      <c r="A710" s="74" t="s">
        <v>1567</v>
      </c>
      <c r="B710" s="74" t="s">
        <v>276</v>
      </c>
      <c r="C710" s="74" t="s">
        <v>1518</v>
      </c>
      <c r="D710" s="74" t="s">
        <v>82</v>
      </c>
      <c r="E710" s="74">
        <v>2</v>
      </c>
      <c r="F710" s="74">
        <v>30.3</v>
      </c>
      <c r="G710" s="758">
        <f t="shared" si="44"/>
        <v>0</v>
      </c>
      <c r="H710" s="759">
        <f t="shared" si="45"/>
        <v>0.24</v>
      </c>
      <c r="I710" s="758">
        <f t="shared" si="46"/>
        <v>15.15</v>
      </c>
      <c r="J710" s="760">
        <f t="shared" si="47"/>
        <v>1</v>
      </c>
      <c r="K710" s="74"/>
      <c r="L710" s="74"/>
      <c r="M710" s="74" t="s">
        <v>705</v>
      </c>
      <c r="N710" s="74">
        <v>1.84</v>
      </c>
      <c r="O710" s="74">
        <v>0.21</v>
      </c>
      <c r="P710" s="74">
        <v>0.81469999999999998</v>
      </c>
    </row>
    <row r="711" spans="1:16">
      <c r="A711" s="74" t="s">
        <v>1568</v>
      </c>
      <c r="B711" s="74" t="s">
        <v>276</v>
      </c>
      <c r="C711" s="74" t="s">
        <v>1519</v>
      </c>
      <c r="D711" s="74" t="s">
        <v>84</v>
      </c>
      <c r="E711" s="74">
        <v>3</v>
      </c>
      <c r="F711" s="74">
        <v>10.35</v>
      </c>
      <c r="G711" s="758">
        <f t="shared" si="44"/>
        <v>0</v>
      </c>
      <c r="H711" s="759">
        <f t="shared" si="45"/>
        <v>0.24</v>
      </c>
      <c r="I711" s="758">
        <f t="shared" si="46"/>
        <v>3.4499999999999997</v>
      </c>
      <c r="J711" s="760">
        <f t="shared" si="47"/>
        <v>1</v>
      </c>
      <c r="K711" s="74"/>
      <c r="L711" s="74"/>
      <c r="M711" s="74" t="s">
        <v>2063</v>
      </c>
      <c r="N711" s="74">
        <v>1.84</v>
      </c>
      <c r="O711" s="74">
        <v>0</v>
      </c>
      <c r="P711" s="74">
        <v>0</v>
      </c>
    </row>
    <row r="712" spans="1:16">
      <c r="A712" s="74" t="s">
        <v>1569</v>
      </c>
      <c r="B712" s="74" t="s">
        <v>276</v>
      </c>
      <c r="C712" s="74" t="s">
        <v>1514</v>
      </c>
      <c r="D712" s="74" t="s">
        <v>81</v>
      </c>
      <c r="E712" s="74">
        <v>1</v>
      </c>
      <c r="F712" s="74">
        <v>15.15</v>
      </c>
      <c r="G712" s="758">
        <f t="shared" si="44"/>
        <v>0</v>
      </c>
      <c r="H712" s="759">
        <f t="shared" si="45"/>
        <v>0.24</v>
      </c>
      <c r="I712" s="758">
        <f t="shared" si="46"/>
        <v>15.15</v>
      </c>
      <c r="J712" s="760">
        <f t="shared" si="47"/>
        <v>1</v>
      </c>
      <c r="K712" s="74"/>
      <c r="L712" s="74"/>
      <c r="M712" s="74" t="s">
        <v>2064</v>
      </c>
      <c r="N712" s="74">
        <v>0</v>
      </c>
      <c r="O712" s="74">
        <v>0</v>
      </c>
      <c r="P712" s="74">
        <v>1</v>
      </c>
    </row>
    <row r="713" spans="1:16">
      <c r="A713" s="74" t="s">
        <v>1569</v>
      </c>
      <c r="B713" s="74" t="s">
        <v>276</v>
      </c>
      <c r="C713" s="74" t="s">
        <v>1527</v>
      </c>
      <c r="D713" s="74" t="s">
        <v>82</v>
      </c>
      <c r="E713" s="74">
        <v>2</v>
      </c>
      <c r="F713" s="74">
        <v>30.55</v>
      </c>
      <c r="G713" s="758">
        <f t="shared" si="44"/>
        <v>0</v>
      </c>
      <c r="H713" s="759">
        <f t="shared" si="45"/>
        <v>0.24</v>
      </c>
      <c r="I713" s="758">
        <f t="shared" si="46"/>
        <v>15.275</v>
      </c>
      <c r="J713" s="760">
        <f t="shared" si="47"/>
        <v>1</v>
      </c>
      <c r="K713" s="74"/>
      <c r="L713" s="74"/>
      <c r="M713" s="74" t="s">
        <v>1139</v>
      </c>
      <c r="N713" s="74">
        <v>1.79</v>
      </c>
      <c r="O713" s="74">
        <v>0.21</v>
      </c>
      <c r="P713" s="74">
        <v>0.8216</v>
      </c>
    </row>
    <row r="714" spans="1:16">
      <c r="A714" s="74" t="s">
        <v>1570</v>
      </c>
      <c r="B714" s="74" t="s">
        <v>276</v>
      </c>
      <c r="C714" s="74" t="s">
        <v>1511</v>
      </c>
      <c r="D714" s="74" t="s">
        <v>80</v>
      </c>
      <c r="E714" s="74">
        <v>3</v>
      </c>
      <c r="F714" s="74">
        <v>10.35</v>
      </c>
      <c r="G714" s="758">
        <f t="shared" si="44"/>
        <v>0</v>
      </c>
      <c r="H714" s="759">
        <f t="shared" si="45"/>
        <v>0.23</v>
      </c>
      <c r="I714" s="758">
        <f t="shared" si="46"/>
        <v>3.4499999999999997</v>
      </c>
      <c r="J714" s="760">
        <f t="shared" si="47"/>
        <v>1</v>
      </c>
      <c r="K714" s="74"/>
      <c r="L714" s="74"/>
      <c r="M714" s="74" t="s">
        <v>2065</v>
      </c>
      <c r="N714" s="74">
        <v>1.88</v>
      </c>
      <c r="O714" s="74">
        <v>0</v>
      </c>
      <c r="P714" s="74">
        <v>0</v>
      </c>
    </row>
    <row r="715" spans="1:16">
      <c r="A715" s="74" t="s">
        <v>1570</v>
      </c>
      <c r="B715" s="74" t="s">
        <v>276</v>
      </c>
      <c r="C715" s="74" t="s">
        <v>1512</v>
      </c>
      <c r="D715" s="74" t="s">
        <v>80</v>
      </c>
      <c r="E715" s="74">
        <v>2</v>
      </c>
      <c r="F715" s="74">
        <v>6.6</v>
      </c>
      <c r="G715" s="758">
        <f t="shared" si="44"/>
        <v>0</v>
      </c>
      <c r="H715" s="759">
        <f t="shared" si="45"/>
        <v>0.23</v>
      </c>
      <c r="I715" s="758">
        <f t="shared" si="46"/>
        <v>3.3</v>
      </c>
      <c r="J715" s="760">
        <f t="shared" si="47"/>
        <v>1</v>
      </c>
      <c r="K715" s="74"/>
      <c r="L715" s="74"/>
      <c r="M715" s="74" t="s">
        <v>2066</v>
      </c>
      <c r="N715" s="74">
        <v>1.88</v>
      </c>
      <c r="O715" s="74">
        <v>1.03</v>
      </c>
      <c r="P715" s="74">
        <v>-0.2165</v>
      </c>
    </row>
    <row r="716" spans="1:16">
      <c r="A716" s="74" t="s">
        <v>1570</v>
      </c>
      <c r="B716" s="74" t="s">
        <v>276</v>
      </c>
      <c r="C716" s="74" t="s">
        <v>1534</v>
      </c>
      <c r="D716" s="74" t="s">
        <v>81</v>
      </c>
      <c r="E716" s="74">
        <v>5</v>
      </c>
      <c r="F716" s="74">
        <v>16.5</v>
      </c>
      <c r="G716" s="758">
        <f t="shared" si="44"/>
        <v>0</v>
      </c>
      <c r="H716" s="759">
        <f t="shared" si="45"/>
        <v>0.23</v>
      </c>
      <c r="I716" s="758">
        <f t="shared" si="46"/>
        <v>3.3</v>
      </c>
      <c r="J716" s="760">
        <f t="shared" si="47"/>
        <v>1</v>
      </c>
      <c r="K716" s="74"/>
      <c r="L716" s="74"/>
      <c r="M716" s="74" t="s">
        <v>2067</v>
      </c>
      <c r="N716" s="74">
        <v>3.5</v>
      </c>
      <c r="O716" s="74">
        <v>1.1599999999999999</v>
      </c>
      <c r="P716" s="74">
        <v>-0.05</v>
      </c>
    </row>
    <row r="717" spans="1:16">
      <c r="A717" s="74" t="s">
        <v>1570</v>
      </c>
      <c r="B717" s="74" t="s">
        <v>276</v>
      </c>
      <c r="C717" s="74" t="s">
        <v>1513</v>
      </c>
      <c r="D717" s="74" t="s">
        <v>81</v>
      </c>
      <c r="E717" s="74">
        <v>1</v>
      </c>
      <c r="F717" s="74">
        <v>3.45</v>
      </c>
      <c r="G717" s="758">
        <f t="shared" si="44"/>
        <v>0</v>
      </c>
      <c r="H717" s="759">
        <f t="shared" si="45"/>
        <v>0.23</v>
      </c>
      <c r="I717" s="758">
        <f t="shared" si="46"/>
        <v>3.45</v>
      </c>
      <c r="J717" s="760">
        <f t="shared" si="47"/>
        <v>1</v>
      </c>
      <c r="K717" s="74"/>
      <c r="L717" s="74"/>
      <c r="M717" s="74" t="s">
        <v>2068</v>
      </c>
      <c r="N717" s="74">
        <v>4.05</v>
      </c>
      <c r="O717" s="74">
        <v>1.48</v>
      </c>
      <c r="P717" s="74">
        <v>-0.44</v>
      </c>
    </row>
    <row r="718" spans="1:16">
      <c r="A718" s="74" t="s">
        <v>1570</v>
      </c>
      <c r="B718" s="74" t="s">
        <v>276</v>
      </c>
      <c r="C718" s="74" t="s">
        <v>1514</v>
      </c>
      <c r="D718" s="74" t="s">
        <v>81</v>
      </c>
      <c r="E718" s="74">
        <v>7</v>
      </c>
      <c r="F718" s="74">
        <v>23.1</v>
      </c>
      <c r="G718" s="758">
        <f t="shared" si="44"/>
        <v>0</v>
      </c>
      <c r="H718" s="759">
        <f t="shared" si="45"/>
        <v>0.23</v>
      </c>
      <c r="I718" s="758">
        <f t="shared" si="46"/>
        <v>3.3000000000000003</v>
      </c>
      <c r="J718" s="760">
        <f t="shared" si="47"/>
        <v>1</v>
      </c>
      <c r="K718" s="74"/>
      <c r="L718" s="74"/>
      <c r="M718" s="74" t="s">
        <v>2069</v>
      </c>
      <c r="N718" s="74">
        <v>1.84</v>
      </c>
      <c r="O718" s="74">
        <v>0.51</v>
      </c>
      <c r="P718" s="74">
        <v>0.54</v>
      </c>
    </row>
    <row r="719" spans="1:16">
      <c r="A719" s="74" t="s">
        <v>1570</v>
      </c>
      <c r="B719" s="74" t="s">
        <v>276</v>
      </c>
      <c r="C719" s="74" t="s">
        <v>1515</v>
      </c>
      <c r="D719" s="74" t="s">
        <v>81</v>
      </c>
      <c r="E719" s="74">
        <v>4</v>
      </c>
      <c r="F719" s="74">
        <v>70</v>
      </c>
      <c r="G719" s="758">
        <f t="shared" si="44"/>
        <v>0</v>
      </c>
      <c r="H719" s="759">
        <f t="shared" si="45"/>
        <v>0.23</v>
      </c>
      <c r="I719" s="758">
        <f t="shared" si="46"/>
        <v>17.5</v>
      </c>
      <c r="J719" s="760">
        <f t="shared" si="47"/>
        <v>1</v>
      </c>
      <c r="K719" s="74"/>
      <c r="L719" s="74"/>
      <c r="M719" s="74" t="s">
        <v>683</v>
      </c>
      <c r="N719" s="74">
        <v>2.52</v>
      </c>
      <c r="O719" s="74">
        <v>0.24</v>
      </c>
      <c r="P719" s="74">
        <v>0.78939999999999999</v>
      </c>
    </row>
    <row r="720" spans="1:16">
      <c r="A720" s="74" t="s">
        <v>1570</v>
      </c>
      <c r="B720" s="74" t="s">
        <v>276</v>
      </c>
      <c r="C720" s="74" t="s">
        <v>1516</v>
      </c>
      <c r="D720" s="74" t="s">
        <v>82</v>
      </c>
      <c r="E720" s="74">
        <v>10</v>
      </c>
      <c r="F720" s="74">
        <v>34.15</v>
      </c>
      <c r="G720" s="758">
        <f t="shared" si="44"/>
        <v>0</v>
      </c>
      <c r="H720" s="759">
        <f t="shared" si="45"/>
        <v>0.23</v>
      </c>
      <c r="I720" s="758">
        <f t="shared" si="46"/>
        <v>3.415</v>
      </c>
      <c r="J720" s="760">
        <f t="shared" si="47"/>
        <v>1</v>
      </c>
      <c r="K720" s="74"/>
      <c r="L720" s="74"/>
      <c r="M720" s="74" t="s">
        <v>2070</v>
      </c>
      <c r="N720" s="74">
        <v>0</v>
      </c>
      <c r="O720" s="74">
        <v>0</v>
      </c>
      <c r="P720" s="74">
        <v>0</v>
      </c>
    </row>
    <row r="721" spans="1:16">
      <c r="A721" s="74" t="s">
        <v>1570</v>
      </c>
      <c r="B721" s="74" t="s">
        <v>276</v>
      </c>
      <c r="C721" s="74" t="s">
        <v>1517</v>
      </c>
      <c r="D721" s="74" t="s">
        <v>82</v>
      </c>
      <c r="E721" s="74">
        <v>12</v>
      </c>
      <c r="F721" s="74">
        <v>40.950000000000003</v>
      </c>
      <c r="G721" s="758">
        <f t="shared" si="44"/>
        <v>0</v>
      </c>
      <c r="H721" s="759">
        <f t="shared" si="45"/>
        <v>0.23</v>
      </c>
      <c r="I721" s="758">
        <f t="shared" si="46"/>
        <v>3.4125000000000001</v>
      </c>
      <c r="J721" s="760">
        <f t="shared" si="47"/>
        <v>1</v>
      </c>
      <c r="K721" s="74"/>
      <c r="L721" s="74"/>
      <c r="M721" s="74" t="s">
        <v>2071</v>
      </c>
      <c r="N721" s="74">
        <v>0</v>
      </c>
      <c r="O721" s="74">
        <v>0</v>
      </c>
      <c r="P721" s="74">
        <v>0</v>
      </c>
    </row>
    <row r="722" spans="1:16">
      <c r="A722" s="74" t="s">
        <v>1570</v>
      </c>
      <c r="B722" s="74" t="s">
        <v>276</v>
      </c>
      <c r="C722" s="74" t="s">
        <v>1527</v>
      </c>
      <c r="D722" s="74" t="s">
        <v>82</v>
      </c>
      <c r="E722" s="74">
        <v>9</v>
      </c>
      <c r="F722" s="74">
        <v>30</v>
      </c>
      <c r="G722" s="758">
        <f t="shared" si="44"/>
        <v>0</v>
      </c>
      <c r="H722" s="759">
        <f t="shared" si="45"/>
        <v>0.23</v>
      </c>
      <c r="I722" s="758">
        <f t="shared" si="46"/>
        <v>3.3333333333333335</v>
      </c>
      <c r="J722" s="760">
        <f t="shared" si="47"/>
        <v>1</v>
      </c>
      <c r="K722" s="74"/>
      <c r="L722" s="74"/>
      <c r="M722" s="74" t="s">
        <v>2072</v>
      </c>
      <c r="N722" s="74">
        <v>0</v>
      </c>
      <c r="O722" s="74">
        <v>0</v>
      </c>
      <c r="P722" s="74">
        <v>0</v>
      </c>
    </row>
    <row r="723" spans="1:16">
      <c r="A723" s="74" t="s">
        <v>1570</v>
      </c>
      <c r="B723" s="74" t="s">
        <v>276</v>
      </c>
      <c r="C723" s="74" t="s">
        <v>1518</v>
      </c>
      <c r="D723" s="74" t="s">
        <v>82</v>
      </c>
      <c r="E723" s="74">
        <v>3</v>
      </c>
      <c r="F723" s="74">
        <v>10.35</v>
      </c>
      <c r="G723" s="758">
        <f t="shared" si="44"/>
        <v>0</v>
      </c>
      <c r="H723" s="759">
        <f t="shared" si="45"/>
        <v>0.23</v>
      </c>
      <c r="I723" s="758">
        <f t="shared" si="46"/>
        <v>3.4499999999999997</v>
      </c>
      <c r="J723" s="760">
        <f t="shared" si="47"/>
        <v>1</v>
      </c>
      <c r="K723" s="74"/>
      <c r="L723" s="74"/>
      <c r="M723" s="74" t="s">
        <v>2073</v>
      </c>
      <c r="N723" s="74">
        <v>0</v>
      </c>
      <c r="O723" s="74">
        <v>0</v>
      </c>
      <c r="P723" s="74">
        <v>1</v>
      </c>
    </row>
    <row r="724" spans="1:16">
      <c r="A724" s="74" t="s">
        <v>1571</v>
      </c>
      <c r="B724" s="74" t="s">
        <v>276</v>
      </c>
      <c r="C724" s="74" t="s">
        <v>1532</v>
      </c>
      <c r="D724" s="74" t="s">
        <v>80</v>
      </c>
      <c r="E724" s="74">
        <v>2</v>
      </c>
      <c r="F724" s="74">
        <v>30.3</v>
      </c>
      <c r="G724" s="758">
        <f t="shared" si="44"/>
        <v>0</v>
      </c>
      <c r="H724" s="759">
        <f t="shared" si="45"/>
        <v>0.16</v>
      </c>
      <c r="I724" s="758">
        <f t="shared" si="46"/>
        <v>15.15</v>
      </c>
      <c r="J724" s="760">
        <f t="shared" si="47"/>
        <v>1</v>
      </c>
      <c r="K724" s="74"/>
      <c r="L724" s="74"/>
      <c r="M724" s="74" t="s">
        <v>2074</v>
      </c>
      <c r="N724" s="74">
        <v>0</v>
      </c>
      <c r="O724" s="74">
        <v>0</v>
      </c>
      <c r="P724" s="74">
        <v>1</v>
      </c>
    </row>
    <row r="725" spans="1:16">
      <c r="A725" s="74" t="s">
        <v>1571</v>
      </c>
      <c r="B725" s="74" t="s">
        <v>276</v>
      </c>
      <c r="C725" s="74" t="s">
        <v>1511</v>
      </c>
      <c r="D725" s="74" t="s">
        <v>80</v>
      </c>
      <c r="E725" s="74">
        <v>2</v>
      </c>
      <c r="F725" s="74">
        <v>30.3</v>
      </c>
      <c r="G725" s="758">
        <f t="shared" si="44"/>
        <v>0</v>
      </c>
      <c r="H725" s="759">
        <f t="shared" si="45"/>
        <v>0.16</v>
      </c>
      <c r="I725" s="758">
        <f t="shared" si="46"/>
        <v>15.15</v>
      </c>
      <c r="J725" s="760">
        <f t="shared" si="47"/>
        <v>1</v>
      </c>
      <c r="K725" s="74"/>
      <c r="L725" s="74"/>
      <c r="M725" s="74" t="s">
        <v>2075</v>
      </c>
      <c r="N725" s="74">
        <v>2.13</v>
      </c>
      <c r="O725" s="74">
        <v>1.17</v>
      </c>
      <c r="P725" s="74">
        <v>-6.5000000000000002E-2</v>
      </c>
    </row>
    <row r="726" spans="1:16">
      <c r="A726" s="74" t="s">
        <v>1572</v>
      </c>
      <c r="B726" s="74" t="s">
        <v>276</v>
      </c>
      <c r="C726" s="74" t="s">
        <v>1532</v>
      </c>
      <c r="D726" s="74" t="s">
        <v>80</v>
      </c>
      <c r="E726" s="74">
        <v>2</v>
      </c>
      <c r="F726" s="74">
        <v>6.6</v>
      </c>
      <c r="G726" s="758">
        <f t="shared" si="44"/>
        <v>0</v>
      </c>
      <c r="H726" s="759">
        <f t="shared" si="45"/>
        <v>0.16</v>
      </c>
      <c r="I726" s="758">
        <f t="shared" si="46"/>
        <v>3.3</v>
      </c>
      <c r="J726" s="760">
        <f t="shared" si="47"/>
        <v>1</v>
      </c>
      <c r="K726" s="74"/>
      <c r="L726" s="74"/>
      <c r="M726" s="74" t="s">
        <v>2076</v>
      </c>
      <c r="N726" s="74">
        <v>0</v>
      </c>
      <c r="O726" s="74">
        <v>0</v>
      </c>
      <c r="P726" s="74">
        <v>1</v>
      </c>
    </row>
    <row r="727" spans="1:16">
      <c r="A727" s="74" t="s">
        <v>1572</v>
      </c>
      <c r="B727" s="74" t="s">
        <v>276</v>
      </c>
      <c r="C727" s="74" t="s">
        <v>1511</v>
      </c>
      <c r="D727" s="74" t="s">
        <v>80</v>
      </c>
      <c r="E727" s="74">
        <v>3</v>
      </c>
      <c r="F727" s="74">
        <v>10.199999999999999</v>
      </c>
      <c r="G727" s="758">
        <f t="shared" si="44"/>
        <v>0</v>
      </c>
      <c r="H727" s="759">
        <f t="shared" si="45"/>
        <v>0.16</v>
      </c>
      <c r="I727" s="758">
        <f t="shared" si="46"/>
        <v>3.4</v>
      </c>
      <c r="J727" s="760">
        <f t="shared" si="47"/>
        <v>1</v>
      </c>
      <c r="K727" s="74"/>
      <c r="L727" s="74"/>
      <c r="M727" s="74" t="s">
        <v>934</v>
      </c>
      <c r="N727" s="74">
        <v>0</v>
      </c>
      <c r="O727" s="74">
        <v>0</v>
      </c>
      <c r="P727" s="74">
        <v>1</v>
      </c>
    </row>
    <row r="728" spans="1:16">
      <c r="A728" s="74" t="s">
        <v>1573</v>
      </c>
      <c r="B728" s="74" t="s">
        <v>877</v>
      </c>
      <c r="C728" s="74" t="s">
        <v>1582</v>
      </c>
      <c r="D728" s="74" t="s">
        <v>89</v>
      </c>
      <c r="E728" s="74">
        <v>4</v>
      </c>
      <c r="F728" s="74">
        <v>0</v>
      </c>
      <c r="G728" s="758">
        <f t="shared" si="44"/>
        <v>0</v>
      </c>
      <c r="H728" s="759">
        <f t="shared" si="45"/>
        <v>0</v>
      </c>
      <c r="I728" s="758">
        <f t="shared" si="46"/>
        <v>0</v>
      </c>
      <c r="J728" s="760">
        <f t="shared" si="47"/>
        <v>0</v>
      </c>
      <c r="K728" s="74"/>
      <c r="L728" s="74"/>
      <c r="M728" s="74" t="s">
        <v>2077</v>
      </c>
      <c r="N728" s="74">
        <v>0</v>
      </c>
      <c r="O728" s="74">
        <v>0</v>
      </c>
      <c r="P728" s="74">
        <v>1</v>
      </c>
    </row>
    <row r="729" spans="1:16">
      <c r="A729" s="74" t="s">
        <v>1574</v>
      </c>
      <c r="B729" s="74" t="s">
        <v>877</v>
      </c>
      <c r="C729" s="74" t="s">
        <v>1565</v>
      </c>
      <c r="D729" s="74" t="s">
        <v>78</v>
      </c>
      <c r="E729" s="74">
        <v>5</v>
      </c>
      <c r="F729" s="74">
        <v>44.4</v>
      </c>
      <c r="G729" s="758">
        <f t="shared" si="44"/>
        <v>2.37</v>
      </c>
      <c r="H729" s="759">
        <f t="shared" si="45"/>
        <v>0.3</v>
      </c>
      <c r="I729" s="758">
        <f t="shared" si="46"/>
        <v>6.5099999999999989</v>
      </c>
      <c r="J729" s="760">
        <f t="shared" si="47"/>
        <v>0.73310810810810811</v>
      </c>
      <c r="K729" s="74"/>
      <c r="L729" s="74"/>
      <c r="M729" s="74" t="s">
        <v>2078</v>
      </c>
      <c r="N729" s="74">
        <v>0</v>
      </c>
      <c r="O729" s="74">
        <v>0</v>
      </c>
      <c r="P729" s="74">
        <v>0</v>
      </c>
    </row>
    <row r="730" spans="1:16">
      <c r="A730" s="74" t="s">
        <v>1574</v>
      </c>
      <c r="B730" s="74" t="s">
        <v>877</v>
      </c>
      <c r="C730" s="74" t="s">
        <v>1532</v>
      </c>
      <c r="D730" s="74" t="s">
        <v>80</v>
      </c>
      <c r="E730" s="74">
        <v>1</v>
      </c>
      <c r="F730" s="74">
        <v>7.9</v>
      </c>
      <c r="G730" s="758">
        <f t="shared" si="44"/>
        <v>2.37</v>
      </c>
      <c r="H730" s="759">
        <f t="shared" si="45"/>
        <v>0.3</v>
      </c>
      <c r="I730" s="758">
        <f t="shared" si="46"/>
        <v>5.53</v>
      </c>
      <c r="J730" s="760">
        <f t="shared" si="47"/>
        <v>0.7</v>
      </c>
      <c r="K730" s="74"/>
      <c r="L730" s="74"/>
      <c r="M730" s="74" t="s">
        <v>2079</v>
      </c>
      <c r="N730" s="74">
        <v>0</v>
      </c>
      <c r="O730" s="74">
        <v>0</v>
      </c>
      <c r="P730" s="74">
        <v>1</v>
      </c>
    </row>
    <row r="731" spans="1:16">
      <c r="A731" s="74" t="s">
        <v>1574</v>
      </c>
      <c r="B731" s="74" t="s">
        <v>877</v>
      </c>
      <c r="C731" s="74" t="s">
        <v>1512</v>
      </c>
      <c r="D731" s="74" t="s">
        <v>80</v>
      </c>
      <c r="E731" s="74">
        <v>1</v>
      </c>
      <c r="F731" s="74">
        <v>7.9</v>
      </c>
      <c r="G731" s="758">
        <f t="shared" si="44"/>
        <v>2.37</v>
      </c>
      <c r="H731" s="759">
        <f t="shared" si="45"/>
        <v>0.3</v>
      </c>
      <c r="I731" s="758">
        <f t="shared" si="46"/>
        <v>5.53</v>
      </c>
      <c r="J731" s="760">
        <f t="shared" si="47"/>
        <v>0.7</v>
      </c>
      <c r="K731" s="74"/>
      <c r="L731" s="74"/>
      <c r="M731" s="74" t="s">
        <v>2080</v>
      </c>
      <c r="N731" s="74">
        <v>0</v>
      </c>
      <c r="O731" s="74">
        <v>0</v>
      </c>
      <c r="P731" s="74">
        <v>0</v>
      </c>
    </row>
    <row r="732" spans="1:16">
      <c r="A732" s="74" t="s">
        <v>1574</v>
      </c>
      <c r="B732" s="74" t="s">
        <v>877</v>
      </c>
      <c r="C732" s="74" t="s">
        <v>1527</v>
      </c>
      <c r="D732" s="74" t="s">
        <v>82</v>
      </c>
      <c r="E732" s="74">
        <v>1</v>
      </c>
      <c r="F732" s="74">
        <v>0</v>
      </c>
      <c r="G732" s="758">
        <f t="shared" si="44"/>
        <v>2.37</v>
      </c>
      <c r="H732" s="759">
        <f t="shared" si="45"/>
        <v>0.3</v>
      </c>
      <c r="I732" s="758">
        <f t="shared" si="46"/>
        <v>-2.37</v>
      </c>
      <c r="J732" s="760">
        <f t="shared" si="47"/>
        <v>0</v>
      </c>
      <c r="K732" s="74"/>
      <c r="L732" s="74"/>
      <c r="M732" s="74" t="s">
        <v>1049</v>
      </c>
      <c r="N732" s="74">
        <v>0</v>
      </c>
      <c r="O732" s="74">
        <v>0</v>
      </c>
      <c r="P732" s="74">
        <v>0</v>
      </c>
    </row>
    <row r="733" spans="1:16">
      <c r="A733" s="74" t="s">
        <v>759</v>
      </c>
      <c r="B733" s="74" t="s">
        <v>256</v>
      </c>
      <c r="C733" s="74" t="s">
        <v>1509</v>
      </c>
      <c r="D733" s="74" t="s">
        <v>78</v>
      </c>
      <c r="E733" s="74">
        <v>5</v>
      </c>
      <c r="F733" s="74">
        <v>38.64</v>
      </c>
      <c r="G733" s="758">
        <f t="shared" si="44"/>
        <v>2.37</v>
      </c>
      <c r="H733" s="759">
        <f t="shared" si="45"/>
        <v>0.3</v>
      </c>
      <c r="I733" s="758">
        <f t="shared" si="46"/>
        <v>5.3579999999999997</v>
      </c>
      <c r="J733" s="760">
        <f t="shared" si="47"/>
        <v>0.69332298136645965</v>
      </c>
      <c r="K733" s="74"/>
      <c r="L733" s="74"/>
      <c r="M733" s="74" t="s">
        <v>2081</v>
      </c>
      <c r="N733" s="74">
        <v>0</v>
      </c>
      <c r="O733" s="74">
        <v>0</v>
      </c>
      <c r="P733" s="74">
        <v>1</v>
      </c>
    </row>
    <row r="734" spans="1:16">
      <c r="A734" s="74" t="s">
        <v>759</v>
      </c>
      <c r="B734" s="74" t="s">
        <v>256</v>
      </c>
      <c r="C734" s="74" t="s">
        <v>1565</v>
      </c>
      <c r="D734" s="74" t="s">
        <v>78</v>
      </c>
      <c r="E734" s="74">
        <v>5</v>
      </c>
      <c r="F734" s="74">
        <v>38.64</v>
      </c>
      <c r="G734" s="758">
        <f t="shared" si="44"/>
        <v>2.37</v>
      </c>
      <c r="H734" s="759">
        <f t="shared" si="45"/>
        <v>0.3</v>
      </c>
      <c r="I734" s="758">
        <f t="shared" si="46"/>
        <v>5.3579999999999997</v>
      </c>
      <c r="J734" s="760">
        <f t="shared" si="47"/>
        <v>0.69332298136645965</v>
      </c>
      <c r="K734" s="74"/>
      <c r="L734" s="74"/>
      <c r="M734" s="74" t="s">
        <v>2082</v>
      </c>
      <c r="N734" s="74">
        <v>0</v>
      </c>
      <c r="O734" s="74">
        <v>0</v>
      </c>
      <c r="P734" s="74">
        <v>0</v>
      </c>
    </row>
    <row r="735" spans="1:16">
      <c r="A735" s="74" t="s">
        <v>759</v>
      </c>
      <c r="B735" s="74" t="s">
        <v>256</v>
      </c>
      <c r="C735" s="74" t="s">
        <v>1532</v>
      </c>
      <c r="D735" s="74" t="s">
        <v>80</v>
      </c>
      <c r="E735" s="74">
        <v>2</v>
      </c>
      <c r="F735" s="74">
        <v>15.85</v>
      </c>
      <c r="G735" s="758">
        <f t="shared" si="44"/>
        <v>2.37</v>
      </c>
      <c r="H735" s="759">
        <f t="shared" si="45"/>
        <v>0.3</v>
      </c>
      <c r="I735" s="758">
        <f t="shared" si="46"/>
        <v>5.5549999999999997</v>
      </c>
      <c r="J735" s="760">
        <f t="shared" si="47"/>
        <v>0.70094637223974754</v>
      </c>
      <c r="K735" s="74"/>
      <c r="L735" s="74"/>
      <c r="M735" s="74" t="s">
        <v>2083</v>
      </c>
      <c r="N735" s="74">
        <v>0</v>
      </c>
      <c r="O735" s="74">
        <v>0</v>
      </c>
      <c r="P735" s="74">
        <v>0</v>
      </c>
    </row>
    <row r="736" spans="1:16">
      <c r="A736" s="74" t="s">
        <v>759</v>
      </c>
      <c r="B736" s="74" t="s">
        <v>256</v>
      </c>
      <c r="C736" s="74" t="s">
        <v>1534</v>
      </c>
      <c r="D736" s="74" t="s">
        <v>81</v>
      </c>
      <c r="E736" s="74">
        <v>5</v>
      </c>
      <c r="F736" s="74">
        <v>39.549999999999997</v>
      </c>
      <c r="G736" s="758">
        <f t="shared" si="44"/>
        <v>2.37</v>
      </c>
      <c r="H736" s="759">
        <f t="shared" si="45"/>
        <v>0.3</v>
      </c>
      <c r="I736" s="758">
        <f t="shared" si="46"/>
        <v>5.5399999999999991</v>
      </c>
      <c r="J736" s="760">
        <f t="shared" si="47"/>
        <v>0.70037926675094808</v>
      </c>
      <c r="K736" s="74"/>
      <c r="L736" s="74"/>
      <c r="M736" s="74" t="s">
        <v>2084</v>
      </c>
      <c r="N736" s="74">
        <v>0</v>
      </c>
      <c r="O736" s="74">
        <v>0</v>
      </c>
      <c r="P736" s="74">
        <v>0</v>
      </c>
    </row>
    <row r="737" spans="1:16">
      <c r="A737" s="74" t="s">
        <v>759</v>
      </c>
      <c r="B737" s="74" t="s">
        <v>256</v>
      </c>
      <c r="C737" s="74" t="s">
        <v>1527</v>
      </c>
      <c r="D737" s="74" t="s">
        <v>82</v>
      </c>
      <c r="E737" s="74">
        <v>7</v>
      </c>
      <c r="F737" s="74">
        <v>59.5</v>
      </c>
      <c r="G737" s="758">
        <f t="shared" si="44"/>
        <v>2.37</v>
      </c>
      <c r="H737" s="759">
        <f t="shared" si="45"/>
        <v>0.3</v>
      </c>
      <c r="I737" s="758">
        <f t="shared" si="46"/>
        <v>6.13</v>
      </c>
      <c r="J737" s="760">
        <f t="shared" si="47"/>
        <v>0.72117647058823531</v>
      </c>
      <c r="K737" s="74"/>
      <c r="L737" s="74"/>
      <c r="M737" s="74" t="s">
        <v>2085</v>
      </c>
      <c r="N737" s="74">
        <v>3.19</v>
      </c>
      <c r="O737" s="74">
        <v>0.94</v>
      </c>
      <c r="P737" s="74">
        <v>0.14929999999999999</v>
      </c>
    </row>
    <row r="738" spans="1:16">
      <c r="A738" s="74" t="s">
        <v>759</v>
      </c>
      <c r="B738" s="74" t="s">
        <v>256</v>
      </c>
      <c r="C738" s="74" t="s">
        <v>1518</v>
      </c>
      <c r="D738" s="74" t="s">
        <v>82</v>
      </c>
      <c r="E738" s="74">
        <v>6</v>
      </c>
      <c r="F738" s="74">
        <v>102.75</v>
      </c>
      <c r="G738" s="758">
        <f t="shared" si="44"/>
        <v>2.37</v>
      </c>
      <c r="H738" s="759">
        <f t="shared" si="45"/>
        <v>0.3</v>
      </c>
      <c r="I738" s="758">
        <f t="shared" si="46"/>
        <v>14.754999999999999</v>
      </c>
      <c r="J738" s="760">
        <f t="shared" si="47"/>
        <v>0.86160583941605839</v>
      </c>
      <c r="K738" s="74"/>
      <c r="L738" s="74"/>
      <c r="M738" s="74" t="s">
        <v>2086</v>
      </c>
      <c r="N738" s="74">
        <v>2.81</v>
      </c>
      <c r="O738" s="74">
        <v>0.27</v>
      </c>
      <c r="P738" s="74">
        <v>0.79790000000000005</v>
      </c>
    </row>
    <row r="739" spans="1:16">
      <c r="A739" s="74" t="s">
        <v>1575</v>
      </c>
      <c r="B739" s="74" t="s">
        <v>256</v>
      </c>
      <c r="C739" s="74" t="s">
        <v>1527</v>
      </c>
      <c r="D739" s="74" t="s">
        <v>82</v>
      </c>
      <c r="E739" s="74">
        <v>2</v>
      </c>
      <c r="F739" s="74">
        <v>0</v>
      </c>
      <c r="G739" s="758">
        <f t="shared" si="44"/>
        <v>0</v>
      </c>
      <c r="H739" s="759">
        <f t="shared" si="45"/>
        <v>0.24</v>
      </c>
      <c r="I739" s="758">
        <f t="shared" si="46"/>
        <v>0</v>
      </c>
      <c r="J739" s="760">
        <f t="shared" si="47"/>
        <v>0</v>
      </c>
      <c r="K739" s="74"/>
      <c r="L739" s="74"/>
      <c r="M739" s="74" t="s">
        <v>2087</v>
      </c>
      <c r="N739" s="74">
        <v>0</v>
      </c>
      <c r="O739" s="74">
        <v>0</v>
      </c>
      <c r="P739" s="74">
        <v>1</v>
      </c>
    </row>
    <row r="740" spans="1:16">
      <c r="A740" s="74" t="s">
        <v>760</v>
      </c>
      <c r="B740" s="74" t="s">
        <v>253</v>
      </c>
      <c r="C740" s="74" t="s">
        <v>1509</v>
      </c>
      <c r="D740" s="74" t="s">
        <v>78</v>
      </c>
      <c r="E740" s="74">
        <v>5</v>
      </c>
      <c r="F740" s="74">
        <v>0</v>
      </c>
      <c r="G740" s="758">
        <f t="shared" si="44"/>
        <v>0</v>
      </c>
      <c r="H740" s="759">
        <f t="shared" si="45"/>
        <v>0</v>
      </c>
      <c r="I740" s="758">
        <f t="shared" si="46"/>
        <v>0</v>
      </c>
      <c r="J740" s="760">
        <f t="shared" si="47"/>
        <v>0</v>
      </c>
      <c r="K740" s="74"/>
      <c r="L740" s="74"/>
      <c r="M740" s="74" t="s">
        <v>2088</v>
      </c>
      <c r="N740" s="74">
        <v>0</v>
      </c>
      <c r="O740" s="74">
        <v>0</v>
      </c>
      <c r="P740" s="74">
        <v>1</v>
      </c>
    </row>
    <row r="741" spans="1:16">
      <c r="A741" s="74" t="s">
        <v>760</v>
      </c>
      <c r="B741" s="74" t="s">
        <v>253</v>
      </c>
      <c r="C741" s="74" t="s">
        <v>1565</v>
      </c>
      <c r="D741" s="74" t="s">
        <v>78</v>
      </c>
      <c r="E741" s="74">
        <v>5</v>
      </c>
      <c r="F741" s="74">
        <v>0</v>
      </c>
      <c r="G741" s="758">
        <f t="shared" si="44"/>
        <v>0</v>
      </c>
      <c r="H741" s="759">
        <f t="shared" si="45"/>
        <v>0</v>
      </c>
      <c r="I741" s="758">
        <f t="shared" si="46"/>
        <v>0</v>
      </c>
      <c r="J741" s="760">
        <f t="shared" si="47"/>
        <v>0</v>
      </c>
      <c r="K741" s="74"/>
      <c r="L741" s="74"/>
      <c r="M741" s="74" t="s">
        <v>2089</v>
      </c>
      <c r="N741" s="74">
        <v>0</v>
      </c>
      <c r="O741" s="74">
        <v>0</v>
      </c>
      <c r="P741" s="74">
        <v>0</v>
      </c>
    </row>
    <row r="742" spans="1:16">
      <c r="A742" s="74" t="s">
        <v>760</v>
      </c>
      <c r="B742" s="74" t="s">
        <v>253</v>
      </c>
      <c r="C742" s="74" t="s">
        <v>1530</v>
      </c>
      <c r="D742" s="74" t="s">
        <v>80</v>
      </c>
      <c r="E742" s="74">
        <v>4</v>
      </c>
      <c r="F742" s="74">
        <v>0</v>
      </c>
      <c r="G742" s="758">
        <f t="shared" si="44"/>
        <v>0</v>
      </c>
      <c r="H742" s="759">
        <f t="shared" si="45"/>
        <v>0</v>
      </c>
      <c r="I742" s="758">
        <f t="shared" si="46"/>
        <v>0</v>
      </c>
      <c r="J742" s="760">
        <f t="shared" si="47"/>
        <v>0</v>
      </c>
      <c r="K742" s="74"/>
      <c r="L742" s="74"/>
      <c r="M742" s="74" t="s">
        <v>2090</v>
      </c>
      <c r="N742" s="74">
        <v>0.32</v>
      </c>
      <c r="O742" s="74">
        <v>0</v>
      </c>
      <c r="P742" s="74">
        <v>0.84</v>
      </c>
    </row>
    <row r="743" spans="1:16">
      <c r="A743" s="74" t="s">
        <v>760</v>
      </c>
      <c r="B743" s="74" t="s">
        <v>253</v>
      </c>
      <c r="C743" s="74" t="s">
        <v>1532</v>
      </c>
      <c r="D743" s="74" t="s">
        <v>80</v>
      </c>
      <c r="E743" s="74">
        <v>4</v>
      </c>
      <c r="F743" s="74">
        <v>0</v>
      </c>
      <c r="G743" s="758">
        <f t="shared" si="44"/>
        <v>0</v>
      </c>
      <c r="H743" s="759">
        <f t="shared" si="45"/>
        <v>0</v>
      </c>
      <c r="I743" s="758">
        <f t="shared" si="46"/>
        <v>0</v>
      </c>
      <c r="J743" s="760">
        <f t="shared" si="47"/>
        <v>0</v>
      </c>
      <c r="K743" s="74"/>
      <c r="L743" s="74"/>
      <c r="M743" s="74" t="s">
        <v>2091</v>
      </c>
      <c r="N743" s="74">
        <v>1.03</v>
      </c>
      <c r="O743" s="74">
        <v>0.4</v>
      </c>
      <c r="P743" s="74">
        <v>0.68369999999999997</v>
      </c>
    </row>
    <row r="744" spans="1:16">
      <c r="A744" s="74" t="s">
        <v>760</v>
      </c>
      <c r="B744" s="74" t="s">
        <v>253</v>
      </c>
      <c r="C744" s="74" t="s">
        <v>1513</v>
      </c>
      <c r="D744" s="74" t="s">
        <v>81</v>
      </c>
      <c r="E744" s="74">
        <v>6</v>
      </c>
      <c r="F744" s="74">
        <v>0</v>
      </c>
      <c r="G744" s="758">
        <f t="shared" si="44"/>
        <v>0</v>
      </c>
      <c r="H744" s="759">
        <f t="shared" si="45"/>
        <v>0</v>
      </c>
      <c r="I744" s="758">
        <f t="shared" si="46"/>
        <v>0</v>
      </c>
      <c r="J744" s="760">
        <f t="shared" si="47"/>
        <v>0</v>
      </c>
      <c r="K744" s="74"/>
      <c r="L744" s="74"/>
      <c r="M744" s="74" t="s">
        <v>2092</v>
      </c>
      <c r="N744" s="74">
        <v>1.06</v>
      </c>
      <c r="O744" s="74">
        <v>0</v>
      </c>
      <c r="P744" s="74">
        <v>0</v>
      </c>
    </row>
    <row r="745" spans="1:16">
      <c r="A745" s="74" t="s">
        <v>760</v>
      </c>
      <c r="B745" s="74" t="s">
        <v>253</v>
      </c>
      <c r="C745" s="74" t="s">
        <v>1514</v>
      </c>
      <c r="D745" s="74" t="s">
        <v>81</v>
      </c>
      <c r="E745" s="74">
        <v>2</v>
      </c>
      <c r="F745" s="74">
        <v>0</v>
      </c>
      <c r="G745" s="758">
        <f t="shared" si="44"/>
        <v>0</v>
      </c>
      <c r="H745" s="759">
        <f t="shared" si="45"/>
        <v>0</v>
      </c>
      <c r="I745" s="758">
        <f t="shared" si="46"/>
        <v>0</v>
      </c>
      <c r="J745" s="760">
        <f t="shared" si="47"/>
        <v>0</v>
      </c>
      <c r="K745" s="74"/>
      <c r="L745" s="74"/>
      <c r="M745" s="74" t="s">
        <v>263</v>
      </c>
      <c r="N745" s="74">
        <v>1.06</v>
      </c>
      <c r="O745" s="74">
        <v>0.34</v>
      </c>
      <c r="P745" s="74">
        <v>0.69210000000000005</v>
      </c>
    </row>
    <row r="746" spans="1:16">
      <c r="A746" s="74" t="s">
        <v>760</v>
      </c>
      <c r="B746" s="74" t="s">
        <v>253</v>
      </c>
      <c r="C746" s="74" t="s">
        <v>1515</v>
      </c>
      <c r="D746" s="74" t="s">
        <v>81</v>
      </c>
      <c r="E746" s="74">
        <v>3</v>
      </c>
      <c r="F746" s="74">
        <v>0</v>
      </c>
      <c r="G746" s="758">
        <f t="shared" si="44"/>
        <v>0</v>
      </c>
      <c r="H746" s="759">
        <f t="shared" si="45"/>
        <v>0</v>
      </c>
      <c r="I746" s="758">
        <f t="shared" si="46"/>
        <v>0</v>
      </c>
      <c r="J746" s="760">
        <f t="shared" si="47"/>
        <v>0</v>
      </c>
      <c r="K746" s="74"/>
      <c r="L746" s="74"/>
      <c r="M746" s="74" t="s">
        <v>2093</v>
      </c>
      <c r="N746" s="74">
        <v>0</v>
      </c>
      <c r="O746" s="74">
        <v>0</v>
      </c>
      <c r="P746" s="74">
        <v>1</v>
      </c>
    </row>
    <row r="747" spans="1:16">
      <c r="A747" s="74" t="s">
        <v>760</v>
      </c>
      <c r="B747" s="74" t="s">
        <v>253</v>
      </c>
      <c r="C747" s="74" t="s">
        <v>1608</v>
      </c>
      <c r="D747" s="74" t="s">
        <v>89</v>
      </c>
      <c r="E747" s="74">
        <v>1</v>
      </c>
      <c r="F747" s="74">
        <v>2.5</v>
      </c>
      <c r="G747" s="758">
        <f t="shared" si="44"/>
        <v>0</v>
      </c>
      <c r="H747" s="759">
        <f t="shared" si="45"/>
        <v>0</v>
      </c>
      <c r="I747" s="758">
        <f t="shared" si="46"/>
        <v>2.5</v>
      </c>
      <c r="J747" s="760">
        <f t="shared" si="47"/>
        <v>1</v>
      </c>
      <c r="K747" s="74"/>
      <c r="L747" s="74"/>
      <c r="M747" s="74" t="s">
        <v>1111</v>
      </c>
      <c r="N747" s="74">
        <v>0.23</v>
      </c>
      <c r="O747" s="74">
        <v>0.11</v>
      </c>
      <c r="P747" s="74">
        <v>0.69330000000000003</v>
      </c>
    </row>
    <row r="748" spans="1:16">
      <c r="A748" s="74" t="s">
        <v>1269</v>
      </c>
      <c r="B748" s="74" t="s">
        <v>253</v>
      </c>
      <c r="C748" s="74" t="s">
        <v>1528</v>
      </c>
      <c r="D748" s="74" t="s">
        <v>78</v>
      </c>
      <c r="E748" s="74">
        <v>11</v>
      </c>
      <c r="F748" s="74">
        <v>22.55</v>
      </c>
      <c r="G748" s="758">
        <f t="shared" si="44"/>
        <v>0.61</v>
      </c>
      <c r="H748" s="759">
        <f t="shared" si="45"/>
        <v>0.38</v>
      </c>
      <c r="I748" s="758">
        <f t="shared" si="46"/>
        <v>1.4400000000000004</v>
      </c>
      <c r="J748" s="760">
        <f t="shared" si="47"/>
        <v>0.70243902439024386</v>
      </c>
      <c r="K748" s="74"/>
      <c r="L748" s="74"/>
      <c r="M748" s="74" t="s">
        <v>1153</v>
      </c>
      <c r="N748" s="74">
        <v>0.51</v>
      </c>
      <c r="O748" s="74">
        <v>0.22</v>
      </c>
      <c r="P748" s="74">
        <v>0.83079999999999998</v>
      </c>
    </row>
    <row r="749" spans="1:16">
      <c r="A749" s="74" t="s">
        <v>1269</v>
      </c>
      <c r="B749" s="74" t="s">
        <v>253</v>
      </c>
      <c r="C749" s="74" t="s">
        <v>1508</v>
      </c>
      <c r="D749" s="74" t="s">
        <v>78</v>
      </c>
      <c r="E749" s="74">
        <v>3</v>
      </c>
      <c r="F749" s="74">
        <v>6.15</v>
      </c>
      <c r="G749" s="758">
        <f t="shared" si="44"/>
        <v>0.61</v>
      </c>
      <c r="H749" s="759">
        <f t="shared" si="45"/>
        <v>0.38</v>
      </c>
      <c r="I749" s="758">
        <f t="shared" si="46"/>
        <v>1.4400000000000004</v>
      </c>
      <c r="J749" s="760">
        <f t="shared" si="47"/>
        <v>0.70243902439024386</v>
      </c>
      <c r="K749" s="74"/>
      <c r="L749" s="74"/>
      <c r="M749" s="74" t="s">
        <v>2094</v>
      </c>
      <c r="N749" s="74">
        <v>0.67</v>
      </c>
      <c r="O749" s="74">
        <v>0.15</v>
      </c>
      <c r="P749" s="74">
        <v>0.85299999999999998</v>
      </c>
    </row>
    <row r="750" spans="1:16">
      <c r="A750" s="74" t="s">
        <v>1269</v>
      </c>
      <c r="B750" s="74" t="s">
        <v>253</v>
      </c>
      <c r="C750" s="74" t="s">
        <v>1509</v>
      </c>
      <c r="D750" s="74" t="s">
        <v>78</v>
      </c>
      <c r="E750" s="74">
        <v>26</v>
      </c>
      <c r="F750" s="74">
        <v>53.75</v>
      </c>
      <c r="G750" s="758">
        <f t="shared" si="44"/>
        <v>0.61</v>
      </c>
      <c r="H750" s="759">
        <f t="shared" si="45"/>
        <v>0.38</v>
      </c>
      <c r="I750" s="758">
        <f t="shared" si="46"/>
        <v>1.4573076923076926</v>
      </c>
      <c r="J750" s="760">
        <f t="shared" si="47"/>
        <v>0.70493023255813947</v>
      </c>
      <c r="K750" s="74"/>
      <c r="L750" s="74"/>
      <c r="M750" s="74" t="s">
        <v>2095</v>
      </c>
      <c r="N750" s="74">
        <v>0</v>
      </c>
      <c r="O750" s="74">
        <v>0</v>
      </c>
      <c r="P750" s="74">
        <v>1</v>
      </c>
    </row>
    <row r="751" spans="1:16">
      <c r="A751" s="74" t="s">
        <v>1269</v>
      </c>
      <c r="B751" s="74" t="s">
        <v>253</v>
      </c>
      <c r="C751" s="74" t="s">
        <v>1565</v>
      </c>
      <c r="D751" s="74" t="s">
        <v>78</v>
      </c>
      <c r="E751" s="74">
        <v>26</v>
      </c>
      <c r="F751" s="74">
        <v>54.81</v>
      </c>
      <c r="G751" s="758">
        <f t="shared" si="44"/>
        <v>0.61</v>
      </c>
      <c r="H751" s="759">
        <f t="shared" si="45"/>
        <v>0.38</v>
      </c>
      <c r="I751" s="758">
        <f t="shared" si="46"/>
        <v>1.4980769230769231</v>
      </c>
      <c r="J751" s="760">
        <f t="shared" si="47"/>
        <v>0.7106367451195037</v>
      </c>
      <c r="K751" s="74"/>
      <c r="L751" s="74"/>
      <c r="M751" s="74" t="s">
        <v>2096</v>
      </c>
      <c r="N751" s="74">
        <v>0</v>
      </c>
      <c r="O751" s="74">
        <v>0</v>
      </c>
      <c r="P751" s="74">
        <v>1</v>
      </c>
    </row>
    <row r="752" spans="1:16">
      <c r="A752" s="74" t="s">
        <v>1269</v>
      </c>
      <c r="B752" s="74" t="s">
        <v>253</v>
      </c>
      <c r="C752" s="74" t="s">
        <v>1530</v>
      </c>
      <c r="D752" s="74" t="s">
        <v>80</v>
      </c>
      <c r="E752" s="74">
        <v>1</v>
      </c>
      <c r="F752" s="74">
        <v>2.0499999999999998</v>
      </c>
      <c r="G752" s="758">
        <f t="shared" si="44"/>
        <v>0.61</v>
      </c>
      <c r="H752" s="759">
        <f t="shared" si="45"/>
        <v>0.38</v>
      </c>
      <c r="I752" s="758">
        <f t="shared" si="46"/>
        <v>1.44</v>
      </c>
      <c r="J752" s="760">
        <f t="shared" si="47"/>
        <v>0.70243902439024386</v>
      </c>
      <c r="K752" s="74"/>
      <c r="L752" s="74"/>
      <c r="M752" s="74" t="s">
        <v>930</v>
      </c>
      <c r="N752" s="74">
        <v>0</v>
      </c>
      <c r="O752" s="74">
        <v>0</v>
      </c>
      <c r="P752" s="74">
        <v>1</v>
      </c>
    </row>
    <row r="753" spans="1:16">
      <c r="A753" s="74" t="s">
        <v>1269</v>
      </c>
      <c r="B753" s="74" t="s">
        <v>253</v>
      </c>
      <c r="C753" s="74" t="s">
        <v>1532</v>
      </c>
      <c r="D753" s="74" t="s">
        <v>80</v>
      </c>
      <c r="E753" s="74">
        <v>17</v>
      </c>
      <c r="F753" s="74">
        <v>35.299999999999997</v>
      </c>
      <c r="G753" s="758">
        <f t="shared" si="44"/>
        <v>0.61</v>
      </c>
      <c r="H753" s="759">
        <f t="shared" si="45"/>
        <v>0.38</v>
      </c>
      <c r="I753" s="758">
        <f t="shared" si="46"/>
        <v>1.466470588235294</v>
      </c>
      <c r="J753" s="760">
        <f t="shared" si="47"/>
        <v>0.70623229461756376</v>
      </c>
      <c r="K753" s="74"/>
      <c r="L753" s="74"/>
      <c r="M753" s="74" t="s">
        <v>2097</v>
      </c>
      <c r="N753" s="74">
        <v>3.32</v>
      </c>
      <c r="O753" s="74">
        <v>0</v>
      </c>
      <c r="P753" s="74">
        <v>0</v>
      </c>
    </row>
    <row r="754" spans="1:16">
      <c r="A754" s="74" t="s">
        <v>1269</v>
      </c>
      <c r="B754" s="74" t="s">
        <v>253</v>
      </c>
      <c r="C754" s="74" t="s">
        <v>1511</v>
      </c>
      <c r="D754" s="74" t="s">
        <v>80</v>
      </c>
      <c r="E754" s="74">
        <v>20</v>
      </c>
      <c r="F754" s="74">
        <v>41.78</v>
      </c>
      <c r="G754" s="758">
        <f t="shared" si="44"/>
        <v>0.61</v>
      </c>
      <c r="H754" s="759">
        <f t="shared" si="45"/>
        <v>0.38</v>
      </c>
      <c r="I754" s="758">
        <f t="shared" si="46"/>
        <v>1.4790000000000001</v>
      </c>
      <c r="J754" s="760">
        <f t="shared" si="47"/>
        <v>0.70799425562470086</v>
      </c>
      <c r="K754" s="74"/>
      <c r="L754" s="74"/>
      <c r="M754" s="74" t="s">
        <v>1011</v>
      </c>
      <c r="N754" s="74">
        <v>0.05</v>
      </c>
      <c r="O754" s="74">
        <v>0.22</v>
      </c>
      <c r="P754" s="74">
        <v>0.97130000000000005</v>
      </c>
    </row>
    <row r="755" spans="1:16">
      <c r="A755" s="74" t="s">
        <v>1269</v>
      </c>
      <c r="B755" s="74" t="s">
        <v>253</v>
      </c>
      <c r="C755" s="74" t="s">
        <v>1512</v>
      </c>
      <c r="D755" s="74" t="s">
        <v>80</v>
      </c>
      <c r="E755" s="74">
        <v>17</v>
      </c>
      <c r="F755" s="74">
        <v>35.299999999999997</v>
      </c>
      <c r="G755" s="758">
        <f t="shared" si="44"/>
        <v>0.61</v>
      </c>
      <c r="H755" s="759">
        <f t="shared" si="45"/>
        <v>0.38</v>
      </c>
      <c r="I755" s="758">
        <f t="shared" si="46"/>
        <v>1.466470588235294</v>
      </c>
      <c r="J755" s="760">
        <f t="shared" si="47"/>
        <v>0.70623229461756376</v>
      </c>
      <c r="K755" s="74"/>
      <c r="L755" s="74"/>
      <c r="M755" s="74" t="s">
        <v>2098</v>
      </c>
      <c r="N755" s="74">
        <v>0</v>
      </c>
      <c r="O755" s="74">
        <v>0</v>
      </c>
      <c r="P755" s="74">
        <v>0</v>
      </c>
    </row>
    <row r="756" spans="1:16">
      <c r="A756" s="74" t="s">
        <v>1269</v>
      </c>
      <c r="B756" s="74" t="s">
        <v>253</v>
      </c>
      <c r="C756" s="74" t="s">
        <v>1534</v>
      </c>
      <c r="D756" s="74" t="s">
        <v>81</v>
      </c>
      <c r="E756" s="74">
        <v>20</v>
      </c>
      <c r="F756" s="74">
        <v>41.6</v>
      </c>
      <c r="G756" s="758">
        <f t="shared" si="44"/>
        <v>0.61</v>
      </c>
      <c r="H756" s="759">
        <f t="shared" si="45"/>
        <v>0.38</v>
      </c>
      <c r="I756" s="758">
        <f t="shared" si="46"/>
        <v>1.4700000000000002</v>
      </c>
      <c r="J756" s="760">
        <f t="shared" si="47"/>
        <v>0.70673076923076927</v>
      </c>
      <c r="K756" s="74"/>
      <c r="L756" s="74"/>
      <c r="M756" s="74" t="s">
        <v>2099</v>
      </c>
      <c r="N756" s="74">
        <v>0</v>
      </c>
      <c r="O756" s="74">
        <v>0</v>
      </c>
      <c r="P756" s="74">
        <v>1</v>
      </c>
    </row>
    <row r="757" spans="1:16">
      <c r="A757" s="74" t="s">
        <v>1269</v>
      </c>
      <c r="B757" s="74" t="s">
        <v>253</v>
      </c>
      <c r="C757" s="74" t="s">
        <v>1513</v>
      </c>
      <c r="D757" s="74" t="s">
        <v>81</v>
      </c>
      <c r="E757" s="74">
        <v>17</v>
      </c>
      <c r="F757" s="74">
        <v>78.25</v>
      </c>
      <c r="G757" s="758">
        <f t="shared" si="44"/>
        <v>0.61</v>
      </c>
      <c r="H757" s="759">
        <f t="shared" si="45"/>
        <v>0.38</v>
      </c>
      <c r="I757" s="758">
        <f t="shared" si="46"/>
        <v>3.992941176470588</v>
      </c>
      <c r="J757" s="760">
        <f t="shared" si="47"/>
        <v>0.86747603833865816</v>
      </c>
      <c r="K757" s="74"/>
      <c r="L757" s="74"/>
      <c r="M757" s="74" t="s">
        <v>2100</v>
      </c>
      <c r="N757" s="74">
        <v>0</v>
      </c>
      <c r="O757" s="74">
        <v>0</v>
      </c>
      <c r="P757" s="74">
        <v>1</v>
      </c>
    </row>
    <row r="758" spans="1:16">
      <c r="A758" s="74" t="s">
        <v>1269</v>
      </c>
      <c r="B758" s="74" t="s">
        <v>253</v>
      </c>
      <c r="C758" s="74" t="s">
        <v>1514</v>
      </c>
      <c r="D758" s="74" t="s">
        <v>81</v>
      </c>
      <c r="E758" s="74">
        <v>16</v>
      </c>
      <c r="F758" s="74">
        <v>37.65</v>
      </c>
      <c r="G758" s="758">
        <f t="shared" si="44"/>
        <v>0.61</v>
      </c>
      <c r="H758" s="759">
        <f t="shared" si="45"/>
        <v>0.38</v>
      </c>
      <c r="I758" s="758">
        <f t="shared" si="46"/>
        <v>1.743125</v>
      </c>
      <c r="J758" s="760">
        <f t="shared" si="47"/>
        <v>0.74077025232403715</v>
      </c>
      <c r="K758" s="74"/>
      <c r="L758" s="74"/>
      <c r="M758" s="74" t="s">
        <v>2101</v>
      </c>
      <c r="N758" s="74">
        <v>0</v>
      </c>
      <c r="O758" s="74">
        <v>0</v>
      </c>
      <c r="P758" s="74">
        <v>1</v>
      </c>
    </row>
    <row r="759" spans="1:16">
      <c r="A759" s="74" t="s">
        <v>1269</v>
      </c>
      <c r="B759" s="74" t="s">
        <v>253</v>
      </c>
      <c r="C759" s="74" t="s">
        <v>1515</v>
      </c>
      <c r="D759" s="74" t="s">
        <v>81</v>
      </c>
      <c r="E759" s="74">
        <v>18</v>
      </c>
      <c r="F759" s="74">
        <v>38.799999999999997</v>
      </c>
      <c r="G759" s="758">
        <f t="shared" si="44"/>
        <v>0.61</v>
      </c>
      <c r="H759" s="759">
        <f t="shared" si="45"/>
        <v>0.38</v>
      </c>
      <c r="I759" s="758">
        <f t="shared" si="46"/>
        <v>1.5455555555555556</v>
      </c>
      <c r="J759" s="760">
        <f t="shared" si="47"/>
        <v>0.71701030927835041</v>
      </c>
      <c r="K759" s="74"/>
      <c r="L759" s="74"/>
      <c r="M759" s="74" t="s">
        <v>2102</v>
      </c>
      <c r="N759" s="74">
        <v>0</v>
      </c>
      <c r="O759" s="74">
        <v>0</v>
      </c>
      <c r="P759" s="74">
        <v>0</v>
      </c>
    </row>
    <row r="760" spans="1:16">
      <c r="A760" s="74" t="s">
        <v>1269</v>
      </c>
      <c r="B760" s="74" t="s">
        <v>253</v>
      </c>
      <c r="C760" s="74" t="s">
        <v>1516</v>
      </c>
      <c r="D760" s="74" t="s">
        <v>82</v>
      </c>
      <c r="E760" s="74">
        <v>22</v>
      </c>
      <c r="F760" s="74">
        <v>88.7</v>
      </c>
      <c r="G760" s="758">
        <f t="shared" si="44"/>
        <v>0.61</v>
      </c>
      <c r="H760" s="759">
        <f t="shared" si="45"/>
        <v>0.38</v>
      </c>
      <c r="I760" s="758">
        <f t="shared" si="46"/>
        <v>3.4218181818181823</v>
      </c>
      <c r="J760" s="760">
        <f t="shared" si="47"/>
        <v>0.84870349492671926</v>
      </c>
      <c r="K760" s="74"/>
      <c r="L760" s="74"/>
      <c r="M760" s="74" t="s">
        <v>2103</v>
      </c>
      <c r="N760" s="74">
        <v>0.3</v>
      </c>
      <c r="O760" s="74">
        <v>0</v>
      </c>
      <c r="P760" s="74">
        <v>0</v>
      </c>
    </row>
    <row r="761" spans="1:16">
      <c r="A761" s="74" t="s">
        <v>1269</v>
      </c>
      <c r="B761" s="74" t="s">
        <v>253</v>
      </c>
      <c r="C761" s="74" t="s">
        <v>1517</v>
      </c>
      <c r="D761" s="74" t="s">
        <v>82</v>
      </c>
      <c r="E761" s="74">
        <v>16</v>
      </c>
      <c r="F761" s="74">
        <v>33.700000000000003</v>
      </c>
      <c r="G761" s="758">
        <f t="shared" si="44"/>
        <v>0.61</v>
      </c>
      <c r="H761" s="759">
        <f t="shared" si="45"/>
        <v>0.38</v>
      </c>
      <c r="I761" s="758">
        <f t="shared" si="46"/>
        <v>1.4962500000000003</v>
      </c>
      <c r="J761" s="760">
        <f t="shared" si="47"/>
        <v>0.7103857566765579</v>
      </c>
      <c r="K761" s="74"/>
      <c r="L761" s="74"/>
      <c r="M761" s="74" t="s">
        <v>2104</v>
      </c>
      <c r="N761" s="74">
        <v>0.62</v>
      </c>
      <c r="O761" s="74">
        <v>0.27</v>
      </c>
      <c r="P761" s="74">
        <v>0.3548</v>
      </c>
    </row>
    <row r="762" spans="1:16">
      <c r="A762" s="74" t="s">
        <v>1269</v>
      </c>
      <c r="B762" s="74" t="s">
        <v>253</v>
      </c>
      <c r="C762" s="74" t="s">
        <v>1527</v>
      </c>
      <c r="D762" s="74" t="s">
        <v>82</v>
      </c>
      <c r="E762" s="74">
        <v>18</v>
      </c>
      <c r="F762" s="74">
        <v>38</v>
      </c>
      <c r="G762" s="758">
        <f t="shared" si="44"/>
        <v>0.61</v>
      </c>
      <c r="H762" s="759">
        <f t="shared" si="45"/>
        <v>0.38</v>
      </c>
      <c r="I762" s="758">
        <f t="shared" si="46"/>
        <v>1.5011111111111113</v>
      </c>
      <c r="J762" s="760">
        <f t="shared" si="47"/>
        <v>0.71105263157894738</v>
      </c>
      <c r="K762" s="74"/>
      <c r="L762" s="74"/>
      <c r="M762" s="74" t="s">
        <v>2105</v>
      </c>
      <c r="N762" s="74">
        <v>1.06</v>
      </c>
      <c r="O762" s="74">
        <v>0.22</v>
      </c>
      <c r="P762" s="74">
        <v>0.79800000000000004</v>
      </c>
    </row>
    <row r="763" spans="1:16">
      <c r="A763" s="74" t="s">
        <v>1269</v>
      </c>
      <c r="B763" s="74" t="s">
        <v>253</v>
      </c>
      <c r="C763" s="74" t="s">
        <v>1518</v>
      </c>
      <c r="D763" s="74" t="s">
        <v>82</v>
      </c>
      <c r="E763" s="74">
        <v>20</v>
      </c>
      <c r="F763" s="74">
        <v>42.95</v>
      </c>
      <c r="G763" s="758">
        <f t="shared" si="44"/>
        <v>0.61</v>
      </c>
      <c r="H763" s="759">
        <f t="shared" si="45"/>
        <v>0.38</v>
      </c>
      <c r="I763" s="758">
        <f t="shared" si="46"/>
        <v>1.5375000000000001</v>
      </c>
      <c r="J763" s="760">
        <f t="shared" si="47"/>
        <v>0.71594877764842846</v>
      </c>
      <c r="K763" s="74"/>
      <c r="L763" s="74"/>
      <c r="M763" s="74" t="s">
        <v>2106</v>
      </c>
      <c r="N763" s="74">
        <v>0</v>
      </c>
      <c r="O763" s="74">
        <v>0</v>
      </c>
      <c r="P763" s="74">
        <v>1</v>
      </c>
    </row>
    <row r="764" spans="1:16">
      <c r="A764" s="74" t="s">
        <v>1269</v>
      </c>
      <c r="B764" s="74" t="s">
        <v>253</v>
      </c>
      <c r="C764" s="74" t="s">
        <v>1519</v>
      </c>
      <c r="D764" s="74" t="s">
        <v>84</v>
      </c>
      <c r="E764" s="74">
        <v>2</v>
      </c>
      <c r="F764" s="74">
        <v>4.0999999999999996</v>
      </c>
      <c r="G764" s="758">
        <f t="shared" si="44"/>
        <v>0.61</v>
      </c>
      <c r="H764" s="759">
        <f t="shared" si="45"/>
        <v>0.38</v>
      </c>
      <c r="I764" s="758">
        <f t="shared" si="46"/>
        <v>1.44</v>
      </c>
      <c r="J764" s="760">
        <f t="shared" si="47"/>
        <v>0.70243902439024386</v>
      </c>
      <c r="K764" s="74"/>
      <c r="L764" s="74"/>
      <c r="M764" s="74" t="s">
        <v>2107</v>
      </c>
      <c r="N764" s="74">
        <v>0</v>
      </c>
      <c r="O764" s="74">
        <v>0.16</v>
      </c>
      <c r="P764" s="74">
        <v>0</v>
      </c>
    </row>
    <row r="765" spans="1:16">
      <c r="A765" s="74" t="s">
        <v>1269</v>
      </c>
      <c r="B765" s="74" t="s">
        <v>253</v>
      </c>
      <c r="C765" s="74" t="s">
        <v>1540</v>
      </c>
      <c r="D765" s="74" t="s">
        <v>84</v>
      </c>
      <c r="E765" s="74">
        <v>1</v>
      </c>
      <c r="F765" s="74">
        <v>0</v>
      </c>
      <c r="G765" s="758">
        <f t="shared" si="44"/>
        <v>0.61</v>
      </c>
      <c r="H765" s="759">
        <f t="shared" si="45"/>
        <v>0.38</v>
      </c>
      <c r="I765" s="758">
        <f t="shared" si="46"/>
        <v>-0.61</v>
      </c>
      <c r="J765" s="760">
        <f t="shared" si="47"/>
        <v>0</v>
      </c>
      <c r="K765" s="74"/>
      <c r="L765" s="74"/>
      <c r="M765" s="74" t="s">
        <v>2108</v>
      </c>
      <c r="N765" s="74">
        <v>0</v>
      </c>
      <c r="O765" s="74">
        <v>0</v>
      </c>
      <c r="P765" s="74">
        <v>1</v>
      </c>
    </row>
    <row r="766" spans="1:16">
      <c r="A766" s="74" t="s">
        <v>1576</v>
      </c>
      <c r="B766" s="74" t="s">
        <v>266</v>
      </c>
      <c r="C766" s="74" t="s">
        <v>1530</v>
      </c>
      <c r="D766" s="74" t="s">
        <v>80</v>
      </c>
      <c r="E766" s="74">
        <v>2</v>
      </c>
      <c r="F766" s="74">
        <v>0</v>
      </c>
      <c r="G766" s="758">
        <f t="shared" si="44"/>
        <v>0</v>
      </c>
      <c r="H766" s="759">
        <f t="shared" si="45"/>
        <v>0.16</v>
      </c>
      <c r="I766" s="758">
        <f t="shared" si="46"/>
        <v>0</v>
      </c>
      <c r="J766" s="760">
        <f t="shared" si="47"/>
        <v>0</v>
      </c>
      <c r="K766" s="74"/>
      <c r="L766" s="74"/>
      <c r="M766" s="74" t="s">
        <v>2109</v>
      </c>
      <c r="N766" s="74">
        <v>0</v>
      </c>
      <c r="O766" s="74">
        <v>0.24</v>
      </c>
      <c r="P766" s="74">
        <v>1</v>
      </c>
    </row>
    <row r="767" spans="1:16">
      <c r="A767" s="74" t="s">
        <v>252</v>
      </c>
      <c r="B767" s="74" t="s">
        <v>253</v>
      </c>
      <c r="C767" s="74" t="s">
        <v>1528</v>
      </c>
      <c r="D767" s="74" t="s">
        <v>78</v>
      </c>
      <c r="E767" s="74">
        <v>130</v>
      </c>
      <c r="F767" s="74">
        <v>330.1</v>
      </c>
      <c r="G767" s="758">
        <f t="shared" si="44"/>
        <v>1.06</v>
      </c>
      <c r="H767" s="759">
        <f t="shared" si="45"/>
        <v>0.45</v>
      </c>
      <c r="I767" s="758">
        <f t="shared" si="46"/>
        <v>1.4792307692307696</v>
      </c>
      <c r="J767" s="760">
        <f t="shared" si="47"/>
        <v>0.58255074219933345</v>
      </c>
      <c r="K767" s="74"/>
      <c r="L767" s="74"/>
      <c r="M767" s="74" t="s">
        <v>2110</v>
      </c>
      <c r="N767" s="74">
        <v>0</v>
      </c>
      <c r="O767" s="74">
        <v>0</v>
      </c>
      <c r="P767" s="74">
        <v>1</v>
      </c>
    </row>
    <row r="768" spans="1:16">
      <c r="A768" s="74" t="s">
        <v>252</v>
      </c>
      <c r="B768" s="74" t="s">
        <v>253</v>
      </c>
      <c r="C768" s="74" t="s">
        <v>1508</v>
      </c>
      <c r="D768" s="74" t="s">
        <v>78</v>
      </c>
      <c r="E768" s="74">
        <v>83</v>
      </c>
      <c r="F768" s="74">
        <v>212.82</v>
      </c>
      <c r="G768" s="758">
        <f t="shared" si="44"/>
        <v>1.06</v>
      </c>
      <c r="H768" s="759">
        <f t="shared" si="45"/>
        <v>0.45</v>
      </c>
      <c r="I768" s="758">
        <f t="shared" si="46"/>
        <v>1.5040963855421685</v>
      </c>
      <c r="J768" s="760">
        <f t="shared" si="47"/>
        <v>0.58659900385302133</v>
      </c>
      <c r="K768" s="74"/>
      <c r="L768" s="74"/>
      <c r="M768" s="74" t="s">
        <v>897</v>
      </c>
      <c r="N768" s="74">
        <v>0.67</v>
      </c>
      <c r="O768" s="74">
        <v>0.19</v>
      </c>
      <c r="P768" s="74">
        <v>0.8095</v>
      </c>
    </row>
    <row r="769" spans="1:16">
      <c r="A769" s="74" t="s">
        <v>252</v>
      </c>
      <c r="B769" s="74" t="s">
        <v>253</v>
      </c>
      <c r="C769" s="74" t="s">
        <v>1509</v>
      </c>
      <c r="D769" s="74" t="s">
        <v>78</v>
      </c>
      <c r="E769" s="74">
        <v>89</v>
      </c>
      <c r="F769" s="74">
        <v>224.6</v>
      </c>
      <c r="G769" s="758">
        <f t="shared" si="44"/>
        <v>1.06</v>
      </c>
      <c r="H769" s="759">
        <f t="shared" si="45"/>
        <v>0.45</v>
      </c>
      <c r="I769" s="758">
        <f t="shared" si="46"/>
        <v>1.4635955056179775</v>
      </c>
      <c r="J769" s="760">
        <f t="shared" si="47"/>
        <v>0.57996438112199455</v>
      </c>
      <c r="K769" s="74"/>
      <c r="L769" s="74"/>
      <c r="M769" s="74" t="s">
        <v>2111</v>
      </c>
      <c r="N769" s="74">
        <v>0</v>
      </c>
      <c r="O769" s="74">
        <v>0</v>
      </c>
      <c r="P769" s="74">
        <v>0</v>
      </c>
    </row>
    <row r="770" spans="1:16">
      <c r="A770" s="74" t="s">
        <v>252</v>
      </c>
      <c r="B770" s="74" t="s">
        <v>253</v>
      </c>
      <c r="C770" s="74" t="s">
        <v>1565</v>
      </c>
      <c r="D770" s="74" t="s">
        <v>78</v>
      </c>
      <c r="E770" s="74">
        <v>76</v>
      </c>
      <c r="F770" s="74">
        <v>193.15</v>
      </c>
      <c r="G770" s="758">
        <f t="shared" ref="G770:G833" si="48">IFERROR(VLOOKUP(A770,$M$1:$P$1014,2,FALSE),0)</f>
        <v>1.06</v>
      </c>
      <c r="H770" s="759">
        <f t="shared" ref="H770:H833" si="49">IFERROR(VLOOKUP(A770,$M$1:$P$1014,3,FALSE),0)</f>
        <v>0.45</v>
      </c>
      <c r="I770" s="758">
        <f t="shared" ref="I770:I833" si="50">IFERROR(F770/E770-G770,0)</f>
        <v>1.4814473684210525</v>
      </c>
      <c r="J770" s="760">
        <f t="shared" ref="J770:J833" si="51">IFERROR(1-G770*E770/F770,0)</f>
        <v>0.58291483303132274</v>
      </c>
      <c r="K770" s="74"/>
      <c r="L770" s="74"/>
      <c r="M770" s="74" t="s">
        <v>2112</v>
      </c>
      <c r="N770" s="74">
        <v>0</v>
      </c>
      <c r="O770" s="74">
        <v>0</v>
      </c>
      <c r="P770" s="74">
        <v>1</v>
      </c>
    </row>
    <row r="771" spans="1:16">
      <c r="A771" s="74" t="s">
        <v>252</v>
      </c>
      <c r="B771" s="74" t="s">
        <v>253</v>
      </c>
      <c r="C771" s="74" t="s">
        <v>1530</v>
      </c>
      <c r="D771" s="74" t="s">
        <v>80</v>
      </c>
      <c r="E771" s="74">
        <v>8</v>
      </c>
      <c r="F771" s="74">
        <v>20.3</v>
      </c>
      <c r="G771" s="758">
        <f t="shared" si="48"/>
        <v>1.06</v>
      </c>
      <c r="H771" s="759">
        <f t="shared" si="49"/>
        <v>0.45</v>
      </c>
      <c r="I771" s="758">
        <f t="shared" si="50"/>
        <v>1.4775</v>
      </c>
      <c r="J771" s="760">
        <f t="shared" si="51"/>
        <v>0.58226600985221677</v>
      </c>
      <c r="K771" s="74"/>
      <c r="L771" s="74"/>
      <c r="M771" s="74" t="s">
        <v>2113</v>
      </c>
      <c r="N771" s="74">
        <v>1.08</v>
      </c>
      <c r="O771" s="74">
        <v>0.25</v>
      </c>
      <c r="P771" s="74">
        <v>0.39779999999999999</v>
      </c>
    </row>
    <row r="772" spans="1:16">
      <c r="A772" s="74" t="s">
        <v>252</v>
      </c>
      <c r="B772" s="74" t="s">
        <v>253</v>
      </c>
      <c r="C772" s="74" t="s">
        <v>1532</v>
      </c>
      <c r="D772" s="74" t="s">
        <v>80</v>
      </c>
      <c r="E772" s="74">
        <v>89</v>
      </c>
      <c r="F772" s="74">
        <v>226.25</v>
      </c>
      <c r="G772" s="758">
        <f t="shared" si="48"/>
        <v>1.06</v>
      </c>
      <c r="H772" s="759">
        <f t="shared" si="49"/>
        <v>0.45</v>
      </c>
      <c r="I772" s="758">
        <f t="shared" si="50"/>
        <v>1.4821348314606739</v>
      </c>
      <c r="J772" s="760">
        <f t="shared" si="51"/>
        <v>0.58302762430939226</v>
      </c>
      <c r="K772" s="74"/>
      <c r="L772" s="74"/>
      <c r="M772" s="74" t="s">
        <v>2114</v>
      </c>
      <c r="N772" s="74">
        <v>0</v>
      </c>
      <c r="O772" s="74">
        <v>0.16</v>
      </c>
      <c r="P772" s="74">
        <v>0</v>
      </c>
    </row>
    <row r="773" spans="1:16">
      <c r="A773" s="74" t="s">
        <v>252</v>
      </c>
      <c r="B773" s="74" t="s">
        <v>253</v>
      </c>
      <c r="C773" s="74" t="s">
        <v>1511</v>
      </c>
      <c r="D773" s="74" t="s">
        <v>80</v>
      </c>
      <c r="E773" s="74">
        <v>127</v>
      </c>
      <c r="F773" s="74">
        <v>322.27</v>
      </c>
      <c r="G773" s="758">
        <f t="shared" si="48"/>
        <v>1.06</v>
      </c>
      <c r="H773" s="759">
        <f t="shared" si="49"/>
        <v>0.45</v>
      </c>
      <c r="I773" s="758">
        <f t="shared" si="50"/>
        <v>1.4775590551181099</v>
      </c>
      <c r="J773" s="760">
        <f t="shared" si="51"/>
        <v>0.58227573152946288</v>
      </c>
      <c r="K773" s="74"/>
      <c r="L773" s="74"/>
      <c r="M773" s="74" t="s">
        <v>2115</v>
      </c>
      <c r="N773" s="74">
        <v>0</v>
      </c>
      <c r="O773" s="74">
        <v>0</v>
      </c>
      <c r="P773" s="74">
        <v>1</v>
      </c>
    </row>
    <row r="774" spans="1:16">
      <c r="A774" s="74" t="s">
        <v>252</v>
      </c>
      <c r="B774" s="74" t="s">
        <v>253</v>
      </c>
      <c r="C774" s="74" t="s">
        <v>1512</v>
      </c>
      <c r="D774" s="74" t="s">
        <v>80</v>
      </c>
      <c r="E774" s="74">
        <v>155</v>
      </c>
      <c r="F774" s="74">
        <v>391.85</v>
      </c>
      <c r="G774" s="758">
        <f t="shared" si="48"/>
        <v>1.06</v>
      </c>
      <c r="H774" s="759">
        <f t="shared" si="49"/>
        <v>0.45</v>
      </c>
      <c r="I774" s="758">
        <f t="shared" si="50"/>
        <v>1.4680645161290324</v>
      </c>
      <c r="J774" s="760">
        <f t="shared" si="51"/>
        <v>0.58070690315171625</v>
      </c>
      <c r="K774" s="74"/>
      <c r="L774" s="74"/>
      <c r="M774" s="74" t="s">
        <v>2116</v>
      </c>
      <c r="N774" s="74">
        <v>1.02</v>
      </c>
      <c r="O774" s="74">
        <v>0.21</v>
      </c>
      <c r="P774" s="74">
        <v>0.87490000000000001</v>
      </c>
    </row>
    <row r="775" spans="1:16">
      <c r="A775" s="74" t="s">
        <v>252</v>
      </c>
      <c r="B775" s="74" t="s">
        <v>253</v>
      </c>
      <c r="C775" s="74" t="s">
        <v>1534</v>
      </c>
      <c r="D775" s="74" t="s">
        <v>81</v>
      </c>
      <c r="E775" s="74">
        <v>115</v>
      </c>
      <c r="F775" s="74">
        <v>287.2</v>
      </c>
      <c r="G775" s="758">
        <f t="shared" si="48"/>
        <v>1.06</v>
      </c>
      <c r="H775" s="759">
        <f t="shared" si="49"/>
        <v>0.45</v>
      </c>
      <c r="I775" s="758">
        <f t="shared" si="50"/>
        <v>1.4373913043478259</v>
      </c>
      <c r="J775" s="760">
        <f t="shared" si="51"/>
        <v>0.57555710306406682</v>
      </c>
      <c r="K775" s="74"/>
      <c r="L775" s="74"/>
      <c r="M775" s="74" t="s">
        <v>2117</v>
      </c>
      <c r="N775" s="74">
        <v>0</v>
      </c>
      <c r="O775" s="74">
        <v>0</v>
      </c>
      <c r="P775" s="74">
        <v>1</v>
      </c>
    </row>
    <row r="776" spans="1:16">
      <c r="A776" s="74" t="s">
        <v>252</v>
      </c>
      <c r="B776" s="74" t="s">
        <v>253</v>
      </c>
      <c r="C776" s="74" t="s">
        <v>1513</v>
      </c>
      <c r="D776" s="74" t="s">
        <v>81</v>
      </c>
      <c r="E776" s="74">
        <v>87</v>
      </c>
      <c r="F776" s="74">
        <v>459.35</v>
      </c>
      <c r="G776" s="758">
        <f t="shared" si="48"/>
        <v>1.06</v>
      </c>
      <c r="H776" s="759">
        <f t="shared" si="49"/>
        <v>0.45</v>
      </c>
      <c r="I776" s="758">
        <f t="shared" si="50"/>
        <v>4.2198850574712647</v>
      </c>
      <c r="J776" s="760">
        <f t="shared" si="51"/>
        <v>0.79923805377163382</v>
      </c>
      <c r="K776" s="74"/>
      <c r="L776" s="74"/>
      <c r="M776" s="74" t="s">
        <v>1084</v>
      </c>
      <c r="N776" s="74">
        <v>0.09</v>
      </c>
      <c r="O776" s="74">
        <v>0.28999999999999998</v>
      </c>
      <c r="P776" s="74">
        <v>0.96460000000000001</v>
      </c>
    </row>
    <row r="777" spans="1:16">
      <c r="A777" s="74" t="s">
        <v>252</v>
      </c>
      <c r="B777" s="74" t="s">
        <v>253</v>
      </c>
      <c r="C777" s="74" t="s">
        <v>1514</v>
      </c>
      <c r="D777" s="74" t="s">
        <v>81</v>
      </c>
      <c r="E777" s="74">
        <v>138</v>
      </c>
      <c r="F777" s="74">
        <v>538.70000000000005</v>
      </c>
      <c r="G777" s="758">
        <f t="shared" si="48"/>
        <v>1.06</v>
      </c>
      <c r="H777" s="759">
        <f t="shared" si="49"/>
        <v>0.45</v>
      </c>
      <c r="I777" s="758">
        <f t="shared" si="50"/>
        <v>2.8436231884057972</v>
      </c>
      <c r="J777" s="760">
        <f t="shared" si="51"/>
        <v>0.72845739743827731</v>
      </c>
      <c r="K777" s="74"/>
      <c r="L777" s="74"/>
      <c r="M777" s="74" t="s">
        <v>2118</v>
      </c>
      <c r="N777" s="74">
        <v>1.05</v>
      </c>
      <c r="O777" s="74">
        <v>0</v>
      </c>
      <c r="P777" s="74">
        <v>0</v>
      </c>
    </row>
    <row r="778" spans="1:16">
      <c r="A778" s="74" t="s">
        <v>252</v>
      </c>
      <c r="B778" s="74" t="s">
        <v>253</v>
      </c>
      <c r="C778" s="74" t="s">
        <v>1515</v>
      </c>
      <c r="D778" s="74" t="s">
        <v>81</v>
      </c>
      <c r="E778" s="74">
        <v>187</v>
      </c>
      <c r="F778" s="74">
        <v>6363.85</v>
      </c>
      <c r="G778" s="758">
        <f t="shared" si="48"/>
        <v>1.06</v>
      </c>
      <c r="H778" s="759">
        <f t="shared" si="49"/>
        <v>0.45</v>
      </c>
      <c r="I778" s="758">
        <f t="shared" si="50"/>
        <v>32.971283422459891</v>
      </c>
      <c r="J778" s="760">
        <f t="shared" si="51"/>
        <v>0.96885218853367061</v>
      </c>
      <c r="K778" s="74"/>
      <c r="L778" s="74"/>
      <c r="M778" s="74" t="s">
        <v>682</v>
      </c>
      <c r="N778" s="74">
        <v>0.81</v>
      </c>
      <c r="O778" s="74">
        <v>0.17</v>
      </c>
      <c r="P778" s="74">
        <v>0.8498</v>
      </c>
    </row>
    <row r="779" spans="1:16">
      <c r="A779" s="74" t="s">
        <v>252</v>
      </c>
      <c r="B779" s="74" t="s">
        <v>253</v>
      </c>
      <c r="C779" s="74" t="s">
        <v>1516</v>
      </c>
      <c r="D779" s="74" t="s">
        <v>82</v>
      </c>
      <c r="E779" s="74">
        <v>115</v>
      </c>
      <c r="F779" s="74">
        <v>2614.8000000000002</v>
      </c>
      <c r="G779" s="758">
        <f t="shared" si="48"/>
        <v>1.06</v>
      </c>
      <c r="H779" s="759">
        <f t="shared" si="49"/>
        <v>0.45</v>
      </c>
      <c r="I779" s="758">
        <f t="shared" si="50"/>
        <v>21.677391304347829</v>
      </c>
      <c r="J779" s="760">
        <f t="shared" si="51"/>
        <v>0.95338075569833258</v>
      </c>
      <c r="K779" s="74"/>
      <c r="L779" s="74"/>
      <c r="M779" s="74" t="s">
        <v>2119</v>
      </c>
      <c r="N779" s="74">
        <v>0.81</v>
      </c>
      <c r="O779" s="74">
        <v>0.15</v>
      </c>
      <c r="P779" s="74">
        <v>0.86150000000000004</v>
      </c>
    </row>
    <row r="780" spans="1:16">
      <c r="A780" s="74" t="s">
        <v>252</v>
      </c>
      <c r="B780" s="74" t="s">
        <v>253</v>
      </c>
      <c r="C780" s="74" t="s">
        <v>1517</v>
      </c>
      <c r="D780" s="74" t="s">
        <v>82</v>
      </c>
      <c r="E780" s="74">
        <v>110</v>
      </c>
      <c r="F780" s="74">
        <v>279.64999999999998</v>
      </c>
      <c r="G780" s="758">
        <f t="shared" si="48"/>
        <v>1.06</v>
      </c>
      <c r="H780" s="759">
        <f t="shared" si="49"/>
        <v>0.45</v>
      </c>
      <c r="I780" s="758">
        <f t="shared" si="50"/>
        <v>1.482272727272727</v>
      </c>
      <c r="J780" s="760">
        <f t="shared" si="51"/>
        <v>0.58305024137314487</v>
      </c>
      <c r="K780" s="74"/>
      <c r="L780" s="74"/>
      <c r="M780" s="74" t="s">
        <v>2120</v>
      </c>
      <c r="N780" s="74">
        <v>0.81</v>
      </c>
      <c r="O780" s="74">
        <v>0.15</v>
      </c>
      <c r="P780" s="74">
        <v>0.8639</v>
      </c>
    </row>
    <row r="781" spans="1:16">
      <c r="A781" s="74" t="s">
        <v>252</v>
      </c>
      <c r="B781" s="74" t="s">
        <v>253</v>
      </c>
      <c r="C781" s="74" t="s">
        <v>1527</v>
      </c>
      <c r="D781" s="74" t="s">
        <v>82</v>
      </c>
      <c r="E781" s="74">
        <v>151</v>
      </c>
      <c r="F781" s="74">
        <v>397.95</v>
      </c>
      <c r="G781" s="758">
        <f t="shared" si="48"/>
        <v>1.06</v>
      </c>
      <c r="H781" s="759">
        <f t="shared" si="49"/>
        <v>0.45</v>
      </c>
      <c r="I781" s="758">
        <f t="shared" si="50"/>
        <v>1.5754304635761587</v>
      </c>
      <c r="J781" s="760">
        <f t="shared" si="51"/>
        <v>0.59778866691795451</v>
      </c>
      <c r="K781" s="74"/>
      <c r="L781" s="74"/>
      <c r="M781" s="74" t="s">
        <v>2121</v>
      </c>
      <c r="N781" s="74">
        <v>0</v>
      </c>
      <c r="O781" s="74">
        <v>0</v>
      </c>
      <c r="P781" s="74">
        <v>0</v>
      </c>
    </row>
    <row r="782" spans="1:16">
      <c r="A782" s="74" t="s">
        <v>252</v>
      </c>
      <c r="B782" s="74" t="s">
        <v>253</v>
      </c>
      <c r="C782" s="74" t="s">
        <v>1518</v>
      </c>
      <c r="D782" s="74" t="s">
        <v>82</v>
      </c>
      <c r="E782" s="74">
        <v>117</v>
      </c>
      <c r="F782" s="74">
        <v>2109.6999999999998</v>
      </c>
      <c r="G782" s="758">
        <f t="shared" si="48"/>
        <v>1.06</v>
      </c>
      <c r="H782" s="759">
        <f t="shared" si="49"/>
        <v>0.45</v>
      </c>
      <c r="I782" s="758">
        <f t="shared" si="50"/>
        <v>16.971623931623931</v>
      </c>
      <c r="J782" s="760">
        <f t="shared" si="51"/>
        <v>0.94121439067165946</v>
      </c>
      <c r="K782" s="74"/>
      <c r="L782" s="74"/>
      <c r="M782" s="74" t="s">
        <v>2122</v>
      </c>
      <c r="N782" s="74">
        <v>0</v>
      </c>
      <c r="O782" s="74">
        <v>0</v>
      </c>
      <c r="P782" s="74">
        <v>0</v>
      </c>
    </row>
    <row r="783" spans="1:16">
      <c r="A783" s="74" t="s">
        <v>252</v>
      </c>
      <c r="B783" s="74" t="s">
        <v>253</v>
      </c>
      <c r="C783" s="74" t="s">
        <v>1519</v>
      </c>
      <c r="D783" s="74" t="s">
        <v>84</v>
      </c>
      <c r="E783" s="74">
        <v>17</v>
      </c>
      <c r="F783" s="74">
        <v>43</v>
      </c>
      <c r="G783" s="758">
        <f t="shared" si="48"/>
        <v>1.06</v>
      </c>
      <c r="H783" s="759">
        <f t="shared" si="49"/>
        <v>0.45</v>
      </c>
      <c r="I783" s="758">
        <f t="shared" si="50"/>
        <v>1.4694117647058822</v>
      </c>
      <c r="J783" s="760">
        <f t="shared" si="51"/>
        <v>0.58093023255813958</v>
      </c>
      <c r="K783" s="74"/>
      <c r="L783" s="74"/>
      <c r="M783" s="74" t="s">
        <v>2123</v>
      </c>
      <c r="N783" s="74">
        <v>0.52</v>
      </c>
      <c r="O783" s="74">
        <v>0.2</v>
      </c>
      <c r="P783" s="74">
        <v>0.90710000000000002</v>
      </c>
    </row>
    <row r="784" spans="1:16">
      <c r="A784" s="74" t="s">
        <v>252</v>
      </c>
      <c r="B784" s="74" t="s">
        <v>253</v>
      </c>
      <c r="C784" s="74" t="s">
        <v>1540</v>
      </c>
      <c r="D784" s="74" t="s">
        <v>84</v>
      </c>
      <c r="E784" s="74">
        <v>2</v>
      </c>
      <c r="F784" s="74">
        <v>5.15</v>
      </c>
      <c r="G784" s="758">
        <f t="shared" si="48"/>
        <v>1.06</v>
      </c>
      <c r="H784" s="759">
        <f t="shared" si="49"/>
        <v>0.45</v>
      </c>
      <c r="I784" s="758">
        <f t="shared" si="50"/>
        <v>1.5150000000000001</v>
      </c>
      <c r="J784" s="760">
        <f t="shared" si="51"/>
        <v>0.5883495145631068</v>
      </c>
      <c r="K784" s="74"/>
      <c r="L784" s="74"/>
      <c r="M784" s="74" t="s">
        <v>2124</v>
      </c>
      <c r="N784" s="74">
        <v>0</v>
      </c>
      <c r="O784" s="74">
        <v>0</v>
      </c>
      <c r="P784" s="74">
        <v>1</v>
      </c>
    </row>
    <row r="785" spans="1:16">
      <c r="A785" s="74" t="s">
        <v>901</v>
      </c>
      <c r="B785" s="74" t="s">
        <v>253</v>
      </c>
      <c r="C785" s="74" t="s">
        <v>1577</v>
      </c>
      <c r="D785" s="74" t="s">
        <v>84</v>
      </c>
      <c r="E785" s="74">
        <v>4</v>
      </c>
      <c r="F785" s="74">
        <v>8.1999999999999993</v>
      </c>
      <c r="G785" s="758">
        <f t="shared" si="48"/>
        <v>0</v>
      </c>
      <c r="H785" s="759">
        <f t="shared" si="49"/>
        <v>0</v>
      </c>
      <c r="I785" s="758">
        <f t="shared" si="50"/>
        <v>2.0499999999999998</v>
      </c>
      <c r="J785" s="760">
        <f t="shared" si="51"/>
        <v>1</v>
      </c>
      <c r="K785" s="74"/>
      <c r="L785" s="74"/>
      <c r="M785" s="74" t="s">
        <v>983</v>
      </c>
      <c r="N785" s="74">
        <v>0.16</v>
      </c>
      <c r="O785" s="74">
        <v>0.13</v>
      </c>
      <c r="P785" s="74">
        <v>0.94199999999999995</v>
      </c>
    </row>
    <row r="786" spans="1:16">
      <c r="A786" s="74" t="s">
        <v>901</v>
      </c>
      <c r="B786" s="74" t="s">
        <v>253</v>
      </c>
      <c r="C786" s="74" t="s">
        <v>1507</v>
      </c>
      <c r="D786" s="74" t="s">
        <v>86</v>
      </c>
      <c r="E786" s="74">
        <v>2</v>
      </c>
      <c r="F786" s="74">
        <v>4.25</v>
      </c>
      <c r="G786" s="758">
        <f t="shared" si="48"/>
        <v>0</v>
      </c>
      <c r="H786" s="759">
        <f t="shared" si="49"/>
        <v>0</v>
      </c>
      <c r="I786" s="758">
        <f t="shared" si="50"/>
        <v>2.125</v>
      </c>
      <c r="J786" s="760">
        <f t="shared" si="51"/>
        <v>1</v>
      </c>
      <c r="K786" s="74"/>
      <c r="L786" s="74"/>
      <c r="M786" s="74" t="s">
        <v>255</v>
      </c>
      <c r="N786" s="74">
        <v>0.96</v>
      </c>
      <c r="O786" s="74">
        <v>0.2</v>
      </c>
      <c r="P786" s="74">
        <v>0.83209999999999995</v>
      </c>
    </row>
    <row r="787" spans="1:16">
      <c r="A787" s="74" t="s">
        <v>901</v>
      </c>
      <c r="B787" s="74" t="s">
        <v>253</v>
      </c>
      <c r="C787" s="74" t="s">
        <v>1644</v>
      </c>
      <c r="D787" s="74" t="s">
        <v>86</v>
      </c>
      <c r="E787" s="74">
        <v>1</v>
      </c>
      <c r="F787" s="74">
        <v>2.0499999999999998</v>
      </c>
      <c r="G787" s="758">
        <f t="shared" si="48"/>
        <v>0</v>
      </c>
      <c r="H787" s="759">
        <f t="shared" si="49"/>
        <v>0</v>
      </c>
      <c r="I787" s="758">
        <f t="shared" si="50"/>
        <v>2.0499999999999998</v>
      </c>
      <c r="J787" s="760">
        <f t="shared" si="51"/>
        <v>1</v>
      </c>
      <c r="K787" s="74"/>
      <c r="L787" s="74"/>
      <c r="M787" s="74" t="s">
        <v>2125</v>
      </c>
      <c r="N787" s="74">
        <v>0</v>
      </c>
      <c r="O787" s="74">
        <v>0</v>
      </c>
      <c r="P787" s="74">
        <v>1</v>
      </c>
    </row>
    <row r="788" spans="1:16">
      <c r="A788" s="74" t="s">
        <v>901</v>
      </c>
      <c r="B788" s="74" t="s">
        <v>253</v>
      </c>
      <c r="C788" s="74" t="s">
        <v>1578</v>
      </c>
      <c r="D788" s="74" t="s">
        <v>86</v>
      </c>
      <c r="E788" s="74">
        <v>10</v>
      </c>
      <c r="F788" s="74">
        <v>21.25</v>
      </c>
      <c r="G788" s="758">
        <f t="shared" si="48"/>
        <v>0</v>
      </c>
      <c r="H788" s="759">
        <f t="shared" si="49"/>
        <v>0</v>
      </c>
      <c r="I788" s="758">
        <f t="shared" si="50"/>
        <v>2.125</v>
      </c>
      <c r="J788" s="760">
        <f t="shared" si="51"/>
        <v>1</v>
      </c>
      <c r="K788" s="74"/>
      <c r="L788" s="74"/>
      <c r="M788" s="74" t="s">
        <v>2126</v>
      </c>
      <c r="N788" s="74">
        <v>1.04</v>
      </c>
      <c r="O788" s="74">
        <v>0.26</v>
      </c>
      <c r="P788" s="74">
        <v>0.76790000000000003</v>
      </c>
    </row>
    <row r="789" spans="1:16">
      <c r="A789" s="74" t="s">
        <v>901</v>
      </c>
      <c r="B789" s="74" t="s">
        <v>253</v>
      </c>
      <c r="C789" s="74" t="s">
        <v>1646</v>
      </c>
      <c r="D789" s="74" t="s">
        <v>86</v>
      </c>
      <c r="E789" s="74">
        <v>4</v>
      </c>
      <c r="F789" s="74">
        <v>8.1999999999999993</v>
      </c>
      <c r="G789" s="758">
        <f t="shared" si="48"/>
        <v>0</v>
      </c>
      <c r="H789" s="759">
        <f t="shared" si="49"/>
        <v>0</v>
      </c>
      <c r="I789" s="758">
        <f t="shared" si="50"/>
        <v>2.0499999999999998</v>
      </c>
      <c r="J789" s="760">
        <f t="shared" si="51"/>
        <v>1</v>
      </c>
      <c r="K789" s="74"/>
      <c r="L789" s="74"/>
      <c r="M789" s="74" t="s">
        <v>2127</v>
      </c>
      <c r="N789" s="74">
        <v>0</v>
      </c>
      <c r="O789" s="74">
        <v>0</v>
      </c>
      <c r="P789" s="74">
        <v>0</v>
      </c>
    </row>
    <row r="790" spans="1:16">
      <c r="A790" s="74" t="s">
        <v>901</v>
      </c>
      <c r="B790" s="74" t="s">
        <v>253</v>
      </c>
      <c r="C790" s="74" t="s">
        <v>1541</v>
      </c>
      <c r="D790" s="74" t="s">
        <v>86</v>
      </c>
      <c r="E790" s="74">
        <v>9</v>
      </c>
      <c r="F790" s="74">
        <v>18.600000000000001</v>
      </c>
      <c r="G790" s="758">
        <f t="shared" si="48"/>
        <v>0</v>
      </c>
      <c r="H790" s="759">
        <f t="shared" si="49"/>
        <v>0</v>
      </c>
      <c r="I790" s="758">
        <f t="shared" si="50"/>
        <v>2.0666666666666669</v>
      </c>
      <c r="J790" s="760">
        <f t="shared" si="51"/>
        <v>1</v>
      </c>
      <c r="K790" s="74"/>
      <c r="L790" s="74"/>
      <c r="M790" s="74" t="s">
        <v>2128</v>
      </c>
      <c r="N790" s="74">
        <v>0</v>
      </c>
      <c r="O790" s="74">
        <v>0</v>
      </c>
      <c r="P790" s="74">
        <v>0</v>
      </c>
    </row>
    <row r="791" spans="1:16">
      <c r="A791" s="74" t="s">
        <v>901</v>
      </c>
      <c r="B791" s="74" t="s">
        <v>253</v>
      </c>
      <c r="C791" s="74" t="s">
        <v>1543</v>
      </c>
      <c r="D791" s="74" t="s">
        <v>87</v>
      </c>
      <c r="E791" s="74">
        <v>7</v>
      </c>
      <c r="F791" s="74">
        <v>15.1</v>
      </c>
      <c r="G791" s="758">
        <f t="shared" si="48"/>
        <v>0</v>
      </c>
      <c r="H791" s="759">
        <f t="shared" si="49"/>
        <v>0</v>
      </c>
      <c r="I791" s="758">
        <f t="shared" si="50"/>
        <v>2.157142857142857</v>
      </c>
      <c r="J791" s="760">
        <f t="shared" si="51"/>
        <v>1</v>
      </c>
      <c r="K791" s="74"/>
      <c r="L791" s="74"/>
      <c r="M791" s="74" t="s">
        <v>2129</v>
      </c>
      <c r="N791" s="74">
        <v>0</v>
      </c>
      <c r="O791" s="74">
        <v>0</v>
      </c>
      <c r="P791" s="74">
        <v>1</v>
      </c>
    </row>
    <row r="792" spans="1:16">
      <c r="A792" s="74" t="s">
        <v>901</v>
      </c>
      <c r="B792" s="74" t="s">
        <v>253</v>
      </c>
      <c r="C792" s="74" t="s">
        <v>1605</v>
      </c>
      <c r="D792" s="74" t="s">
        <v>87</v>
      </c>
      <c r="E792" s="74">
        <v>5</v>
      </c>
      <c r="F792" s="74">
        <v>10.7</v>
      </c>
      <c r="G792" s="758">
        <f t="shared" si="48"/>
        <v>0</v>
      </c>
      <c r="H792" s="759">
        <f t="shared" si="49"/>
        <v>0</v>
      </c>
      <c r="I792" s="758">
        <f t="shared" si="50"/>
        <v>2.1399999999999997</v>
      </c>
      <c r="J792" s="760">
        <f t="shared" si="51"/>
        <v>1</v>
      </c>
      <c r="K792" s="74"/>
      <c r="L792" s="74"/>
      <c r="M792" s="74" t="s">
        <v>966</v>
      </c>
      <c r="N792" s="74">
        <v>0</v>
      </c>
      <c r="O792" s="74">
        <v>0</v>
      </c>
      <c r="P792" s="74">
        <v>1</v>
      </c>
    </row>
    <row r="793" spans="1:16">
      <c r="A793" s="74" t="s">
        <v>901</v>
      </c>
      <c r="B793" s="74" t="s">
        <v>253</v>
      </c>
      <c r="C793" s="74" t="s">
        <v>1561</v>
      </c>
      <c r="D793" s="74" t="s">
        <v>87</v>
      </c>
      <c r="E793" s="74">
        <v>2</v>
      </c>
      <c r="F793" s="74">
        <v>4.0999999999999996</v>
      </c>
      <c r="G793" s="758">
        <f t="shared" si="48"/>
        <v>0</v>
      </c>
      <c r="H793" s="759">
        <f t="shared" si="49"/>
        <v>0</v>
      </c>
      <c r="I793" s="758">
        <f t="shared" si="50"/>
        <v>2.0499999999999998</v>
      </c>
      <c r="J793" s="760">
        <f t="shared" si="51"/>
        <v>1</v>
      </c>
      <c r="K793" s="74"/>
      <c r="L793" s="74"/>
      <c r="M793" s="74" t="s">
        <v>2130</v>
      </c>
      <c r="N793" s="74">
        <v>0</v>
      </c>
      <c r="O793" s="74">
        <v>0</v>
      </c>
      <c r="P793" s="74">
        <v>0</v>
      </c>
    </row>
    <row r="794" spans="1:16">
      <c r="A794" s="74" t="s">
        <v>901</v>
      </c>
      <c r="B794" s="74" t="s">
        <v>253</v>
      </c>
      <c r="C794" s="74" t="s">
        <v>1608</v>
      </c>
      <c r="D794" s="74" t="s">
        <v>89</v>
      </c>
      <c r="E794" s="74">
        <v>2</v>
      </c>
      <c r="F794" s="74">
        <v>4.0999999999999996</v>
      </c>
      <c r="G794" s="758">
        <f t="shared" si="48"/>
        <v>0</v>
      </c>
      <c r="H794" s="759">
        <f t="shared" si="49"/>
        <v>0</v>
      </c>
      <c r="I794" s="758">
        <f t="shared" si="50"/>
        <v>2.0499999999999998</v>
      </c>
      <c r="J794" s="760">
        <f t="shared" si="51"/>
        <v>1</v>
      </c>
      <c r="K794" s="74"/>
      <c r="L794" s="74"/>
      <c r="M794" s="74" t="s">
        <v>2131</v>
      </c>
      <c r="N794" s="74">
        <v>0</v>
      </c>
      <c r="O794" s="74">
        <v>0</v>
      </c>
      <c r="P794" s="74">
        <v>0</v>
      </c>
    </row>
    <row r="795" spans="1:16">
      <c r="A795" s="74" t="s">
        <v>901</v>
      </c>
      <c r="B795" s="74" t="s">
        <v>253</v>
      </c>
      <c r="C795" s="74" t="s">
        <v>1610</v>
      </c>
      <c r="D795" s="74" t="s">
        <v>89</v>
      </c>
      <c r="E795" s="74">
        <v>4</v>
      </c>
      <c r="F795" s="74">
        <v>8.65</v>
      </c>
      <c r="G795" s="758">
        <f t="shared" si="48"/>
        <v>0</v>
      </c>
      <c r="H795" s="759">
        <f t="shared" si="49"/>
        <v>0</v>
      </c>
      <c r="I795" s="758">
        <f t="shared" si="50"/>
        <v>2.1625000000000001</v>
      </c>
      <c r="J795" s="760">
        <f t="shared" si="51"/>
        <v>1</v>
      </c>
      <c r="K795" s="74"/>
      <c r="L795" s="74"/>
      <c r="M795" s="74" t="s">
        <v>2132</v>
      </c>
      <c r="N795" s="74">
        <v>0.21</v>
      </c>
      <c r="O795" s="74">
        <v>7.0000000000000007E-2</v>
      </c>
      <c r="P795" s="74">
        <v>0.89839999999999998</v>
      </c>
    </row>
    <row r="796" spans="1:16">
      <c r="A796" s="74" t="s">
        <v>901</v>
      </c>
      <c r="B796" s="74" t="s">
        <v>253</v>
      </c>
      <c r="C796" s="74" t="s">
        <v>1546</v>
      </c>
      <c r="D796" s="74" t="s">
        <v>89</v>
      </c>
      <c r="E796" s="74">
        <v>10</v>
      </c>
      <c r="F796" s="74">
        <v>20.5</v>
      </c>
      <c r="G796" s="758">
        <f t="shared" si="48"/>
        <v>0</v>
      </c>
      <c r="H796" s="759">
        <f t="shared" si="49"/>
        <v>0</v>
      </c>
      <c r="I796" s="758">
        <f t="shared" si="50"/>
        <v>2.0499999999999998</v>
      </c>
      <c r="J796" s="760">
        <f t="shared" si="51"/>
        <v>1</v>
      </c>
      <c r="K796" s="74"/>
      <c r="L796" s="74"/>
      <c r="M796" s="74" t="s">
        <v>2133</v>
      </c>
      <c r="N796" s="74">
        <v>0.42</v>
      </c>
      <c r="O796" s="74">
        <v>0.13</v>
      </c>
      <c r="P796" s="74">
        <v>0.88329999999999997</v>
      </c>
    </row>
    <row r="797" spans="1:16">
      <c r="A797" s="74" t="s">
        <v>901</v>
      </c>
      <c r="B797" s="74" t="s">
        <v>253</v>
      </c>
      <c r="C797" s="74" t="s">
        <v>1547</v>
      </c>
      <c r="D797" s="74" t="s">
        <v>89</v>
      </c>
      <c r="E797" s="74">
        <v>5</v>
      </c>
      <c r="F797" s="74">
        <v>11.05</v>
      </c>
      <c r="G797" s="758">
        <f t="shared" si="48"/>
        <v>0</v>
      </c>
      <c r="H797" s="759">
        <f t="shared" si="49"/>
        <v>0</v>
      </c>
      <c r="I797" s="758">
        <f t="shared" si="50"/>
        <v>2.21</v>
      </c>
      <c r="J797" s="760">
        <f t="shared" si="51"/>
        <v>1</v>
      </c>
      <c r="K797" s="74"/>
      <c r="L797" s="74"/>
      <c r="M797" s="74" t="s">
        <v>2134</v>
      </c>
      <c r="N797" s="74">
        <v>0.21</v>
      </c>
      <c r="O797" s="74">
        <v>0.11</v>
      </c>
      <c r="P797" s="74">
        <v>0.9</v>
      </c>
    </row>
    <row r="798" spans="1:16">
      <c r="A798" s="74" t="s">
        <v>901</v>
      </c>
      <c r="B798" s="74" t="s">
        <v>253</v>
      </c>
      <c r="C798" s="74" t="s">
        <v>1582</v>
      </c>
      <c r="D798" s="74" t="s">
        <v>89</v>
      </c>
      <c r="E798" s="74">
        <v>3</v>
      </c>
      <c r="F798" s="74">
        <v>6.6</v>
      </c>
      <c r="G798" s="758">
        <f t="shared" si="48"/>
        <v>0</v>
      </c>
      <c r="H798" s="759">
        <f t="shared" si="49"/>
        <v>0</v>
      </c>
      <c r="I798" s="758">
        <f t="shared" si="50"/>
        <v>2.1999999999999997</v>
      </c>
      <c r="J798" s="760">
        <f t="shared" si="51"/>
        <v>1</v>
      </c>
      <c r="K798" s="74"/>
      <c r="L798" s="74"/>
      <c r="M798" s="74" t="s">
        <v>1186</v>
      </c>
      <c r="N798" s="74">
        <v>0</v>
      </c>
      <c r="O798" s="74">
        <v>0</v>
      </c>
      <c r="P798" s="74">
        <v>1</v>
      </c>
    </row>
    <row r="799" spans="1:16">
      <c r="A799" s="74" t="s">
        <v>901</v>
      </c>
      <c r="B799" s="74" t="s">
        <v>253</v>
      </c>
      <c r="C799" s="74" t="s">
        <v>1522</v>
      </c>
      <c r="D799" s="74" t="s">
        <v>91</v>
      </c>
      <c r="E799" s="74">
        <v>2</v>
      </c>
      <c r="F799" s="74">
        <v>4.45</v>
      </c>
      <c r="G799" s="758">
        <f t="shared" si="48"/>
        <v>0</v>
      </c>
      <c r="H799" s="759">
        <f t="shared" si="49"/>
        <v>0</v>
      </c>
      <c r="I799" s="758">
        <f t="shared" si="50"/>
        <v>2.2250000000000001</v>
      </c>
      <c r="J799" s="760">
        <f t="shared" si="51"/>
        <v>1</v>
      </c>
      <c r="K799" s="74"/>
      <c r="L799" s="74"/>
      <c r="M799" s="74" t="s">
        <v>2135</v>
      </c>
      <c r="N799" s="74">
        <v>0.41</v>
      </c>
      <c r="O799" s="74">
        <v>7.0000000000000007E-2</v>
      </c>
      <c r="P799" s="74">
        <v>0.93200000000000005</v>
      </c>
    </row>
    <row r="800" spans="1:16">
      <c r="A800" s="74" t="s">
        <v>901</v>
      </c>
      <c r="B800" s="74" t="s">
        <v>253</v>
      </c>
      <c r="C800" s="74" t="s">
        <v>1550</v>
      </c>
      <c r="D800" s="74" t="s">
        <v>91</v>
      </c>
      <c r="E800" s="74">
        <v>1</v>
      </c>
      <c r="F800" s="74">
        <v>2.2999999999999998</v>
      </c>
      <c r="G800" s="758">
        <f t="shared" si="48"/>
        <v>0</v>
      </c>
      <c r="H800" s="759">
        <f t="shared" si="49"/>
        <v>0</v>
      </c>
      <c r="I800" s="758">
        <f t="shared" si="50"/>
        <v>2.2999999999999998</v>
      </c>
      <c r="J800" s="760">
        <f t="shared" si="51"/>
        <v>1</v>
      </c>
      <c r="K800" s="74"/>
      <c r="L800" s="74"/>
      <c r="M800" s="74" t="s">
        <v>822</v>
      </c>
      <c r="N800" s="74">
        <v>0.41</v>
      </c>
      <c r="O800" s="74">
        <v>7.0000000000000007E-2</v>
      </c>
      <c r="P800" s="74">
        <v>0.93830000000000002</v>
      </c>
    </row>
    <row r="801" spans="1:16">
      <c r="A801" s="74" t="s">
        <v>901</v>
      </c>
      <c r="B801" s="74" t="s">
        <v>253</v>
      </c>
      <c r="C801" s="74" t="s">
        <v>1675</v>
      </c>
      <c r="D801" s="74" t="s">
        <v>91</v>
      </c>
      <c r="E801" s="74">
        <v>7</v>
      </c>
      <c r="F801" s="74">
        <v>15.6</v>
      </c>
      <c r="G801" s="758">
        <f t="shared" si="48"/>
        <v>0</v>
      </c>
      <c r="H801" s="759">
        <f t="shared" si="49"/>
        <v>0</v>
      </c>
      <c r="I801" s="758">
        <f t="shared" si="50"/>
        <v>2.2285714285714286</v>
      </c>
      <c r="J801" s="760">
        <f t="shared" si="51"/>
        <v>1</v>
      </c>
      <c r="K801" s="74"/>
      <c r="L801" s="74"/>
      <c r="M801" s="74" t="s">
        <v>2136</v>
      </c>
      <c r="N801" s="74">
        <v>0</v>
      </c>
      <c r="O801" s="74">
        <v>0</v>
      </c>
      <c r="P801" s="74">
        <v>1</v>
      </c>
    </row>
    <row r="802" spans="1:16">
      <c r="A802" s="74" t="s">
        <v>901</v>
      </c>
      <c r="B802" s="74" t="s">
        <v>253</v>
      </c>
      <c r="C802" s="74" t="s">
        <v>1524</v>
      </c>
      <c r="D802" s="74" t="s">
        <v>91</v>
      </c>
      <c r="E802" s="74">
        <v>1</v>
      </c>
      <c r="F802" s="74">
        <v>2.2999999999999998</v>
      </c>
      <c r="G802" s="758">
        <f t="shared" si="48"/>
        <v>0</v>
      </c>
      <c r="H802" s="759">
        <f t="shared" si="49"/>
        <v>0</v>
      </c>
      <c r="I802" s="758">
        <f t="shared" si="50"/>
        <v>2.2999999999999998</v>
      </c>
      <c r="J802" s="760">
        <f t="shared" si="51"/>
        <v>1</v>
      </c>
      <c r="K802" s="74"/>
      <c r="L802" s="74"/>
      <c r="M802" s="74" t="s">
        <v>1193</v>
      </c>
      <c r="N802" s="74">
        <v>0</v>
      </c>
      <c r="O802" s="74">
        <v>0</v>
      </c>
      <c r="P802" s="74">
        <v>0</v>
      </c>
    </row>
    <row r="803" spans="1:16">
      <c r="A803" s="74" t="s">
        <v>901</v>
      </c>
      <c r="B803" s="74" t="s">
        <v>253</v>
      </c>
      <c r="C803" s="74" t="s">
        <v>1584</v>
      </c>
      <c r="D803" s="74" t="s">
        <v>92</v>
      </c>
      <c r="E803" s="74">
        <v>4</v>
      </c>
      <c r="F803" s="74">
        <v>8.9</v>
      </c>
      <c r="G803" s="758">
        <f t="shared" si="48"/>
        <v>0</v>
      </c>
      <c r="H803" s="759">
        <f t="shared" si="49"/>
        <v>0</v>
      </c>
      <c r="I803" s="758">
        <f t="shared" si="50"/>
        <v>2.2250000000000001</v>
      </c>
      <c r="J803" s="760">
        <f t="shared" si="51"/>
        <v>1</v>
      </c>
      <c r="K803" s="74"/>
      <c r="L803" s="74"/>
      <c r="M803" s="74" t="s">
        <v>2137</v>
      </c>
      <c r="N803" s="74">
        <v>0</v>
      </c>
      <c r="O803" s="74">
        <v>0</v>
      </c>
      <c r="P803" s="74">
        <v>0</v>
      </c>
    </row>
    <row r="804" spans="1:16">
      <c r="A804" s="74" t="s">
        <v>901</v>
      </c>
      <c r="B804" s="74" t="s">
        <v>253</v>
      </c>
      <c r="C804" s="74" t="s">
        <v>1614</v>
      </c>
      <c r="D804" s="74" t="s">
        <v>92</v>
      </c>
      <c r="E804" s="74">
        <v>3</v>
      </c>
      <c r="F804" s="74">
        <v>6.6</v>
      </c>
      <c r="G804" s="758">
        <f t="shared" si="48"/>
        <v>0</v>
      </c>
      <c r="H804" s="759">
        <f t="shared" si="49"/>
        <v>0</v>
      </c>
      <c r="I804" s="758">
        <f t="shared" si="50"/>
        <v>2.1999999999999997</v>
      </c>
      <c r="J804" s="760">
        <f t="shared" si="51"/>
        <v>1</v>
      </c>
      <c r="K804" s="74"/>
      <c r="L804" s="74"/>
      <c r="M804" s="74" t="s">
        <v>2138</v>
      </c>
      <c r="N804" s="74">
        <v>2.95</v>
      </c>
      <c r="O804" s="74">
        <v>0</v>
      </c>
      <c r="P804" s="74">
        <v>0</v>
      </c>
    </row>
    <row r="805" spans="1:16">
      <c r="A805" s="74" t="s">
        <v>901</v>
      </c>
      <c r="B805" s="74" t="s">
        <v>253</v>
      </c>
      <c r="C805" s="74" t="s">
        <v>1631</v>
      </c>
      <c r="D805" s="74" t="s">
        <v>92</v>
      </c>
      <c r="E805" s="74">
        <v>4</v>
      </c>
      <c r="F805" s="74">
        <v>9.0500000000000007</v>
      </c>
      <c r="G805" s="758">
        <f t="shared" si="48"/>
        <v>0</v>
      </c>
      <c r="H805" s="759">
        <f t="shared" si="49"/>
        <v>0</v>
      </c>
      <c r="I805" s="758">
        <f t="shared" si="50"/>
        <v>2.2625000000000002</v>
      </c>
      <c r="J805" s="760">
        <f t="shared" si="51"/>
        <v>1</v>
      </c>
      <c r="K805" s="74"/>
      <c r="L805" s="74"/>
      <c r="M805" s="74" t="s">
        <v>1037</v>
      </c>
      <c r="N805" s="74">
        <v>0</v>
      </c>
      <c r="O805" s="74">
        <v>0</v>
      </c>
      <c r="P805" s="74">
        <v>1</v>
      </c>
    </row>
    <row r="806" spans="1:16">
      <c r="A806" s="74" t="s">
        <v>901</v>
      </c>
      <c r="B806" s="74" t="s">
        <v>253</v>
      </c>
      <c r="C806" s="74" t="s">
        <v>1552</v>
      </c>
      <c r="D806" s="74" t="s">
        <v>92</v>
      </c>
      <c r="E806" s="74">
        <v>4</v>
      </c>
      <c r="F806" s="74">
        <v>8.6</v>
      </c>
      <c r="G806" s="758">
        <f t="shared" si="48"/>
        <v>0</v>
      </c>
      <c r="H806" s="759">
        <f t="shared" si="49"/>
        <v>0</v>
      </c>
      <c r="I806" s="758">
        <f t="shared" si="50"/>
        <v>2.15</v>
      </c>
      <c r="J806" s="760">
        <f t="shared" si="51"/>
        <v>1</v>
      </c>
      <c r="K806" s="74"/>
      <c r="L806" s="74"/>
      <c r="M806" s="74" t="s">
        <v>2139</v>
      </c>
      <c r="N806" s="74">
        <v>0</v>
      </c>
      <c r="O806" s="74">
        <v>0</v>
      </c>
      <c r="P806" s="74">
        <v>0</v>
      </c>
    </row>
    <row r="807" spans="1:16">
      <c r="A807" s="74" t="s">
        <v>901</v>
      </c>
      <c r="B807" s="74" t="s">
        <v>253</v>
      </c>
      <c r="C807" s="74" t="s">
        <v>1617</v>
      </c>
      <c r="D807" s="74" t="s">
        <v>94</v>
      </c>
      <c r="E807" s="74">
        <v>4</v>
      </c>
      <c r="F807" s="74">
        <v>8.6</v>
      </c>
      <c r="G807" s="758">
        <f t="shared" si="48"/>
        <v>0</v>
      </c>
      <c r="H807" s="759">
        <f t="shared" si="49"/>
        <v>0</v>
      </c>
      <c r="I807" s="758">
        <f t="shared" si="50"/>
        <v>2.15</v>
      </c>
      <c r="J807" s="760">
        <f t="shared" si="51"/>
        <v>1</v>
      </c>
      <c r="K807" s="74"/>
      <c r="L807" s="74"/>
      <c r="M807" s="74" t="s">
        <v>2140</v>
      </c>
      <c r="N807" s="74">
        <v>0</v>
      </c>
      <c r="O807" s="74">
        <v>0</v>
      </c>
      <c r="P807" s="74">
        <v>0</v>
      </c>
    </row>
    <row r="808" spans="1:16">
      <c r="A808" s="74" t="s">
        <v>901</v>
      </c>
      <c r="B808" s="74" t="s">
        <v>253</v>
      </c>
      <c r="C808" s="74" t="s">
        <v>1553</v>
      </c>
      <c r="D808" s="74" t="s">
        <v>94</v>
      </c>
      <c r="E808" s="74">
        <v>1</v>
      </c>
      <c r="F808" s="74">
        <v>2.15</v>
      </c>
      <c r="G808" s="758">
        <f t="shared" si="48"/>
        <v>0</v>
      </c>
      <c r="H808" s="759">
        <f t="shared" si="49"/>
        <v>0</v>
      </c>
      <c r="I808" s="758">
        <f t="shared" si="50"/>
        <v>2.15</v>
      </c>
      <c r="J808" s="760">
        <f t="shared" si="51"/>
        <v>1</v>
      </c>
      <c r="K808" s="74"/>
      <c r="L808" s="74"/>
      <c r="M808" s="74" t="s">
        <v>833</v>
      </c>
      <c r="N808" s="74">
        <v>1.05</v>
      </c>
      <c r="O808" s="74">
        <v>0.21</v>
      </c>
      <c r="P808" s="74">
        <v>0.81420000000000003</v>
      </c>
    </row>
    <row r="809" spans="1:16">
      <c r="A809" s="74" t="s">
        <v>901</v>
      </c>
      <c r="B809" s="74" t="s">
        <v>253</v>
      </c>
      <c r="C809" s="74" t="s">
        <v>1555</v>
      </c>
      <c r="D809" s="74" t="s">
        <v>94</v>
      </c>
      <c r="E809" s="74">
        <v>1</v>
      </c>
      <c r="F809" s="74">
        <v>2.15</v>
      </c>
      <c r="G809" s="758">
        <f t="shared" si="48"/>
        <v>0</v>
      </c>
      <c r="H809" s="759">
        <f t="shared" si="49"/>
        <v>0</v>
      </c>
      <c r="I809" s="758">
        <f t="shared" si="50"/>
        <v>2.15</v>
      </c>
      <c r="J809" s="760">
        <f t="shared" si="51"/>
        <v>1</v>
      </c>
      <c r="K809" s="74"/>
      <c r="L809" s="74"/>
      <c r="M809" s="74" t="s">
        <v>675</v>
      </c>
      <c r="N809" s="74">
        <v>0.68</v>
      </c>
      <c r="O809" s="74">
        <v>0.16</v>
      </c>
      <c r="P809" s="74">
        <v>0.91169999999999995</v>
      </c>
    </row>
    <row r="810" spans="1:16">
      <c r="A810" s="74" t="s">
        <v>901</v>
      </c>
      <c r="B810" s="74" t="s">
        <v>253</v>
      </c>
      <c r="C810" s="74" t="s">
        <v>1557</v>
      </c>
      <c r="D810" s="74" t="s">
        <v>95</v>
      </c>
      <c r="E810" s="74">
        <v>1</v>
      </c>
      <c r="F810" s="74">
        <v>2.15</v>
      </c>
      <c r="G810" s="758">
        <f t="shared" si="48"/>
        <v>0</v>
      </c>
      <c r="H810" s="759">
        <f t="shared" si="49"/>
        <v>0</v>
      </c>
      <c r="I810" s="758">
        <f t="shared" si="50"/>
        <v>2.15</v>
      </c>
      <c r="J810" s="760">
        <f t="shared" si="51"/>
        <v>1</v>
      </c>
      <c r="K810" s="74"/>
      <c r="L810" s="74"/>
      <c r="M810" s="74" t="s">
        <v>2141</v>
      </c>
      <c r="N810" s="74">
        <v>0</v>
      </c>
      <c r="O810" s="74">
        <v>0</v>
      </c>
      <c r="P810" s="74">
        <v>1</v>
      </c>
    </row>
    <row r="811" spans="1:16">
      <c r="A811" s="74" t="s">
        <v>901</v>
      </c>
      <c r="B811" s="74" t="s">
        <v>253</v>
      </c>
      <c r="C811" s="74" t="s">
        <v>1526</v>
      </c>
      <c r="D811" s="74" t="s">
        <v>95</v>
      </c>
      <c r="E811" s="74">
        <v>2</v>
      </c>
      <c r="F811" s="74">
        <v>4.45</v>
      </c>
      <c r="G811" s="758">
        <f t="shared" si="48"/>
        <v>0</v>
      </c>
      <c r="H811" s="759">
        <f t="shared" si="49"/>
        <v>0</v>
      </c>
      <c r="I811" s="758">
        <f t="shared" si="50"/>
        <v>2.2250000000000001</v>
      </c>
      <c r="J811" s="760">
        <f t="shared" si="51"/>
        <v>1</v>
      </c>
      <c r="K811" s="74"/>
      <c r="L811" s="74"/>
      <c r="M811" s="74" t="s">
        <v>2142</v>
      </c>
      <c r="N811" s="74">
        <v>0</v>
      </c>
      <c r="O811" s="74">
        <v>0</v>
      </c>
      <c r="P811" s="74">
        <v>0</v>
      </c>
    </row>
    <row r="812" spans="1:16">
      <c r="A812" s="74" t="s">
        <v>901</v>
      </c>
      <c r="B812" s="74" t="s">
        <v>253</v>
      </c>
      <c r="C812" s="74" t="s">
        <v>1930</v>
      </c>
      <c r="D812" s="74" t="s">
        <v>95</v>
      </c>
      <c r="E812" s="74">
        <v>3</v>
      </c>
      <c r="F812" s="74">
        <v>6.45</v>
      </c>
      <c r="G812" s="758">
        <f t="shared" si="48"/>
        <v>0</v>
      </c>
      <c r="H812" s="759">
        <f t="shared" si="49"/>
        <v>0</v>
      </c>
      <c r="I812" s="758">
        <f t="shared" si="50"/>
        <v>2.15</v>
      </c>
      <c r="J812" s="760">
        <f t="shared" si="51"/>
        <v>1</v>
      </c>
      <c r="K812" s="74"/>
      <c r="L812" s="74"/>
      <c r="M812" s="74" t="s">
        <v>2143</v>
      </c>
      <c r="N812" s="74">
        <v>0</v>
      </c>
      <c r="O812" s="74">
        <v>0</v>
      </c>
      <c r="P812" s="74">
        <v>0</v>
      </c>
    </row>
    <row r="813" spans="1:16">
      <c r="A813" s="74" t="s">
        <v>869</v>
      </c>
      <c r="B813" s="74" t="s">
        <v>253</v>
      </c>
      <c r="C813" s="74" t="s">
        <v>1540</v>
      </c>
      <c r="D813" s="74" t="s">
        <v>84</v>
      </c>
      <c r="E813" s="74">
        <v>1</v>
      </c>
      <c r="F813" s="74">
        <v>2.5</v>
      </c>
      <c r="G813" s="758">
        <f t="shared" si="48"/>
        <v>0</v>
      </c>
      <c r="H813" s="759">
        <f t="shared" si="49"/>
        <v>0</v>
      </c>
      <c r="I813" s="758">
        <f t="shared" si="50"/>
        <v>2.5</v>
      </c>
      <c r="J813" s="760">
        <f t="shared" si="51"/>
        <v>1</v>
      </c>
      <c r="K813" s="74"/>
      <c r="L813" s="74"/>
      <c r="M813" s="74" t="s">
        <v>2144</v>
      </c>
      <c r="N813" s="74">
        <v>0</v>
      </c>
      <c r="O813" s="74">
        <v>0</v>
      </c>
      <c r="P813" s="74">
        <v>0</v>
      </c>
    </row>
    <row r="814" spans="1:16">
      <c r="A814" s="74" t="s">
        <v>869</v>
      </c>
      <c r="B814" s="74" t="s">
        <v>253</v>
      </c>
      <c r="C814" s="74" t="s">
        <v>1520</v>
      </c>
      <c r="D814" s="74" t="s">
        <v>84</v>
      </c>
      <c r="E814" s="74">
        <v>12</v>
      </c>
      <c r="F814" s="74">
        <v>30.9</v>
      </c>
      <c r="G814" s="758">
        <f t="shared" si="48"/>
        <v>0</v>
      </c>
      <c r="H814" s="759">
        <f t="shared" si="49"/>
        <v>0</v>
      </c>
      <c r="I814" s="758">
        <f t="shared" si="50"/>
        <v>2.5749999999999997</v>
      </c>
      <c r="J814" s="760">
        <f t="shared" si="51"/>
        <v>1</v>
      </c>
      <c r="K814" s="74"/>
      <c r="L814" s="74"/>
      <c r="M814" s="74" t="s">
        <v>2145</v>
      </c>
      <c r="N814" s="74">
        <v>0.33</v>
      </c>
      <c r="O814" s="74">
        <v>0</v>
      </c>
      <c r="P814" s="74">
        <v>0</v>
      </c>
    </row>
    <row r="815" spans="1:16">
      <c r="A815" s="74" t="s">
        <v>869</v>
      </c>
      <c r="B815" s="74" t="s">
        <v>253</v>
      </c>
      <c r="C815" s="74" t="s">
        <v>1577</v>
      </c>
      <c r="D815" s="74" t="s">
        <v>84</v>
      </c>
      <c r="E815" s="74">
        <v>8</v>
      </c>
      <c r="F815" s="74">
        <v>20.3</v>
      </c>
      <c r="G815" s="758">
        <f t="shared" si="48"/>
        <v>0</v>
      </c>
      <c r="H815" s="759">
        <f t="shared" si="49"/>
        <v>0</v>
      </c>
      <c r="I815" s="758">
        <f t="shared" si="50"/>
        <v>2.5375000000000001</v>
      </c>
      <c r="J815" s="760">
        <f t="shared" si="51"/>
        <v>1</v>
      </c>
      <c r="K815" s="74"/>
      <c r="L815" s="74"/>
      <c r="M815" s="74" t="s">
        <v>1048</v>
      </c>
      <c r="N815" s="74">
        <v>0</v>
      </c>
      <c r="O815" s="74">
        <v>0</v>
      </c>
      <c r="P815" s="74">
        <v>0</v>
      </c>
    </row>
    <row r="816" spans="1:16">
      <c r="A816" s="74" t="s">
        <v>869</v>
      </c>
      <c r="B816" s="74" t="s">
        <v>253</v>
      </c>
      <c r="C816" s="74" t="s">
        <v>1507</v>
      </c>
      <c r="D816" s="74" t="s">
        <v>86</v>
      </c>
      <c r="E816" s="74">
        <v>6</v>
      </c>
      <c r="F816" s="74">
        <v>15.45</v>
      </c>
      <c r="G816" s="758">
        <f t="shared" si="48"/>
        <v>0</v>
      </c>
      <c r="H816" s="759">
        <f t="shared" si="49"/>
        <v>0</v>
      </c>
      <c r="I816" s="758">
        <f t="shared" si="50"/>
        <v>2.5749999999999997</v>
      </c>
      <c r="J816" s="760">
        <f t="shared" si="51"/>
        <v>1</v>
      </c>
      <c r="K816" s="74"/>
      <c r="L816" s="74"/>
      <c r="M816" s="74" t="s">
        <v>1047</v>
      </c>
      <c r="N816" s="74">
        <v>0</v>
      </c>
      <c r="O816" s="74">
        <v>0</v>
      </c>
      <c r="P816" s="74">
        <v>0</v>
      </c>
    </row>
    <row r="817" spans="1:16">
      <c r="A817" s="74" t="s">
        <v>869</v>
      </c>
      <c r="B817" s="74" t="s">
        <v>253</v>
      </c>
      <c r="C817" s="74" t="s">
        <v>1644</v>
      </c>
      <c r="D817" s="74" t="s">
        <v>86</v>
      </c>
      <c r="E817" s="74">
        <v>8</v>
      </c>
      <c r="F817" s="74">
        <v>20.149999999999999</v>
      </c>
      <c r="G817" s="758">
        <f t="shared" si="48"/>
        <v>0</v>
      </c>
      <c r="H817" s="759">
        <f t="shared" si="49"/>
        <v>0</v>
      </c>
      <c r="I817" s="758">
        <f t="shared" si="50"/>
        <v>2.5187499999999998</v>
      </c>
      <c r="J817" s="760">
        <f t="shared" si="51"/>
        <v>1</v>
      </c>
      <c r="K817" s="74"/>
      <c r="L817" s="74"/>
      <c r="M817" s="74" t="s">
        <v>1122</v>
      </c>
      <c r="N817" s="74">
        <v>0</v>
      </c>
      <c r="O817" s="74">
        <v>0</v>
      </c>
      <c r="P817" s="74">
        <v>0</v>
      </c>
    </row>
    <row r="818" spans="1:16">
      <c r="A818" s="74" t="s">
        <v>869</v>
      </c>
      <c r="B818" s="74" t="s">
        <v>253</v>
      </c>
      <c r="C818" s="74" t="s">
        <v>1578</v>
      </c>
      <c r="D818" s="74" t="s">
        <v>86</v>
      </c>
      <c r="E818" s="74">
        <v>19</v>
      </c>
      <c r="F818" s="74">
        <v>49.15</v>
      </c>
      <c r="G818" s="758">
        <f t="shared" si="48"/>
        <v>0</v>
      </c>
      <c r="H818" s="759">
        <f t="shared" si="49"/>
        <v>0</v>
      </c>
      <c r="I818" s="758">
        <f t="shared" si="50"/>
        <v>2.5868421052631576</v>
      </c>
      <c r="J818" s="760">
        <f t="shared" si="51"/>
        <v>1</v>
      </c>
      <c r="K818" s="74"/>
      <c r="L818" s="74"/>
      <c r="M818" s="74" t="s">
        <v>2146</v>
      </c>
      <c r="N818" s="74">
        <v>0</v>
      </c>
      <c r="O818" s="74">
        <v>0</v>
      </c>
      <c r="P818" s="74">
        <v>0</v>
      </c>
    </row>
    <row r="819" spans="1:16">
      <c r="A819" s="74" t="s">
        <v>869</v>
      </c>
      <c r="B819" s="74" t="s">
        <v>253</v>
      </c>
      <c r="C819" s="74" t="s">
        <v>1646</v>
      </c>
      <c r="D819" s="74" t="s">
        <v>86</v>
      </c>
      <c r="E819" s="74">
        <v>17</v>
      </c>
      <c r="F819" s="74">
        <v>43.25</v>
      </c>
      <c r="G819" s="758">
        <f t="shared" si="48"/>
        <v>0</v>
      </c>
      <c r="H819" s="759">
        <f t="shared" si="49"/>
        <v>0</v>
      </c>
      <c r="I819" s="758">
        <f t="shared" si="50"/>
        <v>2.5441176470588234</v>
      </c>
      <c r="J819" s="760">
        <f t="shared" si="51"/>
        <v>1</v>
      </c>
      <c r="K819" s="74"/>
      <c r="L819" s="74"/>
      <c r="M819" s="74" t="s">
        <v>2147</v>
      </c>
      <c r="N819" s="74">
        <v>0</v>
      </c>
      <c r="O819" s="74">
        <v>0</v>
      </c>
      <c r="P819" s="74">
        <v>1</v>
      </c>
    </row>
    <row r="820" spans="1:16">
      <c r="A820" s="74" t="s">
        <v>869</v>
      </c>
      <c r="B820" s="74" t="s">
        <v>253</v>
      </c>
      <c r="C820" s="74" t="s">
        <v>1541</v>
      </c>
      <c r="D820" s="74" t="s">
        <v>86</v>
      </c>
      <c r="E820" s="74">
        <v>31</v>
      </c>
      <c r="F820" s="74">
        <v>79.150000000000006</v>
      </c>
      <c r="G820" s="758">
        <f t="shared" si="48"/>
        <v>0</v>
      </c>
      <c r="H820" s="759">
        <f t="shared" si="49"/>
        <v>0</v>
      </c>
      <c r="I820" s="758">
        <f t="shared" si="50"/>
        <v>2.5532258064516129</v>
      </c>
      <c r="J820" s="760">
        <f t="shared" si="51"/>
        <v>1</v>
      </c>
      <c r="K820" s="74"/>
      <c r="L820" s="74"/>
      <c r="M820" s="74" t="s">
        <v>2148</v>
      </c>
      <c r="N820" s="74">
        <v>0</v>
      </c>
      <c r="O820" s="74">
        <v>0</v>
      </c>
      <c r="P820" s="74">
        <v>0</v>
      </c>
    </row>
    <row r="821" spans="1:16">
      <c r="A821" s="74" t="s">
        <v>869</v>
      </c>
      <c r="B821" s="74" t="s">
        <v>253</v>
      </c>
      <c r="C821" s="74" t="s">
        <v>1543</v>
      </c>
      <c r="D821" s="74" t="s">
        <v>87</v>
      </c>
      <c r="E821" s="74">
        <v>17</v>
      </c>
      <c r="F821" s="74">
        <v>43.7</v>
      </c>
      <c r="G821" s="758">
        <f t="shared" si="48"/>
        <v>0</v>
      </c>
      <c r="H821" s="759">
        <f t="shared" si="49"/>
        <v>0</v>
      </c>
      <c r="I821" s="758">
        <f t="shared" si="50"/>
        <v>2.5705882352941178</v>
      </c>
      <c r="J821" s="760">
        <f t="shared" si="51"/>
        <v>1</v>
      </c>
      <c r="K821" s="74"/>
      <c r="L821" s="74"/>
      <c r="M821" s="74" t="s">
        <v>2149</v>
      </c>
      <c r="N821" s="74">
        <v>0</v>
      </c>
      <c r="O821" s="74">
        <v>0</v>
      </c>
      <c r="P821" s="74">
        <v>0</v>
      </c>
    </row>
    <row r="822" spans="1:16">
      <c r="A822" s="74" t="s">
        <v>869</v>
      </c>
      <c r="B822" s="74" t="s">
        <v>253</v>
      </c>
      <c r="C822" s="74" t="s">
        <v>1544</v>
      </c>
      <c r="D822" s="74" t="s">
        <v>87</v>
      </c>
      <c r="E822" s="74">
        <v>2</v>
      </c>
      <c r="F822" s="74">
        <v>5.15</v>
      </c>
      <c r="G822" s="758">
        <f t="shared" si="48"/>
        <v>0</v>
      </c>
      <c r="H822" s="759">
        <f t="shared" si="49"/>
        <v>0</v>
      </c>
      <c r="I822" s="758">
        <f t="shared" si="50"/>
        <v>2.5750000000000002</v>
      </c>
      <c r="J822" s="760">
        <f t="shared" si="51"/>
        <v>1</v>
      </c>
      <c r="K822" s="74"/>
      <c r="L822" s="74"/>
      <c r="M822" s="74" t="s">
        <v>2150</v>
      </c>
      <c r="N822" s="74">
        <v>0</v>
      </c>
      <c r="O822" s="74">
        <v>0</v>
      </c>
      <c r="P822" s="74">
        <v>0</v>
      </c>
    </row>
    <row r="823" spans="1:16">
      <c r="A823" s="74" t="s">
        <v>869</v>
      </c>
      <c r="B823" s="74" t="s">
        <v>253</v>
      </c>
      <c r="C823" s="74" t="s">
        <v>1605</v>
      </c>
      <c r="D823" s="74" t="s">
        <v>87</v>
      </c>
      <c r="E823" s="74">
        <v>7</v>
      </c>
      <c r="F823" s="74">
        <v>18.3</v>
      </c>
      <c r="G823" s="758">
        <f t="shared" si="48"/>
        <v>0</v>
      </c>
      <c r="H823" s="759">
        <f t="shared" si="49"/>
        <v>0</v>
      </c>
      <c r="I823" s="758">
        <f t="shared" si="50"/>
        <v>2.6142857142857143</v>
      </c>
      <c r="J823" s="760">
        <f t="shared" si="51"/>
        <v>1</v>
      </c>
      <c r="K823" s="74"/>
      <c r="L823" s="74"/>
      <c r="M823" s="74" t="s">
        <v>992</v>
      </c>
      <c r="N823" s="74">
        <v>0</v>
      </c>
      <c r="O823" s="74">
        <v>0</v>
      </c>
      <c r="P823" s="74">
        <v>0</v>
      </c>
    </row>
    <row r="824" spans="1:16">
      <c r="A824" s="74" t="s">
        <v>869</v>
      </c>
      <c r="B824" s="74" t="s">
        <v>253</v>
      </c>
      <c r="C824" s="74" t="s">
        <v>1561</v>
      </c>
      <c r="D824" s="74" t="s">
        <v>87</v>
      </c>
      <c r="E824" s="74">
        <v>5</v>
      </c>
      <c r="F824" s="74">
        <v>12.65</v>
      </c>
      <c r="G824" s="758">
        <f t="shared" si="48"/>
        <v>0</v>
      </c>
      <c r="H824" s="759">
        <f t="shared" si="49"/>
        <v>0</v>
      </c>
      <c r="I824" s="758">
        <f t="shared" si="50"/>
        <v>2.5300000000000002</v>
      </c>
      <c r="J824" s="760">
        <f t="shared" si="51"/>
        <v>1</v>
      </c>
      <c r="K824" s="74"/>
      <c r="L824" s="74"/>
      <c r="M824" s="74" t="s">
        <v>1178</v>
      </c>
      <c r="N824" s="74">
        <v>0</v>
      </c>
      <c r="O824" s="74">
        <v>0</v>
      </c>
      <c r="P824" s="74">
        <v>0</v>
      </c>
    </row>
    <row r="825" spans="1:16">
      <c r="A825" s="74" t="s">
        <v>869</v>
      </c>
      <c r="B825" s="74" t="s">
        <v>253</v>
      </c>
      <c r="C825" s="74" t="s">
        <v>1608</v>
      </c>
      <c r="D825" s="74" t="s">
        <v>89</v>
      </c>
      <c r="E825" s="74">
        <v>3</v>
      </c>
      <c r="F825" s="74">
        <v>7.95</v>
      </c>
      <c r="G825" s="758">
        <f t="shared" si="48"/>
        <v>0</v>
      </c>
      <c r="H825" s="759">
        <f t="shared" si="49"/>
        <v>0</v>
      </c>
      <c r="I825" s="758">
        <f t="shared" si="50"/>
        <v>2.65</v>
      </c>
      <c r="J825" s="760">
        <f t="shared" si="51"/>
        <v>1</v>
      </c>
      <c r="K825" s="74"/>
      <c r="L825" s="74"/>
      <c r="M825" s="74" t="s">
        <v>2151</v>
      </c>
      <c r="N825" s="74">
        <v>1.88</v>
      </c>
      <c r="O825" s="74">
        <v>0.26</v>
      </c>
      <c r="P825" s="74">
        <v>0.80820000000000003</v>
      </c>
    </row>
    <row r="826" spans="1:16">
      <c r="A826" s="74" t="s">
        <v>869</v>
      </c>
      <c r="B826" s="74" t="s">
        <v>253</v>
      </c>
      <c r="C826" s="74" t="s">
        <v>1610</v>
      </c>
      <c r="D826" s="74" t="s">
        <v>89</v>
      </c>
      <c r="E826" s="74">
        <v>30</v>
      </c>
      <c r="F826" s="74">
        <v>75.75</v>
      </c>
      <c r="G826" s="758">
        <f t="shared" si="48"/>
        <v>0</v>
      </c>
      <c r="H826" s="759">
        <f t="shared" si="49"/>
        <v>0</v>
      </c>
      <c r="I826" s="758">
        <f t="shared" si="50"/>
        <v>2.5249999999999999</v>
      </c>
      <c r="J826" s="760">
        <f t="shared" si="51"/>
        <v>1</v>
      </c>
      <c r="K826" s="74"/>
      <c r="L826" s="74"/>
      <c r="M826" s="74" t="s">
        <v>2152</v>
      </c>
      <c r="N826" s="74">
        <v>2.31</v>
      </c>
      <c r="O826" s="74">
        <v>0</v>
      </c>
      <c r="P826" s="74">
        <v>0</v>
      </c>
    </row>
    <row r="827" spans="1:16">
      <c r="A827" s="74" t="s">
        <v>869</v>
      </c>
      <c r="B827" s="74" t="s">
        <v>253</v>
      </c>
      <c r="C827" s="74" t="s">
        <v>1546</v>
      </c>
      <c r="D827" s="74" t="s">
        <v>89</v>
      </c>
      <c r="E827" s="74">
        <v>4</v>
      </c>
      <c r="F827" s="74">
        <v>10.15</v>
      </c>
      <c r="G827" s="758">
        <f t="shared" si="48"/>
        <v>0</v>
      </c>
      <c r="H827" s="759">
        <f t="shared" si="49"/>
        <v>0</v>
      </c>
      <c r="I827" s="758">
        <f t="shared" si="50"/>
        <v>2.5375000000000001</v>
      </c>
      <c r="J827" s="760">
        <f t="shared" si="51"/>
        <v>1</v>
      </c>
      <c r="K827" s="74"/>
      <c r="L827" s="74"/>
      <c r="M827" s="74" t="s">
        <v>2153</v>
      </c>
      <c r="N827" s="74">
        <v>2.31</v>
      </c>
      <c r="O827" s="74">
        <v>0.26</v>
      </c>
      <c r="P827" s="74">
        <v>0.76300000000000001</v>
      </c>
    </row>
    <row r="828" spans="1:16">
      <c r="A828" s="74" t="s">
        <v>869</v>
      </c>
      <c r="B828" s="74" t="s">
        <v>253</v>
      </c>
      <c r="C828" s="74" t="s">
        <v>1547</v>
      </c>
      <c r="D828" s="74" t="s">
        <v>89</v>
      </c>
      <c r="E828" s="74">
        <v>15</v>
      </c>
      <c r="F828" s="74">
        <v>39</v>
      </c>
      <c r="G828" s="758">
        <f t="shared" si="48"/>
        <v>0</v>
      </c>
      <c r="H828" s="759">
        <f t="shared" si="49"/>
        <v>0</v>
      </c>
      <c r="I828" s="758">
        <f t="shared" si="50"/>
        <v>2.6</v>
      </c>
      <c r="J828" s="760">
        <f t="shared" si="51"/>
        <v>1</v>
      </c>
      <c r="K828" s="74"/>
      <c r="L828" s="74"/>
      <c r="M828" s="74" t="s">
        <v>1115</v>
      </c>
      <c r="N828" s="74">
        <v>0.79</v>
      </c>
      <c r="O828" s="74">
        <v>0.24</v>
      </c>
      <c r="P828" s="74">
        <v>0.79810000000000003</v>
      </c>
    </row>
    <row r="829" spans="1:16">
      <c r="A829" s="74" t="s">
        <v>869</v>
      </c>
      <c r="B829" s="74" t="s">
        <v>253</v>
      </c>
      <c r="C829" s="74" t="s">
        <v>1582</v>
      </c>
      <c r="D829" s="74" t="s">
        <v>89</v>
      </c>
      <c r="E829" s="74">
        <v>13</v>
      </c>
      <c r="F829" s="74">
        <v>32.950000000000003</v>
      </c>
      <c r="G829" s="758">
        <f t="shared" si="48"/>
        <v>0</v>
      </c>
      <c r="H829" s="759">
        <f t="shared" si="49"/>
        <v>0</v>
      </c>
      <c r="I829" s="758">
        <f t="shared" si="50"/>
        <v>2.5346153846153849</v>
      </c>
      <c r="J829" s="760">
        <f t="shared" si="51"/>
        <v>1</v>
      </c>
      <c r="K829" s="74"/>
      <c r="L829" s="74"/>
      <c r="M829" s="74" t="s">
        <v>2154</v>
      </c>
      <c r="N829" s="74">
        <v>0.9</v>
      </c>
      <c r="O829" s="74">
        <v>0.99</v>
      </c>
      <c r="P829" s="74">
        <v>-2.6</v>
      </c>
    </row>
    <row r="830" spans="1:16">
      <c r="A830" s="74" t="s">
        <v>869</v>
      </c>
      <c r="B830" s="74" t="s">
        <v>253</v>
      </c>
      <c r="C830" s="74" t="s">
        <v>1522</v>
      </c>
      <c r="D830" s="74" t="s">
        <v>91</v>
      </c>
      <c r="E830" s="74">
        <v>17</v>
      </c>
      <c r="F830" s="74">
        <v>43.55</v>
      </c>
      <c r="G830" s="758">
        <f t="shared" si="48"/>
        <v>0</v>
      </c>
      <c r="H830" s="759">
        <f t="shared" si="49"/>
        <v>0</v>
      </c>
      <c r="I830" s="758">
        <f t="shared" si="50"/>
        <v>2.5617647058823527</v>
      </c>
      <c r="J830" s="760">
        <f t="shared" si="51"/>
        <v>1</v>
      </c>
      <c r="K830" s="74"/>
      <c r="L830" s="74"/>
      <c r="M830" s="74" t="s">
        <v>2155</v>
      </c>
      <c r="N830" s="74">
        <v>0</v>
      </c>
      <c r="O830" s="74">
        <v>0</v>
      </c>
      <c r="P830" s="74">
        <v>0</v>
      </c>
    </row>
    <row r="831" spans="1:16">
      <c r="A831" s="74" t="s">
        <v>869</v>
      </c>
      <c r="B831" s="74" t="s">
        <v>253</v>
      </c>
      <c r="C831" s="74" t="s">
        <v>1550</v>
      </c>
      <c r="D831" s="74" t="s">
        <v>91</v>
      </c>
      <c r="E831" s="74">
        <v>7</v>
      </c>
      <c r="F831" s="74">
        <v>17.649999999999999</v>
      </c>
      <c r="G831" s="758">
        <f t="shared" si="48"/>
        <v>0</v>
      </c>
      <c r="H831" s="759">
        <f t="shared" si="49"/>
        <v>0</v>
      </c>
      <c r="I831" s="758">
        <f t="shared" si="50"/>
        <v>2.5214285714285714</v>
      </c>
      <c r="J831" s="760">
        <f t="shared" si="51"/>
        <v>1</v>
      </c>
      <c r="K831" s="74"/>
      <c r="L831" s="74"/>
      <c r="M831" s="74" t="s">
        <v>1194</v>
      </c>
      <c r="N831" s="74">
        <v>0.87</v>
      </c>
      <c r="O831" s="74">
        <v>0</v>
      </c>
      <c r="P831" s="74">
        <v>0</v>
      </c>
    </row>
    <row r="832" spans="1:16">
      <c r="A832" s="74" t="s">
        <v>869</v>
      </c>
      <c r="B832" s="74" t="s">
        <v>253</v>
      </c>
      <c r="C832" s="74" t="s">
        <v>1675</v>
      </c>
      <c r="D832" s="74" t="s">
        <v>91</v>
      </c>
      <c r="E832" s="74">
        <v>11</v>
      </c>
      <c r="F832" s="74">
        <v>27.8</v>
      </c>
      <c r="G832" s="758">
        <f t="shared" si="48"/>
        <v>0</v>
      </c>
      <c r="H832" s="759">
        <f t="shared" si="49"/>
        <v>0</v>
      </c>
      <c r="I832" s="758">
        <f t="shared" si="50"/>
        <v>2.5272727272727273</v>
      </c>
      <c r="J832" s="760">
        <f t="shared" si="51"/>
        <v>1</v>
      </c>
      <c r="K832" s="74"/>
      <c r="L832" s="74"/>
      <c r="M832" s="74" t="s">
        <v>1109</v>
      </c>
      <c r="N832" s="74">
        <v>0.22</v>
      </c>
      <c r="O832" s="74">
        <v>0</v>
      </c>
      <c r="P832" s="74">
        <v>0</v>
      </c>
    </row>
    <row r="833" spans="1:16">
      <c r="A833" s="74" t="s">
        <v>869</v>
      </c>
      <c r="B833" s="74" t="s">
        <v>253</v>
      </c>
      <c r="C833" s="74" t="s">
        <v>1524</v>
      </c>
      <c r="D833" s="74" t="s">
        <v>91</v>
      </c>
      <c r="E833" s="74">
        <v>9</v>
      </c>
      <c r="F833" s="74">
        <v>22.5</v>
      </c>
      <c r="G833" s="758">
        <f t="shared" si="48"/>
        <v>0</v>
      </c>
      <c r="H833" s="759">
        <f t="shared" si="49"/>
        <v>0</v>
      </c>
      <c r="I833" s="758">
        <f t="shared" si="50"/>
        <v>2.5</v>
      </c>
      <c r="J833" s="760">
        <f t="shared" si="51"/>
        <v>1</v>
      </c>
      <c r="K833" s="74"/>
      <c r="L833" s="74"/>
      <c r="M833" s="74" t="s">
        <v>2156</v>
      </c>
      <c r="N833" s="74">
        <v>0</v>
      </c>
      <c r="O833" s="74">
        <v>0</v>
      </c>
      <c r="P833" s="74">
        <v>0</v>
      </c>
    </row>
    <row r="834" spans="1:16">
      <c r="A834" s="74" t="s">
        <v>869</v>
      </c>
      <c r="B834" s="74" t="s">
        <v>253</v>
      </c>
      <c r="C834" s="74" t="s">
        <v>1584</v>
      </c>
      <c r="D834" s="74" t="s">
        <v>92</v>
      </c>
      <c r="E834" s="74">
        <v>15</v>
      </c>
      <c r="F834" s="74">
        <v>38.85</v>
      </c>
      <c r="G834" s="758">
        <f t="shared" ref="G834:G897" si="52">IFERROR(VLOOKUP(A834,$M$1:$P$1014,2,FALSE),0)</f>
        <v>0</v>
      </c>
      <c r="H834" s="759">
        <f t="shared" ref="H834:H897" si="53">IFERROR(VLOOKUP(A834,$M$1:$P$1014,3,FALSE),0)</f>
        <v>0</v>
      </c>
      <c r="I834" s="758">
        <f t="shared" ref="I834:I897" si="54">IFERROR(F834/E834-G834,0)</f>
        <v>2.5900000000000003</v>
      </c>
      <c r="J834" s="760">
        <f t="shared" ref="J834:J897" si="55">IFERROR(1-G834*E834/F834,0)</f>
        <v>1</v>
      </c>
      <c r="K834" s="74"/>
      <c r="L834" s="74"/>
      <c r="M834" s="74" t="s">
        <v>882</v>
      </c>
      <c r="N834" s="74">
        <v>0</v>
      </c>
      <c r="O834" s="74">
        <v>0</v>
      </c>
      <c r="P834" s="74">
        <v>1</v>
      </c>
    </row>
    <row r="835" spans="1:16">
      <c r="A835" s="74" t="s">
        <v>869</v>
      </c>
      <c r="B835" s="74" t="s">
        <v>253</v>
      </c>
      <c r="C835" s="74" t="s">
        <v>1614</v>
      </c>
      <c r="D835" s="74" t="s">
        <v>92</v>
      </c>
      <c r="E835" s="74">
        <v>9</v>
      </c>
      <c r="F835" s="74">
        <v>23.1</v>
      </c>
      <c r="G835" s="758">
        <f t="shared" si="52"/>
        <v>0</v>
      </c>
      <c r="H835" s="759">
        <f t="shared" si="53"/>
        <v>0</v>
      </c>
      <c r="I835" s="758">
        <f t="shared" si="54"/>
        <v>2.5666666666666669</v>
      </c>
      <c r="J835" s="760">
        <f t="shared" si="55"/>
        <v>1</v>
      </c>
      <c r="K835" s="74"/>
      <c r="L835" s="74"/>
      <c r="M835" s="74" t="s">
        <v>2157</v>
      </c>
      <c r="N835" s="74">
        <v>0</v>
      </c>
      <c r="O835" s="74">
        <v>0</v>
      </c>
      <c r="P835" s="74">
        <v>0</v>
      </c>
    </row>
    <row r="836" spans="1:16">
      <c r="A836" s="74" t="s">
        <v>869</v>
      </c>
      <c r="B836" s="74" t="s">
        <v>253</v>
      </c>
      <c r="C836" s="74" t="s">
        <v>1631</v>
      </c>
      <c r="D836" s="74" t="s">
        <v>92</v>
      </c>
      <c r="E836" s="74">
        <v>14</v>
      </c>
      <c r="F836" s="74">
        <v>35.9</v>
      </c>
      <c r="G836" s="758">
        <f t="shared" si="52"/>
        <v>0</v>
      </c>
      <c r="H836" s="759">
        <f t="shared" si="53"/>
        <v>0</v>
      </c>
      <c r="I836" s="758">
        <f t="shared" si="54"/>
        <v>2.5642857142857141</v>
      </c>
      <c r="J836" s="760">
        <f t="shared" si="55"/>
        <v>1</v>
      </c>
      <c r="K836" s="74"/>
      <c r="L836" s="74"/>
      <c r="M836" s="74" t="s">
        <v>1058</v>
      </c>
      <c r="N836" s="74">
        <v>0</v>
      </c>
      <c r="O836" s="74">
        <v>0</v>
      </c>
      <c r="P836" s="74">
        <v>0</v>
      </c>
    </row>
    <row r="837" spans="1:16">
      <c r="A837" s="74" t="s">
        <v>869</v>
      </c>
      <c r="B837" s="74" t="s">
        <v>253</v>
      </c>
      <c r="C837" s="74" t="s">
        <v>1552</v>
      </c>
      <c r="D837" s="74" t="s">
        <v>92</v>
      </c>
      <c r="E837" s="74">
        <v>10</v>
      </c>
      <c r="F837" s="74">
        <v>25</v>
      </c>
      <c r="G837" s="758">
        <f t="shared" si="52"/>
        <v>0</v>
      </c>
      <c r="H837" s="759">
        <f t="shared" si="53"/>
        <v>0</v>
      </c>
      <c r="I837" s="758">
        <f t="shared" si="54"/>
        <v>2.5</v>
      </c>
      <c r="J837" s="760">
        <f t="shared" si="55"/>
        <v>1</v>
      </c>
      <c r="K837" s="74"/>
      <c r="L837" s="74"/>
      <c r="M837" s="74" t="s">
        <v>936</v>
      </c>
      <c r="N837" s="74">
        <v>0</v>
      </c>
      <c r="O837" s="74">
        <v>0</v>
      </c>
      <c r="P837" s="74">
        <v>0</v>
      </c>
    </row>
    <row r="838" spans="1:16">
      <c r="A838" s="74" t="s">
        <v>869</v>
      </c>
      <c r="B838" s="74" t="s">
        <v>253</v>
      </c>
      <c r="C838" s="74" t="s">
        <v>1617</v>
      </c>
      <c r="D838" s="74" t="s">
        <v>94</v>
      </c>
      <c r="E838" s="74">
        <v>5</v>
      </c>
      <c r="F838" s="74">
        <v>12.5</v>
      </c>
      <c r="G838" s="758">
        <f t="shared" si="52"/>
        <v>0</v>
      </c>
      <c r="H838" s="759">
        <f t="shared" si="53"/>
        <v>0</v>
      </c>
      <c r="I838" s="758">
        <f t="shared" si="54"/>
        <v>2.5</v>
      </c>
      <c r="J838" s="760">
        <f t="shared" si="55"/>
        <v>1</v>
      </c>
      <c r="K838" s="74"/>
      <c r="L838" s="74"/>
      <c r="M838" s="74" t="s">
        <v>2158</v>
      </c>
      <c r="N838" s="74">
        <v>0</v>
      </c>
      <c r="O838" s="74">
        <v>0</v>
      </c>
      <c r="P838" s="74">
        <v>0</v>
      </c>
    </row>
    <row r="839" spans="1:16">
      <c r="A839" s="74" t="s">
        <v>869</v>
      </c>
      <c r="B839" s="74" t="s">
        <v>253</v>
      </c>
      <c r="C839" s="74" t="s">
        <v>1553</v>
      </c>
      <c r="D839" s="74" t="s">
        <v>94</v>
      </c>
      <c r="E839" s="74">
        <v>5</v>
      </c>
      <c r="F839" s="74">
        <v>12.5</v>
      </c>
      <c r="G839" s="758">
        <f t="shared" si="52"/>
        <v>0</v>
      </c>
      <c r="H839" s="759">
        <f t="shared" si="53"/>
        <v>0</v>
      </c>
      <c r="I839" s="758">
        <f t="shared" si="54"/>
        <v>2.5</v>
      </c>
      <c r="J839" s="760">
        <f t="shared" si="55"/>
        <v>1</v>
      </c>
      <c r="K839" s="74"/>
      <c r="L839" s="74"/>
      <c r="M839" s="74" t="s">
        <v>1132</v>
      </c>
      <c r="N839" s="74">
        <v>0</v>
      </c>
      <c r="O839" s="74">
        <v>0</v>
      </c>
      <c r="P839" s="74">
        <v>0</v>
      </c>
    </row>
    <row r="840" spans="1:16">
      <c r="A840" s="74" t="s">
        <v>869</v>
      </c>
      <c r="B840" s="74" t="s">
        <v>253</v>
      </c>
      <c r="C840" s="74" t="s">
        <v>1555</v>
      </c>
      <c r="D840" s="74" t="s">
        <v>94</v>
      </c>
      <c r="E840" s="74">
        <v>5</v>
      </c>
      <c r="F840" s="74">
        <v>12.5</v>
      </c>
      <c r="G840" s="758">
        <f t="shared" si="52"/>
        <v>0</v>
      </c>
      <c r="H840" s="759">
        <f t="shared" si="53"/>
        <v>0</v>
      </c>
      <c r="I840" s="758">
        <f t="shared" si="54"/>
        <v>2.5</v>
      </c>
      <c r="J840" s="760">
        <f t="shared" si="55"/>
        <v>1</v>
      </c>
      <c r="K840" s="74"/>
      <c r="L840" s="74"/>
      <c r="M840" s="74" t="s">
        <v>2159</v>
      </c>
      <c r="N840" s="74">
        <v>0</v>
      </c>
      <c r="O840" s="74">
        <v>0</v>
      </c>
      <c r="P840" s="74">
        <v>0</v>
      </c>
    </row>
    <row r="841" spans="1:16">
      <c r="A841" s="74" t="s">
        <v>869</v>
      </c>
      <c r="B841" s="74" t="s">
        <v>253</v>
      </c>
      <c r="C841" s="74" t="s">
        <v>1557</v>
      </c>
      <c r="D841" s="74" t="s">
        <v>95</v>
      </c>
      <c r="E841" s="74">
        <v>16</v>
      </c>
      <c r="F841" s="74">
        <v>41.05</v>
      </c>
      <c r="G841" s="758">
        <f t="shared" si="52"/>
        <v>0</v>
      </c>
      <c r="H841" s="759">
        <f t="shared" si="53"/>
        <v>0</v>
      </c>
      <c r="I841" s="758">
        <f t="shared" si="54"/>
        <v>2.5656249999999998</v>
      </c>
      <c r="J841" s="760">
        <f t="shared" si="55"/>
        <v>1</v>
      </c>
      <c r="K841" s="74"/>
      <c r="L841" s="74"/>
      <c r="M841" s="74" t="s">
        <v>2160</v>
      </c>
      <c r="N841" s="74">
        <v>0</v>
      </c>
      <c r="O841" s="74">
        <v>0</v>
      </c>
      <c r="P841" s="74">
        <v>1</v>
      </c>
    </row>
    <row r="842" spans="1:16">
      <c r="A842" s="74" t="s">
        <v>869</v>
      </c>
      <c r="B842" s="74" t="s">
        <v>253</v>
      </c>
      <c r="C842" s="74" t="s">
        <v>1526</v>
      </c>
      <c r="D842" s="74" t="s">
        <v>95</v>
      </c>
      <c r="E842" s="74">
        <v>12</v>
      </c>
      <c r="F842" s="74">
        <v>30.9</v>
      </c>
      <c r="G842" s="758">
        <f t="shared" si="52"/>
        <v>0</v>
      </c>
      <c r="H842" s="759">
        <f t="shared" si="53"/>
        <v>0</v>
      </c>
      <c r="I842" s="758">
        <f t="shared" si="54"/>
        <v>2.5749999999999997</v>
      </c>
      <c r="J842" s="760">
        <f t="shared" si="55"/>
        <v>1</v>
      </c>
      <c r="K842" s="74"/>
      <c r="L842" s="74"/>
      <c r="M842" s="74" t="s">
        <v>1188</v>
      </c>
      <c r="N842" s="74">
        <v>2.68</v>
      </c>
      <c r="O842" s="74">
        <v>0.28000000000000003</v>
      </c>
      <c r="P842" s="74">
        <v>0.76759999999999995</v>
      </c>
    </row>
    <row r="843" spans="1:16">
      <c r="A843" s="74" t="s">
        <v>869</v>
      </c>
      <c r="B843" s="74" t="s">
        <v>253</v>
      </c>
      <c r="C843" s="74" t="s">
        <v>1930</v>
      </c>
      <c r="D843" s="74" t="s">
        <v>95</v>
      </c>
      <c r="E843" s="74">
        <v>5</v>
      </c>
      <c r="F843" s="74">
        <v>12.95</v>
      </c>
      <c r="G843" s="758">
        <f t="shared" si="52"/>
        <v>0</v>
      </c>
      <c r="H843" s="759">
        <f t="shared" si="53"/>
        <v>0</v>
      </c>
      <c r="I843" s="758">
        <f t="shared" si="54"/>
        <v>2.59</v>
      </c>
      <c r="J843" s="760">
        <f t="shared" si="55"/>
        <v>1</v>
      </c>
      <c r="K843" s="74"/>
      <c r="L843" s="74"/>
      <c r="M843" s="74" t="s">
        <v>2161</v>
      </c>
      <c r="N843" s="74">
        <v>2</v>
      </c>
      <c r="O843" s="74">
        <v>0</v>
      </c>
      <c r="P843" s="74">
        <v>0</v>
      </c>
    </row>
    <row r="844" spans="1:16">
      <c r="A844" s="74" t="s">
        <v>1579</v>
      </c>
      <c r="B844" s="74" t="s">
        <v>253</v>
      </c>
      <c r="C844" s="74" t="s">
        <v>1617</v>
      </c>
      <c r="D844" s="74" t="s">
        <v>94</v>
      </c>
      <c r="E844" s="74">
        <v>1</v>
      </c>
      <c r="F844" s="74">
        <v>2.5</v>
      </c>
      <c r="G844" s="758">
        <f t="shared" si="52"/>
        <v>0</v>
      </c>
      <c r="H844" s="759">
        <f t="shared" si="53"/>
        <v>0</v>
      </c>
      <c r="I844" s="758">
        <f t="shared" si="54"/>
        <v>2.5</v>
      </c>
      <c r="J844" s="760">
        <f t="shared" si="55"/>
        <v>1</v>
      </c>
      <c r="K844" s="74"/>
      <c r="L844" s="74"/>
      <c r="M844" s="74" t="s">
        <v>2162</v>
      </c>
      <c r="N844" s="74">
        <v>0</v>
      </c>
      <c r="O844" s="74">
        <v>0</v>
      </c>
      <c r="P844" s="74">
        <v>1</v>
      </c>
    </row>
    <row r="845" spans="1:16">
      <c r="A845" s="74" t="s">
        <v>1580</v>
      </c>
      <c r="B845" s="74" t="s">
        <v>253</v>
      </c>
      <c r="C845" s="74" t="s">
        <v>1675</v>
      </c>
      <c r="D845" s="74" t="s">
        <v>91</v>
      </c>
      <c r="E845" s="74">
        <v>3</v>
      </c>
      <c r="F845" s="74">
        <v>7.5</v>
      </c>
      <c r="G845" s="758">
        <f t="shared" si="52"/>
        <v>0</v>
      </c>
      <c r="H845" s="759">
        <f t="shared" si="53"/>
        <v>0</v>
      </c>
      <c r="I845" s="758">
        <f t="shared" si="54"/>
        <v>2.5</v>
      </c>
      <c r="J845" s="760">
        <f t="shared" si="55"/>
        <v>1</v>
      </c>
      <c r="K845" s="74"/>
      <c r="L845" s="74"/>
      <c r="M845" s="74" t="s">
        <v>2163</v>
      </c>
      <c r="N845" s="74">
        <v>0</v>
      </c>
      <c r="O845" s="74">
        <v>0</v>
      </c>
      <c r="P845" s="74">
        <v>1</v>
      </c>
    </row>
    <row r="846" spans="1:16">
      <c r="A846" s="74" t="s">
        <v>1581</v>
      </c>
      <c r="B846" s="74" t="s">
        <v>253</v>
      </c>
      <c r="C846" s="74" t="s">
        <v>1582</v>
      </c>
      <c r="D846" s="74" t="s">
        <v>89</v>
      </c>
      <c r="E846" s="74">
        <v>1</v>
      </c>
      <c r="F846" s="74">
        <v>4.1500000000000004</v>
      </c>
      <c r="G846" s="758">
        <f t="shared" si="52"/>
        <v>0</v>
      </c>
      <c r="H846" s="759">
        <f t="shared" si="53"/>
        <v>0</v>
      </c>
      <c r="I846" s="758">
        <f t="shared" si="54"/>
        <v>4.1500000000000004</v>
      </c>
      <c r="J846" s="760">
        <f t="shared" si="55"/>
        <v>1</v>
      </c>
      <c r="K846" s="74"/>
      <c r="L846" s="74"/>
      <c r="M846" s="74" t="s">
        <v>2164</v>
      </c>
      <c r="N846" s="74">
        <v>0</v>
      </c>
      <c r="O846" s="74">
        <v>0.11</v>
      </c>
      <c r="P846" s="74">
        <v>0</v>
      </c>
    </row>
    <row r="847" spans="1:16">
      <c r="A847" s="74" t="s">
        <v>1581</v>
      </c>
      <c r="B847" s="74" t="s">
        <v>253</v>
      </c>
      <c r="C847" s="74" t="s">
        <v>1584</v>
      </c>
      <c r="D847" s="74" t="s">
        <v>92</v>
      </c>
      <c r="E847" s="74">
        <v>1</v>
      </c>
      <c r="F847" s="74">
        <v>4.1500000000000004</v>
      </c>
      <c r="G847" s="758">
        <f t="shared" si="52"/>
        <v>0</v>
      </c>
      <c r="H847" s="759">
        <f t="shared" si="53"/>
        <v>0</v>
      </c>
      <c r="I847" s="758">
        <f t="shared" si="54"/>
        <v>4.1500000000000004</v>
      </c>
      <c r="J847" s="760">
        <f t="shared" si="55"/>
        <v>1</v>
      </c>
      <c r="K847" s="74"/>
      <c r="L847" s="74"/>
      <c r="M847" s="74" t="s">
        <v>2165</v>
      </c>
      <c r="N847" s="74">
        <v>0</v>
      </c>
      <c r="O847" s="74">
        <v>0.24</v>
      </c>
      <c r="P847" s="74">
        <v>1</v>
      </c>
    </row>
    <row r="848" spans="1:16">
      <c r="A848" s="74" t="s">
        <v>1583</v>
      </c>
      <c r="B848" s="74" t="s">
        <v>253</v>
      </c>
      <c r="C848" s="74" t="s">
        <v>1565</v>
      </c>
      <c r="D848" s="74" t="s">
        <v>78</v>
      </c>
      <c r="E848" s="74">
        <v>1</v>
      </c>
      <c r="F848" s="74">
        <v>4.25</v>
      </c>
      <c r="G848" s="758">
        <f t="shared" si="52"/>
        <v>0.4</v>
      </c>
      <c r="H848" s="759">
        <f t="shared" si="53"/>
        <v>0.18</v>
      </c>
      <c r="I848" s="758">
        <f t="shared" si="54"/>
        <v>3.85</v>
      </c>
      <c r="J848" s="760">
        <f t="shared" si="55"/>
        <v>0.90588235294117647</v>
      </c>
      <c r="K848" s="74"/>
      <c r="L848" s="74"/>
      <c r="M848" s="74" t="s">
        <v>2166</v>
      </c>
      <c r="N848" s="74">
        <v>0</v>
      </c>
      <c r="O848" s="74">
        <v>0.24</v>
      </c>
      <c r="P848" s="74">
        <v>0</v>
      </c>
    </row>
    <row r="849" spans="1:16">
      <c r="A849" s="74" t="s">
        <v>1583</v>
      </c>
      <c r="B849" s="74" t="s">
        <v>253</v>
      </c>
      <c r="C849" s="74" t="s">
        <v>1532</v>
      </c>
      <c r="D849" s="74" t="s">
        <v>80</v>
      </c>
      <c r="E849" s="74">
        <v>1</v>
      </c>
      <c r="F849" s="74">
        <v>4.25</v>
      </c>
      <c r="G849" s="758">
        <f t="shared" si="52"/>
        <v>0.4</v>
      </c>
      <c r="H849" s="759">
        <f t="shared" si="53"/>
        <v>0.18</v>
      </c>
      <c r="I849" s="758">
        <f t="shared" si="54"/>
        <v>3.85</v>
      </c>
      <c r="J849" s="760">
        <f t="shared" si="55"/>
        <v>0.90588235294117647</v>
      </c>
      <c r="K849" s="74"/>
      <c r="L849" s="74"/>
      <c r="M849" s="74" t="s">
        <v>2167</v>
      </c>
      <c r="N849" s="74">
        <v>0.32</v>
      </c>
      <c r="O849" s="74">
        <v>0.22</v>
      </c>
      <c r="P849" s="74">
        <v>0.76939999999999997</v>
      </c>
    </row>
    <row r="850" spans="1:16">
      <c r="A850" s="74" t="s">
        <v>1583</v>
      </c>
      <c r="B850" s="74" t="s">
        <v>253</v>
      </c>
      <c r="C850" s="74" t="s">
        <v>1511</v>
      </c>
      <c r="D850" s="74" t="s">
        <v>80</v>
      </c>
      <c r="E850" s="74">
        <v>1</v>
      </c>
      <c r="F850" s="74">
        <v>4.4000000000000004</v>
      </c>
      <c r="G850" s="758">
        <f t="shared" si="52"/>
        <v>0.4</v>
      </c>
      <c r="H850" s="759">
        <f t="shared" si="53"/>
        <v>0.18</v>
      </c>
      <c r="I850" s="758">
        <f t="shared" si="54"/>
        <v>4</v>
      </c>
      <c r="J850" s="760">
        <f t="shared" si="55"/>
        <v>0.90909090909090906</v>
      </c>
      <c r="K850" s="74"/>
      <c r="L850" s="74"/>
      <c r="M850" s="74" t="s">
        <v>2168</v>
      </c>
      <c r="N850" s="74">
        <v>0</v>
      </c>
      <c r="O850" s="74">
        <v>0.18</v>
      </c>
      <c r="P850" s="74">
        <v>1</v>
      </c>
    </row>
    <row r="851" spans="1:16">
      <c r="A851" s="74" t="s">
        <v>1583</v>
      </c>
      <c r="B851" s="74" t="s">
        <v>253</v>
      </c>
      <c r="C851" s="74" t="s">
        <v>1514</v>
      </c>
      <c r="D851" s="74" t="s">
        <v>81</v>
      </c>
      <c r="E851" s="74">
        <v>1</v>
      </c>
      <c r="F851" s="74">
        <v>4.25</v>
      </c>
      <c r="G851" s="758">
        <f t="shared" si="52"/>
        <v>0.4</v>
      </c>
      <c r="H851" s="759">
        <f t="shared" si="53"/>
        <v>0.18</v>
      </c>
      <c r="I851" s="758">
        <f t="shared" si="54"/>
        <v>3.85</v>
      </c>
      <c r="J851" s="760">
        <f t="shared" si="55"/>
        <v>0.90588235294117647</v>
      </c>
      <c r="K851" s="74"/>
      <c r="L851" s="74"/>
      <c r="M851" s="74" t="s">
        <v>2169</v>
      </c>
      <c r="N851" s="74">
        <v>0</v>
      </c>
      <c r="O851" s="74">
        <v>0</v>
      </c>
      <c r="P851" s="74">
        <v>1</v>
      </c>
    </row>
    <row r="852" spans="1:16">
      <c r="A852" s="74" t="s">
        <v>804</v>
      </c>
      <c r="B852" s="74" t="s">
        <v>253</v>
      </c>
      <c r="C852" s="74" t="s">
        <v>1511</v>
      </c>
      <c r="D852" s="74" t="s">
        <v>80</v>
      </c>
      <c r="E852" s="74">
        <v>1</v>
      </c>
      <c r="F852" s="74">
        <v>2.68</v>
      </c>
      <c r="G852" s="758">
        <f t="shared" si="52"/>
        <v>0</v>
      </c>
      <c r="H852" s="759">
        <f t="shared" si="53"/>
        <v>0</v>
      </c>
      <c r="I852" s="758">
        <f t="shared" si="54"/>
        <v>2.68</v>
      </c>
      <c r="J852" s="760">
        <f t="shared" si="55"/>
        <v>1</v>
      </c>
      <c r="K852" s="74"/>
      <c r="L852" s="74"/>
      <c r="M852" s="74" t="s">
        <v>2170</v>
      </c>
      <c r="N852" s="74">
        <v>0.79</v>
      </c>
      <c r="O852" s="74">
        <v>0.27</v>
      </c>
      <c r="P852" s="74">
        <v>0.76090000000000002</v>
      </c>
    </row>
    <row r="853" spans="1:16">
      <c r="A853" s="74" t="s">
        <v>804</v>
      </c>
      <c r="B853" s="74" t="s">
        <v>253</v>
      </c>
      <c r="C853" s="74" t="s">
        <v>1512</v>
      </c>
      <c r="D853" s="74" t="s">
        <v>80</v>
      </c>
      <c r="E853" s="74">
        <v>1</v>
      </c>
      <c r="F853" s="74">
        <v>2.68</v>
      </c>
      <c r="G853" s="758">
        <f t="shared" si="52"/>
        <v>0</v>
      </c>
      <c r="H853" s="759">
        <f t="shared" si="53"/>
        <v>0</v>
      </c>
      <c r="I853" s="758">
        <f t="shared" si="54"/>
        <v>2.68</v>
      </c>
      <c r="J853" s="760">
        <f t="shared" si="55"/>
        <v>1</v>
      </c>
      <c r="K853" s="74"/>
      <c r="L853" s="74"/>
      <c r="M853" s="74" t="s">
        <v>1256</v>
      </c>
      <c r="N853" s="74">
        <v>1.06</v>
      </c>
      <c r="O853" s="74">
        <v>0.32</v>
      </c>
      <c r="P853" s="74">
        <v>0.84699999999999998</v>
      </c>
    </row>
    <row r="854" spans="1:16">
      <c r="A854" s="74" t="s">
        <v>804</v>
      </c>
      <c r="B854" s="74" t="s">
        <v>253</v>
      </c>
      <c r="C854" s="74" t="s">
        <v>1513</v>
      </c>
      <c r="D854" s="74" t="s">
        <v>81</v>
      </c>
      <c r="E854" s="74">
        <v>12</v>
      </c>
      <c r="F854" s="74">
        <v>32.450000000000003</v>
      </c>
      <c r="G854" s="758">
        <f t="shared" si="52"/>
        <v>0</v>
      </c>
      <c r="H854" s="759">
        <f t="shared" si="53"/>
        <v>0</v>
      </c>
      <c r="I854" s="758">
        <f t="shared" si="54"/>
        <v>2.7041666666666671</v>
      </c>
      <c r="J854" s="760">
        <f t="shared" si="55"/>
        <v>1</v>
      </c>
      <c r="K854" s="74"/>
      <c r="L854" s="74"/>
      <c r="M854" s="74" t="s">
        <v>998</v>
      </c>
      <c r="N854" s="74">
        <v>0</v>
      </c>
      <c r="O854" s="74">
        <v>0</v>
      </c>
      <c r="P854" s="74">
        <v>1</v>
      </c>
    </row>
    <row r="855" spans="1:16">
      <c r="A855" s="74" t="s">
        <v>804</v>
      </c>
      <c r="B855" s="74" t="s">
        <v>253</v>
      </c>
      <c r="C855" s="74" t="s">
        <v>1514</v>
      </c>
      <c r="D855" s="74" t="s">
        <v>81</v>
      </c>
      <c r="E855" s="74">
        <v>3</v>
      </c>
      <c r="F855" s="74">
        <v>8.4499999999999993</v>
      </c>
      <c r="G855" s="758">
        <f t="shared" si="52"/>
        <v>0</v>
      </c>
      <c r="H855" s="759">
        <f t="shared" si="53"/>
        <v>0</v>
      </c>
      <c r="I855" s="758">
        <f t="shared" si="54"/>
        <v>2.8166666666666664</v>
      </c>
      <c r="J855" s="760">
        <f t="shared" si="55"/>
        <v>1</v>
      </c>
      <c r="K855" s="74"/>
      <c r="L855" s="74"/>
      <c r="M855" s="74" t="s">
        <v>969</v>
      </c>
      <c r="N855" s="74">
        <v>0.04</v>
      </c>
      <c r="O855" s="74">
        <v>0.33</v>
      </c>
      <c r="P855" s="74">
        <v>0.98950000000000005</v>
      </c>
    </row>
    <row r="856" spans="1:16">
      <c r="A856" s="74" t="s">
        <v>804</v>
      </c>
      <c r="B856" s="74" t="s">
        <v>253</v>
      </c>
      <c r="C856" s="74" t="s">
        <v>1515</v>
      </c>
      <c r="D856" s="74" t="s">
        <v>81</v>
      </c>
      <c r="E856" s="74">
        <v>8</v>
      </c>
      <c r="F856" s="74">
        <v>21.59</v>
      </c>
      <c r="G856" s="758">
        <f t="shared" si="52"/>
        <v>0</v>
      </c>
      <c r="H856" s="759">
        <f t="shared" si="53"/>
        <v>0</v>
      </c>
      <c r="I856" s="758">
        <f t="shared" si="54"/>
        <v>2.69875</v>
      </c>
      <c r="J856" s="760">
        <f t="shared" si="55"/>
        <v>1</v>
      </c>
      <c r="K856" s="74"/>
      <c r="L856" s="74"/>
      <c r="M856" s="74" t="s">
        <v>2171</v>
      </c>
      <c r="N856" s="74">
        <v>0</v>
      </c>
      <c r="O856" s="74">
        <v>0</v>
      </c>
      <c r="P856" s="74">
        <v>1</v>
      </c>
    </row>
    <row r="857" spans="1:16">
      <c r="A857" s="74" t="s">
        <v>1136</v>
      </c>
      <c r="B857" s="74" t="s">
        <v>264</v>
      </c>
      <c r="C857" s="74" t="s">
        <v>1543</v>
      </c>
      <c r="D857" s="74" t="s">
        <v>87</v>
      </c>
      <c r="E857" s="74">
        <v>1</v>
      </c>
      <c r="F857" s="74">
        <v>1</v>
      </c>
      <c r="G857" s="758">
        <f t="shared" si="52"/>
        <v>0</v>
      </c>
      <c r="H857" s="759">
        <f t="shared" si="53"/>
        <v>0</v>
      </c>
      <c r="I857" s="758">
        <f t="shared" si="54"/>
        <v>1</v>
      </c>
      <c r="J857" s="760">
        <f t="shared" si="55"/>
        <v>1</v>
      </c>
      <c r="K857" s="74"/>
      <c r="L857" s="74"/>
      <c r="M857" s="74" t="s">
        <v>2172</v>
      </c>
      <c r="N857" s="74">
        <v>1.06</v>
      </c>
      <c r="O857" s="74">
        <v>0</v>
      </c>
      <c r="P857" s="74">
        <v>0</v>
      </c>
    </row>
    <row r="858" spans="1:16">
      <c r="A858" s="74" t="s">
        <v>1585</v>
      </c>
      <c r="B858" s="74" t="s">
        <v>873</v>
      </c>
      <c r="C858" s="74" t="s">
        <v>1578</v>
      </c>
      <c r="D858" s="74" t="s">
        <v>86</v>
      </c>
      <c r="E858" s="74">
        <v>1</v>
      </c>
      <c r="F858" s="74">
        <v>0</v>
      </c>
      <c r="G858" s="758">
        <f t="shared" si="52"/>
        <v>0</v>
      </c>
      <c r="H858" s="759">
        <f t="shared" si="53"/>
        <v>0</v>
      </c>
      <c r="I858" s="758">
        <f t="shared" si="54"/>
        <v>0</v>
      </c>
      <c r="J858" s="760">
        <f t="shared" si="55"/>
        <v>0</v>
      </c>
      <c r="K858" s="74"/>
      <c r="L858" s="74"/>
      <c r="M858" s="74" t="s">
        <v>2173</v>
      </c>
      <c r="N858" s="74">
        <v>0</v>
      </c>
      <c r="O858" s="74">
        <v>0</v>
      </c>
      <c r="P858" s="74">
        <v>1</v>
      </c>
    </row>
    <row r="859" spans="1:16">
      <c r="A859" s="74" t="s">
        <v>696</v>
      </c>
      <c r="B859" s="74" t="s">
        <v>323</v>
      </c>
      <c r="C859" s="74" t="s">
        <v>1528</v>
      </c>
      <c r="D859" s="74" t="s">
        <v>78</v>
      </c>
      <c r="E859" s="74">
        <v>13</v>
      </c>
      <c r="F859" s="74">
        <v>150.62</v>
      </c>
      <c r="G859" s="758">
        <f t="shared" si="52"/>
        <v>2.75</v>
      </c>
      <c r="H859" s="759">
        <f t="shared" si="53"/>
        <v>0.28000000000000003</v>
      </c>
      <c r="I859" s="758">
        <f t="shared" si="54"/>
        <v>8.8361538461538469</v>
      </c>
      <c r="J859" s="760">
        <f t="shared" si="55"/>
        <v>0.76264772274598325</v>
      </c>
      <c r="K859" s="74"/>
      <c r="L859" s="74"/>
      <c r="M859" s="74" t="s">
        <v>2174</v>
      </c>
      <c r="N859" s="74">
        <v>0</v>
      </c>
      <c r="O859" s="74">
        <v>0</v>
      </c>
      <c r="P859" s="74">
        <v>1</v>
      </c>
    </row>
    <row r="860" spans="1:16">
      <c r="A860" s="74" t="s">
        <v>696</v>
      </c>
      <c r="B860" s="74" t="s">
        <v>323</v>
      </c>
      <c r="C860" s="74" t="s">
        <v>1508</v>
      </c>
      <c r="D860" s="74" t="s">
        <v>78</v>
      </c>
      <c r="E860" s="74">
        <v>8</v>
      </c>
      <c r="F860" s="74">
        <v>88.71</v>
      </c>
      <c r="G860" s="758">
        <f t="shared" si="52"/>
        <v>2.75</v>
      </c>
      <c r="H860" s="759">
        <f t="shared" si="53"/>
        <v>0.28000000000000003</v>
      </c>
      <c r="I860" s="758">
        <f t="shared" si="54"/>
        <v>8.3387499999999992</v>
      </c>
      <c r="J860" s="760">
        <f t="shared" si="55"/>
        <v>0.75200090181490253</v>
      </c>
      <c r="K860" s="74"/>
      <c r="L860" s="74"/>
      <c r="M860" s="74" t="s">
        <v>2175</v>
      </c>
      <c r="N860" s="74">
        <v>0</v>
      </c>
      <c r="O860" s="74">
        <v>0</v>
      </c>
      <c r="P860" s="74">
        <v>1</v>
      </c>
    </row>
    <row r="861" spans="1:16">
      <c r="A861" s="74" t="s">
        <v>696</v>
      </c>
      <c r="B861" s="74" t="s">
        <v>323</v>
      </c>
      <c r="C861" s="74" t="s">
        <v>1509</v>
      </c>
      <c r="D861" s="74" t="s">
        <v>78</v>
      </c>
      <c r="E861" s="74">
        <v>6</v>
      </c>
      <c r="F861" s="74">
        <v>71.400000000000006</v>
      </c>
      <c r="G861" s="758">
        <f t="shared" si="52"/>
        <v>2.75</v>
      </c>
      <c r="H861" s="759">
        <f t="shared" si="53"/>
        <v>0.28000000000000003</v>
      </c>
      <c r="I861" s="758">
        <f t="shared" si="54"/>
        <v>9.15</v>
      </c>
      <c r="J861" s="760">
        <f t="shared" si="55"/>
        <v>0.76890756302521013</v>
      </c>
      <c r="K861" s="74"/>
      <c r="L861" s="74"/>
      <c r="M861" s="74" t="s">
        <v>2176</v>
      </c>
      <c r="N861" s="74">
        <v>0</v>
      </c>
      <c r="O861" s="74">
        <v>0</v>
      </c>
      <c r="P861" s="74">
        <v>0</v>
      </c>
    </row>
    <row r="862" spans="1:16">
      <c r="A862" s="74" t="s">
        <v>696</v>
      </c>
      <c r="B862" s="74" t="s">
        <v>323</v>
      </c>
      <c r="C862" s="74" t="s">
        <v>1565</v>
      </c>
      <c r="D862" s="74" t="s">
        <v>78</v>
      </c>
      <c r="E862" s="74">
        <v>11</v>
      </c>
      <c r="F862" s="74">
        <v>126.82</v>
      </c>
      <c r="G862" s="758">
        <f t="shared" si="52"/>
        <v>2.75</v>
      </c>
      <c r="H862" s="759">
        <f t="shared" si="53"/>
        <v>0.28000000000000003</v>
      </c>
      <c r="I862" s="758">
        <f t="shared" si="54"/>
        <v>8.7790909090909093</v>
      </c>
      <c r="J862" s="760">
        <f t="shared" si="55"/>
        <v>0.76147295379277713</v>
      </c>
      <c r="K862" s="74"/>
      <c r="L862" s="74"/>
      <c r="M862" s="74" t="s">
        <v>2177</v>
      </c>
      <c r="N862" s="74">
        <v>0</v>
      </c>
      <c r="O862" s="74">
        <v>0</v>
      </c>
      <c r="P862" s="74">
        <v>1</v>
      </c>
    </row>
    <row r="863" spans="1:16">
      <c r="A863" s="74" t="s">
        <v>696</v>
      </c>
      <c r="B863" s="74" t="s">
        <v>323</v>
      </c>
      <c r="C863" s="74" t="s">
        <v>1530</v>
      </c>
      <c r="D863" s="74" t="s">
        <v>80</v>
      </c>
      <c r="E863" s="74">
        <v>5</v>
      </c>
      <c r="F863" s="74">
        <v>54.55</v>
      </c>
      <c r="G863" s="758">
        <f t="shared" si="52"/>
        <v>2.75</v>
      </c>
      <c r="H863" s="759">
        <f t="shared" si="53"/>
        <v>0.28000000000000003</v>
      </c>
      <c r="I863" s="758">
        <f t="shared" si="54"/>
        <v>8.16</v>
      </c>
      <c r="J863" s="760">
        <f t="shared" si="55"/>
        <v>0.74793767186067828</v>
      </c>
      <c r="K863" s="74"/>
      <c r="L863" s="74"/>
      <c r="M863" s="74" t="s">
        <v>2178</v>
      </c>
      <c r="N863" s="74">
        <v>4.63</v>
      </c>
      <c r="O863" s="74">
        <v>0.19</v>
      </c>
      <c r="P863" s="74">
        <v>0.82530000000000003</v>
      </c>
    </row>
    <row r="864" spans="1:16">
      <c r="A864" s="74" t="s">
        <v>696</v>
      </c>
      <c r="B864" s="74" t="s">
        <v>323</v>
      </c>
      <c r="C864" s="74" t="s">
        <v>1532</v>
      </c>
      <c r="D864" s="74" t="s">
        <v>80</v>
      </c>
      <c r="E864" s="74">
        <v>9</v>
      </c>
      <c r="F864" s="74">
        <v>102.15</v>
      </c>
      <c r="G864" s="758">
        <f t="shared" si="52"/>
        <v>2.75</v>
      </c>
      <c r="H864" s="759">
        <f t="shared" si="53"/>
        <v>0.28000000000000003</v>
      </c>
      <c r="I864" s="758">
        <f t="shared" si="54"/>
        <v>8.6000000000000014</v>
      </c>
      <c r="J864" s="760">
        <f t="shared" si="55"/>
        <v>0.75770925110132159</v>
      </c>
      <c r="K864" s="74"/>
      <c r="L864" s="74"/>
      <c r="M864" s="74" t="s">
        <v>2179</v>
      </c>
      <c r="N864" s="74">
        <v>0.93</v>
      </c>
      <c r="O864" s="74">
        <v>0.2</v>
      </c>
      <c r="P864" s="74">
        <v>0.83850000000000002</v>
      </c>
    </row>
    <row r="865" spans="1:16">
      <c r="A865" s="74" t="s">
        <v>696</v>
      </c>
      <c r="B865" s="74" t="s">
        <v>323</v>
      </c>
      <c r="C865" s="74" t="s">
        <v>1511</v>
      </c>
      <c r="D865" s="74" t="s">
        <v>80</v>
      </c>
      <c r="E865" s="74">
        <v>7</v>
      </c>
      <c r="F865" s="74">
        <v>81.319999999999993</v>
      </c>
      <c r="G865" s="758">
        <f t="shared" si="52"/>
        <v>2.75</v>
      </c>
      <c r="H865" s="759">
        <f t="shared" si="53"/>
        <v>0.28000000000000003</v>
      </c>
      <c r="I865" s="758">
        <f t="shared" si="54"/>
        <v>8.8671428571428557</v>
      </c>
      <c r="J865" s="760">
        <f t="shared" si="55"/>
        <v>0.76328086571569109</v>
      </c>
      <c r="K865" s="74"/>
      <c r="L865" s="74"/>
      <c r="M865" s="74" t="s">
        <v>2180</v>
      </c>
      <c r="N865" s="74">
        <v>13.89</v>
      </c>
      <c r="O865" s="74">
        <v>0.2</v>
      </c>
      <c r="P865" s="74">
        <v>0.36320000000000002</v>
      </c>
    </row>
    <row r="866" spans="1:16">
      <c r="A866" s="74" t="s">
        <v>696</v>
      </c>
      <c r="B866" s="74" t="s">
        <v>323</v>
      </c>
      <c r="C866" s="74" t="s">
        <v>1512</v>
      </c>
      <c r="D866" s="74" t="s">
        <v>80</v>
      </c>
      <c r="E866" s="74">
        <v>11</v>
      </c>
      <c r="F866" s="74">
        <v>127.19</v>
      </c>
      <c r="G866" s="758">
        <f t="shared" si="52"/>
        <v>2.75</v>
      </c>
      <c r="H866" s="759">
        <f t="shared" si="53"/>
        <v>0.28000000000000003</v>
      </c>
      <c r="I866" s="758">
        <f t="shared" si="54"/>
        <v>8.8127272727272725</v>
      </c>
      <c r="J866" s="760">
        <f t="shared" si="55"/>
        <v>0.7621668370154886</v>
      </c>
      <c r="K866" s="74"/>
      <c r="L866" s="74"/>
      <c r="M866" s="74" t="s">
        <v>2181</v>
      </c>
      <c r="N866" s="74">
        <v>0</v>
      </c>
      <c r="O866" s="74">
        <v>0.24</v>
      </c>
      <c r="P866" s="74">
        <v>1</v>
      </c>
    </row>
    <row r="867" spans="1:16">
      <c r="A867" s="74" t="s">
        <v>696</v>
      </c>
      <c r="B867" s="74" t="s">
        <v>323</v>
      </c>
      <c r="C867" s="74" t="s">
        <v>1534</v>
      </c>
      <c r="D867" s="74" t="s">
        <v>81</v>
      </c>
      <c r="E867" s="74">
        <v>6</v>
      </c>
      <c r="F867" s="74">
        <v>71.400000000000006</v>
      </c>
      <c r="G867" s="758">
        <f t="shared" si="52"/>
        <v>2.75</v>
      </c>
      <c r="H867" s="759">
        <f t="shared" si="53"/>
        <v>0.28000000000000003</v>
      </c>
      <c r="I867" s="758">
        <f t="shared" si="54"/>
        <v>9.15</v>
      </c>
      <c r="J867" s="760">
        <f t="shared" si="55"/>
        <v>0.76890756302521013</v>
      </c>
      <c r="K867" s="74"/>
      <c r="L867" s="74"/>
      <c r="M867" s="74" t="s">
        <v>963</v>
      </c>
      <c r="N867" s="74">
        <v>0</v>
      </c>
      <c r="O867" s="74">
        <v>0</v>
      </c>
      <c r="P867" s="74">
        <v>1</v>
      </c>
    </row>
    <row r="868" spans="1:16">
      <c r="A868" s="74" t="s">
        <v>696</v>
      </c>
      <c r="B868" s="74" t="s">
        <v>323</v>
      </c>
      <c r="C868" s="74" t="s">
        <v>1513</v>
      </c>
      <c r="D868" s="74" t="s">
        <v>81</v>
      </c>
      <c r="E868" s="74">
        <v>13</v>
      </c>
      <c r="F868" s="74">
        <v>150.26</v>
      </c>
      <c r="G868" s="758">
        <f t="shared" si="52"/>
        <v>2.75</v>
      </c>
      <c r="H868" s="759">
        <f t="shared" si="53"/>
        <v>0.28000000000000003</v>
      </c>
      <c r="I868" s="758">
        <f t="shared" si="54"/>
        <v>8.8084615384615379</v>
      </c>
      <c r="J868" s="760">
        <f t="shared" si="55"/>
        <v>0.76207906295754024</v>
      </c>
      <c r="K868" s="74"/>
      <c r="L868" s="74"/>
      <c r="M868" s="74" t="s">
        <v>2182</v>
      </c>
      <c r="N868" s="74">
        <v>2.77</v>
      </c>
      <c r="O868" s="74">
        <v>0.15</v>
      </c>
      <c r="P868" s="74">
        <v>0.86419999999999997</v>
      </c>
    </row>
    <row r="869" spans="1:16">
      <c r="A869" s="74" t="s">
        <v>696</v>
      </c>
      <c r="B869" s="74" t="s">
        <v>323</v>
      </c>
      <c r="C869" s="74" t="s">
        <v>1514</v>
      </c>
      <c r="D869" s="74" t="s">
        <v>81</v>
      </c>
      <c r="E869" s="74">
        <v>5</v>
      </c>
      <c r="F869" s="74">
        <v>56.75</v>
      </c>
      <c r="G869" s="758">
        <f t="shared" si="52"/>
        <v>2.75</v>
      </c>
      <c r="H869" s="759">
        <f t="shared" si="53"/>
        <v>0.28000000000000003</v>
      </c>
      <c r="I869" s="758">
        <f t="shared" si="54"/>
        <v>8.6</v>
      </c>
      <c r="J869" s="760">
        <f t="shared" si="55"/>
        <v>0.75770925110132159</v>
      </c>
      <c r="K869" s="74"/>
      <c r="L869" s="74"/>
      <c r="M869" s="74" t="s">
        <v>2183</v>
      </c>
      <c r="N869" s="74">
        <v>0.55000000000000004</v>
      </c>
      <c r="O869" s="74">
        <v>0.12</v>
      </c>
      <c r="P869" s="74">
        <v>0.8881</v>
      </c>
    </row>
    <row r="870" spans="1:16">
      <c r="A870" s="74" t="s">
        <v>696</v>
      </c>
      <c r="B870" s="74" t="s">
        <v>323</v>
      </c>
      <c r="C870" s="74" t="s">
        <v>1515</v>
      </c>
      <c r="D870" s="74" t="s">
        <v>81</v>
      </c>
      <c r="E870" s="74">
        <v>18</v>
      </c>
      <c r="F870" s="74">
        <v>368.03</v>
      </c>
      <c r="G870" s="758">
        <f t="shared" si="52"/>
        <v>2.75</v>
      </c>
      <c r="H870" s="759">
        <f t="shared" si="53"/>
        <v>0.28000000000000003</v>
      </c>
      <c r="I870" s="758">
        <f t="shared" si="54"/>
        <v>17.696111111111108</v>
      </c>
      <c r="J870" s="760">
        <f t="shared" si="55"/>
        <v>0.86550009510094283</v>
      </c>
      <c r="K870" s="74"/>
      <c r="L870" s="74"/>
      <c r="M870" s="74" t="s">
        <v>2184</v>
      </c>
      <c r="N870" s="74">
        <v>0</v>
      </c>
      <c r="O870" s="74">
        <v>0</v>
      </c>
      <c r="P870" s="74">
        <v>0</v>
      </c>
    </row>
    <row r="871" spans="1:16">
      <c r="A871" s="74" t="s">
        <v>696</v>
      </c>
      <c r="B871" s="74" t="s">
        <v>323</v>
      </c>
      <c r="C871" s="74" t="s">
        <v>1516</v>
      </c>
      <c r="D871" s="74" t="s">
        <v>82</v>
      </c>
      <c r="E871" s="74">
        <v>10</v>
      </c>
      <c r="F871" s="74">
        <v>124.45</v>
      </c>
      <c r="G871" s="758">
        <f t="shared" si="52"/>
        <v>2.75</v>
      </c>
      <c r="H871" s="759">
        <f t="shared" si="53"/>
        <v>0.28000000000000003</v>
      </c>
      <c r="I871" s="758">
        <f t="shared" si="54"/>
        <v>9.6950000000000003</v>
      </c>
      <c r="J871" s="760">
        <f t="shared" si="55"/>
        <v>0.77902772197669745</v>
      </c>
      <c r="K871" s="74"/>
      <c r="L871" s="74"/>
      <c r="M871" s="74" t="s">
        <v>2185</v>
      </c>
      <c r="N871" s="74">
        <v>0</v>
      </c>
      <c r="O871" s="74">
        <v>0.16</v>
      </c>
      <c r="P871" s="74">
        <v>1</v>
      </c>
    </row>
    <row r="872" spans="1:16">
      <c r="A872" s="74" t="s">
        <v>696</v>
      </c>
      <c r="B872" s="74" t="s">
        <v>323</v>
      </c>
      <c r="C872" s="74" t="s">
        <v>1517</v>
      </c>
      <c r="D872" s="74" t="s">
        <v>82</v>
      </c>
      <c r="E872" s="74">
        <v>4</v>
      </c>
      <c r="F872" s="74">
        <v>47.6</v>
      </c>
      <c r="G872" s="758">
        <f t="shared" si="52"/>
        <v>2.75</v>
      </c>
      <c r="H872" s="759">
        <f t="shared" si="53"/>
        <v>0.28000000000000003</v>
      </c>
      <c r="I872" s="758">
        <f t="shared" si="54"/>
        <v>9.15</v>
      </c>
      <c r="J872" s="760">
        <f t="shared" si="55"/>
        <v>0.76890756302521013</v>
      </c>
      <c r="K872" s="74"/>
      <c r="L872" s="74"/>
      <c r="M872" s="74" t="s">
        <v>2186</v>
      </c>
      <c r="N872" s="74">
        <v>0</v>
      </c>
      <c r="O872" s="74">
        <v>0.28999999999999998</v>
      </c>
      <c r="P872" s="74">
        <v>1</v>
      </c>
    </row>
    <row r="873" spans="1:16">
      <c r="A873" s="74" t="s">
        <v>696</v>
      </c>
      <c r="B873" s="74" t="s">
        <v>323</v>
      </c>
      <c r="C873" s="74" t="s">
        <v>1527</v>
      </c>
      <c r="D873" s="74" t="s">
        <v>82</v>
      </c>
      <c r="E873" s="74">
        <v>5</v>
      </c>
      <c r="F873" s="74">
        <v>59.65</v>
      </c>
      <c r="G873" s="758">
        <f t="shared" si="52"/>
        <v>2.75</v>
      </c>
      <c r="H873" s="759">
        <f t="shared" si="53"/>
        <v>0.28000000000000003</v>
      </c>
      <c r="I873" s="758">
        <f t="shared" si="54"/>
        <v>9.18</v>
      </c>
      <c r="J873" s="760">
        <f t="shared" si="55"/>
        <v>0.7694886839899413</v>
      </c>
      <c r="K873" s="74"/>
      <c r="L873" s="74"/>
      <c r="M873" s="74" t="s">
        <v>2187</v>
      </c>
      <c r="N873" s="74">
        <v>0</v>
      </c>
      <c r="O873" s="74">
        <v>0</v>
      </c>
      <c r="P873" s="74">
        <v>0</v>
      </c>
    </row>
    <row r="874" spans="1:16">
      <c r="A874" s="74" t="s">
        <v>696</v>
      </c>
      <c r="B874" s="74" t="s">
        <v>323</v>
      </c>
      <c r="C874" s="74" t="s">
        <v>1518</v>
      </c>
      <c r="D874" s="74" t="s">
        <v>82</v>
      </c>
      <c r="E874" s="74">
        <v>7</v>
      </c>
      <c r="F874" s="74">
        <v>107.55</v>
      </c>
      <c r="G874" s="758">
        <f t="shared" si="52"/>
        <v>2.75</v>
      </c>
      <c r="H874" s="759">
        <f t="shared" si="53"/>
        <v>0.28000000000000003</v>
      </c>
      <c r="I874" s="758">
        <f t="shared" si="54"/>
        <v>12.614285714285714</v>
      </c>
      <c r="J874" s="760">
        <f t="shared" si="55"/>
        <v>0.82101348210134817</v>
      </c>
      <c r="K874" s="74"/>
      <c r="L874" s="74"/>
      <c r="M874" s="74" t="s">
        <v>1098</v>
      </c>
      <c r="N874" s="74">
        <v>0.57999999999999996</v>
      </c>
      <c r="O874" s="74">
        <v>0.16</v>
      </c>
      <c r="P874" s="74">
        <v>0.89829999999999999</v>
      </c>
    </row>
    <row r="875" spans="1:16">
      <c r="A875" s="74" t="s">
        <v>696</v>
      </c>
      <c r="B875" s="74" t="s">
        <v>323</v>
      </c>
      <c r="C875" s="74" t="s">
        <v>1519</v>
      </c>
      <c r="D875" s="74" t="s">
        <v>84</v>
      </c>
      <c r="E875" s="74">
        <v>1</v>
      </c>
      <c r="F875" s="74">
        <v>12.05</v>
      </c>
      <c r="G875" s="758">
        <f t="shared" si="52"/>
        <v>2.75</v>
      </c>
      <c r="H875" s="759">
        <f t="shared" si="53"/>
        <v>0.28000000000000003</v>
      </c>
      <c r="I875" s="758">
        <f t="shared" si="54"/>
        <v>9.3000000000000007</v>
      </c>
      <c r="J875" s="760">
        <f t="shared" si="55"/>
        <v>0.77178423236514526</v>
      </c>
      <c r="K875" s="74"/>
      <c r="L875" s="74"/>
      <c r="M875" s="74" t="s">
        <v>2188</v>
      </c>
      <c r="N875" s="74">
        <v>0</v>
      </c>
      <c r="O875" s="74">
        <v>0</v>
      </c>
      <c r="P875" s="74">
        <v>1</v>
      </c>
    </row>
    <row r="876" spans="1:16">
      <c r="A876" s="74" t="s">
        <v>696</v>
      </c>
      <c r="B876" s="74" t="s">
        <v>323</v>
      </c>
      <c r="C876" s="74" t="s">
        <v>1644</v>
      </c>
      <c r="D876" s="74" t="s">
        <v>86</v>
      </c>
      <c r="E876" s="74">
        <v>1</v>
      </c>
      <c r="F876" s="74">
        <v>11.9</v>
      </c>
      <c r="G876" s="758">
        <f t="shared" si="52"/>
        <v>2.75</v>
      </c>
      <c r="H876" s="759">
        <f t="shared" si="53"/>
        <v>0.28000000000000003</v>
      </c>
      <c r="I876" s="758">
        <f t="shared" si="54"/>
        <v>9.15</v>
      </c>
      <c r="J876" s="760">
        <f t="shared" si="55"/>
        <v>0.76890756302521013</v>
      </c>
      <c r="K876" s="74"/>
      <c r="L876" s="74"/>
      <c r="M876" s="74" t="s">
        <v>2189</v>
      </c>
      <c r="N876" s="74">
        <v>0</v>
      </c>
      <c r="O876" s="74">
        <v>0</v>
      </c>
      <c r="P876" s="74">
        <v>1</v>
      </c>
    </row>
    <row r="877" spans="1:16">
      <c r="A877" s="74" t="s">
        <v>696</v>
      </c>
      <c r="B877" s="74" t="s">
        <v>323</v>
      </c>
      <c r="C877" s="74" t="s">
        <v>1541</v>
      </c>
      <c r="D877" s="74" t="s">
        <v>86</v>
      </c>
      <c r="E877" s="74">
        <v>1</v>
      </c>
      <c r="F877" s="74">
        <v>11.9</v>
      </c>
      <c r="G877" s="758">
        <f t="shared" si="52"/>
        <v>2.75</v>
      </c>
      <c r="H877" s="759">
        <f t="shared" si="53"/>
        <v>0.28000000000000003</v>
      </c>
      <c r="I877" s="758">
        <f t="shared" si="54"/>
        <v>9.15</v>
      </c>
      <c r="J877" s="760">
        <f t="shared" si="55"/>
        <v>0.76890756302521013</v>
      </c>
      <c r="K877" s="74"/>
      <c r="L877" s="74"/>
      <c r="M877" s="74" t="s">
        <v>2190</v>
      </c>
      <c r="N877" s="74">
        <v>2.4</v>
      </c>
      <c r="O877" s="74">
        <v>0.28999999999999998</v>
      </c>
      <c r="P877" s="74">
        <v>0.73629999999999995</v>
      </c>
    </row>
    <row r="878" spans="1:16">
      <c r="A878" s="74" t="s">
        <v>696</v>
      </c>
      <c r="B878" s="74" t="s">
        <v>323</v>
      </c>
      <c r="C878" s="74" t="s">
        <v>1544</v>
      </c>
      <c r="D878" s="74" t="s">
        <v>87</v>
      </c>
      <c r="E878" s="74">
        <v>1</v>
      </c>
      <c r="F878" s="74">
        <v>7.5</v>
      </c>
      <c r="G878" s="758">
        <f t="shared" si="52"/>
        <v>2.75</v>
      </c>
      <c r="H878" s="759">
        <f t="shared" si="53"/>
        <v>0.28000000000000003</v>
      </c>
      <c r="I878" s="758">
        <f t="shared" si="54"/>
        <v>4.75</v>
      </c>
      <c r="J878" s="760">
        <f t="shared" si="55"/>
        <v>0.6333333333333333</v>
      </c>
      <c r="K878" s="74"/>
      <c r="L878" s="74"/>
      <c r="M878" s="74" t="s">
        <v>2191</v>
      </c>
      <c r="N878" s="74">
        <v>3.76</v>
      </c>
      <c r="O878" s="74">
        <v>0.28000000000000003</v>
      </c>
      <c r="P878" s="74">
        <v>0.74719999999999998</v>
      </c>
    </row>
    <row r="879" spans="1:16">
      <c r="A879" s="74" t="s">
        <v>696</v>
      </c>
      <c r="B879" s="74" t="s">
        <v>323</v>
      </c>
      <c r="C879" s="74" t="s">
        <v>1605</v>
      </c>
      <c r="D879" s="74" t="s">
        <v>87</v>
      </c>
      <c r="E879" s="74">
        <v>1</v>
      </c>
      <c r="F879" s="74">
        <v>12.05</v>
      </c>
      <c r="G879" s="758">
        <f t="shared" si="52"/>
        <v>2.75</v>
      </c>
      <c r="H879" s="759">
        <f t="shared" si="53"/>
        <v>0.28000000000000003</v>
      </c>
      <c r="I879" s="758">
        <f t="shared" si="54"/>
        <v>9.3000000000000007</v>
      </c>
      <c r="J879" s="760">
        <f t="shared" si="55"/>
        <v>0.77178423236514526</v>
      </c>
      <c r="K879" s="74"/>
      <c r="L879" s="74"/>
      <c r="M879" s="74" t="s">
        <v>1141</v>
      </c>
      <c r="N879" s="74">
        <v>0</v>
      </c>
      <c r="O879" s="74">
        <v>0</v>
      </c>
      <c r="P879" s="74">
        <v>1</v>
      </c>
    </row>
    <row r="880" spans="1:16">
      <c r="A880" s="74" t="s">
        <v>696</v>
      </c>
      <c r="B880" s="74" t="s">
        <v>323</v>
      </c>
      <c r="C880" s="74" t="s">
        <v>1561</v>
      </c>
      <c r="D880" s="74" t="s">
        <v>87</v>
      </c>
      <c r="E880" s="74">
        <v>1</v>
      </c>
      <c r="F880" s="74">
        <v>11.9</v>
      </c>
      <c r="G880" s="758">
        <f t="shared" si="52"/>
        <v>2.75</v>
      </c>
      <c r="H880" s="759">
        <f t="shared" si="53"/>
        <v>0.28000000000000003</v>
      </c>
      <c r="I880" s="758">
        <f t="shared" si="54"/>
        <v>9.15</v>
      </c>
      <c r="J880" s="760">
        <f t="shared" si="55"/>
        <v>0.76890756302521013</v>
      </c>
      <c r="K880" s="74"/>
      <c r="L880" s="74"/>
      <c r="M880" s="74" t="s">
        <v>2192</v>
      </c>
      <c r="N880" s="74">
        <v>3.76</v>
      </c>
      <c r="O880" s="74">
        <v>0.24</v>
      </c>
      <c r="P880" s="74">
        <v>0.78049999999999997</v>
      </c>
    </row>
    <row r="881" spans="1:16">
      <c r="A881" s="74" t="s">
        <v>696</v>
      </c>
      <c r="B881" s="74" t="s">
        <v>323</v>
      </c>
      <c r="C881" s="74" t="s">
        <v>1610</v>
      </c>
      <c r="D881" s="74" t="s">
        <v>89</v>
      </c>
      <c r="E881" s="74">
        <v>2</v>
      </c>
      <c r="F881" s="74">
        <v>23.8</v>
      </c>
      <c r="G881" s="758">
        <f t="shared" si="52"/>
        <v>2.75</v>
      </c>
      <c r="H881" s="759">
        <f t="shared" si="53"/>
        <v>0.28000000000000003</v>
      </c>
      <c r="I881" s="758">
        <f t="shared" si="54"/>
        <v>9.15</v>
      </c>
      <c r="J881" s="760">
        <f t="shared" si="55"/>
        <v>0.76890756302521013</v>
      </c>
      <c r="K881" s="74"/>
      <c r="L881" s="74"/>
      <c r="M881" s="74" t="s">
        <v>2193</v>
      </c>
      <c r="N881" s="74">
        <v>2.4500000000000002</v>
      </c>
      <c r="O881" s="74">
        <v>0.18</v>
      </c>
      <c r="P881" s="74">
        <v>0.8367</v>
      </c>
    </row>
    <row r="882" spans="1:16">
      <c r="A882" s="74" t="s">
        <v>696</v>
      </c>
      <c r="B882" s="74" t="s">
        <v>323</v>
      </c>
      <c r="C882" s="74" t="s">
        <v>1675</v>
      </c>
      <c r="D882" s="74" t="s">
        <v>91</v>
      </c>
      <c r="E882" s="74">
        <v>1</v>
      </c>
      <c r="F882" s="74">
        <v>12.05</v>
      </c>
      <c r="G882" s="758">
        <f t="shared" si="52"/>
        <v>2.75</v>
      </c>
      <c r="H882" s="759">
        <f t="shared" si="53"/>
        <v>0.28000000000000003</v>
      </c>
      <c r="I882" s="758">
        <f t="shared" si="54"/>
        <v>9.3000000000000007</v>
      </c>
      <c r="J882" s="760">
        <f t="shared" si="55"/>
        <v>0.77178423236514526</v>
      </c>
      <c r="K882" s="74"/>
      <c r="L882" s="74"/>
      <c r="M882" s="74" t="s">
        <v>2194</v>
      </c>
      <c r="N882" s="74">
        <v>0</v>
      </c>
      <c r="O882" s="74">
        <v>0</v>
      </c>
      <c r="P882" s="74">
        <v>0</v>
      </c>
    </row>
    <row r="883" spans="1:16">
      <c r="A883" s="74" t="s">
        <v>696</v>
      </c>
      <c r="B883" s="74" t="s">
        <v>323</v>
      </c>
      <c r="C883" s="74" t="s">
        <v>1524</v>
      </c>
      <c r="D883" s="74" t="s">
        <v>91</v>
      </c>
      <c r="E883" s="74">
        <v>1</v>
      </c>
      <c r="F883" s="74">
        <v>11.9</v>
      </c>
      <c r="G883" s="758">
        <f t="shared" si="52"/>
        <v>2.75</v>
      </c>
      <c r="H883" s="759">
        <f t="shared" si="53"/>
        <v>0.28000000000000003</v>
      </c>
      <c r="I883" s="758">
        <f t="shared" si="54"/>
        <v>9.15</v>
      </c>
      <c r="J883" s="760">
        <f t="shared" si="55"/>
        <v>0.76890756302521013</v>
      </c>
      <c r="K883" s="74"/>
      <c r="L883" s="74"/>
      <c r="M883" s="74" t="s">
        <v>2195</v>
      </c>
      <c r="N883" s="74">
        <v>1.93</v>
      </c>
      <c r="O883" s="74">
        <v>0</v>
      </c>
      <c r="P883" s="74">
        <v>0</v>
      </c>
    </row>
    <row r="884" spans="1:16">
      <c r="A884" s="74" t="s">
        <v>696</v>
      </c>
      <c r="B884" s="74" t="s">
        <v>323</v>
      </c>
      <c r="C884" s="74" t="s">
        <v>1614</v>
      </c>
      <c r="D884" s="74" t="s">
        <v>92</v>
      </c>
      <c r="E884" s="74">
        <v>3</v>
      </c>
      <c r="F884" s="74">
        <v>35.700000000000003</v>
      </c>
      <c r="G884" s="758">
        <f t="shared" si="52"/>
        <v>2.75</v>
      </c>
      <c r="H884" s="759">
        <f t="shared" si="53"/>
        <v>0.28000000000000003</v>
      </c>
      <c r="I884" s="758">
        <f t="shared" si="54"/>
        <v>9.15</v>
      </c>
      <c r="J884" s="760">
        <f t="shared" si="55"/>
        <v>0.76890756302521013</v>
      </c>
      <c r="K884" s="74"/>
      <c r="L884" s="74"/>
      <c r="M884" s="74" t="s">
        <v>832</v>
      </c>
      <c r="N884" s="74">
        <v>1.85</v>
      </c>
      <c r="O884" s="74">
        <v>0.25</v>
      </c>
      <c r="P884" s="74">
        <v>0.85880000000000001</v>
      </c>
    </row>
    <row r="885" spans="1:16">
      <c r="A885" s="74" t="s">
        <v>1586</v>
      </c>
      <c r="B885" s="74" t="s">
        <v>323</v>
      </c>
      <c r="C885" s="74" t="s">
        <v>1631</v>
      </c>
      <c r="D885" s="74" t="s">
        <v>92</v>
      </c>
      <c r="E885" s="74">
        <v>1</v>
      </c>
      <c r="F885" s="74">
        <v>12.65</v>
      </c>
      <c r="G885" s="758">
        <f t="shared" si="52"/>
        <v>0</v>
      </c>
      <c r="H885" s="759">
        <f t="shared" si="53"/>
        <v>0</v>
      </c>
      <c r="I885" s="758">
        <f t="shared" si="54"/>
        <v>12.65</v>
      </c>
      <c r="J885" s="760">
        <f t="shared" si="55"/>
        <v>1</v>
      </c>
      <c r="K885" s="74"/>
      <c r="L885" s="74"/>
      <c r="M885" s="74" t="s">
        <v>2196</v>
      </c>
      <c r="N885" s="74">
        <v>1.93</v>
      </c>
      <c r="O885" s="74">
        <v>0</v>
      </c>
      <c r="P885" s="74">
        <v>0</v>
      </c>
    </row>
    <row r="886" spans="1:16">
      <c r="A886" s="74" t="s">
        <v>1587</v>
      </c>
      <c r="B886" s="74" t="s">
        <v>323</v>
      </c>
      <c r="C886" s="74" t="s">
        <v>1528</v>
      </c>
      <c r="D886" s="74" t="s">
        <v>78</v>
      </c>
      <c r="E886" s="74">
        <v>2</v>
      </c>
      <c r="F886" s="74">
        <v>25.3</v>
      </c>
      <c r="G886" s="758">
        <f t="shared" si="52"/>
        <v>2.69</v>
      </c>
      <c r="H886" s="759">
        <f t="shared" si="53"/>
        <v>0.26</v>
      </c>
      <c r="I886" s="758">
        <f t="shared" si="54"/>
        <v>9.9600000000000009</v>
      </c>
      <c r="J886" s="760">
        <f t="shared" si="55"/>
        <v>0.78735177865612649</v>
      </c>
      <c r="K886" s="74"/>
      <c r="L886" s="74"/>
      <c r="M886" s="74" t="s">
        <v>728</v>
      </c>
      <c r="N886" s="74">
        <v>1.5</v>
      </c>
      <c r="O886" s="74">
        <v>0.23</v>
      </c>
      <c r="P886" s="74">
        <v>0.81540000000000001</v>
      </c>
    </row>
    <row r="887" spans="1:16">
      <c r="A887" s="74" t="s">
        <v>1587</v>
      </c>
      <c r="B887" s="74" t="s">
        <v>323</v>
      </c>
      <c r="C887" s="74" t="s">
        <v>1508</v>
      </c>
      <c r="D887" s="74" t="s">
        <v>78</v>
      </c>
      <c r="E887" s="74">
        <v>3</v>
      </c>
      <c r="F887" s="74">
        <v>37.950000000000003</v>
      </c>
      <c r="G887" s="758">
        <f t="shared" si="52"/>
        <v>2.69</v>
      </c>
      <c r="H887" s="759">
        <f t="shared" si="53"/>
        <v>0.26</v>
      </c>
      <c r="I887" s="758">
        <f t="shared" si="54"/>
        <v>9.9600000000000009</v>
      </c>
      <c r="J887" s="760">
        <f t="shared" si="55"/>
        <v>0.78735177865612649</v>
      </c>
      <c r="K887" s="74"/>
      <c r="L887" s="74"/>
      <c r="M887" s="74" t="s">
        <v>2197</v>
      </c>
      <c r="N887" s="74">
        <v>1.0900000000000001</v>
      </c>
      <c r="O887" s="74">
        <v>0</v>
      </c>
      <c r="P887" s="74">
        <v>0</v>
      </c>
    </row>
    <row r="888" spans="1:16">
      <c r="A888" s="74" t="s">
        <v>1587</v>
      </c>
      <c r="B888" s="74" t="s">
        <v>323</v>
      </c>
      <c r="C888" s="74" t="s">
        <v>1509</v>
      </c>
      <c r="D888" s="74" t="s">
        <v>78</v>
      </c>
      <c r="E888" s="74">
        <v>2</v>
      </c>
      <c r="F888" s="74">
        <v>25.3</v>
      </c>
      <c r="G888" s="758">
        <f t="shared" si="52"/>
        <v>2.69</v>
      </c>
      <c r="H888" s="759">
        <f t="shared" si="53"/>
        <v>0.26</v>
      </c>
      <c r="I888" s="758">
        <f t="shared" si="54"/>
        <v>9.9600000000000009</v>
      </c>
      <c r="J888" s="760">
        <f t="shared" si="55"/>
        <v>0.78735177865612649</v>
      </c>
      <c r="K888" s="74"/>
      <c r="L888" s="74"/>
      <c r="M888" s="74" t="s">
        <v>949</v>
      </c>
      <c r="N888" s="74">
        <v>0.83</v>
      </c>
      <c r="O888" s="74">
        <v>0.27</v>
      </c>
      <c r="P888" s="74">
        <v>0.89159999999999995</v>
      </c>
    </row>
    <row r="889" spans="1:16">
      <c r="A889" s="74" t="s">
        <v>1587</v>
      </c>
      <c r="B889" s="74" t="s">
        <v>323</v>
      </c>
      <c r="C889" s="74" t="s">
        <v>1565</v>
      </c>
      <c r="D889" s="74" t="s">
        <v>78</v>
      </c>
      <c r="E889" s="74">
        <v>4</v>
      </c>
      <c r="F889" s="74">
        <v>50.6</v>
      </c>
      <c r="G889" s="758">
        <f t="shared" si="52"/>
        <v>2.69</v>
      </c>
      <c r="H889" s="759">
        <f t="shared" si="53"/>
        <v>0.26</v>
      </c>
      <c r="I889" s="758">
        <f t="shared" si="54"/>
        <v>9.9600000000000009</v>
      </c>
      <c r="J889" s="760">
        <f t="shared" si="55"/>
        <v>0.78735177865612649</v>
      </c>
      <c r="K889" s="74"/>
      <c r="L889" s="74"/>
      <c r="M889" s="74" t="s">
        <v>2198</v>
      </c>
      <c r="N889" s="74">
        <v>0</v>
      </c>
      <c r="O889" s="74">
        <v>0</v>
      </c>
      <c r="P889" s="74">
        <v>1</v>
      </c>
    </row>
    <row r="890" spans="1:16">
      <c r="A890" s="74" t="s">
        <v>1587</v>
      </c>
      <c r="B890" s="74" t="s">
        <v>323</v>
      </c>
      <c r="C890" s="74" t="s">
        <v>1532</v>
      </c>
      <c r="D890" s="74" t="s">
        <v>80</v>
      </c>
      <c r="E890" s="74">
        <v>4</v>
      </c>
      <c r="F890" s="74">
        <v>50.6</v>
      </c>
      <c r="G890" s="758">
        <f t="shared" si="52"/>
        <v>2.69</v>
      </c>
      <c r="H890" s="759">
        <f t="shared" si="53"/>
        <v>0.26</v>
      </c>
      <c r="I890" s="758">
        <f t="shared" si="54"/>
        <v>9.9600000000000009</v>
      </c>
      <c r="J890" s="760">
        <f t="shared" si="55"/>
        <v>0.78735177865612649</v>
      </c>
      <c r="K890" s="74"/>
      <c r="L890" s="74"/>
      <c r="M890" s="74" t="s">
        <v>2199</v>
      </c>
      <c r="N890" s="74">
        <v>0.66</v>
      </c>
      <c r="O890" s="74">
        <v>0.97</v>
      </c>
      <c r="P890" s="74">
        <v>0.56000000000000005</v>
      </c>
    </row>
    <row r="891" spans="1:16">
      <c r="A891" s="74" t="s">
        <v>1587</v>
      </c>
      <c r="B891" s="74" t="s">
        <v>323</v>
      </c>
      <c r="C891" s="74" t="s">
        <v>1511</v>
      </c>
      <c r="D891" s="74" t="s">
        <v>80</v>
      </c>
      <c r="E891" s="74">
        <v>3</v>
      </c>
      <c r="F891" s="74">
        <v>38.450000000000003</v>
      </c>
      <c r="G891" s="758">
        <f t="shared" si="52"/>
        <v>2.69</v>
      </c>
      <c r="H891" s="759">
        <f t="shared" si="53"/>
        <v>0.26</v>
      </c>
      <c r="I891" s="758">
        <f t="shared" si="54"/>
        <v>10.126666666666669</v>
      </c>
      <c r="J891" s="760">
        <f t="shared" si="55"/>
        <v>0.79011703511053311</v>
      </c>
      <c r="K891" s="74"/>
      <c r="L891" s="74"/>
      <c r="M891" s="74" t="s">
        <v>2200</v>
      </c>
      <c r="N891" s="74">
        <v>0</v>
      </c>
      <c r="O891" s="74">
        <v>0</v>
      </c>
      <c r="P891" s="74">
        <v>0</v>
      </c>
    </row>
    <row r="892" spans="1:16">
      <c r="A892" s="74" t="s">
        <v>1587</v>
      </c>
      <c r="B892" s="74" t="s">
        <v>323</v>
      </c>
      <c r="C892" s="74" t="s">
        <v>1512</v>
      </c>
      <c r="D892" s="74" t="s">
        <v>80</v>
      </c>
      <c r="E892" s="74">
        <v>2</v>
      </c>
      <c r="F892" s="74">
        <v>25.55</v>
      </c>
      <c r="G892" s="758">
        <f t="shared" si="52"/>
        <v>2.69</v>
      </c>
      <c r="H892" s="759">
        <f t="shared" si="53"/>
        <v>0.26</v>
      </c>
      <c r="I892" s="758">
        <f t="shared" si="54"/>
        <v>10.085000000000001</v>
      </c>
      <c r="J892" s="760">
        <f t="shared" si="55"/>
        <v>0.78943248532289623</v>
      </c>
      <c r="K892" s="74"/>
      <c r="L892" s="74"/>
      <c r="M892" s="74" t="s">
        <v>2201</v>
      </c>
      <c r="N892" s="74">
        <v>0</v>
      </c>
      <c r="O892" s="74">
        <v>0</v>
      </c>
      <c r="P892" s="74">
        <v>1</v>
      </c>
    </row>
    <row r="893" spans="1:16">
      <c r="A893" s="74" t="s">
        <v>1587</v>
      </c>
      <c r="B893" s="74" t="s">
        <v>323</v>
      </c>
      <c r="C893" s="74" t="s">
        <v>1534</v>
      </c>
      <c r="D893" s="74" t="s">
        <v>81</v>
      </c>
      <c r="E893" s="74">
        <v>3</v>
      </c>
      <c r="F893" s="74">
        <v>38.1</v>
      </c>
      <c r="G893" s="758">
        <f t="shared" si="52"/>
        <v>2.69</v>
      </c>
      <c r="H893" s="759">
        <f t="shared" si="53"/>
        <v>0.26</v>
      </c>
      <c r="I893" s="758">
        <f t="shared" si="54"/>
        <v>10.010000000000002</v>
      </c>
      <c r="J893" s="760">
        <f t="shared" si="55"/>
        <v>0.78818897637795282</v>
      </c>
      <c r="K893" s="74"/>
      <c r="L893" s="74"/>
      <c r="M893" s="74" t="s">
        <v>2202</v>
      </c>
      <c r="N893" s="74">
        <v>1.32</v>
      </c>
      <c r="O893" s="74">
        <v>0</v>
      </c>
      <c r="P893" s="74">
        <v>0</v>
      </c>
    </row>
    <row r="894" spans="1:16">
      <c r="A894" s="74" t="s">
        <v>1587</v>
      </c>
      <c r="B894" s="74" t="s">
        <v>323</v>
      </c>
      <c r="C894" s="74" t="s">
        <v>1513</v>
      </c>
      <c r="D894" s="74" t="s">
        <v>81</v>
      </c>
      <c r="E894" s="74">
        <v>2</v>
      </c>
      <c r="F894" s="74">
        <v>25.6</v>
      </c>
      <c r="G894" s="758">
        <f t="shared" si="52"/>
        <v>2.69</v>
      </c>
      <c r="H894" s="759">
        <f t="shared" si="53"/>
        <v>0.26</v>
      </c>
      <c r="I894" s="758">
        <f t="shared" si="54"/>
        <v>10.110000000000001</v>
      </c>
      <c r="J894" s="760">
        <f t="shared" si="55"/>
        <v>0.78984374999999996</v>
      </c>
      <c r="K894" s="74"/>
      <c r="L894" s="74"/>
      <c r="M894" s="74" t="s">
        <v>2203</v>
      </c>
      <c r="N894" s="74">
        <v>0</v>
      </c>
      <c r="O894" s="74">
        <v>0</v>
      </c>
      <c r="P894" s="74">
        <v>0</v>
      </c>
    </row>
    <row r="895" spans="1:16">
      <c r="A895" s="74" t="s">
        <v>1587</v>
      </c>
      <c r="B895" s="74" t="s">
        <v>323</v>
      </c>
      <c r="C895" s="74" t="s">
        <v>1514</v>
      </c>
      <c r="D895" s="74" t="s">
        <v>81</v>
      </c>
      <c r="E895" s="74">
        <v>4</v>
      </c>
      <c r="F895" s="74">
        <v>50.75</v>
      </c>
      <c r="G895" s="758">
        <f t="shared" si="52"/>
        <v>2.69</v>
      </c>
      <c r="H895" s="759">
        <f t="shared" si="53"/>
        <v>0.26</v>
      </c>
      <c r="I895" s="758">
        <f t="shared" si="54"/>
        <v>9.9975000000000005</v>
      </c>
      <c r="J895" s="760">
        <f t="shared" si="55"/>
        <v>0.78798029556650251</v>
      </c>
      <c r="K895" s="74"/>
      <c r="L895" s="74"/>
      <c r="M895" s="74" t="s">
        <v>2204</v>
      </c>
      <c r="N895" s="74">
        <v>0</v>
      </c>
      <c r="O895" s="74">
        <v>0</v>
      </c>
      <c r="P895" s="74">
        <v>0</v>
      </c>
    </row>
    <row r="896" spans="1:16">
      <c r="A896" s="74" t="s">
        <v>1587</v>
      </c>
      <c r="B896" s="74" t="s">
        <v>323</v>
      </c>
      <c r="C896" s="74" t="s">
        <v>1515</v>
      </c>
      <c r="D896" s="74" t="s">
        <v>81</v>
      </c>
      <c r="E896" s="74">
        <v>5</v>
      </c>
      <c r="F896" s="74">
        <v>64.25</v>
      </c>
      <c r="G896" s="758">
        <f t="shared" si="52"/>
        <v>2.69</v>
      </c>
      <c r="H896" s="759">
        <f t="shared" si="53"/>
        <v>0.26</v>
      </c>
      <c r="I896" s="758">
        <f t="shared" si="54"/>
        <v>10.16</v>
      </c>
      <c r="J896" s="760">
        <f t="shared" si="55"/>
        <v>0.79066147859922187</v>
      </c>
      <c r="K896" s="74"/>
      <c r="L896" s="74"/>
      <c r="M896" s="74" t="s">
        <v>2205</v>
      </c>
      <c r="N896" s="74">
        <v>0</v>
      </c>
      <c r="O896" s="74">
        <v>0</v>
      </c>
      <c r="P896" s="74">
        <v>0</v>
      </c>
    </row>
    <row r="897" spans="1:16">
      <c r="A897" s="74" t="s">
        <v>1587</v>
      </c>
      <c r="B897" s="74" t="s">
        <v>323</v>
      </c>
      <c r="C897" s="74" t="s">
        <v>1516</v>
      </c>
      <c r="D897" s="74" t="s">
        <v>82</v>
      </c>
      <c r="E897" s="74">
        <v>2</v>
      </c>
      <c r="F897" s="74">
        <v>26.3</v>
      </c>
      <c r="G897" s="758">
        <f t="shared" si="52"/>
        <v>2.69</v>
      </c>
      <c r="H897" s="759">
        <f t="shared" si="53"/>
        <v>0.26</v>
      </c>
      <c r="I897" s="758">
        <f t="shared" si="54"/>
        <v>10.46</v>
      </c>
      <c r="J897" s="760">
        <f t="shared" si="55"/>
        <v>0.79543726235741441</v>
      </c>
      <c r="K897" s="74"/>
      <c r="L897" s="74"/>
      <c r="M897" s="74" t="s">
        <v>2206</v>
      </c>
      <c r="N897" s="74">
        <v>0.59</v>
      </c>
      <c r="O897" s="74">
        <v>0.14000000000000001</v>
      </c>
      <c r="P897" s="74">
        <v>0.87480000000000002</v>
      </c>
    </row>
    <row r="898" spans="1:16">
      <c r="A898" s="74" t="s">
        <v>1587</v>
      </c>
      <c r="B898" s="74" t="s">
        <v>323</v>
      </c>
      <c r="C898" s="74" t="s">
        <v>1517</v>
      </c>
      <c r="D898" s="74" t="s">
        <v>82</v>
      </c>
      <c r="E898" s="74">
        <v>4</v>
      </c>
      <c r="F898" s="74">
        <v>50.9</v>
      </c>
      <c r="G898" s="758">
        <f t="shared" ref="G898:G961" si="56">IFERROR(VLOOKUP(A898,$M$1:$P$1014,2,FALSE),0)</f>
        <v>2.69</v>
      </c>
      <c r="H898" s="759">
        <f t="shared" ref="H898:H961" si="57">IFERROR(VLOOKUP(A898,$M$1:$P$1014,3,FALSE),0)</f>
        <v>0.26</v>
      </c>
      <c r="I898" s="758">
        <f t="shared" ref="I898:I961" si="58">IFERROR(F898/E898-G898,0)</f>
        <v>10.035</v>
      </c>
      <c r="J898" s="760">
        <f t="shared" ref="J898:J961" si="59">IFERROR(1-G898*E898/F898,0)</f>
        <v>0.78860510805500983</v>
      </c>
      <c r="K898" s="74"/>
      <c r="L898" s="74"/>
      <c r="M898" s="74" t="s">
        <v>742</v>
      </c>
      <c r="N898" s="74">
        <v>0.33</v>
      </c>
      <c r="O898" s="74">
        <v>0.28999999999999998</v>
      </c>
      <c r="P898" s="74">
        <v>0.88260000000000005</v>
      </c>
    </row>
    <row r="899" spans="1:16">
      <c r="A899" s="74" t="s">
        <v>1587</v>
      </c>
      <c r="B899" s="74" t="s">
        <v>323</v>
      </c>
      <c r="C899" s="74" t="s">
        <v>1527</v>
      </c>
      <c r="D899" s="74" t="s">
        <v>82</v>
      </c>
      <c r="E899" s="74">
        <v>3</v>
      </c>
      <c r="F899" s="74">
        <v>37.950000000000003</v>
      </c>
      <c r="G899" s="758">
        <f t="shared" si="56"/>
        <v>2.69</v>
      </c>
      <c r="H899" s="759">
        <f t="shared" si="57"/>
        <v>0.26</v>
      </c>
      <c r="I899" s="758">
        <f t="shared" si="58"/>
        <v>9.9600000000000009</v>
      </c>
      <c r="J899" s="760">
        <f t="shared" si="59"/>
        <v>0.78735177865612649</v>
      </c>
      <c r="K899" s="74"/>
      <c r="L899" s="74"/>
      <c r="M899" s="74" t="s">
        <v>2207</v>
      </c>
      <c r="N899" s="74">
        <v>0</v>
      </c>
      <c r="O899" s="74">
        <v>0</v>
      </c>
      <c r="P899" s="74">
        <v>0</v>
      </c>
    </row>
    <row r="900" spans="1:16">
      <c r="A900" s="74" t="s">
        <v>1587</v>
      </c>
      <c r="B900" s="74" t="s">
        <v>323</v>
      </c>
      <c r="C900" s="74" t="s">
        <v>1518</v>
      </c>
      <c r="D900" s="74" t="s">
        <v>82</v>
      </c>
      <c r="E900" s="74">
        <v>6</v>
      </c>
      <c r="F900" s="74">
        <v>76.05</v>
      </c>
      <c r="G900" s="758">
        <f t="shared" si="56"/>
        <v>2.69</v>
      </c>
      <c r="H900" s="759">
        <f t="shared" si="57"/>
        <v>0.26</v>
      </c>
      <c r="I900" s="758">
        <f t="shared" si="58"/>
        <v>9.9849999999999994</v>
      </c>
      <c r="J900" s="760">
        <f t="shared" si="59"/>
        <v>0.7877712031558185</v>
      </c>
      <c r="K900" s="74"/>
      <c r="L900" s="74"/>
      <c r="M900" s="74" t="s">
        <v>2208</v>
      </c>
      <c r="N900" s="74">
        <v>0</v>
      </c>
      <c r="O900" s="74">
        <v>0</v>
      </c>
      <c r="P900" s="74">
        <v>1</v>
      </c>
    </row>
    <row r="901" spans="1:16">
      <c r="A901" s="74" t="s">
        <v>1587</v>
      </c>
      <c r="B901" s="74" t="s">
        <v>323</v>
      </c>
      <c r="C901" s="74" t="s">
        <v>1646</v>
      </c>
      <c r="D901" s="74" t="s">
        <v>86</v>
      </c>
      <c r="E901" s="74">
        <v>1</v>
      </c>
      <c r="F901" s="74">
        <v>12.65</v>
      </c>
      <c r="G901" s="758">
        <f t="shared" si="56"/>
        <v>2.69</v>
      </c>
      <c r="H901" s="759">
        <f t="shared" si="57"/>
        <v>0.26</v>
      </c>
      <c r="I901" s="758">
        <f t="shared" si="58"/>
        <v>9.9600000000000009</v>
      </c>
      <c r="J901" s="760">
        <f t="shared" si="59"/>
        <v>0.78735177865612649</v>
      </c>
      <c r="K901" s="74"/>
      <c r="L901" s="74"/>
      <c r="M901" s="74" t="s">
        <v>756</v>
      </c>
      <c r="N901" s="74">
        <v>0.76</v>
      </c>
      <c r="O901" s="74">
        <v>0.42</v>
      </c>
      <c r="P901" s="74">
        <v>0.67569999999999997</v>
      </c>
    </row>
    <row r="902" spans="1:16">
      <c r="A902" s="74" t="s">
        <v>1587</v>
      </c>
      <c r="B902" s="74" t="s">
        <v>323</v>
      </c>
      <c r="C902" s="74" t="s">
        <v>1541</v>
      </c>
      <c r="D902" s="74" t="s">
        <v>86</v>
      </c>
      <c r="E902" s="74">
        <v>1</v>
      </c>
      <c r="F902" s="74">
        <v>12.65</v>
      </c>
      <c r="G902" s="758">
        <f t="shared" si="56"/>
        <v>2.69</v>
      </c>
      <c r="H902" s="759">
        <f t="shared" si="57"/>
        <v>0.26</v>
      </c>
      <c r="I902" s="758">
        <f t="shared" si="58"/>
        <v>9.9600000000000009</v>
      </c>
      <c r="J902" s="760">
        <f t="shared" si="59"/>
        <v>0.78735177865612649</v>
      </c>
      <c r="K902" s="74"/>
      <c r="L902" s="74"/>
      <c r="M902" s="74" t="s">
        <v>1035</v>
      </c>
      <c r="N902" s="74">
        <v>1.08</v>
      </c>
      <c r="O902" s="74">
        <v>0.47</v>
      </c>
      <c r="P902" s="74">
        <v>0.5403</v>
      </c>
    </row>
    <row r="903" spans="1:16">
      <c r="A903" s="74" t="s">
        <v>1587</v>
      </c>
      <c r="B903" s="74" t="s">
        <v>323</v>
      </c>
      <c r="C903" s="74" t="s">
        <v>1543</v>
      </c>
      <c r="D903" s="74" t="s">
        <v>87</v>
      </c>
      <c r="E903" s="74">
        <v>1</v>
      </c>
      <c r="F903" s="74">
        <v>12.65</v>
      </c>
      <c r="G903" s="758">
        <f t="shared" si="56"/>
        <v>2.69</v>
      </c>
      <c r="H903" s="759">
        <f t="shared" si="57"/>
        <v>0.26</v>
      </c>
      <c r="I903" s="758">
        <f t="shared" si="58"/>
        <v>9.9600000000000009</v>
      </c>
      <c r="J903" s="760">
        <f t="shared" si="59"/>
        <v>0.78735177865612649</v>
      </c>
      <c r="K903" s="74"/>
      <c r="L903" s="74"/>
      <c r="M903" s="74" t="s">
        <v>1275</v>
      </c>
      <c r="N903" s="74">
        <v>1.89</v>
      </c>
      <c r="O903" s="74">
        <v>0.52</v>
      </c>
      <c r="P903" s="74">
        <v>0.2979</v>
      </c>
    </row>
    <row r="904" spans="1:16">
      <c r="A904" s="74" t="s">
        <v>1587</v>
      </c>
      <c r="B904" s="74" t="s">
        <v>323</v>
      </c>
      <c r="C904" s="74" t="s">
        <v>1610</v>
      </c>
      <c r="D904" s="74" t="s">
        <v>89</v>
      </c>
      <c r="E904" s="74">
        <v>1</v>
      </c>
      <c r="F904" s="74">
        <v>12.8</v>
      </c>
      <c r="G904" s="758">
        <f t="shared" si="56"/>
        <v>2.69</v>
      </c>
      <c r="H904" s="759">
        <f t="shared" si="57"/>
        <v>0.26</v>
      </c>
      <c r="I904" s="758">
        <f t="shared" si="58"/>
        <v>10.110000000000001</v>
      </c>
      <c r="J904" s="760">
        <f t="shared" si="59"/>
        <v>0.78984374999999996</v>
      </c>
      <c r="K904" s="74"/>
      <c r="L904" s="74"/>
      <c r="M904" s="74" t="s">
        <v>1082</v>
      </c>
      <c r="N904" s="74">
        <v>0</v>
      </c>
      <c r="O904" s="74">
        <v>0</v>
      </c>
      <c r="P904" s="74">
        <v>1</v>
      </c>
    </row>
    <row r="905" spans="1:16">
      <c r="A905" s="74" t="s">
        <v>1587</v>
      </c>
      <c r="B905" s="74" t="s">
        <v>323</v>
      </c>
      <c r="C905" s="74" t="s">
        <v>1675</v>
      </c>
      <c r="D905" s="74" t="s">
        <v>91</v>
      </c>
      <c r="E905" s="74">
        <v>1</v>
      </c>
      <c r="F905" s="74">
        <v>12.65</v>
      </c>
      <c r="G905" s="758">
        <f t="shared" si="56"/>
        <v>2.69</v>
      </c>
      <c r="H905" s="759">
        <f t="shared" si="57"/>
        <v>0.26</v>
      </c>
      <c r="I905" s="758">
        <f t="shared" si="58"/>
        <v>9.9600000000000009</v>
      </c>
      <c r="J905" s="760">
        <f t="shared" si="59"/>
        <v>0.78735177865612649</v>
      </c>
      <c r="K905" s="74"/>
      <c r="L905" s="74"/>
      <c r="M905" s="74" t="s">
        <v>2209</v>
      </c>
      <c r="N905" s="74">
        <v>0</v>
      </c>
      <c r="O905" s="74">
        <v>0</v>
      </c>
      <c r="P905" s="74">
        <v>1</v>
      </c>
    </row>
    <row r="906" spans="1:16">
      <c r="A906" s="74" t="s">
        <v>726</v>
      </c>
      <c r="B906" s="74" t="s">
        <v>323</v>
      </c>
      <c r="C906" s="74" t="s">
        <v>1528</v>
      </c>
      <c r="D906" s="74" t="s">
        <v>78</v>
      </c>
      <c r="E906" s="74">
        <v>1</v>
      </c>
      <c r="F906" s="74">
        <v>11.5</v>
      </c>
      <c r="G906" s="758">
        <f t="shared" si="56"/>
        <v>0</v>
      </c>
      <c r="H906" s="759">
        <f t="shared" si="57"/>
        <v>0</v>
      </c>
      <c r="I906" s="758">
        <f t="shared" si="58"/>
        <v>11.5</v>
      </c>
      <c r="J906" s="760">
        <f t="shared" si="59"/>
        <v>1</v>
      </c>
      <c r="K906" s="74"/>
      <c r="L906" s="74"/>
      <c r="M906" s="74" t="s">
        <v>2210</v>
      </c>
      <c r="N906" s="74">
        <v>0</v>
      </c>
      <c r="O906" s="74">
        <v>0</v>
      </c>
      <c r="P906" s="74">
        <v>1</v>
      </c>
    </row>
    <row r="907" spans="1:16">
      <c r="A907" s="74" t="s">
        <v>726</v>
      </c>
      <c r="B907" s="74" t="s">
        <v>323</v>
      </c>
      <c r="C907" s="74" t="s">
        <v>1508</v>
      </c>
      <c r="D907" s="74" t="s">
        <v>78</v>
      </c>
      <c r="E907" s="74">
        <v>1</v>
      </c>
      <c r="F907" s="74">
        <v>11.5</v>
      </c>
      <c r="G907" s="758">
        <f t="shared" si="56"/>
        <v>0</v>
      </c>
      <c r="H907" s="759">
        <f t="shared" si="57"/>
        <v>0</v>
      </c>
      <c r="I907" s="758">
        <f t="shared" si="58"/>
        <v>11.5</v>
      </c>
      <c r="J907" s="760">
        <f t="shared" si="59"/>
        <v>1</v>
      </c>
      <c r="K907" s="74"/>
      <c r="L907" s="74"/>
      <c r="M907" s="74" t="s">
        <v>785</v>
      </c>
      <c r="N907" s="74">
        <v>0</v>
      </c>
      <c r="O907" s="74">
        <v>0</v>
      </c>
      <c r="P907" s="74">
        <v>1</v>
      </c>
    </row>
    <row r="908" spans="1:16">
      <c r="A908" s="74" t="s">
        <v>726</v>
      </c>
      <c r="B908" s="74" t="s">
        <v>323</v>
      </c>
      <c r="C908" s="74" t="s">
        <v>1565</v>
      </c>
      <c r="D908" s="74" t="s">
        <v>78</v>
      </c>
      <c r="E908" s="74">
        <v>1</v>
      </c>
      <c r="F908" s="74">
        <v>11.5</v>
      </c>
      <c r="G908" s="758">
        <f t="shared" si="56"/>
        <v>0</v>
      </c>
      <c r="H908" s="759">
        <f t="shared" si="57"/>
        <v>0</v>
      </c>
      <c r="I908" s="758">
        <f t="shared" si="58"/>
        <v>11.5</v>
      </c>
      <c r="J908" s="760">
        <f t="shared" si="59"/>
        <v>1</v>
      </c>
      <c r="K908" s="74"/>
      <c r="L908" s="74"/>
      <c r="M908" s="74" t="s">
        <v>2211</v>
      </c>
      <c r="N908" s="74">
        <v>0.28999999999999998</v>
      </c>
      <c r="O908" s="74">
        <v>0.12</v>
      </c>
      <c r="P908" s="74">
        <v>0.90500000000000003</v>
      </c>
    </row>
    <row r="909" spans="1:16">
      <c r="A909" s="74" t="s">
        <v>726</v>
      </c>
      <c r="B909" s="74" t="s">
        <v>323</v>
      </c>
      <c r="C909" s="74" t="s">
        <v>1511</v>
      </c>
      <c r="D909" s="74" t="s">
        <v>80</v>
      </c>
      <c r="E909" s="74">
        <v>1</v>
      </c>
      <c r="F909" s="74">
        <v>11.5</v>
      </c>
      <c r="G909" s="758">
        <f t="shared" si="56"/>
        <v>0</v>
      </c>
      <c r="H909" s="759">
        <f t="shared" si="57"/>
        <v>0</v>
      </c>
      <c r="I909" s="758">
        <f t="shared" si="58"/>
        <v>11.5</v>
      </c>
      <c r="J909" s="760">
        <f t="shared" si="59"/>
        <v>1</v>
      </c>
      <c r="K909" s="74"/>
      <c r="L909" s="74"/>
      <c r="M909" s="74" t="s">
        <v>2212</v>
      </c>
      <c r="N909" s="74">
        <v>0</v>
      </c>
      <c r="O909" s="74">
        <v>0</v>
      </c>
      <c r="P909" s="74">
        <v>1</v>
      </c>
    </row>
    <row r="910" spans="1:16">
      <c r="A910" s="74" t="s">
        <v>726</v>
      </c>
      <c r="B910" s="74" t="s">
        <v>323</v>
      </c>
      <c r="C910" s="74" t="s">
        <v>1515</v>
      </c>
      <c r="D910" s="74" t="s">
        <v>81</v>
      </c>
      <c r="E910" s="74">
        <v>1</v>
      </c>
      <c r="F910" s="74">
        <v>11.5</v>
      </c>
      <c r="G910" s="758">
        <f t="shared" si="56"/>
        <v>0</v>
      </c>
      <c r="H910" s="759">
        <f t="shared" si="57"/>
        <v>0</v>
      </c>
      <c r="I910" s="758">
        <f t="shared" si="58"/>
        <v>11.5</v>
      </c>
      <c r="J910" s="760">
        <f t="shared" si="59"/>
        <v>1</v>
      </c>
      <c r="K910" s="74"/>
      <c r="L910" s="74"/>
      <c r="M910" s="74" t="s">
        <v>2213</v>
      </c>
      <c r="N910" s="74">
        <v>0</v>
      </c>
      <c r="O910" s="74">
        <v>0</v>
      </c>
      <c r="P910" s="74">
        <v>0</v>
      </c>
    </row>
    <row r="911" spans="1:16">
      <c r="A911" s="74" t="s">
        <v>726</v>
      </c>
      <c r="B911" s="74" t="s">
        <v>323</v>
      </c>
      <c r="C911" s="74" t="s">
        <v>1617</v>
      </c>
      <c r="D911" s="74" t="s">
        <v>94</v>
      </c>
      <c r="E911" s="74">
        <v>9</v>
      </c>
      <c r="F911" s="74">
        <v>6</v>
      </c>
      <c r="G911" s="758">
        <f t="shared" si="56"/>
        <v>0</v>
      </c>
      <c r="H911" s="759">
        <f t="shared" si="57"/>
        <v>0</v>
      </c>
      <c r="I911" s="758">
        <f t="shared" si="58"/>
        <v>0.66666666666666663</v>
      </c>
      <c r="J911" s="760">
        <f t="shared" si="59"/>
        <v>1</v>
      </c>
      <c r="K911" s="74"/>
      <c r="L911" s="74"/>
      <c r="M911" s="74" t="s">
        <v>2214</v>
      </c>
      <c r="N911" s="74">
        <v>0</v>
      </c>
      <c r="O911" s="74">
        <v>0</v>
      </c>
      <c r="P911" s="74">
        <v>0</v>
      </c>
    </row>
    <row r="912" spans="1:16">
      <c r="A912" s="74" t="s">
        <v>726</v>
      </c>
      <c r="B912" s="74" t="s">
        <v>323</v>
      </c>
      <c r="C912" s="74" t="s">
        <v>1553</v>
      </c>
      <c r="D912" s="74" t="s">
        <v>94</v>
      </c>
      <c r="E912" s="74">
        <v>2</v>
      </c>
      <c r="F912" s="74">
        <v>6</v>
      </c>
      <c r="G912" s="758">
        <f t="shared" si="56"/>
        <v>0</v>
      </c>
      <c r="H912" s="759">
        <f t="shared" si="57"/>
        <v>0</v>
      </c>
      <c r="I912" s="758">
        <f t="shared" si="58"/>
        <v>3</v>
      </c>
      <c r="J912" s="760">
        <f t="shared" si="59"/>
        <v>1</v>
      </c>
      <c r="K912" s="74"/>
      <c r="L912" s="74"/>
      <c r="M912" s="74" t="s">
        <v>248</v>
      </c>
      <c r="N912" s="74">
        <v>0.16</v>
      </c>
      <c r="O912" s="74">
        <v>0.24</v>
      </c>
      <c r="P912" s="74">
        <v>0.90580000000000005</v>
      </c>
    </row>
    <row r="913" spans="1:16">
      <c r="A913" s="74" t="s">
        <v>762</v>
      </c>
      <c r="B913" s="74" t="s">
        <v>323</v>
      </c>
      <c r="C913" s="74" t="s">
        <v>1509</v>
      </c>
      <c r="D913" s="74" t="s">
        <v>78</v>
      </c>
      <c r="E913" s="74">
        <v>2</v>
      </c>
      <c r="F913" s="74">
        <v>5.45</v>
      </c>
      <c r="G913" s="758">
        <f t="shared" si="56"/>
        <v>0</v>
      </c>
      <c r="H913" s="759">
        <f t="shared" si="57"/>
        <v>0</v>
      </c>
      <c r="I913" s="758">
        <f t="shared" si="58"/>
        <v>2.7250000000000001</v>
      </c>
      <c r="J913" s="760">
        <f t="shared" si="59"/>
        <v>1</v>
      </c>
      <c r="K913" s="74"/>
      <c r="L913" s="74"/>
      <c r="M913" s="74" t="s">
        <v>2215</v>
      </c>
      <c r="N913" s="74">
        <v>0.34</v>
      </c>
      <c r="O913" s="74">
        <v>0</v>
      </c>
      <c r="P913" s="74">
        <v>0</v>
      </c>
    </row>
    <row r="914" spans="1:16">
      <c r="A914" s="74" t="s">
        <v>762</v>
      </c>
      <c r="B914" s="74" t="s">
        <v>323</v>
      </c>
      <c r="C914" s="74" t="s">
        <v>1512</v>
      </c>
      <c r="D914" s="74" t="s">
        <v>80</v>
      </c>
      <c r="E914" s="74">
        <v>2</v>
      </c>
      <c r="F914" s="74">
        <v>5.45</v>
      </c>
      <c r="G914" s="758">
        <f t="shared" si="56"/>
        <v>0</v>
      </c>
      <c r="H914" s="759">
        <f t="shared" si="57"/>
        <v>0</v>
      </c>
      <c r="I914" s="758">
        <f t="shared" si="58"/>
        <v>2.7250000000000001</v>
      </c>
      <c r="J914" s="760">
        <f t="shared" si="59"/>
        <v>1</v>
      </c>
      <c r="K914" s="74"/>
      <c r="L914" s="74"/>
      <c r="M914" s="74" t="s">
        <v>2216</v>
      </c>
      <c r="N914" s="74">
        <v>0</v>
      </c>
      <c r="O914" s="74">
        <v>0</v>
      </c>
      <c r="P914" s="74">
        <v>0</v>
      </c>
    </row>
    <row r="915" spans="1:16">
      <c r="A915" s="74" t="s">
        <v>762</v>
      </c>
      <c r="B915" s="74" t="s">
        <v>323</v>
      </c>
      <c r="C915" s="74" t="s">
        <v>1513</v>
      </c>
      <c r="D915" s="74" t="s">
        <v>81</v>
      </c>
      <c r="E915" s="74">
        <v>2</v>
      </c>
      <c r="F915" s="74">
        <v>5.45</v>
      </c>
      <c r="G915" s="758">
        <f t="shared" si="56"/>
        <v>0</v>
      </c>
      <c r="H915" s="759">
        <f t="shared" si="57"/>
        <v>0</v>
      </c>
      <c r="I915" s="758">
        <f t="shared" si="58"/>
        <v>2.7250000000000001</v>
      </c>
      <c r="J915" s="760">
        <f t="shared" si="59"/>
        <v>1</v>
      </c>
      <c r="K915" s="74"/>
      <c r="L915" s="74"/>
      <c r="M915" s="74" t="s">
        <v>2217</v>
      </c>
      <c r="N915" s="74">
        <v>0</v>
      </c>
      <c r="O915" s="74">
        <v>0</v>
      </c>
      <c r="P915" s="74">
        <v>0</v>
      </c>
    </row>
    <row r="916" spans="1:16">
      <c r="A916" s="74" t="s">
        <v>762</v>
      </c>
      <c r="B916" s="74" t="s">
        <v>323</v>
      </c>
      <c r="C916" s="74" t="s">
        <v>1515</v>
      </c>
      <c r="D916" s="74" t="s">
        <v>81</v>
      </c>
      <c r="E916" s="74">
        <v>4</v>
      </c>
      <c r="F916" s="74">
        <v>10.91</v>
      </c>
      <c r="G916" s="758">
        <f t="shared" si="56"/>
        <v>0</v>
      </c>
      <c r="H916" s="759">
        <f t="shared" si="57"/>
        <v>0</v>
      </c>
      <c r="I916" s="758">
        <f t="shared" si="58"/>
        <v>2.7275</v>
      </c>
      <c r="J916" s="760">
        <f t="shared" si="59"/>
        <v>1</v>
      </c>
      <c r="K916" s="74"/>
      <c r="L916" s="74"/>
      <c r="M916" s="74" t="s">
        <v>2218</v>
      </c>
      <c r="N916" s="74">
        <v>0</v>
      </c>
      <c r="O916" s="74">
        <v>0</v>
      </c>
      <c r="P916" s="74">
        <v>0</v>
      </c>
    </row>
    <row r="917" spans="1:16">
      <c r="A917" s="74" t="s">
        <v>1588</v>
      </c>
      <c r="B917" s="74" t="s">
        <v>873</v>
      </c>
      <c r="C917" s="74" t="s">
        <v>1557</v>
      </c>
      <c r="D917" s="74" t="s">
        <v>95</v>
      </c>
      <c r="E917" s="74">
        <v>4</v>
      </c>
      <c r="F917" s="74">
        <v>9</v>
      </c>
      <c r="G917" s="758">
        <f t="shared" si="56"/>
        <v>0</v>
      </c>
      <c r="H917" s="759">
        <f t="shared" si="57"/>
        <v>0</v>
      </c>
      <c r="I917" s="758">
        <f t="shared" si="58"/>
        <v>2.25</v>
      </c>
      <c r="J917" s="760">
        <f t="shared" si="59"/>
        <v>1</v>
      </c>
      <c r="K917" s="74"/>
      <c r="L917" s="74"/>
      <c r="M917" s="74" t="s">
        <v>2219</v>
      </c>
      <c r="N917" s="74">
        <v>0</v>
      </c>
      <c r="O917" s="74">
        <v>0</v>
      </c>
      <c r="P917" s="74">
        <v>1</v>
      </c>
    </row>
    <row r="918" spans="1:16">
      <c r="A918" s="74" t="s">
        <v>684</v>
      </c>
      <c r="B918" s="74" t="s">
        <v>323</v>
      </c>
      <c r="C918" s="74" t="s">
        <v>1528</v>
      </c>
      <c r="D918" s="74" t="s">
        <v>78</v>
      </c>
      <c r="E918" s="74">
        <v>12</v>
      </c>
      <c r="F918" s="74">
        <v>109.58</v>
      </c>
      <c r="G918" s="758">
        <f t="shared" si="56"/>
        <v>0.68</v>
      </c>
      <c r="H918" s="759">
        <f t="shared" si="57"/>
        <v>0.21</v>
      </c>
      <c r="I918" s="758">
        <f t="shared" si="58"/>
        <v>8.4516666666666662</v>
      </c>
      <c r="J918" s="760">
        <f t="shared" si="59"/>
        <v>0.92553385654316478</v>
      </c>
      <c r="K918" s="74"/>
      <c r="L918" s="74"/>
      <c r="M918" s="74" t="s">
        <v>1081</v>
      </c>
      <c r="N918" s="74">
        <v>0</v>
      </c>
      <c r="O918" s="74">
        <v>0</v>
      </c>
      <c r="P918" s="74">
        <v>0</v>
      </c>
    </row>
    <row r="919" spans="1:16">
      <c r="A919" s="74" t="s">
        <v>684</v>
      </c>
      <c r="B919" s="74" t="s">
        <v>323</v>
      </c>
      <c r="C919" s="74" t="s">
        <v>1508</v>
      </c>
      <c r="D919" s="74" t="s">
        <v>78</v>
      </c>
      <c r="E919" s="74">
        <v>8</v>
      </c>
      <c r="F919" s="74">
        <v>74.95</v>
      </c>
      <c r="G919" s="758">
        <f t="shared" si="56"/>
        <v>0.68</v>
      </c>
      <c r="H919" s="759">
        <f t="shared" si="57"/>
        <v>0.21</v>
      </c>
      <c r="I919" s="758">
        <f t="shared" si="58"/>
        <v>8.6887500000000006</v>
      </c>
      <c r="J919" s="760">
        <f t="shared" si="59"/>
        <v>0.92741827885256833</v>
      </c>
      <c r="K919" s="74"/>
      <c r="L919" s="74"/>
      <c r="M919" s="74" t="s">
        <v>2220</v>
      </c>
      <c r="N919" s="74">
        <v>0</v>
      </c>
      <c r="O919" s="74">
        <v>0</v>
      </c>
      <c r="P919" s="74">
        <v>0</v>
      </c>
    </row>
    <row r="920" spans="1:16">
      <c r="A920" s="74" t="s">
        <v>684</v>
      </c>
      <c r="B920" s="74" t="s">
        <v>323</v>
      </c>
      <c r="C920" s="74" t="s">
        <v>1509</v>
      </c>
      <c r="D920" s="74" t="s">
        <v>78</v>
      </c>
      <c r="E920" s="74">
        <v>8</v>
      </c>
      <c r="F920" s="74">
        <v>74.84</v>
      </c>
      <c r="G920" s="758">
        <f t="shared" si="56"/>
        <v>0.68</v>
      </c>
      <c r="H920" s="759">
        <f t="shared" si="57"/>
        <v>0.21</v>
      </c>
      <c r="I920" s="758">
        <f t="shared" si="58"/>
        <v>8.6750000000000007</v>
      </c>
      <c r="J920" s="760">
        <f t="shared" si="59"/>
        <v>0.92731159807589525</v>
      </c>
      <c r="K920" s="74"/>
      <c r="L920" s="74"/>
      <c r="M920" s="74" t="s">
        <v>734</v>
      </c>
      <c r="N920" s="74">
        <v>5.59</v>
      </c>
      <c r="O920" s="74">
        <v>0.48</v>
      </c>
      <c r="P920" s="74">
        <v>0.61650000000000005</v>
      </c>
    </row>
    <row r="921" spans="1:16">
      <c r="A921" s="74" t="s">
        <v>684</v>
      </c>
      <c r="B921" s="74" t="s">
        <v>323</v>
      </c>
      <c r="C921" s="74" t="s">
        <v>1565</v>
      </c>
      <c r="D921" s="74" t="s">
        <v>78</v>
      </c>
      <c r="E921" s="74">
        <v>15</v>
      </c>
      <c r="F921" s="74">
        <v>143.69</v>
      </c>
      <c r="G921" s="758">
        <f t="shared" si="56"/>
        <v>0.68</v>
      </c>
      <c r="H921" s="759">
        <f t="shared" si="57"/>
        <v>0.21</v>
      </c>
      <c r="I921" s="758">
        <f t="shared" si="58"/>
        <v>8.8993333333333329</v>
      </c>
      <c r="J921" s="760">
        <f t="shared" si="59"/>
        <v>0.92901384925882102</v>
      </c>
      <c r="K921" s="74"/>
      <c r="L921" s="74"/>
      <c r="M921" s="74" t="s">
        <v>2221</v>
      </c>
      <c r="N921" s="74">
        <v>0</v>
      </c>
      <c r="O921" s="74">
        <v>0</v>
      </c>
      <c r="P921" s="74">
        <v>1</v>
      </c>
    </row>
    <row r="922" spans="1:16">
      <c r="A922" s="74" t="s">
        <v>684</v>
      </c>
      <c r="B922" s="74" t="s">
        <v>323</v>
      </c>
      <c r="C922" s="74" t="s">
        <v>1530</v>
      </c>
      <c r="D922" s="74" t="s">
        <v>80</v>
      </c>
      <c r="E922" s="74">
        <v>3</v>
      </c>
      <c r="F922" s="74">
        <v>27.8</v>
      </c>
      <c r="G922" s="758">
        <f t="shared" si="56"/>
        <v>0.68</v>
      </c>
      <c r="H922" s="759">
        <f t="shared" si="57"/>
        <v>0.21</v>
      </c>
      <c r="I922" s="758">
        <f t="shared" si="58"/>
        <v>8.5866666666666678</v>
      </c>
      <c r="J922" s="760">
        <f t="shared" si="59"/>
        <v>0.92661870503597121</v>
      </c>
      <c r="K922" s="74"/>
      <c r="L922" s="74"/>
      <c r="M922" s="74" t="s">
        <v>2222</v>
      </c>
      <c r="N922" s="74">
        <v>2.8</v>
      </c>
      <c r="O922" s="74">
        <v>0.21</v>
      </c>
      <c r="P922" s="74">
        <v>0.80930000000000002</v>
      </c>
    </row>
    <row r="923" spans="1:16">
      <c r="A923" s="74" t="s">
        <v>684</v>
      </c>
      <c r="B923" s="74" t="s">
        <v>323</v>
      </c>
      <c r="C923" s="74" t="s">
        <v>1532</v>
      </c>
      <c r="D923" s="74" t="s">
        <v>80</v>
      </c>
      <c r="E923" s="74">
        <v>8</v>
      </c>
      <c r="F923" s="74">
        <v>76.8</v>
      </c>
      <c r="G923" s="758">
        <f t="shared" si="56"/>
        <v>0.68</v>
      </c>
      <c r="H923" s="759">
        <f t="shared" si="57"/>
        <v>0.21</v>
      </c>
      <c r="I923" s="758">
        <f t="shared" si="58"/>
        <v>8.92</v>
      </c>
      <c r="J923" s="760">
        <f t="shared" si="59"/>
        <v>0.9291666666666667</v>
      </c>
      <c r="K923" s="74"/>
      <c r="L923" s="74"/>
      <c r="M923" s="74" t="s">
        <v>2223</v>
      </c>
      <c r="N923" s="74">
        <v>0</v>
      </c>
      <c r="O923" s="74">
        <v>0</v>
      </c>
      <c r="P923" s="74">
        <v>1</v>
      </c>
    </row>
    <row r="924" spans="1:16">
      <c r="A924" s="74" t="s">
        <v>684</v>
      </c>
      <c r="B924" s="74" t="s">
        <v>323</v>
      </c>
      <c r="C924" s="74" t="s">
        <v>1511</v>
      </c>
      <c r="D924" s="74" t="s">
        <v>80</v>
      </c>
      <c r="E924" s="74">
        <v>17</v>
      </c>
      <c r="F924" s="74">
        <v>162.01</v>
      </c>
      <c r="G924" s="758">
        <f t="shared" si="56"/>
        <v>0.68</v>
      </c>
      <c r="H924" s="759">
        <f t="shared" si="57"/>
        <v>0.21</v>
      </c>
      <c r="I924" s="758">
        <f t="shared" si="58"/>
        <v>8.85</v>
      </c>
      <c r="J924" s="760">
        <f t="shared" si="59"/>
        <v>0.9286463798530955</v>
      </c>
      <c r="K924" s="74"/>
      <c r="L924" s="74"/>
      <c r="M924" s="74" t="s">
        <v>2224</v>
      </c>
      <c r="N924" s="74">
        <v>0</v>
      </c>
      <c r="O924" s="74">
        <v>0</v>
      </c>
      <c r="P924" s="74">
        <v>1</v>
      </c>
    </row>
    <row r="925" spans="1:16">
      <c r="A925" s="74" t="s">
        <v>684</v>
      </c>
      <c r="B925" s="74" t="s">
        <v>323</v>
      </c>
      <c r="C925" s="74" t="s">
        <v>1512</v>
      </c>
      <c r="D925" s="74" t="s">
        <v>80</v>
      </c>
      <c r="E925" s="74">
        <v>13</v>
      </c>
      <c r="F925" s="74">
        <v>122.28</v>
      </c>
      <c r="G925" s="758">
        <f t="shared" si="56"/>
        <v>0.68</v>
      </c>
      <c r="H925" s="759">
        <f t="shared" si="57"/>
        <v>0.21</v>
      </c>
      <c r="I925" s="758">
        <f t="shared" si="58"/>
        <v>8.7261538461538457</v>
      </c>
      <c r="J925" s="760">
        <f t="shared" si="59"/>
        <v>0.92770690219169116</v>
      </c>
      <c r="K925" s="74"/>
      <c r="L925" s="74"/>
      <c r="M925" s="74" t="s">
        <v>2225</v>
      </c>
      <c r="N925" s="74">
        <v>2.8</v>
      </c>
      <c r="O925" s="74">
        <v>0.22</v>
      </c>
      <c r="P925" s="74">
        <v>0.79879999999999995</v>
      </c>
    </row>
    <row r="926" spans="1:16">
      <c r="A926" s="74" t="s">
        <v>684</v>
      </c>
      <c r="B926" s="74" t="s">
        <v>323</v>
      </c>
      <c r="C926" s="74" t="s">
        <v>1534</v>
      </c>
      <c r="D926" s="74" t="s">
        <v>81</v>
      </c>
      <c r="E926" s="74">
        <v>9</v>
      </c>
      <c r="F926" s="74">
        <v>87.65</v>
      </c>
      <c r="G926" s="758">
        <f t="shared" si="56"/>
        <v>0.68</v>
      </c>
      <c r="H926" s="759">
        <f t="shared" si="57"/>
        <v>0.21</v>
      </c>
      <c r="I926" s="758">
        <f t="shared" si="58"/>
        <v>9.0588888888888892</v>
      </c>
      <c r="J926" s="760">
        <f t="shared" si="59"/>
        <v>0.93017683970336562</v>
      </c>
      <c r="K926" s="74"/>
      <c r="L926" s="74"/>
      <c r="M926" s="74" t="s">
        <v>1096</v>
      </c>
      <c r="N926" s="74">
        <v>0</v>
      </c>
      <c r="O926" s="74">
        <v>0</v>
      </c>
      <c r="P926" s="74">
        <v>0</v>
      </c>
    </row>
    <row r="927" spans="1:16">
      <c r="A927" s="74" t="s">
        <v>684</v>
      </c>
      <c r="B927" s="74" t="s">
        <v>323</v>
      </c>
      <c r="C927" s="74" t="s">
        <v>1513</v>
      </c>
      <c r="D927" s="74" t="s">
        <v>81</v>
      </c>
      <c r="E927" s="74">
        <v>7</v>
      </c>
      <c r="F927" s="74">
        <v>63.8</v>
      </c>
      <c r="G927" s="758">
        <f t="shared" si="56"/>
        <v>0.68</v>
      </c>
      <c r="H927" s="759">
        <f t="shared" si="57"/>
        <v>0.21</v>
      </c>
      <c r="I927" s="758">
        <f t="shared" si="58"/>
        <v>8.4342857142857142</v>
      </c>
      <c r="J927" s="760">
        <f t="shared" si="59"/>
        <v>0.9253918495297806</v>
      </c>
      <c r="K927" s="74"/>
      <c r="L927" s="74"/>
      <c r="M927" s="74" t="s">
        <v>2226</v>
      </c>
      <c r="N927" s="74">
        <v>0</v>
      </c>
      <c r="O927" s="74">
        <v>0</v>
      </c>
      <c r="P927" s="74">
        <v>1</v>
      </c>
    </row>
    <row r="928" spans="1:16">
      <c r="A928" s="74" t="s">
        <v>684</v>
      </c>
      <c r="B928" s="74" t="s">
        <v>323</v>
      </c>
      <c r="C928" s="74" t="s">
        <v>1514</v>
      </c>
      <c r="D928" s="74" t="s">
        <v>81</v>
      </c>
      <c r="E928" s="74">
        <v>15</v>
      </c>
      <c r="F928" s="74">
        <v>142.19999999999999</v>
      </c>
      <c r="G928" s="758">
        <f t="shared" si="56"/>
        <v>0.68</v>
      </c>
      <c r="H928" s="759">
        <f t="shared" si="57"/>
        <v>0.21</v>
      </c>
      <c r="I928" s="758">
        <f t="shared" si="58"/>
        <v>8.7999999999999989</v>
      </c>
      <c r="J928" s="760">
        <f t="shared" si="59"/>
        <v>0.92827004219409281</v>
      </c>
      <c r="K928" s="74"/>
      <c r="L928" s="74"/>
      <c r="M928" s="74" t="s">
        <v>2227</v>
      </c>
      <c r="N928" s="74">
        <v>0</v>
      </c>
      <c r="O928" s="74">
        <v>0</v>
      </c>
      <c r="P928" s="74">
        <v>1</v>
      </c>
    </row>
    <row r="929" spans="1:16">
      <c r="A929" s="74" t="s">
        <v>684</v>
      </c>
      <c r="B929" s="74" t="s">
        <v>323</v>
      </c>
      <c r="C929" s="74" t="s">
        <v>1515</v>
      </c>
      <c r="D929" s="74" t="s">
        <v>81</v>
      </c>
      <c r="E929" s="74">
        <v>21</v>
      </c>
      <c r="F929" s="74">
        <v>196.8</v>
      </c>
      <c r="G929" s="758">
        <f t="shared" si="56"/>
        <v>0.68</v>
      </c>
      <c r="H929" s="759">
        <f t="shared" si="57"/>
        <v>0.21</v>
      </c>
      <c r="I929" s="758">
        <f t="shared" si="58"/>
        <v>8.6914285714285722</v>
      </c>
      <c r="J929" s="760">
        <f t="shared" si="59"/>
        <v>0.92743902439024395</v>
      </c>
      <c r="K929" s="74"/>
      <c r="L929" s="74"/>
      <c r="M929" s="74" t="s">
        <v>2228</v>
      </c>
      <c r="N929" s="74">
        <v>4.55</v>
      </c>
      <c r="O929" s="74">
        <v>0.28000000000000003</v>
      </c>
      <c r="P929" s="74">
        <v>0.74929999999999997</v>
      </c>
    </row>
    <row r="930" spans="1:16">
      <c r="A930" s="74" t="s">
        <v>684</v>
      </c>
      <c r="B930" s="74" t="s">
        <v>323</v>
      </c>
      <c r="C930" s="74" t="s">
        <v>1516</v>
      </c>
      <c r="D930" s="74" t="s">
        <v>82</v>
      </c>
      <c r="E930" s="74">
        <v>8</v>
      </c>
      <c r="F930" s="74">
        <v>80.8</v>
      </c>
      <c r="G930" s="758">
        <f t="shared" si="56"/>
        <v>0.68</v>
      </c>
      <c r="H930" s="759">
        <f t="shared" si="57"/>
        <v>0.21</v>
      </c>
      <c r="I930" s="758">
        <f t="shared" si="58"/>
        <v>9.42</v>
      </c>
      <c r="J930" s="760">
        <f t="shared" si="59"/>
        <v>0.93267326732673261</v>
      </c>
      <c r="K930" s="74"/>
      <c r="L930" s="74"/>
      <c r="M930" s="74" t="s">
        <v>929</v>
      </c>
      <c r="N930" s="74">
        <v>0.75</v>
      </c>
      <c r="O930" s="74">
        <v>0.27</v>
      </c>
      <c r="P930" s="74">
        <v>0.80059999999999998</v>
      </c>
    </row>
    <row r="931" spans="1:16">
      <c r="A931" s="74" t="s">
        <v>684</v>
      </c>
      <c r="B931" s="74" t="s">
        <v>323</v>
      </c>
      <c r="C931" s="74" t="s">
        <v>1517</v>
      </c>
      <c r="D931" s="74" t="s">
        <v>82</v>
      </c>
      <c r="E931" s="74">
        <v>5</v>
      </c>
      <c r="F931" s="74">
        <v>49</v>
      </c>
      <c r="G931" s="758">
        <f t="shared" si="56"/>
        <v>0.68</v>
      </c>
      <c r="H931" s="759">
        <f t="shared" si="57"/>
        <v>0.21</v>
      </c>
      <c r="I931" s="758">
        <f t="shared" si="58"/>
        <v>9.120000000000001</v>
      </c>
      <c r="J931" s="760">
        <f t="shared" si="59"/>
        <v>0.93061224489795913</v>
      </c>
      <c r="K931" s="74"/>
      <c r="L931" s="74"/>
      <c r="M931" s="74" t="s">
        <v>2229</v>
      </c>
      <c r="N931" s="74">
        <v>0.91</v>
      </c>
      <c r="O931" s="74">
        <v>0.27</v>
      </c>
      <c r="P931" s="74">
        <v>0.75729999999999997</v>
      </c>
    </row>
    <row r="932" spans="1:16">
      <c r="A932" s="74" t="s">
        <v>684</v>
      </c>
      <c r="B932" s="74" t="s">
        <v>323</v>
      </c>
      <c r="C932" s="74" t="s">
        <v>1527</v>
      </c>
      <c r="D932" s="74" t="s">
        <v>82</v>
      </c>
      <c r="E932" s="74">
        <v>9</v>
      </c>
      <c r="F932" s="74">
        <v>88.2</v>
      </c>
      <c r="G932" s="758">
        <f t="shared" si="56"/>
        <v>0.68</v>
      </c>
      <c r="H932" s="759">
        <f t="shared" si="57"/>
        <v>0.21</v>
      </c>
      <c r="I932" s="758">
        <f t="shared" si="58"/>
        <v>9.120000000000001</v>
      </c>
      <c r="J932" s="760">
        <f t="shared" si="59"/>
        <v>0.93061224489795924</v>
      </c>
      <c r="K932" s="74"/>
      <c r="L932" s="74"/>
      <c r="M932" s="74" t="s">
        <v>2230</v>
      </c>
      <c r="N932" s="74">
        <v>0.91</v>
      </c>
      <c r="O932" s="74">
        <v>0.26</v>
      </c>
      <c r="P932" s="74">
        <v>0.7611</v>
      </c>
    </row>
    <row r="933" spans="1:16">
      <c r="A933" s="74" t="s">
        <v>684</v>
      </c>
      <c r="B933" s="74" t="s">
        <v>323</v>
      </c>
      <c r="C933" s="74" t="s">
        <v>1518</v>
      </c>
      <c r="D933" s="74" t="s">
        <v>82</v>
      </c>
      <c r="E933" s="74">
        <v>9</v>
      </c>
      <c r="F933" s="74">
        <v>87.4</v>
      </c>
      <c r="G933" s="758">
        <f t="shared" si="56"/>
        <v>0.68</v>
      </c>
      <c r="H933" s="759">
        <f t="shared" si="57"/>
        <v>0.21</v>
      </c>
      <c r="I933" s="758">
        <f t="shared" si="58"/>
        <v>9.0311111111111124</v>
      </c>
      <c r="J933" s="760">
        <f t="shared" si="59"/>
        <v>0.92997711670480554</v>
      </c>
      <c r="K933" s="74"/>
      <c r="L933" s="74"/>
      <c r="M933" s="74" t="s">
        <v>2231</v>
      </c>
      <c r="N933" s="74">
        <v>4.55</v>
      </c>
      <c r="O933" s="74">
        <v>0.28000000000000003</v>
      </c>
      <c r="P933" s="74">
        <v>0.74929999999999997</v>
      </c>
    </row>
    <row r="934" spans="1:16">
      <c r="A934" s="74" t="s">
        <v>684</v>
      </c>
      <c r="B934" s="74" t="s">
        <v>323</v>
      </c>
      <c r="C934" s="74" t="s">
        <v>1519</v>
      </c>
      <c r="D934" s="74" t="s">
        <v>84</v>
      </c>
      <c r="E934" s="74">
        <v>2</v>
      </c>
      <c r="F934" s="74">
        <v>19.600000000000001</v>
      </c>
      <c r="G934" s="758">
        <f t="shared" si="56"/>
        <v>0.68</v>
      </c>
      <c r="H934" s="759">
        <f t="shared" si="57"/>
        <v>0.21</v>
      </c>
      <c r="I934" s="758">
        <f t="shared" si="58"/>
        <v>9.120000000000001</v>
      </c>
      <c r="J934" s="760">
        <f t="shared" si="59"/>
        <v>0.93061224489795924</v>
      </c>
      <c r="K934" s="74"/>
      <c r="L934" s="74"/>
      <c r="M934" s="74" t="s">
        <v>2232</v>
      </c>
      <c r="N934" s="74">
        <v>0.91</v>
      </c>
      <c r="O934" s="74">
        <v>0.27</v>
      </c>
      <c r="P934" s="74">
        <v>0.75729999999999997</v>
      </c>
    </row>
    <row r="935" spans="1:16">
      <c r="A935" s="74" t="s">
        <v>684</v>
      </c>
      <c r="B935" s="74" t="s">
        <v>323</v>
      </c>
      <c r="C935" s="74" t="s">
        <v>1540</v>
      </c>
      <c r="D935" s="74" t="s">
        <v>84</v>
      </c>
      <c r="E935" s="74">
        <v>2</v>
      </c>
      <c r="F935" s="74">
        <v>19.600000000000001</v>
      </c>
      <c r="G935" s="758">
        <f t="shared" si="56"/>
        <v>0.68</v>
      </c>
      <c r="H935" s="759">
        <f t="shared" si="57"/>
        <v>0.21</v>
      </c>
      <c r="I935" s="758">
        <f t="shared" si="58"/>
        <v>9.120000000000001</v>
      </c>
      <c r="J935" s="760">
        <f t="shared" si="59"/>
        <v>0.93061224489795924</v>
      </c>
      <c r="K935" s="74"/>
      <c r="L935" s="74"/>
      <c r="M935" s="74" t="s">
        <v>2233</v>
      </c>
      <c r="N935" s="74">
        <v>0</v>
      </c>
      <c r="O935" s="74">
        <v>0</v>
      </c>
      <c r="P935" s="74">
        <v>1</v>
      </c>
    </row>
    <row r="936" spans="1:16">
      <c r="A936" s="74" t="s">
        <v>684</v>
      </c>
      <c r="B936" s="74" t="s">
        <v>323</v>
      </c>
      <c r="C936" s="74" t="s">
        <v>1541</v>
      </c>
      <c r="D936" s="74" t="s">
        <v>86</v>
      </c>
      <c r="E936" s="74">
        <v>1</v>
      </c>
      <c r="F936" s="74">
        <v>9.8000000000000007</v>
      </c>
      <c r="G936" s="758">
        <f t="shared" si="56"/>
        <v>0.68</v>
      </c>
      <c r="H936" s="759">
        <f t="shared" si="57"/>
        <v>0.21</v>
      </c>
      <c r="I936" s="758">
        <f t="shared" si="58"/>
        <v>9.120000000000001</v>
      </c>
      <c r="J936" s="760">
        <f t="shared" si="59"/>
        <v>0.93061224489795924</v>
      </c>
      <c r="K936" s="74"/>
      <c r="L936" s="74"/>
      <c r="M936" s="74" t="s">
        <v>2234</v>
      </c>
      <c r="N936" s="74">
        <v>0</v>
      </c>
      <c r="O936" s="74">
        <v>0</v>
      </c>
      <c r="P936" s="74">
        <v>0</v>
      </c>
    </row>
    <row r="937" spans="1:16">
      <c r="A937" s="74" t="s">
        <v>684</v>
      </c>
      <c r="B937" s="74" t="s">
        <v>323</v>
      </c>
      <c r="C937" s="74" t="s">
        <v>1543</v>
      </c>
      <c r="D937" s="74" t="s">
        <v>87</v>
      </c>
      <c r="E937" s="74">
        <v>2</v>
      </c>
      <c r="F937" s="74">
        <v>18</v>
      </c>
      <c r="G937" s="758">
        <f t="shared" si="56"/>
        <v>0.68</v>
      </c>
      <c r="H937" s="759">
        <f t="shared" si="57"/>
        <v>0.21</v>
      </c>
      <c r="I937" s="758">
        <f t="shared" si="58"/>
        <v>8.32</v>
      </c>
      <c r="J937" s="760">
        <f t="shared" si="59"/>
        <v>0.9244444444444444</v>
      </c>
      <c r="K937" s="74"/>
      <c r="L937" s="74"/>
      <c r="M937" s="74" t="s">
        <v>709</v>
      </c>
      <c r="N937" s="74">
        <v>0.49</v>
      </c>
      <c r="O937" s="74">
        <v>0.26</v>
      </c>
      <c r="P937" s="74">
        <v>0.8216</v>
      </c>
    </row>
    <row r="938" spans="1:16">
      <c r="A938" s="74" t="s">
        <v>684</v>
      </c>
      <c r="B938" s="74" t="s">
        <v>323</v>
      </c>
      <c r="C938" s="74" t="s">
        <v>1544</v>
      </c>
      <c r="D938" s="74" t="s">
        <v>87</v>
      </c>
      <c r="E938" s="74">
        <v>1</v>
      </c>
      <c r="F938" s="74">
        <v>9.8000000000000007</v>
      </c>
      <c r="G938" s="758">
        <f t="shared" si="56"/>
        <v>0.68</v>
      </c>
      <c r="H938" s="759">
        <f t="shared" si="57"/>
        <v>0.21</v>
      </c>
      <c r="I938" s="758">
        <f t="shared" si="58"/>
        <v>9.120000000000001</v>
      </c>
      <c r="J938" s="760">
        <f t="shared" si="59"/>
        <v>0.93061224489795924</v>
      </c>
      <c r="K938" s="74"/>
      <c r="L938" s="74"/>
      <c r="M938" s="74" t="s">
        <v>2235</v>
      </c>
      <c r="N938" s="74">
        <v>0</v>
      </c>
      <c r="O938" s="74">
        <v>0</v>
      </c>
      <c r="P938" s="74">
        <v>0</v>
      </c>
    </row>
    <row r="939" spans="1:16">
      <c r="A939" s="74" t="s">
        <v>684</v>
      </c>
      <c r="B939" s="74" t="s">
        <v>323</v>
      </c>
      <c r="C939" s="74" t="s">
        <v>1610</v>
      </c>
      <c r="D939" s="74" t="s">
        <v>89</v>
      </c>
      <c r="E939" s="74">
        <v>3</v>
      </c>
      <c r="F939" s="74">
        <v>28.6</v>
      </c>
      <c r="G939" s="758">
        <f t="shared" si="56"/>
        <v>0.68</v>
      </c>
      <c r="H939" s="759">
        <f t="shared" si="57"/>
        <v>0.21</v>
      </c>
      <c r="I939" s="758">
        <f t="shared" si="58"/>
        <v>8.8533333333333335</v>
      </c>
      <c r="J939" s="760">
        <f t="shared" si="59"/>
        <v>0.92867132867132862</v>
      </c>
      <c r="K939" s="74"/>
      <c r="L939" s="74"/>
      <c r="M939" s="74" t="s">
        <v>900</v>
      </c>
      <c r="N939" s="74">
        <v>0.12</v>
      </c>
      <c r="O939" s="74">
        <v>0.26</v>
      </c>
      <c r="P939" s="74">
        <v>0.95309999999999995</v>
      </c>
    </row>
    <row r="940" spans="1:16">
      <c r="A940" s="74" t="s">
        <v>684</v>
      </c>
      <c r="B940" s="74" t="s">
        <v>323</v>
      </c>
      <c r="C940" s="74" t="s">
        <v>1546</v>
      </c>
      <c r="D940" s="74" t="s">
        <v>89</v>
      </c>
      <c r="E940" s="74">
        <v>1</v>
      </c>
      <c r="F940" s="74">
        <v>9.8000000000000007</v>
      </c>
      <c r="G940" s="758">
        <f t="shared" si="56"/>
        <v>0.68</v>
      </c>
      <c r="H940" s="759">
        <f t="shared" si="57"/>
        <v>0.21</v>
      </c>
      <c r="I940" s="758">
        <f t="shared" si="58"/>
        <v>9.120000000000001</v>
      </c>
      <c r="J940" s="760">
        <f t="shared" si="59"/>
        <v>0.93061224489795924</v>
      </c>
      <c r="K940" s="74"/>
      <c r="L940" s="74"/>
      <c r="M940" s="74" t="s">
        <v>908</v>
      </c>
      <c r="N940" s="74">
        <v>0</v>
      </c>
      <c r="O940" s="74">
        <v>0</v>
      </c>
      <c r="P940" s="74">
        <v>1</v>
      </c>
    </row>
    <row r="941" spans="1:16">
      <c r="A941" s="74" t="s">
        <v>684</v>
      </c>
      <c r="B941" s="74" t="s">
        <v>323</v>
      </c>
      <c r="C941" s="74" t="s">
        <v>1584</v>
      </c>
      <c r="D941" s="74" t="s">
        <v>92</v>
      </c>
      <c r="E941" s="74">
        <v>1</v>
      </c>
      <c r="F941" s="74">
        <v>9.8000000000000007</v>
      </c>
      <c r="G941" s="758">
        <f t="shared" si="56"/>
        <v>0.68</v>
      </c>
      <c r="H941" s="759">
        <f t="shared" si="57"/>
        <v>0.21</v>
      </c>
      <c r="I941" s="758">
        <f t="shared" si="58"/>
        <v>9.120000000000001</v>
      </c>
      <c r="J941" s="760">
        <f t="shared" si="59"/>
        <v>0.93061224489795924</v>
      </c>
      <c r="K941" s="74"/>
      <c r="L941" s="74"/>
      <c r="M941" s="74" t="s">
        <v>956</v>
      </c>
      <c r="N941" s="74">
        <v>0.17</v>
      </c>
      <c r="O941" s="74">
        <v>0.28999999999999998</v>
      </c>
      <c r="P941" s="74">
        <v>0.90820000000000001</v>
      </c>
    </row>
    <row r="942" spans="1:16">
      <c r="A942" s="74" t="s">
        <v>684</v>
      </c>
      <c r="B942" s="74" t="s">
        <v>323</v>
      </c>
      <c r="C942" s="74" t="s">
        <v>1930</v>
      </c>
      <c r="D942" s="74" t="s">
        <v>95</v>
      </c>
      <c r="E942" s="74">
        <v>1</v>
      </c>
      <c r="F942" s="74">
        <v>0</v>
      </c>
      <c r="G942" s="758">
        <f t="shared" si="56"/>
        <v>0.68</v>
      </c>
      <c r="H942" s="759">
        <f t="shared" si="57"/>
        <v>0.21</v>
      </c>
      <c r="I942" s="758">
        <f t="shared" si="58"/>
        <v>-0.68</v>
      </c>
      <c r="J942" s="760">
        <f t="shared" si="59"/>
        <v>0</v>
      </c>
      <c r="K942" s="74"/>
      <c r="L942" s="74"/>
      <c r="M942" s="74" t="s">
        <v>2236</v>
      </c>
      <c r="N942" s="74">
        <v>0</v>
      </c>
      <c r="O942" s="74">
        <v>0</v>
      </c>
      <c r="P942" s="74">
        <v>0</v>
      </c>
    </row>
    <row r="943" spans="1:16">
      <c r="A943" s="74" t="s">
        <v>1589</v>
      </c>
      <c r="B943" s="74" t="s">
        <v>873</v>
      </c>
      <c r="C943" s="74" t="s">
        <v>1530</v>
      </c>
      <c r="D943" s="74" t="s">
        <v>80</v>
      </c>
      <c r="E943" s="74">
        <v>16</v>
      </c>
      <c r="F943" s="74">
        <v>95.2</v>
      </c>
      <c r="G943" s="758">
        <f t="shared" si="56"/>
        <v>1.02</v>
      </c>
      <c r="H943" s="759">
        <f t="shared" si="57"/>
        <v>0.2</v>
      </c>
      <c r="I943" s="758">
        <f t="shared" si="58"/>
        <v>4.93</v>
      </c>
      <c r="J943" s="760">
        <f t="shared" si="59"/>
        <v>0.82857142857142851</v>
      </c>
      <c r="K943" s="74"/>
      <c r="L943" s="74"/>
      <c r="M943" s="74" t="s">
        <v>2237</v>
      </c>
      <c r="N943" s="74">
        <v>0</v>
      </c>
      <c r="O943" s="74">
        <v>0</v>
      </c>
      <c r="P943" s="74">
        <v>0</v>
      </c>
    </row>
    <row r="944" spans="1:16">
      <c r="A944" s="74" t="s">
        <v>1589</v>
      </c>
      <c r="B944" s="74" t="s">
        <v>873</v>
      </c>
      <c r="C944" s="74" t="s">
        <v>1532</v>
      </c>
      <c r="D944" s="74" t="s">
        <v>80</v>
      </c>
      <c r="E944" s="74">
        <v>9</v>
      </c>
      <c r="F944" s="74">
        <v>53.55</v>
      </c>
      <c r="G944" s="758">
        <f t="shared" si="56"/>
        <v>1.02</v>
      </c>
      <c r="H944" s="759">
        <f t="shared" si="57"/>
        <v>0.2</v>
      </c>
      <c r="I944" s="758">
        <f t="shared" si="58"/>
        <v>4.93</v>
      </c>
      <c r="J944" s="760">
        <f t="shared" si="59"/>
        <v>0.82857142857142851</v>
      </c>
      <c r="K944" s="74"/>
      <c r="L944" s="74"/>
      <c r="M944" s="74" t="s">
        <v>2238</v>
      </c>
      <c r="N944" s="74">
        <v>0</v>
      </c>
      <c r="O944" s="74">
        <v>0</v>
      </c>
      <c r="P944" s="74">
        <v>0</v>
      </c>
    </row>
    <row r="945" spans="1:16">
      <c r="A945" s="74" t="s">
        <v>1589</v>
      </c>
      <c r="B945" s="74" t="s">
        <v>873</v>
      </c>
      <c r="C945" s="74" t="s">
        <v>1516</v>
      </c>
      <c r="D945" s="74" t="s">
        <v>82</v>
      </c>
      <c r="E945" s="74">
        <v>6</v>
      </c>
      <c r="F945" s="74">
        <v>35.700000000000003</v>
      </c>
      <c r="G945" s="758">
        <f t="shared" si="56"/>
        <v>1.02</v>
      </c>
      <c r="H945" s="759">
        <f t="shared" si="57"/>
        <v>0.2</v>
      </c>
      <c r="I945" s="758">
        <f t="shared" si="58"/>
        <v>4.93</v>
      </c>
      <c r="J945" s="760">
        <f t="shared" si="59"/>
        <v>0.82857142857142851</v>
      </c>
      <c r="K945" s="74"/>
      <c r="L945" s="74"/>
      <c r="M945" s="74" t="s">
        <v>2239</v>
      </c>
      <c r="N945" s="74">
        <v>0</v>
      </c>
      <c r="O945" s="74">
        <v>0</v>
      </c>
      <c r="P945" s="74">
        <v>0</v>
      </c>
    </row>
    <row r="946" spans="1:16">
      <c r="A946" s="74" t="s">
        <v>1589</v>
      </c>
      <c r="B946" s="74" t="s">
        <v>873</v>
      </c>
      <c r="C946" s="74" t="s">
        <v>1540</v>
      </c>
      <c r="D946" s="74" t="s">
        <v>84</v>
      </c>
      <c r="E946" s="74">
        <v>1</v>
      </c>
      <c r="F946" s="74">
        <v>6.2</v>
      </c>
      <c r="G946" s="758">
        <f t="shared" si="56"/>
        <v>1.02</v>
      </c>
      <c r="H946" s="759">
        <f t="shared" si="57"/>
        <v>0.2</v>
      </c>
      <c r="I946" s="758">
        <f t="shared" si="58"/>
        <v>5.18</v>
      </c>
      <c r="J946" s="760">
        <f t="shared" si="59"/>
        <v>0.8354838709677419</v>
      </c>
      <c r="K946" s="74"/>
      <c r="L946" s="74"/>
      <c r="M946" s="74" t="s">
        <v>2240</v>
      </c>
      <c r="N946" s="74">
        <v>0</v>
      </c>
      <c r="O946" s="74">
        <v>0</v>
      </c>
      <c r="P946" s="74">
        <v>0</v>
      </c>
    </row>
    <row r="947" spans="1:16">
      <c r="A947" s="74" t="s">
        <v>1589</v>
      </c>
      <c r="B947" s="74" t="s">
        <v>873</v>
      </c>
      <c r="C947" s="74" t="s">
        <v>1617</v>
      </c>
      <c r="D947" s="74" t="s">
        <v>94</v>
      </c>
      <c r="E947" s="74">
        <v>1</v>
      </c>
      <c r="F947" s="74">
        <v>0</v>
      </c>
      <c r="G947" s="758">
        <f t="shared" si="56"/>
        <v>1.02</v>
      </c>
      <c r="H947" s="759">
        <f t="shared" si="57"/>
        <v>0.2</v>
      </c>
      <c r="I947" s="758">
        <f t="shared" si="58"/>
        <v>-1.02</v>
      </c>
      <c r="J947" s="760">
        <f t="shared" si="59"/>
        <v>0</v>
      </c>
      <c r="K947" s="74"/>
      <c r="L947" s="74"/>
      <c r="M947" s="74" t="s">
        <v>1314</v>
      </c>
      <c r="N947" s="74">
        <v>0</v>
      </c>
      <c r="O947" s="74">
        <v>0</v>
      </c>
      <c r="P947" s="74">
        <v>0</v>
      </c>
    </row>
    <row r="948" spans="1:16">
      <c r="A948" s="74" t="s">
        <v>1590</v>
      </c>
      <c r="B948" s="74" t="s">
        <v>873</v>
      </c>
      <c r="C948" s="74" t="s">
        <v>1516</v>
      </c>
      <c r="D948" s="74" t="s">
        <v>82</v>
      </c>
      <c r="E948" s="74">
        <v>4</v>
      </c>
      <c r="F948" s="74">
        <v>23.8</v>
      </c>
      <c r="G948" s="758">
        <f t="shared" si="56"/>
        <v>1.0900000000000001</v>
      </c>
      <c r="H948" s="759">
        <f t="shared" si="57"/>
        <v>0.2</v>
      </c>
      <c r="I948" s="758">
        <f t="shared" si="58"/>
        <v>4.8600000000000003</v>
      </c>
      <c r="J948" s="760">
        <f t="shared" si="59"/>
        <v>0.81680672268907561</v>
      </c>
      <c r="K948" s="74"/>
      <c r="L948" s="74"/>
      <c r="M948" s="74" t="s">
        <v>1054</v>
      </c>
      <c r="N948" s="74">
        <v>0</v>
      </c>
      <c r="O948" s="74">
        <v>0</v>
      </c>
      <c r="P948" s="74">
        <v>0</v>
      </c>
    </row>
    <row r="949" spans="1:16">
      <c r="A949" s="74" t="s">
        <v>782</v>
      </c>
      <c r="B949" s="74" t="s">
        <v>323</v>
      </c>
      <c r="C949" s="74" t="s">
        <v>1530</v>
      </c>
      <c r="D949" s="74" t="s">
        <v>80</v>
      </c>
      <c r="E949" s="74">
        <v>4</v>
      </c>
      <c r="F949" s="74">
        <v>0</v>
      </c>
      <c r="G949" s="758">
        <f t="shared" si="56"/>
        <v>0</v>
      </c>
      <c r="H949" s="759">
        <f t="shared" si="57"/>
        <v>0</v>
      </c>
      <c r="I949" s="758">
        <f t="shared" si="58"/>
        <v>0</v>
      </c>
      <c r="J949" s="760">
        <f t="shared" si="59"/>
        <v>0</v>
      </c>
      <c r="K949" s="74"/>
      <c r="L949" s="74"/>
      <c r="M949" s="74" t="s">
        <v>2241</v>
      </c>
      <c r="N949" s="74">
        <v>0</v>
      </c>
      <c r="O949" s="74">
        <v>0</v>
      </c>
      <c r="P949" s="74">
        <v>0</v>
      </c>
    </row>
    <row r="950" spans="1:16">
      <c r="A950" s="74" t="s">
        <v>782</v>
      </c>
      <c r="B950" s="74" t="s">
        <v>323</v>
      </c>
      <c r="C950" s="74" t="s">
        <v>1532</v>
      </c>
      <c r="D950" s="74" t="s">
        <v>80</v>
      </c>
      <c r="E950" s="74">
        <v>4</v>
      </c>
      <c r="F950" s="74">
        <v>0</v>
      </c>
      <c r="G950" s="758">
        <f t="shared" si="56"/>
        <v>0</v>
      </c>
      <c r="H950" s="759">
        <f t="shared" si="57"/>
        <v>0</v>
      </c>
      <c r="I950" s="758">
        <f t="shared" si="58"/>
        <v>0</v>
      </c>
      <c r="J950" s="760">
        <f t="shared" si="59"/>
        <v>0</v>
      </c>
      <c r="K950" s="74"/>
      <c r="L950" s="74"/>
      <c r="M950" s="74" t="s">
        <v>674</v>
      </c>
      <c r="N950" s="74">
        <v>0.77</v>
      </c>
      <c r="O950" s="74">
        <v>0.19</v>
      </c>
      <c r="P950" s="74">
        <v>0.84199999999999997</v>
      </c>
    </row>
    <row r="951" spans="1:16">
      <c r="A951" s="74" t="s">
        <v>1296</v>
      </c>
      <c r="B951" s="74" t="s">
        <v>873</v>
      </c>
      <c r="C951" s="74" t="s">
        <v>1507</v>
      </c>
      <c r="D951" s="74" t="s">
        <v>86</v>
      </c>
      <c r="E951" s="74">
        <v>7</v>
      </c>
      <c r="F951" s="74">
        <v>0</v>
      </c>
      <c r="G951" s="758">
        <f t="shared" si="56"/>
        <v>0</v>
      </c>
      <c r="H951" s="759">
        <f t="shared" si="57"/>
        <v>0</v>
      </c>
      <c r="I951" s="758">
        <f t="shared" si="58"/>
        <v>0</v>
      </c>
      <c r="J951" s="760">
        <f t="shared" si="59"/>
        <v>0</v>
      </c>
      <c r="K951" s="74"/>
      <c r="L951" s="74"/>
      <c r="M951" s="74" t="s">
        <v>2242</v>
      </c>
      <c r="N951" s="74">
        <v>0</v>
      </c>
      <c r="O951" s="74">
        <v>0</v>
      </c>
      <c r="P951" s="74">
        <v>0</v>
      </c>
    </row>
    <row r="952" spans="1:16">
      <c r="A952" s="74" t="s">
        <v>1296</v>
      </c>
      <c r="B952" s="74" t="s">
        <v>873</v>
      </c>
      <c r="C952" s="74" t="s">
        <v>1522</v>
      </c>
      <c r="D952" s="74" t="s">
        <v>91</v>
      </c>
      <c r="E952" s="74">
        <v>16</v>
      </c>
      <c r="F952" s="74">
        <v>0</v>
      </c>
      <c r="G952" s="758">
        <f t="shared" si="56"/>
        <v>0</v>
      </c>
      <c r="H952" s="759">
        <f t="shared" si="57"/>
        <v>0</v>
      </c>
      <c r="I952" s="758">
        <f t="shared" si="58"/>
        <v>0</v>
      </c>
      <c r="J952" s="760">
        <f t="shared" si="59"/>
        <v>0</v>
      </c>
      <c r="K952" s="74"/>
      <c r="L952" s="74"/>
      <c r="M952" s="74" t="s">
        <v>2243</v>
      </c>
      <c r="N952" s="74">
        <v>0</v>
      </c>
      <c r="O952" s="74">
        <v>0</v>
      </c>
      <c r="P952" s="74">
        <v>0</v>
      </c>
    </row>
    <row r="953" spans="1:16">
      <c r="A953" s="74" t="s">
        <v>1296</v>
      </c>
      <c r="B953" s="74" t="s">
        <v>873</v>
      </c>
      <c r="C953" s="74" t="s">
        <v>1552</v>
      </c>
      <c r="D953" s="74" t="s">
        <v>92</v>
      </c>
      <c r="E953" s="74">
        <v>6</v>
      </c>
      <c r="F953" s="74">
        <v>0</v>
      </c>
      <c r="G953" s="758">
        <f t="shared" si="56"/>
        <v>0</v>
      </c>
      <c r="H953" s="759">
        <f t="shared" si="57"/>
        <v>0</v>
      </c>
      <c r="I953" s="758">
        <f t="shared" si="58"/>
        <v>0</v>
      </c>
      <c r="J953" s="760">
        <f t="shared" si="59"/>
        <v>0</v>
      </c>
      <c r="K953" s="74"/>
      <c r="L953" s="74"/>
      <c r="M953" s="74" t="s">
        <v>2244</v>
      </c>
      <c r="N953" s="74">
        <v>0.68</v>
      </c>
      <c r="O953" s="74">
        <v>0.28999999999999998</v>
      </c>
      <c r="P953" s="74">
        <v>0.73329999999999995</v>
      </c>
    </row>
    <row r="954" spans="1:16">
      <c r="A954" s="74" t="s">
        <v>1591</v>
      </c>
      <c r="B954" s="74" t="s">
        <v>873</v>
      </c>
      <c r="C954" s="74" t="s">
        <v>1582</v>
      </c>
      <c r="D954" s="74" t="s">
        <v>89</v>
      </c>
      <c r="E954" s="74">
        <v>9</v>
      </c>
      <c r="F954" s="74">
        <v>0</v>
      </c>
      <c r="G954" s="758">
        <f t="shared" si="56"/>
        <v>0</v>
      </c>
      <c r="H954" s="759">
        <f t="shared" si="57"/>
        <v>0</v>
      </c>
      <c r="I954" s="758">
        <f t="shared" si="58"/>
        <v>0</v>
      </c>
      <c r="J954" s="760">
        <f t="shared" si="59"/>
        <v>0</v>
      </c>
      <c r="K954" s="74"/>
      <c r="L954" s="74"/>
      <c r="M954" s="74" t="s">
        <v>1173</v>
      </c>
      <c r="N954" s="74">
        <v>0.33</v>
      </c>
      <c r="O954" s="74">
        <v>0.24</v>
      </c>
      <c r="P954" s="74">
        <v>0.84370000000000001</v>
      </c>
    </row>
    <row r="955" spans="1:16">
      <c r="A955" s="74" t="s">
        <v>1592</v>
      </c>
      <c r="B955" s="74" t="s">
        <v>873</v>
      </c>
      <c r="C955" s="74" t="s">
        <v>1550</v>
      </c>
      <c r="D955" s="74" t="s">
        <v>91</v>
      </c>
      <c r="E955" s="74">
        <v>10</v>
      </c>
      <c r="F955" s="74">
        <v>0</v>
      </c>
      <c r="G955" s="758">
        <f t="shared" si="56"/>
        <v>0</v>
      </c>
      <c r="H955" s="759">
        <f t="shared" si="57"/>
        <v>0</v>
      </c>
      <c r="I955" s="758">
        <f t="shared" si="58"/>
        <v>0</v>
      </c>
      <c r="J955" s="760">
        <f t="shared" si="59"/>
        <v>0</v>
      </c>
      <c r="K955" s="74"/>
      <c r="L955" s="74"/>
      <c r="M955" s="74" t="s">
        <v>2245</v>
      </c>
      <c r="N955" s="74">
        <v>0</v>
      </c>
      <c r="O955" s="74">
        <v>0</v>
      </c>
      <c r="P955" s="74">
        <v>1</v>
      </c>
    </row>
    <row r="956" spans="1:16">
      <c r="A956" s="74" t="s">
        <v>1593</v>
      </c>
      <c r="B956" s="74" t="s">
        <v>873</v>
      </c>
      <c r="C956" s="74" t="s">
        <v>1509</v>
      </c>
      <c r="D956" s="74" t="s">
        <v>78</v>
      </c>
      <c r="E956" s="74">
        <v>12</v>
      </c>
      <c r="F956" s="74">
        <v>0</v>
      </c>
      <c r="G956" s="758">
        <f t="shared" si="56"/>
        <v>1.35</v>
      </c>
      <c r="H956" s="759">
        <f t="shared" si="57"/>
        <v>0</v>
      </c>
      <c r="I956" s="758">
        <f t="shared" si="58"/>
        <v>-1.35</v>
      </c>
      <c r="J956" s="760">
        <f t="shared" si="59"/>
        <v>0</v>
      </c>
      <c r="K956" s="74"/>
      <c r="L956" s="74"/>
      <c r="M956" s="74" t="s">
        <v>2246</v>
      </c>
      <c r="N956" s="74">
        <v>0</v>
      </c>
      <c r="O956" s="74">
        <v>0.24</v>
      </c>
      <c r="P956" s="74">
        <v>1</v>
      </c>
    </row>
    <row r="957" spans="1:16">
      <c r="A957" s="74" t="s">
        <v>1593</v>
      </c>
      <c r="B957" s="74" t="s">
        <v>873</v>
      </c>
      <c r="C957" s="74" t="s">
        <v>1514</v>
      </c>
      <c r="D957" s="74" t="s">
        <v>81</v>
      </c>
      <c r="E957" s="74">
        <v>6</v>
      </c>
      <c r="F957" s="74">
        <v>0</v>
      </c>
      <c r="G957" s="758">
        <f t="shared" si="56"/>
        <v>1.35</v>
      </c>
      <c r="H957" s="759">
        <f t="shared" si="57"/>
        <v>0</v>
      </c>
      <c r="I957" s="758">
        <f t="shared" si="58"/>
        <v>-1.35</v>
      </c>
      <c r="J957" s="760">
        <f t="shared" si="59"/>
        <v>0</v>
      </c>
      <c r="K957" s="74"/>
      <c r="L957" s="74"/>
      <c r="M957" s="74" t="s">
        <v>2247</v>
      </c>
      <c r="N957" s="74">
        <v>0</v>
      </c>
      <c r="O957" s="74">
        <v>0</v>
      </c>
      <c r="P957" s="74">
        <v>0</v>
      </c>
    </row>
    <row r="958" spans="1:16">
      <c r="A958" s="74" t="s">
        <v>1594</v>
      </c>
      <c r="B958" s="74" t="s">
        <v>873</v>
      </c>
      <c r="C958" s="74" t="s">
        <v>1544</v>
      </c>
      <c r="D958" s="74" t="s">
        <v>87</v>
      </c>
      <c r="E958" s="74">
        <v>12</v>
      </c>
      <c r="F958" s="74">
        <v>0</v>
      </c>
      <c r="G958" s="758">
        <f t="shared" si="56"/>
        <v>0</v>
      </c>
      <c r="H958" s="759">
        <f t="shared" si="57"/>
        <v>0</v>
      </c>
      <c r="I958" s="758">
        <f t="shared" si="58"/>
        <v>0</v>
      </c>
      <c r="J958" s="760">
        <f t="shared" si="59"/>
        <v>0</v>
      </c>
      <c r="K958" s="74"/>
      <c r="L958" s="74"/>
      <c r="M958" s="74" t="s">
        <v>2248</v>
      </c>
      <c r="N958" s="74">
        <v>0</v>
      </c>
      <c r="O958" s="74">
        <v>0</v>
      </c>
      <c r="P958" s="74">
        <v>0</v>
      </c>
    </row>
    <row r="959" spans="1:16">
      <c r="A959" s="74" t="s">
        <v>1595</v>
      </c>
      <c r="B959" s="74" t="s">
        <v>873</v>
      </c>
      <c r="C959" s="74" t="s">
        <v>1546</v>
      </c>
      <c r="D959" s="74" t="s">
        <v>89</v>
      </c>
      <c r="E959" s="74">
        <v>20</v>
      </c>
      <c r="F959" s="74">
        <v>0</v>
      </c>
      <c r="G959" s="758">
        <f t="shared" si="56"/>
        <v>0</v>
      </c>
      <c r="H959" s="759">
        <f t="shared" si="57"/>
        <v>0</v>
      </c>
      <c r="I959" s="758">
        <f t="shared" si="58"/>
        <v>0</v>
      </c>
      <c r="J959" s="760">
        <f t="shared" si="59"/>
        <v>0</v>
      </c>
      <c r="K959" s="74"/>
      <c r="L959" s="74"/>
      <c r="M959" s="74" t="s">
        <v>2249</v>
      </c>
      <c r="N959" s="74">
        <v>0</v>
      </c>
      <c r="O959" s="74">
        <v>0</v>
      </c>
      <c r="P959" s="74">
        <v>0</v>
      </c>
    </row>
    <row r="960" spans="1:16">
      <c r="A960" s="74" t="s">
        <v>1596</v>
      </c>
      <c r="B960" s="74" t="s">
        <v>873</v>
      </c>
      <c r="C960" s="74" t="s">
        <v>1518</v>
      </c>
      <c r="D960" s="74" t="s">
        <v>82</v>
      </c>
      <c r="E960" s="74">
        <v>9</v>
      </c>
      <c r="F960" s="74">
        <v>0</v>
      </c>
      <c r="G960" s="758">
        <f t="shared" si="56"/>
        <v>0</v>
      </c>
      <c r="H960" s="759">
        <f t="shared" si="57"/>
        <v>0.28999999999999998</v>
      </c>
      <c r="I960" s="758">
        <f t="shared" si="58"/>
        <v>0</v>
      </c>
      <c r="J960" s="760">
        <f t="shared" si="59"/>
        <v>0</v>
      </c>
      <c r="K960" s="74"/>
      <c r="L960" s="74"/>
      <c r="M960" s="74" t="s">
        <v>2250</v>
      </c>
      <c r="N960" s="74">
        <v>0</v>
      </c>
      <c r="O960" s="74">
        <v>0</v>
      </c>
      <c r="P960" s="74">
        <v>0</v>
      </c>
    </row>
    <row r="961" spans="1:16">
      <c r="A961" s="74" t="s">
        <v>1597</v>
      </c>
      <c r="B961" s="74" t="s">
        <v>877</v>
      </c>
      <c r="C961" s="74" t="s">
        <v>1584</v>
      </c>
      <c r="D961" s="74" t="s">
        <v>92</v>
      </c>
      <c r="E961" s="74">
        <v>12</v>
      </c>
      <c r="F961" s="74">
        <v>0</v>
      </c>
      <c r="G961" s="758">
        <f t="shared" si="56"/>
        <v>0</v>
      </c>
      <c r="H961" s="759">
        <f t="shared" si="57"/>
        <v>0</v>
      </c>
      <c r="I961" s="758">
        <f t="shared" si="58"/>
        <v>0</v>
      </c>
      <c r="J961" s="760">
        <f t="shared" si="59"/>
        <v>0</v>
      </c>
      <c r="K961" s="74"/>
      <c r="L961" s="74"/>
      <c r="M961" s="74" t="s">
        <v>2251</v>
      </c>
      <c r="N961" s="74">
        <v>0</v>
      </c>
      <c r="O961" s="74">
        <v>0</v>
      </c>
      <c r="P961" s="74">
        <v>0</v>
      </c>
    </row>
    <row r="962" spans="1:16">
      <c r="A962" s="74" t="s">
        <v>1598</v>
      </c>
      <c r="B962" s="74" t="s">
        <v>873</v>
      </c>
      <c r="C962" s="74" t="s">
        <v>1541</v>
      </c>
      <c r="D962" s="74" t="s">
        <v>86</v>
      </c>
      <c r="E962" s="74">
        <v>11</v>
      </c>
      <c r="F962" s="74">
        <v>0</v>
      </c>
      <c r="G962" s="758">
        <f t="shared" ref="G962:G1025" si="60">IFERROR(VLOOKUP(A962,$M$1:$P$1014,2,FALSE),0)</f>
        <v>0</v>
      </c>
      <c r="H962" s="759">
        <f t="shared" ref="H962:H1025" si="61">IFERROR(VLOOKUP(A962,$M$1:$P$1014,3,FALSE),0)</f>
        <v>0</v>
      </c>
      <c r="I962" s="758">
        <f t="shared" ref="I962:I1025" si="62">IFERROR(F962/E962-G962,0)</f>
        <v>0</v>
      </c>
      <c r="J962" s="760">
        <f t="shared" ref="J962:J1025" si="63">IFERROR(1-G962*E962/F962,0)</f>
        <v>0</v>
      </c>
      <c r="K962" s="74"/>
      <c r="L962" s="74"/>
      <c r="M962" s="74" t="s">
        <v>1072</v>
      </c>
      <c r="N962" s="74">
        <v>0</v>
      </c>
      <c r="O962" s="74">
        <v>0</v>
      </c>
      <c r="P962" s="74">
        <v>0</v>
      </c>
    </row>
    <row r="963" spans="1:16">
      <c r="A963" s="74" t="s">
        <v>1599</v>
      </c>
      <c r="B963" s="74" t="s">
        <v>873</v>
      </c>
      <c r="C963" s="74" t="s">
        <v>1526</v>
      </c>
      <c r="D963" s="74" t="s">
        <v>95</v>
      </c>
      <c r="E963" s="74">
        <v>2</v>
      </c>
      <c r="F963" s="74">
        <v>0</v>
      </c>
      <c r="G963" s="758">
        <f t="shared" si="60"/>
        <v>0</v>
      </c>
      <c r="H963" s="759">
        <f t="shared" si="61"/>
        <v>0</v>
      </c>
      <c r="I963" s="758">
        <f t="shared" si="62"/>
        <v>0</v>
      </c>
      <c r="J963" s="760">
        <f t="shared" si="63"/>
        <v>0</v>
      </c>
      <c r="K963" s="74"/>
      <c r="L963" s="74"/>
      <c r="M963" s="74" t="s">
        <v>2252</v>
      </c>
      <c r="N963" s="74">
        <v>0</v>
      </c>
      <c r="O963" s="74">
        <v>0</v>
      </c>
      <c r="P963" s="74">
        <v>0</v>
      </c>
    </row>
    <row r="964" spans="1:16">
      <c r="A964" s="74" t="s">
        <v>1600</v>
      </c>
      <c r="B964" s="74" t="s">
        <v>873</v>
      </c>
      <c r="C964" s="74" t="s">
        <v>1644</v>
      </c>
      <c r="D964" s="74" t="s">
        <v>86</v>
      </c>
      <c r="E964" s="74">
        <v>7</v>
      </c>
      <c r="F964" s="74">
        <v>2</v>
      </c>
      <c r="G964" s="758">
        <f t="shared" si="60"/>
        <v>0</v>
      </c>
      <c r="H964" s="759">
        <f t="shared" si="61"/>
        <v>0</v>
      </c>
      <c r="I964" s="758">
        <f t="shared" si="62"/>
        <v>0.2857142857142857</v>
      </c>
      <c r="J964" s="760">
        <f t="shared" si="63"/>
        <v>1</v>
      </c>
      <c r="K964" s="74"/>
      <c r="L964" s="74"/>
      <c r="M964" s="74" t="s">
        <v>2253</v>
      </c>
      <c r="N964" s="74">
        <v>0</v>
      </c>
      <c r="O964" s="74">
        <v>0</v>
      </c>
      <c r="P964" s="74">
        <v>0</v>
      </c>
    </row>
    <row r="965" spans="1:16">
      <c r="A965" s="74" t="s">
        <v>1601</v>
      </c>
      <c r="B965" s="74" t="s">
        <v>873</v>
      </c>
      <c r="C965" s="74" t="s">
        <v>1530</v>
      </c>
      <c r="D965" s="74" t="s">
        <v>80</v>
      </c>
      <c r="E965" s="74">
        <v>5</v>
      </c>
      <c r="F965" s="74">
        <v>0</v>
      </c>
      <c r="G965" s="758">
        <f t="shared" si="60"/>
        <v>0</v>
      </c>
      <c r="H965" s="759">
        <f t="shared" si="61"/>
        <v>0.19</v>
      </c>
      <c r="I965" s="758">
        <f t="shared" si="62"/>
        <v>0</v>
      </c>
      <c r="J965" s="760">
        <f t="shared" si="63"/>
        <v>0</v>
      </c>
      <c r="K965" s="74"/>
      <c r="L965" s="74"/>
      <c r="M965" s="74" t="s">
        <v>2254</v>
      </c>
      <c r="N965" s="74">
        <v>1.59</v>
      </c>
      <c r="O965" s="74">
        <v>0</v>
      </c>
      <c r="P965" s="74">
        <v>0</v>
      </c>
    </row>
    <row r="966" spans="1:16">
      <c r="A966" s="74" t="s">
        <v>1601</v>
      </c>
      <c r="B966" s="74" t="s">
        <v>873</v>
      </c>
      <c r="C966" s="74" t="s">
        <v>1515</v>
      </c>
      <c r="D966" s="74" t="s">
        <v>81</v>
      </c>
      <c r="E966" s="74">
        <v>2</v>
      </c>
      <c r="F966" s="74">
        <v>0</v>
      </c>
      <c r="G966" s="758">
        <f t="shared" si="60"/>
        <v>0</v>
      </c>
      <c r="H966" s="759">
        <f t="shared" si="61"/>
        <v>0.19</v>
      </c>
      <c r="I966" s="758">
        <f t="shared" si="62"/>
        <v>0</v>
      </c>
      <c r="J966" s="760">
        <f t="shared" si="63"/>
        <v>0</v>
      </c>
      <c r="K966" s="74"/>
      <c r="L966" s="74"/>
      <c r="M966" s="74" t="s">
        <v>2255</v>
      </c>
      <c r="N966" s="74">
        <v>0</v>
      </c>
      <c r="O966" s="74">
        <v>0</v>
      </c>
      <c r="P966" s="74">
        <v>1</v>
      </c>
    </row>
    <row r="967" spans="1:16">
      <c r="A967" s="74" t="s">
        <v>1602</v>
      </c>
      <c r="B967" s="74" t="s">
        <v>873</v>
      </c>
      <c r="C967" s="74" t="s">
        <v>1646</v>
      </c>
      <c r="D967" s="74" t="s">
        <v>86</v>
      </c>
      <c r="E967" s="74">
        <v>4</v>
      </c>
      <c r="F967" s="74">
        <v>0</v>
      </c>
      <c r="G967" s="758">
        <f t="shared" si="60"/>
        <v>0</v>
      </c>
      <c r="H967" s="759">
        <f t="shared" si="61"/>
        <v>0</v>
      </c>
      <c r="I967" s="758">
        <f t="shared" si="62"/>
        <v>0</v>
      </c>
      <c r="J967" s="760">
        <f t="shared" si="63"/>
        <v>0</v>
      </c>
      <c r="K967" s="74"/>
      <c r="L967" s="74"/>
      <c r="M967" s="74" t="s">
        <v>2256</v>
      </c>
      <c r="N967" s="74">
        <v>0.63</v>
      </c>
      <c r="O967" s="74">
        <v>0.25</v>
      </c>
      <c r="P967" s="74">
        <v>0.79749999999999999</v>
      </c>
    </row>
    <row r="968" spans="1:16">
      <c r="A968" s="74" t="s">
        <v>1070</v>
      </c>
      <c r="B968" s="74" t="s">
        <v>873</v>
      </c>
      <c r="C968" s="74" t="s">
        <v>1608</v>
      </c>
      <c r="D968" s="74" t="s">
        <v>89</v>
      </c>
      <c r="E968" s="74">
        <v>11</v>
      </c>
      <c r="F968" s="74">
        <v>0</v>
      </c>
      <c r="G968" s="758">
        <f t="shared" si="60"/>
        <v>0</v>
      </c>
      <c r="H968" s="759">
        <f t="shared" si="61"/>
        <v>0</v>
      </c>
      <c r="I968" s="758">
        <f t="shared" si="62"/>
        <v>0</v>
      </c>
      <c r="J968" s="760">
        <f t="shared" si="63"/>
        <v>0</v>
      </c>
      <c r="K968" s="74"/>
      <c r="L968" s="74"/>
      <c r="M968" s="74" t="s">
        <v>744</v>
      </c>
      <c r="N968" s="74">
        <v>1.75</v>
      </c>
      <c r="O968" s="74">
        <v>0.49</v>
      </c>
      <c r="P968" s="74">
        <v>0.55130000000000001</v>
      </c>
    </row>
    <row r="969" spans="1:16">
      <c r="A969" s="74" t="s">
        <v>1603</v>
      </c>
      <c r="B969" s="74" t="s">
        <v>873</v>
      </c>
      <c r="C969" s="74" t="s">
        <v>1530</v>
      </c>
      <c r="D969" s="74" t="s">
        <v>80</v>
      </c>
      <c r="E969" s="74">
        <v>1</v>
      </c>
      <c r="F969" s="74">
        <v>0</v>
      </c>
      <c r="G969" s="758">
        <f t="shared" si="60"/>
        <v>0</v>
      </c>
      <c r="H969" s="759">
        <f t="shared" si="61"/>
        <v>0.12</v>
      </c>
      <c r="I969" s="758">
        <f t="shared" si="62"/>
        <v>0</v>
      </c>
      <c r="J969" s="760">
        <f t="shared" si="63"/>
        <v>0</v>
      </c>
      <c r="K969" s="74"/>
      <c r="L969" s="74"/>
      <c r="M969" s="74" t="s">
        <v>2257</v>
      </c>
      <c r="N969" s="74">
        <v>0</v>
      </c>
      <c r="O969" s="74">
        <v>0</v>
      </c>
      <c r="P969" s="74">
        <v>1</v>
      </c>
    </row>
    <row r="970" spans="1:16">
      <c r="A970" s="74" t="s">
        <v>1603</v>
      </c>
      <c r="B970" s="74" t="s">
        <v>873</v>
      </c>
      <c r="C970" s="74" t="s">
        <v>1527</v>
      </c>
      <c r="D970" s="74" t="s">
        <v>82</v>
      </c>
      <c r="E970" s="74">
        <v>4</v>
      </c>
      <c r="F970" s="74">
        <v>0</v>
      </c>
      <c r="G970" s="758">
        <f t="shared" si="60"/>
        <v>0</v>
      </c>
      <c r="H970" s="759">
        <f t="shared" si="61"/>
        <v>0.12</v>
      </c>
      <c r="I970" s="758">
        <f t="shared" si="62"/>
        <v>0</v>
      </c>
      <c r="J970" s="760">
        <f t="shared" si="63"/>
        <v>0</v>
      </c>
      <c r="K970" s="74"/>
      <c r="L970" s="74"/>
      <c r="M970" s="74" t="s">
        <v>1080</v>
      </c>
      <c r="N970" s="74">
        <v>0</v>
      </c>
      <c r="O970" s="74">
        <v>0</v>
      </c>
      <c r="P970" s="74">
        <v>1</v>
      </c>
    </row>
    <row r="971" spans="1:16">
      <c r="A971" s="74" t="s">
        <v>911</v>
      </c>
      <c r="B971" s="74" t="s">
        <v>873</v>
      </c>
      <c r="C971" s="74" t="s">
        <v>1520</v>
      </c>
      <c r="D971" s="74" t="s">
        <v>84</v>
      </c>
      <c r="E971" s="74">
        <v>11</v>
      </c>
      <c r="F971" s="74">
        <v>0</v>
      </c>
      <c r="G971" s="758">
        <f t="shared" si="60"/>
        <v>0</v>
      </c>
      <c r="H971" s="759">
        <f t="shared" si="61"/>
        <v>0</v>
      </c>
      <c r="I971" s="758">
        <f t="shared" si="62"/>
        <v>0</v>
      </c>
      <c r="J971" s="760">
        <f t="shared" si="63"/>
        <v>0</v>
      </c>
      <c r="K971" s="74"/>
      <c r="L971" s="74"/>
      <c r="M971" s="74" t="s">
        <v>2258</v>
      </c>
      <c r="N971" s="74">
        <v>0</v>
      </c>
      <c r="O971" s="74">
        <v>0</v>
      </c>
      <c r="P971" s="74">
        <v>1</v>
      </c>
    </row>
    <row r="972" spans="1:16">
      <c r="A972" s="74" t="s">
        <v>911</v>
      </c>
      <c r="B972" s="74" t="s">
        <v>873</v>
      </c>
      <c r="C972" s="74" t="s">
        <v>1543</v>
      </c>
      <c r="D972" s="74" t="s">
        <v>87</v>
      </c>
      <c r="E972" s="74">
        <v>15</v>
      </c>
      <c r="F972" s="74">
        <v>0</v>
      </c>
      <c r="G972" s="758">
        <f t="shared" si="60"/>
        <v>0</v>
      </c>
      <c r="H972" s="759">
        <f t="shared" si="61"/>
        <v>0</v>
      </c>
      <c r="I972" s="758">
        <f t="shared" si="62"/>
        <v>0</v>
      </c>
      <c r="J972" s="760">
        <f t="shared" si="63"/>
        <v>0</v>
      </c>
      <c r="K972" s="74"/>
      <c r="L972" s="74"/>
      <c r="M972" s="74" t="s">
        <v>935</v>
      </c>
      <c r="N972" s="74">
        <v>0</v>
      </c>
      <c r="O972" s="74">
        <v>0</v>
      </c>
      <c r="P972" s="74">
        <v>0</v>
      </c>
    </row>
    <row r="973" spans="1:16">
      <c r="A973" s="74" t="s">
        <v>911</v>
      </c>
      <c r="B973" s="74" t="s">
        <v>873</v>
      </c>
      <c r="C973" s="74" t="s">
        <v>1547</v>
      </c>
      <c r="D973" s="74" t="s">
        <v>89</v>
      </c>
      <c r="E973" s="74">
        <v>8</v>
      </c>
      <c r="F973" s="74">
        <v>0</v>
      </c>
      <c r="G973" s="758">
        <f t="shared" si="60"/>
        <v>0</v>
      </c>
      <c r="H973" s="759">
        <f t="shared" si="61"/>
        <v>0</v>
      </c>
      <c r="I973" s="758">
        <f t="shared" si="62"/>
        <v>0</v>
      </c>
      <c r="J973" s="760">
        <f t="shared" si="63"/>
        <v>0</v>
      </c>
      <c r="K973" s="74"/>
      <c r="L973" s="74"/>
      <c r="M973" s="74" t="s">
        <v>2259</v>
      </c>
      <c r="N973" s="74">
        <v>0</v>
      </c>
      <c r="O973" s="74">
        <v>0</v>
      </c>
      <c r="P973" s="74">
        <v>1</v>
      </c>
    </row>
    <row r="974" spans="1:16">
      <c r="A974" s="74" t="s">
        <v>911</v>
      </c>
      <c r="B974" s="74" t="s">
        <v>873</v>
      </c>
      <c r="C974" s="74" t="s">
        <v>1631</v>
      </c>
      <c r="D974" s="74" t="s">
        <v>92</v>
      </c>
      <c r="E974" s="74">
        <v>18</v>
      </c>
      <c r="F974" s="74">
        <v>0</v>
      </c>
      <c r="G974" s="758">
        <f t="shared" si="60"/>
        <v>0</v>
      </c>
      <c r="H974" s="759">
        <f t="shared" si="61"/>
        <v>0</v>
      </c>
      <c r="I974" s="758">
        <f t="shared" si="62"/>
        <v>0</v>
      </c>
      <c r="J974" s="760">
        <f t="shared" si="63"/>
        <v>0</v>
      </c>
      <c r="K974" s="74"/>
      <c r="L974" s="74"/>
      <c r="M974" s="74" t="s">
        <v>1052</v>
      </c>
      <c r="N974" s="74">
        <v>0</v>
      </c>
      <c r="O974" s="74">
        <v>0</v>
      </c>
      <c r="P974" s="74">
        <v>1</v>
      </c>
    </row>
    <row r="975" spans="1:16">
      <c r="A975" s="74" t="s">
        <v>1604</v>
      </c>
      <c r="B975" s="74" t="s">
        <v>873</v>
      </c>
      <c r="C975" s="74" t="s">
        <v>1512</v>
      </c>
      <c r="D975" s="74" t="s">
        <v>80</v>
      </c>
      <c r="E975" s="74">
        <v>10</v>
      </c>
      <c r="F975" s="74">
        <v>0</v>
      </c>
      <c r="G975" s="758">
        <f t="shared" si="60"/>
        <v>0</v>
      </c>
      <c r="H975" s="759">
        <f t="shared" si="61"/>
        <v>0.16</v>
      </c>
      <c r="I975" s="758">
        <f t="shared" si="62"/>
        <v>0</v>
      </c>
      <c r="J975" s="760">
        <f t="shared" si="63"/>
        <v>0</v>
      </c>
      <c r="K975" s="74"/>
      <c r="L975" s="74"/>
      <c r="M975" s="74" t="s">
        <v>2260</v>
      </c>
      <c r="N975" s="74">
        <v>3.41</v>
      </c>
      <c r="O975" s="74">
        <v>0.23</v>
      </c>
      <c r="P975" s="74">
        <v>0.78890000000000005</v>
      </c>
    </row>
    <row r="976" spans="1:16">
      <c r="A976" s="74" t="s">
        <v>1606</v>
      </c>
      <c r="B976" s="74" t="s">
        <v>873</v>
      </c>
      <c r="C976" s="74" t="s">
        <v>1519</v>
      </c>
      <c r="D976" s="74" t="s">
        <v>84</v>
      </c>
      <c r="E976" s="74">
        <v>4</v>
      </c>
      <c r="F976" s="74">
        <v>0</v>
      </c>
      <c r="G976" s="758">
        <f t="shared" si="60"/>
        <v>0</v>
      </c>
      <c r="H976" s="759">
        <f t="shared" si="61"/>
        <v>0.34</v>
      </c>
      <c r="I976" s="758">
        <f t="shared" si="62"/>
        <v>0</v>
      </c>
      <c r="J976" s="760">
        <f t="shared" si="63"/>
        <v>0</v>
      </c>
      <c r="K976" s="74"/>
      <c r="L976" s="74"/>
      <c r="M976" s="74" t="s">
        <v>1237</v>
      </c>
      <c r="N976" s="74">
        <v>0.68</v>
      </c>
      <c r="O976" s="74">
        <v>0.22</v>
      </c>
      <c r="P976" s="74">
        <v>0.82899999999999996</v>
      </c>
    </row>
    <row r="977" spans="1:16">
      <c r="A977" s="74" t="s">
        <v>1606</v>
      </c>
      <c r="B977" s="74" t="s">
        <v>873</v>
      </c>
      <c r="C977" s="74" t="s">
        <v>1540</v>
      </c>
      <c r="D977" s="74" t="s">
        <v>84</v>
      </c>
      <c r="E977" s="74">
        <v>5</v>
      </c>
      <c r="F977" s="74">
        <v>0</v>
      </c>
      <c r="G977" s="758">
        <f t="shared" si="60"/>
        <v>0</v>
      </c>
      <c r="H977" s="759">
        <f t="shared" si="61"/>
        <v>0.34</v>
      </c>
      <c r="I977" s="758">
        <f t="shared" si="62"/>
        <v>0</v>
      </c>
      <c r="J977" s="760">
        <f t="shared" si="63"/>
        <v>0</v>
      </c>
      <c r="K977" s="74"/>
      <c r="L977" s="74"/>
      <c r="M977" s="74" t="s">
        <v>866</v>
      </c>
      <c r="N977" s="74">
        <v>0</v>
      </c>
      <c r="O977" s="74">
        <v>0</v>
      </c>
      <c r="P977" s="74">
        <v>1</v>
      </c>
    </row>
    <row r="978" spans="1:16">
      <c r="A978" s="74" t="s">
        <v>1607</v>
      </c>
      <c r="B978" s="74" t="s">
        <v>873</v>
      </c>
      <c r="C978" s="74" t="s">
        <v>1561</v>
      </c>
      <c r="D978" s="74" t="s">
        <v>87</v>
      </c>
      <c r="E978" s="74">
        <v>8</v>
      </c>
      <c r="F978" s="74">
        <v>0</v>
      </c>
      <c r="G978" s="758">
        <f t="shared" si="60"/>
        <v>0</v>
      </c>
      <c r="H978" s="759">
        <f t="shared" si="61"/>
        <v>0</v>
      </c>
      <c r="I978" s="758">
        <f t="shared" si="62"/>
        <v>0</v>
      </c>
      <c r="J978" s="760">
        <f t="shared" si="63"/>
        <v>0</v>
      </c>
      <c r="K978" s="74"/>
      <c r="L978" s="74"/>
      <c r="M978" s="74" t="s">
        <v>2261</v>
      </c>
      <c r="N978" s="74">
        <v>0</v>
      </c>
      <c r="O978" s="74">
        <v>0</v>
      </c>
      <c r="P978" s="74">
        <v>1</v>
      </c>
    </row>
    <row r="979" spans="1:16">
      <c r="A979" s="74" t="s">
        <v>1609</v>
      </c>
      <c r="B979" s="74" t="s">
        <v>873</v>
      </c>
      <c r="C979" s="74" t="s">
        <v>1517</v>
      </c>
      <c r="D979" s="74" t="s">
        <v>82</v>
      </c>
      <c r="E979" s="74">
        <v>5</v>
      </c>
      <c r="F979" s="74">
        <v>0</v>
      </c>
      <c r="G979" s="758">
        <f t="shared" si="60"/>
        <v>0</v>
      </c>
      <c r="H979" s="759">
        <f t="shared" si="61"/>
        <v>0.25</v>
      </c>
      <c r="I979" s="758">
        <f t="shared" si="62"/>
        <v>0</v>
      </c>
      <c r="J979" s="760">
        <f t="shared" si="63"/>
        <v>0</v>
      </c>
      <c r="K979" s="74"/>
      <c r="L979" s="74"/>
      <c r="M979" s="74" t="s">
        <v>2262</v>
      </c>
      <c r="N979" s="74">
        <v>0</v>
      </c>
      <c r="O979" s="74">
        <v>0</v>
      </c>
      <c r="P979" s="74">
        <v>0</v>
      </c>
    </row>
    <row r="980" spans="1:16">
      <c r="A980" s="74" t="s">
        <v>1611</v>
      </c>
      <c r="B980" s="74" t="s">
        <v>873</v>
      </c>
      <c r="C980" s="74" t="s">
        <v>1577</v>
      </c>
      <c r="D980" s="74" t="s">
        <v>84</v>
      </c>
      <c r="E980" s="74">
        <v>10</v>
      </c>
      <c r="F980" s="74">
        <v>0</v>
      </c>
      <c r="G980" s="758">
        <f t="shared" si="60"/>
        <v>0</v>
      </c>
      <c r="H980" s="759">
        <f t="shared" si="61"/>
        <v>0</v>
      </c>
      <c r="I980" s="758">
        <f t="shared" si="62"/>
        <v>0</v>
      </c>
      <c r="J980" s="760">
        <f t="shared" si="63"/>
        <v>0</v>
      </c>
      <c r="K980" s="74"/>
      <c r="L980" s="74"/>
      <c r="M980" s="74" t="s">
        <v>671</v>
      </c>
      <c r="N980" s="74">
        <v>1.6</v>
      </c>
      <c r="O980" s="74">
        <v>0.47</v>
      </c>
      <c r="P980" s="74">
        <v>0.47539999999999999</v>
      </c>
    </row>
    <row r="981" spans="1:16">
      <c r="A981" s="74" t="s">
        <v>1612</v>
      </c>
      <c r="B981" s="74" t="s">
        <v>873</v>
      </c>
      <c r="C981" s="74" t="s">
        <v>1534</v>
      </c>
      <c r="D981" s="74" t="s">
        <v>81</v>
      </c>
      <c r="E981" s="74">
        <v>1</v>
      </c>
      <c r="F981" s="74">
        <v>0</v>
      </c>
      <c r="G981" s="758">
        <f t="shared" si="60"/>
        <v>0</v>
      </c>
      <c r="H981" s="759">
        <f t="shared" si="61"/>
        <v>0</v>
      </c>
      <c r="I981" s="758">
        <f t="shared" si="62"/>
        <v>0</v>
      </c>
      <c r="J981" s="760">
        <f t="shared" si="63"/>
        <v>0</v>
      </c>
      <c r="K981" s="74"/>
      <c r="L981" s="74"/>
      <c r="M981" s="74" t="s">
        <v>995</v>
      </c>
      <c r="N981" s="74">
        <v>0.81</v>
      </c>
      <c r="O981" s="74">
        <v>0.21</v>
      </c>
      <c r="P981" s="74">
        <v>0.75009999999999999</v>
      </c>
    </row>
    <row r="982" spans="1:16">
      <c r="A982" s="74" t="s">
        <v>771</v>
      </c>
      <c r="B982" s="74" t="s">
        <v>323</v>
      </c>
      <c r="C982" s="74" t="s">
        <v>1565</v>
      </c>
      <c r="D982" s="74" t="s">
        <v>78</v>
      </c>
      <c r="E982" s="74">
        <v>5</v>
      </c>
      <c r="F982" s="74">
        <v>0</v>
      </c>
      <c r="G982" s="758">
        <f t="shared" si="60"/>
        <v>0</v>
      </c>
      <c r="H982" s="759">
        <f t="shared" si="61"/>
        <v>0</v>
      </c>
      <c r="I982" s="758">
        <f t="shared" si="62"/>
        <v>0</v>
      </c>
      <c r="J982" s="760">
        <f t="shared" si="63"/>
        <v>0</v>
      </c>
      <c r="K982" s="74"/>
      <c r="L982" s="74"/>
      <c r="M982" s="74" t="s">
        <v>2263</v>
      </c>
      <c r="N982" s="74">
        <v>0</v>
      </c>
      <c r="O982" s="74">
        <v>0</v>
      </c>
      <c r="P982" s="74">
        <v>1</v>
      </c>
    </row>
    <row r="983" spans="1:16">
      <c r="A983" s="74" t="s">
        <v>750</v>
      </c>
      <c r="B983" s="74" t="s">
        <v>323</v>
      </c>
      <c r="C983" s="74" t="s">
        <v>1508</v>
      </c>
      <c r="D983" s="74" t="s">
        <v>78</v>
      </c>
      <c r="E983" s="74">
        <v>8</v>
      </c>
      <c r="F983" s="74">
        <v>0</v>
      </c>
      <c r="G983" s="758">
        <f t="shared" si="60"/>
        <v>0</v>
      </c>
      <c r="H983" s="759">
        <f t="shared" si="61"/>
        <v>0</v>
      </c>
      <c r="I983" s="758">
        <f t="shared" si="62"/>
        <v>0</v>
      </c>
      <c r="J983" s="760">
        <f t="shared" si="63"/>
        <v>0</v>
      </c>
      <c r="K983" s="74"/>
      <c r="L983" s="74"/>
      <c r="M983" s="74" t="s">
        <v>1230</v>
      </c>
      <c r="N983" s="74">
        <v>0</v>
      </c>
      <c r="O983" s="74">
        <v>0</v>
      </c>
      <c r="P983" s="74">
        <v>0</v>
      </c>
    </row>
    <row r="984" spans="1:16">
      <c r="A984" s="74" t="s">
        <v>809</v>
      </c>
      <c r="B984" s="74" t="s">
        <v>323</v>
      </c>
      <c r="C984" s="74" t="s">
        <v>1512</v>
      </c>
      <c r="D984" s="74" t="s">
        <v>80</v>
      </c>
      <c r="E984" s="74">
        <v>2</v>
      </c>
      <c r="F984" s="74">
        <v>0</v>
      </c>
      <c r="G984" s="758">
        <f t="shared" si="60"/>
        <v>0</v>
      </c>
      <c r="H984" s="759">
        <f t="shared" si="61"/>
        <v>0</v>
      </c>
      <c r="I984" s="758">
        <f t="shared" si="62"/>
        <v>0</v>
      </c>
      <c r="J984" s="760">
        <f t="shared" si="63"/>
        <v>0</v>
      </c>
      <c r="K984" s="74"/>
      <c r="L984" s="74"/>
      <c r="M984" s="74" t="s">
        <v>1184</v>
      </c>
      <c r="N984" s="74">
        <v>0</v>
      </c>
      <c r="O984" s="74">
        <v>0</v>
      </c>
      <c r="P984" s="74">
        <v>0</v>
      </c>
    </row>
    <row r="985" spans="1:16">
      <c r="A985" s="74" t="s">
        <v>2264</v>
      </c>
      <c r="B985" s="74" t="s">
        <v>873</v>
      </c>
      <c r="C985" s="74" t="s">
        <v>1605</v>
      </c>
      <c r="D985" s="74" t="s">
        <v>87</v>
      </c>
      <c r="E985" s="74">
        <v>3</v>
      </c>
      <c r="F985" s="74">
        <v>0</v>
      </c>
      <c r="G985" s="758">
        <f t="shared" si="60"/>
        <v>0.68</v>
      </c>
      <c r="H985" s="759">
        <f t="shared" si="61"/>
        <v>0.21</v>
      </c>
      <c r="I985" s="758">
        <f t="shared" si="62"/>
        <v>-0.68</v>
      </c>
      <c r="J985" s="760">
        <f t="shared" si="63"/>
        <v>0</v>
      </c>
      <c r="K985" s="74"/>
      <c r="L985" s="74"/>
      <c r="M985" s="74" t="s">
        <v>2265</v>
      </c>
      <c r="N985" s="74">
        <v>0</v>
      </c>
      <c r="O985" s="74">
        <v>0</v>
      </c>
      <c r="P985" s="74">
        <v>0</v>
      </c>
    </row>
    <row r="986" spans="1:16">
      <c r="A986" s="74" t="s">
        <v>1613</v>
      </c>
      <c r="B986" s="74" t="s">
        <v>873</v>
      </c>
      <c r="C986" s="74" t="s">
        <v>1555</v>
      </c>
      <c r="D986" s="74" t="s">
        <v>94</v>
      </c>
      <c r="E986" s="74">
        <v>12</v>
      </c>
      <c r="F986" s="74">
        <v>0</v>
      </c>
      <c r="G986" s="758">
        <f t="shared" si="60"/>
        <v>0</v>
      </c>
      <c r="H986" s="759">
        <f t="shared" si="61"/>
        <v>0</v>
      </c>
      <c r="I986" s="758">
        <f t="shared" si="62"/>
        <v>0</v>
      </c>
      <c r="J986" s="760">
        <f t="shared" si="63"/>
        <v>0</v>
      </c>
      <c r="K986" s="74"/>
      <c r="L986" s="74"/>
      <c r="M986" s="74" t="s">
        <v>2266</v>
      </c>
      <c r="N986" s="74">
        <v>0</v>
      </c>
      <c r="O986" s="74">
        <v>0</v>
      </c>
      <c r="P986" s="74">
        <v>0</v>
      </c>
    </row>
    <row r="987" spans="1:16">
      <c r="A987" s="74" t="s">
        <v>793</v>
      </c>
      <c r="B987" s="74" t="s">
        <v>695</v>
      </c>
      <c r="C987" s="74" t="s">
        <v>1511</v>
      </c>
      <c r="D987" s="74" t="s">
        <v>80</v>
      </c>
      <c r="E987" s="74">
        <v>11</v>
      </c>
      <c r="F987" s="74">
        <v>69.95</v>
      </c>
      <c r="G987" s="758">
        <f t="shared" si="60"/>
        <v>1.02</v>
      </c>
      <c r="H987" s="759">
        <f t="shared" si="61"/>
        <v>0.2</v>
      </c>
      <c r="I987" s="758">
        <f t="shared" si="62"/>
        <v>5.3390909090909098</v>
      </c>
      <c r="J987" s="760">
        <f t="shared" si="63"/>
        <v>0.83959971408148681</v>
      </c>
      <c r="K987" s="74"/>
      <c r="L987" s="74"/>
      <c r="M987" s="74" t="s">
        <v>996</v>
      </c>
      <c r="N987" s="74">
        <v>0</v>
      </c>
      <c r="O987" s="74">
        <v>0</v>
      </c>
      <c r="P987" s="74">
        <v>1</v>
      </c>
    </row>
    <row r="988" spans="1:16">
      <c r="A988" s="74" t="s">
        <v>793</v>
      </c>
      <c r="B988" s="74" t="s">
        <v>695</v>
      </c>
      <c r="C988" s="74" t="s">
        <v>1646</v>
      </c>
      <c r="D988" s="74" t="s">
        <v>86</v>
      </c>
      <c r="E988" s="74">
        <v>1</v>
      </c>
      <c r="F988" s="74">
        <v>7.2</v>
      </c>
      <c r="G988" s="758">
        <f t="shared" si="60"/>
        <v>1.02</v>
      </c>
      <c r="H988" s="759">
        <f t="shared" si="61"/>
        <v>0.2</v>
      </c>
      <c r="I988" s="758">
        <f t="shared" si="62"/>
        <v>6.18</v>
      </c>
      <c r="J988" s="760">
        <f t="shared" si="63"/>
        <v>0.85833333333333339</v>
      </c>
      <c r="K988" s="74"/>
      <c r="L988" s="74"/>
      <c r="M988" s="74" t="s">
        <v>2267</v>
      </c>
      <c r="N988" s="74">
        <v>0</v>
      </c>
      <c r="O988" s="74">
        <v>0</v>
      </c>
      <c r="P988" s="74">
        <v>1</v>
      </c>
    </row>
    <row r="989" spans="1:16">
      <c r="A989" s="74" t="s">
        <v>793</v>
      </c>
      <c r="B989" s="74" t="s">
        <v>695</v>
      </c>
      <c r="C989" s="74" t="s">
        <v>1541</v>
      </c>
      <c r="D989" s="74" t="s">
        <v>86</v>
      </c>
      <c r="E989" s="74">
        <v>8</v>
      </c>
      <c r="F989" s="74">
        <v>56.1</v>
      </c>
      <c r="G989" s="758">
        <f t="shared" si="60"/>
        <v>1.02</v>
      </c>
      <c r="H989" s="759">
        <f t="shared" si="61"/>
        <v>0.2</v>
      </c>
      <c r="I989" s="758">
        <f t="shared" si="62"/>
        <v>5.9924999999999997</v>
      </c>
      <c r="J989" s="760">
        <f t="shared" si="63"/>
        <v>0.8545454545454545</v>
      </c>
      <c r="K989" s="74"/>
      <c r="L989" s="74"/>
      <c r="M989" s="74" t="s">
        <v>2268</v>
      </c>
      <c r="N989" s="74">
        <v>0</v>
      </c>
      <c r="O989" s="74">
        <v>0</v>
      </c>
      <c r="P989" s="74">
        <v>0</v>
      </c>
    </row>
    <row r="990" spans="1:16">
      <c r="A990" s="74" t="s">
        <v>793</v>
      </c>
      <c r="B990" s="74" t="s">
        <v>695</v>
      </c>
      <c r="C990" s="74" t="s">
        <v>1544</v>
      </c>
      <c r="D990" s="74" t="s">
        <v>87</v>
      </c>
      <c r="E990" s="74">
        <v>1</v>
      </c>
      <c r="F990" s="74">
        <v>6.95</v>
      </c>
      <c r="G990" s="758">
        <f t="shared" si="60"/>
        <v>1.02</v>
      </c>
      <c r="H990" s="759">
        <f t="shared" si="61"/>
        <v>0.2</v>
      </c>
      <c r="I990" s="758">
        <f t="shared" si="62"/>
        <v>5.93</v>
      </c>
      <c r="J990" s="760">
        <f t="shared" si="63"/>
        <v>0.85323741007194243</v>
      </c>
      <c r="K990" s="74"/>
      <c r="L990" s="74"/>
      <c r="M990" s="74" t="s">
        <v>922</v>
      </c>
      <c r="N990" s="74">
        <v>0</v>
      </c>
      <c r="O990" s="74">
        <v>0</v>
      </c>
      <c r="P990" s="74">
        <v>0</v>
      </c>
    </row>
    <row r="991" spans="1:16">
      <c r="A991" s="74" t="s">
        <v>793</v>
      </c>
      <c r="B991" s="74" t="s">
        <v>695</v>
      </c>
      <c r="C991" s="74" t="s">
        <v>1614</v>
      </c>
      <c r="D991" s="74" t="s">
        <v>92</v>
      </c>
      <c r="E991" s="74">
        <v>1</v>
      </c>
      <c r="F991" s="74">
        <v>7.2</v>
      </c>
      <c r="G991" s="758">
        <f t="shared" si="60"/>
        <v>1.02</v>
      </c>
      <c r="H991" s="759">
        <f t="shared" si="61"/>
        <v>0.2</v>
      </c>
      <c r="I991" s="758">
        <f t="shared" si="62"/>
        <v>6.18</v>
      </c>
      <c r="J991" s="760">
        <f t="shared" si="63"/>
        <v>0.85833333333333339</v>
      </c>
      <c r="K991" s="74"/>
      <c r="L991" s="74"/>
      <c r="M991" s="74" t="s">
        <v>1034</v>
      </c>
      <c r="N991" s="74">
        <v>0</v>
      </c>
      <c r="O991" s="74">
        <v>0</v>
      </c>
      <c r="P991" s="74">
        <v>0</v>
      </c>
    </row>
    <row r="992" spans="1:16">
      <c r="A992" s="74" t="s">
        <v>1108</v>
      </c>
      <c r="B992" s="74" t="s">
        <v>873</v>
      </c>
      <c r="C992" s="74" t="s">
        <v>1646</v>
      </c>
      <c r="D992" s="74" t="s">
        <v>86</v>
      </c>
      <c r="E992" s="74">
        <v>5</v>
      </c>
      <c r="F992" s="74">
        <v>0</v>
      </c>
      <c r="G992" s="758">
        <f t="shared" si="60"/>
        <v>0</v>
      </c>
      <c r="H992" s="759">
        <f t="shared" si="61"/>
        <v>0</v>
      </c>
      <c r="I992" s="758">
        <f t="shared" si="62"/>
        <v>0</v>
      </c>
      <c r="J992" s="760">
        <f t="shared" si="63"/>
        <v>0</v>
      </c>
      <c r="K992" s="74"/>
      <c r="L992" s="74"/>
      <c r="M992" s="74" t="s">
        <v>1147</v>
      </c>
      <c r="N992" s="74">
        <v>0</v>
      </c>
      <c r="O992" s="74">
        <v>0</v>
      </c>
      <c r="P992" s="74">
        <v>1</v>
      </c>
    </row>
    <row r="993" spans="1:16">
      <c r="A993" s="74" t="s">
        <v>1108</v>
      </c>
      <c r="B993" s="74" t="s">
        <v>873</v>
      </c>
      <c r="C993" s="74" t="s">
        <v>1610</v>
      </c>
      <c r="D993" s="74" t="s">
        <v>89</v>
      </c>
      <c r="E993" s="74">
        <v>22</v>
      </c>
      <c r="F993" s="74">
        <v>0</v>
      </c>
      <c r="G993" s="758">
        <f t="shared" si="60"/>
        <v>0</v>
      </c>
      <c r="H993" s="759">
        <f t="shared" si="61"/>
        <v>0</v>
      </c>
      <c r="I993" s="758">
        <f t="shared" si="62"/>
        <v>0</v>
      </c>
      <c r="J993" s="760">
        <f t="shared" si="63"/>
        <v>0</v>
      </c>
      <c r="K993" s="74"/>
      <c r="L993" s="74"/>
      <c r="M993" s="74" t="s">
        <v>843</v>
      </c>
      <c r="N993" s="74">
        <v>0</v>
      </c>
      <c r="O993" s="74">
        <v>0</v>
      </c>
      <c r="P993" s="74">
        <v>1</v>
      </c>
    </row>
    <row r="994" spans="1:16">
      <c r="A994" s="74" t="s">
        <v>1108</v>
      </c>
      <c r="B994" s="74" t="s">
        <v>873</v>
      </c>
      <c r="C994" s="74" t="s">
        <v>1547</v>
      </c>
      <c r="D994" s="74" t="s">
        <v>89</v>
      </c>
      <c r="E994" s="74">
        <v>4</v>
      </c>
      <c r="F994" s="74">
        <v>0</v>
      </c>
      <c r="G994" s="758">
        <f t="shared" si="60"/>
        <v>0</v>
      </c>
      <c r="H994" s="759">
        <f t="shared" si="61"/>
        <v>0</v>
      </c>
      <c r="I994" s="758">
        <f t="shared" si="62"/>
        <v>0</v>
      </c>
      <c r="J994" s="760">
        <f t="shared" si="63"/>
        <v>0</v>
      </c>
      <c r="K994" s="74"/>
      <c r="L994" s="74"/>
      <c r="M994" s="74" t="s">
        <v>2269</v>
      </c>
      <c r="N994" s="74">
        <v>0</v>
      </c>
      <c r="O994" s="74">
        <v>0</v>
      </c>
      <c r="P994" s="74">
        <v>0</v>
      </c>
    </row>
    <row r="995" spans="1:16">
      <c r="A995" s="74" t="s">
        <v>919</v>
      </c>
      <c r="B995" s="74" t="s">
        <v>247</v>
      </c>
      <c r="C995" s="74" t="s">
        <v>1577</v>
      </c>
      <c r="D995" s="74" t="s">
        <v>84</v>
      </c>
      <c r="E995" s="74">
        <v>1</v>
      </c>
      <c r="F995" s="74">
        <v>1.7</v>
      </c>
      <c r="G995" s="758">
        <f t="shared" si="60"/>
        <v>0</v>
      </c>
      <c r="H995" s="759">
        <f t="shared" si="61"/>
        <v>0</v>
      </c>
      <c r="I995" s="758">
        <f t="shared" si="62"/>
        <v>1.7</v>
      </c>
      <c r="J995" s="760">
        <f t="shared" si="63"/>
        <v>1</v>
      </c>
      <c r="K995" s="74"/>
      <c r="L995" s="74"/>
      <c r="M995" s="74" t="s">
        <v>2270</v>
      </c>
      <c r="N995" s="74">
        <v>0.33</v>
      </c>
      <c r="O995" s="74">
        <v>0</v>
      </c>
      <c r="P995" s="74">
        <v>0</v>
      </c>
    </row>
    <row r="996" spans="1:16">
      <c r="A996" s="74" t="s">
        <v>919</v>
      </c>
      <c r="B996" s="74" t="s">
        <v>247</v>
      </c>
      <c r="C996" s="74" t="s">
        <v>1507</v>
      </c>
      <c r="D996" s="74" t="s">
        <v>86</v>
      </c>
      <c r="E996" s="74">
        <v>3</v>
      </c>
      <c r="F996" s="74">
        <v>5.4</v>
      </c>
      <c r="G996" s="758">
        <f t="shared" si="60"/>
        <v>0</v>
      </c>
      <c r="H996" s="759">
        <f t="shared" si="61"/>
        <v>0</v>
      </c>
      <c r="I996" s="758">
        <f t="shared" si="62"/>
        <v>1.8</v>
      </c>
      <c r="J996" s="760">
        <f t="shared" si="63"/>
        <v>1</v>
      </c>
      <c r="K996" s="74"/>
      <c r="L996" s="74"/>
      <c r="M996" s="74" t="s">
        <v>2271</v>
      </c>
      <c r="N996" s="74">
        <v>0.08</v>
      </c>
      <c r="O996" s="74">
        <v>0</v>
      </c>
      <c r="P996" s="74">
        <v>0</v>
      </c>
    </row>
    <row r="997" spans="1:16">
      <c r="A997" s="74" t="s">
        <v>919</v>
      </c>
      <c r="B997" s="74" t="s">
        <v>247</v>
      </c>
      <c r="C997" s="74" t="s">
        <v>1644</v>
      </c>
      <c r="D997" s="74" t="s">
        <v>86</v>
      </c>
      <c r="E997" s="74">
        <v>2</v>
      </c>
      <c r="F997" s="74">
        <v>3.4</v>
      </c>
      <c r="G997" s="758">
        <f t="shared" si="60"/>
        <v>0</v>
      </c>
      <c r="H997" s="759">
        <f t="shared" si="61"/>
        <v>0</v>
      </c>
      <c r="I997" s="758">
        <f t="shared" si="62"/>
        <v>1.7</v>
      </c>
      <c r="J997" s="760">
        <f t="shared" si="63"/>
        <v>1</v>
      </c>
      <c r="K997" s="74"/>
      <c r="L997" s="74"/>
      <c r="M997" s="74" t="s">
        <v>259</v>
      </c>
      <c r="N997" s="156">
        <v>0.19</v>
      </c>
      <c r="O997" s="156">
        <v>0.26</v>
      </c>
      <c r="P997" s="761">
        <v>0.74</v>
      </c>
    </row>
    <row r="998" spans="1:16">
      <c r="A998" s="74" t="s">
        <v>919</v>
      </c>
      <c r="B998" s="74" t="s">
        <v>247</v>
      </c>
      <c r="C998" s="74" t="s">
        <v>1578</v>
      </c>
      <c r="D998" s="74" t="s">
        <v>86</v>
      </c>
      <c r="E998" s="74">
        <v>1</v>
      </c>
      <c r="F998" s="74">
        <v>1.7</v>
      </c>
      <c r="G998" s="758">
        <f t="shared" si="60"/>
        <v>0</v>
      </c>
      <c r="H998" s="759">
        <f t="shared" si="61"/>
        <v>0</v>
      </c>
      <c r="I998" s="758">
        <f t="shared" si="62"/>
        <v>1.7</v>
      </c>
      <c r="J998" s="760">
        <f t="shared" si="63"/>
        <v>1</v>
      </c>
      <c r="K998" s="74"/>
      <c r="L998" s="74"/>
      <c r="M998" s="74" t="s">
        <v>704</v>
      </c>
      <c r="N998" s="156">
        <v>1.55</v>
      </c>
      <c r="O998" s="156">
        <v>0</v>
      </c>
      <c r="P998" s="761">
        <v>1</v>
      </c>
    </row>
    <row r="999" spans="1:16">
      <c r="A999" s="74" t="s">
        <v>919</v>
      </c>
      <c r="B999" s="74" t="s">
        <v>247</v>
      </c>
      <c r="C999" s="74" t="s">
        <v>1646</v>
      </c>
      <c r="D999" s="74" t="s">
        <v>86</v>
      </c>
      <c r="E999" s="74">
        <v>2</v>
      </c>
      <c r="F999" s="74">
        <v>3.4</v>
      </c>
      <c r="G999" s="758">
        <f t="shared" si="60"/>
        <v>0</v>
      </c>
      <c r="H999" s="759">
        <f t="shared" si="61"/>
        <v>0</v>
      </c>
      <c r="I999" s="758">
        <f t="shared" si="62"/>
        <v>1.7</v>
      </c>
      <c r="J999" s="760">
        <f t="shared" si="63"/>
        <v>1</v>
      </c>
      <c r="K999" s="74"/>
      <c r="L999" s="74"/>
      <c r="M999" s="74" t="s">
        <v>700</v>
      </c>
      <c r="N999" s="156">
        <v>1.79</v>
      </c>
      <c r="O999" s="156">
        <v>0.21</v>
      </c>
      <c r="P999" s="761">
        <v>0.79</v>
      </c>
    </row>
    <row r="1000" spans="1:16">
      <c r="A1000" s="74" t="s">
        <v>919</v>
      </c>
      <c r="B1000" s="74" t="s">
        <v>247</v>
      </c>
      <c r="C1000" s="74" t="s">
        <v>1541</v>
      </c>
      <c r="D1000" s="74" t="s">
        <v>86</v>
      </c>
      <c r="E1000" s="74">
        <v>1</v>
      </c>
      <c r="F1000" s="74">
        <v>1.7</v>
      </c>
      <c r="G1000" s="758">
        <f t="shared" si="60"/>
        <v>0</v>
      </c>
      <c r="H1000" s="759">
        <f t="shared" si="61"/>
        <v>0</v>
      </c>
      <c r="I1000" s="758">
        <f t="shared" si="62"/>
        <v>1.7</v>
      </c>
      <c r="J1000" s="760">
        <f t="shared" si="63"/>
        <v>1</v>
      </c>
      <c r="K1000" s="74"/>
      <c r="L1000" s="74"/>
      <c r="M1000" s="74" t="s">
        <v>707</v>
      </c>
      <c r="N1000" s="156">
        <v>0.53</v>
      </c>
      <c r="O1000" s="156">
        <v>0.22</v>
      </c>
      <c r="P1000" s="761">
        <v>0.78</v>
      </c>
    </row>
    <row r="1001" spans="1:16">
      <c r="A1001" s="74" t="s">
        <v>919</v>
      </c>
      <c r="B1001" s="74" t="s">
        <v>247</v>
      </c>
      <c r="C1001" s="74" t="s">
        <v>1543</v>
      </c>
      <c r="D1001" s="74" t="s">
        <v>87</v>
      </c>
      <c r="E1001" s="74">
        <v>2</v>
      </c>
      <c r="F1001" s="74">
        <v>3.55</v>
      </c>
      <c r="G1001" s="758">
        <f t="shared" si="60"/>
        <v>0</v>
      </c>
      <c r="H1001" s="759">
        <f t="shared" si="61"/>
        <v>0</v>
      </c>
      <c r="I1001" s="758">
        <f t="shared" si="62"/>
        <v>1.7749999999999999</v>
      </c>
      <c r="J1001" s="760">
        <f t="shared" si="63"/>
        <v>1</v>
      </c>
      <c r="K1001" s="74"/>
      <c r="L1001" s="74"/>
      <c r="M1001" s="74" t="s">
        <v>680</v>
      </c>
      <c r="N1001" s="156">
        <v>0.53</v>
      </c>
      <c r="O1001" s="156">
        <v>0.32</v>
      </c>
      <c r="P1001" s="761">
        <v>0.67999999999999994</v>
      </c>
    </row>
    <row r="1002" spans="1:16">
      <c r="A1002" s="74" t="s">
        <v>919</v>
      </c>
      <c r="B1002" s="74" t="s">
        <v>247</v>
      </c>
      <c r="C1002" s="74" t="s">
        <v>1544</v>
      </c>
      <c r="D1002" s="74" t="s">
        <v>87</v>
      </c>
      <c r="E1002" s="74">
        <v>4</v>
      </c>
      <c r="F1002" s="74">
        <v>6.8</v>
      </c>
      <c r="G1002" s="758">
        <f t="shared" si="60"/>
        <v>0</v>
      </c>
      <c r="H1002" s="759">
        <f t="shared" si="61"/>
        <v>0</v>
      </c>
      <c r="I1002" s="758">
        <f t="shared" si="62"/>
        <v>1.7</v>
      </c>
      <c r="J1002" s="760">
        <f t="shared" si="63"/>
        <v>1</v>
      </c>
      <c r="K1002" s="74"/>
      <c r="L1002" s="74"/>
      <c r="M1002" s="74" t="s">
        <v>796</v>
      </c>
      <c r="N1002" s="156">
        <v>2.66</v>
      </c>
      <c r="O1002" s="156">
        <v>0.28000000000000003</v>
      </c>
      <c r="P1002" s="761">
        <v>0.72</v>
      </c>
    </row>
    <row r="1003" spans="1:16">
      <c r="A1003" s="74" t="s">
        <v>919</v>
      </c>
      <c r="B1003" s="74" t="s">
        <v>247</v>
      </c>
      <c r="C1003" s="74" t="s">
        <v>1561</v>
      </c>
      <c r="D1003" s="74" t="s">
        <v>87</v>
      </c>
      <c r="E1003" s="74">
        <v>2</v>
      </c>
      <c r="F1003" s="74">
        <v>3.4</v>
      </c>
      <c r="G1003" s="758">
        <f t="shared" si="60"/>
        <v>0</v>
      </c>
      <c r="H1003" s="759">
        <f t="shared" si="61"/>
        <v>0</v>
      </c>
      <c r="I1003" s="758">
        <f t="shared" si="62"/>
        <v>1.7</v>
      </c>
      <c r="J1003" s="760">
        <f t="shared" si="63"/>
        <v>1</v>
      </c>
      <c r="K1003" s="74"/>
      <c r="L1003" s="74"/>
      <c r="M1003" s="74" t="s">
        <v>677</v>
      </c>
      <c r="N1003" s="156">
        <v>0.31</v>
      </c>
      <c r="O1003" s="156">
        <v>0.24</v>
      </c>
      <c r="P1003" s="761">
        <v>0.76</v>
      </c>
    </row>
    <row r="1004" spans="1:16">
      <c r="A1004" s="74" t="s">
        <v>919</v>
      </c>
      <c r="B1004" s="74" t="s">
        <v>247</v>
      </c>
      <c r="C1004" s="74" t="s">
        <v>1608</v>
      </c>
      <c r="D1004" s="74" t="s">
        <v>89</v>
      </c>
      <c r="E1004" s="74">
        <v>1</v>
      </c>
      <c r="F1004" s="74">
        <v>1.7</v>
      </c>
      <c r="G1004" s="758">
        <f t="shared" si="60"/>
        <v>0</v>
      </c>
      <c r="H1004" s="759">
        <f t="shared" si="61"/>
        <v>0</v>
      </c>
      <c r="I1004" s="758">
        <f t="shared" si="62"/>
        <v>1.7</v>
      </c>
      <c r="J1004" s="760">
        <f t="shared" si="63"/>
        <v>1</v>
      </c>
      <c r="K1004" s="74"/>
      <c r="L1004" s="74"/>
      <c r="M1004" s="74" t="s">
        <v>691</v>
      </c>
      <c r="N1004" s="156">
        <v>0</v>
      </c>
      <c r="O1004" s="156">
        <v>0</v>
      </c>
      <c r="P1004" s="761">
        <v>0</v>
      </c>
    </row>
    <row r="1005" spans="1:16">
      <c r="A1005" s="74" t="s">
        <v>919</v>
      </c>
      <c r="B1005" s="74" t="s">
        <v>247</v>
      </c>
      <c r="C1005" s="74" t="s">
        <v>1610</v>
      </c>
      <c r="D1005" s="74" t="s">
        <v>89</v>
      </c>
      <c r="E1005" s="74">
        <v>1</v>
      </c>
      <c r="F1005" s="74">
        <v>1.7</v>
      </c>
      <c r="G1005" s="758">
        <f t="shared" si="60"/>
        <v>0</v>
      </c>
      <c r="H1005" s="759">
        <f t="shared" si="61"/>
        <v>0</v>
      </c>
      <c r="I1005" s="758">
        <f t="shared" si="62"/>
        <v>1.7</v>
      </c>
      <c r="J1005" s="760">
        <f t="shared" si="63"/>
        <v>1</v>
      </c>
      <c r="K1005" s="74"/>
      <c r="L1005" s="74"/>
      <c r="M1005" s="74" t="s">
        <v>702</v>
      </c>
      <c r="N1005" s="156">
        <v>0.14000000000000001</v>
      </c>
      <c r="O1005" s="156">
        <v>0</v>
      </c>
      <c r="P1005" s="761">
        <v>1</v>
      </c>
    </row>
    <row r="1006" spans="1:16">
      <c r="A1006" s="74" t="s">
        <v>919</v>
      </c>
      <c r="B1006" s="74" t="s">
        <v>247</v>
      </c>
      <c r="C1006" s="74" t="s">
        <v>1582</v>
      </c>
      <c r="D1006" s="74" t="s">
        <v>89</v>
      </c>
      <c r="E1006" s="74">
        <v>2</v>
      </c>
      <c r="F1006" s="74">
        <v>3.4</v>
      </c>
      <c r="G1006" s="758">
        <f t="shared" si="60"/>
        <v>0</v>
      </c>
      <c r="H1006" s="759">
        <f t="shared" si="61"/>
        <v>0</v>
      </c>
      <c r="I1006" s="758">
        <f t="shared" si="62"/>
        <v>1.7</v>
      </c>
      <c r="J1006" s="760">
        <f t="shared" si="63"/>
        <v>1</v>
      </c>
      <c r="K1006" s="74"/>
      <c r="L1006" s="74"/>
      <c r="M1006" s="74" t="s">
        <v>698</v>
      </c>
      <c r="N1006" s="156">
        <v>0.32</v>
      </c>
      <c r="O1006" s="156">
        <v>0.25</v>
      </c>
      <c r="P1006" s="761">
        <v>0.75</v>
      </c>
    </row>
    <row r="1007" spans="1:16">
      <c r="A1007" s="74" t="s">
        <v>919</v>
      </c>
      <c r="B1007" s="74" t="s">
        <v>247</v>
      </c>
      <c r="C1007" s="74" t="s">
        <v>1522</v>
      </c>
      <c r="D1007" s="74" t="s">
        <v>91</v>
      </c>
      <c r="E1007" s="74">
        <v>4</v>
      </c>
      <c r="F1007" s="74">
        <v>6.95</v>
      </c>
      <c r="G1007" s="758">
        <f t="shared" si="60"/>
        <v>0</v>
      </c>
      <c r="H1007" s="759">
        <f t="shared" si="61"/>
        <v>0</v>
      </c>
      <c r="I1007" s="758">
        <f t="shared" si="62"/>
        <v>1.7375</v>
      </c>
      <c r="J1007" s="760">
        <f t="shared" si="63"/>
        <v>1</v>
      </c>
      <c r="K1007" s="74"/>
      <c r="L1007" s="74"/>
      <c r="M1007" s="74" t="s">
        <v>748</v>
      </c>
      <c r="N1007" s="156">
        <v>1.66</v>
      </c>
      <c r="O1007" s="156">
        <v>0.21</v>
      </c>
      <c r="P1007" s="761">
        <v>0.79</v>
      </c>
    </row>
    <row r="1008" spans="1:16">
      <c r="A1008" s="74" t="s">
        <v>919</v>
      </c>
      <c r="B1008" s="74" t="s">
        <v>247</v>
      </c>
      <c r="C1008" s="74" t="s">
        <v>1550</v>
      </c>
      <c r="D1008" s="74" t="s">
        <v>91</v>
      </c>
      <c r="E1008" s="74">
        <v>4</v>
      </c>
      <c r="F1008" s="74">
        <v>6.85</v>
      </c>
      <c r="G1008" s="758">
        <f t="shared" si="60"/>
        <v>0</v>
      </c>
      <c r="H1008" s="759">
        <f t="shared" si="61"/>
        <v>0</v>
      </c>
      <c r="I1008" s="758">
        <f t="shared" si="62"/>
        <v>1.7124999999999999</v>
      </c>
      <c r="J1008" s="760">
        <f t="shared" si="63"/>
        <v>1</v>
      </c>
      <c r="K1008" s="74"/>
      <c r="L1008" s="74"/>
      <c r="M1008" s="74" t="s">
        <v>740</v>
      </c>
      <c r="N1008" s="156">
        <v>0.16</v>
      </c>
      <c r="O1008" s="156">
        <v>0.13</v>
      </c>
      <c r="P1008" s="761">
        <v>0.87</v>
      </c>
    </row>
    <row r="1009" spans="1:16">
      <c r="A1009" s="74" t="s">
        <v>919</v>
      </c>
      <c r="B1009" s="74" t="s">
        <v>247</v>
      </c>
      <c r="C1009" s="74" t="s">
        <v>1675</v>
      </c>
      <c r="D1009" s="74" t="s">
        <v>91</v>
      </c>
      <c r="E1009" s="74">
        <v>3</v>
      </c>
      <c r="F1009" s="74">
        <v>5.0999999999999996</v>
      </c>
      <c r="G1009" s="758">
        <f t="shared" si="60"/>
        <v>0</v>
      </c>
      <c r="H1009" s="759">
        <f t="shared" si="61"/>
        <v>0</v>
      </c>
      <c r="I1009" s="758">
        <f t="shared" si="62"/>
        <v>1.7</v>
      </c>
      <c r="J1009" s="760">
        <f t="shared" si="63"/>
        <v>1</v>
      </c>
      <c r="K1009" s="74"/>
      <c r="L1009" s="74"/>
      <c r="M1009" s="74" t="s">
        <v>743</v>
      </c>
      <c r="N1009" s="156">
        <v>0</v>
      </c>
      <c r="O1009" s="156">
        <v>0</v>
      </c>
      <c r="P1009" s="761">
        <v>0</v>
      </c>
    </row>
    <row r="1010" spans="1:16">
      <c r="A1010" s="74" t="s">
        <v>919</v>
      </c>
      <c r="B1010" s="74" t="s">
        <v>247</v>
      </c>
      <c r="C1010" s="74" t="s">
        <v>1584</v>
      </c>
      <c r="D1010" s="74" t="s">
        <v>92</v>
      </c>
      <c r="E1010" s="74">
        <v>2</v>
      </c>
      <c r="F1010" s="74">
        <v>3.4</v>
      </c>
      <c r="G1010" s="758">
        <f t="shared" si="60"/>
        <v>0</v>
      </c>
      <c r="H1010" s="759">
        <f t="shared" si="61"/>
        <v>0</v>
      </c>
      <c r="I1010" s="758">
        <f t="shared" si="62"/>
        <v>1.7</v>
      </c>
      <c r="J1010" s="760">
        <f t="shared" si="63"/>
        <v>1</v>
      </c>
      <c r="K1010" s="74"/>
      <c r="L1010" s="74"/>
      <c r="M1010" s="74" t="s">
        <v>737</v>
      </c>
      <c r="N1010" s="156">
        <v>0.26</v>
      </c>
      <c r="O1010" s="156">
        <v>0.19</v>
      </c>
      <c r="P1010" s="761">
        <v>0.81</v>
      </c>
    </row>
    <row r="1011" spans="1:16">
      <c r="A1011" s="74" t="s">
        <v>919</v>
      </c>
      <c r="B1011" s="74" t="s">
        <v>247</v>
      </c>
      <c r="C1011" s="74" t="s">
        <v>1631</v>
      </c>
      <c r="D1011" s="74" t="s">
        <v>92</v>
      </c>
      <c r="E1011" s="74">
        <v>1</v>
      </c>
      <c r="F1011" s="74">
        <v>1.7</v>
      </c>
      <c r="G1011" s="758">
        <f t="shared" si="60"/>
        <v>0</v>
      </c>
      <c r="H1011" s="759">
        <f t="shared" si="61"/>
        <v>0</v>
      </c>
      <c r="I1011" s="758">
        <f t="shared" si="62"/>
        <v>1.7</v>
      </c>
      <c r="J1011" s="760">
        <f t="shared" si="63"/>
        <v>1</v>
      </c>
      <c r="K1011" s="74"/>
      <c r="L1011" s="74"/>
      <c r="M1011" s="74" t="s">
        <v>681</v>
      </c>
      <c r="N1011" s="156">
        <v>0</v>
      </c>
      <c r="O1011" s="156">
        <v>0.22</v>
      </c>
      <c r="P1011" s="761">
        <v>0.78</v>
      </c>
    </row>
    <row r="1012" spans="1:16">
      <c r="A1012" s="74" t="s">
        <v>919</v>
      </c>
      <c r="B1012" s="74" t="s">
        <v>247</v>
      </c>
      <c r="C1012" s="74" t="s">
        <v>1552</v>
      </c>
      <c r="D1012" s="74" t="s">
        <v>92</v>
      </c>
      <c r="E1012" s="74">
        <v>1</v>
      </c>
      <c r="F1012" s="74">
        <v>1.7</v>
      </c>
      <c r="G1012" s="758">
        <f t="shared" si="60"/>
        <v>0</v>
      </c>
      <c r="H1012" s="759">
        <f t="shared" si="61"/>
        <v>0</v>
      </c>
      <c r="I1012" s="758">
        <f t="shared" si="62"/>
        <v>1.7</v>
      </c>
      <c r="J1012" s="760">
        <f t="shared" si="63"/>
        <v>1</v>
      </c>
      <c r="K1012" s="74"/>
      <c r="L1012" s="74"/>
      <c r="M1012" s="74" t="s">
        <v>716</v>
      </c>
      <c r="N1012" s="156">
        <v>0.05</v>
      </c>
      <c r="O1012" s="156">
        <v>0.21</v>
      </c>
      <c r="P1012" s="761">
        <v>0.79</v>
      </c>
    </row>
    <row r="1013" spans="1:16">
      <c r="A1013" s="74" t="s">
        <v>919</v>
      </c>
      <c r="B1013" s="74" t="s">
        <v>247</v>
      </c>
      <c r="C1013" s="74" t="s">
        <v>1617</v>
      </c>
      <c r="D1013" s="74" t="s">
        <v>94</v>
      </c>
      <c r="E1013" s="74">
        <v>2</v>
      </c>
      <c r="F1013" s="74">
        <v>3.4</v>
      </c>
      <c r="G1013" s="758">
        <f t="shared" si="60"/>
        <v>0</v>
      </c>
      <c r="H1013" s="759">
        <f t="shared" si="61"/>
        <v>0</v>
      </c>
      <c r="I1013" s="758">
        <f t="shared" si="62"/>
        <v>1.7</v>
      </c>
      <c r="J1013" s="760">
        <f t="shared" si="63"/>
        <v>1</v>
      </c>
      <c r="K1013" s="74"/>
      <c r="L1013" s="74"/>
      <c r="M1013" s="74" t="s">
        <v>727</v>
      </c>
      <c r="N1013" s="156">
        <v>0.41</v>
      </c>
      <c r="O1013" s="156">
        <v>0.09</v>
      </c>
      <c r="P1013" s="761">
        <v>0.91</v>
      </c>
    </row>
    <row r="1014" spans="1:16">
      <c r="A1014" s="74" t="s">
        <v>919</v>
      </c>
      <c r="B1014" s="74" t="s">
        <v>247</v>
      </c>
      <c r="C1014" s="74" t="s">
        <v>1526</v>
      </c>
      <c r="D1014" s="74" t="s">
        <v>95</v>
      </c>
      <c r="E1014" s="74">
        <v>2</v>
      </c>
      <c r="F1014" s="74">
        <v>3.55</v>
      </c>
      <c r="G1014" s="758">
        <f t="shared" si="60"/>
        <v>0</v>
      </c>
      <c r="H1014" s="759">
        <f t="shared" si="61"/>
        <v>0</v>
      </c>
      <c r="I1014" s="758">
        <f t="shared" si="62"/>
        <v>1.7749999999999999</v>
      </c>
      <c r="J1014" s="760">
        <f t="shared" si="63"/>
        <v>1</v>
      </c>
      <c r="K1014" s="74"/>
      <c r="L1014" s="74"/>
      <c r="M1014" s="74" t="s">
        <v>711</v>
      </c>
      <c r="N1014" s="156">
        <v>0.11</v>
      </c>
      <c r="O1014" s="156">
        <v>0.22</v>
      </c>
      <c r="P1014" s="761">
        <v>0.78</v>
      </c>
    </row>
    <row r="1015" spans="1:16">
      <c r="A1015" s="74" t="s">
        <v>919</v>
      </c>
      <c r="B1015" s="74" t="s">
        <v>247</v>
      </c>
      <c r="C1015" s="74" t="s">
        <v>1930</v>
      </c>
      <c r="D1015" s="74" t="s">
        <v>95</v>
      </c>
      <c r="E1015" s="74">
        <v>2</v>
      </c>
      <c r="F1015" s="74">
        <v>3.4</v>
      </c>
      <c r="G1015" s="758">
        <f t="shared" si="60"/>
        <v>0</v>
      </c>
      <c r="H1015" s="759">
        <f t="shared" si="61"/>
        <v>0</v>
      </c>
      <c r="I1015" s="758">
        <f t="shared" si="62"/>
        <v>1.7</v>
      </c>
      <c r="J1015" s="760">
        <f t="shared" si="63"/>
        <v>1</v>
      </c>
      <c r="K1015" s="74"/>
      <c r="L1015" s="74"/>
      <c r="M1015" s="74"/>
      <c r="N1015" s="74"/>
      <c r="O1015" s="74"/>
      <c r="P1015" s="74"/>
    </row>
    <row r="1016" spans="1:16">
      <c r="A1016" s="74" t="s">
        <v>915</v>
      </c>
      <c r="B1016" s="74" t="s">
        <v>277</v>
      </c>
      <c r="C1016" s="74" t="s">
        <v>1528</v>
      </c>
      <c r="D1016" s="74" t="s">
        <v>78</v>
      </c>
      <c r="E1016" s="74">
        <v>10</v>
      </c>
      <c r="F1016" s="74">
        <v>109.25</v>
      </c>
      <c r="G1016" s="758">
        <f t="shared" si="60"/>
        <v>2.54</v>
      </c>
      <c r="H1016" s="759">
        <f t="shared" si="61"/>
        <v>0.26</v>
      </c>
      <c r="I1016" s="758">
        <f t="shared" si="62"/>
        <v>8.3850000000000016</v>
      </c>
      <c r="J1016" s="760">
        <f t="shared" si="63"/>
        <v>0.76750572082379864</v>
      </c>
      <c r="K1016" s="74"/>
      <c r="L1016" s="74"/>
      <c r="M1016" s="74"/>
      <c r="N1016" s="74"/>
      <c r="O1016" s="74"/>
      <c r="P1016" s="74"/>
    </row>
    <row r="1017" spans="1:16">
      <c r="A1017" s="74" t="s">
        <v>915</v>
      </c>
      <c r="B1017" s="74" t="s">
        <v>277</v>
      </c>
      <c r="C1017" s="74" t="s">
        <v>1508</v>
      </c>
      <c r="D1017" s="74" t="s">
        <v>78</v>
      </c>
      <c r="E1017" s="74">
        <v>3</v>
      </c>
      <c r="F1017" s="74">
        <v>33.700000000000003</v>
      </c>
      <c r="G1017" s="758">
        <f t="shared" si="60"/>
        <v>2.54</v>
      </c>
      <c r="H1017" s="759">
        <f t="shared" si="61"/>
        <v>0.26</v>
      </c>
      <c r="I1017" s="758">
        <f t="shared" si="62"/>
        <v>8.6933333333333351</v>
      </c>
      <c r="J1017" s="760">
        <f t="shared" si="63"/>
        <v>0.77388724035608314</v>
      </c>
      <c r="K1017" s="74"/>
      <c r="L1017" s="74"/>
      <c r="M1017" s="74"/>
      <c r="N1017" s="74"/>
      <c r="O1017" s="74"/>
      <c r="P1017" s="74"/>
    </row>
    <row r="1018" spans="1:16">
      <c r="A1018" s="74" t="s">
        <v>915</v>
      </c>
      <c r="B1018" s="74" t="s">
        <v>277</v>
      </c>
      <c r="C1018" s="74" t="s">
        <v>1509</v>
      </c>
      <c r="D1018" s="74" t="s">
        <v>78</v>
      </c>
      <c r="E1018" s="74">
        <v>8</v>
      </c>
      <c r="F1018" s="74">
        <v>87.2</v>
      </c>
      <c r="G1018" s="758">
        <f t="shared" si="60"/>
        <v>2.54</v>
      </c>
      <c r="H1018" s="759">
        <f t="shared" si="61"/>
        <v>0.26</v>
      </c>
      <c r="I1018" s="758">
        <f t="shared" si="62"/>
        <v>8.36</v>
      </c>
      <c r="J1018" s="760">
        <f t="shared" si="63"/>
        <v>0.76697247706422023</v>
      </c>
      <c r="K1018" s="74"/>
      <c r="L1018" s="74"/>
      <c r="M1018" s="74"/>
      <c r="N1018" s="74"/>
      <c r="O1018" s="74"/>
      <c r="P1018" s="74"/>
    </row>
    <row r="1019" spans="1:16">
      <c r="A1019" s="74" t="s">
        <v>915</v>
      </c>
      <c r="B1019" s="74" t="s">
        <v>277</v>
      </c>
      <c r="C1019" s="74" t="s">
        <v>1565</v>
      </c>
      <c r="D1019" s="74" t="s">
        <v>78</v>
      </c>
      <c r="E1019" s="74">
        <v>5</v>
      </c>
      <c r="F1019" s="74">
        <v>55</v>
      </c>
      <c r="G1019" s="758">
        <f t="shared" si="60"/>
        <v>2.54</v>
      </c>
      <c r="H1019" s="759">
        <f t="shared" si="61"/>
        <v>0.26</v>
      </c>
      <c r="I1019" s="758">
        <f t="shared" si="62"/>
        <v>8.4600000000000009</v>
      </c>
      <c r="J1019" s="760">
        <f t="shared" si="63"/>
        <v>0.76909090909090905</v>
      </c>
      <c r="K1019" s="74"/>
      <c r="L1019" s="74"/>
      <c r="M1019" s="74"/>
      <c r="N1019" s="74"/>
      <c r="O1019" s="74"/>
      <c r="P1019" s="74"/>
    </row>
    <row r="1020" spans="1:16">
      <c r="A1020" s="74" t="s">
        <v>915</v>
      </c>
      <c r="B1020" s="74" t="s">
        <v>277</v>
      </c>
      <c r="C1020" s="74" t="s">
        <v>1532</v>
      </c>
      <c r="D1020" s="74" t="s">
        <v>80</v>
      </c>
      <c r="E1020" s="74">
        <v>6</v>
      </c>
      <c r="F1020" s="74">
        <v>65.400000000000006</v>
      </c>
      <c r="G1020" s="758">
        <f t="shared" si="60"/>
        <v>2.54</v>
      </c>
      <c r="H1020" s="759">
        <f t="shared" si="61"/>
        <v>0.26</v>
      </c>
      <c r="I1020" s="758">
        <f t="shared" si="62"/>
        <v>8.36</v>
      </c>
      <c r="J1020" s="760">
        <f t="shared" si="63"/>
        <v>0.76697247706422023</v>
      </c>
      <c r="K1020" s="74"/>
      <c r="L1020" s="74"/>
      <c r="M1020" s="74"/>
      <c r="N1020" s="74"/>
      <c r="O1020" s="74"/>
      <c r="P1020" s="74"/>
    </row>
    <row r="1021" spans="1:16">
      <c r="A1021" s="74" t="s">
        <v>915</v>
      </c>
      <c r="B1021" s="74" t="s">
        <v>277</v>
      </c>
      <c r="C1021" s="74" t="s">
        <v>1511</v>
      </c>
      <c r="D1021" s="74" t="s">
        <v>80</v>
      </c>
      <c r="E1021" s="74">
        <v>5</v>
      </c>
      <c r="F1021" s="74">
        <v>54.5</v>
      </c>
      <c r="G1021" s="758">
        <f t="shared" si="60"/>
        <v>2.54</v>
      </c>
      <c r="H1021" s="759">
        <f t="shared" si="61"/>
        <v>0.26</v>
      </c>
      <c r="I1021" s="758">
        <f t="shared" si="62"/>
        <v>8.36</v>
      </c>
      <c r="J1021" s="760">
        <f t="shared" si="63"/>
        <v>0.76697247706422023</v>
      </c>
      <c r="K1021" s="74"/>
      <c r="L1021" s="74"/>
      <c r="M1021" s="74"/>
      <c r="N1021" s="74"/>
      <c r="O1021" s="74"/>
      <c r="P1021" s="74"/>
    </row>
    <row r="1022" spans="1:16">
      <c r="A1022" s="74" t="s">
        <v>915</v>
      </c>
      <c r="B1022" s="74" t="s">
        <v>277</v>
      </c>
      <c r="C1022" s="74" t="s">
        <v>1512</v>
      </c>
      <c r="D1022" s="74" t="s">
        <v>80</v>
      </c>
      <c r="E1022" s="74">
        <v>8</v>
      </c>
      <c r="F1022" s="74">
        <v>87.2</v>
      </c>
      <c r="G1022" s="758">
        <f t="shared" si="60"/>
        <v>2.54</v>
      </c>
      <c r="H1022" s="759">
        <f t="shared" si="61"/>
        <v>0.26</v>
      </c>
      <c r="I1022" s="758">
        <f t="shared" si="62"/>
        <v>8.36</v>
      </c>
      <c r="J1022" s="760">
        <f t="shared" si="63"/>
        <v>0.76697247706422023</v>
      </c>
      <c r="K1022" s="74"/>
      <c r="L1022" s="74"/>
      <c r="M1022" s="74"/>
      <c r="N1022" s="74"/>
      <c r="O1022" s="74"/>
      <c r="P1022" s="74"/>
    </row>
    <row r="1023" spans="1:16">
      <c r="A1023" s="74" t="s">
        <v>915</v>
      </c>
      <c r="B1023" s="74" t="s">
        <v>277</v>
      </c>
      <c r="C1023" s="74" t="s">
        <v>1534</v>
      </c>
      <c r="D1023" s="74" t="s">
        <v>81</v>
      </c>
      <c r="E1023" s="74">
        <v>2</v>
      </c>
      <c r="F1023" s="74">
        <v>21.8</v>
      </c>
      <c r="G1023" s="758">
        <f t="shared" si="60"/>
        <v>2.54</v>
      </c>
      <c r="H1023" s="759">
        <f t="shared" si="61"/>
        <v>0.26</v>
      </c>
      <c r="I1023" s="758">
        <f t="shared" si="62"/>
        <v>8.36</v>
      </c>
      <c r="J1023" s="760">
        <f t="shared" si="63"/>
        <v>0.76697247706422023</v>
      </c>
      <c r="K1023" s="74"/>
      <c r="L1023" s="74"/>
      <c r="M1023" s="74"/>
      <c r="N1023" s="74"/>
      <c r="O1023" s="74"/>
      <c r="P1023" s="74"/>
    </row>
    <row r="1024" spans="1:16">
      <c r="A1024" s="74" t="s">
        <v>915</v>
      </c>
      <c r="B1024" s="74" t="s">
        <v>277</v>
      </c>
      <c r="C1024" s="74" t="s">
        <v>1513</v>
      </c>
      <c r="D1024" s="74" t="s">
        <v>81</v>
      </c>
      <c r="E1024" s="74">
        <v>7</v>
      </c>
      <c r="F1024" s="74">
        <v>98.85</v>
      </c>
      <c r="G1024" s="758">
        <f t="shared" si="60"/>
        <v>2.54</v>
      </c>
      <c r="H1024" s="759">
        <f t="shared" si="61"/>
        <v>0.26</v>
      </c>
      <c r="I1024" s="758">
        <f t="shared" si="62"/>
        <v>11.581428571428571</v>
      </c>
      <c r="J1024" s="760">
        <f t="shared" si="63"/>
        <v>0.82013151239251392</v>
      </c>
      <c r="K1024" s="74"/>
      <c r="L1024" s="74"/>
      <c r="M1024" s="74"/>
      <c r="N1024" s="74"/>
      <c r="O1024" s="74"/>
      <c r="P1024" s="74"/>
    </row>
    <row r="1025" spans="1:10">
      <c r="A1025" s="74" t="s">
        <v>915</v>
      </c>
      <c r="B1025" s="74" t="s">
        <v>277</v>
      </c>
      <c r="C1025" s="74" t="s">
        <v>1514</v>
      </c>
      <c r="D1025" s="74" t="s">
        <v>81</v>
      </c>
      <c r="E1025" s="74">
        <v>7</v>
      </c>
      <c r="F1025" s="74">
        <v>76.3</v>
      </c>
      <c r="G1025" s="758">
        <f t="shared" si="60"/>
        <v>2.54</v>
      </c>
      <c r="H1025" s="759">
        <f t="shared" si="61"/>
        <v>0.26</v>
      </c>
      <c r="I1025" s="758">
        <f t="shared" si="62"/>
        <v>8.36</v>
      </c>
      <c r="J1025" s="760">
        <f t="shared" si="63"/>
        <v>0.76697247706422012</v>
      </c>
    </row>
    <row r="1026" spans="1:10">
      <c r="A1026" s="74" t="s">
        <v>915</v>
      </c>
      <c r="B1026" s="74" t="s">
        <v>277</v>
      </c>
      <c r="C1026" s="74" t="s">
        <v>1515</v>
      </c>
      <c r="D1026" s="74" t="s">
        <v>81</v>
      </c>
      <c r="E1026" s="74">
        <v>8</v>
      </c>
      <c r="F1026" s="74">
        <v>113</v>
      </c>
      <c r="G1026" s="758">
        <f t="shared" ref="G1026:G1089" si="64">IFERROR(VLOOKUP(A1026,$M$1:$P$1014,2,FALSE),0)</f>
        <v>2.54</v>
      </c>
      <c r="H1026" s="759">
        <f t="shared" ref="H1026:H1089" si="65">IFERROR(VLOOKUP(A1026,$M$1:$P$1014,3,FALSE),0)</f>
        <v>0.26</v>
      </c>
      <c r="I1026" s="758">
        <f t="shared" ref="I1026:I1089" si="66">IFERROR(F1026/E1026-G1026,0)</f>
        <v>11.585000000000001</v>
      </c>
      <c r="J1026" s="760">
        <f t="shared" ref="J1026:J1089" si="67">IFERROR(1-G1026*E1026/F1026,0)</f>
        <v>0.82017699115044251</v>
      </c>
    </row>
    <row r="1027" spans="1:10">
      <c r="A1027" s="74" t="s">
        <v>915</v>
      </c>
      <c r="B1027" s="74" t="s">
        <v>277</v>
      </c>
      <c r="C1027" s="74" t="s">
        <v>1516</v>
      </c>
      <c r="D1027" s="74" t="s">
        <v>82</v>
      </c>
      <c r="E1027" s="74">
        <v>9</v>
      </c>
      <c r="F1027" s="74">
        <v>99.55</v>
      </c>
      <c r="G1027" s="758">
        <f t="shared" si="64"/>
        <v>2.54</v>
      </c>
      <c r="H1027" s="759">
        <f t="shared" si="65"/>
        <v>0.26</v>
      </c>
      <c r="I1027" s="758">
        <f t="shared" si="66"/>
        <v>8.5211111111111109</v>
      </c>
      <c r="J1027" s="760">
        <f t="shared" si="67"/>
        <v>0.77036664992466097</v>
      </c>
    </row>
    <row r="1028" spans="1:10">
      <c r="A1028" s="74" t="s">
        <v>915</v>
      </c>
      <c r="B1028" s="74" t="s">
        <v>277</v>
      </c>
      <c r="C1028" s="74" t="s">
        <v>1517</v>
      </c>
      <c r="D1028" s="74" t="s">
        <v>82</v>
      </c>
      <c r="E1028" s="74">
        <v>17</v>
      </c>
      <c r="F1028" s="74">
        <v>185.6</v>
      </c>
      <c r="G1028" s="758">
        <f t="shared" si="64"/>
        <v>2.54</v>
      </c>
      <c r="H1028" s="759">
        <f t="shared" si="65"/>
        <v>0.26</v>
      </c>
      <c r="I1028" s="758">
        <f t="shared" si="66"/>
        <v>8.3776470588235306</v>
      </c>
      <c r="J1028" s="760">
        <f t="shared" si="67"/>
        <v>0.76734913793103443</v>
      </c>
    </row>
    <row r="1029" spans="1:10">
      <c r="A1029" s="74" t="s">
        <v>915</v>
      </c>
      <c r="B1029" s="74" t="s">
        <v>277</v>
      </c>
      <c r="C1029" s="74" t="s">
        <v>1527</v>
      </c>
      <c r="D1029" s="74" t="s">
        <v>82</v>
      </c>
      <c r="E1029" s="74">
        <v>16</v>
      </c>
      <c r="F1029" s="74">
        <v>175</v>
      </c>
      <c r="G1029" s="758">
        <f t="shared" si="64"/>
        <v>2.54</v>
      </c>
      <c r="H1029" s="759">
        <f t="shared" si="65"/>
        <v>0.26</v>
      </c>
      <c r="I1029" s="758">
        <f t="shared" si="66"/>
        <v>8.3975000000000009</v>
      </c>
      <c r="J1029" s="760">
        <f t="shared" si="67"/>
        <v>0.76777142857142855</v>
      </c>
    </row>
    <row r="1030" spans="1:10">
      <c r="A1030" s="74" t="s">
        <v>915</v>
      </c>
      <c r="B1030" s="74" t="s">
        <v>277</v>
      </c>
      <c r="C1030" s="74" t="s">
        <v>1518</v>
      </c>
      <c r="D1030" s="74" t="s">
        <v>82</v>
      </c>
      <c r="E1030" s="74">
        <v>12</v>
      </c>
      <c r="F1030" s="74">
        <v>131.1</v>
      </c>
      <c r="G1030" s="758">
        <f t="shared" si="64"/>
        <v>2.54</v>
      </c>
      <c r="H1030" s="759">
        <f t="shared" si="65"/>
        <v>0.26</v>
      </c>
      <c r="I1030" s="758">
        <f t="shared" si="66"/>
        <v>8.384999999999998</v>
      </c>
      <c r="J1030" s="760">
        <f t="shared" si="67"/>
        <v>0.76750572082379864</v>
      </c>
    </row>
    <row r="1031" spans="1:10">
      <c r="A1031" s="74" t="s">
        <v>915</v>
      </c>
      <c r="B1031" s="74" t="s">
        <v>277</v>
      </c>
      <c r="C1031" s="74" t="s">
        <v>1519</v>
      </c>
      <c r="D1031" s="74" t="s">
        <v>84</v>
      </c>
      <c r="E1031" s="74">
        <v>3</v>
      </c>
      <c r="F1031" s="74">
        <v>32.85</v>
      </c>
      <c r="G1031" s="758">
        <f t="shared" si="64"/>
        <v>2.54</v>
      </c>
      <c r="H1031" s="759">
        <f t="shared" si="65"/>
        <v>0.26</v>
      </c>
      <c r="I1031" s="758">
        <f t="shared" si="66"/>
        <v>8.41</v>
      </c>
      <c r="J1031" s="760">
        <f t="shared" si="67"/>
        <v>0.76803652968036529</v>
      </c>
    </row>
    <row r="1032" spans="1:10">
      <c r="A1032" s="74" t="s">
        <v>915</v>
      </c>
      <c r="B1032" s="74" t="s">
        <v>277</v>
      </c>
      <c r="C1032" s="74" t="s">
        <v>1561</v>
      </c>
      <c r="D1032" s="74" t="s">
        <v>87</v>
      </c>
      <c r="E1032" s="74">
        <v>1</v>
      </c>
      <c r="F1032" s="74">
        <v>10.9</v>
      </c>
      <c r="G1032" s="758">
        <f t="shared" si="64"/>
        <v>2.54</v>
      </c>
      <c r="H1032" s="759">
        <f t="shared" si="65"/>
        <v>0.26</v>
      </c>
      <c r="I1032" s="758">
        <f t="shared" si="66"/>
        <v>8.36</v>
      </c>
      <c r="J1032" s="760">
        <f t="shared" si="67"/>
        <v>0.76697247706422023</v>
      </c>
    </row>
    <row r="1033" spans="1:10">
      <c r="A1033" s="74" t="s">
        <v>915</v>
      </c>
      <c r="B1033" s="74" t="s">
        <v>277</v>
      </c>
      <c r="C1033" s="74" t="s">
        <v>1547</v>
      </c>
      <c r="D1033" s="74" t="s">
        <v>89</v>
      </c>
      <c r="E1033" s="74">
        <v>2</v>
      </c>
      <c r="F1033" s="74">
        <v>21.8</v>
      </c>
      <c r="G1033" s="758">
        <f t="shared" si="64"/>
        <v>2.54</v>
      </c>
      <c r="H1033" s="759">
        <f t="shared" si="65"/>
        <v>0.26</v>
      </c>
      <c r="I1033" s="758">
        <f t="shared" si="66"/>
        <v>8.36</v>
      </c>
      <c r="J1033" s="760">
        <f t="shared" si="67"/>
        <v>0.76697247706422023</v>
      </c>
    </row>
    <row r="1034" spans="1:10">
      <c r="A1034" s="74" t="s">
        <v>915</v>
      </c>
      <c r="B1034" s="74" t="s">
        <v>277</v>
      </c>
      <c r="C1034" s="74" t="s">
        <v>1522</v>
      </c>
      <c r="D1034" s="74" t="s">
        <v>91</v>
      </c>
      <c r="E1034" s="74">
        <v>3</v>
      </c>
      <c r="F1034" s="74">
        <v>33.15</v>
      </c>
      <c r="G1034" s="758">
        <f t="shared" si="64"/>
        <v>2.54</v>
      </c>
      <c r="H1034" s="759">
        <f t="shared" si="65"/>
        <v>0.26</v>
      </c>
      <c r="I1034" s="758">
        <f t="shared" si="66"/>
        <v>8.509999999999998</v>
      </c>
      <c r="J1034" s="760">
        <f t="shared" si="67"/>
        <v>0.77013574660633477</v>
      </c>
    </row>
    <row r="1035" spans="1:10">
      <c r="A1035" s="74" t="s">
        <v>1615</v>
      </c>
      <c r="B1035" s="74" t="s">
        <v>323</v>
      </c>
      <c r="C1035" s="74" t="s">
        <v>1608</v>
      </c>
      <c r="D1035" s="74" t="s">
        <v>89</v>
      </c>
      <c r="E1035" s="74">
        <v>1</v>
      </c>
      <c r="F1035" s="74">
        <v>8.7200000000000006</v>
      </c>
      <c r="G1035" s="758">
        <f t="shared" si="64"/>
        <v>0</v>
      </c>
      <c r="H1035" s="759">
        <f t="shared" si="65"/>
        <v>0</v>
      </c>
      <c r="I1035" s="758">
        <f t="shared" si="66"/>
        <v>8.7200000000000006</v>
      </c>
      <c r="J1035" s="760">
        <f t="shared" si="67"/>
        <v>1</v>
      </c>
    </row>
    <row r="1036" spans="1:10">
      <c r="A1036" s="74" t="s">
        <v>1616</v>
      </c>
      <c r="B1036" s="74" t="s">
        <v>725</v>
      </c>
      <c r="C1036" s="74" t="s">
        <v>1565</v>
      </c>
      <c r="D1036" s="74" t="s">
        <v>78</v>
      </c>
      <c r="E1036" s="74">
        <v>1</v>
      </c>
      <c r="F1036" s="74">
        <v>2.9</v>
      </c>
      <c r="G1036" s="758">
        <f t="shared" si="64"/>
        <v>0.45</v>
      </c>
      <c r="H1036" s="759">
        <f t="shared" si="65"/>
        <v>0.16</v>
      </c>
      <c r="I1036" s="758">
        <f t="shared" si="66"/>
        <v>2.4499999999999997</v>
      </c>
      <c r="J1036" s="760">
        <f t="shared" si="67"/>
        <v>0.84482758620689657</v>
      </c>
    </row>
    <row r="1037" spans="1:10">
      <c r="A1037" s="74" t="s">
        <v>1618</v>
      </c>
      <c r="B1037" s="74" t="s">
        <v>725</v>
      </c>
      <c r="C1037" s="74" t="s">
        <v>1532</v>
      </c>
      <c r="D1037" s="74" t="s">
        <v>80</v>
      </c>
      <c r="E1037" s="74">
        <v>1</v>
      </c>
      <c r="F1037" s="74">
        <v>2</v>
      </c>
      <c r="G1037" s="758">
        <f t="shared" si="64"/>
        <v>0</v>
      </c>
      <c r="H1037" s="759">
        <f t="shared" si="65"/>
        <v>0.16</v>
      </c>
      <c r="I1037" s="758">
        <f t="shared" si="66"/>
        <v>2</v>
      </c>
      <c r="J1037" s="760">
        <f t="shared" si="67"/>
        <v>1</v>
      </c>
    </row>
    <row r="1038" spans="1:10">
      <c r="A1038" s="74" t="s">
        <v>1323</v>
      </c>
      <c r="B1038" s="74" t="s">
        <v>276</v>
      </c>
      <c r="C1038" s="74" t="s">
        <v>1532</v>
      </c>
      <c r="D1038" s="74" t="s">
        <v>80</v>
      </c>
      <c r="E1038" s="74">
        <v>2</v>
      </c>
      <c r="F1038" s="74">
        <v>21.55</v>
      </c>
      <c r="G1038" s="758">
        <f t="shared" si="64"/>
        <v>0</v>
      </c>
      <c r="H1038" s="759">
        <f t="shared" si="65"/>
        <v>0.16</v>
      </c>
      <c r="I1038" s="758">
        <f t="shared" si="66"/>
        <v>10.775</v>
      </c>
      <c r="J1038" s="760">
        <f t="shared" si="67"/>
        <v>1</v>
      </c>
    </row>
    <row r="1039" spans="1:10">
      <c r="A1039" s="74" t="s">
        <v>1160</v>
      </c>
      <c r="B1039" s="74" t="s">
        <v>266</v>
      </c>
      <c r="C1039" s="74" t="s">
        <v>1520</v>
      </c>
      <c r="D1039" s="74" t="s">
        <v>84</v>
      </c>
      <c r="E1039" s="74">
        <v>1</v>
      </c>
      <c r="F1039" s="74">
        <v>0</v>
      </c>
      <c r="G1039" s="758">
        <f t="shared" si="64"/>
        <v>0</v>
      </c>
      <c r="H1039" s="759">
        <f t="shared" si="65"/>
        <v>0</v>
      </c>
      <c r="I1039" s="758">
        <f t="shared" si="66"/>
        <v>0</v>
      </c>
      <c r="J1039" s="760">
        <f t="shared" si="67"/>
        <v>0</v>
      </c>
    </row>
    <row r="1040" spans="1:10">
      <c r="A1040" s="74" t="s">
        <v>1160</v>
      </c>
      <c r="B1040" s="74" t="s">
        <v>266</v>
      </c>
      <c r="C1040" s="74" t="s">
        <v>1561</v>
      </c>
      <c r="D1040" s="74" t="s">
        <v>87</v>
      </c>
      <c r="E1040" s="74">
        <v>2</v>
      </c>
      <c r="F1040" s="74">
        <v>0</v>
      </c>
      <c r="G1040" s="758">
        <f t="shared" si="64"/>
        <v>0</v>
      </c>
      <c r="H1040" s="759">
        <f t="shared" si="65"/>
        <v>0</v>
      </c>
      <c r="I1040" s="758">
        <f t="shared" si="66"/>
        <v>0</v>
      </c>
      <c r="J1040" s="760">
        <f t="shared" si="67"/>
        <v>0</v>
      </c>
    </row>
    <row r="1041" spans="1:10">
      <c r="A1041" s="74" t="s">
        <v>1160</v>
      </c>
      <c r="B1041" s="74" t="s">
        <v>266</v>
      </c>
      <c r="C1041" s="74" t="s">
        <v>1582</v>
      </c>
      <c r="D1041" s="74" t="s">
        <v>89</v>
      </c>
      <c r="E1041" s="74">
        <v>1</v>
      </c>
      <c r="F1041" s="74">
        <v>1</v>
      </c>
      <c r="G1041" s="758">
        <f t="shared" si="64"/>
        <v>0</v>
      </c>
      <c r="H1041" s="759">
        <f t="shared" si="65"/>
        <v>0</v>
      </c>
      <c r="I1041" s="758">
        <f t="shared" si="66"/>
        <v>1</v>
      </c>
      <c r="J1041" s="760">
        <f t="shared" si="67"/>
        <v>1</v>
      </c>
    </row>
    <row r="1042" spans="1:10">
      <c r="A1042" s="74" t="s">
        <v>927</v>
      </c>
      <c r="B1042" s="74" t="s">
        <v>251</v>
      </c>
      <c r="C1042" s="74" t="s">
        <v>1528</v>
      </c>
      <c r="D1042" s="74" t="s">
        <v>78</v>
      </c>
      <c r="E1042" s="74">
        <v>5</v>
      </c>
      <c r="F1042" s="74">
        <v>13</v>
      </c>
      <c r="G1042" s="758">
        <f t="shared" si="64"/>
        <v>0.5</v>
      </c>
      <c r="H1042" s="759">
        <f t="shared" si="65"/>
        <v>0.28000000000000003</v>
      </c>
      <c r="I1042" s="758">
        <f t="shared" si="66"/>
        <v>2.1</v>
      </c>
      <c r="J1042" s="760">
        <f t="shared" si="67"/>
        <v>0.80769230769230771</v>
      </c>
    </row>
    <row r="1043" spans="1:10">
      <c r="A1043" s="74" t="s">
        <v>927</v>
      </c>
      <c r="B1043" s="74" t="s">
        <v>251</v>
      </c>
      <c r="C1043" s="74" t="s">
        <v>1508</v>
      </c>
      <c r="D1043" s="74" t="s">
        <v>78</v>
      </c>
      <c r="E1043" s="74">
        <v>4</v>
      </c>
      <c r="F1043" s="74">
        <v>10.55</v>
      </c>
      <c r="G1043" s="758">
        <f t="shared" si="64"/>
        <v>0.5</v>
      </c>
      <c r="H1043" s="759">
        <f t="shared" si="65"/>
        <v>0.28000000000000003</v>
      </c>
      <c r="I1043" s="758">
        <f t="shared" si="66"/>
        <v>2.1375000000000002</v>
      </c>
      <c r="J1043" s="760">
        <f t="shared" si="67"/>
        <v>0.81042654028436023</v>
      </c>
    </row>
    <row r="1044" spans="1:10">
      <c r="A1044" s="74" t="s">
        <v>927</v>
      </c>
      <c r="B1044" s="74" t="s">
        <v>251</v>
      </c>
      <c r="C1044" s="74" t="s">
        <v>1509</v>
      </c>
      <c r="D1044" s="74" t="s">
        <v>78</v>
      </c>
      <c r="E1044" s="74">
        <v>9</v>
      </c>
      <c r="F1044" s="74">
        <v>23.8</v>
      </c>
      <c r="G1044" s="758">
        <f t="shared" si="64"/>
        <v>0.5</v>
      </c>
      <c r="H1044" s="759">
        <f t="shared" si="65"/>
        <v>0.28000000000000003</v>
      </c>
      <c r="I1044" s="758">
        <f t="shared" si="66"/>
        <v>2.1444444444444444</v>
      </c>
      <c r="J1044" s="760">
        <f t="shared" si="67"/>
        <v>0.81092436974789917</v>
      </c>
    </row>
    <row r="1045" spans="1:10">
      <c r="A1045" s="74" t="s">
        <v>927</v>
      </c>
      <c r="B1045" s="74" t="s">
        <v>251</v>
      </c>
      <c r="C1045" s="74" t="s">
        <v>1565</v>
      </c>
      <c r="D1045" s="74" t="s">
        <v>78</v>
      </c>
      <c r="E1045" s="74">
        <v>8</v>
      </c>
      <c r="F1045" s="74">
        <v>21.35</v>
      </c>
      <c r="G1045" s="758">
        <f t="shared" si="64"/>
        <v>0.5</v>
      </c>
      <c r="H1045" s="759">
        <f t="shared" si="65"/>
        <v>0.28000000000000003</v>
      </c>
      <c r="I1045" s="758">
        <f t="shared" si="66"/>
        <v>2.1687500000000002</v>
      </c>
      <c r="J1045" s="760">
        <f t="shared" si="67"/>
        <v>0.81264637002341922</v>
      </c>
    </row>
    <row r="1046" spans="1:10">
      <c r="A1046" s="74" t="s">
        <v>927</v>
      </c>
      <c r="B1046" s="74" t="s">
        <v>251</v>
      </c>
      <c r="C1046" s="74" t="s">
        <v>1530</v>
      </c>
      <c r="D1046" s="74" t="s">
        <v>80</v>
      </c>
      <c r="E1046" s="74">
        <v>3</v>
      </c>
      <c r="F1046" s="74">
        <v>8.1</v>
      </c>
      <c r="G1046" s="758">
        <f t="shared" si="64"/>
        <v>0.5</v>
      </c>
      <c r="H1046" s="759">
        <f t="shared" si="65"/>
        <v>0.28000000000000003</v>
      </c>
      <c r="I1046" s="758">
        <f t="shared" si="66"/>
        <v>2.1999999999999997</v>
      </c>
      <c r="J1046" s="760">
        <f t="shared" si="67"/>
        <v>0.81481481481481477</v>
      </c>
    </row>
    <row r="1047" spans="1:10">
      <c r="A1047" s="74" t="s">
        <v>927</v>
      </c>
      <c r="B1047" s="74" t="s">
        <v>251</v>
      </c>
      <c r="C1047" s="74" t="s">
        <v>1532</v>
      </c>
      <c r="D1047" s="74" t="s">
        <v>80</v>
      </c>
      <c r="E1047" s="74">
        <v>4</v>
      </c>
      <c r="F1047" s="74">
        <v>10.6</v>
      </c>
      <c r="G1047" s="758">
        <f t="shared" si="64"/>
        <v>0.5</v>
      </c>
      <c r="H1047" s="759">
        <f t="shared" si="65"/>
        <v>0.28000000000000003</v>
      </c>
      <c r="I1047" s="758">
        <f t="shared" si="66"/>
        <v>2.15</v>
      </c>
      <c r="J1047" s="760">
        <f t="shared" si="67"/>
        <v>0.81132075471698117</v>
      </c>
    </row>
    <row r="1048" spans="1:10">
      <c r="A1048" s="74" t="s">
        <v>927</v>
      </c>
      <c r="B1048" s="74" t="s">
        <v>251</v>
      </c>
      <c r="C1048" s="74" t="s">
        <v>1511</v>
      </c>
      <c r="D1048" s="74" t="s">
        <v>80</v>
      </c>
      <c r="E1048" s="74">
        <v>6</v>
      </c>
      <c r="F1048" s="74">
        <v>16.2</v>
      </c>
      <c r="G1048" s="758">
        <f t="shared" si="64"/>
        <v>0.5</v>
      </c>
      <c r="H1048" s="759">
        <f t="shared" si="65"/>
        <v>0.28000000000000003</v>
      </c>
      <c r="I1048" s="758">
        <f t="shared" si="66"/>
        <v>2.1999999999999997</v>
      </c>
      <c r="J1048" s="760">
        <f t="shared" si="67"/>
        <v>0.81481481481481477</v>
      </c>
    </row>
    <row r="1049" spans="1:10">
      <c r="A1049" s="74" t="s">
        <v>927</v>
      </c>
      <c r="B1049" s="74" t="s">
        <v>251</v>
      </c>
      <c r="C1049" s="74" t="s">
        <v>1512</v>
      </c>
      <c r="D1049" s="74" t="s">
        <v>80</v>
      </c>
      <c r="E1049" s="74">
        <v>8</v>
      </c>
      <c r="F1049" s="74">
        <v>21.79</v>
      </c>
      <c r="G1049" s="758">
        <f t="shared" si="64"/>
        <v>0.5</v>
      </c>
      <c r="H1049" s="759">
        <f t="shared" si="65"/>
        <v>0.28000000000000003</v>
      </c>
      <c r="I1049" s="758">
        <f t="shared" si="66"/>
        <v>2.2237499999999999</v>
      </c>
      <c r="J1049" s="760">
        <f t="shared" si="67"/>
        <v>0.81642955484167046</v>
      </c>
    </row>
    <row r="1050" spans="1:10">
      <c r="A1050" s="74" t="s">
        <v>927</v>
      </c>
      <c r="B1050" s="74" t="s">
        <v>251</v>
      </c>
      <c r="C1050" s="74" t="s">
        <v>1534</v>
      </c>
      <c r="D1050" s="74" t="s">
        <v>81</v>
      </c>
      <c r="E1050" s="74">
        <v>5</v>
      </c>
      <c r="F1050" s="74">
        <v>13.4</v>
      </c>
      <c r="G1050" s="758">
        <f t="shared" si="64"/>
        <v>0.5</v>
      </c>
      <c r="H1050" s="759">
        <f t="shared" si="65"/>
        <v>0.28000000000000003</v>
      </c>
      <c r="I1050" s="758">
        <f t="shared" si="66"/>
        <v>2.1800000000000002</v>
      </c>
      <c r="J1050" s="760">
        <f t="shared" si="67"/>
        <v>0.81343283582089554</v>
      </c>
    </row>
    <row r="1051" spans="1:10">
      <c r="A1051" s="74" t="s">
        <v>927</v>
      </c>
      <c r="B1051" s="74" t="s">
        <v>251</v>
      </c>
      <c r="C1051" s="74" t="s">
        <v>1513</v>
      </c>
      <c r="D1051" s="74" t="s">
        <v>81</v>
      </c>
      <c r="E1051" s="74">
        <v>5</v>
      </c>
      <c r="F1051" s="74">
        <v>14</v>
      </c>
      <c r="G1051" s="758">
        <f t="shared" si="64"/>
        <v>0.5</v>
      </c>
      <c r="H1051" s="759">
        <f t="shared" si="65"/>
        <v>0.28000000000000003</v>
      </c>
      <c r="I1051" s="758">
        <f t="shared" si="66"/>
        <v>2.2999999999999998</v>
      </c>
      <c r="J1051" s="760">
        <f t="shared" si="67"/>
        <v>0.8214285714285714</v>
      </c>
    </row>
    <row r="1052" spans="1:10">
      <c r="A1052" s="74" t="s">
        <v>927</v>
      </c>
      <c r="B1052" s="74" t="s">
        <v>251</v>
      </c>
      <c r="C1052" s="74" t="s">
        <v>1514</v>
      </c>
      <c r="D1052" s="74" t="s">
        <v>81</v>
      </c>
      <c r="E1052" s="74">
        <v>9</v>
      </c>
      <c r="F1052" s="74">
        <v>24.15</v>
      </c>
      <c r="G1052" s="758">
        <f t="shared" si="64"/>
        <v>0.5</v>
      </c>
      <c r="H1052" s="759">
        <f t="shared" si="65"/>
        <v>0.28000000000000003</v>
      </c>
      <c r="I1052" s="758">
        <f t="shared" si="66"/>
        <v>2.1833333333333331</v>
      </c>
      <c r="J1052" s="760">
        <f t="shared" si="67"/>
        <v>0.81366459627329191</v>
      </c>
    </row>
    <row r="1053" spans="1:10">
      <c r="A1053" s="74" t="s">
        <v>927</v>
      </c>
      <c r="B1053" s="74" t="s">
        <v>251</v>
      </c>
      <c r="C1053" s="74" t="s">
        <v>1515</v>
      </c>
      <c r="D1053" s="74" t="s">
        <v>81</v>
      </c>
      <c r="E1053" s="74">
        <v>8</v>
      </c>
      <c r="F1053" s="74">
        <v>22.45</v>
      </c>
      <c r="G1053" s="758">
        <f t="shared" si="64"/>
        <v>0.5</v>
      </c>
      <c r="H1053" s="759">
        <f t="shared" si="65"/>
        <v>0.28000000000000003</v>
      </c>
      <c r="I1053" s="758">
        <f t="shared" si="66"/>
        <v>2.3062499999999999</v>
      </c>
      <c r="J1053" s="760">
        <f t="shared" si="67"/>
        <v>0.82182628062360807</v>
      </c>
    </row>
    <row r="1054" spans="1:10">
      <c r="A1054" s="74" t="s">
        <v>927</v>
      </c>
      <c r="B1054" s="74" t="s">
        <v>251</v>
      </c>
      <c r="C1054" s="74" t="s">
        <v>1516</v>
      </c>
      <c r="D1054" s="74" t="s">
        <v>82</v>
      </c>
      <c r="E1054" s="74">
        <v>6</v>
      </c>
      <c r="F1054" s="74">
        <v>16.5</v>
      </c>
      <c r="G1054" s="758">
        <f t="shared" si="64"/>
        <v>0.5</v>
      </c>
      <c r="H1054" s="759">
        <f t="shared" si="65"/>
        <v>0.28000000000000003</v>
      </c>
      <c r="I1054" s="758">
        <f t="shared" si="66"/>
        <v>2.25</v>
      </c>
      <c r="J1054" s="760">
        <f t="shared" si="67"/>
        <v>0.81818181818181812</v>
      </c>
    </row>
    <row r="1055" spans="1:10">
      <c r="A1055" s="74" t="s">
        <v>927</v>
      </c>
      <c r="B1055" s="74" t="s">
        <v>251</v>
      </c>
      <c r="C1055" s="74" t="s">
        <v>1517</v>
      </c>
      <c r="D1055" s="74" t="s">
        <v>82</v>
      </c>
      <c r="E1055" s="74">
        <v>13</v>
      </c>
      <c r="F1055" s="74">
        <v>35.200000000000003</v>
      </c>
      <c r="G1055" s="758">
        <f t="shared" si="64"/>
        <v>0.5</v>
      </c>
      <c r="H1055" s="759">
        <f t="shared" si="65"/>
        <v>0.28000000000000003</v>
      </c>
      <c r="I1055" s="758">
        <f t="shared" si="66"/>
        <v>2.2076923076923078</v>
      </c>
      <c r="J1055" s="760">
        <f t="shared" si="67"/>
        <v>0.81534090909090917</v>
      </c>
    </row>
    <row r="1056" spans="1:10">
      <c r="A1056" s="74" t="s">
        <v>927</v>
      </c>
      <c r="B1056" s="74" t="s">
        <v>251</v>
      </c>
      <c r="C1056" s="74" t="s">
        <v>1527</v>
      </c>
      <c r="D1056" s="74" t="s">
        <v>82</v>
      </c>
      <c r="E1056" s="74">
        <v>8</v>
      </c>
      <c r="F1056" s="74">
        <v>21.5</v>
      </c>
      <c r="G1056" s="758">
        <f t="shared" si="64"/>
        <v>0.5</v>
      </c>
      <c r="H1056" s="759">
        <f t="shared" si="65"/>
        <v>0.28000000000000003</v>
      </c>
      <c r="I1056" s="758">
        <f t="shared" si="66"/>
        <v>2.1875</v>
      </c>
      <c r="J1056" s="760">
        <f t="shared" si="67"/>
        <v>0.81395348837209303</v>
      </c>
    </row>
    <row r="1057" spans="1:10">
      <c r="A1057" s="74" t="s">
        <v>927</v>
      </c>
      <c r="B1057" s="74" t="s">
        <v>251</v>
      </c>
      <c r="C1057" s="74" t="s">
        <v>1518</v>
      </c>
      <c r="D1057" s="74" t="s">
        <v>82</v>
      </c>
      <c r="E1057" s="74">
        <v>12</v>
      </c>
      <c r="F1057" s="74">
        <v>38.6</v>
      </c>
      <c r="G1057" s="758">
        <f t="shared" si="64"/>
        <v>0.5</v>
      </c>
      <c r="H1057" s="759">
        <f t="shared" si="65"/>
        <v>0.28000000000000003</v>
      </c>
      <c r="I1057" s="758">
        <f t="shared" si="66"/>
        <v>2.7166666666666668</v>
      </c>
      <c r="J1057" s="760">
        <f t="shared" si="67"/>
        <v>0.84455958549222798</v>
      </c>
    </row>
    <row r="1058" spans="1:10">
      <c r="A1058" s="74" t="s">
        <v>927</v>
      </c>
      <c r="B1058" s="74" t="s">
        <v>251</v>
      </c>
      <c r="C1058" s="74" t="s">
        <v>1519</v>
      </c>
      <c r="D1058" s="74" t="s">
        <v>84</v>
      </c>
      <c r="E1058" s="74">
        <v>4</v>
      </c>
      <c r="F1058" s="74">
        <v>10.52</v>
      </c>
      <c r="G1058" s="758">
        <f t="shared" si="64"/>
        <v>0.5</v>
      </c>
      <c r="H1058" s="759">
        <f t="shared" si="65"/>
        <v>0.28000000000000003</v>
      </c>
      <c r="I1058" s="758">
        <f t="shared" si="66"/>
        <v>2.13</v>
      </c>
      <c r="J1058" s="760">
        <f t="shared" si="67"/>
        <v>0.80988593155893529</v>
      </c>
    </row>
    <row r="1059" spans="1:10">
      <c r="A1059" s="74" t="s">
        <v>927</v>
      </c>
      <c r="B1059" s="74" t="s">
        <v>251</v>
      </c>
      <c r="C1059" s="74" t="s">
        <v>1540</v>
      </c>
      <c r="D1059" s="74" t="s">
        <v>84</v>
      </c>
      <c r="E1059" s="74">
        <v>2</v>
      </c>
      <c r="F1059" s="74">
        <v>5.3</v>
      </c>
      <c r="G1059" s="758">
        <f t="shared" si="64"/>
        <v>0.5</v>
      </c>
      <c r="H1059" s="759">
        <f t="shared" si="65"/>
        <v>0.28000000000000003</v>
      </c>
      <c r="I1059" s="758">
        <f t="shared" si="66"/>
        <v>2.15</v>
      </c>
      <c r="J1059" s="760">
        <f t="shared" si="67"/>
        <v>0.81132075471698117</v>
      </c>
    </row>
    <row r="1060" spans="1:10">
      <c r="A1060" s="74" t="s">
        <v>927</v>
      </c>
      <c r="B1060" s="74" t="s">
        <v>251</v>
      </c>
      <c r="C1060" s="74" t="s">
        <v>1507</v>
      </c>
      <c r="D1060" s="74" t="s">
        <v>86</v>
      </c>
      <c r="E1060" s="74">
        <v>2</v>
      </c>
      <c r="F1060" s="74">
        <v>5.6</v>
      </c>
      <c r="G1060" s="758">
        <f t="shared" si="64"/>
        <v>0.5</v>
      </c>
      <c r="H1060" s="759">
        <f t="shared" si="65"/>
        <v>0.28000000000000003</v>
      </c>
      <c r="I1060" s="758">
        <f t="shared" si="66"/>
        <v>2.2999999999999998</v>
      </c>
      <c r="J1060" s="760">
        <f t="shared" si="67"/>
        <v>0.8214285714285714</v>
      </c>
    </row>
    <row r="1061" spans="1:10">
      <c r="A1061" s="74" t="s">
        <v>927</v>
      </c>
      <c r="B1061" s="74" t="s">
        <v>251</v>
      </c>
      <c r="C1061" s="74" t="s">
        <v>1578</v>
      </c>
      <c r="D1061" s="74" t="s">
        <v>86</v>
      </c>
      <c r="E1061" s="74">
        <v>2</v>
      </c>
      <c r="F1061" s="74">
        <v>5.45</v>
      </c>
      <c r="G1061" s="758">
        <f t="shared" si="64"/>
        <v>0.5</v>
      </c>
      <c r="H1061" s="759">
        <f t="shared" si="65"/>
        <v>0.28000000000000003</v>
      </c>
      <c r="I1061" s="758">
        <f t="shared" si="66"/>
        <v>2.2250000000000001</v>
      </c>
      <c r="J1061" s="760">
        <f t="shared" si="67"/>
        <v>0.8165137614678899</v>
      </c>
    </row>
    <row r="1062" spans="1:10">
      <c r="A1062" s="74" t="s">
        <v>927</v>
      </c>
      <c r="B1062" s="74" t="s">
        <v>251</v>
      </c>
      <c r="C1062" s="74" t="s">
        <v>1646</v>
      </c>
      <c r="D1062" s="74" t="s">
        <v>86</v>
      </c>
      <c r="E1062" s="74">
        <v>2</v>
      </c>
      <c r="F1062" s="74">
        <v>5.3</v>
      </c>
      <c r="G1062" s="758">
        <f t="shared" si="64"/>
        <v>0.5</v>
      </c>
      <c r="H1062" s="759">
        <f t="shared" si="65"/>
        <v>0.28000000000000003</v>
      </c>
      <c r="I1062" s="758">
        <f t="shared" si="66"/>
        <v>2.15</v>
      </c>
      <c r="J1062" s="760">
        <f t="shared" si="67"/>
        <v>0.81132075471698117</v>
      </c>
    </row>
    <row r="1063" spans="1:10">
      <c r="A1063" s="74" t="s">
        <v>927</v>
      </c>
      <c r="B1063" s="74" t="s">
        <v>251</v>
      </c>
      <c r="C1063" s="74" t="s">
        <v>1541</v>
      </c>
      <c r="D1063" s="74" t="s">
        <v>86</v>
      </c>
      <c r="E1063" s="74">
        <v>5</v>
      </c>
      <c r="F1063" s="74">
        <v>10.6</v>
      </c>
      <c r="G1063" s="758">
        <f t="shared" si="64"/>
        <v>0.5</v>
      </c>
      <c r="H1063" s="759">
        <f t="shared" si="65"/>
        <v>0.28000000000000003</v>
      </c>
      <c r="I1063" s="758">
        <f t="shared" si="66"/>
        <v>1.62</v>
      </c>
      <c r="J1063" s="760">
        <f t="shared" si="67"/>
        <v>0.76415094339622636</v>
      </c>
    </row>
    <row r="1064" spans="1:10">
      <c r="A1064" s="74" t="s">
        <v>927</v>
      </c>
      <c r="B1064" s="74" t="s">
        <v>251</v>
      </c>
      <c r="C1064" s="74" t="s">
        <v>1543</v>
      </c>
      <c r="D1064" s="74" t="s">
        <v>87</v>
      </c>
      <c r="E1064" s="74">
        <v>2</v>
      </c>
      <c r="F1064" s="74">
        <v>5.45</v>
      </c>
      <c r="G1064" s="758">
        <f t="shared" si="64"/>
        <v>0.5</v>
      </c>
      <c r="H1064" s="759">
        <f t="shared" si="65"/>
        <v>0.28000000000000003</v>
      </c>
      <c r="I1064" s="758">
        <f t="shared" si="66"/>
        <v>2.2250000000000001</v>
      </c>
      <c r="J1064" s="760">
        <f t="shared" si="67"/>
        <v>0.8165137614678899</v>
      </c>
    </row>
    <row r="1065" spans="1:10">
      <c r="A1065" s="74" t="s">
        <v>927</v>
      </c>
      <c r="B1065" s="74" t="s">
        <v>251</v>
      </c>
      <c r="C1065" s="74" t="s">
        <v>1544</v>
      </c>
      <c r="D1065" s="74" t="s">
        <v>87</v>
      </c>
      <c r="E1065" s="74">
        <v>1</v>
      </c>
      <c r="F1065" s="74">
        <v>2.65</v>
      </c>
      <c r="G1065" s="758">
        <f t="shared" si="64"/>
        <v>0.5</v>
      </c>
      <c r="H1065" s="759">
        <f t="shared" si="65"/>
        <v>0.28000000000000003</v>
      </c>
      <c r="I1065" s="758">
        <f t="shared" si="66"/>
        <v>2.15</v>
      </c>
      <c r="J1065" s="760">
        <f t="shared" si="67"/>
        <v>0.81132075471698117</v>
      </c>
    </row>
    <row r="1066" spans="1:10">
      <c r="A1066" s="74" t="s">
        <v>927</v>
      </c>
      <c r="B1066" s="74" t="s">
        <v>251</v>
      </c>
      <c r="C1066" s="74" t="s">
        <v>1605</v>
      </c>
      <c r="D1066" s="74" t="s">
        <v>87</v>
      </c>
      <c r="E1066" s="74">
        <v>2</v>
      </c>
      <c r="F1066" s="74">
        <v>5.45</v>
      </c>
      <c r="G1066" s="758">
        <f t="shared" si="64"/>
        <v>0.5</v>
      </c>
      <c r="H1066" s="759">
        <f t="shared" si="65"/>
        <v>0.28000000000000003</v>
      </c>
      <c r="I1066" s="758">
        <f t="shared" si="66"/>
        <v>2.2250000000000001</v>
      </c>
      <c r="J1066" s="760">
        <f t="shared" si="67"/>
        <v>0.8165137614678899</v>
      </c>
    </row>
    <row r="1067" spans="1:10">
      <c r="A1067" s="74" t="s">
        <v>927</v>
      </c>
      <c r="B1067" s="74" t="s">
        <v>251</v>
      </c>
      <c r="C1067" s="74" t="s">
        <v>1561</v>
      </c>
      <c r="D1067" s="74" t="s">
        <v>87</v>
      </c>
      <c r="E1067" s="74">
        <v>2</v>
      </c>
      <c r="F1067" s="74">
        <v>5.3</v>
      </c>
      <c r="G1067" s="758">
        <f t="shared" si="64"/>
        <v>0.5</v>
      </c>
      <c r="H1067" s="759">
        <f t="shared" si="65"/>
        <v>0.28000000000000003</v>
      </c>
      <c r="I1067" s="758">
        <f t="shared" si="66"/>
        <v>2.15</v>
      </c>
      <c r="J1067" s="760">
        <f t="shared" si="67"/>
        <v>0.81132075471698117</v>
      </c>
    </row>
    <row r="1068" spans="1:10">
      <c r="A1068" s="74" t="s">
        <v>927</v>
      </c>
      <c r="B1068" s="74" t="s">
        <v>251</v>
      </c>
      <c r="C1068" s="74" t="s">
        <v>1608</v>
      </c>
      <c r="D1068" s="74" t="s">
        <v>89</v>
      </c>
      <c r="E1068" s="74">
        <v>2</v>
      </c>
      <c r="F1068" s="74">
        <v>2.65</v>
      </c>
      <c r="G1068" s="758">
        <f t="shared" si="64"/>
        <v>0.5</v>
      </c>
      <c r="H1068" s="759">
        <f t="shared" si="65"/>
        <v>0.28000000000000003</v>
      </c>
      <c r="I1068" s="758">
        <f t="shared" si="66"/>
        <v>0.82499999999999996</v>
      </c>
      <c r="J1068" s="760">
        <f t="shared" si="67"/>
        <v>0.62264150943396224</v>
      </c>
    </row>
    <row r="1069" spans="1:10">
      <c r="A1069" s="74" t="s">
        <v>927</v>
      </c>
      <c r="B1069" s="74" t="s">
        <v>251</v>
      </c>
      <c r="C1069" s="74" t="s">
        <v>1610</v>
      </c>
      <c r="D1069" s="74" t="s">
        <v>89</v>
      </c>
      <c r="E1069" s="74">
        <v>4</v>
      </c>
      <c r="F1069" s="74">
        <v>10.9</v>
      </c>
      <c r="G1069" s="758">
        <f t="shared" si="64"/>
        <v>0.5</v>
      </c>
      <c r="H1069" s="759">
        <f t="shared" si="65"/>
        <v>0.28000000000000003</v>
      </c>
      <c r="I1069" s="758">
        <f t="shared" si="66"/>
        <v>2.2250000000000001</v>
      </c>
      <c r="J1069" s="760">
        <f t="shared" si="67"/>
        <v>0.8165137614678899</v>
      </c>
    </row>
    <row r="1070" spans="1:10">
      <c r="A1070" s="74" t="s">
        <v>927</v>
      </c>
      <c r="B1070" s="74" t="s">
        <v>251</v>
      </c>
      <c r="C1070" s="74" t="s">
        <v>1546</v>
      </c>
      <c r="D1070" s="74" t="s">
        <v>89</v>
      </c>
      <c r="E1070" s="74">
        <v>1</v>
      </c>
      <c r="F1070" s="74">
        <v>2.65</v>
      </c>
      <c r="G1070" s="758">
        <f t="shared" si="64"/>
        <v>0.5</v>
      </c>
      <c r="H1070" s="759">
        <f t="shared" si="65"/>
        <v>0.28000000000000003</v>
      </c>
      <c r="I1070" s="758">
        <f t="shared" si="66"/>
        <v>2.15</v>
      </c>
      <c r="J1070" s="760">
        <f t="shared" si="67"/>
        <v>0.81132075471698117</v>
      </c>
    </row>
    <row r="1071" spans="1:10">
      <c r="A1071" s="74" t="s">
        <v>927</v>
      </c>
      <c r="B1071" s="74" t="s">
        <v>251</v>
      </c>
      <c r="C1071" s="74" t="s">
        <v>1547</v>
      </c>
      <c r="D1071" s="74" t="s">
        <v>89</v>
      </c>
      <c r="E1071" s="74">
        <v>2</v>
      </c>
      <c r="F1071" s="74">
        <v>5.45</v>
      </c>
      <c r="G1071" s="758">
        <f t="shared" si="64"/>
        <v>0.5</v>
      </c>
      <c r="H1071" s="759">
        <f t="shared" si="65"/>
        <v>0.28000000000000003</v>
      </c>
      <c r="I1071" s="758">
        <f t="shared" si="66"/>
        <v>2.2250000000000001</v>
      </c>
      <c r="J1071" s="760">
        <f t="shared" si="67"/>
        <v>0.8165137614678899</v>
      </c>
    </row>
    <row r="1072" spans="1:10">
      <c r="A1072" s="74" t="s">
        <v>927</v>
      </c>
      <c r="B1072" s="74" t="s">
        <v>251</v>
      </c>
      <c r="C1072" s="74" t="s">
        <v>1522</v>
      </c>
      <c r="D1072" s="74" t="s">
        <v>91</v>
      </c>
      <c r="E1072" s="74">
        <v>5</v>
      </c>
      <c r="F1072" s="74">
        <v>9.25</v>
      </c>
      <c r="G1072" s="758">
        <f t="shared" si="64"/>
        <v>0.5</v>
      </c>
      <c r="H1072" s="759">
        <f t="shared" si="65"/>
        <v>0.28000000000000003</v>
      </c>
      <c r="I1072" s="758">
        <f t="shared" si="66"/>
        <v>1.35</v>
      </c>
      <c r="J1072" s="760">
        <f t="shared" si="67"/>
        <v>0.72972972972972971</v>
      </c>
    </row>
    <row r="1073" spans="1:10">
      <c r="A1073" s="74" t="s">
        <v>927</v>
      </c>
      <c r="B1073" s="74" t="s">
        <v>251</v>
      </c>
      <c r="C1073" s="74" t="s">
        <v>1550</v>
      </c>
      <c r="D1073" s="74" t="s">
        <v>91</v>
      </c>
      <c r="E1073" s="74">
        <v>1</v>
      </c>
      <c r="F1073" s="74">
        <v>2.65</v>
      </c>
      <c r="G1073" s="758">
        <f t="shared" si="64"/>
        <v>0.5</v>
      </c>
      <c r="H1073" s="759">
        <f t="shared" si="65"/>
        <v>0.28000000000000003</v>
      </c>
      <c r="I1073" s="758">
        <f t="shared" si="66"/>
        <v>2.15</v>
      </c>
      <c r="J1073" s="760">
        <f t="shared" si="67"/>
        <v>0.81132075471698117</v>
      </c>
    </row>
    <row r="1074" spans="1:10">
      <c r="A1074" s="74" t="s">
        <v>927</v>
      </c>
      <c r="B1074" s="74" t="s">
        <v>251</v>
      </c>
      <c r="C1074" s="74" t="s">
        <v>1524</v>
      </c>
      <c r="D1074" s="74" t="s">
        <v>91</v>
      </c>
      <c r="E1074" s="74">
        <v>1</v>
      </c>
      <c r="F1074" s="74">
        <v>2.65</v>
      </c>
      <c r="G1074" s="758">
        <f t="shared" si="64"/>
        <v>0.5</v>
      </c>
      <c r="H1074" s="759">
        <f t="shared" si="65"/>
        <v>0.28000000000000003</v>
      </c>
      <c r="I1074" s="758">
        <f t="shared" si="66"/>
        <v>2.15</v>
      </c>
      <c r="J1074" s="760">
        <f t="shared" si="67"/>
        <v>0.81132075471698117</v>
      </c>
    </row>
    <row r="1075" spans="1:10">
      <c r="A1075" s="74" t="s">
        <v>927</v>
      </c>
      <c r="B1075" s="74" t="s">
        <v>251</v>
      </c>
      <c r="C1075" s="74" t="s">
        <v>1584</v>
      </c>
      <c r="D1075" s="74" t="s">
        <v>92</v>
      </c>
      <c r="E1075" s="74">
        <v>4</v>
      </c>
      <c r="F1075" s="74">
        <v>11.05</v>
      </c>
      <c r="G1075" s="758">
        <f t="shared" si="64"/>
        <v>0.5</v>
      </c>
      <c r="H1075" s="759">
        <f t="shared" si="65"/>
        <v>0.28000000000000003</v>
      </c>
      <c r="I1075" s="758">
        <f t="shared" si="66"/>
        <v>2.2625000000000002</v>
      </c>
      <c r="J1075" s="760">
        <f t="shared" si="67"/>
        <v>0.8190045248868778</v>
      </c>
    </row>
    <row r="1076" spans="1:10">
      <c r="A1076" s="74" t="s">
        <v>927</v>
      </c>
      <c r="B1076" s="74" t="s">
        <v>251</v>
      </c>
      <c r="C1076" s="74" t="s">
        <v>1614</v>
      </c>
      <c r="D1076" s="74" t="s">
        <v>92</v>
      </c>
      <c r="E1076" s="74">
        <v>2</v>
      </c>
      <c r="F1076" s="74">
        <v>5.3</v>
      </c>
      <c r="G1076" s="758">
        <f t="shared" si="64"/>
        <v>0.5</v>
      </c>
      <c r="H1076" s="759">
        <f t="shared" si="65"/>
        <v>0.28000000000000003</v>
      </c>
      <c r="I1076" s="758">
        <f t="shared" si="66"/>
        <v>2.15</v>
      </c>
      <c r="J1076" s="760">
        <f t="shared" si="67"/>
        <v>0.81132075471698117</v>
      </c>
    </row>
    <row r="1077" spans="1:10">
      <c r="A1077" s="74" t="s">
        <v>927</v>
      </c>
      <c r="B1077" s="74" t="s">
        <v>251</v>
      </c>
      <c r="C1077" s="74" t="s">
        <v>1631</v>
      </c>
      <c r="D1077" s="74" t="s">
        <v>92</v>
      </c>
      <c r="E1077" s="74">
        <v>3</v>
      </c>
      <c r="F1077" s="74">
        <v>5.3</v>
      </c>
      <c r="G1077" s="758">
        <f t="shared" si="64"/>
        <v>0.5</v>
      </c>
      <c r="H1077" s="759">
        <f t="shared" si="65"/>
        <v>0.28000000000000003</v>
      </c>
      <c r="I1077" s="758">
        <f t="shared" si="66"/>
        <v>1.2666666666666666</v>
      </c>
      <c r="J1077" s="760">
        <f t="shared" si="67"/>
        <v>0.71698113207547176</v>
      </c>
    </row>
    <row r="1078" spans="1:10">
      <c r="A1078" s="74" t="s">
        <v>927</v>
      </c>
      <c r="B1078" s="74" t="s">
        <v>251</v>
      </c>
      <c r="C1078" s="74" t="s">
        <v>1552</v>
      </c>
      <c r="D1078" s="74" t="s">
        <v>92</v>
      </c>
      <c r="E1078" s="74">
        <v>1</v>
      </c>
      <c r="F1078" s="74">
        <v>2.65</v>
      </c>
      <c r="G1078" s="758">
        <f t="shared" si="64"/>
        <v>0.5</v>
      </c>
      <c r="H1078" s="759">
        <f t="shared" si="65"/>
        <v>0.28000000000000003</v>
      </c>
      <c r="I1078" s="758">
        <f t="shared" si="66"/>
        <v>2.15</v>
      </c>
      <c r="J1078" s="760">
        <f t="shared" si="67"/>
        <v>0.81132075471698117</v>
      </c>
    </row>
    <row r="1079" spans="1:10">
      <c r="A1079" s="74" t="s">
        <v>927</v>
      </c>
      <c r="B1079" s="74" t="s">
        <v>251</v>
      </c>
      <c r="C1079" s="74" t="s">
        <v>1526</v>
      </c>
      <c r="D1079" s="74" t="s">
        <v>95</v>
      </c>
      <c r="E1079" s="74">
        <v>1</v>
      </c>
      <c r="F1079" s="74">
        <v>2.65</v>
      </c>
      <c r="G1079" s="758">
        <f t="shared" si="64"/>
        <v>0.5</v>
      </c>
      <c r="H1079" s="759">
        <f t="shared" si="65"/>
        <v>0.28000000000000003</v>
      </c>
      <c r="I1079" s="758">
        <f t="shared" si="66"/>
        <v>2.15</v>
      </c>
      <c r="J1079" s="760">
        <f t="shared" si="67"/>
        <v>0.81132075471698117</v>
      </c>
    </row>
    <row r="1080" spans="1:10">
      <c r="A1080" s="74" t="s">
        <v>1619</v>
      </c>
      <c r="B1080" s="74" t="s">
        <v>251</v>
      </c>
      <c r="C1080" s="74" t="s">
        <v>1515</v>
      </c>
      <c r="D1080" s="74" t="s">
        <v>81</v>
      </c>
      <c r="E1080" s="74">
        <v>2</v>
      </c>
      <c r="F1080" s="74">
        <v>0</v>
      </c>
      <c r="G1080" s="758">
        <f t="shared" si="64"/>
        <v>0.68</v>
      </c>
      <c r="H1080" s="759">
        <f t="shared" si="65"/>
        <v>0</v>
      </c>
      <c r="I1080" s="758">
        <f t="shared" si="66"/>
        <v>-0.68</v>
      </c>
      <c r="J1080" s="760">
        <f t="shared" si="67"/>
        <v>0</v>
      </c>
    </row>
    <row r="1081" spans="1:10">
      <c r="A1081" s="74" t="s">
        <v>1620</v>
      </c>
      <c r="B1081" s="74" t="s">
        <v>251</v>
      </c>
      <c r="C1081" s="74" t="s">
        <v>1608</v>
      </c>
      <c r="D1081" s="74" t="s">
        <v>89</v>
      </c>
      <c r="E1081" s="74">
        <v>1</v>
      </c>
      <c r="F1081" s="74">
        <v>2.12</v>
      </c>
      <c r="G1081" s="758">
        <f t="shared" si="64"/>
        <v>0</v>
      </c>
      <c r="H1081" s="759">
        <f t="shared" si="65"/>
        <v>0</v>
      </c>
      <c r="I1081" s="758">
        <f t="shared" si="66"/>
        <v>2.12</v>
      </c>
      <c r="J1081" s="760">
        <f t="shared" si="67"/>
        <v>1</v>
      </c>
    </row>
    <row r="1082" spans="1:10">
      <c r="A1082" s="74" t="s">
        <v>722</v>
      </c>
      <c r="B1082" s="74" t="s">
        <v>251</v>
      </c>
      <c r="C1082" s="74" t="s">
        <v>1528</v>
      </c>
      <c r="D1082" s="74" t="s">
        <v>78</v>
      </c>
      <c r="E1082" s="74">
        <v>2</v>
      </c>
      <c r="F1082" s="74">
        <v>4.82</v>
      </c>
      <c r="G1082" s="758">
        <f t="shared" si="64"/>
        <v>0.51</v>
      </c>
      <c r="H1082" s="759">
        <f t="shared" si="65"/>
        <v>0.27</v>
      </c>
      <c r="I1082" s="758">
        <f t="shared" si="66"/>
        <v>1.9000000000000001</v>
      </c>
      <c r="J1082" s="760">
        <f t="shared" si="67"/>
        <v>0.78838174273858919</v>
      </c>
    </row>
    <row r="1083" spans="1:10">
      <c r="A1083" s="74" t="s">
        <v>722</v>
      </c>
      <c r="B1083" s="74" t="s">
        <v>251</v>
      </c>
      <c r="C1083" s="74" t="s">
        <v>1508</v>
      </c>
      <c r="D1083" s="74" t="s">
        <v>78</v>
      </c>
      <c r="E1083" s="74">
        <v>1</v>
      </c>
      <c r="F1083" s="74">
        <v>2.41</v>
      </c>
      <c r="G1083" s="758">
        <f t="shared" si="64"/>
        <v>0.51</v>
      </c>
      <c r="H1083" s="759">
        <f t="shared" si="65"/>
        <v>0.27</v>
      </c>
      <c r="I1083" s="758">
        <f t="shared" si="66"/>
        <v>1.9000000000000001</v>
      </c>
      <c r="J1083" s="760">
        <f t="shared" si="67"/>
        <v>0.78838174273858919</v>
      </c>
    </row>
    <row r="1084" spans="1:10">
      <c r="A1084" s="74" t="s">
        <v>722</v>
      </c>
      <c r="B1084" s="74" t="s">
        <v>251</v>
      </c>
      <c r="C1084" s="74" t="s">
        <v>1509</v>
      </c>
      <c r="D1084" s="74" t="s">
        <v>78</v>
      </c>
      <c r="E1084" s="74">
        <v>2</v>
      </c>
      <c r="F1084" s="74">
        <v>5.0599999999999996</v>
      </c>
      <c r="G1084" s="758">
        <f t="shared" si="64"/>
        <v>0.51</v>
      </c>
      <c r="H1084" s="759">
        <f t="shared" si="65"/>
        <v>0.27</v>
      </c>
      <c r="I1084" s="758">
        <f t="shared" si="66"/>
        <v>2.0199999999999996</v>
      </c>
      <c r="J1084" s="760">
        <f t="shared" si="67"/>
        <v>0.79841897233201575</v>
      </c>
    </row>
    <row r="1085" spans="1:10">
      <c r="A1085" s="74" t="s">
        <v>722</v>
      </c>
      <c r="B1085" s="74" t="s">
        <v>251</v>
      </c>
      <c r="C1085" s="74" t="s">
        <v>1565</v>
      </c>
      <c r="D1085" s="74" t="s">
        <v>78</v>
      </c>
      <c r="E1085" s="74">
        <v>4</v>
      </c>
      <c r="F1085" s="74">
        <v>10.01</v>
      </c>
      <c r="G1085" s="758">
        <f t="shared" si="64"/>
        <v>0.51</v>
      </c>
      <c r="H1085" s="759">
        <f t="shared" si="65"/>
        <v>0.27</v>
      </c>
      <c r="I1085" s="758">
        <f t="shared" si="66"/>
        <v>1.9924999999999999</v>
      </c>
      <c r="J1085" s="760">
        <f t="shared" si="67"/>
        <v>0.79620379620379622</v>
      </c>
    </row>
    <row r="1086" spans="1:10">
      <c r="A1086" s="74" t="s">
        <v>722</v>
      </c>
      <c r="B1086" s="74" t="s">
        <v>251</v>
      </c>
      <c r="C1086" s="74" t="s">
        <v>1530</v>
      </c>
      <c r="D1086" s="74" t="s">
        <v>80</v>
      </c>
      <c r="E1086" s="74">
        <v>4</v>
      </c>
      <c r="F1086" s="74">
        <v>10.25</v>
      </c>
      <c r="G1086" s="758">
        <f t="shared" si="64"/>
        <v>0.51</v>
      </c>
      <c r="H1086" s="759">
        <f t="shared" si="65"/>
        <v>0.27</v>
      </c>
      <c r="I1086" s="758">
        <f t="shared" si="66"/>
        <v>2.0525000000000002</v>
      </c>
      <c r="J1086" s="760">
        <f t="shared" si="67"/>
        <v>0.80097560975609761</v>
      </c>
    </row>
    <row r="1087" spans="1:10">
      <c r="A1087" s="74" t="s">
        <v>722</v>
      </c>
      <c r="B1087" s="74" t="s">
        <v>251</v>
      </c>
      <c r="C1087" s="74" t="s">
        <v>1532</v>
      </c>
      <c r="D1087" s="74" t="s">
        <v>80</v>
      </c>
      <c r="E1087" s="74">
        <v>4</v>
      </c>
      <c r="F1087" s="74">
        <v>10.55</v>
      </c>
      <c r="G1087" s="758">
        <f t="shared" si="64"/>
        <v>0.51</v>
      </c>
      <c r="H1087" s="759">
        <f t="shared" si="65"/>
        <v>0.27</v>
      </c>
      <c r="I1087" s="758">
        <f t="shared" si="66"/>
        <v>2.1275000000000004</v>
      </c>
      <c r="J1087" s="760">
        <f t="shared" si="67"/>
        <v>0.8066350710900474</v>
      </c>
    </row>
    <row r="1088" spans="1:10">
      <c r="A1088" s="74" t="s">
        <v>722</v>
      </c>
      <c r="B1088" s="74" t="s">
        <v>251</v>
      </c>
      <c r="C1088" s="74" t="s">
        <v>1511</v>
      </c>
      <c r="D1088" s="74" t="s">
        <v>80</v>
      </c>
      <c r="E1088" s="74">
        <v>1</v>
      </c>
      <c r="F1088" s="74">
        <v>2.41</v>
      </c>
      <c r="G1088" s="758">
        <f t="shared" si="64"/>
        <v>0.51</v>
      </c>
      <c r="H1088" s="759">
        <f t="shared" si="65"/>
        <v>0.27</v>
      </c>
      <c r="I1088" s="758">
        <f t="shared" si="66"/>
        <v>1.9000000000000001</v>
      </c>
      <c r="J1088" s="760">
        <f t="shared" si="67"/>
        <v>0.78838174273858919</v>
      </c>
    </row>
    <row r="1089" spans="1:10">
      <c r="A1089" s="74" t="s">
        <v>722</v>
      </c>
      <c r="B1089" s="74" t="s">
        <v>251</v>
      </c>
      <c r="C1089" s="74" t="s">
        <v>1512</v>
      </c>
      <c r="D1089" s="74" t="s">
        <v>80</v>
      </c>
      <c r="E1089" s="74">
        <v>8</v>
      </c>
      <c r="F1089" s="74">
        <v>17.91</v>
      </c>
      <c r="G1089" s="758">
        <f t="shared" si="64"/>
        <v>0.51</v>
      </c>
      <c r="H1089" s="759">
        <f t="shared" si="65"/>
        <v>0.27</v>
      </c>
      <c r="I1089" s="758">
        <f t="shared" si="66"/>
        <v>1.72875</v>
      </c>
      <c r="J1089" s="760">
        <f t="shared" si="67"/>
        <v>0.77219430485762142</v>
      </c>
    </row>
    <row r="1090" spans="1:10">
      <c r="A1090" s="74" t="s">
        <v>722</v>
      </c>
      <c r="B1090" s="74" t="s">
        <v>251</v>
      </c>
      <c r="C1090" s="74" t="s">
        <v>1534</v>
      </c>
      <c r="D1090" s="74" t="s">
        <v>81</v>
      </c>
      <c r="E1090" s="74">
        <v>4</v>
      </c>
      <c r="F1090" s="74">
        <v>10.9</v>
      </c>
      <c r="G1090" s="758">
        <f t="shared" ref="G1090:G1153" si="68">IFERROR(VLOOKUP(A1090,$M$1:$P$1014,2,FALSE),0)</f>
        <v>0.51</v>
      </c>
      <c r="H1090" s="759">
        <f t="shared" ref="H1090:H1153" si="69">IFERROR(VLOOKUP(A1090,$M$1:$P$1014,3,FALSE),0)</f>
        <v>0.27</v>
      </c>
      <c r="I1090" s="758">
        <f t="shared" ref="I1090:I1153" si="70">IFERROR(F1090/E1090-G1090,0)</f>
        <v>2.2149999999999999</v>
      </c>
      <c r="J1090" s="760">
        <f t="shared" ref="J1090:J1153" si="71">IFERROR(1-G1090*E1090/F1090,0)</f>
        <v>0.8128440366972477</v>
      </c>
    </row>
    <row r="1091" spans="1:10">
      <c r="A1091" s="74" t="s">
        <v>722</v>
      </c>
      <c r="B1091" s="74" t="s">
        <v>251</v>
      </c>
      <c r="C1091" s="74" t="s">
        <v>1513</v>
      </c>
      <c r="D1091" s="74" t="s">
        <v>81</v>
      </c>
      <c r="E1091" s="74">
        <v>8</v>
      </c>
      <c r="F1091" s="74">
        <v>20.05</v>
      </c>
      <c r="G1091" s="758">
        <f t="shared" si="68"/>
        <v>0.51</v>
      </c>
      <c r="H1091" s="759">
        <f t="shared" si="69"/>
        <v>0.27</v>
      </c>
      <c r="I1091" s="758">
        <f t="shared" si="70"/>
        <v>1.9962500000000001</v>
      </c>
      <c r="J1091" s="760">
        <f t="shared" si="71"/>
        <v>0.7965087281795511</v>
      </c>
    </row>
    <row r="1092" spans="1:10">
      <c r="A1092" s="74" t="s">
        <v>722</v>
      </c>
      <c r="B1092" s="74" t="s">
        <v>251</v>
      </c>
      <c r="C1092" s="74" t="s">
        <v>1514</v>
      </c>
      <c r="D1092" s="74" t="s">
        <v>81</v>
      </c>
      <c r="E1092" s="74">
        <v>4</v>
      </c>
      <c r="F1092" s="74">
        <v>10.25</v>
      </c>
      <c r="G1092" s="758">
        <f t="shared" si="68"/>
        <v>0.51</v>
      </c>
      <c r="H1092" s="759">
        <f t="shared" si="69"/>
        <v>0.27</v>
      </c>
      <c r="I1092" s="758">
        <f t="shared" si="70"/>
        <v>2.0525000000000002</v>
      </c>
      <c r="J1092" s="760">
        <f t="shared" si="71"/>
        <v>0.80097560975609761</v>
      </c>
    </row>
    <row r="1093" spans="1:10">
      <c r="A1093" s="74" t="s">
        <v>722</v>
      </c>
      <c r="B1093" s="74" t="s">
        <v>251</v>
      </c>
      <c r="C1093" s="74" t="s">
        <v>1515</v>
      </c>
      <c r="D1093" s="74" t="s">
        <v>81</v>
      </c>
      <c r="E1093" s="74">
        <v>7</v>
      </c>
      <c r="F1093" s="74">
        <v>18.3</v>
      </c>
      <c r="G1093" s="758">
        <f t="shared" si="68"/>
        <v>0.51</v>
      </c>
      <c r="H1093" s="759">
        <f t="shared" si="69"/>
        <v>0.27</v>
      </c>
      <c r="I1093" s="758">
        <f t="shared" si="70"/>
        <v>2.1042857142857141</v>
      </c>
      <c r="J1093" s="760">
        <f t="shared" si="71"/>
        <v>0.80491803278688523</v>
      </c>
    </row>
    <row r="1094" spans="1:10">
      <c r="A1094" s="74" t="s">
        <v>722</v>
      </c>
      <c r="B1094" s="74" t="s">
        <v>251</v>
      </c>
      <c r="C1094" s="74" t="s">
        <v>1516</v>
      </c>
      <c r="D1094" s="74" t="s">
        <v>82</v>
      </c>
      <c r="E1094" s="74">
        <v>6</v>
      </c>
      <c r="F1094" s="74">
        <v>25.35</v>
      </c>
      <c r="G1094" s="758">
        <f t="shared" si="68"/>
        <v>0.51</v>
      </c>
      <c r="H1094" s="759">
        <f t="shared" si="69"/>
        <v>0.27</v>
      </c>
      <c r="I1094" s="758">
        <f t="shared" si="70"/>
        <v>3.7150000000000007</v>
      </c>
      <c r="J1094" s="760">
        <f t="shared" si="71"/>
        <v>0.87928994082840239</v>
      </c>
    </row>
    <row r="1095" spans="1:10">
      <c r="A1095" s="74" t="s">
        <v>722</v>
      </c>
      <c r="B1095" s="74" t="s">
        <v>251</v>
      </c>
      <c r="C1095" s="74" t="s">
        <v>1517</v>
      </c>
      <c r="D1095" s="74" t="s">
        <v>82</v>
      </c>
      <c r="E1095" s="74">
        <v>5</v>
      </c>
      <c r="F1095" s="74">
        <v>13.7</v>
      </c>
      <c r="G1095" s="758">
        <f t="shared" si="68"/>
        <v>0.51</v>
      </c>
      <c r="H1095" s="759">
        <f t="shared" si="69"/>
        <v>0.27</v>
      </c>
      <c r="I1095" s="758">
        <f t="shared" si="70"/>
        <v>2.2299999999999995</v>
      </c>
      <c r="J1095" s="760">
        <f t="shared" si="71"/>
        <v>0.81386861313868608</v>
      </c>
    </row>
    <row r="1096" spans="1:10">
      <c r="A1096" s="74" t="s">
        <v>722</v>
      </c>
      <c r="B1096" s="74" t="s">
        <v>251</v>
      </c>
      <c r="C1096" s="74" t="s">
        <v>1527</v>
      </c>
      <c r="D1096" s="74" t="s">
        <v>82</v>
      </c>
      <c r="E1096" s="74">
        <v>6</v>
      </c>
      <c r="F1096" s="74">
        <v>16.350000000000001</v>
      </c>
      <c r="G1096" s="758">
        <f t="shared" si="68"/>
        <v>0.51</v>
      </c>
      <c r="H1096" s="759">
        <f t="shared" si="69"/>
        <v>0.27</v>
      </c>
      <c r="I1096" s="758">
        <f t="shared" si="70"/>
        <v>2.2149999999999999</v>
      </c>
      <c r="J1096" s="760">
        <f t="shared" si="71"/>
        <v>0.8128440366972477</v>
      </c>
    </row>
    <row r="1097" spans="1:10">
      <c r="A1097" s="74" t="s">
        <v>722</v>
      </c>
      <c r="B1097" s="74" t="s">
        <v>251</v>
      </c>
      <c r="C1097" s="74" t="s">
        <v>1518</v>
      </c>
      <c r="D1097" s="74" t="s">
        <v>82</v>
      </c>
      <c r="E1097" s="74">
        <v>14</v>
      </c>
      <c r="F1097" s="74">
        <v>53.75</v>
      </c>
      <c r="G1097" s="758">
        <f t="shared" si="68"/>
        <v>0.51</v>
      </c>
      <c r="H1097" s="759">
        <f t="shared" si="69"/>
        <v>0.27</v>
      </c>
      <c r="I1097" s="758">
        <f t="shared" si="70"/>
        <v>3.3292857142857146</v>
      </c>
      <c r="J1097" s="760">
        <f t="shared" si="71"/>
        <v>0.86716279069767443</v>
      </c>
    </row>
    <row r="1098" spans="1:10">
      <c r="A1098" s="74" t="s">
        <v>722</v>
      </c>
      <c r="B1098" s="74" t="s">
        <v>251</v>
      </c>
      <c r="C1098" s="74" t="s">
        <v>1519</v>
      </c>
      <c r="D1098" s="74" t="s">
        <v>84</v>
      </c>
      <c r="E1098" s="74">
        <v>2</v>
      </c>
      <c r="F1098" s="74">
        <v>4.92</v>
      </c>
      <c r="G1098" s="758">
        <f t="shared" si="68"/>
        <v>0.51</v>
      </c>
      <c r="H1098" s="759">
        <f t="shared" si="69"/>
        <v>0.27</v>
      </c>
      <c r="I1098" s="758">
        <f t="shared" si="70"/>
        <v>1.95</v>
      </c>
      <c r="J1098" s="760">
        <f t="shared" si="71"/>
        <v>0.79268292682926833</v>
      </c>
    </row>
    <row r="1099" spans="1:10">
      <c r="A1099" s="74" t="s">
        <v>722</v>
      </c>
      <c r="B1099" s="74" t="s">
        <v>251</v>
      </c>
      <c r="C1099" s="74" t="s">
        <v>1578</v>
      </c>
      <c r="D1099" s="74" t="s">
        <v>86</v>
      </c>
      <c r="E1099" s="74">
        <v>1</v>
      </c>
      <c r="F1099" s="74">
        <v>2.65</v>
      </c>
      <c r="G1099" s="758">
        <f t="shared" si="68"/>
        <v>0.51</v>
      </c>
      <c r="H1099" s="759">
        <f t="shared" si="69"/>
        <v>0.27</v>
      </c>
      <c r="I1099" s="758">
        <f t="shared" si="70"/>
        <v>2.1399999999999997</v>
      </c>
      <c r="J1099" s="760">
        <f t="shared" si="71"/>
        <v>0.8075471698113208</v>
      </c>
    </row>
    <row r="1100" spans="1:10">
      <c r="A1100" s="74" t="s">
        <v>722</v>
      </c>
      <c r="B1100" s="74" t="s">
        <v>251</v>
      </c>
      <c r="C1100" s="74" t="s">
        <v>1646</v>
      </c>
      <c r="D1100" s="74" t="s">
        <v>86</v>
      </c>
      <c r="E1100" s="74">
        <v>1</v>
      </c>
      <c r="F1100" s="74">
        <v>2.65</v>
      </c>
      <c r="G1100" s="758">
        <f t="shared" si="68"/>
        <v>0.51</v>
      </c>
      <c r="H1100" s="759">
        <f t="shared" si="69"/>
        <v>0.27</v>
      </c>
      <c r="I1100" s="758">
        <f t="shared" si="70"/>
        <v>2.1399999999999997</v>
      </c>
      <c r="J1100" s="760">
        <f t="shared" si="71"/>
        <v>0.8075471698113208</v>
      </c>
    </row>
    <row r="1101" spans="1:10">
      <c r="A1101" s="74" t="s">
        <v>722</v>
      </c>
      <c r="B1101" s="74" t="s">
        <v>251</v>
      </c>
      <c r="C1101" s="74" t="s">
        <v>1541</v>
      </c>
      <c r="D1101" s="74" t="s">
        <v>86</v>
      </c>
      <c r="E1101" s="74">
        <v>1</v>
      </c>
      <c r="F1101" s="74">
        <v>2.65</v>
      </c>
      <c r="G1101" s="758">
        <f t="shared" si="68"/>
        <v>0.51</v>
      </c>
      <c r="H1101" s="759">
        <f t="shared" si="69"/>
        <v>0.27</v>
      </c>
      <c r="I1101" s="758">
        <f t="shared" si="70"/>
        <v>2.1399999999999997</v>
      </c>
      <c r="J1101" s="760">
        <f t="shared" si="71"/>
        <v>0.8075471698113208</v>
      </c>
    </row>
    <row r="1102" spans="1:10">
      <c r="A1102" s="74" t="s">
        <v>722</v>
      </c>
      <c r="B1102" s="74" t="s">
        <v>251</v>
      </c>
      <c r="C1102" s="74" t="s">
        <v>1543</v>
      </c>
      <c r="D1102" s="74" t="s">
        <v>87</v>
      </c>
      <c r="E1102" s="74">
        <v>1</v>
      </c>
      <c r="F1102" s="74">
        <v>2.8</v>
      </c>
      <c r="G1102" s="758">
        <f t="shared" si="68"/>
        <v>0.51</v>
      </c>
      <c r="H1102" s="759">
        <f t="shared" si="69"/>
        <v>0.27</v>
      </c>
      <c r="I1102" s="758">
        <f t="shared" si="70"/>
        <v>2.29</v>
      </c>
      <c r="J1102" s="760">
        <f t="shared" si="71"/>
        <v>0.81785714285714284</v>
      </c>
    </row>
    <row r="1103" spans="1:10">
      <c r="A1103" s="74" t="s">
        <v>722</v>
      </c>
      <c r="B1103" s="74" t="s">
        <v>251</v>
      </c>
      <c r="C1103" s="74" t="s">
        <v>1605</v>
      </c>
      <c r="D1103" s="74" t="s">
        <v>87</v>
      </c>
      <c r="E1103" s="74">
        <v>3</v>
      </c>
      <c r="F1103" s="74">
        <v>8.25</v>
      </c>
      <c r="G1103" s="758">
        <f t="shared" si="68"/>
        <v>0.51</v>
      </c>
      <c r="H1103" s="759">
        <f t="shared" si="69"/>
        <v>0.27</v>
      </c>
      <c r="I1103" s="758">
        <f t="shared" si="70"/>
        <v>2.2400000000000002</v>
      </c>
      <c r="J1103" s="760">
        <f t="shared" si="71"/>
        <v>0.81454545454545457</v>
      </c>
    </row>
    <row r="1104" spans="1:10">
      <c r="A1104" s="74" t="s">
        <v>722</v>
      </c>
      <c r="B1104" s="74" t="s">
        <v>251</v>
      </c>
      <c r="C1104" s="74" t="s">
        <v>1608</v>
      </c>
      <c r="D1104" s="74" t="s">
        <v>89</v>
      </c>
      <c r="E1104" s="74">
        <v>1</v>
      </c>
      <c r="F1104" s="74">
        <v>2.8</v>
      </c>
      <c r="G1104" s="758">
        <f t="shared" si="68"/>
        <v>0.51</v>
      </c>
      <c r="H1104" s="759">
        <f t="shared" si="69"/>
        <v>0.27</v>
      </c>
      <c r="I1104" s="758">
        <f t="shared" si="70"/>
        <v>2.29</v>
      </c>
      <c r="J1104" s="760">
        <f t="shared" si="71"/>
        <v>0.81785714285714284</v>
      </c>
    </row>
    <row r="1105" spans="1:10">
      <c r="A1105" s="74" t="s">
        <v>722</v>
      </c>
      <c r="B1105" s="74" t="s">
        <v>251</v>
      </c>
      <c r="C1105" s="74" t="s">
        <v>1610</v>
      </c>
      <c r="D1105" s="74" t="s">
        <v>89</v>
      </c>
      <c r="E1105" s="74">
        <v>1</v>
      </c>
      <c r="F1105" s="74">
        <v>2.65</v>
      </c>
      <c r="G1105" s="758">
        <f t="shared" si="68"/>
        <v>0.51</v>
      </c>
      <c r="H1105" s="759">
        <f t="shared" si="69"/>
        <v>0.27</v>
      </c>
      <c r="I1105" s="758">
        <f t="shared" si="70"/>
        <v>2.1399999999999997</v>
      </c>
      <c r="J1105" s="760">
        <f t="shared" si="71"/>
        <v>0.8075471698113208</v>
      </c>
    </row>
    <row r="1106" spans="1:10">
      <c r="A1106" s="74" t="s">
        <v>722</v>
      </c>
      <c r="B1106" s="74" t="s">
        <v>251</v>
      </c>
      <c r="C1106" s="74" t="s">
        <v>1547</v>
      </c>
      <c r="D1106" s="74" t="s">
        <v>89</v>
      </c>
      <c r="E1106" s="74">
        <v>3</v>
      </c>
      <c r="F1106" s="74">
        <v>8.4</v>
      </c>
      <c r="G1106" s="758">
        <f t="shared" si="68"/>
        <v>0.51</v>
      </c>
      <c r="H1106" s="759">
        <f t="shared" si="69"/>
        <v>0.27</v>
      </c>
      <c r="I1106" s="758">
        <f t="shared" si="70"/>
        <v>2.29</v>
      </c>
      <c r="J1106" s="760">
        <f t="shared" si="71"/>
        <v>0.81785714285714284</v>
      </c>
    </row>
    <row r="1107" spans="1:10">
      <c r="A1107" s="74" t="s">
        <v>722</v>
      </c>
      <c r="B1107" s="74" t="s">
        <v>251</v>
      </c>
      <c r="C1107" s="74" t="s">
        <v>1582</v>
      </c>
      <c r="D1107" s="74" t="s">
        <v>89</v>
      </c>
      <c r="E1107" s="74">
        <v>1</v>
      </c>
      <c r="F1107" s="74">
        <v>2.8</v>
      </c>
      <c r="G1107" s="758">
        <f t="shared" si="68"/>
        <v>0.51</v>
      </c>
      <c r="H1107" s="759">
        <f t="shared" si="69"/>
        <v>0.27</v>
      </c>
      <c r="I1107" s="758">
        <f t="shared" si="70"/>
        <v>2.29</v>
      </c>
      <c r="J1107" s="760">
        <f t="shared" si="71"/>
        <v>0.81785714285714284</v>
      </c>
    </row>
    <row r="1108" spans="1:10">
      <c r="A1108" s="74" t="s">
        <v>722</v>
      </c>
      <c r="B1108" s="74" t="s">
        <v>251</v>
      </c>
      <c r="C1108" s="74" t="s">
        <v>1522</v>
      </c>
      <c r="D1108" s="74" t="s">
        <v>91</v>
      </c>
      <c r="E1108" s="74">
        <v>3</v>
      </c>
      <c r="F1108" s="74">
        <v>8.25</v>
      </c>
      <c r="G1108" s="758">
        <f t="shared" si="68"/>
        <v>0.51</v>
      </c>
      <c r="H1108" s="759">
        <f t="shared" si="69"/>
        <v>0.27</v>
      </c>
      <c r="I1108" s="758">
        <f t="shared" si="70"/>
        <v>2.2400000000000002</v>
      </c>
      <c r="J1108" s="760">
        <f t="shared" si="71"/>
        <v>0.81454545454545457</v>
      </c>
    </row>
    <row r="1109" spans="1:10">
      <c r="A1109" s="74" t="s">
        <v>722</v>
      </c>
      <c r="B1109" s="74" t="s">
        <v>251</v>
      </c>
      <c r="C1109" s="74" t="s">
        <v>1617</v>
      </c>
      <c r="D1109" s="74" t="s">
        <v>94</v>
      </c>
      <c r="E1109" s="74">
        <v>1</v>
      </c>
      <c r="F1109" s="74">
        <v>2.65</v>
      </c>
      <c r="G1109" s="758">
        <f t="shared" si="68"/>
        <v>0.51</v>
      </c>
      <c r="H1109" s="759">
        <f t="shared" si="69"/>
        <v>0.27</v>
      </c>
      <c r="I1109" s="758">
        <f t="shared" si="70"/>
        <v>2.1399999999999997</v>
      </c>
      <c r="J1109" s="760">
        <f t="shared" si="71"/>
        <v>0.8075471698113208</v>
      </c>
    </row>
    <row r="1110" spans="1:10">
      <c r="A1110" s="74" t="s">
        <v>1621</v>
      </c>
      <c r="B1110" s="74" t="s">
        <v>873</v>
      </c>
      <c r="C1110" s="74" t="s">
        <v>1527</v>
      </c>
      <c r="D1110" s="74" t="s">
        <v>82</v>
      </c>
      <c r="E1110" s="74">
        <v>2</v>
      </c>
      <c r="F1110" s="74">
        <v>0</v>
      </c>
      <c r="G1110" s="758">
        <f t="shared" si="68"/>
        <v>0</v>
      </c>
      <c r="H1110" s="759">
        <f t="shared" si="69"/>
        <v>0</v>
      </c>
      <c r="I1110" s="758">
        <f t="shared" si="70"/>
        <v>0</v>
      </c>
      <c r="J1110" s="760">
        <f t="shared" si="71"/>
        <v>0</v>
      </c>
    </row>
    <row r="1111" spans="1:10">
      <c r="A1111" s="74" t="s">
        <v>1622</v>
      </c>
      <c r="B1111" s="74" t="s">
        <v>873</v>
      </c>
      <c r="C1111" s="74" t="s">
        <v>1646</v>
      </c>
      <c r="D1111" s="74" t="s">
        <v>86</v>
      </c>
      <c r="E1111" s="74">
        <v>7</v>
      </c>
      <c r="F1111" s="74">
        <v>0</v>
      </c>
      <c r="G1111" s="758">
        <f t="shared" si="68"/>
        <v>0</v>
      </c>
      <c r="H1111" s="759">
        <f t="shared" si="69"/>
        <v>0</v>
      </c>
      <c r="I1111" s="758">
        <f t="shared" si="70"/>
        <v>0</v>
      </c>
      <c r="J1111" s="760">
        <f t="shared" si="71"/>
        <v>0</v>
      </c>
    </row>
    <row r="1112" spans="1:10">
      <c r="A1112" s="74" t="s">
        <v>1623</v>
      </c>
      <c r="B1112" s="74" t="s">
        <v>873</v>
      </c>
      <c r="C1112" s="74" t="s">
        <v>1610</v>
      </c>
      <c r="D1112" s="74" t="s">
        <v>89</v>
      </c>
      <c r="E1112" s="74">
        <v>12</v>
      </c>
      <c r="F1112" s="74">
        <v>0</v>
      </c>
      <c r="G1112" s="758">
        <f t="shared" si="68"/>
        <v>0</v>
      </c>
      <c r="H1112" s="759">
        <f t="shared" si="69"/>
        <v>0</v>
      </c>
      <c r="I1112" s="758">
        <f t="shared" si="70"/>
        <v>0</v>
      </c>
      <c r="J1112" s="760">
        <f t="shared" si="71"/>
        <v>0</v>
      </c>
    </row>
    <row r="1113" spans="1:10">
      <c r="A1113" s="74" t="s">
        <v>1623</v>
      </c>
      <c r="B1113" s="74" t="s">
        <v>873</v>
      </c>
      <c r="C1113" s="74" t="s">
        <v>1522</v>
      </c>
      <c r="D1113" s="74" t="s">
        <v>91</v>
      </c>
      <c r="E1113" s="74">
        <v>14</v>
      </c>
      <c r="F1113" s="74">
        <v>0</v>
      </c>
      <c r="G1113" s="758">
        <f t="shared" si="68"/>
        <v>0</v>
      </c>
      <c r="H1113" s="759">
        <f t="shared" si="69"/>
        <v>0</v>
      </c>
      <c r="I1113" s="758">
        <f t="shared" si="70"/>
        <v>0</v>
      </c>
      <c r="J1113" s="760">
        <f t="shared" si="71"/>
        <v>0</v>
      </c>
    </row>
    <row r="1114" spans="1:10">
      <c r="A1114" s="74" t="s">
        <v>1623</v>
      </c>
      <c r="B1114" s="74" t="s">
        <v>873</v>
      </c>
      <c r="C1114" s="74" t="s">
        <v>1524</v>
      </c>
      <c r="D1114" s="74" t="s">
        <v>91</v>
      </c>
      <c r="E1114" s="74">
        <v>8</v>
      </c>
      <c r="F1114" s="74">
        <v>0</v>
      </c>
      <c r="G1114" s="758">
        <f t="shared" si="68"/>
        <v>0</v>
      </c>
      <c r="H1114" s="759">
        <f t="shared" si="69"/>
        <v>0</v>
      </c>
      <c r="I1114" s="758">
        <f t="shared" si="70"/>
        <v>0</v>
      </c>
      <c r="J1114" s="760">
        <f t="shared" si="71"/>
        <v>0</v>
      </c>
    </row>
    <row r="1115" spans="1:10">
      <c r="A1115" s="74" t="s">
        <v>1226</v>
      </c>
      <c r="B1115" s="74" t="s">
        <v>873</v>
      </c>
      <c r="C1115" s="74" t="s">
        <v>1526</v>
      </c>
      <c r="D1115" s="74" t="s">
        <v>95</v>
      </c>
      <c r="E1115" s="74">
        <v>8</v>
      </c>
      <c r="F1115" s="74">
        <v>1</v>
      </c>
      <c r="G1115" s="758">
        <f t="shared" si="68"/>
        <v>0</v>
      </c>
      <c r="H1115" s="759">
        <f t="shared" si="69"/>
        <v>0</v>
      </c>
      <c r="I1115" s="758">
        <f t="shared" si="70"/>
        <v>0.125</v>
      </c>
      <c r="J1115" s="760">
        <f t="shared" si="71"/>
        <v>1</v>
      </c>
    </row>
    <row r="1116" spans="1:10">
      <c r="A1116" s="74" t="s">
        <v>768</v>
      </c>
      <c r="B1116" s="74" t="s">
        <v>275</v>
      </c>
      <c r="C1116" s="74" t="s">
        <v>1509</v>
      </c>
      <c r="D1116" s="74" t="s">
        <v>78</v>
      </c>
      <c r="E1116" s="74">
        <v>1</v>
      </c>
      <c r="F1116" s="74">
        <v>4.09</v>
      </c>
      <c r="G1116" s="758">
        <f t="shared" si="68"/>
        <v>0</v>
      </c>
      <c r="H1116" s="759">
        <f t="shared" si="69"/>
        <v>0</v>
      </c>
      <c r="I1116" s="758">
        <f t="shared" si="70"/>
        <v>4.09</v>
      </c>
      <c r="J1116" s="760">
        <f t="shared" si="71"/>
        <v>1</v>
      </c>
    </row>
    <row r="1117" spans="1:10">
      <c r="A1117" s="74" t="s">
        <v>768</v>
      </c>
      <c r="B1117" s="74" t="s">
        <v>275</v>
      </c>
      <c r="C1117" s="74" t="s">
        <v>1565</v>
      </c>
      <c r="D1117" s="74" t="s">
        <v>78</v>
      </c>
      <c r="E1117" s="74">
        <v>1</v>
      </c>
      <c r="F1117" s="74">
        <v>4.09</v>
      </c>
      <c r="G1117" s="758">
        <f t="shared" si="68"/>
        <v>0</v>
      </c>
      <c r="H1117" s="759">
        <f t="shared" si="69"/>
        <v>0</v>
      </c>
      <c r="I1117" s="758">
        <f t="shared" si="70"/>
        <v>4.09</v>
      </c>
      <c r="J1117" s="760">
        <f t="shared" si="71"/>
        <v>1</v>
      </c>
    </row>
    <row r="1118" spans="1:10">
      <c r="A1118" s="74" t="s">
        <v>757</v>
      </c>
      <c r="B1118" s="74" t="s">
        <v>251</v>
      </c>
      <c r="C1118" s="74" t="s">
        <v>1508</v>
      </c>
      <c r="D1118" s="74" t="s">
        <v>78</v>
      </c>
      <c r="E1118" s="74">
        <v>1</v>
      </c>
      <c r="F1118" s="74">
        <v>2.64</v>
      </c>
      <c r="G1118" s="758">
        <f t="shared" si="68"/>
        <v>0.5</v>
      </c>
      <c r="H1118" s="759">
        <f t="shared" si="69"/>
        <v>0.28000000000000003</v>
      </c>
      <c r="I1118" s="758">
        <f t="shared" si="70"/>
        <v>2.14</v>
      </c>
      <c r="J1118" s="760">
        <f t="shared" si="71"/>
        <v>0.81060606060606055</v>
      </c>
    </row>
    <row r="1119" spans="1:10">
      <c r="A1119" s="74" t="s">
        <v>757</v>
      </c>
      <c r="B1119" s="74" t="s">
        <v>251</v>
      </c>
      <c r="C1119" s="74" t="s">
        <v>1509</v>
      </c>
      <c r="D1119" s="74" t="s">
        <v>78</v>
      </c>
      <c r="E1119" s="74">
        <v>1</v>
      </c>
      <c r="F1119" s="74">
        <v>2.5</v>
      </c>
      <c r="G1119" s="758">
        <f t="shared" si="68"/>
        <v>0.5</v>
      </c>
      <c r="H1119" s="759">
        <f t="shared" si="69"/>
        <v>0.28000000000000003</v>
      </c>
      <c r="I1119" s="758">
        <f t="shared" si="70"/>
        <v>2</v>
      </c>
      <c r="J1119" s="760">
        <f t="shared" si="71"/>
        <v>0.8</v>
      </c>
    </row>
    <row r="1120" spans="1:10">
      <c r="A1120" s="74" t="s">
        <v>757</v>
      </c>
      <c r="B1120" s="74" t="s">
        <v>251</v>
      </c>
      <c r="C1120" s="74" t="s">
        <v>1565</v>
      </c>
      <c r="D1120" s="74" t="s">
        <v>78</v>
      </c>
      <c r="E1120" s="74">
        <v>2</v>
      </c>
      <c r="F1120" s="74">
        <v>5.14</v>
      </c>
      <c r="G1120" s="758">
        <f t="shared" si="68"/>
        <v>0.5</v>
      </c>
      <c r="H1120" s="759">
        <f t="shared" si="69"/>
        <v>0.28000000000000003</v>
      </c>
      <c r="I1120" s="758">
        <f t="shared" si="70"/>
        <v>2.0699999999999998</v>
      </c>
      <c r="J1120" s="760">
        <f t="shared" si="71"/>
        <v>0.80544747081712065</v>
      </c>
    </row>
    <row r="1121" spans="1:10">
      <c r="A1121" s="74" t="s">
        <v>757</v>
      </c>
      <c r="B1121" s="74" t="s">
        <v>251</v>
      </c>
      <c r="C1121" s="74" t="s">
        <v>1511</v>
      </c>
      <c r="D1121" s="74" t="s">
        <v>80</v>
      </c>
      <c r="E1121" s="74">
        <v>1</v>
      </c>
      <c r="F1121" s="74">
        <v>2.5</v>
      </c>
      <c r="G1121" s="758">
        <f t="shared" si="68"/>
        <v>0.5</v>
      </c>
      <c r="H1121" s="759">
        <f t="shared" si="69"/>
        <v>0.28000000000000003</v>
      </c>
      <c r="I1121" s="758">
        <f t="shared" si="70"/>
        <v>2</v>
      </c>
      <c r="J1121" s="760">
        <f t="shared" si="71"/>
        <v>0.8</v>
      </c>
    </row>
    <row r="1122" spans="1:10">
      <c r="A1122" s="74" t="s">
        <v>757</v>
      </c>
      <c r="B1122" s="74" t="s">
        <v>251</v>
      </c>
      <c r="C1122" s="74" t="s">
        <v>1512</v>
      </c>
      <c r="D1122" s="74" t="s">
        <v>80</v>
      </c>
      <c r="E1122" s="74">
        <v>1</v>
      </c>
      <c r="F1122" s="74">
        <v>2.64</v>
      </c>
      <c r="G1122" s="758">
        <f t="shared" si="68"/>
        <v>0.5</v>
      </c>
      <c r="H1122" s="759">
        <f t="shared" si="69"/>
        <v>0.28000000000000003</v>
      </c>
      <c r="I1122" s="758">
        <f t="shared" si="70"/>
        <v>2.14</v>
      </c>
      <c r="J1122" s="760">
        <f t="shared" si="71"/>
        <v>0.81060606060606055</v>
      </c>
    </row>
    <row r="1123" spans="1:10">
      <c r="A1123" s="74" t="s">
        <v>757</v>
      </c>
      <c r="B1123" s="74" t="s">
        <v>251</v>
      </c>
      <c r="C1123" s="74" t="s">
        <v>1513</v>
      </c>
      <c r="D1123" s="74" t="s">
        <v>81</v>
      </c>
      <c r="E1123" s="74">
        <v>10</v>
      </c>
      <c r="F1123" s="74">
        <v>26.09</v>
      </c>
      <c r="G1123" s="758">
        <f t="shared" si="68"/>
        <v>0.5</v>
      </c>
      <c r="H1123" s="759">
        <f t="shared" si="69"/>
        <v>0.28000000000000003</v>
      </c>
      <c r="I1123" s="758">
        <f t="shared" si="70"/>
        <v>2.109</v>
      </c>
      <c r="J1123" s="760">
        <f t="shared" si="71"/>
        <v>0.80835569183595246</v>
      </c>
    </row>
    <row r="1124" spans="1:10">
      <c r="A1124" s="74" t="s">
        <v>757</v>
      </c>
      <c r="B1124" s="74" t="s">
        <v>251</v>
      </c>
      <c r="C1124" s="74" t="s">
        <v>1515</v>
      </c>
      <c r="D1124" s="74" t="s">
        <v>81</v>
      </c>
      <c r="E1124" s="74">
        <v>3</v>
      </c>
      <c r="F1124" s="74">
        <v>7.64</v>
      </c>
      <c r="G1124" s="758">
        <f t="shared" si="68"/>
        <v>0.5</v>
      </c>
      <c r="H1124" s="759">
        <f t="shared" si="69"/>
        <v>0.28000000000000003</v>
      </c>
      <c r="I1124" s="758">
        <f t="shared" si="70"/>
        <v>2.0466666666666664</v>
      </c>
      <c r="J1124" s="760">
        <f t="shared" si="71"/>
        <v>0.80366492146596857</v>
      </c>
    </row>
    <row r="1125" spans="1:10">
      <c r="A1125" s="74" t="s">
        <v>834</v>
      </c>
      <c r="B1125" s="74" t="s">
        <v>253</v>
      </c>
      <c r="C1125" s="74" t="s">
        <v>1515</v>
      </c>
      <c r="D1125" s="74" t="s">
        <v>81</v>
      </c>
      <c r="E1125" s="74">
        <v>2</v>
      </c>
      <c r="F1125" s="74">
        <v>6.18</v>
      </c>
      <c r="G1125" s="758">
        <f t="shared" si="68"/>
        <v>0</v>
      </c>
      <c r="H1125" s="759">
        <f t="shared" si="69"/>
        <v>0</v>
      </c>
      <c r="I1125" s="758">
        <f t="shared" si="70"/>
        <v>3.09</v>
      </c>
      <c r="J1125" s="760">
        <f t="shared" si="71"/>
        <v>1</v>
      </c>
    </row>
    <row r="1126" spans="1:10">
      <c r="A1126" s="74" t="s">
        <v>1624</v>
      </c>
      <c r="B1126" s="74" t="s">
        <v>877</v>
      </c>
      <c r="C1126" s="74" t="s">
        <v>1930</v>
      </c>
      <c r="D1126" s="74" t="s">
        <v>95</v>
      </c>
      <c r="E1126" s="74">
        <v>7</v>
      </c>
      <c r="F1126" s="74">
        <v>0</v>
      </c>
      <c r="G1126" s="758">
        <f t="shared" si="68"/>
        <v>0</v>
      </c>
      <c r="H1126" s="759">
        <f t="shared" si="69"/>
        <v>0</v>
      </c>
      <c r="I1126" s="758">
        <f t="shared" si="70"/>
        <v>0</v>
      </c>
      <c r="J1126" s="760">
        <f t="shared" si="71"/>
        <v>0</v>
      </c>
    </row>
    <row r="1127" spans="1:10">
      <c r="A1127" s="74" t="s">
        <v>1625</v>
      </c>
      <c r="B1127" s="74" t="s">
        <v>877</v>
      </c>
      <c r="C1127" s="74" t="s">
        <v>1584</v>
      </c>
      <c r="D1127" s="74" t="s">
        <v>92</v>
      </c>
      <c r="E1127" s="74">
        <v>5</v>
      </c>
      <c r="F1127" s="74">
        <v>15</v>
      </c>
      <c r="G1127" s="758">
        <f t="shared" si="68"/>
        <v>0</v>
      </c>
      <c r="H1127" s="759">
        <f t="shared" si="69"/>
        <v>0</v>
      </c>
      <c r="I1127" s="758">
        <f t="shared" si="70"/>
        <v>3</v>
      </c>
      <c r="J1127" s="760">
        <f t="shared" si="71"/>
        <v>1</v>
      </c>
    </row>
    <row r="1128" spans="1:10">
      <c r="A1128" s="74" t="s">
        <v>947</v>
      </c>
      <c r="B1128" s="74" t="s">
        <v>264</v>
      </c>
      <c r="C1128" s="74" t="s">
        <v>1508</v>
      </c>
      <c r="D1128" s="74" t="s">
        <v>78</v>
      </c>
      <c r="E1128" s="74">
        <v>1</v>
      </c>
      <c r="F1128" s="74">
        <v>1.4</v>
      </c>
      <c r="G1128" s="758">
        <f t="shared" si="68"/>
        <v>0.02</v>
      </c>
      <c r="H1128" s="759">
        <f t="shared" si="69"/>
        <v>0.22</v>
      </c>
      <c r="I1128" s="758">
        <f t="shared" si="70"/>
        <v>1.38</v>
      </c>
      <c r="J1128" s="760">
        <f t="shared" si="71"/>
        <v>0.98571428571428577</v>
      </c>
    </row>
    <row r="1129" spans="1:10">
      <c r="A1129" s="74" t="s">
        <v>947</v>
      </c>
      <c r="B1129" s="74" t="s">
        <v>264</v>
      </c>
      <c r="C1129" s="74" t="s">
        <v>1610</v>
      </c>
      <c r="D1129" s="74" t="s">
        <v>89</v>
      </c>
      <c r="E1129" s="74">
        <v>2</v>
      </c>
      <c r="F1129" s="74">
        <v>4</v>
      </c>
      <c r="G1129" s="758">
        <f t="shared" si="68"/>
        <v>0.02</v>
      </c>
      <c r="H1129" s="759">
        <f t="shared" si="69"/>
        <v>0.22</v>
      </c>
      <c r="I1129" s="758">
        <f t="shared" si="70"/>
        <v>1.98</v>
      </c>
      <c r="J1129" s="760">
        <f t="shared" si="71"/>
        <v>0.99</v>
      </c>
    </row>
    <row r="1130" spans="1:10">
      <c r="A1130" s="74" t="s">
        <v>947</v>
      </c>
      <c r="B1130" s="74" t="s">
        <v>264</v>
      </c>
      <c r="C1130" s="74" t="s">
        <v>1547</v>
      </c>
      <c r="D1130" s="74" t="s">
        <v>89</v>
      </c>
      <c r="E1130" s="74">
        <v>2</v>
      </c>
      <c r="F1130" s="74">
        <v>4</v>
      </c>
      <c r="G1130" s="758">
        <f t="shared" si="68"/>
        <v>0.02</v>
      </c>
      <c r="H1130" s="759">
        <f t="shared" si="69"/>
        <v>0.22</v>
      </c>
      <c r="I1130" s="758">
        <f t="shared" si="70"/>
        <v>1.98</v>
      </c>
      <c r="J1130" s="760">
        <f t="shared" si="71"/>
        <v>0.99</v>
      </c>
    </row>
    <row r="1131" spans="1:10">
      <c r="A1131" s="74" t="s">
        <v>947</v>
      </c>
      <c r="B1131" s="74" t="s">
        <v>264</v>
      </c>
      <c r="C1131" s="74" t="s">
        <v>1614</v>
      </c>
      <c r="D1131" s="74" t="s">
        <v>92</v>
      </c>
      <c r="E1131" s="74">
        <v>8</v>
      </c>
      <c r="F1131" s="74">
        <v>16</v>
      </c>
      <c r="G1131" s="758">
        <f t="shared" si="68"/>
        <v>0.02</v>
      </c>
      <c r="H1131" s="759">
        <f t="shared" si="69"/>
        <v>0.22</v>
      </c>
      <c r="I1131" s="758">
        <f t="shared" si="70"/>
        <v>1.98</v>
      </c>
      <c r="J1131" s="760">
        <f t="shared" si="71"/>
        <v>0.99</v>
      </c>
    </row>
    <row r="1132" spans="1:10">
      <c r="A1132" s="74" t="s">
        <v>947</v>
      </c>
      <c r="B1132" s="74" t="s">
        <v>264</v>
      </c>
      <c r="C1132" s="74" t="s">
        <v>1631</v>
      </c>
      <c r="D1132" s="74" t="s">
        <v>92</v>
      </c>
      <c r="E1132" s="74">
        <v>3</v>
      </c>
      <c r="F1132" s="74">
        <v>6</v>
      </c>
      <c r="G1132" s="758">
        <f t="shared" si="68"/>
        <v>0.02</v>
      </c>
      <c r="H1132" s="759">
        <f t="shared" si="69"/>
        <v>0.22</v>
      </c>
      <c r="I1132" s="758">
        <f t="shared" si="70"/>
        <v>1.98</v>
      </c>
      <c r="J1132" s="760">
        <f t="shared" si="71"/>
        <v>0.99</v>
      </c>
    </row>
    <row r="1133" spans="1:10">
      <c r="A1133" s="74" t="s">
        <v>947</v>
      </c>
      <c r="B1133" s="74" t="s">
        <v>264</v>
      </c>
      <c r="C1133" s="74" t="s">
        <v>1617</v>
      </c>
      <c r="D1133" s="74" t="s">
        <v>94</v>
      </c>
      <c r="E1133" s="74">
        <v>1</v>
      </c>
      <c r="F1133" s="74">
        <v>2</v>
      </c>
      <c r="G1133" s="758">
        <f t="shared" si="68"/>
        <v>0.02</v>
      </c>
      <c r="H1133" s="759">
        <f t="shared" si="69"/>
        <v>0.22</v>
      </c>
      <c r="I1133" s="758">
        <f t="shared" si="70"/>
        <v>1.98</v>
      </c>
      <c r="J1133" s="760">
        <f t="shared" si="71"/>
        <v>0.99</v>
      </c>
    </row>
    <row r="1134" spans="1:10">
      <c r="A1134" s="74" t="s">
        <v>947</v>
      </c>
      <c r="B1134" s="74" t="s">
        <v>264</v>
      </c>
      <c r="C1134" s="74" t="s">
        <v>1526</v>
      </c>
      <c r="D1134" s="74" t="s">
        <v>95</v>
      </c>
      <c r="E1134" s="74">
        <v>1</v>
      </c>
      <c r="F1134" s="74">
        <v>2</v>
      </c>
      <c r="G1134" s="758">
        <f t="shared" si="68"/>
        <v>0.02</v>
      </c>
      <c r="H1134" s="759">
        <f t="shared" si="69"/>
        <v>0.22</v>
      </c>
      <c r="I1134" s="758">
        <f t="shared" si="70"/>
        <v>1.98</v>
      </c>
      <c r="J1134" s="760">
        <f t="shared" si="71"/>
        <v>0.99</v>
      </c>
    </row>
    <row r="1135" spans="1:10">
      <c r="A1135" s="74" t="s">
        <v>1626</v>
      </c>
      <c r="B1135" s="74" t="s">
        <v>725</v>
      </c>
      <c r="C1135" s="74" t="s">
        <v>1527</v>
      </c>
      <c r="D1135" s="74" t="s">
        <v>82</v>
      </c>
      <c r="E1135" s="74">
        <v>2</v>
      </c>
      <c r="F1135" s="74">
        <v>6.6</v>
      </c>
      <c r="G1135" s="758">
        <f t="shared" si="68"/>
        <v>0.68</v>
      </c>
      <c r="H1135" s="759">
        <f t="shared" si="69"/>
        <v>0.23</v>
      </c>
      <c r="I1135" s="758">
        <f t="shared" si="70"/>
        <v>2.6199999999999997</v>
      </c>
      <c r="J1135" s="760">
        <f t="shared" si="71"/>
        <v>0.79393939393939394</v>
      </c>
    </row>
    <row r="1136" spans="1:10">
      <c r="A1136" s="74" t="s">
        <v>1627</v>
      </c>
      <c r="B1136" s="74" t="s">
        <v>725</v>
      </c>
      <c r="C1136" s="74" t="s">
        <v>1565</v>
      </c>
      <c r="D1136" s="74" t="s">
        <v>78</v>
      </c>
      <c r="E1136" s="74">
        <v>1</v>
      </c>
      <c r="F1136" s="74">
        <v>2.25</v>
      </c>
      <c r="G1136" s="758">
        <f t="shared" si="68"/>
        <v>0.31</v>
      </c>
      <c r="H1136" s="759">
        <f t="shared" si="69"/>
        <v>0.15</v>
      </c>
      <c r="I1136" s="758">
        <f t="shared" si="70"/>
        <v>1.94</v>
      </c>
      <c r="J1136" s="760">
        <f t="shared" si="71"/>
        <v>0.86222222222222222</v>
      </c>
    </row>
    <row r="1137" spans="1:10">
      <c r="A1137" s="74" t="s">
        <v>1628</v>
      </c>
      <c r="B1137" s="74" t="s">
        <v>725</v>
      </c>
      <c r="C1137" s="74" t="s">
        <v>1511</v>
      </c>
      <c r="D1137" s="74" t="s">
        <v>80</v>
      </c>
      <c r="E1137" s="74">
        <v>1</v>
      </c>
      <c r="F1137" s="74">
        <v>3</v>
      </c>
      <c r="G1137" s="758">
        <f t="shared" si="68"/>
        <v>0.68</v>
      </c>
      <c r="H1137" s="759">
        <f t="shared" si="69"/>
        <v>0.25</v>
      </c>
      <c r="I1137" s="758">
        <f t="shared" si="70"/>
        <v>2.3199999999999998</v>
      </c>
      <c r="J1137" s="760">
        <f t="shared" si="71"/>
        <v>0.77333333333333332</v>
      </c>
    </row>
    <row r="1138" spans="1:10">
      <c r="A1138" s="74" t="s">
        <v>1629</v>
      </c>
      <c r="B1138" s="74" t="s">
        <v>725</v>
      </c>
      <c r="C1138" s="74" t="s">
        <v>1509</v>
      </c>
      <c r="D1138" s="74" t="s">
        <v>78</v>
      </c>
      <c r="E1138" s="74">
        <v>1</v>
      </c>
      <c r="F1138" s="74">
        <v>4.25</v>
      </c>
      <c r="G1138" s="758">
        <f t="shared" si="68"/>
        <v>0.19</v>
      </c>
      <c r="H1138" s="759">
        <f t="shared" si="69"/>
        <v>0.18</v>
      </c>
      <c r="I1138" s="758">
        <f t="shared" si="70"/>
        <v>4.0599999999999996</v>
      </c>
      <c r="J1138" s="760">
        <f t="shared" si="71"/>
        <v>0.95529411764705885</v>
      </c>
    </row>
    <row r="1139" spans="1:10">
      <c r="A1139" s="74" t="s">
        <v>1629</v>
      </c>
      <c r="B1139" s="74" t="s">
        <v>725</v>
      </c>
      <c r="C1139" s="74" t="s">
        <v>1511</v>
      </c>
      <c r="D1139" s="74" t="s">
        <v>80</v>
      </c>
      <c r="E1139" s="74">
        <v>2</v>
      </c>
      <c r="F1139" s="74">
        <v>8.1999999999999993</v>
      </c>
      <c r="G1139" s="758">
        <f t="shared" si="68"/>
        <v>0.19</v>
      </c>
      <c r="H1139" s="759">
        <f t="shared" si="69"/>
        <v>0.18</v>
      </c>
      <c r="I1139" s="758">
        <f t="shared" si="70"/>
        <v>3.9099999999999997</v>
      </c>
      <c r="J1139" s="760">
        <f t="shared" si="71"/>
        <v>0.95365853658536581</v>
      </c>
    </row>
    <row r="1140" spans="1:10">
      <c r="A1140" s="74" t="s">
        <v>1629</v>
      </c>
      <c r="B1140" s="74" t="s">
        <v>725</v>
      </c>
      <c r="C1140" s="74" t="s">
        <v>1516</v>
      </c>
      <c r="D1140" s="74" t="s">
        <v>82</v>
      </c>
      <c r="E1140" s="74">
        <v>2</v>
      </c>
      <c r="F1140" s="74">
        <v>12.3</v>
      </c>
      <c r="G1140" s="758">
        <f t="shared" si="68"/>
        <v>0.19</v>
      </c>
      <c r="H1140" s="759">
        <f t="shared" si="69"/>
        <v>0.18</v>
      </c>
      <c r="I1140" s="758">
        <f t="shared" si="70"/>
        <v>5.96</v>
      </c>
      <c r="J1140" s="760">
        <f t="shared" si="71"/>
        <v>0.96910569105691058</v>
      </c>
    </row>
    <row r="1141" spans="1:10">
      <c r="A1141" s="74" t="s">
        <v>1630</v>
      </c>
      <c r="B1141" s="74" t="s">
        <v>725</v>
      </c>
      <c r="C1141" s="74" t="s">
        <v>1543</v>
      </c>
      <c r="D1141" s="74" t="s">
        <v>87</v>
      </c>
      <c r="E1141" s="74">
        <v>1</v>
      </c>
      <c r="F1141" s="74">
        <v>3</v>
      </c>
      <c r="G1141" s="758">
        <f t="shared" si="68"/>
        <v>0</v>
      </c>
      <c r="H1141" s="759">
        <f t="shared" si="69"/>
        <v>0</v>
      </c>
      <c r="I1141" s="758">
        <f t="shared" si="70"/>
        <v>3</v>
      </c>
      <c r="J1141" s="760">
        <f t="shared" si="71"/>
        <v>1</v>
      </c>
    </row>
    <row r="1142" spans="1:10">
      <c r="A1142" s="74" t="s">
        <v>1632</v>
      </c>
      <c r="B1142" s="74" t="s">
        <v>725</v>
      </c>
      <c r="C1142" s="74" t="s">
        <v>1552</v>
      </c>
      <c r="D1142" s="74" t="s">
        <v>92</v>
      </c>
      <c r="E1142" s="74">
        <v>1</v>
      </c>
      <c r="F1142" s="74">
        <v>6</v>
      </c>
      <c r="G1142" s="758">
        <f t="shared" si="68"/>
        <v>0</v>
      </c>
      <c r="H1142" s="759">
        <f t="shared" si="69"/>
        <v>0</v>
      </c>
      <c r="I1142" s="758">
        <f t="shared" si="70"/>
        <v>6</v>
      </c>
      <c r="J1142" s="760">
        <f t="shared" si="71"/>
        <v>1</v>
      </c>
    </row>
    <row r="1143" spans="1:10">
      <c r="A1143" s="74" t="s">
        <v>1172</v>
      </c>
      <c r="B1143" s="74" t="s">
        <v>725</v>
      </c>
      <c r="C1143" s="74" t="s">
        <v>1553</v>
      </c>
      <c r="D1143" s="74" t="s">
        <v>94</v>
      </c>
      <c r="E1143" s="74">
        <v>2</v>
      </c>
      <c r="F1143" s="74">
        <v>4.4000000000000004</v>
      </c>
      <c r="G1143" s="758">
        <f t="shared" si="68"/>
        <v>0</v>
      </c>
      <c r="H1143" s="759">
        <f t="shared" si="69"/>
        <v>0</v>
      </c>
      <c r="I1143" s="758">
        <f t="shared" si="70"/>
        <v>2.2000000000000002</v>
      </c>
      <c r="J1143" s="760">
        <f t="shared" si="71"/>
        <v>1</v>
      </c>
    </row>
    <row r="1144" spans="1:10">
      <c r="A1144" s="74" t="s">
        <v>1633</v>
      </c>
      <c r="B1144" s="74" t="s">
        <v>277</v>
      </c>
      <c r="C1144" s="74" t="s">
        <v>1528</v>
      </c>
      <c r="D1144" s="74" t="s">
        <v>78</v>
      </c>
      <c r="E1144" s="74">
        <v>5</v>
      </c>
      <c r="F1144" s="74">
        <v>64.5</v>
      </c>
      <c r="G1144" s="758">
        <f t="shared" si="68"/>
        <v>2.88</v>
      </c>
      <c r="H1144" s="759">
        <f t="shared" si="69"/>
        <v>0.25</v>
      </c>
      <c r="I1144" s="758">
        <f t="shared" si="70"/>
        <v>10.02</v>
      </c>
      <c r="J1144" s="760">
        <f t="shared" si="71"/>
        <v>0.77674418604651163</v>
      </c>
    </row>
    <row r="1145" spans="1:10">
      <c r="A1145" s="74" t="s">
        <v>1633</v>
      </c>
      <c r="B1145" s="74" t="s">
        <v>277</v>
      </c>
      <c r="C1145" s="74" t="s">
        <v>1509</v>
      </c>
      <c r="D1145" s="74" t="s">
        <v>78</v>
      </c>
      <c r="E1145" s="74">
        <v>2</v>
      </c>
      <c r="F1145" s="74">
        <v>25.8</v>
      </c>
      <c r="G1145" s="758">
        <f t="shared" si="68"/>
        <v>2.88</v>
      </c>
      <c r="H1145" s="759">
        <f t="shared" si="69"/>
        <v>0.25</v>
      </c>
      <c r="I1145" s="758">
        <f t="shared" si="70"/>
        <v>10.02</v>
      </c>
      <c r="J1145" s="760">
        <f t="shared" si="71"/>
        <v>0.77674418604651163</v>
      </c>
    </row>
    <row r="1146" spans="1:10">
      <c r="A1146" s="74" t="s">
        <v>1633</v>
      </c>
      <c r="B1146" s="74" t="s">
        <v>277</v>
      </c>
      <c r="C1146" s="74" t="s">
        <v>1565</v>
      </c>
      <c r="D1146" s="74" t="s">
        <v>78</v>
      </c>
      <c r="E1146" s="74">
        <v>3</v>
      </c>
      <c r="F1146" s="74">
        <v>38.700000000000003</v>
      </c>
      <c r="G1146" s="758">
        <f t="shared" si="68"/>
        <v>2.88</v>
      </c>
      <c r="H1146" s="759">
        <f t="shared" si="69"/>
        <v>0.25</v>
      </c>
      <c r="I1146" s="758">
        <f t="shared" si="70"/>
        <v>10.02</v>
      </c>
      <c r="J1146" s="760">
        <f t="shared" si="71"/>
        <v>0.77674418604651163</v>
      </c>
    </row>
    <row r="1147" spans="1:10">
      <c r="A1147" s="74" t="s">
        <v>1633</v>
      </c>
      <c r="B1147" s="74" t="s">
        <v>277</v>
      </c>
      <c r="C1147" s="74" t="s">
        <v>1530</v>
      </c>
      <c r="D1147" s="74" t="s">
        <v>80</v>
      </c>
      <c r="E1147" s="74">
        <v>1</v>
      </c>
      <c r="F1147" s="74">
        <v>12.9</v>
      </c>
      <c r="G1147" s="758">
        <f t="shared" si="68"/>
        <v>2.88</v>
      </c>
      <c r="H1147" s="759">
        <f t="shared" si="69"/>
        <v>0.25</v>
      </c>
      <c r="I1147" s="758">
        <f t="shared" si="70"/>
        <v>10.02</v>
      </c>
      <c r="J1147" s="760">
        <f t="shared" si="71"/>
        <v>0.77674418604651163</v>
      </c>
    </row>
    <row r="1148" spans="1:10">
      <c r="A1148" s="74" t="s">
        <v>1633</v>
      </c>
      <c r="B1148" s="74" t="s">
        <v>277</v>
      </c>
      <c r="C1148" s="74" t="s">
        <v>1532</v>
      </c>
      <c r="D1148" s="74" t="s">
        <v>80</v>
      </c>
      <c r="E1148" s="74">
        <v>3</v>
      </c>
      <c r="F1148" s="74">
        <v>38.700000000000003</v>
      </c>
      <c r="G1148" s="758">
        <f t="shared" si="68"/>
        <v>2.88</v>
      </c>
      <c r="H1148" s="759">
        <f t="shared" si="69"/>
        <v>0.25</v>
      </c>
      <c r="I1148" s="758">
        <f t="shared" si="70"/>
        <v>10.02</v>
      </c>
      <c r="J1148" s="760">
        <f t="shared" si="71"/>
        <v>0.77674418604651163</v>
      </c>
    </row>
    <row r="1149" spans="1:10">
      <c r="A1149" s="74" t="s">
        <v>1633</v>
      </c>
      <c r="B1149" s="74" t="s">
        <v>277</v>
      </c>
      <c r="C1149" s="74" t="s">
        <v>1511</v>
      </c>
      <c r="D1149" s="74" t="s">
        <v>80</v>
      </c>
      <c r="E1149" s="74">
        <v>5</v>
      </c>
      <c r="F1149" s="74">
        <v>64.75</v>
      </c>
      <c r="G1149" s="758">
        <f t="shared" si="68"/>
        <v>2.88</v>
      </c>
      <c r="H1149" s="759">
        <f t="shared" si="69"/>
        <v>0.25</v>
      </c>
      <c r="I1149" s="758">
        <f t="shared" si="70"/>
        <v>10.07</v>
      </c>
      <c r="J1149" s="760">
        <f t="shared" si="71"/>
        <v>0.77760617760617756</v>
      </c>
    </row>
    <row r="1150" spans="1:10">
      <c r="A1150" s="74" t="s">
        <v>1633</v>
      </c>
      <c r="B1150" s="74" t="s">
        <v>277</v>
      </c>
      <c r="C1150" s="74" t="s">
        <v>1512</v>
      </c>
      <c r="D1150" s="74" t="s">
        <v>80</v>
      </c>
      <c r="E1150" s="74">
        <v>2</v>
      </c>
      <c r="F1150" s="74">
        <v>25.8</v>
      </c>
      <c r="G1150" s="758">
        <f t="shared" si="68"/>
        <v>2.88</v>
      </c>
      <c r="H1150" s="759">
        <f t="shared" si="69"/>
        <v>0.25</v>
      </c>
      <c r="I1150" s="758">
        <f t="shared" si="70"/>
        <v>10.02</v>
      </c>
      <c r="J1150" s="760">
        <f t="shared" si="71"/>
        <v>0.77674418604651163</v>
      </c>
    </row>
    <row r="1151" spans="1:10">
      <c r="A1151" s="74" t="s">
        <v>1633</v>
      </c>
      <c r="B1151" s="74" t="s">
        <v>277</v>
      </c>
      <c r="C1151" s="74" t="s">
        <v>1534</v>
      </c>
      <c r="D1151" s="74" t="s">
        <v>81</v>
      </c>
      <c r="E1151" s="74">
        <v>2</v>
      </c>
      <c r="F1151" s="74">
        <v>25.8</v>
      </c>
      <c r="G1151" s="758">
        <f t="shared" si="68"/>
        <v>2.88</v>
      </c>
      <c r="H1151" s="759">
        <f t="shared" si="69"/>
        <v>0.25</v>
      </c>
      <c r="I1151" s="758">
        <f t="shared" si="70"/>
        <v>10.02</v>
      </c>
      <c r="J1151" s="760">
        <f t="shared" si="71"/>
        <v>0.77674418604651163</v>
      </c>
    </row>
    <row r="1152" spans="1:10">
      <c r="A1152" s="74" t="s">
        <v>1633</v>
      </c>
      <c r="B1152" s="74" t="s">
        <v>277</v>
      </c>
      <c r="C1152" s="74" t="s">
        <v>1513</v>
      </c>
      <c r="D1152" s="74" t="s">
        <v>81</v>
      </c>
      <c r="E1152" s="74">
        <v>3</v>
      </c>
      <c r="F1152" s="74">
        <v>39.15</v>
      </c>
      <c r="G1152" s="758">
        <f t="shared" si="68"/>
        <v>2.88</v>
      </c>
      <c r="H1152" s="759">
        <f t="shared" si="69"/>
        <v>0.25</v>
      </c>
      <c r="I1152" s="758">
        <f t="shared" si="70"/>
        <v>10.169999999999998</v>
      </c>
      <c r="J1152" s="760">
        <f t="shared" si="71"/>
        <v>0.77931034482758621</v>
      </c>
    </row>
    <row r="1153" spans="1:10">
      <c r="A1153" s="74" t="s">
        <v>1633</v>
      </c>
      <c r="B1153" s="74" t="s">
        <v>277</v>
      </c>
      <c r="C1153" s="74" t="s">
        <v>1514</v>
      </c>
      <c r="D1153" s="74" t="s">
        <v>81</v>
      </c>
      <c r="E1153" s="74">
        <v>9</v>
      </c>
      <c r="F1153" s="74">
        <v>116.4</v>
      </c>
      <c r="G1153" s="758">
        <f t="shared" si="68"/>
        <v>2.88</v>
      </c>
      <c r="H1153" s="759">
        <f t="shared" si="69"/>
        <v>0.25</v>
      </c>
      <c r="I1153" s="758">
        <f t="shared" si="70"/>
        <v>10.053333333333335</v>
      </c>
      <c r="J1153" s="760">
        <f t="shared" si="71"/>
        <v>0.77731958762886599</v>
      </c>
    </row>
    <row r="1154" spans="1:10">
      <c r="A1154" s="74" t="s">
        <v>1633</v>
      </c>
      <c r="B1154" s="74" t="s">
        <v>277</v>
      </c>
      <c r="C1154" s="74" t="s">
        <v>1515</v>
      </c>
      <c r="D1154" s="74" t="s">
        <v>81</v>
      </c>
      <c r="E1154" s="74">
        <v>4</v>
      </c>
      <c r="F1154" s="74">
        <v>51.6</v>
      </c>
      <c r="G1154" s="758">
        <f t="shared" ref="G1154:G1217" si="72">IFERROR(VLOOKUP(A1154,$M$1:$P$1014,2,FALSE),0)</f>
        <v>2.88</v>
      </c>
      <c r="H1154" s="759">
        <f t="shared" ref="H1154:H1217" si="73">IFERROR(VLOOKUP(A1154,$M$1:$P$1014,3,FALSE),0)</f>
        <v>0.25</v>
      </c>
      <c r="I1154" s="758">
        <f t="shared" ref="I1154:I1217" si="74">IFERROR(F1154/E1154-G1154,0)</f>
        <v>10.02</v>
      </c>
      <c r="J1154" s="760">
        <f t="shared" ref="J1154:J1217" si="75">IFERROR(1-G1154*E1154/F1154,0)</f>
        <v>0.77674418604651163</v>
      </c>
    </row>
    <row r="1155" spans="1:10">
      <c r="A1155" s="74" t="s">
        <v>1633</v>
      </c>
      <c r="B1155" s="74" t="s">
        <v>277</v>
      </c>
      <c r="C1155" s="74" t="s">
        <v>1516</v>
      </c>
      <c r="D1155" s="74" t="s">
        <v>82</v>
      </c>
      <c r="E1155" s="74">
        <v>2</v>
      </c>
      <c r="F1155" s="74">
        <v>26.8</v>
      </c>
      <c r="G1155" s="758">
        <f t="shared" si="72"/>
        <v>2.88</v>
      </c>
      <c r="H1155" s="759">
        <f t="shared" si="73"/>
        <v>0.25</v>
      </c>
      <c r="I1155" s="758">
        <f t="shared" si="74"/>
        <v>10.52</v>
      </c>
      <c r="J1155" s="760">
        <f t="shared" si="75"/>
        <v>0.78507462686567164</v>
      </c>
    </row>
    <row r="1156" spans="1:10">
      <c r="A1156" s="74" t="s">
        <v>1633</v>
      </c>
      <c r="B1156" s="74" t="s">
        <v>277</v>
      </c>
      <c r="C1156" s="74" t="s">
        <v>1517</v>
      </c>
      <c r="D1156" s="74" t="s">
        <v>82</v>
      </c>
      <c r="E1156" s="74">
        <v>6</v>
      </c>
      <c r="F1156" s="74">
        <v>77.55</v>
      </c>
      <c r="G1156" s="758">
        <f t="shared" si="72"/>
        <v>2.88</v>
      </c>
      <c r="H1156" s="759">
        <f t="shared" si="73"/>
        <v>0.25</v>
      </c>
      <c r="I1156" s="758">
        <f t="shared" si="74"/>
        <v>10.044999999999998</v>
      </c>
      <c r="J1156" s="760">
        <f t="shared" si="75"/>
        <v>0.77717601547388782</v>
      </c>
    </row>
    <row r="1157" spans="1:10">
      <c r="A1157" s="74" t="s">
        <v>1633</v>
      </c>
      <c r="B1157" s="74" t="s">
        <v>277</v>
      </c>
      <c r="C1157" s="74" t="s">
        <v>1527</v>
      </c>
      <c r="D1157" s="74" t="s">
        <v>82</v>
      </c>
      <c r="E1157" s="74">
        <v>6</v>
      </c>
      <c r="F1157" s="74">
        <v>77.7</v>
      </c>
      <c r="G1157" s="758">
        <f t="shared" si="72"/>
        <v>2.88</v>
      </c>
      <c r="H1157" s="759">
        <f t="shared" si="73"/>
        <v>0.25</v>
      </c>
      <c r="I1157" s="758">
        <f t="shared" si="74"/>
        <v>10.07</v>
      </c>
      <c r="J1157" s="760">
        <f t="shared" si="75"/>
        <v>0.77760617760617756</v>
      </c>
    </row>
    <row r="1158" spans="1:10">
      <c r="A1158" s="74" t="s">
        <v>1633</v>
      </c>
      <c r="B1158" s="74" t="s">
        <v>277</v>
      </c>
      <c r="C1158" s="74" t="s">
        <v>1518</v>
      </c>
      <c r="D1158" s="74" t="s">
        <v>82</v>
      </c>
      <c r="E1158" s="74">
        <v>1</v>
      </c>
      <c r="F1158" s="74">
        <v>12.9</v>
      </c>
      <c r="G1158" s="758">
        <f t="shared" si="72"/>
        <v>2.88</v>
      </c>
      <c r="H1158" s="759">
        <f t="shared" si="73"/>
        <v>0.25</v>
      </c>
      <c r="I1158" s="758">
        <f t="shared" si="74"/>
        <v>10.02</v>
      </c>
      <c r="J1158" s="760">
        <f t="shared" si="75"/>
        <v>0.77674418604651163</v>
      </c>
    </row>
    <row r="1159" spans="1:10">
      <c r="A1159" s="74" t="s">
        <v>1633</v>
      </c>
      <c r="B1159" s="74" t="s">
        <v>277</v>
      </c>
      <c r="C1159" s="74" t="s">
        <v>1543</v>
      </c>
      <c r="D1159" s="74" t="s">
        <v>87</v>
      </c>
      <c r="E1159" s="74">
        <v>1</v>
      </c>
      <c r="F1159" s="74">
        <v>13.05</v>
      </c>
      <c r="G1159" s="758">
        <f t="shared" si="72"/>
        <v>2.88</v>
      </c>
      <c r="H1159" s="759">
        <f t="shared" si="73"/>
        <v>0.25</v>
      </c>
      <c r="I1159" s="758">
        <f t="shared" si="74"/>
        <v>10.170000000000002</v>
      </c>
      <c r="J1159" s="760">
        <f t="shared" si="75"/>
        <v>0.77931034482758621</v>
      </c>
    </row>
    <row r="1160" spans="1:10">
      <c r="A1160" s="74" t="s">
        <v>1633</v>
      </c>
      <c r="B1160" s="74" t="s">
        <v>277</v>
      </c>
      <c r="C1160" s="74" t="s">
        <v>1553</v>
      </c>
      <c r="D1160" s="74" t="s">
        <v>94</v>
      </c>
      <c r="E1160" s="74">
        <v>1</v>
      </c>
      <c r="F1160" s="74">
        <v>13.05</v>
      </c>
      <c r="G1160" s="758">
        <f t="shared" si="72"/>
        <v>2.88</v>
      </c>
      <c r="H1160" s="759">
        <f t="shared" si="73"/>
        <v>0.25</v>
      </c>
      <c r="I1160" s="758">
        <f t="shared" si="74"/>
        <v>10.170000000000002</v>
      </c>
      <c r="J1160" s="760">
        <f t="shared" si="75"/>
        <v>0.77931034482758621</v>
      </c>
    </row>
    <row r="1161" spans="1:10">
      <c r="A1161" s="74" t="s">
        <v>733</v>
      </c>
      <c r="B1161" s="74" t="s">
        <v>253</v>
      </c>
      <c r="C1161" s="74" t="s">
        <v>1528</v>
      </c>
      <c r="D1161" s="74" t="s">
        <v>78</v>
      </c>
      <c r="E1161" s="74">
        <v>1</v>
      </c>
      <c r="F1161" s="74">
        <v>4.41</v>
      </c>
      <c r="G1161" s="758">
        <f t="shared" si="72"/>
        <v>2.21</v>
      </c>
      <c r="H1161" s="759">
        <f t="shared" si="73"/>
        <v>0.5</v>
      </c>
      <c r="I1161" s="758">
        <f t="shared" si="74"/>
        <v>2.2000000000000002</v>
      </c>
      <c r="J1161" s="760">
        <f t="shared" si="75"/>
        <v>0.49886621315192747</v>
      </c>
    </row>
    <row r="1162" spans="1:10">
      <c r="A1162" s="74" t="s">
        <v>733</v>
      </c>
      <c r="B1162" s="74" t="s">
        <v>253</v>
      </c>
      <c r="C1162" s="74" t="s">
        <v>1530</v>
      </c>
      <c r="D1162" s="74" t="s">
        <v>80</v>
      </c>
      <c r="E1162" s="74">
        <v>3</v>
      </c>
      <c r="F1162" s="74">
        <v>13.23</v>
      </c>
      <c r="G1162" s="758">
        <f t="shared" si="72"/>
        <v>2.21</v>
      </c>
      <c r="H1162" s="759">
        <f t="shared" si="73"/>
        <v>0.5</v>
      </c>
      <c r="I1162" s="758">
        <f t="shared" si="74"/>
        <v>2.2000000000000002</v>
      </c>
      <c r="J1162" s="760">
        <f t="shared" si="75"/>
        <v>0.49886621315192747</v>
      </c>
    </row>
    <row r="1163" spans="1:10">
      <c r="A1163" s="74" t="s">
        <v>733</v>
      </c>
      <c r="B1163" s="74" t="s">
        <v>253</v>
      </c>
      <c r="C1163" s="74" t="s">
        <v>1532</v>
      </c>
      <c r="D1163" s="74" t="s">
        <v>80</v>
      </c>
      <c r="E1163" s="74">
        <v>3</v>
      </c>
      <c r="F1163" s="74">
        <v>13.23</v>
      </c>
      <c r="G1163" s="758">
        <f t="shared" si="72"/>
        <v>2.21</v>
      </c>
      <c r="H1163" s="759">
        <f t="shared" si="73"/>
        <v>0.5</v>
      </c>
      <c r="I1163" s="758">
        <f t="shared" si="74"/>
        <v>2.2000000000000002</v>
      </c>
      <c r="J1163" s="760">
        <f t="shared" si="75"/>
        <v>0.49886621315192747</v>
      </c>
    </row>
    <row r="1164" spans="1:10">
      <c r="A1164" s="74" t="s">
        <v>733</v>
      </c>
      <c r="B1164" s="74" t="s">
        <v>253</v>
      </c>
      <c r="C1164" s="74" t="s">
        <v>1514</v>
      </c>
      <c r="D1164" s="74" t="s">
        <v>81</v>
      </c>
      <c r="E1164" s="74">
        <v>1</v>
      </c>
      <c r="F1164" s="74">
        <v>4.41</v>
      </c>
      <c r="G1164" s="758">
        <f t="shared" si="72"/>
        <v>2.21</v>
      </c>
      <c r="H1164" s="759">
        <f t="shared" si="73"/>
        <v>0.5</v>
      </c>
      <c r="I1164" s="758">
        <f t="shared" si="74"/>
        <v>2.2000000000000002</v>
      </c>
      <c r="J1164" s="760">
        <f t="shared" si="75"/>
        <v>0.49886621315192747</v>
      </c>
    </row>
    <row r="1165" spans="1:10">
      <c r="A1165" s="74" t="s">
        <v>733</v>
      </c>
      <c r="B1165" s="74" t="s">
        <v>253</v>
      </c>
      <c r="C1165" s="74" t="s">
        <v>1527</v>
      </c>
      <c r="D1165" s="74" t="s">
        <v>82</v>
      </c>
      <c r="E1165" s="74">
        <v>1</v>
      </c>
      <c r="F1165" s="74">
        <v>4.8499999999999996</v>
      </c>
      <c r="G1165" s="758">
        <f t="shared" si="72"/>
        <v>2.21</v>
      </c>
      <c r="H1165" s="759">
        <f t="shared" si="73"/>
        <v>0.5</v>
      </c>
      <c r="I1165" s="758">
        <f t="shared" si="74"/>
        <v>2.6399999999999997</v>
      </c>
      <c r="J1165" s="760">
        <f t="shared" si="75"/>
        <v>0.54432989690721645</v>
      </c>
    </row>
    <row r="1166" spans="1:10">
      <c r="A1166" s="74" t="s">
        <v>1634</v>
      </c>
      <c r="B1166" s="74" t="s">
        <v>253</v>
      </c>
      <c r="C1166" s="74" t="s">
        <v>1608</v>
      </c>
      <c r="D1166" s="74" t="s">
        <v>89</v>
      </c>
      <c r="E1166" s="74">
        <v>2</v>
      </c>
      <c r="F1166" s="74">
        <v>7.76</v>
      </c>
      <c r="G1166" s="758">
        <f t="shared" si="72"/>
        <v>0</v>
      </c>
      <c r="H1166" s="759">
        <f t="shared" si="73"/>
        <v>0</v>
      </c>
      <c r="I1166" s="758">
        <f t="shared" si="74"/>
        <v>3.88</v>
      </c>
      <c r="J1166" s="760">
        <f t="shared" si="75"/>
        <v>1</v>
      </c>
    </row>
    <row r="1167" spans="1:10">
      <c r="A1167" s="74" t="s">
        <v>766</v>
      </c>
      <c r="B1167" s="74" t="s">
        <v>253</v>
      </c>
      <c r="C1167" s="74" t="s">
        <v>1509</v>
      </c>
      <c r="D1167" s="74" t="s">
        <v>78</v>
      </c>
      <c r="E1167" s="74">
        <v>1</v>
      </c>
      <c r="F1167" s="74">
        <v>0.91</v>
      </c>
      <c r="G1167" s="758">
        <f t="shared" si="72"/>
        <v>0</v>
      </c>
      <c r="H1167" s="759">
        <f t="shared" si="73"/>
        <v>0</v>
      </c>
      <c r="I1167" s="758">
        <f t="shared" si="74"/>
        <v>0.91</v>
      </c>
      <c r="J1167" s="760">
        <f t="shared" si="75"/>
        <v>1</v>
      </c>
    </row>
    <row r="1168" spans="1:10">
      <c r="A1168" s="74" t="s">
        <v>766</v>
      </c>
      <c r="B1168" s="74" t="s">
        <v>253</v>
      </c>
      <c r="C1168" s="74" t="s">
        <v>1530</v>
      </c>
      <c r="D1168" s="74" t="s">
        <v>80</v>
      </c>
      <c r="E1168" s="74">
        <v>3</v>
      </c>
      <c r="F1168" s="74">
        <v>2.73</v>
      </c>
      <c r="G1168" s="758">
        <f t="shared" si="72"/>
        <v>0</v>
      </c>
      <c r="H1168" s="759">
        <f t="shared" si="73"/>
        <v>0</v>
      </c>
      <c r="I1168" s="758">
        <f t="shared" si="74"/>
        <v>0.91</v>
      </c>
      <c r="J1168" s="760">
        <f t="shared" si="75"/>
        <v>1</v>
      </c>
    </row>
    <row r="1169" spans="1:10">
      <c r="A1169" s="74" t="s">
        <v>766</v>
      </c>
      <c r="B1169" s="74" t="s">
        <v>253</v>
      </c>
      <c r="C1169" s="74" t="s">
        <v>1532</v>
      </c>
      <c r="D1169" s="74" t="s">
        <v>80</v>
      </c>
      <c r="E1169" s="74">
        <v>3</v>
      </c>
      <c r="F1169" s="74">
        <v>2.73</v>
      </c>
      <c r="G1169" s="758">
        <f t="shared" si="72"/>
        <v>0</v>
      </c>
      <c r="H1169" s="759">
        <f t="shared" si="73"/>
        <v>0</v>
      </c>
      <c r="I1169" s="758">
        <f t="shared" si="74"/>
        <v>0.91</v>
      </c>
      <c r="J1169" s="760">
        <f t="shared" si="75"/>
        <v>1</v>
      </c>
    </row>
    <row r="1170" spans="1:10">
      <c r="A1170" s="74" t="s">
        <v>766</v>
      </c>
      <c r="B1170" s="74" t="s">
        <v>253</v>
      </c>
      <c r="C1170" s="74" t="s">
        <v>1511</v>
      </c>
      <c r="D1170" s="74" t="s">
        <v>80</v>
      </c>
      <c r="E1170" s="74">
        <v>1</v>
      </c>
      <c r="F1170" s="74">
        <v>0.91</v>
      </c>
      <c r="G1170" s="758">
        <f t="shared" si="72"/>
        <v>0</v>
      </c>
      <c r="H1170" s="759">
        <f t="shared" si="73"/>
        <v>0</v>
      </c>
      <c r="I1170" s="758">
        <f t="shared" si="74"/>
        <v>0.91</v>
      </c>
      <c r="J1170" s="760">
        <f t="shared" si="75"/>
        <v>1</v>
      </c>
    </row>
    <row r="1171" spans="1:10">
      <c r="A1171" s="74" t="s">
        <v>766</v>
      </c>
      <c r="B1171" s="74" t="s">
        <v>253</v>
      </c>
      <c r="C1171" s="74" t="s">
        <v>1512</v>
      </c>
      <c r="D1171" s="74" t="s">
        <v>80</v>
      </c>
      <c r="E1171" s="74">
        <v>3</v>
      </c>
      <c r="F1171" s="74">
        <v>2.73</v>
      </c>
      <c r="G1171" s="758">
        <f t="shared" si="72"/>
        <v>0</v>
      </c>
      <c r="H1171" s="759">
        <f t="shared" si="73"/>
        <v>0</v>
      </c>
      <c r="I1171" s="758">
        <f t="shared" si="74"/>
        <v>0.91</v>
      </c>
      <c r="J1171" s="760">
        <f t="shared" si="75"/>
        <v>1</v>
      </c>
    </row>
    <row r="1172" spans="1:10">
      <c r="A1172" s="74" t="s">
        <v>766</v>
      </c>
      <c r="B1172" s="74" t="s">
        <v>253</v>
      </c>
      <c r="C1172" s="74" t="s">
        <v>1513</v>
      </c>
      <c r="D1172" s="74" t="s">
        <v>81</v>
      </c>
      <c r="E1172" s="74">
        <v>8</v>
      </c>
      <c r="F1172" s="74">
        <v>12.73</v>
      </c>
      <c r="G1172" s="758">
        <f t="shared" si="72"/>
        <v>0</v>
      </c>
      <c r="H1172" s="759">
        <f t="shared" si="73"/>
        <v>0</v>
      </c>
      <c r="I1172" s="758">
        <f t="shared" si="74"/>
        <v>1.5912500000000001</v>
      </c>
      <c r="J1172" s="760">
        <f t="shared" si="75"/>
        <v>1</v>
      </c>
    </row>
    <row r="1173" spans="1:10">
      <c r="A1173" s="74" t="s">
        <v>766</v>
      </c>
      <c r="B1173" s="74" t="s">
        <v>253</v>
      </c>
      <c r="C1173" s="74" t="s">
        <v>1514</v>
      </c>
      <c r="D1173" s="74" t="s">
        <v>81</v>
      </c>
      <c r="E1173" s="74">
        <v>2</v>
      </c>
      <c r="F1173" s="74">
        <v>1.82</v>
      </c>
      <c r="G1173" s="758">
        <f t="shared" si="72"/>
        <v>0</v>
      </c>
      <c r="H1173" s="759">
        <f t="shared" si="73"/>
        <v>0</v>
      </c>
      <c r="I1173" s="758">
        <f t="shared" si="74"/>
        <v>0.91</v>
      </c>
      <c r="J1173" s="760">
        <f t="shared" si="75"/>
        <v>1</v>
      </c>
    </row>
    <row r="1174" spans="1:10">
      <c r="A1174" s="74" t="s">
        <v>766</v>
      </c>
      <c r="B1174" s="74" t="s">
        <v>253</v>
      </c>
      <c r="C1174" s="74" t="s">
        <v>1515</v>
      </c>
      <c r="D1174" s="74" t="s">
        <v>81</v>
      </c>
      <c r="E1174" s="74">
        <v>1</v>
      </c>
      <c r="F1174" s="74">
        <v>0.91</v>
      </c>
      <c r="G1174" s="758">
        <f t="shared" si="72"/>
        <v>0</v>
      </c>
      <c r="H1174" s="759">
        <f t="shared" si="73"/>
        <v>0</v>
      </c>
      <c r="I1174" s="758">
        <f t="shared" si="74"/>
        <v>0.91</v>
      </c>
      <c r="J1174" s="760">
        <f t="shared" si="75"/>
        <v>1</v>
      </c>
    </row>
    <row r="1175" spans="1:10">
      <c r="A1175" s="74" t="s">
        <v>799</v>
      </c>
      <c r="B1175" s="74" t="s">
        <v>713</v>
      </c>
      <c r="C1175" s="74" t="s">
        <v>1508</v>
      </c>
      <c r="D1175" s="74" t="s">
        <v>78</v>
      </c>
      <c r="E1175" s="74">
        <v>6</v>
      </c>
      <c r="F1175" s="74">
        <v>21</v>
      </c>
      <c r="G1175" s="758">
        <f t="shared" si="72"/>
        <v>0.24</v>
      </c>
      <c r="H1175" s="759">
        <f t="shared" si="73"/>
        <v>0.17</v>
      </c>
      <c r="I1175" s="758">
        <f t="shared" si="74"/>
        <v>3.26</v>
      </c>
      <c r="J1175" s="760">
        <f t="shared" si="75"/>
        <v>0.93142857142857138</v>
      </c>
    </row>
    <row r="1176" spans="1:10">
      <c r="A1176" s="74" t="s">
        <v>799</v>
      </c>
      <c r="B1176" s="74" t="s">
        <v>713</v>
      </c>
      <c r="C1176" s="74" t="s">
        <v>1509</v>
      </c>
      <c r="D1176" s="74" t="s">
        <v>78</v>
      </c>
      <c r="E1176" s="74">
        <v>1</v>
      </c>
      <c r="F1176" s="74">
        <v>3.5</v>
      </c>
      <c r="G1176" s="758">
        <f t="shared" si="72"/>
        <v>0.24</v>
      </c>
      <c r="H1176" s="759">
        <f t="shared" si="73"/>
        <v>0.17</v>
      </c>
      <c r="I1176" s="758">
        <f t="shared" si="74"/>
        <v>3.26</v>
      </c>
      <c r="J1176" s="760">
        <f t="shared" si="75"/>
        <v>0.93142857142857138</v>
      </c>
    </row>
    <row r="1177" spans="1:10">
      <c r="A1177" s="74" t="s">
        <v>799</v>
      </c>
      <c r="B1177" s="74" t="s">
        <v>713</v>
      </c>
      <c r="C1177" s="74" t="s">
        <v>1565</v>
      </c>
      <c r="D1177" s="74" t="s">
        <v>78</v>
      </c>
      <c r="E1177" s="74">
        <v>3</v>
      </c>
      <c r="F1177" s="74">
        <v>10.5</v>
      </c>
      <c r="G1177" s="758">
        <f t="shared" si="72"/>
        <v>0.24</v>
      </c>
      <c r="H1177" s="759">
        <f t="shared" si="73"/>
        <v>0.17</v>
      </c>
      <c r="I1177" s="758">
        <f t="shared" si="74"/>
        <v>3.26</v>
      </c>
      <c r="J1177" s="760">
        <f t="shared" si="75"/>
        <v>0.93142857142857138</v>
      </c>
    </row>
    <row r="1178" spans="1:10">
      <c r="A1178" s="74" t="s">
        <v>799</v>
      </c>
      <c r="B1178" s="74" t="s">
        <v>713</v>
      </c>
      <c r="C1178" s="74" t="s">
        <v>1532</v>
      </c>
      <c r="D1178" s="74" t="s">
        <v>80</v>
      </c>
      <c r="E1178" s="74">
        <v>2</v>
      </c>
      <c r="F1178" s="74">
        <v>7</v>
      </c>
      <c r="G1178" s="758">
        <f t="shared" si="72"/>
        <v>0.24</v>
      </c>
      <c r="H1178" s="759">
        <f t="shared" si="73"/>
        <v>0.17</v>
      </c>
      <c r="I1178" s="758">
        <f t="shared" si="74"/>
        <v>3.26</v>
      </c>
      <c r="J1178" s="760">
        <f t="shared" si="75"/>
        <v>0.93142857142857138</v>
      </c>
    </row>
    <row r="1179" spans="1:10">
      <c r="A1179" s="74" t="s">
        <v>799</v>
      </c>
      <c r="B1179" s="74" t="s">
        <v>713</v>
      </c>
      <c r="C1179" s="74" t="s">
        <v>1511</v>
      </c>
      <c r="D1179" s="74" t="s">
        <v>80</v>
      </c>
      <c r="E1179" s="74">
        <v>7</v>
      </c>
      <c r="F1179" s="74">
        <v>23.86</v>
      </c>
      <c r="G1179" s="758">
        <f t="shared" si="72"/>
        <v>0.24</v>
      </c>
      <c r="H1179" s="759">
        <f t="shared" si="73"/>
        <v>0.17</v>
      </c>
      <c r="I1179" s="758">
        <f t="shared" si="74"/>
        <v>3.1685714285714282</v>
      </c>
      <c r="J1179" s="760">
        <f t="shared" si="75"/>
        <v>0.92958927074601849</v>
      </c>
    </row>
    <row r="1180" spans="1:10">
      <c r="A1180" s="74" t="s">
        <v>799</v>
      </c>
      <c r="B1180" s="74" t="s">
        <v>713</v>
      </c>
      <c r="C1180" s="74" t="s">
        <v>1512</v>
      </c>
      <c r="D1180" s="74" t="s">
        <v>80</v>
      </c>
      <c r="E1180" s="74">
        <v>5</v>
      </c>
      <c r="F1180" s="74">
        <v>17.18</v>
      </c>
      <c r="G1180" s="758">
        <f t="shared" si="72"/>
        <v>0.24</v>
      </c>
      <c r="H1180" s="759">
        <f t="shared" si="73"/>
        <v>0.17</v>
      </c>
      <c r="I1180" s="758">
        <f t="shared" si="74"/>
        <v>3.1959999999999997</v>
      </c>
      <c r="J1180" s="760">
        <f t="shared" si="75"/>
        <v>0.93015133876600697</v>
      </c>
    </row>
    <row r="1181" spans="1:10">
      <c r="A1181" s="74" t="s">
        <v>799</v>
      </c>
      <c r="B1181" s="74" t="s">
        <v>713</v>
      </c>
      <c r="C1181" s="74" t="s">
        <v>1534</v>
      </c>
      <c r="D1181" s="74" t="s">
        <v>81</v>
      </c>
      <c r="E1181" s="74">
        <v>3</v>
      </c>
      <c r="F1181" s="74">
        <v>10.5</v>
      </c>
      <c r="G1181" s="758">
        <f t="shared" si="72"/>
        <v>0.24</v>
      </c>
      <c r="H1181" s="759">
        <f t="shared" si="73"/>
        <v>0.17</v>
      </c>
      <c r="I1181" s="758">
        <f t="shared" si="74"/>
        <v>3.26</v>
      </c>
      <c r="J1181" s="760">
        <f t="shared" si="75"/>
        <v>0.93142857142857138</v>
      </c>
    </row>
    <row r="1182" spans="1:10">
      <c r="A1182" s="74" t="s">
        <v>799</v>
      </c>
      <c r="B1182" s="74" t="s">
        <v>713</v>
      </c>
      <c r="C1182" s="74" t="s">
        <v>1513</v>
      </c>
      <c r="D1182" s="74" t="s">
        <v>81</v>
      </c>
      <c r="E1182" s="74">
        <v>4</v>
      </c>
      <c r="F1182" s="74">
        <v>13.36</v>
      </c>
      <c r="G1182" s="758">
        <f t="shared" si="72"/>
        <v>0.24</v>
      </c>
      <c r="H1182" s="759">
        <f t="shared" si="73"/>
        <v>0.17</v>
      </c>
      <c r="I1182" s="758">
        <f t="shared" si="74"/>
        <v>3.0999999999999996</v>
      </c>
      <c r="J1182" s="760">
        <f t="shared" si="75"/>
        <v>0.92814371257485029</v>
      </c>
    </row>
    <row r="1183" spans="1:10">
      <c r="A1183" s="74" t="s">
        <v>799</v>
      </c>
      <c r="B1183" s="74" t="s">
        <v>713</v>
      </c>
      <c r="C1183" s="74" t="s">
        <v>1514</v>
      </c>
      <c r="D1183" s="74" t="s">
        <v>81</v>
      </c>
      <c r="E1183" s="74">
        <v>2</v>
      </c>
      <c r="F1183" s="74">
        <v>6.68</v>
      </c>
      <c r="G1183" s="758">
        <f t="shared" si="72"/>
        <v>0.24</v>
      </c>
      <c r="H1183" s="759">
        <f t="shared" si="73"/>
        <v>0.17</v>
      </c>
      <c r="I1183" s="758">
        <f t="shared" si="74"/>
        <v>3.0999999999999996</v>
      </c>
      <c r="J1183" s="760">
        <f t="shared" si="75"/>
        <v>0.92814371257485029</v>
      </c>
    </row>
    <row r="1184" spans="1:10">
      <c r="A1184" s="74" t="s">
        <v>799</v>
      </c>
      <c r="B1184" s="74" t="s">
        <v>713</v>
      </c>
      <c r="C1184" s="74" t="s">
        <v>1515</v>
      </c>
      <c r="D1184" s="74" t="s">
        <v>81</v>
      </c>
      <c r="E1184" s="74">
        <v>5</v>
      </c>
      <c r="F1184" s="74">
        <v>17.09</v>
      </c>
      <c r="G1184" s="758">
        <f t="shared" si="72"/>
        <v>0.24</v>
      </c>
      <c r="H1184" s="759">
        <f t="shared" si="73"/>
        <v>0.17</v>
      </c>
      <c r="I1184" s="758">
        <f t="shared" si="74"/>
        <v>3.1779999999999999</v>
      </c>
      <c r="J1184" s="760">
        <f t="shared" si="75"/>
        <v>0.92978349912229374</v>
      </c>
    </row>
    <row r="1185" spans="1:10">
      <c r="A1185" s="74" t="s">
        <v>799</v>
      </c>
      <c r="B1185" s="74" t="s">
        <v>713</v>
      </c>
      <c r="C1185" s="74" t="s">
        <v>1516</v>
      </c>
      <c r="D1185" s="74" t="s">
        <v>82</v>
      </c>
      <c r="E1185" s="74">
        <v>1</v>
      </c>
      <c r="F1185" s="74">
        <v>3.5</v>
      </c>
      <c r="G1185" s="758">
        <f t="shared" si="72"/>
        <v>0.24</v>
      </c>
      <c r="H1185" s="759">
        <f t="shared" si="73"/>
        <v>0.17</v>
      </c>
      <c r="I1185" s="758">
        <f t="shared" si="74"/>
        <v>3.26</v>
      </c>
      <c r="J1185" s="760">
        <f t="shared" si="75"/>
        <v>0.93142857142857138</v>
      </c>
    </row>
    <row r="1186" spans="1:10">
      <c r="A1186" s="74" t="s">
        <v>799</v>
      </c>
      <c r="B1186" s="74" t="s">
        <v>713</v>
      </c>
      <c r="C1186" s="74" t="s">
        <v>1527</v>
      </c>
      <c r="D1186" s="74" t="s">
        <v>82</v>
      </c>
      <c r="E1186" s="74">
        <v>1</v>
      </c>
      <c r="F1186" s="74">
        <v>3.5</v>
      </c>
      <c r="G1186" s="758">
        <f t="shared" si="72"/>
        <v>0.24</v>
      </c>
      <c r="H1186" s="759">
        <f t="shared" si="73"/>
        <v>0.17</v>
      </c>
      <c r="I1186" s="758">
        <f t="shared" si="74"/>
        <v>3.26</v>
      </c>
      <c r="J1186" s="760">
        <f t="shared" si="75"/>
        <v>0.93142857142857138</v>
      </c>
    </row>
    <row r="1187" spans="1:10">
      <c r="A1187" s="74" t="s">
        <v>799</v>
      </c>
      <c r="B1187" s="74" t="s">
        <v>713</v>
      </c>
      <c r="C1187" s="74" t="s">
        <v>1577</v>
      </c>
      <c r="D1187" s="74" t="s">
        <v>84</v>
      </c>
      <c r="E1187" s="74">
        <v>1</v>
      </c>
      <c r="F1187" s="74">
        <v>3.5</v>
      </c>
      <c r="G1187" s="758">
        <f t="shared" si="72"/>
        <v>0.24</v>
      </c>
      <c r="H1187" s="759">
        <f t="shared" si="73"/>
        <v>0.17</v>
      </c>
      <c r="I1187" s="758">
        <f t="shared" si="74"/>
        <v>3.26</v>
      </c>
      <c r="J1187" s="760">
        <f t="shared" si="75"/>
        <v>0.93142857142857138</v>
      </c>
    </row>
    <row r="1188" spans="1:10">
      <c r="A1188" s="74" t="s">
        <v>799</v>
      </c>
      <c r="B1188" s="74" t="s">
        <v>713</v>
      </c>
      <c r="C1188" s="74" t="s">
        <v>1507</v>
      </c>
      <c r="D1188" s="74" t="s">
        <v>86</v>
      </c>
      <c r="E1188" s="74">
        <v>1</v>
      </c>
      <c r="F1188" s="74">
        <v>3.5</v>
      </c>
      <c r="G1188" s="758">
        <f t="shared" si="72"/>
        <v>0.24</v>
      </c>
      <c r="H1188" s="759">
        <f t="shared" si="73"/>
        <v>0.17</v>
      </c>
      <c r="I1188" s="758">
        <f t="shared" si="74"/>
        <v>3.26</v>
      </c>
      <c r="J1188" s="760">
        <f t="shared" si="75"/>
        <v>0.93142857142857138</v>
      </c>
    </row>
    <row r="1189" spans="1:10">
      <c r="A1189" s="74" t="s">
        <v>799</v>
      </c>
      <c r="B1189" s="74" t="s">
        <v>713</v>
      </c>
      <c r="C1189" s="74" t="s">
        <v>1578</v>
      </c>
      <c r="D1189" s="74" t="s">
        <v>86</v>
      </c>
      <c r="E1189" s="74">
        <v>2</v>
      </c>
      <c r="F1189" s="74">
        <v>7</v>
      </c>
      <c r="G1189" s="758">
        <f t="shared" si="72"/>
        <v>0.24</v>
      </c>
      <c r="H1189" s="759">
        <f t="shared" si="73"/>
        <v>0.17</v>
      </c>
      <c r="I1189" s="758">
        <f t="shared" si="74"/>
        <v>3.26</v>
      </c>
      <c r="J1189" s="760">
        <f t="shared" si="75"/>
        <v>0.93142857142857138</v>
      </c>
    </row>
    <row r="1190" spans="1:10">
      <c r="A1190" s="74" t="s">
        <v>799</v>
      </c>
      <c r="B1190" s="74" t="s">
        <v>713</v>
      </c>
      <c r="C1190" s="74" t="s">
        <v>1646</v>
      </c>
      <c r="D1190" s="74" t="s">
        <v>86</v>
      </c>
      <c r="E1190" s="74">
        <v>2</v>
      </c>
      <c r="F1190" s="74">
        <v>7</v>
      </c>
      <c r="G1190" s="758">
        <f t="shared" si="72"/>
        <v>0.24</v>
      </c>
      <c r="H1190" s="759">
        <f t="shared" si="73"/>
        <v>0.17</v>
      </c>
      <c r="I1190" s="758">
        <f t="shared" si="74"/>
        <v>3.26</v>
      </c>
      <c r="J1190" s="760">
        <f t="shared" si="75"/>
        <v>0.93142857142857138</v>
      </c>
    </row>
    <row r="1191" spans="1:10">
      <c r="A1191" s="74" t="s">
        <v>799</v>
      </c>
      <c r="B1191" s="74" t="s">
        <v>713</v>
      </c>
      <c r="C1191" s="74" t="s">
        <v>1543</v>
      </c>
      <c r="D1191" s="74" t="s">
        <v>87</v>
      </c>
      <c r="E1191" s="74">
        <v>1</v>
      </c>
      <c r="F1191" s="74">
        <v>3.5</v>
      </c>
      <c r="G1191" s="758">
        <f t="shared" si="72"/>
        <v>0.24</v>
      </c>
      <c r="H1191" s="759">
        <f t="shared" si="73"/>
        <v>0.17</v>
      </c>
      <c r="I1191" s="758">
        <f t="shared" si="74"/>
        <v>3.26</v>
      </c>
      <c r="J1191" s="760">
        <f t="shared" si="75"/>
        <v>0.93142857142857138</v>
      </c>
    </row>
    <row r="1192" spans="1:10">
      <c r="A1192" s="74" t="s">
        <v>799</v>
      </c>
      <c r="B1192" s="74" t="s">
        <v>713</v>
      </c>
      <c r="C1192" s="74" t="s">
        <v>1544</v>
      </c>
      <c r="D1192" s="74" t="s">
        <v>87</v>
      </c>
      <c r="E1192" s="74">
        <v>1</v>
      </c>
      <c r="F1192" s="74">
        <v>3.5</v>
      </c>
      <c r="G1192" s="758">
        <f t="shared" si="72"/>
        <v>0.24</v>
      </c>
      <c r="H1192" s="759">
        <f t="shared" si="73"/>
        <v>0.17</v>
      </c>
      <c r="I1192" s="758">
        <f t="shared" si="74"/>
        <v>3.26</v>
      </c>
      <c r="J1192" s="760">
        <f t="shared" si="75"/>
        <v>0.93142857142857138</v>
      </c>
    </row>
    <row r="1193" spans="1:10">
      <c r="A1193" s="74" t="s">
        <v>799</v>
      </c>
      <c r="B1193" s="74" t="s">
        <v>713</v>
      </c>
      <c r="C1193" s="74" t="s">
        <v>1561</v>
      </c>
      <c r="D1193" s="74" t="s">
        <v>87</v>
      </c>
      <c r="E1193" s="74">
        <v>1</v>
      </c>
      <c r="F1193" s="74">
        <v>3.5</v>
      </c>
      <c r="G1193" s="758">
        <f t="shared" si="72"/>
        <v>0.24</v>
      </c>
      <c r="H1193" s="759">
        <f t="shared" si="73"/>
        <v>0.17</v>
      </c>
      <c r="I1193" s="758">
        <f t="shared" si="74"/>
        <v>3.26</v>
      </c>
      <c r="J1193" s="760">
        <f t="shared" si="75"/>
        <v>0.93142857142857138</v>
      </c>
    </row>
    <row r="1194" spans="1:10">
      <c r="A1194" s="74" t="s">
        <v>799</v>
      </c>
      <c r="B1194" s="74" t="s">
        <v>713</v>
      </c>
      <c r="C1194" s="74" t="s">
        <v>1610</v>
      </c>
      <c r="D1194" s="74" t="s">
        <v>89</v>
      </c>
      <c r="E1194" s="74">
        <v>3</v>
      </c>
      <c r="F1194" s="74">
        <v>10.5</v>
      </c>
      <c r="G1194" s="758">
        <f t="shared" si="72"/>
        <v>0.24</v>
      </c>
      <c r="H1194" s="759">
        <f t="shared" si="73"/>
        <v>0.17</v>
      </c>
      <c r="I1194" s="758">
        <f t="shared" si="74"/>
        <v>3.26</v>
      </c>
      <c r="J1194" s="760">
        <f t="shared" si="75"/>
        <v>0.93142857142857138</v>
      </c>
    </row>
    <row r="1195" spans="1:10">
      <c r="A1195" s="74" t="s">
        <v>799</v>
      </c>
      <c r="B1195" s="74" t="s">
        <v>713</v>
      </c>
      <c r="C1195" s="74" t="s">
        <v>1546</v>
      </c>
      <c r="D1195" s="74" t="s">
        <v>89</v>
      </c>
      <c r="E1195" s="74">
        <v>2</v>
      </c>
      <c r="F1195" s="74">
        <v>7</v>
      </c>
      <c r="G1195" s="758">
        <f t="shared" si="72"/>
        <v>0.24</v>
      </c>
      <c r="H1195" s="759">
        <f t="shared" si="73"/>
        <v>0.17</v>
      </c>
      <c r="I1195" s="758">
        <f t="shared" si="74"/>
        <v>3.26</v>
      </c>
      <c r="J1195" s="760">
        <f t="shared" si="75"/>
        <v>0.93142857142857138</v>
      </c>
    </row>
    <row r="1196" spans="1:10">
      <c r="A1196" s="74" t="s">
        <v>799</v>
      </c>
      <c r="B1196" s="74" t="s">
        <v>713</v>
      </c>
      <c r="C1196" s="74" t="s">
        <v>1547</v>
      </c>
      <c r="D1196" s="74" t="s">
        <v>89</v>
      </c>
      <c r="E1196" s="74">
        <v>4</v>
      </c>
      <c r="F1196" s="74">
        <v>14</v>
      </c>
      <c r="G1196" s="758">
        <f t="shared" si="72"/>
        <v>0.24</v>
      </c>
      <c r="H1196" s="759">
        <f t="shared" si="73"/>
        <v>0.17</v>
      </c>
      <c r="I1196" s="758">
        <f t="shared" si="74"/>
        <v>3.26</v>
      </c>
      <c r="J1196" s="760">
        <f t="shared" si="75"/>
        <v>0.93142857142857138</v>
      </c>
    </row>
    <row r="1197" spans="1:10">
      <c r="A1197" s="74" t="s">
        <v>799</v>
      </c>
      <c r="B1197" s="74" t="s">
        <v>713</v>
      </c>
      <c r="C1197" s="74" t="s">
        <v>1582</v>
      </c>
      <c r="D1197" s="74" t="s">
        <v>89</v>
      </c>
      <c r="E1197" s="74">
        <v>2</v>
      </c>
      <c r="F1197" s="74">
        <v>7</v>
      </c>
      <c r="G1197" s="758">
        <f t="shared" si="72"/>
        <v>0.24</v>
      </c>
      <c r="H1197" s="759">
        <f t="shared" si="73"/>
        <v>0.17</v>
      </c>
      <c r="I1197" s="758">
        <f t="shared" si="74"/>
        <v>3.26</v>
      </c>
      <c r="J1197" s="760">
        <f t="shared" si="75"/>
        <v>0.93142857142857138</v>
      </c>
    </row>
    <row r="1198" spans="1:10">
      <c r="A1198" s="74" t="s">
        <v>799</v>
      </c>
      <c r="B1198" s="74" t="s">
        <v>713</v>
      </c>
      <c r="C1198" s="74" t="s">
        <v>1522</v>
      </c>
      <c r="D1198" s="74" t="s">
        <v>91</v>
      </c>
      <c r="E1198" s="74">
        <v>1</v>
      </c>
      <c r="F1198" s="74">
        <v>3.5</v>
      </c>
      <c r="G1198" s="758">
        <f t="shared" si="72"/>
        <v>0.24</v>
      </c>
      <c r="H1198" s="759">
        <f t="shared" si="73"/>
        <v>0.17</v>
      </c>
      <c r="I1198" s="758">
        <f t="shared" si="74"/>
        <v>3.26</v>
      </c>
      <c r="J1198" s="760">
        <f t="shared" si="75"/>
        <v>0.93142857142857138</v>
      </c>
    </row>
    <row r="1199" spans="1:10">
      <c r="A1199" s="74" t="s">
        <v>799</v>
      </c>
      <c r="B1199" s="74" t="s">
        <v>713</v>
      </c>
      <c r="C1199" s="74" t="s">
        <v>1550</v>
      </c>
      <c r="D1199" s="74" t="s">
        <v>91</v>
      </c>
      <c r="E1199" s="74">
        <v>1</v>
      </c>
      <c r="F1199" s="74">
        <v>3.5</v>
      </c>
      <c r="G1199" s="758">
        <f t="shared" si="72"/>
        <v>0.24</v>
      </c>
      <c r="H1199" s="759">
        <f t="shared" si="73"/>
        <v>0.17</v>
      </c>
      <c r="I1199" s="758">
        <f t="shared" si="74"/>
        <v>3.26</v>
      </c>
      <c r="J1199" s="760">
        <f t="shared" si="75"/>
        <v>0.93142857142857138</v>
      </c>
    </row>
    <row r="1200" spans="1:10">
      <c r="A1200" s="74" t="s">
        <v>799</v>
      </c>
      <c r="B1200" s="74" t="s">
        <v>713</v>
      </c>
      <c r="C1200" s="74" t="s">
        <v>1675</v>
      </c>
      <c r="D1200" s="74" t="s">
        <v>91</v>
      </c>
      <c r="E1200" s="74">
        <v>2</v>
      </c>
      <c r="F1200" s="74">
        <v>7</v>
      </c>
      <c r="G1200" s="758">
        <f t="shared" si="72"/>
        <v>0.24</v>
      </c>
      <c r="H1200" s="759">
        <f t="shared" si="73"/>
        <v>0.17</v>
      </c>
      <c r="I1200" s="758">
        <f t="shared" si="74"/>
        <v>3.26</v>
      </c>
      <c r="J1200" s="760">
        <f t="shared" si="75"/>
        <v>0.93142857142857138</v>
      </c>
    </row>
    <row r="1201" spans="1:10">
      <c r="A1201" s="74" t="s">
        <v>799</v>
      </c>
      <c r="B1201" s="74" t="s">
        <v>713</v>
      </c>
      <c r="C1201" s="74" t="s">
        <v>1524</v>
      </c>
      <c r="D1201" s="74" t="s">
        <v>91</v>
      </c>
      <c r="E1201" s="74">
        <v>1</v>
      </c>
      <c r="F1201" s="74">
        <v>3.5</v>
      </c>
      <c r="G1201" s="758">
        <f t="shared" si="72"/>
        <v>0.24</v>
      </c>
      <c r="H1201" s="759">
        <f t="shared" si="73"/>
        <v>0.17</v>
      </c>
      <c r="I1201" s="758">
        <f t="shared" si="74"/>
        <v>3.26</v>
      </c>
      <c r="J1201" s="760">
        <f t="shared" si="75"/>
        <v>0.93142857142857138</v>
      </c>
    </row>
    <row r="1202" spans="1:10">
      <c r="A1202" s="74" t="s">
        <v>799</v>
      </c>
      <c r="B1202" s="74" t="s">
        <v>713</v>
      </c>
      <c r="C1202" s="74" t="s">
        <v>1584</v>
      </c>
      <c r="D1202" s="74" t="s">
        <v>92</v>
      </c>
      <c r="E1202" s="74">
        <v>4</v>
      </c>
      <c r="F1202" s="74">
        <v>14</v>
      </c>
      <c r="G1202" s="758">
        <f t="shared" si="72"/>
        <v>0.24</v>
      </c>
      <c r="H1202" s="759">
        <f t="shared" si="73"/>
        <v>0.17</v>
      </c>
      <c r="I1202" s="758">
        <f t="shared" si="74"/>
        <v>3.26</v>
      </c>
      <c r="J1202" s="760">
        <f t="shared" si="75"/>
        <v>0.93142857142857138</v>
      </c>
    </row>
    <row r="1203" spans="1:10">
      <c r="A1203" s="74" t="s">
        <v>799</v>
      </c>
      <c r="B1203" s="74" t="s">
        <v>713</v>
      </c>
      <c r="C1203" s="74" t="s">
        <v>1631</v>
      </c>
      <c r="D1203" s="74" t="s">
        <v>92</v>
      </c>
      <c r="E1203" s="74">
        <v>3</v>
      </c>
      <c r="F1203" s="74">
        <v>10.5</v>
      </c>
      <c r="G1203" s="758">
        <f t="shared" si="72"/>
        <v>0.24</v>
      </c>
      <c r="H1203" s="759">
        <f t="shared" si="73"/>
        <v>0.17</v>
      </c>
      <c r="I1203" s="758">
        <f t="shared" si="74"/>
        <v>3.26</v>
      </c>
      <c r="J1203" s="760">
        <f t="shared" si="75"/>
        <v>0.93142857142857138</v>
      </c>
    </row>
    <row r="1204" spans="1:10">
      <c r="A1204" s="74" t="s">
        <v>799</v>
      </c>
      <c r="B1204" s="74" t="s">
        <v>713</v>
      </c>
      <c r="C1204" s="74" t="s">
        <v>1552</v>
      </c>
      <c r="D1204" s="74" t="s">
        <v>92</v>
      </c>
      <c r="E1204" s="74">
        <v>3</v>
      </c>
      <c r="F1204" s="74">
        <v>10.5</v>
      </c>
      <c r="G1204" s="758">
        <f t="shared" si="72"/>
        <v>0.24</v>
      </c>
      <c r="H1204" s="759">
        <f t="shared" si="73"/>
        <v>0.17</v>
      </c>
      <c r="I1204" s="758">
        <f t="shared" si="74"/>
        <v>3.26</v>
      </c>
      <c r="J1204" s="760">
        <f t="shared" si="75"/>
        <v>0.93142857142857138</v>
      </c>
    </row>
    <row r="1205" spans="1:10">
      <c r="A1205" s="74" t="s">
        <v>799</v>
      </c>
      <c r="B1205" s="74" t="s">
        <v>713</v>
      </c>
      <c r="C1205" s="74" t="s">
        <v>1617</v>
      </c>
      <c r="D1205" s="74" t="s">
        <v>94</v>
      </c>
      <c r="E1205" s="74">
        <v>2</v>
      </c>
      <c r="F1205" s="74">
        <v>7</v>
      </c>
      <c r="G1205" s="758">
        <f t="shared" si="72"/>
        <v>0.24</v>
      </c>
      <c r="H1205" s="759">
        <f t="shared" si="73"/>
        <v>0.17</v>
      </c>
      <c r="I1205" s="758">
        <f t="shared" si="74"/>
        <v>3.26</v>
      </c>
      <c r="J1205" s="760">
        <f t="shared" si="75"/>
        <v>0.93142857142857138</v>
      </c>
    </row>
    <row r="1206" spans="1:10">
      <c r="A1206" s="74" t="s">
        <v>799</v>
      </c>
      <c r="B1206" s="74" t="s">
        <v>713</v>
      </c>
      <c r="C1206" s="74" t="s">
        <v>1553</v>
      </c>
      <c r="D1206" s="74" t="s">
        <v>94</v>
      </c>
      <c r="E1206" s="74">
        <v>1</v>
      </c>
      <c r="F1206" s="74">
        <v>3.5</v>
      </c>
      <c r="G1206" s="758">
        <f t="shared" si="72"/>
        <v>0.24</v>
      </c>
      <c r="H1206" s="759">
        <f t="shared" si="73"/>
        <v>0.17</v>
      </c>
      <c r="I1206" s="758">
        <f t="shared" si="74"/>
        <v>3.26</v>
      </c>
      <c r="J1206" s="760">
        <f t="shared" si="75"/>
        <v>0.93142857142857138</v>
      </c>
    </row>
    <row r="1207" spans="1:10">
      <c r="A1207" s="74" t="s">
        <v>799</v>
      </c>
      <c r="B1207" s="74" t="s">
        <v>713</v>
      </c>
      <c r="C1207" s="74" t="s">
        <v>1555</v>
      </c>
      <c r="D1207" s="74" t="s">
        <v>94</v>
      </c>
      <c r="E1207" s="74">
        <v>1</v>
      </c>
      <c r="F1207" s="74">
        <v>3.5</v>
      </c>
      <c r="G1207" s="758">
        <f t="shared" si="72"/>
        <v>0.24</v>
      </c>
      <c r="H1207" s="759">
        <f t="shared" si="73"/>
        <v>0.17</v>
      </c>
      <c r="I1207" s="758">
        <f t="shared" si="74"/>
        <v>3.26</v>
      </c>
      <c r="J1207" s="760">
        <f t="shared" si="75"/>
        <v>0.93142857142857138</v>
      </c>
    </row>
    <row r="1208" spans="1:10">
      <c r="A1208" s="74" t="s">
        <v>799</v>
      </c>
      <c r="B1208" s="74" t="s">
        <v>713</v>
      </c>
      <c r="C1208" s="74" t="s">
        <v>1557</v>
      </c>
      <c r="D1208" s="74" t="s">
        <v>95</v>
      </c>
      <c r="E1208" s="74">
        <v>2</v>
      </c>
      <c r="F1208" s="74">
        <v>7</v>
      </c>
      <c r="G1208" s="758">
        <f t="shared" si="72"/>
        <v>0.24</v>
      </c>
      <c r="H1208" s="759">
        <f t="shared" si="73"/>
        <v>0.17</v>
      </c>
      <c r="I1208" s="758">
        <f t="shared" si="74"/>
        <v>3.26</v>
      </c>
      <c r="J1208" s="760">
        <f t="shared" si="75"/>
        <v>0.93142857142857138</v>
      </c>
    </row>
    <row r="1209" spans="1:10">
      <c r="A1209" s="74" t="s">
        <v>799</v>
      </c>
      <c r="B1209" s="74" t="s">
        <v>713</v>
      </c>
      <c r="C1209" s="74" t="s">
        <v>1526</v>
      </c>
      <c r="D1209" s="74" t="s">
        <v>95</v>
      </c>
      <c r="E1209" s="74">
        <v>1</v>
      </c>
      <c r="F1209" s="74">
        <v>3.5</v>
      </c>
      <c r="G1209" s="758">
        <f t="shared" si="72"/>
        <v>0.24</v>
      </c>
      <c r="H1209" s="759">
        <f t="shared" si="73"/>
        <v>0.17</v>
      </c>
      <c r="I1209" s="758">
        <f t="shared" si="74"/>
        <v>3.26</v>
      </c>
      <c r="J1209" s="760">
        <f t="shared" si="75"/>
        <v>0.93142857142857138</v>
      </c>
    </row>
    <row r="1210" spans="1:10">
      <c r="A1210" s="74" t="s">
        <v>1635</v>
      </c>
      <c r="B1210" s="74" t="s">
        <v>327</v>
      </c>
      <c r="C1210" s="74" t="s">
        <v>1610</v>
      </c>
      <c r="D1210" s="74" t="s">
        <v>89</v>
      </c>
      <c r="E1210" s="74">
        <v>1</v>
      </c>
      <c r="F1210" s="74">
        <v>0</v>
      </c>
      <c r="G1210" s="758">
        <f t="shared" si="72"/>
        <v>0</v>
      </c>
      <c r="H1210" s="759">
        <f t="shared" si="73"/>
        <v>0</v>
      </c>
      <c r="I1210" s="758">
        <f t="shared" si="74"/>
        <v>0</v>
      </c>
      <c r="J1210" s="760">
        <f t="shared" si="75"/>
        <v>0</v>
      </c>
    </row>
    <row r="1211" spans="1:10">
      <c r="A1211" s="74" t="s">
        <v>1065</v>
      </c>
      <c r="B1211" s="74" t="s">
        <v>251</v>
      </c>
      <c r="C1211" s="74" t="s">
        <v>1528</v>
      </c>
      <c r="D1211" s="74" t="s">
        <v>78</v>
      </c>
      <c r="E1211" s="74">
        <v>1</v>
      </c>
      <c r="F1211" s="74">
        <v>2.75</v>
      </c>
      <c r="G1211" s="758">
        <f t="shared" si="72"/>
        <v>0.5</v>
      </c>
      <c r="H1211" s="759">
        <f t="shared" si="73"/>
        <v>0.28000000000000003</v>
      </c>
      <c r="I1211" s="758">
        <f t="shared" si="74"/>
        <v>2.25</v>
      </c>
      <c r="J1211" s="760">
        <f t="shared" si="75"/>
        <v>0.81818181818181812</v>
      </c>
    </row>
    <row r="1212" spans="1:10">
      <c r="A1212" s="74" t="s">
        <v>1065</v>
      </c>
      <c r="B1212" s="74" t="s">
        <v>251</v>
      </c>
      <c r="C1212" s="74" t="s">
        <v>1508</v>
      </c>
      <c r="D1212" s="74" t="s">
        <v>78</v>
      </c>
      <c r="E1212" s="74">
        <v>3</v>
      </c>
      <c r="F1212" s="74">
        <v>7.95</v>
      </c>
      <c r="G1212" s="758">
        <f t="shared" si="72"/>
        <v>0.5</v>
      </c>
      <c r="H1212" s="759">
        <f t="shared" si="73"/>
        <v>0.28000000000000003</v>
      </c>
      <c r="I1212" s="758">
        <f t="shared" si="74"/>
        <v>2.15</v>
      </c>
      <c r="J1212" s="760">
        <f t="shared" si="75"/>
        <v>0.81132075471698117</v>
      </c>
    </row>
    <row r="1213" spans="1:10">
      <c r="A1213" s="74" t="s">
        <v>1065</v>
      </c>
      <c r="B1213" s="74" t="s">
        <v>251</v>
      </c>
      <c r="C1213" s="74" t="s">
        <v>1565</v>
      </c>
      <c r="D1213" s="74" t="s">
        <v>78</v>
      </c>
      <c r="E1213" s="74">
        <v>6</v>
      </c>
      <c r="F1213" s="74">
        <v>16.850000000000001</v>
      </c>
      <c r="G1213" s="758">
        <f t="shared" si="72"/>
        <v>0.5</v>
      </c>
      <c r="H1213" s="759">
        <f t="shared" si="73"/>
        <v>0.28000000000000003</v>
      </c>
      <c r="I1213" s="758">
        <f t="shared" si="74"/>
        <v>2.3083333333333336</v>
      </c>
      <c r="J1213" s="760">
        <f t="shared" si="75"/>
        <v>0.82195845697329384</v>
      </c>
    </row>
    <row r="1214" spans="1:10">
      <c r="A1214" s="74" t="s">
        <v>1065</v>
      </c>
      <c r="B1214" s="74" t="s">
        <v>251</v>
      </c>
      <c r="C1214" s="74" t="s">
        <v>1532</v>
      </c>
      <c r="D1214" s="74" t="s">
        <v>80</v>
      </c>
      <c r="E1214" s="74">
        <v>1</v>
      </c>
      <c r="F1214" s="74">
        <v>2.9</v>
      </c>
      <c r="G1214" s="758">
        <f t="shared" si="72"/>
        <v>0.5</v>
      </c>
      <c r="H1214" s="759">
        <f t="shared" si="73"/>
        <v>0.28000000000000003</v>
      </c>
      <c r="I1214" s="758">
        <f t="shared" si="74"/>
        <v>2.4</v>
      </c>
      <c r="J1214" s="760">
        <f t="shared" si="75"/>
        <v>0.82758620689655171</v>
      </c>
    </row>
    <row r="1215" spans="1:10">
      <c r="A1215" s="74" t="s">
        <v>1065</v>
      </c>
      <c r="B1215" s="74" t="s">
        <v>251</v>
      </c>
      <c r="C1215" s="74" t="s">
        <v>1511</v>
      </c>
      <c r="D1215" s="74" t="s">
        <v>80</v>
      </c>
      <c r="E1215" s="74">
        <v>1</v>
      </c>
      <c r="F1215" s="74">
        <v>2.75</v>
      </c>
      <c r="G1215" s="758">
        <f t="shared" si="72"/>
        <v>0.5</v>
      </c>
      <c r="H1215" s="759">
        <f t="shared" si="73"/>
        <v>0.28000000000000003</v>
      </c>
      <c r="I1215" s="758">
        <f t="shared" si="74"/>
        <v>2.25</v>
      </c>
      <c r="J1215" s="760">
        <f t="shared" si="75"/>
        <v>0.81818181818181812</v>
      </c>
    </row>
    <row r="1216" spans="1:10">
      <c r="A1216" s="74" t="s">
        <v>1065</v>
      </c>
      <c r="B1216" s="74" t="s">
        <v>251</v>
      </c>
      <c r="C1216" s="74" t="s">
        <v>1512</v>
      </c>
      <c r="D1216" s="74" t="s">
        <v>80</v>
      </c>
      <c r="E1216" s="74">
        <v>2</v>
      </c>
      <c r="F1216" s="74">
        <v>5.5</v>
      </c>
      <c r="G1216" s="758">
        <f t="shared" si="72"/>
        <v>0.5</v>
      </c>
      <c r="H1216" s="759">
        <f t="shared" si="73"/>
        <v>0.28000000000000003</v>
      </c>
      <c r="I1216" s="758">
        <f t="shared" si="74"/>
        <v>2.25</v>
      </c>
      <c r="J1216" s="760">
        <f t="shared" si="75"/>
        <v>0.81818181818181812</v>
      </c>
    </row>
    <row r="1217" spans="1:10">
      <c r="A1217" s="74" t="s">
        <v>1065</v>
      </c>
      <c r="B1217" s="74" t="s">
        <v>251</v>
      </c>
      <c r="C1217" s="74" t="s">
        <v>1534</v>
      </c>
      <c r="D1217" s="74" t="s">
        <v>81</v>
      </c>
      <c r="E1217" s="74">
        <v>6</v>
      </c>
      <c r="F1217" s="74">
        <v>16.5</v>
      </c>
      <c r="G1217" s="758">
        <f t="shared" si="72"/>
        <v>0.5</v>
      </c>
      <c r="H1217" s="759">
        <f t="shared" si="73"/>
        <v>0.28000000000000003</v>
      </c>
      <c r="I1217" s="758">
        <f t="shared" si="74"/>
        <v>2.25</v>
      </c>
      <c r="J1217" s="760">
        <f t="shared" si="75"/>
        <v>0.81818181818181812</v>
      </c>
    </row>
    <row r="1218" spans="1:10">
      <c r="A1218" s="74" t="s">
        <v>1065</v>
      </c>
      <c r="B1218" s="74" t="s">
        <v>251</v>
      </c>
      <c r="C1218" s="74" t="s">
        <v>1513</v>
      </c>
      <c r="D1218" s="74" t="s">
        <v>81</v>
      </c>
      <c r="E1218" s="74">
        <v>4</v>
      </c>
      <c r="F1218" s="74">
        <v>11.6</v>
      </c>
      <c r="G1218" s="758">
        <f t="shared" ref="G1218:G1281" si="76">IFERROR(VLOOKUP(A1218,$M$1:$P$1014,2,FALSE),0)</f>
        <v>0.5</v>
      </c>
      <c r="H1218" s="759">
        <f t="shared" ref="H1218:H1281" si="77">IFERROR(VLOOKUP(A1218,$M$1:$P$1014,3,FALSE),0)</f>
        <v>0.28000000000000003</v>
      </c>
      <c r="I1218" s="758">
        <f t="shared" ref="I1218:I1281" si="78">IFERROR(F1218/E1218-G1218,0)</f>
        <v>2.4</v>
      </c>
      <c r="J1218" s="760">
        <f t="shared" ref="J1218:J1281" si="79">IFERROR(1-G1218*E1218/F1218,0)</f>
        <v>0.82758620689655171</v>
      </c>
    </row>
    <row r="1219" spans="1:10">
      <c r="A1219" s="74" t="s">
        <v>1065</v>
      </c>
      <c r="B1219" s="74" t="s">
        <v>251</v>
      </c>
      <c r="C1219" s="74" t="s">
        <v>1514</v>
      </c>
      <c r="D1219" s="74" t="s">
        <v>81</v>
      </c>
      <c r="E1219" s="74">
        <v>3</v>
      </c>
      <c r="F1219" s="74">
        <v>8.6999999999999993</v>
      </c>
      <c r="G1219" s="758">
        <f t="shared" si="76"/>
        <v>0.5</v>
      </c>
      <c r="H1219" s="759">
        <f t="shared" si="77"/>
        <v>0.28000000000000003</v>
      </c>
      <c r="I1219" s="758">
        <f t="shared" si="78"/>
        <v>2.4</v>
      </c>
      <c r="J1219" s="760">
        <f t="shared" si="79"/>
        <v>0.82758620689655171</v>
      </c>
    </row>
    <row r="1220" spans="1:10">
      <c r="A1220" s="74" t="s">
        <v>1065</v>
      </c>
      <c r="B1220" s="74" t="s">
        <v>251</v>
      </c>
      <c r="C1220" s="74" t="s">
        <v>1515</v>
      </c>
      <c r="D1220" s="74" t="s">
        <v>81</v>
      </c>
      <c r="E1220" s="74">
        <v>2</v>
      </c>
      <c r="F1220" s="74">
        <v>5.65</v>
      </c>
      <c r="G1220" s="758">
        <f t="shared" si="76"/>
        <v>0.5</v>
      </c>
      <c r="H1220" s="759">
        <f t="shared" si="77"/>
        <v>0.28000000000000003</v>
      </c>
      <c r="I1220" s="758">
        <f t="shared" si="78"/>
        <v>2.3250000000000002</v>
      </c>
      <c r="J1220" s="760">
        <f t="shared" si="79"/>
        <v>0.82300884955752207</v>
      </c>
    </row>
    <row r="1221" spans="1:10">
      <c r="A1221" s="74" t="s">
        <v>1065</v>
      </c>
      <c r="B1221" s="74" t="s">
        <v>251</v>
      </c>
      <c r="C1221" s="74" t="s">
        <v>1516</v>
      </c>
      <c r="D1221" s="74" t="s">
        <v>82</v>
      </c>
      <c r="E1221" s="74">
        <v>5</v>
      </c>
      <c r="F1221" s="74">
        <v>14.5</v>
      </c>
      <c r="G1221" s="758">
        <f t="shared" si="76"/>
        <v>0.5</v>
      </c>
      <c r="H1221" s="759">
        <f t="shared" si="77"/>
        <v>0.28000000000000003</v>
      </c>
      <c r="I1221" s="758">
        <f t="shared" si="78"/>
        <v>2.4</v>
      </c>
      <c r="J1221" s="760">
        <f t="shared" si="79"/>
        <v>0.82758620689655171</v>
      </c>
    </row>
    <row r="1222" spans="1:10">
      <c r="A1222" s="74" t="s">
        <v>1065</v>
      </c>
      <c r="B1222" s="74" t="s">
        <v>251</v>
      </c>
      <c r="C1222" s="74" t="s">
        <v>1517</v>
      </c>
      <c r="D1222" s="74" t="s">
        <v>82</v>
      </c>
      <c r="E1222" s="74">
        <v>4</v>
      </c>
      <c r="F1222" s="74">
        <v>11.6</v>
      </c>
      <c r="G1222" s="758">
        <f t="shared" si="76"/>
        <v>0.5</v>
      </c>
      <c r="H1222" s="759">
        <f t="shared" si="77"/>
        <v>0.28000000000000003</v>
      </c>
      <c r="I1222" s="758">
        <f t="shared" si="78"/>
        <v>2.4</v>
      </c>
      <c r="J1222" s="760">
        <f t="shared" si="79"/>
        <v>0.82758620689655171</v>
      </c>
    </row>
    <row r="1223" spans="1:10">
      <c r="A1223" s="74" t="s">
        <v>1065</v>
      </c>
      <c r="B1223" s="74" t="s">
        <v>251</v>
      </c>
      <c r="C1223" s="74" t="s">
        <v>1527</v>
      </c>
      <c r="D1223" s="74" t="s">
        <v>82</v>
      </c>
      <c r="E1223" s="74">
        <v>4</v>
      </c>
      <c r="F1223" s="74">
        <v>11.6</v>
      </c>
      <c r="G1223" s="758">
        <f t="shared" si="76"/>
        <v>0.5</v>
      </c>
      <c r="H1223" s="759">
        <f t="shared" si="77"/>
        <v>0.28000000000000003</v>
      </c>
      <c r="I1223" s="758">
        <f t="shared" si="78"/>
        <v>2.4</v>
      </c>
      <c r="J1223" s="760">
        <f t="shared" si="79"/>
        <v>0.82758620689655171</v>
      </c>
    </row>
    <row r="1224" spans="1:10">
      <c r="A1224" s="74" t="s">
        <v>1065</v>
      </c>
      <c r="B1224" s="74" t="s">
        <v>251</v>
      </c>
      <c r="C1224" s="74" t="s">
        <v>1518</v>
      </c>
      <c r="D1224" s="74" t="s">
        <v>82</v>
      </c>
      <c r="E1224" s="74">
        <v>3</v>
      </c>
      <c r="F1224" s="74">
        <v>8.5500000000000007</v>
      </c>
      <c r="G1224" s="758">
        <f t="shared" si="76"/>
        <v>0.5</v>
      </c>
      <c r="H1224" s="759">
        <f t="shared" si="77"/>
        <v>0.28000000000000003</v>
      </c>
      <c r="I1224" s="758">
        <f t="shared" si="78"/>
        <v>2.35</v>
      </c>
      <c r="J1224" s="760">
        <f t="shared" si="79"/>
        <v>0.82456140350877194</v>
      </c>
    </row>
    <row r="1225" spans="1:10">
      <c r="A1225" s="74" t="s">
        <v>1065</v>
      </c>
      <c r="B1225" s="74" t="s">
        <v>251</v>
      </c>
      <c r="C1225" s="74" t="s">
        <v>1578</v>
      </c>
      <c r="D1225" s="74" t="s">
        <v>86</v>
      </c>
      <c r="E1225" s="74">
        <v>1</v>
      </c>
      <c r="F1225" s="74">
        <v>2.9</v>
      </c>
      <c r="G1225" s="758">
        <f t="shared" si="76"/>
        <v>0.5</v>
      </c>
      <c r="H1225" s="759">
        <f t="shared" si="77"/>
        <v>0.28000000000000003</v>
      </c>
      <c r="I1225" s="758">
        <f t="shared" si="78"/>
        <v>2.4</v>
      </c>
      <c r="J1225" s="760">
        <f t="shared" si="79"/>
        <v>0.82758620689655171</v>
      </c>
    </row>
    <row r="1226" spans="1:10">
      <c r="A1226" s="74" t="s">
        <v>1065</v>
      </c>
      <c r="B1226" s="74" t="s">
        <v>251</v>
      </c>
      <c r="C1226" s="74" t="s">
        <v>1543</v>
      </c>
      <c r="D1226" s="74" t="s">
        <v>87</v>
      </c>
      <c r="E1226" s="74">
        <v>1</v>
      </c>
      <c r="F1226" s="74">
        <v>2.75</v>
      </c>
      <c r="G1226" s="758">
        <f t="shared" si="76"/>
        <v>0.5</v>
      </c>
      <c r="H1226" s="759">
        <f t="shared" si="77"/>
        <v>0.28000000000000003</v>
      </c>
      <c r="I1226" s="758">
        <f t="shared" si="78"/>
        <v>2.25</v>
      </c>
      <c r="J1226" s="760">
        <f t="shared" si="79"/>
        <v>0.81818181818181812</v>
      </c>
    </row>
    <row r="1227" spans="1:10">
      <c r="A1227" s="74" t="s">
        <v>1065</v>
      </c>
      <c r="B1227" s="74" t="s">
        <v>251</v>
      </c>
      <c r="C1227" s="74" t="s">
        <v>1605</v>
      </c>
      <c r="D1227" s="74" t="s">
        <v>87</v>
      </c>
      <c r="E1227" s="74">
        <v>1</v>
      </c>
      <c r="F1227" s="74">
        <v>2.75</v>
      </c>
      <c r="G1227" s="758">
        <f t="shared" si="76"/>
        <v>0.5</v>
      </c>
      <c r="H1227" s="759">
        <f t="shared" si="77"/>
        <v>0.28000000000000003</v>
      </c>
      <c r="I1227" s="758">
        <f t="shared" si="78"/>
        <v>2.25</v>
      </c>
      <c r="J1227" s="760">
        <f t="shared" si="79"/>
        <v>0.81818181818181812</v>
      </c>
    </row>
    <row r="1228" spans="1:10">
      <c r="A1228" s="74" t="s">
        <v>1065</v>
      </c>
      <c r="B1228" s="74" t="s">
        <v>251</v>
      </c>
      <c r="C1228" s="74" t="s">
        <v>1561</v>
      </c>
      <c r="D1228" s="74" t="s">
        <v>87</v>
      </c>
      <c r="E1228" s="74">
        <v>1</v>
      </c>
      <c r="F1228" s="74">
        <v>2.9</v>
      </c>
      <c r="G1228" s="758">
        <f t="shared" si="76"/>
        <v>0.5</v>
      </c>
      <c r="H1228" s="759">
        <f t="shared" si="77"/>
        <v>0.28000000000000003</v>
      </c>
      <c r="I1228" s="758">
        <f t="shared" si="78"/>
        <v>2.4</v>
      </c>
      <c r="J1228" s="760">
        <f t="shared" si="79"/>
        <v>0.82758620689655171</v>
      </c>
    </row>
    <row r="1229" spans="1:10">
      <c r="A1229" s="74" t="s">
        <v>1065</v>
      </c>
      <c r="B1229" s="74" t="s">
        <v>251</v>
      </c>
      <c r="C1229" s="74" t="s">
        <v>1608</v>
      </c>
      <c r="D1229" s="74" t="s">
        <v>89</v>
      </c>
      <c r="E1229" s="74">
        <v>1</v>
      </c>
      <c r="F1229" s="74">
        <v>2.9</v>
      </c>
      <c r="G1229" s="758">
        <f t="shared" si="76"/>
        <v>0.5</v>
      </c>
      <c r="H1229" s="759">
        <f t="shared" si="77"/>
        <v>0.28000000000000003</v>
      </c>
      <c r="I1229" s="758">
        <f t="shared" si="78"/>
        <v>2.4</v>
      </c>
      <c r="J1229" s="760">
        <f t="shared" si="79"/>
        <v>0.82758620689655171</v>
      </c>
    </row>
    <row r="1230" spans="1:10">
      <c r="A1230" s="74" t="s">
        <v>1065</v>
      </c>
      <c r="B1230" s="74" t="s">
        <v>251</v>
      </c>
      <c r="C1230" s="74" t="s">
        <v>1547</v>
      </c>
      <c r="D1230" s="74" t="s">
        <v>89</v>
      </c>
      <c r="E1230" s="74">
        <v>2</v>
      </c>
      <c r="F1230" s="74">
        <v>5.8</v>
      </c>
      <c r="G1230" s="758">
        <f t="shared" si="76"/>
        <v>0.5</v>
      </c>
      <c r="H1230" s="759">
        <f t="shared" si="77"/>
        <v>0.28000000000000003</v>
      </c>
      <c r="I1230" s="758">
        <f t="shared" si="78"/>
        <v>2.4</v>
      </c>
      <c r="J1230" s="760">
        <f t="shared" si="79"/>
        <v>0.82758620689655171</v>
      </c>
    </row>
    <row r="1231" spans="1:10">
      <c r="A1231" s="74" t="s">
        <v>1065</v>
      </c>
      <c r="B1231" s="74" t="s">
        <v>251</v>
      </c>
      <c r="C1231" s="74" t="s">
        <v>1582</v>
      </c>
      <c r="D1231" s="74" t="s">
        <v>89</v>
      </c>
      <c r="E1231" s="74">
        <v>2</v>
      </c>
      <c r="F1231" s="74">
        <v>5.65</v>
      </c>
      <c r="G1231" s="758">
        <f t="shared" si="76"/>
        <v>0.5</v>
      </c>
      <c r="H1231" s="759">
        <f t="shared" si="77"/>
        <v>0.28000000000000003</v>
      </c>
      <c r="I1231" s="758">
        <f t="shared" si="78"/>
        <v>2.3250000000000002</v>
      </c>
      <c r="J1231" s="760">
        <f t="shared" si="79"/>
        <v>0.82300884955752207</v>
      </c>
    </row>
    <row r="1232" spans="1:10">
      <c r="A1232" s="74" t="s">
        <v>1065</v>
      </c>
      <c r="B1232" s="74" t="s">
        <v>251</v>
      </c>
      <c r="C1232" s="74" t="s">
        <v>1522</v>
      </c>
      <c r="D1232" s="74" t="s">
        <v>91</v>
      </c>
      <c r="E1232" s="74">
        <v>1</v>
      </c>
      <c r="F1232" s="74">
        <v>2.9</v>
      </c>
      <c r="G1232" s="758">
        <f t="shared" si="76"/>
        <v>0.5</v>
      </c>
      <c r="H1232" s="759">
        <f t="shared" si="77"/>
        <v>0.28000000000000003</v>
      </c>
      <c r="I1232" s="758">
        <f t="shared" si="78"/>
        <v>2.4</v>
      </c>
      <c r="J1232" s="760">
        <f t="shared" si="79"/>
        <v>0.82758620689655171</v>
      </c>
    </row>
    <row r="1233" spans="1:10">
      <c r="A1233" s="74" t="s">
        <v>1065</v>
      </c>
      <c r="B1233" s="74" t="s">
        <v>251</v>
      </c>
      <c r="C1233" s="74" t="s">
        <v>1675</v>
      </c>
      <c r="D1233" s="74" t="s">
        <v>91</v>
      </c>
      <c r="E1233" s="74">
        <v>2</v>
      </c>
      <c r="F1233" s="74">
        <v>5.5</v>
      </c>
      <c r="G1233" s="758">
        <f t="shared" si="76"/>
        <v>0.5</v>
      </c>
      <c r="H1233" s="759">
        <f t="shared" si="77"/>
        <v>0.28000000000000003</v>
      </c>
      <c r="I1233" s="758">
        <f t="shared" si="78"/>
        <v>2.25</v>
      </c>
      <c r="J1233" s="760">
        <f t="shared" si="79"/>
        <v>0.81818181818181812</v>
      </c>
    </row>
    <row r="1234" spans="1:10">
      <c r="A1234" s="74" t="s">
        <v>1065</v>
      </c>
      <c r="B1234" s="74" t="s">
        <v>251</v>
      </c>
      <c r="C1234" s="74" t="s">
        <v>1552</v>
      </c>
      <c r="D1234" s="74" t="s">
        <v>92</v>
      </c>
      <c r="E1234" s="74">
        <v>3</v>
      </c>
      <c r="F1234" s="74">
        <v>8.4</v>
      </c>
      <c r="G1234" s="758">
        <f t="shared" si="76"/>
        <v>0.5</v>
      </c>
      <c r="H1234" s="759">
        <f t="shared" si="77"/>
        <v>0.28000000000000003</v>
      </c>
      <c r="I1234" s="758">
        <f t="shared" si="78"/>
        <v>2.3000000000000003</v>
      </c>
      <c r="J1234" s="760">
        <f t="shared" si="79"/>
        <v>0.8214285714285714</v>
      </c>
    </row>
    <row r="1235" spans="1:10">
      <c r="A1235" s="74" t="s">
        <v>1065</v>
      </c>
      <c r="B1235" s="74" t="s">
        <v>251</v>
      </c>
      <c r="C1235" s="74" t="s">
        <v>1617</v>
      </c>
      <c r="D1235" s="74" t="s">
        <v>94</v>
      </c>
      <c r="E1235" s="74">
        <v>2</v>
      </c>
      <c r="F1235" s="74">
        <v>5.8</v>
      </c>
      <c r="G1235" s="758">
        <f t="shared" si="76"/>
        <v>0.5</v>
      </c>
      <c r="H1235" s="759">
        <f t="shared" si="77"/>
        <v>0.28000000000000003</v>
      </c>
      <c r="I1235" s="758">
        <f t="shared" si="78"/>
        <v>2.4</v>
      </c>
      <c r="J1235" s="760">
        <f t="shared" si="79"/>
        <v>0.82758620689655171</v>
      </c>
    </row>
    <row r="1236" spans="1:10">
      <c r="A1236" s="74" t="s">
        <v>1065</v>
      </c>
      <c r="B1236" s="74" t="s">
        <v>251</v>
      </c>
      <c r="C1236" s="74" t="s">
        <v>1526</v>
      </c>
      <c r="D1236" s="74" t="s">
        <v>95</v>
      </c>
      <c r="E1236" s="74">
        <v>2</v>
      </c>
      <c r="F1236" s="74">
        <v>5.5</v>
      </c>
      <c r="G1236" s="758">
        <f t="shared" si="76"/>
        <v>0.5</v>
      </c>
      <c r="H1236" s="759">
        <f t="shared" si="77"/>
        <v>0.28000000000000003</v>
      </c>
      <c r="I1236" s="758">
        <f t="shared" si="78"/>
        <v>2.25</v>
      </c>
      <c r="J1236" s="760">
        <f t="shared" si="79"/>
        <v>0.81818181818181812</v>
      </c>
    </row>
    <row r="1237" spans="1:10">
      <c r="A1237" s="74" t="s">
        <v>1050</v>
      </c>
      <c r="B1237" s="74" t="s">
        <v>258</v>
      </c>
      <c r="C1237" s="74" t="s">
        <v>1577</v>
      </c>
      <c r="D1237" s="74" t="s">
        <v>84</v>
      </c>
      <c r="E1237" s="74">
        <v>1</v>
      </c>
      <c r="F1237" s="74">
        <v>0</v>
      </c>
      <c r="G1237" s="758">
        <f t="shared" si="76"/>
        <v>0</v>
      </c>
      <c r="H1237" s="759">
        <f t="shared" si="77"/>
        <v>0</v>
      </c>
      <c r="I1237" s="758">
        <f t="shared" si="78"/>
        <v>0</v>
      </c>
      <c r="J1237" s="760">
        <f t="shared" si="79"/>
        <v>0</v>
      </c>
    </row>
    <row r="1238" spans="1:10">
      <c r="A1238" s="74" t="s">
        <v>1050</v>
      </c>
      <c r="B1238" s="74" t="s">
        <v>258</v>
      </c>
      <c r="C1238" s="74" t="s">
        <v>1644</v>
      </c>
      <c r="D1238" s="74" t="s">
        <v>86</v>
      </c>
      <c r="E1238" s="74">
        <v>4</v>
      </c>
      <c r="F1238" s="74">
        <v>0</v>
      </c>
      <c r="G1238" s="758">
        <f t="shared" si="76"/>
        <v>0</v>
      </c>
      <c r="H1238" s="759">
        <f t="shared" si="77"/>
        <v>0</v>
      </c>
      <c r="I1238" s="758">
        <f t="shared" si="78"/>
        <v>0</v>
      </c>
      <c r="J1238" s="760">
        <f t="shared" si="79"/>
        <v>0</v>
      </c>
    </row>
    <row r="1239" spans="1:10">
      <c r="A1239" s="74" t="s">
        <v>1636</v>
      </c>
      <c r="B1239" s="74" t="s">
        <v>275</v>
      </c>
      <c r="C1239" s="74" t="s">
        <v>1552</v>
      </c>
      <c r="D1239" s="74" t="s">
        <v>92</v>
      </c>
      <c r="E1239" s="74">
        <v>1</v>
      </c>
      <c r="F1239" s="74">
        <v>4.25</v>
      </c>
      <c r="G1239" s="758">
        <f t="shared" si="76"/>
        <v>0</v>
      </c>
      <c r="H1239" s="759">
        <f t="shared" si="77"/>
        <v>0</v>
      </c>
      <c r="I1239" s="758">
        <f t="shared" si="78"/>
        <v>4.25</v>
      </c>
      <c r="J1239" s="760">
        <f t="shared" si="79"/>
        <v>1</v>
      </c>
    </row>
    <row r="1240" spans="1:10">
      <c r="A1240" s="74" t="s">
        <v>1637</v>
      </c>
      <c r="B1240" s="74" t="s">
        <v>258</v>
      </c>
      <c r="C1240" s="74" t="s">
        <v>1552</v>
      </c>
      <c r="D1240" s="74" t="s">
        <v>92</v>
      </c>
      <c r="E1240" s="74">
        <v>1</v>
      </c>
      <c r="F1240" s="74">
        <v>0</v>
      </c>
      <c r="G1240" s="758">
        <f t="shared" si="76"/>
        <v>0</v>
      </c>
      <c r="H1240" s="759">
        <f t="shared" si="77"/>
        <v>0</v>
      </c>
      <c r="I1240" s="758">
        <f t="shared" si="78"/>
        <v>0</v>
      </c>
      <c r="J1240" s="760">
        <f t="shared" si="79"/>
        <v>0</v>
      </c>
    </row>
    <row r="1241" spans="1:10">
      <c r="A1241" s="74" t="s">
        <v>1637</v>
      </c>
      <c r="B1241" s="74" t="s">
        <v>258</v>
      </c>
      <c r="C1241" s="74" t="s">
        <v>1553</v>
      </c>
      <c r="D1241" s="74" t="s">
        <v>94</v>
      </c>
      <c r="E1241" s="74">
        <v>2</v>
      </c>
      <c r="F1241" s="74">
        <v>0</v>
      </c>
      <c r="G1241" s="758">
        <f t="shared" si="76"/>
        <v>0</v>
      </c>
      <c r="H1241" s="759">
        <f t="shared" si="77"/>
        <v>0</v>
      </c>
      <c r="I1241" s="758">
        <f t="shared" si="78"/>
        <v>0</v>
      </c>
      <c r="J1241" s="760">
        <f t="shared" si="79"/>
        <v>0</v>
      </c>
    </row>
    <row r="1242" spans="1:10">
      <c r="A1242" s="74" t="s">
        <v>912</v>
      </c>
      <c r="B1242" s="74" t="s">
        <v>256</v>
      </c>
      <c r="C1242" s="74" t="s">
        <v>1565</v>
      </c>
      <c r="D1242" s="74" t="s">
        <v>78</v>
      </c>
      <c r="E1242" s="74">
        <v>35</v>
      </c>
      <c r="F1242" s="74">
        <v>184</v>
      </c>
      <c r="G1242" s="758">
        <f t="shared" si="76"/>
        <v>1.25</v>
      </c>
      <c r="H1242" s="759">
        <f t="shared" si="77"/>
        <v>0.22</v>
      </c>
      <c r="I1242" s="758">
        <f t="shared" si="78"/>
        <v>4.0071428571428571</v>
      </c>
      <c r="J1242" s="760">
        <f t="shared" si="79"/>
        <v>0.76222826086956519</v>
      </c>
    </row>
    <row r="1243" spans="1:10">
      <c r="A1243" s="74" t="s">
        <v>912</v>
      </c>
      <c r="B1243" s="74" t="s">
        <v>256</v>
      </c>
      <c r="C1243" s="74" t="s">
        <v>1513</v>
      </c>
      <c r="D1243" s="74" t="s">
        <v>81</v>
      </c>
      <c r="E1243" s="74">
        <v>87</v>
      </c>
      <c r="F1243" s="74">
        <v>762</v>
      </c>
      <c r="G1243" s="758">
        <f t="shared" si="76"/>
        <v>1.25</v>
      </c>
      <c r="H1243" s="759">
        <f t="shared" si="77"/>
        <v>0.22</v>
      </c>
      <c r="I1243" s="758">
        <f t="shared" si="78"/>
        <v>7.5086206896551726</v>
      </c>
      <c r="J1243" s="760">
        <f t="shared" si="79"/>
        <v>0.85728346456692917</v>
      </c>
    </row>
    <row r="1244" spans="1:10">
      <c r="A1244" s="74" t="s">
        <v>912</v>
      </c>
      <c r="B1244" s="74" t="s">
        <v>256</v>
      </c>
      <c r="C1244" s="74" t="s">
        <v>1514</v>
      </c>
      <c r="D1244" s="74" t="s">
        <v>81</v>
      </c>
      <c r="E1244" s="74">
        <v>58</v>
      </c>
      <c r="F1244" s="74">
        <v>315.45</v>
      </c>
      <c r="G1244" s="758">
        <f t="shared" si="76"/>
        <v>1.25</v>
      </c>
      <c r="H1244" s="759">
        <f t="shared" si="77"/>
        <v>0.22</v>
      </c>
      <c r="I1244" s="758">
        <f t="shared" si="78"/>
        <v>4.1887931034482753</v>
      </c>
      <c r="J1244" s="760">
        <f t="shared" si="79"/>
        <v>0.77016959898557613</v>
      </c>
    </row>
    <row r="1245" spans="1:10">
      <c r="A1245" s="74" t="s">
        <v>912</v>
      </c>
      <c r="B1245" s="74" t="s">
        <v>256</v>
      </c>
      <c r="C1245" s="74" t="s">
        <v>1515</v>
      </c>
      <c r="D1245" s="74" t="s">
        <v>81</v>
      </c>
      <c r="E1245" s="74">
        <v>43</v>
      </c>
      <c r="F1245" s="74">
        <v>496</v>
      </c>
      <c r="G1245" s="758">
        <f t="shared" si="76"/>
        <v>1.25</v>
      </c>
      <c r="H1245" s="759">
        <f t="shared" si="77"/>
        <v>0.22</v>
      </c>
      <c r="I1245" s="758">
        <f t="shared" si="78"/>
        <v>10.284883720930232</v>
      </c>
      <c r="J1245" s="760">
        <f t="shared" si="79"/>
        <v>0.891633064516129</v>
      </c>
    </row>
    <row r="1246" spans="1:10">
      <c r="A1246" s="74" t="s">
        <v>912</v>
      </c>
      <c r="B1246" s="74" t="s">
        <v>256</v>
      </c>
      <c r="C1246" s="74" t="s">
        <v>1516</v>
      </c>
      <c r="D1246" s="74" t="s">
        <v>82</v>
      </c>
      <c r="E1246" s="74">
        <v>47</v>
      </c>
      <c r="F1246" s="74">
        <v>1130.8499999999999</v>
      </c>
      <c r="G1246" s="758">
        <f t="shared" si="76"/>
        <v>1.25</v>
      </c>
      <c r="H1246" s="759">
        <f t="shared" si="77"/>
        <v>0.22</v>
      </c>
      <c r="I1246" s="758">
        <f t="shared" si="78"/>
        <v>22.810638297872337</v>
      </c>
      <c r="J1246" s="760">
        <f t="shared" si="79"/>
        <v>0.94804792854932129</v>
      </c>
    </row>
    <row r="1247" spans="1:10">
      <c r="A1247" s="74" t="s">
        <v>912</v>
      </c>
      <c r="B1247" s="74" t="s">
        <v>256</v>
      </c>
      <c r="C1247" s="74" t="s">
        <v>1517</v>
      </c>
      <c r="D1247" s="74" t="s">
        <v>82</v>
      </c>
      <c r="E1247" s="74">
        <v>37</v>
      </c>
      <c r="F1247" s="74">
        <v>195.75</v>
      </c>
      <c r="G1247" s="758">
        <f t="shared" si="76"/>
        <v>1.25</v>
      </c>
      <c r="H1247" s="759">
        <f t="shared" si="77"/>
        <v>0.22</v>
      </c>
      <c r="I1247" s="758">
        <f t="shared" si="78"/>
        <v>4.0405405405405403</v>
      </c>
      <c r="J1247" s="760">
        <f t="shared" si="79"/>
        <v>0.76372924648786711</v>
      </c>
    </row>
    <row r="1248" spans="1:10">
      <c r="A1248" s="74" t="s">
        <v>912</v>
      </c>
      <c r="B1248" s="74" t="s">
        <v>256</v>
      </c>
      <c r="C1248" s="74" t="s">
        <v>1527</v>
      </c>
      <c r="D1248" s="74" t="s">
        <v>82</v>
      </c>
      <c r="E1248" s="74">
        <v>41</v>
      </c>
      <c r="F1248" s="74">
        <v>215.7</v>
      </c>
      <c r="G1248" s="758">
        <f t="shared" si="76"/>
        <v>1.25</v>
      </c>
      <c r="H1248" s="759">
        <f t="shared" si="77"/>
        <v>0.22</v>
      </c>
      <c r="I1248" s="758">
        <f t="shared" si="78"/>
        <v>4.0109756097560973</v>
      </c>
      <c r="J1248" s="760">
        <f t="shared" si="79"/>
        <v>0.76240148354195636</v>
      </c>
    </row>
    <row r="1249" spans="1:10">
      <c r="A1249" s="74" t="s">
        <v>912</v>
      </c>
      <c r="B1249" s="74" t="s">
        <v>256</v>
      </c>
      <c r="C1249" s="74" t="s">
        <v>1518</v>
      </c>
      <c r="D1249" s="74" t="s">
        <v>82</v>
      </c>
      <c r="E1249" s="74">
        <v>36</v>
      </c>
      <c r="F1249" s="74">
        <v>190.05</v>
      </c>
      <c r="G1249" s="758">
        <f t="shared" si="76"/>
        <v>1.25</v>
      </c>
      <c r="H1249" s="759">
        <f t="shared" si="77"/>
        <v>0.22</v>
      </c>
      <c r="I1249" s="758">
        <f t="shared" si="78"/>
        <v>4.0291666666666668</v>
      </c>
      <c r="J1249" s="760">
        <f t="shared" si="79"/>
        <v>0.76322020520915546</v>
      </c>
    </row>
    <row r="1250" spans="1:10">
      <c r="A1250" s="74" t="s">
        <v>912</v>
      </c>
      <c r="B1250" s="74" t="s">
        <v>256</v>
      </c>
      <c r="C1250" s="74" t="s">
        <v>1519</v>
      </c>
      <c r="D1250" s="74" t="s">
        <v>84</v>
      </c>
      <c r="E1250" s="74">
        <v>7</v>
      </c>
      <c r="F1250" s="74">
        <v>34.950000000000003</v>
      </c>
      <c r="G1250" s="758">
        <f t="shared" si="76"/>
        <v>1.25</v>
      </c>
      <c r="H1250" s="759">
        <f t="shared" si="77"/>
        <v>0.22</v>
      </c>
      <c r="I1250" s="758">
        <f t="shared" si="78"/>
        <v>3.7428571428571429</v>
      </c>
      <c r="J1250" s="760">
        <f t="shared" si="79"/>
        <v>0.74964234620886983</v>
      </c>
    </row>
    <row r="1251" spans="1:10">
      <c r="A1251" s="74" t="s">
        <v>912</v>
      </c>
      <c r="B1251" s="74" t="s">
        <v>256</v>
      </c>
      <c r="C1251" s="74" t="s">
        <v>1540</v>
      </c>
      <c r="D1251" s="74" t="s">
        <v>84</v>
      </c>
      <c r="E1251" s="74">
        <v>1</v>
      </c>
      <c r="F1251" s="74">
        <v>5.4</v>
      </c>
      <c r="G1251" s="758">
        <f t="shared" si="76"/>
        <v>1.25</v>
      </c>
      <c r="H1251" s="759">
        <f t="shared" si="77"/>
        <v>0.22</v>
      </c>
      <c r="I1251" s="758">
        <f t="shared" si="78"/>
        <v>4.1500000000000004</v>
      </c>
      <c r="J1251" s="760">
        <f t="shared" si="79"/>
        <v>0.7685185185185186</v>
      </c>
    </row>
    <row r="1252" spans="1:10">
      <c r="A1252" s="74" t="s">
        <v>912</v>
      </c>
      <c r="B1252" s="74" t="s">
        <v>256</v>
      </c>
      <c r="C1252" s="74" t="s">
        <v>1520</v>
      </c>
      <c r="D1252" s="74" t="s">
        <v>84</v>
      </c>
      <c r="E1252" s="74">
        <v>2</v>
      </c>
      <c r="F1252" s="74">
        <v>10.65</v>
      </c>
      <c r="G1252" s="758">
        <f t="shared" si="76"/>
        <v>1.25</v>
      </c>
      <c r="H1252" s="759">
        <f t="shared" si="77"/>
        <v>0.22</v>
      </c>
      <c r="I1252" s="758">
        <f t="shared" si="78"/>
        <v>4.0750000000000002</v>
      </c>
      <c r="J1252" s="760">
        <f t="shared" si="79"/>
        <v>0.76525821596244126</v>
      </c>
    </row>
    <row r="1253" spans="1:10">
      <c r="A1253" s="74" t="s">
        <v>912</v>
      </c>
      <c r="B1253" s="74" t="s">
        <v>256</v>
      </c>
      <c r="C1253" s="74" t="s">
        <v>1644</v>
      </c>
      <c r="D1253" s="74" t="s">
        <v>86</v>
      </c>
      <c r="E1253" s="74">
        <v>2</v>
      </c>
      <c r="F1253" s="74">
        <v>10.65</v>
      </c>
      <c r="G1253" s="758">
        <f t="shared" si="76"/>
        <v>1.25</v>
      </c>
      <c r="H1253" s="759">
        <f t="shared" si="77"/>
        <v>0.22</v>
      </c>
      <c r="I1253" s="758">
        <f t="shared" si="78"/>
        <v>4.0750000000000002</v>
      </c>
      <c r="J1253" s="760">
        <f t="shared" si="79"/>
        <v>0.76525821596244126</v>
      </c>
    </row>
    <row r="1254" spans="1:10">
      <c r="A1254" s="74" t="s">
        <v>912</v>
      </c>
      <c r="B1254" s="74" t="s">
        <v>256</v>
      </c>
      <c r="C1254" s="74" t="s">
        <v>1578</v>
      </c>
      <c r="D1254" s="74" t="s">
        <v>86</v>
      </c>
      <c r="E1254" s="74">
        <v>3</v>
      </c>
      <c r="F1254" s="74">
        <v>15.9</v>
      </c>
      <c r="G1254" s="758">
        <f t="shared" si="76"/>
        <v>1.25</v>
      </c>
      <c r="H1254" s="759">
        <f t="shared" si="77"/>
        <v>0.22</v>
      </c>
      <c r="I1254" s="758">
        <f t="shared" si="78"/>
        <v>4.05</v>
      </c>
      <c r="J1254" s="760">
        <f t="shared" si="79"/>
        <v>0.76415094339622636</v>
      </c>
    </row>
    <row r="1255" spans="1:10">
      <c r="A1255" s="74" t="s">
        <v>912</v>
      </c>
      <c r="B1255" s="74" t="s">
        <v>256</v>
      </c>
      <c r="C1255" s="74" t="s">
        <v>1646</v>
      </c>
      <c r="D1255" s="74" t="s">
        <v>86</v>
      </c>
      <c r="E1255" s="74">
        <v>4</v>
      </c>
      <c r="F1255" s="74">
        <v>21</v>
      </c>
      <c r="G1255" s="758">
        <f t="shared" si="76"/>
        <v>1.25</v>
      </c>
      <c r="H1255" s="759">
        <f t="shared" si="77"/>
        <v>0.22</v>
      </c>
      <c r="I1255" s="758">
        <f t="shared" si="78"/>
        <v>4</v>
      </c>
      <c r="J1255" s="760">
        <f t="shared" si="79"/>
        <v>0.76190476190476186</v>
      </c>
    </row>
    <row r="1256" spans="1:10">
      <c r="A1256" s="74" t="s">
        <v>912</v>
      </c>
      <c r="B1256" s="74" t="s">
        <v>256</v>
      </c>
      <c r="C1256" s="74" t="s">
        <v>1541</v>
      </c>
      <c r="D1256" s="74" t="s">
        <v>86</v>
      </c>
      <c r="E1256" s="74">
        <v>2</v>
      </c>
      <c r="F1256" s="74">
        <v>10.65</v>
      </c>
      <c r="G1256" s="758">
        <f t="shared" si="76"/>
        <v>1.25</v>
      </c>
      <c r="H1256" s="759">
        <f t="shared" si="77"/>
        <v>0.22</v>
      </c>
      <c r="I1256" s="758">
        <f t="shared" si="78"/>
        <v>4.0750000000000002</v>
      </c>
      <c r="J1256" s="760">
        <f t="shared" si="79"/>
        <v>0.76525821596244126</v>
      </c>
    </row>
    <row r="1257" spans="1:10">
      <c r="A1257" s="74" t="s">
        <v>912</v>
      </c>
      <c r="B1257" s="74" t="s">
        <v>256</v>
      </c>
      <c r="C1257" s="74" t="s">
        <v>1543</v>
      </c>
      <c r="D1257" s="74" t="s">
        <v>87</v>
      </c>
      <c r="E1257" s="74">
        <v>5</v>
      </c>
      <c r="F1257" s="74">
        <v>26.7</v>
      </c>
      <c r="G1257" s="758">
        <f t="shared" si="76"/>
        <v>1.25</v>
      </c>
      <c r="H1257" s="759">
        <f t="shared" si="77"/>
        <v>0.22</v>
      </c>
      <c r="I1257" s="758">
        <f t="shared" si="78"/>
        <v>4.09</v>
      </c>
      <c r="J1257" s="760">
        <f t="shared" si="79"/>
        <v>0.76591760299625467</v>
      </c>
    </row>
    <row r="1258" spans="1:10">
      <c r="A1258" s="74" t="s">
        <v>912</v>
      </c>
      <c r="B1258" s="74" t="s">
        <v>256</v>
      </c>
      <c r="C1258" s="74" t="s">
        <v>1544</v>
      </c>
      <c r="D1258" s="74" t="s">
        <v>87</v>
      </c>
      <c r="E1258" s="74">
        <v>1</v>
      </c>
      <c r="F1258" s="74">
        <v>5.25</v>
      </c>
      <c r="G1258" s="758">
        <f t="shared" si="76"/>
        <v>1.25</v>
      </c>
      <c r="H1258" s="759">
        <f t="shared" si="77"/>
        <v>0.22</v>
      </c>
      <c r="I1258" s="758">
        <f t="shared" si="78"/>
        <v>4</v>
      </c>
      <c r="J1258" s="760">
        <f t="shared" si="79"/>
        <v>0.76190476190476186</v>
      </c>
    </row>
    <row r="1259" spans="1:10">
      <c r="A1259" s="74" t="s">
        <v>912</v>
      </c>
      <c r="B1259" s="74" t="s">
        <v>256</v>
      </c>
      <c r="C1259" s="74" t="s">
        <v>1561</v>
      </c>
      <c r="D1259" s="74" t="s">
        <v>87</v>
      </c>
      <c r="E1259" s="74">
        <v>5</v>
      </c>
      <c r="F1259" s="74">
        <v>26.7</v>
      </c>
      <c r="G1259" s="758">
        <f t="shared" si="76"/>
        <v>1.25</v>
      </c>
      <c r="H1259" s="759">
        <f t="shared" si="77"/>
        <v>0.22</v>
      </c>
      <c r="I1259" s="758">
        <f t="shared" si="78"/>
        <v>4.09</v>
      </c>
      <c r="J1259" s="760">
        <f t="shared" si="79"/>
        <v>0.76591760299625467</v>
      </c>
    </row>
    <row r="1260" spans="1:10">
      <c r="A1260" s="74" t="s">
        <v>912</v>
      </c>
      <c r="B1260" s="74" t="s">
        <v>256</v>
      </c>
      <c r="C1260" s="74" t="s">
        <v>1608</v>
      </c>
      <c r="D1260" s="74" t="s">
        <v>89</v>
      </c>
      <c r="E1260" s="74">
        <v>4</v>
      </c>
      <c r="F1260" s="74">
        <v>21</v>
      </c>
      <c r="G1260" s="758">
        <f t="shared" si="76"/>
        <v>1.25</v>
      </c>
      <c r="H1260" s="759">
        <f t="shared" si="77"/>
        <v>0.22</v>
      </c>
      <c r="I1260" s="758">
        <f t="shared" si="78"/>
        <v>4</v>
      </c>
      <c r="J1260" s="760">
        <f t="shared" si="79"/>
        <v>0.76190476190476186</v>
      </c>
    </row>
    <row r="1261" spans="1:10">
      <c r="A1261" s="74" t="s">
        <v>912</v>
      </c>
      <c r="B1261" s="74" t="s">
        <v>256</v>
      </c>
      <c r="C1261" s="74" t="s">
        <v>1610</v>
      </c>
      <c r="D1261" s="74" t="s">
        <v>89</v>
      </c>
      <c r="E1261" s="74">
        <v>7</v>
      </c>
      <c r="F1261" s="74">
        <v>37.200000000000003</v>
      </c>
      <c r="G1261" s="758">
        <f t="shared" si="76"/>
        <v>1.25</v>
      </c>
      <c r="H1261" s="759">
        <f t="shared" si="77"/>
        <v>0.22</v>
      </c>
      <c r="I1261" s="758">
        <f t="shared" si="78"/>
        <v>4.0642857142857149</v>
      </c>
      <c r="J1261" s="760">
        <f t="shared" si="79"/>
        <v>0.76478494623655913</v>
      </c>
    </row>
    <row r="1262" spans="1:10">
      <c r="A1262" s="74" t="s">
        <v>912</v>
      </c>
      <c r="B1262" s="74" t="s">
        <v>256</v>
      </c>
      <c r="C1262" s="74" t="s">
        <v>1546</v>
      </c>
      <c r="D1262" s="74" t="s">
        <v>89</v>
      </c>
      <c r="E1262" s="74">
        <v>1</v>
      </c>
      <c r="F1262" s="74">
        <v>5.25</v>
      </c>
      <c r="G1262" s="758">
        <f t="shared" si="76"/>
        <v>1.25</v>
      </c>
      <c r="H1262" s="759">
        <f t="shared" si="77"/>
        <v>0.22</v>
      </c>
      <c r="I1262" s="758">
        <f t="shared" si="78"/>
        <v>4</v>
      </c>
      <c r="J1262" s="760">
        <f t="shared" si="79"/>
        <v>0.76190476190476186</v>
      </c>
    </row>
    <row r="1263" spans="1:10">
      <c r="A1263" s="74" t="s">
        <v>912</v>
      </c>
      <c r="B1263" s="74" t="s">
        <v>256</v>
      </c>
      <c r="C1263" s="74" t="s">
        <v>1547</v>
      </c>
      <c r="D1263" s="74" t="s">
        <v>89</v>
      </c>
      <c r="E1263" s="74">
        <v>4</v>
      </c>
      <c r="F1263" s="74">
        <v>21.15</v>
      </c>
      <c r="G1263" s="758">
        <f t="shared" si="76"/>
        <v>1.25</v>
      </c>
      <c r="H1263" s="759">
        <f t="shared" si="77"/>
        <v>0.22</v>
      </c>
      <c r="I1263" s="758">
        <f t="shared" si="78"/>
        <v>4.0374999999999996</v>
      </c>
      <c r="J1263" s="760">
        <f t="shared" si="79"/>
        <v>0.7635933806146572</v>
      </c>
    </row>
    <row r="1264" spans="1:10">
      <c r="A1264" s="74" t="s">
        <v>912</v>
      </c>
      <c r="B1264" s="74" t="s">
        <v>256</v>
      </c>
      <c r="C1264" s="74" t="s">
        <v>1582</v>
      </c>
      <c r="D1264" s="74" t="s">
        <v>89</v>
      </c>
      <c r="E1264" s="74">
        <v>1</v>
      </c>
      <c r="F1264" s="74">
        <v>5.4</v>
      </c>
      <c r="G1264" s="758">
        <f t="shared" si="76"/>
        <v>1.25</v>
      </c>
      <c r="H1264" s="759">
        <f t="shared" si="77"/>
        <v>0.22</v>
      </c>
      <c r="I1264" s="758">
        <f t="shared" si="78"/>
        <v>4.1500000000000004</v>
      </c>
      <c r="J1264" s="760">
        <f t="shared" si="79"/>
        <v>0.7685185185185186</v>
      </c>
    </row>
    <row r="1265" spans="1:10">
      <c r="A1265" s="74" t="s">
        <v>912</v>
      </c>
      <c r="B1265" s="74" t="s">
        <v>256</v>
      </c>
      <c r="C1265" s="74" t="s">
        <v>1550</v>
      </c>
      <c r="D1265" s="74" t="s">
        <v>91</v>
      </c>
      <c r="E1265" s="74">
        <v>1</v>
      </c>
      <c r="F1265" s="74">
        <v>5.25</v>
      </c>
      <c r="G1265" s="758">
        <f t="shared" si="76"/>
        <v>1.25</v>
      </c>
      <c r="H1265" s="759">
        <f t="shared" si="77"/>
        <v>0.22</v>
      </c>
      <c r="I1265" s="758">
        <f t="shared" si="78"/>
        <v>4</v>
      </c>
      <c r="J1265" s="760">
        <f t="shared" si="79"/>
        <v>0.76190476190476186</v>
      </c>
    </row>
    <row r="1266" spans="1:10">
      <c r="A1266" s="74" t="s">
        <v>912</v>
      </c>
      <c r="B1266" s="74" t="s">
        <v>256</v>
      </c>
      <c r="C1266" s="74" t="s">
        <v>1675</v>
      </c>
      <c r="D1266" s="74" t="s">
        <v>91</v>
      </c>
      <c r="E1266" s="74">
        <v>1</v>
      </c>
      <c r="F1266" s="74">
        <v>5.4</v>
      </c>
      <c r="G1266" s="758">
        <f t="shared" si="76"/>
        <v>1.25</v>
      </c>
      <c r="H1266" s="759">
        <f t="shared" si="77"/>
        <v>0.22</v>
      </c>
      <c r="I1266" s="758">
        <f t="shared" si="78"/>
        <v>4.1500000000000004</v>
      </c>
      <c r="J1266" s="760">
        <f t="shared" si="79"/>
        <v>0.7685185185185186</v>
      </c>
    </row>
    <row r="1267" spans="1:10">
      <c r="A1267" s="74" t="s">
        <v>912</v>
      </c>
      <c r="B1267" s="74" t="s">
        <v>256</v>
      </c>
      <c r="C1267" s="74" t="s">
        <v>1584</v>
      </c>
      <c r="D1267" s="74" t="s">
        <v>92</v>
      </c>
      <c r="E1267" s="74">
        <v>2</v>
      </c>
      <c r="F1267" s="74">
        <v>10.5</v>
      </c>
      <c r="G1267" s="758">
        <f t="shared" si="76"/>
        <v>1.25</v>
      </c>
      <c r="H1267" s="759">
        <f t="shared" si="77"/>
        <v>0.22</v>
      </c>
      <c r="I1267" s="758">
        <f t="shared" si="78"/>
        <v>4</v>
      </c>
      <c r="J1267" s="760">
        <f t="shared" si="79"/>
        <v>0.76190476190476186</v>
      </c>
    </row>
    <row r="1268" spans="1:10">
      <c r="A1268" s="74" t="s">
        <v>912</v>
      </c>
      <c r="B1268" s="74" t="s">
        <v>256</v>
      </c>
      <c r="C1268" s="74" t="s">
        <v>1614</v>
      </c>
      <c r="D1268" s="74" t="s">
        <v>92</v>
      </c>
      <c r="E1268" s="74">
        <v>1</v>
      </c>
      <c r="F1268" s="74">
        <v>5.4</v>
      </c>
      <c r="G1268" s="758">
        <f t="shared" si="76"/>
        <v>1.25</v>
      </c>
      <c r="H1268" s="759">
        <f t="shared" si="77"/>
        <v>0.22</v>
      </c>
      <c r="I1268" s="758">
        <f t="shared" si="78"/>
        <v>4.1500000000000004</v>
      </c>
      <c r="J1268" s="760">
        <f t="shared" si="79"/>
        <v>0.7685185185185186</v>
      </c>
    </row>
    <row r="1269" spans="1:10">
      <c r="A1269" s="74" t="s">
        <v>912</v>
      </c>
      <c r="B1269" s="74" t="s">
        <v>256</v>
      </c>
      <c r="C1269" s="74" t="s">
        <v>1631</v>
      </c>
      <c r="D1269" s="74" t="s">
        <v>92</v>
      </c>
      <c r="E1269" s="74">
        <v>2</v>
      </c>
      <c r="F1269" s="74">
        <v>10.5</v>
      </c>
      <c r="G1269" s="758">
        <f t="shared" si="76"/>
        <v>1.25</v>
      </c>
      <c r="H1269" s="759">
        <f t="shared" si="77"/>
        <v>0.22</v>
      </c>
      <c r="I1269" s="758">
        <f t="shared" si="78"/>
        <v>4</v>
      </c>
      <c r="J1269" s="760">
        <f t="shared" si="79"/>
        <v>0.76190476190476186</v>
      </c>
    </row>
    <row r="1270" spans="1:10">
      <c r="A1270" s="74" t="s">
        <v>912</v>
      </c>
      <c r="B1270" s="74" t="s">
        <v>256</v>
      </c>
      <c r="C1270" s="74" t="s">
        <v>1555</v>
      </c>
      <c r="D1270" s="74" t="s">
        <v>94</v>
      </c>
      <c r="E1270" s="74">
        <v>2</v>
      </c>
      <c r="F1270" s="74">
        <v>10.5</v>
      </c>
      <c r="G1270" s="758">
        <f t="shared" si="76"/>
        <v>1.25</v>
      </c>
      <c r="H1270" s="759">
        <f t="shared" si="77"/>
        <v>0.22</v>
      </c>
      <c r="I1270" s="758">
        <f t="shared" si="78"/>
        <v>4</v>
      </c>
      <c r="J1270" s="760">
        <f t="shared" si="79"/>
        <v>0.76190476190476186</v>
      </c>
    </row>
    <row r="1271" spans="1:10">
      <c r="A1271" s="74" t="s">
        <v>912</v>
      </c>
      <c r="B1271" s="74" t="s">
        <v>256</v>
      </c>
      <c r="C1271" s="74" t="s">
        <v>1557</v>
      </c>
      <c r="D1271" s="74" t="s">
        <v>95</v>
      </c>
      <c r="E1271" s="74">
        <v>1</v>
      </c>
      <c r="F1271" s="74">
        <v>5.25</v>
      </c>
      <c r="G1271" s="758">
        <f t="shared" si="76"/>
        <v>1.25</v>
      </c>
      <c r="H1271" s="759">
        <f t="shared" si="77"/>
        <v>0.22</v>
      </c>
      <c r="I1271" s="758">
        <f t="shared" si="78"/>
        <v>4</v>
      </c>
      <c r="J1271" s="760">
        <f t="shared" si="79"/>
        <v>0.76190476190476186</v>
      </c>
    </row>
    <row r="1272" spans="1:10">
      <c r="A1272" s="74" t="s">
        <v>912</v>
      </c>
      <c r="B1272" s="74" t="s">
        <v>256</v>
      </c>
      <c r="C1272" s="74" t="s">
        <v>1526</v>
      </c>
      <c r="D1272" s="74" t="s">
        <v>95</v>
      </c>
      <c r="E1272" s="74">
        <v>1</v>
      </c>
      <c r="F1272" s="74">
        <v>5.25</v>
      </c>
      <c r="G1272" s="758">
        <f t="shared" si="76"/>
        <v>1.25</v>
      </c>
      <c r="H1272" s="759">
        <f t="shared" si="77"/>
        <v>0.22</v>
      </c>
      <c r="I1272" s="758">
        <f t="shared" si="78"/>
        <v>4</v>
      </c>
      <c r="J1272" s="760">
        <f t="shared" si="79"/>
        <v>0.76190476190476186</v>
      </c>
    </row>
    <row r="1273" spans="1:10">
      <c r="A1273" s="74" t="s">
        <v>1638</v>
      </c>
      <c r="B1273" s="74" t="s">
        <v>873</v>
      </c>
      <c r="C1273" s="74" t="s">
        <v>1553</v>
      </c>
      <c r="D1273" s="74" t="s">
        <v>94</v>
      </c>
      <c r="E1273" s="74">
        <v>4</v>
      </c>
      <c r="F1273" s="74">
        <v>0</v>
      </c>
      <c r="G1273" s="758">
        <f t="shared" si="76"/>
        <v>0</v>
      </c>
      <c r="H1273" s="759">
        <f t="shared" si="77"/>
        <v>0</v>
      </c>
      <c r="I1273" s="758">
        <f t="shared" si="78"/>
        <v>0</v>
      </c>
      <c r="J1273" s="760">
        <f t="shared" si="79"/>
        <v>0</v>
      </c>
    </row>
    <row r="1274" spans="1:10">
      <c r="A1274" s="74" t="s">
        <v>1639</v>
      </c>
      <c r="B1274" s="74" t="s">
        <v>258</v>
      </c>
      <c r="C1274" s="74" t="s">
        <v>1532</v>
      </c>
      <c r="D1274" s="74" t="s">
        <v>80</v>
      </c>
      <c r="E1274" s="74">
        <v>1</v>
      </c>
      <c r="F1274" s="74">
        <v>1.8</v>
      </c>
      <c r="G1274" s="758">
        <f t="shared" si="76"/>
        <v>0.16</v>
      </c>
      <c r="H1274" s="759">
        <f t="shared" si="77"/>
        <v>0.2</v>
      </c>
      <c r="I1274" s="758">
        <f t="shared" si="78"/>
        <v>1.6400000000000001</v>
      </c>
      <c r="J1274" s="760">
        <f t="shared" si="79"/>
        <v>0.91111111111111109</v>
      </c>
    </row>
    <row r="1275" spans="1:10">
      <c r="A1275" s="74" t="s">
        <v>1639</v>
      </c>
      <c r="B1275" s="74" t="s">
        <v>258</v>
      </c>
      <c r="C1275" s="74" t="s">
        <v>1605</v>
      </c>
      <c r="D1275" s="74" t="s">
        <v>87</v>
      </c>
      <c r="E1275" s="74">
        <v>1</v>
      </c>
      <c r="F1275" s="74">
        <v>0</v>
      </c>
      <c r="G1275" s="758">
        <f t="shared" si="76"/>
        <v>0.16</v>
      </c>
      <c r="H1275" s="759">
        <f t="shared" si="77"/>
        <v>0.2</v>
      </c>
      <c r="I1275" s="758">
        <f t="shared" si="78"/>
        <v>-0.16</v>
      </c>
      <c r="J1275" s="760">
        <f t="shared" si="79"/>
        <v>0</v>
      </c>
    </row>
    <row r="1276" spans="1:10">
      <c r="A1276" s="74" t="s">
        <v>1640</v>
      </c>
      <c r="B1276" s="74" t="s">
        <v>247</v>
      </c>
      <c r="C1276" s="74" t="s">
        <v>1555</v>
      </c>
      <c r="D1276" s="74" t="s">
        <v>94</v>
      </c>
      <c r="E1276" s="74">
        <v>1</v>
      </c>
      <c r="F1276" s="74">
        <v>0</v>
      </c>
      <c r="G1276" s="758">
        <f t="shared" si="76"/>
        <v>0</v>
      </c>
      <c r="H1276" s="759">
        <f t="shared" si="77"/>
        <v>0</v>
      </c>
      <c r="I1276" s="758">
        <f t="shared" si="78"/>
        <v>0</v>
      </c>
      <c r="J1276" s="760">
        <f t="shared" si="79"/>
        <v>0</v>
      </c>
    </row>
    <row r="1277" spans="1:10">
      <c r="A1277" s="74" t="s">
        <v>1641</v>
      </c>
      <c r="B1277" s="74" t="s">
        <v>877</v>
      </c>
      <c r="C1277" s="74" t="s">
        <v>1513</v>
      </c>
      <c r="D1277" s="74" t="s">
        <v>81</v>
      </c>
      <c r="E1277" s="74">
        <v>2</v>
      </c>
      <c r="F1277" s="74">
        <v>0</v>
      </c>
      <c r="G1277" s="758">
        <f t="shared" si="76"/>
        <v>1.38</v>
      </c>
      <c r="H1277" s="759">
        <f t="shared" si="77"/>
        <v>0</v>
      </c>
      <c r="I1277" s="758">
        <f t="shared" si="78"/>
        <v>-1.38</v>
      </c>
      <c r="J1277" s="760">
        <f t="shared" si="79"/>
        <v>0</v>
      </c>
    </row>
    <row r="1278" spans="1:10">
      <c r="A1278" s="74" t="s">
        <v>1642</v>
      </c>
      <c r="B1278" s="74" t="s">
        <v>877</v>
      </c>
      <c r="C1278" s="74" t="s">
        <v>1614</v>
      </c>
      <c r="D1278" s="74" t="s">
        <v>92</v>
      </c>
      <c r="E1278" s="74">
        <v>9</v>
      </c>
      <c r="F1278" s="74">
        <v>0</v>
      </c>
      <c r="G1278" s="758">
        <f t="shared" si="76"/>
        <v>0</v>
      </c>
      <c r="H1278" s="759">
        <f t="shared" si="77"/>
        <v>0</v>
      </c>
      <c r="I1278" s="758">
        <f t="shared" si="78"/>
        <v>0</v>
      </c>
      <c r="J1278" s="760">
        <f t="shared" si="79"/>
        <v>0</v>
      </c>
    </row>
    <row r="1279" spans="1:10">
      <c r="A1279" s="74" t="s">
        <v>835</v>
      </c>
      <c r="B1279" s="74" t="s">
        <v>256</v>
      </c>
      <c r="C1279" s="74" t="s">
        <v>1515</v>
      </c>
      <c r="D1279" s="74" t="s">
        <v>81</v>
      </c>
      <c r="E1279" s="74">
        <v>2</v>
      </c>
      <c r="F1279" s="74">
        <v>16.18</v>
      </c>
      <c r="G1279" s="758">
        <f t="shared" si="76"/>
        <v>0</v>
      </c>
      <c r="H1279" s="759">
        <f t="shared" si="77"/>
        <v>0</v>
      </c>
      <c r="I1279" s="758">
        <f t="shared" si="78"/>
        <v>8.09</v>
      </c>
      <c r="J1279" s="760">
        <f t="shared" si="79"/>
        <v>1</v>
      </c>
    </row>
    <row r="1280" spans="1:10">
      <c r="A1280" s="74" t="s">
        <v>909</v>
      </c>
      <c r="B1280" s="74" t="s">
        <v>276</v>
      </c>
      <c r="C1280" s="74" t="s">
        <v>1553</v>
      </c>
      <c r="D1280" s="74" t="s">
        <v>94</v>
      </c>
      <c r="E1280" s="74">
        <v>1</v>
      </c>
      <c r="F1280" s="74">
        <v>4.8499999999999996</v>
      </c>
      <c r="G1280" s="758">
        <f t="shared" si="76"/>
        <v>0</v>
      </c>
      <c r="H1280" s="759">
        <f t="shared" si="77"/>
        <v>0</v>
      </c>
      <c r="I1280" s="758">
        <f t="shared" si="78"/>
        <v>4.8499999999999996</v>
      </c>
      <c r="J1280" s="760">
        <f t="shared" si="79"/>
        <v>1</v>
      </c>
    </row>
    <row r="1281" spans="1:10">
      <c r="A1281" s="74" t="s">
        <v>909</v>
      </c>
      <c r="B1281" s="74" t="s">
        <v>276</v>
      </c>
      <c r="C1281" s="74" t="s">
        <v>1557</v>
      </c>
      <c r="D1281" s="74" t="s">
        <v>95</v>
      </c>
      <c r="E1281" s="74">
        <v>1</v>
      </c>
      <c r="F1281" s="74">
        <v>4.8499999999999996</v>
      </c>
      <c r="G1281" s="758">
        <f t="shared" si="76"/>
        <v>0</v>
      </c>
      <c r="H1281" s="759">
        <f t="shared" si="77"/>
        <v>0</v>
      </c>
      <c r="I1281" s="758">
        <f t="shared" si="78"/>
        <v>4.8499999999999996</v>
      </c>
      <c r="J1281" s="760">
        <f t="shared" si="79"/>
        <v>1</v>
      </c>
    </row>
    <row r="1282" spans="1:10">
      <c r="A1282" s="74" t="s">
        <v>909</v>
      </c>
      <c r="B1282" s="74" t="s">
        <v>276</v>
      </c>
      <c r="C1282" s="74" t="s">
        <v>1930</v>
      </c>
      <c r="D1282" s="74" t="s">
        <v>95</v>
      </c>
      <c r="E1282" s="74">
        <v>2</v>
      </c>
      <c r="F1282" s="74">
        <v>9.6999999999999993</v>
      </c>
      <c r="G1282" s="758">
        <f t="shared" ref="G1282:G1345" si="80">IFERROR(VLOOKUP(A1282,$M$1:$P$1014,2,FALSE),0)</f>
        <v>0</v>
      </c>
      <c r="H1282" s="759">
        <f t="shared" ref="H1282:H1345" si="81">IFERROR(VLOOKUP(A1282,$M$1:$P$1014,3,FALSE),0)</f>
        <v>0</v>
      </c>
      <c r="I1282" s="758">
        <f t="shared" ref="I1282:I1345" si="82">IFERROR(F1282/E1282-G1282,0)</f>
        <v>4.8499999999999996</v>
      </c>
      <c r="J1282" s="760">
        <f t="shared" ref="J1282:J1345" si="83">IFERROR(1-G1282*E1282/F1282,0)</f>
        <v>1</v>
      </c>
    </row>
    <row r="1283" spans="1:10">
      <c r="A1283" s="74" t="s">
        <v>1643</v>
      </c>
      <c r="B1283" s="74" t="s">
        <v>266</v>
      </c>
      <c r="C1283" s="74" t="s">
        <v>1555</v>
      </c>
      <c r="D1283" s="74" t="s">
        <v>94</v>
      </c>
      <c r="E1283" s="74">
        <v>1</v>
      </c>
      <c r="F1283" s="74">
        <v>18.149999999999999</v>
      </c>
      <c r="G1283" s="758">
        <f t="shared" si="80"/>
        <v>0</v>
      </c>
      <c r="H1283" s="759">
        <f t="shared" si="81"/>
        <v>0</v>
      </c>
      <c r="I1283" s="758">
        <f t="shared" si="82"/>
        <v>18.149999999999999</v>
      </c>
      <c r="J1283" s="760">
        <f t="shared" si="83"/>
        <v>1</v>
      </c>
    </row>
    <row r="1284" spans="1:10">
      <c r="A1284" s="74" t="s">
        <v>1645</v>
      </c>
      <c r="B1284" s="74" t="s">
        <v>276</v>
      </c>
      <c r="C1284" s="74" t="s">
        <v>1544</v>
      </c>
      <c r="D1284" s="74" t="s">
        <v>87</v>
      </c>
      <c r="E1284" s="74">
        <v>1</v>
      </c>
      <c r="F1284" s="74">
        <v>16.149999999999999</v>
      </c>
      <c r="G1284" s="758">
        <f t="shared" si="80"/>
        <v>0</v>
      </c>
      <c r="H1284" s="759">
        <f t="shared" si="81"/>
        <v>0</v>
      </c>
      <c r="I1284" s="758">
        <f t="shared" si="82"/>
        <v>16.149999999999999</v>
      </c>
      <c r="J1284" s="760">
        <f t="shared" si="83"/>
        <v>1</v>
      </c>
    </row>
    <row r="1285" spans="1:10">
      <c r="A1285" s="74" t="s">
        <v>1647</v>
      </c>
      <c r="B1285" s="74" t="s">
        <v>877</v>
      </c>
      <c r="C1285" s="74" t="s">
        <v>1644</v>
      </c>
      <c r="D1285" s="74" t="s">
        <v>86</v>
      </c>
      <c r="E1285" s="74">
        <v>9</v>
      </c>
      <c r="F1285" s="74">
        <v>0</v>
      </c>
      <c r="G1285" s="758">
        <f t="shared" si="80"/>
        <v>0</v>
      </c>
      <c r="H1285" s="759">
        <f t="shared" si="81"/>
        <v>0</v>
      </c>
      <c r="I1285" s="758">
        <f t="shared" si="82"/>
        <v>0</v>
      </c>
      <c r="J1285" s="760">
        <f t="shared" si="83"/>
        <v>0</v>
      </c>
    </row>
    <row r="1286" spans="1:10">
      <c r="A1286" s="74" t="s">
        <v>1056</v>
      </c>
      <c r="B1286" s="74" t="s">
        <v>877</v>
      </c>
      <c r="C1286" s="74" t="s">
        <v>1930</v>
      </c>
      <c r="D1286" s="74" t="s">
        <v>95</v>
      </c>
      <c r="E1286" s="74">
        <v>5</v>
      </c>
      <c r="F1286" s="74">
        <v>0</v>
      </c>
      <c r="G1286" s="758">
        <f t="shared" si="80"/>
        <v>0</v>
      </c>
      <c r="H1286" s="759">
        <f t="shared" si="81"/>
        <v>0</v>
      </c>
      <c r="I1286" s="758">
        <f t="shared" si="82"/>
        <v>0</v>
      </c>
      <c r="J1286" s="760">
        <f t="shared" si="83"/>
        <v>0</v>
      </c>
    </row>
    <row r="1287" spans="1:10">
      <c r="A1287" s="74" t="s">
        <v>1648</v>
      </c>
      <c r="B1287" s="74" t="s">
        <v>877</v>
      </c>
      <c r="C1287" s="74" t="s">
        <v>1610</v>
      </c>
      <c r="D1287" s="74" t="s">
        <v>89</v>
      </c>
      <c r="E1287" s="74">
        <v>10</v>
      </c>
      <c r="F1287" s="74">
        <v>0</v>
      </c>
      <c r="G1287" s="758">
        <f t="shared" si="80"/>
        <v>0</v>
      </c>
      <c r="H1287" s="759">
        <f t="shared" si="81"/>
        <v>0</v>
      </c>
      <c r="I1287" s="758">
        <f t="shared" si="82"/>
        <v>0</v>
      </c>
      <c r="J1287" s="760">
        <f t="shared" si="83"/>
        <v>0</v>
      </c>
    </row>
    <row r="1288" spans="1:10">
      <c r="A1288" s="74" t="s">
        <v>1649</v>
      </c>
      <c r="B1288" s="74" t="s">
        <v>877</v>
      </c>
      <c r="C1288" s="74" t="s">
        <v>1534</v>
      </c>
      <c r="D1288" s="74" t="s">
        <v>81</v>
      </c>
      <c r="E1288" s="74">
        <v>3</v>
      </c>
      <c r="F1288" s="74">
        <v>0</v>
      </c>
      <c r="G1288" s="758">
        <f t="shared" si="80"/>
        <v>0</v>
      </c>
      <c r="H1288" s="759">
        <f t="shared" si="81"/>
        <v>0.16</v>
      </c>
      <c r="I1288" s="758">
        <f t="shared" si="82"/>
        <v>0</v>
      </c>
      <c r="J1288" s="760">
        <f t="shared" si="83"/>
        <v>0</v>
      </c>
    </row>
    <row r="1289" spans="1:10">
      <c r="A1289" s="74" t="s">
        <v>1650</v>
      </c>
      <c r="B1289" s="74" t="s">
        <v>877</v>
      </c>
      <c r="C1289" s="74" t="s">
        <v>1617</v>
      </c>
      <c r="D1289" s="74" t="s">
        <v>94</v>
      </c>
      <c r="E1289" s="74">
        <v>8</v>
      </c>
      <c r="F1289" s="74">
        <v>0</v>
      </c>
      <c r="G1289" s="758">
        <f t="shared" si="80"/>
        <v>0</v>
      </c>
      <c r="H1289" s="759">
        <f t="shared" si="81"/>
        <v>0</v>
      </c>
      <c r="I1289" s="758">
        <f t="shared" si="82"/>
        <v>0</v>
      </c>
      <c r="J1289" s="760">
        <f t="shared" si="83"/>
        <v>0</v>
      </c>
    </row>
    <row r="1290" spans="1:10">
      <c r="A1290" s="74" t="s">
        <v>1651</v>
      </c>
      <c r="B1290" s="74" t="s">
        <v>877</v>
      </c>
      <c r="C1290" s="74" t="s">
        <v>1516</v>
      </c>
      <c r="D1290" s="74" t="s">
        <v>82</v>
      </c>
      <c r="E1290" s="74">
        <v>7</v>
      </c>
      <c r="F1290" s="74">
        <v>0</v>
      </c>
      <c r="G1290" s="758">
        <f t="shared" si="80"/>
        <v>0</v>
      </c>
      <c r="H1290" s="759">
        <f t="shared" si="81"/>
        <v>0.24</v>
      </c>
      <c r="I1290" s="758">
        <f t="shared" si="82"/>
        <v>0</v>
      </c>
      <c r="J1290" s="760">
        <f t="shared" si="83"/>
        <v>0</v>
      </c>
    </row>
    <row r="1291" spans="1:10">
      <c r="A1291" s="74" t="s">
        <v>1146</v>
      </c>
      <c r="B1291" s="74" t="s">
        <v>264</v>
      </c>
      <c r="C1291" s="74" t="s">
        <v>1546</v>
      </c>
      <c r="D1291" s="74" t="s">
        <v>89</v>
      </c>
      <c r="E1291" s="74">
        <v>2</v>
      </c>
      <c r="F1291" s="74">
        <v>4.2</v>
      </c>
      <c r="G1291" s="758">
        <f t="shared" si="80"/>
        <v>0</v>
      </c>
      <c r="H1291" s="759">
        <f t="shared" si="81"/>
        <v>0</v>
      </c>
      <c r="I1291" s="758">
        <f t="shared" si="82"/>
        <v>2.1</v>
      </c>
      <c r="J1291" s="760">
        <f t="shared" si="83"/>
        <v>1</v>
      </c>
    </row>
    <row r="1292" spans="1:10">
      <c r="A1292" s="74" t="s">
        <v>1146</v>
      </c>
      <c r="B1292" s="74" t="s">
        <v>264</v>
      </c>
      <c r="C1292" s="74" t="s">
        <v>1547</v>
      </c>
      <c r="D1292" s="74" t="s">
        <v>89</v>
      </c>
      <c r="E1292" s="74">
        <v>2</v>
      </c>
      <c r="F1292" s="74">
        <v>4.2</v>
      </c>
      <c r="G1292" s="758">
        <f t="shared" si="80"/>
        <v>0</v>
      </c>
      <c r="H1292" s="759">
        <f t="shared" si="81"/>
        <v>0</v>
      </c>
      <c r="I1292" s="758">
        <f t="shared" si="82"/>
        <v>2.1</v>
      </c>
      <c r="J1292" s="760">
        <f t="shared" si="83"/>
        <v>1</v>
      </c>
    </row>
    <row r="1293" spans="1:10">
      <c r="A1293" s="74" t="s">
        <v>1146</v>
      </c>
      <c r="B1293" s="74" t="s">
        <v>264</v>
      </c>
      <c r="C1293" s="74" t="s">
        <v>1675</v>
      </c>
      <c r="D1293" s="74" t="s">
        <v>91</v>
      </c>
      <c r="E1293" s="74">
        <v>1</v>
      </c>
      <c r="F1293" s="74">
        <v>2.1</v>
      </c>
      <c r="G1293" s="758">
        <f t="shared" si="80"/>
        <v>0</v>
      </c>
      <c r="H1293" s="759">
        <f t="shared" si="81"/>
        <v>0</v>
      </c>
      <c r="I1293" s="758">
        <f t="shared" si="82"/>
        <v>2.1</v>
      </c>
      <c r="J1293" s="760">
        <f t="shared" si="83"/>
        <v>1</v>
      </c>
    </row>
    <row r="1294" spans="1:10">
      <c r="A1294" s="74" t="s">
        <v>1146</v>
      </c>
      <c r="B1294" s="74" t="s">
        <v>264</v>
      </c>
      <c r="C1294" s="74" t="s">
        <v>1553</v>
      </c>
      <c r="D1294" s="74" t="s">
        <v>94</v>
      </c>
      <c r="E1294" s="74">
        <v>1</v>
      </c>
      <c r="F1294" s="74">
        <v>2.1</v>
      </c>
      <c r="G1294" s="758">
        <f t="shared" si="80"/>
        <v>0</v>
      </c>
      <c r="H1294" s="759">
        <f t="shared" si="81"/>
        <v>0</v>
      </c>
      <c r="I1294" s="758">
        <f t="shared" si="82"/>
        <v>2.1</v>
      </c>
      <c r="J1294" s="760">
        <f t="shared" si="83"/>
        <v>1</v>
      </c>
    </row>
    <row r="1295" spans="1:10">
      <c r="A1295" s="74" t="s">
        <v>1652</v>
      </c>
      <c r="B1295" s="74" t="s">
        <v>877</v>
      </c>
      <c r="C1295" s="74" t="s">
        <v>1541</v>
      </c>
      <c r="D1295" s="74" t="s">
        <v>86</v>
      </c>
      <c r="E1295" s="74">
        <v>6</v>
      </c>
      <c r="F1295" s="74">
        <v>0</v>
      </c>
      <c r="G1295" s="758">
        <f t="shared" si="80"/>
        <v>0</v>
      </c>
      <c r="H1295" s="759">
        <f t="shared" si="81"/>
        <v>0</v>
      </c>
      <c r="I1295" s="758">
        <f t="shared" si="82"/>
        <v>0</v>
      </c>
      <c r="J1295" s="760">
        <f t="shared" si="83"/>
        <v>0</v>
      </c>
    </row>
    <row r="1296" spans="1:10">
      <c r="A1296" s="74" t="s">
        <v>1653</v>
      </c>
      <c r="B1296" s="74" t="s">
        <v>877</v>
      </c>
      <c r="C1296" s="74" t="s">
        <v>1522</v>
      </c>
      <c r="D1296" s="74" t="s">
        <v>91</v>
      </c>
      <c r="E1296" s="74">
        <v>5</v>
      </c>
      <c r="F1296" s="74">
        <v>0</v>
      </c>
      <c r="G1296" s="758">
        <f t="shared" si="80"/>
        <v>0</v>
      </c>
      <c r="H1296" s="759">
        <f t="shared" si="81"/>
        <v>0</v>
      </c>
      <c r="I1296" s="758">
        <f t="shared" si="82"/>
        <v>0</v>
      </c>
      <c r="J1296" s="760">
        <f t="shared" si="83"/>
        <v>0</v>
      </c>
    </row>
    <row r="1297" spans="1:10">
      <c r="A1297" s="74" t="s">
        <v>1654</v>
      </c>
      <c r="B1297" s="74" t="s">
        <v>873</v>
      </c>
      <c r="C1297" s="74" t="s">
        <v>1530</v>
      </c>
      <c r="D1297" s="74" t="s">
        <v>80</v>
      </c>
      <c r="E1297" s="74">
        <v>8</v>
      </c>
      <c r="F1297" s="74">
        <v>0</v>
      </c>
      <c r="G1297" s="758">
        <f t="shared" si="80"/>
        <v>1.37</v>
      </c>
      <c r="H1297" s="759">
        <f t="shared" si="81"/>
        <v>0</v>
      </c>
      <c r="I1297" s="758">
        <f t="shared" si="82"/>
        <v>-1.37</v>
      </c>
      <c r="J1297" s="760">
        <f t="shared" si="83"/>
        <v>0</v>
      </c>
    </row>
    <row r="1298" spans="1:10">
      <c r="A1298" s="74" t="s">
        <v>1655</v>
      </c>
      <c r="B1298" s="74" t="s">
        <v>873</v>
      </c>
      <c r="C1298" s="74" t="s">
        <v>1532</v>
      </c>
      <c r="D1298" s="74" t="s">
        <v>80</v>
      </c>
      <c r="E1298" s="74">
        <v>8</v>
      </c>
      <c r="F1298" s="74">
        <v>0</v>
      </c>
      <c r="G1298" s="758">
        <f t="shared" si="80"/>
        <v>0</v>
      </c>
      <c r="H1298" s="759">
        <f t="shared" si="81"/>
        <v>0</v>
      </c>
      <c r="I1298" s="758">
        <f t="shared" si="82"/>
        <v>0</v>
      </c>
      <c r="J1298" s="760">
        <f t="shared" si="83"/>
        <v>0</v>
      </c>
    </row>
    <row r="1299" spans="1:10">
      <c r="A1299" s="74" t="s">
        <v>1655</v>
      </c>
      <c r="B1299" s="74" t="s">
        <v>873</v>
      </c>
      <c r="C1299" s="74" t="s">
        <v>1527</v>
      </c>
      <c r="D1299" s="74" t="s">
        <v>82</v>
      </c>
      <c r="E1299" s="74">
        <v>6</v>
      </c>
      <c r="F1299" s="74">
        <v>0</v>
      </c>
      <c r="G1299" s="758">
        <f t="shared" si="80"/>
        <v>0</v>
      </c>
      <c r="H1299" s="759">
        <f t="shared" si="81"/>
        <v>0</v>
      </c>
      <c r="I1299" s="758">
        <f t="shared" si="82"/>
        <v>0</v>
      </c>
      <c r="J1299" s="760">
        <f t="shared" si="83"/>
        <v>0</v>
      </c>
    </row>
    <row r="1300" spans="1:10">
      <c r="A1300" s="74" t="s">
        <v>1656</v>
      </c>
      <c r="B1300" s="74" t="s">
        <v>873</v>
      </c>
      <c r="C1300" s="74" t="s">
        <v>1617</v>
      </c>
      <c r="D1300" s="74" t="s">
        <v>94</v>
      </c>
      <c r="E1300" s="74">
        <v>5</v>
      </c>
      <c r="F1300" s="74">
        <v>0</v>
      </c>
      <c r="G1300" s="758">
        <f t="shared" si="80"/>
        <v>0</v>
      </c>
      <c r="H1300" s="759">
        <f t="shared" si="81"/>
        <v>0</v>
      </c>
      <c r="I1300" s="758">
        <f t="shared" si="82"/>
        <v>0</v>
      </c>
      <c r="J1300" s="760">
        <f t="shared" si="83"/>
        <v>0</v>
      </c>
    </row>
    <row r="1301" spans="1:10">
      <c r="A1301" s="74" t="s">
        <v>1657</v>
      </c>
      <c r="B1301" s="74" t="s">
        <v>877</v>
      </c>
      <c r="C1301" s="74" t="s">
        <v>1514</v>
      </c>
      <c r="D1301" s="74" t="s">
        <v>81</v>
      </c>
      <c r="E1301" s="74">
        <v>1</v>
      </c>
      <c r="F1301" s="74">
        <v>4</v>
      </c>
      <c r="G1301" s="758">
        <f t="shared" si="80"/>
        <v>0</v>
      </c>
      <c r="H1301" s="759">
        <f t="shared" si="81"/>
        <v>0.16</v>
      </c>
      <c r="I1301" s="758">
        <f t="shared" si="82"/>
        <v>4</v>
      </c>
      <c r="J1301" s="760">
        <f t="shared" si="83"/>
        <v>1</v>
      </c>
    </row>
    <row r="1302" spans="1:10">
      <c r="A1302" s="74" t="s">
        <v>1214</v>
      </c>
      <c r="B1302" s="74" t="s">
        <v>253</v>
      </c>
      <c r="C1302" s="74" t="s">
        <v>1532</v>
      </c>
      <c r="D1302" s="74" t="s">
        <v>80</v>
      </c>
      <c r="E1302" s="74">
        <v>1</v>
      </c>
      <c r="F1302" s="74">
        <v>3.4</v>
      </c>
      <c r="G1302" s="758">
        <f t="shared" si="80"/>
        <v>0.9</v>
      </c>
      <c r="H1302" s="759">
        <f t="shared" si="81"/>
        <v>0.39</v>
      </c>
      <c r="I1302" s="758">
        <f t="shared" si="82"/>
        <v>2.5</v>
      </c>
      <c r="J1302" s="760">
        <f t="shared" si="83"/>
        <v>0.73529411764705888</v>
      </c>
    </row>
    <row r="1303" spans="1:10">
      <c r="A1303" s="74" t="s">
        <v>1214</v>
      </c>
      <c r="B1303" s="74" t="s">
        <v>253</v>
      </c>
      <c r="C1303" s="74" t="s">
        <v>1512</v>
      </c>
      <c r="D1303" s="74" t="s">
        <v>80</v>
      </c>
      <c r="E1303" s="74">
        <v>1</v>
      </c>
      <c r="F1303" s="74">
        <v>3.4</v>
      </c>
      <c r="G1303" s="758">
        <f t="shared" si="80"/>
        <v>0.9</v>
      </c>
      <c r="H1303" s="759">
        <f t="shared" si="81"/>
        <v>0.39</v>
      </c>
      <c r="I1303" s="758">
        <f t="shared" si="82"/>
        <v>2.5</v>
      </c>
      <c r="J1303" s="760">
        <f t="shared" si="83"/>
        <v>0.73529411764705888</v>
      </c>
    </row>
    <row r="1304" spans="1:10">
      <c r="A1304" s="74" t="s">
        <v>1214</v>
      </c>
      <c r="B1304" s="74" t="s">
        <v>253</v>
      </c>
      <c r="C1304" s="74" t="s">
        <v>1527</v>
      </c>
      <c r="D1304" s="74" t="s">
        <v>82</v>
      </c>
      <c r="E1304" s="74">
        <v>1</v>
      </c>
      <c r="F1304" s="74">
        <v>3.4</v>
      </c>
      <c r="G1304" s="758">
        <f t="shared" si="80"/>
        <v>0.9</v>
      </c>
      <c r="H1304" s="759">
        <f t="shared" si="81"/>
        <v>0.39</v>
      </c>
      <c r="I1304" s="758">
        <f t="shared" si="82"/>
        <v>2.5</v>
      </c>
      <c r="J1304" s="760">
        <f t="shared" si="83"/>
        <v>0.73529411764705888</v>
      </c>
    </row>
    <row r="1305" spans="1:10">
      <c r="A1305" s="74" t="s">
        <v>1214</v>
      </c>
      <c r="B1305" s="74" t="s">
        <v>253</v>
      </c>
      <c r="C1305" s="74" t="s">
        <v>1578</v>
      </c>
      <c r="D1305" s="74" t="s">
        <v>86</v>
      </c>
      <c r="E1305" s="74">
        <v>1</v>
      </c>
      <c r="F1305" s="74">
        <v>3.65</v>
      </c>
      <c r="G1305" s="758">
        <f t="shared" si="80"/>
        <v>0.9</v>
      </c>
      <c r="H1305" s="759">
        <f t="shared" si="81"/>
        <v>0.39</v>
      </c>
      <c r="I1305" s="758">
        <f t="shared" si="82"/>
        <v>2.75</v>
      </c>
      <c r="J1305" s="760">
        <f t="shared" si="83"/>
        <v>0.75342465753424659</v>
      </c>
    </row>
    <row r="1306" spans="1:10">
      <c r="A1306" s="74" t="s">
        <v>1658</v>
      </c>
      <c r="B1306" s="74" t="s">
        <v>877</v>
      </c>
      <c r="C1306" s="74" t="s">
        <v>1930</v>
      </c>
      <c r="D1306" s="74" t="s">
        <v>95</v>
      </c>
      <c r="E1306" s="74">
        <v>6</v>
      </c>
      <c r="F1306" s="74">
        <v>0</v>
      </c>
      <c r="G1306" s="758">
        <f t="shared" si="80"/>
        <v>0</v>
      </c>
      <c r="H1306" s="759">
        <f t="shared" si="81"/>
        <v>0</v>
      </c>
      <c r="I1306" s="758">
        <f t="shared" si="82"/>
        <v>0</v>
      </c>
      <c r="J1306" s="760">
        <f t="shared" si="83"/>
        <v>0</v>
      </c>
    </row>
    <row r="1307" spans="1:10">
      <c r="A1307" s="74" t="s">
        <v>1659</v>
      </c>
      <c r="B1307" s="74" t="s">
        <v>266</v>
      </c>
      <c r="C1307" s="74" t="s">
        <v>1530</v>
      </c>
      <c r="D1307" s="74" t="s">
        <v>80</v>
      </c>
      <c r="E1307" s="74">
        <v>5</v>
      </c>
      <c r="F1307" s="74">
        <v>0</v>
      </c>
      <c r="G1307" s="758">
        <f t="shared" si="80"/>
        <v>0.73</v>
      </c>
      <c r="H1307" s="759">
        <f t="shared" si="81"/>
        <v>0</v>
      </c>
      <c r="I1307" s="758">
        <f t="shared" si="82"/>
        <v>-0.73</v>
      </c>
      <c r="J1307" s="760">
        <f t="shared" si="83"/>
        <v>0</v>
      </c>
    </row>
    <row r="1308" spans="1:10">
      <c r="A1308" s="74" t="s">
        <v>1659</v>
      </c>
      <c r="B1308" s="74" t="s">
        <v>266</v>
      </c>
      <c r="C1308" s="74" t="s">
        <v>1532</v>
      </c>
      <c r="D1308" s="74" t="s">
        <v>80</v>
      </c>
      <c r="E1308" s="74">
        <v>2</v>
      </c>
      <c r="F1308" s="74">
        <v>0</v>
      </c>
      <c r="G1308" s="758">
        <f t="shared" si="80"/>
        <v>0.73</v>
      </c>
      <c r="H1308" s="759">
        <f t="shared" si="81"/>
        <v>0</v>
      </c>
      <c r="I1308" s="758">
        <f t="shared" si="82"/>
        <v>-0.73</v>
      </c>
      <c r="J1308" s="760">
        <f t="shared" si="83"/>
        <v>0</v>
      </c>
    </row>
    <row r="1309" spans="1:10">
      <c r="A1309" s="74" t="s">
        <v>1659</v>
      </c>
      <c r="B1309" s="74" t="s">
        <v>266</v>
      </c>
      <c r="C1309" s="74" t="s">
        <v>1512</v>
      </c>
      <c r="D1309" s="74" t="s">
        <v>80</v>
      </c>
      <c r="E1309" s="74">
        <v>1</v>
      </c>
      <c r="F1309" s="74">
        <v>0</v>
      </c>
      <c r="G1309" s="758">
        <f t="shared" si="80"/>
        <v>0.73</v>
      </c>
      <c r="H1309" s="759">
        <f t="shared" si="81"/>
        <v>0</v>
      </c>
      <c r="I1309" s="758">
        <f t="shared" si="82"/>
        <v>-0.73</v>
      </c>
      <c r="J1309" s="760">
        <f t="shared" si="83"/>
        <v>0</v>
      </c>
    </row>
    <row r="1310" spans="1:10">
      <c r="A1310" s="74" t="s">
        <v>1660</v>
      </c>
      <c r="B1310" s="74" t="s">
        <v>266</v>
      </c>
      <c r="C1310" s="74" t="s">
        <v>1534</v>
      </c>
      <c r="D1310" s="74" t="s">
        <v>81</v>
      </c>
      <c r="E1310" s="74">
        <v>2</v>
      </c>
      <c r="F1310" s="74">
        <v>0</v>
      </c>
      <c r="G1310" s="758">
        <f t="shared" si="80"/>
        <v>0.7</v>
      </c>
      <c r="H1310" s="759">
        <f t="shared" si="81"/>
        <v>0.2</v>
      </c>
      <c r="I1310" s="758">
        <f t="shared" si="82"/>
        <v>-0.7</v>
      </c>
      <c r="J1310" s="760">
        <f t="shared" si="83"/>
        <v>0</v>
      </c>
    </row>
    <row r="1311" spans="1:10">
      <c r="A1311" s="74" t="s">
        <v>1660</v>
      </c>
      <c r="B1311" s="74" t="s">
        <v>266</v>
      </c>
      <c r="C1311" s="74" t="s">
        <v>1517</v>
      </c>
      <c r="D1311" s="74" t="s">
        <v>82</v>
      </c>
      <c r="E1311" s="74">
        <v>4</v>
      </c>
      <c r="F1311" s="74">
        <v>0</v>
      </c>
      <c r="G1311" s="758">
        <f t="shared" si="80"/>
        <v>0.7</v>
      </c>
      <c r="H1311" s="759">
        <f t="shared" si="81"/>
        <v>0.2</v>
      </c>
      <c r="I1311" s="758">
        <f t="shared" si="82"/>
        <v>-0.7</v>
      </c>
      <c r="J1311" s="760">
        <f t="shared" si="83"/>
        <v>0</v>
      </c>
    </row>
    <row r="1312" spans="1:10">
      <c r="A1312" s="74" t="s">
        <v>1660</v>
      </c>
      <c r="B1312" s="74" t="s">
        <v>266</v>
      </c>
      <c r="C1312" s="74" t="s">
        <v>1527</v>
      </c>
      <c r="D1312" s="74" t="s">
        <v>82</v>
      </c>
      <c r="E1312" s="74">
        <v>1</v>
      </c>
      <c r="F1312" s="74">
        <v>3.25</v>
      </c>
      <c r="G1312" s="758">
        <f t="shared" si="80"/>
        <v>0.7</v>
      </c>
      <c r="H1312" s="759">
        <f t="shared" si="81"/>
        <v>0.2</v>
      </c>
      <c r="I1312" s="758">
        <f t="shared" si="82"/>
        <v>2.5499999999999998</v>
      </c>
      <c r="J1312" s="760">
        <f t="shared" si="83"/>
        <v>0.7846153846153846</v>
      </c>
    </row>
    <row r="1313" spans="1:10">
      <c r="A1313" s="74" t="s">
        <v>1660</v>
      </c>
      <c r="B1313" s="74" t="s">
        <v>266</v>
      </c>
      <c r="C1313" s="74" t="s">
        <v>1540</v>
      </c>
      <c r="D1313" s="74" t="s">
        <v>84</v>
      </c>
      <c r="E1313" s="74">
        <v>2</v>
      </c>
      <c r="F1313" s="74">
        <v>0</v>
      </c>
      <c r="G1313" s="758">
        <f t="shared" si="80"/>
        <v>0.7</v>
      </c>
      <c r="H1313" s="759">
        <f t="shared" si="81"/>
        <v>0.2</v>
      </c>
      <c r="I1313" s="758">
        <f t="shared" si="82"/>
        <v>-0.7</v>
      </c>
      <c r="J1313" s="760">
        <f t="shared" si="83"/>
        <v>0</v>
      </c>
    </row>
    <row r="1314" spans="1:10">
      <c r="A1314" s="74" t="s">
        <v>1661</v>
      </c>
      <c r="B1314" s="74" t="s">
        <v>266</v>
      </c>
      <c r="C1314" s="74" t="s">
        <v>1511</v>
      </c>
      <c r="D1314" s="74" t="s">
        <v>80</v>
      </c>
      <c r="E1314" s="74">
        <v>1</v>
      </c>
      <c r="F1314" s="74">
        <v>0</v>
      </c>
      <c r="G1314" s="758">
        <f t="shared" si="80"/>
        <v>0.12</v>
      </c>
      <c r="H1314" s="759">
        <f t="shared" si="81"/>
        <v>0.28999999999999998</v>
      </c>
      <c r="I1314" s="758">
        <f t="shared" si="82"/>
        <v>-0.12</v>
      </c>
      <c r="J1314" s="760">
        <f t="shared" si="83"/>
        <v>0</v>
      </c>
    </row>
    <row r="1315" spans="1:10">
      <c r="A1315" s="74" t="s">
        <v>1661</v>
      </c>
      <c r="B1315" s="74" t="s">
        <v>266</v>
      </c>
      <c r="C1315" s="74" t="s">
        <v>1518</v>
      </c>
      <c r="D1315" s="74" t="s">
        <v>82</v>
      </c>
      <c r="E1315" s="74">
        <v>5</v>
      </c>
      <c r="F1315" s="74">
        <v>3.2</v>
      </c>
      <c r="G1315" s="758">
        <f t="shared" si="80"/>
        <v>0.12</v>
      </c>
      <c r="H1315" s="759">
        <f t="shared" si="81"/>
        <v>0.28999999999999998</v>
      </c>
      <c r="I1315" s="758">
        <f t="shared" si="82"/>
        <v>0.52</v>
      </c>
      <c r="J1315" s="760">
        <f t="shared" si="83"/>
        <v>0.8125</v>
      </c>
    </row>
    <row r="1316" spans="1:10">
      <c r="A1316" s="74" t="s">
        <v>2272</v>
      </c>
      <c r="B1316" s="74" t="s">
        <v>247</v>
      </c>
      <c r="C1316" s="74" t="s">
        <v>1507</v>
      </c>
      <c r="D1316" s="74" t="s">
        <v>86</v>
      </c>
      <c r="E1316" s="74">
        <v>2</v>
      </c>
      <c r="F1316" s="74">
        <v>3.4</v>
      </c>
      <c r="G1316" s="758">
        <f t="shared" si="80"/>
        <v>0.19</v>
      </c>
      <c r="H1316" s="759">
        <f t="shared" si="81"/>
        <v>0.26</v>
      </c>
      <c r="I1316" s="758">
        <f t="shared" si="82"/>
        <v>1.51</v>
      </c>
      <c r="J1316" s="760">
        <f t="shared" si="83"/>
        <v>0.88823529411764701</v>
      </c>
    </row>
    <row r="1317" spans="1:10">
      <c r="A1317" s="74" t="s">
        <v>2272</v>
      </c>
      <c r="B1317" s="74" t="s">
        <v>247</v>
      </c>
      <c r="C1317" s="74" t="s">
        <v>1578</v>
      </c>
      <c r="D1317" s="74" t="s">
        <v>86</v>
      </c>
      <c r="E1317" s="74">
        <v>3</v>
      </c>
      <c r="F1317" s="74">
        <v>5.0999999999999996</v>
      </c>
      <c r="G1317" s="758">
        <f t="shared" si="80"/>
        <v>0.19</v>
      </c>
      <c r="H1317" s="759">
        <f t="shared" si="81"/>
        <v>0.26</v>
      </c>
      <c r="I1317" s="758">
        <f t="shared" si="82"/>
        <v>1.51</v>
      </c>
      <c r="J1317" s="760">
        <f t="shared" si="83"/>
        <v>0.88823529411764701</v>
      </c>
    </row>
    <row r="1318" spans="1:10">
      <c r="A1318" s="74" t="s">
        <v>2272</v>
      </c>
      <c r="B1318" s="74" t="s">
        <v>247</v>
      </c>
      <c r="C1318" s="74" t="s">
        <v>1561</v>
      </c>
      <c r="D1318" s="74" t="s">
        <v>87</v>
      </c>
      <c r="E1318" s="74">
        <v>1</v>
      </c>
      <c r="F1318" s="74">
        <v>1.7</v>
      </c>
      <c r="G1318" s="758">
        <f t="shared" si="80"/>
        <v>0.19</v>
      </c>
      <c r="H1318" s="759">
        <f t="shared" si="81"/>
        <v>0.26</v>
      </c>
      <c r="I1318" s="758">
        <f t="shared" si="82"/>
        <v>1.51</v>
      </c>
      <c r="J1318" s="760">
        <f t="shared" si="83"/>
        <v>0.88823529411764701</v>
      </c>
    </row>
    <row r="1319" spans="1:10">
      <c r="A1319" s="74" t="s">
        <v>2272</v>
      </c>
      <c r="B1319" s="74" t="s">
        <v>247</v>
      </c>
      <c r="C1319" s="74" t="s">
        <v>1546</v>
      </c>
      <c r="D1319" s="74" t="s">
        <v>89</v>
      </c>
      <c r="E1319" s="74">
        <v>2</v>
      </c>
      <c r="F1319" s="74">
        <v>3.4</v>
      </c>
      <c r="G1319" s="758">
        <f t="shared" si="80"/>
        <v>0.19</v>
      </c>
      <c r="H1319" s="759">
        <f t="shared" si="81"/>
        <v>0.26</v>
      </c>
      <c r="I1319" s="758">
        <f t="shared" si="82"/>
        <v>1.51</v>
      </c>
      <c r="J1319" s="760">
        <f t="shared" si="83"/>
        <v>0.88823529411764701</v>
      </c>
    </row>
    <row r="1320" spans="1:10">
      <c r="A1320" s="74" t="s">
        <v>2273</v>
      </c>
      <c r="B1320" s="74" t="s">
        <v>247</v>
      </c>
      <c r="C1320" s="74" t="s">
        <v>1541</v>
      </c>
      <c r="D1320" s="74" t="s">
        <v>86</v>
      </c>
      <c r="E1320" s="74">
        <v>1</v>
      </c>
      <c r="F1320" s="74">
        <v>1.4</v>
      </c>
      <c r="G1320" s="758">
        <f t="shared" si="80"/>
        <v>0.25</v>
      </c>
      <c r="H1320" s="759">
        <f t="shared" si="81"/>
        <v>0.21</v>
      </c>
      <c r="I1320" s="758">
        <f t="shared" si="82"/>
        <v>1.1499999999999999</v>
      </c>
      <c r="J1320" s="760">
        <f t="shared" si="83"/>
        <v>0.8214285714285714</v>
      </c>
    </row>
    <row r="1321" spans="1:10">
      <c r="A1321" s="74" t="s">
        <v>680</v>
      </c>
      <c r="B1321" s="74" t="s">
        <v>251</v>
      </c>
      <c r="C1321" s="74" t="s">
        <v>1528</v>
      </c>
      <c r="D1321" s="74" t="s">
        <v>78</v>
      </c>
      <c r="E1321" s="74">
        <v>11</v>
      </c>
      <c r="F1321" s="74">
        <v>24.23</v>
      </c>
      <c r="G1321" s="758">
        <f t="shared" si="80"/>
        <v>0.53</v>
      </c>
      <c r="H1321" s="759">
        <f t="shared" si="81"/>
        <v>0.32</v>
      </c>
      <c r="I1321" s="758">
        <f t="shared" si="82"/>
        <v>1.6727272727272726</v>
      </c>
      <c r="J1321" s="760">
        <f t="shared" si="83"/>
        <v>0.75938918695831614</v>
      </c>
    </row>
    <row r="1322" spans="1:10">
      <c r="A1322" s="74" t="s">
        <v>680</v>
      </c>
      <c r="B1322" s="74" t="s">
        <v>251</v>
      </c>
      <c r="C1322" s="74" t="s">
        <v>1508</v>
      </c>
      <c r="D1322" s="74" t="s">
        <v>78</v>
      </c>
      <c r="E1322" s="74">
        <v>15</v>
      </c>
      <c r="F1322" s="74">
        <v>36.549999999999997</v>
      </c>
      <c r="G1322" s="758">
        <f t="shared" si="80"/>
        <v>0.53</v>
      </c>
      <c r="H1322" s="759">
        <f t="shared" si="81"/>
        <v>0.32</v>
      </c>
      <c r="I1322" s="758">
        <f t="shared" si="82"/>
        <v>1.9066666666666665</v>
      </c>
      <c r="J1322" s="760">
        <f t="shared" si="83"/>
        <v>0.78248974008207939</v>
      </c>
    </row>
    <row r="1323" spans="1:10">
      <c r="A1323" s="74" t="s">
        <v>680</v>
      </c>
      <c r="B1323" s="74" t="s">
        <v>251</v>
      </c>
      <c r="C1323" s="74" t="s">
        <v>1509</v>
      </c>
      <c r="D1323" s="74" t="s">
        <v>78</v>
      </c>
      <c r="E1323" s="74">
        <v>18</v>
      </c>
      <c r="F1323" s="74">
        <v>43.36</v>
      </c>
      <c r="G1323" s="758">
        <f t="shared" si="80"/>
        <v>0.53</v>
      </c>
      <c r="H1323" s="759">
        <f t="shared" si="81"/>
        <v>0.32</v>
      </c>
      <c r="I1323" s="758">
        <f t="shared" si="82"/>
        <v>1.8788888888888888</v>
      </c>
      <c r="J1323" s="760">
        <f t="shared" si="83"/>
        <v>0.77998154981549817</v>
      </c>
    </row>
    <row r="1324" spans="1:10">
      <c r="A1324" s="74" t="s">
        <v>680</v>
      </c>
      <c r="B1324" s="74" t="s">
        <v>251</v>
      </c>
      <c r="C1324" s="74" t="s">
        <v>1565</v>
      </c>
      <c r="D1324" s="74" t="s">
        <v>78</v>
      </c>
      <c r="E1324" s="74">
        <v>16</v>
      </c>
      <c r="F1324" s="74">
        <v>38.18</v>
      </c>
      <c r="G1324" s="758">
        <f t="shared" si="80"/>
        <v>0.53</v>
      </c>
      <c r="H1324" s="759">
        <f t="shared" si="81"/>
        <v>0.32</v>
      </c>
      <c r="I1324" s="758">
        <f t="shared" si="82"/>
        <v>1.85625</v>
      </c>
      <c r="J1324" s="760">
        <f t="shared" si="83"/>
        <v>0.77789418543740174</v>
      </c>
    </row>
    <row r="1325" spans="1:10">
      <c r="A1325" s="74" t="s">
        <v>680</v>
      </c>
      <c r="B1325" s="74" t="s">
        <v>251</v>
      </c>
      <c r="C1325" s="74" t="s">
        <v>1530</v>
      </c>
      <c r="D1325" s="74" t="s">
        <v>80</v>
      </c>
      <c r="E1325" s="74">
        <v>28</v>
      </c>
      <c r="F1325" s="74">
        <v>66.14</v>
      </c>
      <c r="G1325" s="758">
        <f t="shared" si="80"/>
        <v>0.53</v>
      </c>
      <c r="H1325" s="759">
        <f t="shared" si="81"/>
        <v>0.32</v>
      </c>
      <c r="I1325" s="758">
        <f t="shared" si="82"/>
        <v>1.8321428571428571</v>
      </c>
      <c r="J1325" s="760">
        <f t="shared" si="83"/>
        <v>0.77562745690958579</v>
      </c>
    </row>
    <row r="1326" spans="1:10">
      <c r="A1326" s="74" t="s">
        <v>680</v>
      </c>
      <c r="B1326" s="74" t="s">
        <v>251</v>
      </c>
      <c r="C1326" s="74" t="s">
        <v>1532</v>
      </c>
      <c r="D1326" s="74" t="s">
        <v>80</v>
      </c>
      <c r="E1326" s="74">
        <v>28</v>
      </c>
      <c r="F1326" s="74">
        <v>66.14</v>
      </c>
      <c r="G1326" s="758">
        <f t="shared" si="80"/>
        <v>0.53</v>
      </c>
      <c r="H1326" s="759">
        <f t="shared" si="81"/>
        <v>0.32</v>
      </c>
      <c r="I1326" s="758">
        <f t="shared" si="82"/>
        <v>1.8321428571428571</v>
      </c>
      <c r="J1326" s="760">
        <f t="shared" si="83"/>
        <v>0.77562745690958579</v>
      </c>
    </row>
    <row r="1327" spans="1:10">
      <c r="A1327" s="74" t="s">
        <v>680</v>
      </c>
      <c r="B1327" s="74" t="s">
        <v>251</v>
      </c>
      <c r="C1327" s="74" t="s">
        <v>1511</v>
      </c>
      <c r="D1327" s="74" t="s">
        <v>80</v>
      </c>
      <c r="E1327" s="74">
        <v>31</v>
      </c>
      <c r="F1327" s="74">
        <v>74.27</v>
      </c>
      <c r="G1327" s="758">
        <f t="shared" si="80"/>
        <v>0.53</v>
      </c>
      <c r="H1327" s="759">
        <f t="shared" si="81"/>
        <v>0.32</v>
      </c>
      <c r="I1327" s="758">
        <f t="shared" si="82"/>
        <v>1.8658064516129029</v>
      </c>
      <c r="J1327" s="760">
        <f t="shared" si="83"/>
        <v>0.77878012656523499</v>
      </c>
    </row>
    <row r="1328" spans="1:10">
      <c r="A1328" s="74" t="s">
        <v>680</v>
      </c>
      <c r="B1328" s="74" t="s">
        <v>251</v>
      </c>
      <c r="C1328" s="74" t="s">
        <v>1512</v>
      </c>
      <c r="D1328" s="74" t="s">
        <v>80</v>
      </c>
      <c r="E1328" s="74">
        <v>46</v>
      </c>
      <c r="F1328" s="74">
        <v>110.27</v>
      </c>
      <c r="G1328" s="758">
        <f t="shared" si="80"/>
        <v>0.53</v>
      </c>
      <c r="H1328" s="759">
        <f t="shared" si="81"/>
        <v>0.32</v>
      </c>
      <c r="I1328" s="758">
        <f t="shared" si="82"/>
        <v>1.8671739130434781</v>
      </c>
      <c r="J1328" s="760">
        <f t="shared" si="83"/>
        <v>0.77890632084882561</v>
      </c>
    </row>
    <row r="1329" spans="1:10">
      <c r="A1329" s="74" t="s">
        <v>680</v>
      </c>
      <c r="B1329" s="74" t="s">
        <v>251</v>
      </c>
      <c r="C1329" s="74" t="s">
        <v>1513</v>
      </c>
      <c r="D1329" s="74" t="s">
        <v>81</v>
      </c>
      <c r="E1329" s="74">
        <v>58</v>
      </c>
      <c r="F1329" s="74">
        <v>141.63999999999999</v>
      </c>
      <c r="G1329" s="758">
        <f t="shared" si="80"/>
        <v>0.53</v>
      </c>
      <c r="H1329" s="759">
        <f t="shared" si="81"/>
        <v>0.32</v>
      </c>
      <c r="I1329" s="758">
        <f t="shared" si="82"/>
        <v>1.9120689655172411</v>
      </c>
      <c r="J1329" s="760">
        <f t="shared" si="83"/>
        <v>0.78297091217170289</v>
      </c>
    </row>
    <row r="1330" spans="1:10">
      <c r="A1330" s="74" t="s">
        <v>680</v>
      </c>
      <c r="B1330" s="74" t="s">
        <v>251</v>
      </c>
      <c r="C1330" s="74" t="s">
        <v>1514</v>
      </c>
      <c r="D1330" s="74" t="s">
        <v>81</v>
      </c>
      <c r="E1330" s="74">
        <v>19</v>
      </c>
      <c r="F1330" s="74">
        <v>44.41</v>
      </c>
      <c r="G1330" s="758">
        <f t="shared" si="80"/>
        <v>0.53</v>
      </c>
      <c r="H1330" s="759">
        <f t="shared" si="81"/>
        <v>0.32</v>
      </c>
      <c r="I1330" s="758">
        <f t="shared" si="82"/>
        <v>1.8073684210526315</v>
      </c>
      <c r="J1330" s="760">
        <f t="shared" si="83"/>
        <v>0.77324926818284168</v>
      </c>
    </row>
    <row r="1331" spans="1:10">
      <c r="A1331" s="74" t="s">
        <v>680</v>
      </c>
      <c r="B1331" s="74" t="s">
        <v>251</v>
      </c>
      <c r="C1331" s="74" t="s">
        <v>1515</v>
      </c>
      <c r="D1331" s="74" t="s">
        <v>81</v>
      </c>
      <c r="E1331" s="74">
        <v>24</v>
      </c>
      <c r="F1331" s="74">
        <v>54.68</v>
      </c>
      <c r="G1331" s="758">
        <f t="shared" si="80"/>
        <v>0.53</v>
      </c>
      <c r="H1331" s="759">
        <f t="shared" si="81"/>
        <v>0.32</v>
      </c>
      <c r="I1331" s="758">
        <f t="shared" si="82"/>
        <v>1.7483333333333333</v>
      </c>
      <c r="J1331" s="760">
        <f t="shared" si="83"/>
        <v>0.76737381126554494</v>
      </c>
    </row>
    <row r="1332" spans="1:10">
      <c r="A1332" s="74" t="s">
        <v>731</v>
      </c>
      <c r="B1332" s="74" t="s">
        <v>251</v>
      </c>
      <c r="C1332" s="74" t="s">
        <v>1528</v>
      </c>
      <c r="D1332" s="74" t="s">
        <v>78</v>
      </c>
      <c r="E1332" s="74">
        <v>1</v>
      </c>
      <c r="F1332" s="74">
        <v>2.41</v>
      </c>
      <c r="G1332" s="758">
        <f t="shared" si="80"/>
        <v>0</v>
      </c>
      <c r="H1332" s="759">
        <f t="shared" si="81"/>
        <v>0</v>
      </c>
      <c r="I1332" s="758">
        <f t="shared" si="82"/>
        <v>2.41</v>
      </c>
      <c r="J1332" s="760">
        <f t="shared" si="83"/>
        <v>1</v>
      </c>
    </row>
    <row r="1333" spans="1:10">
      <c r="A1333" s="74" t="s">
        <v>731</v>
      </c>
      <c r="B1333" s="74" t="s">
        <v>251</v>
      </c>
      <c r="C1333" s="74" t="s">
        <v>1509</v>
      </c>
      <c r="D1333" s="74" t="s">
        <v>78</v>
      </c>
      <c r="E1333" s="74">
        <v>4</v>
      </c>
      <c r="F1333" s="74">
        <v>9.64</v>
      </c>
      <c r="G1333" s="758">
        <f t="shared" si="80"/>
        <v>0</v>
      </c>
      <c r="H1333" s="759">
        <f t="shared" si="81"/>
        <v>0</v>
      </c>
      <c r="I1333" s="758">
        <f t="shared" si="82"/>
        <v>2.41</v>
      </c>
      <c r="J1333" s="760">
        <f t="shared" si="83"/>
        <v>1</v>
      </c>
    </row>
    <row r="1334" spans="1:10">
      <c r="A1334" s="74" t="s">
        <v>731</v>
      </c>
      <c r="B1334" s="74" t="s">
        <v>251</v>
      </c>
      <c r="C1334" s="74" t="s">
        <v>1565</v>
      </c>
      <c r="D1334" s="74" t="s">
        <v>78</v>
      </c>
      <c r="E1334" s="74">
        <v>1</v>
      </c>
      <c r="F1334" s="74">
        <v>2.41</v>
      </c>
      <c r="G1334" s="758">
        <f t="shared" si="80"/>
        <v>0</v>
      </c>
      <c r="H1334" s="759">
        <f t="shared" si="81"/>
        <v>0</v>
      </c>
      <c r="I1334" s="758">
        <f t="shared" si="82"/>
        <v>2.41</v>
      </c>
      <c r="J1334" s="760">
        <f t="shared" si="83"/>
        <v>1</v>
      </c>
    </row>
    <row r="1335" spans="1:10">
      <c r="A1335" s="74" t="s">
        <v>731</v>
      </c>
      <c r="B1335" s="74" t="s">
        <v>251</v>
      </c>
      <c r="C1335" s="74" t="s">
        <v>1530</v>
      </c>
      <c r="D1335" s="74" t="s">
        <v>80</v>
      </c>
      <c r="E1335" s="74">
        <v>2</v>
      </c>
      <c r="F1335" s="74">
        <v>4.82</v>
      </c>
      <c r="G1335" s="758">
        <f t="shared" si="80"/>
        <v>0</v>
      </c>
      <c r="H1335" s="759">
        <f t="shared" si="81"/>
        <v>0</v>
      </c>
      <c r="I1335" s="758">
        <f t="shared" si="82"/>
        <v>2.41</v>
      </c>
      <c r="J1335" s="760">
        <f t="shared" si="83"/>
        <v>1</v>
      </c>
    </row>
    <row r="1336" spans="1:10">
      <c r="A1336" s="74" t="s">
        <v>731</v>
      </c>
      <c r="B1336" s="74" t="s">
        <v>251</v>
      </c>
      <c r="C1336" s="74" t="s">
        <v>1532</v>
      </c>
      <c r="D1336" s="74" t="s">
        <v>80</v>
      </c>
      <c r="E1336" s="74">
        <v>2</v>
      </c>
      <c r="F1336" s="74">
        <v>4.82</v>
      </c>
      <c r="G1336" s="758">
        <f t="shared" si="80"/>
        <v>0</v>
      </c>
      <c r="H1336" s="759">
        <f t="shared" si="81"/>
        <v>0</v>
      </c>
      <c r="I1336" s="758">
        <f t="shared" si="82"/>
        <v>2.41</v>
      </c>
      <c r="J1336" s="760">
        <f t="shared" si="83"/>
        <v>1</v>
      </c>
    </row>
    <row r="1337" spans="1:10">
      <c r="A1337" s="74" t="s">
        <v>731</v>
      </c>
      <c r="B1337" s="74" t="s">
        <v>251</v>
      </c>
      <c r="C1337" s="74" t="s">
        <v>1511</v>
      </c>
      <c r="D1337" s="74" t="s">
        <v>80</v>
      </c>
      <c r="E1337" s="74">
        <v>1</v>
      </c>
      <c r="F1337" s="74">
        <v>2.41</v>
      </c>
      <c r="G1337" s="758">
        <f t="shared" si="80"/>
        <v>0</v>
      </c>
      <c r="H1337" s="759">
        <f t="shared" si="81"/>
        <v>0</v>
      </c>
      <c r="I1337" s="758">
        <f t="shared" si="82"/>
        <v>2.41</v>
      </c>
      <c r="J1337" s="760">
        <f t="shared" si="83"/>
        <v>1</v>
      </c>
    </row>
    <row r="1338" spans="1:10">
      <c r="A1338" s="74" t="s">
        <v>731</v>
      </c>
      <c r="B1338" s="74" t="s">
        <v>251</v>
      </c>
      <c r="C1338" s="74" t="s">
        <v>1512</v>
      </c>
      <c r="D1338" s="74" t="s">
        <v>80</v>
      </c>
      <c r="E1338" s="74">
        <v>1</v>
      </c>
      <c r="F1338" s="74">
        <v>2.41</v>
      </c>
      <c r="G1338" s="758">
        <f t="shared" si="80"/>
        <v>0</v>
      </c>
      <c r="H1338" s="759">
        <f t="shared" si="81"/>
        <v>0</v>
      </c>
      <c r="I1338" s="758">
        <f t="shared" si="82"/>
        <v>2.41</v>
      </c>
      <c r="J1338" s="760">
        <f t="shared" si="83"/>
        <v>1</v>
      </c>
    </row>
    <row r="1339" spans="1:10">
      <c r="A1339" s="74" t="s">
        <v>731</v>
      </c>
      <c r="B1339" s="74" t="s">
        <v>251</v>
      </c>
      <c r="C1339" s="74" t="s">
        <v>1513</v>
      </c>
      <c r="D1339" s="74" t="s">
        <v>81</v>
      </c>
      <c r="E1339" s="74">
        <v>14</v>
      </c>
      <c r="F1339" s="74">
        <v>34.82</v>
      </c>
      <c r="G1339" s="758">
        <f t="shared" si="80"/>
        <v>0</v>
      </c>
      <c r="H1339" s="759">
        <f t="shared" si="81"/>
        <v>0</v>
      </c>
      <c r="I1339" s="758">
        <f t="shared" si="82"/>
        <v>2.4871428571428571</v>
      </c>
      <c r="J1339" s="760">
        <f t="shared" si="83"/>
        <v>1</v>
      </c>
    </row>
    <row r="1340" spans="1:10">
      <c r="A1340" s="74" t="s">
        <v>731</v>
      </c>
      <c r="B1340" s="74" t="s">
        <v>251</v>
      </c>
      <c r="C1340" s="74" t="s">
        <v>1514</v>
      </c>
      <c r="D1340" s="74" t="s">
        <v>81</v>
      </c>
      <c r="E1340" s="74">
        <v>1</v>
      </c>
      <c r="F1340" s="74">
        <v>2.41</v>
      </c>
      <c r="G1340" s="758">
        <f t="shared" si="80"/>
        <v>0</v>
      </c>
      <c r="H1340" s="759">
        <f t="shared" si="81"/>
        <v>0</v>
      </c>
      <c r="I1340" s="758">
        <f t="shared" si="82"/>
        <v>2.41</v>
      </c>
      <c r="J1340" s="760">
        <f t="shared" si="83"/>
        <v>1</v>
      </c>
    </row>
    <row r="1341" spans="1:10">
      <c r="A1341" s="74" t="s">
        <v>731</v>
      </c>
      <c r="B1341" s="74" t="s">
        <v>251</v>
      </c>
      <c r="C1341" s="74" t="s">
        <v>1515</v>
      </c>
      <c r="D1341" s="74" t="s">
        <v>81</v>
      </c>
      <c r="E1341" s="74">
        <v>2</v>
      </c>
      <c r="F1341" s="74">
        <v>4.82</v>
      </c>
      <c r="G1341" s="758">
        <f t="shared" si="80"/>
        <v>0</v>
      </c>
      <c r="H1341" s="759">
        <f t="shared" si="81"/>
        <v>0</v>
      </c>
      <c r="I1341" s="758">
        <f t="shared" si="82"/>
        <v>2.41</v>
      </c>
      <c r="J1341" s="760">
        <f t="shared" si="83"/>
        <v>1</v>
      </c>
    </row>
    <row r="1342" spans="1:10">
      <c r="A1342" s="74" t="s">
        <v>673</v>
      </c>
      <c r="B1342" s="74" t="s">
        <v>251</v>
      </c>
      <c r="C1342" s="74" t="s">
        <v>1528</v>
      </c>
      <c r="D1342" s="74" t="s">
        <v>78</v>
      </c>
      <c r="E1342" s="74">
        <v>18</v>
      </c>
      <c r="F1342" s="74">
        <v>42.59</v>
      </c>
      <c r="G1342" s="758">
        <f t="shared" si="80"/>
        <v>0.53</v>
      </c>
      <c r="H1342" s="759">
        <f t="shared" si="81"/>
        <v>0.28999999999999998</v>
      </c>
      <c r="I1342" s="758">
        <f t="shared" si="82"/>
        <v>1.8361111111111115</v>
      </c>
      <c r="J1342" s="760">
        <f t="shared" si="83"/>
        <v>0.77600375675041089</v>
      </c>
    </row>
    <row r="1343" spans="1:10">
      <c r="A1343" s="74" t="s">
        <v>673</v>
      </c>
      <c r="B1343" s="74" t="s">
        <v>251</v>
      </c>
      <c r="C1343" s="74" t="s">
        <v>1508</v>
      </c>
      <c r="D1343" s="74" t="s">
        <v>78</v>
      </c>
      <c r="E1343" s="74">
        <v>16</v>
      </c>
      <c r="F1343" s="74">
        <v>36.229999999999997</v>
      </c>
      <c r="G1343" s="758">
        <f t="shared" si="80"/>
        <v>0.53</v>
      </c>
      <c r="H1343" s="759">
        <f t="shared" si="81"/>
        <v>0.28999999999999998</v>
      </c>
      <c r="I1343" s="758">
        <f t="shared" si="82"/>
        <v>1.7343749999999998</v>
      </c>
      <c r="J1343" s="760">
        <f t="shared" si="83"/>
        <v>0.76593982887110124</v>
      </c>
    </row>
    <row r="1344" spans="1:10">
      <c r="A1344" s="74" t="s">
        <v>673</v>
      </c>
      <c r="B1344" s="74" t="s">
        <v>251</v>
      </c>
      <c r="C1344" s="74" t="s">
        <v>1509</v>
      </c>
      <c r="D1344" s="74" t="s">
        <v>78</v>
      </c>
      <c r="E1344" s="74">
        <v>20</v>
      </c>
      <c r="F1344" s="74">
        <v>42.59</v>
      </c>
      <c r="G1344" s="758">
        <f t="shared" si="80"/>
        <v>0.53</v>
      </c>
      <c r="H1344" s="759">
        <f t="shared" si="81"/>
        <v>0.28999999999999998</v>
      </c>
      <c r="I1344" s="758">
        <f t="shared" si="82"/>
        <v>1.5995000000000001</v>
      </c>
      <c r="J1344" s="760">
        <f t="shared" si="83"/>
        <v>0.75111528527823435</v>
      </c>
    </row>
    <row r="1345" spans="1:10">
      <c r="A1345" s="74" t="s">
        <v>673</v>
      </c>
      <c r="B1345" s="74" t="s">
        <v>251</v>
      </c>
      <c r="C1345" s="74" t="s">
        <v>1565</v>
      </c>
      <c r="D1345" s="74" t="s">
        <v>78</v>
      </c>
      <c r="E1345" s="74">
        <v>17</v>
      </c>
      <c r="F1345" s="74">
        <v>31.77</v>
      </c>
      <c r="G1345" s="758">
        <f t="shared" si="80"/>
        <v>0.53</v>
      </c>
      <c r="H1345" s="759">
        <f t="shared" si="81"/>
        <v>0.28999999999999998</v>
      </c>
      <c r="I1345" s="758">
        <f t="shared" si="82"/>
        <v>1.3388235294117647</v>
      </c>
      <c r="J1345" s="760">
        <f t="shared" si="83"/>
        <v>0.71639911866540762</v>
      </c>
    </row>
    <row r="1346" spans="1:10">
      <c r="A1346" s="74" t="s">
        <v>673</v>
      </c>
      <c r="B1346" s="74" t="s">
        <v>251</v>
      </c>
      <c r="C1346" s="74" t="s">
        <v>1530</v>
      </c>
      <c r="D1346" s="74" t="s">
        <v>80</v>
      </c>
      <c r="E1346" s="74">
        <v>19</v>
      </c>
      <c r="F1346" s="74">
        <v>43.14</v>
      </c>
      <c r="G1346" s="758">
        <f t="shared" ref="G1346:G1409" si="84">IFERROR(VLOOKUP(A1346,$M$1:$P$1014,2,FALSE),0)</f>
        <v>0.53</v>
      </c>
      <c r="H1346" s="759">
        <f t="shared" ref="H1346:H1409" si="85">IFERROR(VLOOKUP(A1346,$M$1:$P$1014,3,FALSE),0)</f>
        <v>0.28999999999999998</v>
      </c>
      <c r="I1346" s="758">
        <f t="shared" ref="I1346:I1409" si="86">IFERROR(F1346/E1346-G1346,0)</f>
        <v>1.7405263157894735</v>
      </c>
      <c r="J1346" s="760">
        <f t="shared" ref="J1346:J1409" si="87">IFERROR(1-G1346*E1346/F1346,0)</f>
        <v>0.76657394529439038</v>
      </c>
    </row>
    <row r="1347" spans="1:10">
      <c r="A1347" s="74" t="s">
        <v>673</v>
      </c>
      <c r="B1347" s="74" t="s">
        <v>251</v>
      </c>
      <c r="C1347" s="74" t="s">
        <v>1532</v>
      </c>
      <c r="D1347" s="74" t="s">
        <v>80</v>
      </c>
      <c r="E1347" s="74">
        <v>19</v>
      </c>
      <c r="F1347" s="74">
        <v>43.14</v>
      </c>
      <c r="G1347" s="758">
        <f t="shared" si="84"/>
        <v>0.53</v>
      </c>
      <c r="H1347" s="759">
        <f t="shared" si="85"/>
        <v>0.28999999999999998</v>
      </c>
      <c r="I1347" s="758">
        <f t="shared" si="86"/>
        <v>1.7405263157894735</v>
      </c>
      <c r="J1347" s="760">
        <f t="shared" si="87"/>
        <v>0.76657394529439038</v>
      </c>
    </row>
    <row r="1348" spans="1:10">
      <c r="A1348" s="74" t="s">
        <v>673</v>
      </c>
      <c r="B1348" s="74" t="s">
        <v>251</v>
      </c>
      <c r="C1348" s="74" t="s">
        <v>1511</v>
      </c>
      <c r="D1348" s="74" t="s">
        <v>80</v>
      </c>
      <c r="E1348" s="74">
        <v>19</v>
      </c>
      <c r="F1348" s="74">
        <v>44.64</v>
      </c>
      <c r="G1348" s="758">
        <f t="shared" si="84"/>
        <v>0.53</v>
      </c>
      <c r="H1348" s="759">
        <f t="shared" si="85"/>
        <v>0.28999999999999998</v>
      </c>
      <c r="I1348" s="758">
        <f t="shared" si="86"/>
        <v>1.8194736842105261</v>
      </c>
      <c r="J1348" s="760">
        <f t="shared" si="87"/>
        <v>0.7744175627240143</v>
      </c>
    </row>
    <row r="1349" spans="1:10">
      <c r="A1349" s="74" t="s">
        <v>673</v>
      </c>
      <c r="B1349" s="74" t="s">
        <v>251</v>
      </c>
      <c r="C1349" s="74" t="s">
        <v>1512</v>
      </c>
      <c r="D1349" s="74" t="s">
        <v>80</v>
      </c>
      <c r="E1349" s="74">
        <v>20</v>
      </c>
      <c r="F1349" s="74">
        <v>48.5</v>
      </c>
      <c r="G1349" s="758">
        <f t="shared" si="84"/>
        <v>0.53</v>
      </c>
      <c r="H1349" s="759">
        <f t="shared" si="85"/>
        <v>0.28999999999999998</v>
      </c>
      <c r="I1349" s="758">
        <f t="shared" si="86"/>
        <v>1.8949999999999998</v>
      </c>
      <c r="J1349" s="760">
        <f t="shared" si="87"/>
        <v>0.78144329896907216</v>
      </c>
    </row>
    <row r="1350" spans="1:10">
      <c r="A1350" s="74" t="s">
        <v>673</v>
      </c>
      <c r="B1350" s="74" t="s">
        <v>251</v>
      </c>
      <c r="C1350" s="74" t="s">
        <v>1513</v>
      </c>
      <c r="D1350" s="74" t="s">
        <v>81</v>
      </c>
      <c r="E1350" s="74">
        <v>76</v>
      </c>
      <c r="F1350" s="74">
        <v>181.91</v>
      </c>
      <c r="G1350" s="758">
        <f t="shared" si="84"/>
        <v>0.53</v>
      </c>
      <c r="H1350" s="759">
        <f t="shared" si="85"/>
        <v>0.28999999999999998</v>
      </c>
      <c r="I1350" s="758">
        <f t="shared" si="86"/>
        <v>1.8635526315789475</v>
      </c>
      <c r="J1350" s="760">
        <f t="shared" si="87"/>
        <v>0.77857182123027868</v>
      </c>
    </row>
    <row r="1351" spans="1:10">
      <c r="A1351" s="74" t="s">
        <v>673</v>
      </c>
      <c r="B1351" s="74" t="s">
        <v>251</v>
      </c>
      <c r="C1351" s="74" t="s">
        <v>1514</v>
      </c>
      <c r="D1351" s="74" t="s">
        <v>81</v>
      </c>
      <c r="E1351" s="74">
        <v>23</v>
      </c>
      <c r="F1351" s="74">
        <v>52.77</v>
      </c>
      <c r="G1351" s="758">
        <f t="shared" si="84"/>
        <v>0.53</v>
      </c>
      <c r="H1351" s="759">
        <f t="shared" si="85"/>
        <v>0.28999999999999998</v>
      </c>
      <c r="I1351" s="758">
        <f t="shared" si="86"/>
        <v>1.7643478260869567</v>
      </c>
      <c r="J1351" s="760">
        <f t="shared" si="87"/>
        <v>0.76899753647906</v>
      </c>
    </row>
    <row r="1352" spans="1:10">
      <c r="A1352" s="74" t="s">
        <v>673</v>
      </c>
      <c r="B1352" s="74" t="s">
        <v>251</v>
      </c>
      <c r="C1352" s="74" t="s">
        <v>1515</v>
      </c>
      <c r="D1352" s="74" t="s">
        <v>81</v>
      </c>
      <c r="E1352" s="74">
        <v>20</v>
      </c>
      <c r="F1352" s="74">
        <v>46.14</v>
      </c>
      <c r="G1352" s="758">
        <f t="shared" si="84"/>
        <v>0.53</v>
      </c>
      <c r="H1352" s="759">
        <f t="shared" si="85"/>
        <v>0.28999999999999998</v>
      </c>
      <c r="I1352" s="758">
        <f t="shared" si="86"/>
        <v>1.7769999999999999</v>
      </c>
      <c r="J1352" s="760">
        <f t="shared" si="87"/>
        <v>0.77026441265713042</v>
      </c>
    </row>
    <row r="1353" spans="1:10">
      <c r="A1353" s="74" t="s">
        <v>1662</v>
      </c>
      <c r="B1353" s="74" t="s">
        <v>2274</v>
      </c>
      <c r="C1353" s="74" t="s">
        <v>1646</v>
      </c>
      <c r="D1353" s="74" t="s">
        <v>86</v>
      </c>
      <c r="E1353" s="74">
        <v>1</v>
      </c>
      <c r="F1353" s="74">
        <v>-0.38</v>
      </c>
      <c r="G1353" s="758">
        <f t="shared" si="84"/>
        <v>0</v>
      </c>
      <c r="H1353" s="759">
        <f t="shared" si="85"/>
        <v>0</v>
      </c>
      <c r="I1353" s="758">
        <f t="shared" si="86"/>
        <v>-0.38</v>
      </c>
      <c r="J1353" s="760">
        <f t="shared" si="87"/>
        <v>1</v>
      </c>
    </row>
    <row r="1354" spans="1:10">
      <c r="A1354" s="74" t="s">
        <v>1663</v>
      </c>
      <c r="B1354" s="74" t="s">
        <v>725</v>
      </c>
      <c r="C1354" s="74" t="s">
        <v>1512</v>
      </c>
      <c r="D1354" s="74" t="s">
        <v>80</v>
      </c>
      <c r="E1354" s="74">
        <v>1</v>
      </c>
      <c r="F1354" s="74">
        <v>5.0999999999999996</v>
      </c>
      <c r="G1354" s="758">
        <f t="shared" si="84"/>
        <v>0</v>
      </c>
      <c r="H1354" s="759">
        <f t="shared" si="85"/>
        <v>0.16</v>
      </c>
      <c r="I1354" s="758">
        <f t="shared" si="86"/>
        <v>5.0999999999999996</v>
      </c>
      <c r="J1354" s="760">
        <f t="shared" si="87"/>
        <v>1</v>
      </c>
    </row>
    <row r="1355" spans="1:10">
      <c r="A1355" s="74" t="s">
        <v>1664</v>
      </c>
      <c r="B1355" s="74" t="s">
        <v>725</v>
      </c>
      <c r="C1355" s="74" t="s">
        <v>1543</v>
      </c>
      <c r="D1355" s="74" t="s">
        <v>87</v>
      </c>
      <c r="E1355" s="74">
        <v>1</v>
      </c>
      <c r="F1355" s="74">
        <v>3.1</v>
      </c>
      <c r="G1355" s="758">
        <f t="shared" si="84"/>
        <v>0</v>
      </c>
      <c r="H1355" s="759">
        <f t="shared" si="85"/>
        <v>0</v>
      </c>
      <c r="I1355" s="758">
        <f t="shared" si="86"/>
        <v>3.1</v>
      </c>
      <c r="J1355" s="760">
        <f t="shared" si="87"/>
        <v>1</v>
      </c>
    </row>
    <row r="1356" spans="1:10">
      <c r="A1356" s="74" t="s">
        <v>710</v>
      </c>
      <c r="B1356" s="74" t="s">
        <v>249</v>
      </c>
      <c r="C1356" s="74" t="s">
        <v>1528</v>
      </c>
      <c r="D1356" s="74" t="s">
        <v>78</v>
      </c>
      <c r="E1356" s="74">
        <v>2</v>
      </c>
      <c r="F1356" s="74">
        <v>4.82</v>
      </c>
      <c r="G1356" s="758">
        <f t="shared" si="84"/>
        <v>0.74</v>
      </c>
      <c r="H1356" s="759">
        <f t="shared" si="85"/>
        <v>0.4</v>
      </c>
      <c r="I1356" s="758">
        <f t="shared" si="86"/>
        <v>1.6700000000000002</v>
      </c>
      <c r="J1356" s="760">
        <f t="shared" si="87"/>
        <v>0.69294605809128629</v>
      </c>
    </row>
    <row r="1357" spans="1:10">
      <c r="A1357" s="74" t="s">
        <v>710</v>
      </c>
      <c r="B1357" s="74" t="s">
        <v>249</v>
      </c>
      <c r="C1357" s="74" t="s">
        <v>1508</v>
      </c>
      <c r="D1357" s="74" t="s">
        <v>78</v>
      </c>
      <c r="E1357" s="74">
        <v>6</v>
      </c>
      <c r="F1357" s="74">
        <v>15.18</v>
      </c>
      <c r="G1357" s="758">
        <f t="shared" si="84"/>
        <v>0.74</v>
      </c>
      <c r="H1357" s="759">
        <f t="shared" si="85"/>
        <v>0.4</v>
      </c>
      <c r="I1357" s="758">
        <f t="shared" si="86"/>
        <v>1.7899999999999998</v>
      </c>
      <c r="J1357" s="760">
        <f t="shared" si="87"/>
        <v>0.70750988142292492</v>
      </c>
    </row>
    <row r="1358" spans="1:10">
      <c r="A1358" s="74" t="s">
        <v>710</v>
      </c>
      <c r="B1358" s="74" t="s">
        <v>249</v>
      </c>
      <c r="C1358" s="74" t="s">
        <v>1509</v>
      </c>
      <c r="D1358" s="74" t="s">
        <v>78</v>
      </c>
      <c r="E1358" s="74">
        <v>9</v>
      </c>
      <c r="F1358" s="74">
        <v>22.53</v>
      </c>
      <c r="G1358" s="758">
        <f t="shared" si="84"/>
        <v>0.74</v>
      </c>
      <c r="H1358" s="759">
        <f t="shared" si="85"/>
        <v>0.4</v>
      </c>
      <c r="I1358" s="758">
        <f t="shared" si="86"/>
        <v>1.7633333333333334</v>
      </c>
      <c r="J1358" s="760">
        <f t="shared" si="87"/>
        <v>0.70439414114513976</v>
      </c>
    </row>
    <row r="1359" spans="1:10">
      <c r="A1359" s="74" t="s">
        <v>710</v>
      </c>
      <c r="B1359" s="74" t="s">
        <v>249</v>
      </c>
      <c r="C1359" s="74" t="s">
        <v>1565</v>
      </c>
      <c r="D1359" s="74" t="s">
        <v>78</v>
      </c>
      <c r="E1359" s="74">
        <v>10</v>
      </c>
      <c r="F1359" s="74">
        <v>24.82</v>
      </c>
      <c r="G1359" s="758">
        <f t="shared" si="84"/>
        <v>0.74</v>
      </c>
      <c r="H1359" s="759">
        <f t="shared" si="85"/>
        <v>0.4</v>
      </c>
      <c r="I1359" s="758">
        <f t="shared" si="86"/>
        <v>1.7420000000000002</v>
      </c>
      <c r="J1359" s="760">
        <f t="shared" si="87"/>
        <v>0.70185334407735689</v>
      </c>
    </row>
    <row r="1360" spans="1:10">
      <c r="A1360" s="74" t="s">
        <v>710</v>
      </c>
      <c r="B1360" s="74" t="s">
        <v>249</v>
      </c>
      <c r="C1360" s="74" t="s">
        <v>1530</v>
      </c>
      <c r="D1360" s="74" t="s">
        <v>80</v>
      </c>
      <c r="E1360" s="74">
        <v>7</v>
      </c>
      <c r="F1360" s="74">
        <v>17.100000000000001</v>
      </c>
      <c r="G1360" s="758">
        <f t="shared" si="84"/>
        <v>0.74</v>
      </c>
      <c r="H1360" s="759">
        <f t="shared" si="85"/>
        <v>0.4</v>
      </c>
      <c r="I1360" s="758">
        <f t="shared" si="86"/>
        <v>1.7028571428571431</v>
      </c>
      <c r="J1360" s="760">
        <f t="shared" si="87"/>
        <v>0.69707602339181296</v>
      </c>
    </row>
    <row r="1361" spans="1:10">
      <c r="A1361" s="74" t="s">
        <v>710</v>
      </c>
      <c r="B1361" s="74" t="s">
        <v>249</v>
      </c>
      <c r="C1361" s="74" t="s">
        <v>1532</v>
      </c>
      <c r="D1361" s="74" t="s">
        <v>80</v>
      </c>
      <c r="E1361" s="74">
        <v>10</v>
      </c>
      <c r="F1361" s="74">
        <v>24.9</v>
      </c>
      <c r="G1361" s="758">
        <f t="shared" si="84"/>
        <v>0.74</v>
      </c>
      <c r="H1361" s="759">
        <f t="shared" si="85"/>
        <v>0.4</v>
      </c>
      <c r="I1361" s="758">
        <f t="shared" si="86"/>
        <v>1.7499999999999998</v>
      </c>
      <c r="J1361" s="760">
        <f t="shared" si="87"/>
        <v>0.70281124497991965</v>
      </c>
    </row>
    <row r="1362" spans="1:10">
      <c r="A1362" s="74" t="s">
        <v>710</v>
      </c>
      <c r="B1362" s="74" t="s">
        <v>249</v>
      </c>
      <c r="C1362" s="74" t="s">
        <v>1511</v>
      </c>
      <c r="D1362" s="74" t="s">
        <v>80</v>
      </c>
      <c r="E1362" s="74">
        <v>13</v>
      </c>
      <c r="F1362" s="74">
        <v>33.950000000000003</v>
      </c>
      <c r="G1362" s="758">
        <f t="shared" si="84"/>
        <v>0.74</v>
      </c>
      <c r="H1362" s="759">
        <f t="shared" si="85"/>
        <v>0.4</v>
      </c>
      <c r="I1362" s="758">
        <f t="shared" si="86"/>
        <v>1.8715384615384616</v>
      </c>
      <c r="J1362" s="760">
        <f t="shared" si="87"/>
        <v>0.71664212076583222</v>
      </c>
    </row>
    <row r="1363" spans="1:10">
      <c r="A1363" s="74" t="s">
        <v>710</v>
      </c>
      <c r="B1363" s="74" t="s">
        <v>249</v>
      </c>
      <c r="C1363" s="74" t="s">
        <v>1512</v>
      </c>
      <c r="D1363" s="74" t="s">
        <v>80</v>
      </c>
      <c r="E1363" s="74">
        <v>8</v>
      </c>
      <c r="F1363" s="74">
        <v>20.28</v>
      </c>
      <c r="G1363" s="758">
        <f t="shared" si="84"/>
        <v>0.74</v>
      </c>
      <c r="H1363" s="759">
        <f t="shared" si="85"/>
        <v>0.4</v>
      </c>
      <c r="I1363" s="758">
        <f t="shared" si="86"/>
        <v>1.7950000000000002</v>
      </c>
      <c r="J1363" s="760">
        <f t="shared" si="87"/>
        <v>0.708086785009862</v>
      </c>
    </row>
    <row r="1364" spans="1:10">
      <c r="A1364" s="74" t="s">
        <v>710</v>
      </c>
      <c r="B1364" s="74" t="s">
        <v>249</v>
      </c>
      <c r="C1364" s="74" t="s">
        <v>1534</v>
      </c>
      <c r="D1364" s="74" t="s">
        <v>81</v>
      </c>
      <c r="E1364" s="74">
        <v>3</v>
      </c>
      <c r="F1364" s="74">
        <v>7.35</v>
      </c>
      <c r="G1364" s="758">
        <f t="shared" si="84"/>
        <v>0.74</v>
      </c>
      <c r="H1364" s="759">
        <f t="shared" si="85"/>
        <v>0.4</v>
      </c>
      <c r="I1364" s="758">
        <f t="shared" si="86"/>
        <v>1.7099999999999997</v>
      </c>
      <c r="J1364" s="760">
        <f t="shared" si="87"/>
        <v>0.69795918367346943</v>
      </c>
    </row>
    <row r="1365" spans="1:10">
      <c r="A1365" s="74" t="s">
        <v>710</v>
      </c>
      <c r="B1365" s="74" t="s">
        <v>249</v>
      </c>
      <c r="C1365" s="74" t="s">
        <v>1513</v>
      </c>
      <c r="D1365" s="74" t="s">
        <v>81</v>
      </c>
      <c r="E1365" s="74">
        <v>10</v>
      </c>
      <c r="F1365" s="74">
        <v>24.57</v>
      </c>
      <c r="G1365" s="758">
        <f t="shared" si="84"/>
        <v>0.74</v>
      </c>
      <c r="H1365" s="759">
        <f t="shared" si="85"/>
        <v>0.4</v>
      </c>
      <c r="I1365" s="758">
        <f t="shared" si="86"/>
        <v>1.7169999999999999</v>
      </c>
      <c r="J1365" s="760">
        <f t="shared" si="87"/>
        <v>0.69881969881969885</v>
      </c>
    </row>
    <row r="1366" spans="1:10">
      <c r="A1366" s="74" t="s">
        <v>710</v>
      </c>
      <c r="B1366" s="74" t="s">
        <v>249</v>
      </c>
      <c r="C1366" s="74" t="s">
        <v>1514</v>
      </c>
      <c r="D1366" s="74" t="s">
        <v>81</v>
      </c>
      <c r="E1366" s="74">
        <v>4</v>
      </c>
      <c r="F1366" s="74">
        <v>10.210000000000001</v>
      </c>
      <c r="G1366" s="758">
        <f t="shared" si="84"/>
        <v>0.74</v>
      </c>
      <c r="H1366" s="759">
        <f t="shared" si="85"/>
        <v>0.4</v>
      </c>
      <c r="I1366" s="758">
        <f t="shared" si="86"/>
        <v>1.8125000000000002</v>
      </c>
      <c r="J1366" s="760">
        <f t="shared" si="87"/>
        <v>0.71008814887365324</v>
      </c>
    </row>
    <row r="1367" spans="1:10">
      <c r="A1367" s="74" t="s">
        <v>710</v>
      </c>
      <c r="B1367" s="74" t="s">
        <v>249</v>
      </c>
      <c r="C1367" s="74" t="s">
        <v>1515</v>
      </c>
      <c r="D1367" s="74" t="s">
        <v>81</v>
      </c>
      <c r="E1367" s="74">
        <v>6</v>
      </c>
      <c r="F1367" s="74">
        <v>15.81</v>
      </c>
      <c r="G1367" s="758">
        <f t="shared" si="84"/>
        <v>0.74</v>
      </c>
      <c r="H1367" s="759">
        <f t="shared" si="85"/>
        <v>0.4</v>
      </c>
      <c r="I1367" s="758">
        <f t="shared" si="86"/>
        <v>1.8950000000000002</v>
      </c>
      <c r="J1367" s="760">
        <f t="shared" si="87"/>
        <v>0.71916508538899437</v>
      </c>
    </row>
    <row r="1368" spans="1:10">
      <c r="A1368" s="74" t="s">
        <v>710</v>
      </c>
      <c r="B1368" s="74" t="s">
        <v>249</v>
      </c>
      <c r="C1368" s="74" t="s">
        <v>1517</v>
      </c>
      <c r="D1368" s="74" t="s">
        <v>82</v>
      </c>
      <c r="E1368" s="74">
        <v>1</v>
      </c>
      <c r="F1368" s="74">
        <v>2.8</v>
      </c>
      <c r="G1368" s="758">
        <f t="shared" si="84"/>
        <v>0.74</v>
      </c>
      <c r="H1368" s="759">
        <f t="shared" si="85"/>
        <v>0.4</v>
      </c>
      <c r="I1368" s="758">
        <f t="shared" si="86"/>
        <v>2.0599999999999996</v>
      </c>
      <c r="J1368" s="760">
        <f t="shared" si="87"/>
        <v>0.73571428571428577</v>
      </c>
    </row>
    <row r="1369" spans="1:10">
      <c r="A1369" s="74" t="s">
        <v>710</v>
      </c>
      <c r="B1369" s="74" t="s">
        <v>249</v>
      </c>
      <c r="C1369" s="74" t="s">
        <v>1527</v>
      </c>
      <c r="D1369" s="74" t="s">
        <v>82</v>
      </c>
      <c r="E1369" s="74">
        <v>10</v>
      </c>
      <c r="F1369" s="74">
        <v>31.8</v>
      </c>
      <c r="G1369" s="758">
        <f t="shared" si="84"/>
        <v>0.74</v>
      </c>
      <c r="H1369" s="759">
        <f t="shared" si="85"/>
        <v>0.4</v>
      </c>
      <c r="I1369" s="758">
        <f t="shared" si="86"/>
        <v>2.4400000000000004</v>
      </c>
      <c r="J1369" s="760">
        <f t="shared" si="87"/>
        <v>0.76729559748427678</v>
      </c>
    </row>
    <row r="1370" spans="1:10">
      <c r="A1370" s="74" t="s">
        <v>710</v>
      </c>
      <c r="B1370" s="74" t="s">
        <v>249</v>
      </c>
      <c r="C1370" s="74" t="s">
        <v>1518</v>
      </c>
      <c r="D1370" s="74" t="s">
        <v>82</v>
      </c>
      <c r="E1370" s="74">
        <v>1</v>
      </c>
      <c r="F1370" s="74">
        <v>2.65</v>
      </c>
      <c r="G1370" s="758">
        <f t="shared" si="84"/>
        <v>0.74</v>
      </c>
      <c r="H1370" s="759">
        <f t="shared" si="85"/>
        <v>0.4</v>
      </c>
      <c r="I1370" s="758">
        <f t="shared" si="86"/>
        <v>1.91</v>
      </c>
      <c r="J1370" s="760">
        <f t="shared" si="87"/>
        <v>0.72075471698113214</v>
      </c>
    </row>
    <row r="1371" spans="1:10">
      <c r="A1371" s="74" t="s">
        <v>710</v>
      </c>
      <c r="B1371" s="74" t="s">
        <v>249</v>
      </c>
      <c r="C1371" s="74" t="s">
        <v>1540</v>
      </c>
      <c r="D1371" s="74" t="s">
        <v>84</v>
      </c>
      <c r="E1371" s="74">
        <v>2</v>
      </c>
      <c r="F1371" s="74">
        <v>5.3</v>
      </c>
      <c r="G1371" s="758">
        <f t="shared" si="84"/>
        <v>0.74</v>
      </c>
      <c r="H1371" s="759">
        <f t="shared" si="85"/>
        <v>0.4</v>
      </c>
      <c r="I1371" s="758">
        <f t="shared" si="86"/>
        <v>1.91</v>
      </c>
      <c r="J1371" s="760">
        <f t="shared" si="87"/>
        <v>0.72075471698113214</v>
      </c>
    </row>
    <row r="1372" spans="1:10">
      <c r="A1372" s="74" t="s">
        <v>710</v>
      </c>
      <c r="B1372" s="74" t="s">
        <v>249</v>
      </c>
      <c r="C1372" s="74" t="s">
        <v>1520</v>
      </c>
      <c r="D1372" s="74" t="s">
        <v>84</v>
      </c>
      <c r="E1372" s="74">
        <v>1</v>
      </c>
      <c r="F1372" s="74">
        <v>2.65</v>
      </c>
      <c r="G1372" s="758">
        <f t="shared" si="84"/>
        <v>0.74</v>
      </c>
      <c r="H1372" s="759">
        <f t="shared" si="85"/>
        <v>0.4</v>
      </c>
      <c r="I1372" s="758">
        <f t="shared" si="86"/>
        <v>1.91</v>
      </c>
      <c r="J1372" s="760">
        <f t="shared" si="87"/>
        <v>0.72075471698113214</v>
      </c>
    </row>
    <row r="1373" spans="1:10">
      <c r="A1373" s="74" t="s">
        <v>710</v>
      </c>
      <c r="B1373" s="74" t="s">
        <v>249</v>
      </c>
      <c r="C1373" s="74" t="s">
        <v>1507</v>
      </c>
      <c r="D1373" s="74" t="s">
        <v>86</v>
      </c>
      <c r="E1373" s="74">
        <v>1</v>
      </c>
      <c r="F1373" s="74">
        <v>2.65</v>
      </c>
      <c r="G1373" s="758">
        <f t="shared" si="84"/>
        <v>0.74</v>
      </c>
      <c r="H1373" s="759">
        <f t="shared" si="85"/>
        <v>0.4</v>
      </c>
      <c r="I1373" s="758">
        <f t="shared" si="86"/>
        <v>1.91</v>
      </c>
      <c r="J1373" s="760">
        <f t="shared" si="87"/>
        <v>0.72075471698113214</v>
      </c>
    </row>
    <row r="1374" spans="1:10">
      <c r="A1374" s="74" t="s">
        <v>710</v>
      </c>
      <c r="B1374" s="74" t="s">
        <v>249</v>
      </c>
      <c r="C1374" s="74" t="s">
        <v>1578</v>
      </c>
      <c r="D1374" s="74" t="s">
        <v>86</v>
      </c>
      <c r="E1374" s="74">
        <v>1</v>
      </c>
      <c r="F1374" s="74">
        <v>2.65</v>
      </c>
      <c r="G1374" s="758">
        <f t="shared" si="84"/>
        <v>0.74</v>
      </c>
      <c r="H1374" s="759">
        <f t="shared" si="85"/>
        <v>0.4</v>
      </c>
      <c r="I1374" s="758">
        <f t="shared" si="86"/>
        <v>1.91</v>
      </c>
      <c r="J1374" s="760">
        <f t="shared" si="87"/>
        <v>0.72075471698113214</v>
      </c>
    </row>
    <row r="1375" spans="1:10">
      <c r="A1375" s="74" t="s">
        <v>710</v>
      </c>
      <c r="B1375" s="74" t="s">
        <v>249</v>
      </c>
      <c r="C1375" s="74" t="s">
        <v>1646</v>
      </c>
      <c r="D1375" s="74" t="s">
        <v>86</v>
      </c>
      <c r="E1375" s="74">
        <v>2</v>
      </c>
      <c r="F1375" s="74">
        <v>5.3</v>
      </c>
      <c r="G1375" s="758">
        <f t="shared" si="84"/>
        <v>0.74</v>
      </c>
      <c r="H1375" s="759">
        <f t="shared" si="85"/>
        <v>0.4</v>
      </c>
      <c r="I1375" s="758">
        <f t="shared" si="86"/>
        <v>1.91</v>
      </c>
      <c r="J1375" s="760">
        <f t="shared" si="87"/>
        <v>0.72075471698113214</v>
      </c>
    </row>
    <row r="1376" spans="1:10">
      <c r="A1376" s="74" t="s">
        <v>710</v>
      </c>
      <c r="B1376" s="74" t="s">
        <v>249</v>
      </c>
      <c r="C1376" s="74" t="s">
        <v>1541</v>
      </c>
      <c r="D1376" s="74" t="s">
        <v>86</v>
      </c>
      <c r="E1376" s="74">
        <v>4</v>
      </c>
      <c r="F1376" s="74">
        <v>10.6</v>
      </c>
      <c r="G1376" s="758">
        <f t="shared" si="84"/>
        <v>0.74</v>
      </c>
      <c r="H1376" s="759">
        <f t="shared" si="85"/>
        <v>0.4</v>
      </c>
      <c r="I1376" s="758">
        <f t="shared" si="86"/>
        <v>1.91</v>
      </c>
      <c r="J1376" s="760">
        <f t="shared" si="87"/>
        <v>0.72075471698113214</v>
      </c>
    </row>
    <row r="1377" spans="1:10">
      <c r="A1377" s="74" t="s">
        <v>710</v>
      </c>
      <c r="B1377" s="74" t="s">
        <v>249</v>
      </c>
      <c r="C1377" s="74" t="s">
        <v>1543</v>
      </c>
      <c r="D1377" s="74" t="s">
        <v>87</v>
      </c>
      <c r="E1377" s="74">
        <v>2</v>
      </c>
      <c r="F1377" s="74">
        <v>5.3</v>
      </c>
      <c r="G1377" s="758">
        <f t="shared" si="84"/>
        <v>0.74</v>
      </c>
      <c r="H1377" s="759">
        <f t="shared" si="85"/>
        <v>0.4</v>
      </c>
      <c r="I1377" s="758">
        <f t="shared" si="86"/>
        <v>1.91</v>
      </c>
      <c r="J1377" s="760">
        <f t="shared" si="87"/>
        <v>0.72075471698113214</v>
      </c>
    </row>
    <row r="1378" spans="1:10">
      <c r="A1378" s="74" t="s">
        <v>710</v>
      </c>
      <c r="B1378" s="74" t="s">
        <v>249</v>
      </c>
      <c r="C1378" s="74" t="s">
        <v>1561</v>
      </c>
      <c r="D1378" s="74" t="s">
        <v>87</v>
      </c>
      <c r="E1378" s="74">
        <v>1</v>
      </c>
      <c r="F1378" s="74">
        <v>2.65</v>
      </c>
      <c r="G1378" s="758">
        <f t="shared" si="84"/>
        <v>0.74</v>
      </c>
      <c r="H1378" s="759">
        <f t="shared" si="85"/>
        <v>0.4</v>
      </c>
      <c r="I1378" s="758">
        <f t="shared" si="86"/>
        <v>1.91</v>
      </c>
      <c r="J1378" s="760">
        <f t="shared" si="87"/>
        <v>0.72075471698113214</v>
      </c>
    </row>
    <row r="1379" spans="1:10">
      <c r="A1379" s="74" t="s">
        <v>710</v>
      </c>
      <c r="B1379" s="74" t="s">
        <v>249</v>
      </c>
      <c r="C1379" s="74" t="s">
        <v>1547</v>
      </c>
      <c r="D1379" s="74" t="s">
        <v>89</v>
      </c>
      <c r="E1379" s="74">
        <v>1</v>
      </c>
      <c r="F1379" s="74">
        <v>2.65</v>
      </c>
      <c r="G1379" s="758">
        <f t="shared" si="84"/>
        <v>0.74</v>
      </c>
      <c r="H1379" s="759">
        <f t="shared" si="85"/>
        <v>0.4</v>
      </c>
      <c r="I1379" s="758">
        <f t="shared" si="86"/>
        <v>1.91</v>
      </c>
      <c r="J1379" s="760">
        <f t="shared" si="87"/>
        <v>0.72075471698113214</v>
      </c>
    </row>
    <row r="1380" spans="1:10">
      <c r="A1380" s="74" t="s">
        <v>710</v>
      </c>
      <c r="B1380" s="74" t="s">
        <v>249</v>
      </c>
      <c r="C1380" s="74" t="s">
        <v>1582</v>
      </c>
      <c r="D1380" s="74" t="s">
        <v>89</v>
      </c>
      <c r="E1380" s="74">
        <v>1</v>
      </c>
      <c r="F1380" s="74">
        <v>2.65</v>
      </c>
      <c r="G1380" s="758">
        <f t="shared" si="84"/>
        <v>0.74</v>
      </c>
      <c r="H1380" s="759">
        <f t="shared" si="85"/>
        <v>0.4</v>
      </c>
      <c r="I1380" s="758">
        <f t="shared" si="86"/>
        <v>1.91</v>
      </c>
      <c r="J1380" s="760">
        <f t="shared" si="87"/>
        <v>0.72075471698113214</v>
      </c>
    </row>
    <row r="1381" spans="1:10">
      <c r="A1381" s="74" t="s">
        <v>710</v>
      </c>
      <c r="B1381" s="74" t="s">
        <v>249</v>
      </c>
      <c r="C1381" s="74" t="s">
        <v>1550</v>
      </c>
      <c r="D1381" s="74" t="s">
        <v>91</v>
      </c>
      <c r="E1381" s="74">
        <v>1</v>
      </c>
      <c r="F1381" s="74">
        <v>2.65</v>
      </c>
      <c r="G1381" s="758">
        <f t="shared" si="84"/>
        <v>0.74</v>
      </c>
      <c r="H1381" s="759">
        <f t="shared" si="85"/>
        <v>0.4</v>
      </c>
      <c r="I1381" s="758">
        <f t="shared" si="86"/>
        <v>1.91</v>
      </c>
      <c r="J1381" s="760">
        <f t="shared" si="87"/>
        <v>0.72075471698113214</v>
      </c>
    </row>
    <row r="1382" spans="1:10">
      <c r="A1382" s="74" t="s">
        <v>710</v>
      </c>
      <c r="B1382" s="74" t="s">
        <v>249</v>
      </c>
      <c r="C1382" s="74" t="s">
        <v>1552</v>
      </c>
      <c r="D1382" s="74" t="s">
        <v>92</v>
      </c>
      <c r="E1382" s="74">
        <v>3</v>
      </c>
      <c r="F1382" s="74">
        <v>7.95</v>
      </c>
      <c r="G1382" s="758">
        <f t="shared" si="84"/>
        <v>0.74</v>
      </c>
      <c r="H1382" s="759">
        <f t="shared" si="85"/>
        <v>0.4</v>
      </c>
      <c r="I1382" s="758">
        <f t="shared" si="86"/>
        <v>1.91</v>
      </c>
      <c r="J1382" s="760">
        <f t="shared" si="87"/>
        <v>0.72075471698113214</v>
      </c>
    </row>
    <row r="1383" spans="1:10">
      <c r="A1383" s="74" t="s">
        <v>1665</v>
      </c>
      <c r="B1383" s="74" t="s">
        <v>247</v>
      </c>
      <c r="C1383" s="74" t="s">
        <v>1610</v>
      </c>
      <c r="D1383" s="74" t="s">
        <v>89</v>
      </c>
      <c r="E1383" s="74">
        <v>1</v>
      </c>
      <c r="F1383" s="74">
        <v>0</v>
      </c>
      <c r="G1383" s="758">
        <f t="shared" si="84"/>
        <v>0</v>
      </c>
      <c r="H1383" s="759">
        <f t="shared" si="85"/>
        <v>0</v>
      </c>
      <c r="I1383" s="758">
        <f t="shared" si="86"/>
        <v>0</v>
      </c>
      <c r="J1383" s="760">
        <f t="shared" si="87"/>
        <v>0</v>
      </c>
    </row>
    <row r="1384" spans="1:10">
      <c r="A1384" s="74" t="s">
        <v>1239</v>
      </c>
      <c r="B1384" s="74" t="s">
        <v>247</v>
      </c>
      <c r="C1384" s="74" t="s">
        <v>1528</v>
      </c>
      <c r="D1384" s="74" t="s">
        <v>78</v>
      </c>
      <c r="E1384" s="74">
        <v>1</v>
      </c>
      <c r="F1384" s="74">
        <v>1.85</v>
      </c>
      <c r="G1384" s="758">
        <f t="shared" si="84"/>
        <v>0.26</v>
      </c>
      <c r="H1384" s="759">
        <f t="shared" si="85"/>
        <v>0.19</v>
      </c>
      <c r="I1384" s="758">
        <f t="shared" si="86"/>
        <v>1.59</v>
      </c>
      <c r="J1384" s="760">
        <f t="shared" si="87"/>
        <v>0.85945945945945945</v>
      </c>
    </row>
    <row r="1385" spans="1:10">
      <c r="A1385" s="74" t="s">
        <v>1239</v>
      </c>
      <c r="B1385" s="74" t="s">
        <v>247</v>
      </c>
      <c r="C1385" s="74" t="s">
        <v>1509</v>
      </c>
      <c r="D1385" s="74" t="s">
        <v>78</v>
      </c>
      <c r="E1385" s="74">
        <v>6</v>
      </c>
      <c r="F1385" s="74">
        <v>9.85</v>
      </c>
      <c r="G1385" s="758">
        <f t="shared" si="84"/>
        <v>0.26</v>
      </c>
      <c r="H1385" s="759">
        <f t="shared" si="85"/>
        <v>0.19</v>
      </c>
      <c r="I1385" s="758">
        <f t="shared" si="86"/>
        <v>1.3816666666666666</v>
      </c>
      <c r="J1385" s="760">
        <f t="shared" si="87"/>
        <v>0.84162436548223352</v>
      </c>
    </row>
    <row r="1386" spans="1:10">
      <c r="A1386" s="74" t="s">
        <v>1239</v>
      </c>
      <c r="B1386" s="74" t="s">
        <v>247</v>
      </c>
      <c r="C1386" s="74" t="s">
        <v>1565</v>
      </c>
      <c r="D1386" s="74" t="s">
        <v>78</v>
      </c>
      <c r="E1386" s="74">
        <v>9</v>
      </c>
      <c r="F1386" s="74">
        <v>15.3</v>
      </c>
      <c r="G1386" s="758">
        <f t="shared" si="84"/>
        <v>0.26</v>
      </c>
      <c r="H1386" s="759">
        <f t="shared" si="85"/>
        <v>0.19</v>
      </c>
      <c r="I1386" s="758">
        <f t="shared" si="86"/>
        <v>1.4400000000000002</v>
      </c>
      <c r="J1386" s="760">
        <f t="shared" si="87"/>
        <v>0.84705882352941175</v>
      </c>
    </row>
    <row r="1387" spans="1:10">
      <c r="A1387" s="74" t="s">
        <v>1239</v>
      </c>
      <c r="B1387" s="74" t="s">
        <v>247</v>
      </c>
      <c r="C1387" s="74" t="s">
        <v>1530</v>
      </c>
      <c r="D1387" s="74" t="s">
        <v>80</v>
      </c>
      <c r="E1387" s="74">
        <v>4</v>
      </c>
      <c r="F1387" s="74">
        <v>6.8</v>
      </c>
      <c r="G1387" s="758">
        <f t="shared" si="84"/>
        <v>0.26</v>
      </c>
      <c r="H1387" s="759">
        <f t="shared" si="85"/>
        <v>0.19</v>
      </c>
      <c r="I1387" s="758">
        <f t="shared" si="86"/>
        <v>1.44</v>
      </c>
      <c r="J1387" s="760">
        <f t="shared" si="87"/>
        <v>0.84705882352941175</v>
      </c>
    </row>
    <row r="1388" spans="1:10">
      <c r="A1388" s="74" t="s">
        <v>1239</v>
      </c>
      <c r="B1388" s="74" t="s">
        <v>247</v>
      </c>
      <c r="C1388" s="74" t="s">
        <v>1532</v>
      </c>
      <c r="D1388" s="74" t="s">
        <v>80</v>
      </c>
      <c r="E1388" s="74">
        <v>7</v>
      </c>
      <c r="F1388" s="74">
        <v>11.7</v>
      </c>
      <c r="G1388" s="758">
        <f t="shared" si="84"/>
        <v>0.26</v>
      </c>
      <c r="H1388" s="759">
        <f t="shared" si="85"/>
        <v>0.19</v>
      </c>
      <c r="I1388" s="758">
        <f t="shared" si="86"/>
        <v>1.4114285714285713</v>
      </c>
      <c r="J1388" s="760">
        <f t="shared" si="87"/>
        <v>0.84444444444444444</v>
      </c>
    </row>
    <row r="1389" spans="1:10">
      <c r="A1389" s="74" t="s">
        <v>1239</v>
      </c>
      <c r="B1389" s="74" t="s">
        <v>247</v>
      </c>
      <c r="C1389" s="74" t="s">
        <v>1511</v>
      </c>
      <c r="D1389" s="74" t="s">
        <v>80</v>
      </c>
      <c r="E1389" s="74">
        <v>5</v>
      </c>
      <c r="F1389" s="74">
        <v>8.65</v>
      </c>
      <c r="G1389" s="758">
        <f t="shared" si="84"/>
        <v>0.26</v>
      </c>
      <c r="H1389" s="759">
        <f t="shared" si="85"/>
        <v>0.19</v>
      </c>
      <c r="I1389" s="758">
        <f t="shared" si="86"/>
        <v>1.47</v>
      </c>
      <c r="J1389" s="760">
        <f t="shared" si="87"/>
        <v>0.8497109826589595</v>
      </c>
    </row>
    <row r="1390" spans="1:10">
      <c r="A1390" s="74" t="s">
        <v>1239</v>
      </c>
      <c r="B1390" s="74" t="s">
        <v>247</v>
      </c>
      <c r="C1390" s="74" t="s">
        <v>1512</v>
      </c>
      <c r="D1390" s="74" t="s">
        <v>80</v>
      </c>
      <c r="E1390" s="74">
        <v>5</v>
      </c>
      <c r="F1390" s="74">
        <v>8.65</v>
      </c>
      <c r="G1390" s="758">
        <f t="shared" si="84"/>
        <v>0.26</v>
      </c>
      <c r="H1390" s="759">
        <f t="shared" si="85"/>
        <v>0.19</v>
      </c>
      <c r="I1390" s="758">
        <f t="shared" si="86"/>
        <v>1.47</v>
      </c>
      <c r="J1390" s="760">
        <f t="shared" si="87"/>
        <v>0.8497109826589595</v>
      </c>
    </row>
    <row r="1391" spans="1:10">
      <c r="A1391" s="74" t="s">
        <v>1239</v>
      </c>
      <c r="B1391" s="74" t="s">
        <v>247</v>
      </c>
      <c r="C1391" s="74" t="s">
        <v>1534</v>
      </c>
      <c r="D1391" s="74" t="s">
        <v>81</v>
      </c>
      <c r="E1391" s="74">
        <v>10</v>
      </c>
      <c r="F1391" s="74">
        <v>17</v>
      </c>
      <c r="G1391" s="758">
        <f t="shared" si="84"/>
        <v>0.26</v>
      </c>
      <c r="H1391" s="759">
        <f t="shared" si="85"/>
        <v>0.19</v>
      </c>
      <c r="I1391" s="758">
        <f t="shared" si="86"/>
        <v>1.44</v>
      </c>
      <c r="J1391" s="760">
        <f t="shared" si="87"/>
        <v>0.84705882352941175</v>
      </c>
    </row>
    <row r="1392" spans="1:10">
      <c r="A1392" s="74" t="s">
        <v>1239</v>
      </c>
      <c r="B1392" s="74" t="s">
        <v>247</v>
      </c>
      <c r="C1392" s="74" t="s">
        <v>1513</v>
      </c>
      <c r="D1392" s="74" t="s">
        <v>81</v>
      </c>
      <c r="E1392" s="74">
        <v>2</v>
      </c>
      <c r="F1392" s="74">
        <v>3.4</v>
      </c>
      <c r="G1392" s="758">
        <f t="shared" si="84"/>
        <v>0.26</v>
      </c>
      <c r="H1392" s="759">
        <f t="shared" si="85"/>
        <v>0.19</v>
      </c>
      <c r="I1392" s="758">
        <f t="shared" si="86"/>
        <v>1.44</v>
      </c>
      <c r="J1392" s="760">
        <f t="shared" si="87"/>
        <v>0.84705882352941175</v>
      </c>
    </row>
    <row r="1393" spans="1:10">
      <c r="A1393" s="74" t="s">
        <v>1239</v>
      </c>
      <c r="B1393" s="74" t="s">
        <v>247</v>
      </c>
      <c r="C1393" s="74" t="s">
        <v>1514</v>
      </c>
      <c r="D1393" s="74" t="s">
        <v>81</v>
      </c>
      <c r="E1393" s="74">
        <v>4</v>
      </c>
      <c r="F1393" s="74">
        <v>6.8</v>
      </c>
      <c r="G1393" s="758">
        <f t="shared" si="84"/>
        <v>0.26</v>
      </c>
      <c r="H1393" s="759">
        <f t="shared" si="85"/>
        <v>0.19</v>
      </c>
      <c r="I1393" s="758">
        <f t="shared" si="86"/>
        <v>1.44</v>
      </c>
      <c r="J1393" s="760">
        <f t="shared" si="87"/>
        <v>0.84705882352941175</v>
      </c>
    </row>
    <row r="1394" spans="1:10">
      <c r="A1394" s="74" t="s">
        <v>1239</v>
      </c>
      <c r="B1394" s="74" t="s">
        <v>247</v>
      </c>
      <c r="C1394" s="74" t="s">
        <v>1515</v>
      </c>
      <c r="D1394" s="74" t="s">
        <v>81</v>
      </c>
      <c r="E1394" s="74">
        <v>1</v>
      </c>
      <c r="F1394" s="74">
        <v>1.7</v>
      </c>
      <c r="G1394" s="758">
        <f t="shared" si="84"/>
        <v>0.26</v>
      </c>
      <c r="H1394" s="759">
        <f t="shared" si="85"/>
        <v>0.19</v>
      </c>
      <c r="I1394" s="758">
        <f t="shared" si="86"/>
        <v>1.44</v>
      </c>
      <c r="J1394" s="760">
        <f t="shared" si="87"/>
        <v>0.84705882352941175</v>
      </c>
    </row>
    <row r="1395" spans="1:10">
      <c r="A1395" s="74" t="s">
        <v>1239</v>
      </c>
      <c r="B1395" s="74" t="s">
        <v>247</v>
      </c>
      <c r="C1395" s="74" t="s">
        <v>1516</v>
      </c>
      <c r="D1395" s="74" t="s">
        <v>82</v>
      </c>
      <c r="E1395" s="74">
        <v>3</v>
      </c>
      <c r="F1395" s="74">
        <v>5.0999999999999996</v>
      </c>
      <c r="G1395" s="758">
        <f t="shared" si="84"/>
        <v>0.26</v>
      </c>
      <c r="H1395" s="759">
        <f t="shared" si="85"/>
        <v>0.19</v>
      </c>
      <c r="I1395" s="758">
        <f t="shared" si="86"/>
        <v>1.44</v>
      </c>
      <c r="J1395" s="760">
        <f t="shared" si="87"/>
        <v>0.84705882352941175</v>
      </c>
    </row>
    <row r="1396" spans="1:10">
      <c r="A1396" s="74" t="s">
        <v>1239</v>
      </c>
      <c r="B1396" s="74" t="s">
        <v>247</v>
      </c>
      <c r="C1396" s="74" t="s">
        <v>1517</v>
      </c>
      <c r="D1396" s="74" t="s">
        <v>82</v>
      </c>
      <c r="E1396" s="74">
        <v>5</v>
      </c>
      <c r="F1396" s="74">
        <v>8.5</v>
      </c>
      <c r="G1396" s="758">
        <f t="shared" si="84"/>
        <v>0.26</v>
      </c>
      <c r="H1396" s="759">
        <f t="shared" si="85"/>
        <v>0.19</v>
      </c>
      <c r="I1396" s="758">
        <f t="shared" si="86"/>
        <v>1.44</v>
      </c>
      <c r="J1396" s="760">
        <f t="shared" si="87"/>
        <v>0.84705882352941175</v>
      </c>
    </row>
    <row r="1397" spans="1:10">
      <c r="A1397" s="74" t="s">
        <v>1239</v>
      </c>
      <c r="B1397" s="74" t="s">
        <v>247</v>
      </c>
      <c r="C1397" s="74" t="s">
        <v>1527</v>
      </c>
      <c r="D1397" s="74" t="s">
        <v>82</v>
      </c>
      <c r="E1397" s="74">
        <v>5</v>
      </c>
      <c r="F1397" s="74">
        <v>8.5</v>
      </c>
      <c r="G1397" s="758">
        <f t="shared" si="84"/>
        <v>0.26</v>
      </c>
      <c r="H1397" s="759">
        <f t="shared" si="85"/>
        <v>0.19</v>
      </c>
      <c r="I1397" s="758">
        <f t="shared" si="86"/>
        <v>1.44</v>
      </c>
      <c r="J1397" s="760">
        <f t="shared" si="87"/>
        <v>0.84705882352941175</v>
      </c>
    </row>
    <row r="1398" spans="1:10">
      <c r="A1398" s="74" t="s">
        <v>1239</v>
      </c>
      <c r="B1398" s="74" t="s">
        <v>247</v>
      </c>
      <c r="C1398" s="74" t="s">
        <v>1518</v>
      </c>
      <c r="D1398" s="74" t="s">
        <v>82</v>
      </c>
      <c r="E1398" s="74">
        <v>3</v>
      </c>
      <c r="F1398" s="74">
        <v>5.25</v>
      </c>
      <c r="G1398" s="758">
        <f t="shared" si="84"/>
        <v>0.26</v>
      </c>
      <c r="H1398" s="759">
        <f t="shared" si="85"/>
        <v>0.19</v>
      </c>
      <c r="I1398" s="758">
        <f t="shared" si="86"/>
        <v>1.49</v>
      </c>
      <c r="J1398" s="760">
        <f t="shared" si="87"/>
        <v>0.85142857142857142</v>
      </c>
    </row>
    <row r="1399" spans="1:10">
      <c r="A1399" s="74" t="s">
        <v>1239</v>
      </c>
      <c r="B1399" s="74" t="s">
        <v>247</v>
      </c>
      <c r="C1399" s="74" t="s">
        <v>1519</v>
      </c>
      <c r="D1399" s="74" t="s">
        <v>84</v>
      </c>
      <c r="E1399" s="74">
        <v>3</v>
      </c>
      <c r="F1399" s="74">
        <v>5.0999999999999996</v>
      </c>
      <c r="G1399" s="758">
        <f t="shared" si="84"/>
        <v>0.26</v>
      </c>
      <c r="H1399" s="759">
        <f t="shared" si="85"/>
        <v>0.19</v>
      </c>
      <c r="I1399" s="758">
        <f t="shared" si="86"/>
        <v>1.44</v>
      </c>
      <c r="J1399" s="760">
        <f t="shared" si="87"/>
        <v>0.84705882352941175</v>
      </c>
    </row>
    <row r="1400" spans="1:10">
      <c r="A1400" s="74" t="s">
        <v>1239</v>
      </c>
      <c r="B1400" s="74" t="s">
        <v>247</v>
      </c>
      <c r="C1400" s="74" t="s">
        <v>1540</v>
      </c>
      <c r="D1400" s="74" t="s">
        <v>84</v>
      </c>
      <c r="E1400" s="74">
        <v>1</v>
      </c>
      <c r="F1400" s="74">
        <v>1.7</v>
      </c>
      <c r="G1400" s="758">
        <f t="shared" si="84"/>
        <v>0.26</v>
      </c>
      <c r="H1400" s="759">
        <f t="shared" si="85"/>
        <v>0.19</v>
      </c>
      <c r="I1400" s="758">
        <f t="shared" si="86"/>
        <v>1.44</v>
      </c>
      <c r="J1400" s="760">
        <f t="shared" si="87"/>
        <v>0.84705882352941175</v>
      </c>
    </row>
    <row r="1401" spans="1:10">
      <c r="A1401" s="74" t="s">
        <v>257</v>
      </c>
      <c r="B1401" s="74" t="s">
        <v>258</v>
      </c>
      <c r="C1401" s="74" t="s">
        <v>1528</v>
      </c>
      <c r="D1401" s="74" t="s">
        <v>78</v>
      </c>
      <c r="E1401" s="74">
        <v>50</v>
      </c>
      <c r="F1401" s="74">
        <v>74.95</v>
      </c>
      <c r="G1401" s="758">
        <f t="shared" si="84"/>
        <v>0.25</v>
      </c>
      <c r="H1401" s="759">
        <f t="shared" si="85"/>
        <v>0.21</v>
      </c>
      <c r="I1401" s="758">
        <f t="shared" si="86"/>
        <v>1.2490000000000001</v>
      </c>
      <c r="J1401" s="760">
        <f t="shared" si="87"/>
        <v>0.83322214809873252</v>
      </c>
    </row>
    <row r="1402" spans="1:10">
      <c r="A1402" s="74" t="s">
        <v>257</v>
      </c>
      <c r="B1402" s="74" t="s">
        <v>258</v>
      </c>
      <c r="C1402" s="74" t="s">
        <v>1508</v>
      </c>
      <c r="D1402" s="74" t="s">
        <v>78</v>
      </c>
      <c r="E1402" s="74">
        <v>54</v>
      </c>
      <c r="F1402" s="74">
        <v>77.599999999999994</v>
      </c>
      <c r="G1402" s="758">
        <f t="shared" si="84"/>
        <v>0.25</v>
      </c>
      <c r="H1402" s="759">
        <f t="shared" si="85"/>
        <v>0.21</v>
      </c>
      <c r="I1402" s="758">
        <f t="shared" si="86"/>
        <v>1.1870370370370369</v>
      </c>
      <c r="J1402" s="760">
        <f t="shared" si="87"/>
        <v>0.8260309278350515</v>
      </c>
    </row>
    <row r="1403" spans="1:10">
      <c r="A1403" s="74" t="s">
        <v>257</v>
      </c>
      <c r="B1403" s="74" t="s">
        <v>258</v>
      </c>
      <c r="C1403" s="74" t="s">
        <v>1509</v>
      </c>
      <c r="D1403" s="74" t="s">
        <v>78</v>
      </c>
      <c r="E1403" s="74">
        <v>60</v>
      </c>
      <c r="F1403" s="74">
        <v>84.06</v>
      </c>
      <c r="G1403" s="758">
        <f t="shared" si="84"/>
        <v>0.25</v>
      </c>
      <c r="H1403" s="759">
        <f t="shared" si="85"/>
        <v>0.21</v>
      </c>
      <c r="I1403" s="758">
        <f t="shared" si="86"/>
        <v>1.151</v>
      </c>
      <c r="J1403" s="760">
        <f t="shared" si="87"/>
        <v>0.82155603140613853</v>
      </c>
    </row>
    <row r="1404" spans="1:10">
      <c r="A1404" s="74" t="s">
        <v>257</v>
      </c>
      <c r="B1404" s="74" t="s">
        <v>258</v>
      </c>
      <c r="C1404" s="74" t="s">
        <v>1565</v>
      </c>
      <c r="D1404" s="74" t="s">
        <v>78</v>
      </c>
      <c r="E1404" s="74">
        <v>65</v>
      </c>
      <c r="F1404" s="74">
        <v>91.51</v>
      </c>
      <c r="G1404" s="758">
        <f t="shared" si="84"/>
        <v>0.25</v>
      </c>
      <c r="H1404" s="759">
        <f t="shared" si="85"/>
        <v>0.21</v>
      </c>
      <c r="I1404" s="758">
        <f t="shared" si="86"/>
        <v>1.157846153846154</v>
      </c>
      <c r="J1404" s="760">
        <f t="shared" si="87"/>
        <v>0.8224237788219867</v>
      </c>
    </row>
    <row r="1405" spans="1:10">
      <c r="A1405" s="74" t="s">
        <v>257</v>
      </c>
      <c r="B1405" s="74" t="s">
        <v>258</v>
      </c>
      <c r="C1405" s="74" t="s">
        <v>1530</v>
      </c>
      <c r="D1405" s="74" t="s">
        <v>80</v>
      </c>
      <c r="E1405" s="74">
        <v>23</v>
      </c>
      <c r="F1405" s="74">
        <v>28.75</v>
      </c>
      <c r="G1405" s="758">
        <f t="shared" si="84"/>
        <v>0.25</v>
      </c>
      <c r="H1405" s="759">
        <f t="shared" si="85"/>
        <v>0.21</v>
      </c>
      <c r="I1405" s="758">
        <f t="shared" si="86"/>
        <v>1</v>
      </c>
      <c r="J1405" s="760">
        <f t="shared" si="87"/>
        <v>0.8</v>
      </c>
    </row>
    <row r="1406" spans="1:10">
      <c r="A1406" s="74" t="s">
        <v>257</v>
      </c>
      <c r="B1406" s="74" t="s">
        <v>258</v>
      </c>
      <c r="C1406" s="74" t="s">
        <v>1532</v>
      </c>
      <c r="D1406" s="74" t="s">
        <v>80</v>
      </c>
      <c r="E1406" s="74">
        <v>72</v>
      </c>
      <c r="F1406" s="74">
        <v>103.3</v>
      </c>
      <c r="G1406" s="758">
        <f t="shared" si="84"/>
        <v>0.25</v>
      </c>
      <c r="H1406" s="759">
        <f t="shared" si="85"/>
        <v>0.21</v>
      </c>
      <c r="I1406" s="758">
        <f t="shared" si="86"/>
        <v>1.1847222222222222</v>
      </c>
      <c r="J1406" s="760">
        <f t="shared" si="87"/>
        <v>0.82575024201355274</v>
      </c>
    </row>
    <row r="1407" spans="1:10">
      <c r="A1407" s="74" t="s">
        <v>257</v>
      </c>
      <c r="B1407" s="74" t="s">
        <v>258</v>
      </c>
      <c r="C1407" s="74" t="s">
        <v>1511</v>
      </c>
      <c r="D1407" s="74" t="s">
        <v>80</v>
      </c>
      <c r="E1407" s="74">
        <v>71</v>
      </c>
      <c r="F1407" s="74">
        <v>107.06</v>
      </c>
      <c r="G1407" s="758">
        <f t="shared" si="84"/>
        <v>0.25</v>
      </c>
      <c r="H1407" s="759">
        <f t="shared" si="85"/>
        <v>0.21</v>
      </c>
      <c r="I1407" s="758">
        <f t="shared" si="86"/>
        <v>1.2578873239436621</v>
      </c>
      <c r="J1407" s="760">
        <f t="shared" si="87"/>
        <v>0.83420511862507007</v>
      </c>
    </row>
    <row r="1408" spans="1:10">
      <c r="A1408" s="74" t="s">
        <v>257</v>
      </c>
      <c r="B1408" s="74" t="s">
        <v>258</v>
      </c>
      <c r="C1408" s="74" t="s">
        <v>1512</v>
      </c>
      <c r="D1408" s="74" t="s">
        <v>80</v>
      </c>
      <c r="E1408" s="74">
        <v>73</v>
      </c>
      <c r="F1408" s="74">
        <v>109.21</v>
      </c>
      <c r="G1408" s="758">
        <f t="shared" si="84"/>
        <v>0.25</v>
      </c>
      <c r="H1408" s="759">
        <f t="shared" si="85"/>
        <v>0.21</v>
      </c>
      <c r="I1408" s="758">
        <f t="shared" si="86"/>
        <v>1.2460273972602738</v>
      </c>
      <c r="J1408" s="760">
        <f t="shared" si="87"/>
        <v>0.83289076091932968</v>
      </c>
    </row>
    <row r="1409" spans="1:10">
      <c r="A1409" s="74" t="s">
        <v>257</v>
      </c>
      <c r="B1409" s="74" t="s">
        <v>258</v>
      </c>
      <c r="C1409" s="74" t="s">
        <v>1534</v>
      </c>
      <c r="D1409" s="74" t="s">
        <v>81</v>
      </c>
      <c r="E1409" s="74">
        <v>73</v>
      </c>
      <c r="F1409" s="74">
        <v>108.15</v>
      </c>
      <c r="G1409" s="758">
        <f t="shared" si="84"/>
        <v>0.25</v>
      </c>
      <c r="H1409" s="759">
        <f t="shared" si="85"/>
        <v>0.21</v>
      </c>
      <c r="I1409" s="758">
        <f t="shared" si="86"/>
        <v>1.2315068493150685</v>
      </c>
      <c r="J1409" s="760">
        <f t="shared" si="87"/>
        <v>0.83125288950531673</v>
      </c>
    </row>
    <row r="1410" spans="1:10">
      <c r="A1410" s="74" t="s">
        <v>257</v>
      </c>
      <c r="B1410" s="74" t="s">
        <v>258</v>
      </c>
      <c r="C1410" s="74" t="s">
        <v>1513</v>
      </c>
      <c r="D1410" s="74" t="s">
        <v>81</v>
      </c>
      <c r="E1410" s="74">
        <v>32</v>
      </c>
      <c r="F1410" s="74">
        <v>58.65</v>
      </c>
      <c r="G1410" s="758">
        <f t="shared" ref="G1410:G1473" si="88">IFERROR(VLOOKUP(A1410,$M$1:$P$1014,2,FALSE),0)</f>
        <v>0.25</v>
      </c>
      <c r="H1410" s="759">
        <f t="shared" ref="H1410:H1473" si="89">IFERROR(VLOOKUP(A1410,$M$1:$P$1014,3,FALSE),0)</f>
        <v>0.21</v>
      </c>
      <c r="I1410" s="758">
        <f t="shared" ref="I1410:I1473" si="90">IFERROR(F1410/E1410-G1410,0)</f>
        <v>1.5828125</v>
      </c>
      <c r="J1410" s="760">
        <f t="shared" ref="J1410:J1473" si="91">IFERROR(1-G1410*E1410/F1410,0)</f>
        <v>0.86359761295822679</v>
      </c>
    </row>
    <row r="1411" spans="1:10">
      <c r="A1411" s="74" t="s">
        <v>257</v>
      </c>
      <c r="B1411" s="74" t="s">
        <v>258</v>
      </c>
      <c r="C1411" s="74" t="s">
        <v>1514</v>
      </c>
      <c r="D1411" s="74" t="s">
        <v>81</v>
      </c>
      <c r="E1411" s="74">
        <v>59</v>
      </c>
      <c r="F1411" s="74">
        <v>86.5</v>
      </c>
      <c r="G1411" s="758">
        <f t="shared" si="88"/>
        <v>0.25</v>
      </c>
      <c r="H1411" s="759">
        <f t="shared" si="89"/>
        <v>0.21</v>
      </c>
      <c r="I1411" s="758">
        <f t="shared" si="90"/>
        <v>1.2161016949152543</v>
      </c>
      <c r="J1411" s="760">
        <f t="shared" si="91"/>
        <v>0.82947976878612717</v>
      </c>
    </row>
    <row r="1412" spans="1:10">
      <c r="A1412" s="74" t="s">
        <v>257</v>
      </c>
      <c r="B1412" s="74" t="s">
        <v>258</v>
      </c>
      <c r="C1412" s="74" t="s">
        <v>1515</v>
      </c>
      <c r="D1412" s="74" t="s">
        <v>81</v>
      </c>
      <c r="E1412" s="74">
        <v>62</v>
      </c>
      <c r="F1412" s="74">
        <v>213.95</v>
      </c>
      <c r="G1412" s="758">
        <f t="shared" si="88"/>
        <v>0.25</v>
      </c>
      <c r="H1412" s="759">
        <f t="shared" si="89"/>
        <v>0.21</v>
      </c>
      <c r="I1412" s="758">
        <f t="shared" si="90"/>
        <v>3.2008064516129031</v>
      </c>
      <c r="J1412" s="760">
        <f t="shared" si="91"/>
        <v>0.92755316662771681</v>
      </c>
    </row>
    <row r="1413" spans="1:10">
      <c r="A1413" s="74" t="s">
        <v>257</v>
      </c>
      <c r="B1413" s="74" t="s">
        <v>258</v>
      </c>
      <c r="C1413" s="74" t="s">
        <v>1516</v>
      </c>
      <c r="D1413" s="74" t="s">
        <v>82</v>
      </c>
      <c r="E1413" s="74">
        <v>62</v>
      </c>
      <c r="F1413" s="74">
        <v>90.7</v>
      </c>
      <c r="G1413" s="758">
        <f t="shared" si="88"/>
        <v>0.25</v>
      </c>
      <c r="H1413" s="759">
        <f t="shared" si="89"/>
        <v>0.21</v>
      </c>
      <c r="I1413" s="758">
        <f t="shared" si="90"/>
        <v>1.2129032258064516</v>
      </c>
      <c r="J1413" s="760">
        <f t="shared" si="91"/>
        <v>0.82910694597574419</v>
      </c>
    </row>
    <row r="1414" spans="1:10">
      <c r="A1414" s="74" t="s">
        <v>257</v>
      </c>
      <c r="B1414" s="74" t="s">
        <v>258</v>
      </c>
      <c r="C1414" s="74" t="s">
        <v>1517</v>
      </c>
      <c r="D1414" s="74" t="s">
        <v>82</v>
      </c>
      <c r="E1414" s="74">
        <v>47</v>
      </c>
      <c r="F1414" s="74">
        <v>69.05</v>
      </c>
      <c r="G1414" s="758">
        <f t="shared" si="88"/>
        <v>0.25</v>
      </c>
      <c r="H1414" s="759">
        <f t="shared" si="89"/>
        <v>0.21</v>
      </c>
      <c r="I1414" s="758">
        <f t="shared" si="90"/>
        <v>1.2191489361702128</v>
      </c>
      <c r="J1414" s="760">
        <f t="shared" si="91"/>
        <v>0.82983345401882691</v>
      </c>
    </row>
    <row r="1415" spans="1:10">
      <c r="A1415" s="74" t="s">
        <v>257</v>
      </c>
      <c r="B1415" s="74" t="s">
        <v>258</v>
      </c>
      <c r="C1415" s="74" t="s">
        <v>1527</v>
      </c>
      <c r="D1415" s="74" t="s">
        <v>82</v>
      </c>
      <c r="E1415" s="74">
        <v>62</v>
      </c>
      <c r="F1415" s="74">
        <v>95.55</v>
      </c>
      <c r="G1415" s="758">
        <f t="shared" si="88"/>
        <v>0.25</v>
      </c>
      <c r="H1415" s="759">
        <f t="shared" si="89"/>
        <v>0.21</v>
      </c>
      <c r="I1415" s="758">
        <f t="shared" si="90"/>
        <v>1.2911290322580644</v>
      </c>
      <c r="J1415" s="760">
        <f t="shared" si="91"/>
        <v>0.8377812663526949</v>
      </c>
    </row>
    <row r="1416" spans="1:10">
      <c r="A1416" s="74" t="s">
        <v>257</v>
      </c>
      <c r="B1416" s="74" t="s">
        <v>258</v>
      </c>
      <c r="C1416" s="74" t="s">
        <v>1518</v>
      </c>
      <c r="D1416" s="74" t="s">
        <v>82</v>
      </c>
      <c r="E1416" s="74">
        <v>71</v>
      </c>
      <c r="F1416" s="74">
        <v>195.45</v>
      </c>
      <c r="G1416" s="758">
        <f t="shared" si="88"/>
        <v>0.25</v>
      </c>
      <c r="H1416" s="759">
        <f t="shared" si="89"/>
        <v>0.21</v>
      </c>
      <c r="I1416" s="758">
        <f t="shared" si="90"/>
        <v>2.5028169014084507</v>
      </c>
      <c r="J1416" s="760">
        <f t="shared" si="91"/>
        <v>0.90918393451010493</v>
      </c>
    </row>
    <row r="1417" spans="1:10">
      <c r="A1417" s="74" t="s">
        <v>257</v>
      </c>
      <c r="B1417" s="74" t="s">
        <v>258</v>
      </c>
      <c r="C1417" s="74" t="s">
        <v>1519</v>
      </c>
      <c r="D1417" s="74" t="s">
        <v>84</v>
      </c>
      <c r="E1417" s="74">
        <v>31</v>
      </c>
      <c r="F1417" s="74">
        <v>44.65</v>
      </c>
      <c r="G1417" s="758">
        <f t="shared" si="88"/>
        <v>0.25</v>
      </c>
      <c r="H1417" s="759">
        <f t="shared" si="89"/>
        <v>0.21</v>
      </c>
      <c r="I1417" s="758">
        <f t="shared" si="90"/>
        <v>1.1903225806451612</v>
      </c>
      <c r="J1417" s="760">
        <f t="shared" si="91"/>
        <v>0.82642777155655089</v>
      </c>
    </row>
    <row r="1418" spans="1:10">
      <c r="A1418" s="74" t="s">
        <v>257</v>
      </c>
      <c r="B1418" s="74" t="s">
        <v>258</v>
      </c>
      <c r="C1418" s="74" t="s">
        <v>1540</v>
      </c>
      <c r="D1418" s="74" t="s">
        <v>84</v>
      </c>
      <c r="E1418" s="74">
        <v>27</v>
      </c>
      <c r="F1418" s="74">
        <v>39.35</v>
      </c>
      <c r="G1418" s="758">
        <f t="shared" si="88"/>
        <v>0.25</v>
      </c>
      <c r="H1418" s="759">
        <f t="shared" si="89"/>
        <v>0.21</v>
      </c>
      <c r="I1418" s="758">
        <f t="shared" si="90"/>
        <v>1.2074074074074075</v>
      </c>
      <c r="J1418" s="760">
        <f t="shared" si="91"/>
        <v>0.82846251588310038</v>
      </c>
    </row>
    <row r="1419" spans="1:10">
      <c r="A1419" s="74" t="s">
        <v>257</v>
      </c>
      <c r="B1419" s="74" t="s">
        <v>258</v>
      </c>
      <c r="C1419" s="74" t="s">
        <v>1520</v>
      </c>
      <c r="D1419" s="74" t="s">
        <v>84</v>
      </c>
      <c r="E1419" s="74">
        <v>24</v>
      </c>
      <c r="F1419" s="74">
        <v>31.1</v>
      </c>
      <c r="G1419" s="758">
        <f t="shared" si="88"/>
        <v>0.25</v>
      </c>
      <c r="H1419" s="759">
        <f t="shared" si="89"/>
        <v>0.21</v>
      </c>
      <c r="I1419" s="758">
        <f t="shared" si="90"/>
        <v>1.0458333333333334</v>
      </c>
      <c r="J1419" s="760">
        <f t="shared" si="91"/>
        <v>0.80707395498392287</v>
      </c>
    </row>
    <row r="1420" spans="1:10">
      <c r="A1420" s="74" t="s">
        <v>257</v>
      </c>
      <c r="B1420" s="74" t="s">
        <v>258</v>
      </c>
      <c r="C1420" s="74" t="s">
        <v>1577</v>
      </c>
      <c r="D1420" s="74" t="s">
        <v>84</v>
      </c>
      <c r="E1420" s="74">
        <v>18</v>
      </c>
      <c r="F1420" s="74">
        <v>25.65</v>
      </c>
      <c r="G1420" s="758">
        <f t="shared" si="88"/>
        <v>0.25</v>
      </c>
      <c r="H1420" s="759">
        <f t="shared" si="89"/>
        <v>0.21</v>
      </c>
      <c r="I1420" s="758">
        <f t="shared" si="90"/>
        <v>1.1749999999999998</v>
      </c>
      <c r="J1420" s="760">
        <f t="shared" si="91"/>
        <v>0.82456140350877194</v>
      </c>
    </row>
    <row r="1421" spans="1:10">
      <c r="A1421" s="74" t="s">
        <v>257</v>
      </c>
      <c r="B1421" s="74" t="s">
        <v>258</v>
      </c>
      <c r="C1421" s="74" t="s">
        <v>1507</v>
      </c>
      <c r="D1421" s="74" t="s">
        <v>86</v>
      </c>
      <c r="E1421" s="74">
        <v>38</v>
      </c>
      <c r="F1421" s="74">
        <v>52.65</v>
      </c>
      <c r="G1421" s="758">
        <f t="shared" si="88"/>
        <v>0.25</v>
      </c>
      <c r="H1421" s="759">
        <f t="shared" si="89"/>
        <v>0.21</v>
      </c>
      <c r="I1421" s="758">
        <f t="shared" si="90"/>
        <v>1.1355263157894737</v>
      </c>
      <c r="J1421" s="760">
        <f t="shared" si="91"/>
        <v>0.81956315289648618</v>
      </c>
    </row>
    <row r="1422" spans="1:10">
      <c r="A1422" s="74" t="s">
        <v>257</v>
      </c>
      <c r="B1422" s="74" t="s">
        <v>258</v>
      </c>
      <c r="C1422" s="74" t="s">
        <v>1644</v>
      </c>
      <c r="D1422" s="74" t="s">
        <v>86</v>
      </c>
      <c r="E1422" s="74">
        <v>39</v>
      </c>
      <c r="F1422" s="74">
        <v>56.25</v>
      </c>
      <c r="G1422" s="758">
        <f t="shared" si="88"/>
        <v>0.25</v>
      </c>
      <c r="H1422" s="759">
        <f t="shared" si="89"/>
        <v>0.21</v>
      </c>
      <c r="I1422" s="758">
        <f t="shared" si="90"/>
        <v>1.1923076923076923</v>
      </c>
      <c r="J1422" s="760">
        <f t="shared" si="91"/>
        <v>0.82666666666666666</v>
      </c>
    </row>
    <row r="1423" spans="1:10">
      <c r="A1423" s="74" t="s">
        <v>257</v>
      </c>
      <c r="B1423" s="74" t="s">
        <v>258</v>
      </c>
      <c r="C1423" s="74" t="s">
        <v>1578</v>
      </c>
      <c r="D1423" s="74" t="s">
        <v>86</v>
      </c>
      <c r="E1423" s="74">
        <v>2</v>
      </c>
      <c r="F1423" s="74">
        <v>0</v>
      </c>
      <c r="G1423" s="758">
        <f t="shared" si="88"/>
        <v>0.25</v>
      </c>
      <c r="H1423" s="759">
        <f t="shared" si="89"/>
        <v>0.21</v>
      </c>
      <c r="I1423" s="758">
        <f t="shared" si="90"/>
        <v>-0.25</v>
      </c>
      <c r="J1423" s="760">
        <f t="shared" si="91"/>
        <v>0</v>
      </c>
    </row>
    <row r="1424" spans="1:10">
      <c r="A1424" s="74" t="s">
        <v>1666</v>
      </c>
      <c r="B1424" s="74" t="s">
        <v>258</v>
      </c>
      <c r="C1424" s="74" t="s">
        <v>1519</v>
      </c>
      <c r="D1424" s="74" t="s">
        <v>84</v>
      </c>
      <c r="E1424" s="74">
        <v>1</v>
      </c>
      <c r="F1424" s="74">
        <v>0</v>
      </c>
      <c r="G1424" s="758">
        <f t="shared" si="88"/>
        <v>0.28000000000000003</v>
      </c>
      <c r="H1424" s="759">
        <f t="shared" si="89"/>
        <v>0</v>
      </c>
      <c r="I1424" s="758">
        <f t="shared" si="90"/>
        <v>-0.28000000000000003</v>
      </c>
      <c r="J1424" s="760">
        <f t="shared" si="91"/>
        <v>0</v>
      </c>
    </row>
    <row r="1425" spans="1:10">
      <c r="A1425" s="74" t="s">
        <v>246</v>
      </c>
      <c r="B1425" s="74" t="s">
        <v>247</v>
      </c>
      <c r="C1425" s="74" t="s">
        <v>1528</v>
      </c>
      <c r="D1425" s="74" t="s">
        <v>78</v>
      </c>
      <c r="E1425" s="74">
        <v>118</v>
      </c>
      <c r="F1425" s="74">
        <v>203.2</v>
      </c>
      <c r="G1425" s="758">
        <f t="shared" si="88"/>
        <v>0.19</v>
      </c>
      <c r="H1425" s="759">
        <f t="shared" si="89"/>
        <v>0.26</v>
      </c>
      <c r="I1425" s="758">
        <f t="shared" si="90"/>
        <v>1.5320338983050847</v>
      </c>
      <c r="J1425" s="760">
        <f t="shared" si="91"/>
        <v>0.8896653543307087</v>
      </c>
    </row>
    <row r="1426" spans="1:10">
      <c r="A1426" s="74" t="s">
        <v>246</v>
      </c>
      <c r="B1426" s="74" t="s">
        <v>247</v>
      </c>
      <c r="C1426" s="74" t="s">
        <v>1508</v>
      </c>
      <c r="D1426" s="74" t="s">
        <v>78</v>
      </c>
      <c r="E1426" s="74">
        <v>123</v>
      </c>
      <c r="F1426" s="74">
        <v>211.3</v>
      </c>
      <c r="G1426" s="758">
        <f t="shared" si="88"/>
        <v>0.19</v>
      </c>
      <c r="H1426" s="759">
        <f t="shared" si="89"/>
        <v>0.26</v>
      </c>
      <c r="I1426" s="758">
        <f t="shared" si="90"/>
        <v>1.5278861788617888</v>
      </c>
      <c r="J1426" s="760">
        <f t="shared" si="91"/>
        <v>0.88939895882631326</v>
      </c>
    </row>
    <row r="1427" spans="1:10">
      <c r="A1427" s="74" t="s">
        <v>246</v>
      </c>
      <c r="B1427" s="74" t="s">
        <v>247</v>
      </c>
      <c r="C1427" s="74" t="s">
        <v>1509</v>
      </c>
      <c r="D1427" s="74" t="s">
        <v>78</v>
      </c>
      <c r="E1427" s="74">
        <v>156.4</v>
      </c>
      <c r="F1427" s="74">
        <v>266.02999999999997</v>
      </c>
      <c r="G1427" s="758">
        <f t="shared" si="88"/>
        <v>0.19</v>
      </c>
      <c r="H1427" s="759">
        <f t="shared" si="89"/>
        <v>0.26</v>
      </c>
      <c r="I1427" s="758">
        <f t="shared" si="90"/>
        <v>1.5109590792838872</v>
      </c>
      <c r="J1427" s="760">
        <f t="shared" si="91"/>
        <v>0.88829831222042621</v>
      </c>
    </row>
    <row r="1428" spans="1:10">
      <c r="A1428" s="74" t="s">
        <v>246</v>
      </c>
      <c r="B1428" s="74" t="s">
        <v>247</v>
      </c>
      <c r="C1428" s="74" t="s">
        <v>1565</v>
      </c>
      <c r="D1428" s="74" t="s">
        <v>78</v>
      </c>
      <c r="E1428" s="74">
        <v>147</v>
      </c>
      <c r="F1428" s="74">
        <v>250.45</v>
      </c>
      <c r="G1428" s="758">
        <f t="shared" si="88"/>
        <v>0.19</v>
      </c>
      <c r="H1428" s="759">
        <f t="shared" si="89"/>
        <v>0.26</v>
      </c>
      <c r="I1428" s="758">
        <f t="shared" si="90"/>
        <v>1.5137414965986393</v>
      </c>
      <c r="J1428" s="760">
        <f t="shared" si="91"/>
        <v>0.88848073467758037</v>
      </c>
    </row>
    <row r="1429" spans="1:10">
      <c r="A1429" s="74" t="s">
        <v>246</v>
      </c>
      <c r="B1429" s="74" t="s">
        <v>247</v>
      </c>
      <c r="C1429" s="74" t="s">
        <v>1530</v>
      </c>
      <c r="D1429" s="74" t="s">
        <v>80</v>
      </c>
      <c r="E1429" s="74">
        <v>64</v>
      </c>
      <c r="F1429" s="74">
        <v>109.25</v>
      </c>
      <c r="G1429" s="758">
        <f t="shared" si="88"/>
        <v>0.19</v>
      </c>
      <c r="H1429" s="759">
        <f t="shared" si="89"/>
        <v>0.26</v>
      </c>
      <c r="I1429" s="758">
        <f t="shared" si="90"/>
        <v>1.5170312500000001</v>
      </c>
      <c r="J1429" s="760">
        <f t="shared" si="91"/>
        <v>0.888695652173913</v>
      </c>
    </row>
    <row r="1430" spans="1:10">
      <c r="A1430" s="74" t="s">
        <v>246</v>
      </c>
      <c r="B1430" s="74" t="s">
        <v>247</v>
      </c>
      <c r="C1430" s="74" t="s">
        <v>1532</v>
      </c>
      <c r="D1430" s="74" t="s">
        <v>80</v>
      </c>
      <c r="E1430" s="74">
        <v>160</v>
      </c>
      <c r="F1430" s="74">
        <v>277.75</v>
      </c>
      <c r="G1430" s="758">
        <f t="shared" si="88"/>
        <v>0.19</v>
      </c>
      <c r="H1430" s="759">
        <f t="shared" si="89"/>
        <v>0.26</v>
      </c>
      <c r="I1430" s="758">
        <f t="shared" si="90"/>
        <v>1.5459375</v>
      </c>
      <c r="J1430" s="760">
        <f t="shared" si="91"/>
        <v>0.89054905490549052</v>
      </c>
    </row>
    <row r="1431" spans="1:10">
      <c r="A1431" s="74" t="s">
        <v>246</v>
      </c>
      <c r="B1431" s="74" t="s">
        <v>247</v>
      </c>
      <c r="C1431" s="74" t="s">
        <v>1511</v>
      </c>
      <c r="D1431" s="74" t="s">
        <v>80</v>
      </c>
      <c r="E1431" s="74">
        <v>131</v>
      </c>
      <c r="F1431" s="74">
        <v>225.27</v>
      </c>
      <c r="G1431" s="758">
        <f t="shared" si="88"/>
        <v>0.19</v>
      </c>
      <c r="H1431" s="759">
        <f t="shared" si="89"/>
        <v>0.26</v>
      </c>
      <c r="I1431" s="758">
        <f t="shared" si="90"/>
        <v>1.5296183206106873</v>
      </c>
      <c r="J1431" s="760">
        <f t="shared" si="91"/>
        <v>0.88951036533937056</v>
      </c>
    </row>
    <row r="1432" spans="1:10">
      <c r="A1432" s="74" t="s">
        <v>246</v>
      </c>
      <c r="B1432" s="74" t="s">
        <v>247</v>
      </c>
      <c r="C1432" s="74" t="s">
        <v>1512</v>
      </c>
      <c r="D1432" s="74" t="s">
        <v>80</v>
      </c>
      <c r="E1432" s="74">
        <v>126</v>
      </c>
      <c r="F1432" s="74">
        <v>216.44</v>
      </c>
      <c r="G1432" s="758">
        <f t="shared" si="88"/>
        <v>0.19</v>
      </c>
      <c r="H1432" s="759">
        <f t="shared" si="89"/>
        <v>0.26</v>
      </c>
      <c r="I1432" s="758">
        <f t="shared" si="90"/>
        <v>1.5277777777777779</v>
      </c>
      <c r="J1432" s="760">
        <f t="shared" si="91"/>
        <v>0.889391979301423</v>
      </c>
    </row>
    <row r="1433" spans="1:10">
      <c r="A1433" s="74" t="s">
        <v>246</v>
      </c>
      <c r="B1433" s="74" t="s">
        <v>247</v>
      </c>
      <c r="C1433" s="74" t="s">
        <v>1534</v>
      </c>
      <c r="D1433" s="74" t="s">
        <v>81</v>
      </c>
      <c r="E1433" s="74">
        <v>143</v>
      </c>
      <c r="F1433" s="74">
        <v>246.15</v>
      </c>
      <c r="G1433" s="758">
        <f t="shared" si="88"/>
        <v>0.19</v>
      </c>
      <c r="H1433" s="759">
        <f t="shared" si="89"/>
        <v>0.26</v>
      </c>
      <c r="I1433" s="758">
        <f t="shared" si="90"/>
        <v>1.5313286713286713</v>
      </c>
      <c r="J1433" s="760">
        <f t="shared" si="91"/>
        <v>0.88962015031484865</v>
      </c>
    </row>
    <row r="1434" spans="1:10">
      <c r="A1434" s="74" t="s">
        <v>246</v>
      </c>
      <c r="B1434" s="74" t="s">
        <v>247</v>
      </c>
      <c r="C1434" s="74" t="s">
        <v>1513</v>
      </c>
      <c r="D1434" s="74" t="s">
        <v>81</v>
      </c>
      <c r="E1434" s="74">
        <v>70</v>
      </c>
      <c r="F1434" s="74">
        <v>121.1</v>
      </c>
      <c r="G1434" s="758">
        <f t="shared" si="88"/>
        <v>0.19</v>
      </c>
      <c r="H1434" s="759">
        <f t="shared" si="89"/>
        <v>0.26</v>
      </c>
      <c r="I1434" s="758">
        <f t="shared" si="90"/>
        <v>1.54</v>
      </c>
      <c r="J1434" s="760">
        <f t="shared" si="91"/>
        <v>0.89017341040462428</v>
      </c>
    </row>
    <row r="1435" spans="1:10">
      <c r="A1435" s="74" t="s">
        <v>246</v>
      </c>
      <c r="B1435" s="74" t="s">
        <v>247</v>
      </c>
      <c r="C1435" s="74" t="s">
        <v>1514</v>
      </c>
      <c r="D1435" s="74" t="s">
        <v>81</v>
      </c>
      <c r="E1435" s="74">
        <v>103</v>
      </c>
      <c r="F1435" s="74">
        <v>177.5</v>
      </c>
      <c r="G1435" s="758">
        <f t="shared" si="88"/>
        <v>0.19</v>
      </c>
      <c r="H1435" s="759">
        <f t="shared" si="89"/>
        <v>0.26</v>
      </c>
      <c r="I1435" s="758">
        <f t="shared" si="90"/>
        <v>1.5333009708737864</v>
      </c>
      <c r="J1435" s="760">
        <f t="shared" si="91"/>
        <v>0.88974647887323943</v>
      </c>
    </row>
    <row r="1436" spans="1:10">
      <c r="A1436" s="74" t="s">
        <v>246</v>
      </c>
      <c r="B1436" s="74" t="s">
        <v>247</v>
      </c>
      <c r="C1436" s="74" t="s">
        <v>1515</v>
      </c>
      <c r="D1436" s="74" t="s">
        <v>81</v>
      </c>
      <c r="E1436" s="74">
        <v>123</v>
      </c>
      <c r="F1436" s="74">
        <v>212.4</v>
      </c>
      <c r="G1436" s="758">
        <f t="shared" si="88"/>
        <v>0.19</v>
      </c>
      <c r="H1436" s="759">
        <f t="shared" si="89"/>
        <v>0.26</v>
      </c>
      <c r="I1436" s="758">
        <f t="shared" si="90"/>
        <v>1.536829268292683</v>
      </c>
      <c r="J1436" s="760">
        <f t="shared" si="91"/>
        <v>0.88997175141242935</v>
      </c>
    </row>
    <row r="1437" spans="1:10">
      <c r="A1437" s="74" t="s">
        <v>246</v>
      </c>
      <c r="B1437" s="74" t="s">
        <v>247</v>
      </c>
      <c r="C1437" s="74" t="s">
        <v>1516</v>
      </c>
      <c r="D1437" s="74" t="s">
        <v>82</v>
      </c>
      <c r="E1437" s="74">
        <v>99</v>
      </c>
      <c r="F1437" s="74">
        <v>169.82</v>
      </c>
      <c r="G1437" s="758">
        <f t="shared" si="88"/>
        <v>0.19</v>
      </c>
      <c r="H1437" s="759">
        <f t="shared" si="89"/>
        <v>0.26</v>
      </c>
      <c r="I1437" s="758">
        <f t="shared" si="90"/>
        <v>1.5253535353535352</v>
      </c>
      <c r="J1437" s="760">
        <f t="shared" si="91"/>
        <v>0.88923566128842302</v>
      </c>
    </row>
    <row r="1438" spans="1:10">
      <c r="A1438" s="74" t="s">
        <v>246</v>
      </c>
      <c r="B1438" s="74" t="s">
        <v>247</v>
      </c>
      <c r="C1438" s="74" t="s">
        <v>1517</v>
      </c>
      <c r="D1438" s="74" t="s">
        <v>82</v>
      </c>
      <c r="E1438" s="74">
        <v>119</v>
      </c>
      <c r="F1438" s="74">
        <v>203.35</v>
      </c>
      <c r="G1438" s="758">
        <f t="shared" si="88"/>
        <v>0.19</v>
      </c>
      <c r="H1438" s="759">
        <f t="shared" si="89"/>
        <v>0.26</v>
      </c>
      <c r="I1438" s="758">
        <f t="shared" si="90"/>
        <v>1.5188235294117647</v>
      </c>
      <c r="J1438" s="760">
        <f t="shared" si="91"/>
        <v>0.88881239242685028</v>
      </c>
    </row>
    <row r="1439" spans="1:10">
      <c r="A1439" s="74" t="s">
        <v>246</v>
      </c>
      <c r="B1439" s="74" t="s">
        <v>247</v>
      </c>
      <c r="C1439" s="74" t="s">
        <v>1527</v>
      </c>
      <c r="D1439" s="74" t="s">
        <v>82</v>
      </c>
      <c r="E1439" s="74">
        <v>132</v>
      </c>
      <c r="F1439" s="74">
        <v>224.9</v>
      </c>
      <c r="G1439" s="758">
        <f t="shared" si="88"/>
        <v>0.19</v>
      </c>
      <c r="H1439" s="759">
        <f t="shared" si="89"/>
        <v>0.26</v>
      </c>
      <c r="I1439" s="758">
        <f t="shared" si="90"/>
        <v>1.5137878787878789</v>
      </c>
      <c r="J1439" s="760">
        <f t="shared" si="91"/>
        <v>0.88848377056469541</v>
      </c>
    </row>
    <row r="1440" spans="1:10">
      <c r="A1440" s="74" t="s">
        <v>246</v>
      </c>
      <c r="B1440" s="74" t="s">
        <v>247</v>
      </c>
      <c r="C1440" s="74" t="s">
        <v>1518</v>
      </c>
      <c r="D1440" s="74" t="s">
        <v>82</v>
      </c>
      <c r="E1440" s="74">
        <v>113</v>
      </c>
      <c r="F1440" s="74">
        <v>195</v>
      </c>
      <c r="G1440" s="758">
        <f t="shared" si="88"/>
        <v>0.19</v>
      </c>
      <c r="H1440" s="759">
        <f t="shared" si="89"/>
        <v>0.26</v>
      </c>
      <c r="I1440" s="758">
        <f t="shared" si="90"/>
        <v>1.5356637168141594</v>
      </c>
      <c r="J1440" s="760">
        <f t="shared" si="91"/>
        <v>0.88989743589743586</v>
      </c>
    </row>
    <row r="1441" spans="1:10">
      <c r="A1441" s="74" t="s">
        <v>246</v>
      </c>
      <c r="B1441" s="74" t="s">
        <v>247</v>
      </c>
      <c r="C1441" s="74" t="s">
        <v>1519</v>
      </c>
      <c r="D1441" s="74" t="s">
        <v>84</v>
      </c>
      <c r="E1441" s="74">
        <v>48</v>
      </c>
      <c r="F1441" s="74">
        <v>81.650000000000006</v>
      </c>
      <c r="G1441" s="758">
        <f t="shared" si="88"/>
        <v>0.19</v>
      </c>
      <c r="H1441" s="759">
        <f t="shared" si="89"/>
        <v>0.26</v>
      </c>
      <c r="I1441" s="758">
        <f t="shared" si="90"/>
        <v>1.5110416666666668</v>
      </c>
      <c r="J1441" s="760">
        <f t="shared" si="91"/>
        <v>0.88830373545621555</v>
      </c>
    </row>
    <row r="1442" spans="1:10">
      <c r="A1442" s="74" t="s">
        <v>246</v>
      </c>
      <c r="B1442" s="74" t="s">
        <v>247</v>
      </c>
      <c r="C1442" s="74" t="s">
        <v>1540</v>
      </c>
      <c r="D1442" s="74" t="s">
        <v>84</v>
      </c>
      <c r="E1442" s="74">
        <v>59</v>
      </c>
      <c r="F1442" s="74">
        <v>100.3</v>
      </c>
      <c r="G1442" s="758">
        <f t="shared" si="88"/>
        <v>0.19</v>
      </c>
      <c r="H1442" s="759">
        <f t="shared" si="89"/>
        <v>0.26</v>
      </c>
      <c r="I1442" s="758">
        <f t="shared" si="90"/>
        <v>1.51</v>
      </c>
      <c r="J1442" s="760">
        <f t="shared" si="91"/>
        <v>0.88823529411764701</v>
      </c>
    </row>
    <row r="1443" spans="1:10">
      <c r="A1443" s="74" t="s">
        <v>246</v>
      </c>
      <c r="B1443" s="74" t="s">
        <v>247</v>
      </c>
      <c r="C1443" s="74" t="s">
        <v>1520</v>
      </c>
      <c r="D1443" s="74" t="s">
        <v>84</v>
      </c>
      <c r="E1443" s="74">
        <v>51</v>
      </c>
      <c r="F1443" s="74">
        <v>90.1</v>
      </c>
      <c r="G1443" s="758">
        <f t="shared" si="88"/>
        <v>0.19</v>
      </c>
      <c r="H1443" s="759">
        <f t="shared" si="89"/>
        <v>0.26</v>
      </c>
      <c r="I1443" s="758">
        <f t="shared" si="90"/>
        <v>1.5766666666666667</v>
      </c>
      <c r="J1443" s="760">
        <f t="shared" si="91"/>
        <v>0.89245283018867927</v>
      </c>
    </row>
    <row r="1444" spans="1:10">
      <c r="A1444" s="74" t="s">
        <v>246</v>
      </c>
      <c r="B1444" s="74" t="s">
        <v>247</v>
      </c>
      <c r="C1444" s="74" t="s">
        <v>1577</v>
      </c>
      <c r="D1444" s="74" t="s">
        <v>84</v>
      </c>
      <c r="E1444" s="74">
        <v>31</v>
      </c>
      <c r="F1444" s="74">
        <v>53</v>
      </c>
      <c r="G1444" s="758">
        <f t="shared" si="88"/>
        <v>0.19</v>
      </c>
      <c r="H1444" s="759">
        <f t="shared" si="89"/>
        <v>0.26</v>
      </c>
      <c r="I1444" s="758">
        <f t="shared" si="90"/>
        <v>1.5196774193548388</v>
      </c>
      <c r="J1444" s="760">
        <f t="shared" si="91"/>
        <v>0.88886792452830188</v>
      </c>
    </row>
    <row r="1445" spans="1:10">
      <c r="A1445" s="74" t="s">
        <v>246</v>
      </c>
      <c r="B1445" s="74" t="s">
        <v>247</v>
      </c>
      <c r="C1445" s="74" t="s">
        <v>1507</v>
      </c>
      <c r="D1445" s="74" t="s">
        <v>86</v>
      </c>
      <c r="E1445" s="74">
        <v>47</v>
      </c>
      <c r="F1445" s="74">
        <v>79.900000000000006</v>
      </c>
      <c r="G1445" s="758">
        <f t="shared" si="88"/>
        <v>0.19</v>
      </c>
      <c r="H1445" s="759">
        <f t="shared" si="89"/>
        <v>0.26</v>
      </c>
      <c r="I1445" s="758">
        <f t="shared" si="90"/>
        <v>1.5100000000000002</v>
      </c>
      <c r="J1445" s="760">
        <f t="shared" si="91"/>
        <v>0.88823529411764701</v>
      </c>
    </row>
    <row r="1446" spans="1:10">
      <c r="A1446" s="74" t="s">
        <v>246</v>
      </c>
      <c r="B1446" s="74" t="s">
        <v>247</v>
      </c>
      <c r="C1446" s="74" t="s">
        <v>1644</v>
      </c>
      <c r="D1446" s="74" t="s">
        <v>86</v>
      </c>
      <c r="E1446" s="74">
        <v>62</v>
      </c>
      <c r="F1446" s="74">
        <v>105.55</v>
      </c>
      <c r="G1446" s="758">
        <f t="shared" si="88"/>
        <v>0.19</v>
      </c>
      <c r="H1446" s="759">
        <f t="shared" si="89"/>
        <v>0.26</v>
      </c>
      <c r="I1446" s="758">
        <f t="shared" si="90"/>
        <v>1.5124193548387097</v>
      </c>
      <c r="J1446" s="760">
        <f t="shared" si="91"/>
        <v>0.88839412600663192</v>
      </c>
    </row>
    <row r="1447" spans="1:10">
      <c r="A1447" s="74" t="s">
        <v>246</v>
      </c>
      <c r="B1447" s="74" t="s">
        <v>247</v>
      </c>
      <c r="C1447" s="74" t="s">
        <v>1578</v>
      </c>
      <c r="D1447" s="74" t="s">
        <v>86</v>
      </c>
      <c r="E1447" s="74">
        <v>64</v>
      </c>
      <c r="F1447" s="74">
        <v>108.8</v>
      </c>
      <c r="G1447" s="758">
        <f t="shared" si="88"/>
        <v>0.19</v>
      </c>
      <c r="H1447" s="759">
        <f t="shared" si="89"/>
        <v>0.26</v>
      </c>
      <c r="I1447" s="758">
        <f t="shared" si="90"/>
        <v>1.51</v>
      </c>
      <c r="J1447" s="760">
        <f t="shared" si="91"/>
        <v>0.88823529411764701</v>
      </c>
    </row>
    <row r="1448" spans="1:10">
      <c r="A1448" s="74" t="s">
        <v>246</v>
      </c>
      <c r="B1448" s="74" t="s">
        <v>247</v>
      </c>
      <c r="C1448" s="74" t="s">
        <v>1646</v>
      </c>
      <c r="D1448" s="74" t="s">
        <v>86</v>
      </c>
      <c r="E1448" s="74">
        <v>65</v>
      </c>
      <c r="F1448" s="74">
        <v>110.48</v>
      </c>
      <c r="G1448" s="758">
        <f t="shared" si="88"/>
        <v>0.19</v>
      </c>
      <c r="H1448" s="759">
        <f t="shared" si="89"/>
        <v>0.26</v>
      </c>
      <c r="I1448" s="758">
        <f t="shared" si="90"/>
        <v>1.5096923076923079</v>
      </c>
      <c r="J1448" s="760">
        <f t="shared" si="91"/>
        <v>0.88821506154960173</v>
      </c>
    </row>
    <row r="1449" spans="1:10">
      <c r="A1449" s="74" t="s">
        <v>246</v>
      </c>
      <c r="B1449" s="74" t="s">
        <v>247</v>
      </c>
      <c r="C1449" s="74" t="s">
        <v>1541</v>
      </c>
      <c r="D1449" s="74" t="s">
        <v>86</v>
      </c>
      <c r="E1449" s="74">
        <v>56</v>
      </c>
      <c r="F1449" s="74">
        <v>95.65</v>
      </c>
      <c r="G1449" s="758">
        <f t="shared" si="88"/>
        <v>0.19</v>
      </c>
      <c r="H1449" s="759">
        <f t="shared" si="89"/>
        <v>0.26</v>
      </c>
      <c r="I1449" s="758">
        <f t="shared" si="90"/>
        <v>1.5180357142857144</v>
      </c>
      <c r="J1449" s="760">
        <f t="shared" si="91"/>
        <v>0.88876110820700471</v>
      </c>
    </row>
    <row r="1450" spans="1:10">
      <c r="A1450" s="74" t="s">
        <v>246</v>
      </c>
      <c r="B1450" s="74" t="s">
        <v>247</v>
      </c>
      <c r="C1450" s="74" t="s">
        <v>1543</v>
      </c>
      <c r="D1450" s="74" t="s">
        <v>87</v>
      </c>
      <c r="E1450" s="74">
        <v>52</v>
      </c>
      <c r="F1450" s="74">
        <v>86.7</v>
      </c>
      <c r="G1450" s="758">
        <f t="shared" si="88"/>
        <v>0.19</v>
      </c>
      <c r="H1450" s="759">
        <f t="shared" si="89"/>
        <v>0.26</v>
      </c>
      <c r="I1450" s="758">
        <f t="shared" si="90"/>
        <v>1.4773076923076924</v>
      </c>
      <c r="J1450" s="760">
        <f t="shared" si="91"/>
        <v>0.88604382929642445</v>
      </c>
    </row>
    <row r="1451" spans="1:10">
      <c r="A1451" s="74" t="s">
        <v>246</v>
      </c>
      <c r="B1451" s="74" t="s">
        <v>247</v>
      </c>
      <c r="C1451" s="74" t="s">
        <v>1544</v>
      </c>
      <c r="D1451" s="74" t="s">
        <v>87</v>
      </c>
      <c r="E1451" s="74">
        <v>62</v>
      </c>
      <c r="F1451" s="74">
        <v>105.4</v>
      </c>
      <c r="G1451" s="758">
        <f t="shared" si="88"/>
        <v>0.19</v>
      </c>
      <c r="H1451" s="759">
        <f t="shared" si="89"/>
        <v>0.26</v>
      </c>
      <c r="I1451" s="758">
        <f t="shared" si="90"/>
        <v>1.5100000000000002</v>
      </c>
      <c r="J1451" s="760">
        <f t="shared" si="91"/>
        <v>0.88823529411764701</v>
      </c>
    </row>
    <row r="1452" spans="1:10">
      <c r="A1452" s="74" t="s">
        <v>246</v>
      </c>
      <c r="B1452" s="74" t="s">
        <v>247</v>
      </c>
      <c r="C1452" s="74" t="s">
        <v>1605</v>
      </c>
      <c r="D1452" s="74" t="s">
        <v>87</v>
      </c>
      <c r="E1452" s="74">
        <v>60.7</v>
      </c>
      <c r="F1452" s="74">
        <v>100.3</v>
      </c>
      <c r="G1452" s="758">
        <f t="shared" si="88"/>
        <v>0.19</v>
      </c>
      <c r="H1452" s="759">
        <f t="shared" si="89"/>
        <v>0.26</v>
      </c>
      <c r="I1452" s="758">
        <f t="shared" si="90"/>
        <v>1.4623887973640857</v>
      </c>
      <c r="J1452" s="760">
        <f t="shared" si="91"/>
        <v>0.88501495513459616</v>
      </c>
    </row>
    <row r="1453" spans="1:10">
      <c r="A1453" s="74" t="s">
        <v>246</v>
      </c>
      <c r="B1453" s="74" t="s">
        <v>247</v>
      </c>
      <c r="C1453" s="74" t="s">
        <v>1561</v>
      </c>
      <c r="D1453" s="74" t="s">
        <v>87</v>
      </c>
      <c r="E1453" s="74">
        <v>56</v>
      </c>
      <c r="F1453" s="74">
        <v>95.35</v>
      </c>
      <c r="G1453" s="758">
        <f t="shared" si="88"/>
        <v>0.19</v>
      </c>
      <c r="H1453" s="759">
        <f t="shared" si="89"/>
        <v>0.26</v>
      </c>
      <c r="I1453" s="758">
        <f t="shared" si="90"/>
        <v>1.5126785714285713</v>
      </c>
      <c r="J1453" s="760">
        <f t="shared" si="91"/>
        <v>0.88841111693759833</v>
      </c>
    </row>
    <row r="1454" spans="1:10">
      <c r="A1454" s="74" t="s">
        <v>246</v>
      </c>
      <c r="B1454" s="74" t="s">
        <v>247</v>
      </c>
      <c r="C1454" s="74" t="s">
        <v>1608</v>
      </c>
      <c r="D1454" s="74" t="s">
        <v>89</v>
      </c>
      <c r="E1454" s="74">
        <v>50</v>
      </c>
      <c r="F1454" s="74">
        <v>85.45</v>
      </c>
      <c r="G1454" s="758">
        <f t="shared" si="88"/>
        <v>0.19</v>
      </c>
      <c r="H1454" s="759">
        <f t="shared" si="89"/>
        <v>0.26</v>
      </c>
      <c r="I1454" s="758">
        <f t="shared" si="90"/>
        <v>1.5190000000000001</v>
      </c>
      <c r="J1454" s="760">
        <f t="shared" si="91"/>
        <v>0.88882387361029846</v>
      </c>
    </row>
    <row r="1455" spans="1:10">
      <c r="A1455" s="74" t="s">
        <v>246</v>
      </c>
      <c r="B1455" s="74" t="s">
        <v>247</v>
      </c>
      <c r="C1455" s="74" t="s">
        <v>1610</v>
      </c>
      <c r="D1455" s="74" t="s">
        <v>89</v>
      </c>
      <c r="E1455" s="74">
        <v>58</v>
      </c>
      <c r="F1455" s="74">
        <v>98.6</v>
      </c>
      <c r="G1455" s="758">
        <f t="shared" si="88"/>
        <v>0.19</v>
      </c>
      <c r="H1455" s="759">
        <f t="shared" si="89"/>
        <v>0.26</v>
      </c>
      <c r="I1455" s="758">
        <f t="shared" si="90"/>
        <v>1.51</v>
      </c>
      <c r="J1455" s="760">
        <f t="shared" si="91"/>
        <v>0.88823529411764701</v>
      </c>
    </row>
    <row r="1456" spans="1:10">
      <c r="A1456" s="74" t="s">
        <v>246</v>
      </c>
      <c r="B1456" s="74" t="s">
        <v>247</v>
      </c>
      <c r="C1456" s="74" t="s">
        <v>1546</v>
      </c>
      <c r="D1456" s="74" t="s">
        <v>89</v>
      </c>
      <c r="E1456" s="74">
        <v>63</v>
      </c>
      <c r="F1456" s="74">
        <v>107.1</v>
      </c>
      <c r="G1456" s="758">
        <f t="shared" si="88"/>
        <v>0.19</v>
      </c>
      <c r="H1456" s="759">
        <f t="shared" si="89"/>
        <v>0.26</v>
      </c>
      <c r="I1456" s="758">
        <f t="shared" si="90"/>
        <v>1.51</v>
      </c>
      <c r="J1456" s="760">
        <f t="shared" si="91"/>
        <v>0.88823529411764701</v>
      </c>
    </row>
    <row r="1457" spans="1:10">
      <c r="A1457" s="74" t="s">
        <v>246</v>
      </c>
      <c r="B1457" s="74" t="s">
        <v>247</v>
      </c>
      <c r="C1457" s="74" t="s">
        <v>1547</v>
      </c>
      <c r="D1457" s="74" t="s">
        <v>89</v>
      </c>
      <c r="E1457" s="74">
        <v>83</v>
      </c>
      <c r="F1457" s="74">
        <v>139.69999999999999</v>
      </c>
      <c r="G1457" s="758">
        <f t="shared" si="88"/>
        <v>0.19</v>
      </c>
      <c r="H1457" s="759">
        <f t="shared" si="89"/>
        <v>0.26</v>
      </c>
      <c r="I1457" s="758">
        <f t="shared" si="90"/>
        <v>1.4931325301204819</v>
      </c>
      <c r="J1457" s="760">
        <f t="shared" si="91"/>
        <v>0.88711524695776667</v>
      </c>
    </row>
    <row r="1458" spans="1:10">
      <c r="A1458" s="74" t="s">
        <v>246</v>
      </c>
      <c r="B1458" s="74" t="s">
        <v>247</v>
      </c>
      <c r="C1458" s="74" t="s">
        <v>1582</v>
      </c>
      <c r="D1458" s="74" t="s">
        <v>89</v>
      </c>
      <c r="E1458" s="74">
        <v>71</v>
      </c>
      <c r="F1458" s="74">
        <v>120.85</v>
      </c>
      <c r="G1458" s="758">
        <f t="shared" si="88"/>
        <v>0.19</v>
      </c>
      <c r="H1458" s="759">
        <f t="shared" si="89"/>
        <v>0.26</v>
      </c>
      <c r="I1458" s="758">
        <f t="shared" si="90"/>
        <v>1.5121126760563379</v>
      </c>
      <c r="J1458" s="760">
        <f t="shared" si="91"/>
        <v>0.88837401737691346</v>
      </c>
    </row>
    <row r="1459" spans="1:10">
      <c r="A1459" s="74" t="s">
        <v>246</v>
      </c>
      <c r="B1459" s="74" t="s">
        <v>247</v>
      </c>
      <c r="C1459" s="74" t="s">
        <v>1522</v>
      </c>
      <c r="D1459" s="74" t="s">
        <v>91</v>
      </c>
      <c r="E1459" s="74">
        <v>78</v>
      </c>
      <c r="F1459" s="74">
        <v>133.5</v>
      </c>
      <c r="G1459" s="758">
        <f t="shared" si="88"/>
        <v>0.19</v>
      </c>
      <c r="H1459" s="759">
        <f t="shared" si="89"/>
        <v>0.26</v>
      </c>
      <c r="I1459" s="758">
        <f t="shared" si="90"/>
        <v>1.5215384615384615</v>
      </c>
      <c r="J1459" s="760">
        <f t="shared" si="91"/>
        <v>0.88898876404494387</v>
      </c>
    </row>
    <row r="1460" spans="1:10">
      <c r="A1460" s="74" t="s">
        <v>246</v>
      </c>
      <c r="B1460" s="74" t="s">
        <v>247</v>
      </c>
      <c r="C1460" s="74" t="s">
        <v>1550</v>
      </c>
      <c r="D1460" s="74" t="s">
        <v>91</v>
      </c>
      <c r="E1460" s="74">
        <v>78</v>
      </c>
      <c r="F1460" s="74">
        <v>132.9</v>
      </c>
      <c r="G1460" s="758">
        <f t="shared" si="88"/>
        <v>0.19</v>
      </c>
      <c r="H1460" s="759">
        <f t="shared" si="89"/>
        <v>0.26</v>
      </c>
      <c r="I1460" s="758">
        <f t="shared" si="90"/>
        <v>1.5138461538461541</v>
      </c>
      <c r="J1460" s="760">
        <f t="shared" si="91"/>
        <v>0.8884875846501129</v>
      </c>
    </row>
    <row r="1461" spans="1:10">
      <c r="A1461" s="74" t="s">
        <v>246</v>
      </c>
      <c r="B1461" s="74" t="s">
        <v>247</v>
      </c>
      <c r="C1461" s="74" t="s">
        <v>1675</v>
      </c>
      <c r="D1461" s="74" t="s">
        <v>91</v>
      </c>
      <c r="E1461" s="74">
        <v>83</v>
      </c>
      <c r="F1461" s="74">
        <v>141</v>
      </c>
      <c r="G1461" s="758">
        <f t="shared" si="88"/>
        <v>0.19</v>
      </c>
      <c r="H1461" s="759">
        <f t="shared" si="89"/>
        <v>0.26</v>
      </c>
      <c r="I1461" s="758">
        <f t="shared" si="90"/>
        <v>1.5087951807228916</v>
      </c>
      <c r="J1461" s="760">
        <f t="shared" si="91"/>
        <v>0.88815602836879437</v>
      </c>
    </row>
    <row r="1462" spans="1:10">
      <c r="A1462" s="74" t="s">
        <v>246</v>
      </c>
      <c r="B1462" s="74" t="s">
        <v>247</v>
      </c>
      <c r="C1462" s="74" t="s">
        <v>1524</v>
      </c>
      <c r="D1462" s="74" t="s">
        <v>91</v>
      </c>
      <c r="E1462" s="74">
        <v>59</v>
      </c>
      <c r="F1462" s="74">
        <v>100.25</v>
      </c>
      <c r="G1462" s="758">
        <f t="shared" si="88"/>
        <v>0.19</v>
      </c>
      <c r="H1462" s="759">
        <f t="shared" si="89"/>
        <v>0.26</v>
      </c>
      <c r="I1462" s="758">
        <f t="shared" si="90"/>
        <v>1.5091525423728813</v>
      </c>
      <c r="J1462" s="760">
        <f t="shared" si="91"/>
        <v>0.88817955112219449</v>
      </c>
    </row>
    <row r="1463" spans="1:10">
      <c r="A1463" s="74" t="s">
        <v>246</v>
      </c>
      <c r="B1463" s="74" t="s">
        <v>247</v>
      </c>
      <c r="C1463" s="74" t="s">
        <v>1584</v>
      </c>
      <c r="D1463" s="74" t="s">
        <v>92</v>
      </c>
      <c r="E1463" s="74">
        <v>72</v>
      </c>
      <c r="F1463" s="74">
        <v>119.3</v>
      </c>
      <c r="G1463" s="758">
        <f t="shared" si="88"/>
        <v>0.19</v>
      </c>
      <c r="H1463" s="759">
        <f t="shared" si="89"/>
        <v>0.26</v>
      </c>
      <c r="I1463" s="758">
        <f t="shared" si="90"/>
        <v>1.4669444444444444</v>
      </c>
      <c r="J1463" s="760">
        <f t="shared" si="91"/>
        <v>0.88533109807208721</v>
      </c>
    </row>
    <row r="1464" spans="1:10">
      <c r="A1464" s="74" t="s">
        <v>246</v>
      </c>
      <c r="B1464" s="74" t="s">
        <v>247</v>
      </c>
      <c r="C1464" s="74" t="s">
        <v>1614</v>
      </c>
      <c r="D1464" s="74" t="s">
        <v>92</v>
      </c>
      <c r="E1464" s="74">
        <v>71</v>
      </c>
      <c r="F1464" s="74">
        <v>120.85</v>
      </c>
      <c r="G1464" s="758">
        <f t="shared" si="88"/>
        <v>0.19</v>
      </c>
      <c r="H1464" s="759">
        <f t="shared" si="89"/>
        <v>0.26</v>
      </c>
      <c r="I1464" s="758">
        <f t="shared" si="90"/>
        <v>1.5121126760563379</v>
      </c>
      <c r="J1464" s="760">
        <f t="shared" si="91"/>
        <v>0.88837401737691346</v>
      </c>
    </row>
    <row r="1465" spans="1:10">
      <c r="A1465" s="74" t="s">
        <v>246</v>
      </c>
      <c r="B1465" s="74" t="s">
        <v>247</v>
      </c>
      <c r="C1465" s="74" t="s">
        <v>1631</v>
      </c>
      <c r="D1465" s="74" t="s">
        <v>92</v>
      </c>
      <c r="E1465" s="74">
        <v>79</v>
      </c>
      <c r="F1465" s="74">
        <v>134.69999999999999</v>
      </c>
      <c r="G1465" s="758">
        <f t="shared" si="88"/>
        <v>0.19</v>
      </c>
      <c r="H1465" s="759">
        <f t="shared" si="89"/>
        <v>0.26</v>
      </c>
      <c r="I1465" s="758">
        <f t="shared" si="90"/>
        <v>1.5150632911392403</v>
      </c>
      <c r="J1465" s="760">
        <f t="shared" si="91"/>
        <v>0.88856718634001486</v>
      </c>
    </row>
    <row r="1466" spans="1:10">
      <c r="A1466" s="74" t="s">
        <v>246</v>
      </c>
      <c r="B1466" s="74" t="s">
        <v>247</v>
      </c>
      <c r="C1466" s="74" t="s">
        <v>1552</v>
      </c>
      <c r="D1466" s="74" t="s">
        <v>92</v>
      </c>
      <c r="E1466" s="74">
        <v>56</v>
      </c>
      <c r="F1466" s="74">
        <v>95.2</v>
      </c>
      <c r="G1466" s="758">
        <f t="shared" si="88"/>
        <v>0.19</v>
      </c>
      <c r="H1466" s="759">
        <f t="shared" si="89"/>
        <v>0.26</v>
      </c>
      <c r="I1466" s="758">
        <f t="shared" si="90"/>
        <v>1.51</v>
      </c>
      <c r="J1466" s="760">
        <f t="shared" si="91"/>
        <v>0.88823529411764701</v>
      </c>
    </row>
    <row r="1467" spans="1:10">
      <c r="A1467" s="74" t="s">
        <v>246</v>
      </c>
      <c r="B1467" s="74" t="s">
        <v>247</v>
      </c>
      <c r="C1467" s="74" t="s">
        <v>1617</v>
      </c>
      <c r="D1467" s="74" t="s">
        <v>94</v>
      </c>
      <c r="E1467" s="74">
        <v>59</v>
      </c>
      <c r="F1467" s="74">
        <v>100.6</v>
      </c>
      <c r="G1467" s="758">
        <f t="shared" si="88"/>
        <v>0.19</v>
      </c>
      <c r="H1467" s="759">
        <f t="shared" si="89"/>
        <v>0.26</v>
      </c>
      <c r="I1467" s="758">
        <f t="shared" si="90"/>
        <v>1.5150847457627119</v>
      </c>
      <c r="J1467" s="760">
        <f t="shared" si="91"/>
        <v>0.88856858846918485</v>
      </c>
    </row>
    <row r="1468" spans="1:10">
      <c r="A1468" s="74" t="s">
        <v>246</v>
      </c>
      <c r="B1468" s="74" t="s">
        <v>247</v>
      </c>
      <c r="C1468" s="74" t="s">
        <v>1553</v>
      </c>
      <c r="D1468" s="74" t="s">
        <v>94</v>
      </c>
      <c r="E1468" s="74">
        <v>72</v>
      </c>
      <c r="F1468" s="74">
        <v>122.4</v>
      </c>
      <c r="G1468" s="758">
        <f t="shared" si="88"/>
        <v>0.19</v>
      </c>
      <c r="H1468" s="759">
        <f t="shared" si="89"/>
        <v>0.26</v>
      </c>
      <c r="I1468" s="758">
        <f t="shared" si="90"/>
        <v>1.5100000000000002</v>
      </c>
      <c r="J1468" s="760">
        <f t="shared" si="91"/>
        <v>0.88823529411764701</v>
      </c>
    </row>
    <row r="1469" spans="1:10">
      <c r="A1469" s="74" t="s">
        <v>246</v>
      </c>
      <c r="B1469" s="74" t="s">
        <v>247</v>
      </c>
      <c r="C1469" s="74" t="s">
        <v>1555</v>
      </c>
      <c r="D1469" s="74" t="s">
        <v>94</v>
      </c>
      <c r="E1469" s="74">
        <v>46</v>
      </c>
      <c r="F1469" s="74">
        <v>78.2</v>
      </c>
      <c r="G1469" s="758">
        <f t="shared" si="88"/>
        <v>0.19</v>
      </c>
      <c r="H1469" s="759">
        <f t="shared" si="89"/>
        <v>0.26</v>
      </c>
      <c r="I1469" s="758">
        <f t="shared" si="90"/>
        <v>1.51</v>
      </c>
      <c r="J1469" s="760">
        <f t="shared" si="91"/>
        <v>0.88823529411764701</v>
      </c>
    </row>
    <row r="1470" spans="1:10">
      <c r="A1470" s="74" t="s">
        <v>246</v>
      </c>
      <c r="B1470" s="74" t="s">
        <v>247</v>
      </c>
      <c r="C1470" s="74" t="s">
        <v>1557</v>
      </c>
      <c r="D1470" s="74" t="s">
        <v>95</v>
      </c>
      <c r="E1470" s="74">
        <v>72</v>
      </c>
      <c r="F1470" s="74">
        <v>121</v>
      </c>
      <c r="G1470" s="758">
        <f t="shared" si="88"/>
        <v>0.19</v>
      </c>
      <c r="H1470" s="759">
        <f t="shared" si="89"/>
        <v>0.26</v>
      </c>
      <c r="I1470" s="758">
        <f t="shared" si="90"/>
        <v>1.4905555555555556</v>
      </c>
      <c r="J1470" s="760">
        <f t="shared" si="91"/>
        <v>0.88694214876033062</v>
      </c>
    </row>
    <row r="1471" spans="1:10">
      <c r="A1471" s="74" t="s">
        <v>246</v>
      </c>
      <c r="B1471" s="74" t="s">
        <v>247</v>
      </c>
      <c r="C1471" s="74" t="s">
        <v>1526</v>
      </c>
      <c r="D1471" s="74" t="s">
        <v>95</v>
      </c>
      <c r="E1471" s="74">
        <v>38</v>
      </c>
      <c r="F1471" s="74">
        <v>61.2</v>
      </c>
      <c r="G1471" s="758">
        <f t="shared" si="88"/>
        <v>0.19</v>
      </c>
      <c r="H1471" s="759">
        <f t="shared" si="89"/>
        <v>0.26</v>
      </c>
      <c r="I1471" s="758">
        <f t="shared" si="90"/>
        <v>1.4205263157894739</v>
      </c>
      <c r="J1471" s="760">
        <f t="shared" si="91"/>
        <v>0.88202614379084965</v>
      </c>
    </row>
    <row r="1472" spans="1:10">
      <c r="A1472" s="74" t="s">
        <v>246</v>
      </c>
      <c r="B1472" s="74" t="s">
        <v>247</v>
      </c>
      <c r="C1472" s="74" t="s">
        <v>1930</v>
      </c>
      <c r="D1472" s="74" t="s">
        <v>95</v>
      </c>
      <c r="E1472" s="74">
        <v>20</v>
      </c>
      <c r="F1472" s="74">
        <v>34</v>
      </c>
      <c r="G1472" s="758">
        <f t="shared" si="88"/>
        <v>0.19</v>
      </c>
      <c r="H1472" s="759">
        <f t="shared" si="89"/>
        <v>0.26</v>
      </c>
      <c r="I1472" s="758">
        <f t="shared" si="90"/>
        <v>1.51</v>
      </c>
      <c r="J1472" s="760">
        <f t="shared" si="91"/>
        <v>0.88823529411764701</v>
      </c>
    </row>
    <row r="1473" spans="1:10">
      <c r="A1473" s="74" t="s">
        <v>1667</v>
      </c>
      <c r="B1473" s="74" t="s">
        <v>247</v>
      </c>
      <c r="C1473" s="74" t="s">
        <v>1610</v>
      </c>
      <c r="D1473" s="74" t="s">
        <v>89</v>
      </c>
      <c r="E1473" s="74">
        <v>2</v>
      </c>
      <c r="F1473" s="74">
        <v>0</v>
      </c>
      <c r="G1473" s="758">
        <f t="shared" si="88"/>
        <v>0</v>
      </c>
      <c r="H1473" s="759">
        <f t="shared" si="89"/>
        <v>0</v>
      </c>
      <c r="I1473" s="758">
        <f t="shared" si="90"/>
        <v>0</v>
      </c>
      <c r="J1473" s="760">
        <f t="shared" si="91"/>
        <v>0</v>
      </c>
    </row>
    <row r="1474" spans="1:10">
      <c r="A1474" s="74" t="s">
        <v>1668</v>
      </c>
      <c r="B1474" s="74" t="s">
        <v>247</v>
      </c>
      <c r="C1474" s="74" t="s">
        <v>1518</v>
      </c>
      <c r="D1474" s="74" t="s">
        <v>82</v>
      </c>
      <c r="E1474" s="74">
        <v>1</v>
      </c>
      <c r="F1474" s="74">
        <v>1.36</v>
      </c>
      <c r="G1474" s="758">
        <f t="shared" ref="G1474:G1537" si="92">IFERROR(VLOOKUP(A1474,$M$1:$P$1014,2,FALSE),0)</f>
        <v>0.4</v>
      </c>
      <c r="H1474" s="759">
        <f t="shared" ref="H1474:H1537" si="93">IFERROR(VLOOKUP(A1474,$M$1:$P$1014,3,FALSE),0)</f>
        <v>0.32</v>
      </c>
      <c r="I1474" s="758">
        <f t="shared" ref="I1474:I1537" si="94">IFERROR(F1474/E1474-G1474,0)</f>
        <v>0.96000000000000008</v>
      </c>
      <c r="J1474" s="760">
        <f t="shared" ref="J1474:J1537" si="95">IFERROR(1-G1474*E1474/F1474,0)</f>
        <v>0.70588235294117641</v>
      </c>
    </row>
    <row r="1475" spans="1:10">
      <c r="A1475" s="74" t="s">
        <v>1669</v>
      </c>
      <c r="B1475" s="74" t="s">
        <v>247</v>
      </c>
      <c r="C1475" s="74" t="s">
        <v>1544</v>
      </c>
      <c r="D1475" s="74" t="s">
        <v>87</v>
      </c>
      <c r="E1475" s="74">
        <v>1</v>
      </c>
      <c r="F1475" s="74">
        <v>1.24</v>
      </c>
      <c r="G1475" s="758">
        <f t="shared" si="92"/>
        <v>0</v>
      </c>
      <c r="H1475" s="759">
        <f t="shared" si="93"/>
        <v>0</v>
      </c>
      <c r="I1475" s="758">
        <f t="shared" si="94"/>
        <v>1.24</v>
      </c>
      <c r="J1475" s="760">
        <f t="shared" si="95"/>
        <v>1</v>
      </c>
    </row>
    <row r="1476" spans="1:10">
      <c r="A1476" s="74" t="s">
        <v>2275</v>
      </c>
      <c r="B1476" s="74" t="s">
        <v>247</v>
      </c>
      <c r="C1476" s="74" t="s">
        <v>1520</v>
      </c>
      <c r="D1476" s="74" t="s">
        <v>84</v>
      </c>
      <c r="E1476" s="74">
        <v>1</v>
      </c>
      <c r="F1476" s="74">
        <v>1.7</v>
      </c>
      <c r="G1476" s="758">
        <f t="shared" si="92"/>
        <v>0.26</v>
      </c>
      <c r="H1476" s="759">
        <f t="shared" si="93"/>
        <v>0.19</v>
      </c>
      <c r="I1476" s="758">
        <f t="shared" si="94"/>
        <v>1.44</v>
      </c>
      <c r="J1476" s="760">
        <f t="shared" si="95"/>
        <v>0.84705882352941175</v>
      </c>
    </row>
    <row r="1477" spans="1:10">
      <c r="A1477" s="74" t="s">
        <v>2275</v>
      </c>
      <c r="B1477" s="74" t="s">
        <v>247</v>
      </c>
      <c r="C1477" s="74" t="s">
        <v>1507</v>
      </c>
      <c r="D1477" s="74" t="s">
        <v>86</v>
      </c>
      <c r="E1477" s="74">
        <v>1</v>
      </c>
      <c r="F1477" s="74">
        <v>1.7</v>
      </c>
      <c r="G1477" s="758">
        <f t="shared" si="92"/>
        <v>0.26</v>
      </c>
      <c r="H1477" s="759">
        <f t="shared" si="93"/>
        <v>0.19</v>
      </c>
      <c r="I1477" s="758">
        <f t="shared" si="94"/>
        <v>1.44</v>
      </c>
      <c r="J1477" s="760">
        <f t="shared" si="95"/>
        <v>0.84705882352941175</v>
      </c>
    </row>
    <row r="1478" spans="1:10">
      <c r="A1478" s="74" t="s">
        <v>2275</v>
      </c>
      <c r="B1478" s="74" t="s">
        <v>247</v>
      </c>
      <c r="C1478" s="74" t="s">
        <v>1547</v>
      </c>
      <c r="D1478" s="74" t="s">
        <v>89</v>
      </c>
      <c r="E1478" s="74">
        <v>2</v>
      </c>
      <c r="F1478" s="74">
        <v>3.4</v>
      </c>
      <c r="G1478" s="758">
        <f t="shared" si="92"/>
        <v>0.26</v>
      </c>
      <c r="H1478" s="759">
        <f t="shared" si="93"/>
        <v>0.19</v>
      </c>
      <c r="I1478" s="758">
        <f t="shared" si="94"/>
        <v>1.44</v>
      </c>
      <c r="J1478" s="760">
        <f t="shared" si="95"/>
        <v>0.84705882352941175</v>
      </c>
    </row>
    <row r="1479" spans="1:10">
      <c r="A1479" s="74" t="s">
        <v>2275</v>
      </c>
      <c r="B1479" s="74" t="s">
        <v>247</v>
      </c>
      <c r="C1479" s="74" t="s">
        <v>1557</v>
      </c>
      <c r="D1479" s="74" t="s">
        <v>95</v>
      </c>
      <c r="E1479" s="74">
        <v>1</v>
      </c>
      <c r="F1479" s="74">
        <v>1.7</v>
      </c>
      <c r="G1479" s="758">
        <f t="shared" si="92"/>
        <v>0.26</v>
      </c>
      <c r="H1479" s="759">
        <f t="shared" si="93"/>
        <v>0.19</v>
      </c>
      <c r="I1479" s="758">
        <f t="shared" si="94"/>
        <v>1.44</v>
      </c>
      <c r="J1479" s="760">
        <f t="shared" si="95"/>
        <v>0.84705882352941175</v>
      </c>
    </row>
    <row r="1480" spans="1:10">
      <c r="A1480" s="74" t="s">
        <v>260</v>
      </c>
      <c r="B1480" s="74" t="s">
        <v>247</v>
      </c>
      <c r="C1480" s="74" t="s">
        <v>1578</v>
      </c>
      <c r="D1480" s="74" t="s">
        <v>86</v>
      </c>
      <c r="E1480" s="74">
        <v>29</v>
      </c>
      <c r="F1480" s="74">
        <v>41.8</v>
      </c>
      <c r="G1480" s="758">
        <f t="shared" si="92"/>
        <v>0.25</v>
      </c>
      <c r="H1480" s="759">
        <f t="shared" si="93"/>
        <v>0.21</v>
      </c>
      <c r="I1480" s="758">
        <f t="shared" si="94"/>
        <v>1.1913793103448276</v>
      </c>
      <c r="J1480" s="760">
        <f t="shared" si="95"/>
        <v>0.82655502392344493</v>
      </c>
    </row>
    <row r="1481" spans="1:10">
      <c r="A1481" s="74" t="s">
        <v>260</v>
      </c>
      <c r="B1481" s="74" t="s">
        <v>247</v>
      </c>
      <c r="C1481" s="74" t="s">
        <v>1646</v>
      </c>
      <c r="D1481" s="74" t="s">
        <v>86</v>
      </c>
      <c r="E1481" s="74">
        <v>46</v>
      </c>
      <c r="F1481" s="74">
        <v>67.400000000000006</v>
      </c>
      <c r="G1481" s="758">
        <f t="shared" si="92"/>
        <v>0.25</v>
      </c>
      <c r="H1481" s="759">
        <f t="shared" si="93"/>
        <v>0.21</v>
      </c>
      <c r="I1481" s="758">
        <f t="shared" si="94"/>
        <v>1.215217391304348</v>
      </c>
      <c r="J1481" s="760">
        <f t="shared" si="95"/>
        <v>0.82937685459940658</v>
      </c>
    </row>
    <row r="1482" spans="1:10">
      <c r="A1482" s="74" t="s">
        <v>260</v>
      </c>
      <c r="B1482" s="74" t="s">
        <v>247</v>
      </c>
      <c r="C1482" s="74" t="s">
        <v>1541</v>
      </c>
      <c r="D1482" s="74" t="s">
        <v>86</v>
      </c>
      <c r="E1482" s="74">
        <v>47</v>
      </c>
      <c r="F1482" s="74">
        <v>60.95</v>
      </c>
      <c r="G1482" s="758">
        <f t="shared" si="92"/>
        <v>0.25</v>
      </c>
      <c r="H1482" s="759">
        <f t="shared" si="93"/>
        <v>0.21</v>
      </c>
      <c r="I1482" s="758">
        <f t="shared" si="94"/>
        <v>1.0468085106382978</v>
      </c>
      <c r="J1482" s="760">
        <f t="shared" si="95"/>
        <v>0.80721903199343725</v>
      </c>
    </row>
    <row r="1483" spans="1:10">
      <c r="A1483" s="74" t="s">
        <v>260</v>
      </c>
      <c r="B1483" s="74" t="s">
        <v>247</v>
      </c>
      <c r="C1483" s="74" t="s">
        <v>1543</v>
      </c>
      <c r="D1483" s="74" t="s">
        <v>87</v>
      </c>
      <c r="E1483" s="74">
        <v>43</v>
      </c>
      <c r="F1483" s="74">
        <v>55.5</v>
      </c>
      <c r="G1483" s="758">
        <f t="shared" si="92"/>
        <v>0.25</v>
      </c>
      <c r="H1483" s="759">
        <f t="shared" si="93"/>
        <v>0.21</v>
      </c>
      <c r="I1483" s="758">
        <f t="shared" si="94"/>
        <v>1.0406976744186047</v>
      </c>
      <c r="J1483" s="760">
        <f t="shared" si="95"/>
        <v>0.80630630630630629</v>
      </c>
    </row>
    <row r="1484" spans="1:10">
      <c r="A1484" s="74" t="s">
        <v>260</v>
      </c>
      <c r="B1484" s="74" t="s">
        <v>247</v>
      </c>
      <c r="C1484" s="74" t="s">
        <v>1544</v>
      </c>
      <c r="D1484" s="74" t="s">
        <v>87</v>
      </c>
      <c r="E1484" s="74">
        <v>45</v>
      </c>
      <c r="F1484" s="74">
        <v>61.5</v>
      </c>
      <c r="G1484" s="758">
        <f t="shared" si="92"/>
        <v>0.25</v>
      </c>
      <c r="H1484" s="759">
        <f t="shared" si="93"/>
        <v>0.21</v>
      </c>
      <c r="I1484" s="758">
        <f t="shared" si="94"/>
        <v>1.1166666666666667</v>
      </c>
      <c r="J1484" s="760">
        <f t="shared" si="95"/>
        <v>0.81707317073170738</v>
      </c>
    </row>
    <row r="1485" spans="1:10">
      <c r="A1485" s="74" t="s">
        <v>260</v>
      </c>
      <c r="B1485" s="74" t="s">
        <v>247</v>
      </c>
      <c r="C1485" s="74" t="s">
        <v>1605</v>
      </c>
      <c r="D1485" s="74" t="s">
        <v>87</v>
      </c>
      <c r="E1485" s="74">
        <v>33</v>
      </c>
      <c r="F1485" s="74">
        <v>41.5</v>
      </c>
      <c r="G1485" s="758">
        <f t="shared" si="92"/>
        <v>0.25</v>
      </c>
      <c r="H1485" s="759">
        <f t="shared" si="93"/>
        <v>0.21</v>
      </c>
      <c r="I1485" s="758">
        <f t="shared" si="94"/>
        <v>1.0075757575757576</v>
      </c>
      <c r="J1485" s="760">
        <f t="shared" si="95"/>
        <v>0.8012048192771084</v>
      </c>
    </row>
    <row r="1486" spans="1:10">
      <c r="A1486" s="74" t="s">
        <v>260</v>
      </c>
      <c r="B1486" s="74" t="s">
        <v>247</v>
      </c>
      <c r="C1486" s="74" t="s">
        <v>1561</v>
      </c>
      <c r="D1486" s="74" t="s">
        <v>87</v>
      </c>
      <c r="E1486" s="74">
        <v>36</v>
      </c>
      <c r="F1486" s="74">
        <v>43.05</v>
      </c>
      <c r="G1486" s="758">
        <f t="shared" si="92"/>
        <v>0.25</v>
      </c>
      <c r="H1486" s="759">
        <f t="shared" si="93"/>
        <v>0.21</v>
      </c>
      <c r="I1486" s="758">
        <f t="shared" si="94"/>
        <v>0.9458333333333333</v>
      </c>
      <c r="J1486" s="760">
        <f t="shared" si="95"/>
        <v>0.79094076655052259</v>
      </c>
    </row>
    <row r="1487" spans="1:10">
      <c r="A1487" s="74" t="s">
        <v>260</v>
      </c>
      <c r="B1487" s="74" t="s">
        <v>247</v>
      </c>
      <c r="C1487" s="74" t="s">
        <v>1608</v>
      </c>
      <c r="D1487" s="74" t="s">
        <v>89</v>
      </c>
      <c r="E1487" s="74">
        <v>39</v>
      </c>
      <c r="F1487" s="74">
        <v>54.25</v>
      </c>
      <c r="G1487" s="758">
        <f t="shared" si="92"/>
        <v>0.25</v>
      </c>
      <c r="H1487" s="759">
        <f t="shared" si="93"/>
        <v>0.21</v>
      </c>
      <c r="I1487" s="758">
        <f t="shared" si="94"/>
        <v>1.141025641025641</v>
      </c>
      <c r="J1487" s="760">
        <f t="shared" si="95"/>
        <v>0.82027649769585254</v>
      </c>
    </row>
    <row r="1488" spans="1:10">
      <c r="A1488" s="74" t="s">
        <v>260</v>
      </c>
      <c r="B1488" s="74" t="s">
        <v>247</v>
      </c>
      <c r="C1488" s="74" t="s">
        <v>1610</v>
      </c>
      <c r="D1488" s="74" t="s">
        <v>89</v>
      </c>
      <c r="E1488" s="74">
        <v>44</v>
      </c>
      <c r="F1488" s="74">
        <v>58.45</v>
      </c>
      <c r="G1488" s="758">
        <f t="shared" si="92"/>
        <v>0.25</v>
      </c>
      <c r="H1488" s="759">
        <f t="shared" si="93"/>
        <v>0.21</v>
      </c>
      <c r="I1488" s="758">
        <f t="shared" si="94"/>
        <v>1.0784090909090909</v>
      </c>
      <c r="J1488" s="760">
        <f t="shared" si="95"/>
        <v>0.81180496150556025</v>
      </c>
    </row>
    <row r="1489" spans="1:10">
      <c r="A1489" s="74" t="s">
        <v>260</v>
      </c>
      <c r="B1489" s="74" t="s">
        <v>247</v>
      </c>
      <c r="C1489" s="74" t="s">
        <v>1546</v>
      </c>
      <c r="D1489" s="74" t="s">
        <v>89</v>
      </c>
      <c r="E1489" s="74">
        <v>27</v>
      </c>
      <c r="F1489" s="74">
        <v>33.6</v>
      </c>
      <c r="G1489" s="758">
        <f t="shared" si="92"/>
        <v>0.25</v>
      </c>
      <c r="H1489" s="759">
        <f t="shared" si="93"/>
        <v>0.21</v>
      </c>
      <c r="I1489" s="758">
        <f t="shared" si="94"/>
        <v>0.99444444444444446</v>
      </c>
      <c r="J1489" s="760">
        <f t="shared" si="95"/>
        <v>0.7991071428571429</v>
      </c>
    </row>
    <row r="1490" spans="1:10">
      <c r="A1490" s="74" t="s">
        <v>260</v>
      </c>
      <c r="B1490" s="74" t="s">
        <v>247</v>
      </c>
      <c r="C1490" s="74" t="s">
        <v>1547</v>
      </c>
      <c r="D1490" s="74" t="s">
        <v>89</v>
      </c>
      <c r="E1490" s="74">
        <v>35</v>
      </c>
      <c r="F1490" s="74">
        <v>48.65</v>
      </c>
      <c r="G1490" s="758">
        <f t="shared" si="92"/>
        <v>0.25</v>
      </c>
      <c r="H1490" s="759">
        <f t="shared" si="93"/>
        <v>0.21</v>
      </c>
      <c r="I1490" s="758">
        <f t="shared" si="94"/>
        <v>1.1399999999999999</v>
      </c>
      <c r="J1490" s="760">
        <f t="shared" si="95"/>
        <v>0.82014388489208634</v>
      </c>
    </row>
    <row r="1491" spans="1:10">
      <c r="A1491" s="74" t="s">
        <v>260</v>
      </c>
      <c r="B1491" s="74" t="s">
        <v>247</v>
      </c>
      <c r="C1491" s="74" t="s">
        <v>1582</v>
      </c>
      <c r="D1491" s="74" t="s">
        <v>89</v>
      </c>
      <c r="E1491" s="74">
        <v>38</v>
      </c>
      <c r="F1491" s="74">
        <v>54.4</v>
      </c>
      <c r="G1491" s="758">
        <f t="shared" si="92"/>
        <v>0.25</v>
      </c>
      <c r="H1491" s="759">
        <f t="shared" si="93"/>
        <v>0.21</v>
      </c>
      <c r="I1491" s="758">
        <f t="shared" si="94"/>
        <v>1.1815789473684211</v>
      </c>
      <c r="J1491" s="760">
        <f t="shared" si="95"/>
        <v>0.82536764705882348</v>
      </c>
    </row>
    <row r="1492" spans="1:10">
      <c r="A1492" s="74" t="s">
        <v>260</v>
      </c>
      <c r="B1492" s="74" t="s">
        <v>247</v>
      </c>
      <c r="C1492" s="74" t="s">
        <v>1522</v>
      </c>
      <c r="D1492" s="74" t="s">
        <v>91</v>
      </c>
      <c r="E1492" s="74">
        <v>31</v>
      </c>
      <c r="F1492" s="74">
        <v>43.35</v>
      </c>
      <c r="G1492" s="758">
        <f t="shared" si="92"/>
        <v>0.25</v>
      </c>
      <c r="H1492" s="759">
        <f t="shared" si="93"/>
        <v>0.21</v>
      </c>
      <c r="I1492" s="758">
        <f t="shared" si="94"/>
        <v>1.1483870967741936</v>
      </c>
      <c r="J1492" s="760">
        <f t="shared" si="95"/>
        <v>0.82122260668973479</v>
      </c>
    </row>
    <row r="1493" spans="1:10">
      <c r="A1493" s="74" t="s">
        <v>260</v>
      </c>
      <c r="B1493" s="74" t="s">
        <v>247</v>
      </c>
      <c r="C1493" s="74" t="s">
        <v>1550</v>
      </c>
      <c r="D1493" s="74" t="s">
        <v>91</v>
      </c>
      <c r="E1493" s="74">
        <v>27</v>
      </c>
      <c r="F1493" s="74">
        <v>35.9</v>
      </c>
      <c r="G1493" s="758">
        <f t="shared" si="92"/>
        <v>0.25</v>
      </c>
      <c r="H1493" s="759">
        <f t="shared" si="93"/>
        <v>0.21</v>
      </c>
      <c r="I1493" s="758">
        <f t="shared" si="94"/>
        <v>1.0796296296296295</v>
      </c>
      <c r="J1493" s="760">
        <f t="shared" si="95"/>
        <v>0.81197771587743728</v>
      </c>
    </row>
    <row r="1494" spans="1:10">
      <c r="A1494" s="74" t="s">
        <v>260</v>
      </c>
      <c r="B1494" s="74" t="s">
        <v>247</v>
      </c>
      <c r="C1494" s="74" t="s">
        <v>1675</v>
      </c>
      <c r="D1494" s="74" t="s">
        <v>91</v>
      </c>
      <c r="E1494" s="74">
        <v>27</v>
      </c>
      <c r="F1494" s="74">
        <v>37.15</v>
      </c>
      <c r="G1494" s="758">
        <f t="shared" si="92"/>
        <v>0.25</v>
      </c>
      <c r="H1494" s="759">
        <f t="shared" si="93"/>
        <v>0.21</v>
      </c>
      <c r="I1494" s="758">
        <f t="shared" si="94"/>
        <v>1.1259259259259258</v>
      </c>
      <c r="J1494" s="760">
        <f t="shared" si="95"/>
        <v>0.81830417227456254</v>
      </c>
    </row>
    <row r="1495" spans="1:10">
      <c r="A1495" s="74" t="s">
        <v>260</v>
      </c>
      <c r="B1495" s="74" t="s">
        <v>247</v>
      </c>
      <c r="C1495" s="74" t="s">
        <v>1524</v>
      </c>
      <c r="D1495" s="74" t="s">
        <v>91</v>
      </c>
      <c r="E1495" s="74">
        <v>39</v>
      </c>
      <c r="F1495" s="74">
        <v>54.55</v>
      </c>
      <c r="G1495" s="758">
        <f t="shared" si="92"/>
        <v>0.25</v>
      </c>
      <c r="H1495" s="759">
        <f t="shared" si="93"/>
        <v>0.21</v>
      </c>
      <c r="I1495" s="758">
        <f t="shared" si="94"/>
        <v>1.1487179487179486</v>
      </c>
      <c r="J1495" s="760">
        <f t="shared" si="95"/>
        <v>0.82126489459211727</v>
      </c>
    </row>
    <row r="1496" spans="1:10">
      <c r="A1496" s="74" t="s">
        <v>260</v>
      </c>
      <c r="B1496" s="74" t="s">
        <v>247</v>
      </c>
      <c r="C1496" s="74" t="s">
        <v>1584</v>
      </c>
      <c r="D1496" s="74" t="s">
        <v>92</v>
      </c>
      <c r="E1496" s="74">
        <v>27</v>
      </c>
      <c r="F1496" s="74">
        <v>37.9</v>
      </c>
      <c r="G1496" s="758">
        <f t="shared" si="92"/>
        <v>0.25</v>
      </c>
      <c r="H1496" s="759">
        <f t="shared" si="93"/>
        <v>0.21</v>
      </c>
      <c r="I1496" s="758">
        <f t="shared" si="94"/>
        <v>1.1537037037037037</v>
      </c>
      <c r="J1496" s="760">
        <f t="shared" si="95"/>
        <v>0.82189973614775724</v>
      </c>
    </row>
    <row r="1497" spans="1:10">
      <c r="A1497" s="74" t="s">
        <v>260</v>
      </c>
      <c r="B1497" s="74" t="s">
        <v>247</v>
      </c>
      <c r="C1497" s="74" t="s">
        <v>1614</v>
      </c>
      <c r="D1497" s="74" t="s">
        <v>92</v>
      </c>
      <c r="E1497" s="74">
        <v>21</v>
      </c>
      <c r="F1497" s="74">
        <v>28.3</v>
      </c>
      <c r="G1497" s="758">
        <f t="shared" si="92"/>
        <v>0.25</v>
      </c>
      <c r="H1497" s="759">
        <f t="shared" si="93"/>
        <v>0.21</v>
      </c>
      <c r="I1497" s="758">
        <f t="shared" si="94"/>
        <v>1.0976190476190477</v>
      </c>
      <c r="J1497" s="760">
        <f t="shared" si="95"/>
        <v>0.81448763250883394</v>
      </c>
    </row>
    <row r="1498" spans="1:10">
      <c r="A1498" s="74" t="s">
        <v>260</v>
      </c>
      <c r="B1498" s="74" t="s">
        <v>247</v>
      </c>
      <c r="C1498" s="74" t="s">
        <v>1631</v>
      </c>
      <c r="D1498" s="74" t="s">
        <v>92</v>
      </c>
      <c r="E1498" s="74">
        <v>35</v>
      </c>
      <c r="F1498" s="74">
        <v>45.25</v>
      </c>
      <c r="G1498" s="758">
        <f t="shared" si="92"/>
        <v>0.25</v>
      </c>
      <c r="H1498" s="759">
        <f t="shared" si="93"/>
        <v>0.21</v>
      </c>
      <c r="I1498" s="758">
        <f t="shared" si="94"/>
        <v>1.0428571428571429</v>
      </c>
      <c r="J1498" s="760">
        <f t="shared" si="95"/>
        <v>0.80662983425414359</v>
      </c>
    </row>
    <row r="1499" spans="1:10">
      <c r="A1499" s="74" t="s">
        <v>260</v>
      </c>
      <c r="B1499" s="74" t="s">
        <v>247</v>
      </c>
      <c r="C1499" s="74" t="s">
        <v>1552</v>
      </c>
      <c r="D1499" s="74" t="s">
        <v>92</v>
      </c>
      <c r="E1499" s="74">
        <v>6</v>
      </c>
      <c r="F1499" s="74">
        <v>8.5500000000000007</v>
      </c>
      <c r="G1499" s="758">
        <f t="shared" si="92"/>
        <v>0.25</v>
      </c>
      <c r="H1499" s="759">
        <f t="shared" si="93"/>
        <v>0.21</v>
      </c>
      <c r="I1499" s="758">
        <f t="shared" si="94"/>
        <v>1.175</v>
      </c>
      <c r="J1499" s="760">
        <f t="shared" si="95"/>
        <v>0.82456140350877194</v>
      </c>
    </row>
    <row r="1500" spans="1:10">
      <c r="A1500" s="74" t="s">
        <v>260</v>
      </c>
      <c r="B1500" s="74" t="s">
        <v>247</v>
      </c>
      <c r="C1500" s="74" t="s">
        <v>1617</v>
      </c>
      <c r="D1500" s="74" t="s">
        <v>94</v>
      </c>
      <c r="E1500" s="74">
        <v>9</v>
      </c>
      <c r="F1500" s="74">
        <v>12.6</v>
      </c>
      <c r="G1500" s="758">
        <f t="shared" si="92"/>
        <v>0.25</v>
      </c>
      <c r="H1500" s="759">
        <f t="shared" si="93"/>
        <v>0.21</v>
      </c>
      <c r="I1500" s="758">
        <f t="shared" si="94"/>
        <v>1.1499999999999999</v>
      </c>
      <c r="J1500" s="760">
        <f t="shared" si="95"/>
        <v>0.8214285714285714</v>
      </c>
    </row>
    <row r="1501" spans="1:10">
      <c r="A1501" s="74" t="s">
        <v>260</v>
      </c>
      <c r="B1501" s="74" t="s">
        <v>247</v>
      </c>
      <c r="C1501" s="74" t="s">
        <v>1553</v>
      </c>
      <c r="D1501" s="74" t="s">
        <v>94</v>
      </c>
      <c r="E1501" s="74">
        <v>18</v>
      </c>
      <c r="F1501" s="74">
        <v>25.65</v>
      </c>
      <c r="G1501" s="758">
        <f t="shared" si="92"/>
        <v>0.25</v>
      </c>
      <c r="H1501" s="759">
        <f t="shared" si="93"/>
        <v>0.21</v>
      </c>
      <c r="I1501" s="758">
        <f t="shared" si="94"/>
        <v>1.1749999999999998</v>
      </c>
      <c r="J1501" s="760">
        <f t="shared" si="95"/>
        <v>0.82456140350877194</v>
      </c>
    </row>
    <row r="1502" spans="1:10">
      <c r="A1502" s="74" t="s">
        <v>260</v>
      </c>
      <c r="B1502" s="74" t="s">
        <v>247</v>
      </c>
      <c r="C1502" s="74" t="s">
        <v>1555</v>
      </c>
      <c r="D1502" s="74" t="s">
        <v>94</v>
      </c>
      <c r="E1502" s="74">
        <v>30</v>
      </c>
      <c r="F1502" s="74">
        <v>39.799999999999997</v>
      </c>
      <c r="G1502" s="758">
        <f t="shared" si="92"/>
        <v>0.25</v>
      </c>
      <c r="H1502" s="759">
        <f t="shared" si="93"/>
        <v>0.21</v>
      </c>
      <c r="I1502" s="758">
        <f t="shared" si="94"/>
        <v>1.0766666666666667</v>
      </c>
      <c r="J1502" s="760">
        <f t="shared" si="95"/>
        <v>0.81155778894472363</v>
      </c>
    </row>
    <row r="1503" spans="1:10">
      <c r="A1503" s="74" t="s">
        <v>260</v>
      </c>
      <c r="B1503" s="74" t="s">
        <v>247</v>
      </c>
      <c r="C1503" s="74" t="s">
        <v>1557</v>
      </c>
      <c r="D1503" s="74" t="s">
        <v>95</v>
      </c>
      <c r="E1503" s="74">
        <v>31</v>
      </c>
      <c r="F1503" s="74">
        <v>44.3</v>
      </c>
      <c r="G1503" s="758">
        <f t="shared" si="92"/>
        <v>0.25</v>
      </c>
      <c r="H1503" s="759">
        <f t="shared" si="93"/>
        <v>0.21</v>
      </c>
      <c r="I1503" s="758">
        <f t="shared" si="94"/>
        <v>1.1790322580645161</v>
      </c>
      <c r="J1503" s="760">
        <f t="shared" si="95"/>
        <v>0.82505643340857793</v>
      </c>
    </row>
    <row r="1504" spans="1:10">
      <c r="A1504" s="74" t="s">
        <v>260</v>
      </c>
      <c r="B1504" s="74" t="s">
        <v>247</v>
      </c>
      <c r="C1504" s="74" t="s">
        <v>1526</v>
      </c>
      <c r="D1504" s="74" t="s">
        <v>95</v>
      </c>
      <c r="E1504" s="74">
        <v>27</v>
      </c>
      <c r="F1504" s="74">
        <v>36.85</v>
      </c>
      <c r="G1504" s="758">
        <f t="shared" si="92"/>
        <v>0.25</v>
      </c>
      <c r="H1504" s="759">
        <f t="shared" si="93"/>
        <v>0.21</v>
      </c>
      <c r="I1504" s="758">
        <f t="shared" si="94"/>
        <v>1.1148148148148149</v>
      </c>
      <c r="J1504" s="760">
        <f t="shared" si="95"/>
        <v>0.81682496607869748</v>
      </c>
    </row>
    <row r="1505" spans="1:10">
      <c r="A1505" s="74" t="s">
        <v>260</v>
      </c>
      <c r="B1505" s="74" t="s">
        <v>247</v>
      </c>
      <c r="C1505" s="74" t="s">
        <v>1930</v>
      </c>
      <c r="D1505" s="74" t="s">
        <v>95</v>
      </c>
      <c r="E1505" s="74">
        <v>11</v>
      </c>
      <c r="F1505" s="74">
        <v>15.7</v>
      </c>
      <c r="G1505" s="758">
        <f t="shared" si="92"/>
        <v>0.25</v>
      </c>
      <c r="H1505" s="759">
        <f t="shared" si="93"/>
        <v>0.21</v>
      </c>
      <c r="I1505" s="758">
        <f t="shared" si="94"/>
        <v>1.1772727272727272</v>
      </c>
      <c r="J1505" s="760">
        <f t="shared" si="95"/>
        <v>0.82484076433121012</v>
      </c>
    </row>
    <row r="1506" spans="1:10">
      <c r="A1506" s="74" t="s">
        <v>1670</v>
      </c>
      <c r="B1506" s="74" t="s">
        <v>247</v>
      </c>
      <c r="C1506" s="74" t="s">
        <v>1578</v>
      </c>
      <c r="D1506" s="74" t="s">
        <v>86</v>
      </c>
      <c r="E1506" s="74">
        <v>1</v>
      </c>
      <c r="F1506" s="74">
        <v>0</v>
      </c>
      <c r="G1506" s="758">
        <f t="shared" si="92"/>
        <v>0</v>
      </c>
      <c r="H1506" s="759">
        <f t="shared" si="93"/>
        <v>0</v>
      </c>
      <c r="I1506" s="758">
        <f t="shared" si="94"/>
        <v>0</v>
      </c>
      <c r="J1506" s="760">
        <f t="shared" si="95"/>
        <v>0</v>
      </c>
    </row>
    <row r="1507" spans="1:10">
      <c r="A1507" s="74" t="s">
        <v>1671</v>
      </c>
      <c r="B1507" s="74" t="s">
        <v>247</v>
      </c>
      <c r="C1507" s="74" t="s">
        <v>1552</v>
      </c>
      <c r="D1507" s="74" t="s">
        <v>92</v>
      </c>
      <c r="E1507" s="74">
        <v>22</v>
      </c>
      <c r="F1507" s="74">
        <v>30.95</v>
      </c>
      <c r="G1507" s="758">
        <f t="shared" si="92"/>
        <v>0</v>
      </c>
      <c r="H1507" s="759">
        <f t="shared" si="93"/>
        <v>0</v>
      </c>
      <c r="I1507" s="758">
        <f t="shared" si="94"/>
        <v>1.4068181818181817</v>
      </c>
      <c r="J1507" s="760">
        <f t="shared" si="95"/>
        <v>1</v>
      </c>
    </row>
    <row r="1508" spans="1:10">
      <c r="A1508" s="74" t="s">
        <v>1671</v>
      </c>
      <c r="B1508" s="74" t="s">
        <v>247</v>
      </c>
      <c r="C1508" s="74" t="s">
        <v>1617</v>
      </c>
      <c r="D1508" s="74" t="s">
        <v>94</v>
      </c>
      <c r="E1508" s="74">
        <v>17</v>
      </c>
      <c r="F1508" s="74">
        <v>25.45</v>
      </c>
      <c r="G1508" s="758">
        <f t="shared" si="92"/>
        <v>0</v>
      </c>
      <c r="H1508" s="759">
        <f t="shared" si="93"/>
        <v>0</v>
      </c>
      <c r="I1508" s="758">
        <f t="shared" si="94"/>
        <v>1.4970588235294118</v>
      </c>
      <c r="J1508" s="760">
        <f t="shared" si="95"/>
        <v>1</v>
      </c>
    </row>
    <row r="1509" spans="1:10">
      <c r="A1509" s="74" t="s">
        <v>259</v>
      </c>
      <c r="B1509" s="74" t="s">
        <v>249</v>
      </c>
      <c r="C1509" s="74" t="s">
        <v>1528</v>
      </c>
      <c r="D1509" s="74" t="s">
        <v>78</v>
      </c>
      <c r="E1509" s="74">
        <v>44</v>
      </c>
      <c r="F1509" s="74">
        <v>65.59</v>
      </c>
      <c r="G1509" s="758">
        <f t="shared" si="92"/>
        <v>0.19</v>
      </c>
      <c r="H1509" s="759">
        <f t="shared" si="93"/>
        <v>0.26</v>
      </c>
      <c r="I1509" s="758">
        <f t="shared" si="94"/>
        <v>1.3006818181818183</v>
      </c>
      <c r="J1509" s="760">
        <f t="shared" si="95"/>
        <v>0.8725415459673731</v>
      </c>
    </row>
    <row r="1510" spans="1:10">
      <c r="A1510" s="74" t="s">
        <v>259</v>
      </c>
      <c r="B1510" s="74" t="s">
        <v>249</v>
      </c>
      <c r="C1510" s="74" t="s">
        <v>1508</v>
      </c>
      <c r="D1510" s="74" t="s">
        <v>78</v>
      </c>
      <c r="E1510" s="74">
        <v>54</v>
      </c>
      <c r="F1510" s="74">
        <v>72.55</v>
      </c>
      <c r="G1510" s="758">
        <f t="shared" si="92"/>
        <v>0.19</v>
      </c>
      <c r="H1510" s="759">
        <f t="shared" si="93"/>
        <v>0.26</v>
      </c>
      <c r="I1510" s="758">
        <f t="shared" si="94"/>
        <v>1.1535185185185186</v>
      </c>
      <c r="J1510" s="760">
        <f t="shared" si="95"/>
        <v>0.85858028945554787</v>
      </c>
    </row>
    <row r="1511" spans="1:10">
      <c r="A1511" s="74" t="s">
        <v>259</v>
      </c>
      <c r="B1511" s="74" t="s">
        <v>249</v>
      </c>
      <c r="C1511" s="74" t="s">
        <v>1509</v>
      </c>
      <c r="D1511" s="74" t="s">
        <v>78</v>
      </c>
      <c r="E1511" s="74">
        <v>40</v>
      </c>
      <c r="F1511" s="74">
        <v>54.41</v>
      </c>
      <c r="G1511" s="758">
        <f t="shared" si="92"/>
        <v>0.19</v>
      </c>
      <c r="H1511" s="759">
        <f t="shared" si="93"/>
        <v>0.26</v>
      </c>
      <c r="I1511" s="758">
        <f t="shared" si="94"/>
        <v>1.17025</v>
      </c>
      <c r="J1511" s="760">
        <f t="shared" si="95"/>
        <v>0.8603197941554861</v>
      </c>
    </row>
    <row r="1512" spans="1:10">
      <c r="A1512" s="74" t="s">
        <v>259</v>
      </c>
      <c r="B1512" s="74" t="s">
        <v>249</v>
      </c>
      <c r="C1512" s="74" t="s">
        <v>1565</v>
      </c>
      <c r="D1512" s="74" t="s">
        <v>78</v>
      </c>
      <c r="E1512" s="74">
        <v>85</v>
      </c>
      <c r="F1512" s="74">
        <v>107.64</v>
      </c>
      <c r="G1512" s="758">
        <f t="shared" si="92"/>
        <v>0.19</v>
      </c>
      <c r="H1512" s="759">
        <f t="shared" si="93"/>
        <v>0.26</v>
      </c>
      <c r="I1512" s="758">
        <f t="shared" si="94"/>
        <v>1.0763529411764707</v>
      </c>
      <c r="J1512" s="760">
        <f t="shared" si="95"/>
        <v>0.84996283909327386</v>
      </c>
    </row>
    <row r="1513" spans="1:10">
      <c r="A1513" s="74" t="s">
        <v>259</v>
      </c>
      <c r="B1513" s="74" t="s">
        <v>249</v>
      </c>
      <c r="C1513" s="74" t="s">
        <v>1530</v>
      </c>
      <c r="D1513" s="74" t="s">
        <v>80</v>
      </c>
      <c r="E1513" s="74">
        <v>84</v>
      </c>
      <c r="F1513" s="74">
        <v>109.68</v>
      </c>
      <c r="G1513" s="758">
        <f t="shared" si="92"/>
        <v>0.19</v>
      </c>
      <c r="H1513" s="759">
        <f t="shared" si="93"/>
        <v>0.26</v>
      </c>
      <c r="I1513" s="758">
        <f t="shared" si="94"/>
        <v>1.1157142857142859</v>
      </c>
      <c r="J1513" s="760">
        <f t="shared" si="95"/>
        <v>0.85448577680525162</v>
      </c>
    </row>
    <row r="1514" spans="1:10">
      <c r="A1514" s="74" t="s">
        <v>259</v>
      </c>
      <c r="B1514" s="74" t="s">
        <v>249</v>
      </c>
      <c r="C1514" s="74" t="s">
        <v>1532</v>
      </c>
      <c r="D1514" s="74" t="s">
        <v>80</v>
      </c>
      <c r="E1514" s="74">
        <v>84</v>
      </c>
      <c r="F1514" s="74">
        <v>109.68</v>
      </c>
      <c r="G1514" s="758">
        <f t="shared" si="92"/>
        <v>0.19</v>
      </c>
      <c r="H1514" s="759">
        <f t="shared" si="93"/>
        <v>0.26</v>
      </c>
      <c r="I1514" s="758">
        <f t="shared" si="94"/>
        <v>1.1157142857142859</v>
      </c>
      <c r="J1514" s="760">
        <f t="shared" si="95"/>
        <v>0.85448577680525162</v>
      </c>
    </row>
    <row r="1515" spans="1:10">
      <c r="A1515" s="74" t="s">
        <v>259</v>
      </c>
      <c r="B1515" s="74" t="s">
        <v>249</v>
      </c>
      <c r="C1515" s="74" t="s">
        <v>1511</v>
      </c>
      <c r="D1515" s="74" t="s">
        <v>80</v>
      </c>
      <c r="E1515" s="74">
        <v>84</v>
      </c>
      <c r="F1515" s="74">
        <v>110.55</v>
      </c>
      <c r="G1515" s="758">
        <f t="shared" si="92"/>
        <v>0.19</v>
      </c>
      <c r="H1515" s="759">
        <f t="shared" si="93"/>
        <v>0.26</v>
      </c>
      <c r="I1515" s="758">
        <f t="shared" si="94"/>
        <v>1.1260714285714286</v>
      </c>
      <c r="J1515" s="760">
        <f t="shared" si="95"/>
        <v>0.85563093622795117</v>
      </c>
    </row>
    <row r="1516" spans="1:10">
      <c r="A1516" s="74" t="s">
        <v>259</v>
      </c>
      <c r="B1516" s="74" t="s">
        <v>249</v>
      </c>
      <c r="C1516" s="74" t="s">
        <v>1512</v>
      </c>
      <c r="D1516" s="74" t="s">
        <v>80</v>
      </c>
      <c r="E1516" s="74">
        <v>74</v>
      </c>
      <c r="F1516" s="74">
        <v>97.91</v>
      </c>
      <c r="G1516" s="758">
        <f t="shared" si="92"/>
        <v>0.19</v>
      </c>
      <c r="H1516" s="759">
        <f t="shared" si="93"/>
        <v>0.26</v>
      </c>
      <c r="I1516" s="758">
        <f t="shared" si="94"/>
        <v>1.133108108108108</v>
      </c>
      <c r="J1516" s="760">
        <f t="shared" si="95"/>
        <v>0.85639873353079354</v>
      </c>
    </row>
    <row r="1517" spans="1:10">
      <c r="A1517" s="74" t="s">
        <v>259</v>
      </c>
      <c r="B1517" s="74" t="s">
        <v>249</v>
      </c>
      <c r="C1517" s="74" t="s">
        <v>1513</v>
      </c>
      <c r="D1517" s="74" t="s">
        <v>81</v>
      </c>
      <c r="E1517" s="74">
        <v>162</v>
      </c>
      <c r="F1517" s="74">
        <v>211.55</v>
      </c>
      <c r="G1517" s="758">
        <f t="shared" si="92"/>
        <v>0.19</v>
      </c>
      <c r="H1517" s="759">
        <f t="shared" si="93"/>
        <v>0.26</v>
      </c>
      <c r="I1517" s="758">
        <f t="shared" si="94"/>
        <v>1.1158641975308643</v>
      </c>
      <c r="J1517" s="760">
        <f t="shared" si="95"/>
        <v>0.85450248168281728</v>
      </c>
    </row>
    <row r="1518" spans="1:10">
      <c r="A1518" s="74" t="s">
        <v>259</v>
      </c>
      <c r="B1518" s="74" t="s">
        <v>249</v>
      </c>
      <c r="C1518" s="74" t="s">
        <v>1514</v>
      </c>
      <c r="D1518" s="74" t="s">
        <v>81</v>
      </c>
      <c r="E1518" s="74">
        <v>59</v>
      </c>
      <c r="F1518" s="74">
        <v>77.27</v>
      </c>
      <c r="G1518" s="758">
        <f t="shared" si="92"/>
        <v>0.19</v>
      </c>
      <c r="H1518" s="759">
        <f t="shared" si="93"/>
        <v>0.26</v>
      </c>
      <c r="I1518" s="758">
        <f t="shared" si="94"/>
        <v>1.1196610169491525</v>
      </c>
      <c r="J1518" s="760">
        <f t="shared" si="95"/>
        <v>0.85492429144558035</v>
      </c>
    </row>
    <row r="1519" spans="1:10">
      <c r="A1519" s="74" t="s">
        <v>259</v>
      </c>
      <c r="B1519" s="74" t="s">
        <v>249</v>
      </c>
      <c r="C1519" s="74" t="s">
        <v>1515</v>
      </c>
      <c r="D1519" s="74" t="s">
        <v>81</v>
      </c>
      <c r="E1519" s="74">
        <v>60</v>
      </c>
      <c r="F1519" s="74">
        <v>75.86</v>
      </c>
      <c r="G1519" s="758">
        <f t="shared" si="92"/>
        <v>0.19</v>
      </c>
      <c r="H1519" s="759">
        <f t="shared" si="93"/>
        <v>0.26</v>
      </c>
      <c r="I1519" s="758">
        <f t="shared" si="94"/>
        <v>1.0743333333333334</v>
      </c>
      <c r="J1519" s="760">
        <f t="shared" si="95"/>
        <v>0.84972317426838917</v>
      </c>
    </row>
    <row r="1520" spans="1:10">
      <c r="A1520" s="74" t="s">
        <v>737</v>
      </c>
      <c r="B1520" s="74" t="s">
        <v>249</v>
      </c>
      <c r="C1520" s="74" t="s">
        <v>1528</v>
      </c>
      <c r="D1520" s="74" t="s">
        <v>78</v>
      </c>
      <c r="E1520" s="74">
        <v>1</v>
      </c>
      <c r="F1520" s="74">
        <v>1.68</v>
      </c>
      <c r="G1520" s="758">
        <f t="shared" si="92"/>
        <v>0.26</v>
      </c>
      <c r="H1520" s="759">
        <f t="shared" si="93"/>
        <v>0.19</v>
      </c>
      <c r="I1520" s="758">
        <f t="shared" si="94"/>
        <v>1.42</v>
      </c>
      <c r="J1520" s="760">
        <f t="shared" si="95"/>
        <v>0.84523809523809523</v>
      </c>
    </row>
    <row r="1521" spans="1:10">
      <c r="A1521" s="74" t="s">
        <v>737</v>
      </c>
      <c r="B1521" s="74" t="s">
        <v>249</v>
      </c>
      <c r="C1521" s="74" t="s">
        <v>1508</v>
      </c>
      <c r="D1521" s="74" t="s">
        <v>78</v>
      </c>
      <c r="E1521" s="74">
        <v>5</v>
      </c>
      <c r="F1521" s="74">
        <v>8.14</v>
      </c>
      <c r="G1521" s="758">
        <f t="shared" si="92"/>
        <v>0.26</v>
      </c>
      <c r="H1521" s="759">
        <f t="shared" si="93"/>
        <v>0.19</v>
      </c>
      <c r="I1521" s="758">
        <f t="shared" si="94"/>
        <v>1.3680000000000001</v>
      </c>
      <c r="J1521" s="760">
        <f t="shared" si="95"/>
        <v>0.84029484029484025</v>
      </c>
    </row>
    <row r="1522" spans="1:10">
      <c r="A1522" s="74" t="s">
        <v>737</v>
      </c>
      <c r="B1522" s="74" t="s">
        <v>249</v>
      </c>
      <c r="C1522" s="74" t="s">
        <v>1509</v>
      </c>
      <c r="D1522" s="74" t="s">
        <v>78</v>
      </c>
      <c r="E1522" s="74">
        <v>1</v>
      </c>
      <c r="F1522" s="74">
        <v>1.55</v>
      </c>
      <c r="G1522" s="758">
        <f t="shared" si="92"/>
        <v>0.26</v>
      </c>
      <c r="H1522" s="759">
        <f t="shared" si="93"/>
        <v>0.19</v>
      </c>
      <c r="I1522" s="758">
        <f t="shared" si="94"/>
        <v>1.29</v>
      </c>
      <c r="J1522" s="760">
        <f t="shared" si="95"/>
        <v>0.83225806451612905</v>
      </c>
    </row>
    <row r="1523" spans="1:10">
      <c r="A1523" s="74" t="s">
        <v>737</v>
      </c>
      <c r="B1523" s="74" t="s">
        <v>249</v>
      </c>
      <c r="C1523" s="74" t="s">
        <v>1565</v>
      </c>
      <c r="D1523" s="74" t="s">
        <v>78</v>
      </c>
      <c r="E1523" s="74">
        <v>11</v>
      </c>
      <c r="F1523" s="74">
        <v>12.36</v>
      </c>
      <c r="G1523" s="758">
        <f t="shared" si="92"/>
        <v>0.26</v>
      </c>
      <c r="H1523" s="759">
        <f t="shared" si="93"/>
        <v>0.19</v>
      </c>
      <c r="I1523" s="758">
        <f t="shared" si="94"/>
        <v>0.86363636363636354</v>
      </c>
      <c r="J1523" s="760">
        <f t="shared" si="95"/>
        <v>0.76860841423948223</v>
      </c>
    </row>
    <row r="1524" spans="1:10">
      <c r="A1524" s="74" t="s">
        <v>737</v>
      </c>
      <c r="B1524" s="74" t="s">
        <v>249</v>
      </c>
      <c r="C1524" s="74" t="s">
        <v>1530</v>
      </c>
      <c r="D1524" s="74" t="s">
        <v>80</v>
      </c>
      <c r="E1524" s="74">
        <v>2</v>
      </c>
      <c r="F1524" s="74">
        <v>1.55</v>
      </c>
      <c r="G1524" s="758">
        <f t="shared" si="92"/>
        <v>0.26</v>
      </c>
      <c r="H1524" s="759">
        <f t="shared" si="93"/>
        <v>0.19</v>
      </c>
      <c r="I1524" s="758">
        <f t="shared" si="94"/>
        <v>0.51500000000000001</v>
      </c>
      <c r="J1524" s="760">
        <f t="shared" si="95"/>
        <v>0.6645161290322581</v>
      </c>
    </row>
    <row r="1525" spans="1:10">
      <c r="A1525" s="74" t="s">
        <v>737</v>
      </c>
      <c r="B1525" s="74" t="s">
        <v>249</v>
      </c>
      <c r="C1525" s="74" t="s">
        <v>1532</v>
      </c>
      <c r="D1525" s="74" t="s">
        <v>80</v>
      </c>
      <c r="E1525" s="74">
        <v>2</v>
      </c>
      <c r="F1525" s="74">
        <v>1.55</v>
      </c>
      <c r="G1525" s="758">
        <f t="shared" si="92"/>
        <v>0.26</v>
      </c>
      <c r="H1525" s="759">
        <f t="shared" si="93"/>
        <v>0.19</v>
      </c>
      <c r="I1525" s="758">
        <f t="shared" si="94"/>
        <v>0.51500000000000001</v>
      </c>
      <c r="J1525" s="760">
        <f t="shared" si="95"/>
        <v>0.6645161290322581</v>
      </c>
    </row>
    <row r="1526" spans="1:10">
      <c r="A1526" s="74" t="s">
        <v>737</v>
      </c>
      <c r="B1526" s="74" t="s">
        <v>249</v>
      </c>
      <c r="C1526" s="74" t="s">
        <v>1511</v>
      </c>
      <c r="D1526" s="74" t="s">
        <v>80</v>
      </c>
      <c r="E1526" s="74">
        <v>1</v>
      </c>
      <c r="F1526" s="74">
        <v>1.55</v>
      </c>
      <c r="G1526" s="758">
        <f t="shared" si="92"/>
        <v>0.26</v>
      </c>
      <c r="H1526" s="759">
        <f t="shared" si="93"/>
        <v>0.19</v>
      </c>
      <c r="I1526" s="758">
        <f t="shared" si="94"/>
        <v>1.29</v>
      </c>
      <c r="J1526" s="760">
        <f t="shared" si="95"/>
        <v>0.83225806451612905</v>
      </c>
    </row>
    <row r="1527" spans="1:10">
      <c r="A1527" s="74" t="s">
        <v>737</v>
      </c>
      <c r="B1527" s="74" t="s">
        <v>249</v>
      </c>
      <c r="C1527" s="74" t="s">
        <v>1512</v>
      </c>
      <c r="D1527" s="74" t="s">
        <v>80</v>
      </c>
      <c r="E1527" s="74">
        <v>2</v>
      </c>
      <c r="F1527" s="74">
        <v>3.23</v>
      </c>
      <c r="G1527" s="758">
        <f t="shared" si="92"/>
        <v>0.26</v>
      </c>
      <c r="H1527" s="759">
        <f t="shared" si="93"/>
        <v>0.19</v>
      </c>
      <c r="I1527" s="758">
        <f t="shared" si="94"/>
        <v>1.355</v>
      </c>
      <c r="J1527" s="760">
        <f t="shared" si="95"/>
        <v>0.83900928792569662</v>
      </c>
    </row>
    <row r="1528" spans="1:10">
      <c r="A1528" s="74" t="s">
        <v>737</v>
      </c>
      <c r="B1528" s="74" t="s">
        <v>249</v>
      </c>
      <c r="C1528" s="74" t="s">
        <v>1513</v>
      </c>
      <c r="D1528" s="74" t="s">
        <v>81</v>
      </c>
      <c r="E1528" s="74">
        <v>10</v>
      </c>
      <c r="F1528" s="74">
        <v>15.45</v>
      </c>
      <c r="G1528" s="758">
        <f t="shared" si="92"/>
        <v>0.26</v>
      </c>
      <c r="H1528" s="759">
        <f t="shared" si="93"/>
        <v>0.19</v>
      </c>
      <c r="I1528" s="758">
        <f t="shared" si="94"/>
        <v>1.2849999999999999</v>
      </c>
      <c r="J1528" s="760">
        <f t="shared" si="95"/>
        <v>0.83171521035598706</v>
      </c>
    </row>
    <row r="1529" spans="1:10">
      <c r="A1529" s="74" t="s">
        <v>737</v>
      </c>
      <c r="B1529" s="74" t="s">
        <v>249</v>
      </c>
      <c r="C1529" s="74" t="s">
        <v>1514</v>
      </c>
      <c r="D1529" s="74" t="s">
        <v>81</v>
      </c>
      <c r="E1529" s="74">
        <v>3</v>
      </c>
      <c r="F1529" s="74">
        <v>4.6399999999999997</v>
      </c>
      <c r="G1529" s="758">
        <f t="shared" si="92"/>
        <v>0.26</v>
      </c>
      <c r="H1529" s="759">
        <f t="shared" si="93"/>
        <v>0.19</v>
      </c>
      <c r="I1529" s="758">
        <f t="shared" si="94"/>
        <v>1.2866666666666666</v>
      </c>
      <c r="J1529" s="760">
        <f t="shared" si="95"/>
        <v>0.8318965517241379</v>
      </c>
    </row>
    <row r="1530" spans="1:10">
      <c r="A1530" s="74" t="s">
        <v>1672</v>
      </c>
      <c r="B1530" s="74" t="s">
        <v>256</v>
      </c>
      <c r="C1530" s="74" t="s">
        <v>1646</v>
      </c>
      <c r="D1530" s="74" t="s">
        <v>86</v>
      </c>
      <c r="E1530" s="74">
        <v>2</v>
      </c>
      <c r="F1530" s="74">
        <v>23</v>
      </c>
      <c r="G1530" s="758">
        <f t="shared" si="92"/>
        <v>0</v>
      </c>
      <c r="H1530" s="759">
        <f t="shared" si="93"/>
        <v>0</v>
      </c>
      <c r="I1530" s="758">
        <f t="shared" si="94"/>
        <v>11.5</v>
      </c>
      <c r="J1530" s="760">
        <f t="shared" si="95"/>
        <v>1</v>
      </c>
    </row>
    <row r="1531" spans="1:10">
      <c r="A1531" s="74" t="s">
        <v>262</v>
      </c>
      <c r="B1531" s="74" t="s">
        <v>256</v>
      </c>
      <c r="C1531" s="74" t="s">
        <v>1528</v>
      </c>
      <c r="D1531" s="74" t="s">
        <v>78</v>
      </c>
      <c r="E1531" s="74">
        <v>29</v>
      </c>
      <c r="F1531" s="74">
        <v>326.3</v>
      </c>
      <c r="G1531" s="758">
        <f t="shared" si="92"/>
        <v>2.69</v>
      </c>
      <c r="H1531" s="759">
        <f t="shared" si="93"/>
        <v>0.28000000000000003</v>
      </c>
      <c r="I1531" s="758">
        <f t="shared" si="94"/>
        <v>8.5617241379310354</v>
      </c>
      <c r="J1531" s="760">
        <f t="shared" si="95"/>
        <v>0.76092552865461238</v>
      </c>
    </row>
    <row r="1532" spans="1:10">
      <c r="A1532" s="74" t="s">
        <v>262</v>
      </c>
      <c r="B1532" s="74" t="s">
        <v>256</v>
      </c>
      <c r="C1532" s="74" t="s">
        <v>1508</v>
      </c>
      <c r="D1532" s="74" t="s">
        <v>78</v>
      </c>
      <c r="E1532" s="74">
        <v>34</v>
      </c>
      <c r="F1532" s="74">
        <v>381.07</v>
      </c>
      <c r="G1532" s="758">
        <f t="shared" si="92"/>
        <v>2.69</v>
      </c>
      <c r="H1532" s="759">
        <f t="shared" si="93"/>
        <v>0.28000000000000003</v>
      </c>
      <c r="I1532" s="758">
        <f t="shared" si="94"/>
        <v>8.5179411764705879</v>
      </c>
      <c r="J1532" s="760">
        <f t="shared" si="95"/>
        <v>0.75999160259269949</v>
      </c>
    </row>
    <row r="1533" spans="1:10">
      <c r="A1533" s="74" t="s">
        <v>262</v>
      </c>
      <c r="B1533" s="74" t="s">
        <v>256</v>
      </c>
      <c r="C1533" s="74" t="s">
        <v>1509</v>
      </c>
      <c r="D1533" s="74" t="s">
        <v>78</v>
      </c>
      <c r="E1533" s="74">
        <v>66</v>
      </c>
      <c r="F1533" s="74">
        <v>562.23</v>
      </c>
      <c r="G1533" s="758">
        <f t="shared" si="92"/>
        <v>2.69</v>
      </c>
      <c r="H1533" s="759">
        <f t="shared" si="93"/>
        <v>0.28000000000000003</v>
      </c>
      <c r="I1533" s="758">
        <f t="shared" si="94"/>
        <v>5.8286363636363649</v>
      </c>
      <c r="J1533" s="760">
        <f t="shared" si="95"/>
        <v>0.68422175977802679</v>
      </c>
    </row>
    <row r="1534" spans="1:10">
      <c r="A1534" s="74" t="s">
        <v>262</v>
      </c>
      <c r="B1534" s="74" t="s">
        <v>256</v>
      </c>
      <c r="C1534" s="74" t="s">
        <v>1565</v>
      </c>
      <c r="D1534" s="74" t="s">
        <v>78</v>
      </c>
      <c r="E1534" s="74">
        <v>47</v>
      </c>
      <c r="F1534" s="74">
        <v>524.6</v>
      </c>
      <c r="G1534" s="758">
        <f t="shared" si="92"/>
        <v>2.69</v>
      </c>
      <c r="H1534" s="759">
        <f t="shared" si="93"/>
        <v>0.28000000000000003</v>
      </c>
      <c r="I1534" s="758">
        <f t="shared" si="94"/>
        <v>8.4717021276595759</v>
      </c>
      <c r="J1534" s="760">
        <f t="shared" si="95"/>
        <v>0.75899733130003821</v>
      </c>
    </row>
    <row r="1535" spans="1:10">
      <c r="A1535" s="74" t="s">
        <v>262</v>
      </c>
      <c r="B1535" s="74" t="s">
        <v>256</v>
      </c>
      <c r="C1535" s="74" t="s">
        <v>1530</v>
      </c>
      <c r="D1535" s="74" t="s">
        <v>80</v>
      </c>
      <c r="E1535" s="74">
        <v>30</v>
      </c>
      <c r="F1535" s="74">
        <v>327.05</v>
      </c>
      <c r="G1535" s="758">
        <f t="shared" si="92"/>
        <v>2.69</v>
      </c>
      <c r="H1535" s="759">
        <f t="shared" si="93"/>
        <v>0.28000000000000003</v>
      </c>
      <c r="I1535" s="758">
        <f t="shared" si="94"/>
        <v>8.2116666666666678</v>
      </c>
      <c r="J1535" s="760">
        <f t="shared" si="95"/>
        <v>0.75324873872496556</v>
      </c>
    </row>
    <row r="1536" spans="1:10">
      <c r="A1536" s="74" t="s">
        <v>262</v>
      </c>
      <c r="B1536" s="74" t="s">
        <v>256</v>
      </c>
      <c r="C1536" s="74" t="s">
        <v>1532</v>
      </c>
      <c r="D1536" s="74" t="s">
        <v>80</v>
      </c>
      <c r="E1536" s="74">
        <v>48</v>
      </c>
      <c r="F1536" s="74">
        <v>534.79999999999995</v>
      </c>
      <c r="G1536" s="758">
        <f t="shared" si="92"/>
        <v>2.69</v>
      </c>
      <c r="H1536" s="759">
        <f t="shared" si="93"/>
        <v>0.28000000000000003</v>
      </c>
      <c r="I1536" s="758">
        <f t="shared" si="94"/>
        <v>8.4516666666666662</v>
      </c>
      <c r="J1536" s="760">
        <f t="shared" si="95"/>
        <v>0.75856394913986536</v>
      </c>
    </row>
    <row r="1537" spans="1:10">
      <c r="A1537" s="74" t="s">
        <v>262</v>
      </c>
      <c r="B1537" s="74" t="s">
        <v>256</v>
      </c>
      <c r="C1537" s="74" t="s">
        <v>1511</v>
      </c>
      <c r="D1537" s="74" t="s">
        <v>80</v>
      </c>
      <c r="E1537" s="74">
        <v>64</v>
      </c>
      <c r="F1537" s="74">
        <v>719.05</v>
      </c>
      <c r="G1537" s="758">
        <f t="shared" si="92"/>
        <v>2.69</v>
      </c>
      <c r="H1537" s="759">
        <f t="shared" si="93"/>
        <v>0.28000000000000003</v>
      </c>
      <c r="I1537" s="758">
        <f t="shared" si="94"/>
        <v>8.5451562499999998</v>
      </c>
      <c r="J1537" s="760">
        <f t="shared" si="95"/>
        <v>0.76057297823517134</v>
      </c>
    </row>
    <row r="1538" spans="1:10">
      <c r="A1538" s="74" t="s">
        <v>262</v>
      </c>
      <c r="B1538" s="74" t="s">
        <v>256</v>
      </c>
      <c r="C1538" s="74" t="s">
        <v>1512</v>
      </c>
      <c r="D1538" s="74" t="s">
        <v>80</v>
      </c>
      <c r="E1538" s="74">
        <v>55</v>
      </c>
      <c r="F1538" s="74">
        <v>606.46</v>
      </c>
      <c r="G1538" s="758">
        <f t="shared" ref="G1538:G1601" si="96">IFERROR(VLOOKUP(A1538,$M$1:$P$1014,2,FALSE),0)</f>
        <v>2.69</v>
      </c>
      <c r="H1538" s="759">
        <f t="shared" ref="H1538:H1601" si="97">IFERROR(VLOOKUP(A1538,$M$1:$P$1014,3,FALSE),0)</f>
        <v>0.28000000000000003</v>
      </c>
      <c r="I1538" s="758">
        <f t="shared" ref="I1538:I1601" si="98">IFERROR(F1538/E1538-G1538,0)</f>
        <v>8.3365454545454565</v>
      </c>
      <c r="J1538" s="760">
        <f t="shared" ref="J1538:J1601" si="99">IFERROR(1-G1538*E1538/F1538,0)</f>
        <v>0.75604326748672634</v>
      </c>
    </row>
    <row r="1539" spans="1:10">
      <c r="A1539" s="74" t="s">
        <v>262</v>
      </c>
      <c r="B1539" s="74" t="s">
        <v>256</v>
      </c>
      <c r="C1539" s="74" t="s">
        <v>1534</v>
      </c>
      <c r="D1539" s="74" t="s">
        <v>81</v>
      </c>
      <c r="E1539" s="74">
        <v>21</v>
      </c>
      <c r="F1539" s="74">
        <v>207.25</v>
      </c>
      <c r="G1539" s="758">
        <f t="shared" si="96"/>
        <v>2.69</v>
      </c>
      <c r="H1539" s="759">
        <f t="shared" si="97"/>
        <v>0.28000000000000003</v>
      </c>
      <c r="I1539" s="758">
        <f t="shared" si="98"/>
        <v>7.1790476190476191</v>
      </c>
      <c r="J1539" s="760">
        <f t="shared" si="99"/>
        <v>0.72743063932448737</v>
      </c>
    </row>
    <row r="1540" spans="1:10">
      <c r="A1540" s="74" t="s">
        <v>262</v>
      </c>
      <c r="B1540" s="74" t="s">
        <v>256</v>
      </c>
      <c r="C1540" s="74" t="s">
        <v>1513</v>
      </c>
      <c r="D1540" s="74" t="s">
        <v>81</v>
      </c>
      <c r="E1540" s="74">
        <v>85</v>
      </c>
      <c r="F1540" s="74">
        <v>943.22</v>
      </c>
      <c r="G1540" s="758">
        <f t="shared" si="96"/>
        <v>2.69</v>
      </c>
      <c r="H1540" s="759">
        <f t="shared" si="97"/>
        <v>0.28000000000000003</v>
      </c>
      <c r="I1540" s="758">
        <f t="shared" si="98"/>
        <v>8.4067058823529415</v>
      </c>
      <c r="J1540" s="760">
        <f t="shared" si="99"/>
        <v>0.75758571701193778</v>
      </c>
    </row>
    <row r="1541" spans="1:10">
      <c r="A1541" s="74" t="s">
        <v>262</v>
      </c>
      <c r="B1541" s="74" t="s">
        <v>256</v>
      </c>
      <c r="C1541" s="74" t="s">
        <v>1514</v>
      </c>
      <c r="D1541" s="74" t="s">
        <v>81</v>
      </c>
      <c r="E1541" s="74">
        <v>39</v>
      </c>
      <c r="F1541" s="74">
        <v>435.16</v>
      </c>
      <c r="G1541" s="758">
        <f t="shared" si="96"/>
        <v>2.69</v>
      </c>
      <c r="H1541" s="759">
        <f t="shared" si="97"/>
        <v>0.28000000000000003</v>
      </c>
      <c r="I1541" s="758">
        <f t="shared" si="98"/>
        <v>8.467948717948719</v>
      </c>
      <c r="J1541" s="760">
        <f t="shared" si="99"/>
        <v>0.75891626068572482</v>
      </c>
    </row>
    <row r="1542" spans="1:10">
      <c r="A1542" s="74" t="s">
        <v>262</v>
      </c>
      <c r="B1542" s="74" t="s">
        <v>256</v>
      </c>
      <c r="C1542" s="74" t="s">
        <v>1515</v>
      </c>
      <c r="D1542" s="74" t="s">
        <v>81</v>
      </c>
      <c r="E1542" s="74">
        <v>62</v>
      </c>
      <c r="F1542" s="74">
        <v>710.04</v>
      </c>
      <c r="G1542" s="758">
        <f t="shared" si="96"/>
        <v>2.69</v>
      </c>
      <c r="H1542" s="759">
        <f t="shared" si="97"/>
        <v>0.28000000000000003</v>
      </c>
      <c r="I1542" s="758">
        <f t="shared" si="98"/>
        <v>8.7622580645161285</v>
      </c>
      <c r="J1542" s="760">
        <f t="shared" si="99"/>
        <v>0.7651118246859332</v>
      </c>
    </row>
    <row r="1543" spans="1:10">
      <c r="A1543" s="74" t="s">
        <v>262</v>
      </c>
      <c r="B1543" s="74" t="s">
        <v>256</v>
      </c>
      <c r="C1543" s="74" t="s">
        <v>1516</v>
      </c>
      <c r="D1543" s="74" t="s">
        <v>82</v>
      </c>
      <c r="E1543" s="74">
        <v>23</v>
      </c>
      <c r="F1543" s="74">
        <v>271.25</v>
      </c>
      <c r="G1543" s="758">
        <f t="shared" si="96"/>
        <v>2.69</v>
      </c>
      <c r="H1543" s="759">
        <f t="shared" si="97"/>
        <v>0.28000000000000003</v>
      </c>
      <c r="I1543" s="758">
        <f t="shared" si="98"/>
        <v>9.103478260869565</v>
      </c>
      <c r="J1543" s="760">
        <f t="shared" si="99"/>
        <v>0.77190783410138253</v>
      </c>
    </row>
    <row r="1544" spans="1:10">
      <c r="A1544" s="74" t="s">
        <v>262</v>
      </c>
      <c r="B1544" s="74" t="s">
        <v>256</v>
      </c>
      <c r="C1544" s="74" t="s">
        <v>1517</v>
      </c>
      <c r="D1544" s="74" t="s">
        <v>82</v>
      </c>
      <c r="E1544" s="74">
        <v>28</v>
      </c>
      <c r="F1544" s="74">
        <v>323.2</v>
      </c>
      <c r="G1544" s="758">
        <f t="shared" si="96"/>
        <v>2.69</v>
      </c>
      <c r="H1544" s="759">
        <f t="shared" si="97"/>
        <v>0.28000000000000003</v>
      </c>
      <c r="I1544" s="758">
        <f t="shared" si="98"/>
        <v>8.8528571428571432</v>
      </c>
      <c r="J1544" s="760">
        <f t="shared" si="99"/>
        <v>0.76695544554455441</v>
      </c>
    </row>
    <row r="1545" spans="1:10">
      <c r="A1545" s="74" t="s">
        <v>262</v>
      </c>
      <c r="B1545" s="74" t="s">
        <v>256</v>
      </c>
      <c r="C1545" s="74" t="s">
        <v>1527</v>
      </c>
      <c r="D1545" s="74" t="s">
        <v>82</v>
      </c>
      <c r="E1545" s="74">
        <v>35</v>
      </c>
      <c r="F1545" s="74">
        <v>392.35</v>
      </c>
      <c r="G1545" s="758">
        <f t="shared" si="96"/>
        <v>2.69</v>
      </c>
      <c r="H1545" s="759">
        <f t="shared" si="97"/>
        <v>0.28000000000000003</v>
      </c>
      <c r="I1545" s="758">
        <f t="shared" si="98"/>
        <v>8.5200000000000014</v>
      </c>
      <c r="J1545" s="760">
        <f t="shared" si="99"/>
        <v>0.76003568242640507</v>
      </c>
    </row>
    <row r="1546" spans="1:10">
      <c r="A1546" s="74" t="s">
        <v>262</v>
      </c>
      <c r="B1546" s="74" t="s">
        <v>256</v>
      </c>
      <c r="C1546" s="74" t="s">
        <v>1518</v>
      </c>
      <c r="D1546" s="74" t="s">
        <v>82</v>
      </c>
      <c r="E1546" s="74">
        <v>26</v>
      </c>
      <c r="F1546" s="74">
        <v>300.05</v>
      </c>
      <c r="G1546" s="758">
        <f t="shared" si="96"/>
        <v>2.69</v>
      </c>
      <c r="H1546" s="759">
        <f t="shared" si="97"/>
        <v>0.28000000000000003</v>
      </c>
      <c r="I1546" s="758">
        <f t="shared" si="98"/>
        <v>8.8503846153846162</v>
      </c>
      <c r="J1546" s="760">
        <f t="shared" si="99"/>
        <v>0.76690551574737542</v>
      </c>
    </row>
    <row r="1547" spans="1:10">
      <c r="A1547" s="74" t="s">
        <v>262</v>
      </c>
      <c r="B1547" s="74" t="s">
        <v>256</v>
      </c>
      <c r="C1547" s="74" t="s">
        <v>1519</v>
      </c>
      <c r="D1547" s="74" t="s">
        <v>84</v>
      </c>
      <c r="E1547" s="74">
        <v>6</v>
      </c>
      <c r="F1547" s="74">
        <v>66.849999999999994</v>
      </c>
      <c r="G1547" s="758">
        <f t="shared" si="96"/>
        <v>2.69</v>
      </c>
      <c r="H1547" s="759">
        <f t="shared" si="97"/>
        <v>0.28000000000000003</v>
      </c>
      <c r="I1547" s="758">
        <f t="shared" si="98"/>
        <v>8.4516666666666662</v>
      </c>
      <c r="J1547" s="760">
        <f t="shared" si="99"/>
        <v>0.75856394913986536</v>
      </c>
    </row>
    <row r="1548" spans="1:10">
      <c r="A1548" s="74" t="s">
        <v>262</v>
      </c>
      <c r="B1548" s="74" t="s">
        <v>256</v>
      </c>
      <c r="C1548" s="74" t="s">
        <v>1540</v>
      </c>
      <c r="D1548" s="74" t="s">
        <v>84</v>
      </c>
      <c r="E1548" s="74">
        <v>2</v>
      </c>
      <c r="F1548" s="74">
        <v>23.3</v>
      </c>
      <c r="G1548" s="758">
        <f t="shared" si="96"/>
        <v>2.69</v>
      </c>
      <c r="H1548" s="759">
        <f t="shared" si="97"/>
        <v>0.28000000000000003</v>
      </c>
      <c r="I1548" s="758">
        <f t="shared" si="98"/>
        <v>8.9600000000000009</v>
      </c>
      <c r="J1548" s="760">
        <f t="shared" si="99"/>
        <v>0.76909871244635197</v>
      </c>
    </row>
    <row r="1549" spans="1:10">
      <c r="A1549" s="74" t="s">
        <v>262</v>
      </c>
      <c r="B1549" s="74" t="s">
        <v>256</v>
      </c>
      <c r="C1549" s="74" t="s">
        <v>1520</v>
      </c>
      <c r="D1549" s="74" t="s">
        <v>84</v>
      </c>
      <c r="E1549" s="74">
        <v>1</v>
      </c>
      <c r="F1549" s="74">
        <v>11.5</v>
      </c>
      <c r="G1549" s="758">
        <f t="shared" si="96"/>
        <v>2.69</v>
      </c>
      <c r="H1549" s="759">
        <f t="shared" si="97"/>
        <v>0.28000000000000003</v>
      </c>
      <c r="I1549" s="758">
        <f t="shared" si="98"/>
        <v>8.81</v>
      </c>
      <c r="J1549" s="760">
        <f t="shared" si="99"/>
        <v>0.76608695652173919</v>
      </c>
    </row>
    <row r="1550" spans="1:10">
      <c r="A1550" s="74" t="s">
        <v>262</v>
      </c>
      <c r="B1550" s="74" t="s">
        <v>256</v>
      </c>
      <c r="C1550" s="74" t="s">
        <v>1577</v>
      </c>
      <c r="D1550" s="74" t="s">
        <v>84</v>
      </c>
      <c r="E1550" s="74">
        <v>1</v>
      </c>
      <c r="F1550" s="74">
        <v>11.65</v>
      </c>
      <c r="G1550" s="758">
        <f t="shared" si="96"/>
        <v>2.69</v>
      </c>
      <c r="H1550" s="759">
        <f t="shared" si="97"/>
        <v>0.28000000000000003</v>
      </c>
      <c r="I1550" s="758">
        <f t="shared" si="98"/>
        <v>8.9600000000000009</v>
      </c>
      <c r="J1550" s="760">
        <f t="shared" si="99"/>
        <v>0.76909871244635197</v>
      </c>
    </row>
    <row r="1551" spans="1:10">
      <c r="A1551" s="74" t="s">
        <v>262</v>
      </c>
      <c r="B1551" s="74" t="s">
        <v>256</v>
      </c>
      <c r="C1551" s="74" t="s">
        <v>1507</v>
      </c>
      <c r="D1551" s="74" t="s">
        <v>86</v>
      </c>
      <c r="E1551" s="74">
        <v>1</v>
      </c>
      <c r="F1551" s="74">
        <v>11.65</v>
      </c>
      <c r="G1551" s="758">
        <f t="shared" si="96"/>
        <v>2.69</v>
      </c>
      <c r="H1551" s="759">
        <f t="shared" si="97"/>
        <v>0.28000000000000003</v>
      </c>
      <c r="I1551" s="758">
        <f t="shared" si="98"/>
        <v>8.9600000000000009</v>
      </c>
      <c r="J1551" s="760">
        <f t="shared" si="99"/>
        <v>0.76909871244635197</v>
      </c>
    </row>
    <row r="1552" spans="1:10">
      <c r="A1552" s="74" t="s">
        <v>262</v>
      </c>
      <c r="B1552" s="74" t="s">
        <v>256</v>
      </c>
      <c r="C1552" s="74" t="s">
        <v>1578</v>
      </c>
      <c r="D1552" s="74" t="s">
        <v>86</v>
      </c>
      <c r="E1552" s="74">
        <v>1</v>
      </c>
      <c r="F1552" s="74">
        <v>11.65</v>
      </c>
      <c r="G1552" s="758">
        <f t="shared" si="96"/>
        <v>2.69</v>
      </c>
      <c r="H1552" s="759">
        <f t="shared" si="97"/>
        <v>0.28000000000000003</v>
      </c>
      <c r="I1552" s="758">
        <f t="shared" si="98"/>
        <v>8.9600000000000009</v>
      </c>
      <c r="J1552" s="760">
        <f t="shared" si="99"/>
        <v>0.76909871244635197</v>
      </c>
    </row>
    <row r="1553" spans="1:10">
      <c r="A1553" s="74" t="s">
        <v>262</v>
      </c>
      <c r="B1553" s="74" t="s">
        <v>256</v>
      </c>
      <c r="C1553" s="74" t="s">
        <v>1646</v>
      </c>
      <c r="D1553" s="74" t="s">
        <v>86</v>
      </c>
      <c r="E1553" s="74">
        <v>2</v>
      </c>
      <c r="F1553" s="74">
        <v>23.55</v>
      </c>
      <c r="G1553" s="758">
        <f t="shared" si="96"/>
        <v>2.69</v>
      </c>
      <c r="H1553" s="759">
        <f t="shared" si="97"/>
        <v>0.28000000000000003</v>
      </c>
      <c r="I1553" s="758">
        <f t="shared" si="98"/>
        <v>9.0850000000000009</v>
      </c>
      <c r="J1553" s="760">
        <f t="shared" si="99"/>
        <v>0.77154989384288752</v>
      </c>
    </row>
    <row r="1554" spans="1:10">
      <c r="A1554" s="74" t="s">
        <v>262</v>
      </c>
      <c r="B1554" s="74" t="s">
        <v>256</v>
      </c>
      <c r="C1554" s="74" t="s">
        <v>1541</v>
      </c>
      <c r="D1554" s="74" t="s">
        <v>86</v>
      </c>
      <c r="E1554" s="74">
        <v>3</v>
      </c>
      <c r="F1554" s="74">
        <v>35.700000000000003</v>
      </c>
      <c r="G1554" s="758">
        <f t="shared" si="96"/>
        <v>2.69</v>
      </c>
      <c r="H1554" s="759">
        <f t="shared" si="97"/>
        <v>0.28000000000000003</v>
      </c>
      <c r="I1554" s="758">
        <f t="shared" si="98"/>
        <v>9.2100000000000009</v>
      </c>
      <c r="J1554" s="760">
        <f t="shared" si="99"/>
        <v>0.7739495798319328</v>
      </c>
    </row>
    <row r="1555" spans="1:10">
      <c r="A1555" s="74" t="s">
        <v>262</v>
      </c>
      <c r="B1555" s="74" t="s">
        <v>256</v>
      </c>
      <c r="C1555" s="74" t="s">
        <v>1608</v>
      </c>
      <c r="D1555" s="74" t="s">
        <v>89</v>
      </c>
      <c r="E1555" s="74">
        <v>1</v>
      </c>
      <c r="F1555" s="74">
        <v>11.65</v>
      </c>
      <c r="G1555" s="758">
        <f t="shared" si="96"/>
        <v>2.69</v>
      </c>
      <c r="H1555" s="759">
        <f t="shared" si="97"/>
        <v>0.28000000000000003</v>
      </c>
      <c r="I1555" s="758">
        <f t="shared" si="98"/>
        <v>8.9600000000000009</v>
      </c>
      <c r="J1555" s="760">
        <f t="shared" si="99"/>
        <v>0.76909871244635197</v>
      </c>
    </row>
    <row r="1556" spans="1:10">
      <c r="A1556" s="74" t="s">
        <v>262</v>
      </c>
      <c r="B1556" s="74" t="s">
        <v>256</v>
      </c>
      <c r="C1556" s="74" t="s">
        <v>1610</v>
      </c>
      <c r="D1556" s="74" t="s">
        <v>89</v>
      </c>
      <c r="E1556" s="74">
        <v>5</v>
      </c>
      <c r="F1556" s="74">
        <v>59</v>
      </c>
      <c r="G1556" s="758">
        <f t="shared" si="96"/>
        <v>2.69</v>
      </c>
      <c r="H1556" s="759">
        <f t="shared" si="97"/>
        <v>0.28000000000000003</v>
      </c>
      <c r="I1556" s="758">
        <f t="shared" si="98"/>
        <v>9.1100000000000012</v>
      </c>
      <c r="J1556" s="760">
        <f t="shared" si="99"/>
        <v>0.77203389830508473</v>
      </c>
    </row>
    <row r="1557" spans="1:10">
      <c r="A1557" s="74" t="s">
        <v>262</v>
      </c>
      <c r="B1557" s="74" t="s">
        <v>256</v>
      </c>
      <c r="C1557" s="74" t="s">
        <v>1546</v>
      </c>
      <c r="D1557" s="74" t="s">
        <v>89</v>
      </c>
      <c r="E1557" s="74">
        <v>1</v>
      </c>
      <c r="F1557" s="74">
        <v>11.9</v>
      </c>
      <c r="G1557" s="758">
        <f t="shared" si="96"/>
        <v>2.69</v>
      </c>
      <c r="H1557" s="759">
        <f t="shared" si="97"/>
        <v>0.28000000000000003</v>
      </c>
      <c r="I1557" s="758">
        <f t="shared" si="98"/>
        <v>9.2100000000000009</v>
      </c>
      <c r="J1557" s="760">
        <f t="shared" si="99"/>
        <v>0.7739495798319328</v>
      </c>
    </row>
    <row r="1558" spans="1:10">
      <c r="A1558" s="74" t="s">
        <v>262</v>
      </c>
      <c r="B1558" s="74" t="s">
        <v>256</v>
      </c>
      <c r="C1558" s="74" t="s">
        <v>1547</v>
      </c>
      <c r="D1558" s="74" t="s">
        <v>89</v>
      </c>
      <c r="E1558" s="74">
        <v>1</v>
      </c>
      <c r="F1558" s="74">
        <v>11.65</v>
      </c>
      <c r="G1558" s="758">
        <f t="shared" si="96"/>
        <v>2.69</v>
      </c>
      <c r="H1558" s="759">
        <f t="shared" si="97"/>
        <v>0.28000000000000003</v>
      </c>
      <c r="I1558" s="758">
        <f t="shared" si="98"/>
        <v>8.9600000000000009</v>
      </c>
      <c r="J1558" s="760">
        <f t="shared" si="99"/>
        <v>0.76909871244635197</v>
      </c>
    </row>
    <row r="1559" spans="1:10">
      <c r="A1559" s="74" t="s">
        <v>262</v>
      </c>
      <c r="B1559" s="74" t="s">
        <v>256</v>
      </c>
      <c r="C1559" s="74" t="s">
        <v>1582</v>
      </c>
      <c r="D1559" s="74" t="s">
        <v>89</v>
      </c>
      <c r="E1559" s="74">
        <v>2</v>
      </c>
      <c r="F1559" s="74">
        <v>23.55</v>
      </c>
      <c r="G1559" s="758">
        <f t="shared" si="96"/>
        <v>2.69</v>
      </c>
      <c r="H1559" s="759">
        <f t="shared" si="97"/>
        <v>0.28000000000000003</v>
      </c>
      <c r="I1559" s="758">
        <f t="shared" si="98"/>
        <v>9.0850000000000009</v>
      </c>
      <c r="J1559" s="760">
        <f t="shared" si="99"/>
        <v>0.77154989384288752</v>
      </c>
    </row>
    <row r="1560" spans="1:10">
      <c r="A1560" s="74" t="s">
        <v>262</v>
      </c>
      <c r="B1560" s="74" t="s">
        <v>256</v>
      </c>
      <c r="C1560" s="74" t="s">
        <v>1522</v>
      </c>
      <c r="D1560" s="74" t="s">
        <v>91</v>
      </c>
      <c r="E1560" s="74">
        <v>1</v>
      </c>
      <c r="F1560" s="74">
        <v>11.65</v>
      </c>
      <c r="G1560" s="758">
        <f t="shared" si="96"/>
        <v>2.69</v>
      </c>
      <c r="H1560" s="759">
        <f t="shared" si="97"/>
        <v>0.28000000000000003</v>
      </c>
      <c r="I1560" s="758">
        <f t="shared" si="98"/>
        <v>8.9600000000000009</v>
      </c>
      <c r="J1560" s="760">
        <f t="shared" si="99"/>
        <v>0.76909871244635197</v>
      </c>
    </row>
    <row r="1561" spans="1:10">
      <c r="A1561" s="74" t="s">
        <v>262</v>
      </c>
      <c r="B1561" s="74" t="s">
        <v>256</v>
      </c>
      <c r="C1561" s="74" t="s">
        <v>1550</v>
      </c>
      <c r="D1561" s="74" t="s">
        <v>91</v>
      </c>
      <c r="E1561" s="74">
        <v>1</v>
      </c>
      <c r="F1561" s="74">
        <v>11.65</v>
      </c>
      <c r="G1561" s="758">
        <f t="shared" si="96"/>
        <v>2.69</v>
      </c>
      <c r="H1561" s="759">
        <f t="shared" si="97"/>
        <v>0.28000000000000003</v>
      </c>
      <c r="I1561" s="758">
        <f t="shared" si="98"/>
        <v>8.9600000000000009</v>
      </c>
      <c r="J1561" s="760">
        <f t="shared" si="99"/>
        <v>0.76909871244635197</v>
      </c>
    </row>
    <row r="1562" spans="1:10">
      <c r="A1562" s="74" t="s">
        <v>262</v>
      </c>
      <c r="B1562" s="74" t="s">
        <v>256</v>
      </c>
      <c r="C1562" s="74" t="s">
        <v>1675</v>
      </c>
      <c r="D1562" s="74" t="s">
        <v>91</v>
      </c>
      <c r="E1562" s="74">
        <v>2</v>
      </c>
      <c r="F1562" s="74">
        <v>23.55</v>
      </c>
      <c r="G1562" s="758">
        <f t="shared" si="96"/>
        <v>2.69</v>
      </c>
      <c r="H1562" s="759">
        <f t="shared" si="97"/>
        <v>0.28000000000000003</v>
      </c>
      <c r="I1562" s="758">
        <f t="shared" si="98"/>
        <v>9.0850000000000009</v>
      </c>
      <c r="J1562" s="760">
        <f t="shared" si="99"/>
        <v>0.77154989384288752</v>
      </c>
    </row>
    <row r="1563" spans="1:10">
      <c r="A1563" s="74" t="s">
        <v>262</v>
      </c>
      <c r="B1563" s="74" t="s">
        <v>256</v>
      </c>
      <c r="C1563" s="74" t="s">
        <v>1524</v>
      </c>
      <c r="D1563" s="74" t="s">
        <v>91</v>
      </c>
      <c r="E1563" s="74">
        <v>1</v>
      </c>
      <c r="F1563" s="74">
        <v>11.9</v>
      </c>
      <c r="G1563" s="758">
        <f t="shared" si="96"/>
        <v>2.69</v>
      </c>
      <c r="H1563" s="759">
        <f t="shared" si="97"/>
        <v>0.28000000000000003</v>
      </c>
      <c r="I1563" s="758">
        <f t="shared" si="98"/>
        <v>9.2100000000000009</v>
      </c>
      <c r="J1563" s="760">
        <f t="shared" si="99"/>
        <v>0.7739495798319328</v>
      </c>
    </row>
    <row r="1564" spans="1:10">
      <c r="A1564" s="74" t="s">
        <v>262</v>
      </c>
      <c r="B1564" s="74" t="s">
        <v>256</v>
      </c>
      <c r="C1564" s="74" t="s">
        <v>1584</v>
      </c>
      <c r="D1564" s="74" t="s">
        <v>92</v>
      </c>
      <c r="E1564" s="74">
        <v>2</v>
      </c>
      <c r="F1564" s="74">
        <v>23.55</v>
      </c>
      <c r="G1564" s="758">
        <f t="shared" si="96"/>
        <v>2.69</v>
      </c>
      <c r="H1564" s="759">
        <f t="shared" si="97"/>
        <v>0.28000000000000003</v>
      </c>
      <c r="I1564" s="758">
        <f t="shared" si="98"/>
        <v>9.0850000000000009</v>
      </c>
      <c r="J1564" s="760">
        <f t="shared" si="99"/>
        <v>0.77154989384288752</v>
      </c>
    </row>
    <row r="1565" spans="1:10">
      <c r="A1565" s="74" t="s">
        <v>262</v>
      </c>
      <c r="B1565" s="74" t="s">
        <v>256</v>
      </c>
      <c r="C1565" s="74" t="s">
        <v>1614</v>
      </c>
      <c r="D1565" s="74" t="s">
        <v>92</v>
      </c>
      <c r="E1565" s="74">
        <v>2</v>
      </c>
      <c r="F1565" s="74">
        <v>12.65</v>
      </c>
      <c r="G1565" s="758">
        <f t="shared" si="96"/>
        <v>2.69</v>
      </c>
      <c r="H1565" s="759">
        <f t="shared" si="97"/>
        <v>0.28000000000000003</v>
      </c>
      <c r="I1565" s="758">
        <f t="shared" si="98"/>
        <v>3.6350000000000002</v>
      </c>
      <c r="J1565" s="760">
        <f t="shared" si="99"/>
        <v>0.57470355731225298</v>
      </c>
    </row>
    <row r="1566" spans="1:10">
      <c r="A1566" s="74" t="s">
        <v>262</v>
      </c>
      <c r="B1566" s="74" t="s">
        <v>256</v>
      </c>
      <c r="C1566" s="74" t="s">
        <v>1617</v>
      </c>
      <c r="D1566" s="74" t="s">
        <v>94</v>
      </c>
      <c r="E1566" s="74">
        <v>1</v>
      </c>
      <c r="F1566" s="74">
        <v>11.9</v>
      </c>
      <c r="G1566" s="758">
        <f t="shared" si="96"/>
        <v>2.69</v>
      </c>
      <c r="H1566" s="759">
        <f t="shared" si="97"/>
        <v>0.28000000000000003</v>
      </c>
      <c r="I1566" s="758">
        <f t="shared" si="98"/>
        <v>9.2100000000000009</v>
      </c>
      <c r="J1566" s="760">
        <f t="shared" si="99"/>
        <v>0.7739495798319328</v>
      </c>
    </row>
    <row r="1567" spans="1:10">
      <c r="A1567" s="74" t="s">
        <v>262</v>
      </c>
      <c r="B1567" s="74" t="s">
        <v>256</v>
      </c>
      <c r="C1567" s="74" t="s">
        <v>1557</v>
      </c>
      <c r="D1567" s="74" t="s">
        <v>95</v>
      </c>
      <c r="E1567" s="74">
        <v>2</v>
      </c>
      <c r="F1567" s="74">
        <v>23.8</v>
      </c>
      <c r="G1567" s="758">
        <f t="shared" si="96"/>
        <v>2.69</v>
      </c>
      <c r="H1567" s="759">
        <f t="shared" si="97"/>
        <v>0.28000000000000003</v>
      </c>
      <c r="I1567" s="758">
        <f t="shared" si="98"/>
        <v>9.2100000000000009</v>
      </c>
      <c r="J1567" s="760">
        <f t="shared" si="99"/>
        <v>0.7739495798319328</v>
      </c>
    </row>
    <row r="1568" spans="1:10">
      <c r="A1568" s="74" t="s">
        <v>262</v>
      </c>
      <c r="B1568" s="74" t="s">
        <v>256</v>
      </c>
      <c r="C1568" s="74" t="s">
        <v>1930</v>
      </c>
      <c r="D1568" s="74" t="s">
        <v>95</v>
      </c>
      <c r="E1568" s="74">
        <v>1</v>
      </c>
      <c r="F1568" s="74">
        <v>0</v>
      </c>
      <c r="G1568" s="758">
        <f t="shared" si="96"/>
        <v>2.69</v>
      </c>
      <c r="H1568" s="759">
        <f t="shared" si="97"/>
        <v>0.28000000000000003</v>
      </c>
      <c r="I1568" s="758">
        <f t="shared" si="98"/>
        <v>-2.69</v>
      </c>
      <c r="J1568" s="760">
        <f t="shared" si="99"/>
        <v>0</v>
      </c>
    </row>
    <row r="1569" spans="1:10">
      <c r="A1569" s="74" t="s">
        <v>1673</v>
      </c>
      <c r="B1569" s="74" t="s">
        <v>256</v>
      </c>
      <c r="C1569" s="74" t="s">
        <v>1527</v>
      </c>
      <c r="D1569" s="74" t="s">
        <v>82</v>
      </c>
      <c r="E1569" s="74">
        <v>1</v>
      </c>
      <c r="F1569" s="74">
        <v>0</v>
      </c>
      <c r="G1569" s="758">
        <f t="shared" si="96"/>
        <v>2.89</v>
      </c>
      <c r="H1569" s="759">
        <f t="shared" si="97"/>
        <v>0</v>
      </c>
      <c r="I1569" s="758">
        <f t="shared" si="98"/>
        <v>-2.89</v>
      </c>
      <c r="J1569" s="760">
        <f t="shared" si="99"/>
        <v>0</v>
      </c>
    </row>
    <row r="1570" spans="1:10">
      <c r="A1570" s="74" t="s">
        <v>1674</v>
      </c>
      <c r="B1570" s="74" t="s">
        <v>877</v>
      </c>
      <c r="C1570" s="74" t="s">
        <v>1561</v>
      </c>
      <c r="D1570" s="74" t="s">
        <v>87</v>
      </c>
      <c r="E1570" s="74">
        <v>7</v>
      </c>
      <c r="F1570" s="74">
        <v>14</v>
      </c>
      <c r="G1570" s="758">
        <f t="shared" si="96"/>
        <v>0</v>
      </c>
      <c r="H1570" s="759">
        <f t="shared" si="97"/>
        <v>0</v>
      </c>
      <c r="I1570" s="758">
        <f t="shared" si="98"/>
        <v>2</v>
      </c>
      <c r="J1570" s="760">
        <f t="shared" si="99"/>
        <v>1</v>
      </c>
    </row>
    <row r="1571" spans="1:10">
      <c r="A1571" s="74" t="s">
        <v>1676</v>
      </c>
      <c r="B1571" s="74" t="s">
        <v>877</v>
      </c>
      <c r="C1571" s="74" t="s">
        <v>1675</v>
      </c>
      <c r="D1571" s="74" t="s">
        <v>91</v>
      </c>
      <c r="E1571" s="74">
        <v>3</v>
      </c>
      <c r="F1571" s="74">
        <v>6</v>
      </c>
      <c r="G1571" s="758">
        <f t="shared" si="96"/>
        <v>0</v>
      </c>
      <c r="H1571" s="759">
        <f t="shared" si="97"/>
        <v>0</v>
      </c>
      <c r="I1571" s="758">
        <f t="shared" si="98"/>
        <v>2</v>
      </c>
      <c r="J1571" s="760">
        <f t="shared" si="99"/>
        <v>1</v>
      </c>
    </row>
    <row r="1572" spans="1:10">
      <c r="A1572" s="74" t="s">
        <v>1182</v>
      </c>
      <c r="B1572" s="74" t="s">
        <v>877</v>
      </c>
      <c r="C1572" s="74" t="s">
        <v>1675</v>
      </c>
      <c r="D1572" s="74" t="s">
        <v>91</v>
      </c>
      <c r="E1572" s="74">
        <v>3</v>
      </c>
      <c r="F1572" s="74">
        <v>6</v>
      </c>
      <c r="G1572" s="758">
        <f t="shared" si="96"/>
        <v>0</v>
      </c>
      <c r="H1572" s="759">
        <f t="shared" si="97"/>
        <v>0</v>
      </c>
      <c r="I1572" s="758">
        <f t="shared" si="98"/>
        <v>2</v>
      </c>
      <c r="J1572" s="760">
        <f t="shared" si="99"/>
        <v>1</v>
      </c>
    </row>
    <row r="1573" spans="1:10">
      <c r="A1573" s="74" t="s">
        <v>1677</v>
      </c>
      <c r="B1573" s="74" t="s">
        <v>877</v>
      </c>
      <c r="C1573" s="74" t="s">
        <v>1512</v>
      </c>
      <c r="D1573" s="74" t="s">
        <v>80</v>
      </c>
      <c r="E1573" s="74">
        <v>14</v>
      </c>
      <c r="F1573" s="74">
        <v>0</v>
      </c>
      <c r="G1573" s="758">
        <f t="shared" si="96"/>
        <v>2.33</v>
      </c>
      <c r="H1573" s="759">
        <f t="shared" si="97"/>
        <v>0</v>
      </c>
      <c r="I1573" s="758">
        <f t="shared" si="98"/>
        <v>-2.33</v>
      </c>
      <c r="J1573" s="760">
        <f t="shared" si="99"/>
        <v>0</v>
      </c>
    </row>
    <row r="1574" spans="1:10">
      <c r="A1574" s="74" t="s">
        <v>1677</v>
      </c>
      <c r="B1574" s="74" t="s">
        <v>877</v>
      </c>
      <c r="C1574" s="74" t="s">
        <v>1514</v>
      </c>
      <c r="D1574" s="74" t="s">
        <v>81</v>
      </c>
      <c r="E1574" s="74">
        <v>10</v>
      </c>
      <c r="F1574" s="74">
        <v>0</v>
      </c>
      <c r="G1574" s="758">
        <f t="shared" si="96"/>
        <v>2.33</v>
      </c>
      <c r="H1574" s="759">
        <f t="shared" si="97"/>
        <v>0</v>
      </c>
      <c r="I1574" s="758">
        <f t="shared" si="98"/>
        <v>-2.33</v>
      </c>
      <c r="J1574" s="760">
        <f t="shared" si="99"/>
        <v>0</v>
      </c>
    </row>
    <row r="1575" spans="1:10">
      <c r="A1575" s="74" t="s">
        <v>1677</v>
      </c>
      <c r="B1575" s="74" t="s">
        <v>877</v>
      </c>
      <c r="C1575" s="74" t="s">
        <v>1610</v>
      </c>
      <c r="D1575" s="74" t="s">
        <v>89</v>
      </c>
      <c r="E1575" s="74">
        <v>8</v>
      </c>
      <c r="F1575" s="74">
        <v>16</v>
      </c>
      <c r="G1575" s="758">
        <f t="shared" si="96"/>
        <v>2.33</v>
      </c>
      <c r="H1575" s="759">
        <f t="shared" si="97"/>
        <v>0</v>
      </c>
      <c r="I1575" s="758">
        <f t="shared" si="98"/>
        <v>-0.33000000000000007</v>
      </c>
      <c r="J1575" s="760">
        <f t="shared" si="99"/>
        <v>-0.16500000000000004</v>
      </c>
    </row>
    <row r="1576" spans="1:10">
      <c r="A1576" s="74" t="s">
        <v>1678</v>
      </c>
      <c r="B1576" s="74" t="s">
        <v>877</v>
      </c>
      <c r="C1576" s="74" t="s">
        <v>1518</v>
      </c>
      <c r="D1576" s="74" t="s">
        <v>82</v>
      </c>
      <c r="E1576" s="74">
        <v>14</v>
      </c>
      <c r="F1576" s="74">
        <v>0</v>
      </c>
      <c r="G1576" s="758">
        <f t="shared" si="96"/>
        <v>2.33</v>
      </c>
      <c r="H1576" s="759">
        <f t="shared" si="97"/>
        <v>0</v>
      </c>
      <c r="I1576" s="758">
        <f t="shared" si="98"/>
        <v>-2.33</v>
      </c>
      <c r="J1576" s="760">
        <f t="shared" si="99"/>
        <v>0</v>
      </c>
    </row>
    <row r="1577" spans="1:10">
      <c r="A1577" s="74" t="s">
        <v>1679</v>
      </c>
      <c r="B1577" s="74" t="s">
        <v>877</v>
      </c>
      <c r="C1577" s="74" t="s">
        <v>1514</v>
      </c>
      <c r="D1577" s="74" t="s">
        <v>81</v>
      </c>
      <c r="E1577" s="74">
        <v>4</v>
      </c>
      <c r="F1577" s="74">
        <v>0</v>
      </c>
      <c r="G1577" s="758">
        <f t="shared" si="96"/>
        <v>2.33</v>
      </c>
      <c r="H1577" s="759">
        <f t="shared" si="97"/>
        <v>0</v>
      </c>
      <c r="I1577" s="758">
        <f t="shared" si="98"/>
        <v>-2.33</v>
      </c>
      <c r="J1577" s="760">
        <f t="shared" si="99"/>
        <v>0</v>
      </c>
    </row>
    <row r="1578" spans="1:10">
      <c r="A1578" s="74" t="s">
        <v>920</v>
      </c>
      <c r="B1578" s="74" t="s">
        <v>877</v>
      </c>
      <c r="C1578" s="74" t="s">
        <v>1520</v>
      </c>
      <c r="D1578" s="74" t="s">
        <v>84</v>
      </c>
      <c r="E1578" s="74">
        <v>8</v>
      </c>
      <c r="F1578" s="74">
        <v>0</v>
      </c>
      <c r="G1578" s="758">
        <f t="shared" si="96"/>
        <v>0</v>
      </c>
      <c r="H1578" s="759">
        <f t="shared" si="97"/>
        <v>0</v>
      </c>
      <c r="I1578" s="758">
        <f t="shared" si="98"/>
        <v>0</v>
      </c>
      <c r="J1578" s="760">
        <f t="shared" si="99"/>
        <v>0</v>
      </c>
    </row>
    <row r="1579" spans="1:10">
      <c r="A1579" s="74" t="s">
        <v>920</v>
      </c>
      <c r="B1579" s="74" t="s">
        <v>877</v>
      </c>
      <c r="C1579" s="74" t="s">
        <v>1578</v>
      </c>
      <c r="D1579" s="74" t="s">
        <v>86</v>
      </c>
      <c r="E1579" s="74">
        <v>22</v>
      </c>
      <c r="F1579" s="74">
        <v>34.799999999999997</v>
      </c>
      <c r="G1579" s="758">
        <f t="shared" si="96"/>
        <v>0</v>
      </c>
      <c r="H1579" s="759">
        <f t="shared" si="97"/>
        <v>0</v>
      </c>
      <c r="I1579" s="758">
        <f t="shared" si="98"/>
        <v>1.5818181818181818</v>
      </c>
      <c r="J1579" s="760">
        <f t="shared" si="99"/>
        <v>1</v>
      </c>
    </row>
    <row r="1580" spans="1:10">
      <c r="A1580" s="74" t="s">
        <v>920</v>
      </c>
      <c r="B1580" s="74" t="s">
        <v>877</v>
      </c>
      <c r="C1580" s="74" t="s">
        <v>1541</v>
      </c>
      <c r="D1580" s="74" t="s">
        <v>86</v>
      </c>
      <c r="E1580" s="74">
        <v>3</v>
      </c>
      <c r="F1580" s="74">
        <v>6</v>
      </c>
      <c r="G1580" s="758">
        <f t="shared" si="96"/>
        <v>0</v>
      </c>
      <c r="H1580" s="759">
        <f t="shared" si="97"/>
        <v>0</v>
      </c>
      <c r="I1580" s="758">
        <f t="shared" si="98"/>
        <v>2</v>
      </c>
      <c r="J1580" s="760">
        <f t="shared" si="99"/>
        <v>1</v>
      </c>
    </row>
    <row r="1581" spans="1:10">
      <c r="A1581" s="74" t="s">
        <v>920</v>
      </c>
      <c r="B1581" s="74" t="s">
        <v>877</v>
      </c>
      <c r="C1581" s="74" t="s">
        <v>1543</v>
      </c>
      <c r="D1581" s="74" t="s">
        <v>87</v>
      </c>
      <c r="E1581" s="74">
        <v>9</v>
      </c>
      <c r="F1581" s="74">
        <v>18</v>
      </c>
      <c r="G1581" s="758">
        <f t="shared" si="96"/>
        <v>0</v>
      </c>
      <c r="H1581" s="759">
        <f t="shared" si="97"/>
        <v>0</v>
      </c>
      <c r="I1581" s="758">
        <f t="shared" si="98"/>
        <v>2</v>
      </c>
      <c r="J1581" s="760">
        <f t="shared" si="99"/>
        <v>1</v>
      </c>
    </row>
    <row r="1582" spans="1:10">
      <c r="A1582" s="74" t="s">
        <v>920</v>
      </c>
      <c r="B1582" s="74" t="s">
        <v>877</v>
      </c>
      <c r="C1582" s="74" t="s">
        <v>1631</v>
      </c>
      <c r="D1582" s="74" t="s">
        <v>92</v>
      </c>
      <c r="E1582" s="74">
        <v>2</v>
      </c>
      <c r="F1582" s="74">
        <v>6</v>
      </c>
      <c r="G1582" s="758">
        <f t="shared" si="96"/>
        <v>0</v>
      </c>
      <c r="H1582" s="759">
        <f t="shared" si="97"/>
        <v>0</v>
      </c>
      <c r="I1582" s="758">
        <f t="shared" si="98"/>
        <v>3</v>
      </c>
      <c r="J1582" s="760">
        <f t="shared" si="99"/>
        <v>1</v>
      </c>
    </row>
    <row r="1583" spans="1:10">
      <c r="A1583" s="74" t="s">
        <v>920</v>
      </c>
      <c r="B1583" s="74" t="s">
        <v>877</v>
      </c>
      <c r="C1583" s="74" t="s">
        <v>1617</v>
      </c>
      <c r="D1583" s="74" t="s">
        <v>94</v>
      </c>
      <c r="E1583" s="74">
        <v>9</v>
      </c>
      <c r="F1583" s="74">
        <v>35.9</v>
      </c>
      <c r="G1583" s="758">
        <f t="shared" si="96"/>
        <v>0</v>
      </c>
      <c r="H1583" s="759">
        <f t="shared" si="97"/>
        <v>0</v>
      </c>
      <c r="I1583" s="758">
        <f t="shared" si="98"/>
        <v>3.9888888888888889</v>
      </c>
      <c r="J1583" s="760">
        <f t="shared" si="99"/>
        <v>1</v>
      </c>
    </row>
    <row r="1584" spans="1:10">
      <c r="A1584" s="74" t="s">
        <v>920</v>
      </c>
      <c r="B1584" s="74" t="s">
        <v>877</v>
      </c>
      <c r="C1584" s="74" t="s">
        <v>1555</v>
      </c>
      <c r="D1584" s="74" t="s">
        <v>94</v>
      </c>
      <c r="E1584" s="74">
        <v>4</v>
      </c>
      <c r="F1584" s="74">
        <v>12</v>
      </c>
      <c r="G1584" s="758">
        <f t="shared" si="96"/>
        <v>0</v>
      </c>
      <c r="H1584" s="759">
        <f t="shared" si="97"/>
        <v>0</v>
      </c>
      <c r="I1584" s="758">
        <f t="shared" si="98"/>
        <v>3</v>
      </c>
      <c r="J1584" s="760">
        <f t="shared" si="99"/>
        <v>1</v>
      </c>
    </row>
    <row r="1585" spans="1:10">
      <c r="A1585" s="74" t="s">
        <v>920</v>
      </c>
      <c r="B1585" s="74" t="s">
        <v>877</v>
      </c>
      <c r="C1585" s="74" t="s">
        <v>1557</v>
      </c>
      <c r="D1585" s="74" t="s">
        <v>95</v>
      </c>
      <c r="E1585" s="74">
        <v>2</v>
      </c>
      <c r="F1585" s="74">
        <v>14.65</v>
      </c>
      <c r="G1585" s="758">
        <f t="shared" si="96"/>
        <v>0</v>
      </c>
      <c r="H1585" s="759">
        <f t="shared" si="97"/>
        <v>0</v>
      </c>
      <c r="I1585" s="758">
        <f t="shared" si="98"/>
        <v>7.3250000000000002</v>
      </c>
      <c r="J1585" s="760">
        <f t="shared" si="99"/>
        <v>1</v>
      </c>
    </row>
    <row r="1586" spans="1:10">
      <c r="A1586" s="74" t="s">
        <v>920</v>
      </c>
      <c r="B1586" s="74" t="s">
        <v>877</v>
      </c>
      <c r="C1586" s="74" t="s">
        <v>1526</v>
      </c>
      <c r="D1586" s="74" t="s">
        <v>95</v>
      </c>
      <c r="E1586" s="74">
        <v>4</v>
      </c>
      <c r="F1586" s="74">
        <v>9</v>
      </c>
      <c r="G1586" s="758">
        <f t="shared" si="96"/>
        <v>0</v>
      </c>
      <c r="H1586" s="759">
        <f t="shared" si="97"/>
        <v>0</v>
      </c>
      <c r="I1586" s="758">
        <f t="shared" si="98"/>
        <v>2.25</v>
      </c>
      <c r="J1586" s="760">
        <f t="shared" si="99"/>
        <v>1</v>
      </c>
    </row>
    <row r="1587" spans="1:10">
      <c r="A1587" s="74" t="s">
        <v>1680</v>
      </c>
      <c r="B1587" s="74" t="s">
        <v>256</v>
      </c>
      <c r="C1587" s="74" t="s">
        <v>1582</v>
      </c>
      <c r="D1587" s="74" t="s">
        <v>89</v>
      </c>
      <c r="E1587" s="74">
        <v>2</v>
      </c>
      <c r="F1587" s="74">
        <v>17.8</v>
      </c>
      <c r="G1587" s="758">
        <f t="shared" si="96"/>
        <v>0</v>
      </c>
      <c r="H1587" s="759">
        <f t="shared" si="97"/>
        <v>0</v>
      </c>
      <c r="I1587" s="758">
        <f t="shared" si="98"/>
        <v>8.9</v>
      </c>
      <c r="J1587" s="760">
        <f t="shared" si="99"/>
        <v>1</v>
      </c>
    </row>
    <row r="1588" spans="1:10">
      <c r="A1588" s="74" t="s">
        <v>1680</v>
      </c>
      <c r="B1588" s="74" t="s">
        <v>256</v>
      </c>
      <c r="C1588" s="74" t="s">
        <v>1524</v>
      </c>
      <c r="D1588" s="74" t="s">
        <v>91</v>
      </c>
      <c r="E1588" s="74">
        <v>3</v>
      </c>
      <c r="F1588" s="74">
        <v>26.95</v>
      </c>
      <c r="G1588" s="758">
        <f t="shared" si="96"/>
        <v>0</v>
      </c>
      <c r="H1588" s="759">
        <f t="shared" si="97"/>
        <v>0</v>
      </c>
      <c r="I1588" s="758">
        <f t="shared" si="98"/>
        <v>8.9833333333333325</v>
      </c>
      <c r="J1588" s="760">
        <f t="shared" si="99"/>
        <v>1</v>
      </c>
    </row>
    <row r="1589" spans="1:10">
      <c r="A1589" s="74" t="s">
        <v>1680</v>
      </c>
      <c r="B1589" s="74" t="s">
        <v>256</v>
      </c>
      <c r="C1589" s="74" t="s">
        <v>1553</v>
      </c>
      <c r="D1589" s="74" t="s">
        <v>94</v>
      </c>
      <c r="E1589" s="74">
        <v>1</v>
      </c>
      <c r="F1589" s="74">
        <v>8.9</v>
      </c>
      <c r="G1589" s="758">
        <f t="shared" si="96"/>
        <v>0</v>
      </c>
      <c r="H1589" s="759">
        <f t="shared" si="97"/>
        <v>0</v>
      </c>
      <c r="I1589" s="758">
        <f t="shared" si="98"/>
        <v>8.9</v>
      </c>
      <c r="J1589" s="760">
        <f t="shared" si="99"/>
        <v>1</v>
      </c>
    </row>
    <row r="1590" spans="1:10">
      <c r="A1590" s="74" t="s">
        <v>829</v>
      </c>
      <c r="B1590" s="74" t="s">
        <v>820</v>
      </c>
      <c r="C1590" s="74" t="s">
        <v>1528</v>
      </c>
      <c r="D1590" s="74" t="s">
        <v>78</v>
      </c>
      <c r="E1590" s="74">
        <v>2</v>
      </c>
      <c r="F1590" s="74">
        <v>17.2</v>
      </c>
      <c r="G1590" s="758">
        <f t="shared" si="96"/>
        <v>1.9</v>
      </c>
      <c r="H1590" s="759">
        <f t="shared" si="97"/>
        <v>0.33</v>
      </c>
      <c r="I1590" s="758">
        <f t="shared" si="98"/>
        <v>6.6999999999999993</v>
      </c>
      <c r="J1590" s="760">
        <f t="shared" si="99"/>
        <v>0.77906976744186052</v>
      </c>
    </row>
    <row r="1591" spans="1:10">
      <c r="A1591" s="74" t="s">
        <v>829</v>
      </c>
      <c r="B1591" s="74" t="s">
        <v>820</v>
      </c>
      <c r="C1591" s="74" t="s">
        <v>1508</v>
      </c>
      <c r="D1591" s="74" t="s">
        <v>78</v>
      </c>
      <c r="E1591" s="74">
        <v>1</v>
      </c>
      <c r="F1591" s="74">
        <v>9.6999999999999993</v>
      </c>
      <c r="G1591" s="758">
        <f t="shared" si="96"/>
        <v>1.9</v>
      </c>
      <c r="H1591" s="759">
        <f t="shared" si="97"/>
        <v>0.33</v>
      </c>
      <c r="I1591" s="758">
        <f t="shared" si="98"/>
        <v>7.7999999999999989</v>
      </c>
      <c r="J1591" s="760">
        <f t="shared" si="99"/>
        <v>0.80412371134020622</v>
      </c>
    </row>
    <row r="1592" spans="1:10">
      <c r="A1592" s="74" t="s">
        <v>829</v>
      </c>
      <c r="B1592" s="74" t="s">
        <v>820</v>
      </c>
      <c r="C1592" s="74" t="s">
        <v>1565</v>
      </c>
      <c r="D1592" s="74" t="s">
        <v>78</v>
      </c>
      <c r="E1592" s="74">
        <v>1</v>
      </c>
      <c r="F1592" s="74">
        <v>8.6999999999999993</v>
      </c>
      <c r="G1592" s="758">
        <f t="shared" si="96"/>
        <v>1.9</v>
      </c>
      <c r="H1592" s="759">
        <f t="shared" si="97"/>
        <v>0.33</v>
      </c>
      <c r="I1592" s="758">
        <f t="shared" si="98"/>
        <v>6.7999999999999989</v>
      </c>
      <c r="J1592" s="760">
        <f t="shared" si="99"/>
        <v>0.78160919540229878</v>
      </c>
    </row>
    <row r="1593" spans="1:10">
      <c r="A1593" s="74" t="s">
        <v>829</v>
      </c>
      <c r="B1593" s="74" t="s">
        <v>820</v>
      </c>
      <c r="C1593" s="74" t="s">
        <v>1511</v>
      </c>
      <c r="D1593" s="74" t="s">
        <v>80</v>
      </c>
      <c r="E1593" s="74">
        <v>3</v>
      </c>
      <c r="F1593" s="74">
        <v>26.1</v>
      </c>
      <c r="G1593" s="758">
        <f t="shared" si="96"/>
        <v>1.9</v>
      </c>
      <c r="H1593" s="759">
        <f t="shared" si="97"/>
        <v>0.33</v>
      </c>
      <c r="I1593" s="758">
        <f t="shared" si="98"/>
        <v>6.8000000000000007</v>
      </c>
      <c r="J1593" s="760">
        <f t="shared" si="99"/>
        <v>0.7816091954022989</v>
      </c>
    </row>
    <row r="1594" spans="1:10">
      <c r="A1594" s="74" t="s">
        <v>829</v>
      </c>
      <c r="B1594" s="74" t="s">
        <v>820</v>
      </c>
      <c r="C1594" s="74" t="s">
        <v>1512</v>
      </c>
      <c r="D1594" s="74" t="s">
        <v>80</v>
      </c>
      <c r="E1594" s="74">
        <v>5</v>
      </c>
      <c r="F1594" s="74">
        <v>43.5</v>
      </c>
      <c r="G1594" s="758">
        <f t="shared" si="96"/>
        <v>1.9</v>
      </c>
      <c r="H1594" s="759">
        <f t="shared" si="97"/>
        <v>0.33</v>
      </c>
      <c r="I1594" s="758">
        <f t="shared" si="98"/>
        <v>6.7999999999999989</v>
      </c>
      <c r="J1594" s="760">
        <f t="shared" si="99"/>
        <v>0.78160919540229878</v>
      </c>
    </row>
    <row r="1595" spans="1:10">
      <c r="A1595" s="74" t="s">
        <v>829</v>
      </c>
      <c r="B1595" s="74" t="s">
        <v>820</v>
      </c>
      <c r="C1595" s="74" t="s">
        <v>1534</v>
      </c>
      <c r="D1595" s="74" t="s">
        <v>81</v>
      </c>
      <c r="E1595" s="74">
        <v>1</v>
      </c>
      <c r="F1595" s="74">
        <v>8.6999999999999993</v>
      </c>
      <c r="G1595" s="758">
        <f t="shared" si="96"/>
        <v>1.9</v>
      </c>
      <c r="H1595" s="759">
        <f t="shared" si="97"/>
        <v>0.33</v>
      </c>
      <c r="I1595" s="758">
        <f t="shared" si="98"/>
        <v>6.7999999999999989</v>
      </c>
      <c r="J1595" s="760">
        <f t="shared" si="99"/>
        <v>0.78160919540229878</v>
      </c>
    </row>
    <row r="1596" spans="1:10">
      <c r="A1596" s="74" t="s">
        <v>829</v>
      </c>
      <c r="B1596" s="74" t="s">
        <v>820</v>
      </c>
      <c r="C1596" s="74" t="s">
        <v>1513</v>
      </c>
      <c r="D1596" s="74" t="s">
        <v>81</v>
      </c>
      <c r="E1596" s="74">
        <v>2</v>
      </c>
      <c r="F1596" s="74">
        <v>17.399999999999999</v>
      </c>
      <c r="G1596" s="758">
        <f t="shared" si="96"/>
        <v>1.9</v>
      </c>
      <c r="H1596" s="759">
        <f t="shared" si="97"/>
        <v>0.33</v>
      </c>
      <c r="I1596" s="758">
        <f t="shared" si="98"/>
        <v>6.7999999999999989</v>
      </c>
      <c r="J1596" s="760">
        <f t="shared" si="99"/>
        <v>0.78160919540229878</v>
      </c>
    </row>
    <row r="1597" spans="1:10">
      <c r="A1597" s="74" t="s">
        <v>829</v>
      </c>
      <c r="B1597" s="74" t="s">
        <v>820</v>
      </c>
      <c r="C1597" s="74" t="s">
        <v>1514</v>
      </c>
      <c r="D1597" s="74" t="s">
        <v>81</v>
      </c>
      <c r="E1597" s="74">
        <v>3</v>
      </c>
      <c r="F1597" s="74">
        <v>25.56</v>
      </c>
      <c r="G1597" s="758">
        <f t="shared" si="96"/>
        <v>1.9</v>
      </c>
      <c r="H1597" s="759">
        <f t="shared" si="97"/>
        <v>0.33</v>
      </c>
      <c r="I1597" s="758">
        <f t="shared" si="98"/>
        <v>6.6199999999999992</v>
      </c>
      <c r="J1597" s="760">
        <f t="shared" si="99"/>
        <v>0.77699530516431925</v>
      </c>
    </row>
    <row r="1598" spans="1:10">
      <c r="A1598" s="74" t="s">
        <v>829</v>
      </c>
      <c r="B1598" s="74" t="s">
        <v>820</v>
      </c>
      <c r="C1598" s="74" t="s">
        <v>1516</v>
      </c>
      <c r="D1598" s="74" t="s">
        <v>82</v>
      </c>
      <c r="E1598" s="74">
        <v>2</v>
      </c>
      <c r="F1598" s="74">
        <v>17.399999999999999</v>
      </c>
      <c r="G1598" s="758">
        <f t="shared" si="96"/>
        <v>1.9</v>
      </c>
      <c r="H1598" s="759">
        <f t="shared" si="97"/>
        <v>0.33</v>
      </c>
      <c r="I1598" s="758">
        <f t="shared" si="98"/>
        <v>6.7999999999999989</v>
      </c>
      <c r="J1598" s="760">
        <f t="shared" si="99"/>
        <v>0.78160919540229878</v>
      </c>
    </row>
    <row r="1599" spans="1:10">
      <c r="A1599" s="74" t="s">
        <v>829</v>
      </c>
      <c r="B1599" s="74" t="s">
        <v>820</v>
      </c>
      <c r="C1599" s="74" t="s">
        <v>1517</v>
      </c>
      <c r="D1599" s="74" t="s">
        <v>82</v>
      </c>
      <c r="E1599" s="74">
        <v>1</v>
      </c>
      <c r="F1599" s="74">
        <v>8.6999999999999993</v>
      </c>
      <c r="G1599" s="758">
        <f t="shared" si="96"/>
        <v>1.9</v>
      </c>
      <c r="H1599" s="759">
        <f t="shared" si="97"/>
        <v>0.33</v>
      </c>
      <c r="I1599" s="758">
        <f t="shared" si="98"/>
        <v>6.7999999999999989</v>
      </c>
      <c r="J1599" s="760">
        <f t="shared" si="99"/>
        <v>0.78160919540229878</v>
      </c>
    </row>
    <row r="1600" spans="1:10">
      <c r="A1600" s="74" t="s">
        <v>829</v>
      </c>
      <c r="B1600" s="74" t="s">
        <v>820</v>
      </c>
      <c r="C1600" s="74" t="s">
        <v>1518</v>
      </c>
      <c r="D1600" s="74" t="s">
        <v>82</v>
      </c>
      <c r="E1600" s="74">
        <v>1</v>
      </c>
      <c r="F1600" s="74">
        <v>8.6999999999999993</v>
      </c>
      <c r="G1600" s="758">
        <f t="shared" si="96"/>
        <v>1.9</v>
      </c>
      <c r="H1600" s="759">
        <f t="shared" si="97"/>
        <v>0.33</v>
      </c>
      <c r="I1600" s="758">
        <f t="shared" si="98"/>
        <v>6.7999999999999989</v>
      </c>
      <c r="J1600" s="760">
        <f t="shared" si="99"/>
        <v>0.78160919540229878</v>
      </c>
    </row>
    <row r="1601" spans="1:10">
      <c r="A1601" s="74" t="s">
        <v>829</v>
      </c>
      <c r="B1601" s="74" t="s">
        <v>820</v>
      </c>
      <c r="C1601" s="74" t="s">
        <v>1540</v>
      </c>
      <c r="D1601" s="74" t="s">
        <v>84</v>
      </c>
      <c r="E1601" s="74">
        <v>2</v>
      </c>
      <c r="F1601" s="74">
        <v>17.399999999999999</v>
      </c>
      <c r="G1601" s="758">
        <f t="shared" si="96"/>
        <v>1.9</v>
      </c>
      <c r="H1601" s="759">
        <f t="shared" si="97"/>
        <v>0.33</v>
      </c>
      <c r="I1601" s="758">
        <f t="shared" si="98"/>
        <v>6.7999999999999989</v>
      </c>
      <c r="J1601" s="760">
        <f t="shared" si="99"/>
        <v>0.78160919540229878</v>
      </c>
    </row>
    <row r="1602" spans="1:10">
      <c r="A1602" s="74" t="s">
        <v>829</v>
      </c>
      <c r="B1602" s="74" t="s">
        <v>820</v>
      </c>
      <c r="C1602" s="74" t="s">
        <v>1507</v>
      </c>
      <c r="D1602" s="74" t="s">
        <v>86</v>
      </c>
      <c r="E1602" s="74">
        <v>1</v>
      </c>
      <c r="F1602" s="74">
        <v>8.6999999999999993</v>
      </c>
      <c r="G1602" s="758">
        <f t="shared" ref="G1602:G1665" si="100">IFERROR(VLOOKUP(A1602,$M$1:$P$1014,2,FALSE),0)</f>
        <v>1.9</v>
      </c>
      <c r="H1602" s="759">
        <f t="shared" ref="H1602:H1665" si="101">IFERROR(VLOOKUP(A1602,$M$1:$P$1014,3,FALSE),0)</f>
        <v>0.33</v>
      </c>
      <c r="I1602" s="758">
        <f t="shared" ref="I1602:I1665" si="102">IFERROR(F1602/E1602-G1602,0)</f>
        <v>6.7999999999999989</v>
      </c>
      <c r="J1602" s="760">
        <f t="shared" ref="J1602:J1665" si="103">IFERROR(1-G1602*E1602/F1602,0)</f>
        <v>0.78160919540229878</v>
      </c>
    </row>
    <row r="1603" spans="1:10">
      <c r="A1603" s="74" t="s">
        <v>829</v>
      </c>
      <c r="B1603" s="74" t="s">
        <v>820</v>
      </c>
      <c r="C1603" s="74" t="s">
        <v>1544</v>
      </c>
      <c r="D1603" s="74" t="s">
        <v>87</v>
      </c>
      <c r="E1603" s="74">
        <v>1</v>
      </c>
      <c r="F1603" s="74">
        <v>8.6999999999999993</v>
      </c>
      <c r="G1603" s="758">
        <f t="shared" si="100"/>
        <v>1.9</v>
      </c>
      <c r="H1603" s="759">
        <f t="shared" si="101"/>
        <v>0.33</v>
      </c>
      <c r="I1603" s="758">
        <f t="shared" si="102"/>
        <v>6.7999999999999989</v>
      </c>
      <c r="J1603" s="760">
        <f t="shared" si="103"/>
        <v>0.78160919540229878</v>
      </c>
    </row>
    <row r="1604" spans="1:10">
      <c r="A1604" s="74" t="s">
        <v>829</v>
      </c>
      <c r="B1604" s="74" t="s">
        <v>820</v>
      </c>
      <c r="C1604" s="74" t="s">
        <v>1605</v>
      </c>
      <c r="D1604" s="74" t="s">
        <v>87</v>
      </c>
      <c r="E1604" s="74">
        <v>1</v>
      </c>
      <c r="F1604" s="74">
        <v>8.6999999999999993</v>
      </c>
      <c r="G1604" s="758">
        <f t="shared" si="100"/>
        <v>1.9</v>
      </c>
      <c r="H1604" s="759">
        <f t="shared" si="101"/>
        <v>0.33</v>
      </c>
      <c r="I1604" s="758">
        <f t="shared" si="102"/>
        <v>6.7999999999999989</v>
      </c>
      <c r="J1604" s="760">
        <f t="shared" si="103"/>
        <v>0.78160919540229878</v>
      </c>
    </row>
    <row r="1605" spans="1:10">
      <c r="A1605" s="74" t="s">
        <v>829</v>
      </c>
      <c r="B1605" s="74" t="s">
        <v>820</v>
      </c>
      <c r="C1605" s="74" t="s">
        <v>1582</v>
      </c>
      <c r="D1605" s="74" t="s">
        <v>89</v>
      </c>
      <c r="E1605" s="74">
        <v>1</v>
      </c>
      <c r="F1605" s="74">
        <v>8.6999999999999993</v>
      </c>
      <c r="G1605" s="758">
        <f t="shared" si="100"/>
        <v>1.9</v>
      </c>
      <c r="H1605" s="759">
        <f t="shared" si="101"/>
        <v>0.33</v>
      </c>
      <c r="I1605" s="758">
        <f t="shared" si="102"/>
        <v>6.7999999999999989</v>
      </c>
      <c r="J1605" s="760">
        <f t="shared" si="103"/>
        <v>0.78160919540229878</v>
      </c>
    </row>
    <row r="1606" spans="1:10">
      <c r="A1606" s="74" t="s">
        <v>829</v>
      </c>
      <c r="B1606" s="74" t="s">
        <v>820</v>
      </c>
      <c r="C1606" s="74" t="s">
        <v>1675</v>
      </c>
      <c r="D1606" s="74" t="s">
        <v>91</v>
      </c>
      <c r="E1606" s="74">
        <v>1</v>
      </c>
      <c r="F1606" s="74">
        <v>8.6999999999999993</v>
      </c>
      <c r="G1606" s="758">
        <f t="shared" si="100"/>
        <v>1.9</v>
      </c>
      <c r="H1606" s="759">
        <f t="shared" si="101"/>
        <v>0.33</v>
      </c>
      <c r="I1606" s="758">
        <f t="shared" si="102"/>
        <v>6.7999999999999989</v>
      </c>
      <c r="J1606" s="760">
        <f t="shared" si="103"/>
        <v>0.78160919540229878</v>
      </c>
    </row>
    <row r="1607" spans="1:10">
      <c r="A1607" s="74" t="s">
        <v>829</v>
      </c>
      <c r="B1607" s="74" t="s">
        <v>820</v>
      </c>
      <c r="C1607" s="74" t="s">
        <v>1614</v>
      </c>
      <c r="D1607" s="74" t="s">
        <v>92</v>
      </c>
      <c r="E1607" s="74">
        <v>1</v>
      </c>
      <c r="F1607" s="74">
        <v>8.6999999999999993</v>
      </c>
      <c r="G1607" s="758">
        <f t="shared" si="100"/>
        <v>1.9</v>
      </c>
      <c r="H1607" s="759">
        <f t="shared" si="101"/>
        <v>0.33</v>
      </c>
      <c r="I1607" s="758">
        <f t="shared" si="102"/>
        <v>6.7999999999999989</v>
      </c>
      <c r="J1607" s="760">
        <f t="shared" si="103"/>
        <v>0.78160919540229878</v>
      </c>
    </row>
    <row r="1608" spans="1:10">
      <c r="A1608" s="74" t="s">
        <v>829</v>
      </c>
      <c r="B1608" s="74" t="s">
        <v>820</v>
      </c>
      <c r="C1608" s="74" t="s">
        <v>1617</v>
      </c>
      <c r="D1608" s="74" t="s">
        <v>94</v>
      </c>
      <c r="E1608" s="74">
        <v>1</v>
      </c>
      <c r="F1608" s="74">
        <v>8.6999999999999993</v>
      </c>
      <c r="G1608" s="758">
        <f t="shared" si="100"/>
        <v>1.9</v>
      </c>
      <c r="H1608" s="759">
        <f t="shared" si="101"/>
        <v>0.33</v>
      </c>
      <c r="I1608" s="758">
        <f t="shared" si="102"/>
        <v>6.7999999999999989</v>
      </c>
      <c r="J1608" s="760">
        <f t="shared" si="103"/>
        <v>0.78160919540229878</v>
      </c>
    </row>
    <row r="1609" spans="1:10">
      <c r="A1609" s="74" t="s">
        <v>829</v>
      </c>
      <c r="B1609" s="74" t="s">
        <v>820</v>
      </c>
      <c r="C1609" s="74" t="s">
        <v>1553</v>
      </c>
      <c r="D1609" s="74" t="s">
        <v>94</v>
      </c>
      <c r="E1609" s="74">
        <v>1</v>
      </c>
      <c r="F1609" s="74">
        <v>8.6999999999999993</v>
      </c>
      <c r="G1609" s="758">
        <f t="shared" si="100"/>
        <v>1.9</v>
      </c>
      <c r="H1609" s="759">
        <f t="shared" si="101"/>
        <v>0.33</v>
      </c>
      <c r="I1609" s="758">
        <f t="shared" si="102"/>
        <v>6.7999999999999989</v>
      </c>
      <c r="J1609" s="760">
        <f t="shared" si="103"/>
        <v>0.78160919540229878</v>
      </c>
    </row>
    <row r="1610" spans="1:10">
      <c r="A1610" s="74" t="s">
        <v>829</v>
      </c>
      <c r="B1610" s="74" t="s">
        <v>820</v>
      </c>
      <c r="C1610" s="74" t="s">
        <v>1526</v>
      </c>
      <c r="D1610" s="74" t="s">
        <v>95</v>
      </c>
      <c r="E1610" s="74">
        <v>1</v>
      </c>
      <c r="F1610" s="74">
        <v>8.6999999999999993</v>
      </c>
      <c r="G1610" s="758">
        <f t="shared" si="100"/>
        <v>1.9</v>
      </c>
      <c r="H1610" s="759">
        <f t="shared" si="101"/>
        <v>0.33</v>
      </c>
      <c r="I1610" s="758">
        <f t="shared" si="102"/>
        <v>6.7999999999999989</v>
      </c>
      <c r="J1610" s="760">
        <f t="shared" si="103"/>
        <v>0.78160919540229878</v>
      </c>
    </row>
    <row r="1611" spans="1:10">
      <c r="A1611" s="74" t="s">
        <v>952</v>
      </c>
      <c r="B1611" s="74" t="s">
        <v>256</v>
      </c>
      <c r="C1611" s="74" t="s">
        <v>1528</v>
      </c>
      <c r="D1611" s="74" t="s">
        <v>78</v>
      </c>
      <c r="E1611" s="74">
        <v>2</v>
      </c>
      <c r="F1611" s="74">
        <v>14.5</v>
      </c>
      <c r="G1611" s="758">
        <f t="shared" si="100"/>
        <v>1.05</v>
      </c>
      <c r="H1611" s="759">
        <f t="shared" si="101"/>
        <v>0.38</v>
      </c>
      <c r="I1611" s="758">
        <f t="shared" si="102"/>
        <v>6.2</v>
      </c>
      <c r="J1611" s="760">
        <f t="shared" si="103"/>
        <v>0.85517241379310338</v>
      </c>
    </row>
    <row r="1612" spans="1:10">
      <c r="A1612" s="74" t="s">
        <v>952</v>
      </c>
      <c r="B1612" s="74" t="s">
        <v>256</v>
      </c>
      <c r="C1612" s="74" t="s">
        <v>1508</v>
      </c>
      <c r="D1612" s="74" t="s">
        <v>78</v>
      </c>
      <c r="E1612" s="74">
        <v>1</v>
      </c>
      <c r="F1612" s="74">
        <v>8.25</v>
      </c>
      <c r="G1612" s="758">
        <f t="shared" si="100"/>
        <v>1.05</v>
      </c>
      <c r="H1612" s="759">
        <f t="shared" si="101"/>
        <v>0.38</v>
      </c>
      <c r="I1612" s="758">
        <f t="shared" si="102"/>
        <v>7.2</v>
      </c>
      <c r="J1612" s="760">
        <f t="shared" si="103"/>
        <v>0.87272727272727268</v>
      </c>
    </row>
    <row r="1613" spans="1:10">
      <c r="A1613" s="74" t="s">
        <v>952</v>
      </c>
      <c r="B1613" s="74" t="s">
        <v>256</v>
      </c>
      <c r="C1613" s="74" t="s">
        <v>1509</v>
      </c>
      <c r="D1613" s="74" t="s">
        <v>78</v>
      </c>
      <c r="E1613" s="74">
        <v>5</v>
      </c>
      <c r="F1613" s="74">
        <v>36.25</v>
      </c>
      <c r="G1613" s="758">
        <f t="shared" si="100"/>
        <v>1.05</v>
      </c>
      <c r="H1613" s="759">
        <f t="shared" si="101"/>
        <v>0.38</v>
      </c>
      <c r="I1613" s="758">
        <f t="shared" si="102"/>
        <v>6.2</v>
      </c>
      <c r="J1613" s="760">
        <f t="shared" si="103"/>
        <v>0.85517241379310338</v>
      </c>
    </row>
    <row r="1614" spans="1:10">
      <c r="A1614" s="74" t="s">
        <v>952</v>
      </c>
      <c r="B1614" s="74" t="s">
        <v>256</v>
      </c>
      <c r="C1614" s="74" t="s">
        <v>1565</v>
      </c>
      <c r="D1614" s="74" t="s">
        <v>78</v>
      </c>
      <c r="E1614" s="74">
        <v>7</v>
      </c>
      <c r="F1614" s="74">
        <v>50.75</v>
      </c>
      <c r="G1614" s="758">
        <f t="shared" si="100"/>
        <v>1.05</v>
      </c>
      <c r="H1614" s="759">
        <f t="shared" si="101"/>
        <v>0.38</v>
      </c>
      <c r="I1614" s="758">
        <f t="shared" si="102"/>
        <v>6.2</v>
      </c>
      <c r="J1614" s="760">
        <f t="shared" si="103"/>
        <v>0.85517241379310338</v>
      </c>
    </row>
    <row r="1615" spans="1:10">
      <c r="A1615" s="74" t="s">
        <v>952</v>
      </c>
      <c r="B1615" s="74" t="s">
        <v>256</v>
      </c>
      <c r="C1615" s="74" t="s">
        <v>1530</v>
      </c>
      <c r="D1615" s="74" t="s">
        <v>80</v>
      </c>
      <c r="E1615" s="74">
        <v>2</v>
      </c>
      <c r="F1615" s="74">
        <v>3</v>
      </c>
      <c r="G1615" s="758">
        <f t="shared" si="100"/>
        <v>1.05</v>
      </c>
      <c r="H1615" s="759">
        <f t="shared" si="101"/>
        <v>0.38</v>
      </c>
      <c r="I1615" s="758">
        <f t="shared" si="102"/>
        <v>0.44999999999999996</v>
      </c>
      <c r="J1615" s="760">
        <f t="shared" si="103"/>
        <v>0.29999999999999993</v>
      </c>
    </row>
    <row r="1616" spans="1:10">
      <c r="A1616" s="74" t="s">
        <v>952</v>
      </c>
      <c r="B1616" s="74" t="s">
        <v>256</v>
      </c>
      <c r="C1616" s="74" t="s">
        <v>1532</v>
      </c>
      <c r="D1616" s="74" t="s">
        <v>80</v>
      </c>
      <c r="E1616" s="74">
        <v>3</v>
      </c>
      <c r="F1616" s="74">
        <v>9</v>
      </c>
      <c r="G1616" s="758">
        <f t="shared" si="100"/>
        <v>1.05</v>
      </c>
      <c r="H1616" s="759">
        <f t="shared" si="101"/>
        <v>0.38</v>
      </c>
      <c r="I1616" s="758">
        <f t="shared" si="102"/>
        <v>1.95</v>
      </c>
      <c r="J1616" s="760">
        <f t="shared" si="103"/>
        <v>0.64999999999999991</v>
      </c>
    </row>
    <row r="1617" spans="1:10">
      <c r="A1617" s="74" t="s">
        <v>952</v>
      </c>
      <c r="B1617" s="74" t="s">
        <v>256</v>
      </c>
      <c r="C1617" s="74" t="s">
        <v>1512</v>
      </c>
      <c r="D1617" s="74" t="s">
        <v>80</v>
      </c>
      <c r="E1617" s="74">
        <v>2</v>
      </c>
      <c r="F1617" s="74">
        <v>3</v>
      </c>
      <c r="G1617" s="758">
        <f t="shared" si="100"/>
        <v>1.05</v>
      </c>
      <c r="H1617" s="759">
        <f t="shared" si="101"/>
        <v>0.38</v>
      </c>
      <c r="I1617" s="758">
        <f t="shared" si="102"/>
        <v>0.44999999999999996</v>
      </c>
      <c r="J1617" s="760">
        <f t="shared" si="103"/>
        <v>0.29999999999999993</v>
      </c>
    </row>
    <row r="1618" spans="1:10">
      <c r="A1618" s="74" t="s">
        <v>952</v>
      </c>
      <c r="B1618" s="74" t="s">
        <v>256</v>
      </c>
      <c r="C1618" s="74" t="s">
        <v>1534</v>
      </c>
      <c r="D1618" s="74" t="s">
        <v>81</v>
      </c>
      <c r="E1618" s="74">
        <v>5</v>
      </c>
      <c r="F1618" s="74">
        <v>15</v>
      </c>
      <c r="G1618" s="758">
        <f t="shared" si="100"/>
        <v>1.05</v>
      </c>
      <c r="H1618" s="759">
        <f t="shared" si="101"/>
        <v>0.38</v>
      </c>
      <c r="I1618" s="758">
        <f t="shared" si="102"/>
        <v>1.95</v>
      </c>
      <c r="J1618" s="760">
        <f t="shared" si="103"/>
        <v>0.65</v>
      </c>
    </row>
    <row r="1619" spans="1:10">
      <c r="A1619" s="74" t="s">
        <v>952</v>
      </c>
      <c r="B1619" s="74" t="s">
        <v>256</v>
      </c>
      <c r="C1619" s="74" t="s">
        <v>1513</v>
      </c>
      <c r="D1619" s="74" t="s">
        <v>81</v>
      </c>
      <c r="E1619" s="74">
        <v>3</v>
      </c>
      <c r="F1619" s="74">
        <v>13.25</v>
      </c>
      <c r="G1619" s="758">
        <f t="shared" si="100"/>
        <v>1.05</v>
      </c>
      <c r="H1619" s="759">
        <f t="shared" si="101"/>
        <v>0.38</v>
      </c>
      <c r="I1619" s="758">
        <f t="shared" si="102"/>
        <v>3.3666666666666671</v>
      </c>
      <c r="J1619" s="760">
        <f t="shared" si="103"/>
        <v>0.76226415094339617</v>
      </c>
    </row>
    <row r="1620" spans="1:10">
      <c r="A1620" s="74" t="s">
        <v>952</v>
      </c>
      <c r="B1620" s="74" t="s">
        <v>256</v>
      </c>
      <c r="C1620" s="74" t="s">
        <v>1517</v>
      </c>
      <c r="D1620" s="74" t="s">
        <v>82</v>
      </c>
      <c r="E1620" s="74">
        <v>1</v>
      </c>
      <c r="F1620" s="74">
        <v>3</v>
      </c>
      <c r="G1620" s="758">
        <f t="shared" si="100"/>
        <v>1.05</v>
      </c>
      <c r="H1620" s="759">
        <f t="shared" si="101"/>
        <v>0.38</v>
      </c>
      <c r="I1620" s="758">
        <f t="shared" si="102"/>
        <v>1.95</v>
      </c>
      <c r="J1620" s="760">
        <f t="shared" si="103"/>
        <v>0.64999999999999991</v>
      </c>
    </row>
    <row r="1621" spans="1:10">
      <c r="A1621" s="74" t="s">
        <v>952</v>
      </c>
      <c r="B1621" s="74" t="s">
        <v>256</v>
      </c>
      <c r="C1621" s="74" t="s">
        <v>1527</v>
      </c>
      <c r="D1621" s="74" t="s">
        <v>82</v>
      </c>
      <c r="E1621" s="74">
        <v>2</v>
      </c>
      <c r="F1621" s="74">
        <v>14.5</v>
      </c>
      <c r="G1621" s="758">
        <f t="shared" si="100"/>
        <v>1.05</v>
      </c>
      <c r="H1621" s="759">
        <f t="shared" si="101"/>
        <v>0.38</v>
      </c>
      <c r="I1621" s="758">
        <f t="shared" si="102"/>
        <v>6.2</v>
      </c>
      <c r="J1621" s="760">
        <f t="shared" si="103"/>
        <v>0.85517241379310338</v>
      </c>
    </row>
    <row r="1622" spans="1:10">
      <c r="A1622" s="74" t="s">
        <v>952</v>
      </c>
      <c r="B1622" s="74" t="s">
        <v>256</v>
      </c>
      <c r="C1622" s="74" t="s">
        <v>1518</v>
      </c>
      <c r="D1622" s="74" t="s">
        <v>82</v>
      </c>
      <c r="E1622" s="74">
        <v>1</v>
      </c>
      <c r="F1622" s="74">
        <v>7.25</v>
      </c>
      <c r="G1622" s="758">
        <f t="shared" si="100"/>
        <v>1.05</v>
      </c>
      <c r="H1622" s="759">
        <f t="shared" si="101"/>
        <v>0.38</v>
      </c>
      <c r="I1622" s="758">
        <f t="shared" si="102"/>
        <v>6.2</v>
      </c>
      <c r="J1622" s="760">
        <f t="shared" si="103"/>
        <v>0.85517241379310338</v>
      </c>
    </row>
    <row r="1623" spans="1:10">
      <c r="A1623" s="74" t="s">
        <v>952</v>
      </c>
      <c r="B1623" s="74" t="s">
        <v>256</v>
      </c>
      <c r="C1623" s="74" t="s">
        <v>1519</v>
      </c>
      <c r="D1623" s="74" t="s">
        <v>84</v>
      </c>
      <c r="E1623" s="74">
        <v>1</v>
      </c>
      <c r="F1623" s="74">
        <v>7.25</v>
      </c>
      <c r="G1623" s="758">
        <f t="shared" si="100"/>
        <v>1.05</v>
      </c>
      <c r="H1623" s="759">
        <f t="shared" si="101"/>
        <v>0.38</v>
      </c>
      <c r="I1623" s="758">
        <f t="shared" si="102"/>
        <v>6.2</v>
      </c>
      <c r="J1623" s="760">
        <f t="shared" si="103"/>
        <v>0.85517241379310338</v>
      </c>
    </row>
    <row r="1624" spans="1:10">
      <c r="A1624" s="74" t="s">
        <v>952</v>
      </c>
      <c r="B1624" s="74" t="s">
        <v>256</v>
      </c>
      <c r="C1624" s="74" t="s">
        <v>1644</v>
      </c>
      <c r="D1624" s="74" t="s">
        <v>86</v>
      </c>
      <c r="E1624" s="74">
        <v>1</v>
      </c>
      <c r="F1624" s="74">
        <v>7.25</v>
      </c>
      <c r="G1624" s="758">
        <f t="shared" si="100"/>
        <v>1.05</v>
      </c>
      <c r="H1624" s="759">
        <f t="shared" si="101"/>
        <v>0.38</v>
      </c>
      <c r="I1624" s="758">
        <f t="shared" si="102"/>
        <v>6.2</v>
      </c>
      <c r="J1624" s="760">
        <f t="shared" si="103"/>
        <v>0.85517241379310338</v>
      </c>
    </row>
    <row r="1625" spans="1:10">
      <c r="A1625" s="74" t="s">
        <v>952</v>
      </c>
      <c r="B1625" s="74" t="s">
        <v>256</v>
      </c>
      <c r="C1625" s="74" t="s">
        <v>1578</v>
      </c>
      <c r="D1625" s="74" t="s">
        <v>86</v>
      </c>
      <c r="E1625" s="74">
        <v>1</v>
      </c>
      <c r="F1625" s="74">
        <v>7.25</v>
      </c>
      <c r="G1625" s="758">
        <f t="shared" si="100"/>
        <v>1.05</v>
      </c>
      <c r="H1625" s="759">
        <f t="shared" si="101"/>
        <v>0.38</v>
      </c>
      <c r="I1625" s="758">
        <f t="shared" si="102"/>
        <v>6.2</v>
      </c>
      <c r="J1625" s="760">
        <f t="shared" si="103"/>
        <v>0.85517241379310338</v>
      </c>
    </row>
    <row r="1626" spans="1:10">
      <c r="A1626" s="74" t="s">
        <v>952</v>
      </c>
      <c r="B1626" s="74" t="s">
        <v>256</v>
      </c>
      <c r="C1626" s="74" t="s">
        <v>1544</v>
      </c>
      <c r="D1626" s="74" t="s">
        <v>87</v>
      </c>
      <c r="E1626" s="74">
        <v>1</v>
      </c>
      <c r="F1626" s="74">
        <v>7.25</v>
      </c>
      <c r="G1626" s="758">
        <f t="shared" si="100"/>
        <v>1.05</v>
      </c>
      <c r="H1626" s="759">
        <f t="shared" si="101"/>
        <v>0.38</v>
      </c>
      <c r="I1626" s="758">
        <f t="shared" si="102"/>
        <v>6.2</v>
      </c>
      <c r="J1626" s="760">
        <f t="shared" si="103"/>
        <v>0.85517241379310338</v>
      </c>
    </row>
    <row r="1627" spans="1:10">
      <c r="A1627" s="74" t="s">
        <v>952</v>
      </c>
      <c r="B1627" s="74" t="s">
        <v>256</v>
      </c>
      <c r="C1627" s="74" t="s">
        <v>1610</v>
      </c>
      <c r="D1627" s="74" t="s">
        <v>89</v>
      </c>
      <c r="E1627" s="74">
        <v>2</v>
      </c>
      <c r="F1627" s="74">
        <v>14.5</v>
      </c>
      <c r="G1627" s="758">
        <f t="shared" si="100"/>
        <v>1.05</v>
      </c>
      <c r="H1627" s="759">
        <f t="shared" si="101"/>
        <v>0.38</v>
      </c>
      <c r="I1627" s="758">
        <f t="shared" si="102"/>
        <v>6.2</v>
      </c>
      <c r="J1627" s="760">
        <f t="shared" si="103"/>
        <v>0.85517241379310338</v>
      </c>
    </row>
    <row r="1628" spans="1:10">
      <c r="A1628" s="74" t="s">
        <v>952</v>
      </c>
      <c r="B1628" s="74" t="s">
        <v>256</v>
      </c>
      <c r="C1628" s="74" t="s">
        <v>1582</v>
      </c>
      <c r="D1628" s="74" t="s">
        <v>89</v>
      </c>
      <c r="E1628" s="74">
        <v>1</v>
      </c>
      <c r="F1628" s="74">
        <v>7.25</v>
      </c>
      <c r="G1628" s="758">
        <f t="shared" si="100"/>
        <v>1.05</v>
      </c>
      <c r="H1628" s="759">
        <f t="shared" si="101"/>
        <v>0.38</v>
      </c>
      <c r="I1628" s="758">
        <f t="shared" si="102"/>
        <v>6.2</v>
      </c>
      <c r="J1628" s="760">
        <f t="shared" si="103"/>
        <v>0.85517241379310338</v>
      </c>
    </row>
    <row r="1629" spans="1:10">
      <c r="A1629" s="74" t="s">
        <v>952</v>
      </c>
      <c r="B1629" s="74" t="s">
        <v>256</v>
      </c>
      <c r="C1629" s="74" t="s">
        <v>1522</v>
      </c>
      <c r="D1629" s="74" t="s">
        <v>91</v>
      </c>
      <c r="E1629" s="74">
        <v>1</v>
      </c>
      <c r="F1629" s="74">
        <v>7.25</v>
      </c>
      <c r="G1629" s="758">
        <f t="shared" si="100"/>
        <v>1.05</v>
      </c>
      <c r="H1629" s="759">
        <f t="shared" si="101"/>
        <v>0.38</v>
      </c>
      <c r="I1629" s="758">
        <f t="shared" si="102"/>
        <v>6.2</v>
      </c>
      <c r="J1629" s="760">
        <f t="shared" si="103"/>
        <v>0.85517241379310338</v>
      </c>
    </row>
    <row r="1630" spans="1:10">
      <c r="A1630" s="74" t="s">
        <v>952</v>
      </c>
      <c r="B1630" s="74" t="s">
        <v>256</v>
      </c>
      <c r="C1630" s="74" t="s">
        <v>1614</v>
      </c>
      <c r="D1630" s="74" t="s">
        <v>92</v>
      </c>
      <c r="E1630" s="74">
        <v>1</v>
      </c>
      <c r="F1630" s="74">
        <v>7.25</v>
      </c>
      <c r="G1630" s="758">
        <f t="shared" si="100"/>
        <v>1.05</v>
      </c>
      <c r="H1630" s="759">
        <f t="shared" si="101"/>
        <v>0.38</v>
      </c>
      <c r="I1630" s="758">
        <f t="shared" si="102"/>
        <v>6.2</v>
      </c>
      <c r="J1630" s="760">
        <f t="shared" si="103"/>
        <v>0.85517241379310338</v>
      </c>
    </row>
    <row r="1631" spans="1:10">
      <c r="A1631" s="74" t="s">
        <v>952</v>
      </c>
      <c r="B1631" s="74" t="s">
        <v>256</v>
      </c>
      <c r="C1631" s="74" t="s">
        <v>1631</v>
      </c>
      <c r="D1631" s="74" t="s">
        <v>92</v>
      </c>
      <c r="E1631" s="74">
        <v>1</v>
      </c>
      <c r="F1631" s="74">
        <v>7.25</v>
      </c>
      <c r="G1631" s="758">
        <f t="shared" si="100"/>
        <v>1.05</v>
      </c>
      <c r="H1631" s="759">
        <f t="shared" si="101"/>
        <v>0.38</v>
      </c>
      <c r="I1631" s="758">
        <f t="shared" si="102"/>
        <v>6.2</v>
      </c>
      <c r="J1631" s="760">
        <f t="shared" si="103"/>
        <v>0.85517241379310338</v>
      </c>
    </row>
    <row r="1632" spans="1:10">
      <c r="A1632" s="74" t="s">
        <v>952</v>
      </c>
      <c r="B1632" s="74" t="s">
        <v>256</v>
      </c>
      <c r="C1632" s="74" t="s">
        <v>1552</v>
      </c>
      <c r="D1632" s="74" t="s">
        <v>92</v>
      </c>
      <c r="E1632" s="74">
        <v>1</v>
      </c>
      <c r="F1632" s="74">
        <v>7.25</v>
      </c>
      <c r="G1632" s="758">
        <f t="shared" si="100"/>
        <v>1.05</v>
      </c>
      <c r="H1632" s="759">
        <f t="shared" si="101"/>
        <v>0.38</v>
      </c>
      <c r="I1632" s="758">
        <f t="shared" si="102"/>
        <v>6.2</v>
      </c>
      <c r="J1632" s="760">
        <f t="shared" si="103"/>
        <v>0.85517241379310338</v>
      </c>
    </row>
    <row r="1633" spans="1:10">
      <c r="A1633" s="74" t="s">
        <v>952</v>
      </c>
      <c r="B1633" s="74" t="s">
        <v>256</v>
      </c>
      <c r="C1633" s="74" t="s">
        <v>1555</v>
      </c>
      <c r="D1633" s="74" t="s">
        <v>94</v>
      </c>
      <c r="E1633" s="74">
        <v>2</v>
      </c>
      <c r="F1633" s="74">
        <v>14.5</v>
      </c>
      <c r="G1633" s="758">
        <f t="shared" si="100"/>
        <v>1.05</v>
      </c>
      <c r="H1633" s="759">
        <f t="shared" si="101"/>
        <v>0.38</v>
      </c>
      <c r="I1633" s="758">
        <f t="shared" si="102"/>
        <v>6.2</v>
      </c>
      <c r="J1633" s="760">
        <f t="shared" si="103"/>
        <v>0.85517241379310338</v>
      </c>
    </row>
    <row r="1634" spans="1:10">
      <c r="A1634" s="74" t="s">
        <v>952</v>
      </c>
      <c r="B1634" s="74" t="s">
        <v>256</v>
      </c>
      <c r="C1634" s="74" t="s">
        <v>1930</v>
      </c>
      <c r="D1634" s="74" t="s">
        <v>95</v>
      </c>
      <c r="E1634" s="74">
        <v>1</v>
      </c>
      <c r="F1634" s="74">
        <v>0</v>
      </c>
      <c r="G1634" s="758">
        <f t="shared" si="100"/>
        <v>1.05</v>
      </c>
      <c r="H1634" s="759">
        <f t="shared" si="101"/>
        <v>0.38</v>
      </c>
      <c r="I1634" s="758">
        <f t="shared" si="102"/>
        <v>-1.05</v>
      </c>
      <c r="J1634" s="760">
        <f t="shared" si="103"/>
        <v>0</v>
      </c>
    </row>
    <row r="1635" spans="1:10">
      <c r="A1635" s="74" t="s">
        <v>2276</v>
      </c>
      <c r="B1635" s="74" t="s">
        <v>256</v>
      </c>
      <c r="C1635" s="74" t="s">
        <v>1524</v>
      </c>
      <c r="D1635" s="74" t="s">
        <v>91</v>
      </c>
      <c r="E1635" s="74">
        <v>1</v>
      </c>
      <c r="F1635" s="74">
        <v>7.25</v>
      </c>
      <c r="G1635" s="758">
        <f t="shared" si="100"/>
        <v>1.05</v>
      </c>
      <c r="H1635" s="759">
        <f t="shared" si="101"/>
        <v>0.38</v>
      </c>
      <c r="I1635" s="758">
        <f t="shared" si="102"/>
        <v>6.2</v>
      </c>
      <c r="J1635" s="760">
        <f t="shared" si="103"/>
        <v>0.85517241379310338</v>
      </c>
    </row>
    <row r="1636" spans="1:10">
      <c r="A1636" s="74" t="s">
        <v>1681</v>
      </c>
      <c r="B1636" s="74" t="s">
        <v>256</v>
      </c>
      <c r="C1636" s="74" t="s">
        <v>1524</v>
      </c>
      <c r="D1636" s="74" t="s">
        <v>91</v>
      </c>
      <c r="E1636" s="74">
        <v>1</v>
      </c>
      <c r="F1636" s="74">
        <v>6.95</v>
      </c>
      <c r="G1636" s="758">
        <f t="shared" si="100"/>
        <v>0</v>
      </c>
      <c r="H1636" s="759">
        <f t="shared" si="101"/>
        <v>0</v>
      </c>
      <c r="I1636" s="758">
        <f t="shared" si="102"/>
        <v>6.95</v>
      </c>
      <c r="J1636" s="760">
        <f t="shared" si="103"/>
        <v>1</v>
      </c>
    </row>
    <row r="1637" spans="1:10">
      <c r="A1637" s="74" t="s">
        <v>1682</v>
      </c>
      <c r="B1637" s="74" t="s">
        <v>256</v>
      </c>
      <c r="C1637" s="74" t="s">
        <v>1524</v>
      </c>
      <c r="D1637" s="74" t="s">
        <v>91</v>
      </c>
      <c r="E1637" s="74">
        <v>1</v>
      </c>
      <c r="F1637" s="74">
        <v>6</v>
      </c>
      <c r="G1637" s="758">
        <f t="shared" si="100"/>
        <v>0</v>
      </c>
      <c r="H1637" s="759">
        <f t="shared" si="101"/>
        <v>0</v>
      </c>
      <c r="I1637" s="758">
        <f t="shared" si="102"/>
        <v>6</v>
      </c>
      <c r="J1637" s="760">
        <f t="shared" si="103"/>
        <v>1</v>
      </c>
    </row>
    <row r="1638" spans="1:10">
      <c r="A1638" s="74" t="s">
        <v>1683</v>
      </c>
      <c r="B1638" s="74" t="s">
        <v>877</v>
      </c>
      <c r="C1638" s="74" t="s">
        <v>1508</v>
      </c>
      <c r="D1638" s="74" t="s">
        <v>78</v>
      </c>
      <c r="E1638" s="74">
        <v>8</v>
      </c>
      <c r="F1638" s="74">
        <v>0</v>
      </c>
      <c r="G1638" s="758">
        <f t="shared" si="100"/>
        <v>0</v>
      </c>
      <c r="H1638" s="759">
        <f t="shared" si="101"/>
        <v>0.24</v>
      </c>
      <c r="I1638" s="758">
        <f t="shared" si="102"/>
        <v>0</v>
      </c>
      <c r="J1638" s="760">
        <f t="shared" si="103"/>
        <v>0</v>
      </c>
    </row>
    <row r="1639" spans="1:10">
      <c r="A1639" s="74" t="s">
        <v>794</v>
      </c>
      <c r="B1639" s="74" t="s">
        <v>256</v>
      </c>
      <c r="C1639" s="74" t="s">
        <v>1511</v>
      </c>
      <c r="D1639" s="74" t="s">
        <v>80</v>
      </c>
      <c r="E1639" s="74">
        <v>7</v>
      </c>
      <c r="F1639" s="74">
        <v>47.95</v>
      </c>
      <c r="G1639" s="758">
        <f t="shared" si="100"/>
        <v>0</v>
      </c>
      <c r="H1639" s="759">
        <f t="shared" si="101"/>
        <v>0</v>
      </c>
      <c r="I1639" s="758">
        <f t="shared" si="102"/>
        <v>6.8500000000000005</v>
      </c>
      <c r="J1639" s="760">
        <f t="shared" si="103"/>
        <v>1</v>
      </c>
    </row>
    <row r="1640" spans="1:10">
      <c r="A1640" s="74" t="s">
        <v>794</v>
      </c>
      <c r="B1640" s="74" t="s">
        <v>256</v>
      </c>
      <c r="C1640" s="74" t="s">
        <v>1512</v>
      </c>
      <c r="D1640" s="74" t="s">
        <v>80</v>
      </c>
      <c r="E1640" s="74">
        <v>9</v>
      </c>
      <c r="F1640" s="74">
        <v>61.59</v>
      </c>
      <c r="G1640" s="758">
        <f t="shared" si="100"/>
        <v>0</v>
      </c>
      <c r="H1640" s="759">
        <f t="shared" si="101"/>
        <v>0</v>
      </c>
      <c r="I1640" s="758">
        <f t="shared" si="102"/>
        <v>6.8433333333333337</v>
      </c>
      <c r="J1640" s="760">
        <f t="shared" si="103"/>
        <v>1</v>
      </c>
    </row>
    <row r="1641" spans="1:10">
      <c r="A1641" s="74" t="s">
        <v>794</v>
      </c>
      <c r="B1641" s="74" t="s">
        <v>256</v>
      </c>
      <c r="C1641" s="74" t="s">
        <v>1513</v>
      </c>
      <c r="D1641" s="74" t="s">
        <v>81</v>
      </c>
      <c r="E1641" s="74">
        <v>22</v>
      </c>
      <c r="F1641" s="74">
        <v>150.91</v>
      </c>
      <c r="G1641" s="758">
        <f t="shared" si="100"/>
        <v>0</v>
      </c>
      <c r="H1641" s="759">
        <f t="shared" si="101"/>
        <v>0</v>
      </c>
      <c r="I1641" s="758">
        <f t="shared" si="102"/>
        <v>6.8595454545454544</v>
      </c>
      <c r="J1641" s="760">
        <f t="shared" si="103"/>
        <v>1</v>
      </c>
    </row>
    <row r="1642" spans="1:10">
      <c r="A1642" s="74" t="s">
        <v>794</v>
      </c>
      <c r="B1642" s="74" t="s">
        <v>256</v>
      </c>
      <c r="C1642" s="74" t="s">
        <v>1514</v>
      </c>
      <c r="D1642" s="74" t="s">
        <v>81</v>
      </c>
      <c r="E1642" s="74">
        <v>5</v>
      </c>
      <c r="F1642" s="74">
        <v>34.32</v>
      </c>
      <c r="G1642" s="758">
        <f t="shared" si="100"/>
        <v>0</v>
      </c>
      <c r="H1642" s="759">
        <f t="shared" si="101"/>
        <v>0</v>
      </c>
      <c r="I1642" s="758">
        <f t="shared" si="102"/>
        <v>6.8639999999999999</v>
      </c>
      <c r="J1642" s="760">
        <f t="shared" si="103"/>
        <v>1</v>
      </c>
    </row>
    <row r="1643" spans="1:10">
      <c r="A1643" s="74" t="s">
        <v>794</v>
      </c>
      <c r="B1643" s="74" t="s">
        <v>256</v>
      </c>
      <c r="C1643" s="74" t="s">
        <v>1515</v>
      </c>
      <c r="D1643" s="74" t="s">
        <v>81</v>
      </c>
      <c r="E1643" s="74">
        <v>7</v>
      </c>
      <c r="F1643" s="74">
        <v>48.41</v>
      </c>
      <c r="G1643" s="758">
        <f t="shared" si="100"/>
        <v>0</v>
      </c>
      <c r="H1643" s="759">
        <f t="shared" si="101"/>
        <v>0</v>
      </c>
      <c r="I1643" s="758">
        <f t="shared" si="102"/>
        <v>6.9157142857142855</v>
      </c>
      <c r="J1643" s="760">
        <f t="shared" si="103"/>
        <v>1</v>
      </c>
    </row>
    <row r="1644" spans="1:10">
      <c r="A1644" s="74" t="s">
        <v>816</v>
      </c>
      <c r="B1644" s="74" t="s">
        <v>256</v>
      </c>
      <c r="C1644" s="74" t="s">
        <v>1513</v>
      </c>
      <c r="D1644" s="74" t="s">
        <v>81</v>
      </c>
      <c r="E1644" s="74">
        <v>10</v>
      </c>
      <c r="F1644" s="74">
        <v>27.27</v>
      </c>
      <c r="G1644" s="758">
        <f t="shared" si="100"/>
        <v>0</v>
      </c>
      <c r="H1644" s="759">
        <f t="shared" si="101"/>
        <v>0</v>
      </c>
      <c r="I1644" s="758">
        <f t="shared" si="102"/>
        <v>2.7269999999999999</v>
      </c>
      <c r="J1644" s="760">
        <f t="shared" si="103"/>
        <v>1</v>
      </c>
    </row>
    <row r="1645" spans="1:10">
      <c r="A1645" s="74" t="s">
        <v>816</v>
      </c>
      <c r="B1645" s="74" t="s">
        <v>256</v>
      </c>
      <c r="C1645" s="74" t="s">
        <v>1515</v>
      </c>
      <c r="D1645" s="74" t="s">
        <v>81</v>
      </c>
      <c r="E1645" s="74">
        <v>2</v>
      </c>
      <c r="F1645" s="74">
        <v>5.45</v>
      </c>
      <c r="G1645" s="758">
        <f t="shared" si="100"/>
        <v>0</v>
      </c>
      <c r="H1645" s="759">
        <f t="shared" si="101"/>
        <v>0</v>
      </c>
      <c r="I1645" s="758">
        <f t="shared" si="102"/>
        <v>2.7250000000000001</v>
      </c>
      <c r="J1645" s="760">
        <f t="shared" si="103"/>
        <v>1</v>
      </c>
    </row>
    <row r="1646" spans="1:10">
      <c r="A1646" s="74" t="s">
        <v>1684</v>
      </c>
      <c r="B1646" s="74" t="s">
        <v>877</v>
      </c>
      <c r="C1646" s="74" t="s">
        <v>1617</v>
      </c>
      <c r="D1646" s="74" t="s">
        <v>94</v>
      </c>
      <c r="E1646" s="74">
        <v>3</v>
      </c>
      <c r="F1646" s="74">
        <v>9</v>
      </c>
      <c r="G1646" s="758">
        <f t="shared" si="100"/>
        <v>0</v>
      </c>
      <c r="H1646" s="759">
        <f t="shared" si="101"/>
        <v>0</v>
      </c>
      <c r="I1646" s="758">
        <f t="shared" si="102"/>
        <v>3</v>
      </c>
      <c r="J1646" s="760">
        <f t="shared" si="103"/>
        <v>1</v>
      </c>
    </row>
    <row r="1647" spans="1:10">
      <c r="A1647" s="74" t="s">
        <v>1685</v>
      </c>
      <c r="B1647" s="74" t="s">
        <v>877</v>
      </c>
      <c r="C1647" s="74" t="s">
        <v>1675</v>
      </c>
      <c r="D1647" s="74" t="s">
        <v>91</v>
      </c>
      <c r="E1647" s="74">
        <v>6</v>
      </c>
      <c r="F1647" s="74">
        <v>18</v>
      </c>
      <c r="G1647" s="758">
        <f t="shared" si="100"/>
        <v>0</v>
      </c>
      <c r="H1647" s="759">
        <f t="shared" si="101"/>
        <v>0</v>
      </c>
      <c r="I1647" s="758">
        <f t="shared" si="102"/>
        <v>3</v>
      </c>
      <c r="J1647" s="760">
        <f t="shared" si="103"/>
        <v>1</v>
      </c>
    </row>
    <row r="1648" spans="1:10">
      <c r="A1648" s="74" t="s">
        <v>1685</v>
      </c>
      <c r="B1648" s="74" t="s">
        <v>877</v>
      </c>
      <c r="C1648" s="74" t="s">
        <v>1524</v>
      </c>
      <c r="D1648" s="74" t="s">
        <v>91</v>
      </c>
      <c r="E1648" s="74">
        <v>2</v>
      </c>
      <c r="F1648" s="74">
        <v>3</v>
      </c>
      <c r="G1648" s="758">
        <f t="shared" si="100"/>
        <v>0</v>
      </c>
      <c r="H1648" s="759">
        <f t="shared" si="101"/>
        <v>0</v>
      </c>
      <c r="I1648" s="758">
        <f t="shared" si="102"/>
        <v>1.5</v>
      </c>
      <c r="J1648" s="760">
        <f t="shared" si="103"/>
        <v>1</v>
      </c>
    </row>
    <row r="1649" spans="1:10">
      <c r="A1649" s="74" t="s">
        <v>1686</v>
      </c>
      <c r="B1649" s="74" t="s">
        <v>877</v>
      </c>
      <c r="C1649" s="74" t="s">
        <v>1614</v>
      </c>
      <c r="D1649" s="74" t="s">
        <v>92</v>
      </c>
      <c r="E1649" s="74">
        <v>1</v>
      </c>
      <c r="F1649" s="74">
        <v>3</v>
      </c>
      <c r="G1649" s="758">
        <f t="shared" si="100"/>
        <v>0</v>
      </c>
      <c r="H1649" s="759">
        <f t="shared" si="101"/>
        <v>0</v>
      </c>
      <c r="I1649" s="758">
        <f t="shared" si="102"/>
        <v>3</v>
      </c>
      <c r="J1649" s="760">
        <f t="shared" si="103"/>
        <v>1</v>
      </c>
    </row>
    <row r="1650" spans="1:10">
      <c r="A1650" s="74" t="s">
        <v>1687</v>
      </c>
      <c r="B1650" s="74" t="s">
        <v>877</v>
      </c>
      <c r="C1650" s="74" t="s">
        <v>1544</v>
      </c>
      <c r="D1650" s="74" t="s">
        <v>87</v>
      </c>
      <c r="E1650" s="74">
        <v>3</v>
      </c>
      <c r="F1650" s="74">
        <v>9</v>
      </c>
      <c r="G1650" s="758">
        <f t="shared" si="100"/>
        <v>0</v>
      </c>
      <c r="H1650" s="759">
        <f t="shared" si="101"/>
        <v>0</v>
      </c>
      <c r="I1650" s="758">
        <f t="shared" si="102"/>
        <v>3</v>
      </c>
      <c r="J1650" s="760">
        <f t="shared" si="103"/>
        <v>1</v>
      </c>
    </row>
    <row r="1651" spans="1:10">
      <c r="A1651" s="74" t="s">
        <v>1688</v>
      </c>
      <c r="B1651" s="74" t="s">
        <v>877</v>
      </c>
      <c r="C1651" s="74" t="s">
        <v>1547</v>
      </c>
      <c r="D1651" s="74" t="s">
        <v>89</v>
      </c>
      <c r="E1651" s="74">
        <v>3</v>
      </c>
      <c r="F1651" s="74">
        <v>9</v>
      </c>
      <c r="G1651" s="758">
        <f t="shared" si="100"/>
        <v>0</v>
      </c>
      <c r="H1651" s="759">
        <f t="shared" si="101"/>
        <v>0</v>
      </c>
      <c r="I1651" s="758">
        <f t="shared" si="102"/>
        <v>3</v>
      </c>
      <c r="J1651" s="760">
        <f t="shared" si="103"/>
        <v>1</v>
      </c>
    </row>
    <row r="1652" spans="1:10">
      <c r="A1652" s="74" t="s">
        <v>1688</v>
      </c>
      <c r="B1652" s="74" t="s">
        <v>877</v>
      </c>
      <c r="C1652" s="74" t="s">
        <v>1522</v>
      </c>
      <c r="D1652" s="74" t="s">
        <v>91</v>
      </c>
      <c r="E1652" s="74">
        <v>2</v>
      </c>
      <c r="F1652" s="74">
        <v>6</v>
      </c>
      <c r="G1652" s="758">
        <f t="shared" si="100"/>
        <v>0</v>
      </c>
      <c r="H1652" s="759">
        <f t="shared" si="101"/>
        <v>0</v>
      </c>
      <c r="I1652" s="758">
        <f t="shared" si="102"/>
        <v>3</v>
      </c>
      <c r="J1652" s="760">
        <f t="shared" si="103"/>
        <v>1</v>
      </c>
    </row>
    <row r="1653" spans="1:10">
      <c r="A1653" s="74" t="s">
        <v>1688</v>
      </c>
      <c r="B1653" s="74" t="s">
        <v>877</v>
      </c>
      <c r="C1653" s="74" t="s">
        <v>1550</v>
      </c>
      <c r="D1653" s="74" t="s">
        <v>91</v>
      </c>
      <c r="E1653" s="74">
        <v>7</v>
      </c>
      <c r="F1653" s="74">
        <v>21</v>
      </c>
      <c r="G1653" s="758">
        <f t="shared" si="100"/>
        <v>0</v>
      </c>
      <c r="H1653" s="759">
        <f t="shared" si="101"/>
        <v>0</v>
      </c>
      <c r="I1653" s="758">
        <f t="shared" si="102"/>
        <v>3</v>
      </c>
      <c r="J1653" s="760">
        <f t="shared" si="103"/>
        <v>1</v>
      </c>
    </row>
    <row r="1654" spans="1:10">
      <c r="A1654" s="74" t="s">
        <v>1688</v>
      </c>
      <c r="B1654" s="74" t="s">
        <v>877</v>
      </c>
      <c r="C1654" s="74" t="s">
        <v>1555</v>
      </c>
      <c r="D1654" s="74" t="s">
        <v>94</v>
      </c>
      <c r="E1654" s="74">
        <v>3</v>
      </c>
      <c r="F1654" s="74">
        <v>9</v>
      </c>
      <c r="G1654" s="758">
        <f t="shared" si="100"/>
        <v>0</v>
      </c>
      <c r="H1654" s="759">
        <f t="shared" si="101"/>
        <v>0</v>
      </c>
      <c r="I1654" s="758">
        <f t="shared" si="102"/>
        <v>3</v>
      </c>
      <c r="J1654" s="760">
        <f t="shared" si="103"/>
        <v>1</v>
      </c>
    </row>
    <row r="1655" spans="1:10">
      <c r="A1655" s="74" t="s">
        <v>1688</v>
      </c>
      <c r="B1655" s="74" t="s">
        <v>877</v>
      </c>
      <c r="C1655" s="74" t="s">
        <v>1557</v>
      </c>
      <c r="D1655" s="74" t="s">
        <v>95</v>
      </c>
      <c r="E1655" s="74">
        <v>4</v>
      </c>
      <c r="F1655" s="74">
        <v>12</v>
      </c>
      <c r="G1655" s="758">
        <f t="shared" si="100"/>
        <v>0</v>
      </c>
      <c r="H1655" s="759">
        <f t="shared" si="101"/>
        <v>0</v>
      </c>
      <c r="I1655" s="758">
        <f t="shared" si="102"/>
        <v>3</v>
      </c>
      <c r="J1655" s="760">
        <f t="shared" si="103"/>
        <v>1</v>
      </c>
    </row>
    <row r="1656" spans="1:10">
      <c r="A1656" s="74" t="s">
        <v>1688</v>
      </c>
      <c r="B1656" s="74" t="s">
        <v>877</v>
      </c>
      <c r="C1656" s="74" t="s">
        <v>1930</v>
      </c>
      <c r="D1656" s="74" t="s">
        <v>95</v>
      </c>
      <c r="E1656" s="74">
        <v>1</v>
      </c>
      <c r="F1656" s="74">
        <v>3</v>
      </c>
      <c r="G1656" s="758">
        <f t="shared" si="100"/>
        <v>0</v>
      </c>
      <c r="H1656" s="759">
        <f t="shared" si="101"/>
        <v>0</v>
      </c>
      <c r="I1656" s="758">
        <f t="shared" si="102"/>
        <v>3</v>
      </c>
      <c r="J1656" s="760">
        <f t="shared" si="103"/>
        <v>1</v>
      </c>
    </row>
    <row r="1657" spans="1:10">
      <c r="A1657" s="74" t="s">
        <v>1689</v>
      </c>
      <c r="B1657" s="74" t="s">
        <v>877</v>
      </c>
      <c r="C1657" s="74" t="s">
        <v>1610</v>
      </c>
      <c r="D1657" s="74" t="s">
        <v>89</v>
      </c>
      <c r="E1657" s="74">
        <v>1</v>
      </c>
      <c r="F1657" s="74">
        <v>3</v>
      </c>
      <c r="G1657" s="758">
        <f t="shared" si="100"/>
        <v>0</v>
      </c>
      <c r="H1657" s="759">
        <f t="shared" si="101"/>
        <v>0</v>
      </c>
      <c r="I1657" s="758">
        <f t="shared" si="102"/>
        <v>3</v>
      </c>
      <c r="J1657" s="760">
        <f t="shared" si="103"/>
        <v>1</v>
      </c>
    </row>
    <row r="1658" spans="1:10">
      <c r="A1658" s="74" t="s">
        <v>2277</v>
      </c>
      <c r="B1658" s="74" t="s">
        <v>877</v>
      </c>
      <c r="C1658" s="74" t="s">
        <v>1610</v>
      </c>
      <c r="D1658" s="74" t="s">
        <v>89</v>
      </c>
      <c r="E1658" s="74">
        <v>5</v>
      </c>
      <c r="F1658" s="74">
        <v>15</v>
      </c>
      <c r="G1658" s="758">
        <f t="shared" si="100"/>
        <v>0</v>
      </c>
      <c r="H1658" s="759">
        <f t="shared" si="101"/>
        <v>0</v>
      </c>
      <c r="I1658" s="758">
        <f t="shared" si="102"/>
        <v>3</v>
      </c>
      <c r="J1658" s="760">
        <f t="shared" si="103"/>
        <v>1</v>
      </c>
    </row>
    <row r="1659" spans="1:10">
      <c r="A1659" s="74" t="s">
        <v>1691</v>
      </c>
      <c r="B1659" s="74" t="s">
        <v>877</v>
      </c>
      <c r="C1659" s="74" t="s">
        <v>1608</v>
      </c>
      <c r="D1659" s="74" t="s">
        <v>89</v>
      </c>
      <c r="E1659" s="74">
        <v>3</v>
      </c>
      <c r="F1659" s="74">
        <v>9</v>
      </c>
      <c r="G1659" s="758">
        <f t="shared" si="100"/>
        <v>0</v>
      </c>
      <c r="H1659" s="759">
        <f t="shared" si="101"/>
        <v>0</v>
      </c>
      <c r="I1659" s="758">
        <f t="shared" si="102"/>
        <v>3</v>
      </c>
      <c r="J1659" s="760">
        <f t="shared" si="103"/>
        <v>1</v>
      </c>
    </row>
    <row r="1660" spans="1:10">
      <c r="A1660" s="74" t="s">
        <v>2278</v>
      </c>
      <c r="B1660" s="74" t="s">
        <v>877</v>
      </c>
      <c r="C1660" s="74" t="s">
        <v>1546</v>
      </c>
      <c r="D1660" s="74" t="s">
        <v>89</v>
      </c>
      <c r="E1660" s="74">
        <v>2</v>
      </c>
      <c r="F1660" s="74">
        <v>6</v>
      </c>
      <c r="G1660" s="758">
        <f t="shared" si="100"/>
        <v>0</v>
      </c>
      <c r="H1660" s="759">
        <f t="shared" si="101"/>
        <v>0</v>
      </c>
      <c r="I1660" s="758">
        <f t="shared" si="102"/>
        <v>3</v>
      </c>
      <c r="J1660" s="760">
        <f t="shared" si="103"/>
        <v>1</v>
      </c>
    </row>
    <row r="1661" spans="1:10">
      <c r="A1661" s="74" t="s">
        <v>1693</v>
      </c>
      <c r="B1661" s="74" t="s">
        <v>877</v>
      </c>
      <c r="C1661" s="74" t="s">
        <v>1565</v>
      </c>
      <c r="D1661" s="74" t="s">
        <v>78</v>
      </c>
      <c r="E1661" s="74">
        <v>10</v>
      </c>
      <c r="F1661" s="74">
        <v>0</v>
      </c>
      <c r="G1661" s="758">
        <f t="shared" si="100"/>
        <v>2.17</v>
      </c>
      <c r="H1661" s="759">
        <f t="shared" si="101"/>
        <v>0</v>
      </c>
      <c r="I1661" s="758">
        <f t="shared" si="102"/>
        <v>-2.17</v>
      </c>
      <c r="J1661" s="760">
        <f t="shared" si="103"/>
        <v>0</v>
      </c>
    </row>
    <row r="1662" spans="1:10">
      <c r="A1662" s="74" t="s">
        <v>1694</v>
      </c>
      <c r="B1662" s="74" t="s">
        <v>256</v>
      </c>
      <c r="C1662" s="74" t="s">
        <v>1565</v>
      </c>
      <c r="D1662" s="74" t="s">
        <v>78</v>
      </c>
      <c r="E1662" s="74">
        <v>9</v>
      </c>
      <c r="F1662" s="74">
        <v>53.4</v>
      </c>
      <c r="G1662" s="758">
        <f t="shared" si="100"/>
        <v>0.96</v>
      </c>
      <c r="H1662" s="759">
        <f t="shared" si="101"/>
        <v>0.16</v>
      </c>
      <c r="I1662" s="758">
        <f t="shared" si="102"/>
        <v>4.9733333333333336</v>
      </c>
      <c r="J1662" s="760">
        <f t="shared" si="103"/>
        <v>0.83820224719101122</v>
      </c>
    </row>
    <row r="1663" spans="1:10">
      <c r="A1663" s="74" t="s">
        <v>1695</v>
      </c>
      <c r="B1663" s="74" t="s">
        <v>877</v>
      </c>
      <c r="C1663" s="74" t="s">
        <v>1577</v>
      </c>
      <c r="D1663" s="74" t="s">
        <v>84</v>
      </c>
      <c r="E1663" s="74">
        <v>12</v>
      </c>
      <c r="F1663" s="74">
        <v>0</v>
      </c>
      <c r="G1663" s="758">
        <f t="shared" si="100"/>
        <v>0</v>
      </c>
      <c r="H1663" s="759">
        <f t="shared" si="101"/>
        <v>0</v>
      </c>
      <c r="I1663" s="758">
        <f t="shared" si="102"/>
        <v>0</v>
      </c>
      <c r="J1663" s="760">
        <f t="shared" si="103"/>
        <v>0</v>
      </c>
    </row>
    <row r="1664" spans="1:10">
      <c r="A1664" s="74" t="s">
        <v>1696</v>
      </c>
      <c r="B1664" s="74" t="s">
        <v>877</v>
      </c>
      <c r="C1664" s="74" t="s">
        <v>1644</v>
      </c>
      <c r="D1664" s="74" t="s">
        <v>86</v>
      </c>
      <c r="E1664" s="74">
        <v>1</v>
      </c>
      <c r="F1664" s="74">
        <v>3</v>
      </c>
      <c r="G1664" s="758">
        <f t="shared" si="100"/>
        <v>0</v>
      </c>
      <c r="H1664" s="759">
        <f t="shared" si="101"/>
        <v>0</v>
      </c>
      <c r="I1664" s="758">
        <f t="shared" si="102"/>
        <v>3</v>
      </c>
      <c r="J1664" s="760">
        <f t="shared" si="103"/>
        <v>1</v>
      </c>
    </row>
    <row r="1665" spans="1:10">
      <c r="A1665" s="74" t="s">
        <v>1697</v>
      </c>
      <c r="B1665" s="74" t="s">
        <v>877</v>
      </c>
      <c r="C1665" s="74" t="s">
        <v>1578</v>
      </c>
      <c r="D1665" s="74" t="s">
        <v>86</v>
      </c>
      <c r="E1665" s="74">
        <v>3</v>
      </c>
      <c r="F1665" s="74">
        <v>13</v>
      </c>
      <c r="G1665" s="758">
        <f t="shared" si="100"/>
        <v>0</v>
      </c>
      <c r="H1665" s="759">
        <f t="shared" si="101"/>
        <v>0</v>
      </c>
      <c r="I1665" s="758">
        <f t="shared" si="102"/>
        <v>4.333333333333333</v>
      </c>
      <c r="J1665" s="760">
        <f t="shared" si="103"/>
        <v>1</v>
      </c>
    </row>
    <row r="1666" spans="1:10">
      <c r="A1666" s="74" t="s">
        <v>1319</v>
      </c>
      <c r="B1666" s="74" t="s">
        <v>256</v>
      </c>
      <c r="C1666" s="74" t="s">
        <v>1532</v>
      </c>
      <c r="D1666" s="74" t="s">
        <v>80</v>
      </c>
      <c r="E1666" s="74">
        <v>6</v>
      </c>
      <c r="F1666" s="74">
        <v>44</v>
      </c>
      <c r="G1666" s="758">
        <f t="shared" ref="G1666:G1729" si="104">IFERROR(VLOOKUP(A1666,$M$1:$P$1014,2,FALSE),0)</f>
        <v>0.5</v>
      </c>
      <c r="H1666" s="759">
        <f t="shared" ref="H1666:H1729" si="105">IFERROR(VLOOKUP(A1666,$M$1:$P$1014,3,FALSE),0)</f>
        <v>0.21</v>
      </c>
      <c r="I1666" s="758">
        <f t="shared" ref="I1666:I1729" si="106">IFERROR(F1666/E1666-G1666,0)</f>
        <v>6.833333333333333</v>
      </c>
      <c r="J1666" s="760">
        <f t="shared" ref="J1666:J1729" si="107">IFERROR(1-G1666*E1666/F1666,0)</f>
        <v>0.93181818181818188</v>
      </c>
    </row>
    <row r="1667" spans="1:10">
      <c r="A1667" s="74" t="s">
        <v>1319</v>
      </c>
      <c r="B1667" s="74" t="s">
        <v>256</v>
      </c>
      <c r="C1667" s="74" t="s">
        <v>1511</v>
      </c>
      <c r="D1667" s="74" t="s">
        <v>80</v>
      </c>
      <c r="E1667" s="74">
        <v>8</v>
      </c>
      <c r="F1667" s="74">
        <v>58</v>
      </c>
      <c r="G1667" s="758">
        <f t="shared" si="104"/>
        <v>0.5</v>
      </c>
      <c r="H1667" s="759">
        <f t="shared" si="105"/>
        <v>0.21</v>
      </c>
      <c r="I1667" s="758">
        <f t="shared" si="106"/>
        <v>6.75</v>
      </c>
      <c r="J1667" s="760">
        <f t="shared" si="107"/>
        <v>0.93103448275862066</v>
      </c>
    </row>
    <row r="1668" spans="1:10">
      <c r="A1668" s="74" t="s">
        <v>1319</v>
      </c>
      <c r="B1668" s="74" t="s">
        <v>256</v>
      </c>
      <c r="C1668" s="74" t="s">
        <v>1512</v>
      </c>
      <c r="D1668" s="74" t="s">
        <v>80</v>
      </c>
      <c r="E1668" s="74">
        <v>8</v>
      </c>
      <c r="F1668" s="74">
        <v>58.25</v>
      </c>
      <c r="G1668" s="758">
        <f t="shared" si="104"/>
        <v>0.5</v>
      </c>
      <c r="H1668" s="759">
        <f t="shared" si="105"/>
        <v>0.21</v>
      </c>
      <c r="I1668" s="758">
        <f t="shared" si="106"/>
        <v>6.78125</v>
      </c>
      <c r="J1668" s="760">
        <f t="shared" si="107"/>
        <v>0.93133047210300424</v>
      </c>
    </row>
    <row r="1669" spans="1:10">
      <c r="A1669" s="74" t="s">
        <v>1319</v>
      </c>
      <c r="B1669" s="74" t="s">
        <v>256</v>
      </c>
      <c r="C1669" s="74" t="s">
        <v>1534</v>
      </c>
      <c r="D1669" s="74" t="s">
        <v>81</v>
      </c>
      <c r="E1669" s="74">
        <v>12</v>
      </c>
      <c r="F1669" s="74">
        <v>87.3</v>
      </c>
      <c r="G1669" s="758">
        <f t="shared" si="104"/>
        <v>0.5</v>
      </c>
      <c r="H1669" s="759">
        <f t="shared" si="105"/>
        <v>0.21</v>
      </c>
      <c r="I1669" s="758">
        <f t="shared" si="106"/>
        <v>6.7749999999999995</v>
      </c>
      <c r="J1669" s="760">
        <f t="shared" si="107"/>
        <v>0.93127147766323026</v>
      </c>
    </row>
    <row r="1670" spans="1:10">
      <c r="A1670" s="74" t="s">
        <v>1319</v>
      </c>
      <c r="B1670" s="74" t="s">
        <v>256</v>
      </c>
      <c r="C1670" s="74" t="s">
        <v>1513</v>
      </c>
      <c r="D1670" s="74" t="s">
        <v>81</v>
      </c>
      <c r="E1670" s="74">
        <v>13</v>
      </c>
      <c r="F1670" s="74">
        <v>96.2</v>
      </c>
      <c r="G1670" s="758">
        <f t="shared" si="104"/>
        <v>0.5</v>
      </c>
      <c r="H1670" s="759">
        <f t="shared" si="105"/>
        <v>0.21</v>
      </c>
      <c r="I1670" s="758">
        <f t="shared" si="106"/>
        <v>6.9</v>
      </c>
      <c r="J1670" s="760">
        <f t="shared" si="107"/>
        <v>0.93243243243243246</v>
      </c>
    </row>
    <row r="1671" spans="1:10">
      <c r="A1671" s="74" t="s">
        <v>1319</v>
      </c>
      <c r="B1671" s="74" t="s">
        <v>256</v>
      </c>
      <c r="C1671" s="74" t="s">
        <v>1514</v>
      </c>
      <c r="D1671" s="74" t="s">
        <v>81</v>
      </c>
      <c r="E1671" s="74">
        <v>6</v>
      </c>
      <c r="F1671" s="74">
        <v>43.5</v>
      </c>
      <c r="G1671" s="758">
        <f t="shared" si="104"/>
        <v>0.5</v>
      </c>
      <c r="H1671" s="759">
        <f t="shared" si="105"/>
        <v>0.21</v>
      </c>
      <c r="I1671" s="758">
        <f t="shared" si="106"/>
        <v>6.75</v>
      </c>
      <c r="J1671" s="760">
        <f t="shared" si="107"/>
        <v>0.93103448275862066</v>
      </c>
    </row>
    <row r="1672" spans="1:10">
      <c r="A1672" s="74" t="s">
        <v>1319</v>
      </c>
      <c r="B1672" s="74" t="s">
        <v>256</v>
      </c>
      <c r="C1672" s="74" t="s">
        <v>1515</v>
      </c>
      <c r="D1672" s="74" t="s">
        <v>81</v>
      </c>
      <c r="E1672" s="74">
        <v>9</v>
      </c>
      <c r="F1672" s="74">
        <v>236.15</v>
      </c>
      <c r="G1672" s="758">
        <f t="shared" si="104"/>
        <v>0.5</v>
      </c>
      <c r="H1672" s="759">
        <f t="shared" si="105"/>
        <v>0.21</v>
      </c>
      <c r="I1672" s="758">
        <f t="shared" si="106"/>
        <v>25.738888888888891</v>
      </c>
      <c r="J1672" s="760">
        <f t="shared" si="107"/>
        <v>0.98094431505399116</v>
      </c>
    </row>
    <row r="1673" spans="1:10">
      <c r="A1673" s="74" t="s">
        <v>1319</v>
      </c>
      <c r="B1673" s="74" t="s">
        <v>256</v>
      </c>
      <c r="C1673" s="74" t="s">
        <v>1516</v>
      </c>
      <c r="D1673" s="74" t="s">
        <v>82</v>
      </c>
      <c r="E1673" s="74">
        <v>8</v>
      </c>
      <c r="F1673" s="74">
        <v>58.3</v>
      </c>
      <c r="G1673" s="758">
        <f t="shared" si="104"/>
        <v>0.5</v>
      </c>
      <c r="H1673" s="759">
        <f t="shared" si="105"/>
        <v>0.21</v>
      </c>
      <c r="I1673" s="758">
        <f t="shared" si="106"/>
        <v>6.7874999999999996</v>
      </c>
      <c r="J1673" s="760">
        <f t="shared" si="107"/>
        <v>0.93138936535162953</v>
      </c>
    </row>
    <row r="1674" spans="1:10">
      <c r="A1674" s="74" t="s">
        <v>1319</v>
      </c>
      <c r="B1674" s="74" t="s">
        <v>256</v>
      </c>
      <c r="C1674" s="74" t="s">
        <v>1517</v>
      </c>
      <c r="D1674" s="74" t="s">
        <v>82</v>
      </c>
      <c r="E1674" s="74">
        <v>7</v>
      </c>
      <c r="F1674" s="74">
        <v>50.9</v>
      </c>
      <c r="G1674" s="758">
        <f t="shared" si="104"/>
        <v>0.5</v>
      </c>
      <c r="H1674" s="759">
        <f t="shared" si="105"/>
        <v>0.21</v>
      </c>
      <c r="I1674" s="758">
        <f t="shared" si="106"/>
        <v>6.7714285714285714</v>
      </c>
      <c r="J1674" s="760">
        <f t="shared" si="107"/>
        <v>0.93123772102161095</v>
      </c>
    </row>
    <row r="1675" spans="1:10">
      <c r="A1675" s="74" t="s">
        <v>1319</v>
      </c>
      <c r="B1675" s="74" t="s">
        <v>256</v>
      </c>
      <c r="C1675" s="74" t="s">
        <v>1527</v>
      </c>
      <c r="D1675" s="74" t="s">
        <v>82</v>
      </c>
      <c r="E1675" s="74">
        <v>9</v>
      </c>
      <c r="F1675" s="74">
        <v>65.7</v>
      </c>
      <c r="G1675" s="758">
        <f t="shared" si="104"/>
        <v>0.5</v>
      </c>
      <c r="H1675" s="759">
        <f t="shared" si="105"/>
        <v>0.21</v>
      </c>
      <c r="I1675" s="758">
        <f t="shared" si="106"/>
        <v>6.8000000000000007</v>
      </c>
      <c r="J1675" s="760">
        <f t="shared" si="107"/>
        <v>0.93150684931506844</v>
      </c>
    </row>
    <row r="1676" spans="1:10">
      <c r="A1676" s="74" t="s">
        <v>1319</v>
      </c>
      <c r="B1676" s="74" t="s">
        <v>256</v>
      </c>
      <c r="C1676" s="74" t="s">
        <v>1518</v>
      </c>
      <c r="D1676" s="74" t="s">
        <v>82</v>
      </c>
      <c r="E1676" s="74">
        <v>6</v>
      </c>
      <c r="F1676" s="74">
        <v>43.8</v>
      </c>
      <c r="G1676" s="758">
        <f t="shared" si="104"/>
        <v>0.5</v>
      </c>
      <c r="H1676" s="759">
        <f t="shared" si="105"/>
        <v>0.21</v>
      </c>
      <c r="I1676" s="758">
        <f t="shared" si="106"/>
        <v>6.8</v>
      </c>
      <c r="J1676" s="760">
        <f t="shared" si="107"/>
        <v>0.93150684931506844</v>
      </c>
    </row>
    <row r="1677" spans="1:10">
      <c r="A1677" s="74" t="s">
        <v>1319</v>
      </c>
      <c r="B1677" s="74" t="s">
        <v>256</v>
      </c>
      <c r="C1677" s="74" t="s">
        <v>1519</v>
      </c>
      <c r="D1677" s="74" t="s">
        <v>84</v>
      </c>
      <c r="E1677" s="74">
        <v>1</v>
      </c>
      <c r="F1677" s="74">
        <v>7.4</v>
      </c>
      <c r="G1677" s="758">
        <f t="shared" si="104"/>
        <v>0.5</v>
      </c>
      <c r="H1677" s="759">
        <f t="shared" si="105"/>
        <v>0.21</v>
      </c>
      <c r="I1677" s="758">
        <f t="shared" si="106"/>
        <v>6.9</v>
      </c>
      <c r="J1677" s="760">
        <f t="shared" si="107"/>
        <v>0.93243243243243246</v>
      </c>
    </row>
    <row r="1678" spans="1:10">
      <c r="A1678" s="74" t="s">
        <v>1698</v>
      </c>
      <c r="B1678" s="74" t="s">
        <v>256</v>
      </c>
      <c r="C1678" s="74" t="s">
        <v>1517</v>
      </c>
      <c r="D1678" s="74" t="s">
        <v>82</v>
      </c>
      <c r="E1678" s="74">
        <v>1</v>
      </c>
      <c r="F1678" s="74">
        <v>0</v>
      </c>
      <c r="G1678" s="758">
        <f t="shared" si="104"/>
        <v>0</v>
      </c>
      <c r="H1678" s="759">
        <f t="shared" si="105"/>
        <v>0.24</v>
      </c>
      <c r="I1678" s="758">
        <f t="shared" si="106"/>
        <v>0</v>
      </c>
      <c r="J1678" s="760">
        <f t="shared" si="107"/>
        <v>0</v>
      </c>
    </row>
    <row r="1679" spans="1:10">
      <c r="A1679" s="74" t="s">
        <v>1699</v>
      </c>
      <c r="B1679" s="74" t="s">
        <v>877</v>
      </c>
      <c r="C1679" s="74" t="s">
        <v>1518</v>
      </c>
      <c r="D1679" s="74" t="s">
        <v>82</v>
      </c>
      <c r="E1679" s="74">
        <v>3</v>
      </c>
      <c r="F1679" s="74">
        <v>9</v>
      </c>
      <c r="G1679" s="758">
        <f t="shared" si="104"/>
        <v>1.33</v>
      </c>
      <c r="H1679" s="759">
        <f t="shared" si="105"/>
        <v>0.49</v>
      </c>
      <c r="I1679" s="758">
        <f t="shared" si="106"/>
        <v>1.67</v>
      </c>
      <c r="J1679" s="760">
        <f t="shared" si="107"/>
        <v>0.55666666666666664</v>
      </c>
    </row>
    <row r="1680" spans="1:10">
      <c r="A1680" s="74" t="s">
        <v>1699</v>
      </c>
      <c r="B1680" s="74" t="s">
        <v>877</v>
      </c>
      <c r="C1680" s="74" t="s">
        <v>1540</v>
      </c>
      <c r="D1680" s="74" t="s">
        <v>84</v>
      </c>
      <c r="E1680" s="74">
        <v>2</v>
      </c>
      <c r="F1680" s="74">
        <v>6</v>
      </c>
      <c r="G1680" s="758">
        <f t="shared" si="104"/>
        <v>1.33</v>
      </c>
      <c r="H1680" s="759">
        <f t="shared" si="105"/>
        <v>0.49</v>
      </c>
      <c r="I1680" s="758">
        <f t="shared" si="106"/>
        <v>1.67</v>
      </c>
      <c r="J1680" s="760">
        <f t="shared" si="107"/>
        <v>0.55666666666666664</v>
      </c>
    </row>
    <row r="1681" spans="1:10">
      <c r="A1681" s="74" t="s">
        <v>1700</v>
      </c>
      <c r="B1681" s="74" t="s">
        <v>877</v>
      </c>
      <c r="C1681" s="74" t="s">
        <v>1541</v>
      </c>
      <c r="D1681" s="74" t="s">
        <v>86</v>
      </c>
      <c r="E1681" s="74">
        <v>3</v>
      </c>
      <c r="F1681" s="74">
        <v>9</v>
      </c>
      <c r="G1681" s="758">
        <f t="shared" si="104"/>
        <v>0</v>
      </c>
      <c r="H1681" s="759">
        <f t="shared" si="105"/>
        <v>0</v>
      </c>
      <c r="I1681" s="758">
        <f t="shared" si="106"/>
        <v>3</v>
      </c>
      <c r="J1681" s="760">
        <f t="shared" si="107"/>
        <v>1</v>
      </c>
    </row>
    <row r="1682" spans="1:10">
      <c r="A1682" s="74" t="s">
        <v>1700</v>
      </c>
      <c r="B1682" s="74" t="s">
        <v>877</v>
      </c>
      <c r="C1682" s="74" t="s">
        <v>1582</v>
      </c>
      <c r="D1682" s="74" t="s">
        <v>89</v>
      </c>
      <c r="E1682" s="74">
        <v>2</v>
      </c>
      <c r="F1682" s="74">
        <v>6</v>
      </c>
      <c r="G1682" s="758">
        <f t="shared" si="104"/>
        <v>0</v>
      </c>
      <c r="H1682" s="759">
        <f t="shared" si="105"/>
        <v>0</v>
      </c>
      <c r="I1682" s="758">
        <f t="shared" si="106"/>
        <v>3</v>
      </c>
      <c r="J1682" s="760">
        <f t="shared" si="107"/>
        <v>1</v>
      </c>
    </row>
    <row r="1683" spans="1:10">
      <c r="A1683" s="74" t="s">
        <v>880</v>
      </c>
      <c r="B1683" s="74" t="s">
        <v>266</v>
      </c>
      <c r="C1683" s="74" t="s">
        <v>1675</v>
      </c>
      <c r="D1683" s="74" t="s">
        <v>91</v>
      </c>
      <c r="E1683" s="74">
        <v>1</v>
      </c>
      <c r="F1683" s="74">
        <v>0</v>
      </c>
      <c r="G1683" s="758">
        <f t="shared" si="104"/>
        <v>0</v>
      </c>
      <c r="H1683" s="759">
        <f t="shared" si="105"/>
        <v>0</v>
      </c>
      <c r="I1683" s="758">
        <f t="shared" si="106"/>
        <v>0</v>
      </c>
      <c r="J1683" s="760">
        <f t="shared" si="107"/>
        <v>0</v>
      </c>
    </row>
    <row r="1684" spans="1:10">
      <c r="A1684" s="74" t="s">
        <v>880</v>
      </c>
      <c r="B1684" s="74" t="s">
        <v>266</v>
      </c>
      <c r="C1684" s="74" t="s">
        <v>1524</v>
      </c>
      <c r="D1684" s="74" t="s">
        <v>91</v>
      </c>
      <c r="E1684" s="74">
        <v>1</v>
      </c>
      <c r="F1684" s="74">
        <v>0</v>
      </c>
      <c r="G1684" s="758">
        <f t="shared" si="104"/>
        <v>0</v>
      </c>
      <c r="H1684" s="759">
        <f t="shared" si="105"/>
        <v>0</v>
      </c>
      <c r="I1684" s="758">
        <f t="shared" si="106"/>
        <v>0</v>
      </c>
      <c r="J1684" s="760">
        <f t="shared" si="107"/>
        <v>0</v>
      </c>
    </row>
    <row r="1685" spans="1:10">
      <c r="A1685" s="74" t="s">
        <v>880</v>
      </c>
      <c r="B1685" s="74" t="s">
        <v>266</v>
      </c>
      <c r="C1685" s="74" t="s">
        <v>1584</v>
      </c>
      <c r="D1685" s="74" t="s">
        <v>92</v>
      </c>
      <c r="E1685" s="74">
        <v>1</v>
      </c>
      <c r="F1685" s="74">
        <v>0</v>
      </c>
      <c r="G1685" s="758">
        <f t="shared" si="104"/>
        <v>0</v>
      </c>
      <c r="H1685" s="759">
        <f t="shared" si="105"/>
        <v>0</v>
      </c>
      <c r="I1685" s="758">
        <f t="shared" si="106"/>
        <v>0</v>
      </c>
      <c r="J1685" s="760">
        <f t="shared" si="107"/>
        <v>0</v>
      </c>
    </row>
    <row r="1686" spans="1:10">
      <c r="A1686" s="74" t="s">
        <v>880</v>
      </c>
      <c r="B1686" s="74" t="s">
        <v>266</v>
      </c>
      <c r="C1686" s="74" t="s">
        <v>1617</v>
      </c>
      <c r="D1686" s="74" t="s">
        <v>94</v>
      </c>
      <c r="E1686" s="74">
        <v>2</v>
      </c>
      <c r="F1686" s="74">
        <v>0</v>
      </c>
      <c r="G1686" s="758">
        <f t="shared" si="104"/>
        <v>0</v>
      </c>
      <c r="H1686" s="759">
        <f t="shared" si="105"/>
        <v>0</v>
      </c>
      <c r="I1686" s="758">
        <f t="shared" si="106"/>
        <v>0</v>
      </c>
      <c r="J1686" s="760">
        <f t="shared" si="107"/>
        <v>0</v>
      </c>
    </row>
    <row r="1687" spans="1:10">
      <c r="A1687" s="74" t="s">
        <v>880</v>
      </c>
      <c r="B1687" s="74" t="s">
        <v>266</v>
      </c>
      <c r="C1687" s="74" t="s">
        <v>1553</v>
      </c>
      <c r="D1687" s="74" t="s">
        <v>94</v>
      </c>
      <c r="E1687" s="74">
        <v>2</v>
      </c>
      <c r="F1687" s="74">
        <v>0</v>
      </c>
      <c r="G1687" s="758">
        <f t="shared" si="104"/>
        <v>0</v>
      </c>
      <c r="H1687" s="759">
        <f t="shared" si="105"/>
        <v>0</v>
      </c>
      <c r="I1687" s="758">
        <f t="shared" si="106"/>
        <v>0</v>
      </c>
      <c r="J1687" s="760">
        <f t="shared" si="107"/>
        <v>0</v>
      </c>
    </row>
    <row r="1688" spans="1:10">
      <c r="A1688" s="74" t="s">
        <v>880</v>
      </c>
      <c r="B1688" s="74" t="s">
        <v>266</v>
      </c>
      <c r="C1688" s="74" t="s">
        <v>1557</v>
      </c>
      <c r="D1688" s="74" t="s">
        <v>95</v>
      </c>
      <c r="E1688" s="74">
        <v>1</v>
      </c>
      <c r="F1688" s="74">
        <v>0</v>
      </c>
      <c r="G1688" s="758">
        <f t="shared" si="104"/>
        <v>0</v>
      </c>
      <c r="H1688" s="759">
        <f t="shared" si="105"/>
        <v>0</v>
      </c>
      <c r="I1688" s="758">
        <f t="shared" si="106"/>
        <v>0</v>
      </c>
      <c r="J1688" s="760">
        <f t="shared" si="107"/>
        <v>0</v>
      </c>
    </row>
    <row r="1689" spans="1:10">
      <c r="A1689" s="74" t="s">
        <v>880</v>
      </c>
      <c r="B1689" s="74" t="s">
        <v>266</v>
      </c>
      <c r="C1689" s="74" t="s">
        <v>1930</v>
      </c>
      <c r="D1689" s="74" t="s">
        <v>95</v>
      </c>
      <c r="E1689" s="74">
        <v>3</v>
      </c>
      <c r="F1689" s="74">
        <v>0</v>
      </c>
      <c r="G1689" s="758">
        <f t="shared" si="104"/>
        <v>0</v>
      </c>
      <c r="H1689" s="759">
        <f t="shared" si="105"/>
        <v>0</v>
      </c>
      <c r="I1689" s="758">
        <f t="shared" si="106"/>
        <v>0</v>
      </c>
      <c r="J1689" s="760">
        <f t="shared" si="107"/>
        <v>0</v>
      </c>
    </row>
    <row r="1690" spans="1:10">
      <c r="A1690" s="74" t="s">
        <v>1701</v>
      </c>
      <c r="B1690" s="74" t="s">
        <v>253</v>
      </c>
      <c r="C1690" s="74" t="s">
        <v>1522</v>
      </c>
      <c r="D1690" s="74" t="s">
        <v>91</v>
      </c>
      <c r="E1690" s="74">
        <v>1</v>
      </c>
      <c r="F1690" s="74">
        <v>3.45</v>
      </c>
      <c r="G1690" s="758">
        <f t="shared" si="104"/>
        <v>0</v>
      </c>
      <c r="H1690" s="759">
        <f t="shared" si="105"/>
        <v>0</v>
      </c>
      <c r="I1690" s="758">
        <f t="shared" si="106"/>
        <v>3.45</v>
      </c>
      <c r="J1690" s="760">
        <f t="shared" si="107"/>
        <v>1</v>
      </c>
    </row>
    <row r="1691" spans="1:10">
      <c r="A1691" s="74" t="s">
        <v>1702</v>
      </c>
      <c r="B1691" s="74" t="s">
        <v>258</v>
      </c>
      <c r="C1691" s="74" t="s">
        <v>1577</v>
      </c>
      <c r="D1691" s="74" t="s">
        <v>84</v>
      </c>
      <c r="E1691" s="74">
        <v>2</v>
      </c>
      <c r="F1691" s="74">
        <v>0</v>
      </c>
      <c r="G1691" s="758">
        <f t="shared" si="104"/>
        <v>0</v>
      </c>
      <c r="H1691" s="759">
        <f t="shared" si="105"/>
        <v>0</v>
      </c>
      <c r="I1691" s="758">
        <f t="shared" si="106"/>
        <v>0</v>
      </c>
      <c r="J1691" s="760">
        <f t="shared" si="107"/>
        <v>0</v>
      </c>
    </row>
    <row r="1692" spans="1:10">
      <c r="A1692" s="74" t="s">
        <v>938</v>
      </c>
      <c r="B1692" s="74" t="s">
        <v>247</v>
      </c>
      <c r="C1692" s="74" t="s">
        <v>1528</v>
      </c>
      <c r="D1692" s="74" t="s">
        <v>78</v>
      </c>
      <c r="E1692" s="74">
        <v>1</v>
      </c>
      <c r="F1692" s="74">
        <v>2.25</v>
      </c>
      <c r="G1692" s="758">
        <f t="shared" si="104"/>
        <v>0.28999999999999998</v>
      </c>
      <c r="H1692" s="759">
        <f t="shared" si="105"/>
        <v>0.25</v>
      </c>
      <c r="I1692" s="758">
        <f t="shared" si="106"/>
        <v>1.96</v>
      </c>
      <c r="J1692" s="760">
        <f t="shared" si="107"/>
        <v>0.87111111111111117</v>
      </c>
    </row>
    <row r="1693" spans="1:10">
      <c r="A1693" s="74" t="s">
        <v>938</v>
      </c>
      <c r="B1693" s="74" t="s">
        <v>247</v>
      </c>
      <c r="C1693" s="74" t="s">
        <v>1509</v>
      </c>
      <c r="D1693" s="74" t="s">
        <v>78</v>
      </c>
      <c r="E1693" s="74">
        <v>3</v>
      </c>
      <c r="F1693" s="74">
        <v>6.75</v>
      </c>
      <c r="G1693" s="758">
        <f t="shared" si="104"/>
        <v>0.28999999999999998</v>
      </c>
      <c r="H1693" s="759">
        <f t="shared" si="105"/>
        <v>0.25</v>
      </c>
      <c r="I1693" s="758">
        <f t="shared" si="106"/>
        <v>1.96</v>
      </c>
      <c r="J1693" s="760">
        <f t="shared" si="107"/>
        <v>0.87111111111111117</v>
      </c>
    </row>
    <row r="1694" spans="1:10">
      <c r="A1694" s="74" t="s">
        <v>938</v>
      </c>
      <c r="B1694" s="74" t="s">
        <v>247</v>
      </c>
      <c r="C1694" s="74" t="s">
        <v>1565</v>
      </c>
      <c r="D1694" s="74" t="s">
        <v>78</v>
      </c>
      <c r="E1694" s="74">
        <v>2</v>
      </c>
      <c r="F1694" s="74">
        <v>4.5</v>
      </c>
      <c r="G1694" s="758">
        <f t="shared" si="104"/>
        <v>0.28999999999999998</v>
      </c>
      <c r="H1694" s="759">
        <f t="shared" si="105"/>
        <v>0.25</v>
      </c>
      <c r="I1694" s="758">
        <f t="shared" si="106"/>
        <v>1.96</v>
      </c>
      <c r="J1694" s="760">
        <f t="shared" si="107"/>
        <v>0.87111111111111117</v>
      </c>
    </row>
    <row r="1695" spans="1:10">
      <c r="A1695" s="74" t="s">
        <v>938</v>
      </c>
      <c r="B1695" s="74" t="s">
        <v>247</v>
      </c>
      <c r="C1695" s="74" t="s">
        <v>1532</v>
      </c>
      <c r="D1695" s="74" t="s">
        <v>80</v>
      </c>
      <c r="E1695" s="74">
        <v>1</v>
      </c>
      <c r="F1695" s="74">
        <v>2.25</v>
      </c>
      <c r="G1695" s="758">
        <f t="shared" si="104"/>
        <v>0.28999999999999998</v>
      </c>
      <c r="H1695" s="759">
        <f t="shared" si="105"/>
        <v>0.25</v>
      </c>
      <c r="I1695" s="758">
        <f t="shared" si="106"/>
        <v>1.96</v>
      </c>
      <c r="J1695" s="760">
        <f t="shared" si="107"/>
        <v>0.87111111111111117</v>
      </c>
    </row>
    <row r="1696" spans="1:10">
      <c r="A1696" s="74" t="s">
        <v>938</v>
      </c>
      <c r="B1696" s="74" t="s">
        <v>247</v>
      </c>
      <c r="C1696" s="74" t="s">
        <v>1534</v>
      </c>
      <c r="D1696" s="74" t="s">
        <v>81</v>
      </c>
      <c r="E1696" s="74">
        <v>3</v>
      </c>
      <c r="F1696" s="74">
        <v>6.75</v>
      </c>
      <c r="G1696" s="758">
        <f t="shared" si="104"/>
        <v>0.28999999999999998</v>
      </c>
      <c r="H1696" s="759">
        <f t="shared" si="105"/>
        <v>0.25</v>
      </c>
      <c r="I1696" s="758">
        <f t="shared" si="106"/>
        <v>1.96</v>
      </c>
      <c r="J1696" s="760">
        <f t="shared" si="107"/>
        <v>0.87111111111111117</v>
      </c>
    </row>
    <row r="1697" spans="1:10">
      <c r="A1697" s="74" t="s">
        <v>938</v>
      </c>
      <c r="B1697" s="74" t="s">
        <v>247</v>
      </c>
      <c r="C1697" s="74" t="s">
        <v>1514</v>
      </c>
      <c r="D1697" s="74" t="s">
        <v>81</v>
      </c>
      <c r="E1697" s="74">
        <v>3</v>
      </c>
      <c r="F1697" s="74">
        <v>6.75</v>
      </c>
      <c r="G1697" s="758">
        <f t="shared" si="104"/>
        <v>0.28999999999999998</v>
      </c>
      <c r="H1697" s="759">
        <f t="shared" si="105"/>
        <v>0.25</v>
      </c>
      <c r="I1697" s="758">
        <f t="shared" si="106"/>
        <v>1.96</v>
      </c>
      <c r="J1697" s="760">
        <f t="shared" si="107"/>
        <v>0.87111111111111117</v>
      </c>
    </row>
    <row r="1698" spans="1:10">
      <c r="A1698" s="74" t="s">
        <v>938</v>
      </c>
      <c r="B1698" s="74" t="s">
        <v>247</v>
      </c>
      <c r="C1698" s="74" t="s">
        <v>1515</v>
      </c>
      <c r="D1698" s="74" t="s">
        <v>81</v>
      </c>
      <c r="E1698" s="74">
        <v>2</v>
      </c>
      <c r="F1698" s="74">
        <v>5.5</v>
      </c>
      <c r="G1698" s="758">
        <f t="shared" si="104"/>
        <v>0.28999999999999998</v>
      </c>
      <c r="H1698" s="759">
        <f t="shared" si="105"/>
        <v>0.25</v>
      </c>
      <c r="I1698" s="758">
        <f t="shared" si="106"/>
        <v>2.46</v>
      </c>
      <c r="J1698" s="760">
        <f t="shared" si="107"/>
        <v>0.89454545454545453</v>
      </c>
    </row>
    <row r="1699" spans="1:10">
      <c r="A1699" s="74" t="s">
        <v>938</v>
      </c>
      <c r="B1699" s="74" t="s">
        <v>247</v>
      </c>
      <c r="C1699" s="74" t="s">
        <v>1517</v>
      </c>
      <c r="D1699" s="74" t="s">
        <v>82</v>
      </c>
      <c r="E1699" s="74">
        <v>2</v>
      </c>
      <c r="F1699" s="74">
        <v>4.6500000000000004</v>
      </c>
      <c r="G1699" s="758">
        <f t="shared" si="104"/>
        <v>0.28999999999999998</v>
      </c>
      <c r="H1699" s="759">
        <f t="shared" si="105"/>
        <v>0.25</v>
      </c>
      <c r="I1699" s="758">
        <f t="shared" si="106"/>
        <v>2.0350000000000001</v>
      </c>
      <c r="J1699" s="760">
        <f t="shared" si="107"/>
        <v>0.87526881720430105</v>
      </c>
    </row>
    <row r="1700" spans="1:10">
      <c r="A1700" s="74" t="s">
        <v>938</v>
      </c>
      <c r="B1700" s="74" t="s">
        <v>247</v>
      </c>
      <c r="C1700" s="74" t="s">
        <v>1527</v>
      </c>
      <c r="D1700" s="74" t="s">
        <v>82</v>
      </c>
      <c r="E1700" s="74">
        <v>1</v>
      </c>
      <c r="F1700" s="74">
        <v>2.25</v>
      </c>
      <c r="G1700" s="758">
        <f t="shared" si="104"/>
        <v>0.28999999999999998</v>
      </c>
      <c r="H1700" s="759">
        <f t="shared" si="105"/>
        <v>0.25</v>
      </c>
      <c r="I1700" s="758">
        <f t="shared" si="106"/>
        <v>1.96</v>
      </c>
      <c r="J1700" s="760">
        <f t="shared" si="107"/>
        <v>0.87111111111111117</v>
      </c>
    </row>
    <row r="1701" spans="1:10">
      <c r="A1701" s="74" t="s">
        <v>938</v>
      </c>
      <c r="B1701" s="74" t="s">
        <v>247</v>
      </c>
      <c r="C1701" s="74" t="s">
        <v>1518</v>
      </c>
      <c r="D1701" s="74" t="s">
        <v>82</v>
      </c>
      <c r="E1701" s="74">
        <v>1</v>
      </c>
      <c r="F1701" s="74">
        <v>2.25</v>
      </c>
      <c r="G1701" s="758">
        <f t="shared" si="104"/>
        <v>0.28999999999999998</v>
      </c>
      <c r="H1701" s="759">
        <f t="shared" si="105"/>
        <v>0.25</v>
      </c>
      <c r="I1701" s="758">
        <f t="shared" si="106"/>
        <v>1.96</v>
      </c>
      <c r="J1701" s="760">
        <f t="shared" si="107"/>
        <v>0.87111111111111117</v>
      </c>
    </row>
    <row r="1702" spans="1:10">
      <c r="A1702" s="74" t="s">
        <v>938</v>
      </c>
      <c r="B1702" s="74" t="s">
        <v>247</v>
      </c>
      <c r="C1702" s="74" t="s">
        <v>1540</v>
      </c>
      <c r="D1702" s="74" t="s">
        <v>84</v>
      </c>
      <c r="E1702" s="74">
        <v>1</v>
      </c>
      <c r="F1702" s="74">
        <v>2.25</v>
      </c>
      <c r="G1702" s="758">
        <f t="shared" si="104"/>
        <v>0.28999999999999998</v>
      </c>
      <c r="H1702" s="759">
        <f t="shared" si="105"/>
        <v>0.25</v>
      </c>
      <c r="I1702" s="758">
        <f t="shared" si="106"/>
        <v>1.96</v>
      </c>
      <c r="J1702" s="760">
        <f t="shared" si="107"/>
        <v>0.87111111111111117</v>
      </c>
    </row>
    <row r="1703" spans="1:10">
      <c r="A1703" s="74" t="s">
        <v>938</v>
      </c>
      <c r="B1703" s="74" t="s">
        <v>247</v>
      </c>
      <c r="C1703" s="74" t="s">
        <v>1644</v>
      </c>
      <c r="D1703" s="74" t="s">
        <v>86</v>
      </c>
      <c r="E1703" s="74">
        <v>1</v>
      </c>
      <c r="F1703" s="74">
        <v>2.25</v>
      </c>
      <c r="G1703" s="758">
        <f t="shared" si="104"/>
        <v>0.28999999999999998</v>
      </c>
      <c r="H1703" s="759">
        <f t="shared" si="105"/>
        <v>0.25</v>
      </c>
      <c r="I1703" s="758">
        <f t="shared" si="106"/>
        <v>1.96</v>
      </c>
      <c r="J1703" s="760">
        <f t="shared" si="107"/>
        <v>0.87111111111111117</v>
      </c>
    </row>
    <row r="1704" spans="1:10">
      <c r="A1704" s="74" t="s">
        <v>938</v>
      </c>
      <c r="B1704" s="74" t="s">
        <v>247</v>
      </c>
      <c r="C1704" s="74" t="s">
        <v>1541</v>
      </c>
      <c r="D1704" s="74" t="s">
        <v>86</v>
      </c>
      <c r="E1704" s="74">
        <v>2</v>
      </c>
      <c r="F1704" s="74">
        <v>4.5</v>
      </c>
      <c r="G1704" s="758">
        <f t="shared" si="104"/>
        <v>0.28999999999999998</v>
      </c>
      <c r="H1704" s="759">
        <f t="shared" si="105"/>
        <v>0.25</v>
      </c>
      <c r="I1704" s="758">
        <f t="shared" si="106"/>
        <v>1.96</v>
      </c>
      <c r="J1704" s="760">
        <f t="shared" si="107"/>
        <v>0.87111111111111117</v>
      </c>
    </row>
    <row r="1705" spans="1:10">
      <c r="A1705" s="74" t="s">
        <v>938</v>
      </c>
      <c r="B1705" s="74" t="s">
        <v>247</v>
      </c>
      <c r="C1705" s="74" t="s">
        <v>1543</v>
      </c>
      <c r="D1705" s="74" t="s">
        <v>87</v>
      </c>
      <c r="E1705" s="74">
        <v>1</v>
      </c>
      <c r="F1705" s="74">
        <v>2.25</v>
      </c>
      <c r="G1705" s="758">
        <f t="shared" si="104"/>
        <v>0.28999999999999998</v>
      </c>
      <c r="H1705" s="759">
        <f t="shared" si="105"/>
        <v>0.25</v>
      </c>
      <c r="I1705" s="758">
        <f t="shared" si="106"/>
        <v>1.96</v>
      </c>
      <c r="J1705" s="760">
        <f t="shared" si="107"/>
        <v>0.87111111111111117</v>
      </c>
    </row>
    <row r="1706" spans="1:10">
      <c r="A1706" s="74" t="s">
        <v>938</v>
      </c>
      <c r="B1706" s="74" t="s">
        <v>247</v>
      </c>
      <c r="C1706" s="74" t="s">
        <v>1605</v>
      </c>
      <c r="D1706" s="74" t="s">
        <v>87</v>
      </c>
      <c r="E1706" s="74">
        <v>1</v>
      </c>
      <c r="F1706" s="74">
        <v>2.25</v>
      </c>
      <c r="G1706" s="758">
        <f t="shared" si="104"/>
        <v>0.28999999999999998</v>
      </c>
      <c r="H1706" s="759">
        <f t="shared" si="105"/>
        <v>0.25</v>
      </c>
      <c r="I1706" s="758">
        <f t="shared" si="106"/>
        <v>1.96</v>
      </c>
      <c r="J1706" s="760">
        <f t="shared" si="107"/>
        <v>0.87111111111111117</v>
      </c>
    </row>
    <row r="1707" spans="1:10">
      <c r="A1707" s="74" t="s">
        <v>938</v>
      </c>
      <c r="B1707" s="74" t="s">
        <v>247</v>
      </c>
      <c r="C1707" s="74" t="s">
        <v>1546</v>
      </c>
      <c r="D1707" s="74" t="s">
        <v>89</v>
      </c>
      <c r="E1707" s="74">
        <v>1</v>
      </c>
      <c r="F1707" s="74">
        <v>2.4</v>
      </c>
      <c r="G1707" s="758">
        <f t="shared" si="104"/>
        <v>0.28999999999999998</v>
      </c>
      <c r="H1707" s="759">
        <f t="shared" si="105"/>
        <v>0.25</v>
      </c>
      <c r="I1707" s="758">
        <f t="shared" si="106"/>
        <v>2.11</v>
      </c>
      <c r="J1707" s="760">
        <f t="shared" si="107"/>
        <v>0.87916666666666665</v>
      </c>
    </row>
    <row r="1708" spans="1:10">
      <c r="A1708" s="74" t="s">
        <v>938</v>
      </c>
      <c r="B1708" s="74" t="s">
        <v>247</v>
      </c>
      <c r="C1708" s="74" t="s">
        <v>1614</v>
      </c>
      <c r="D1708" s="74" t="s">
        <v>92</v>
      </c>
      <c r="E1708" s="74">
        <v>1</v>
      </c>
      <c r="F1708" s="74">
        <v>2.25</v>
      </c>
      <c r="G1708" s="758">
        <f t="shared" si="104"/>
        <v>0.28999999999999998</v>
      </c>
      <c r="H1708" s="759">
        <f t="shared" si="105"/>
        <v>0.25</v>
      </c>
      <c r="I1708" s="758">
        <f t="shared" si="106"/>
        <v>1.96</v>
      </c>
      <c r="J1708" s="760">
        <f t="shared" si="107"/>
        <v>0.87111111111111117</v>
      </c>
    </row>
    <row r="1709" spans="1:10">
      <c r="A1709" s="74" t="s">
        <v>938</v>
      </c>
      <c r="B1709" s="74" t="s">
        <v>247</v>
      </c>
      <c r="C1709" s="74" t="s">
        <v>1631</v>
      </c>
      <c r="D1709" s="74" t="s">
        <v>92</v>
      </c>
      <c r="E1709" s="74">
        <v>1</v>
      </c>
      <c r="F1709" s="74">
        <v>2.25</v>
      </c>
      <c r="G1709" s="758">
        <f t="shared" si="104"/>
        <v>0.28999999999999998</v>
      </c>
      <c r="H1709" s="759">
        <f t="shared" si="105"/>
        <v>0.25</v>
      </c>
      <c r="I1709" s="758">
        <f t="shared" si="106"/>
        <v>1.96</v>
      </c>
      <c r="J1709" s="760">
        <f t="shared" si="107"/>
        <v>0.87111111111111117</v>
      </c>
    </row>
    <row r="1710" spans="1:10">
      <c r="A1710" s="74" t="s">
        <v>938</v>
      </c>
      <c r="B1710" s="74" t="s">
        <v>247</v>
      </c>
      <c r="C1710" s="74" t="s">
        <v>1557</v>
      </c>
      <c r="D1710" s="74" t="s">
        <v>95</v>
      </c>
      <c r="E1710" s="74">
        <v>1</v>
      </c>
      <c r="F1710" s="74">
        <v>2.25</v>
      </c>
      <c r="G1710" s="758">
        <f t="shared" si="104"/>
        <v>0.28999999999999998</v>
      </c>
      <c r="H1710" s="759">
        <f t="shared" si="105"/>
        <v>0.25</v>
      </c>
      <c r="I1710" s="758">
        <f t="shared" si="106"/>
        <v>1.96</v>
      </c>
      <c r="J1710" s="760">
        <f t="shared" si="107"/>
        <v>0.87111111111111117</v>
      </c>
    </row>
    <row r="1711" spans="1:10">
      <c r="A1711" s="74" t="s">
        <v>1703</v>
      </c>
      <c r="B1711" s="74" t="s">
        <v>725</v>
      </c>
      <c r="C1711" s="74" t="s">
        <v>1527</v>
      </c>
      <c r="D1711" s="74" t="s">
        <v>82</v>
      </c>
      <c r="E1711" s="74">
        <v>2</v>
      </c>
      <c r="F1711" s="74">
        <v>7.7</v>
      </c>
      <c r="G1711" s="758">
        <f t="shared" si="104"/>
        <v>0</v>
      </c>
      <c r="H1711" s="759">
        <f t="shared" si="105"/>
        <v>0.24</v>
      </c>
      <c r="I1711" s="758">
        <f t="shared" si="106"/>
        <v>3.85</v>
      </c>
      <c r="J1711" s="760">
        <f t="shared" si="107"/>
        <v>1</v>
      </c>
    </row>
    <row r="1712" spans="1:10">
      <c r="A1712" s="74" t="s">
        <v>1703</v>
      </c>
      <c r="B1712" s="74" t="s">
        <v>725</v>
      </c>
      <c r="C1712" s="74" t="s">
        <v>1519</v>
      </c>
      <c r="D1712" s="74" t="s">
        <v>84</v>
      </c>
      <c r="E1712" s="74">
        <v>1</v>
      </c>
      <c r="F1712" s="74">
        <v>3.85</v>
      </c>
      <c r="G1712" s="758">
        <f t="shared" si="104"/>
        <v>0</v>
      </c>
      <c r="H1712" s="759">
        <f t="shared" si="105"/>
        <v>0.24</v>
      </c>
      <c r="I1712" s="758">
        <f t="shared" si="106"/>
        <v>3.85</v>
      </c>
      <c r="J1712" s="760">
        <f t="shared" si="107"/>
        <v>1</v>
      </c>
    </row>
    <row r="1713" spans="1:10">
      <c r="A1713" s="74" t="s">
        <v>986</v>
      </c>
      <c r="B1713" s="74" t="s">
        <v>256</v>
      </c>
      <c r="C1713" s="74" t="s">
        <v>1526</v>
      </c>
      <c r="D1713" s="74" t="s">
        <v>95</v>
      </c>
      <c r="E1713" s="74">
        <v>1</v>
      </c>
      <c r="F1713" s="74">
        <v>14</v>
      </c>
      <c r="G1713" s="758">
        <f t="shared" si="104"/>
        <v>0</v>
      </c>
      <c r="H1713" s="759">
        <f t="shared" si="105"/>
        <v>0</v>
      </c>
      <c r="I1713" s="758">
        <f t="shared" si="106"/>
        <v>14</v>
      </c>
      <c r="J1713" s="760">
        <f t="shared" si="107"/>
        <v>1</v>
      </c>
    </row>
    <row r="1714" spans="1:10">
      <c r="A1714" s="74" t="s">
        <v>1012</v>
      </c>
      <c r="B1714" s="74" t="s">
        <v>256</v>
      </c>
      <c r="C1714" s="74" t="s">
        <v>1528</v>
      </c>
      <c r="D1714" s="74" t="s">
        <v>78</v>
      </c>
      <c r="E1714" s="74">
        <v>10</v>
      </c>
      <c r="F1714" s="74">
        <v>115</v>
      </c>
      <c r="G1714" s="758">
        <f t="shared" si="104"/>
        <v>2.66</v>
      </c>
      <c r="H1714" s="759">
        <f t="shared" si="105"/>
        <v>0.28000000000000003</v>
      </c>
      <c r="I1714" s="758">
        <f t="shared" si="106"/>
        <v>8.84</v>
      </c>
      <c r="J1714" s="760">
        <f t="shared" si="107"/>
        <v>0.768695652173913</v>
      </c>
    </row>
    <row r="1715" spans="1:10">
      <c r="A1715" s="74" t="s">
        <v>1012</v>
      </c>
      <c r="B1715" s="74" t="s">
        <v>256</v>
      </c>
      <c r="C1715" s="74" t="s">
        <v>1508</v>
      </c>
      <c r="D1715" s="74" t="s">
        <v>78</v>
      </c>
      <c r="E1715" s="74">
        <v>5</v>
      </c>
      <c r="F1715" s="74">
        <v>57.5</v>
      </c>
      <c r="G1715" s="758">
        <f t="shared" si="104"/>
        <v>2.66</v>
      </c>
      <c r="H1715" s="759">
        <f t="shared" si="105"/>
        <v>0.28000000000000003</v>
      </c>
      <c r="I1715" s="758">
        <f t="shared" si="106"/>
        <v>8.84</v>
      </c>
      <c r="J1715" s="760">
        <f t="shared" si="107"/>
        <v>0.768695652173913</v>
      </c>
    </row>
    <row r="1716" spans="1:10">
      <c r="A1716" s="74" t="s">
        <v>1012</v>
      </c>
      <c r="B1716" s="74" t="s">
        <v>256</v>
      </c>
      <c r="C1716" s="74" t="s">
        <v>1509</v>
      </c>
      <c r="D1716" s="74" t="s">
        <v>78</v>
      </c>
      <c r="E1716" s="74">
        <v>2</v>
      </c>
      <c r="F1716" s="74">
        <v>23</v>
      </c>
      <c r="G1716" s="758">
        <f t="shared" si="104"/>
        <v>2.66</v>
      </c>
      <c r="H1716" s="759">
        <f t="shared" si="105"/>
        <v>0.28000000000000003</v>
      </c>
      <c r="I1716" s="758">
        <f t="shared" si="106"/>
        <v>8.84</v>
      </c>
      <c r="J1716" s="760">
        <f t="shared" si="107"/>
        <v>0.768695652173913</v>
      </c>
    </row>
    <row r="1717" spans="1:10">
      <c r="A1717" s="74" t="s">
        <v>1012</v>
      </c>
      <c r="B1717" s="74" t="s">
        <v>256</v>
      </c>
      <c r="C1717" s="74" t="s">
        <v>1565</v>
      </c>
      <c r="D1717" s="74" t="s">
        <v>78</v>
      </c>
      <c r="E1717" s="74">
        <v>6</v>
      </c>
      <c r="F1717" s="74">
        <v>69</v>
      </c>
      <c r="G1717" s="758">
        <f t="shared" si="104"/>
        <v>2.66</v>
      </c>
      <c r="H1717" s="759">
        <f t="shared" si="105"/>
        <v>0.28000000000000003</v>
      </c>
      <c r="I1717" s="758">
        <f t="shared" si="106"/>
        <v>8.84</v>
      </c>
      <c r="J1717" s="760">
        <f t="shared" si="107"/>
        <v>0.768695652173913</v>
      </c>
    </row>
    <row r="1718" spans="1:10">
      <c r="A1718" s="74" t="s">
        <v>1012</v>
      </c>
      <c r="B1718" s="74" t="s">
        <v>256</v>
      </c>
      <c r="C1718" s="74" t="s">
        <v>1530</v>
      </c>
      <c r="D1718" s="74" t="s">
        <v>80</v>
      </c>
      <c r="E1718" s="74">
        <v>1</v>
      </c>
      <c r="F1718" s="74">
        <v>11.5</v>
      </c>
      <c r="G1718" s="758">
        <f t="shared" si="104"/>
        <v>2.66</v>
      </c>
      <c r="H1718" s="759">
        <f t="shared" si="105"/>
        <v>0.28000000000000003</v>
      </c>
      <c r="I1718" s="758">
        <f t="shared" si="106"/>
        <v>8.84</v>
      </c>
      <c r="J1718" s="760">
        <f t="shared" si="107"/>
        <v>0.768695652173913</v>
      </c>
    </row>
    <row r="1719" spans="1:10">
      <c r="A1719" s="74" t="s">
        <v>1012</v>
      </c>
      <c r="B1719" s="74" t="s">
        <v>256</v>
      </c>
      <c r="C1719" s="74" t="s">
        <v>1532</v>
      </c>
      <c r="D1719" s="74" t="s">
        <v>80</v>
      </c>
      <c r="E1719" s="74">
        <v>9</v>
      </c>
      <c r="F1719" s="74">
        <v>103.95</v>
      </c>
      <c r="G1719" s="758">
        <f t="shared" si="104"/>
        <v>2.66</v>
      </c>
      <c r="H1719" s="759">
        <f t="shared" si="105"/>
        <v>0.28000000000000003</v>
      </c>
      <c r="I1719" s="758">
        <f t="shared" si="106"/>
        <v>8.89</v>
      </c>
      <c r="J1719" s="760">
        <f t="shared" si="107"/>
        <v>0.76969696969696966</v>
      </c>
    </row>
    <row r="1720" spans="1:10">
      <c r="A1720" s="74" t="s">
        <v>1012</v>
      </c>
      <c r="B1720" s="74" t="s">
        <v>256</v>
      </c>
      <c r="C1720" s="74" t="s">
        <v>1511</v>
      </c>
      <c r="D1720" s="74" t="s">
        <v>80</v>
      </c>
      <c r="E1720" s="74">
        <v>14</v>
      </c>
      <c r="F1720" s="74">
        <v>161.30000000000001</v>
      </c>
      <c r="G1720" s="758">
        <f t="shared" si="104"/>
        <v>2.66</v>
      </c>
      <c r="H1720" s="759">
        <f t="shared" si="105"/>
        <v>0.28000000000000003</v>
      </c>
      <c r="I1720" s="758">
        <f t="shared" si="106"/>
        <v>8.8614285714285721</v>
      </c>
      <c r="J1720" s="760">
        <f t="shared" si="107"/>
        <v>0.76912585244885312</v>
      </c>
    </row>
    <row r="1721" spans="1:10">
      <c r="A1721" s="74" t="s">
        <v>1012</v>
      </c>
      <c r="B1721" s="74" t="s">
        <v>256</v>
      </c>
      <c r="C1721" s="74" t="s">
        <v>1512</v>
      </c>
      <c r="D1721" s="74" t="s">
        <v>80</v>
      </c>
      <c r="E1721" s="74">
        <v>9</v>
      </c>
      <c r="F1721" s="74">
        <v>103.8</v>
      </c>
      <c r="G1721" s="758">
        <f t="shared" si="104"/>
        <v>2.66</v>
      </c>
      <c r="H1721" s="759">
        <f t="shared" si="105"/>
        <v>0.28000000000000003</v>
      </c>
      <c r="I1721" s="758">
        <f t="shared" si="106"/>
        <v>8.8733333333333331</v>
      </c>
      <c r="J1721" s="760">
        <f t="shared" si="107"/>
        <v>0.7693641618497109</v>
      </c>
    </row>
    <row r="1722" spans="1:10">
      <c r="A1722" s="74" t="s">
        <v>1012</v>
      </c>
      <c r="B1722" s="74" t="s">
        <v>256</v>
      </c>
      <c r="C1722" s="74" t="s">
        <v>1534</v>
      </c>
      <c r="D1722" s="74" t="s">
        <v>81</v>
      </c>
      <c r="E1722" s="74">
        <v>7</v>
      </c>
      <c r="F1722" s="74">
        <v>80.650000000000006</v>
      </c>
      <c r="G1722" s="758">
        <f t="shared" si="104"/>
        <v>2.66</v>
      </c>
      <c r="H1722" s="759">
        <f t="shared" si="105"/>
        <v>0.28000000000000003</v>
      </c>
      <c r="I1722" s="758">
        <f t="shared" si="106"/>
        <v>8.8614285714285721</v>
      </c>
      <c r="J1722" s="760">
        <f t="shared" si="107"/>
        <v>0.76912585244885312</v>
      </c>
    </row>
    <row r="1723" spans="1:10">
      <c r="A1723" s="74" t="s">
        <v>1012</v>
      </c>
      <c r="B1723" s="74" t="s">
        <v>256</v>
      </c>
      <c r="C1723" s="74" t="s">
        <v>1513</v>
      </c>
      <c r="D1723" s="74" t="s">
        <v>81</v>
      </c>
      <c r="E1723" s="74">
        <v>7</v>
      </c>
      <c r="F1723" s="74">
        <v>81.55</v>
      </c>
      <c r="G1723" s="758">
        <f t="shared" si="104"/>
        <v>2.66</v>
      </c>
      <c r="H1723" s="759">
        <f t="shared" si="105"/>
        <v>0.28000000000000003</v>
      </c>
      <c r="I1723" s="758">
        <f t="shared" si="106"/>
        <v>8.99</v>
      </c>
      <c r="J1723" s="760">
        <f t="shared" si="107"/>
        <v>0.77167381974248928</v>
      </c>
    </row>
    <row r="1724" spans="1:10">
      <c r="A1724" s="74" t="s">
        <v>1012</v>
      </c>
      <c r="B1724" s="74" t="s">
        <v>256</v>
      </c>
      <c r="C1724" s="74" t="s">
        <v>1514</v>
      </c>
      <c r="D1724" s="74" t="s">
        <v>81</v>
      </c>
      <c r="E1724" s="74">
        <v>4</v>
      </c>
      <c r="F1724" s="74">
        <v>46</v>
      </c>
      <c r="G1724" s="758">
        <f t="shared" si="104"/>
        <v>2.66</v>
      </c>
      <c r="H1724" s="759">
        <f t="shared" si="105"/>
        <v>0.28000000000000003</v>
      </c>
      <c r="I1724" s="758">
        <f t="shared" si="106"/>
        <v>8.84</v>
      </c>
      <c r="J1724" s="760">
        <f t="shared" si="107"/>
        <v>0.768695652173913</v>
      </c>
    </row>
    <row r="1725" spans="1:10">
      <c r="A1725" s="74" t="s">
        <v>1012</v>
      </c>
      <c r="B1725" s="74" t="s">
        <v>256</v>
      </c>
      <c r="C1725" s="74" t="s">
        <v>1515</v>
      </c>
      <c r="D1725" s="74" t="s">
        <v>81</v>
      </c>
      <c r="E1725" s="74">
        <v>7</v>
      </c>
      <c r="F1725" s="74">
        <v>82.81</v>
      </c>
      <c r="G1725" s="758">
        <f t="shared" si="104"/>
        <v>2.66</v>
      </c>
      <c r="H1725" s="759">
        <f t="shared" si="105"/>
        <v>0.28000000000000003</v>
      </c>
      <c r="I1725" s="758">
        <f t="shared" si="106"/>
        <v>9.17</v>
      </c>
      <c r="J1725" s="760">
        <f t="shared" si="107"/>
        <v>0.7751479289940828</v>
      </c>
    </row>
    <row r="1726" spans="1:10">
      <c r="A1726" s="74" t="s">
        <v>1012</v>
      </c>
      <c r="B1726" s="74" t="s">
        <v>256</v>
      </c>
      <c r="C1726" s="74" t="s">
        <v>1516</v>
      </c>
      <c r="D1726" s="74" t="s">
        <v>82</v>
      </c>
      <c r="E1726" s="74">
        <v>7</v>
      </c>
      <c r="F1726" s="74">
        <v>77</v>
      </c>
      <c r="G1726" s="758">
        <f t="shared" si="104"/>
        <v>2.66</v>
      </c>
      <c r="H1726" s="759">
        <f t="shared" si="105"/>
        <v>0.28000000000000003</v>
      </c>
      <c r="I1726" s="758">
        <f t="shared" si="106"/>
        <v>8.34</v>
      </c>
      <c r="J1726" s="760">
        <f t="shared" si="107"/>
        <v>0.75818181818181818</v>
      </c>
    </row>
    <row r="1727" spans="1:10">
      <c r="A1727" s="74" t="s">
        <v>1012</v>
      </c>
      <c r="B1727" s="74" t="s">
        <v>256</v>
      </c>
      <c r="C1727" s="74" t="s">
        <v>1517</v>
      </c>
      <c r="D1727" s="74" t="s">
        <v>82</v>
      </c>
      <c r="E1727" s="74">
        <v>16</v>
      </c>
      <c r="F1727" s="74">
        <v>184.3</v>
      </c>
      <c r="G1727" s="758">
        <f t="shared" si="104"/>
        <v>2.66</v>
      </c>
      <c r="H1727" s="759">
        <f t="shared" si="105"/>
        <v>0.28000000000000003</v>
      </c>
      <c r="I1727" s="758">
        <f t="shared" si="106"/>
        <v>8.8587500000000006</v>
      </c>
      <c r="J1727" s="760">
        <f t="shared" si="107"/>
        <v>0.76907216494845365</v>
      </c>
    </row>
    <row r="1728" spans="1:10">
      <c r="A1728" s="74" t="s">
        <v>1012</v>
      </c>
      <c r="B1728" s="74" t="s">
        <v>256</v>
      </c>
      <c r="C1728" s="74" t="s">
        <v>1527</v>
      </c>
      <c r="D1728" s="74" t="s">
        <v>82</v>
      </c>
      <c r="E1728" s="74">
        <v>14</v>
      </c>
      <c r="F1728" s="74">
        <v>161.44999999999999</v>
      </c>
      <c r="G1728" s="758">
        <f t="shared" si="104"/>
        <v>2.66</v>
      </c>
      <c r="H1728" s="759">
        <f t="shared" si="105"/>
        <v>0.28000000000000003</v>
      </c>
      <c r="I1728" s="758">
        <f t="shared" si="106"/>
        <v>8.8721428571428564</v>
      </c>
      <c r="J1728" s="760">
        <f t="shared" si="107"/>
        <v>0.76934035305047999</v>
      </c>
    </row>
    <row r="1729" spans="1:10">
      <c r="A1729" s="74" t="s">
        <v>1012</v>
      </c>
      <c r="B1729" s="74" t="s">
        <v>256</v>
      </c>
      <c r="C1729" s="74" t="s">
        <v>1518</v>
      </c>
      <c r="D1729" s="74" t="s">
        <v>82</v>
      </c>
      <c r="E1729" s="74">
        <v>10</v>
      </c>
      <c r="F1729" s="74">
        <v>115.45</v>
      </c>
      <c r="G1729" s="758">
        <f t="shared" si="104"/>
        <v>2.66</v>
      </c>
      <c r="H1729" s="759">
        <f t="shared" si="105"/>
        <v>0.28000000000000003</v>
      </c>
      <c r="I1729" s="758">
        <f t="shared" si="106"/>
        <v>8.8849999999999998</v>
      </c>
      <c r="J1729" s="760">
        <f t="shared" si="107"/>
        <v>0.76959722823733223</v>
      </c>
    </row>
    <row r="1730" spans="1:10">
      <c r="A1730" s="74" t="s">
        <v>1012</v>
      </c>
      <c r="B1730" s="74" t="s">
        <v>256</v>
      </c>
      <c r="C1730" s="74" t="s">
        <v>1519</v>
      </c>
      <c r="D1730" s="74" t="s">
        <v>84</v>
      </c>
      <c r="E1730" s="74">
        <v>3</v>
      </c>
      <c r="F1730" s="74">
        <v>32.35</v>
      </c>
      <c r="G1730" s="758">
        <f t="shared" ref="G1730:G1793" si="108">IFERROR(VLOOKUP(A1730,$M$1:$P$1014,2,FALSE),0)</f>
        <v>2.66</v>
      </c>
      <c r="H1730" s="759">
        <f t="shared" ref="H1730:H1793" si="109">IFERROR(VLOOKUP(A1730,$M$1:$P$1014,3,FALSE),0)</f>
        <v>0.28000000000000003</v>
      </c>
      <c r="I1730" s="758">
        <f t="shared" ref="I1730:I1793" si="110">IFERROR(F1730/E1730-G1730,0)</f>
        <v>8.1233333333333331</v>
      </c>
      <c r="J1730" s="760">
        <f t="shared" ref="J1730:J1793" si="111">IFERROR(1-G1730*E1730/F1730,0)</f>
        <v>0.75332302936630602</v>
      </c>
    </row>
    <row r="1731" spans="1:10">
      <c r="A1731" s="74" t="s">
        <v>1012</v>
      </c>
      <c r="B1731" s="74" t="s">
        <v>256</v>
      </c>
      <c r="C1731" s="74" t="s">
        <v>1646</v>
      </c>
      <c r="D1731" s="74" t="s">
        <v>86</v>
      </c>
      <c r="E1731" s="74">
        <v>1</v>
      </c>
      <c r="F1731" s="74">
        <v>11.65</v>
      </c>
      <c r="G1731" s="758">
        <f t="shared" si="108"/>
        <v>2.66</v>
      </c>
      <c r="H1731" s="759">
        <f t="shared" si="109"/>
        <v>0.28000000000000003</v>
      </c>
      <c r="I1731" s="758">
        <f t="shared" si="110"/>
        <v>8.99</v>
      </c>
      <c r="J1731" s="760">
        <f t="shared" si="111"/>
        <v>0.77167381974248928</v>
      </c>
    </row>
    <row r="1732" spans="1:10">
      <c r="A1732" s="74" t="s">
        <v>1012</v>
      </c>
      <c r="B1732" s="74" t="s">
        <v>256</v>
      </c>
      <c r="C1732" s="74" t="s">
        <v>1541</v>
      </c>
      <c r="D1732" s="74" t="s">
        <v>86</v>
      </c>
      <c r="E1732" s="74">
        <v>1</v>
      </c>
      <c r="F1732" s="74">
        <v>11.5</v>
      </c>
      <c r="G1732" s="758">
        <f t="shared" si="108"/>
        <v>2.66</v>
      </c>
      <c r="H1732" s="759">
        <f t="shared" si="109"/>
        <v>0.28000000000000003</v>
      </c>
      <c r="I1732" s="758">
        <f t="shared" si="110"/>
        <v>8.84</v>
      </c>
      <c r="J1732" s="760">
        <f t="shared" si="111"/>
        <v>0.768695652173913</v>
      </c>
    </row>
    <row r="1733" spans="1:10">
      <c r="A1733" s="74" t="s">
        <v>1012</v>
      </c>
      <c r="B1733" s="74" t="s">
        <v>256</v>
      </c>
      <c r="C1733" s="74" t="s">
        <v>1522</v>
      </c>
      <c r="D1733" s="74" t="s">
        <v>91</v>
      </c>
      <c r="E1733" s="74">
        <v>1</v>
      </c>
      <c r="F1733" s="74">
        <v>11.65</v>
      </c>
      <c r="G1733" s="758">
        <f t="shared" si="108"/>
        <v>2.66</v>
      </c>
      <c r="H1733" s="759">
        <f t="shared" si="109"/>
        <v>0.28000000000000003</v>
      </c>
      <c r="I1733" s="758">
        <f t="shared" si="110"/>
        <v>8.99</v>
      </c>
      <c r="J1733" s="760">
        <f t="shared" si="111"/>
        <v>0.77167381974248928</v>
      </c>
    </row>
    <row r="1734" spans="1:10">
      <c r="A1734" s="74" t="s">
        <v>1012</v>
      </c>
      <c r="B1734" s="74" t="s">
        <v>256</v>
      </c>
      <c r="C1734" s="74" t="s">
        <v>1550</v>
      </c>
      <c r="D1734" s="74" t="s">
        <v>91</v>
      </c>
      <c r="E1734" s="74">
        <v>1</v>
      </c>
      <c r="F1734" s="74">
        <v>11.65</v>
      </c>
      <c r="G1734" s="758">
        <f t="shared" si="108"/>
        <v>2.66</v>
      </c>
      <c r="H1734" s="759">
        <f t="shared" si="109"/>
        <v>0.28000000000000003</v>
      </c>
      <c r="I1734" s="758">
        <f t="shared" si="110"/>
        <v>8.99</v>
      </c>
      <c r="J1734" s="760">
        <f t="shared" si="111"/>
        <v>0.77167381974248928</v>
      </c>
    </row>
    <row r="1735" spans="1:10">
      <c r="A1735" s="74" t="s">
        <v>1012</v>
      </c>
      <c r="B1735" s="74" t="s">
        <v>256</v>
      </c>
      <c r="C1735" s="74" t="s">
        <v>1553</v>
      </c>
      <c r="D1735" s="74" t="s">
        <v>94</v>
      </c>
      <c r="E1735" s="74">
        <v>1</v>
      </c>
      <c r="F1735" s="74">
        <v>11.5</v>
      </c>
      <c r="G1735" s="758">
        <f t="shared" si="108"/>
        <v>2.66</v>
      </c>
      <c r="H1735" s="759">
        <f t="shared" si="109"/>
        <v>0.28000000000000003</v>
      </c>
      <c r="I1735" s="758">
        <f t="shared" si="110"/>
        <v>8.84</v>
      </c>
      <c r="J1735" s="760">
        <f t="shared" si="111"/>
        <v>0.768695652173913</v>
      </c>
    </row>
    <row r="1736" spans="1:10">
      <c r="A1736" s="74" t="s">
        <v>1704</v>
      </c>
      <c r="B1736" s="74" t="s">
        <v>256</v>
      </c>
      <c r="C1736" s="74" t="s">
        <v>1518</v>
      </c>
      <c r="D1736" s="74" t="s">
        <v>82</v>
      </c>
      <c r="E1736" s="74">
        <v>1</v>
      </c>
      <c r="F1736" s="74">
        <v>0</v>
      </c>
      <c r="G1736" s="758">
        <f t="shared" si="108"/>
        <v>2.76</v>
      </c>
      <c r="H1736" s="759">
        <f t="shared" si="109"/>
        <v>0</v>
      </c>
      <c r="I1736" s="758">
        <f t="shared" si="110"/>
        <v>-2.76</v>
      </c>
      <c r="J1736" s="760">
        <f t="shared" si="111"/>
        <v>0</v>
      </c>
    </row>
    <row r="1737" spans="1:10">
      <c r="A1737" s="74" t="s">
        <v>796</v>
      </c>
      <c r="B1737" s="74" t="s">
        <v>282</v>
      </c>
      <c r="C1737" s="74" t="s">
        <v>1511</v>
      </c>
      <c r="D1737" s="74" t="s">
        <v>80</v>
      </c>
      <c r="E1737" s="74">
        <v>5</v>
      </c>
      <c r="F1737" s="74">
        <v>54.32</v>
      </c>
      <c r="G1737" s="758">
        <f t="shared" si="108"/>
        <v>2.66</v>
      </c>
      <c r="H1737" s="759">
        <f t="shared" si="109"/>
        <v>0.28000000000000003</v>
      </c>
      <c r="I1737" s="758">
        <f t="shared" si="110"/>
        <v>8.2040000000000006</v>
      </c>
      <c r="J1737" s="760">
        <f t="shared" si="111"/>
        <v>0.75515463917525771</v>
      </c>
    </row>
    <row r="1738" spans="1:10">
      <c r="A1738" s="74" t="s">
        <v>796</v>
      </c>
      <c r="B1738" s="74" t="s">
        <v>282</v>
      </c>
      <c r="C1738" s="74" t="s">
        <v>1512</v>
      </c>
      <c r="D1738" s="74" t="s">
        <v>80</v>
      </c>
      <c r="E1738" s="74">
        <v>6</v>
      </c>
      <c r="F1738" s="74">
        <v>65.14</v>
      </c>
      <c r="G1738" s="758">
        <f t="shared" si="108"/>
        <v>2.66</v>
      </c>
      <c r="H1738" s="759">
        <f t="shared" si="109"/>
        <v>0.28000000000000003</v>
      </c>
      <c r="I1738" s="758">
        <f t="shared" si="110"/>
        <v>8.1966666666666672</v>
      </c>
      <c r="J1738" s="760">
        <f t="shared" si="111"/>
        <v>0.75498925391464533</v>
      </c>
    </row>
    <row r="1739" spans="1:10">
      <c r="A1739" s="74" t="s">
        <v>796</v>
      </c>
      <c r="B1739" s="74" t="s">
        <v>282</v>
      </c>
      <c r="C1739" s="74" t="s">
        <v>1513</v>
      </c>
      <c r="D1739" s="74" t="s">
        <v>81</v>
      </c>
      <c r="E1739" s="74">
        <v>22</v>
      </c>
      <c r="F1739" s="74">
        <v>239.82</v>
      </c>
      <c r="G1739" s="758">
        <f t="shared" si="108"/>
        <v>2.66</v>
      </c>
      <c r="H1739" s="759">
        <f t="shared" si="109"/>
        <v>0.28000000000000003</v>
      </c>
      <c r="I1739" s="758">
        <f t="shared" si="110"/>
        <v>8.2409090909090903</v>
      </c>
      <c r="J1739" s="760">
        <f t="shared" si="111"/>
        <v>0.75598365440747228</v>
      </c>
    </row>
    <row r="1740" spans="1:10">
      <c r="A1740" s="74" t="s">
        <v>796</v>
      </c>
      <c r="B1740" s="74" t="s">
        <v>282</v>
      </c>
      <c r="C1740" s="74" t="s">
        <v>1514</v>
      </c>
      <c r="D1740" s="74" t="s">
        <v>81</v>
      </c>
      <c r="E1740" s="74">
        <v>4</v>
      </c>
      <c r="F1740" s="74">
        <v>43.5</v>
      </c>
      <c r="G1740" s="758">
        <f t="shared" si="108"/>
        <v>2.66</v>
      </c>
      <c r="H1740" s="759">
        <f t="shared" si="109"/>
        <v>0.28000000000000003</v>
      </c>
      <c r="I1740" s="758">
        <f t="shared" si="110"/>
        <v>8.2149999999999999</v>
      </c>
      <c r="J1740" s="760">
        <f t="shared" si="111"/>
        <v>0.75540229885057464</v>
      </c>
    </row>
    <row r="1741" spans="1:10">
      <c r="A1741" s="74" t="s">
        <v>796</v>
      </c>
      <c r="B1741" s="74" t="s">
        <v>282</v>
      </c>
      <c r="C1741" s="74" t="s">
        <v>1515</v>
      </c>
      <c r="D1741" s="74" t="s">
        <v>81</v>
      </c>
      <c r="E1741" s="74">
        <v>10</v>
      </c>
      <c r="F1741" s="74">
        <v>108.64</v>
      </c>
      <c r="G1741" s="758">
        <f t="shared" si="108"/>
        <v>2.66</v>
      </c>
      <c r="H1741" s="759">
        <f t="shared" si="109"/>
        <v>0.28000000000000003</v>
      </c>
      <c r="I1741" s="758">
        <f t="shared" si="110"/>
        <v>8.2040000000000006</v>
      </c>
      <c r="J1741" s="760">
        <f t="shared" si="111"/>
        <v>0.75515463917525771</v>
      </c>
    </row>
    <row r="1742" spans="1:10">
      <c r="A1742" s="74" t="s">
        <v>721</v>
      </c>
      <c r="B1742" s="74" t="s">
        <v>256</v>
      </c>
      <c r="C1742" s="74" t="s">
        <v>1528</v>
      </c>
      <c r="D1742" s="74" t="s">
        <v>78</v>
      </c>
      <c r="E1742" s="74">
        <v>2</v>
      </c>
      <c r="F1742" s="74">
        <v>20.91</v>
      </c>
      <c r="G1742" s="758">
        <f t="shared" si="108"/>
        <v>2.66</v>
      </c>
      <c r="H1742" s="759">
        <f t="shared" si="109"/>
        <v>0.28000000000000003</v>
      </c>
      <c r="I1742" s="758">
        <f t="shared" si="110"/>
        <v>7.7949999999999999</v>
      </c>
      <c r="J1742" s="760">
        <f t="shared" si="111"/>
        <v>0.74557627929220471</v>
      </c>
    </row>
    <row r="1743" spans="1:10">
      <c r="A1743" s="74" t="s">
        <v>721</v>
      </c>
      <c r="B1743" s="74" t="s">
        <v>256</v>
      </c>
      <c r="C1743" s="74" t="s">
        <v>1508</v>
      </c>
      <c r="D1743" s="74" t="s">
        <v>78</v>
      </c>
      <c r="E1743" s="74">
        <v>8</v>
      </c>
      <c r="F1743" s="74">
        <v>83.64</v>
      </c>
      <c r="G1743" s="758">
        <f t="shared" si="108"/>
        <v>2.66</v>
      </c>
      <c r="H1743" s="759">
        <f t="shared" si="109"/>
        <v>0.28000000000000003</v>
      </c>
      <c r="I1743" s="758">
        <f t="shared" si="110"/>
        <v>7.7949999999999999</v>
      </c>
      <c r="J1743" s="760">
        <f t="shared" si="111"/>
        <v>0.74557627929220471</v>
      </c>
    </row>
    <row r="1744" spans="1:10">
      <c r="A1744" s="74" t="s">
        <v>721</v>
      </c>
      <c r="B1744" s="74" t="s">
        <v>256</v>
      </c>
      <c r="C1744" s="74" t="s">
        <v>1509</v>
      </c>
      <c r="D1744" s="74" t="s">
        <v>78</v>
      </c>
      <c r="E1744" s="74">
        <v>4</v>
      </c>
      <c r="F1744" s="74">
        <v>41.82</v>
      </c>
      <c r="G1744" s="758">
        <f t="shared" si="108"/>
        <v>2.66</v>
      </c>
      <c r="H1744" s="759">
        <f t="shared" si="109"/>
        <v>0.28000000000000003</v>
      </c>
      <c r="I1744" s="758">
        <f t="shared" si="110"/>
        <v>7.7949999999999999</v>
      </c>
      <c r="J1744" s="760">
        <f t="shared" si="111"/>
        <v>0.74557627929220471</v>
      </c>
    </row>
    <row r="1745" spans="1:10">
      <c r="A1745" s="74" t="s">
        <v>721</v>
      </c>
      <c r="B1745" s="74" t="s">
        <v>256</v>
      </c>
      <c r="C1745" s="74" t="s">
        <v>1565</v>
      </c>
      <c r="D1745" s="74" t="s">
        <v>78</v>
      </c>
      <c r="E1745" s="74">
        <v>7</v>
      </c>
      <c r="F1745" s="74">
        <v>73.319999999999993</v>
      </c>
      <c r="G1745" s="758">
        <f t="shared" si="108"/>
        <v>2.66</v>
      </c>
      <c r="H1745" s="759">
        <f t="shared" si="109"/>
        <v>0.28000000000000003</v>
      </c>
      <c r="I1745" s="758">
        <f t="shared" si="110"/>
        <v>7.8142857142857132</v>
      </c>
      <c r="J1745" s="760">
        <f t="shared" si="111"/>
        <v>0.74604473540643745</v>
      </c>
    </row>
    <row r="1746" spans="1:10">
      <c r="A1746" s="74" t="s">
        <v>721</v>
      </c>
      <c r="B1746" s="74" t="s">
        <v>256</v>
      </c>
      <c r="C1746" s="74" t="s">
        <v>1530</v>
      </c>
      <c r="D1746" s="74" t="s">
        <v>80</v>
      </c>
      <c r="E1746" s="74">
        <v>4</v>
      </c>
      <c r="F1746" s="74">
        <v>43.27</v>
      </c>
      <c r="G1746" s="758">
        <f t="shared" si="108"/>
        <v>2.66</v>
      </c>
      <c r="H1746" s="759">
        <f t="shared" si="109"/>
        <v>0.28000000000000003</v>
      </c>
      <c r="I1746" s="758">
        <f t="shared" si="110"/>
        <v>8.1575000000000006</v>
      </c>
      <c r="J1746" s="760">
        <f t="shared" si="111"/>
        <v>0.75410214929512365</v>
      </c>
    </row>
    <row r="1747" spans="1:10">
      <c r="A1747" s="74" t="s">
        <v>721</v>
      </c>
      <c r="B1747" s="74" t="s">
        <v>256</v>
      </c>
      <c r="C1747" s="74" t="s">
        <v>1532</v>
      </c>
      <c r="D1747" s="74" t="s">
        <v>80</v>
      </c>
      <c r="E1747" s="74">
        <v>4</v>
      </c>
      <c r="F1747" s="74">
        <v>43.27</v>
      </c>
      <c r="G1747" s="758">
        <f t="shared" si="108"/>
        <v>2.66</v>
      </c>
      <c r="H1747" s="759">
        <f t="shared" si="109"/>
        <v>0.28000000000000003</v>
      </c>
      <c r="I1747" s="758">
        <f t="shared" si="110"/>
        <v>8.1575000000000006</v>
      </c>
      <c r="J1747" s="760">
        <f t="shared" si="111"/>
        <v>0.75410214929512365</v>
      </c>
    </row>
    <row r="1748" spans="1:10">
      <c r="A1748" s="74" t="s">
        <v>1705</v>
      </c>
      <c r="B1748" s="74" t="s">
        <v>877</v>
      </c>
      <c r="C1748" s="74" t="s">
        <v>1605</v>
      </c>
      <c r="D1748" s="74" t="s">
        <v>87</v>
      </c>
      <c r="E1748" s="74">
        <v>2</v>
      </c>
      <c r="F1748" s="74">
        <v>6</v>
      </c>
      <c r="G1748" s="758">
        <f t="shared" si="108"/>
        <v>0</v>
      </c>
      <c r="H1748" s="759">
        <f t="shared" si="109"/>
        <v>0</v>
      </c>
      <c r="I1748" s="758">
        <f t="shared" si="110"/>
        <v>3</v>
      </c>
      <c r="J1748" s="760">
        <f t="shared" si="111"/>
        <v>1</v>
      </c>
    </row>
    <row r="1749" spans="1:10">
      <c r="A1749" s="74" t="s">
        <v>1224</v>
      </c>
      <c r="B1749" s="74" t="s">
        <v>256</v>
      </c>
      <c r="C1749" s="74" t="s">
        <v>1520</v>
      </c>
      <c r="D1749" s="74" t="s">
        <v>84</v>
      </c>
      <c r="E1749" s="74">
        <v>1</v>
      </c>
      <c r="F1749" s="74">
        <v>11.65</v>
      </c>
      <c r="G1749" s="758">
        <f t="shared" si="108"/>
        <v>0</v>
      </c>
      <c r="H1749" s="759">
        <f t="shared" si="109"/>
        <v>0</v>
      </c>
      <c r="I1749" s="758">
        <f t="shared" si="110"/>
        <v>11.65</v>
      </c>
      <c r="J1749" s="760">
        <f t="shared" si="111"/>
        <v>1</v>
      </c>
    </row>
    <row r="1750" spans="1:10">
      <c r="A1750" s="74" t="s">
        <v>1105</v>
      </c>
      <c r="B1750" s="74" t="s">
        <v>877</v>
      </c>
      <c r="C1750" s="74" t="s">
        <v>1524</v>
      </c>
      <c r="D1750" s="74" t="s">
        <v>91</v>
      </c>
      <c r="E1750" s="74">
        <v>1</v>
      </c>
      <c r="F1750" s="74">
        <v>3</v>
      </c>
      <c r="G1750" s="758">
        <f t="shared" si="108"/>
        <v>0</v>
      </c>
      <c r="H1750" s="759">
        <f t="shared" si="109"/>
        <v>0</v>
      </c>
      <c r="I1750" s="758">
        <f t="shared" si="110"/>
        <v>3</v>
      </c>
      <c r="J1750" s="760">
        <f t="shared" si="111"/>
        <v>1</v>
      </c>
    </row>
    <row r="1751" spans="1:10">
      <c r="A1751" s="74" t="s">
        <v>1105</v>
      </c>
      <c r="B1751" s="74" t="s">
        <v>877</v>
      </c>
      <c r="C1751" s="74" t="s">
        <v>1584</v>
      </c>
      <c r="D1751" s="74" t="s">
        <v>92</v>
      </c>
      <c r="E1751" s="74">
        <v>1</v>
      </c>
      <c r="F1751" s="74">
        <v>0</v>
      </c>
      <c r="G1751" s="758">
        <f t="shared" si="108"/>
        <v>0</v>
      </c>
      <c r="H1751" s="759">
        <f t="shared" si="109"/>
        <v>0</v>
      </c>
      <c r="I1751" s="758">
        <f t="shared" si="110"/>
        <v>0</v>
      </c>
      <c r="J1751" s="760">
        <f t="shared" si="111"/>
        <v>0</v>
      </c>
    </row>
    <row r="1752" spans="1:10">
      <c r="A1752" s="74" t="s">
        <v>1105</v>
      </c>
      <c r="B1752" s="74" t="s">
        <v>877</v>
      </c>
      <c r="C1752" s="74" t="s">
        <v>1614</v>
      </c>
      <c r="D1752" s="74" t="s">
        <v>92</v>
      </c>
      <c r="E1752" s="74">
        <v>2</v>
      </c>
      <c r="F1752" s="74">
        <v>6</v>
      </c>
      <c r="G1752" s="758">
        <f t="shared" si="108"/>
        <v>0</v>
      </c>
      <c r="H1752" s="759">
        <f t="shared" si="109"/>
        <v>0</v>
      </c>
      <c r="I1752" s="758">
        <f t="shared" si="110"/>
        <v>3</v>
      </c>
      <c r="J1752" s="760">
        <f t="shared" si="111"/>
        <v>1</v>
      </c>
    </row>
    <row r="1753" spans="1:10">
      <c r="A1753" s="74" t="s">
        <v>1105</v>
      </c>
      <c r="B1753" s="74" t="s">
        <v>877</v>
      </c>
      <c r="C1753" s="74" t="s">
        <v>1631</v>
      </c>
      <c r="D1753" s="74" t="s">
        <v>92</v>
      </c>
      <c r="E1753" s="74">
        <v>3</v>
      </c>
      <c r="F1753" s="74">
        <v>6</v>
      </c>
      <c r="G1753" s="758">
        <f t="shared" si="108"/>
        <v>0</v>
      </c>
      <c r="H1753" s="759">
        <f t="shared" si="109"/>
        <v>0</v>
      </c>
      <c r="I1753" s="758">
        <f t="shared" si="110"/>
        <v>2</v>
      </c>
      <c r="J1753" s="760">
        <f t="shared" si="111"/>
        <v>1</v>
      </c>
    </row>
    <row r="1754" spans="1:10">
      <c r="A1754" s="74" t="s">
        <v>1105</v>
      </c>
      <c r="B1754" s="74" t="s">
        <v>877</v>
      </c>
      <c r="C1754" s="74" t="s">
        <v>1552</v>
      </c>
      <c r="D1754" s="74" t="s">
        <v>92</v>
      </c>
      <c r="E1754" s="74">
        <v>2</v>
      </c>
      <c r="F1754" s="74">
        <v>6</v>
      </c>
      <c r="G1754" s="758">
        <f t="shared" si="108"/>
        <v>0</v>
      </c>
      <c r="H1754" s="759">
        <f t="shared" si="109"/>
        <v>0</v>
      </c>
      <c r="I1754" s="758">
        <f t="shared" si="110"/>
        <v>3</v>
      </c>
      <c r="J1754" s="760">
        <f t="shared" si="111"/>
        <v>1</v>
      </c>
    </row>
    <row r="1755" spans="1:10">
      <c r="A1755" s="74" t="s">
        <v>1105</v>
      </c>
      <c r="B1755" s="74" t="s">
        <v>877</v>
      </c>
      <c r="C1755" s="74" t="s">
        <v>1553</v>
      </c>
      <c r="D1755" s="74" t="s">
        <v>94</v>
      </c>
      <c r="E1755" s="74">
        <v>5</v>
      </c>
      <c r="F1755" s="74">
        <v>15</v>
      </c>
      <c r="G1755" s="758">
        <f t="shared" si="108"/>
        <v>0</v>
      </c>
      <c r="H1755" s="759">
        <f t="shared" si="109"/>
        <v>0</v>
      </c>
      <c r="I1755" s="758">
        <f t="shared" si="110"/>
        <v>3</v>
      </c>
      <c r="J1755" s="760">
        <f t="shared" si="111"/>
        <v>1</v>
      </c>
    </row>
    <row r="1756" spans="1:10">
      <c r="A1756" s="74" t="s">
        <v>1706</v>
      </c>
      <c r="B1756" s="74" t="s">
        <v>877</v>
      </c>
      <c r="C1756" s="74" t="s">
        <v>1546</v>
      </c>
      <c r="D1756" s="74" t="s">
        <v>89</v>
      </c>
      <c r="E1756" s="74">
        <v>4</v>
      </c>
      <c r="F1756" s="74">
        <v>0</v>
      </c>
      <c r="G1756" s="758">
        <f t="shared" si="108"/>
        <v>0</v>
      </c>
      <c r="H1756" s="759">
        <f t="shared" si="109"/>
        <v>0</v>
      </c>
      <c r="I1756" s="758">
        <f t="shared" si="110"/>
        <v>0</v>
      </c>
      <c r="J1756" s="760">
        <f t="shared" si="111"/>
        <v>0</v>
      </c>
    </row>
    <row r="1757" spans="1:10">
      <c r="A1757" s="74" t="s">
        <v>1707</v>
      </c>
      <c r="B1757" s="74" t="s">
        <v>877</v>
      </c>
      <c r="C1757" s="74" t="s">
        <v>1518</v>
      </c>
      <c r="D1757" s="74" t="s">
        <v>82</v>
      </c>
      <c r="E1757" s="74">
        <v>1</v>
      </c>
      <c r="F1757" s="74">
        <v>0</v>
      </c>
      <c r="G1757" s="758">
        <f t="shared" si="108"/>
        <v>2.76</v>
      </c>
      <c r="H1757" s="759">
        <f t="shared" si="109"/>
        <v>0</v>
      </c>
      <c r="I1757" s="758">
        <f t="shared" si="110"/>
        <v>-2.76</v>
      </c>
      <c r="J1757" s="760">
        <f t="shared" si="111"/>
        <v>0</v>
      </c>
    </row>
    <row r="1758" spans="1:10">
      <c r="A1758" s="74" t="s">
        <v>1708</v>
      </c>
      <c r="B1758" s="74" t="s">
        <v>321</v>
      </c>
      <c r="C1758" s="74" t="s">
        <v>1517</v>
      </c>
      <c r="D1758" s="74" t="s">
        <v>82</v>
      </c>
      <c r="E1758" s="74">
        <v>1</v>
      </c>
      <c r="F1758" s="74">
        <v>14.9</v>
      </c>
      <c r="G1758" s="758">
        <f t="shared" si="108"/>
        <v>3.34</v>
      </c>
      <c r="H1758" s="759">
        <f t="shared" si="109"/>
        <v>0.25</v>
      </c>
      <c r="I1758" s="758">
        <f t="shared" si="110"/>
        <v>11.56</v>
      </c>
      <c r="J1758" s="760">
        <f t="shared" si="111"/>
        <v>0.77583892617449668</v>
      </c>
    </row>
    <row r="1759" spans="1:10">
      <c r="A1759" s="74" t="s">
        <v>1708</v>
      </c>
      <c r="B1759" s="74" t="s">
        <v>321</v>
      </c>
      <c r="C1759" s="74" t="s">
        <v>1527</v>
      </c>
      <c r="D1759" s="74" t="s">
        <v>82</v>
      </c>
      <c r="E1759" s="74">
        <v>1</v>
      </c>
      <c r="F1759" s="74">
        <v>14.9</v>
      </c>
      <c r="G1759" s="758">
        <f t="shared" si="108"/>
        <v>3.34</v>
      </c>
      <c r="H1759" s="759">
        <f t="shared" si="109"/>
        <v>0.25</v>
      </c>
      <c r="I1759" s="758">
        <f t="shared" si="110"/>
        <v>11.56</v>
      </c>
      <c r="J1759" s="760">
        <f t="shared" si="111"/>
        <v>0.77583892617449668</v>
      </c>
    </row>
    <row r="1760" spans="1:10">
      <c r="A1760" s="74" t="s">
        <v>1708</v>
      </c>
      <c r="B1760" s="74" t="s">
        <v>321</v>
      </c>
      <c r="C1760" s="74" t="s">
        <v>1518</v>
      </c>
      <c r="D1760" s="74" t="s">
        <v>82</v>
      </c>
      <c r="E1760" s="74">
        <v>2</v>
      </c>
      <c r="F1760" s="74">
        <v>30.05</v>
      </c>
      <c r="G1760" s="758">
        <f t="shared" si="108"/>
        <v>3.34</v>
      </c>
      <c r="H1760" s="759">
        <f t="shared" si="109"/>
        <v>0.25</v>
      </c>
      <c r="I1760" s="758">
        <f t="shared" si="110"/>
        <v>11.685</v>
      </c>
      <c r="J1760" s="760">
        <f t="shared" si="111"/>
        <v>0.7777038269550749</v>
      </c>
    </row>
    <row r="1761" spans="1:10">
      <c r="A1761" s="74" t="s">
        <v>1709</v>
      </c>
      <c r="B1761" s="74" t="s">
        <v>2279</v>
      </c>
      <c r="C1761" s="74" t="s">
        <v>1534</v>
      </c>
      <c r="D1761" s="74" t="s">
        <v>81</v>
      </c>
      <c r="E1761" s="74">
        <v>3</v>
      </c>
      <c r="F1761" s="74">
        <v>0</v>
      </c>
      <c r="G1761" s="758">
        <f t="shared" si="108"/>
        <v>3.34</v>
      </c>
      <c r="H1761" s="759">
        <f t="shared" si="109"/>
        <v>0</v>
      </c>
      <c r="I1761" s="758">
        <f t="shared" si="110"/>
        <v>-3.34</v>
      </c>
      <c r="J1761" s="760">
        <f t="shared" si="111"/>
        <v>0</v>
      </c>
    </row>
    <row r="1762" spans="1:10">
      <c r="A1762" s="74" t="s">
        <v>1710</v>
      </c>
      <c r="B1762" s="74" t="s">
        <v>873</v>
      </c>
      <c r="C1762" s="74" t="s">
        <v>1578</v>
      </c>
      <c r="D1762" s="74" t="s">
        <v>86</v>
      </c>
      <c r="E1762" s="74">
        <v>10</v>
      </c>
      <c r="F1762" s="74">
        <v>0</v>
      </c>
      <c r="G1762" s="758">
        <f t="shared" si="108"/>
        <v>0</v>
      </c>
      <c r="H1762" s="759">
        <f t="shared" si="109"/>
        <v>0</v>
      </c>
      <c r="I1762" s="758">
        <f t="shared" si="110"/>
        <v>0</v>
      </c>
      <c r="J1762" s="760">
        <f t="shared" si="111"/>
        <v>0</v>
      </c>
    </row>
    <row r="1763" spans="1:10">
      <c r="A1763" s="74" t="s">
        <v>1711</v>
      </c>
      <c r="B1763" s="74" t="s">
        <v>873</v>
      </c>
      <c r="C1763" s="74" t="s">
        <v>1518</v>
      </c>
      <c r="D1763" s="74" t="s">
        <v>82</v>
      </c>
      <c r="E1763" s="74">
        <v>5</v>
      </c>
      <c r="F1763" s="74">
        <v>20</v>
      </c>
      <c r="G1763" s="758">
        <f t="shared" si="108"/>
        <v>3.34</v>
      </c>
      <c r="H1763" s="759">
        <f t="shared" si="109"/>
        <v>0.92</v>
      </c>
      <c r="I1763" s="758">
        <f t="shared" si="110"/>
        <v>0.66000000000000014</v>
      </c>
      <c r="J1763" s="760">
        <f t="shared" si="111"/>
        <v>0.16500000000000004</v>
      </c>
    </row>
    <row r="1764" spans="1:10">
      <c r="A1764" s="74" t="s">
        <v>1712</v>
      </c>
      <c r="B1764" s="74" t="s">
        <v>873</v>
      </c>
      <c r="C1764" s="74" t="s">
        <v>1509</v>
      </c>
      <c r="D1764" s="74" t="s">
        <v>78</v>
      </c>
      <c r="E1764" s="74">
        <v>1</v>
      </c>
      <c r="F1764" s="74">
        <v>14.9</v>
      </c>
      <c r="G1764" s="758">
        <f t="shared" si="108"/>
        <v>3.34</v>
      </c>
      <c r="H1764" s="759">
        <f t="shared" si="109"/>
        <v>0.69</v>
      </c>
      <c r="I1764" s="758">
        <f t="shared" si="110"/>
        <v>11.56</v>
      </c>
      <c r="J1764" s="760">
        <f t="shared" si="111"/>
        <v>0.77583892617449668</v>
      </c>
    </row>
    <row r="1765" spans="1:10">
      <c r="A1765" s="74" t="s">
        <v>1712</v>
      </c>
      <c r="B1765" s="74" t="s">
        <v>873</v>
      </c>
      <c r="C1765" s="74" t="s">
        <v>1565</v>
      </c>
      <c r="D1765" s="74" t="s">
        <v>78</v>
      </c>
      <c r="E1765" s="74">
        <v>1</v>
      </c>
      <c r="F1765" s="74">
        <v>14.9</v>
      </c>
      <c r="G1765" s="758">
        <f t="shared" si="108"/>
        <v>3.34</v>
      </c>
      <c r="H1765" s="759">
        <f t="shared" si="109"/>
        <v>0.69</v>
      </c>
      <c r="I1765" s="758">
        <f t="shared" si="110"/>
        <v>11.56</v>
      </c>
      <c r="J1765" s="760">
        <f t="shared" si="111"/>
        <v>0.77583892617449668</v>
      </c>
    </row>
    <row r="1766" spans="1:10">
      <c r="A1766" s="74" t="s">
        <v>1712</v>
      </c>
      <c r="B1766" s="74" t="s">
        <v>873</v>
      </c>
      <c r="C1766" s="74" t="s">
        <v>1512</v>
      </c>
      <c r="D1766" s="74" t="s">
        <v>80</v>
      </c>
      <c r="E1766" s="74">
        <v>2</v>
      </c>
      <c r="F1766" s="74">
        <v>8</v>
      </c>
      <c r="G1766" s="758">
        <f t="shared" si="108"/>
        <v>3.34</v>
      </c>
      <c r="H1766" s="759">
        <f t="shared" si="109"/>
        <v>0.69</v>
      </c>
      <c r="I1766" s="758">
        <f t="shared" si="110"/>
        <v>0.66000000000000014</v>
      </c>
      <c r="J1766" s="760">
        <f t="shared" si="111"/>
        <v>0.16500000000000004</v>
      </c>
    </row>
    <row r="1767" spans="1:10">
      <c r="A1767" s="74" t="s">
        <v>1712</v>
      </c>
      <c r="B1767" s="74" t="s">
        <v>873</v>
      </c>
      <c r="C1767" s="74" t="s">
        <v>1534</v>
      </c>
      <c r="D1767" s="74" t="s">
        <v>81</v>
      </c>
      <c r="E1767" s="74">
        <v>6</v>
      </c>
      <c r="F1767" s="74">
        <v>24</v>
      </c>
      <c r="G1767" s="758">
        <f t="shared" si="108"/>
        <v>3.34</v>
      </c>
      <c r="H1767" s="759">
        <f t="shared" si="109"/>
        <v>0.69</v>
      </c>
      <c r="I1767" s="758">
        <f t="shared" si="110"/>
        <v>0.66000000000000014</v>
      </c>
      <c r="J1767" s="760">
        <f t="shared" si="111"/>
        <v>0.16500000000000004</v>
      </c>
    </row>
    <row r="1768" spans="1:10">
      <c r="A1768" s="74" t="s">
        <v>1713</v>
      </c>
      <c r="B1768" s="74" t="s">
        <v>256</v>
      </c>
      <c r="C1768" s="74" t="s">
        <v>1528</v>
      </c>
      <c r="D1768" s="74" t="s">
        <v>78</v>
      </c>
      <c r="E1768" s="74">
        <v>13</v>
      </c>
      <c r="F1768" s="74">
        <v>109.2</v>
      </c>
      <c r="G1768" s="758">
        <f t="shared" si="108"/>
        <v>2.5099999999999998</v>
      </c>
      <c r="H1768" s="759">
        <f t="shared" si="109"/>
        <v>0.33</v>
      </c>
      <c r="I1768" s="758">
        <f t="shared" si="110"/>
        <v>5.8900000000000006</v>
      </c>
      <c r="J1768" s="760">
        <f t="shared" si="111"/>
        <v>0.70119047619047625</v>
      </c>
    </row>
    <row r="1769" spans="1:10">
      <c r="A1769" s="74" t="s">
        <v>1713</v>
      </c>
      <c r="B1769" s="74" t="s">
        <v>256</v>
      </c>
      <c r="C1769" s="74" t="s">
        <v>1509</v>
      </c>
      <c r="D1769" s="74" t="s">
        <v>78</v>
      </c>
      <c r="E1769" s="74">
        <v>1</v>
      </c>
      <c r="F1769" s="74">
        <v>8.4</v>
      </c>
      <c r="G1769" s="758">
        <f t="shared" si="108"/>
        <v>2.5099999999999998</v>
      </c>
      <c r="H1769" s="759">
        <f t="shared" si="109"/>
        <v>0.33</v>
      </c>
      <c r="I1769" s="758">
        <f t="shared" si="110"/>
        <v>5.8900000000000006</v>
      </c>
      <c r="J1769" s="760">
        <f t="shared" si="111"/>
        <v>0.70119047619047625</v>
      </c>
    </row>
    <row r="1770" spans="1:10">
      <c r="A1770" s="74" t="s">
        <v>1713</v>
      </c>
      <c r="B1770" s="74" t="s">
        <v>256</v>
      </c>
      <c r="C1770" s="74" t="s">
        <v>1532</v>
      </c>
      <c r="D1770" s="74" t="s">
        <v>80</v>
      </c>
      <c r="E1770" s="74">
        <v>1</v>
      </c>
      <c r="F1770" s="74">
        <v>8.4</v>
      </c>
      <c r="G1770" s="758">
        <f t="shared" si="108"/>
        <v>2.5099999999999998</v>
      </c>
      <c r="H1770" s="759">
        <f t="shared" si="109"/>
        <v>0.33</v>
      </c>
      <c r="I1770" s="758">
        <f t="shared" si="110"/>
        <v>5.8900000000000006</v>
      </c>
      <c r="J1770" s="760">
        <f t="shared" si="111"/>
        <v>0.70119047619047625</v>
      </c>
    </row>
    <row r="1771" spans="1:10">
      <c r="A1771" s="74" t="s">
        <v>1713</v>
      </c>
      <c r="B1771" s="74" t="s">
        <v>256</v>
      </c>
      <c r="C1771" s="74" t="s">
        <v>1512</v>
      </c>
      <c r="D1771" s="74" t="s">
        <v>80</v>
      </c>
      <c r="E1771" s="74">
        <v>1</v>
      </c>
      <c r="F1771" s="74">
        <v>8.65</v>
      </c>
      <c r="G1771" s="758">
        <f t="shared" si="108"/>
        <v>2.5099999999999998</v>
      </c>
      <c r="H1771" s="759">
        <f t="shared" si="109"/>
        <v>0.33</v>
      </c>
      <c r="I1771" s="758">
        <f t="shared" si="110"/>
        <v>6.1400000000000006</v>
      </c>
      <c r="J1771" s="760">
        <f t="shared" si="111"/>
        <v>0.7098265895953757</v>
      </c>
    </row>
    <row r="1772" spans="1:10">
      <c r="A1772" s="74" t="s">
        <v>1713</v>
      </c>
      <c r="B1772" s="74" t="s">
        <v>256</v>
      </c>
      <c r="C1772" s="74" t="s">
        <v>1513</v>
      </c>
      <c r="D1772" s="74" t="s">
        <v>81</v>
      </c>
      <c r="E1772" s="74">
        <v>1</v>
      </c>
      <c r="F1772" s="74">
        <v>8.65</v>
      </c>
      <c r="G1772" s="758">
        <f t="shared" si="108"/>
        <v>2.5099999999999998</v>
      </c>
      <c r="H1772" s="759">
        <f t="shared" si="109"/>
        <v>0.33</v>
      </c>
      <c r="I1772" s="758">
        <f t="shared" si="110"/>
        <v>6.1400000000000006</v>
      </c>
      <c r="J1772" s="760">
        <f t="shared" si="111"/>
        <v>0.7098265895953757</v>
      </c>
    </row>
    <row r="1773" spans="1:10">
      <c r="A1773" s="74" t="s">
        <v>1714</v>
      </c>
      <c r="B1773" s="74" t="s">
        <v>256</v>
      </c>
      <c r="C1773" s="74" t="s">
        <v>1561</v>
      </c>
      <c r="D1773" s="74" t="s">
        <v>87</v>
      </c>
      <c r="E1773" s="74">
        <v>1</v>
      </c>
      <c r="F1773" s="74">
        <v>8.65</v>
      </c>
      <c r="G1773" s="758">
        <f t="shared" si="108"/>
        <v>0</v>
      </c>
      <c r="H1773" s="759">
        <f t="shared" si="109"/>
        <v>0</v>
      </c>
      <c r="I1773" s="758">
        <f t="shared" si="110"/>
        <v>8.65</v>
      </c>
      <c r="J1773" s="760">
        <f t="shared" si="111"/>
        <v>1</v>
      </c>
    </row>
    <row r="1774" spans="1:10">
      <c r="A1774" s="74" t="s">
        <v>1715</v>
      </c>
      <c r="B1774" s="74" t="s">
        <v>256</v>
      </c>
      <c r="C1774" s="74" t="s">
        <v>1532</v>
      </c>
      <c r="D1774" s="74" t="s">
        <v>80</v>
      </c>
      <c r="E1774" s="74">
        <v>1</v>
      </c>
      <c r="F1774" s="74">
        <v>9.8000000000000007</v>
      </c>
      <c r="G1774" s="758">
        <f t="shared" si="108"/>
        <v>2.31</v>
      </c>
      <c r="H1774" s="759">
        <f t="shared" si="109"/>
        <v>0.26</v>
      </c>
      <c r="I1774" s="758">
        <f t="shared" si="110"/>
        <v>7.49</v>
      </c>
      <c r="J1774" s="760">
        <f t="shared" si="111"/>
        <v>0.76428571428571423</v>
      </c>
    </row>
    <row r="1775" spans="1:10">
      <c r="A1775" s="74" t="s">
        <v>1715</v>
      </c>
      <c r="B1775" s="74" t="s">
        <v>256</v>
      </c>
      <c r="C1775" s="74" t="s">
        <v>1534</v>
      </c>
      <c r="D1775" s="74" t="s">
        <v>81</v>
      </c>
      <c r="E1775" s="74">
        <v>1</v>
      </c>
      <c r="F1775" s="74">
        <v>9.8000000000000007</v>
      </c>
      <c r="G1775" s="758">
        <f t="shared" si="108"/>
        <v>2.31</v>
      </c>
      <c r="H1775" s="759">
        <f t="shared" si="109"/>
        <v>0.26</v>
      </c>
      <c r="I1775" s="758">
        <f t="shared" si="110"/>
        <v>7.49</v>
      </c>
      <c r="J1775" s="760">
        <f t="shared" si="111"/>
        <v>0.76428571428571423</v>
      </c>
    </row>
    <row r="1776" spans="1:10">
      <c r="A1776" s="74" t="s">
        <v>1716</v>
      </c>
      <c r="B1776" s="74" t="s">
        <v>256</v>
      </c>
      <c r="C1776" s="74" t="s">
        <v>1547</v>
      </c>
      <c r="D1776" s="74" t="s">
        <v>89</v>
      </c>
      <c r="E1776" s="74">
        <v>1</v>
      </c>
      <c r="F1776" s="74">
        <v>8.65</v>
      </c>
      <c r="G1776" s="758">
        <f t="shared" si="108"/>
        <v>0</v>
      </c>
      <c r="H1776" s="759">
        <f t="shared" si="109"/>
        <v>0</v>
      </c>
      <c r="I1776" s="758">
        <f t="shared" si="110"/>
        <v>8.65</v>
      </c>
      <c r="J1776" s="760">
        <f t="shared" si="111"/>
        <v>1</v>
      </c>
    </row>
    <row r="1777" spans="1:10">
      <c r="A1777" s="74" t="s">
        <v>747</v>
      </c>
      <c r="B1777" s="74" t="s">
        <v>256</v>
      </c>
      <c r="C1777" s="74" t="s">
        <v>1528</v>
      </c>
      <c r="D1777" s="74" t="s">
        <v>78</v>
      </c>
      <c r="E1777" s="74">
        <v>4</v>
      </c>
      <c r="F1777" s="74">
        <v>33.479999999999997</v>
      </c>
      <c r="G1777" s="758">
        <f t="shared" si="108"/>
        <v>2.34</v>
      </c>
      <c r="H1777" s="759">
        <f t="shared" si="109"/>
        <v>0.24</v>
      </c>
      <c r="I1777" s="758">
        <f t="shared" si="110"/>
        <v>6.0299999999999994</v>
      </c>
      <c r="J1777" s="760">
        <f t="shared" si="111"/>
        <v>0.72043010752688175</v>
      </c>
    </row>
    <row r="1778" spans="1:10">
      <c r="A1778" s="74" t="s">
        <v>747</v>
      </c>
      <c r="B1778" s="74" t="s">
        <v>256</v>
      </c>
      <c r="C1778" s="74" t="s">
        <v>1508</v>
      </c>
      <c r="D1778" s="74" t="s">
        <v>78</v>
      </c>
      <c r="E1778" s="74">
        <v>1</v>
      </c>
      <c r="F1778" s="74">
        <v>7.73</v>
      </c>
      <c r="G1778" s="758">
        <f t="shared" si="108"/>
        <v>2.34</v>
      </c>
      <c r="H1778" s="759">
        <f t="shared" si="109"/>
        <v>0.24</v>
      </c>
      <c r="I1778" s="758">
        <f t="shared" si="110"/>
        <v>5.3900000000000006</v>
      </c>
      <c r="J1778" s="760">
        <f t="shared" si="111"/>
        <v>0.69728331177231562</v>
      </c>
    </row>
    <row r="1779" spans="1:10">
      <c r="A1779" s="74" t="s">
        <v>747</v>
      </c>
      <c r="B1779" s="74" t="s">
        <v>256</v>
      </c>
      <c r="C1779" s="74" t="s">
        <v>1565</v>
      </c>
      <c r="D1779" s="74" t="s">
        <v>78</v>
      </c>
      <c r="E1779" s="74">
        <v>1</v>
      </c>
      <c r="F1779" s="74">
        <v>7.86</v>
      </c>
      <c r="G1779" s="758">
        <f t="shared" si="108"/>
        <v>2.34</v>
      </c>
      <c r="H1779" s="759">
        <f t="shared" si="109"/>
        <v>0.24</v>
      </c>
      <c r="I1779" s="758">
        <f t="shared" si="110"/>
        <v>5.5200000000000005</v>
      </c>
      <c r="J1779" s="760">
        <f t="shared" si="111"/>
        <v>0.70229007633587792</v>
      </c>
    </row>
    <row r="1780" spans="1:10">
      <c r="A1780" s="74" t="s">
        <v>747</v>
      </c>
      <c r="B1780" s="74" t="s">
        <v>256</v>
      </c>
      <c r="C1780" s="74" t="s">
        <v>1530</v>
      </c>
      <c r="D1780" s="74" t="s">
        <v>80</v>
      </c>
      <c r="E1780" s="74">
        <v>3</v>
      </c>
      <c r="F1780" s="74">
        <v>23.32</v>
      </c>
      <c r="G1780" s="758">
        <f t="shared" si="108"/>
        <v>2.34</v>
      </c>
      <c r="H1780" s="759">
        <f t="shared" si="109"/>
        <v>0.24</v>
      </c>
      <c r="I1780" s="758">
        <f t="shared" si="110"/>
        <v>5.4333333333333336</v>
      </c>
      <c r="J1780" s="760">
        <f t="shared" si="111"/>
        <v>0.69897084048027447</v>
      </c>
    </row>
    <row r="1781" spans="1:10">
      <c r="A1781" s="74" t="s">
        <v>747</v>
      </c>
      <c r="B1781" s="74" t="s">
        <v>256</v>
      </c>
      <c r="C1781" s="74" t="s">
        <v>1532</v>
      </c>
      <c r="D1781" s="74" t="s">
        <v>80</v>
      </c>
      <c r="E1781" s="74">
        <v>3</v>
      </c>
      <c r="F1781" s="74">
        <v>23.32</v>
      </c>
      <c r="G1781" s="758">
        <f t="shared" si="108"/>
        <v>2.34</v>
      </c>
      <c r="H1781" s="759">
        <f t="shared" si="109"/>
        <v>0.24</v>
      </c>
      <c r="I1781" s="758">
        <f t="shared" si="110"/>
        <v>5.4333333333333336</v>
      </c>
      <c r="J1781" s="760">
        <f t="shared" si="111"/>
        <v>0.69897084048027447</v>
      </c>
    </row>
    <row r="1782" spans="1:10">
      <c r="A1782" s="74" t="s">
        <v>747</v>
      </c>
      <c r="B1782" s="74" t="s">
        <v>256</v>
      </c>
      <c r="C1782" s="74" t="s">
        <v>1511</v>
      </c>
      <c r="D1782" s="74" t="s">
        <v>80</v>
      </c>
      <c r="E1782" s="74">
        <v>1</v>
      </c>
      <c r="F1782" s="74">
        <v>7.73</v>
      </c>
      <c r="G1782" s="758">
        <f t="shared" si="108"/>
        <v>2.34</v>
      </c>
      <c r="H1782" s="759">
        <f t="shared" si="109"/>
        <v>0.24</v>
      </c>
      <c r="I1782" s="758">
        <f t="shared" si="110"/>
        <v>5.3900000000000006</v>
      </c>
      <c r="J1782" s="760">
        <f t="shared" si="111"/>
        <v>0.69728331177231562</v>
      </c>
    </row>
    <row r="1783" spans="1:10">
      <c r="A1783" s="74" t="s">
        <v>747</v>
      </c>
      <c r="B1783" s="74" t="s">
        <v>256</v>
      </c>
      <c r="C1783" s="74" t="s">
        <v>1513</v>
      </c>
      <c r="D1783" s="74" t="s">
        <v>81</v>
      </c>
      <c r="E1783" s="74">
        <v>4</v>
      </c>
      <c r="F1783" s="74">
        <v>31.18</v>
      </c>
      <c r="G1783" s="758">
        <f t="shared" si="108"/>
        <v>2.34</v>
      </c>
      <c r="H1783" s="759">
        <f t="shared" si="109"/>
        <v>0.24</v>
      </c>
      <c r="I1783" s="758">
        <f t="shared" si="110"/>
        <v>5.4550000000000001</v>
      </c>
      <c r="J1783" s="760">
        <f t="shared" si="111"/>
        <v>0.69980756895445806</v>
      </c>
    </row>
    <row r="1784" spans="1:10">
      <c r="A1784" s="74" t="s">
        <v>747</v>
      </c>
      <c r="B1784" s="74" t="s">
        <v>256</v>
      </c>
      <c r="C1784" s="74" t="s">
        <v>1514</v>
      </c>
      <c r="D1784" s="74" t="s">
        <v>81</v>
      </c>
      <c r="E1784" s="74">
        <v>1</v>
      </c>
      <c r="F1784" s="74">
        <v>7.86</v>
      </c>
      <c r="G1784" s="758">
        <f t="shared" si="108"/>
        <v>2.34</v>
      </c>
      <c r="H1784" s="759">
        <f t="shared" si="109"/>
        <v>0.24</v>
      </c>
      <c r="I1784" s="758">
        <f t="shared" si="110"/>
        <v>5.5200000000000005</v>
      </c>
      <c r="J1784" s="760">
        <f t="shared" si="111"/>
        <v>0.70229007633587792</v>
      </c>
    </row>
    <row r="1785" spans="1:10">
      <c r="A1785" s="74" t="s">
        <v>747</v>
      </c>
      <c r="B1785" s="74" t="s">
        <v>256</v>
      </c>
      <c r="C1785" s="74" t="s">
        <v>1515</v>
      </c>
      <c r="D1785" s="74" t="s">
        <v>81</v>
      </c>
      <c r="E1785" s="74">
        <v>1</v>
      </c>
      <c r="F1785" s="74">
        <v>7.73</v>
      </c>
      <c r="G1785" s="758">
        <f t="shared" si="108"/>
        <v>2.34</v>
      </c>
      <c r="H1785" s="759">
        <f t="shared" si="109"/>
        <v>0.24</v>
      </c>
      <c r="I1785" s="758">
        <f t="shared" si="110"/>
        <v>5.3900000000000006</v>
      </c>
      <c r="J1785" s="760">
        <f t="shared" si="111"/>
        <v>0.69728331177231562</v>
      </c>
    </row>
    <row r="1786" spans="1:10">
      <c r="A1786" s="74" t="s">
        <v>1718</v>
      </c>
      <c r="B1786" s="74" t="s">
        <v>873</v>
      </c>
      <c r="C1786" s="74" t="s">
        <v>1631</v>
      </c>
      <c r="D1786" s="74" t="s">
        <v>92</v>
      </c>
      <c r="E1786" s="74">
        <v>3</v>
      </c>
      <c r="F1786" s="74">
        <v>9</v>
      </c>
      <c r="G1786" s="758">
        <f t="shared" si="108"/>
        <v>0</v>
      </c>
      <c r="H1786" s="759">
        <f t="shared" si="109"/>
        <v>0</v>
      </c>
      <c r="I1786" s="758">
        <f t="shared" si="110"/>
        <v>3</v>
      </c>
      <c r="J1786" s="760">
        <f t="shared" si="111"/>
        <v>1</v>
      </c>
    </row>
    <row r="1787" spans="1:10">
      <c r="A1787" s="74" t="s">
        <v>1719</v>
      </c>
      <c r="B1787" s="74" t="s">
        <v>873</v>
      </c>
      <c r="C1787" s="74" t="s">
        <v>1543</v>
      </c>
      <c r="D1787" s="74" t="s">
        <v>87</v>
      </c>
      <c r="E1787" s="74">
        <v>2</v>
      </c>
      <c r="F1787" s="74">
        <v>6</v>
      </c>
      <c r="G1787" s="758">
        <f t="shared" si="108"/>
        <v>0</v>
      </c>
      <c r="H1787" s="759">
        <f t="shared" si="109"/>
        <v>0</v>
      </c>
      <c r="I1787" s="758">
        <f t="shared" si="110"/>
        <v>3</v>
      </c>
      <c r="J1787" s="760">
        <f t="shared" si="111"/>
        <v>1</v>
      </c>
    </row>
    <row r="1788" spans="1:10">
      <c r="A1788" s="74" t="s">
        <v>1720</v>
      </c>
      <c r="B1788" s="74" t="s">
        <v>2280</v>
      </c>
      <c r="C1788" s="74" t="s">
        <v>1534</v>
      </c>
      <c r="D1788" s="74" t="s">
        <v>81</v>
      </c>
      <c r="E1788" s="74">
        <v>1</v>
      </c>
      <c r="F1788" s="74">
        <v>0</v>
      </c>
      <c r="G1788" s="758">
        <f t="shared" si="108"/>
        <v>0.8</v>
      </c>
      <c r="H1788" s="759">
        <f t="shared" si="109"/>
        <v>0</v>
      </c>
      <c r="I1788" s="758">
        <f t="shared" si="110"/>
        <v>-0.8</v>
      </c>
      <c r="J1788" s="760">
        <f t="shared" si="111"/>
        <v>0</v>
      </c>
    </row>
    <row r="1789" spans="1:10">
      <c r="A1789" s="74" t="s">
        <v>1721</v>
      </c>
      <c r="B1789" s="74" t="s">
        <v>256</v>
      </c>
      <c r="C1789" s="74" t="s">
        <v>1547</v>
      </c>
      <c r="D1789" s="74" t="s">
        <v>89</v>
      </c>
      <c r="E1789" s="74">
        <v>1</v>
      </c>
      <c r="F1789" s="74">
        <v>9.9</v>
      </c>
      <c r="G1789" s="758">
        <f t="shared" si="108"/>
        <v>0</v>
      </c>
      <c r="H1789" s="759">
        <f t="shared" si="109"/>
        <v>0</v>
      </c>
      <c r="I1789" s="758">
        <f t="shared" si="110"/>
        <v>9.9</v>
      </c>
      <c r="J1789" s="760">
        <f t="shared" si="111"/>
        <v>1</v>
      </c>
    </row>
    <row r="1790" spans="1:10">
      <c r="A1790" s="74" t="s">
        <v>1722</v>
      </c>
      <c r="B1790" s="74" t="s">
        <v>256</v>
      </c>
      <c r="C1790" s="74" t="s">
        <v>1527</v>
      </c>
      <c r="D1790" s="74" t="s">
        <v>82</v>
      </c>
      <c r="E1790" s="74">
        <v>19</v>
      </c>
      <c r="F1790" s="74">
        <v>181.25</v>
      </c>
      <c r="G1790" s="758">
        <f t="shared" si="108"/>
        <v>1.71</v>
      </c>
      <c r="H1790" s="759">
        <f t="shared" si="109"/>
        <v>0.2</v>
      </c>
      <c r="I1790" s="758">
        <f t="shared" si="110"/>
        <v>7.8294736842105257</v>
      </c>
      <c r="J1790" s="760">
        <f t="shared" si="111"/>
        <v>0.82074482758620693</v>
      </c>
    </row>
    <row r="1791" spans="1:10">
      <c r="A1791" s="74" t="s">
        <v>1723</v>
      </c>
      <c r="B1791" s="74" t="s">
        <v>877</v>
      </c>
      <c r="C1791" s="74" t="s">
        <v>1520</v>
      </c>
      <c r="D1791" s="74" t="s">
        <v>84</v>
      </c>
      <c r="E1791" s="74">
        <v>2</v>
      </c>
      <c r="F1791" s="74">
        <v>8</v>
      </c>
      <c r="G1791" s="758">
        <f t="shared" si="108"/>
        <v>0</v>
      </c>
      <c r="H1791" s="759">
        <f t="shared" si="109"/>
        <v>0</v>
      </c>
      <c r="I1791" s="758">
        <f t="shared" si="110"/>
        <v>4</v>
      </c>
      <c r="J1791" s="760">
        <f t="shared" si="111"/>
        <v>1</v>
      </c>
    </row>
    <row r="1792" spans="1:10">
      <c r="A1792" s="74" t="s">
        <v>1724</v>
      </c>
      <c r="B1792" s="74" t="s">
        <v>877</v>
      </c>
      <c r="C1792" s="74" t="s">
        <v>1507</v>
      </c>
      <c r="D1792" s="74" t="s">
        <v>86</v>
      </c>
      <c r="E1792" s="74">
        <v>5</v>
      </c>
      <c r="F1792" s="74">
        <v>15</v>
      </c>
      <c r="G1792" s="758">
        <f t="shared" si="108"/>
        <v>0</v>
      </c>
      <c r="H1792" s="759">
        <f t="shared" si="109"/>
        <v>0</v>
      </c>
      <c r="I1792" s="758">
        <f t="shared" si="110"/>
        <v>3</v>
      </c>
      <c r="J1792" s="760">
        <f t="shared" si="111"/>
        <v>1</v>
      </c>
    </row>
    <row r="1793" spans="1:10">
      <c r="A1793" s="74" t="s">
        <v>991</v>
      </c>
      <c r="B1793" s="74" t="s">
        <v>266</v>
      </c>
      <c r="C1793" s="74" t="s">
        <v>1508</v>
      </c>
      <c r="D1793" s="74" t="s">
        <v>78</v>
      </c>
      <c r="E1793" s="74">
        <v>2</v>
      </c>
      <c r="F1793" s="74">
        <v>0</v>
      </c>
      <c r="G1793" s="758">
        <f t="shared" si="108"/>
        <v>0.32</v>
      </c>
      <c r="H1793" s="759">
        <f t="shared" si="109"/>
        <v>0</v>
      </c>
      <c r="I1793" s="758">
        <f t="shared" si="110"/>
        <v>-0.32</v>
      </c>
      <c r="J1793" s="760">
        <f t="shared" si="111"/>
        <v>0</v>
      </c>
    </row>
    <row r="1794" spans="1:10">
      <c r="A1794" s="74" t="s">
        <v>991</v>
      </c>
      <c r="B1794" s="74" t="s">
        <v>266</v>
      </c>
      <c r="C1794" s="74" t="s">
        <v>1509</v>
      </c>
      <c r="D1794" s="74" t="s">
        <v>78</v>
      </c>
      <c r="E1794" s="74">
        <v>7</v>
      </c>
      <c r="F1794" s="74">
        <v>0</v>
      </c>
      <c r="G1794" s="758">
        <f t="shared" ref="G1794:G1857" si="112">IFERROR(VLOOKUP(A1794,$M$1:$P$1014,2,FALSE),0)</f>
        <v>0.32</v>
      </c>
      <c r="H1794" s="759">
        <f t="shared" ref="H1794:H1857" si="113">IFERROR(VLOOKUP(A1794,$M$1:$P$1014,3,FALSE),0)</f>
        <v>0</v>
      </c>
      <c r="I1794" s="758">
        <f t="shared" ref="I1794:I1857" si="114">IFERROR(F1794/E1794-G1794,0)</f>
        <v>-0.32</v>
      </c>
      <c r="J1794" s="760">
        <f t="shared" ref="J1794:J1857" si="115">IFERROR(1-G1794*E1794/F1794,0)</f>
        <v>0</v>
      </c>
    </row>
    <row r="1795" spans="1:10">
      <c r="A1795" s="74" t="s">
        <v>991</v>
      </c>
      <c r="B1795" s="74" t="s">
        <v>266</v>
      </c>
      <c r="C1795" s="74" t="s">
        <v>1565</v>
      </c>
      <c r="D1795" s="74" t="s">
        <v>78</v>
      </c>
      <c r="E1795" s="74">
        <v>7</v>
      </c>
      <c r="F1795" s="74">
        <v>0</v>
      </c>
      <c r="G1795" s="758">
        <f t="shared" si="112"/>
        <v>0.32</v>
      </c>
      <c r="H1795" s="759">
        <f t="shared" si="113"/>
        <v>0</v>
      </c>
      <c r="I1795" s="758">
        <f t="shared" si="114"/>
        <v>-0.32</v>
      </c>
      <c r="J1795" s="760">
        <f t="shared" si="115"/>
        <v>0</v>
      </c>
    </row>
    <row r="1796" spans="1:10">
      <c r="A1796" s="74" t="s">
        <v>991</v>
      </c>
      <c r="B1796" s="74" t="s">
        <v>266</v>
      </c>
      <c r="C1796" s="74" t="s">
        <v>1530</v>
      </c>
      <c r="D1796" s="74" t="s">
        <v>80</v>
      </c>
      <c r="E1796" s="74">
        <v>4</v>
      </c>
      <c r="F1796" s="74">
        <v>0</v>
      </c>
      <c r="G1796" s="758">
        <f t="shared" si="112"/>
        <v>0.32</v>
      </c>
      <c r="H1796" s="759">
        <f t="shared" si="113"/>
        <v>0</v>
      </c>
      <c r="I1796" s="758">
        <f t="shared" si="114"/>
        <v>-0.32</v>
      </c>
      <c r="J1796" s="760">
        <f t="shared" si="115"/>
        <v>0</v>
      </c>
    </row>
    <row r="1797" spans="1:10">
      <c r="A1797" s="74" t="s">
        <v>991</v>
      </c>
      <c r="B1797" s="74" t="s">
        <v>266</v>
      </c>
      <c r="C1797" s="74" t="s">
        <v>1532</v>
      </c>
      <c r="D1797" s="74" t="s">
        <v>80</v>
      </c>
      <c r="E1797" s="74">
        <v>5</v>
      </c>
      <c r="F1797" s="74">
        <v>0</v>
      </c>
      <c r="G1797" s="758">
        <f t="shared" si="112"/>
        <v>0.32</v>
      </c>
      <c r="H1797" s="759">
        <f t="shared" si="113"/>
        <v>0</v>
      </c>
      <c r="I1797" s="758">
        <f t="shared" si="114"/>
        <v>-0.32</v>
      </c>
      <c r="J1797" s="760">
        <f t="shared" si="115"/>
        <v>0</v>
      </c>
    </row>
    <row r="1798" spans="1:10">
      <c r="A1798" s="74" t="s">
        <v>991</v>
      </c>
      <c r="B1798" s="74" t="s">
        <v>266</v>
      </c>
      <c r="C1798" s="74" t="s">
        <v>1512</v>
      </c>
      <c r="D1798" s="74" t="s">
        <v>80</v>
      </c>
      <c r="E1798" s="74">
        <v>5</v>
      </c>
      <c r="F1798" s="74">
        <v>0</v>
      </c>
      <c r="G1798" s="758">
        <f t="shared" si="112"/>
        <v>0.32</v>
      </c>
      <c r="H1798" s="759">
        <f t="shared" si="113"/>
        <v>0</v>
      </c>
      <c r="I1798" s="758">
        <f t="shared" si="114"/>
        <v>-0.32</v>
      </c>
      <c r="J1798" s="760">
        <f t="shared" si="115"/>
        <v>0</v>
      </c>
    </row>
    <row r="1799" spans="1:10">
      <c r="A1799" s="74" t="s">
        <v>991</v>
      </c>
      <c r="B1799" s="74" t="s">
        <v>266</v>
      </c>
      <c r="C1799" s="74" t="s">
        <v>1514</v>
      </c>
      <c r="D1799" s="74" t="s">
        <v>81</v>
      </c>
      <c r="E1799" s="74">
        <v>3</v>
      </c>
      <c r="F1799" s="74">
        <v>0</v>
      </c>
      <c r="G1799" s="758">
        <f t="shared" si="112"/>
        <v>0.32</v>
      </c>
      <c r="H1799" s="759">
        <f t="shared" si="113"/>
        <v>0</v>
      </c>
      <c r="I1799" s="758">
        <f t="shared" si="114"/>
        <v>-0.32</v>
      </c>
      <c r="J1799" s="760">
        <f t="shared" si="115"/>
        <v>0</v>
      </c>
    </row>
    <row r="1800" spans="1:10">
      <c r="A1800" s="74" t="s">
        <v>991</v>
      </c>
      <c r="B1800" s="74" t="s">
        <v>266</v>
      </c>
      <c r="C1800" s="74" t="s">
        <v>1515</v>
      </c>
      <c r="D1800" s="74" t="s">
        <v>81</v>
      </c>
      <c r="E1800" s="74">
        <v>3</v>
      </c>
      <c r="F1800" s="74">
        <v>0</v>
      </c>
      <c r="G1800" s="758">
        <f t="shared" si="112"/>
        <v>0.32</v>
      </c>
      <c r="H1800" s="759">
        <f t="shared" si="113"/>
        <v>0</v>
      </c>
      <c r="I1800" s="758">
        <f t="shared" si="114"/>
        <v>-0.32</v>
      </c>
      <c r="J1800" s="760">
        <f t="shared" si="115"/>
        <v>0</v>
      </c>
    </row>
    <row r="1801" spans="1:10">
      <c r="A1801" s="74" t="s">
        <v>991</v>
      </c>
      <c r="B1801" s="74" t="s">
        <v>266</v>
      </c>
      <c r="C1801" s="74" t="s">
        <v>1516</v>
      </c>
      <c r="D1801" s="74" t="s">
        <v>82</v>
      </c>
      <c r="E1801" s="74">
        <v>2</v>
      </c>
      <c r="F1801" s="74">
        <v>0</v>
      </c>
      <c r="G1801" s="758">
        <f t="shared" si="112"/>
        <v>0.32</v>
      </c>
      <c r="H1801" s="759">
        <f t="shared" si="113"/>
        <v>0</v>
      </c>
      <c r="I1801" s="758">
        <f t="shared" si="114"/>
        <v>-0.32</v>
      </c>
      <c r="J1801" s="760">
        <f t="shared" si="115"/>
        <v>0</v>
      </c>
    </row>
    <row r="1802" spans="1:10">
      <c r="A1802" s="74" t="s">
        <v>991</v>
      </c>
      <c r="B1802" s="74" t="s">
        <v>266</v>
      </c>
      <c r="C1802" s="74" t="s">
        <v>1517</v>
      </c>
      <c r="D1802" s="74" t="s">
        <v>82</v>
      </c>
      <c r="E1802" s="74">
        <v>1</v>
      </c>
      <c r="F1802" s="74">
        <v>0</v>
      </c>
      <c r="G1802" s="758">
        <f t="shared" si="112"/>
        <v>0.32</v>
      </c>
      <c r="H1802" s="759">
        <f t="shared" si="113"/>
        <v>0</v>
      </c>
      <c r="I1802" s="758">
        <f t="shared" si="114"/>
        <v>-0.32</v>
      </c>
      <c r="J1802" s="760">
        <f t="shared" si="115"/>
        <v>0</v>
      </c>
    </row>
    <row r="1803" spans="1:10">
      <c r="A1803" s="74" t="s">
        <v>991</v>
      </c>
      <c r="B1803" s="74" t="s">
        <v>266</v>
      </c>
      <c r="C1803" s="74" t="s">
        <v>1527</v>
      </c>
      <c r="D1803" s="74" t="s">
        <v>82</v>
      </c>
      <c r="E1803" s="74">
        <v>2</v>
      </c>
      <c r="F1803" s="74">
        <v>0</v>
      </c>
      <c r="G1803" s="758">
        <f t="shared" si="112"/>
        <v>0.32</v>
      </c>
      <c r="H1803" s="759">
        <f t="shared" si="113"/>
        <v>0</v>
      </c>
      <c r="I1803" s="758">
        <f t="shared" si="114"/>
        <v>-0.32</v>
      </c>
      <c r="J1803" s="760">
        <f t="shared" si="115"/>
        <v>0</v>
      </c>
    </row>
    <row r="1804" spans="1:10">
      <c r="A1804" s="74" t="s">
        <v>991</v>
      </c>
      <c r="B1804" s="74" t="s">
        <v>266</v>
      </c>
      <c r="C1804" s="74" t="s">
        <v>1518</v>
      </c>
      <c r="D1804" s="74" t="s">
        <v>82</v>
      </c>
      <c r="E1804" s="74">
        <v>5</v>
      </c>
      <c r="F1804" s="74">
        <v>0</v>
      </c>
      <c r="G1804" s="758">
        <f t="shared" si="112"/>
        <v>0.32</v>
      </c>
      <c r="H1804" s="759">
        <f t="shared" si="113"/>
        <v>0</v>
      </c>
      <c r="I1804" s="758">
        <f t="shared" si="114"/>
        <v>-0.32</v>
      </c>
      <c r="J1804" s="760">
        <f t="shared" si="115"/>
        <v>0</v>
      </c>
    </row>
    <row r="1805" spans="1:10">
      <c r="A1805" s="74" t="s">
        <v>991</v>
      </c>
      <c r="B1805" s="74" t="s">
        <v>266</v>
      </c>
      <c r="C1805" s="74" t="s">
        <v>1519</v>
      </c>
      <c r="D1805" s="74" t="s">
        <v>84</v>
      </c>
      <c r="E1805" s="74">
        <v>1</v>
      </c>
      <c r="F1805" s="74">
        <v>0</v>
      </c>
      <c r="G1805" s="758">
        <f t="shared" si="112"/>
        <v>0.32</v>
      </c>
      <c r="H1805" s="759">
        <f t="shared" si="113"/>
        <v>0</v>
      </c>
      <c r="I1805" s="758">
        <f t="shared" si="114"/>
        <v>-0.32</v>
      </c>
      <c r="J1805" s="760">
        <f t="shared" si="115"/>
        <v>0</v>
      </c>
    </row>
    <row r="1806" spans="1:10">
      <c r="A1806" s="74" t="s">
        <v>991</v>
      </c>
      <c r="B1806" s="74" t="s">
        <v>266</v>
      </c>
      <c r="C1806" s="74" t="s">
        <v>1540</v>
      </c>
      <c r="D1806" s="74" t="s">
        <v>84</v>
      </c>
      <c r="E1806" s="74">
        <v>2</v>
      </c>
      <c r="F1806" s="74">
        <v>0</v>
      </c>
      <c r="G1806" s="758">
        <f t="shared" si="112"/>
        <v>0.32</v>
      </c>
      <c r="H1806" s="759">
        <f t="shared" si="113"/>
        <v>0</v>
      </c>
      <c r="I1806" s="758">
        <f t="shared" si="114"/>
        <v>-0.32</v>
      </c>
      <c r="J1806" s="760">
        <f t="shared" si="115"/>
        <v>0</v>
      </c>
    </row>
    <row r="1807" spans="1:10">
      <c r="A1807" s="74" t="s">
        <v>991</v>
      </c>
      <c r="B1807" s="74" t="s">
        <v>266</v>
      </c>
      <c r="C1807" s="74" t="s">
        <v>1520</v>
      </c>
      <c r="D1807" s="74" t="s">
        <v>84</v>
      </c>
      <c r="E1807" s="74">
        <v>2</v>
      </c>
      <c r="F1807" s="74">
        <v>2.0499999999999998</v>
      </c>
      <c r="G1807" s="758">
        <f t="shared" si="112"/>
        <v>0.32</v>
      </c>
      <c r="H1807" s="759">
        <f t="shared" si="113"/>
        <v>0</v>
      </c>
      <c r="I1807" s="758">
        <f t="shared" si="114"/>
        <v>0.70499999999999985</v>
      </c>
      <c r="J1807" s="760">
        <f t="shared" si="115"/>
        <v>0.68780487804878043</v>
      </c>
    </row>
    <row r="1808" spans="1:10">
      <c r="A1808" s="74" t="s">
        <v>991</v>
      </c>
      <c r="B1808" s="74" t="s">
        <v>266</v>
      </c>
      <c r="C1808" s="74" t="s">
        <v>1577</v>
      </c>
      <c r="D1808" s="74" t="s">
        <v>84</v>
      </c>
      <c r="E1808" s="74">
        <v>10</v>
      </c>
      <c r="F1808" s="74">
        <v>6.15</v>
      </c>
      <c r="G1808" s="758">
        <f t="shared" si="112"/>
        <v>0.32</v>
      </c>
      <c r="H1808" s="759">
        <f t="shared" si="113"/>
        <v>0</v>
      </c>
      <c r="I1808" s="758">
        <f t="shared" si="114"/>
        <v>0.29499999999999998</v>
      </c>
      <c r="J1808" s="760">
        <f t="shared" si="115"/>
        <v>0.47967479674796754</v>
      </c>
    </row>
    <row r="1809" spans="1:10">
      <c r="A1809" s="74" t="s">
        <v>991</v>
      </c>
      <c r="B1809" s="74" t="s">
        <v>266</v>
      </c>
      <c r="C1809" s="74" t="s">
        <v>1507</v>
      </c>
      <c r="D1809" s="74" t="s">
        <v>86</v>
      </c>
      <c r="E1809" s="74">
        <v>1</v>
      </c>
      <c r="F1809" s="74">
        <v>2.0499999999999998</v>
      </c>
      <c r="G1809" s="758">
        <f t="shared" si="112"/>
        <v>0.32</v>
      </c>
      <c r="H1809" s="759">
        <f t="shared" si="113"/>
        <v>0</v>
      </c>
      <c r="I1809" s="758">
        <f t="shared" si="114"/>
        <v>1.7299999999999998</v>
      </c>
      <c r="J1809" s="760">
        <f t="shared" si="115"/>
        <v>0.84390243902439022</v>
      </c>
    </row>
    <row r="1810" spans="1:10">
      <c r="A1810" s="74" t="s">
        <v>991</v>
      </c>
      <c r="B1810" s="74" t="s">
        <v>266</v>
      </c>
      <c r="C1810" s="74" t="s">
        <v>1644</v>
      </c>
      <c r="D1810" s="74" t="s">
        <v>86</v>
      </c>
      <c r="E1810" s="74">
        <v>2</v>
      </c>
      <c r="F1810" s="74">
        <v>2.0499999999999998</v>
      </c>
      <c r="G1810" s="758">
        <f t="shared" si="112"/>
        <v>0.32</v>
      </c>
      <c r="H1810" s="759">
        <f t="shared" si="113"/>
        <v>0</v>
      </c>
      <c r="I1810" s="758">
        <f t="shared" si="114"/>
        <v>0.70499999999999985</v>
      </c>
      <c r="J1810" s="760">
        <f t="shared" si="115"/>
        <v>0.68780487804878043</v>
      </c>
    </row>
    <row r="1811" spans="1:10">
      <c r="A1811" s="74" t="s">
        <v>991</v>
      </c>
      <c r="B1811" s="74" t="s">
        <v>266</v>
      </c>
      <c r="C1811" s="74" t="s">
        <v>1578</v>
      </c>
      <c r="D1811" s="74" t="s">
        <v>86</v>
      </c>
      <c r="E1811" s="74">
        <v>3</v>
      </c>
      <c r="F1811" s="74">
        <v>2.0499999999999998</v>
      </c>
      <c r="G1811" s="758">
        <f t="shared" si="112"/>
        <v>0.32</v>
      </c>
      <c r="H1811" s="759">
        <f t="shared" si="113"/>
        <v>0</v>
      </c>
      <c r="I1811" s="758">
        <f t="shared" si="114"/>
        <v>0.36333333333333323</v>
      </c>
      <c r="J1811" s="760">
        <f t="shared" si="115"/>
        <v>0.53170731707317076</v>
      </c>
    </row>
    <row r="1812" spans="1:10">
      <c r="A1812" s="74" t="s">
        <v>991</v>
      </c>
      <c r="B1812" s="74" t="s">
        <v>266</v>
      </c>
      <c r="C1812" s="74" t="s">
        <v>1646</v>
      </c>
      <c r="D1812" s="74" t="s">
        <v>86</v>
      </c>
      <c r="E1812" s="74">
        <v>2</v>
      </c>
      <c r="F1812" s="74">
        <v>4</v>
      </c>
      <c r="G1812" s="758">
        <f t="shared" si="112"/>
        <v>0.32</v>
      </c>
      <c r="H1812" s="759">
        <f t="shared" si="113"/>
        <v>0</v>
      </c>
      <c r="I1812" s="758">
        <f t="shared" si="114"/>
        <v>1.68</v>
      </c>
      <c r="J1812" s="760">
        <f t="shared" si="115"/>
        <v>0.84</v>
      </c>
    </row>
    <row r="1813" spans="1:10">
      <c r="A1813" s="74" t="s">
        <v>991</v>
      </c>
      <c r="B1813" s="74" t="s">
        <v>266</v>
      </c>
      <c r="C1813" s="74" t="s">
        <v>1541</v>
      </c>
      <c r="D1813" s="74" t="s">
        <v>86</v>
      </c>
      <c r="E1813" s="74">
        <v>1</v>
      </c>
      <c r="F1813" s="74">
        <v>0</v>
      </c>
      <c r="G1813" s="758">
        <f t="shared" si="112"/>
        <v>0.32</v>
      </c>
      <c r="H1813" s="759">
        <f t="shared" si="113"/>
        <v>0</v>
      </c>
      <c r="I1813" s="758">
        <f t="shared" si="114"/>
        <v>-0.32</v>
      </c>
      <c r="J1813" s="760">
        <f t="shared" si="115"/>
        <v>0</v>
      </c>
    </row>
    <row r="1814" spans="1:10">
      <c r="A1814" s="74" t="s">
        <v>991</v>
      </c>
      <c r="B1814" s="74" t="s">
        <v>266</v>
      </c>
      <c r="C1814" s="74" t="s">
        <v>1543</v>
      </c>
      <c r="D1814" s="74" t="s">
        <v>87</v>
      </c>
      <c r="E1814" s="74">
        <v>1</v>
      </c>
      <c r="F1814" s="74">
        <v>0</v>
      </c>
      <c r="G1814" s="758">
        <f t="shared" si="112"/>
        <v>0.32</v>
      </c>
      <c r="H1814" s="759">
        <f t="shared" si="113"/>
        <v>0</v>
      </c>
      <c r="I1814" s="758">
        <f t="shared" si="114"/>
        <v>-0.32</v>
      </c>
      <c r="J1814" s="760">
        <f t="shared" si="115"/>
        <v>0</v>
      </c>
    </row>
    <row r="1815" spans="1:10">
      <c r="A1815" s="74" t="s">
        <v>991</v>
      </c>
      <c r="B1815" s="74" t="s">
        <v>266</v>
      </c>
      <c r="C1815" s="74" t="s">
        <v>1544</v>
      </c>
      <c r="D1815" s="74" t="s">
        <v>87</v>
      </c>
      <c r="E1815" s="74">
        <v>2</v>
      </c>
      <c r="F1815" s="74">
        <v>0</v>
      </c>
      <c r="G1815" s="758">
        <f t="shared" si="112"/>
        <v>0.32</v>
      </c>
      <c r="H1815" s="759">
        <f t="shared" si="113"/>
        <v>0</v>
      </c>
      <c r="I1815" s="758">
        <f t="shared" si="114"/>
        <v>-0.32</v>
      </c>
      <c r="J1815" s="760">
        <f t="shared" si="115"/>
        <v>0</v>
      </c>
    </row>
    <row r="1816" spans="1:10">
      <c r="A1816" s="74" t="s">
        <v>991</v>
      </c>
      <c r="B1816" s="74" t="s">
        <v>266</v>
      </c>
      <c r="C1816" s="74" t="s">
        <v>1605</v>
      </c>
      <c r="D1816" s="74" t="s">
        <v>87</v>
      </c>
      <c r="E1816" s="74">
        <v>3</v>
      </c>
      <c r="F1816" s="74">
        <v>2.0499999999999998</v>
      </c>
      <c r="G1816" s="758">
        <f t="shared" si="112"/>
        <v>0.32</v>
      </c>
      <c r="H1816" s="759">
        <f t="shared" si="113"/>
        <v>0</v>
      </c>
      <c r="I1816" s="758">
        <f t="shared" si="114"/>
        <v>0.36333333333333323</v>
      </c>
      <c r="J1816" s="760">
        <f t="shared" si="115"/>
        <v>0.53170731707317076</v>
      </c>
    </row>
    <row r="1817" spans="1:10">
      <c r="A1817" s="74" t="s">
        <v>991</v>
      </c>
      <c r="B1817" s="74" t="s">
        <v>266</v>
      </c>
      <c r="C1817" s="74" t="s">
        <v>1561</v>
      </c>
      <c r="D1817" s="74" t="s">
        <v>87</v>
      </c>
      <c r="E1817" s="74">
        <v>3</v>
      </c>
      <c r="F1817" s="74">
        <v>0</v>
      </c>
      <c r="G1817" s="758">
        <f t="shared" si="112"/>
        <v>0.32</v>
      </c>
      <c r="H1817" s="759">
        <f t="shared" si="113"/>
        <v>0</v>
      </c>
      <c r="I1817" s="758">
        <f t="shared" si="114"/>
        <v>-0.32</v>
      </c>
      <c r="J1817" s="760">
        <f t="shared" si="115"/>
        <v>0</v>
      </c>
    </row>
    <row r="1818" spans="1:10">
      <c r="A1818" s="74" t="s">
        <v>991</v>
      </c>
      <c r="B1818" s="74" t="s">
        <v>266</v>
      </c>
      <c r="C1818" s="74" t="s">
        <v>1608</v>
      </c>
      <c r="D1818" s="74" t="s">
        <v>89</v>
      </c>
      <c r="E1818" s="74">
        <v>3</v>
      </c>
      <c r="F1818" s="74">
        <v>0</v>
      </c>
      <c r="G1818" s="758">
        <f t="shared" si="112"/>
        <v>0.32</v>
      </c>
      <c r="H1818" s="759">
        <f t="shared" si="113"/>
        <v>0</v>
      </c>
      <c r="I1818" s="758">
        <f t="shared" si="114"/>
        <v>-0.32</v>
      </c>
      <c r="J1818" s="760">
        <f t="shared" si="115"/>
        <v>0</v>
      </c>
    </row>
    <row r="1819" spans="1:10">
      <c r="A1819" s="74" t="s">
        <v>991</v>
      </c>
      <c r="B1819" s="74" t="s">
        <v>266</v>
      </c>
      <c r="C1819" s="74" t="s">
        <v>1610</v>
      </c>
      <c r="D1819" s="74" t="s">
        <v>89</v>
      </c>
      <c r="E1819" s="74">
        <v>6</v>
      </c>
      <c r="F1819" s="74">
        <v>0</v>
      </c>
      <c r="G1819" s="758">
        <f t="shared" si="112"/>
        <v>0.32</v>
      </c>
      <c r="H1819" s="759">
        <f t="shared" si="113"/>
        <v>0</v>
      </c>
      <c r="I1819" s="758">
        <f t="shared" si="114"/>
        <v>-0.32</v>
      </c>
      <c r="J1819" s="760">
        <f t="shared" si="115"/>
        <v>0</v>
      </c>
    </row>
    <row r="1820" spans="1:10">
      <c r="A1820" s="74" t="s">
        <v>991</v>
      </c>
      <c r="B1820" s="74" t="s">
        <v>266</v>
      </c>
      <c r="C1820" s="74" t="s">
        <v>1546</v>
      </c>
      <c r="D1820" s="74" t="s">
        <v>89</v>
      </c>
      <c r="E1820" s="74">
        <v>5</v>
      </c>
      <c r="F1820" s="74">
        <v>0</v>
      </c>
      <c r="G1820" s="758">
        <f t="shared" si="112"/>
        <v>0.32</v>
      </c>
      <c r="H1820" s="759">
        <f t="shared" si="113"/>
        <v>0</v>
      </c>
      <c r="I1820" s="758">
        <f t="shared" si="114"/>
        <v>-0.32</v>
      </c>
      <c r="J1820" s="760">
        <f t="shared" si="115"/>
        <v>0</v>
      </c>
    </row>
    <row r="1821" spans="1:10">
      <c r="A1821" s="74" t="s">
        <v>991</v>
      </c>
      <c r="B1821" s="74" t="s">
        <v>266</v>
      </c>
      <c r="C1821" s="74" t="s">
        <v>1547</v>
      </c>
      <c r="D1821" s="74" t="s">
        <v>89</v>
      </c>
      <c r="E1821" s="74">
        <v>2</v>
      </c>
      <c r="F1821" s="74">
        <v>0</v>
      </c>
      <c r="G1821" s="758">
        <f t="shared" si="112"/>
        <v>0.32</v>
      </c>
      <c r="H1821" s="759">
        <f t="shared" si="113"/>
        <v>0</v>
      </c>
      <c r="I1821" s="758">
        <f t="shared" si="114"/>
        <v>-0.32</v>
      </c>
      <c r="J1821" s="760">
        <f t="shared" si="115"/>
        <v>0</v>
      </c>
    </row>
    <row r="1822" spans="1:10">
      <c r="A1822" s="74" t="s">
        <v>991</v>
      </c>
      <c r="B1822" s="74" t="s">
        <v>266</v>
      </c>
      <c r="C1822" s="74" t="s">
        <v>1582</v>
      </c>
      <c r="D1822" s="74" t="s">
        <v>89</v>
      </c>
      <c r="E1822" s="74">
        <v>1</v>
      </c>
      <c r="F1822" s="74">
        <v>0</v>
      </c>
      <c r="G1822" s="758">
        <f t="shared" si="112"/>
        <v>0.32</v>
      </c>
      <c r="H1822" s="759">
        <f t="shared" si="113"/>
        <v>0</v>
      </c>
      <c r="I1822" s="758">
        <f t="shared" si="114"/>
        <v>-0.32</v>
      </c>
      <c r="J1822" s="760">
        <f t="shared" si="115"/>
        <v>0</v>
      </c>
    </row>
    <row r="1823" spans="1:10">
      <c r="A1823" s="74" t="s">
        <v>991</v>
      </c>
      <c r="B1823" s="74" t="s">
        <v>266</v>
      </c>
      <c r="C1823" s="74" t="s">
        <v>1522</v>
      </c>
      <c r="D1823" s="74" t="s">
        <v>91</v>
      </c>
      <c r="E1823" s="74">
        <v>3</v>
      </c>
      <c r="F1823" s="74">
        <v>0</v>
      </c>
      <c r="G1823" s="758">
        <f t="shared" si="112"/>
        <v>0.32</v>
      </c>
      <c r="H1823" s="759">
        <f t="shared" si="113"/>
        <v>0</v>
      </c>
      <c r="I1823" s="758">
        <f t="shared" si="114"/>
        <v>-0.32</v>
      </c>
      <c r="J1823" s="760">
        <f t="shared" si="115"/>
        <v>0</v>
      </c>
    </row>
    <row r="1824" spans="1:10">
      <c r="A1824" s="74" t="s">
        <v>991</v>
      </c>
      <c r="B1824" s="74" t="s">
        <v>266</v>
      </c>
      <c r="C1824" s="74" t="s">
        <v>1550</v>
      </c>
      <c r="D1824" s="74" t="s">
        <v>91</v>
      </c>
      <c r="E1824" s="74">
        <v>6</v>
      </c>
      <c r="F1824" s="74">
        <v>0</v>
      </c>
      <c r="G1824" s="758">
        <f t="shared" si="112"/>
        <v>0.32</v>
      </c>
      <c r="H1824" s="759">
        <f t="shared" si="113"/>
        <v>0</v>
      </c>
      <c r="I1824" s="758">
        <f t="shared" si="114"/>
        <v>-0.32</v>
      </c>
      <c r="J1824" s="760">
        <f t="shared" si="115"/>
        <v>0</v>
      </c>
    </row>
    <row r="1825" spans="1:10">
      <c r="A1825" s="74" t="s">
        <v>991</v>
      </c>
      <c r="B1825" s="74" t="s">
        <v>266</v>
      </c>
      <c r="C1825" s="74" t="s">
        <v>1524</v>
      </c>
      <c r="D1825" s="74" t="s">
        <v>91</v>
      </c>
      <c r="E1825" s="74">
        <v>2</v>
      </c>
      <c r="F1825" s="74">
        <v>0</v>
      </c>
      <c r="G1825" s="758">
        <f t="shared" si="112"/>
        <v>0.32</v>
      </c>
      <c r="H1825" s="759">
        <f t="shared" si="113"/>
        <v>0</v>
      </c>
      <c r="I1825" s="758">
        <f t="shared" si="114"/>
        <v>-0.32</v>
      </c>
      <c r="J1825" s="760">
        <f t="shared" si="115"/>
        <v>0</v>
      </c>
    </row>
    <row r="1826" spans="1:10">
      <c r="A1826" s="74" t="s">
        <v>991</v>
      </c>
      <c r="B1826" s="74" t="s">
        <v>266</v>
      </c>
      <c r="C1826" s="74" t="s">
        <v>1584</v>
      </c>
      <c r="D1826" s="74" t="s">
        <v>92</v>
      </c>
      <c r="E1826" s="74">
        <v>3</v>
      </c>
      <c r="F1826" s="74">
        <v>0</v>
      </c>
      <c r="G1826" s="758">
        <f t="shared" si="112"/>
        <v>0.32</v>
      </c>
      <c r="H1826" s="759">
        <f t="shared" si="113"/>
        <v>0</v>
      </c>
      <c r="I1826" s="758">
        <f t="shared" si="114"/>
        <v>-0.32</v>
      </c>
      <c r="J1826" s="760">
        <f t="shared" si="115"/>
        <v>0</v>
      </c>
    </row>
    <row r="1827" spans="1:10">
      <c r="A1827" s="74" t="s">
        <v>991</v>
      </c>
      <c r="B1827" s="74" t="s">
        <v>266</v>
      </c>
      <c r="C1827" s="74" t="s">
        <v>1614</v>
      </c>
      <c r="D1827" s="74" t="s">
        <v>92</v>
      </c>
      <c r="E1827" s="74">
        <v>1</v>
      </c>
      <c r="F1827" s="74">
        <v>0</v>
      </c>
      <c r="G1827" s="758">
        <f t="shared" si="112"/>
        <v>0.32</v>
      </c>
      <c r="H1827" s="759">
        <f t="shared" si="113"/>
        <v>0</v>
      </c>
      <c r="I1827" s="758">
        <f t="shared" si="114"/>
        <v>-0.32</v>
      </c>
      <c r="J1827" s="760">
        <f t="shared" si="115"/>
        <v>0</v>
      </c>
    </row>
    <row r="1828" spans="1:10">
      <c r="A1828" s="74" t="s">
        <v>991</v>
      </c>
      <c r="B1828" s="74" t="s">
        <v>266</v>
      </c>
      <c r="C1828" s="74" t="s">
        <v>1631</v>
      </c>
      <c r="D1828" s="74" t="s">
        <v>92</v>
      </c>
      <c r="E1828" s="74">
        <v>3</v>
      </c>
      <c r="F1828" s="74">
        <v>0</v>
      </c>
      <c r="G1828" s="758">
        <f t="shared" si="112"/>
        <v>0.32</v>
      </c>
      <c r="H1828" s="759">
        <f t="shared" si="113"/>
        <v>0</v>
      </c>
      <c r="I1828" s="758">
        <f t="shared" si="114"/>
        <v>-0.32</v>
      </c>
      <c r="J1828" s="760">
        <f t="shared" si="115"/>
        <v>0</v>
      </c>
    </row>
    <row r="1829" spans="1:10">
      <c r="A1829" s="74" t="s">
        <v>991</v>
      </c>
      <c r="B1829" s="74" t="s">
        <v>266</v>
      </c>
      <c r="C1829" s="74" t="s">
        <v>1552</v>
      </c>
      <c r="D1829" s="74" t="s">
        <v>92</v>
      </c>
      <c r="E1829" s="74">
        <v>2</v>
      </c>
      <c r="F1829" s="74">
        <v>0</v>
      </c>
      <c r="G1829" s="758">
        <f t="shared" si="112"/>
        <v>0.32</v>
      </c>
      <c r="H1829" s="759">
        <f t="shared" si="113"/>
        <v>0</v>
      </c>
      <c r="I1829" s="758">
        <f t="shared" si="114"/>
        <v>-0.32</v>
      </c>
      <c r="J1829" s="760">
        <f t="shared" si="115"/>
        <v>0</v>
      </c>
    </row>
    <row r="1830" spans="1:10">
      <c r="A1830" s="74" t="s">
        <v>991</v>
      </c>
      <c r="B1830" s="74" t="s">
        <v>266</v>
      </c>
      <c r="C1830" s="74" t="s">
        <v>1617</v>
      </c>
      <c r="D1830" s="74" t="s">
        <v>94</v>
      </c>
      <c r="E1830" s="74">
        <v>1</v>
      </c>
      <c r="F1830" s="74">
        <v>0</v>
      </c>
      <c r="G1830" s="758">
        <f t="shared" si="112"/>
        <v>0.32</v>
      </c>
      <c r="H1830" s="759">
        <f t="shared" si="113"/>
        <v>0</v>
      </c>
      <c r="I1830" s="758">
        <f t="shared" si="114"/>
        <v>-0.32</v>
      </c>
      <c r="J1830" s="760">
        <f t="shared" si="115"/>
        <v>0</v>
      </c>
    </row>
    <row r="1831" spans="1:10">
      <c r="A1831" s="74" t="s">
        <v>991</v>
      </c>
      <c r="B1831" s="74" t="s">
        <v>266</v>
      </c>
      <c r="C1831" s="74" t="s">
        <v>1555</v>
      </c>
      <c r="D1831" s="74" t="s">
        <v>94</v>
      </c>
      <c r="E1831" s="74">
        <v>5</v>
      </c>
      <c r="F1831" s="74">
        <v>0</v>
      </c>
      <c r="G1831" s="758">
        <f t="shared" si="112"/>
        <v>0.32</v>
      </c>
      <c r="H1831" s="759">
        <f t="shared" si="113"/>
        <v>0</v>
      </c>
      <c r="I1831" s="758">
        <f t="shared" si="114"/>
        <v>-0.32</v>
      </c>
      <c r="J1831" s="760">
        <f t="shared" si="115"/>
        <v>0</v>
      </c>
    </row>
    <row r="1832" spans="1:10">
      <c r="A1832" s="74" t="s">
        <v>1726</v>
      </c>
      <c r="B1832" s="74" t="s">
        <v>266</v>
      </c>
      <c r="C1832" s="74" t="s">
        <v>1614</v>
      </c>
      <c r="D1832" s="74" t="s">
        <v>92</v>
      </c>
      <c r="E1832" s="74">
        <v>1</v>
      </c>
      <c r="F1832" s="74">
        <v>0</v>
      </c>
      <c r="G1832" s="758">
        <f t="shared" si="112"/>
        <v>0</v>
      </c>
      <c r="H1832" s="759">
        <f t="shared" si="113"/>
        <v>0</v>
      </c>
      <c r="I1832" s="758">
        <f t="shared" si="114"/>
        <v>0</v>
      </c>
      <c r="J1832" s="760">
        <f t="shared" si="115"/>
        <v>0</v>
      </c>
    </row>
    <row r="1833" spans="1:10">
      <c r="A1833" s="74" t="s">
        <v>1727</v>
      </c>
      <c r="B1833" s="74" t="s">
        <v>266</v>
      </c>
      <c r="C1833" s="74" t="s">
        <v>1550</v>
      </c>
      <c r="D1833" s="74" t="s">
        <v>91</v>
      </c>
      <c r="E1833" s="74">
        <v>1</v>
      </c>
      <c r="F1833" s="74">
        <v>0</v>
      </c>
      <c r="G1833" s="758">
        <f t="shared" si="112"/>
        <v>0</v>
      </c>
      <c r="H1833" s="759">
        <f t="shared" si="113"/>
        <v>0</v>
      </c>
      <c r="I1833" s="758">
        <f t="shared" si="114"/>
        <v>0</v>
      </c>
      <c r="J1833" s="760">
        <f t="shared" si="115"/>
        <v>0</v>
      </c>
    </row>
    <row r="1834" spans="1:10">
      <c r="A1834" s="74" t="s">
        <v>2281</v>
      </c>
      <c r="B1834" s="74" t="s">
        <v>266</v>
      </c>
      <c r="C1834" s="74" t="s">
        <v>1610</v>
      </c>
      <c r="D1834" s="74" t="s">
        <v>89</v>
      </c>
      <c r="E1834" s="74">
        <v>1</v>
      </c>
      <c r="F1834" s="74">
        <v>0</v>
      </c>
      <c r="G1834" s="758">
        <f t="shared" si="112"/>
        <v>0</v>
      </c>
      <c r="H1834" s="759">
        <f t="shared" si="113"/>
        <v>0</v>
      </c>
      <c r="I1834" s="758">
        <f t="shared" si="114"/>
        <v>0</v>
      </c>
      <c r="J1834" s="760">
        <f t="shared" si="115"/>
        <v>0</v>
      </c>
    </row>
    <row r="1835" spans="1:10">
      <c r="A1835" s="74" t="s">
        <v>2282</v>
      </c>
      <c r="B1835" s="74" t="s">
        <v>266</v>
      </c>
      <c r="C1835" s="74" t="s">
        <v>1577</v>
      </c>
      <c r="D1835" s="74" t="s">
        <v>84</v>
      </c>
      <c r="E1835" s="74">
        <v>3</v>
      </c>
      <c r="F1835" s="74">
        <v>0</v>
      </c>
      <c r="G1835" s="758">
        <f t="shared" si="112"/>
        <v>0</v>
      </c>
      <c r="H1835" s="759">
        <f t="shared" si="113"/>
        <v>0</v>
      </c>
      <c r="I1835" s="758">
        <f t="shared" si="114"/>
        <v>0</v>
      </c>
      <c r="J1835" s="760">
        <f t="shared" si="115"/>
        <v>0</v>
      </c>
    </row>
    <row r="1836" spans="1:10">
      <c r="A1836" s="74" t="s">
        <v>1187</v>
      </c>
      <c r="B1836" s="74" t="s">
        <v>264</v>
      </c>
      <c r="C1836" s="74" t="s">
        <v>1524</v>
      </c>
      <c r="D1836" s="74" t="s">
        <v>91</v>
      </c>
      <c r="E1836" s="74">
        <v>1</v>
      </c>
      <c r="F1836" s="74">
        <v>0.7</v>
      </c>
      <c r="G1836" s="758">
        <f t="shared" si="112"/>
        <v>0</v>
      </c>
      <c r="H1836" s="759">
        <f t="shared" si="113"/>
        <v>0</v>
      </c>
      <c r="I1836" s="758">
        <f t="shared" si="114"/>
        <v>0.7</v>
      </c>
      <c r="J1836" s="760">
        <f t="shared" si="115"/>
        <v>1</v>
      </c>
    </row>
    <row r="1837" spans="1:10">
      <c r="A1837" s="74" t="s">
        <v>1728</v>
      </c>
      <c r="B1837" s="74" t="s">
        <v>266</v>
      </c>
      <c r="C1837" s="74" t="s">
        <v>1543</v>
      </c>
      <c r="D1837" s="74" t="s">
        <v>87</v>
      </c>
      <c r="E1837" s="74">
        <v>1</v>
      </c>
      <c r="F1837" s="74">
        <v>0</v>
      </c>
      <c r="G1837" s="758">
        <f t="shared" si="112"/>
        <v>0</v>
      </c>
      <c r="H1837" s="759">
        <f t="shared" si="113"/>
        <v>0</v>
      </c>
      <c r="I1837" s="758">
        <f t="shared" si="114"/>
        <v>0</v>
      </c>
      <c r="J1837" s="760">
        <f t="shared" si="115"/>
        <v>0</v>
      </c>
    </row>
    <row r="1838" spans="1:10">
      <c r="A1838" s="74" t="s">
        <v>1729</v>
      </c>
      <c r="B1838" s="74" t="s">
        <v>253</v>
      </c>
      <c r="C1838" s="74" t="s">
        <v>1517</v>
      </c>
      <c r="D1838" s="74" t="s">
        <v>82</v>
      </c>
      <c r="E1838" s="74">
        <v>7</v>
      </c>
      <c r="F1838" s="74">
        <v>0</v>
      </c>
      <c r="G1838" s="758">
        <f t="shared" si="112"/>
        <v>1.06</v>
      </c>
      <c r="H1838" s="759">
        <f t="shared" si="113"/>
        <v>0</v>
      </c>
      <c r="I1838" s="758">
        <f t="shared" si="114"/>
        <v>-1.06</v>
      </c>
      <c r="J1838" s="760">
        <f t="shared" si="115"/>
        <v>0</v>
      </c>
    </row>
    <row r="1839" spans="1:10">
      <c r="A1839" s="74" t="s">
        <v>1730</v>
      </c>
      <c r="B1839" s="74" t="s">
        <v>266</v>
      </c>
      <c r="C1839" s="74" t="s">
        <v>1507</v>
      </c>
      <c r="D1839" s="74" t="s">
        <v>86</v>
      </c>
      <c r="E1839" s="74">
        <v>2</v>
      </c>
      <c r="F1839" s="74">
        <v>0</v>
      </c>
      <c r="G1839" s="758">
        <f t="shared" si="112"/>
        <v>0</v>
      </c>
      <c r="H1839" s="759">
        <f t="shared" si="113"/>
        <v>0</v>
      </c>
      <c r="I1839" s="758">
        <f t="shared" si="114"/>
        <v>0</v>
      </c>
      <c r="J1839" s="760">
        <f t="shared" si="115"/>
        <v>0</v>
      </c>
    </row>
    <row r="1840" spans="1:10">
      <c r="A1840" s="74" t="s">
        <v>1731</v>
      </c>
      <c r="B1840" s="74" t="s">
        <v>264</v>
      </c>
      <c r="C1840" s="74" t="s">
        <v>1617</v>
      </c>
      <c r="D1840" s="74" t="s">
        <v>94</v>
      </c>
      <c r="E1840" s="74">
        <v>1</v>
      </c>
      <c r="F1840" s="74">
        <v>1.4</v>
      </c>
      <c r="G1840" s="758">
        <f t="shared" si="112"/>
        <v>0</v>
      </c>
      <c r="H1840" s="759">
        <f t="shared" si="113"/>
        <v>0</v>
      </c>
      <c r="I1840" s="758">
        <f t="shared" si="114"/>
        <v>1.4</v>
      </c>
      <c r="J1840" s="760">
        <f t="shared" si="115"/>
        <v>1</v>
      </c>
    </row>
    <row r="1841" spans="1:10">
      <c r="A1841" s="74" t="s">
        <v>899</v>
      </c>
      <c r="B1841" s="74" t="s">
        <v>862</v>
      </c>
      <c r="C1841" s="74" t="s">
        <v>1528</v>
      </c>
      <c r="D1841" s="74" t="s">
        <v>78</v>
      </c>
      <c r="E1841" s="74">
        <v>22</v>
      </c>
      <c r="F1841" s="74">
        <v>1.1000000000000001</v>
      </c>
      <c r="G1841" s="758">
        <f t="shared" si="112"/>
        <v>0</v>
      </c>
      <c r="H1841" s="759">
        <f t="shared" si="113"/>
        <v>0.22</v>
      </c>
      <c r="I1841" s="758">
        <f t="shared" si="114"/>
        <v>0.05</v>
      </c>
      <c r="J1841" s="760">
        <f t="shared" si="115"/>
        <v>1</v>
      </c>
    </row>
    <row r="1842" spans="1:10">
      <c r="A1842" s="74" t="s">
        <v>899</v>
      </c>
      <c r="B1842" s="74" t="s">
        <v>862</v>
      </c>
      <c r="C1842" s="74" t="s">
        <v>1508</v>
      </c>
      <c r="D1842" s="74" t="s">
        <v>78</v>
      </c>
      <c r="E1842" s="74">
        <v>10</v>
      </c>
      <c r="F1842" s="74">
        <v>0.5</v>
      </c>
      <c r="G1842" s="758">
        <f t="shared" si="112"/>
        <v>0</v>
      </c>
      <c r="H1842" s="759">
        <f t="shared" si="113"/>
        <v>0.22</v>
      </c>
      <c r="I1842" s="758">
        <f t="shared" si="114"/>
        <v>0.05</v>
      </c>
      <c r="J1842" s="760">
        <f t="shared" si="115"/>
        <v>1</v>
      </c>
    </row>
    <row r="1843" spans="1:10">
      <c r="A1843" s="74" t="s">
        <v>899</v>
      </c>
      <c r="B1843" s="74" t="s">
        <v>862</v>
      </c>
      <c r="C1843" s="74" t="s">
        <v>1509</v>
      </c>
      <c r="D1843" s="74" t="s">
        <v>78</v>
      </c>
      <c r="E1843" s="74">
        <v>13</v>
      </c>
      <c r="F1843" s="74">
        <v>0.65</v>
      </c>
      <c r="G1843" s="758">
        <f t="shared" si="112"/>
        <v>0</v>
      </c>
      <c r="H1843" s="759">
        <f t="shared" si="113"/>
        <v>0.22</v>
      </c>
      <c r="I1843" s="758">
        <f t="shared" si="114"/>
        <v>0.05</v>
      </c>
      <c r="J1843" s="760">
        <f t="shared" si="115"/>
        <v>1</v>
      </c>
    </row>
    <row r="1844" spans="1:10">
      <c r="A1844" s="74" t="s">
        <v>899</v>
      </c>
      <c r="B1844" s="74" t="s">
        <v>862</v>
      </c>
      <c r="C1844" s="74" t="s">
        <v>1565</v>
      </c>
      <c r="D1844" s="74" t="s">
        <v>78</v>
      </c>
      <c r="E1844" s="74">
        <v>10</v>
      </c>
      <c r="F1844" s="74">
        <v>0.5</v>
      </c>
      <c r="G1844" s="758">
        <f t="shared" si="112"/>
        <v>0</v>
      </c>
      <c r="H1844" s="759">
        <f t="shared" si="113"/>
        <v>0.22</v>
      </c>
      <c r="I1844" s="758">
        <f t="shared" si="114"/>
        <v>0.05</v>
      </c>
      <c r="J1844" s="760">
        <f t="shared" si="115"/>
        <v>1</v>
      </c>
    </row>
    <row r="1845" spans="1:10">
      <c r="A1845" s="74" t="s">
        <v>899</v>
      </c>
      <c r="B1845" s="74" t="s">
        <v>862</v>
      </c>
      <c r="C1845" s="74" t="s">
        <v>1530</v>
      </c>
      <c r="D1845" s="74" t="s">
        <v>80</v>
      </c>
      <c r="E1845" s="74">
        <v>3</v>
      </c>
      <c r="F1845" s="74">
        <v>0.15</v>
      </c>
      <c r="G1845" s="758">
        <f t="shared" si="112"/>
        <v>0</v>
      </c>
      <c r="H1845" s="759">
        <f t="shared" si="113"/>
        <v>0.22</v>
      </c>
      <c r="I1845" s="758">
        <f t="shared" si="114"/>
        <v>4.9999999999999996E-2</v>
      </c>
      <c r="J1845" s="760">
        <f t="shared" si="115"/>
        <v>1</v>
      </c>
    </row>
    <row r="1846" spans="1:10">
      <c r="A1846" s="74" t="s">
        <v>899</v>
      </c>
      <c r="B1846" s="74" t="s">
        <v>862</v>
      </c>
      <c r="C1846" s="74" t="s">
        <v>1532</v>
      </c>
      <c r="D1846" s="74" t="s">
        <v>80</v>
      </c>
      <c r="E1846" s="74">
        <v>14</v>
      </c>
      <c r="F1846" s="74">
        <v>0.75</v>
      </c>
      <c r="G1846" s="758">
        <f t="shared" si="112"/>
        <v>0</v>
      </c>
      <c r="H1846" s="759">
        <f t="shared" si="113"/>
        <v>0.22</v>
      </c>
      <c r="I1846" s="758">
        <f t="shared" si="114"/>
        <v>5.3571428571428568E-2</v>
      </c>
      <c r="J1846" s="760">
        <f t="shared" si="115"/>
        <v>1</v>
      </c>
    </row>
    <row r="1847" spans="1:10">
      <c r="A1847" s="74" t="s">
        <v>899</v>
      </c>
      <c r="B1847" s="74" t="s">
        <v>862</v>
      </c>
      <c r="C1847" s="74" t="s">
        <v>1511</v>
      </c>
      <c r="D1847" s="74" t="s">
        <v>80</v>
      </c>
      <c r="E1847" s="74">
        <v>7</v>
      </c>
      <c r="F1847" s="74">
        <v>0.35</v>
      </c>
      <c r="G1847" s="758">
        <f t="shared" si="112"/>
        <v>0</v>
      </c>
      <c r="H1847" s="759">
        <f t="shared" si="113"/>
        <v>0.22</v>
      </c>
      <c r="I1847" s="758">
        <f t="shared" si="114"/>
        <v>4.9999999999999996E-2</v>
      </c>
      <c r="J1847" s="760">
        <f t="shared" si="115"/>
        <v>1</v>
      </c>
    </row>
    <row r="1848" spans="1:10">
      <c r="A1848" s="74" t="s">
        <v>899</v>
      </c>
      <c r="B1848" s="74" t="s">
        <v>862</v>
      </c>
      <c r="C1848" s="74" t="s">
        <v>1512</v>
      </c>
      <c r="D1848" s="74" t="s">
        <v>80</v>
      </c>
      <c r="E1848" s="74">
        <v>4</v>
      </c>
      <c r="F1848" s="74">
        <v>0.2</v>
      </c>
      <c r="G1848" s="758">
        <f t="shared" si="112"/>
        <v>0</v>
      </c>
      <c r="H1848" s="759">
        <f t="shared" si="113"/>
        <v>0.22</v>
      </c>
      <c r="I1848" s="758">
        <f t="shared" si="114"/>
        <v>0.05</v>
      </c>
      <c r="J1848" s="760">
        <f t="shared" si="115"/>
        <v>1</v>
      </c>
    </row>
    <row r="1849" spans="1:10">
      <c r="A1849" s="74" t="s">
        <v>899</v>
      </c>
      <c r="B1849" s="74" t="s">
        <v>862</v>
      </c>
      <c r="C1849" s="74" t="s">
        <v>1534</v>
      </c>
      <c r="D1849" s="74" t="s">
        <v>81</v>
      </c>
      <c r="E1849" s="74">
        <v>12</v>
      </c>
      <c r="F1849" s="74">
        <v>0.6</v>
      </c>
      <c r="G1849" s="758">
        <f t="shared" si="112"/>
        <v>0</v>
      </c>
      <c r="H1849" s="759">
        <f t="shared" si="113"/>
        <v>0.22</v>
      </c>
      <c r="I1849" s="758">
        <f t="shared" si="114"/>
        <v>4.9999999999999996E-2</v>
      </c>
      <c r="J1849" s="760">
        <f t="shared" si="115"/>
        <v>1</v>
      </c>
    </row>
    <row r="1850" spans="1:10">
      <c r="A1850" s="74" t="s">
        <v>899</v>
      </c>
      <c r="B1850" s="74" t="s">
        <v>862</v>
      </c>
      <c r="C1850" s="74" t="s">
        <v>1513</v>
      </c>
      <c r="D1850" s="74" t="s">
        <v>81</v>
      </c>
      <c r="E1850" s="74">
        <v>5</v>
      </c>
      <c r="F1850" s="74">
        <v>0.25</v>
      </c>
      <c r="G1850" s="758">
        <f t="shared" si="112"/>
        <v>0</v>
      </c>
      <c r="H1850" s="759">
        <f t="shared" si="113"/>
        <v>0.22</v>
      </c>
      <c r="I1850" s="758">
        <f t="shared" si="114"/>
        <v>0.05</v>
      </c>
      <c r="J1850" s="760">
        <f t="shared" si="115"/>
        <v>1</v>
      </c>
    </row>
    <row r="1851" spans="1:10">
      <c r="A1851" s="74" t="s">
        <v>899</v>
      </c>
      <c r="B1851" s="74" t="s">
        <v>862</v>
      </c>
      <c r="C1851" s="74" t="s">
        <v>1514</v>
      </c>
      <c r="D1851" s="74" t="s">
        <v>81</v>
      </c>
      <c r="E1851" s="74">
        <v>6</v>
      </c>
      <c r="F1851" s="74">
        <v>0.3</v>
      </c>
      <c r="G1851" s="758">
        <f t="shared" si="112"/>
        <v>0</v>
      </c>
      <c r="H1851" s="759">
        <f t="shared" si="113"/>
        <v>0.22</v>
      </c>
      <c r="I1851" s="758">
        <f t="shared" si="114"/>
        <v>4.9999999999999996E-2</v>
      </c>
      <c r="J1851" s="760">
        <f t="shared" si="115"/>
        <v>1</v>
      </c>
    </row>
    <row r="1852" spans="1:10">
      <c r="A1852" s="74" t="s">
        <v>899</v>
      </c>
      <c r="B1852" s="74" t="s">
        <v>862</v>
      </c>
      <c r="C1852" s="74" t="s">
        <v>1515</v>
      </c>
      <c r="D1852" s="74" t="s">
        <v>81</v>
      </c>
      <c r="E1852" s="74">
        <v>7</v>
      </c>
      <c r="F1852" s="74">
        <v>0.35</v>
      </c>
      <c r="G1852" s="758">
        <f t="shared" si="112"/>
        <v>0</v>
      </c>
      <c r="H1852" s="759">
        <f t="shared" si="113"/>
        <v>0.22</v>
      </c>
      <c r="I1852" s="758">
        <f t="shared" si="114"/>
        <v>4.9999999999999996E-2</v>
      </c>
      <c r="J1852" s="760">
        <f t="shared" si="115"/>
        <v>1</v>
      </c>
    </row>
    <row r="1853" spans="1:10">
      <c r="A1853" s="74" t="s">
        <v>899</v>
      </c>
      <c r="B1853" s="74" t="s">
        <v>862</v>
      </c>
      <c r="C1853" s="74" t="s">
        <v>1516</v>
      </c>
      <c r="D1853" s="74" t="s">
        <v>82</v>
      </c>
      <c r="E1853" s="74">
        <v>4</v>
      </c>
      <c r="F1853" s="74">
        <v>0.2</v>
      </c>
      <c r="G1853" s="758">
        <f t="shared" si="112"/>
        <v>0</v>
      </c>
      <c r="H1853" s="759">
        <f t="shared" si="113"/>
        <v>0.22</v>
      </c>
      <c r="I1853" s="758">
        <f t="shared" si="114"/>
        <v>0.05</v>
      </c>
      <c r="J1853" s="760">
        <f t="shared" si="115"/>
        <v>1</v>
      </c>
    </row>
    <row r="1854" spans="1:10">
      <c r="A1854" s="74" t="s">
        <v>899</v>
      </c>
      <c r="B1854" s="74" t="s">
        <v>862</v>
      </c>
      <c r="C1854" s="74" t="s">
        <v>1517</v>
      </c>
      <c r="D1854" s="74" t="s">
        <v>82</v>
      </c>
      <c r="E1854" s="74">
        <v>7</v>
      </c>
      <c r="F1854" s="74">
        <v>0.35</v>
      </c>
      <c r="G1854" s="758">
        <f t="shared" si="112"/>
        <v>0</v>
      </c>
      <c r="H1854" s="759">
        <f t="shared" si="113"/>
        <v>0.22</v>
      </c>
      <c r="I1854" s="758">
        <f t="shared" si="114"/>
        <v>4.9999999999999996E-2</v>
      </c>
      <c r="J1854" s="760">
        <f t="shared" si="115"/>
        <v>1</v>
      </c>
    </row>
    <row r="1855" spans="1:10">
      <c r="A1855" s="74" t="s">
        <v>899</v>
      </c>
      <c r="B1855" s="74" t="s">
        <v>862</v>
      </c>
      <c r="C1855" s="74" t="s">
        <v>1527</v>
      </c>
      <c r="D1855" s="74" t="s">
        <v>82</v>
      </c>
      <c r="E1855" s="74">
        <v>5</v>
      </c>
      <c r="F1855" s="74">
        <v>0.25</v>
      </c>
      <c r="G1855" s="758">
        <f t="shared" si="112"/>
        <v>0</v>
      </c>
      <c r="H1855" s="759">
        <f t="shared" si="113"/>
        <v>0.22</v>
      </c>
      <c r="I1855" s="758">
        <f t="shared" si="114"/>
        <v>0.05</v>
      </c>
      <c r="J1855" s="760">
        <f t="shared" si="115"/>
        <v>1</v>
      </c>
    </row>
    <row r="1856" spans="1:10">
      <c r="A1856" s="74" t="s">
        <v>899</v>
      </c>
      <c r="B1856" s="74" t="s">
        <v>862</v>
      </c>
      <c r="C1856" s="74" t="s">
        <v>1518</v>
      </c>
      <c r="D1856" s="74" t="s">
        <v>82</v>
      </c>
      <c r="E1856" s="74">
        <v>2</v>
      </c>
      <c r="F1856" s="74">
        <v>0.1</v>
      </c>
      <c r="G1856" s="758">
        <f t="shared" si="112"/>
        <v>0</v>
      </c>
      <c r="H1856" s="759">
        <f t="shared" si="113"/>
        <v>0.22</v>
      </c>
      <c r="I1856" s="758">
        <f t="shared" si="114"/>
        <v>0.05</v>
      </c>
      <c r="J1856" s="760">
        <f t="shared" si="115"/>
        <v>1</v>
      </c>
    </row>
    <row r="1857" spans="1:10">
      <c r="A1857" s="74" t="s">
        <v>899</v>
      </c>
      <c r="B1857" s="74" t="s">
        <v>862</v>
      </c>
      <c r="C1857" s="74" t="s">
        <v>1540</v>
      </c>
      <c r="D1857" s="74" t="s">
        <v>84</v>
      </c>
      <c r="E1857" s="74">
        <v>4</v>
      </c>
      <c r="F1857" s="74">
        <v>0.2</v>
      </c>
      <c r="G1857" s="758">
        <f t="shared" si="112"/>
        <v>0</v>
      </c>
      <c r="H1857" s="759">
        <f t="shared" si="113"/>
        <v>0.22</v>
      </c>
      <c r="I1857" s="758">
        <f t="shared" si="114"/>
        <v>0.05</v>
      </c>
      <c r="J1857" s="760">
        <f t="shared" si="115"/>
        <v>1</v>
      </c>
    </row>
    <row r="1858" spans="1:10">
      <c r="A1858" s="74" t="s">
        <v>899</v>
      </c>
      <c r="B1858" s="74" t="s">
        <v>862</v>
      </c>
      <c r="C1858" s="74" t="s">
        <v>1520</v>
      </c>
      <c r="D1858" s="74" t="s">
        <v>84</v>
      </c>
      <c r="E1858" s="74">
        <v>3</v>
      </c>
      <c r="F1858" s="74">
        <v>0.15</v>
      </c>
      <c r="G1858" s="758">
        <f t="shared" ref="G1858:G1921" si="116">IFERROR(VLOOKUP(A1858,$M$1:$P$1014,2,FALSE),0)</f>
        <v>0</v>
      </c>
      <c r="H1858" s="759">
        <f t="shared" ref="H1858:H1921" si="117">IFERROR(VLOOKUP(A1858,$M$1:$P$1014,3,FALSE),0)</f>
        <v>0.22</v>
      </c>
      <c r="I1858" s="758">
        <f t="shared" ref="I1858:I1921" si="118">IFERROR(F1858/E1858-G1858,0)</f>
        <v>4.9999999999999996E-2</v>
      </c>
      <c r="J1858" s="760">
        <f t="shared" ref="J1858:J1921" si="119">IFERROR(1-G1858*E1858/F1858,0)</f>
        <v>1</v>
      </c>
    </row>
    <row r="1859" spans="1:10">
      <c r="A1859" s="74" t="s">
        <v>899</v>
      </c>
      <c r="B1859" s="74" t="s">
        <v>862</v>
      </c>
      <c r="C1859" s="74" t="s">
        <v>1577</v>
      </c>
      <c r="D1859" s="74" t="s">
        <v>84</v>
      </c>
      <c r="E1859" s="74">
        <v>3</v>
      </c>
      <c r="F1859" s="74">
        <v>0.15</v>
      </c>
      <c r="G1859" s="758">
        <f t="shared" si="116"/>
        <v>0</v>
      </c>
      <c r="H1859" s="759">
        <f t="shared" si="117"/>
        <v>0.22</v>
      </c>
      <c r="I1859" s="758">
        <f t="shared" si="118"/>
        <v>4.9999999999999996E-2</v>
      </c>
      <c r="J1859" s="760">
        <f t="shared" si="119"/>
        <v>1</v>
      </c>
    </row>
    <row r="1860" spans="1:10">
      <c r="A1860" s="74" t="s">
        <v>899</v>
      </c>
      <c r="B1860" s="74" t="s">
        <v>862</v>
      </c>
      <c r="C1860" s="74" t="s">
        <v>1507</v>
      </c>
      <c r="D1860" s="74" t="s">
        <v>86</v>
      </c>
      <c r="E1860" s="74">
        <v>3</v>
      </c>
      <c r="F1860" s="74">
        <v>0.15</v>
      </c>
      <c r="G1860" s="758">
        <f t="shared" si="116"/>
        <v>0</v>
      </c>
      <c r="H1860" s="759">
        <f t="shared" si="117"/>
        <v>0.22</v>
      </c>
      <c r="I1860" s="758">
        <f t="shared" si="118"/>
        <v>4.9999999999999996E-2</v>
      </c>
      <c r="J1860" s="760">
        <f t="shared" si="119"/>
        <v>1</v>
      </c>
    </row>
    <row r="1861" spans="1:10">
      <c r="A1861" s="74" t="s">
        <v>899</v>
      </c>
      <c r="B1861" s="74" t="s">
        <v>862</v>
      </c>
      <c r="C1861" s="74" t="s">
        <v>1644</v>
      </c>
      <c r="D1861" s="74" t="s">
        <v>86</v>
      </c>
      <c r="E1861" s="74">
        <v>11</v>
      </c>
      <c r="F1861" s="74">
        <v>0.55000000000000004</v>
      </c>
      <c r="G1861" s="758">
        <f t="shared" si="116"/>
        <v>0</v>
      </c>
      <c r="H1861" s="759">
        <f t="shared" si="117"/>
        <v>0.22</v>
      </c>
      <c r="I1861" s="758">
        <f t="shared" si="118"/>
        <v>0.05</v>
      </c>
      <c r="J1861" s="760">
        <f t="shared" si="119"/>
        <v>1</v>
      </c>
    </row>
    <row r="1862" spans="1:10">
      <c r="A1862" s="74" t="s">
        <v>899</v>
      </c>
      <c r="B1862" s="74" t="s">
        <v>862</v>
      </c>
      <c r="C1862" s="74" t="s">
        <v>1578</v>
      </c>
      <c r="D1862" s="74" t="s">
        <v>86</v>
      </c>
      <c r="E1862" s="74">
        <v>6</v>
      </c>
      <c r="F1862" s="74">
        <v>0.35</v>
      </c>
      <c r="G1862" s="758">
        <f t="shared" si="116"/>
        <v>0</v>
      </c>
      <c r="H1862" s="759">
        <f t="shared" si="117"/>
        <v>0.22</v>
      </c>
      <c r="I1862" s="758">
        <f t="shared" si="118"/>
        <v>5.8333333333333327E-2</v>
      </c>
      <c r="J1862" s="760">
        <f t="shared" si="119"/>
        <v>1</v>
      </c>
    </row>
    <row r="1863" spans="1:10">
      <c r="A1863" s="74" t="s">
        <v>899</v>
      </c>
      <c r="B1863" s="74" t="s">
        <v>862</v>
      </c>
      <c r="C1863" s="74" t="s">
        <v>1646</v>
      </c>
      <c r="D1863" s="74" t="s">
        <v>86</v>
      </c>
      <c r="E1863" s="74">
        <v>6</v>
      </c>
      <c r="F1863" s="74">
        <v>0.3</v>
      </c>
      <c r="G1863" s="758">
        <f t="shared" si="116"/>
        <v>0</v>
      </c>
      <c r="H1863" s="759">
        <f t="shared" si="117"/>
        <v>0.22</v>
      </c>
      <c r="I1863" s="758">
        <f t="shared" si="118"/>
        <v>4.9999999999999996E-2</v>
      </c>
      <c r="J1863" s="760">
        <f t="shared" si="119"/>
        <v>1</v>
      </c>
    </row>
    <row r="1864" spans="1:10">
      <c r="A1864" s="74" t="s">
        <v>899</v>
      </c>
      <c r="B1864" s="74" t="s">
        <v>862</v>
      </c>
      <c r="C1864" s="74" t="s">
        <v>1541</v>
      </c>
      <c r="D1864" s="74" t="s">
        <v>86</v>
      </c>
      <c r="E1864" s="74">
        <v>7</v>
      </c>
      <c r="F1864" s="74">
        <v>0.35</v>
      </c>
      <c r="G1864" s="758">
        <f t="shared" si="116"/>
        <v>0</v>
      </c>
      <c r="H1864" s="759">
        <f t="shared" si="117"/>
        <v>0.22</v>
      </c>
      <c r="I1864" s="758">
        <f t="shared" si="118"/>
        <v>4.9999999999999996E-2</v>
      </c>
      <c r="J1864" s="760">
        <f t="shared" si="119"/>
        <v>1</v>
      </c>
    </row>
    <row r="1865" spans="1:10">
      <c r="A1865" s="74" t="s">
        <v>899</v>
      </c>
      <c r="B1865" s="74" t="s">
        <v>862</v>
      </c>
      <c r="C1865" s="74" t="s">
        <v>1543</v>
      </c>
      <c r="D1865" s="74" t="s">
        <v>87</v>
      </c>
      <c r="E1865" s="74">
        <v>9</v>
      </c>
      <c r="F1865" s="74">
        <v>0.45</v>
      </c>
      <c r="G1865" s="758">
        <f t="shared" si="116"/>
        <v>0</v>
      </c>
      <c r="H1865" s="759">
        <f t="shared" si="117"/>
        <v>0.22</v>
      </c>
      <c r="I1865" s="758">
        <f t="shared" si="118"/>
        <v>0.05</v>
      </c>
      <c r="J1865" s="760">
        <f t="shared" si="119"/>
        <v>1</v>
      </c>
    </row>
    <row r="1866" spans="1:10">
      <c r="A1866" s="74" t="s">
        <v>899</v>
      </c>
      <c r="B1866" s="74" t="s">
        <v>862</v>
      </c>
      <c r="C1866" s="74" t="s">
        <v>1544</v>
      </c>
      <c r="D1866" s="74" t="s">
        <v>87</v>
      </c>
      <c r="E1866" s="74">
        <v>11</v>
      </c>
      <c r="F1866" s="74">
        <v>0.55000000000000004</v>
      </c>
      <c r="G1866" s="758">
        <f t="shared" si="116"/>
        <v>0</v>
      </c>
      <c r="H1866" s="759">
        <f t="shared" si="117"/>
        <v>0.22</v>
      </c>
      <c r="I1866" s="758">
        <f t="shared" si="118"/>
        <v>0.05</v>
      </c>
      <c r="J1866" s="760">
        <f t="shared" si="119"/>
        <v>1</v>
      </c>
    </row>
    <row r="1867" spans="1:10">
      <c r="A1867" s="74" t="s">
        <v>899</v>
      </c>
      <c r="B1867" s="74" t="s">
        <v>862</v>
      </c>
      <c r="C1867" s="74" t="s">
        <v>1605</v>
      </c>
      <c r="D1867" s="74" t="s">
        <v>87</v>
      </c>
      <c r="E1867" s="74">
        <v>6</v>
      </c>
      <c r="F1867" s="74">
        <v>0.3</v>
      </c>
      <c r="G1867" s="758">
        <f t="shared" si="116"/>
        <v>0</v>
      </c>
      <c r="H1867" s="759">
        <f t="shared" si="117"/>
        <v>0.22</v>
      </c>
      <c r="I1867" s="758">
        <f t="shared" si="118"/>
        <v>4.9999999999999996E-2</v>
      </c>
      <c r="J1867" s="760">
        <f t="shared" si="119"/>
        <v>1</v>
      </c>
    </row>
    <row r="1868" spans="1:10">
      <c r="A1868" s="74" t="s">
        <v>899</v>
      </c>
      <c r="B1868" s="74" t="s">
        <v>862</v>
      </c>
      <c r="C1868" s="74" t="s">
        <v>1561</v>
      </c>
      <c r="D1868" s="74" t="s">
        <v>87</v>
      </c>
      <c r="E1868" s="74">
        <v>8</v>
      </c>
      <c r="F1868" s="74">
        <v>0.4</v>
      </c>
      <c r="G1868" s="758">
        <f t="shared" si="116"/>
        <v>0</v>
      </c>
      <c r="H1868" s="759">
        <f t="shared" si="117"/>
        <v>0.22</v>
      </c>
      <c r="I1868" s="758">
        <f t="shared" si="118"/>
        <v>0.05</v>
      </c>
      <c r="J1868" s="760">
        <f t="shared" si="119"/>
        <v>1</v>
      </c>
    </row>
    <row r="1869" spans="1:10">
      <c r="A1869" s="74" t="s">
        <v>899</v>
      </c>
      <c r="B1869" s="74" t="s">
        <v>862</v>
      </c>
      <c r="C1869" s="74" t="s">
        <v>1608</v>
      </c>
      <c r="D1869" s="74" t="s">
        <v>89</v>
      </c>
      <c r="E1869" s="74">
        <v>5</v>
      </c>
      <c r="F1869" s="74">
        <v>0.25</v>
      </c>
      <c r="G1869" s="758">
        <f t="shared" si="116"/>
        <v>0</v>
      </c>
      <c r="H1869" s="759">
        <f t="shared" si="117"/>
        <v>0.22</v>
      </c>
      <c r="I1869" s="758">
        <f t="shared" si="118"/>
        <v>0.05</v>
      </c>
      <c r="J1869" s="760">
        <f t="shared" si="119"/>
        <v>1</v>
      </c>
    </row>
    <row r="1870" spans="1:10">
      <c r="A1870" s="74" t="s">
        <v>899</v>
      </c>
      <c r="B1870" s="74" t="s">
        <v>862</v>
      </c>
      <c r="C1870" s="74" t="s">
        <v>1610</v>
      </c>
      <c r="D1870" s="74" t="s">
        <v>89</v>
      </c>
      <c r="E1870" s="74">
        <v>7</v>
      </c>
      <c r="F1870" s="74">
        <v>0.35</v>
      </c>
      <c r="G1870" s="758">
        <f t="shared" si="116"/>
        <v>0</v>
      </c>
      <c r="H1870" s="759">
        <f t="shared" si="117"/>
        <v>0.22</v>
      </c>
      <c r="I1870" s="758">
        <f t="shared" si="118"/>
        <v>4.9999999999999996E-2</v>
      </c>
      <c r="J1870" s="760">
        <f t="shared" si="119"/>
        <v>1</v>
      </c>
    </row>
    <row r="1871" spans="1:10">
      <c r="A1871" s="74" t="s">
        <v>899</v>
      </c>
      <c r="B1871" s="74" t="s">
        <v>862</v>
      </c>
      <c r="C1871" s="74" t="s">
        <v>1546</v>
      </c>
      <c r="D1871" s="74" t="s">
        <v>89</v>
      </c>
      <c r="E1871" s="74">
        <v>8</v>
      </c>
      <c r="F1871" s="74">
        <v>0.5</v>
      </c>
      <c r="G1871" s="758">
        <f t="shared" si="116"/>
        <v>0</v>
      </c>
      <c r="H1871" s="759">
        <f t="shared" si="117"/>
        <v>0.22</v>
      </c>
      <c r="I1871" s="758">
        <f t="shared" si="118"/>
        <v>6.25E-2</v>
      </c>
      <c r="J1871" s="760">
        <f t="shared" si="119"/>
        <v>1</v>
      </c>
    </row>
    <row r="1872" spans="1:10">
      <c r="A1872" s="74" t="s">
        <v>899</v>
      </c>
      <c r="B1872" s="74" t="s">
        <v>862</v>
      </c>
      <c r="C1872" s="74" t="s">
        <v>1547</v>
      </c>
      <c r="D1872" s="74" t="s">
        <v>89</v>
      </c>
      <c r="E1872" s="74">
        <v>10</v>
      </c>
      <c r="F1872" s="74">
        <v>0.5</v>
      </c>
      <c r="G1872" s="758">
        <f t="shared" si="116"/>
        <v>0</v>
      </c>
      <c r="H1872" s="759">
        <f t="shared" si="117"/>
        <v>0.22</v>
      </c>
      <c r="I1872" s="758">
        <f t="shared" si="118"/>
        <v>0.05</v>
      </c>
      <c r="J1872" s="760">
        <f t="shared" si="119"/>
        <v>1</v>
      </c>
    </row>
    <row r="1873" spans="1:10">
      <c r="A1873" s="74" t="s">
        <v>899</v>
      </c>
      <c r="B1873" s="74" t="s">
        <v>862</v>
      </c>
      <c r="C1873" s="74" t="s">
        <v>1582</v>
      </c>
      <c r="D1873" s="74" t="s">
        <v>89</v>
      </c>
      <c r="E1873" s="74">
        <v>10</v>
      </c>
      <c r="F1873" s="74">
        <v>0.5</v>
      </c>
      <c r="G1873" s="758">
        <f t="shared" si="116"/>
        <v>0</v>
      </c>
      <c r="H1873" s="759">
        <f t="shared" si="117"/>
        <v>0.22</v>
      </c>
      <c r="I1873" s="758">
        <f t="shared" si="118"/>
        <v>0.05</v>
      </c>
      <c r="J1873" s="760">
        <f t="shared" si="119"/>
        <v>1</v>
      </c>
    </row>
    <row r="1874" spans="1:10">
      <c r="A1874" s="74" t="s">
        <v>899</v>
      </c>
      <c r="B1874" s="74" t="s">
        <v>862</v>
      </c>
      <c r="C1874" s="74" t="s">
        <v>1522</v>
      </c>
      <c r="D1874" s="74" t="s">
        <v>91</v>
      </c>
      <c r="E1874" s="74">
        <v>7</v>
      </c>
      <c r="F1874" s="74">
        <v>0.35</v>
      </c>
      <c r="G1874" s="758">
        <f t="shared" si="116"/>
        <v>0</v>
      </c>
      <c r="H1874" s="759">
        <f t="shared" si="117"/>
        <v>0.22</v>
      </c>
      <c r="I1874" s="758">
        <f t="shared" si="118"/>
        <v>4.9999999999999996E-2</v>
      </c>
      <c r="J1874" s="760">
        <f t="shared" si="119"/>
        <v>1</v>
      </c>
    </row>
    <row r="1875" spans="1:10">
      <c r="A1875" s="74" t="s">
        <v>899</v>
      </c>
      <c r="B1875" s="74" t="s">
        <v>862</v>
      </c>
      <c r="C1875" s="74" t="s">
        <v>1550</v>
      </c>
      <c r="D1875" s="74" t="s">
        <v>91</v>
      </c>
      <c r="E1875" s="74">
        <v>8</v>
      </c>
      <c r="F1875" s="74">
        <v>0.4</v>
      </c>
      <c r="G1875" s="758">
        <f t="shared" si="116"/>
        <v>0</v>
      </c>
      <c r="H1875" s="759">
        <f t="shared" si="117"/>
        <v>0.22</v>
      </c>
      <c r="I1875" s="758">
        <f t="shared" si="118"/>
        <v>0.05</v>
      </c>
      <c r="J1875" s="760">
        <f t="shared" si="119"/>
        <v>1</v>
      </c>
    </row>
    <row r="1876" spans="1:10">
      <c r="A1876" s="74" t="s">
        <v>899</v>
      </c>
      <c r="B1876" s="74" t="s">
        <v>862</v>
      </c>
      <c r="C1876" s="74" t="s">
        <v>1675</v>
      </c>
      <c r="D1876" s="74" t="s">
        <v>91</v>
      </c>
      <c r="E1876" s="74">
        <v>8</v>
      </c>
      <c r="F1876" s="74">
        <v>0.4</v>
      </c>
      <c r="G1876" s="758">
        <f t="shared" si="116"/>
        <v>0</v>
      </c>
      <c r="H1876" s="759">
        <f t="shared" si="117"/>
        <v>0.22</v>
      </c>
      <c r="I1876" s="758">
        <f t="shared" si="118"/>
        <v>0.05</v>
      </c>
      <c r="J1876" s="760">
        <f t="shared" si="119"/>
        <v>1</v>
      </c>
    </row>
    <row r="1877" spans="1:10">
      <c r="A1877" s="74" t="s">
        <v>899</v>
      </c>
      <c r="B1877" s="74" t="s">
        <v>862</v>
      </c>
      <c r="C1877" s="74" t="s">
        <v>1524</v>
      </c>
      <c r="D1877" s="74" t="s">
        <v>91</v>
      </c>
      <c r="E1877" s="74">
        <v>9</v>
      </c>
      <c r="F1877" s="74">
        <v>0.45</v>
      </c>
      <c r="G1877" s="758">
        <f t="shared" si="116"/>
        <v>0</v>
      </c>
      <c r="H1877" s="759">
        <f t="shared" si="117"/>
        <v>0.22</v>
      </c>
      <c r="I1877" s="758">
        <f t="shared" si="118"/>
        <v>0.05</v>
      </c>
      <c r="J1877" s="760">
        <f t="shared" si="119"/>
        <v>1</v>
      </c>
    </row>
    <row r="1878" spans="1:10">
      <c r="A1878" s="74" t="s">
        <v>899</v>
      </c>
      <c r="B1878" s="74" t="s">
        <v>862</v>
      </c>
      <c r="C1878" s="74" t="s">
        <v>1584</v>
      </c>
      <c r="D1878" s="74" t="s">
        <v>92</v>
      </c>
      <c r="E1878" s="74">
        <v>9</v>
      </c>
      <c r="F1878" s="74">
        <v>0.45</v>
      </c>
      <c r="G1878" s="758">
        <f t="shared" si="116"/>
        <v>0</v>
      </c>
      <c r="H1878" s="759">
        <f t="shared" si="117"/>
        <v>0.22</v>
      </c>
      <c r="I1878" s="758">
        <f t="shared" si="118"/>
        <v>0.05</v>
      </c>
      <c r="J1878" s="760">
        <f t="shared" si="119"/>
        <v>1</v>
      </c>
    </row>
    <row r="1879" spans="1:10">
      <c r="A1879" s="74" t="s">
        <v>899</v>
      </c>
      <c r="B1879" s="74" t="s">
        <v>862</v>
      </c>
      <c r="C1879" s="74" t="s">
        <v>1614</v>
      </c>
      <c r="D1879" s="74" t="s">
        <v>92</v>
      </c>
      <c r="E1879" s="74">
        <v>8</v>
      </c>
      <c r="F1879" s="74">
        <v>0.4</v>
      </c>
      <c r="G1879" s="758">
        <f t="shared" si="116"/>
        <v>0</v>
      </c>
      <c r="H1879" s="759">
        <f t="shared" si="117"/>
        <v>0.22</v>
      </c>
      <c r="I1879" s="758">
        <f t="shared" si="118"/>
        <v>0.05</v>
      </c>
      <c r="J1879" s="760">
        <f t="shared" si="119"/>
        <v>1</v>
      </c>
    </row>
    <row r="1880" spans="1:10">
      <c r="A1880" s="74" t="s">
        <v>899</v>
      </c>
      <c r="B1880" s="74" t="s">
        <v>862</v>
      </c>
      <c r="C1880" s="74" t="s">
        <v>1631</v>
      </c>
      <c r="D1880" s="74" t="s">
        <v>92</v>
      </c>
      <c r="E1880" s="74">
        <v>13</v>
      </c>
      <c r="F1880" s="74">
        <v>0.65</v>
      </c>
      <c r="G1880" s="758">
        <f t="shared" si="116"/>
        <v>0</v>
      </c>
      <c r="H1880" s="759">
        <f t="shared" si="117"/>
        <v>0.22</v>
      </c>
      <c r="I1880" s="758">
        <f t="shared" si="118"/>
        <v>0.05</v>
      </c>
      <c r="J1880" s="760">
        <f t="shared" si="119"/>
        <v>1</v>
      </c>
    </row>
    <row r="1881" spans="1:10">
      <c r="A1881" s="74" t="s">
        <v>899</v>
      </c>
      <c r="B1881" s="74" t="s">
        <v>862</v>
      </c>
      <c r="C1881" s="74" t="s">
        <v>1552</v>
      </c>
      <c r="D1881" s="74" t="s">
        <v>92</v>
      </c>
      <c r="E1881" s="74">
        <v>4</v>
      </c>
      <c r="F1881" s="74">
        <v>0.2</v>
      </c>
      <c r="G1881" s="758">
        <f t="shared" si="116"/>
        <v>0</v>
      </c>
      <c r="H1881" s="759">
        <f t="shared" si="117"/>
        <v>0.22</v>
      </c>
      <c r="I1881" s="758">
        <f t="shared" si="118"/>
        <v>0.05</v>
      </c>
      <c r="J1881" s="760">
        <f t="shared" si="119"/>
        <v>1</v>
      </c>
    </row>
    <row r="1882" spans="1:10">
      <c r="A1882" s="74" t="s">
        <v>899</v>
      </c>
      <c r="B1882" s="74" t="s">
        <v>862</v>
      </c>
      <c r="C1882" s="74" t="s">
        <v>1617</v>
      </c>
      <c r="D1882" s="74" t="s">
        <v>94</v>
      </c>
      <c r="E1882" s="74">
        <v>10</v>
      </c>
      <c r="F1882" s="74">
        <v>0.5</v>
      </c>
      <c r="G1882" s="758">
        <f t="shared" si="116"/>
        <v>0</v>
      </c>
      <c r="H1882" s="759">
        <f t="shared" si="117"/>
        <v>0.22</v>
      </c>
      <c r="I1882" s="758">
        <f t="shared" si="118"/>
        <v>0.05</v>
      </c>
      <c r="J1882" s="760">
        <f t="shared" si="119"/>
        <v>1</v>
      </c>
    </row>
    <row r="1883" spans="1:10">
      <c r="A1883" s="74" t="s">
        <v>899</v>
      </c>
      <c r="B1883" s="74" t="s">
        <v>862</v>
      </c>
      <c r="C1883" s="74" t="s">
        <v>1553</v>
      </c>
      <c r="D1883" s="74" t="s">
        <v>94</v>
      </c>
      <c r="E1883" s="74">
        <v>9</v>
      </c>
      <c r="F1883" s="74">
        <v>0.45</v>
      </c>
      <c r="G1883" s="758">
        <f t="shared" si="116"/>
        <v>0</v>
      </c>
      <c r="H1883" s="759">
        <f t="shared" si="117"/>
        <v>0.22</v>
      </c>
      <c r="I1883" s="758">
        <f t="shared" si="118"/>
        <v>0.05</v>
      </c>
      <c r="J1883" s="760">
        <f t="shared" si="119"/>
        <v>1</v>
      </c>
    </row>
    <row r="1884" spans="1:10">
      <c r="A1884" s="74" t="s">
        <v>899</v>
      </c>
      <c r="B1884" s="74" t="s">
        <v>862</v>
      </c>
      <c r="C1884" s="74" t="s">
        <v>1555</v>
      </c>
      <c r="D1884" s="74" t="s">
        <v>94</v>
      </c>
      <c r="E1884" s="74">
        <v>2</v>
      </c>
      <c r="F1884" s="74">
        <v>0.1</v>
      </c>
      <c r="G1884" s="758">
        <f t="shared" si="116"/>
        <v>0</v>
      </c>
      <c r="H1884" s="759">
        <f t="shared" si="117"/>
        <v>0.22</v>
      </c>
      <c r="I1884" s="758">
        <f t="shared" si="118"/>
        <v>0.05</v>
      </c>
      <c r="J1884" s="760">
        <f t="shared" si="119"/>
        <v>1</v>
      </c>
    </row>
    <row r="1885" spans="1:10">
      <c r="A1885" s="74" t="s">
        <v>899</v>
      </c>
      <c r="B1885" s="74" t="s">
        <v>862</v>
      </c>
      <c r="C1885" s="74" t="s">
        <v>1557</v>
      </c>
      <c r="D1885" s="74" t="s">
        <v>95</v>
      </c>
      <c r="E1885" s="74">
        <v>15</v>
      </c>
      <c r="F1885" s="74">
        <v>0.75</v>
      </c>
      <c r="G1885" s="758">
        <f t="shared" si="116"/>
        <v>0</v>
      </c>
      <c r="H1885" s="759">
        <f t="shared" si="117"/>
        <v>0.22</v>
      </c>
      <c r="I1885" s="758">
        <f t="shared" si="118"/>
        <v>0.05</v>
      </c>
      <c r="J1885" s="760">
        <f t="shared" si="119"/>
        <v>1</v>
      </c>
    </row>
    <row r="1886" spans="1:10">
      <c r="A1886" s="74" t="s">
        <v>899</v>
      </c>
      <c r="B1886" s="74" t="s">
        <v>862</v>
      </c>
      <c r="C1886" s="74" t="s">
        <v>1526</v>
      </c>
      <c r="D1886" s="74" t="s">
        <v>95</v>
      </c>
      <c r="E1886" s="74">
        <v>6</v>
      </c>
      <c r="F1886" s="74">
        <v>0.3</v>
      </c>
      <c r="G1886" s="758">
        <f t="shared" si="116"/>
        <v>0</v>
      </c>
      <c r="H1886" s="759">
        <f t="shared" si="117"/>
        <v>0.22</v>
      </c>
      <c r="I1886" s="758">
        <f t="shared" si="118"/>
        <v>4.9999999999999996E-2</v>
      </c>
      <c r="J1886" s="760">
        <f t="shared" si="119"/>
        <v>1</v>
      </c>
    </row>
    <row r="1887" spans="1:10">
      <c r="A1887" s="74" t="s">
        <v>899</v>
      </c>
      <c r="B1887" s="74" t="s">
        <v>862</v>
      </c>
      <c r="C1887" s="74" t="s">
        <v>1930</v>
      </c>
      <c r="D1887" s="74" t="s">
        <v>95</v>
      </c>
      <c r="E1887" s="74">
        <v>1</v>
      </c>
      <c r="F1887" s="74">
        <v>0.05</v>
      </c>
      <c r="G1887" s="758">
        <f t="shared" si="116"/>
        <v>0</v>
      </c>
      <c r="H1887" s="759">
        <f t="shared" si="117"/>
        <v>0.22</v>
      </c>
      <c r="I1887" s="758">
        <f t="shared" si="118"/>
        <v>0.05</v>
      </c>
      <c r="J1887" s="760">
        <f t="shared" si="119"/>
        <v>1</v>
      </c>
    </row>
    <row r="1888" spans="1:10">
      <c r="A1888" s="74" t="s">
        <v>1732</v>
      </c>
      <c r="B1888" s="74" t="s">
        <v>264</v>
      </c>
      <c r="C1888" s="74" t="s">
        <v>1518</v>
      </c>
      <c r="D1888" s="74" t="s">
        <v>82</v>
      </c>
      <c r="E1888" s="74">
        <v>1</v>
      </c>
      <c r="F1888" s="74">
        <v>0.04</v>
      </c>
      <c r="G1888" s="758">
        <f t="shared" si="116"/>
        <v>0.01</v>
      </c>
      <c r="H1888" s="759">
        <f t="shared" si="117"/>
        <v>0.28000000000000003</v>
      </c>
      <c r="I1888" s="758">
        <f t="shared" si="118"/>
        <v>0.03</v>
      </c>
      <c r="J1888" s="760">
        <f t="shared" si="119"/>
        <v>0.75</v>
      </c>
    </row>
    <row r="1889" spans="1:10">
      <c r="A1889" s="74" t="s">
        <v>855</v>
      </c>
      <c r="B1889" s="74" t="s">
        <v>247</v>
      </c>
      <c r="C1889" s="74" t="s">
        <v>1528</v>
      </c>
      <c r="D1889" s="74" t="s">
        <v>78</v>
      </c>
      <c r="E1889" s="74">
        <v>5</v>
      </c>
      <c r="F1889" s="74">
        <v>12.75</v>
      </c>
      <c r="G1889" s="758">
        <f t="shared" si="116"/>
        <v>0.32</v>
      </c>
      <c r="H1889" s="759">
        <f t="shared" si="117"/>
        <v>0.25</v>
      </c>
      <c r="I1889" s="758">
        <f t="shared" si="118"/>
        <v>2.23</v>
      </c>
      <c r="J1889" s="760">
        <f t="shared" si="119"/>
        <v>0.87450980392156863</v>
      </c>
    </row>
    <row r="1890" spans="1:10">
      <c r="A1890" s="74" t="s">
        <v>855</v>
      </c>
      <c r="B1890" s="74" t="s">
        <v>247</v>
      </c>
      <c r="C1890" s="74" t="s">
        <v>1508</v>
      </c>
      <c r="D1890" s="74" t="s">
        <v>78</v>
      </c>
      <c r="E1890" s="74">
        <v>8</v>
      </c>
      <c r="F1890" s="74">
        <v>20.399999999999999</v>
      </c>
      <c r="G1890" s="758">
        <f t="shared" si="116"/>
        <v>0.32</v>
      </c>
      <c r="H1890" s="759">
        <f t="shared" si="117"/>
        <v>0.25</v>
      </c>
      <c r="I1890" s="758">
        <f t="shared" si="118"/>
        <v>2.23</v>
      </c>
      <c r="J1890" s="760">
        <f t="shared" si="119"/>
        <v>0.87450980392156863</v>
      </c>
    </row>
    <row r="1891" spans="1:10">
      <c r="A1891" s="74" t="s">
        <v>855</v>
      </c>
      <c r="B1891" s="74" t="s">
        <v>247</v>
      </c>
      <c r="C1891" s="74" t="s">
        <v>1509</v>
      </c>
      <c r="D1891" s="74" t="s">
        <v>78</v>
      </c>
      <c r="E1891" s="74">
        <v>2</v>
      </c>
      <c r="F1891" s="74">
        <v>5.0999999999999996</v>
      </c>
      <c r="G1891" s="758">
        <f t="shared" si="116"/>
        <v>0.32</v>
      </c>
      <c r="H1891" s="759">
        <f t="shared" si="117"/>
        <v>0.25</v>
      </c>
      <c r="I1891" s="758">
        <f t="shared" si="118"/>
        <v>2.23</v>
      </c>
      <c r="J1891" s="760">
        <f t="shared" si="119"/>
        <v>0.87450980392156863</v>
      </c>
    </row>
    <row r="1892" spans="1:10">
      <c r="A1892" s="74" t="s">
        <v>855</v>
      </c>
      <c r="B1892" s="74" t="s">
        <v>247</v>
      </c>
      <c r="C1892" s="74" t="s">
        <v>1565</v>
      </c>
      <c r="D1892" s="74" t="s">
        <v>78</v>
      </c>
      <c r="E1892" s="74">
        <v>7</v>
      </c>
      <c r="F1892" s="74">
        <v>17.850000000000001</v>
      </c>
      <c r="G1892" s="758">
        <f t="shared" si="116"/>
        <v>0.32</v>
      </c>
      <c r="H1892" s="759">
        <f t="shared" si="117"/>
        <v>0.25</v>
      </c>
      <c r="I1892" s="758">
        <f t="shared" si="118"/>
        <v>2.2300000000000004</v>
      </c>
      <c r="J1892" s="760">
        <f t="shared" si="119"/>
        <v>0.87450980392156863</v>
      </c>
    </row>
    <row r="1893" spans="1:10">
      <c r="A1893" s="74" t="s">
        <v>855</v>
      </c>
      <c r="B1893" s="74" t="s">
        <v>247</v>
      </c>
      <c r="C1893" s="74" t="s">
        <v>1530</v>
      </c>
      <c r="D1893" s="74" t="s">
        <v>80</v>
      </c>
      <c r="E1893" s="74">
        <v>5</v>
      </c>
      <c r="F1893" s="74">
        <v>12.75</v>
      </c>
      <c r="G1893" s="758">
        <f t="shared" si="116"/>
        <v>0.32</v>
      </c>
      <c r="H1893" s="759">
        <f t="shared" si="117"/>
        <v>0.25</v>
      </c>
      <c r="I1893" s="758">
        <f t="shared" si="118"/>
        <v>2.23</v>
      </c>
      <c r="J1893" s="760">
        <f t="shared" si="119"/>
        <v>0.87450980392156863</v>
      </c>
    </row>
    <row r="1894" spans="1:10">
      <c r="A1894" s="74" t="s">
        <v>855</v>
      </c>
      <c r="B1894" s="74" t="s">
        <v>247</v>
      </c>
      <c r="C1894" s="74" t="s">
        <v>1532</v>
      </c>
      <c r="D1894" s="74" t="s">
        <v>80</v>
      </c>
      <c r="E1894" s="74">
        <v>10</v>
      </c>
      <c r="F1894" s="74">
        <v>25.2</v>
      </c>
      <c r="G1894" s="758">
        <f t="shared" si="116"/>
        <v>0.32</v>
      </c>
      <c r="H1894" s="759">
        <f t="shared" si="117"/>
        <v>0.25</v>
      </c>
      <c r="I1894" s="758">
        <f t="shared" si="118"/>
        <v>2.2000000000000002</v>
      </c>
      <c r="J1894" s="760">
        <f t="shared" si="119"/>
        <v>0.87301587301587302</v>
      </c>
    </row>
    <row r="1895" spans="1:10">
      <c r="A1895" s="74" t="s">
        <v>855</v>
      </c>
      <c r="B1895" s="74" t="s">
        <v>247</v>
      </c>
      <c r="C1895" s="74" t="s">
        <v>1511</v>
      </c>
      <c r="D1895" s="74" t="s">
        <v>80</v>
      </c>
      <c r="E1895" s="74">
        <v>10</v>
      </c>
      <c r="F1895" s="74">
        <v>25.5</v>
      </c>
      <c r="G1895" s="758">
        <f t="shared" si="116"/>
        <v>0.32</v>
      </c>
      <c r="H1895" s="759">
        <f t="shared" si="117"/>
        <v>0.25</v>
      </c>
      <c r="I1895" s="758">
        <f t="shared" si="118"/>
        <v>2.23</v>
      </c>
      <c r="J1895" s="760">
        <f t="shared" si="119"/>
        <v>0.87450980392156863</v>
      </c>
    </row>
    <row r="1896" spans="1:10">
      <c r="A1896" s="74" t="s">
        <v>855</v>
      </c>
      <c r="B1896" s="74" t="s">
        <v>247</v>
      </c>
      <c r="C1896" s="74" t="s">
        <v>1512</v>
      </c>
      <c r="D1896" s="74" t="s">
        <v>80</v>
      </c>
      <c r="E1896" s="74">
        <v>11</v>
      </c>
      <c r="F1896" s="74">
        <v>25.75</v>
      </c>
      <c r="G1896" s="758">
        <f t="shared" si="116"/>
        <v>0.32</v>
      </c>
      <c r="H1896" s="759">
        <f t="shared" si="117"/>
        <v>0.25</v>
      </c>
      <c r="I1896" s="758">
        <f t="shared" si="118"/>
        <v>2.020909090909091</v>
      </c>
      <c r="J1896" s="760">
        <f t="shared" si="119"/>
        <v>0.86330097087378643</v>
      </c>
    </row>
    <row r="1897" spans="1:10">
      <c r="A1897" s="74" t="s">
        <v>855</v>
      </c>
      <c r="B1897" s="74" t="s">
        <v>247</v>
      </c>
      <c r="C1897" s="74" t="s">
        <v>1534</v>
      </c>
      <c r="D1897" s="74" t="s">
        <v>81</v>
      </c>
      <c r="E1897" s="74">
        <v>12</v>
      </c>
      <c r="F1897" s="74">
        <v>30.75</v>
      </c>
      <c r="G1897" s="758">
        <f t="shared" si="116"/>
        <v>0.32</v>
      </c>
      <c r="H1897" s="759">
        <f t="shared" si="117"/>
        <v>0.25</v>
      </c>
      <c r="I1897" s="758">
        <f t="shared" si="118"/>
        <v>2.2425000000000002</v>
      </c>
      <c r="J1897" s="760">
        <f t="shared" si="119"/>
        <v>0.8751219512195122</v>
      </c>
    </row>
    <row r="1898" spans="1:10">
      <c r="A1898" s="74" t="s">
        <v>855</v>
      </c>
      <c r="B1898" s="74" t="s">
        <v>247</v>
      </c>
      <c r="C1898" s="74" t="s">
        <v>1513</v>
      </c>
      <c r="D1898" s="74" t="s">
        <v>81</v>
      </c>
      <c r="E1898" s="74">
        <v>5</v>
      </c>
      <c r="F1898" s="74">
        <v>12.9</v>
      </c>
      <c r="G1898" s="758">
        <f t="shared" si="116"/>
        <v>0.32</v>
      </c>
      <c r="H1898" s="759">
        <f t="shared" si="117"/>
        <v>0.25</v>
      </c>
      <c r="I1898" s="758">
        <f t="shared" si="118"/>
        <v>2.2600000000000002</v>
      </c>
      <c r="J1898" s="760">
        <f t="shared" si="119"/>
        <v>0.87596899224806202</v>
      </c>
    </row>
    <row r="1899" spans="1:10">
      <c r="A1899" s="74" t="s">
        <v>855</v>
      </c>
      <c r="B1899" s="74" t="s">
        <v>247</v>
      </c>
      <c r="C1899" s="74" t="s">
        <v>1514</v>
      </c>
      <c r="D1899" s="74" t="s">
        <v>81</v>
      </c>
      <c r="E1899" s="74">
        <v>6</v>
      </c>
      <c r="F1899" s="74">
        <v>15.95</v>
      </c>
      <c r="G1899" s="758">
        <f t="shared" si="116"/>
        <v>0.32</v>
      </c>
      <c r="H1899" s="759">
        <f t="shared" si="117"/>
        <v>0.25</v>
      </c>
      <c r="I1899" s="758">
        <f t="shared" si="118"/>
        <v>2.3383333333333334</v>
      </c>
      <c r="J1899" s="760">
        <f t="shared" si="119"/>
        <v>0.87962382445141063</v>
      </c>
    </row>
    <row r="1900" spans="1:10">
      <c r="A1900" s="74" t="s">
        <v>855</v>
      </c>
      <c r="B1900" s="74" t="s">
        <v>247</v>
      </c>
      <c r="C1900" s="74" t="s">
        <v>1515</v>
      </c>
      <c r="D1900" s="74" t="s">
        <v>81</v>
      </c>
      <c r="E1900" s="74">
        <v>6</v>
      </c>
      <c r="F1900" s="74">
        <v>15.8</v>
      </c>
      <c r="G1900" s="758">
        <f t="shared" si="116"/>
        <v>0.32</v>
      </c>
      <c r="H1900" s="759">
        <f t="shared" si="117"/>
        <v>0.25</v>
      </c>
      <c r="I1900" s="758">
        <f t="shared" si="118"/>
        <v>2.3133333333333335</v>
      </c>
      <c r="J1900" s="760">
        <f t="shared" si="119"/>
        <v>0.87848101265822787</v>
      </c>
    </row>
    <row r="1901" spans="1:10">
      <c r="A1901" s="74" t="s">
        <v>855</v>
      </c>
      <c r="B1901" s="74" t="s">
        <v>247</v>
      </c>
      <c r="C1901" s="74" t="s">
        <v>1516</v>
      </c>
      <c r="D1901" s="74" t="s">
        <v>82</v>
      </c>
      <c r="E1901" s="74">
        <v>13</v>
      </c>
      <c r="F1901" s="74">
        <v>34.35</v>
      </c>
      <c r="G1901" s="758">
        <f t="shared" si="116"/>
        <v>0.32</v>
      </c>
      <c r="H1901" s="759">
        <f t="shared" si="117"/>
        <v>0.25</v>
      </c>
      <c r="I1901" s="758">
        <f t="shared" si="118"/>
        <v>2.3223076923076924</v>
      </c>
      <c r="J1901" s="760">
        <f t="shared" si="119"/>
        <v>0.87889374090247452</v>
      </c>
    </row>
    <row r="1902" spans="1:10">
      <c r="A1902" s="74" t="s">
        <v>855</v>
      </c>
      <c r="B1902" s="74" t="s">
        <v>247</v>
      </c>
      <c r="C1902" s="74" t="s">
        <v>1517</v>
      </c>
      <c r="D1902" s="74" t="s">
        <v>82</v>
      </c>
      <c r="E1902" s="74">
        <v>11</v>
      </c>
      <c r="F1902" s="74">
        <v>29.55</v>
      </c>
      <c r="G1902" s="758">
        <f t="shared" si="116"/>
        <v>0.32</v>
      </c>
      <c r="H1902" s="759">
        <f t="shared" si="117"/>
        <v>0.25</v>
      </c>
      <c r="I1902" s="758">
        <f t="shared" si="118"/>
        <v>2.3663636363636367</v>
      </c>
      <c r="J1902" s="760">
        <f t="shared" si="119"/>
        <v>0.88087986463620982</v>
      </c>
    </row>
    <row r="1903" spans="1:10">
      <c r="A1903" s="74" t="s">
        <v>855</v>
      </c>
      <c r="B1903" s="74" t="s">
        <v>247</v>
      </c>
      <c r="C1903" s="74" t="s">
        <v>1527</v>
      </c>
      <c r="D1903" s="74" t="s">
        <v>82</v>
      </c>
      <c r="E1903" s="74">
        <v>13</v>
      </c>
      <c r="F1903" s="74">
        <v>33.9</v>
      </c>
      <c r="G1903" s="758">
        <f t="shared" si="116"/>
        <v>0.32</v>
      </c>
      <c r="H1903" s="759">
        <f t="shared" si="117"/>
        <v>0.25</v>
      </c>
      <c r="I1903" s="758">
        <f t="shared" si="118"/>
        <v>2.2876923076923079</v>
      </c>
      <c r="J1903" s="760">
        <f t="shared" si="119"/>
        <v>0.87728613569321534</v>
      </c>
    </row>
    <row r="1904" spans="1:10">
      <c r="A1904" s="74" t="s">
        <v>855</v>
      </c>
      <c r="B1904" s="74" t="s">
        <v>247</v>
      </c>
      <c r="C1904" s="74" t="s">
        <v>1518</v>
      </c>
      <c r="D1904" s="74" t="s">
        <v>82</v>
      </c>
      <c r="E1904" s="74">
        <v>8</v>
      </c>
      <c r="F1904" s="74">
        <v>26.1</v>
      </c>
      <c r="G1904" s="758">
        <f t="shared" si="116"/>
        <v>0.32</v>
      </c>
      <c r="H1904" s="759">
        <f t="shared" si="117"/>
        <v>0.25</v>
      </c>
      <c r="I1904" s="758">
        <f t="shared" si="118"/>
        <v>2.9425000000000003</v>
      </c>
      <c r="J1904" s="760">
        <f t="shared" si="119"/>
        <v>0.90191570881226057</v>
      </c>
    </row>
    <row r="1905" spans="1:10">
      <c r="A1905" s="74" t="s">
        <v>855</v>
      </c>
      <c r="B1905" s="74" t="s">
        <v>247</v>
      </c>
      <c r="C1905" s="74" t="s">
        <v>1519</v>
      </c>
      <c r="D1905" s="74" t="s">
        <v>84</v>
      </c>
      <c r="E1905" s="74">
        <v>2</v>
      </c>
      <c r="F1905" s="74">
        <v>5.25</v>
      </c>
      <c r="G1905" s="758">
        <f t="shared" si="116"/>
        <v>0.32</v>
      </c>
      <c r="H1905" s="759">
        <f t="shared" si="117"/>
        <v>0.25</v>
      </c>
      <c r="I1905" s="758">
        <f t="shared" si="118"/>
        <v>2.3050000000000002</v>
      </c>
      <c r="J1905" s="760">
        <f t="shared" si="119"/>
        <v>0.87809523809523804</v>
      </c>
    </row>
    <row r="1906" spans="1:10">
      <c r="A1906" s="74" t="s">
        <v>855</v>
      </c>
      <c r="B1906" s="74" t="s">
        <v>247</v>
      </c>
      <c r="C1906" s="74" t="s">
        <v>1540</v>
      </c>
      <c r="D1906" s="74" t="s">
        <v>84</v>
      </c>
      <c r="E1906" s="74">
        <v>5</v>
      </c>
      <c r="F1906" s="74">
        <v>12.75</v>
      </c>
      <c r="G1906" s="758">
        <f t="shared" si="116"/>
        <v>0.32</v>
      </c>
      <c r="H1906" s="759">
        <f t="shared" si="117"/>
        <v>0.25</v>
      </c>
      <c r="I1906" s="758">
        <f t="shared" si="118"/>
        <v>2.23</v>
      </c>
      <c r="J1906" s="760">
        <f t="shared" si="119"/>
        <v>0.87450980392156863</v>
      </c>
    </row>
    <row r="1907" spans="1:10">
      <c r="A1907" s="74" t="s">
        <v>855</v>
      </c>
      <c r="B1907" s="74" t="s">
        <v>247</v>
      </c>
      <c r="C1907" s="74" t="s">
        <v>1520</v>
      </c>
      <c r="D1907" s="74" t="s">
        <v>84</v>
      </c>
      <c r="E1907" s="74">
        <v>9</v>
      </c>
      <c r="F1907" s="74">
        <v>23.1</v>
      </c>
      <c r="G1907" s="758">
        <f t="shared" si="116"/>
        <v>0.32</v>
      </c>
      <c r="H1907" s="759">
        <f t="shared" si="117"/>
        <v>0.25</v>
      </c>
      <c r="I1907" s="758">
        <f t="shared" si="118"/>
        <v>2.246666666666667</v>
      </c>
      <c r="J1907" s="760">
        <f t="shared" si="119"/>
        <v>0.87532467532467528</v>
      </c>
    </row>
    <row r="1908" spans="1:10">
      <c r="A1908" s="74" t="s">
        <v>855</v>
      </c>
      <c r="B1908" s="74" t="s">
        <v>247</v>
      </c>
      <c r="C1908" s="74" t="s">
        <v>1577</v>
      </c>
      <c r="D1908" s="74" t="s">
        <v>84</v>
      </c>
      <c r="E1908" s="74">
        <v>4</v>
      </c>
      <c r="F1908" s="74">
        <v>10.199999999999999</v>
      </c>
      <c r="G1908" s="758">
        <f t="shared" si="116"/>
        <v>0.32</v>
      </c>
      <c r="H1908" s="759">
        <f t="shared" si="117"/>
        <v>0.25</v>
      </c>
      <c r="I1908" s="758">
        <f t="shared" si="118"/>
        <v>2.23</v>
      </c>
      <c r="J1908" s="760">
        <f t="shared" si="119"/>
        <v>0.87450980392156863</v>
      </c>
    </row>
    <row r="1909" spans="1:10">
      <c r="A1909" s="74" t="s">
        <v>855</v>
      </c>
      <c r="B1909" s="74" t="s">
        <v>247</v>
      </c>
      <c r="C1909" s="74" t="s">
        <v>1507</v>
      </c>
      <c r="D1909" s="74" t="s">
        <v>86</v>
      </c>
      <c r="E1909" s="74">
        <v>8</v>
      </c>
      <c r="F1909" s="74">
        <v>20.55</v>
      </c>
      <c r="G1909" s="758">
        <f t="shared" si="116"/>
        <v>0.32</v>
      </c>
      <c r="H1909" s="759">
        <f t="shared" si="117"/>
        <v>0.25</v>
      </c>
      <c r="I1909" s="758">
        <f t="shared" si="118"/>
        <v>2.2487500000000002</v>
      </c>
      <c r="J1909" s="760">
        <f t="shared" si="119"/>
        <v>0.87542579075425797</v>
      </c>
    </row>
    <row r="1910" spans="1:10">
      <c r="A1910" s="74" t="s">
        <v>855</v>
      </c>
      <c r="B1910" s="74" t="s">
        <v>247</v>
      </c>
      <c r="C1910" s="74" t="s">
        <v>1644</v>
      </c>
      <c r="D1910" s="74" t="s">
        <v>86</v>
      </c>
      <c r="E1910" s="74">
        <v>9</v>
      </c>
      <c r="F1910" s="74">
        <v>22.95</v>
      </c>
      <c r="G1910" s="758">
        <f t="shared" si="116"/>
        <v>0.32</v>
      </c>
      <c r="H1910" s="759">
        <f t="shared" si="117"/>
        <v>0.25</v>
      </c>
      <c r="I1910" s="758">
        <f t="shared" si="118"/>
        <v>2.23</v>
      </c>
      <c r="J1910" s="760">
        <f t="shared" si="119"/>
        <v>0.87450980392156863</v>
      </c>
    </row>
    <row r="1911" spans="1:10">
      <c r="A1911" s="74" t="s">
        <v>855</v>
      </c>
      <c r="B1911" s="74" t="s">
        <v>247</v>
      </c>
      <c r="C1911" s="74" t="s">
        <v>1578</v>
      </c>
      <c r="D1911" s="74" t="s">
        <v>86</v>
      </c>
      <c r="E1911" s="74">
        <v>6</v>
      </c>
      <c r="F1911" s="74">
        <v>15.3</v>
      </c>
      <c r="G1911" s="758">
        <f t="shared" si="116"/>
        <v>0.32</v>
      </c>
      <c r="H1911" s="759">
        <f t="shared" si="117"/>
        <v>0.25</v>
      </c>
      <c r="I1911" s="758">
        <f t="shared" si="118"/>
        <v>2.2300000000000004</v>
      </c>
      <c r="J1911" s="760">
        <f t="shared" si="119"/>
        <v>0.87450980392156863</v>
      </c>
    </row>
    <row r="1912" spans="1:10">
      <c r="A1912" s="74" t="s">
        <v>855</v>
      </c>
      <c r="B1912" s="74" t="s">
        <v>247</v>
      </c>
      <c r="C1912" s="74" t="s">
        <v>1646</v>
      </c>
      <c r="D1912" s="74" t="s">
        <v>86</v>
      </c>
      <c r="E1912" s="74">
        <v>6</v>
      </c>
      <c r="F1912" s="74">
        <v>15.3</v>
      </c>
      <c r="G1912" s="758">
        <f t="shared" si="116"/>
        <v>0.32</v>
      </c>
      <c r="H1912" s="759">
        <f t="shared" si="117"/>
        <v>0.25</v>
      </c>
      <c r="I1912" s="758">
        <f t="shared" si="118"/>
        <v>2.2300000000000004</v>
      </c>
      <c r="J1912" s="760">
        <f t="shared" si="119"/>
        <v>0.87450980392156863</v>
      </c>
    </row>
    <row r="1913" spans="1:10">
      <c r="A1913" s="74" t="s">
        <v>855</v>
      </c>
      <c r="B1913" s="74" t="s">
        <v>247</v>
      </c>
      <c r="C1913" s="74" t="s">
        <v>1541</v>
      </c>
      <c r="D1913" s="74" t="s">
        <v>86</v>
      </c>
      <c r="E1913" s="74">
        <v>9</v>
      </c>
      <c r="F1913" s="74">
        <v>22.95</v>
      </c>
      <c r="G1913" s="758">
        <f t="shared" si="116"/>
        <v>0.32</v>
      </c>
      <c r="H1913" s="759">
        <f t="shared" si="117"/>
        <v>0.25</v>
      </c>
      <c r="I1913" s="758">
        <f t="shared" si="118"/>
        <v>2.23</v>
      </c>
      <c r="J1913" s="760">
        <f t="shared" si="119"/>
        <v>0.87450980392156863</v>
      </c>
    </row>
    <row r="1914" spans="1:10">
      <c r="A1914" s="74" t="s">
        <v>855</v>
      </c>
      <c r="B1914" s="74" t="s">
        <v>247</v>
      </c>
      <c r="C1914" s="74" t="s">
        <v>1543</v>
      </c>
      <c r="D1914" s="74" t="s">
        <v>87</v>
      </c>
      <c r="E1914" s="74">
        <v>7</v>
      </c>
      <c r="F1914" s="74">
        <v>17.850000000000001</v>
      </c>
      <c r="G1914" s="758">
        <f t="shared" si="116"/>
        <v>0.32</v>
      </c>
      <c r="H1914" s="759">
        <f t="shared" si="117"/>
        <v>0.25</v>
      </c>
      <c r="I1914" s="758">
        <f t="shared" si="118"/>
        <v>2.2300000000000004</v>
      </c>
      <c r="J1914" s="760">
        <f t="shared" si="119"/>
        <v>0.87450980392156863</v>
      </c>
    </row>
    <row r="1915" spans="1:10">
      <c r="A1915" s="74" t="s">
        <v>855</v>
      </c>
      <c r="B1915" s="74" t="s">
        <v>247</v>
      </c>
      <c r="C1915" s="74" t="s">
        <v>1544</v>
      </c>
      <c r="D1915" s="74" t="s">
        <v>87</v>
      </c>
      <c r="E1915" s="74">
        <v>2</v>
      </c>
      <c r="F1915" s="74">
        <v>5.0999999999999996</v>
      </c>
      <c r="G1915" s="758">
        <f t="shared" si="116"/>
        <v>0.32</v>
      </c>
      <c r="H1915" s="759">
        <f t="shared" si="117"/>
        <v>0.25</v>
      </c>
      <c r="I1915" s="758">
        <f t="shared" si="118"/>
        <v>2.23</v>
      </c>
      <c r="J1915" s="760">
        <f t="shared" si="119"/>
        <v>0.87450980392156863</v>
      </c>
    </row>
    <row r="1916" spans="1:10">
      <c r="A1916" s="74" t="s">
        <v>855</v>
      </c>
      <c r="B1916" s="74" t="s">
        <v>247</v>
      </c>
      <c r="C1916" s="74" t="s">
        <v>1605</v>
      </c>
      <c r="D1916" s="74" t="s">
        <v>87</v>
      </c>
      <c r="E1916" s="74">
        <v>1</v>
      </c>
      <c r="F1916" s="74">
        <v>2.5499999999999998</v>
      </c>
      <c r="G1916" s="758">
        <f t="shared" si="116"/>
        <v>0.32</v>
      </c>
      <c r="H1916" s="759">
        <f t="shared" si="117"/>
        <v>0.25</v>
      </c>
      <c r="I1916" s="758">
        <f t="shared" si="118"/>
        <v>2.23</v>
      </c>
      <c r="J1916" s="760">
        <f t="shared" si="119"/>
        <v>0.87450980392156863</v>
      </c>
    </row>
    <row r="1917" spans="1:10">
      <c r="A1917" s="74" t="s">
        <v>855</v>
      </c>
      <c r="B1917" s="74" t="s">
        <v>247</v>
      </c>
      <c r="C1917" s="74" t="s">
        <v>1561</v>
      </c>
      <c r="D1917" s="74" t="s">
        <v>87</v>
      </c>
      <c r="E1917" s="74">
        <v>4</v>
      </c>
      <c r="F1917" s="74">
        <v>10.199999999999999</v>
      </c>
      <c r="G1917" s="758">
        <f t="shared" si="116"/>
        <v>0.32</v>
      </c>
      <c r="H1917" s="759">
        <f t="shared" si="117"/>
        <v>0.25</v>
      </c>
      <c r="I1917" s="758">
        <f t="shared" si="118"/>
        <v>2.23</v>
      </c>
      <c r="J1917" s="760">
        <f t="shared" si="119"/>
        <v>0.87450980392156863</v>
      </c>
    </row>
    <row r="1918" spans="1:10">
      <c r="A1918" s="74" t="s">
        <v>855</v>
      </c>
      <c r="B1918" s="74" t="s">
        <v>247</v>
      </c>
      <c r="C1918" s="74" t="s">
        <v>1608</v>
      </c>
      <c r="D1918" s="74" t="s">
        <v>89</v>
      </c>
      <c r="E1918" s="74">
        <v>2</v>
      </c>
      <c r="F1918" s="74">
        <v>5.0999999999999996</v>
      </c>
      <c r="G1918" s="758">
        <f t="shared" si="116"/>
        <v>0.32</v>
      </c>
      <c r="H1918" s="759">
        <f t="shared" si="117"/>
        <v>0.25</v>
      </c>
      <c r="I1918" s="758">
        <f t="shared" si="118"/>
        <v>2.23</v>
      </c>
      <c r="J1918" s="760">
        <f t="shared" si="119"/>
        <v>0.87450980392156863</v>
      </c>
    </row>
    <row r="1919" spans="1:10">
      <c r="A1919" s="74" t="s">
        <v>855</v>
      </c>
      <c r="B1919" s="74" t="s">
        <v>247</v>
      </c>
      <c r="C1919" s="74" t="s">
        <v>1610</v>
      </c>
      <c r="D1919" s="74" t="s">
        <v>89</v>
      </c>
      <c r="E1919" s="74">
        <v>2</v>
      </c>
      <c r="F1919" s="74">
        <v>5.0999999999999996</v>
      </c>
      <c r="G1919" s="758">
        <f t="shared" si="116"/>
        <v>0.32</v>
      </c>
      <c r="H1919" s="759">
        <f t="shared" si="117"/>
        <v>0.25</v>
      </c>
      <c r="I1919" s="758">
        <f t="shared" si="118"/>
        <v>2.23</v>
      </c>
      <c r="J1919" s="760">
        <f t="shared" si="119"/>
        <v>0.87450980392156863</v>
      </c>
    </row>
    <row r="1920" spans="1:10">
      <c r="A1920" s="74" t="s">
        <v>855</v>
      </c>
      <c r="B1920" s="74" t="s">
        <v>247</v>
      </c>
      <c r="C1920" s="74" t="s">
        <v>1547</v>
      </c>
      <c r="D1920" s="74" t="s">
        <v>89</v>
      </c>
      <c r="E1920" s="74">
        <v>1</v>
      </c>
      <c r="F1920" s="74">
        <v>2.5499999999999998</v>
      </c>
      <c r="G1920" s="758">
        <f t="shared" si="116"/>
        <v>0.32</v>
      </c>
      <c r="H1920" s="759">
        <f t="shared" si="117"/>
        <v>0.25</v>
      </c>
      <c r="I1920" s="758">
        <f t="shared" si="118"/>
        <v>2.23</v>
      </c>
      <c r="J1920" s="760">
        <f t="shared" si="119"/>
        <v>0.87450980392156863</v>
      </c>
    </row>
    <row r="1921" spans="1:10">
      <c r="A1921" s="74" t="s">
        <v>855</v>
      </c>
      <c r="B1921" s="74" t="s">
        <v>247</v>
      </c>
      <c r="C1921" s="74" t="s">
        <v>1582</v>
      </c>
      <c r="D1921" s="74" t="s">
        <v>89</v>
      </c>
      <c r="E1921" s="74">
        <v>5</v>
      </c>
      <c r="F1921" s="74">
        <v>12.75</v>
      </c>
      <c r="G1921" s="758">
        <f t="shared" si="116"/>
        <v>0.32</v>
      </c>
      <c r="H1921" s="759">
        <f t="shared" si="117"/>
        <v>0.25</v>
      </c>
      <c r="I1921" s="758">
        <f t="shared" si="118"/>
        <v>2.23</v>
      </c>
      <c r="J1921" s="760">
        <f t="shared" si="119"/>
        <v>0.87450980392156863</v>
      </c>
    </row>
    <row r="1922" spans="1:10">
      <c r="A1922" s="74" t="s">
        <v>855</v>
      </c>
      <c r="B1922" s="74" t="s">
        <v>247</v>
      </c>
      <c r="C1922" s="74" t="s">
        <v>1522</v>
      </c>
      <c r="D1922" s="74" t="s">
        <v>91</v>
      </c>
      <c r="E1922" s="74">
        <v>1</v>
      </c>
      <c r="F1922" s="74">
        <v>2.5499999999999998</v>
      </c>
      <c r="G1922" s="758">
        <f t="shared" ref="G1922:G1985" si="120">IFERROR(VLOOKUP(A1922,$M$1:$P$1014,2,FALSE),0)</f>
        <v>0.32</v>
      </c>
      <c r="H1922" s="759">
        <f t="shared" ref="H1922:H1985" si="121">IFERROR(VLOOKUP(A1922,$M$1:$P$1014,3,FALSE),0)</f>
        <v>0.25</v>
      </c>
      <c r="I1922" s="758">
        <f t="shared" ref="I1922:I1985" si="122">IFERROR(F1922/E1922-G1922,0)</f>
        <v>2.23</v>
      </c>
      <c r="J1922" s="760">
        <f t="shared" ref="J1922:J1985" si="123">IFERROR(1-G1922*E1922/F1922,0)</f>
        <v>0.87450980392156863</v>
      </c>
    </row>
    <row r="1923" spans="1:10">
      <c r="A1923" s="74" t="s">
        <v>855</v>
      </c>
      <c r="B1923" s="74" t="s">
        <v>247</v>
      </c>
      <c r="C1923" s="74" t="s">
        <v>1550</v>
      </c>
      <c r="D1923" s="74" t="s">
        <v>91</v>
      </c>
      <c r="E1923" s="74">
        <v>2</v>
      </c>
      <c r="F1923" s="74">
        <v>5.0999999999999996</v>
      </c>
      <c r="G1923" s="758">
        <f t="shared" si="120"/>
        <v>0.32</v>
      </c>
      <c r="H1923" s="759">
        <f t="shared" si="121"/>
        <v>0.25</v>
      </c>
      <c r="I1923" s="758">
        <f t="shared" si="122"/>
        <v>2.23</v>
      </c>
      <c r="J1923" s="760">
        <f t="shared" si="123"/>
        <v>0.87450980392156863</v>
      </c>
    </row>
    <row r="1924" spans="1:10">
      <c r="A1924" s="74" t="s">
        <v>855</v>
      </c>
      <c r="B1924" s="74" t="s">
        <v>247</v>
      </c>
      <c r="C1924" s="74" t="s">
        <v>1675</v>
      </c>
      <c r="D1924" s="74" t="s">
        <v>91</v>
      </c>
      <c r="E1924" s="74">
        <v>4</v>
      </c>
      <c r="F1924" s="74">
        <v>10.199999999999999</v>
      </c>
      <c r="G1924" s="758">
        <f t="shared" si="120"/>
        <v>0.32</v>
      </c>
      <c r="H1924" s="759">
        <f t="shared" si="121"/>
        <v>0.25</v>
      </c>
      <c r="I1924" s="758">
        <f t="shared" si="122"/>
        <v>2.23</v>
      </c>
      <c r="J1924" s="760">
        <f t="shared" si="123"/>
        <v>0.87450980392156863</v>
      </c>
    </row>
    <row r="1925" spans="1:10">
      <c r="A1925" s="74" t="s">
        <v>855</v>
      </c>
      <c r="B1925" s="74" t="s">
        <v>247</v>
      </c>
      <c r="C1925" s="74" t="s">
        <v>1524</v>
      </c>
      <c r="D1925" s="74" t="s">
        <v>91</v>
      </c>
      <c r="E1925" s="74">
        <v>5</v>
      </c>
      <c r="F1925" s="74">
        <v>13.05</v>
      </c>
      <c r="G1925" s="758">
        <f t="shared" si="120"/>
        <v>0.32</v>
      </c>
      <c r="H1925" s="759">
        <f t="shared" si="121"/>
        <v>0.25</v>
      </c>
      <c r="I1925" s="758">
        <f t="shared" si="122"/>
        <v>2.2900000000000005</v>
      </c>
      <c r="J1925" s="760">
        <f t="shared" si="123"/>
        <v>0.87739463601532564</v>
      </c>
    </row>
    <row r="1926" spans="1:10">
      <c r="A1926" s="74" t="s">
        <v>855</v>
      </c>
      <c r="B1926" s="74" t="s">
        <v>247</v>
      </c>
      <c r="C1926" s="74" t="s">
        <v>1584</v>
      </c>
      <c r="D1926" s="74" t="s">
        <v>92</v>
      </c>
      <c r="E1926" s="74">
        <v>1</v>
      </c>
      <c r="F1926" s="74">
        <v>2.5499999999999998</v>
      </c>
      <c r="G1926" s="758">
        <f t="shared" si="120"/>
        <v>0.32</v>
      </c>
      <c r="H1926" s="759">
        <f t="shared" si="121"/>
        <v>0.25</v>
      </c>
      <c r="I1926" s="758">
        <f t="shared" si="122"/>
        <v>2.23</v>
      </c>
      <c r="J1926" s="760">
        <f t="shared" si="123"/>
        <v>0.87450980392156863</v>
      </c>
    </row>
    <row r="1927" spans="1:10">
      <c r="A1927" s="74" t="s">
        <v>855</v>
      </c>
      <c r="B1927" s="74" t="s">
        <v>247</v>
      </c>
      <c r="C1927" s="74" t="s">
        <v>1614</v>
      </c>
      <c r="D1927" s="74" t="s">
        <v>92</v>
      </c>
      <c r="E1927" s="74">
        <v>2</v>
      </c>
      <c r="F1927" s="74">
        <v>5.0999999999999996</v>
      </c>
      <c r="G1927" s="758">
        <f t="shared" si="120"/>
        <v>0.32</v>
      </c>
      <c r="H1927" s="759">
        <f t="shared" si="121"/>
        <v>0.25</v>
      </c>
      <c r="I1927" s="758">
        <f t="shared" si="122"/>
        <v>2.23</v>
      </c>
      <c r="J1927" s="760">
        <f t="shared" si="123"/>
        <v>0.87450980392156863</v>
      </c>
    </row>
    <row r="1928" spans="1:10">
      <c r="A1928" s="74" t="s">
        <v>855</v>
      </c>
      <c r="B1928" s="74" t="s">
        <v>247</v>
      </c>
      <c r="C1928" s="74" t="s">
        <v>1631</v>
      </c>
      <c r="D1928" s="74" t="s">
        <v>92</v>
      </c>
      <c r="E1928" s="74">
        <v>3</v>
      </c>
      <c r="F1928" s="74">
        <v>7.65</v>
      </c>
      <c r="G1928" s="758">
        <f t="shared" si="120"/>
        <v>0.32</v>
      </c>
      <c r="H1928" s="759">
        <f t="shared" si="121"/>
        <v>0.25</v>
      </c>
      <c r="I1928" s="758">
        <f t="shared" si="122"/>
        <v>2.2300000000000004</v>
      </c>
      <c r="J1928" s="760">
        <f t="shared" si="123"/>
        <v>0.87450980392156863</v>
      </c>
    </row>
    <row r="1929" spans="1:10">
      <c r="A1929" s="74" t="s">
        <v>855</v>
      </c>
      <c r="B1929" s="74" t="s">
        <v>247</v>
      </c>
      <c r="C1929" s="74" t="s">
        <v>1552</v>
      </c>
      <c r="D1929" s="74" t="s">
        <v>92</v>
      </c>
      <c r="E1929" s="74">
        <v>4</v>
      </c>
      <c r="F1929" s="74">
        <v>10.199999999999999</v>
      </c>
      <c r="G1929" s="758">
        <f t="shared" si="120"/>
        <v>0.32</v>
      </c>
      <c r="H1929" s="759">
        <f t="shared" si="121"/>
        <v>0.25</v>
      </c>
      <c r="I1929" s="758">
        <f t="shared" si="122"/>
        <v>2.23</v>
      </c>
      <c r="J1929" s="760">
        <f t="shared" si="123"/>
        <v>0.87450980392156863</v>
      </c>
    </row>
    <row r="1930" spans="1:10">
      <c r="A1930" s="74" t="s">
        <v>855</v>
      </c>
      <c r="B1930" s="74" t="s">
        <v>247</v>
      </c>
      <c r="C1930" s="74" t="s">
        <v>1617</v>
      </c>
      <c r="D1930" s="74" t="s">
        <v>94</v>
      </c>
      <c r="E1930" s="74">
        <v>3</v>
      </c>
      <c r="F1930" s="74">
        <v>7.65</v>
      </c>
      <c r="G1930" s="758">
        <f t="shared" si="120"/>
        <v>0.32</v>
      </c>
      <c r="H1930" s="759">
        <f t="shared" si="121"/>
        <v>0.25</v>
      </c>
      <c r="I1930" s="758">
        <f t="shared" si="122"/>
        <v>2.2300000000000004</v>
      </c>
      <c r="J1930" s="760">
        <f t="shared" si="123"/>
        <v>0.87450980392156863</v>
      </c>
    </row>
    <row r="1931" spans="1:10">
      <c r="A1931" s="74" t="s">
        <v>855</v>
      </c>
      <c r="B1931" s="74" t="s">
        <v>247</v>
      </c>
      <c r="C1931" s="74" t="s">
        <v>1553</v>
      </c>
      <c r="D1931" s="74" t="s">
        <v>94</v>
      </c>
      <c r="E1931" s="74">
        <v>5</v>
      </c>
      <c r="F1931" s="74">
        <v>12.75</v>
      </c>
      <c r="G1931" s="758">
        <f t="shared" si="120"/>
        <v>0.32</v>
      </c>
      <c r="H1931" s="759">
        <f t="shared" si="121"/>
        <v>0.25</v>
      </c>
      <c r="I1931" s="758">
        <f t="shared" si="122"/>
        <v>2.23</v>
      </c>
      <c r="J1931" s="760">
        <f t="shared" si="123"/>
        <v>0.87450980392156863</v>
      </c>
    </row>
    <row r="1932" spans="1:10">
      <c r="A1932" s="74" t="s">
        <v>855</v>
      </c>
      <c r="B1932" s="74" t="s">
        <v>247</v>
      </c>
      <c r="C1932" s="74" t="s">
        <v>1555</v>
      </c>
      <c r="D1932" s="74" t="s">
        <v>94</v>
      </c>
      <c r="E1932" s="74">
        <v>3</v>
      </c>
      <c r="F1932" s="74">
        <v>7.65</v>
      </c>
      <c r="G1932" s="758">
        <f t="shared" si="120"/>
        <v>0.32</v>
      </c>
      <c r="H1932" s="759">
        <f t="shared" si="121"/>
        <v>0.25</v>
      </c>
      <c r="I1932" s="758">
        <f t="shared" si="122"/>
        <v>2.2300000000000004</v>
      </c>
      <c r="J1932" s="760">
        <f t="shared" si="123"/>
        <v>0.87450980392156863</v>
      </c>
    </row>
    <row r="1933" spans="1:10">
      <c r="A1933" s="74" t="s">
        <v>855</v>
      </c>
      <c r="B1933" s="74" t="s">
        <v>247</v>
      </c>
      <c r="C1933" s="74" t="s">
        <v>1557</v>
      </c>
      <c r="D1933" s="74" t="s">
        <v>95</v>
      </c>
      <c r="E1933" s="74">
        <v>1</v>
      </c>
      <c r="F1933" s="74">
        <v>2.5499999999999998</v>
      </c>
      <c r="G1933" s="758">
        <f t="shared" si="120"/>
        <v>0.32</v>
      </c>
      <c r="H1933" s="759">
        <f t="shared" si="121"/>
        <v>0.25</v>
      </c>
      <c r="I1933" s="758">
        <f t="shared" si="122"/>
        <v>2.23</v>
      </c>
      <c r="J1933" s="760">
        <f t="shared" si="123"/>
        <v>0.87450980392156863</v>
      </c>
    </row>
    <row r="1934" spans="1:10">
      <c r="A1934" s="74" t="s">
        <v>855</v>
      </c>
      <c r="B1934" s="74" t="s">
        <v>247</v>
      </c>
      <c r="C1934" s="74" t="s">
        <v>1526</v>
      </c>
      <c r="D1934" s="74" t="s">
        <v>95</v>
      </c>
      <c r="E1934" s="74">
        <v>2</v>
      </c>
      <c r="F1934" s="74">
        <v>2.5499999999999998</v>
      </c>
      <c r="G1934" s="758">
        <f t="shared" si="120"/>
        <v>0.32</v>
      </c>
      <c r="H1934" s="759">
        <f t="shared" si="121"/>
        <v>0.25</v>
      </c>
      <c r="I1934" s="758">
        <f t="shared" si="122"/>
        <v>0.95499999999999985</v>
      </c>
      <c r="J1934" s="760">
        <f t="shared" si="123"/>
        <v>0.74901960784313726</v>
      </c>
    </row>
    <row r="1935" spans="1:10">
      <c r="A1935" s="74" t="s">
        <v>855</v>
      </c>
      <c r="B1935" s="74" t="s">
        <v>247</v>
      </c>
      <c r="C1935" s="74" t="s">
        <v>1930</v>
      </c>
      <c r="D1935" s="74" t="s">
        <v>95</v>
      </c>
      <c r="E1935" s="74">
        <v>3</v>
      </c>
      <c r="F1935" s="74">
        <v>7.65</v>
      </c>
      <c r="G1935" s="758">
        <f t="shared" si="120"/>
        <v>0.32</v>
      </c>
      <c r="H1935" s="759">
        <f t="shared" si="121"/>
        <v>0.25</v>
      </c>
      <c r="I1935" s="758">
        <f t="shared" si="122"/>
        <v>2.2300000000000004</v>
      </c>
      <c r="J1935" s="760">
        <f t="shared" si="123"/>
        <v>0.87450980392156863</v>
      </c>
    </row>
    <row r="1936" spans="1:10">
      <c r="A1936" s="74" t="s">
        <v>1733</v>
      </c>
      <c r="B1936" s="74" t="s">
        <v>247</v>
      </c>
      <c r="C1936" s="74" t="s">
        <v>1527</v>
      </c>
      <c r="D1936" s="74" t="s">
        <v>82</v>
      </c>
      <c r="E1936" s="74">
        <v>1</v>
      </c>
      <c r="F1936" s="74">
        <v>0</v>
      </c>
      <c r="G1936" s="758">
        <f t="shared" si="120"/>
        <v>0.57999999999999996</v>
      </c>
      <c r="H1936" s="759">
        <f t="shared" si="121"/>
        <v>0</v>
      </c>
      <c r="I1936" s="758">
        <f t="shared" si="122"/>
        <v>-0.57999999999999996</v>
      </c>
      <c r="J1936" s="760">
        <f t="shared" si="123"/>
        <v>0</v>
      </c>
    </row>
    <row r="1937" spans="1:10">
      <c r="A1937" s="74" t="s">
        <v>698</v>
      </c>
      <c r="B1937" s="74" t="s">
        <v>249</v>
      </c>
      <c r="C1937" s="74" t="s">
        <v>1528</v>
      </c>
      <c r="D1937" s="74" t="s">
        <v>78</v>
      </c>
      <c r="E1937" s="74">
        <v>4</v>
      </c>
      <c r="F1937" s="74">
        <v>9.27</v>
      </c>
      <c r="G1937" s="758">
        <f t="shared" si="120"/>
        <v>0.32</v>
      </c>
      <c r="H1937" s="759">
        <f t="shared" si="121"/>
        <v>0.25</v>
      </c>
      <c r="I1937" s="758">
        <f t="shared" si="122"/>
        <v>1.9974999999999998</v>
      </c>
      <c r="J1937" s="760">
        <f t="shared" si="123"/>
        <v>0.86192017259978426</v>
      </c>
    </row>
    <row r="1938" spans="1:10">
      <c r="A1938" s="74" t="s">
        <v>698</v>
      </c>
      <c r="B1938" s="74" t="s">
        <v>249</v>
      </c>
      <c r="C1938" s="74" t="s">
        <v>1508</v>
      </c>
      <c r="D1938" s="74" t="s">
        <v>78</v>
      </c>
      <c r="E1938" s="74">
        <v>7</v>
      </c>
      <c r="F1938" s="74">
        <v>16.23</v>
      </c>
      <c r="G1938" s="758">
        <f t="shared" si="120"/>
        <v>0.32</v>
      </c>
      <c r="H1938" s="759">
        <f t="shared" si="121"/>
        <v>0.25</v>
      </c>
      <c r="I1938" s="758">
        <f t="shared" si="122"/>
        <v>1.9985714285714284</v>
      </c>
      <c r="J1938" s="760">
        <f t="shared" si="123"/>
        <v>0.86198398028342571</v>
      </c>
    </row>
    <row r="1939" spans="1:10">
      <c r="A1939" s="74" t="s">
        <v>698</v>
      </c>
      <c r="B1939" s="74" t="s">
        <v>249</v>
      </c>
      <c r="C1939" s="74" t="s">
        <v>1509</v>
      </c>
      <c r="D1939" s="74" t="s">
        <v>78</v>
      </c>
      <c r="E1939" s="74">
        <v>11</v>
      </c>
      <c r="F1939" s="74">
        <v>25.5</v>
      </c>
      <c r="G1939" s="758">
        <f t="shared" si="120"/>
        <v>0.32</v>
      </c>
      <c r="H1939" s="759">
        <f t="shared" si="121"/>
        <v>0.25</v>
      </c>
      <c r="I1939" s="758">
        <f t="shared" si="122"/>
        <v>1.9981818181818183</v>
      </c>
      <c r="J1939" s="760">
        <f t="shared" si="123"/>
        <v>0.86196078431372547</v>
      </c>
    </row>
    <row r="1940" spans="1:10">
      <c r="A1940" s="74" t="s">
        <v>698</v>
      </c>
      <c r="B1940" s="74" t="s">
        <v>249</v>
      </c>
      <c r="C1940" s="74" t="s">
        <v>1565</v>
      </c>
      <c r="D1940" s="74" t="s">
        <v>78</v>
      </c>
      <c r="E1940" s="74">
        <v>11</v>
      </c>
      <c r="F1940" s="74">
        <v>25.64</v>
      </c>
      <c r="G1940" s="758">
        <f t="shared" si="120"/>
        <v>0.32</v>
      </c>
      <c r="H1940" s="759">
        <f t="shared" si="121"/>
        <v>0.25</v>
      </c>
      <c r="I1940" s="758">
        <f t="shared" si="122"/>
        <v>2.0109090909090912</v>
      </c>
      <c r="J1940" s="760">
        <f t="shared" si="123"/>
        <v>0.86271450858034315</v>
      </c>
    </row>
    <row r="1941" spans="1:10">
      <c r="A1941" s="74" t="s">
        <v>698</v>
      </c>
      <c r="B1941" s="74" t="s">
        <v>249</v>
      </c>
      <c r="C1941" s="74" t="s">
        <v>1530</v>
      </c>
      <c r="D1941" s="74" t="s">
        <v>80</v>
      </c>
      <c r="E1941" s="74">
        <v>12</v>
      </c>
      <c r="F1941" s="74">
        <v>27.82</v>
      </c>
      <c r="G1941" s="758">
        <f t="shared" si="120"/>
        <v>0.32</v>
      </c>
      <c r="H1941" s="759">
        <f t="shared" si="121"/>
        <v>0.25</v>
      </c>
      <c r="I1941" s="758">
        <f t="shared" si="122"/>
        <v>1.9983333333333333</v>
      </c>
      <c r="J1941" s="760">
        <f t="shared" si="123"/>
        <v>0.86196980589503958</v>
      </c>
    </row>
    <row r="1942" spans="1:10">
      <c r="A1942" s="74" t="s">
        <v>698</v>
      </c>
      <c r="B1942" s="74" t="s">
        <v>249</v>
      </c>
      <c r="C1942" s="74" t="s">
        <v>1532</v>
      </c>
      <c r="D1942" s="74" t="s">
        <v>80</v>
      </c>
      <c r="E1942" s="74">
        <v>12</v>
      </c>
      <c r="F1942" s="74">
        <v>27.82</v>
      </c>
      <c r="G1942" s="758">
        <f t="shared" si="120"/>
        <v>0.32</v>
      </c>
      <c r="H1942" s="759">
        <f t="shared" si="121"/>
        <v>0.25</v>
      </c>
      <c r="I1942" s="758">
        <f t="shared" si="122"/>
        <v>1.9983333333333333</v>
      </c>
      <c r="J1942" s="760">
        <f t="shared" si="123"/>
        <v>0.86196980589503958</v>
      </c>
    </row>
    <row r="1943" spans="1:10">
      <c r="A1943" s="74" t="s">
        <v>698</v>
      </c>
      <c r="B1943" s="74" t="s">
        <v>249</v>
      </c>
      <c r="C1943" s="74" t="s">
        <v>1511</v>
      </c>
      <c r="D1943" s="74" t="s">
        <v>80</v>
      </c>
      <c r="E1943" s="74">
        <v>14</v>
      </c>
      <c r="F1943" s="74">
        <v>32.86</v>
      </c>
      <c r="G1943" s="758">
        <f t="shared" si="120"/>
        <v>0.32</v>
      </c>
      <c r="H1943" s="759">
        <f t="shared" si="121"/>
        <v>0.25</v>
      </c>
      <c r="I1943" s="758">
        <f t="shared" si="122"/>
        <v>2.0271428571428571</v>
      </c>
      <c r="J1943" s="760">
        <f t="shared" si="123"/>
        <v>0.86366402921485086</v>
      </c>
    </row>
    <row r="1944" spans="1:10">
      <c r="A1944" s="74" t="s">
        <v>698</v>
      </c>
      <c r="B1944" s="74" t="s">
        <v>249</v>
      </c>
      <c r="C1944" s="74" t="s">
        <v>1512</v>
      </c>
      <c r="D1944" s="74" t="s">
        <v>80</v>
      </c>
      <c r="E1944" s="74">
        <v>14</v>
      </c>
      <c r="F1944" s="74">
        <v>32.86</v>
      </c>
      <c r="G1944" s="758">
        <f t="shared" si="120"/>
        <v>0.32</v>
      </c>
      <c r="H1944" s="759">
        <f t="shared" si="121"/>
        <v>0.25</v>
      </c>
      <c r="I1944" s="758">
        <f t="shared" si="122"/>
        <v>2.0271428571428571</v>
      </c>
      <c r="J1944" s="760">
        <f t="shared" si="123"/>
        <v>0.86366402921485086</v>
      </c>
    </row>
    <row r="1945" spans="1:10">
      <c r="A1945" s="74" t="s">
        <v>698</v>
      </c>
      <c r="B1945" s="74" t="s">
        <v>249</v>
      </c>
      <c r="C1945" s="74" t="s">
        <v>1513</v>
      </c>
      <c r="D1945" s="74" t="s">
        <v>81</v>
      </c>
      <c r="E1945" s="74">
        <v>26</v>
      </c>
      <c r="F1945" s="74">
        <v>60.27</v>
      </c>
      <c r="G1945" s="758">
        <f t="shared" si="120"/>
        <v>0.32</v>
      </c>
      <c r="H1945" s="759">
        <f t="shared" si="121"/>
        <v>0.25</v>
      </c>
      <c r="I1945" s="758">
        <f t="shared" si="122"/>
        <v>1.9980769230769233</v>
      </c>
      <c r="J1945" s="760">
        <f t="shared" si="123"/>
        <v>0.86195453791272603</v>
      </c>
    </row>
    <row r="1946" spans="1:10">
      <c r="A1946" s="74" t="s">
        <v>698</v>
      </c>
      <c r="B1946" s="74" t="s">
        <v>249</v>
      </c>
      <c r="C1946" s="74" t="s">
        <v>1514</v>
      </c>
      <c r="D1946" s="74" t="s">
        <v>81</v>
      </c>
      <c r="E1946" s="74">
        <v>5</v>
      </c>
      <c r="F1946" s="74">
        <v>11.59</v>
      </c>
      <c r="G1946" s="758">
        <f t="shared" si="120"/>
        <v>0.32</v>
      </c>
      <c r="H1946" s="759">
        <f t="shared" si="121"/>
        <v>0.25</v>
      </c>
      <c r="I1946" s="758">
        <f t="shared" si="122"/>
        <v>1.998</v>
      </c>
      <c r="J1946" s="760">
        <f t="shared" si="123"/>
        <v>0.86194995685936149</v>
      </c>
    </row>
    <row r="1947" spans="1:10">
      <c r="A1947" s="74" t="s">
        <v>698</v>
      </c>
      <c r="B1947" s="74" t="s">
        <v>249</v>
      </c>
      <c r="C1947" s="74" t="s">
        <v>1515</v>
      </c>
      <c r="D1947" s="74" t="s">
        <v>81</v>
      </c>
      <c r="E1947" s="74">
        <v>10</v>
      </c>
      <c r="F1947" s="74">
        <v>23.18</v>
      </c>
      <c r="G1947" s="758">
        <f t="shared" si="120"/>
        <v>0.32</v>
      </c>
      <c r="H1947" s="759">
        <f t="shared" si="121"/>
        <v>0.25</v>
      </c>
      <c r="I1947" s="758">
        <f t="shared" si="122"/>
        <v>1.998</v>
      </c>
      <c r="J1947" s="760">
        <f t="shared" si="123"/>
        <v>0.86194995685936149</v>
      </c>
    </row>
    <row r="1948" spans="1:10">
      <c r="A1948" s="74" t="s">
        <v>1734</v>
      </c>
      <c r="B1948" s="74" t="s">
        <v>873</v>
      </c>
      <c r="C1948" s="74" t="s">
        <v>1552</v>
      </c>
      <c r="D1948" s="74" t="s">
        <v>92</v>
      </c>
      <c r="E1948" s="74">
        <v>3</v>
      </c>
      <c r="F1948" s="74">
        <v>0</v>
      </c>
      <c r="G1948" s="758">
        <f t="shared" si="120"/>
        <v>0</v>
      </c>
      <c r="H1948" s="759">
        <f t="shared" si="121"/>
        <v>0</v>
      </c>
      <c r="I1948" s="758">
        <f t="shared" si="122"/>
        <v>0</v>
      </c>
      <c r="J1948" s="760">
        <f t="shared" si="123"/>
        <v>0</v>
      </c>
    </row>
    <row r="1949" spans="1:10">
      <c r="A1949" s="74" t="s">
        <v>1735</v>
      </c>
      <c r="B1949" s="74" t="s">
        <v>2279</v>
      </c>
      <c r="C1949" s="74" t="s">
        <v>1534</v>
      </c>
      <c r="D1949" s="74" t="s">
        <v>81</v>
      </c>
      <c r="E1949" s="74">
        <v>3</v>
      </c>
      <c r="F1949" s="74">
        <v>0</v>
      </c>
      <c r="G1949" s="758">
        <f t="shared" si="120"/>
        <v>2.23</v>
      </c>
      <c r="H1949" s="759">
        <f t="shared" si="121"/>
        <v>0</v>
      </c>
      <c r="I1949" s="758">
        <f t="shared" si="122"/>
        <v>-2.23</v>
      </c>
      <c r="J1949" s="760">
        <f t="shared" si="123"/>
        <v>0</v>
      </c>
    </row>
    <row r="1950" spans="1:10">
      <c r="A1950" s="74" t="s">
        <v>1736</v>
      </c>
      <c r="B1950" s="74" t="s">
        <v>253</v>
      </c>
      <c r="C1950" s="74" t="s">
        <v>1511</v>
      </c>
      <c r="D1950" s="74" t="s">
        <v>80</v>
      </c>
      <c r="E1950" s="74">
        <v>1</v>
      </c>
      <c r="F1950" s="74">
        <v>3.45</v>
      </c>
      <c r="G1950" s="758">
        <f t="shared" si="120"/>
        <v>1.5</v>
      </c>
      <c r="H1950" s="759">
        <f t="shared" si="121"/>
        <v>0.41</v>
      </c>
      <c r="I1950" s="758">
        <f t="shared" si="122"/>
        <v>1.9500000000000002</v>
      </c>
      <c r="J1950" s="760">
        <f t="shared" si="123"/>
        <v>0.56521739130434789</v>
      </c>
    </row>
    <row r="1951" spans="1:10">
      <c r="A1951" s="74" t="s">
        <v>1736</v>
      </c>
      <c r="B1951" s="74" t="s">
        <v>253</v>
      </c>
      <c r="C1951" s="74" t="s">
        <v>1534</v>
      </c>
      <c r="D1951" s="74" t="s">
        <v>81</v>
      </c>
      <c r="E1951" s="74">
        <v>1</v>
      </c>
      <c r="F1951" s="74">
        <v>3.45</v>
      </c>
      <c r="G1951" s="758">
        <f t="shared" si="120"/>
        <v>1.5</v>
      </c>
      <c r="H1951" s="759">
        <f t="shared" si="121"/>
        <v>0.41</v>
      </c>
      <c r="I1951" s="758">
        <f t="shared" si="122"/>
        <v>1.9500000000000002</v>
      </c>
      <c r="J1951" s="760">
        <f t="shared" si="123"/>
        <v>0.56521739130434789</v>
      </c>
    </row>
    <row r="1952" spans="1:10">
      <c r="A1952" s="74" t="s">
        <v>1736</v>
      </c>
      <c r="B1952" s="74" t="s">
        <v>253</v>
      </c>
      <c r="C1952" s="74" t="s">
        <v>1515</v>
      </c>
      <c r="D1952" s="74" t="s">
        <v>81</v>
      </c>
      <c r="E1952" s="74">
        <v>2</v>
      </c>
      <c r="F1952" s="74">
        <v>17.8</v>
      </c>
      <c r="G1952" s="758">
        <f t="shared" si="120"/>
        <v>1.5</v>
      </c>
      <c r="H1952" s="759">
        <f t="shared" si="121"/>
        <v>0.41</v>
      </c>
      <c r="I1952" s="758">
        <f t="shared" si="122"/>
        <v>7.4</v>
      </c>
      <c r="J1952" s="760">
        <f t="shared" si="123"/>
        <v>0.8314606741573034</v>
      </c>
    </row>
    <row r="1953" spans="1:10">
      <c r="A1953" s="74" t="s">
        <v>1736</v>
      </c>
      <c r="B1953" s="74" t="s">
        <v>253</v>
      </c>
      <c r="C1953" s="74" t="s">
        <v>1517</v>
      </c>
      <c r="D1953" s="74" t="s">
        <v>82</v>
      </c>
      <c r="E1953" s="74">
        <v>6</v>
      </c>
      <c r="F1953" s="74">
        <v>20.7</v>
      </c>
      <c r="G1953" s="758">
        <f t="shared" si="120"/>
        <v>1.5</v>
      </c>
      <c r="H1953" s="759">
        <f t="shared" si="121"/>
        <v>0.41</v>
      </c>
      <c r="I1953" s="758">
        <f t="shared" si="122"/>
        <v>1.9499999999999997</v>
      </c>
      <c r="J1953" s="760">
        <f t="shared" si="123"/>
        <v>0.56521739130434789</v>
      </c>
    </row>
    <row r="1954" spans="1:10">
      <c r="A1954" s="74" t="s">
        <v>942</v>
      </c>
      <c r="B1954" s="74" t="s">
        <v>266</v>
      </c>
      <c r="C1954" s="74" t="s">
        <v>1644</v>
      </c>
      <c r="D1954" s="74" t="s">
        <v>86</v>
      </c>
      <c r="E1954" s="74">
        <v>2</v>
      </c>
      <c r="F1954" s="74">
        <v>2.5</v>
      </c>
      <c r="G1954" s="758">
        <f t="shared" si="120"/>
        <v>0</v>
      </c>
      <c r="H1954" s="759">
        <f t="shared" si="121"/>
        <v>0</v>
      </c>
      <c r="I1954" s="758">
        <f t="shared" si="122"/>
        <v>1.25</v>
      </c>
      <c r="J1954" s="760">
        <f t="shared" si="123"/>
        <v>1</v>
      </c>
    </row>
    <row r="1955" spans="1:10">
      <c r="A1955" s="74" t="s">
        <v>942</v>
      </c>
      <c r="B1955" s="74" t="s">
        <v>266</v>
      </c>
      <c r="C1955" s="74" t="s">
        <v>1578</v>
      </c>
      <c r="D1955" s="74" t="s">
        <v>86</v>
      </c>
      <c r="E1955" s="74">
        <v>3</v>
      </c>
      <c r="F1955" s="74">
        <v>0</v>
      </c>
      <c r="G1955" s="758">
        <f t="shared" si="120"/>
        <v>0</v>
      </c>
      <c r="H1955" s="759">
        <f t="shared" si="121"/>
        <v>0</v>
      </c>
      <c r="I1955" s="758">
        <f t="shared" si="122"/>
        <v>0</v>
      </c>
      <c r="J1955" s="760">
        <f t="shared" si="123"/>
        <v>0</v>
      </c>
    </row>
    <row r="1956" spans="1:10">
      <c r="A1956" s="74" t="s">
        <v>942</v>
      </c>
      <c r="B1956" s="74" t="s">
        <v>266</v>
      </c>
      <c r="C1956" s="74" t="s">
        <v>1541</v>
      </c>
      <c r="D1956" s="74" t="s">
        <v>86</v>
      </c>
      <c r="E1956" s="74">
        <v>1</v>
      </c>
      <c r="F1956" s="74">
        <v>0</v>
      </c>
      <c r="G1956" s="758">
        <f t="shared" si="120"/>
        <v>0</v>
      </c>
      <c r="H1956" s="759">
        <f t="shared" si="121"/>
        <v>0</v>
      </c>
      <c r="I1956" s="758">
        <f t="shared" si="122"/>
        <v>0</v>
      </c>
      <c r="J1956" s="760">
        <f t="shared" si="123"/>
        <v>0</v>
      </c>
    </row>
    <row r="1957" spans="1:10">
      <c r="A1957" s="74" t="s">
        <v>942</v>
      </c>
      <c r="B1957" s="74" t="s">
        <v>266</v>
      </c>
      <c r="C1957" s="74" t="s">
        <v>1543</v>
      </c>
      <c r="D1957" s="74" t="s">
        <v>87</v>
      </c>
      <c r="E1957" s="74">
        <v>1</v>
      </c>
      <c r="F1957" s="74">
        <v>0</v>
      </c>
      <c r="G1957" s="758">
        <f t="shared" si="120"/>
        <v>0</v>
      </c>
      <c r="H1957" s="759">
        <f t="shared" si="121"/>
        <v>0</v>
      </c>
      <c r="I1957" s="758">
        <f t="shared" si="122"/>
        <v>0</v>
      </c>
      <c r="J1957" s="760">
        <f t="shared" si="123"/>
        <v>0</v>
      </c>
    </row>
    <row r="1958" spans="1:10">
      <c r="A1958" s="74" t="s">
        <v>942</v>
      </c>
      <c r="B1958" s="74" t="s">
        <v>266</v>
      </c>
      <c r="C1958" s="74" t="s">
        <v>1544</v>
      </c>
      <c r="D1958" s="74" t="s">
        <v>87</v>
      </c>
      <c r="E1958" s="74">
        <v>4</v>
      </c>
      <c r="F1958" s="74">
        <v>5</v>
      </c>
      <c r="G1958" s="758">
        <f t="shared" si="120"/>
        <v>0</v>
      </c>
      <c r="H1958" s="759">
        <f t="shared" si="121"/>
        <v>0</v>
      </c>
      <c r="I1958" s="758">
        <f t="shared" si="122"/>
        <v>1.25</v>
      </c>
      <c r="J1958" s="760">
        <f t="shared" si="123"/>
        <v>1</v>
      </c>
    </row>
    <row r="1959" spans="1:10">
      <c r="A1959" s="74" t="s">
        <v>942</v>
      </c>
      <c r="B1959" s="74" t="s">
        <v>266</v>
      </c>
      <c r="C1959" s="74" t="s">
        <v>1605</v>
      </c>
      <c r="D1959" s="74" t="s">
        <v>87</v>
      </c>
      <c r="E1959" s="74">
        <v>1</v>
      </c>
      <c r="F1959" s="74">
        <v>0</v>
      </c>
      <c r="G1959" s="758">
        <f t="shared" si="120"/>
        <v>0</v>
      </c>
      <c r="H1959" s="759">
        <f t="shared" si="121"/>
        <v>0</v>
      </c>
      <c r="I1959" s="758">
        <f t="shared" si="122"/>
        <v>0</v>
      </c>
      <c r="J1959" s="760">
        <f t="shared" si="123"/>
        <v>0</v>
      </c>
    </row>
    <row r="1960" spans="1:10">
      <c r="A1960" s="74" t="s">
        <v>942</v>
      </c>
      <c r="B1960" s="74" t="s">
        <v>266</v>
      </c>
      <c r="C1960" s="74" t="s">
        <v>1608</v>
      </c>
      <c r="D1960" s="74" t="s">
        <v>89</v>
      </c>
      <c r="E1960" s="74">
        <v>6</v>
      </c>
      <c r="F1960" s="74">
        <v>0</v>
      </c>
      <c r="G1960" s="758">
        <f t="shared" si="120"/>
        <v>0</v>
      </c>
      <c r="H1960" s="759">
        <f t="shared" si="121"/>
        <v>0</v>
      </c>
      <c r="I1960" s="758">
        <f t="shared" si="122"/>
        <v>0</v>
      </c>
      <c r="J1960" s="760">
        <f t="shared" si="123"/>
        <v>0</v>
      </c>
    </row>
    <row r="1961" spans="1:10">
      <c r="A1961" s="74" t="s">
        <v>942</v>
      </c>
      <c r="B1961" s="74" t="s">
        <v>266</v>
      </c>
      <c r="C1961" s="74" t="s">
        <v>1610</v>
      </c>
      <c r="D1961" s="74" t="s">
        <v>89</v>
      </c>
      <c r="E1961" s="74">
        <v>6</v>
      </c>
      <c r="F1961" s="74">
        <v>29.8</v>
      </c>
      <c r="G1961" s="758">
        <f t="shared" si="120"/>
        <v>0</v>
      </c>
      <c r="H1961" s="759">
        <f t="shared" si="121"/>
        <v>0</v>
      </c>
      <c r="I1961" s="758">
        <f t="shared" si="122"/>
        <v>4.9666666666666668</v>
      </c>
      <c r="J1961" s="760">
        <f t="shared" si="123"/>
        <v>1</v>
      </c>
    </row>
    <row r="1962" spans="1:10">
      <c r="A1962" s="74" t="s">
        <v>942</v>
      </c>
      <c r="B1962" s="74" t="s">
        <v>266</v>
      </c>
      <c r="C1962" s="74" t="s">
        <v>1547</v>
      </c>
      <c r="D1962" s="74" t="s">
        <v>89</v>
      </c>
      <c r="E1962" s="74">
        <v>2</v>
      </c>
      <c r="F1962" s="74">
        <v>0</v>
      </c>
      <c r="G1962" s="758">
        <f t="shared" si="120"/>
        <v>0</v>
      </c>
      <c r="H1962" s="759">
        <f t="shared" si="121"/>
        <v>0</v>
      </c>
      <c r="I1962" s="758">
        <f t="shared" si="122"/>
        <v>0</v>
      </c>
      <c r="J1962" s="760">
        <f t="shared" si="123"/>
        <v>0</v>
      </c>
    </row>
    <row r="1963" spans="1:10">
      <c r="A1963" s="74" t="s">
        <v>942</v>
      </c>
      <c r="B1963" s="74" t="s">
        <v>266</v>
      </c>
      <c r="C1963" s="74" t="s">
        <v>1582</v>
      </c>
      <c r="D1963" s="74" t="s">
        <v>89</v>
      </c>
      <c r="E1963" s="74">
        <v>3</v>
      </c>
      <c r="F1963" s="74">
        <v>0</v>
      </c>
      <c r="G1963" s="758">
        <f t="shared" si="120"/>
        <v>0</v>
      </c>
      <c r="H1963" s="759">
        <f t="shared" si="121"/>
        <v>0</v>
      </c>
      <c r="I1963" s="758">
        <f t="shared" si="122"/>
        <v>0</v>
      </c>
      <c r="J1963" s="760">
        <f t="shared" si="123"/>
        <v>0</v>
      </c>
    </row>
    <row r="1964" spans="1:10">
      <c r="A1964" s="74" t="s">
        <v>942</v>
      </c>
      <c r="B1964" s="74" t="s">
        <v>266</v>
      </c>
      <c r="C1964" s="74" t="s">
        <v>1522</v>
      </c>
      <c r="D1964" s="74" t="s">
        <v>91</v>
      </c>
      <c r="E1964" s="74">
        <v>2</v>
      </c>
      <c r="F1964" s="74">
        <v>0</v>
      </c>
      <c r="G1964" s="758">
        <f t="shared" si="120"/>
        <v>0</v>
      </c>
      <c r="H1964" s="759">
        <f t="shared" si="121"/>
        <v>0</v>
      </c>
      <c r="I1964" s="758">
        <f t="shared" si="122"/>
        <v>0</v>
      </c>
      <c r="J1964" s="760">
        <f t="shared" si="123"/>
        <v>0</v>
      </c>
    </row>
    <row r="1965" spans="1:10">
      <c r="A1965" s="74" t="s">
        <v>942</v>
      </c>
      <c r="B1965" s="74" t="s">
        <v>266</v>
      </c>
      <c r="C1965" s="74" t="s">
        <v>1675</v>
      </c>
      <c r="D1965" s="74" t="s">
        <v>91</v>
      </c>
      <c r="E1965" s="74">
        <v>1</v>
      </c>
      <c r="F1965" s="74">
        <v>0</v>
      </c>
      <c r="G1965" s="758">
        <f t="shared" si="120"/>
        <v>0</v>
      </c>
      <c r="H1965" s="759">
        <f t="shared" si="121"/>
        <v>0</v>
      </c>
      <c r="I1965" s="758">
        <f t="shared" si="122"/>
        <v>0</v>
      </c>
      <c r="J1965" s="760">
        <f t="shared" si="123"/>
        <v>0</v>
      </c>
    </row>
    <row r="1966" spans="1:10">
      <c r="A1966" s="74" t="s">
        <v>942</v>
      </c>
      <c r="B1966" s="74" t="s">
        <v>266</v>
      </c>
      <c r="C1966" s="74" t="s">
        <v>1614</v>
      </c>
      <c r="D1966" s="74" t="s">
        <v>92</v>
      </c>
      <c r="E1966" s="74">
        <v>1</v>
      </c>
      <c r="F1966" s="74">
        <v>0</v>
      </c>
      <c r="G1966" s="758">
        <f t="shared" si="120"/>
        <v>0</v>
      </c>
      <c r="H1966" s="759">
        <f t="shared" si="121"/>
        <v>0</v>
      </c>
      <c r="I1966" s="758">
        <f t="shared" si="122"/>
        <v>0</v>
      </c>
      <c r="J1966" s="760">
        <f t="shared" si="123"/>
        <v>0</v>
      </c>
    </row>
    <row r="1967" spans="1:10">
      <c r="A1967" s="74" t="s">
        <v>942</v>
      </c>
      <c r="B1967" s="74" t="s">
        <v>266</v>
      </c>
      <c r="C1967" s="74" t="s">
        <v>1552</v>
      </c>
      <c r="D1967" s="74" t="s">
        <v>92</v>
      </c>
      <c r="E1967" s="74">
        <v>1</v>
      </c>
      <c r="F1967" s="74">
        <v>0</v>
      </c>
      <c r="G1967" s="758">
        <f t="shared" si="120"/>
        <v>0</v>
      </c>
      <c r="H1967" s="759">
        <f t="shared" si="121"/>
        <v>0</v>
      </c>
      <c r="I1967" s="758">
        <f t="shared" si="122"/>
        <v>0</v>
      </c>
      <c r="J1967" s="760">
        <f t="shared" si="123"/>
        <v>0</v>
      </c>
    </row>
    <row r="1968" spans="1:10">
      <c r="A1968" s="74" t="s">
        <v>942</v>
      </c>
      <c r="B1968" s="74" t="s">
        <v>266</v>
      </c>
      <c r="C1968" s="74" t="s">
        <v>1617</v>
      </c>
      <c r="D1968" s="74" t="s">
        <v>94</v>
      </c>
      <c r="E1968" s="74">
        <v>1</v>
      </c>
      <c r="F1968" s="74">
        <v>0</v>
      </c>
      <c r="G1968" s="758">
        <f t="shared" si="120"/>
        <v>0</v>
      </c>
      <c r="H1968" s="759">
        <f t="shared" si="121"/>
        <v>0</v>
      </c>
      <c r="I1968" s="758">
        <f t="shared" si="122"/>
        <v>0</v>
      </c>
      <c r="J1968" s="760">
        <f t="shared" si="123"/>
        <v>0</v>
      </c>
    </row>
    <row r="1969" spans="1:10">
      <c r="A1969" s="74" t="s">
        <v>942</v>
      </c>
      <c r="B1969" s="74" t="s">
        <v>266</v>
      </c>
      <c r="C1969" s="74" t="s">
        <v>1553</v>
      </c>
      <c r="D1969" s="74" t="s">
        <v>94</v>
      </c>
      <c r="E1969" s="74">
        <v>4</v>
      </c>
      <c r="F1969" s="74">
        <v>0</v>
      </c>
      <c r="G1969" s="758">
        <f t="shared" si="120"/>
        <v>0</v>
      </c>
      <c r="H1969" s="759">
        <f t="shared" si="121"/>
        <v>0</v>
      </c>
      <c r="I1969" s="758">
        <f t="shared" si="122"/>
        <v>0</v>
      </c>
      <c r="J1969" s="760">
        <f t="shared" si="123"/>
        <v>0</v>
      </c>
    </row>
    <row r="1970" spans="1:10">
      <c r="A1970" s="74" t="s">
        <v>942</v>
      </c>
      <c r="B1970" s="74" t="s">
        <v>266</v>
      </c>
      <c r="C1970" s="74" t="s">
        <v>1930</v>
      </c>
      <c r="D1970" s="74" t="s">
        <v>95</v>
      </c>
      <c r="E1970" s="74">
        <v>4</v>
      </c>
      <c r="F1970" s="74">
        <v>0</v>
      </c>
      <c r="G1970" s="758">
        <f t="shared" si="120"/>
        <v>0</v>
      </c>
      <c r="H1970" s="759">
        <f t="shared" si="121"/>
        <v>0</v>
      </c>
      <c r="I1970" s="758">
        <f t="shared" si="122"/>
        <v>0</v>
      </c>
      <c r="J1970" s="760">
        <f t="shared" si="123"/>
        <v>0</v>
      </c>
    </row>
    <row r="1971" spans="1:10">
      <c r="A1971" s="74" t="s">
        <v>1252</v>
      </c>
      <c r="B1971" s="74" t="s">
        <v>266</v>
      </c>
      <c r="C1971" s="74" t="s">
        <v>1532</v>
      </c>
      <c r="D1971" s="74" t="s">
        <v>80</v>
      </c>
      <c r="E1971" s="74">
        <v>1</v>
      </c>
      <c r="F1971" s="74">
        <v>2.0499999999999998</v>
      </c>
      <c r="G1971" s="758">
        <f t="shared" si="120"/>
        <v>0.8</v>
      </c>
      <c r="H1971" s="759">
        <f t="shared" si="121"/>
        <v>0.42</v>
      </c>
      <c r="I1971" s="758">
        <f t="shared" si="122"/>
        <v>1.2499999999999998</v>
      </c>
      <c r="J1971" s="760">
        <f t="shared" si="123"/>
        <v>0.60975609756097549</v>
      </c>
    </row>
    <row r="1972" spans="1:10">
      <c r="A1972" s="74" t="s">
        <v>1252</v>
      </c>
      <c r="B1972" s="74" t="s">
        <v>266</v>
      </c>
      <c r="C1972" s="74" t="s">
        <v>1511</v>
      </c>
      <c r="D1972" s="74" t="s">
        <v>80</v>
      </c>
      <c r="E1972" s="74">
        <v>1</v>
      </c>
      <c r="F1972" s="74">
        <v>2.0499999999999998</v>
      </c>
      <c r="G1972" s="758">
        <f t="shared" si="120"/>
        <v>0.8</v>
      </c>
      <c r="H1972" s="759">
        <f t="shared" si="121"/>
        <v>0.42</v>
      </c>
      <c r="I1972" s="758">
        <f t="shared" si="122"/>
        <v>1.2499999999999998</v>
      </c>
      <c r="J1972" s="760">
        <f t="shared" si="123"/>
        <v>0.60975609756097549</v>
      </c>
    </row>
    <row r="1973" spans="1:10">
      <c r="A1973" s="74" t="s">
        <v>1252</v>
      </c>
      <c r="B1973" s="74" t="s">
        <v>266</v>
      </c>
      <c r="C1973" s="74" t="s">
        <v>1514</v>
      </c>
      <c r="D1973" s="74" t="s">
        <v>81</v>
      </c>
      <c r="E1973" s="74">
        <v>2</v>
      </c>
      <c r="F1973" s="74">
        <v>4.4000000000000004</v>
      </c>
      <c r="G1973" s="758">
        <f t="shared" si="120"/>
        <v>0.8</v>
      </c>
      <c r="H1973" s="759">
        <f t="shared" si="121"/>
        <v>0.42</v>
      </c>
      <c r="I1973" s="758">
        <f t="shared" si="122"/>
        <v>1.4000000000000001</v>
      </c>
      <c r="J1973" s="760">
        <f t="shared" si="123"/>
        <v>0.63636363636363635</v>
      </c>
    </row>
    <row r="1974" spans="1:10">
      <c r="A1974" s="74" t="s">
        <v>1252</v>
      </c>
      <c r="B1974" s="74" t="s">
        <v>266</v>
      </c>
      <c r="C1974" s="74" t="s">
        <v>1516</v>
      </c>
      <c r="D1974" s="74" t="s">
        <v>82</v>
      </c>
      <c r="E1974" s="74">
        <v>2</v>
      </c>
      <c r="F1974" s="74">
        <v>4.0999999999999996</v>
      </c>
      <c r="G1974" s="758">
        <f t="shared" si="120"/>
        <v>0.8</v>
      </c>
      <c r="H1974" s="759">
        <f t="shared" si="121"/>
        <v>0.42</v>
      </c>
      <c r="I1974" s="758">
        <f t="shared" si="122"/>
        <v>1.2499999999999998</v>
      </c>
      <c r="J1974" s="760">
        <f t="shared" si="123"/>
        <v>0.60975609756097549</v>
      </c>
    </row>
    <row r="1975" spans="1:10">
      <c r="A1975" s="74" t="s">
        <v>1252</v>
      </c>
      <c r="B1975" s="74" t="s">
        <v>266</v>
      </c>
      <c r="C1975" s="74" t="s">
        <v>1517</v>
      </c>
      <c r="D1975" s="74" t="s">
        <v>82</v>
      </c>
      <c r="E1975" s="74">
        <v>3</v>
      </c>
      <c r="F1975" s="74">
        <v>6.45</v>
      </c>
      <c r="G1975" s="758">
        <f t="shared" si="120"/>
        <v>0.8</v>
      </c>
      <c r="H1975" s="759">
        <f t="shared" si="121"/>
        <v>0.42</v>
      </c>
      <c r="I1975" s="758">
        <f t="shared" si="122"/>
        <v>1.3499999999999999</v>
      </c>
      <c r="J1975" s="760">
        <f t="shared" si="123"/>
        <v>0.62790697674418605</v>
      </c>
    </row>
    <row r="1976" spans="1:10">
      <c r="A1976" s="74" t="s">
        <v>1252</v>
      </c>
      <c r="B1976" s="74" t="s">
        <v>266</v>
      </c>
      <c r="C1976" s="74" t="s">
        <v>1527</v>
      </c>
      <c r="D1976" s="74" t="s">
        <v>82</v>
      </c>
      <c r="E1976" s="74">
        <v>2</v>
      </c>
      <c r="F1976" s="74">
        <v>4.25</v>
      </c>
      <c r="G1976" s="758">
        <f t="shared" si="120"/>
        <v>0.8</v>
      </c>
      <c r="H1976" s="759">
        <f t="shared" si="121"/>
        <v>0.42</v>
      </c>
      <c r="I1976" s="758">
        <f t="shared" si="122"/>
        <v>1.325</v>
      </c>
      <c r="J1976" s="760">
        <f t="shared" si="123"/>
        <v>0.62352941176470589</v>
      </c>
    </row>
    <row r="1977" spans="1:10">
      <c r="A1977" s="74" t="s">
        <v>1252</v>
      </c>
      <c r="B1977" s="74" t="s">
        <v>266</v>
      </c>
      <c r="C1977" s="74" t="s">
        <v>1518</v>
      </c>
      <c r="D1977" s="74" t="s">
        <v>82</v>
      </c>
      <c r="E1977" s="74">
        <v>3</v>
      </c>
      <c r="F1977" s="74">
        <v>6.15</v>
      </c>
      <c r="G1977" s="758">
        <f t="shared" si="120"/>
        <v>0.8</v>
      </c>
      <c r="H1977" s="759">
        <f t="shared" si="121"/>
        <v>0.42</v>
      </c>
      <c r="I1977" s="758">
        <f t="shared" si="122"/>
        <v>1.2500000000000002</v>
      </c>
      <c r="J1977" s="760">
        <f t="shared" si="123"/>
        <v>0.6097560975609756</v>
      </c>
    </row>
    <row r="1978" spans="1:10">
      <c r="A1978" s="74" t="s">
        <v>1252</v>
      </c>
      <c r="B1978" s="74" t="s">
        <v>266</v>
      </c>
      <c r="C1978" s="74" t="s">
        <v>1519</v>
      </c>
      <c r="D1978" s="74" t="s">
        <v>84</v>
      </c>
      <c r="E1978" s="74">
        <v>1</v>
      </c>
      <c r="F1978" s="74">
        <v>2.0499999999999998</v>
      </c>
      <c r="G1978" s="758">
        <f t="shared" si="120"/>
        <v>0.8</v>
      </c>
      <c r="H1978" s="759">
        <f t="shared" si="121"/>
        <v>0.42</v>
      </c>
      <c r="I1978" s="758">
        <f t="shared" si="122"/>
        <v>1.2499999999999998</v>
      </c>
      <c r="J1978" s="760">
        <f t="shared" si="123"/>
        <v>0.60975609756097549</v>
      </c>
    </row>
    <row r="1979" spans="1:10">
      <c r="A1979" s="74" t="s">
        <v>1264</v>
      </c>
      <c r="B1979" s="74" t="s">
        <v>253</v>
      </c>
      <c r="C1979" s="74" t="s">
        <v>1565</v>
      </c>
      <c r="D1979" s="74" t="s">
        <v>78</v>
      </c>
      <c r="E1979" s="74">
        <v>7</v>
      </c>
      <c r="F1979" s="74">
        <v>15.32</v>
      </c>
      <c r="G1979" s="758">
        <f t="shared" si="120"/>
        <v>0.8</v>
      </c>
      <c r="H1979" s="759">
        <f t="shared" si="121"/>
        <v>0.33</v>
      </c>
      <c r="I1979" s="758">
        <f t="shared" si="122"/>
        <v>1.3885714285714286</v>
      </c>
      <c r="J1979" s="760">
        <f t="shared" si="123"/>
        <v>0.63446475195822449</v>
      </c>
    </row>
    <row r="1980" spans="1:10">
      <c r="A1980" s="74" t="s">
        <v>1264</v>
      </c>
      <c r="B1980" s="74" t="s">
        <v>253</v>
      </c>
      <c r="C1980" s="74" t="s">
        <v>1530</v>
      </c>
      <c r="D1980" s="74" t="s">
        <v>80</v>
      </c>
      <c r="E1980" s="74">
        <v>3</v>
      </c>
      <c r="F1980" s="74">
        <v>5.15</v>
      </c>
      <c r="G1980" s="758">
        <f t="shared" si="120"/>
        <v>0.8</v>
      </c>
      <c r="H1980" s="759">
        <f t="shared" si="121"/>
        <v>0.33</v>
      </c>
      <c r="I1980" s="758">
        <f t="shared" si="122"/>
        <v>0.91666666666666674</v>
      </c>
      <c r="J1980" s="760">
        <f t="shared" si="123"/>
        <v>0.53398058252427183</v>
      </c>
    </row>
    <row r="1981" spans="1:10">
      <c r="A1981" s="74" t="s">
        <v>1264</v>
      </c>
      <c r="B1981" s="74" t="s">
        <v>253</v>
      </c>
      <c r="C1981" s="74" t="s">
        <v>1532</v>
      </c>
      <c r="D1981" s="74" t="s">
        <v>80</v>
      </c>
      <c r="E1981" s="74">
        <v>13</v>
      </c>
      <c r="F1981" s="74">
        <v>28.4</v>
      </c>
      <c r="G1981" s="758">
        <f t="shared" si="120"/>
        <v>0.8</v>
      </c>
      <c r="H1981" s="759">
        <f t="shared" si="121"/>
        <v>0.33</v>
      </c>
      <c r="I1981" s="758">
        <f t="shared" si="122"/>
        <v>1.3846153846153844</v>
      </c>
      <c r="J1981" s="760">
        <f t="shared" si="123"/>
        <v>0.63380281690140849</v>
      </c>
    </row>
    <row r="1982" spans="1:10">
      <c r="A1982" s="74" t="s">
        <v>1264</v>
      </c>
      <c r="B1982" s="74" t="s">
        <v>253</v>
      </c>
      <c r="C1982" s="74" t="s">
        <v>1511</v>
      </c>
      <c r="D1982" s="74" t="s">
        <v>80</v>
      </c>
      <c r="E1982" s="74">
        <v>28</v>
      </c>
      <c r="F1982" s="74">
        <v>67.81</v>
      </c>
      <c r="G1982" s="758">
        <f t="shared" si="120"/>
        <v>0.8</v>
      </c>
      <c r="H1982" s="759">
        <f t="shared" si="121"/>
        <v>0.33</v>
      </c>
      <c r="I1982" s="758">
        <f t="shared" si="122"/>
        <v>1.6217857142857144</v>
      </c>
      <c r="J1982" s="760">
        <f t="shared" si="123"/>
        <v>0.66966524111487979</v>
      </c>
    </row>
    <row r="1983" spans="1:10">
      <c r="A1983" s="74" t="s">
        <v>1264</v>
      </c>
      <c r="B1983" s="74" t="s">
        <v>253</v>
      </c>
      <c r="C1983" s="74" t="s">
        <v>1512</v>
      </c>
      <c r="D1983" s="74" t="s">
        <v>80</v>
      </c>
      <c r="E1983" s="74">
        <v>27</v>
      </c>
      <c r="F1983" s="74">
        <v>62.68</v>
      </c>
      <c r="G1983" s="758">
        <f t="shared" si="120"/>
        <v>0.8</v>
      </c>
      <c r="H1983" s="759">
        <f t="shared" si="121"/>
        <v>0.33</v>
      </c>
      <c r="I1983" s="758">
        <f t="shared" si="122"/>
        <v>1.5214814814814812</v>
      </c>
      <c r="J1983" s="760">
        <f t="shared" si="123"/>
        <v>0.65539246968730058</v>
      </c>
    </row>
    <row r="1984" spans="1:10">
      <c r="A1984" s="74" t="s">
        <v>1264</v>
      </c>
      <c r="B1984" s="74" t="s">
        <v>253</v>
      </c>
      <c r="C1984" s="74" t="s">
        <v>1534</v>
      </c>
      <c r="D1984" s="74" t="s">
        <v>81</v>
      </c>
      <c r="E1984" s="74">
        <v>27</v>
      </c>
      <c r="F1984" s="74">
        <v>69.150000000000006</v>
      </c>
      <c r="G1984" s="758">
        <f t="shared" si="120"/>
        <v>0.8</v>
      </c>
      <c r="H1984" s="759">
        <f t="shared" si="121"/>
        <v>0.33</v>
      </c>
      <c r="I1984" s="758">
        <f t="shared" si="122"/>
        <v>1.7611111111111113</v>
      </c>
      <c r="J1984" s="760">
        <f t="shared" si="123"/>
        <v>0.68763557483731019</v>
      </c>
    </row>
    <row r="1985" spans="1:10">
      <c r="A1985" s="74" t="s">
        <v>1264</v>
      </c>
      <c r="B1985" s="74" t="s">
        <v>253</v>
      </c>
      <c r="C1985" s="74" t="s">
        <v>1513</v>
      </c>
      <c r="D1985" s="74" t="s">
        <v>81</v>
      </c>
      <c r="E1985" s="74">
        <v>23</v>
      </c>
      <c r="F1985" s="74">
        <v>75.349999999999994</v>
      </c>
      <c r="G1985" s="758">
        <f t="shared" si="120"/>
        <v>0.8</v>
      </c>
      <c r="H1985" s="759">
        <f t="shared" si="121"/>
        <v>0.33</v>
      </c>
      <c r="I1985" s="758">
        <f t="shared" si="122"/>
        <v>2.4760869565217387</v>
      </c>
      <c r="J1985" s="760">
        <f t="shared" si="123"/>
        <v>0.75580623755806231</v>
      </c>
    </row>
    <row r="1986" spans="1:10">
      <c r="A1986" s="74" t="s">
        <v>1264</v>
      </c>
      <c r="B1986" s="74" t="s">
        <v>253</v>
      </c>
      <c r="C1986" s="74" t="s">
        <v>1514</v>
      </c>
      <c r="D1986" s="74" t="s">
        <v>81</v>
      </c>
      <c r="E1986" s="74">
        <v>18</v>
      </c>
      <c r="F1986" s="74">
        <v>50.9</v>
      </c>
      <c r="G1986" s="758">
        <f t="shared" ref="G1986:G2049" si="124">IFERROR(VLOOKUP(A1986,$M$1:$P$1014,2,FALSE),0)</f>
        <v>0.8</v>
      </c>
      <c r="H1986" s="759">
        <f t="shared" ref="H1986:H2049" si="125">IFERROR(VLOOKUP(A1986,$M$1:$P$1014,3,FALSE),0)</f>
        <v>0.33</v>
      </c>
      <c r="I1986" s="758">
        <f t="shared" ref="I1986:I2049" si="126">IFERROR(F1986/E1986-G1986,0)</f>
        <v>2.0277777777777777</v>
      </c>
      <c r="J1986" s="760">
        <f t="shared" ref="J1986:J2049" si="127">IFERROR(1-G1986*E1986/F1986,0)</f>
        <v>0.71709233791748517</v>
      </c>
    </row>
    <row r="1987" spans="1:10">
      <c r="A1987" s="74" t="s">
        <v>1264</v>
      </c>
      <c r="B1987" s="74" t="s">
        <v>253</v>
      </c>
      <c r="C1987" s="74" t="s">
        <v>1515</v>
      </c>
      <c r="D1987" s="74" t="s">
        <v>81</v>
      </c>
      <c r="E1987" s="74">
        <v>20</v>
      </c>
      <c r="F1987" s="74">
        <v>50</v>
      </c>
      <c r="G1987" s="758">
        <f t="shared" si="124"/>
        <v>0.8</v>
      </c>
      <c r="H1987" s="759">
        <f t="shared" si="125"/>
        <v>0.33</v>
      </c>
      <c r="I1987" s="758">
        <f t="shared" si="126"/>
        <v>1.7</v>
      </c>
      <c r="J1987" s="760">
        <f t="shared" si="127"/>
        <v>0.67999999999999994</v>
      </c>
    </row>
    <row r="1988" spans="1:10">
      <c r="A1988" s="74" t="s">
        <v>1264</v>
      </c>
      <c r="B1988" s="74" t="s">
        <v>253</v>
      </c>
      <c r="C1988" s="74" t="s">
        <v>1516</v>
      </c>
      <c r="D1988" s="74" t="s">
        <v>82</v>
      </c>
      <c r="E1988" s="74">
        <v>25</v>
      </c>
      <c r="F1988" s="74">
        <v>72.099999999999994</v>
      </c>
      <c r="G1988" s="758">
        <f t="shared" si="124"/>
        <v>0.8</v>
      </c>
      <c r="H1988" s="759">
        <f t="shared" si="125"/>
        <v>0.33</v>
      </c>
      <c r="I1988" s="758">
        <f t="shared" si="126"/>
        <v>2.0839999999999996</v>
      </c>
      <c r="J1988" s="760">
        <f t="shared" si="127"/>
        <v>0.72260748959778076</v>
      </c>
    </row>
    <row r="1989" spans="1:10">
      <c r="A1989" s="74" t="s">
        <v>1264</v>
      </c>
      <c r="B1989" s="74" t="s">
        <v>253</v>
      </c>
      <c r="C1989" s="74" t="s">
        <v>1517</v>
      </c>
      <c r="D1989" s="74" t="s">
        <v>82</v>
      </c>
      <c r="E1989" s="74">
        <v>26</v>
      </c>
      <c r="F1989" s="74">
        <v>66.2</v>
      </c>
      <c r="G1989" s="758">
        <f t="shared" si="124"/>
        <v>0.8</v>
      </c>
      <c r="H1989" s="759">
        <f t="shared" si="125"/>
        <v>0.33</v>
      </c>
      <c r="I1989" s="758">
        <f t="shared" si="126"/>
        <v>1.7461538461538464</v>
      </c>
      <c r="J1989" s="760">
        <f t="shared" si="127"/>
        <v>0.6858006042296072</v>
      </c>
    </row>
    <row r="1990" spans="1:10">
      <c r="A1990" s="74" t="s">
        <v>1264</v>
      </c>
      <c r="B1990" s="74" t="s">
        <v>253</v>
      </c>
      <c r="C1990" s="74" t="s">
        <v>1527</v>
      </c>
      <c r="D1990" s="74" t="s">
        <v>82</v>
      </c>
      <c r="E1990" s="74">
        <v>46</v>
      </c>
      <c r="F1990" s="74">
        <v>115.65</v>
      </c>
      <c r="G1990" s="758">
        <f t="shared" si="124"/>
        <v>0.8</v>
      </c>
      <c r="H1990" s="759">
        <f t="shared" si="125"/>
        <v>0.33</v>
      </c>
      <c r="I1990" s="758">
        <f t="shared" si="126"/>
        <v>1.7141304347826087</v>
      </c>
      <c r="J1990" s="760">
        <f t="shared" si="127"/>
        <v>0.68179853004755731</v>
      </c>
    </row>
    <row r="1991" spans="1:10">
      <c r="A1991" s="74" t="s">
        <v>1264</v>
      </c>
      <c r="B1991" s="74" t="s">
        <v>253</v>
      </c>
      <c r="C1991" s="74" t="s">
        <v>1518</v>
      </c>
      <c r="D1991" s="74" t="s">
        <v>82</v>
      </c>
      <c r="E1991" s="74">
        <v>30</v>
      </c>
      <c r="F1991" s="74">
        <v>74.17</v>
      </c>
      <c r="G1991" s="758">
        <f t="shared" si="124"/>
        <v>0.8</v>
      </c>
      <c r="H1991" s="759">
        <f t="shared" si="125"/>
        <v>0.33</v>
      </c>
      <c r="I1991" s="758">
        <f t="shared" si="126"/>
        <v>1.6723333333333332</v>
      </c>
      <c r="J1991" s="760">
        <f t="shared" si="127"/>
        <v>0.67641903734663611</v>
      </c>
    </row>
    <row r="1992" spans="1:10">
      <c r="A1992" s="74" t="s">
        <v>1264</v>
      </c>
      <c r="B1992" s="74" t="s">
        <v>253</v>
      </c>
      <c r="C1992" s="74" t="s">
        <v>1519</v>
      </c>
      <c r="D1992" s="74" t="s">
        <v>84</v>
      </c>
      <c r="E1992" s="74">
        <v>12</v>
      </c>
      <c r="F1992" s="74">
        <v>29.9</v>
      </c>
      <c r="G1992" s="758">
        <f t="shared" si="124"/>
        <v>0.8</v>
      </c>
      <c r="H1992" s="759">
        <f t="shared" si="125"/>
        <v>0.33</v>
      </c>
      <c r="I1992" s="758">
        <f t="shared" si="126"/>
        <v>1.6916666666666667</v>
      </c>
      <c r="J1992" s="760">
        <f t="shared" si="127"/>
        <v>0.67892976588628762</v>
      </c>
    </row>
    <row r="1993" spans="1:10">
      <c r="A1993" s="74" t="s">
        <v>1264</v>
      </c>
      <c r="B1993" s="74" t="s">
        <v>253</v>
      </c>
      <c r="C1993" s="74" t="s">
        <v>1540</v>
      </c>
      <c r="D1993" s="74" t="s">
        <v>84</v>
      </c>
      <c r="E1993" s="74">
        <v>5</v>
      </c>
      <c r="F1993" s="74">
        <v>12.95</v>
      </c>
      <c r="G1993" s="758">
        <f t="shared" si="124"/>
        <v>0.8</v>
      </c>
      <c r="H1993" s="759">
        <f t="shared" si="125"/>
        <v>0.33</v>
      </c>
      <c r="I1993" s="758">
        <f t="shared" si="126"/>
        <v>1.7899999999999998</v>
      </c>
      <c r="J1993" s="760">
        <f t="shared" si="127"/>
        <v>0.69111969111969107</v>
      </c>
    </row>
    <row r="1994" spans="1:10">
      <c r="A1994" s="74" t="s">
        <v>997</v>
      </c>
      <c r="B1994" s="74" t="s">
        <v>253</v>
      </c>
      <c r="C1994" s="74" t="s">
        <v>1507</v>
      </c>
      <c r="D1994" s="74" t="s">
        <v>86</v>
      </c>
      <c r="E1994" s="74">
        <v>3</v>
      </c>
      <c r="F1994" s="74">
        <v>6.7</v>
      </c>
      <c r="G1994" s="758">
        <f t="shared" si="124"/>
        <v>0</v>
      </c>
      <c r="H1994" s="759">
        <f t="shared" si="125"/>
        <v>0</v>
      </c>
      <c r="I1994" s="758">
        <f t="shared" si="126"/>
        <v>2.2333333333333334</v>
      </c>
      <c r="J1994" s="760">
        <f t="shared" si="127"/>
        <v>1</v>
      </c>
    </row>
    <row r="1995" spans="1:10">
      <c r="A1995" s="74" t="s">
        <v>997</v>
      </c>
      <c r="B1995" s="74" t="s">
        <v>253</v>
      </c>
      <c r="C1995" s="74" t="s">
        <v>1541</v>
      </c>
      <c r="D1995" s="74" t="s">
        <v>86</v>
      </c>
      <c r="E1995" s="74">
        <v>4</v>
      </c>
      <c r="F1995" s="74">
        <v>6.15</v>
      </c>
      <c r="G1995" s="758">
        <f t="shared" si="124"/>
        <v>0</v>
      </c>
      <c r="H1995" s="759">
        <f t="shared" si="125"/>
        <v>0</v>
      </c>
      <c r="I1995" s="758">
        <f t="shared" si="126"/>
        <v>1.5375000000000001</v>
      </c>
      <c r="J1995" s="760">
        <f t="shared" si="127"/>
        <v>1</v>
      </c>
    </row>
    <row r="1996" spans="1:10">
      <c r="A1996" s="74" t="s">
        <v>997</v>
      </c>
      <c r="B1996" s="74" t="s">
        <v>253</v>
      </c>
      <c r="C1996" s="74" t="s">
        <v>1584</v>
      </c>
      <c r="D1996" s="74" t="s">
        <v>92</v>
      </c>
      <c r="E1996" s="74">
        <v>1</v>
      </c>
      <c r="F1996" s="74">
        <v>2.0499999999999998</v>
      </c>
      <c r="G1996" s="758">
        <f t="shared" si="124"/>
        <v>0</v>
      </c>
      <c r="H1996" s="759">
        <f t="shared" si="125"/>
        <v>0</v>
      </c>
      <c r="I1996" s="758">
        <f t="shared" si="126"/>
        <v>2.0499999999999998</v>
      </c>
      <c r="J1996" s="760">
        <f t="shared" si="127"/>
        <v>1</v>
      </c>
    </row>
    <row r="1997" spans="1:10">
      <c r="A1997" s="74" t="s">
        <v>965</v>
      </c>
      <c r="B1997" s="74" t="s">
        <v>253</v>
      </c>
      <c r="C1997" s="74" t="s">
        <v>1520</v>
      </c>
      <c r="D1997" s="74" t="s">
        <v>84</v>
      </c>
      <c r="E1997" s="74">
        <v>2</v>
      </c>
      <c r="F1997" s="74">
        <v>5</v>
      </c>
      <c r="G1997" s="758">
        <f t="shared" si="124"/>
        <v>0</v>
      </c>
      <c r="H1997" s="759">
        <f t="shared" si="125"/>
        <v>0</v>
      </c>
      <c r="I1997" s="758">
        <f t="shared" si="126"/>
        <v>2.5</v>
      </c>
      <c r="J1997" s="760">
        <f t="shared" si="127"/>
        <v>1</v>
      </c>
    </row>
    <row r="1998" spans="1:10">
      <c r="A1998" s="74" t="s">
        <v>965</v>
      </c>
      <c r="B1998" s="74" t="s">
        <v>253</v>
      </c>
      <c r="C1998" s="74" t="s">
        <v>1577</v>
      </c>
      <c r="D1998" s="74" t="s">
        <v>84</v>
      </c>
      <c r="E1998" s="74">
        <v>4</v>
      </c>
      <c r="F1998" s="74">
        <v>10.3</v>
      </c>
      <c r="G1998" s="758">
        <f t="shared" si="124"/>
        <v>0</v>
      </c>
      <c r="H1998" s="759">
        <f t="shared" si="125"/>
        <v>0</v>
      </c>
      <c r="I1998" s="758">
        <f t="shared" si="126"/>
        <v>2.5750000000000002</v>
      </c>
      <c r="J1998" s="760">
        <f t="shared" si="127"/>
        <v>1</v>
      </c>
    </row>
    <row r="1999" spans="1:10">
      <c r="A1999" s="74" t="s">
        <v>965</v>
      </c>
      <c r="B1999" s="74" t="s">
        <v>253</v>
      </c>
      <c r="C1999" s="74" t="s">
        <v>1507</v>
      </c>
      <c r="D1999" s="74" t="s">
        <v>86</v>
      </c>
      <c r="E1999" s="74">
        <v>5</v>
      </c>
      <c r="F1999" s="74">
        <v>13.1</v>
      </c>
      <c r="G1999" s="758">
        <f t="shared" si="124"/>
        <v>0</v>
      </c>
      <c r="H1999" s="759">
        <f t="shared" si="125"/>
        <v>0</v>
      </c>
      <c r="I1999" s="758">
        <f t="shared" si="126"/>
        <v>2.62</v>
      </c>
      <c r="J1999" s="760">
        <f t="shared" si="127"/>
        <v>1</v>
      </c>
    </row>
    <row r="2000" spans="1:10">
      <c r="A2000" s="74" t="s">
        <v>965</v>
      </c>
      <c r="B2000" s="74" t="s">
        <v>253</v>
      </c>
      <c r="C2000" s="74" t="s">
        <v>1644</v>
      </c>
      <c r="D2000" s="74" t="s">
        <v>86</v>
      </c>
      <c r="E2000" s="74">
        <v>1</v>
      </c>
      <c r="F2000" s="74">
        <v>2.65</v>
      </c>
      <c r="G2000" s="758">
        <f t="shared" si="124"/>
        <v>0</v>
      </c>
      <c r="H2000" s="759">
        <f t="shared" si="125"/>
        <v>0</v>
      </c>
      <c r="I2000" s="758">
        <f t="shared" si="126"/>
        <v>2.65</v>
      </c>
      <c r="J2000" s="760">
        <f t="shared" si="127"/>
        <v>1</v>
      </c>
    </row>
    <row r="2001" spans="1:10">
      <c r="A2001" s="74" t="s">
        <v>965</v>
      </c>
      <c r="B2001" s="74" t="s">
        <v>253</v>
      </c>
      <c r="C2001" s="74" t="s">
        <v>1578</v>
      </c>
      <c r="D2001" s="74" t="s">
        <v>86</v>
      </c>
      <c r="E2001" s="74">
        <v>6</v>
      </c>
      <c r="F2001" s="74">
        <v>15.15</v>
      </c>
      <c r="G2001" s="758">
        <f t="shared" si="124"/>
        <v>0</v>
      </c>
      <c r="H2001" s="759">
        <f t="shared" si="125"/>
        <v>0</v>
      </c>
      <c r="I2001" s="758">
        <f t="shared" si="126"/>
        <v>2.5249999999999999</v>
      </c>
      <c r="J2001" s="760">
        <f t="shared" si="127"/>
        <v>1</v>
      </c>
    </row>
    <row r="2002" spans="1:10">
      <c r="A2002" s="74" t="s">
        <v>965</v>
      </c>
      <c r="B2002" s="74" t="s">
        <v>253</v>
      </c>
      <c r="C2002" s="74" t="s">
        <v>1646</v>
      </c>
      <c r="D2002" s="74" t="s">
        <v>86</v>
      </c>
      <c r="E2002" s="74">
        <v>6</v>
      </c>
      <c r="F2002" s="74">
        <v>15.45</v>
      </c>
      <c r="G2002" s="758">
        <f t="shared" si="124"/>
        <v>0</v>
      </c>
      <c r="H2002" s="759">
        <f t="shared" si="125"/>
        <v>0</v>
      </c>
      <c r="I2002" s="758">
        <f t="shared" si="126"/>
        <v>2.5749999999999997</v>
      </c>
      <c r="J2002" s="760">
        <f t="shared" si="127"/>
        <v>1</v>
      </c>
    </row>
    <row r="2003" spans="1:10">
      <c r="A2003" s="74" t="s">
        <v>965</v>
      </c>
      <c r="B2003" s="74" t="s">
        <v>253</v>
      </c>
      <c r="C2003" s="74" t="s">
        <v>1541</v>
      </c>
      <c r="D2003" s="74" t="s">
        <v>86</v>
      </c>
      <c r="E2003" s="74">
        <v>4</v>
      </c>
      <c r="F2003" s="74">
        <v>10.3</v>
      </c>
      <c r="G2003" s="758">
        <f t="shared" si="124"/>
        <v>0</v>
      </c>
      <c r="H2003" s="759">
        <f t="shared" si="125"/>
        <v>0</v>
      </c>
      <c r="I2003" s="758">
        <f t="shared" si="126"/>
        <v>2.5750000000000002</v>
      </c>
      <c r="J2003" s="760">
        <f t="shared" si="127"/>
        <v>1</v>
      </c>
    </row>
    <row r="2004" spans="1:10">
      <c r="A2004" s="74" t="s">
        <v>965</v>
      </c>
      <c r="B2004" s="74" t="s">
        <v>253</v>
      </c>
      <c r="C2004" s="74" t="s">
        <v>1543</v>
      </c>
      <c r="D2004" s="74" t="s">
        <v>87</v>
      </c>
      <c r="E2004" s="74">
        <v>4</v>
      </c>
      <c r="F2004" s="74">
        <v>10.15</v>
      </c>
      <c r="G2004" s="758">
        <f t="shared" si="124"/>
        <v>0</v>
      </c>
      <c r="H2004" s="759">
        <f t="shared" si="125"/>
        <v>0</v>
      </c>
      <c r="I2004" s="758">
        <f t="shared" si="126"/>
        <v>2.5375000000000001</v>
      </c>
      <c r="J2004" s="760">
        <f t="shared" si="127"/>
        <v>1</v>
      </c>
    </row>
    <row r="2005" spans="1:10">
      <c r="A2005" s="74" t="s">
        <v>965</v>
      </c>
      <c r="B2005" s="74" t="s">
        <v>253</v>
      </c>
      <c r="C2005" s="74" t="s">
        <v>1605</v>
      </c>
      <c r="D2005" s="74" t="s">
        <v>87</v>
      </c>
      <c r="E2005" s="74">
        <v>1</v>
      </c>
      <c r="F2005" s="74">
        <v>2.5</v>
      </c>
      <c r="G2005" s="758">
        <f t="shared" si="124"/>
        <v>0</v>
      </c>
      <c r="H2005" s="759">
        <f t="shared" si="125"/>
        <v>0</v>
      </c>
      <c r="I2005" s="758">
        <f t="shared" si="126"/>
        <v>2.5</v>
      </c>
      <c r="J2005" s="760">
        <f t="shared" si="127"/>
        <v>1</v>
      </c>
    </row>
    <row r="2006" spans="1:10">
      <c r="A2006" s="74" t="s">
        <v>965</v>
      </c>
      <c r="B2006" s="74" t="s">
        <v>253</v>
      </c>
      <c r="C2006" s="74" t="s">
        <v>1561</v>
      </c>
      <c r="D2006" s="74" t="s">
        <v>87</v>
      </c>
      <c r="E2006" s="74">
        <v>3</v>
      </c>
      <c r="F2006" s="74">
        <v>5.15</v>
      </c>
      <c r="G2006" s="758">
        <f t="shared" si="124"/>
        <v>0</v>
      </c>
      <c r="H2006" s="759">
        <f t="shared" si="125"/>
        <v>0</v>
      </c>
      <c r="I2006" s="758">
        <f t="shared" si="126"/>
        <v>1.7166666666666668</v>
      </c>
      <c r="J2006" s="760">
        <f t="shared" si="127"/>
        <v>1</v>
      </c>
    </row>
    <row r="2007" spans="1:10">
      <c r="A2007" s="74" t="s">
        <v>965</v>
      </c>
      <c r="B2007" s="74" t="s">
        <v>253</v>
      </c>
      <c r="C2007" s="74" t="s">
        <v>1608</v>
      </c>
      <c r="D2007" s="74" t="s">
        <v>89</v>
      </c>
      <c r="E2007" s="74">
        <v>2</v>
      </c>
      <c r="F2007" s="74">
        <v>5.3</v>
      </c>
      <c r="G2007" s="758">
        <f t="shared" si="124"/>
        <v>0</v>
      </c>
      <c r="H2007" s="759">
        <f t="shared" si="125"/>
        <v>0</v>
      </c>
      <c r="I2007" s="758">
        <f t="shared" si="126"/>
        <v>2.65</v>
      </c>
      <c r="J2007" s="760">
        <f t="shared" si="127"/>
        <v>1</v>
      </c>
    </row>
    <row r="2008" spans="1:10">
      <c r="A2008" s="74" t="s">
        <v>965</v>
      </c>
      <c r="B2008" s="74" t="s">
        <v>253</v>
      </c>
      <c r="C2008" s="74" t="s">
        <v>1610</v>
      </c>
      <c r="D2008" s="74" t="s">
        <v>89</v>
      </c>
      <c r="E2008" s="74">
        <v>6</v>
      </c>
      <c r="F2008" s="74">
        <v>15.45</v>
      </c>
      <c r="G2008" s="758">
        <f t="shared" si="124"/>
        <v>0</v>
      </c>
      <c r="H2008" s="759">
        <f t="shared" si="125"/>
        <v>0</v>
      </c>
      <c r="I2008" s="758">
        <f t="shared" si="126"/>
        <v>2.5749999999999997</v>
      </c>
      <c r="J2008" s="760">
        <f t="shared" si="127"/>
        <v>1</v>
      </c>
    </row>
    <row r="2009" spans="1:10">
      <c r="A2009" s="74" t="s">
        <v>965</v>
      </c>
      <c r="B2009" s="74" t="s">
        <v>253</v>
      </c>
      <c r="C2009" s="74" t="s">
        <v>1546</v>
      </c>
      <c r="D2009" s="74" t="s">
        <v>89</v>
      </c>
      <c r="E2009" s="74">
        <v>2</v>
      </c>
      <c r="F2009" s="74">
        <v>5.3</v>
      </c>
      <c r="G2009" s="758">
        <f t="shared" si="124"/>
        <v>0</v>
      </c>
      <c r="H2009" s="759">
        <f t="shared" si="125"/>
        <v>0</v>
      </c>
      <c r="I2009" s="758">
        <f t="shared" si="126"/>
        <v>2.65</v>
      </c>
      <c r="J2009" s="760">
        <f t="shared" si="127"/>
        <v>1</v>
      </c>
    </row>
    <row r="2010" spans="1:10">
      <c r="A2010" s="74" t="s">
        <v>965</v>
      </c>
      <c r="B2010" s="74" t="s">
        <v>253</v>
      </c>
      <c r="C2010" s="74" t="s">
        <v>1547</v>
      </c>
      <c r="D2010" s="74" t="s">
        <v>89</v>
      </c>
      <c r="E2010" s="74">
        <v>6</v>
      </c>
      <c r="F2010" s="74">
        <v>15.3</v>
      </c>
      <c r="G2010" s="758">
        <f t="shared" si="124"/>
        <v>0</v>
      </c>
      <c r="H2010" s="759">
        <f t="shared" si="125"/>
        <v>0</v>
      </c>
      <c r="I2010" s="758">
        <f t="shared" si="126"/>
        <v>2.5500000000000003</v>
      </c>
      <c r="J2010" s="760">
        <f t="shared" si="127"/>
        <v>1</v>
      </c>
    </row>
    <row r="2011" spans="1:10">
      <c r="A2011" s="74" t="s">
        <v>965</v>
      </c>
      <c r="B2011" s="74" t="s">
        <v>253</v>
      </c>
      <c r="C2011" s="74" t="s">
        <v>1582</v>
      </c>
      <c r="D2011" s="74" t="s">
        <v>89</v>
      </c>
      <c r="E2011" s="74">
        <v>10</v>
      </c>
      <c r="F2011" s="74">
        <v>25.75</v>
      </c>
      <c r="G2011" s="758">
        <f t="shared" si="124"/>
        <v>0</v>
      </c>
      <c r="H2011" s="759">
        <f t="shared" si="125"/>
        <v>0</v>
      </c>
      <c r="I2011" s="758">
        <f t="shared" si="126"/>
        <v>2.5750000000000002</v>
      </c>
      <c r="J2011" s="760">
        <f t="shared" si="127"/>
        <v>1</v>
      </c>
    </row>
    <row r="2012" spans="1:10">
      <c r="A2012" s="74" t="s">
        <v>965</v>
      </c>
      <c r="B2012" s="74" t="s">
        <v>253</v>
      </c>
      <c r="C2012" s="74" t="s">
        <v>1522</v>
      </c>
      <c r="D2012" s="74" t="s">
        <v>91</v>
      </c>
      <c r="E2012" s="74">
        <v>3</v>
      </c>
      <c r="F2012" s="74">
        <v>7.65</v>
      </c>
      <c r="G2012" s="758">
        <f t="shared" si="124"/>
        <v>0</v>
      </c>
      <c r="H2012" s="759">
        <f t="shared" si="125"/>
        <v>0</v>
      </c>
      <c r="I2012" s="758">
        <f t="shared" si="126"/>
        <v>2.5500000000000003</v>
      </c>
      <c r="J2012" s="760">
        <f t="shared" si="127"/>
        <v>1</v>
      </c>
    </row>
    <row r="2013" spans="1:10">
      <c r="A2013" s="74" t="s">
        <v>965</v>
      </c>
      <c r="B2013" s="74" t="s">
        <v>253</v>
      </c>
      <c r="C2013" s="74" t="s">
        <v>1550</v>
      </c>
      <c r="D2013" s="74" t="s">
        <v>91</v>
      </c>
      <c r="E2013" s="74">
        <v>1</v>
      </c>
      <c r="F2013" s="74">
        <v>2.5</v>
      </c>
      <c r="G2013" s="758">
        <f t="shared" si="124"/>
        <v>0</v>
      </c>
      <c r="H2013" s="759">
        <f t="shared" si="125"/>
        <v>0</v>
      </c>
      <c r="I2013" s="758">
        <f t="shared" si="126"/>
        <v>2.5</v>
      </c>
      <c r="J2013" s="760">
        <f t="shared" si="127"/>
        <v>1</v>
      </c>
    </row>
    <row r="2014" spans="1:10">
      <c r="A2014" s="74" t="s">
        <v>965</v>
      </c>
      <c r="B2014" s="74" t="s">
        <v>253</v>
      </c>
      <c r="C2014" s="74" t="s">
        <v>1675</v>
      </c>
      <c r="D2014" s="74" t="s">
        <v>91</v>
      </c>
      <c r="E2014" s="74">
        <v>7</v>
      </c>
      <c r="F2014" s="74">
        <v>17.8</v>
      </c>
      <c r="G2014" s="758">
        <f t="shared" si="124"/>
        <v>0</v>
      </c>
      <c r="H2014" s="759">
        <f t="shared" si="125"/>
        <v>0</v>
      </c>
      <c r="I2014" s="758">
        <f t="shared" si="126"/>
        <v>2.5428571428571431</v>
      </c>
      <c r="J2014" s="760">
        <f t="shared" si="127"/>
        <v>1</v>
      </c>
    </row>
    <row r="2015" spans="1:10">
      <c r="A2015" s="74" t="s">
        <v>965</v>
      </c>
      <c r="B2015" s="74" t="s">
        <v>253</v>
      </c>
      <c r="C2015" s="74" t="s">
        <v>1524</v>
      </c>
      <c r="D2015" s="74" t="s">
        <v>91</v>
      </c>
      <c r="E2015" s="74">
        <v>1</v>
      </c>
      <c r="F2015" s="74">
        <v>2.65</v>
      </c>
      <c r="G2015" s="758">
        <f t="shared" si="124"/>
        <v>0</v>
      </c>
      <c r="H2015" s="759">
        <f t="shared" si="125"/>
        <v>0</v>
      </c>
      <c r="I2015" s="758">
        <f t="shared" si="126"/>
        <v>2.65</v>
      </c>
      <c r="J2015" s="760">
        <f t="shared" si="127"/>
        <v>1</v>
      </c>
    </row>
    <row r="2016" spans="1:10">
      <c r="A2016" s="74" t="s">
        <v>965</v>
      </c>
      <c r="B2016" s="74" t="s">
        <v>253</v>
      </c>
      <c r="C2016" s="74" t="s">
        <v>1584</v>
      </c>
      <c r="D2016" s="74" t="s">
        <v>92</v>
      </c>
      <c r="E2016" s="74">
        <v>1</v>
      </c>
      <c r="F2016" s="74">
        <v>2.5</v>
      </c>
      <c r="G2016" s="758">
        <f t="shared" si="124"/>
        <v>0</v>
      </c>
      <c r="H2016" s="759">
        <f t="shared" si="125"/>
        <v>0</v>
      </c>
      <c r="I2016" s="758">
        <f t="shared" si="126"/>
        <v>2.5</v>
      </c>
      <c r="J2016" s="760">
        <f t="shared" si="127"/>
        <v>1</v>
      </c>
    </row>
    <row r="2017" spans="1:10">
      <c r="A2017" s="74" t="s">
        <v>965</v>
      </c>
      <c r="B2017" s="74" t="s">
        <v>253</v>
      </c>
      <c r="C2017" s="74" t="s">
        <v>1631</v>
      </c>
      <c r="D2017" s="74" t="s">
        <v>92</v>
      </c>
      <c r="E2017" s="74">
        <v>1</v>
      </c>
      <c r="F2017" s="74">
        <v>2.65</v>
      </c>
      <c r="G2017" s="758">
        <f t="shared" si="124"/>
        <v>0</v>
      </c>
      <c r="H2017" s="759">
        <f t="shared" si="125"/>
        <v>0</v>
      </c>
      <c r="I2017" s="758">
        <f t="shared" si="126"/>
        <v>2.65</v>
      </c>
      <c r="J2017" s="760">
        <f t="shared" si="127"/>
        <v>1</v>
      </c>
    </row>
    <row r="2018" spans="1:10">
      <c r="A2018" s="74" t="s">
        <v>965</v>
      </c>
      <c r="B2018" s="74" t="s">
        <v>253</v>
      </c>
      <c r="C2018" s="74" t="s">
        <v>1552</v>
      </c>
      <c r="D2018" s="74" t="s">
        <v>92</v>
      </c>
      <c r="E2018" s="74">
        <v>1</v>
      </c>
      <c r="F2018" s="74">
        <v>2.5</v>
      </c>
      <c r="G2018" s="758">
        <f t="shared" si="124"/>
        <v>0</v>
      </c>
      <c r="H2018" s="759">
        <f t="shared" si="125"/>
        <v>0</v>
      </c>
      <c r="I2018" s="758">
        <f t="shared" si="126"/>
        <v>2.5</v>
      </c>
      <c r="J2018" s="760">
        <f t="shared" si="127"/>
        <v>1</v>
      </c>
    </row>
    <row r="2019" spans="1:10">
      <c r="A2019" s="74" t="s">
        <v>965</v>
      </c>
      <c r="B2019" s="74" t="s">
        <v>253</v>
      </c>
      <c r="C2019" s="74" t="s">
        <v>1553</v>
      </c>
      <c r="D2019" s="74" t="s">
        <v>94</v>
      </c>
      <c r="E2019" s="74">
        <v>1</v>
      </c>
      <c r="F2019" s="74">
        <v>2.65</v>
      </c>
      <c r="G2019" s="758">
        <f t="shared" si="124"/>
        <v>0</v>
      </c>
      <c r="H2019" s="759">
        <f t="shared" si="125"/>
        <v>0</v>
      </c>
      <c r="I2019" s="758">
        <f t="shared" si="126"/>
        <v>2.65</v>
      </c>
      <c r="J2019" s="760">
        <f t="shared" si="127"/>
        <v>1</v>
      </c>
    </row>
    <row r="2020" spans="1:10">
      <c r="A2020" s="74" t="s">
        <v>965</v>
      </c>
      <c r="B2020" s="74" t="s">
        <v>253</v>
      </c>
      <c r="C2020" s="74" t="s">
        <v>1930</v>
      </c>
      <c r="D2020" s="74" t="s">
        <v>95</v>
      </c>
      <c r="E2020" s="74">
        <v>2</v>
      </c>
      <c r="F2020" s="74">
        <v>2.5</v>
      </c>
      <c r="G2020" s="758">
        <f t="shared" si="124"/>
        <v>0</v>
      </c>
      <c r="H2020" s="759">
        <f t="shared" si="125"/>
        <v>0</v>
      </c>
      <c r="I2020" s="758">
        <f t="shared" si="126"/>
        <v>1.25</v>
      </c>
      <c r="J2020" s="760">
        <f t="shared" si="127"/>
        <v>1</v>
      </c>
    </row>
    <row r="2021" spans="1:10">
      <c r="A2021" s="74" t="s">
        <v>1076</v>
      </c>
      <c r="B2021" s="74" t="s">
        <v>266</v>
      </c>
      <c r="C2021" s="74" t="s">
        <v>1610</v>
      </c>
      <c r="D2021" s="74" t="s">
        <v>89</v>
      </c>
      <c r="E2021" s="74">
        <v>1</v>
      </c>
      <c r="F2021" s="74">
        <v>0</v>
      </c>
      <c r="G2021" s="758">
        <f t="shared" si="124"/>
        <v>0</v>
      </c>
      <c r="H2021" s="759">
        <f t="shared" si="125"/>
        <v>0</v>
      </c>
      <c r="I2021" s="758">
        <f t="shared" si="126"/>
        <v>0</v>
      </c>
      <c r="J2021" s="760">
        <f t="shared" si="127"/>
        <v>0</v>
      </c>
    </row>
    <row r="2022" spans="1:10">
      <c r="A2022" s="74" t="s">
        <v>1076</v>
      </c>
      <c r="B2022" s="74" t="s">
        <v>266</v>
      </c>
      <c r="C2022" s="74" t="s">
        <v>1547</v>
      </c>
      <c r="D2022" s="74" t="s">
        <v>89</v>
      </c>
      <c r="E2022" s="74">
        <v>1</v>
      </c>
      <c r="F2022" s="74">
        <v>0</v>
      </c>
      <c r="G2022" s="758">
        <f t="shared" si="124"/>
        <v>0</v>
      </c>
      <c r="H2022" s="759">
        <f t="shared" si="125"/>
        <v>0</v>
      </c>
      <c r="I2022" s="758">
        <f t="shared" si="126"/>
        <v>0</v>
      </c>
      <c r="J2022" s="760">
        <f t="shared" si="127"/>
        <v>0</v>
      </c>
    </row>
    <row r="2023" spans="1:10">
      <c r="A2023" s="74" t="s">
        <v>1076</v>
      </c>
      <c r="B2023" s="74" t="s">
        <v>266</v>
      </c>
      <c r="C2023" s="74" t="s">
        <v>1522</v>
      </c>
      <c r="D2023" s="74" t="s">
        <v>91</v>
      </c>
      <c r="E2023" s="74">
        <v>1</v>
      </c>
      <c r="F2023" s="74">
        <v>0</v>
      </c>
      <c r="G2023" s="758">
        <f t="shared" si="124"/>
        <v>0</v>
      </c>
      <c r="H2023" s="759">
        <f t="shared" si="125"/>
        <v>0</v>
      </c>
      <c r="I2023" s="758">
        <f t="shared" si="126"/>
        <v>0</v>
      </c>
      <c r="J2023" s="760">
        <f t="shared" si="127"/>
        <v>0</v>
      </c>
    </row>
    <row r="2024" spans="1:10">
      <c r="A2024" s="74" t="s">
        <v>1076</v>
      </c>
      <c r="B2024" s="74" t="s">
        <v>266</v>
      </c>
      <c r="C2024" s="74" t="s">
        <v>1584</v>
      </c>
      <c r="D2024" s="74" t="s">
        <v>92</v>
      </c>
      <c r="E2024" s="74">
        <v>1</v>
      </c>
      <c r="F2024" s="74">
        <v>0</v>
      </c>
      <c r="G2024" s="758">
        <f t="shared" si="124"/>
        <v>0</v>
      </c>
      <c r="H2024" s="759">
        <f t="shared" si="125"/>
        <v>0</v>
      </c>
      <c r="I2024" s="758">
        <f t="shared" si="126"/>
        <v>0</v>
      </c>
      <c r="J2024" s="760">
        <f t="shared" si="127"/>
        <v>0</v>
      </c>
    </row>
    <row r="2025" spans="1:10">
      <c r="A2025" s="74" t="s">
        <v>1076</v>
      </c>
      <c r="B2025" s="74" t="s">
        <v>266</v>
      </c>
      <c r="C2025" s="74" t="s">
        <v>1553</v>
      </c>
      <c r="D2025" s="74" t="s">
        <v>94</v>
      </c>
      <c r="E2025" s="74">
        <v>1</v>
      </c>
      <c r="F2025" s="74">
        <v>0</v>
      </c>
      <c r="G2025" s="758">
        <f t="shared" si="124"/>
        <v>0</v>
      </c>
      <c r="H2025" s="759">
        <f t="shared" si="125"/>
        <v>0</v>
      </c>
      <c r="I2025" s="758">
        <f t="shared" si="126"/>
        <v>0</v>
      </c>
      <c r="J2025" s="760">
        <f t="shared" si="127"/>
        <v>0</v>
      </c>
    </row>
    <row r="2026" spans="1:10">
      <c r="A2026" s="74" t="s">
        <v>1737</v>
      </c>
      <c r="B2026" s="74" t="s">
        <v>266</v>
      </c>
      <c r="C2026" s="74" t="s">
        <v>1555</v>
      </c>
      <c r="D2026" s="74" t="s">
        <v>94</v>
      </c>
      <c r="E2026" s="74">
        <v>1</v>
      </c>
      <c r="F2026" s="74">
        <v>0</v>
      </c>
      <c r="G2026" s="758">
        <f t="shared" si="124"/>
        <v>0</v>
      </c>
      <c r="H2026" s="759">
        <f t="shared" si="125"/>
        <v>0</v>
      </c>
      <c r="I2026" s="758">
        <f t="shared" si="126"/>
        <v>0</v>
      </c>
      <c r="J2026" s="760">
        <f t="shared" si="127"/>
        <v>0</v>
      </c>
    </row>
    <row r="2027" spans="1:10">
      <c r="A2027" s="74" t="s">
        <v>1738</v>
      </c>
      <c r="B2027" s="74" t="s">
        <v>253</v>
      </c>
      <c r="C2027" s="74" t="s">
        <v>1524</v>
      </c>
      <c r="D2027" s="74" t="s">
        <v>91</v>
      </c>
      <c r="E2027" s="74">
        <v>1</v>
      </c>
      <c r="F2027" s="74">
        <v>2.5</v>
      </c>
      <c r="G2027" s="758">
        <f t="shared" si="124"/>
        <v>0</v>
      </c>
      <c r="H2027" s="759">
        <f t="shared" si="125"/>
        <v>0</v>
      </c>
      <c r="I2027" s="758">
        <f t="shared" si="126"/>
        <v>2.5</v>
      </c>
      <c r="J2027" s="760">
        <f t="shared" si="127"/>
        <v>1</v>
      </c>
    </row>
    <row r="2028" spans="1:10">
      <c r="A2028" s="74" t="s">
        <v>1739</v>
      </c>
      <c r="B2028" s="74" t="s">
        <v>253</v>
      </c>
      <c r="C2028" s="74" t="s">
        <v>1646</v>
      </c>
      <c r="D2028" s="74" t="s">
        <v>86</v>
      </c>
      <c r="E2028" s="74">
        <v>2</v>
      </c>
      <c r="F2028" s="74">
        <v>5</v>
      </c>
      <c r="G2028" s="758">
        <f t="shared" si="124"/>
        <v>0</v>
      </c>
      <c r="H2028" s="759">
        <f t="shared" si="125"/>
        <v>0</v>
      </c>
      <c r="I2028" s="758">
        <f t="shared" si="126"/>
        <v>2.5</v>
      </c>
      <c r="J2028" s="760">
        <f t="shared" si="127"/>
        <v>1</v>
      </c>
    </row>
    <row r="2029" spans="1:10">
      <c r="A2029" s="74" t="s">
        <v>1739</v>
      </c>
      <c r="B2029" s="74" t="s">
        <v>253</v>
      </c>
      <c r="C2029" s="74" t="s">
        <v>1608</v>
      </c>
      <c r="D2029" s="74" t="s">
        <v>89</v>
      </c>
      <c r="E2029" s="74">
        <v>1</v>
      </c>
      <c r="F2029" s="74">
        <v>2.65</v>
      </c>
      <c r="G2029" s="758">
        <f t="shared" si="124"/>
        <v>0</v>
      </c>
      <c r="H2029" s="759">
        <f t="shared" si="125"/>
        <v>0</v>
      </c>
      <c r="I2029" s="758">
        <f t="shared" si="126"/>
        <v>2.65</v>
      </c>
      <c r="J2029" s="760">
        <f t="shared" si="127"/>
        <v>1</v>
      </c>
    </row>
    <row r="2030" spans="1:10">
      <c r="A2030" s="74" t="s">
        <v>1739</v>
      </c>
      <c r="B2030" s="74" t="s">
        <v>253</v>
      </c>
      <c r="C2030" s="74" t="s">
        <v>1610</v>
      </c>
      <c r="D2030" s="74" t="s">
        <v>89</v>
      </c>
      <c r="E2030" s="74">
        <v>2</v>
      </c>
      <c r="F2030" s="74">
        <v>5.3</v>
      </c>
      <c r="G2030" s="758">
        <f t="shared" si="124"/>
        <v>0</v>
      </c>
      <c r="H2030" s="759">
        <f t="shared" si="125"/>
        <v>0</v>
      </c>
      <c r="I2030" s="758">
        <f t="shared" si="126"/>
        <v>2.65</v>
      </c>
      <c r="J2030" s="760">
        <f t="shared" si="127"/>
        <v>1</v>
      </c>
    </row>
    <row r="2031" spans="1:10">
      <c r="A2031" s="74" t="s">
        <v>1739</v>
      </c>
      <c r="B2031" s="74" t="s">
        <v>253</v>
      </c>
      <c r="C2031" s="74" t="s">
        <v>1522</v>
      </c>
      <c r="D2031" s="74" t="s">
        <v>91</v>
      </c>
      <c r="E2031" s="74">
        <v>1</v>
      </c>
      <c r="F2031" s="74">
        <v>2.65</v>
      </c>
      <c r="G2031" s="758">
        <f t="shared" si="124"/>
        <v>0</v>
      </c>
      <c r="H2031" s="759">
        <f t="shared" si="125"/>
        <v>0</v>
      </c>
      <c r="I2031" s="758">
        <f t="shared" si="126"/>
        <v>2.65</v>
      </c>
      <c r="J2031" s="760">
        <f t="shared" si="127"/>
        <v>1</v>
      </c>
    </row>
    <row r="2032" spans="1:10">
      <c r="A2032" s="74" t="s">
        <v>1740</v>
      </c>
      <c r="B2032" s="74" t="s">
        <v>253</v>
      </c>
      <c r="C2032" s="74" t="s">
        <v>1527</v>
      </c>
      <c r="D2032" s="74" t="s">
        <v>82</v>
      </c>
      <c r="E2032" s="74">
        <v>1</v>
      </c>
      <c r="F2032" s="74">
        <v>2.2000000000000002</v>
      </c>
      <c r="G2032" s="758">
        <f t="shared" si="124"/>
        <v>0.38</v>
      </c>
      <c r="H2032" s="759">
        <f t="shared" si="125"/>
        <v>0.19</v>
      </c>
      <c r="I2032" s="758">
        <f t="shared" si="126"/>
        <v>1.8200000000000003</v>
      </c>
      <c r="J2032" s="760">
        <f t="shared" si="127"/>
        <v>0.82727272727272727</v>
      </c>
    </row>
    <row r="2033" spans="1:10">
      <c r="A2033" s="74" t="s">
        <v>1741</v>
      </c>
      <c r="B2033" s="74" t="s">
        <v>253</v>
      </c>
      <c r="C2033" s="74" t="s">
        <v>1528</v>
      </c>
      <c r="D2033" s="74" t="s">
        <v>78</v>
      </c>
      <c r="E2033" s="74">
        <v>7</v>
      </c>
      <c r="F2033" s="74">
        <v>18.55</v>
      </c>
      <c r="G2033" s="758">
        <f t="shared" si="124"/>
        <v>0.11</v>
      </c>
      <c r="H2033" s="759">
        <f t="shared" si="125"/>
        <v>0.22</v>
      </c>
      <c r="I2033" s="758">
        <f t="shared" si="126"/>
        <v>2.54</v>
      </c>
      <c r="J2033" s="760">
        <f t="shared" si="127"/>
        <v>0.95849056603773586</v>
      </c>
    </row>
    <row r="2034" spans="1:10">
      <c r="A2034" s="74" t="s">
        <v>1741</v>
      </c>
      <c r="B2034" s="74" t="s">
        <v>253</v>
      </c>
      <c r="C2034" s="74" t="s">
        <v>1508</v>
      </c>
      <c r="D2034" s="74" t="s">
        <v>78</v>
      </c>
      <c r="E2034" s="74">
        <v>4</v>
      </c>
      <c r="F2034" s="74">
        <v>10.75</v>
      </c>
      <c r="G2034" s="758">
        <f t="shared" si="124"/>
        <v>0.11</v>
      </c>
      <c r="H2034" s="759">
        <f t="shared" si="125"/>
        <v>0.22</v>
      </c>
      <c r="I2034" s="758">
        <f t="shared" si="126"/>
        <v>2.5775000000000001</v>
      </c>
      <c r="J2034" s="760">
        <f t="shared" si="127"/>
        <v>0.95906976744186045</v>
      </c>
    </row>
    <row r="2035" spans="1:10">
      <c r="A2035" s="74" t="s">
        <v>1741</v>
      </c>
      <c r="B2035" s="74" t="s">
        <v>253</v>
      </c>
      <c r="C2035" s="74" t="s">
        <v>1532</v>
      </c>
      <c r="D2035" s="74" t="s">
        <v>80</v>
      </c>
      <c r="E2035" s="74">
        <v>4</v>
      </c>
      <c r="F2035" s="74">
        <v>10</v>
      </c>
      <c r="G2035" s="758">
        <f t="shared" si="124"/>
        <v>0.11</v>
      </c>
      <c r="H2035" s="759">
        <f t="shared" si="125"/>
        <v>0.22</v>
      </c>
      <c r="I2035" s="758">
        <f t="shared" si="126"/>
        <v>2.39</v>
      </c>
      <c r="J2035" s="760">
        <f t="shared" si="127"/>
        <v>0.95599999999999996</v>
      </c>
    </row>
    <row r="2036" spans="1:10">
      <c r="A2036" s="74" t="s">
        <v>1741</v>
      </c>
      <c r="B2036" s="74" t="s">
        <v>253</v>
      </c>
      <c r="C2036" s="74" t="s">
        <v>1511</v>
      </c>
      <c r="D2036" s="74" t="s">
        <v>80</v>
      </c>
      <c r="E2036" s="74">
        <v>5</v>
      </c>
      <c r="F2036" s="74">
        <v>12.5</v>
      </c>
      <c r="G2036" s="758">
        <f t="shared" si="124"/>
        <v>0.11</v>
      </c>
      <c r="H2036" s="759">
        <f t="shared" si="125"/>
        <v>0.22</v>
      </c>
      <c r="I2036" s="758">
        <f t="shared" si="126"/>
        <v>2.39</v>
      </c>
      <c r="J2036" s="760">
        <f t="shared" si="127"/>
        <v>0.95599999999999996</v>
      </c>
    </row>
    <row r="2037" spans="1:10">
      <c r="A2037" s="74" t="s">
        <v>1741</v>
      </c>
      <c r="B2037" s="74" t="s">
        <v>253</v>
      </c>
      <c r="C2037" s="74" t="s">
        <v>1512</v>
      </c>
      <c r="D2037" s="74" t="s">
        <v>80</v>
      </c>
      <c r="E2037" s="74">
        <v>8</v>
      </c>
      <c r="F2037" s="74">
        <v>20</v>
      </c>
      <c r="G2037" s="758">
        <f t="shared" si="124"/>
        <v>0.11</v>
      </c>
      <c r="H2037" s="759">
        <f t="shared" si="125"/>
        <v>0.22</v>
      </c>
      <c r="I2037" s="758">
        <f t="shared" si="126"/>
        <v>2.39</v>
      </c>
      <c r="J2037" s="760">
        <f t="shared" si="127"/>
        <v>0.95599999999999996</v>
      </c>
    </row>
    <row r="2038" spans="1:10">
      <c r="A2038" s="74" t="s">
        <v>1741</v>
      </c>
      <c r="B2038" s="74" t="s">
        <v>253</v>
      </c>
      <c r="C2038" s="74" t="s">
        <v>1534</v>
      </c>
      <c r="D2038" s="74" t="s">
        <v>81</v>
      </c>
      <c r="E2038" s="74">
        <v>5</v>
      </c>
      <c r="F2038" s="74">
        <v>12.5</v>
      </c>
      <c r="G2038" s="758">
        <f t="shared" si="124"/>
        <v>0.11</v>
      </c>
      <c r="H2038" s="759">
        <f t="shared" si="125"/>
        <v>0.22</v>
      </c>
      <c r="I2038" s="758">
        <f t="shared" si="126"/>
        <v>2.39</v>
      </c>
      <c r="J2038" s="760">
        <f t="shared" si="127"/>
        <v>0.95599999999999996</v>
      </c>
    </row>
    <row r="2039" spans="1:10">
      <c r="A2039" s="74" t="s">
        <v>1741</v>
      </c>
      <c r="B2039" s="74" t="s">
        <v>253</v>
      </c>
      <c r="C2039" s="74" t="s">
        <v>1513</v>
      </c>
      <c r="D2039" s="74" t="s">
        <v>81</v>
      </c>
      <c r="E2039" s="74">
        <v>6</v>
      </c>
      <c r="F2039" s="74">
        <v>15.75</v>
      </c>
      <c r="G2039" s="758">
        <f t="shared" si="124"/>
        <v>0.11</v>
      </c>
      <c r="H2039" s="759">
        <f t="shared" si="125"/>
        <v>0.22</v>
      </c>
      <c r="I2039" s="758">
        <f t="shared" si="126"/>
        <v>2.5150000000000001</v>
      </c>
      <c r="J2039" s="760">
        <f t="shared" si="127"/>
        <v>0.95809523809523811</v>
      </c>
    </row>
    <row r="2040" spans="1:10">
      <c r="A2040" s="74" t="s">
        <v>1741</v>
      </c>
      <c r="B2040" s="74" t="s">
        <v>253</v>
      </c>
      <c r="C2040" s="74" t="s">
        <v>1514</v>
      </c>
      <c r="D2040" s="74" t="s">
        <v>81</v>
      </c>
      <c r="E2040" s="74">
        <v>2</v>
      </c>
      <c r="F2040" s="74">
        <v>5</v>
      </c>
      <c r="G2040" s="758">
        <f t="shared" si="124"/>
        <v>0.11</v>
      </c>
      <c r="H2040" s="759">
        <f t="shared" si="125"/>
        <v>0.22</v>
      </c>
      <c r="I2040" s="758">
        <f t="shared" si="126"/>
        <v>2.39</v>
      </c>
      <c r="J2040" s="760">
        <f t="shared" si="127"/>
        <v>0.95599999999999996</v>
      </c>
    </row>
    <row r="2041" spans="1:10">
      <c r="A2041" s="74" t="s">
        <v>1741</v>
      </c>
      <c r="B2041" s="74" t="s">
        <v>253</v>
      </c>
      <c r="C2041" s="74" t="s">
        <v>1515</v>
      </c>
      <c r="D2041" s="74" t="s">
        <v>81</v>
      </c>
      <c r="E2041" s="74">
        <v>8</v>
      </c>
      <c r="F2041" s="74">
        <v>20.3</v>
      </c>
      <c r="G2041" s="758">
        <f t="shared" si="124"/>
        <v>0.11</v>
      </c>
      <c r="H2041" s="759">
        <f t="shared" si="125"/>
        <v>0.22</v>
      </c>
      <c r="I2041" s="758">
        <f t="shared" si="126"/>
        <v>2.4275000000000002</v>
      </c>
      <c r="J2041" s="760">
        <f t="shared" si="127"/>
        <v>0.95665024630541873</v>
      </c>
    </row>
    <row r="2042" spans="1:10">
      <c r="A2042" s="74" t="s">
        <v>1741</v>
      </c>
      <c r="B2042" s="74" t="s">
        <v>253</v>
      </c>
      <c r="C2042" s="74" t="s">
        <v>1517</v>
      </c>
      <c r="D2042" s="74" t="s">
        <v>82</v>
      </c>
      <c r="E2042" s="74">
        <v>5</v>
      </c>
      <c r="F2042" s="74">
        <v>12.95</v>
      </c>
      <c r="G2042" s="758">
        <f t="shared" si="124"/>
        <v>0.11</v>
      </c>
      <c r="H2042" s="759">
        <f t="shared" si="125"/>
        <v>0.22</v>
      </c>
      <c r="I2042" s="758">
        <f t="shared" si="126"/>
        <v>2.48</v>
      </c>
      <c r="J2042" s="760">
        <f t="shared" si="127"/>
        <v>0.9575289575289575</v>
      </c>
    </row>
    <row r="2043" spans="1:10">
      <c r="A2043" s="74" t="s">
        <v>1741</v>
      </c>
      <c r="B2043" s="74" t="s">
        <v>253</v>
      </c>
      <c r="C2043" s="74" t="s">
        <v>1527</v>
      </c>
      <c r="D2043" s="74" t="s">
        <v>82</v>
      </c>
      <c r="E2043" s="74">
        <v>6</v>
      </c>
      <c r="F2043" s="74">
        <v>15.45</v>
      </c>
      <c r="G2043" s="758">
        <f t="shared" si="124"/>
        <v>0.11</v>
      </c>
      <c r="H2043" s="759">
        <f t="shared" si="125"/>
        <v>0.22</v>
      </c>
      <c r="I2043" s="758">
        <f t="shared" si="126"/>
        <v>2.4649999999999999</v>
      </c>
      <c r="J2043" s="760">
        <f t="shared" si="127"/>
        <v>0.9572815533980582</v>
      </c>
    </row>
    <row r="2044" spans="1:10">
      <c r="A2044" s="74" t="s">
        <v>1741</v>
      </c>
      <c r="B2044" s="74" t="s">
        <v>253</v>
      </c>
      <c r="C2044" s="74" t="s">
        <v>1518</v>
      </c>
      <c r="D2044" s="74" t="s">
        <v>82</v>
      </c>
      <c r="E2044" s="74">
        <v>17</v>
      </c>
      <c r="F2044" s="74">
        <v>48.55</v>
      </c>
      <c r="G2044" s="758">
        <f t="shared" si="124"/>
        <v>0.11</v>
      </c>
      <c r="H2044" s="759">
        <f t="shared" si="125"/>
        <v>0.22</v>
      </c>
      <c r="I2044" s="758">
        <f t="shared" si="126"/>
        <v>2.7458823529411762</v>
      </c>
      <c r="J2044" s="760">
        <f t="shared" si="127"/>
        <v>0.96148300720906277</v>
      </c>
    </row>
    <row r="2045" spans="1:10">
      <c r="A2045" s="74" t="s">
        <v>1116</v>
      </c>
      <c r="B2045" s="74" t="s">
        <v>253</v>
      </c>
      <c r="C2045" s="74" t="s">
        <v>1522</v>
      </c>
      <c r="D2045" s="74" t="s">
        <v>91</v>
      </c>
      <c r="E2045" s="74">
        <v>1</v>
      </c>
      <c r="F2045" s="74">
        <v>2.5</v>
      </c>
      <c r="G2045" s="758">
        <f t="shared" si="124"/>
        <v>0</v>
      </c>
      <c r="H2045" s="759">
        <f t="shared" si="125"/>
        <v>0</v>
      </c>
      <c r="I2045" s="758">
        <f t="shared" si="126"/>
        <v>2.5</v>
      </c>
      <c r="J2045" s="760">
        <f t="shared" si="127"/>
        <v>1</v>
      </c>
    </row>
    <row r="2046" spans="1:10">
      <c r="A2046" s="74" t="s">
        <v>1116</v>
      </c>
      <c r="B2046" s="74" t="s">
        <v>253</v>
      </c>
      <c r="C2046" s="74" t="s">
        <v>1557</v>
      </c>
      <c r="D2046" s="74" t="s">
        <v>95</v>
      </c>
      <c r="E2046" s="74">
        <v>1</v>
      </c>
      <c r="F2046" s="74">
        <v>2.5</v>
      </c>
      <c r="G2046" s="758">
        <f t="shared" si="124"/>
        <v>0</v>
      </c>
      <c r="H2046" s="759">
        <f t="shared" si="125"/>
        <v>0</v>
      </c>
      <c r="I2046" s="758">
        <f t="shared" si="126"/>
        <v>2.5</v>
      </c>
      <c r="J2046" s="760">
        <f t="shared" si="127"/>
        <v>1</v>
      </c>
    </row>
    <row r="2047" spans="1:10">
      <c r="A2047" s="74" t="s">
        <v>2283</v>
      </c>
      <c r="B2047" s="74" t="s">
        <v>266</v>
      </c>
      <c r="C2047" s="74" t="s">
        <v>1577</v>
      </c>
      <c r="D2047" s="74" t="s">
        <v>84</v>
      </c>
      <c r="E2047" s="74">
        <v>2</v>
      </c>
      <c r="F2047" s="74">
        <v>0</v>
      </c>
      <c r="G2047" s="758">
        <f t="shared" si="124"/>
        <v>0</v>
      </c>
      <c r="H2047" s="759">
        <f t="shared" si="125"/>
        <v>0</v>
      </c>
      <c r="I2047" s="758">
        <f t="shared" si="126"/>
        <v>0</v>
      </c>
      <c r="J2047" s="760">
        <f t="shared" si="127"/>
        <v>0</v>
      </c>
    </row>
    <row r="2048" spans="1:10">
      <c r="A2048" s="74" t="s">
        <v>1742</v>
      </c>
      <c r="B2048" s="74" t="s">
        <v>253</v>
      </c>
      <c r="C2048" s="74" t="s">
        <v>1512</v>
      </c>
      <c r="D2048" s="74" t="s">
        <v>80</v>
      </c>
      <c r="E2048" s="74">
        <v>1</v>
      </c>
      <c r="F2048" s="74">
        <v>3.1</v>
      </c>
      <c r="G2048" s="758">
        <f t="shared" si="124"/>
        <v>0.46</v>
      </c>
      <c r="H2048" s="759">
        <f t="shared" si="125"/>
        <v>0.16</v>
      </c>
      <c r="I2048" s="758">
        <f t="shared" si="126"/>
        <v>2.64</v>
      </c>
      <c r="J2048" s="760">
        <f t="shared" si="127"/>
        <v>0.85161290322580641</v>
      </c>
    </row>
    <row r="2049" spans="1:10">
      <c r="A2049" s="74" t="s">
        <v>704</v>
      </c>
      <c r="B2049" s="74" t="s">
        <v>689</v>
      </c>
      <c r="C2049" s="74" t="s">
        <v>1528</v>
      </c>
      <c r="D2049" s="74" t="s">
        <v>78</v>
      </c>
      <c r="E2049" s="74">
        <v>4</v>
      </c>
      <c r="F2049" s="74">
        <v>46.91</v>
      </c>
      <c r="G2049" s="758">
        <f t="shared" si="124"/>
        <v>1.55</v>
      </c>
      <c r="H2049" s="759">
        <f t="shared" si="125"/>
        <v>0</v>
      </c>
      <c r="I2049" s="758">
        <f t="shared" si="126"/>
        <v>10.177499999999998</v>
      </c>
      <c r="J2049" s="760">
        <f t="shared" si="127"/>
        <v>0.86783201875932636</v>
      </c>
    </row>
    <row r="2050" spans="1:10">
      <c r="A2050" s="74" t="s">
        <v>704</v>
      </c>
      <c r="B2050" s="74" t="s">
        <v>689</v>
      </c>
      <c r="C2050" s="74" t="s">
        <v>1508</v>
      </c>
      <c r="D2050" s="74" t="s">
        <v>78</v>
      </c>
      <c r="E2050" s="74">
        <v>4</v>
      </c>
      <c r="F2050" s="74">
        <v>46.91</v>
      </c>
      <c r="G2050" s="758">
        <f t="shared" ref="G2050:G2113" si="128">IFERROR(VLOOKUP(A2050,$M$1:$P$1014,2,FALSE),0)</f>
        <v>1.55</v>
      </c>
      <c r="H2050" s="759">
        <f t="shared" ref="H2050:H2113" si="129">IFERROR(VLOOKUP(A2050,$M$1:$P$1014,3,FALSE),0)</f>
        <v>0</v>
      </c>
      <c r="I2050" s="758">
        <f t="shared" ref="I2050:I2113" si="130">IFERROR(F2050/E2050-G2050,0)</f>
        <v>10.177499999999998</v>
      </c>
      <c r="J2050" s="760">
        <f t="shared" ref="J2050:J2113" si="131">IFERROR(1-G2050*E2050/F2050,0)</f>
        <v>0.86783201875932636</v>
      </c>
    </row>
    <row r="2051" spans="1:10">
      <c r="A2051" s="74" t="s">
        <v>704</v>
      </c>
      <c r="B2051" s="74" t="s">
        <v>689</v>
      </c>
      <c r="C2051" s="74" t="s">
        <v>1565</v>
      </c>
      <c r="D2051" s="74" t="s">
        <v>78</v>
      </c>
      <c r="E2051" s="74">
        <v>4</v>
      </c>
      <c r="F2051" s="74">
        <v>46.91</v>
      </c>
      <c r="G2051" s="758">
        <f t="shared" si="128"/>
        <v>1.55</v>
      </c>
      <c r="H2051" s="759">
        <f t="shared" si="129"/>
        <v>0</v>
      </c>
      <c r="I2051" s="758">
        <f t="shared" si="130"/>
        <v>10.177499999999998</v>
      </c>
      <c r="J2051" s="760">
        <f t="shared" si="131"/>
        <v>0.86783201875932636</v>
      </c>
    </row>
    <row r="2052" spans="1:10">
      <c r="A2052" s="74" t="s">
        <v>704</v>
      </c>
      <c r="B2052" s="74" t="s">
        <v>689</v>
      </c>
      <c r="C2052" s="74" t="s">
        <v>1530</v>
      </c>
      <c r="D2052" s="74" t="s">
        <v>80</v>
      </c>
      <c r="E2052" s="74">
        <v>9</v>
      </c>
      <c r="F2052" s="74">
        <v>105.77</v>
      </c>
      <c r="G2052" s="758">
        <f t="shared" si="128"/>
        <v>1.55</v>
      </c>
      <c r="H2052" s="759">
        <f t="shared" si="129"/>
        <v>0</v>
      </c>
      <c r="I2052" s="758">
        <f t="shared" si="130"/>
        <v>10.202222222222222</v>
      </c>
      <c r="J2052" s="760">
        <f t="shared" si="131"/>
        <v>0.86811005010872644</v>
      </c>
    </row>
    <row r="2053" spans="1:10">
      <c r="A2053" s="74" t="s">
        <v>704</v>
      </c>
      <c r="B2053" s="74" t="s">
        <v>689</v>
      </c>
      <c r="C2053" s="74" t="s">
        <v>1532</v>
      </c>
      <c r="D2053" s="74" t="s">
        <v>80</v>
      </c>
      <c r="E2053" s="74">
        <v>9</v>
      </c>
      <c r="F2053" s="74">
        <v>105.77</v>
      </c>
      <c r="G2053" s="758">
        <f t="shared" si="128"/>
        <v>1.55</v>
      </c>
      <c r="H2053" s="759">
        <f t="shared" si="129"/>
        <v>0</v>
      </c>
      <c r="I2053" s="758">
        <f t="shared" si="130"/>
        <v>10.202222222222222</v>
      </c>
      <c r="J2053" s="760">
        <f t="shared" si="131"/>
        <v>0.86811005010872644</v>
      </c>
    </row>
    <row r="2054" spans="1:10">
      <c r="A2054" s="74" t="s">
        <v>704</v>
      </c>
      <c r="B2054" s="74" t="s">
        <v>689</v>
      </c>
      <c r="C2054" s="74" t="s">
        <v>1511</v>
      </c>
      <c r="D2054" s="74" t="s">
        <v>80</v>
      </c>
      <c r="E2054" s="74">
        <v>10</v>
      </c>
      <c r="F2054" s="74">
        <v>117.73</v>
      </c>
      <c r="G2054" s="758">
        <f t="shared" si="128"/>
        <v>1.55</v>
      </c>
      <c r="H2054" s="759">
        <f t="shared" si="129"/>
        <v>0</v>
      </c>
      <c r="I2054" s="758">
        <f t="shared" si="130"/>
        <v>10.222999999999999</v>
      </c>
      <c r="J2054" s="760">
        <f t="shared" si="131"/>
        <v>0.86834281831308924</v>
      </c>
    </row>
    <row r="2055" spans="1:10">
      <c r="A2055" s="74" t="s">
        <v>704</v>
      </c>
      <c r="B2055" s="74" t="s">
        <v>689</v>
      </c>
      <c r="C2055" s="74" t="s">
        <v>1512</v>
      </c>
      <c r="D2055" s="74" t="s">
        <v>80</v>
      </c>
      <c r="E2055" s="74">
        <v>9</v>
      </c>
      <c r="F2055" s="74">
        <v>105.77</v>
      </c>
      <c r="G2055" s="758">
        <f t="shared" si="128"/>
        <v>1.55</v>
      </c>
      <c r="H2055" s="759">
        <f t="shared" si="129"/>
        <v>0</v>
      </c>
      <c r="I2055" s="758">
        <f t="shared" si="130"/>
        <v>10.202222222222222</v>
      </c>
      <c r="J2055" s="760">
        <f t="shared" si="131"/>
        <v>0.86811005010872644</v>
      </c>
    </row>
    <row r="2056" spans="1:10">
      <c r="A2056" s="74" t="s">
        <v>704</v>
      </c>
      <c r="B2056" s="74" t="s">
        <v>689</v>
      </c>
      <c r="C2056" s="74" t="s">
        <v>1513</v>
      </c>
      <c r="D2056" s="74" t="s">
        <v>81</v>
      </c>
      <c r="E2056" s="74">
        <v>8</v>
      </c>
      <c r="F2056" s="74">
        <v>94.27</v>
      </c>
      <c r="G2056" s="758">
        <f t="shared" si="128"/>
        <v>1.55</v>
      </c>
      <c r="H2056" s="759">
        <f t="shared" si="129"/>
        <v>0</v>
      </c>
      <c r="I2056" s="758">
        <f t="shared" si="130"/>
        <v>10.233749999999999</v>
      </c>
      <c r="J2056" s="760">
        <f t="shared" si="131"/>
        <v>0.86846292563912164</v>
      </c>
    </row>
    <row r="2057" spans="1:10">
      <c r="A2057" s="74" t="s">
        <v>704</v>
      </c>
      <c r="B2057" s="74" t="s">
        <v>689</v>
      </c>
      <c r="C2057" s="74" t="s">
        <v>1514</v>
      </c>
      <c r="D2057" s="74" t="s">
        <v>81</v>
      </c>
      <c r="E2057" s="74">
        <v>3</v>
      </c>
      <c r="F2057" s="74">
        <v>35.18</v>
      </c>
      <c r="G2057" s="758">
        <f t="shared" si="128"/>
        <v>1.55</v>
      </c>
      <c r="H2057" s="759">
        <f t="shared" si="129"/>
        <v>0</v>
      </c>
      <c r="I2057" s="758">
        <f t="shared" si="130"/>
        <v>10.176666666666666</v>
      </c>
      <c r="J2057" s="760">
        <f t="shared" si="131"/>
        <v>0.86782262649232522</v>
      </c>
    </row>
    <row r="2058" spans="1:10">
      <c r="A2058" s="74" t="s">
        <v>704</v>
      </c>
      <c r="B2058" s="74" t="s">
        <v>689</v>
      </c>
      <c r="C2058" s="74" t="s">
        <v>1515</v>
      </c>
      <c r="D2058" s="74" t="s">
        <v>81</v>
      </c>
      <c r="E2058" s="74">
        <v>7</v>
      </c>
      <c r="F2058" s="74">
        <v>82.09</v>
      </c>
      <c r="G2058" s="758">
        <f t="shared" si="128"/>
        <v>1.55</v>
      </c>
      <c r="H2058" s="759">
        <f t="shared" si="129"/>
        <v>0</v>
      </c>
      <c r="I2058" s="758">
        <f t="shared" si="130"/>
        <v>10.177142857142856</v>
      </c>
      <c r="J2058" s="760">
        <f t="shared" si="131"/>
        <v>0.86782799366548913</v>
      </c>
    </row>
    <row r="2059" spans="1:10">
      <c r="A2059" s="74" t="s">
        <v>1743</v>
      </c>
      <c r="B2059" s="74" t="s">
        <v>266</v>
      </c>
      <c r="C2059" s="74" t="s">
        <v>1675</v>
      </c>
      <c r="D2059" s="74" t="s">
        <v>91</v>
      </c>
      <c r="E2059" s="74">
        <v>1</v>
      </c>
      <c r="F2059" s="74">
        <v>1</v>
      </c>
      <c r="G2059" s="758">
        <f t="shared" si="128"/>
        <v>0</v>
      </c>
      <c r="H2059" s="759">
        <f t="shared" si="129"/>
        <v>0</v>
      </c>
      <c r="I2059" s="758">
        <f t="shared" si="130"/>
        <v>1</v>
      </c>
      <c r="J2059" s="760">
        <f t="shared" si="131"/>
        <v>1</v>
      </c>
    </row>
    <row r="2060" spans="1:10">
      <c r="A2060" s="74" t="s">
        <v>1744</v>
      </c>
      <c r="B2060" s="74" t="s">
        <v>877</v>
      </c>
      <c r="C2060" s="74" t="s">
        <v>1605</v>
      </c>
      <c r="D2060" s="74" t="s">
        <v>87</v>
      </c>
      <c r="E2060" s="74">
        <v>3</v>
      </c>
      <c r="F2060" s="74">
        <v>0</v>
      </c>
      <c r="G2060" s="758">
        <f t="shared" si="128"/>
        <v>0</v>
      </c>
      <c r="H2060" s="759">
        <f t="shared" si="129"/>
        <v>0</v>
      </c>
      <c r="I2060" s="758">
        <f t="shared" si="130"/>
        <v>0</v>
      </c>
      <c r="J2060" s="760">
        <f t="shared" si="131"/>
        <v>0</v>
      </c>
    </row>
    <row r="2061" spans="1:10">
      <c r="A2061" s="74" t="s">
        <v>1745</v>
      </c>
      <c r="B2061" s="74" t="s">
        <v>873</v>
      </c>
      <c r="C2061" s="74" t="s">
        <v>1675</v>
      </c>
      <c r="D2061" s="74" t="s">
        <v>91</v>
      </c>
      <c r="E2061" s="74">
        <v>5</v>
      </c>
      <c r="F2061" s="74">
        <v>0</v>
      </c>
      <c r="G2061" s="758">
        <f t="shared" si="128"/>
        <v>0</v>
      </c>
      <c r="H2061" s="759">
        <f t="shared" si="129"/>
        <v>0</v>
      </c>
      <c r="I2061" s="758">
        <f t="shared" si="130"/>
        <v>0</v>
      </c>
      <c r="J2061" s="760">
        <f t="shared" si="131"/>
        <v>0</v>
      </c>
    </row>
    <row r="2062" spans="1:10">
      <c r="A2062" s="74" t="s">
        <v>1044</v>
      </c>
      <c r="B2062" s="74" t="s">
        <v>277</v>
      </c>
      <c r="C2062" s="74" t="s">
        <v>1528</v>
      </c>
      <c r="D2062" s="74" t="s">
        <v>78</v>
      </c>
      <c r="E2062" s="74">
        <v>9</v>
      </c>
      <c r="F2062" s="74">
        <v>83.25</v>
      </c>
      <c r="G2062" s="758">
        <f t="shared" si="128"/>
        <v>0.53</v>
      </c>
      <c r="H2062" s="759">
        <f t="shared" si="129"/>
        <v>0.22</v>
      </c>
      <c r="I2062" s="758">
        <f t="shared" si="130"/>
        <v>8.7200000000000006</v>
      </c>
      <c r="J2062" s="760">
        <f t="shared" si="131"/>
        <v>0.94270270270270273</v>
      </c>
    </row>
    <row r="2063" spans="1:10">
      <c r="A2063" s="74" t="s">
        <v>1044</v>
      </c>
      <c r="B2063" s="74" t="s">
        <v>277</v>
      </c>
      <c r="C2063" s="74" t="s">
        <v>1508</v>
      </c>
      <c r="D2063" s="74" t="s">
        <v>78</v>
      </c>
      <c r="E2063" s="74">
        <v>5</v>
      </c>
      <c r="F2063" s="74">
        <v>46.4</v>
      </c>
      <c r="G2063" s="758">
        <f t="shared" si="128"/>
        <v>0.53</v>
      </c>
      <c r="H2063" s="759">
        <f t="shared" si="129"/>
        <v>0.22</v>
      </c>
      <c r="I2063" s="758">
        <f t="shared" si="130"/>
        <v>8.75</v>
      </c>
      <c r="J2063" s="760">
        <f t="shared" si="131"/>
        <v>0.94288793103448276</v>
      </c>
    </row>
    <row r="2064" spans="1:10">
      <c r="A2064" s="74" t="s">
        <v>1044</v>
      </c>
      <c r="B2064" s="74" t="s">
        <v>277</v>
      </c>
      <c r="C2064" s="74" t="s">
        <v>1509</v>
      </c>
      <c r="D2064" s="74" t="s">
        <v>78</v>
      </c>
      <c r="E2064" s="74">
        <v>9</v>
      </c>
      <c r="F2064" s="74">
        <v>83.25</v>
      </c>
      <c r="G2064" s="758">
        <f t="shared" si="128"/>
        <v>0.53</v>
      </c>
      <c r="H2064" s="759">
        <f t="shared" si="129"/>
        <v>0.22</v>
      </c>
      <c r="I2064" s="758">
        <f t="shared" si="130"/>
        <v>8.7200000000000006</v>
      </c>
      <c r="J2064" s="760">
        <f t="shared" si="131"/>
        <v>0.94270270270270273</v>
      </c>
    </row>
    <row r="2065" spans="1:10">
      <c r="A2065" s="74" t="s">
        <v>1044</v>
      </c>
      <c r="B2065" s="74" t="s">
        <v>277</v>
      </c>
      <c r="C2065" s="74" t="s">
        <v>1565</v>
      </c>
      <c r="D2065" s="74" t="s">
        <v>78</v>
      </c>
      <c r="E2065" s="74">
        <v>5</v>
      </c>
      <c r="F2065" s="74">
        <v>46.25</v>
      </c>
      <c r="G2065" s="758">
        <f t="shared" si="128"/>
        <v>0.53</v>
      </c>
      <c r="H2065" s="759">
        <f t="shared" si="129"/>
        <v>0.22</v>
      </c>
      <c r="I2065" s="758">
        <f t="shared" si="130"/>
        <v>8.7200000000000006</v>
      </c>
      <c r="J2065" s="760">
        <f t="shared" si="131"/>
        <v>0.94270270270270273</v>
      </c>
    </row>
    <row r="2066" spans="1:10">
      <c r="A2066" s="74" t="s">
        <v>1044</v>
      </c>
      <c r="B2066" s="74" t="s">
        <v>277</v>
      </c>
      <c r="C2066" s="74" t="s">
        <v>1532</v>
      </c>
      <c r="D2066" s="74" t="s">
        <v>80</v>
      </c>
      <c r="E2066" s="74">
        <v>3</v>
      </c>
      <c r="F2066" s="74">
        <v>27.9</v>
      </c>
      <c r="G2066" s="758">
        <f t="shared" si="128"/>
        <v>0.53</v>
      </c>
      <c r="H2066" s="759">
        <f t="shared" si="129"/>
        <v>0.22</v>
      </c>
      <c r="I2066" s="758">
        <f t="shared" si="130"/>
        <v>8.77</v>
      </c>
      <c r="J2066" s="760">
        <f t="shared" si="131"/>
        <v>0.94301075268817203</v>
      </c>
    </row>
    <row r="2067" spans="1:10">
      <c r="A2067" s="74" t="s">
        <v>1044</v>
      </c>
      <c r="B2067" s="74" t="s">
        <v>277</v>
      </c>
      <c r="C2067" s="74" t="s">
        <v>1511</v>
      </c>
      <c r="D2067" s="74" t="s">
        <v>80</v>
      </c>
      <c r="E2067" s="74">
        <v>9</v>
      </c>
      <c r="F2067" s="74">
        <v>83.55</v>
      </c>
      <c r="G2067" s="758">
        <f t="shared" si="128"/>
        <v>0.53</v>
      </c>
      <c r="H2067" s="759">
        <f t="shared" si="129"/>
        <v>0.22</v>
      </c>
      <c r="I2067" s="758">
        <f t="shared" si="130"/>
        <v>8.7533333333333339</v>
      </c>
      <c r="J2067" s="760">
        <f t="shared" si="131"/>
        <v>0.9429084380610413</v>
      </c>
    </row>
    <row r="2068" spans="1:10">
      <c r="A2068" s="74" t="s">
        <v>1044</v>
      </c>
      <c r="B2068" s="74" t="s">
        <v>277</v>
      </c>
      <c r="C2068" s="74" t="s">
        <v>1512</v>
      </c>
      <c r="D2068" s="74" t="s">
        <v>80</v>
      </c>
      <c r="E2068" s="74">
        <v>2</v>
      </c>
      <c r="F2068" s="74">
        <v>18.649999999999999</v>
      </c>
      <c r="G2068" s="758">
        <f t="shared" si="128"/>
        <v>0.53</v>
      </c>
      <c r="H2068" s="759">
        <f t="shared" si="129"/>
        <v>0.22</v>
      </c>
      <c r="I2068" s="758">
        <f t="shared" si="130"/>
        <v>8.7949999999999999</v>
      </c>
      <c r="J2068" s="760">
        <f t="shared" si="131"/>
        <v>0.94316353887399462</v>
      </c>
    </row>
    <row r="2069" spans="1:10">
      <c r="A2069" s="74" t="s">
        <v>1044</v>
      </c>
      <c r="B2069" s="74" t="s">
        <v>277</v>
      </c>
      <c r="C2069" s="74" t="s">
        <v>1534</v>
      </c>
      <c r="D2069" s="74" t="s">
        <v>81</v>
      </c>
      <c r="E2069" s="74">
        <v>6</v>
      </c>
      <c r="F2069" s="74">
        <v>55.8</v>
      </c>
      <c r="G2069" s="758">
        <f t="shared" si="128"/>
        <v>0.53</v>
      </c>
      <c r="H2069" s="759">
        <f t="shared" si="129"/>
        <v>0.22</v>
      </c>
      <c r="I2069" s="758">
        <f t="shared" si="130"/>
        <v>8.77</v>
      </c>
      <c r="J2069" s="760">
        <f t="shared" si="131"/>
        <v>0.94301075268817203</v>
      </c>
    </row>
    <row r="2070" spans="1:10">
      <c r="A2070" s="74" t="s">
        <v>1044</v>
      </c>
      <c r="B2070" s="74" t="s">
        <v>277</v>
      </c>
      <c r="C2070" s="74" t="s">
        <v>1513</v>
      </c>
      <c r="D2070" s="74" t="s">
        <v>81</v>
      </c>
      <c r="E2070" s="74">
        <v>10</v>
      </c>
      <c r="F2070" s="74">
        <v>93.85</v>
      </c>
      <c r="G2070" s="758">
        <f t="shared" si="128"/>
        <v>0.53</v>
      </c>
      <c r="H2070" s="759">
        <f t="shared" si="129"/>
        <v>0.22</v>
      </c>
      <c r="I2070" s="758">
        <f t="shared" si="130"/>
        <v>8.8550000000000004</v>
      </c>
      <c r="J2070" s="760">
        <f t="shared" si="131"/>
        <v>0.94352690463505595</v>
      </c>
    </row>
    <row r="2071" spans="1:10">
      <c r="A2071" s="74" t="s">
        <v>1044</v>
      </c>
      <c r="B2071" s="74" t="s">
        <v>277</v>
      </c>
      <c r="C2071" s="74" t="s">
        <v>1514</v>
      </c>
      <c r="D2071" s="74" t="s">
        <v>81</v>
      </c>
      <c r="E2071" s="74">
        <v>5</v>
      </c>
      <c r="F2071" s="74">
        <v>46.7</v>
      </c>
      <c r="G2071" s="758">
        <f t="shared" si="128"/>
        <v>0.53</v>
      </c>
      <c r="H2071" s="759">
        <f t="shared" si="129"/>
        <v>0.22</v>
      </c>
      <c r="I2071" s="758">
        <f t="shared" si="130"/>
        <v>8.81</v>
      </c>
      <c r="J2071" s="760">
        <f t="shared" si="131"/>
        <v>0.94325481798715205</v>
      </c>
    </row>
    <row r="2072" spans="1:10">
      <c r="A2072" s="74" t="s">
        <v>1044</v>
      </c>
      <c r="B2072" s="74" t="s">
        <v>277</v>
      </c>
      <c r="C2072" s="74" t="s">
        <v>1515</v>
      </c>
      <c r="D2072" s="74" t="s">
        <v>81</v>
      </c>
      <c r="E2072" s="74">
        <v>5</v>
      </c>
      <c r="F2072" s="74">
        <v>46.55</v>
      </c>
      <c r="G2072" s="758">
        <f t="shared" si="128"/>
        <v>0.53</v>
      </c>
      <c r="H2072" s="759">
        <f t="shared" si="129"/>
        <v>0.22</v>
      </c>
      <c r="I2072" s="758">
        <f t="shared" si="130"/>
        <v>8.7799999999999994</v>
      </c>
      <c r="J2072" s="760">
        <f t="shared" si="131"/>
        <v>0.9430719656283566</v>
      </c>
    </row>
    <row r="2073" spans="1:10">
      <c r="A2073" s="74" t="s">
        <v>1044</v>
      </c>
      <c r="B2073" s="74" t="s">
        <v>277</v>
      </c>
      <c r="C2073" s="74" t="s">
        <v>1516</v>
      </c>
      <c r="D2073" s="74" t="s">
        <v>82</v>
      </c>
      <c r="E2073" s="74">
        <v>5</v>
      </c>
      <c r="F2073" s="74">
        <v>47.4</v>
      </c>
      <c r="G2073" s="758">
        <f t="shared" si="128"/>
        <v>0.53</v>
      </c>
      <c r="H2073" s="759">
        <f t="shared" si="129"/>
        <v>0.22</v>
      </c>
      <c r="I2073" s="758">
        <f t="shared" si="130"/>
        <v>8.9500000000000011</v>
      </c>
      <c r="J2073" s="760">
        <f t="shared" si="131"/>
        <v>0.94409282700421937</v>
      </c>
    </row>
    <row r="2074" spans="1:10">
      <c r="A2074" s="74" t="s">
        <v>1044</v>
      </c>
      <c r="B2074" s="74" t="s">
        <v>277</v>
      </c>
      <c r="C2074" s="74" t="s">
        <v>1517</v>
      </c>
      <c r="D2074" s="74" t="s">
        <v>82</v>
      </c>
      <c r="E2074" s="74">
        <v>9</v>
      </c>
      <c r="F2074" s="74">
        <v>83.85</v>
      </c>
      <c r="G2074" s="758">
        <f t="shared" si="128"/>
        <v>0.53</v>
      </c>
      <c r="H2074" s="759">
        <f t="shared" si="129"/>
        <v>0.22</v>
      </c>
      <c r="I2074" s="758">
        <f t="shared" si="130"/>
        <v>8.7866666666666671</v>
      </c>
      <c r="J2074" s="760">
        <f t="shared" si="131"/>
        <v>0.94311270125223612</v>
      </c>
    </row>
    <row r="2075" spans="1:10">
      <c r="A2075" s="74" t="s">
        <v>1044</v>
      </c>
      <c r="B2075" s="74" t="s">
        <v>277</v>
      </c>
      <c r="C2075" s="74" t="s">
        <v>1527</v>
      </c>
      <c r="D2075" s="74" t="s">
        <v>82</v>
      </c>
      <c r="E2075" s="74">
        <v>6</v>
      </c>
      <c r="F2075" s="74">
        <v>55.95</v>
      </c>
      <c r="G2075" s="758">
        <f t="shared" si="128"/>
        <v>0.53</v>
      </c>
      <c r="H2075" s="759">
        <f t="shared" si="129"/>
        <v>0.22</v>
      </c>
      <c r="I2075" s="758">
        <f t="shared" si="130"/>
        <v>8.7950000000000017</v>
      </c>
      <c r="J2075" s="760">
        <f t="shared" si="131"/>
        <v>0.94316353887399462</v>
      </c>
    </row>
    <row r="2076" spans="1:10">
      <c r="A2076" s="74" t="s">
        <v>1044</v>
      </c>
      <c r="B2076" s="74" t="s">
        <v>277</v>
      </c>
      <c r="C2076" s="74" t="s">
        <v>1518</v>
      </c>
      <c r="D2076" s="74" t="s">
        <v>82</v>
      </c>
      <c r="E2076" s="74">
        <v>9</v>
      </c>
      <c r="F2076" s="74">
        <v>140.4</v>
      </c>
      <c r="G2076" s="758">
        <f t="shared" si="128"/>
        <v>0.53</v>
      </c>
      <c r="H2076" s="759">
        <f t="shared" si="129"/>
        <v>0.22</v>
      </c>
      <c r="I2076" s="758">
        <f t="shared" si="130"/>
        <v>15.070000000000002</v>
      </c>
      <c r="J2076" s="760">
        <f t="shared" si="131"/>
        <v>0.96602564102564104</v>
      </c>
    </row>
    <row r="2077" spans="1:10">
      <c r="A2077" s="74" t="s">
        <v>1044</v>
      </c>
      <c r="B2077" s="74" t="s">
        <v>277</v>
      </c>
      <c r="C2077" s="74" t="s">
        <v>1519</v>
      </c>
      <c r="D2077" s="74" t="s">
        <v>84</v>
      </c>
      <c r="E2077" s="74">
        <v>1</v>
      </c>
      <c r="F2077" s="74">
        <v>9.4</v>
      </c>
      <c r="G2077" s="758">
        <f t="shared" si="128"/>
        <v>0.53</v>
      </c>
      <c r="H2077" s="759">
        <f t="shared" si="129"/>
        <v>0.22</v>
      </c>
      <c r="I2077" s="758">
        <f t="shared" si="130"/>
        <v>8.870000000000001</v>
      </c>
      <c r="J2077" s="760">
        <f t="shared" si="131"/>
        <v>0.94361702127659575</v>
      </c>
    </row>
    <row r="2078" spans="1:10">
      <c r="A2078" s="74" t="s">
        <v>1044</v>
      </c>
      <c r="B2078" s="74" t="s">
        <v>277</v>
      </c>
      <c r="C2078" s="74" t="s">
        <v>1578</v>
      </c>
      <c r="D2078" s="74" t="s">
        <v>86</v>
      </c>
      <c r="E2078" s="74">
        <v>1</v>
      </c>
      <c r="F2078" s="74">
        <v>9.25</v>
      </c>
      <c r="G2078" s="758">
        <f t="shared" si="128"/>
        <v>0.53</v>
      </c>
      <c r="H2078" s="759">
        <f t="shared" si="129"/>
        <v>0.22</v>
      </c>
      <c r="I2078" s="758">
        <f t="shared" si="130"/>
        <v>8.7200000000000006</v>
      </c>
      <c r="J2078" s="760">
        <f t="shared" si="131"/>
        <v>0.94270270270270273</v>
      </c>
    </row>
    <row r="2079" spans="1:10">
      <c r="A2079" s="74" t="s">
        <v>1044</v>
      </c>
      <c r="B2079" s="74" t="s">
        <v>277</v>
      </c>
      <c r="C2079" s="74" t="s">
        <v>1541</v>
      </c>
      <c r="D2079" s="74" t="s">
        <v>86</v>
      </c>
      <c r="E2079" s="74">
        <v>2</v>
      </c>
      <c r="F2079" s="74">
        <v>18.649999999999999</v>
      </c>
      <c r="G2079" s="758">
        <f t="shared" si="128"/>
        <v>0.53</v>
      </c>
      <c r="H2079" s="759">
        <f t="shared" si="129"/>
        <v>0.22</v>
      </c>
      <c r="I2079" s="758">
        <f t="shared" si="130"/>
        <v>8.7949999999999999</v>
      </c>
      <c r="J2079" s="760">
        <f t="shared" si="131"/>
        <v>0.94316353887399462</v>
      </c>
    </row>
    <row r="2080" spans="1:10">
      <c r="A2080" s="74" t="s">
        <v>1044</v>
      </c>
      <c r="B2080" s="74" t="s">
        <v>277</v>
      </c>
      <c r="C2080" s="74" t="s">
        <v>1555</v>
      </c>
      <c r="D2080" s="74" t="s">
        <v>94</v>
      </c>
      <c r="E2080" s="74">
        <v>1</v>
      </c>
      <c r="F2080" s="74">
        <v>9.25</v>
      </c>
      <c r="G2080" s="758">
        <f t="shared" si="128"/>
        <v>0.53</v>
      </c>
      <c r="H2080" s="759">
        <f t="shared" si="129"/>
        <v>0.22</v>
      </c>
      <c r="I2080" s="758">
        <f t="shared" si="130"/>
        <v>8.7200000000000006</v>
      </c>
      <c r="J2080" s="760">
        <f t="shared" si="131"/>
        <v>0.94270270270270273</v>
      </c>
    </row>
    <row r="2081" spans="1:10">
      <c r="A2081" s="74" t="s">
        <v>707</v>
      </c>
      <c r="B2081" s="74" t="s">
        <v>256</v>
      </c>
      <c r="C2081" s="74" t="s">
        <v>1528</v>
      </c>
      <c r="D2081" s="74" t="s">
        <v>78</v>
      </c>
      <c r="E2081" s="74">
        <v>3</v>
      </c>
      <c r="F2081" s="74">
        <v>25.23</v>
      </c>
      <c r="G2081" s="758">
        <f t="shared" si="128"/>
        <v>0.53</v>
      </c>
      <c r="H2081" s="759">
        <f t="shared" si="129"/>
        <v>0.22</v>
      </c>
      <c r="I2081" s="758">
        <f t="shared" si="130"/>
        <v>7.88</v>
      </c>
      <c r="J2081" s="760">
        <f t="shared" si="131"/>
        <v>0.93697978596908438</v>
      </c>
    </row>
    <row r="2082" spans="1:10">
      <c r="A2082" s="74" t="s">
        <v>707</v>
      </c>
      <c r="B2082" s="74" t="s">
        <v>256</v>
      </c>
      <c r="C2082" s="74" t="s">
        <v>1508</v>
      </c>
      <c r="D2082" s="74" t="s">
        <v>78</v>
      </c>
      <c r="E2082" s="74">
        <v>4</v>
      </c>
      <c r="F2082" s="74">
        <v>33.770000000000003</v>
      </c>
      <c r="G2082" s="758">
        <f t="shared" si="128"/>
        <v>0.53</v>
      </c>
      <c r="H2082" s="759">
        <f t="shared" si="129"/>
        <v>0.22</v>
      </c>
      <c r="I2082" s="758">
        <f t="shared" si="130"/>
        <v>7.9125000000000005</v>
      </c>
      <c r="J2082" s="760">
        <f t="shared" si="131"/>
        <v>0.93722238673378744</v>
      </c>
    </row>
    <row r="2083" spans="1:10">
      <c r="A2083" s="74" t="s">
        <v>707</v>
      </c>
      <c r="B2083" s="74" t="s">
        <v>256</v>
      </c>
      <c r="C2083" s="74" t="s">
        <v>1509</v>
      </c>
      <c r="D2083" s="74" t="s">
        <v>78</v>
      </c>
      <c r="E2083" s="74">
        <v>1</v>
      </c>
      <c r="F2083" s="74">
        <v>8.41</v>
      </c>
      <c r="G2083" s="758">
        <f t="shared" si="128"/>
        <v>0.53</v>
      </c>
      <c r="H2083" s="759">
        <f t="shared" si="129"/>
        <v>0.22</v>
      </c>
      <c r="I2083" s="758">
        <f t="shared" si="130"/>
        <v>7.88</v>
      </c>
      <c r="J2083" s="760">
        <f t="shared" si="131"/>
        <v>0.93697978596908438</v>
      </c>
    </row>
    <row r="2084" spans="1:10">
      <c r="A2084" s="74" t="s">
        <v>707</v>
      </c>
      <c r="B2084" s="74" t="s">
        <v>256</v>
      </c>
      <c r="C2084" s="74" t="s">
        <v>1565</v>
      </c>
      <c r="D2084" s="74" t="s">
        <v>78</v>
      </c>
      <c r="E2084" s="74">
        <v>2</v>
      </c>
      <c r="F2084" s="74">
        <v>16.82</v>
      </c>
      <c r="G2084" s="758">
        <f t="shared" si="128"/>
        <v>0.53</v>
      </c>
      <c r="H2084" s="759">
        <f t="shared" si="129"/>
        <v>0.22</v>
      </c>
      <c r="I2084" s="758">
        <f t="shared" si="130"/>
        <v>7.88</v>
      </c>
      <c r="J2084" s="760">
        <f t="shared" si="131"/>
        <v>0.93697978596908438</v>
      </c>
    </row>
    <row r="2085" spans="1:10">
      <c r="A2085" s="74" t="s">
        <v>707</v>
      </c>
      <c r="B2085" s="74" t="s">
        <v>256</v>
      </c>
      <c r="C2085" s="74" t="s">
        <v>1530</v>
      </c>
      <c r="D2085" s="74" t="s">
        <v>80</v>
      </c>
      <c r="E2085" s="74">
        <v>11</v>
      </c>
      <c r="F2085" s="74">
        <v>95.45</v>
      </c>
      <c r="G2085" s="758">
        <f t="shared" si="128"/>
        <v>0.53</v>
      </c>
      <c r="H2085" s="759">
        <f t="shared" si="129"/>
        <v>0.22</v>
      </c>
      <c r="I2085" s="758">
        <f t="shared" si="130"/>
        <v>8.1472727272727283</v>
      </c>
      <c r="J2085" s="760">
        <f t="shared" si="131"/>
        <v>0.93892090099528547</v>
      </c>
    </row>
    <row r="2086" spans="1:10">
      <c r="A2086" s="74" t="s">
        <v>707</v>
      </c>
      <c r="B2086" s="74" t="s">
        <v>256</v>
      </c>
      <c r="C2086" s="74" t="s">
        <v>1532</v>
      </c>
      <c r="D2086" s="74" t="s">
        <v>80</v>
      </c>
      <c r="E2086" s="74">
        <v>11</v>
      </c>
      <c r="F2086" s="74">
        <v>95.45</v>
      </c>
      <c r="G2086" s="758">
        <f t="shared" si="128"/>
        <v>0.53</v>
      </c>
      <c r="H2086" s="759">
        <f t="shared" si="129"/>
        <v>0.22</v>
      </c>
      <c r="I2086" s="758">
        <f t="shared" si="130"/>
        <v>8.1472727272727283</v>
      </c>
      <c r="J2086" s="760">
        <f t="shared" si="131"/>
        <v>0.93892090099528547</v>
      </c>
    </row>
    <row r="2087" spans="1:10">
      <c r="A2087" s="74" t="s">
        <v>707</v>
      </c>
      <c r="B2087" s="74" t="s">
        <v>256</v>
      </c>
      <c r="C2087" s="74" t="s">
        <v>1511</v>
      </c>
      <c r="D2087" s="74" t="s">
        <v>80</v>
      </c>
      <c r="E2087" s="74">
        <v>15</v>
      </c>
      <c r="F2087" s="74">
        <v>130.22999999999999</v>
      </c>
      <c r="G2087" s="758">
        <f t="shared" si="128"/>
        <v>0.53</v>
      </c>
      <c r="H2087" s="759">
        <f t="shared" si="129"/>
        <v>0.22</v>
      </c>
      <c r="I2087" s="758">
        <f t="shared" si="130"/>
        <v>8.1519999999999992</v>
      </c>
      <c r="J2087" s="760">
        <f t="shared" si="131"/>
        <v>0.93895415802810411</v>
      </c>
    </row>
    <row r="2088" spans="1:10">
      <c r="A2088" s="74" t="s">
        <v>707</v>
      </c>
      <c r="B2088" s="74" t="s">
        <v>256</v>
      </c>
      <c r="C2088" s="74" t="s">
        <v>1512</v>
      </c>
      <c r="D2088" s="74" t="s">
        <v>80</v>
      </c>
      <c r="E2088" s="74">
        <v>12</v>
      </c>
      <c r="F2088" s="74">
        <v>103.86</v>
      </c>
      <c r="G2088" s="758">
        <f t="shared" si="128"/>
        <v>0.53</v>
      </c>
      <c r="H2088" s="759">
        <f t="shared" si="129"/>
        <v>0.22</v>
      </c>
      <c r="I2088" s="758">
        <f t="shared" si="130"/>
        <v>8.125</v>
      </c>
      <c r="J2088" s="760">
        <f t="shared" si="131"/>
        <v>0.93876372039283651</v>
      </c>
    </row>
    <row r="2089" spans="1:10">
      <c r="A2089" s="74" t="s">
        <v>707</v>
      </c>
      <c r="B2089" s="74" t="s">
        <v>256</v>
      </c>
      <c r="C2089" s="74" t="s">
        <v>1513</v>
      </c>
      <c r="D2089" s="74" t="s">
        <v>81</v>
      </c>
      <c r="E2089" s="74">
        <v>20</v>
      </c>
      <c r="F2089" s="74">
        <v>174.55</v>
      </c>
      <c r="G2089" s="758">
        <f t="shared" si="128"/>
        <v>0.53</v>
      </c>
      <c r="H2089" s="759">
        <f t="shared" si="129"/>
        <v>0.22</v>
      </c>
      <c r="I2089" s="758">
        <f t="shared" si="130"/>
        <v>8.1975000000000016</v>
      </c>
      <c r="J2089" s="760">
        <f t="shared" si="131"/>
        <v>0.93927241478086509</v>
      </c>
    </row>
    <row r="2090" spans="1:10">
      <c r="A2090" s="74" t="s">
        <v>707</v>
      </c>
      <c r="B2090" s="74" t="s">
        <v>256</v>
      </c>
      <c r="C2090" s="74" t="s">
        <v>1514</v>
      </c>
      <c r="D2090" s="74" t="s">
        <v>81</v>
      </c>
      <c r="E2090" s="74">
        <v>7</v>
      </c>
      <c r="F2090" s="74">
        <v>60.45</v>
      </c>
      <c r="G2090" s="758">
        <f t="shared" si="128"/>
        <v>0.53</v>
      </c>
      <c r="H2090" s="759">
        <f t="shared" si="129"/>
        <v>0.22</v>
      </c>
      <c r="I2090" s="758">
        <f t="shared" si="130"/>
        <v>8.1057142857142868</v>
      </c>
      <c r="J2090" s="760">
        <f t="shared" si="131"/>
        <v>0.93862696443341609</v>
      </c>
    </row>
    <row r="2091" spans="1:10">
      <c r="A2091" s="74" t="s">
        <v>707</v>
      </c>
      <c r="B2091" s="74" t="s">
        <v>256</v>
      </c>
      <c r="C2091" s="74" t="s">
        <v>1515</v>
      </c>
      <c r="D2091" s="74" t="s">
        <v>81</v>
      </c>
      <c r="E2091" s="74">
        <v>7</v>
      </c>
      <c r="F2091" s="74">
        <v>60.91</v>
      </c>
      <c r="G2091" s="758">
        <f t="shared" si="128"/>
        <v>0.53</v>
      </c>
      <c r="H2091" s="759">
        <f t="shared" si="129"/>
        <v>0.22</v>
      </c>
      <c r="I2091" s="758">
        <f t="shared" si="130"/>
        <v>8.1714285714285708</v>
      </c>
      <c r="J2091" s="760">
        <f t="shared" si="131"/>
        <v>0.93909046133639795</v>
      </c>
    </row>
    <row r="2092" spans="1:10">
      <c r="A2092" s="74" t="s">
        <v>1746</v>
      </c>
      <c r="B2092" s="74" t="s">
        <v>877</v>
      </c>
      <c r="C2092" s="74" t="s">
        <v>1524</v>
      </c>
      <c r="D2092" s="74" t="s">
        <v>91</v>
      </c>
      <c r="E2092" s="74">
        <v>4</v>
      </c>
      <c r="F2092" s="74">
        <v>0</v>
      </c>
      <c r="G2092" s="758">
        <f t="shared" si="128"/>
        <v>0</v>
      </c>
      <c r="H2092" s="759">
        <f t="shared" si="129"/>
        <v>0</v>
      </c>
      <c r="I2092" s="758">
        <f t="shared" si="130"/>
        <v>0</v>
      </c>
      <c r="J2092" s="760">
        <f t="shared" si="131"/>
        <v>0</v>
      </c>
    </row>
    <row r="2093" spans="1:10">
      <c r="A2093" s="74" t="s">
        <v>688</v>
      </c>
      <c r="B2093" s="74" t="s">
        <v>689</v>
      </c>
      <c r="C2093" s="74" t="s">
        <v>1528</v>
      </c>
      <c r="D2093" s="74" t="s">
        <v>78</v>
      </c>
      <c r="E2093" s="74">
        <v>6</v>
      </c>
      <c r="F2093" s="74">
        <v>59.45</v>
      </c>
      <c r="G2093" s="758">
        <f t="shared" si="128"/>
        <v>0</v>
      </c>
      <c r="H2093" s="759">
        <f t="shared" si="129"/>
        <v>0</v>
      </c>
      <c r="I2093" s="758">
        <f t="shared" si="130"/>
        <v>9.9083333333333332</v>
      </c>
      <c r="J2093" s="760">
        <f t="shared" si="131"/>
        <v>1</v>
      </c>
    </row>
    <row r="2094" spans="1:10">
      <c r="A2094" s="74" t="s">
        <v>688</v>
      </c>
      <c r="B2094" s="74" t="s">
        <v>689</v>
      </c>
      <c r="C2094" s="74" t="s">
        <v>1508</v>
      </c>
      <c r="D2094" s="74" t="s">
        <v>78</v>
      </c>
      <c r="E2094" s="74">
        <v>6</v>
      </c>
      <c r="F2094" s="74">
        <v>59.59</v>
      </c>
      <c r="G2094" s="758">
        <f t="shared" si="128"/>
        <v>0</v>
      </c>
      <c r="H2094" s="759">
        <f t="shared" si="129"/>
        <v>0</v>
      </c>
      <c r="I2094" s="758">
        <f t="shared" si="130"/>
        <v>9.9316666666666666</v>
      </c>
      <c r="J2094" s="760">
        <f t="shared" si="131"/>
        <v>1</v>
      </c>
    </row>
    <row r="2095" spans="1:10">
      <c r="A2095" s="74" t="s">
        <v>688</v>
      </c>
      <c r="B2095" s="74" t="s">
        <v>689</v>
      </c>
      <c r="C2095" s="74" t="s">
        <v>1509</v>
      </c>
      <c r="D2095" s="74" t="s">
        <v>78</v>
      </c>
      <c r="E2095" s="74">
        <v>3</v>
      </c>
      <c r="F2095" s="74">
        <v>29.73</v>
      </c>
      <c r="G2095" s="758">
        <f t="shared" si="128"/>
        <v>0</v>
      </c>
      <c r="H2095" s="759">
        <f t="shared" si="129"/>
        <v>0</v>
      </c>
      <c r="I2095" s="758">
        <f t="shared" si="130"/>
        <v>9.91</v>
      </c>
      <c r="J2095" s="760">
        <f t="shared" si="131"/>
        <v>1</v>
      </c>
    </row>
    <row r="2096" spans="1:10">
      <c r="A2096" s="74" t="s">
        <v>688</v>
      </c>
      <c r="B2096" s="74" t="s">
        <v>689</v>
      </c>
      <c r="C2096" s="74" t="s">
        <v>1565</v>
      </c>
      <c r="D2096" s="74" t="s">
        <v>78</v>
      </c>
      <c r="E2096" s="74">
        <v>5</v>
      </c>
      <c r="F2096" s="74">
        <v>49.55</v>
      </c>
      <c r="G2096" s="758">
        <f t="shared" si="128"/>
        <v>0</v>
      </c>
      <c r="H2096" s="759">
        <f t="shared" si="129"/>
        <v>0</v>
      </c>
      <c r="I2096" s="758">
        <f t="shared" si="130"/>
        <v>9.91</v>
      </c>
      <c r="J2096" s="760">
        <f t="shared" si="131"/>
        <v>1</v>
      </c>
    </row>
    <row r="2097" spans="1:10">
      <c r="A2097" s="74" t="s">
        <v>688</v>
      </c>
      <c r="B2097" s="74" t="s">
        <v>689</v>
      </c>
      <c r="C2097" s="74" t="s">
        <v>1530</v>
      </c>
      <c r="D2097" s="74" t="s">
        <v>80</v>
      </c>
      <c r="E2097" s="74">
        <v>3</v>
      </c>
      <c r="F2097" s="74">
        <v>29.73</v>
      </c>
      <c r="G2097" s="758">
        <f t="shared" si="128"/>
        <v>0</v>
      </c>
      <c r="H2097" s="759">
        <f t="shared" si="129"/>
        <v>0</v>
      </c>
      <c r="I2097" s="758">
        <f t="shared" si="130"/>
        <v>9.91</v>
      </c>
      <c r="J2097" s="760">
        <f t="shared" si="131"/>
        <v>1</v>
      </c>
    </row>
    <row r="2098" spans="1:10">
      <c r="A2098" s="74" t="s">
        <v>688</v>
      </c>
      <c r="B2098" s="74" t="s">
        <v>689</v>
      </c>
      <c r="C2098" s="74" t="s">
        <v>1532</v>
      </c>
      <c r="D2098" s="74" t="s">
        <v>80</v>
      </c>
      <c r="E2098" s="74">
        <v>3</v>
      </c>
      <c r="F2098" s="74">
        <v>29.73</v>
      </c>
      <c r="G2098" s="758">
        <f t="shared" si="128"/>
        <v>0</v>
      </c>
      <c r="H2098" s="759">
        <f t="shared" si="129"/>
        <v>0</v>
      </c>
      <c r="I2098" s="758">
        <f t="shared" si="130"/>
        <v>9.91</v>
      </c>
      <c r="J2098" s="760">
        <f t="shared" si="131"/>
        <v>1</v>
      </c>
    </row>
    <row r="2099" spans="1:10">
      <c r="A2099" s="74" t="s">
        <v>688</v>
      </c>
      <c r="B2099" s="74" t="s">
        <v>689</v>
      </c>
      <c r="C2099" s="74" t="s">
        <v>1511</v>
      </c>
      <c r="D2099" s="74" t="s">
        <v>80</v>
      </c>
      <c r="E2099" s="74">
        <v>7</v>
      </c>
      <c r="F2099" s="74">
        <v>69.36</v>
      </c>
      <c r="G2099" s="758">
        <f t="shared" si="128"/>
        <v>0</v>
      </c>
      <c r="H2099" s="759">
        <f t="shared" si="129"/>
        <v>0</v>
      </c>
      <c r="I2099" s="758">
        <f t="shared" si="130"/>
        <v>9.9085714285714293</v>
      </c>
      <c r="J2099" s="760">
        <f t="shared" si="131"/>
        <v>1</v>
      </c>
    </row>
    <row r="2100" spans="1:10">
      <c r="A2100" s="74" t="s">
        <v>688</v>
      </c>
      <c r="B2100" s="74" t="s">
        <v>689</v>
      </c>
      <c r="C2100" s="74" t="s">
        <v>1512</v>
      </c>
      <c r="D2100" s="74" t="s">
        <v>80</v>
      </c>
      <c r="E2100" s="74">
        <v>7</v>
      </c>
      <c r="F2100" s="74">
        <v>69.819999999999993</v>
      </c>
      <c r="G2100" s="758">
        <f t="shared" si="128"/>
        <v>0</v>
      </c>
      <c r="H2100" s="759">
        <f t="shared" si="129"/>
        <v>0</v>
      </c>
      <c r="I2100" s="758">
        <f t="shared" si="130"/>
        <v>9.9742857142857133</v>
      </c>
      <c r="J2100" s="760">
        <f t="shared" si="131"/>
        <v>1</v>
      </c>
    </row>
    <row r="2101" spans="1:10">
      <c r="A2101" s="74" t="s">
        <v>688</v>
      </c>
      <c r="B2101" s="74" t="s">
        <v>689</v>
      </c>
      <c r="C2101" s="74" t="s">
        <v>1513</v>
      </c>
      <c r="D2101" s="74" t="s">
        <v>81</v>
      </c>
      <c r="E2101" s="74">
        <v>10</v>
      </c>
      <c r="F2101" s="74">
        <v>99.09</v>
      </c>
      <c r="G2101" s="758">
        <f t="shared" si="128"/>
        <v>0</v>
      </c>
      <c r="H2101" s="759">
        <f t="shared" si="129"/>
        <v>0</v>
      </c>
      <c r="I2101" s="758">
        <f t="shared" si="130"/>
        <v>9.9090000000000007</v>
      </c>
      <c r="J2101" s="760">
        <f t="shared" si="131"/>
        <v>1</v>
      </c>
    </row>
    <row r="2102" spans="1:10">
      <c r="A2102" s="74" t="s">
        <v>688</v>
      </c>
      <c r="B2102" s="74" t="s">
        <v>689</v>
      </c>
      <c r="C2102" s="74" t="s">
        <v>1514</v>
      </c>
      <c r="D2102" s="74" t="s">
        <v>81</v>
      </c>
      <c r="E2102" s="74">
        <v>7</v>
      </c>
      <c r="F2102" s="74">
        <v>69.36</v>
      </c>
      <c r="G2102" s="758">
        <f t="shared" si="128"/>
        <v>0</v>
      </c>
      <c r="H2102" s="759">
        <f t="shared" si="129"/>
        <v>0</v>
      </c>
      <c r="I2102" s="758">
        <f t="shared" si="130"/>
        <v>9.9085714285714293</v>
      </c>
      <c r="J2102" s="760">
        <f t="shared" si="131"/>
        <v>1</v>
      </c>
    </row>
    <row r="2103" spans="1:10">
      <c r="A2103" s="74" t="s">
        <v>688</v>
      </c>
      <c r="B2103" s="74" t="s">
        <v>689</v>
      </c>
      <c r="C2103" s="74" t="s">
        <v>1515</v>
      </c>
      <c r="D2103" s="74" t="s">
        <v>81</v>
      </c>
      <c r="E2103" s="74">
        <v>5</v>
      </c>
      <c r="F2103" s="74">
        <v>49.77</v>
      </c>
      <c r="G2103" s="758">
        <f t="shared" si="128"/>
        <v>0</v>
      </c>
      <c r="H2103" s="759">
        <f t="shared" si="129"/>
        <v>0</v>
      </c>
      <c r="I2103" s="758">
        <f t="shared" si="130"/>
        <v>9.9540000000000006</v>
      </c>
      <c r="J2103" s="760">
        <f t="shared" si="131"/>
        <v>1</v>
      </c>
    </row>
    <row r="2104" spans="1:10">
      <c r="A2104" s="74" t="s">
        <v>719</v>
      </c>
      <c r="B2104" s="74" t="s">
        <v>689</v>
      </c>
      <c r="C2104" s="74" t="s">
        <v>1528</v>
      </c>
      <c r="D2104" s="74" t="s">
        <v>78</v>
      </c>
      <c r="E2104" s="74">
        <v>2</v>
      </c>
      <c r="F2104" s="74">
        <v>23.45</v>
      </c>
      <c r="G2104" s="758">
        <f t="shared" si="128"/>
        <v>1.55</v>
      </c>
      <c r="H2104" s="759">
        <f t="shared" si="129"/>
        <v>0</v>
      </c>
      <c r="I2104" s="758">
        <f t="shared" si="130"/>
        <v>10.174999999999999</v>
      </c>
      <c r="J2104" s="760">
        <f t="shared" si="131"/>
        <v>0.86780383795309168</v>
      </c>
    </row>
    <row r="2105" spans="1:10">
      <c r="A2105" s="74" t="s">
        <v>719</v>
      </c>
      <c r="B2105" s="74" t="s">
        <v>689</v>
      </c>
      <c r="C2105" s="74" t="s">
        <v>1508</v>
      </c>
      <c r="D2105" s="74" t="s">
        <v>78</v>
      </c>
      <c r="E2105" s="74">
        <v>3</v>
      </c>
      <c r="F2105" s="74">
        <v>35.18</v>
      </c>
      <c r="G2105" s="758">
        <f t="shared" si="128"/>
        <v>1.55</v>
      </c>
      <c r="H2105" s="759">
        <f t="shared" si="129"/>
        <v>0</v>
      </c>
      <c r="I2105" s="758">
        <f t="shared" si="130"/>
        <v>10.176666666666666</v>
      </c>
      <c r="J2105" s="760">
        <f t="shared" si="131"/>
        <v>0.86782262649232522</v>
      </c>
    </row>
    <row r="2106" spans="1:10">
      <c r="A2106" s="74" t="s">
        <v>719</v>
      </c>
      <c r="B2106" s="74" t="s">
        <v>689</v>
      </c>
      <c r="C2106" s="74" t="s">
        <v>1509</v>
      </c>
      <c r="D2106" s="74" t="s">
        <v>78</v>
      </c>
      <c r="E2106" s="74">
        <v>2</v>
      </c>
      <c r="F2106" s="74">
        <v>23.45</v>
      </c>
      <c r="G2106" s="758">
        <f t="shared" si="128"/>
        <v>1.55</v>
      </c>
      <c r="H2106" s="759">
        <f t="shared" si="129"/>
        <v>0</v>
      </c>
      <c r="I2106" s="758">
        <f t="shared" si="130"/>
        <v>10.174999999999999</v>
      </c>
      <c r="J2106" s="760">
        <f t="shared" si="131"/>
        <v>0.86780383795309168</v>
      </c>
    </row>
    <row r="2107" spans="1:10">
      <c r="A2107" s="74" t="s">
        <v>719</v>
      </c>
      <c r="B2107" s="74" t="s">
        <v>689</v>
      </c>
      <c r="C2107" s="74" t="s">
        <v>1565</v>
      </c>
      <c r="D2107" s="74" t="s">
        <v>78</v>
      </c>
      <c r="E2107" s="74">
        <v>1</v>
      </c>
      <c r="F2107" s="74">
        <v>11.73</v>
      </c>
      <c r="G2107" s="758">
        <f t="shared" si="128"/>
        <v>1.55</v>
      </c>
      <c r="H2107" s="759">
        <f t="shared" si="129"/>
        <v>0</v>
      </c>
      <c r="I2107" s="758">
        <f t="shared" si="130"/>
        <v>10.18</v>
      </c>
      <c r="J2107" s="760">
        <f t="shared" si="131"/>
        <v>0.8678601875532822</v>
      </c>
    </row>
    <row r="2108" spans="1:10">
      <c r="A2108" s="74" t="s">
        <v>719</v>
      </c>
      <c r="B2108" s="74" t="s">
        <v>689</v>
      </c>
      <c r="C2108" s="74" t="s">
        <v>1511</v>
      </c>
      <c r="D2108" s="74" t="s">
        <v>80</v>
      </c>
      <c r="E2108" s="74">
        <v>3</v>
      </c>
      <c r="F2108" s="74">
        <v>35.18</v>
      </c>
      <c r="G2108" s="758">
        <f t="shared" si="128"/>
        <v>1.55</v>
      </c>
      <c r="H2108" s="759">
        <f t="shared" si="129"/>
        <v>0</v>
      </c>
      <c r="I2108" s="758">
        <f t="shared" si="130"/>
        <v>10.176666666666666</v>
      </c>
      <c r="J2108" s="760">
        <f t="shared" si="131"/>
        <v>0.86782262649232522</v>
      </c>
    </row>
    <row r="2109" spans="1:10">
      <c r="A2109" s="74" t="s">
        <v>719</v>
      </c>
      <c r="B2109" s="74" t="s">
        <v>689</v>
      </c>
      <c r="C2109" s="74" t="s">
        <v>1543</v>
      </c>
      <c r="D2109" s="74" t="s">
        <v>87</v>
      </c>
      <c r="E2109" s="74">
        <v>4</v>
      </c>
      <c r="F2109" s="74">
        <v>0</v>
      </c>
      <c r="G2109" s="758">
        <f t="shared" si="128"/>
        <v>1.55</v>
      </c>
      <c r="H2109" s="759">
        <f t="shared" si="129"/>
        <v>0</v>
      </c>
      <c r="I2109" s="758">
        <f t="shared" si="130"/>
        <v>-1.55</v>
      </c>
      <c r="J2109" s="760">
        <f t="shared" si="131"/>
        <v>0</v>
      </c>
    </row>
    <row r="2110" spans="1:10">
      <c r="A2110" s="74" t="s">
        <v>1747</v>
      </c>
      <c r="B2110" s="74" t="s">
        <v>877</v>
      </c>
      <c r="C2110" s="74" t="s">
        <v>1508</v>
      </c>
      <c r="D2110" s="74" t="s">
        <v>78</v>
      </c>
      <c r="E2110" s="74">
        <v>3</v>
      </c>
      <c r="F2110" s="74">
        <v>0</v>
      </c>
      <c r="G2110" s="758">
        <f t="shared" si="128"/>
        <v>1.55</v>
      </c>
      <c r="H2110" s="759">
        <f t="shared" si="129"/>
        <v>0</v>
      </c>
      <c r="I2110" s="758">
        <f t="shared" si="130"/>
        <v>-1.55</v>
      </c>
      <c r="J2110" s="760">
        <f t="shared" si="131"/>
        <v>0</v>
      </c>
    </row>
    <row r="2111" spans="1:10">
      <c r="A2111" s="74" t="s">
        <v>1747</v>
      </c>
      <c r="B2111" s="74" t="s">
        <v>877</v>
      </c>
      <c r="C2111" s="74" t="s">
        <v>1509</v>
      </c>
      <c r="D2111" s="74" t="s">
        <v>78</v>
      </c>
      <c r="E2111" s="74">
        <v>2</v>
      </c>
      <c r="F2111" s="74">
        <v>0</v>
      </c>
      <c r="G2111" s="758">
        <f t="shared" si="128"/>
        <v>1.55</v>
      </c>
      <c r="H2111" s="759">
        <f t="shared" si="129"/>
        <v>0</v>
      </c>
      <c r="I2111" s="758">
        <f t="shared" si="130"/>
        <v>-1.55</v>
      </c>
      <c r="J2111" s="760">
        <f t="shared" si="131"/>
        <v>0</v>
      </c>
    </row>
    <row r="2112" spans="1:10">
      <c r="A2112" s="74" t="s">
        <v>1747</v>
      </c>
      <c r="B2112" s="74" t="s">
        <v>877</v>
      </c>
      <c r="C2112" s="74" t="s">
        <v>1530</v>
      </c>
      <c r="D2112" s="74" t="s">
        <v>80</v>
      </c>
      <c r="E2112" s="74">
        <v>4</v>
      </c>
      <c r="F2112" s="74">
        <v>0</v>
      </c>
      <c r="G2112" s="758">
        <f t="shared" si="128"/>
        <v>1.55</v>
      </c>
      <c r="H2112" s="759">
        <f t="shared" si="129"/>
        <v>0</v>
      </c>
      <c r="I2112" s="758">
        <f t="shared" si="130"/>
        <v>-1.55</v>
      </c>
      <c r="J2112" s="760">
        <f t="shared" si="131"/>
        <v>0</v>
      </c>
    </row>
    <row r="2113" spans="1:10">
      <c r="A2113" s="74" t="s">
        <v>1747</v>
      </c>
      <c r="B2113" s="74" t="s">
        <v>877</v>
      </c>
      <c r="C2113" s="74" t="s">
        <v>1514</v>
      </c>
      <c r="D2113" s="74" t="s">
        <v>81</v>
      </c>
      <c r="E2113" s="74">
        <v>2</v>
      </c>
      <c r="F2113" s="74">
        <v>0</v>
      </c>
      <c r="G2113" s="758">
        <f t="shared" si="128"/>
        <v>1.55</v>
      </c>
      <c r="H2113" s="759">
        <f t="shared" si="129"/>
        <v>0</v>
      </c>
      <c r="I2113" s="758">
        <f t="shared" si="130"/>
        <v>-1.55</v>
      </c>
      <c r="J2113" s="760">
        <f t="shared" si="131"/>
        <v>0</v>
      </c>
    </row>
    <row r="2114" spans="1:10">
      <c r="A2114" s="74" t="s">
        <v>701</v>
      </c>
      <c r="B2114" s="74" t="s">
        <v>689</v>
      </c>
      <c r="C2114" s="74" t="s">
        <v>1528</v>
      </c>
      <c r="D2114" s="74" t="s">
        <v>78</v>
      </c>
      <c r="E2114" s="74">
        <v>4</v>
      </c>
      <c r="F2114" s="74">
        <v>39.64</v>
      </c>
      <c r="G2114" s="758">
        <f t="shared" ref="G2114:G2177" si="132">IFERROR(VLOOKUP(A2114,$M$1:$P$1014,2,FALSE),0)</f>
        <v>0.22</v>
      </c>
      <c r="H2114" s="759">
        <f t="shared" ref="H2114:H2177" si="133">IFERROR(VLOOKUP(A2114,$M$1:$P$1014,3,FALSE),0)</f>
        <v>0</v>
      </c>
      <c r="I2114" s="758">
        <f t="shared" ref="I2114:I2177" si="134">IFERROR(F2114/E2114-G2114,0)</f>
        <v>9.69</v>
      </c>
      <c r="J2114" s="760">
        <f t="shared" ref="J2114:J2177" si="135">IFERROR(1-G2114*E2114/F2114,0)</f>
        <v>0.97780020181634708</v>
      </c>
    </row>
    <row r="2115" spans="1:10">
      <c r="A2115" s="74" t="s">
        <v>701</v>
      </c>
      <c r="B2115" s="74" t="s">
        <v>689</v>
      </c>
      <c r="C2115" s="74" t="s">
        <v>1508</v>
      </c>
      <c r="D2115" s="74" t="s">
        <v>78</v>
      </c>
      <c r="E2115" s="74">
        <v>7</v>
      </c>
      <c r="F2115" s="74">
        <v>69.36</v>
      </c>
      <c r="G2115" s="758">
        <f t="shared" si="132"/>
        <v>0.22</v>
      </c>
      <c r="H2115" s="759">
        <f t="shared" si="133"/>
        <v>0</v>
      </c>
      <c r="I2115" s="758">
        <f t="shared" si="134"/>
        <v>9.6885714285714286</v>
      </c>
      <c r="J2115" s="760">
        <f t="shared" si="135"/>
        <v>0.97779700115340251</v>
      </c>
    </row>
    <row r="2116" spans="1:10">
      <c r="A2116" s="74" t="s">
        <v>701</v>
      </c>
      <c r="B2116" s="74" t="s">
        <v>689</v>
      </c>
      <c r="C2116" s="74" t="s">
        <v>1509</v>
      </c>
      <c r="D2116" s="74" t="s">
        <v>78</v>
      </c>
      <c r="E2116" s="74">
        <v>2</v>
      </c>
      <c r="F2116" s="74">
        <v>19.82</v>
      </c>
      <c r="G2116" s="758">
        <f t="shared" si="132"/>
        <v>0.22</v>
      </c>
      <c r="H2116" s="759">
        <f t="shared" si="133"/>
        <v>0</v>
      </c>
      <c r="I2116" s="758">
        <f t="shared" si="134"/>
        <v>9.69</v>
      </c>
      <c r="J2116" s="760">
        <f t="shared" si="135"/>
        <v>0.97780020181634708</v>
      </c>
    </row>
    <row r="2117" spans="1:10">
      <c r="A2117" s="74" t="s">
        <v>701</v>
      </c>
      <c r="B2117" s="74" t="s">
        <v>689</v>
      </c>
      <c r="C2117" s="74" t="s">
        <v>1565</v>
      </c>
      <c r="D2117" s="74" t="s">
        <v>78</v>
      </c>
      <c r="E2117" s="74">
        <v>3</v>
      </c>
      <c r="F2117" s="74">
        <v>29.73</v>
      </c>
      <c r="G2117" s="758">
        <f t="shared" si="132"/>
        <v>0.22</v>
      </c>
      <c r="H2117" s="759">
        <f t="shared" si="133"/>
        <v>0</v>
      </c>
      <c r="I2117" s="758">
        <f t="shared" si="134"/>
        <v>9.69</v>
      </c>
      <c r="J2117" s="760">
        <f t="shared" si="135"/>
        <v>0.97780020181634708</v>
      </c>
    </row>
    <row r="2118" spans="1:10">
      <c r="A2118" s="74" t="s">
        <v>701</v>
      </c>
      <c r="B2118" s="74" t="s">
        <v>689</v>
      </c>
      <c r="C2118" s="74" t="s">
        <v>1530</v>
      </c>
      <c r="D2118" s="74" t="s">
        <v>80</v>
      </c>
      <c r="E2118" s="74">
        <v>9</v>
      </c>
      <c r="F2118" s="74">
        <v>89.41</v>
      </c>
      <c r="G2118" s="758">
        <f t="shared" si="132"/>
        <v>0.22</v>
      </c>
      <c r="H2118" s="759">
        <f t="shared" si="133"/>
        <v>0</v>
      </c>
      <c r="I2118" s="758">
        <f t="shared" si="134"/>
        <v>9.7144444444444442</v>
      </c>
      <c r="J2118" s="760">
        <f t="shared" si="135"/>
        <v>0.97785482608209373</v>
      </c>
    </row>
    <row r="2119" spans="1:10">
      <c r="A2119" s="74" t="s">
        <v>701</v>
      </c>
      <c r="B2119" s="74" t="s">
        <v>689</v>
      </c>
      <c r="C2119" s="74" t="s">
        <v>1532</v>
      </c>
      <c r="D2119" s="74" t="s">
        <v>80</v>
      </c>
      <c r="E2119" s="74">
        <v>9</v>
      </c>
      <c r="F2119" s="74">
        <v>89.41</v>
      </c>
      <c r="G2119" s="758">
        <f t="shared" si="132"/>
        <v>0.22</v>
      </c>
      <c r="H2119" s="759">
        <f t="shared" si="133"/>
        <v>0</v>
      </c>
      <c r="I2119" s="758">
        <f t="shared" si="134"/>
        <v>9.7144444444444442</v>
      </c>
      <c r="J2119" s="760">
        <f t="shared" si="135"/>
        <v>0.97785482608209373</v>
      </c>
    </row>
    <row r="2120" spans="1:10">
      <c r="A2120" s="74" t="s">
        <v>701</v>
      </c>
      <c r="B2120" s="74" t="s">
        <v>689</v>
      </c>
      <c r="C2120" s="74" t="s">
        <v>1511</v>
      </c>
      <c r="D2120" s="74" t="s">
        <v>80</v>
      </c>
      <c r="E2120" s="74">
        <v>1</v>
      </c>
      <c r="F2120" s="74">
        <v>9.91</v>
      </c>
      <c r="G2120" s="758">
        <f t="shared" si="132"/>
        <v>0.22</v>
      </c>
      <c r="H2120" s="759">
        <f t="shared" si="133"/>
        <v>0</v>
      </c>
      <c r="I2120" s="758">
        <f t="shared" si="134"/>
        <v>9.69</v>
      </c>
      <c r="J2120" s="760">
        <f t="shared" si="135"/>
        <v>0.97780020181634708</v>
      </c>
    </row>
    <row r="2121" spans="1:10">
      <c r="A2121" s="74" t="s">
        <v>701</v>
      </c>
      <c r="B2121" s="74" t="s">
        <v>689</v>
      </c>
      <c r="C2121" s="74" t="s">
        <v>1512</v>
      </c>
      <c r="D2121" s="74" t="s">
        <v>80</v>
      </c>
      <c r="E2121" s="74">
        <v>6</v>
      </c>
      <c r="F2121" s="74">
        <v>59.68</v>
      </c>
      <c r="G2121" s="758">
        <f t="shared" si="132"/>
        <v>0.22</v>
      </c>
      <c r="H2121" s="759">
        <f t="shared" si="133"/>
        <v>0</v>
      </c>
      <c r="I2121" s="758">
        <f t="shared" si="134"/>
        <v>9.7266666666666666</v>
      </c>
      <c r="J2121" s="760">
        <f t="shared" si="135"/>
        <v>0.97788203753351211</v>
      </c>
    </row>
    <row r="2122" spans="1:10">
      <c r="A2122" s="74" t="s">
        <v>701</v>
      </c>
      <c r="B2122" s="74" t="s">
        <v>689</v>
      </c>
      <c r="C2122" s="74" t="s">
        <v>1513</v>
      </c>
      <c r="D2122" s="74" t="s">
        <v>81</v>
      </c>
      <c r="E2122" s="74">
        <v>10</v>
      </c>
      <c r="F2122" s="74">
        <v>99.09</v>
      </c>
      <c r="G2122" s="758">
        <f t="shared" si="132"/>
        <v>0.22</v>
      </c>
      <c r="H2122" s="759">
        <f t="shared" si="133"/>
        <v>0</v>
      </c>
      <c r="I2122" s="758">
        <f t="shared" si="134"/>
        <v>9.6890000000000001</v>
      </c>
      <c r="J2122" s="760">
        <f t="shared" si="135"/>
        <v>0.97779796144918762</v>
      </c>
    </row>
    <row r="2123" spans="1:10">
      <c r="A2123" s="74" t="s">
        <v>701</v>
      </c>
      <c r="B2123" s="74" t="s">
        <v>689</v>
      </c>
      <c r="C2123" s="74" t="s">
        <v>1514</v>
      </c>
      <c r="D2123" s="74" t="s">
        <v>81</v>
      </c>
      <c r="E2123" s="74">
        <v>3</v>
      </c>
      <c r="F2123" s="74">
        <v>29.73</v>
      </c>
      <c r="G2123" s="758">
        <f t="shared" si="132"/>
        <v>0.22</v>
      </c>
      <c r="H2123" s="759">
        <f t="shared" si="133"/>
        <v>0</v>
      </c>
      <c r="I2123" s="758">
        <f t="shared" si="134"/>
        <v>9.69</v>
      </c>
      <c r="J2123" s="760">
        <f t="shared" si="135"/>
        <v>0.97780020181634708</v>
      </c>
    </row>
    <row r="2124" spans="1:10">
      <c r="A2124" s="74" t="s">
        <v>701</v>
      </c>
      <c r="B2124" s="74" t="s">
        <v>689</v>
      </c>
      <c r="C2124" s="74" t="s">
        <v>1515</v>
      </c>
      <c r="D2124" s="74" t="s">
        <v>81</v>
      </c>
      <c r="E2124" s="74">
        <v>6</v>
      </c>
      <c r="F2124" s="74">
        <v>60.14</v>
      </c>
      <c r="G2124" s="758">
        <f t="shared" si="132"/>
        <v>0.22</v>
      </c>
      <c r="H2124" s="759">
        <f t="shared" si="133"/>
        <v>0</v>
      </c>
      <c r="I2124" s="758">
        <f t="shared" si="134"/>
        <v>9.8033333333333328</v>
      </c>
      <c r="J2124" s="760">
        <f t="shared" si="135"/>
        <v>0.97805121383438642</v>
      </c>
    </row>
    <row r="2125" spans="1:10">
      <c r="A2125" s="74" t="s">
        <v>1029</v>
      </c>
      <c r="B2125" s="74" t="s">
        <v>877</v>
      </c>
      <c r="C2125" s="74" t="s">
        <v>1617</v>
      </c>
      <c r="D2125" s="74" t="s">
        <v>94</v>
      </c>
      <c r="E2125" s="74">
        <v>4</v>
      </c>
      <c r="F2125" s="74">
        <v>0</v>
      </c>
      <c r="G2125" s="758">
        <f t="shared" si="132"/>
        <v>0</v>
      </c>
      <c r="H2125" s="759">
        <f t="shared" si="133"/>
        <v>0</v>
      </c>
      <c r="I2125" s="758">
        <f t="shared" si="134"/>
        <v>0</v>
      </c>
      <c r="J2125" s="760">
        <f t="shared" si="135"/>
        <v>0</v>
      </c>
    </row>
    <row r="2126" spans="1:10">
      <c r="A2126" s="74" t="s">
        <v>1029</v>
      </c>
      <c r="B2126" s="74" t="s">
        <v>877</v>
      </c>
      <c r="C2126" s="74" t="s">
        <v>1557</v>
      </c>
      <c r="D2126" s="74" t="s">
        <v>95</v>
      </c>
      <c r="E2126" s="74">
        <v>2</v>
      </c>
      <c r="F2126" s="74">
        <v>0</v>
      </c>
      <c r="G2126" s="758">
        <f t="shared" si="132"/>
        <v>0</v>
      </c>
      <c r="H2126" s="759">
        <f t="shared" si="133"/>
        <v>0</v>
      </c>
      <c r="I2126" s="758">
        <f t="shared" si="134"/>
        <v>0</v>
      </c>
      <c r="J2126" s="760">
        <f t="shared" si="135"/>
        <v>0</v>
      </c>
    </row>
    <row r="2127" spans="1:10">
      <c r="A2127" s="74" t="s">
        <v>1748</v>
      </c>
      <c r="B2127" s="74" t="s">
        <v>877</v>
      </c>
      <c r="C2127" s="74" t="s">
        <v>1547</v>
      </c>
      <c r="D2127" s="74" t="s">
        <v>89</v>
      </c>
      <c r="E2127" s="74">
        <v>3</v>
      </c>
      <c r="F2127" s="74">
        <v>0</v>
      </c>
      <c r="G2127" s="758">
        <f t="shared" si="132"/>
        <v>0</v>
      </c>
      <c r="H2127" s="759">
        <f t="shared" si="133"/>
        <v>0</v>
      </c>
      <c r="I2127" s="758">
        <f t="shared" si="134"/>
        <v>0</v>
      </c>
      <c r="J2127" s="760">
        <f t="shared" si="135"/>
        <v>0</v>
      </c>
    </row>
    <row r="2128" spans="1:10">
      <c r="A2128" s="74" t="s">
        <v>1749</v>
      </c>
      <c r="B2128" s="74" t="s">
        <v>877</v>
      </c>
      <c r="C2128" s="74" t="s">
        <v>1512</v>
      </c>
      <c r="D2128" s="74" t="s">
        <v>80</v>
      </c>
      <c r="E2128" s="74">
        <v>2</v>
      </c>
      <c r="F2128" s="74">
        <v>0</v>
      </c>
      <c r="G2128" s="758">
        <f t="shared" si="132"/>
        <v>1.55</v>
      </c>
      <c r="H2128" s="759">
        <f t="shared" si="133"/>
        <v>0</v>
      </c>
      <c r="I2128" s="758">
        <f t="shared" si="134"/>
        <v>-1.55</v>
      </c>
      <c r="J2128" s="760">
        <f t="shared" si="135"/>
        <v>0</v>
      </c>
    </row>
    <row r="2129" spans="1:10">
      <c r="A2129" s="74" t="s">
        <v>1749</v>
      </c>
      <c r="B2129" s="74" t="s">
        <v>877</v>
      </c>
      <c r="C2129" s="74" t="s">
        <v>1519</v>
      </c>
      <c r="D2129" s="74" t="s">
        <v>84</v>
      </c>
      <c r="E2129" s="74">
        <v>1</v>
      </c>
      <c r="F2129" s="74">
        <v>0</v>
      </c>
      <c r="G2129" s="758">
        <f t="shared" si="132"/>
        <v>1.55</v>
      </c>
      <c r="H2129" s="759">
        <f t="shared" si="133"/>
        <v>0</v>
      </c>
      <c r="I2129" s="758">
        <f t="shared" si="134"/>
        <v>-1.55</v>
      </c>
      <c r="J2129" s="760">
        <f t="shared" si="135"/>
        <v>0</v>
      </c>
    </row>
    <row r="2130" spans="1:10">
      <c r="A2130" s="74" t="s">
        <v>1749</v>
      </c>
      <c r="B2130" s="74" t="s">
        <v>877</v>
      </c>
      <c r="C2130" s="74" t="s">
        <v>1540</v>
      </c>
      <c r="D2130" s="74" t="s">
        <v>84</v>
      </c>
      <c r="E2130" s="74">
        <v>2</v>
      </c>
      <c r="F2130" s="74">
        <v>0</v>
      </c>
      <c r="G2130" s="758">
        <f t="shared" si="132"/>
        <v>1.55</v>
      </c>
      <c r="H2130" s="759">
        <f t="shared" si="133"/>
        <v>0</v>
      </c>
      <c r="I2130" s="758">
        <f t="shared" si="134"/>
        <v>-1.55</v>
      </c>
      <c r="J2130" s="760">
        <f t="shared" si="135"/>
        <v>0</v>
      </c>
    </row>
    <row r="2131" spans="1:10">
      <c r="A2131" s="74" t="s">
        <v>1750</v>
      </c>
      <c r="B2131" s="74" t="s">
        <v>877</v>
      </c>
      <c r="C2131" s="74" t="s">
        <v>1582</v>
      </c>
      <c r="D2131" s="74" t="s">
        <v>89</v>
      </c>
      <c r="E2131" s="74">
        <v>5</v>
      </c>
      <c r="F2131" s="74">
        <v>0</v>
      </c>
      <c r="G2131" s="758">
        <f t="shared" si="132"/>
        <v>0</v>
      </c>
      <c r="H2131" s="759">
        <f t="shared" si="133"/>
        <v>0</v>
      </c>
      <c r="I2131" s="758">
        <f t="shared" si="134"/>
        <v>0</v>
      </c>
      <c r="J2131" s="760">
        <f t="shared" si="135"/>
        <v>0</v>
      </c>
    </row>
    <row r="2132" spans="1:10">
      <c r="A2132" s="74" t="s">
        <v>1751</v>
      </c>
      <c r="B2132" s="74" t="s">
        <v>877</v>
      </c>
      <c r="C2132" s="74" t="s">
        <v>1608</v>
      </c>
      <c r="D2132" s="74" t="s">
        <v>89</v>
      </c>
      <c r="E2132" s="74">
        <v>6</v>
      </c>
      <c r="F2132" s="74">
        <v>0</v>
      </c>
      <c r="G2132" s="758">
        <f t="shared" si="132"/>
        <v>0</v>
      </c>
      <c r="H2132" s="759">
        <f t="shared" si="133"/>
        <v>0</v>
      </c>
      <c r="I2132" s="758">
        <f t="shared" si="134"/>
        <v>0</v>
      </c>
      <c r="J2132" s="760">
        <f t="shared" si="135"/>
        <v>0</v>
      </c>
    </row>
    <row r="2133" spans="1:10">
      <c r="A2133" s="74" t="s">
        <v>1752</v>
      </c>
      <c r="B2133" s="74" t="s">
        <v>877</v>
      </c>
      <c r="C2133" s="74" t="s">
        <v>1516</v>
      </c>
      <c r="D2133" s="74" t="s">
        <v>82</v>
      </c>
      <c r="E2133" s="74">
        <v>1</v>
      </c>
      <c r="F2133" s="74">
        <v>0</v>
      </c>
      <c r="G2133" s="758">
        <f t="shared" si="132"/>
        <v>0.22</v>
      </c>
      <c r="H2133" s="759">
        <f t="shared" si="133"/>
        <v>0</v>
      </c>
      <c r="I2133" s="758">
        <f t="shared" si="134"/>
        <v>-0.22</v>
      </c>
      <c r="J2133" s="760">
        <f t="shared" si="135"/>
        <v>0</v>
      </c>
    </row>
    <row r="2134" spans="1:10">
      <c r="A2134" s="74" t="s">
        <v>1752</v>
      </c>
      <c r="B2134" s="74" t="s">
        <v>877</v>
      </c>
      <c r="C2134" s="74" t="s">
        <v>1553</v>
      </c>
      <c r="D2134" s="74" t="s">
        <v>94</v>
      </c>
      <c r="E2134" s="74">
        <v>6</v>
      </c>
      <c r="F2134" s="74">
        <v>0</v>
      </c>
      <c r="G2134" s="758">
        <f t="shared" si="132"/>
        <v>0.22</v>
      </c>
      <c r="H2134" s="759">
        <f t="shared" si="133"/>
        <v>0</v>
      </c>
      <c r="I2134" s="758">
        <f t="shared" si="134"/>
        <v>-0.22</v>
      </c>
      <c r="J2134" s="760">
        <f t="shared" si="135"/>
        <v>0</v>
      </c>
    </row>
    <row r="2135" spans="1:10">
      <c r="A2135" s="74" t="s">
        <v>1753</v>
      </c>
      <c r="B2135" s="74" t="s">
        <v>877</v>
      </c>
      <c r="C2135" s="74" t="s">
        <v>1646</v>
      </c>
      <c r="D2135" s="74" t="s">
        <v>86</v>
      </c>
      <c r="E2135" s="74">
        <v>3</v>
      </c>
      <c r="F2135" s="74">
        <v>0</v>
      </c>
      <c r="G2135" s="758">
        <f t="shared" si="132"/>
        <v>0</v>
      </c>
      <c r="H2135" s="759">
        <f t="shared" si="133"/>
        <v>0</v>
      </c>
      <c r="I2135" s="758">
        <f t="shared" si="134"/>
        <v>0</v>
      </c>
      <c r="J2135" s="760">
        <f t="shared" si="135"/>
        <v>0</v>
      </c>
    </row>
    <row r="2136" spans="1:10">
      <c r="A2136" s="74" t="s">
        <v>1753</v>
      </c>
      <c r="B2136" s="74" t="s">
        <v>877</v>
      </c>
      <c r="C2136" s="74" t="s">
        <v>1561</v>
      </c>
      <c r="D2136" s="74" t="s">
        <v>87</v>
      </c>
      <c r="E2136" s="74">
        <v>1</v>
      </c>
      <c r="F2136" s="74">
        <v>0</v>
      </c>
      <c r="G2136" s="758">
        <f t="shared" si="132"/>
        <v>0</v>
      </c>
      <c r="H2136" s="759">
        <f t="shared" si="133"/>
        <v>0</v>
      </c>
      <c r="I2136" s="758">
        <f t="shared" si="134"/>
        <v>0</v>
      </c>
      <c r="J2136" s="760">
        <f t="shared" si="135"/>
        <v>0</v>
      </c>
    </row>
    <row r="2137" spans="1:10">
      <c r="A2137" s="74" t="s">
        <v>265</v>
      </c>
      <c r="B2137" s="74" t="s">
        <v>266</v>
      </c>
      <c r="C2137" s="74" t="s">
        <v>1528</v>
      </c>
      <c r="D2137" s="74" t="s">
        <v>78</v>
      </c>
      <c r="E2137" s="74">
        <v>14</v>
      </c>
      <c r="F2137" s="74">
        <v>36.85</v>
      </c>
      <c r="G2137" s="758">
        <f t="shared" si="132"/>
        <v>0.53</v>
      </c>
      <c r="H2137" s="759">
        <f t="shared" si="133"/>
        <v>0.32</v>
      </c>
      <c r="I2137" s="758">
        <f t="shared" si="134"/>
        <v>2.1021428571428569</v>
      </c>
      <c r="J2137" s="760">
        <f t="shared" si="135"/>
        <v>0.79864314789687929</v>
      </c>
    </row>
    <row r="2138" spans="1:10">
      <c r="A2138" s="74" t="s">
        <v>265</v>
      </c>
      <c r="B2138" s="74" t="s">
        <v>266</v>
      </c>
      <c r="C2138" s="74" t="s">
        <v>1508</v>
      </c>
      <c r="D2138" s="74" t="s">
        <v>78</v>
      </c>
      <c r="E2138" s="74">
        <v>26</v>
      </c>
      <c r="F2138" s="74">
        <v>60.85</v>
      </c>
      <c r="G2138" s="758">
        <f t="shared" si="132"/>
        <v>0.53</v>
      </c>
      <c r="H2138" s="759">
        <f t="shared" si="133"/>
        <v>0.32</v>
      </c>
      <c r="I2138" s="758">
        <f t="shared" si="134"/>
        <v>1.8103846153846155</v>
      </c>
      <c r="J2138" s="760">
        <f t="shared" si="135"/>
        <v>0.77354149548069018</v>
      </c>
    </row>
    <row r="2139" spans="1:10">
      <c r="A2139" s="74" t="s">
        <v>265</v>
      </c>
      <c r="B2139" s="74" t="s">
        <v>266</v>
      </c>
      <c r="C2139" s="74" t="s">
        <v>1509</v>
      </c>
      <c r="D2139" s="74" t="s">
        <v>78</v>
      </c>
      <c r="E2139" s="74">
        <v>20</v>
      </c>
      <c r="F2139" s="74">
        <v>45.4</v>
      </c>
      <c r="G2139" s="758">
        <f t="shared" si="132"/>
        <v>0.53</v>
      </c>
      <c r="H2139" s="759">
        <f t="shared" si="133"/>
        <v>0.32</v>
      </c>
      <c r="I2139" s="758">
        <f t="shared" si="134"/>
        <v>1.74</v>
      </c>
      <c r="J2139" s="760">
        <f t="shared" si="135"/>
        <v>0.76651982378854622</v>
      </c>
    </row>
    <row r="2140" spans="1:10">
      <c r="A2140" s="74" t="s">
        <v>265</v>
      </c>
      <c r="B2140" s="74" t="s">
        <v>266</v>
      </c>
      <c r="C2140" s="74" t="s">
        <v>1565</v>
      </c>
      <c r="D2140" s="74" t="s">
        <v>78</v>
      </c>
      <c r="E2140" s="74">
        <v>36</v>
      </c>
      <c r="F2140" s="74">
        <v>88.2</v>
      </c>
      <c r="G2140" s="758">
        <f t="shared" si="132"/>
        <v>0.53</v>
      </c>
      <c r="H2140" s="759">
        <f t="shared" si="133"/>
        <v>0.32</v>
      </c>
      <c r="I2140" s="758">
        <f t="shared" si="134"/>
        <v>1.9200000000000002</v>
      </c>
      <c r="J2140" s="760">
        <f t="shared" si="135"/>
        <v>0.78367346938775506</v>
      </c>
    </row>
    <row r="2141" spans="1:10">
      <c r="A2141" s="74" t="s">
        <v>265</v>
      </c>
      <c r="B2141" s="74" t="s">
        <v>266</v>
      </c>
      <c r="C2141" s="74" t="s">
        <v>1530</v>
      </c>
      <c r="D2141" s="74" t="s">
        <v>80</v>
      </c>
      <c r="E2141" s="74">
        <v>19</v>
      </c>
      <c r="F2141" s="74">
        <v>24.45</v>
      </c>
      <c r="G2141" s="758">
        <f t="shared" si="132"/>
        <v>0.53</v>
      </c>
      <c r="H2141" s="759">
        <f t="shared" si="133"/>
        <v>0.32</v>
      </c>
      <c r="I2141" s="758">
        <f t="shared" si="134"/>
        <v>0.75684210526315776</v>
      </c>
      <c r="J2141" s="760">
        <f t="shared" si="135"/>
        <v>0.58813905930470345</v>
      </c>
    </row>
    <row r="2142" spans="1:10">
      <c r="A2142" s="74" t="s">
        <v>265</v>
      </c>
      <c r="B2142" s="74" t="s">
        <v>266</v>
      </c>
      <c r="C2142" s="74" t="s">
        <v>1532</v>
      </c>
      <c r="D2142" s="74" t="s">
        <v>80</v>
      </c>
      <c r="E2142" s="74">
        <v>22</v>
      </c>
      <c r="F2142" s="74">
        <v>56.55</v>
      </c>
      <c r="G2142" s="758">
        <f t="shared" si="132"/>
        <v>0.53</v>
      </c>
      <c r="H2142" s="759">
        <f t="shared" si="133"/>
        <v>0.32</v>
      </c>
      <c r="I2142" s="758">
        <f t="shared" si="134"/>
        <v>2.0404545454545451</v>
      </c>
      <c r="J2142" s="760">
        <f t="shared" si="135"/>
        <v>0.79381078691423523</v>
      </c>
    </row>
    <row r="2143" spans="1:10">
      <c r="A2143" s="74" t="s">
        <v>265</v>
      </c>
      <c r="B2143" s="74" t="s">
        <v>266</v>
      </c>
      <c r="C2143" s="74" t="s">
        <v>1511</v>
      </c>
      <c r="D2143" s="74" t="s">
        <v>80</v>
      </c>
      <c r="E2143" s="74">
        <v>26</v>
      </c>
      <c r="F2143" s="74">
        <v>66.97</v>
      </c>
      <c r="G2143" s="758">
        <f t="shared" si="132"/>
        <v>0.53</v>
      </c>
      <c r="H2143" s="759">
        <f t="shared" si="133"/>
        <v>0.32</v>
      </c>
      <c r="I2143" s="758">
        <f t="shared" si="134"/>
        <v>2.0457692307692303</v>
      </c>
      <c r="J2143" s="760">
        <f t="shared" si="135"/>
        <v>0.79423622517545167</v>
      </c>
    </row>
    <row r="2144" spans="1:10">
      <c r="A2144" s="74" t="s">
        <v>265</v>
      </c>
      <c r="B2144" s="74" t="s">
        <v>266</v>
      </c>
      <c r="C2144" s="74" t="s">
        <v>1512</v>
      </c>
      <c r="D2144" s="74" t="s">
        <v>80</v>
      </c>
      <c r="E2144" s="74">
        <v>24</v>
      </c>
      <c r="F2144" s="74">
        <v>61.46</v>
      </c>
      <c r="G2144" s="758">
        <f t="shared" si="132"/>
        <v>0.53</v>
      </c>
      <c r="H2144" s="759">
        <f t="shared" si="133"/>
        <v>0.32</v>
      </c>
      <c r="I2144" s="758">
        <f t="shared" si="134"/>
        <v>2.0308333333333337</v>
      </c>
      <c r="J2144" s="760">
        <f t="shared" si="135"/>
        <v>0.79303612105434429</v>
      </c>
    </row>
    <row r="2145" spans="1:10">
      <c r="A2145" s="74" t="s">
        <v>265</v>
      </c>
      <c r="B2145" s="74" t="s">
        <v>266</v>
      </c>
      <c r="C2145" s="74" t="s">
        <v>1534</v>
      </c>
      <c r="D2145" s="74" t="s">
        <v>81</v>
      </c>
      <c r="E2145" s="74">
        <v>30</v>
      </c>
      <c r="F2145" s="74">
        <v>80.14</v>
      </c>
      <c r="G2145" s="758">
        <f t="shared" si="132"/>
        <v>0.53</v>
      </c>
      <c r="H2145" s="759">
        <f t="shared" si="133"/>
        <v>0.32</v>
      </c>
      <c r="I2145" s="758">
        <f t="shared" si="134"/>
        <v>2.1413333333333338</v>
      </c>
      <c r="J2145" s="760">
        <f t="shared" si="135"/>
        <v>0.80159720489143993</v>
      </c>
    </row>
    <row r="2146" spans="1:10">
      <c r="A2146" s="74" t="s">
        <v>265</v>
      </c>
      <c r="B2146" s="74" t="s">
        <v>266</v>
      </c>
      <c r="C2146" s="74" t="s">
        <v>1513</v>
      </c>
      <c r="D2146" s="74" t="s">
        <v>81</v>
      </c>
      <c r="E2146" s="74">
        <v>15</v>
      </c>
      <c r="F2146" s="74">
        <v>38.9</v>
      </c>
      <c r="G2146" s="758">
        <f t="shared" si="132"/>
        <v>0.53</v>
      </c>
      <c r="H2146" s="759">
        <f t="shared" si="133"/>
        <v>0.32</v>
      </c>
      <c r="I2146" s="758">
        <f t="shared" si="134"/>
        <v>2.0633333333333335</v>
      </c>
      <c r="J2146" s="760">
        <f t="shared" si="135"/>
        <v>0.79562982005141381</v>
      </c>
    </row>
    <row r="2147" spans="1:10">
      <c r="A2147" s="74" t="s">
        <v>265</v>
      </c>
      <c r="B2147" s="74" t="s">
        <v>266</v>
      </c>
      <c r="C2147" s="74" t="s">
        <v>1514</v>
      </c>
      <c r="D2147" s="74" t="s">
        <v>81</v>
      </c>
      <c r="E2147" s="74">
        <v>26</v>
      </c>
      <c r="F2147" s="74">
        <v>67.150000000000006</v>
      </c>
      <c r="G2147" s="758">
        <f t="shared" si="132"/>
        <v>0.53</v>
      </c>
      <c r="H2147" s="759">
        <f t="shared" si="133"/>
        <v>0.32</v>
      </c>
      <c r="I2147" s="758">
        <f t="shared" si="134"/>
        <v>2.0526923076923076</v>
      </c>
      <c r="J2147" s="760">
        <f t="shared" si="135"/>
        <v>0.79478778853313481</v>
      </c>
    </row>
    <row r="2148" spans="1:10">
      <c r="A2148" s="74" t="s">
        <v>265</v>
      </c>
      <c r="B2148" s="74" t="s">
        <v>266</v>
      </c>
      <c r="C2148" s="74" t="s">
        <v>1515</v>
      </c>
      <c r="D2148" s="74" t="s">
        <v>81</v>
      </c>
      <c r="E2148" s="74">
        <v>20</v>
      </c>
      <c r="F2148" s="74">
        <v>55.8</v>
      </c>
      <c r="G2148" s="758">
        <f t="shared" si="132"/>
        <v>0.53</v>
      </c>
      <c r="H2148" s="759">
        <f t="shared" si="133"/>
        <v>0.32</v>
      </c>
      <c r="I2148" s="758">
        <f t="shared" si="134"/>
        <v>2.2599999999999998</v>
      </c>
      <c r="J2148" s="760">
        <f t="shared" si="135"/>
        <v>0.81003584229390679</v>
      </c>
    </row>
    <row r="2149" spans="1:10">
      <c r="A2149" s="74" t="s">
        <v>265</v>
      </c>
      <c r="B2149" s="74" t="s">
        <v>266</v>
      </c>
      <c r="C2149" s="74" t="s">
        <v>1516</v>
      </c>
      <c r="D2149" s="74" t="s">
        <v>82</v>
      </c>
      <c r="E2149" s="74">
        <v>26</v>
      </c>
      <c r="F2149" s="74">
        <v>163.35</v>
      </c>
      <c r="G2149" s="758">
        <f t="shared" si="132"/>
        <v>0.53</v>
      </c>
      <c r="H2149" s="759">
        <f t="shared" si="133"/>
        <v>0.32</v>
      </c>
      <c r="I2149" s="758">
        <f t="shared" si="134"/>
        <v>5.7526923076923069</v>
      </c>
      <c r="J2149" s="760">
        <f t="shared" si="135"/>
        <v>0.91564126109580657</v>
      </c>
    </row>
    <row r="2150" spans="1:10">
      <c r="A2150" s="74" t="s">
        <v>265</v>
      </c>
      <c r="B2150" s="74" t="s">
        <v>266</v>
      </c>
      <c r="C2150" s="74" t="s">
        <v>1517</v>
      </c>
      <c r="D2150" s="74" t="s">
        <v>82</v>
      </c>
      <c r="E2150" s="74">
        <v>30</v>
      </c>
      <c r="F2150" s="74">
        <v>77.75</v>
      </c>
      <c r="G2150" s="758">
        <f t="shared" si="132"/>
        <v>0.53</v>
      </c>
      <c r="H2150" s="759">
        <f t="shared" si="133"/>
        <v>0.32</v>
      </c>
      <c r="I2150" s="758">
        <f t="shared" si="134"/>
        <v>2.0616666666666665</v>
      </c>
      <c r="J2150" s="760">
        <f t="shared" si="135"/>
        <v>0.79549839228295816</v>
      </c>
    </row>
    <row r="2151" spans="1:10">
      <c r="A2151" s="74" t="s">
        <v>265</v>
      </c>
      <c r="B2151" s="74" t="s">
        <v>266</v>
      </c>
      <c r="C2151" s="74" t="s">
        <v>1527</v>
      </c>
      <c r="D2151" s="74" t="s">
        <v>82</v>
      </c>
      <c r="E2151" s="74">
        <v>43</v>
      </c>
      <c r="F2151" s="74">
        <v>113.7</v>
      </c>
      <c r="G2151" s="758">
        <f t="shared" si="132"/>
        <v>0.53</v>
      </c>
      <c r="H2151" s="759">
        <f t="shared" si="133"/>
        <v>0.32</v>
      </c>
      <c r="I2151" s="758">
        <f t="shared" si="134"/>
        <v>2.1141860465116276</v>
      </c>
      <c r="J2151" s="760">
        <f t="shared" si="135"/>
        <v>0.79956024626209321</v>
      </c>
    </row>
    <row r="2152" spans="1:10">
      <c r="A2152" s="74" t="s">
        <v>265</v>
      </c>
      <c r="B2152" s="74" t="s">
        <v>266</v>
      </c>
      <c r="C2152" s="74" t="s">
        <v>1518</v>
      </c>
      <c r="D2152" s="74" t="s">
        <v>82</v>
      </c>
      <c r="E2152" s="74">
        <v>21</v>
      </c>
      <c r="F2152" s="74">
        <v>83.65</v>
      </c>
      <c r="G2152" s="758">
        <f t="shared" si="132"/>
        <v>0.53</v>
      </c>
      <c r="H2152" s="759">
        <f t="shared" si="133"/>
        <v>0.32</v>
      </c>
      <c r="I2152" s="758">
        <f t="shared" si="134"/>
        <v>3.4533333333333331</v>
      </c>
      <c r="J2152" s="760">
        <f t="shared" si="135"/>
        <v>0.86694560669456067</v>
      </c>
    </row>
    <row r="2153" spans="1:10">
      <c r="A2153" s="74" t="s">
        <v>265</v>
      </c>
      <c r="B2153" s="74" t="s">
        <v>266</v>
      </c>
      <c r="C2153" s="74" t="s">
        <v>1519</v>
      </c>
      <c r="D2153" s="74" t="s">
        <v>84</v>
      </c>
      <c r="E2153" s="74">
        <v>7</v>
      </c>
      <c r="F2153" s="74">
        <v>19.149999999999999</v>
      </c>
      <c r="G2153" s="758">
        <f t="shared" si="132"/>
        <v>0.53</v>
      </c>
      <c r="H2153" s="759">
        <f t="shared" si="133"/>
        <v>0.32</v>
      </c>
      <c r="I2153" s="758">
        <f t="shared" si="134"/>
        <v>2.2057142857142855</v>
      </c>
      <c r="J2153" s="760">
        <f t="shared" si="135"/>
        <v>0.80626631853785902</v>
      </c>
    </row>
    <row r="2154" spans="1:10">
      <c r="A2154" s="74" t="s">
        <v>265</v>
      </c>
      <c r="B2154" s="74" t="s">
        <v>266</v>
      </c>
      <c r="C2154" s="74" t="s">
        <v>1520</v>
      </c>
      <c r="D2154" s="74" t="s">
        <v>84</v>
      </c>
      <c r="E2154" s="74">
        <v>9</v>
      </c>
      <c r="F2154" s="74">
        <v>5.3</v>
      </c>
      <c r="G2154" s="758">
        <f t="shared" si="132"/>
        <v>0.53</v>
      </c>
      <c r="H2154" s="759">
        <f t="shared" si="133"/>
        <v>0.32</v>
      </c>
      <c r="I2154" s="758">
        <f t="shared" si="134"/>
        <v>5.888888888888888E-2</v>
      </c>
      <c r="J2154" s="760">
        <f t="shared" si="135"/>
        <v>9.9999999999999867E-2</v>
      </c>
    </row>
    <row r="2155" spans="1:10">
      <c r="A2155" s="74" t="s">
        <v>265</v>
      </c>
      <c r="B2155" s="74" t="s">
        <v>266</v>
      </c>
      <c r="C2155" s="74" t="s">
        <v>1577</v>
      </c>
      <c r="D2155" s="74" t="s">
        <v>84</v>
      </c>
      <c r="E2155" s="74">
        <v>10</v>
      </c>
      <c r="F2155" s="74">
        <v>18.55</v>
      </c>
      <c r="G2155" s="758">
        <f t="shared" si="132"/>
        <v>0.53</v>
      </c>
      <c r="H2155" s="759">
        <f t="shared" si="133"/>
        <v>0.32</v>
      </c>
      <c r="I2155" s="758">
        <f t="shared" si="134"/>
        <v>1.325</v>
      </c>
      <c r="J2155" s="760">
        <f t="shared" si="135"/>
        <v>0.71428571428571419</v>
      </c>
    </row>
    <row r="2156" spans="1:10">
      <c r="A2156" s="74" t="s">
        <v>265</v>
      </c>
      <c r="B2156" s="74" t="s">
        <v>266</v>
      </c>
      <c r="C2156" s="74" t="s">
        <v>1507</v>
      </c>
      <c r="D2156" s="74" t="s">
        <v>86</v>
      </c>
      <c r="E2156" s="74">
        <v>8</v>
      </c>
      <c r="F2156" s="74">
        <v>16.05</v>
      </c>
      <c r="G2156" s="758">
        <f t="shared" si="132"/>
        <v>0.53</v>
      </c>
      <c r="H2156" s="759">
        <f t="shared" si="133"/>
        <v>0.32</v>
      </c>
      <c r="I2156" s="758">
        <f t="shared" si="134"/>
        <v>1.4762500000000001</v>
      </c>
      <c r="J2156" s="760">
        <f t="shared" si="135"/>
        <v>0.73582554517133958</v>
      </c>
    </row>
    <row r="2157" spans="1:10">
      <c r="A2157" s="74" t="s">
        <v>265</v>
      </c>
      <c r="B2157" s="74" t="s">
        <v>266</v>
      </c>
      <c r="C2157" s="74" t="s">
        <v>1644</v>
      </c>
      <c r="D2157" s="74" t="s">
        <v>86</v>
      </c>
      <c r="E2157" s="74">
        <v>8</v>
      </c>
      <c r="F2157" s="74">
        <v>10.9</v>
      </c>
      <c r="G2157" s="758">
        <f t="shared" si="132"/>
        <v>0.53</v>
      </c>
      <c r="H2157" s="759">
        <f t="shared" si="133"/>
        <v>0.32</v>
      </c>
      <c r="I2157" s="758">
        <f t="shared" si="134"/>
        <v>0.83250000000000002</v>
      </c>
      <c r="J2157" s="760">
        <f t="shared" si="135"/>
        <v>0.61100917431192658</v>
      </c>
    </row>
    <row r="2158" spans="1:10">
      <c r="A2158" s="74" t="s">
        <v>265</v>
      </c>
      <c r="B2158" s="74" t="s">
        <v>266</v>
      </c>
      <c r="C2158" s="74" t="s">
        <v>1578</v>
      </c>
      <c r="D2158" s="74" t="s">
        <v>86</v>
      </c>
      <c r="E2158" s="74">
        <v>10</v>
      </c>
      <c r="F2158" s="74">
        <v>16.2</v>
      </c>
      <c r="G2158" s="758">
        <f t="shared" si="132"/>
        <v>0.53</v>
      </c>
      <c r="H2158" s="759">
        <f t="shared" si="133"/>
        <v>0.32</v>
      </c>
      <c r="I2158" s="758">
        <f t="shared" si="134"/>
        <v>1.0899999999999999</v>
      </c>
      <c r="J2158" s="760">
        <f t="shared" si="135"/>
        <v>0.67283950617283939</v>
      </c>
    </row>
    <row r="2159" spans="1:10">
      <c r="A2159" s="74" t="s">
        <v>265</v>
      </c>
      <c r="B2159" s="74" t="s">
        <v>266</v>
      </c>
      <c r="C2159" s="74" t="s">
        <v>1646</v>
      </c>
      <c r="D2159" s="74" t="s">
        <v>86</v>
      </c>
      <c r="E2159" s="74">
        <v>10</v>
      </c>
      <c r="F2159" s="74">
        <v>24.45</v>
      </c>
      <c r="G2159" s="758">
        <f t="shared" si="132"/>
        <v>0.53</v>
      </c>
      <c r="H2159" s="759">
        <f t="shared" si="133"/>
        <v>0.32</v>
      </c>
      <c r="I2159" s="758">
        <f t="shared" si="134"/>
        <v>1.9149999999999998</v>
      </c>
      <c r="J2159" s="760">
        <f t="shared" si="135"/>
        <v>0.78323108384458073</v>
      </c>
    </row>
    <row r="2160" spans="1:10">
      <c r="A2160" s="74" t="s">
        <v>265</v>
      </c>
      <c r="B2160" s="74" t="s">
        <v>266</v>
      </c>
      <c r="C2160" s="74" t="s">
        <v>1541</v>
      </c>
      <c r="D2160" s="74" t="s">
        <v>86</v>
      </c>
      <c r="E2160" s="74">
        <v>9</v>
      </c>
      <c r="F2160" s="74">
        <v>18.850000000000001</v>
      </c>
      <c r="G2160" s="758">
        <f t="shared" si="132"/>
        <v>0.53</v>
      </c>
      <c r="H2160" s="759">
        <f t="shared" si="133"/>
        <v>0.32</v>
      </c>
      <c r="I2160" s="758">
        <f t="shared" si="134"/>
        <v>1.5644444444444445</v>
      </c>
      <c r="J2160" s="760">
        <f t="shared" si="135"/>
        <v>0.74694960212201589</v>
      </c>
    </row>
    <row r="2161" spans="1:10">
      <c r="A2161" s="74" t="s">
        <v>265</v>
      </c>
      <c r="B2161" s="74" t="s">
        <v>266</v>
      </c>
      <c r="C2161" s="74" t="s">
        <v>1543</v>
      </c>
      <c r="D2161" s="74" t="s">
        <v>87</v>
      </c>
      <c r="E2161" s="74">
        <v>12</v>
      </c>
      <c r="F2161" s="74">
        <v>13.25</v>
      </c>
      <c r="G2161" s="758">
        <f t="shared" si="132"/>
        <v>0.53</v>
      </c>
      <c r="H2161" s="759">
        <f t="shared" si="133"/>
        <v>0.32</v>
      </c>
      <c r="I2161" s="758">
        <f t="shared" si="134"/>
        <v>0.57416666666666671</v>
      </c>
      <c r="J2161" s="760">
        <f t="shared" si="135"/>
        <v>0.52</v>
      </c>
    </row>
    <row r="2162" spans="1:10">
      <c r="A2162" s="74" t="s">
        <v>265</v>
      </c>
      <c r="B2162" s="74" t="s">
        <v>266</v>
      </c>
      <c r="C2162" s="74" t="s">
        <v>1544</v>
      </c>
      <c r="D2162" s="74" t="s">
        <v>87</v>
      </c>
      <c r="E2162" s="74">
        <v>8</v>
      </c>
      <c r="F2162" s="74">
        <v>13.4</v>
      </c>
      <c r="G2162" s="758">
        <f t="shared" si="132"/>
        <v>0.53</v>
      </c>
      <c r="H2162" s="759">
        <f t="shared" si="133"/>
        <v>0.32</v>
      </c>
      <c r="I2162" s="758">
        <f t="shared" si="134"/>
        <v>1.145</v>
      </c>
      <c r="J2162" s="760">
        <f t="shared" si="135"/>
        <v>0.68358208955223887</v>
      </c>
    </row>
    <row r="2163" spans="1:10">
      <c r="A2163" s="74" t="s">
        <v>265</v>
      </c>
      <c r="B2163" s="74" t="s">
        <v>266</v>
      </c>
      <c r="C2163" s="74" t="s">
        <v>1605</v>
      </c>
      <c r="D2163" s="74" t="s">
        <v>87</v>
      </c>
      <c r="E2163" s="74">
        <v>4</v>
      </c>
      <c r="F2163" s="74">
        <v>8.25</v>
      </c>
      <c r="G2163" s="758">
        <f t="shared" si="132"/>
        <v>0.53</v>
      </c>
      <c r="H2163" s="759">
        <f t="shared" si="133"/>
        <v>0.32</v>
      </c>
      <c r="I2163" s="758">
        <f t="shared" si="134"/>
        <v>1.5325</v>
      </c>
      <c r="J2163" s="760">
        <f t="shared" si="135"/>
        <v>0.74303030303030304</v>
      </c>
    </row>
    <row r="2164" spans="1:10">
      <c r="A2164" s="74" t="s">
        <v>265</v>
      </c>
      <c r="B2164" s="74" t="s">
        <v>266</v>
      </c>
      <c r="C2164" s="74" t="s">
        <v>1561</v>
      </c>
      <c r="D2164" s="74" t="s">
        <v>87</v>
      </c>
      <c r="E2164" s="74">
        <v>3</v>
      </c>
      <c r="F2164" s="74">
        <v>8.1</v>
      </c>
      <c r="G2164" s="758">
        <f t="shared" si="132"/>
        <v>0.53</v>
      </c>
      <c r="H2164" s="759">
        <f t="shared" si="133"/>
        <v>0.32</v>
      </c>
      <c r="I2164" s="758">
        <f t="shared" si="134"/>
        <v>2.17</v>
      </c>
      <c r="J2164" s="760">
        <f t="shared" si="135"/>
        <v>0.8037037037037037</v>
      </c>
    </row>
    <row r="2165" spans="1:10">
      <c r="A2165" s="74" t="s">
        <v>265</v>
      </c>
      <c r="B2165" s="74" t="s">
        <v>266</v>
      </c>
      <c r="C2165" s="74" t="s">
        <v>1608</v>
      </c>
      <c r="D2165" s="74" t="s">
        <v>89</v>
      </c>
      <c r="E2165" s="74">
        <v>7</v>
      </c>
      <c r="F2165" s="74">
        <v>16.350000000000001</v>
      </c>
      <c r="G2165" s="758">
        <f t="shared" si="132"/>
        <v>0.53</v>
      </c>
      <c r="H2165" s="759">
        <f t="shared" si="133"/>
        <v>0.32</v>
      </c>
      <c r="I2165" s="758">
        <f t="shared" si="134"/>
        <v>1.8057142857142858</v>
      </c>
      <c r="J2165" s="760">
        <f t="shared" si="135"/>
        <v>0.77308868501529049</v>
      </c>
    </row>
    <row r="2166" spans="1:10">
      <c r="A2166" s="74" t="s">
        <v>265</v>
      </c>
      <c r="B2166" s="74" t="s">
        <v>266</v>
      </c>
      <c r="C2166" s="74" t="s">
        <v>1610</v>
      </c>
      <c r="D2166" s="74" t="s">
        <v>89</v>
      </c>
      <c r="E2166" s="74">
        <v>11</v>
      </c>
      <c r="F2166" s="74">
        <v>24.45</v>
      </c>
      <c r="G2166" s="758">
        <f t="shared" si="132"/>
        <v>0.53</v>
      </c>
      <c r="H2166" s="759">
        <f t="shared" si="133"/>
        <v>0.32</v>
      </c>
      <c r="I2166" s="758">
        <f t="shared" si="134"/>
        <v>1.6927272727272726</v>
      </c>
      <c r="J2166" s="760">
        <f t="shared" si="135"/>
        <v>0.76155419222903886</v>
      </c>
    </row>
    <row r="2167" spans="1:10">
      <c r="A2167" s="74" t="s">
        <v>265</v>
      </c>
      <c r="B2167" s="74" t="s">
        <v>266</v>
      </c>
      <c r="C2167" s="74" t="s">
        <v>1546</v>
      </c>
      <c r="D2167" s="74" t="s">
        <v>89</v>
      </c>
      <c r="E2167" s="74">
        <v>9</v>
      </c>
      <c r="F2167" s="74">
        <v>18.55</v>
      </c>
      <c r="G2167" s="758">
        <f t="shared" si="132"/>
        <v>0.53</v>
      </c>
      <c r="H2167" s="759">
        <f t="shared" si="133"/>
        <v>0.32</v>
      </c>
      <c r="I2167" s="758">
        <f t="shared" si="134"/>
        <v>1.5311111111111113</v>
      </c>
      <c r="J2167" s="760">
        <f t="shared" si="135"/>
        <v>0.74285714285714288</v>
      </c>
    </row>
    <row r="2168" spans="1:10">
      <c r="A2168" s="74" t="s">
        <v>265</v>
      </c>
      <c r="B2168" s="74" t="s">
        <v>266</v>
      </c>
      <c r="C2168" s="74" t="s">
        <v>1547</v>
      </c>
      <c r="D2168" s="74" t="s">
        <v>89</v>
      </c>
      <c r="E2168" s="74">
        <v>13</v>
      </c>
      <c r="F2168" s="74">
        <v>21.5</v>
      </c>
      <c r="G2168" s="758">
        <f t="shared" si="132"/>
        <v>0.53</v>
      </c>
      <c r="H2168" s="759">
        <f t="shared" si="133"/>
        <v>0.32</v>
      </c>
      <c r="I2168" s="758">
        <f t="shared" si="134"/>
        <v>1.1238461538461537</v>
      </c>
      <c r="J2168" s="760">
        <f t="shared" si="135"/>
        <v>0.67953488372093018</v>
      </c>
    </row>
    <row r="2169" spans="1:10">
      <c r="A2169" s="74" t="s">
        <v>265</v>
      </c>
      <c r="B2169" s="74" t="s">
        <v>266</v>
      </c>
      <c r="C2169" s="74" t="s">
        <v>1582</v>
      </c>
      <c r="D2169" s="74" t="s">
        <v>89</v>
      </c>
      <c r="E2169" s="74">
        <v>5</v>
      </c>
      <c r="F2169" s="74">
        <v>13.4</v>
      </c>
      <c r="G2169" s="758">
        <f t="shared" si="132"/>
        <v>0.53</v>
      </c>
      <c r="H2169" s="759">
        <f t="shared" si="133"/>
        <v>0.32</v>
      </c>
      <c r="I2169" s="758">
        <f t="shared" si="134"/>
        <v>2.1500000000000004</v>
      </c>
      <c r="J2169" s="760">
        <f t="shared" si="135"/>
        <v>0.80223880597014929</v>
      </c>
    </row>
    <row r="2170" spans="1:10">
      <c r="A2170" s="74" t="s">
        <v>265</v>
      </c>
      <c r="B2170" s="74" t="s">
        <v>266</v>
      </c>
      <c r="C2170" s="74" t="s">
        <v>1522</v>
      </c>
      <c r="D2170" s="74" t="s">
        <v>91</v>
      </c>
      <c r="E2170" s="74">
        <v>13</v>
      </c>
      <c r="F2170" s="74">
        <v>17.350000000000001</v>
      </c>
      <c r="G2170" s="758">
        <f t="shared" si="132"/>
        <v>0.53</v>
      </c>
      <c r="H2170" s="759">
        <f t="shared" si="133"/>
        <v>0.32</v>
      </c>
      <c r="I2170" s="758">
        <f t="shared" si="134"/>
        <v>0.80461538461538473</v>
      </c>
      <c r="J2170" s="760">
        <f t="shared" si="135"/>
        <v>0.60288184438040338</v>
      </c>
    </row>
    <row r="2171" spans="1:10">
      <c r="A2171" s="74" t="s">
        <v>265</v>
      </c>
      <c r="B2171" s="74" t="s">
        <v>266</v>
      </c>
      <c r="C2171" s="74" t="s">
        <v>1675</v>
      </c>
      <c r="D2171" s="74" t="s">
        <v>91</v>
      </c>
      <c r="E2171" s="74">
        <v>8</v>
      </c>
      <c r="F2171" s="74">
        <v>21.2</v>
      </c>
      <c r="G2171" s="758">
        <f t="shared" si="132"/>
        <v>0.53</v>
      </c>
      <c r="H2171" s="759">
        <f t="shared" si="133"/>
        <v>0.32</v>
      </c>
      <c r="I2171" s="758">
        <f t="shared" si="134"/>
        <v>2.12</v>
      </c>
      <c r="J2171" s="760">
        <f t="shared" si="135"/>
        <v>0.8</v>
      </c>
    </row>
    <row r="2172" spans="1:10">
      <c r="A2172" s="74" t="s">
        <v>265</v>
      </c>
      <c r="B2172" s="74" t="s">
        <v>266</v>
      </c>
      <c r="C2172" s="74" t="s">
        <v>1524</v>
      </c>
      <c r="D2172" s="74" t="s">
        <v>91</v>
      </c>
      <c r="E2172" s="74">
        <v>4</v>
      </c>
      <c r="F2172" s="74">
        <v>9.1</v>
      </c>
      <c r="G2172" s="758">
        <f t="shared" si="132"/>
        <v>0.53</v>
      </c>
      <c r="H2172" s="759">
        <f t="shared" si="133"/>
        <v>0.32</v>
      </c>
      <c r="I2172" s="758">
        <f t="shared" si="134"/>
        <v>1.7449999999999999</v>
      </c>
      <c r="J2172" s="760">
        <f t="shared" si="135"/>
        <v>0.76703296703296697</v>
      </c>
    </row>
    <row r="2173" spans="1:10">
      <c r="A2173" s="74" t="s">
        <v>265</v>
      </c>
      <c r="B2173" s="74" t="s">
        <v>266</v>
      </c>
      <c r="C2173" s="74" t="s">
        <v>1584</v>
      </c>
      <c r="D2173" s="74" t="s">
        <v>92</v>
      </c>
      <c r="E2173" s="74">
        <v>6</v>
      </c>
      <c r="F2173" s="74">
        <v>13.7</v>
      </c>
      <c r="G2173" s="758">
        <f t="shared" si="132"/>
        <v>0.53</v>
      </c>
      <c r="H2173" s="759">
        <f t="shared" si="133"/>
        <v>0.32</v>
      </c>
      <c r="I2173" s="758">
        <f t="shared" si="134"/>
        <v>1.7533333333333332</v>
      </c>
      <c r="J2173" s="760">
        <f t="shared" si="135"/>
        <v>0.76788321167883211</v>
      </c>
    </row>
    <row r="2174" spans="1:10">
      <c r="A2174" s="74" t="s">
        <v>265</v>
      </c>
      <c r="B2174" s="74" t="s">
        <v>266</v>
      </c>
      <c r="C2174" s="74" t="s">
        <v>1614</v>
      </c>
      <c r="D2174" s="74" t="s">
        <v>92</v>
      </c>
      <c r="E2174" s="74">
        <v>7</v>
      </c>
      <c r="F2174" s="74">
        <v>14.25</v>
      </c>
      <c r="G2174" s="758">
        <f t="shared" si="132"/>
        <v>0.53</v>
      </c>
      <c r="H2174" s="759">
        <f t="shared" si="133"/>
        <v>0.32</v>
      </c>
      <c r="I2174" s="758">
        <f t="shared" si="134"/>
        <v>1.5057142857142856</v>
      </c>
      <c r="J2174" s="760">
        <f t="shared" si="135"/>
        <v>0.73964912280701756</v>
      </c>
    </row>
    <row r="2175" spans="1:10">
      <c r="A2175" s="74" t="s">
        <v>265</v>
      </c>
      <c r="B2175" s="74" t="s">
        <v>266</v>
      </c>
      <c r="C2175" s="74" t="s">
        <v>1631</v>
      </c>
      <c r="D2175" s="74" t="s">
        <v>92</v>
      </c>
      <c r="E2175" s="74">
        <v>3</v>
      </c>
      <c r="F2175" s="74">
        <v>7.95</v>
      </c>
      <c r="G2175" s="758">
        <f t="shared" si="132"/>
        <v>0.53</v>
      </c>
      <c r="H2175" s="759">
        <f t="shared" si="133"/>
        <v>0.32</v>
      </c>
      <c r="I2175" s="758">
        <f t="shared" si="134"/>
        <v>2.12</v>
      </c>
      <c r="J2175" s="760">
        <f t="shared" si="135"/>
        <v>0.8</v>
      </c>
    </row>
    <row r="2176" spans="1:10">
      <c r="A2176" s="74" t="s">
        <v>265</v>
      </c>
      <c r="B2176" s="74" t="s">
        <v>266</v>
      </c>
      <c r="C2176" s="74" t="s">
        <v>1617</v>
      </c>
      <c r="D2176" s="74" t="s">
        <v>94</v>
      </c>
      <c r="E2176" s="74">
        <v>6</v>
      </c>
      <c r="F2176" s="74">
        <v>11.1</v>
      </c>
      <c r="G2176" s="758">
        <f t="shared" si="132"/>
        <v>0.53</v>
      </c>
      <c r="H2176" s="759">
        <f t="shared" si="133"/>
        <v>0.32</v>
      </c>
      <c r="I2176" s="758">
        <f t="shared" si="134"/>
        <v>1.3199999999999998</v>
      </c>
      <c r="J2176" s="760">
        <f t="shared" si="135"/>
        <v>0.71351351351351355</v>
      </c>
    </row>
    <row r="2177" spans="1:10">
      <c r="A2177" s="74" t="s">
        <v>265</v>
      </c>
      <c r="B2177" s="74" t="s">
        <v>266</v>
      </c>
      <c r="C2177" s="74" t="s">
        <v>1553</v>
      </c>
      <c r="D2177" s="74" t="s">
        <v>94</v>
      </c>
      <c r="E2177" s="74">
        <v>2</v>
      </c>
      <c r="F2177" s="74">
        <v>3.65</v>
      </c>
      <c r="G2177" s="758">
        <f t="shared" si="132"/>
        <v>0.53</v>
      </c>
      <c r="H2177" s="759">
        <f t="shared" si="133"/>
        <v>0.32</v>
      </c>
      <c r="I2177" s="758">
        <f t="shared" si="134"/>
        <v>1.2949999999999999</v>
      </c>
      <c r="J2177" s="760">
        <f t="shared" si="135"/>
        <v>0.70958904109589038</v>
      </c>
    </row>
    <row r="2178" spans="1:10">
      <c r="A2178" s="74" t="s">
        <v>265</v>
      </c>
      <c r="B2178" s="74" t="s">
        <v>266</v>
      </c>
      <c r="C2178" s="74" t="s">
        <v>1555</v>
      </c>
      <c r="D2178" s="74" t="s">
        <v>94</v>
      </c>
      <c r="E2178" s="74">
        <v>2</v>
      </c>
      <c r="F2178" s="74">
        <v>3.65</v>
      </c>
      <c r="G2178" s="758">
        <f t="shared" ref="G2178:G2241" si="136">IFERROR(VLOOKUP(A2178,$M$1:$P$1014,2,FALSE),0)</f>
        <v>0.53</v>
      </c>
      <c r="H2178" s="759">
        <f t="shared" ref="H2178:H2241" si="137">IFERROR(VLOOKUP(A2178,$M$1:$P$1014,3,FALSE),0)</f>
        <v>0.32</v>
      </c>
      <c r="I2178" s="758">
        <f t="shared" ref="I2178:I2241" si="138">IFERROR(F2178/E2178-G2178,0)</f>
        <v>1.2949999999999999</v>
      </c>
      <c r="J2178" s="760">
        <f t="shared" ref="J2178:J2241" si="139">IFERROR(1-G2178*E2178/F2178,0)</f>
        <v>0.70958904109589038</v>
      </c>
    </row>
    <row r="2179" spans="1:10">
      <c r="A2179" s="74" t="s">
        <v>265</v>
      </c>
      <c r="B2179" s="74" t="s">
        <v>266</v>
      </c>
      <c r="C2179" s="74" t="s">
        <v>1557</v>
      </c>
      <c r="D2179" s="74" t="s">
        <v>95</v>
      </c>
      <c r="E2179" s="74">
        <v>5</v>
      </c>
      <c r="F2179" s="74">
        <v>11.6</v>
      </c>
      <c r="G2179" s="758">
        <f t="shared" si="136"/>
        <v>0.53</v>
      </c>
      <c r="H2179" s="759">
        <f t="shared" si="137"/>
        <v>0.32</v>
      </c>
      <c r="I2179" s="758">
        <f t="shared" si="138"/>
        <v>1.7899999999999998</v>
      </c>
      <c r="J2179" s="760">
        <f t="shared" si="139"/>
        <v>0.77155172413793105</v>
      </c>
    </row>
    <row r="2180" spans="1:10">
      <c r="A2180" s="74" t="s">
        <v>265</v>
      </c>
      <c r="B2180" s="74" t="s">
        <v>266</v>
      </c>
      <c r="C2180" s="74" t="s">
        <v>1526</v>
      </c>
      <c r="D2180" s="74" t="s">
        <v>95</v>
      </c>
      <c r="E2180" s="74">
        <v>4</v>
      </c>
      <c r="F2180" s="74">
        <v>8.9499999999999993</v>
      </c>
      <c r="G2180" s="758">
        <f t="shared" si="136"/>
        <v>0.53</v>
      </c>
      <c r="H2180" s="759">
        <f t="shared" si="137"/>
        <v>0.32</v>
      </c>
      <c r="I2180" s="758">
        <f t="shared" si="138"/>
        <v>1.7074999999999998</v>
      </c>
      <c r="J2180" s="760">
        <f t="shared" si="139"/>
        <v>0.76312849162011176</v>
      </c>
    </row>
    <row r="2181" spans="1:10">
      <c r="A2181" s="74" t="s">
        <v>265</v>
      </c>
      <c r="B2181" s="74" t="s">
        <v>266</v>
      </c>
      <c r="C2181" s="74" t="s">
        <v>1930</v>
      </c>
      <c r="D2181" s="74" t="s">
        <v>95</v>
      </c>
      <c r="E2181" s="74">
        <v>4</v>
      </c>
      <c r="F2181" s="74">
        <v>5.65</v>
      </c>
      <c r="G2181" s="758">
        <f t="shared" si="136"/>
        <v>0.53</v>
      </c>
      <c r="H2181" s="759">
        <f t="shared" si="137"/>
        <v>0.32</v>
      </c>
      <c r="I2181" s="758">
        <f t="shared" si="138"/>
        <v>0.88250000000000006</v>
      </c>
      <c r="J2181" s="760">
        <f t="shared" si="139"/>
        <v>0.62477876106194685</v>
      </c>
    </row>
    <row r="2182" spans="1:10">
      <c r="A2182" s="74" t="s">
        <v>1754</v>
      </c>
      <c r="B2182" s="74" t="s">
        <v>251</v>
      </c>
      <c r="C2182" s="74" t="s">
        <v>1530</v>
      </c>
      <c r="D2182" s="74" t="s">
        <v>80</v>
      </c>
      <c r="E2182" s="74">
        <v>2</v>
      </c>
      <c r="F2182" s="74">
        <v>0</v>
      </c>
      <c r="G2182" s="758">
        <f t="shared" si="136"/>
        <v>0.78</v>
      </c>
      <c r="H2182" s="759">
        <f t="shared" si="137"/>
        <v>0</v>
      </c>
      <c r="I2182" s="758">
        <f t="shared" si="138"/>
        <v>-0.78</v>
      </c>
      <c r="J2182" s="760">
        <f t="shared" si="139"/>
        <v>0</v>
      </c>
    </row>
    <row r="2183" spans="1:10">
      <c r="A2183" s="74" t="s">
        <v>1754</v>
      </c>
      <c r="B2183" s="74" t="s">
        <v>251</v>
      </c>
      <c r="C2183" s="74" t="s">
        <v>1514</v>
      </c>
      <c r="D2183" s="74" t="s">
        <v>81</v>
      </c>
      <c r="E2183" s="74">
        <v>1</v>
      </c>
      <c r="F2183" s="74">
        <v>0</v>
      </c>
      <c r="G2183" s="758">
        <f t="shared" si="136"/>
        <v>0.78</v>
      </c>
      <c r="H2183" s="759">
        <f t="shared" si="137"/>
        <v>0</v>
      </c>
      <c r="I2183" s="758">
        <f t="shared" si="138"/>
        <v>-0.78</v>
      </c>
      <c r="J2183" s="760">
        <f t="shared" si="139"/>
        <v>0</v>
      </c>
    </row>
    <row r="2184" spans="1:10">
      <c r="A2184" s="74" t="s">
        <v>1754</v>
      </c>
      <c r="B2184" s="74" t="s">
        <v>251</v>
      </c>
      <c r="C2184" s="74" t="s">
        <v>1517</v>
      </c>
      <c r="D2184" s="74" t="s">
        <v>82</v>
      </c>
      <c r="E2184" s="74">
        <v>1</v>
      </c>
      <c r="F2184" s="74">
        <v>0</v>
      </c>
      <c r="G2184" s="758">
        <f t="shared" si="136"/>
        <v>0.78</v>
      </c>
      <c r="H2184" s="759">
        <f t="shared" si="137"/>
        <v>0</v>
      </c>
      <c r="I2184" s="758">
        <f t="shared" si="138"/>
        <v>-0.78</v>
      </c>
      <c r="J2184" s="760">
        <f t="shared" si="139"/>
        <v>0</v>
      </c>
    </row>
    <row r="2185" spans="1:10">
      <c r="A2185" s="74" t="s">
        <v>1755</v>
      </c>
      <c r="B2185" s="74" t="s">
        <v>251</v>
      </c>
      <c r="C2185" s="74" t="s">
        <v>1608</v>
      </c>
      <c r="D2185" s="74" t="s">
        <v>89</v>
      </c>
      <c r="E2185" s="74">
        <v>1</v>
      </c>
      <c r="F2185" s="74">
        <v>2.12</v>
      </c>
      <c r="G2185" s="758">
        <f t="shared" si="136"/>
        <v>0</v>
      </c>
      <c r="H2185" s="759">
        <f t="shared" si="137"/>
        <v>0</v>
      </c>
      <c r="I2185" s="758">
        <f t="shared" si="138"/>
        <v>2.12</v>
      </c>
      <c r="J2185" s="760">
        <f t="shared" si="139"/>
        <v>1</v>
      </c>
    </row>
    <row r="2186" spans="1:10">
      <c r="A2186" s="74" t="s">
        <v>1756</v>
      </c>
      <c r="B2186" s="74" t="s">
        <v>251</v>
      </c>
      <c r="C2186" s="74" t="s">
        <v>1508</v>
      </c>
      <c r="D2186" s="74" t="s">
        <v>78</v>
      </c>
      <c r="E2186" s="74">
        <v>1</v>
      </c>
      <c r="F2186" s="74">
        <v>2.1</v>
      </c>
      <c r="G2186" s="758">
        <f t="shared" si="136"/>
        <v>0.6</v>
      </c>
      <c r="H2186" s="759">
        <f t="shared" si="137"/>
        <v>0.31</v>
      </c>
      <c r="I2186" s="758">
        <f t="shared" si="138"/>
        <v>1.5</v>
      </c>
      <c r="J2186" s="760">
        <f t="shared" si="139"/>
        <v>0.7142857142857143</v>
      </c>
    </row>
    <row r="2187" spans="1:10">
      <c r="A2187" s="74" t="s">
        <v>1757</v>
      </c>
      <c r="B2187" s="74" t="s">
        <v>266</v>
      </c>
      <c r="C2187" s="74" t="s">
        <v>1555</v>
      </c>
      <c r="D2187" s="74" t="s">
        <v>94</v>
      </c>
      <c r="E2187" s="74">
        <v>4</v>
      </c>
      <c r="F2187" s="74">
        <v>4</v>
      </c>
      <c r="G2187" s="758">
        <f t="shared" si="136"/>
        <v>0</v>
      </c>
      <c r="H2187" s="759">
        <f t="shared" si="137"/>
        <v>0</v>
      </c>
      <c r="I2187" s="758">
        <f t="shared" si="138"/>
        <v>1</v>
      </c>
      <c r="J2187" s="760">
        <f t="shared" si="139"/>
        <v>1</v>
      </c>
    </row>
    <row r="2188" spans="1:10">
      <c r="A2188" s="74" t="s">
        <v>926</v>
      </c>
      <c r="B2188" s="74" t="s">
        <v>266</v>
      </c>
      <c r="C2188" s="74" t="s">
        <v>1528</v>
      </c>
      <c r="D2188" s="74" t="s">
        <v>78</v>
      </c>
      <c r="E2188" s="74">
        <v>24</v>
      </c>
      <c r="F2188" s="74">
        <v>63.3</v>
      </c>
      <c r="G2188" s="758">
        <f t="shared" si="136"/>
        <v>0.53</v>
      </c>
      <c r="H2188" s="759">
        <f t="shared" si="137"/>
        <v>0.28999999999999998</v>
      </c>
      <c r="I2188" s="758">
        <f t="shared" si="138"/>
        <v>2.1074999999999999</v>
      </c>
      <c r="J2188" s="760">
        <f t="shared" si="139"/>
        <v>0.79905213270142172</v>
      </c>
    </row>
    <row r="2189" spans="1:10">
      <c r="A2189" s="74" t="s">
        <v>926</v>
      </c>
      <c r="B2189" s="74" t="s">
        <v>266</v>
      </c>
      <c r="C2189" s="74" t="s">
        <v>1508</v>
      </c>
      <c r="D2189" s="74" t="s">
        <v>78</v>
      </c>
      <c r="E2189" s="74">
        <v>16</v>
      </c>
      <c r="F2189" s="74">
        <v>42.03</v>
      </c>
      <c r="G2189" s="758">
        <f t="shared" si="136"/>
        <v>0.53</v>
      </c>
      <c r="H2189" s="759">
        <f t="shared" si="137"/>
        <v>0.28999999999999998</v>
      </c>
      <c r="I2189" s="758">
        <f t="shared" si="138"/>
        <v>2.0968749999999998</v>
      </c>
      <c r="J2189" s="760">
        <f t="shared" si="139"/>
        <v>0.79823935284320724</v>
      </c>
    </row>
    <row r="2190" spans="1:10">
      <c r="A2190" s="74" t="s">
        <v>926</v>
      </c>
      <c r="B2190" s="74" t="s">
        <v>266</v>
      </c>
      <c r="C2190" s="74" t="s">
        <v>1509</v>
      </c>
      <c r="D2190" s="74" t="s">
        <v>78</v>
      </c>
      <c r="E2190" s="74">
        <v>10</v>
      </c>
      <c r="F2190" s="74">
        <v>25.2</v>
      </c>
      <c r="G2190" s="758">
        <f t="shared" si="136"/>
        <v>0.53</v>
      </c>
      <c r="H2190" s="759">
        <f t="shared" si="137"/>
        <v>0.28999999999999998</v>
      </c>
      <c r="I2190" s="758">
        <f t="shared" si="138"/>
        <v>1.99</v>
      </c>
      <c r="J2190" s="760">
        <f t="shared" si="139"/>
        <v>0.78968253968253965</v>
      </c>
    </row>
    <row r="2191" spans="1:10">
      <c r="A2191" s="74" t="s">
        <v>926</v>
      </c>
      <c r="B2191" s="74" t="s">
        <v>266</v>
      </c>
      <c r="C2191" s="74" t="s">
        <v>1565</v>
      </c>
      <c r="D2191" s="74" t="s">
        <v>78</v>
      </c>
      <c r="E2191" s="74">
        <v>21</v>
      </c>
      <c r="F2191" s="74">
        <v>56.25</v>
      </c>
      <c r="G2191" s="758">
        <f t="shared" si="136"/>
        <v>0.53</v>
      </c>
      <c r="H2191" s="759">
        <f t="shared" si="137"/>
        <v>0.28999999999999998</v>
      </c>
      <c r="I2191" s="758">
        <f t="shared" si="138"/>
        <v>2.1485714285714286</v>
      </c>
      <c r="J2191" s="760">
        <f t="shared" si="139"/>
        <v>0.80213333333333336</v>
      </c>
    </row>
    <row r="2192" spans="1:10">
      <c r="A2192" s="74" t="s">
        <v>926</v>
      </c>
      <c r="B2192" s="74" t="s">
        <v>266</v>
      </c>
      <c r="C2192" s="74" t="s">
        <v>1530</v>
      </c>
      <c r="D2192" s="74" t="s">
        <v>80</v>
      </c>
      <c r="E2192" s="74">
        <v>6</v>
      </c>
      <c r="F2192" s="74">
        <v>10.75</v>
      </c>
      <c r="G2192" s="758">
        <f t="shared" si="136"/>
        <v>0.53</v>
      </c>
      <c r="H2192" s="759">
        <f t="shared" si="137"/>
        <v>0.28999999999999998</v>
      </c>
      <c r="I2192" s="758">
        <f t="shared" si="138"/>
        <v>1.2616666666666667</v>
      </c>
      <c r="J2192" s="760">
        <f t="shared" si="139"/>
        <v>0.70418604651162786</v>
      </c>
    </row>
    <row r="2193" spans="1:10">
      <c r="A2193" s="74" t="s">
        <v>926</v>
      </c>
      <c r="B2193" s="74" t="s">
        <v>266</v>
      </c>
      <c r="C2193" s="74" t="s">
        <v>1532</v>
      </c>
      <c r="D2193" s="74" t="s">
        <v>80</v>
      </c>
      <c r="E2193" s="74">
        <v>26</v>
      </c>
      <c r="F2193" s="74">
        <v>67.599999999999994</v>
      </c>
      <c r="G2193" s="758">
        <f t="shared" si="136"/>
        <v>0.53</v>
      </c>
      <c r="H2193" s="759">
        <f t="shared" si="137"/>
        <v>0.28999999999999998</v>
      </c>
      <c r="I2193" s="758">
        <f t="shared" si="138"/>
        <v>2.0699999999999994</v>
      </c>
      <c r="J2193" s="760">
        <f t="shared" si="139"/>
        <v>0.7961538461538461</v>
      </c>
    </row>
    <row r="2194" spans="1:10">
      <c r="A2194" s="74" t="s">
        <v>926</v>
      </c>
      <c r="B2194" s="74" t="s">
        <v>266</v>
      </c>
      <c r="C2194" s="74" t="s">
        <v>1511</v>
      </c>
      <c r="D2194" s="74" t="s">
        <v>80</v>
      </c>
      <c r="E2194" s="74">
        <v>27</v>
      </c>
      <c r="F2194" s="74">
        <v>67.05</v>
      </c>
      <c r="G2194" s="758">
        <f t="shared" si="136"/>
        <v>0.53</v>
      </c>
      <c r="H2194" s="759">
        <f t="shared" si="137"/>
        <v>0.28999999999999998</v>
      </c>
      <c r="I2194" s="758">
        <f t="shared" si="138"/>
        <v>1.9533333333333334</v>
      </c>
      <c r="J2194" s="760">
        <f t="shared" si="139"/>
        <v>0.78657718120805364</v>
      </c>
    </row>
    <row r="2195" spans="1:10">
      <c r="A2195" s="74" t="s">
        <v>926</v>
      </c>
      <c r="B2195" s="74" t="s">
        <v>266</v>
      </c>
      <c r="C2195" s="74" t="s">
        <v>1512</v>
      </c>
      <c r="D2195" s="74" t="s">
        <v>80</v>
      </c>
      <c r="E2195" s="74">
        <v>35</v>
      </c>
      <c r="F2195" s="74">
        <v>78.400000000000006</v>
      </c>
      <c r="G2195" s="758">
        <f t="shared" si="136"/>
        <v>0.53</v>
      </c>
      <c r="H2195" s="759">
        <f t="shared" si="137"/>
        <v>0.28999999999999998</v>
      </c>
      <c r="I2195" s="758">
        <f t="shared" si="138"/>
        <v>1.7100000000000002</v>
      </c>
      <c r="J2195" s="760">
        <f t="shared" si="139"/>
        <v>0.76339285714285721</v>
      </c>
    </row>
    <row r="2196" spans="1:10">
      <c r="A2196" s="74" t="s">
        <v>926</v>
      </c>
      <c r="B2196" s="74" t="s">
        <v>266</v>
      </c>
      <c r="C2196" s="74" t="s">
        <v>1534</v>
      </c>
      <c r="D2196" s="74" t="s">
        <v>81</v>
      </c>
      <c r="E2196" s="74">
        <v>28</v>
      </c>
      <c r="F2196" s="74">
        <v>69.5</v>
      </c>
      <c r="G2196" s="758">
        <f t="shared" si="136"/>
        <v>0.53</v>
      </c>
      <c r="H2196" s="759">
        <f t="shared" si="137"/>
        <v>0.28999999999999998</v>
      </c>
      <c r="I2196" s="758">
        <f t="shared" si="138"/>
        <v>1.9521428571428572</v>
      </c>
      <c r="J2196" s="760">
        <f t="shared" si="139"/>
        <v>0.78647482014388492</v>
      </c>
    </row>
    <row r="2197" spans="1:10">
      <c r="A2197" s="74" t="s">
        <v>926</v>
      </c>
      <c r="B2197" s="74" t="s">
        <v>266</v>
      </c>
      <c r="C2197" s="74" t="s">
        <v>1513</v>
      </c>
      <c r="D2197" s="74" t="s">
        <v>81</v>
      </c>
      <c r="E2197" s="74">
        <v>26</v>
      </c>
      <c r="F2197" s="74">
        <v>124.75</v>
      </c>
      <c r="G2197" s="758">
        <f t="shared" si="136"/>
        <v>0.53</v>
      </c>
      <c r="H2197" s="759">
        <f t="shared" si="137"/>
        <v>0.28999999999999998</v>
      </c>
      <c r="I2197" s="758">
        <f t="shared" si="138"/>
        <v>4.2680769230769231</v>
      </c>
      <c r="J2197" s="760">
        <f t="shared" si="139"/>
        <v>0.88953907815631261</v>
      </c>
    </row>
    <row r="2198" spans="1:10">
      <c r="A2198" s="74" t="s">
        <v>926</v>
      </c>
      <c r="B2198" s="74" t="s">
        <v>266</v>
      </c>
      <c r="C2198" s="74" t="s">
        <v>1514</v>
      </c>
      <c r="D2198" s="74" t="s">
        <v>81</v>
      </c>
      <c r="E2198" s="74">
        <v>26</v>
      </c>
      <c r="F2198" s="74">
        <v>80.55</v>
      </c>
      <c r="G2198" s="758">
        <f t="shared" si="136"/>
        <v>0.53</v>
      </c>
      <c r="H2198" s="759">
        <f t="shared" si="137"/>
        <v>0.28999999999999998</v>
      </c>
      <c r="I2198" s="758">
        <f t="shared" si="138"/>
        <v>2.5680769230769229</v>
      </c>
      <c r="J2198" s="760">
        <f t="shared" si="139"/>
        <v>0.82892613283674732</v>
      </c>
    </row>
    <row r="2199" spans="1:10">
      <c r="A2199" s="74" t="s">
        <v>926</v>
      </c>
      <c r="B2199" s="74" t="s">
        <v>266</v>
      </c>
      <c r="C2199" s="74" t="s">
        <v>1515</v>
      </c>
      <c r="D2199" s="74" t="s">
        <v>81</v>
      </c>
      <c r="E2199" s="74">
        <v>14</v>
      </c>
      <c r="F2199" s="74">
        <v>37.700000000000003</v>
      </c>
      <c r="G2199" s="758">
        <f t="shared" si="136"/>
        <v>0.53</v>
      </c>
      <c r="H2199" s="759">
        <f t="shared" si="137"/>
        <v>0.28999999999999998</v>
      </c>
      <c r="I2199" s="758">
        <f t="shared" si="138"/>
        <v>2.1628571428571428</v>
      </c>
      <c r="J2199" s="760">
        <f t="shared" si="139"/>
        <v>0.80318302387267904</v>
      </c>
    </row>
    <row r="2200" spans="1:10">
      <c r="A2200" s="74" t="s">
        <v>926</v>
      </c>
      <c r="B2200" s="74" t="s">
        <v>266</v>
      </c>
      <c r="C2200" s="74" t="s">
        <v>1516</v>
      </c>
      <c r="D2200" s="74" t="s">
        <v>82</v>
      </c>
      <c r="E2200" s="74">
        <v>36</v>
      </c>
      <c r="F2200" s="74">
        <v>218.6</v>
      </c>
      <c r="G2200" s="758">
        <f t="shared" si="136"/>
        <v>0.53</v>
      </c>
      <c r="H2200" s="759">
        <f t="shared" si="137"/>
        <v>0.28999999999999998</v>
      </c>
      <c r="I2200" s="758">
        <f t="shared" si="138"/>
        <v>5.5422222222222217</v>
      </c>
      <c r="J2200" s="760">
        <f t="shared" si="139"/>
        <v>0.91271729185727357</v>
      </c>
    </row>
    <row r="2201" spans="1:10">
      <c r="A2201" s="74" t="s">
        <v>926</v>
      </c>
      <c r="B2201" s="74" t="s">
        <v>266</v>
      </c>
      <c r="C2201" s="74" t="s">
        <v>1517</v>
      </c>
      <c r="D2201" s="74" t="s">
        <v>82</v>
      </c>
      <c r="E2201" s="74">
        <v>28</v>
      </c>
      <c r="F2201" s="74">
        <v>69.95</v>
      </c>
      <c r="G2201" s="758">
        <f t="shared" si="136"/>
        <v>0.53</v>
      </c>
      <c r="H2201" s="759">
        <f t="shared" si="137"/>
        <v>0.28999999999999998</v>
      </c>
      <c r="I2201" s="758">
        <f t="shared" si="138"/>
        <v>1.9682142857142859</v>
      </c>
      <c r="J2201" s="760">
        <f t="shared" si="139"/>
        <v>0.7878484631879914</v>
      </c>
    </row>
    <row r="2202" spans="1:10">
      <c r="A2202" s="74" t="s">
        <v>926</v>
      </c>
      <c r="B2202" s="74" t="s">
        <v>266</v>
      </c>
      <c r="C2202" s="74" t="s">
        <v>1527</v>
      </c>
      <c r="D2202" s="74" t="s">
        <v>82</v>
      </c>
      <c r="E2202" s="74">
        <v>38</v>
      </c>
      <c r="F2202" s="74">
        <v>102.05</v>
      </c>
      <c r="G2202" s="758">
        <f t="shared" si="136"/>
        <v>0.53</v>
      </c>
      <c r="H2202" s="759">
        <f t="shared" si="137"/>
        <v>0.28999999999999998</v>
      </c>
      <c r="I2202" s="758">
        <f t="shared" si="138"/>
        <v>2.1555263157894737</v>
      </c>
      <c r="J2202" s="760">
        <f t="shared" si="139"/>
        <v>0.80264576188143066</v>
      </c>
    </row>
    <row r="2203" spans="1:10">
      <c r="A2203" s="74" t="s">
        <v>926</v>
      </c>
      <c r="B2203" s="74" t="s">
        <v>266</v>
      </c>
      <c r="C2203" s="74" t="s">
        <v>1518</v>
      </c>
      <c r="D2203" s="74" t="s">
        <v>82</v>
      </c>
      <c r="E2203" s="74">
        <v>30</v>
      </c>
      <c r="F2203" s="74">
        <v>233.45</v>
      </c>
      <c r="G2203" s="758">
        <f t="shared" si="136"/>
        <v>0.53</v>
      </c>
      <c r="H2203" s="759">
        <f t="shared" si="137"/>
        <v>0.28999999999999998</v>
      </c>
      <c r="I2203" s="758">
        <f t="shared" si="138"/>
        <v>7.251666666666666</v>
      </c>
      <c r="J2203" s="760">
        <f t="shared" si="139"/>
        <v>0.93189119725851355</v>
      </c>
    </row>
    <row r="2204" spans="1:10">
      <c r="A2204" s="74" t="s">
        <v>926</v>
      </c>
      <c r="B2204" s="74" t="s">
        <v>266</v>
      </c>
      <c r="C2204" s="74" t="s">
        <v>1519</v>
      </c>
      <c r="D2204" s="74" t="s">
        <v>84</v>
      </c>
      <c r="E2204" s="74">
        <v>3</v>
      </c>
      <c r="F2204" s="74">
        <v>0</v>
      </c>
      <c r="G2204" s="758">
        <f t="shared" si="136"/>
        <v>0.53</v>
      </c>
      <c r="H2204" s="759">
        <f t="shared" si="137"/>
        <v>0.28999999999999998</v>
      </c>
      <c r="I2204" s="758">
        <f t="shared" si="138"/>
        <v>-0.53</v>
      </c>
      <c r="J2204" s="760">
        <f t="shared" si="139"/>
        <v>0</v>
      </c>
    </row>
    <row r="2205" spans="1:10">
      <c r="A2205" s="74" t="s">
        <v>926</v>
      </c>
      <c r="B2205" s="74" t="s">
        <v>266</v>
      </c>
      <c r="C2205" s="74" t="s">
        <v>1540</v>
      </c>
      <c r="D2205" s="74" t="s">
        <v>84</v>
      </c>
      <c r="E2205" s="74">
        <v>2</v>
      </c>
      <c r="F2205" s="74">
        <v>0</v>
      </c>
      <c r="G2205" s="758">
        <f t="shared" si="136"/>
        <v>0.53</v>
      </c>
      <c r="H2205" s="759">
        <f t="shared" si="137"/>
        <v>0.28999999999999998</v>
      </c>
      <c r="I2205" s="758">
        <f t="shared" si="138"/>
        <v>-0.53</v>
      </c>
      <c r="J2205" s="760">
        <f t="shared" si="139"/>
        <v>0</v>
      </c>
    </row>
    <row r="2206" spans="1:10">
      <c r="A2206" s="74" t="s">
        <v>926</v>
      </c>
      <c r="B2206" s="74" t="s">
        <v>266</v>
      </c>
      <c r="C2206" s="74" t="s">
        <v>1520</v>
      </c>
      <c r="D2206" s="74" t="s">
        <v>84</v>
      </c>
      <c r="E2206" s="74">
        <v>1</v>
      </c>
      <c r="F2206" s="74">
        <v>2.65</v>
      </c>
      <c r="G2206" s="758">
        <f t="shared" si="136"/>
        <v>0.53</v>
      </c>
      <c r="H2206" s="759">
        <f t="shared" si="137"/>
        <v>0.28999999999999998</v>
      </c>
      <c r="I2206" s="758">
        <f t="shared" si="138"/>
        <v>2.12</v>
      </c>
      <c r="J2206" s="760">
        <f t="shared" si="139"/>
        <v>0.8</v>
      </c>
    </row>
    <row r="2207" spans="1:10">
      <c r="A2207" s="74" t="s">
        <v>926</v>
      </c>
      <c r="B2207" s="74" t="s">
        <v>266</v>
      </c>
      <c r="C2207" s="74" t="s">
        <v>1577</v>
      </c>
      <c r="D2207" s="74" t="s">
        <v>84</v>
      </c>
      <c r="E2207" s="74">
        <v>3</v>
      </c>
      <c r="F2207" s="74">
        <v>5.3</v>
      </c>
      <c r="G2207" s="758">
        <f t="shared" si="136"/>
        <v>0.53</v>
      </c>
      <c r="H2207" s="759">
        <f t="shared" si="137"/>
        <v>0.28999999999999998</v>
      </c>
      <c r="I2207" s="758">
        <f t="shared" si="138"/>
        <v>1.2366666666666666</v>
      </c>
      <c r="J2207" s="760">
        <f t="shared" si="139"/>
        <v>0.7</v>
      </c>
    </row>
    <row r="2208" spans="1:10">
      <c r="A2208" s="74" t="s">
        <v>926</v>
      </c>
      <c r="B2208" s="74" t="s">
        <v>266</v>
      </c>
      <c r="C2208" s="74" t="s">
        <v>1507</v>
      </c>
      <c r="D2208" s="74" t="s">
        <v>86</v>
      </c>
      <c r="E2208" s="74">
        <v>3</v>
      </c>
      <c r="F2208" s="74">
        <v>5.3</v>
      </c>
      <c r="G2208" s="758">
        <f t="shared" si="136"/>
        <v>0.53</v>
      </c>
      <c r="H2208" s="759">
        <f t="shared" si="137"/>
        <v>0.28999999999999998</v>
      </c>
      <c r="I2208" s="758">
        <f t="shared" si="138"/>
        <v>1.2366666666666666</v>
      </c>
      <c r="J2208" s="760">
        <f t="shared" si="139"/>
        <v>0.7</v>
      </c>
    </row>
    <row r="2209" spans="1:10">
      <c r="A2209" s="74" t="s">
        <v>926</v>
      </c>
      <c r="B2209" s="74" t="s">
        <v>266</v>
      </c>
      <c r="C2209" s="74" t="s">
        <v>1644</v>
      </c>
      <c r="D2209" s="74" t="s">
        <v>86</v>
      </c>
      <c r="E2209" s="74">
        <v>7</v>
      </c>
      <c r="F2209" s="74">
        <v>13.55</v>
      </c>
      <c r="G2209" s="758">
        <f t="shared" si="136"/>
        <v>0.53</v>
      </c>
      <c r="H2209" s="759">
        <f t="shared" si="137"/>
        <v>0.28999999999999998</v>
      </c>
      <c r="I2209" s="758">
        <f t="shared" si="138"/>
        <v>1.4057142857142857</v>
      </c>
      <c r="J2209" s="760">
        <f t="shared" si="139"/>
        <v>0.72619926199261986</v>
      </c>
    </row>
    <row r="2210" spans="1:10">
      <c r="A2210" s="74" t="s">
        <v>926</v>
      </c>
      <c r="B2210" s="74" t="s">
        <v>266</v>
      </c>
      <c r="C2210" s="74" t="s">
        <v>1578</v>
      </c>
      <c r="D2210" s="74" t="s">
        <v>86</v>
      </c>
      <c r="E2210" s="74">
        <v>7</v>
      </c>
      <c r="F2210" s="74">
        <v>16.05</v>
      </c>
      <c r="G2210" s="758">
        <f t="shared" si="136"/>
        <v>0.53</v>
      </c>
      <c r="H2210" s="759">
        <f t="shared" si="137"/>
        <v>0.28999999999999998</v>
      </c>
      <c r="I2210" s="758">
        <f t="shared" si="138"/>
        <v>1.7628571428571431</v>
      </c>
      <c r="J2210" s="760">
        <f t="shared" si="139"/>
        <v>0.76884735202492216</v>
      </c>
    </row>
    <row r="2211" spans="1:10">
      <c r="A2211" s="74" t="s">
        <v>926</v>
      </c>
      <c r="B2211" s="74" t="s">
        <v>266</v>
      </c>
      <c r="C2211" s="74" t="s">
        <v>1646</v>
      </c>
      <c r="D2211" s="74" t="s">
        <v>86</v>
      </c>
      <c r="E2211" s="74">
        <v>14</v>
      </c>
      <c r="F2211" s="74">
        <v>16.2</v>
      </c>
      <c r="G2211" s="758">
        <f t="shared" si="136"/>
        <v>0.53</v>
      </c>
      <c r="H2211" s="759">
        <f t="shared" si="137"/>
        <v>0.28999999999999998</v>
      </c>
      <c r="I2211" s="758">
        <f t="shared" si="138"/>
        <v>0.627142857142857</v>
      </c>
      <c r="J2211" s="760">
        <f t="shared" si="139"/>
        <v>0.5419753086419753</v>
      </c>
    </row>
    <row r="2212" spans="1:10">
      <c r="A2212" s="74" t="s">
        <v>926</v>
      </c>
      <c r="B2212" s="74" t="s">
        <v>266</v>
      </c>
      <c r="C2212" s="74" t="s">
        <v>1541</v>
      </c>
      <c r="D2212" s="74" t="s">
        <v>86</v>
      </c>
      <c r="E2212" s="74">
        <v>10</v>
      </c>
      <c r="F2212" s="74">
        <v>10.6</v>
      </c>
      <c r="G2212" s="758">
        <f t="shared" si="136"/>
        <v>0.53</v>
      </c>
      <c r="H2212" s="759">
        <f t="shared" si="137"/>
        <v>0.28999999999999998</v>
      </c>
      <c r="I2212" s="758">
        <f t="shared" si="138"/>
        <v>0.53</v>
      </c>
      <c r="J2212" s="760">
        <f t="shared" si="139"/>
        <v>0.49999999999999989</v>
      </c>
    </row>
    <row r="2213" spans="1:10">
      <c r="A2213" s="74" t="s">
        <v>926</v>
      </c>
      <c r="B2213" s="74" t="s">
        <v>266</v>
      </c>
      <c r="C2213" s="74" t="s">
        <v>1543</v>
      </c>
      <c r="D2213" s="74" t="s">
        <v>87</v>
      </c>
      <c r="E2213" s="74">
        <v>6</v>
      </c>
      <c r="F2213" s="74">
        <v>10.9</v>
      </c>
      <c r="G2213" s="758">
        <f t="shared" si="136"/>
        <v>0.53</v>
      </c>
      <c r="H2213" s="759">
        <f t="shared" si="137"/>
        <v>0.28999999999999998</v>
      </c>
      <c r="I2213" s="758">
        <f t="shared" si="138"/>
        <v>1.2866666666666666</v>
      </c>
      <c r="J2213" s="760">
        <f t="shared" si="139"/>
        <v>0.70825688073394488</v>
      </c>
    </row>
    <row r="2214" spans="1:10">
      <c r="A2214" s="74" t="s">
        <v>926</v>
      </c>
      <c r="B2214" s="74" t="s">
        <v>266</v>
      </c>
      <c r="C2214" s="74" t="s">
        <v>1544</v>
      </c>
      <c r="D2214" s="74" t="s">
        <v>87</v>
      </c>
      <c r="E2214" s="74">
        <v>7</v>
      </c>
      <c r="F2214" s="74">
        <v>7.95</v>
      </c>
      <c r="G2214" s="758">
        <f t="shared" si="136"/>
        <v>0.53</v>
      </c>
      <c r="H2214" s="759">
        <f t="shared" si="137"/>
        <v>0.28999999999999998</v>
      </c>
      <c r="I2214" s="758">
        <f t="shared" si="138"/>
        <v>0.60571428571428565</v>
      </c>
      <c r="J2214" s="760">
        <f t="shared" si="139"/>
        <v>0.53333333333333333</v>
      </c>
    </row>
    <row r="2215" spans="1:10">
      <c r="A2215" s="74" t="s">
        <v>926</v>
      </c>
      <c r="B2215" s="74" t="s">
        <v>266</v>
      </c>
      <c r="C2215" s="74" t="s">
        <v>1605</v>
      </c>
      <c r="D2215" s="74" t="s">
        <v>87</v>
      </c>
      <c r="E2215" s="74">
        <v>3</v>
      </c>
      <c r="F2215" s="74">
        <v>5.45</v>
      </c>
      <c r="G2215" s="758">
        <f t="shared" si="136"/>
        <v>0.53</v>
      </c>
      <c r="H2215" s="759">
        <f t="shared" si="137"/>
        <v>0.28999999999999998</v>
      </c>
      <c r="I2215" s="758">
        <f t="shared" si="138"/>
        <v>1.2866666666666666</v>
      </c>
      <c r="J2215" s="760">
        <f t="shared" si="139"/>
        <v>0.70825688073394488</v>
      </c>
    </row>
    <row r="2216" spans="1:10">
      <c r="A2216" s="74" t="s">
        <v>926</v>
      </c>
      <c r="B2216" s="74" t="s">
        <v>266</v>
      </c>
      <c r="C2216" s="74" t="s">
        <v>1561</v>
      </c>
      <c r="D2216" s="74" t="s">
        <v>87</v>
      </c>
      <c r="E2216" s="74">
        <v>2</v>
      </c>
      <c r="F2216" s="74">
        <v>0</v>
      </c>
      <c r="G2216" s="758">
        <f t="shared" si="136"/>
        <v>0.53</v>
      </c>
      <c r="H2216" s="759">
        <f t="shared" si="137"/>
        <v>0.28999999999999998</v>
      </c>
      <c r="I2216" s="758">
        <f t="shared" si="138"/>
        <v>-0.53</v>
      </c>
      <c r="J2216" s="760">
        <f t="shared" si="139"/>
        <v>0</v>
      </c>
    </row>
    <row r="2217" spans="1:10">
      <c r="A2217" s="74" t="s">
        <v>926</v>
      </c>
      <c r="B2217" s="74" t="s">
        <v>266</v>
      </c>
      <c r="C2217" s="74" t="s">
        <v>1608</v>
      </c>
      <c r="D2217" s="74" t="s">
        <v>89</v>
      </c>
      <c r="E2217" s="74">
        <v>5</v>
      </c>
      <c r="F2217" s="74">
        <v>2.65</v>
      </c>
      <c r="G2217" s="758">
        <f t="shared" si="136"/>
        <v>0.53</v>
      </c>
      <c r="H2217" s="759">
        <f t="shared" si="137"/>
        <v>0.28999999999999998</v>
      </c>
      <c r="I2217" s="758">
        <f t="shared" si="138"/>
        <v>0</v>
      </c>
      <c r="J2217" s="760">
        <f t="shared" si="139"/>
        <v>-2.2204460492503131E-16</v>
      </c>
    </row>
    <row r="2218" spans="1:10">
      <c r="A2218" s="74" t="s">
        <v>926</v>
      </c>
      <c r="B2218" s="74" t="s">
        <v>266</v>
      </c>
      <c r="C2218" s="74" t="s">
        <v>1610</v>
      </c>
      <c r="D2218" s="74" t="s">
        <v>89</v>
      </c>
      <c r="E2218" s="74">
        <v>12</v>
      </c>
      <c r="F2218" s="74">
        <v>24.6</v>
      </c>
      <c r="G2218" s="758">
        <f t="shared" si="136"/>
        <v>0.53</v>
      </c>
      <c r="H2218" s="759">
        <f t="shared" si="137"/>
        <v>0.28999999999999998</v>
      </c>
      <c r="I2218" s="758">
        <f t="shared" si="138"/>
        <v>1.5200000000000002</v>
      </c>
      <c r="J2218" s="760">
        <f t="shared" si="139"/>
        <v>0.74146341463414633</v>
      </c>
    </row>
    <row r="2219" spans="1:10">
      <c r="A2219" s="74" t="s">
        <v>926</v>
      </c>
      <c r="B2219" s="74" t="s">
        <v>266</v>
      </c>
      <c r="C2219" s="74" t="s">
        <v>1546</v>
      </c>
      <c r="D2219" s="74" t="s">
        <v>89</v>
      </c>
      <c r="E2219" s="74">
        <v>8</v>
      </c>
      <c r="F2219" s="74">
        <v>5.3</v>
      </c>
      <c r="G2219" s="758">
        <f t="shared" si="136"/>
        <v>0.53</v>
      </c>
      <c r="H2219" s="759">
        <f t="shared" si="137"/>
        <v>0.28999999999999998</v>
      </c>
      <c r="I2219" s="758">
        <f t="shared" si="138"/>
        <v>0.13249999999999995</v>
      </c>
      <c r="J2219" s="760">
        <f t="shared" si="139"/>
        <v>0.19999999999999996</v>
      </c>
    </row>
    <row r="2220" spans="1:10">
      <c r="A2220" s="74" t="s">
        <v>926</v>
      </c>
      <c r="B2220" s="74" t="s">
        <v>266</v>
      </c>
      <c r="C2220" s="74" t="s">
        <v>1547</v>
      </c>
      <c r="D2220" s="74" t="s">
        <v>89</v>
      </c>
      <c r="E2220" s="74">
        <v>4</v>
      </c>
      <c r="F2220" s="74">
        <v>10.6</v>
      </c>
      <c r="G2220" s="758">
        <f t="shared" si="136"/>
        <v>0.53</v>
      </c>
      <c r="H2220" s="759">
        <f t="shared" si="137"/>
        <v>0.28999999999999998</v>
      </c>
      <c r="I2220" s="758">
        <f t="shared" si="138"/>
        <v>2.12</v>
      </c>
      <c r="J2220" s="760">
        <f t="shared" si="139"/>
        <v>0.8</v>
      </c>
    </row>
    <row r="2221" spans="1:10">
      <c r="A2221" s="74" t="s">
        <v>926</v>
      </c>
      <c r="B2221" s="74" t="s">
        <v>266</v>
      </c>
      <c r="C2221" s="74" t="s">
        <v>1582</v>
      </c>
      <c r="D2221" s="74" t="s">
        <v>89</v>
      </c>
      <c r="E2221" s="74">
        <v>9</v>
      </c>
      <c r="F2221" s="74">
        <v>20</v>
      </c>
      <c r="G2221" s="758">
        <f t="shared" si="136"/>
        <v>0.53</v>
      </c>
      <c r="H2221" s="759">
        <f t="shared" si="137"/>
        <v>0.28999999999999998</v>
      </c>
      <c r="I2221" s="758">
        <f t="shared" si="138"/>
        <v>1.6922222222222223</v>
      </c>
      <c r="J2221" s="760">
        <f t="shared" si="139"/>
        <v>0.76149999999999995</v>
      </c>
    </row>
    <row r="2222" spans="1:10">
      <c r="A2222" s="74" t="s">
        <v>926</v>
      </c>
      <c r="B2222" s="74" t="s">
        <v>266</v>
      </c>
      <c r="C2222" s="74" t="s">
        <v>1522</v>
      </c>
      <c r="D2222" s="74" t="s">
        <v>91</v>
      </c>
      <c r="E2222" s="74">
        <v>3</v>
      </c>
      <c r="F2222" s="74">
        <v>2.8</v>
      </c>
      <c r="G2222" s="758">
        <f t="shared" si="136"/>
        <v>0.53</v>
      </c>
      <c r="H2222" s="759">
        <f t="shared" si="137"/>
        <v>0.28999999999999998</v>
      </c>
      <c r="I2222" s="758">
        <f t="shared" si="138"/>
        <v>0.40333333333333321</v>
      </c>
      <c r="J2222" s="760">
        <f t="shared" si="139"/>
        <v>0.43214285714285705</v>
      </c>
    </row>
    <row r="2223" spans="1:10">
      <c r="A2223" s="74" t="s">
        <v>926</v>
      </c>
      <c r="B2223" s="74" t="s">
        <v>266</v>
      </c>
      <c r="C2223" s="74" t="s">
        <v>1550</v>
      </c>
      <c r="D2223" s="74" t="s">
        <v>91</v>
      </c>
      <c r="E2223" s="74">
        <v>3</v>
      </c>
      <c r="F2223" s="74">
        <v>6.65</v>
      </c>
      <c r="G2223" s="758">
        <f t="shared" si="136"/>
        <v>0.53</v>
      </c>
      <c r="H2223" s="759">
        <f t="shared" si="137"/>
        <v>0.28999999999999998</v>
      </c>
      <c r="I2223" s="758">
        <f t="shared" si="138"/>
        <v>1.6866666666666668</v>
      </c>
      <c r="J2223" s="760">
        <f t="shared" si="139"/>
        <v>0.76090225563909775</v>
      </c>
    </row>
    <row r="2224" spans="1:10">
      <c r="A2224" s="74" t="s">
        <v>926</v>
      </c>
      <c r="B2224" s="74" t="s">
        <v>266</v>
      </c>
      <c r="C2224" s="74" t="s">
        <v>1675</v>
      </c>
      <c r="D2224" s="74" t="s">
        <v>91</v>
      </c>
      <c r="E2224" s="74">
        <v>3</v>
      </c>
      <c r="F2224" s="74">
        <v>3</v>
      </c>
      <c r="G2224" s="758">
        <f t="shared" si="136"/>
        <v>0.53</v>
      </c>
      <c r="H2224" s="759">
        <f t="shared" si="137"/>
        <v>0.28999999999999998</v>
      </c>
      <c r="I2224" s="758">
        <f t="shared" si="138"/>
        <v>0.47</v>
      </c>
      <c r="J2224" s="760">
        <f t="shared" si="139"/>
        <v>0.47</v>
      </c>
    </row>
    <row r="2225" spans="1:10">
      <c r="A2225" s="74" t="s">
        <v>926</v>
      </c>
      <c r="B2225" s="74" t="s">
        <v>266</v>
      </c>
      <c r="C2225" s="74" t="s">
        <v>1524</v>
      </c>
      <c r="D2225" s="74" t="s">
        <v>91</v>
      </c>
      <c r="E2225" s="74">
        <v>4</v>
      </c>
      <c r="F2225" s="74">
        <v>7.3</v>
      </c>
      <c r="G2225" s="758">
        <f t="shared" si="136"/>
        <v>0.53</v>
      </c>
      <c r="H2225" s="759">
        <f t="shared" si="137"/>
        <v>0.28999999999999998</v>
      </c>
      <c r="I2225" s="758">
        <f t="shared" si="138"/>
        <v>1.2949999999999999</v>
      </c>
      <c r="J2225" s="760">
        <f t="shared" si="139"/>
        <v>0.70958904109589038</v>
      </c>
    </row>
    <row r="2226" spans="1:10">
      <c r="A2226" s="74" t="s">
        <v>926</v>
      </c>
      <c r="B2226" s="74" t="s">
        <v>266</v>
      </c>
      <c r="C2226" s="74" t="s">
        <v>1584</v>
      </c>
      <c r="D2226" s="74" t="s">
        <v>92</v>
      </c>
      <c r="E2226" s="74">
        <v>5</v>
      </c>
      <c r="F2226" s="74">
        <v>8.9499999999999993</v>
      </c>
      <c r="G2226" s="758">
        <f t="shared" si="136"/>
        <v>0.53</v>
      </c>
      <c r="H2226" s="759">
        <f t="shared" si="137"/>
        <v>0.28999999999999998</v>
      </c>
      <c r="I2226" s="758">
        <f t="shared" si="138"/>
        <v>1.2599999999999998</v>
      </c>
      <c r="J2226" s="760">
        <f t="shared" si="139"/>
        <v>0.70391061452513959</v>
      </c>
    </row>
    <row r="2227" spans="1:10">
      <c r="A2227" s="74" t="s">
        <v>926</v>
      </c>
      <c r="B2227" s="74" t="s">
        <v>266</v>
      </c>
      <c r="C2227" s="74" t="s">
        <v>1614</v>
      </c>
      <c r="D2227" s="74" t="s">
        <v>92</v>
      </c>
      <c r="E2227" s="74">
        <v>6</v>
      </c>
      <c r="F2227" s="74">
        <v>10.95</v>
      </c>
      <c r="G2227" s="758">
        <f t="shared" si="136"/>
        <v>0.53</v>
      </c>
      <c r="H2227" s="759">
        <f t="shared" si="137"/>
        <v>0.28999999999999998</v>
      </c>
      <c r="I2227" s="758">
        <f t="shared" si="138"/>
        <v>1.2949999999999999</v>
      </c>
      <c r="J2227" s="760">
        <f t="shared" si="139"/>
        <v>0.70958904109589038</v>
      </c>
    </row>
    <row r="2228" spans="1:10">
      <c r="A2228" s="74" t="s">
        <v>926</v>
      </c>
      <c r="B2228" s="74" t="s">
        <v>266</v>
      </c>
      <c r="C2228" s="74" t="s">
        <v>1631</v>
      </c>
      <c r="D2228" s="74" t="s">
        <v>92</v>
      </c>
      <c r="E2228" s="74">
        <v>5</v>
      </c>
      <c r="F2228" s="74">
        <v>8.25</v>
      </c>
      <c r="G2228" s="758">
        <f t="shared" si="136"/>
        <v>0.53</v>
      </c>
      <c r="H2228" s="759">
        <f t="shared" si="137"/>
        <v>0.28999999999999998</v>
      </c>
      <c r="I2228" s="758">
        <f t="shared" si="138"/>
        <v>1.1199999999999999</v>
      </c>
      <c r="J2228" s="760">
        <f t="shared" si="139"/>
        <v>0.67878787878787872</v>
      </c>
    </row>
    <row r="2229" spans="1:10">
      <c r="A2229" s="74" t="s">
        <v>926</v>
      </c>
      <c r="B2229" s="74" t="s">
        <v>266</v>
      </c>
      <c r="C2229" s="74" t="s">
        <v>1552</v>
      </c>
      <c r="D2229" s="74" t="s">
        <v>92</v>
      </c>
      <c r="E2229" s="74">
        <v>3</v>
      </c>
      <c r="F2229" s="74">
        <v>6.6</v>
      </c>
      <c r="G2229" s="758">
        <f t="shared" si="136"/>
        <v>0.53</v>
      </c>
      <c r="H2229" s="759">
        <f t="shared" si="137"/>
        <v>0.28999999999999998</v>
      </c>
      <c r="I2229" s="758">
        <f t="shared" si="138"/>
        <v>1.6699999999999997</v>
      </c>
      <c r="J2229" s="760">
        <f t="shared" si="139"/>
        <v>0.75909090909090904</v>
      </c>
    </row>
    <row r="2230" spans="1:10">
      <c r="A2230" s="74" t="s">
        <v>926</v>
      </c>
      <c r="B2230" s="74" t="s">
        <v>266</v>
      </c>
      <c r="C2230" s="74" t="s">
        <v>1617</v>
      </c>
      <c r="D2230" s="74" t="s">
        <v>94</v>
      </c>
      <c r="E2230" s="74">
        <v>3</v>
      </c>
      <c r="F2230" s="74">
        <v>6.3</v>
      </c>
      <c r="G2230" s="758">
        <f t="shared" si="136"/>
        <v>0.53</v>
      </c>
      <c r="H2230" s="759">
        <f t="shared" si="137"/>
        <v>0.28999999999999998</v>
      </c>
      <c r="I2230" s="758">
        <f t="shared" si="138"/>
        <v>1.57</v>
      </c>
      <c r="J2230" s="760">
        <f t="shared" si="139"/>
        <v>0.74761904761904763</v>
      </c>
    </row>
    <row r="2231" spans="1:10">
      <c r="A2231" s="74" t="s">
        <v>926</v>
      </c>
      <c r="B2231" s="74" t="s">
        <v>266</v>
      </c>
      <c r="C2231" s="74" t="s">
        <v>1553</v>
      </c>
      <c r="D2231" s="74" t="s">
        <v>94</v>
      </c>
      <c r="E2231" s="74">
        <v>1</v>
      </c>
      <c r="F2231" s="74">
        <v>1</v>
      </c>
      <c r="G2231" s="758">
        <f t="shared" si="136"/>
        <v>0.53</v>
      </c>
      <c r="H2231" s="759">
        <f t="shared" si="137"/>
        <v>0.28999999999999998</v>
      </c>
      <c r="I2231" s="758">
        <f t="shared" si="138"/>
        <v>0.47</v>
      </c>
      <c r="J2231" s="760">
        <f t="shared" si="139"/>
        <v>0.47</v>
      </c>
    </row>
    <row r="2232" spans="1:10">
      <c r="A2232" s="74" t="s">
        <v>926</v>
      </c>
      <c r="B2232" s="74" t="s">
        <v>266</v>
      </c>
      <c r="C2232" s="74" t="s">
        <v>1555</v>
      </c>
      <c r="D2232" s="74" t="s">
        <v>94</v>
      </c>
      <c r="E2232" s="74">
        <v>3</v>
      </c>
      <c r="F2232" s="74">
        <v>3</v>
      </c>
      <c r="G2232" s="758">
        <f t="shared" si="136"/>
        <v>0.53</v>
      </c>
      <c r="H2232" s="759">
        <f t="shared" si="137"/>
        <v>0.28999999999999998</v>
      </c>
      <c r="I2232" s="758">
        <f t="shared" si="138"/>
        <v>0.47</v>
      </c>
      <c r="J2232" s="760">
        <f t="shared" si="139"/>
        <v>0.47</v>
      </c>
    </row>
    <row r="2233" spans="1:10">
      <c r="A2233" s="74" t="s">
        <v>926</v>
      </c>
      <c r="B2233" s="74" t="s">
        <v>266</v>
      </c>
      <c r="C2233" s="74" t="s">
        <v>1557</v>
      </c>
      <c r="D2233" s="74" t="s">
        <v>95</v>
      </c>
      <c r="E2233" s="74">
        <v>2</v>
      </c>
      <c r="F2233" s="74">
        <v>3.65</v>
      </c>
      <c r="G2233" s="758">
        <f t="shared" si="136"/>
        <v>0.53</v>
      </c>
      <c r="H2233" s="759">
        <f t="shared" si="137"/>
        <v>0.28999999999999998</v>
      </c>
      <c r="I2233" s="758">
        <f t="shared" si="138"/>
        <v>1.2949999999999999</v>
      </c>
      <c r="J2233" s="760">
        <f t="shared" si="139"/>
        <v>0.70958904109589038</v>
      </c>
    </row>
    <row r="2234" spans="1:10">
      <c r="A2234" s="74" t="s">
        <v>926</v>
      </c>
      <c r="B2234" s="74" t="s">
        <v>266</v>
      </c>
      <c r="C2234" s="74" t="s">
        <v>1526</v>
      </c>
      <c r="D2234" s="74" t="s">
        <v>95</v>
      </c>
      <c r="E2234" s="74">
        <v>5</v>
      </c>
      <c r="F2234" s="74">
        <v>8.3000000000000007</v>
      </c>
      <c r="G2234" s="758">
        <f t="shared" si="136"/>
        <v>0.53</v>
      </c>
      <c r="H2234" s="759">
        <f t="shared" si="137"/>
        <v>0.28999999999999998</v>
      </c>
      <c r="I2234" s="758">
        <f t="shared" si="138"/>
        <v>1.1300000000000001</v>
      </c>
      <c r="J2234" s="760">
        <f t="shared" si="139"/>
        <v>0.68072289156626509</v>
      </c>
    </row>
    <row r="2235" spans="1:10">
      <c r="A2235" s="74" t="s">
        <v>926</v>
      </c>
      <c r="B2235" s="74" t="s">
        <v>266</v>
      </c>
      <c r="C2235" s="74" t="s">
        <v>1930</v>
      </c>
      <c r="D2235" s="74" t="s">
        <v>95</v>
      </c>
      <c r="E2235" s="74">
        <v>1</v>
      </c>
      <c r="F2235" s="74">
        <v>1</v>
      </c>
      <c r="G2235" s="758">
        <f t="shared" si="136"/>
        <v>0.53</v>
      </c>
      <c r="H2235" s="759">
        <f t="shared" si="137"/>
        <v>0.28999999999999998</v>
      </c>
      <c r="I2235" s="758">
        <f t="shared" si="138"/>
        <v>0.47</v>
      </c>
      <c r="J2235" s="760">
        <f t="shared" si="139"/>
        <v>0.47</v>
      </c>
    </row>
    <row r="2236" spans="1:10">
      <c r="A2236" s="74" t="s">
        <v>1758</v>
      </c>
      <c r="B2236" s="74" t="s">
        <v>251</v>
      </c>
      <c r="C2236" s="74" t="s">
        <v>1530</v>
      </c>
      <c r="D2236" s="74" t="s">
        <v>80</v>
      </c>
      <c r="E2236" s="74">
        <v>1</v>
      </c>
      <c r="F2236" s="74">
        <v>0</v>
      </c>
      <c r="G2236" s="758">
        <f t="shared" si="136"/>
        <v>0.73</v>
      </c>
      <c r="H2236" s="759">
        <f t="shared" si="137"/>
        <v>0</v>
      </c>
      <c r="I2236" s="758">
        <f t="shared" si="138"/>
        <v>-0.73</v>
      </c>
      <c r="J2236" s="760">
        <f t="shared" si="139"/>
        <v>0</v>
      </c>
    </row>
    <row r="2237" spans="1:10">
      <c r="A2237" s="74" t="s">
        <v>1758</v>
      </c>
      <c r="B2237" s="74" t="s">
        <v>251</v>
      </c>
      <c r="C2237" s="74" t="s">
        <v>1516</v>
      </c>
      <c r="D2237" s="74" t="s">
        <v>82</v>
      </c>
      <c r="E2237" s="74">
        <v>1</v>
      </c>
      <c r="F2237" s="74">
        <v>0</v>
      </c>
      <c r="G2237" s="758">
        <f t="shared" si="136"/>
        <v>0.73</v>
      </c>
      <c r="H2237" s="759">
        <f t="shared" si="137"/>
        <v>0</v>
      </c>
      <c r="I2237" s="758">
        <f t="shared" si="138"/>
        <v>-0.73</v>
      </c>
      <c r="J2237" s="760">
        <f t="shared" si="139"/>
        <v>0</v>
      </c>
    </row>
    <row r="2238" spans="1:10">
      <c r="A2238" s="74" t="s">
        <v>1759</v>
      </c>
      <c r="B2238" s="74" t="s">
        <v>251</v>
      </c>
      <c r="C2238" s="74" t="s">
        <v>1527</v>
      </c>
      <c r="D2238" s="74" t="s">
        <v>82</v>
      </c>
      <c r="E2238" s="74">
        <v>1</v>
      </c>
      <c r="F2238" s="74">
        <v>0</v>
      </c>
      <c r="G2238" s="758">
        <f t="shared" si="136"/>
        <v>0.73</v>
      </c>
      <c r="H2238" s="759">
        <f t="shared" si="137"/>
        <v>0</v>
      </c>
      <c r="I2238" s="758">
        <f t="shared" si="138"/>
        <v>-0.73</v>
      </c>
      <c r="J2238" s="760">
        <f t="shared" si="139"/>
        <v>0</v>
      </c>
    </row>
    <row r="2239" spans="1:10">
      <c r="A2239" s="74" t="s">
        <v>1359</v>
      </c>
      <c r="B2239" s="74" t="s">
        <v>266</v>
      </c>
      <c r="C2239" s="74" t="s">
        <v>1541</v>
      </c>
      <c r="D2239" s="74" t="s">
        <v>86</v>
      </c>
      <c r="E2239" s="74">
        <v>1</v>
      </c>
      <c r="F2239" s="74">
        <v>2.65</v>
      </c>
      <c r="G2239" s="758">
        <f t="shared" si="136"/>
        <v>0</v>
      </c>
      <c r="H2239" s="759">
        <f t="shared" si="137"/>
        <v>0</v>
      </c>
      <c r="I2239" s="758">
        <f t="shared" si="138"/>
        <v>2.65</v>
      </c>
      <c r="J2239" s="760">
        <f t="shared" si="139"/>
        <v>1</v>
      </c>
    </row>
    <row r="2240" spans="1:10">
      <c r="A2240" s="74" t="s">
        <v>1359</v>
      </c>
      <c r="B2240" s="74" t="s">
        <v>266</v>
      </c>
      <c r="C2240" s="74" t="s">
        <v>1561</v>
      </c>
      <c r="D2240" s="74" t="s">
        <v>87</v>
      </c>
      <c r="E2240" s="74">
        <v>1</v>
      </c>
      <c r="F2240" s="74">
        <v>0</v>
      </c>
      <c r="G2240" s="758">
        <f t="shared" si="136"/>
        <v>0</v>
      </c>
      <c r="H2240" s="759">
        <f t="shared" si="137"/>
        <v>0</v>
      </c>
      <c r="I2240" s="758">
        <f t="shared" si="138"/>
        <v>0</v>
      </c>
      <c r="J2240" s="760">
        <f t="shared" si="139"/>
        <v>0</v>
      </c>
    </row>
    <row r="2241" spans="1:10">
      <c r="A2241" s="74" t="s">
        <v>1359</v>
      </c>
      <c r="B2241" s="74" t="s">
        <v>266</v>
      </c>
      <c r="C2241" s="74" t="s">
        <v>1522</v>
      </c>
      <c r="D2241" s="74" t="s">
        <v>91</v>
      </c>
      <c r="E2241" s="74">
        <v>2</v>
      </c>
      <c r="F2241" s="74">
        <v>5.6</v>
      </c>
      <c r="G2241" s="758">
        <f t="shared" si="136"/>
        <v>0</v>
      </c>
      <c r="H2241" s="759">
        <f t="shared" si="137"/>
        <v>0</v>
      </c>
      <c r="I2241" s="758">
        <f t="shared" si="138"/>
        <v>2.8</v>
      </c>
      <c r="J2241" s="760">
        <f t="shared" si="139"/>
        <v>1</v>
      </c>
    </row>
    <row r="2242" spans="1:10">
      <c r="A2242" s="74" t="s">
        <v>1359</v>
      </c>
      <c r="B2242" s="74" t="s">
        <v>266</v>
      </c>
      <c r="C2242" s="74" t="s">
        <v>1526</v>
      </c>
      <c r="D2242" s="74" t="s">
        <v>95</v>
      </c>
      <c r="E2242" s="74">
        <v>1</v>
      </c>
      <c r="F2242" s="74">
        <v>1</v>
      </c>
      <c r="G2242" s="758">
        <f t="shared" ref="G2242:G2305" si="140">IFERROR(VLOOKUP(A2242,$M$1:$P$1014,2,FALSE),0)</f>
        <v>0</v>
      </c>
      <c r="H2242" s="759">
        <f t="shared" ref="H2242:H2305" si="141">IFERROR(VLOOKUP(A2242,$M$1:$P$1014,3,FALSE),0)</f>
        <v>0</v>
      </c>
      <c r="I2242" s="758">
        <f t="shared" ref="I2242:I2305" si="142">IFERROR(F2242/E2242-G2242,0)</f>
        <v>1</v>
      </c>
      <c r="J2242" s="760">
        <f t="shared" ref="J2242:J2305" si="143">IFERROR(1-G2242*E2242/F2242,0)</f>
        <v>1</v>
      </c>
    </row>
    <row r="2243" spans="1:10">
      <c r="A2243" s="74" t="s">
        <v>1760</v>
      </c>
      <c r="B2243" s="74" t="s">
        <v>251</v>
      </c>
      <c r="C2243" s="74" t="s">
        <v>1543</v>
      </c>
      <c r="D2243" s="74" t="s">
        <v>87</v>
      </c>
      <c r="E2243" s="74">
        <v>1</v>
      </c>
      <c r="F2243" s="74">
        <v>2.12</v>
      </c>
      <c r="G2243" s="758">
        <f t="shared" si="140"/>
        <v>0</v>
      </c>
      <c r="H2243" s="759">
        <f t="shared" si="141"/>
        <v>0</v>
      </c>
      <c r="I2243" s="758">
        <f t="shared" si="142"/>
        <v>2.12</v>
      </c>
      <c r="J2243" s="760">
        <f t="shared" si="143"/>
        <v>1</v>
      </c>
    </row>
    <row r="2244" spans="1:10">
      <c r="A2244" s="74" t="s">
        <v>1761</v>
      </c>
      <c r="B2244" s="74" t="s">
        <v>266</v>
      </c>
      <c r="C2244" s="74" t="s">
        <v>1550</v>
      </c>
      <c r="D2244" s="74" t="s">
        <v>91</v>
      </c>
      <c r="E2244" s="74">
        <v>2</v>
      </c>
      <c r="F2244" s="74">
        <v>1</v>
      </c>
      <c r="G2244" s="758">
        <f t="shared" si="140"/>
        <v>0</v>
      </c>
      <c r="H2244" s="759">
        <f t="shared" si="141"/>
        <v>0</v>
      </c>
      <c r="I2244" s="758">
        <f t="shared" si="142"/>
        <v>0.5</v>
      </c>
      <c r="J2244" s="760">
        <f t="shared" si="143"/>
        <v>1</v>
      </c>
    </row>
    <row r="2245" spans="1:10">
      <c r="A2245" s="74" t="s">
        <v>717</v>
      </c>
      <c r="B2245" s="74" t="s">
        <v>249</v>
      </c>
      <c r="C2245" s="74" t="s">
        <v>1528</v>
      </c>
      <c r="D2245" s="74" t="s">
        <v>78</v>
      </c>
      <c r="E2245" s="74">
        <v>2</v>
      </c>
      <c r="F2245" s="74">
        <v>3.73</v>
      </c>
      <c r="G2245" s="758">
        <f t="shared" si="140"/>
        <v>0.51</v>
      </c>
      <c r="H2245" s="759">
        <f t="shared" si="141"/>
        <v>0.27</v>
      </c>
      <c r="I2245" s="758">
        <f t="shared" si="142"/>
        <v>1.355</v>
      </c>
      <c r="J2245" s="760">
        <f t="shared" si="143"/>
        <v>0.72654155495978556</v>
      </c>
    </row>
    <row r="2246" spans="1:10">
      <c r="A2246" s="74" t="s">
        <v>717</v>
      </c>
      <c r="B2246" s="74" t="s">
        <v>249</v>
      </c>
      <c r="C2246" s="74" t="s">
        <v>1508</v>
      </c>
      <c r="D2246" s="74" t="s">
        <v>78</v>
      </c>
      <c r="E2246" s="74">
        <v>1</v>
      </c>
      <c r="F2246" s="74">
        <v>1.86</v>
      </c>
      <c r="G2246" s="758">
        <f t="shared" si="140"/>
        <v>0.51</v>
      </c>
      <c r="H2246" s="759">
        <f t="shared" si="141"/>
        <v>0.27</v>
      </c>
      <c r="I2246" s="758">
        <f t="shared" si="142"/>
        <v>1.35</v>
      </c>
      <c r="J2246" s="760">
        <f t="shared" si="143"/>
        <v>0.72580645161290325</v>
      </c>
    </row>
    <row r="2247" spans="1:10">
      <c r="A2247" s="74" t="s">
        <v>717</v>
      </c>
      <c r="B2247" s="74" t="s">
        <v>249</v>
      </c>
      <c r="C2247" s="74" t="s">
        <v>1509</v>
      </c>
      <c r="D2247" s="74" t="s">
        <v>78</v>
      </c>
      <c r="E2247" s="74">
        <v>1</v>
      </c>
      <c r="F2247" s="74">
        <v>2.0499999999999998</v>
      </c>
      <c r="G2247" s="758">
        <f t="shared" si="140"/>
        <v>0.51</v>
      </c>
      <c r="H2247" s="759">
        <f t="shared" si="141"/>
        <v>0.27</v>
      </c>
      <c r="I2247" s="758">
        <f t="shared" si="142"/>
        <v>1.5399999999999998</v>
      </c>
      <c r="J2247" s="760">
        <f t="shared" si="143"/>
        <v>0.75121951219512195</v>
      </c>
    </row>
    <row r="2248" spans="1:10">
      <c r="A2248" s="74" t="s">
        <v>717</v>
      </c>
      <c r="B2248" s="74" t="s">
        <v>249</v>
      </c>
      <c r="C2248" s="74" t="s">
        <v>1565</v>
      </c>
      <c r="D2248" s="74" t="s">
        <v>78</v>
      </c>
      <c r="E2248" s="74">
        <v>3</v>
      </c>
      <c r="F2248" s="74">
        <v>5.96</v>
      </c>
      <c r="G2248" s="758">
        <f t="shared" si="140"/>
        <v>0.51</v>
      </c>
      <c r="H2248" s="759">
        <f t="shared" si="141"/>
        <v>0.27</v>
      </c>
      <c r="I2248" s="758">
        <f t="shared" si="142"/>
        <v>1.4766666666666666</v>
      </c>
      <c r="J2248" s="760">
        <f t="shared" si="143"/>
        <v>0.74328859060402686</v>
      </c>
    </row>
    <row r="2249" spans="1:10">
      <c r="A2249" s="74" t="s">
        <v>717</v>
      </c>
      <c r="B2249" s="74" t="s">
        <v>249</v>
      </c>
      <c r="C2249" s="74" t="s">
        <v>1530</v>
      </c>
      <c r="D2249" s="74" t="s">
        <v>80</v>
      </c>
      <c r="E2249" s="74">
        <v>1</v>
      </c>
      <c r="F2249" s="74">
        <v>2</v>
      </c>
      <c r="G2249" s="758">
        <f t="shared" si="140"/>
        <v>0.51</v>
      </c>
      <c r="H2249" s="759">
        <f t="shared" si="141"/>
        <v>0.27</v>
      </c>
      <c r="I2249" s="758">
        <f t="shared" si="142"/>
        <v>1.49</v>
      </c>
      <c r="J2249" s="760">
        <f t="shared" si="143"/>
        <v>0.745</v>
      </c>
    </row>
    <row r="2250" spans="1:10">
      <c r="A2250" s="74" t="s">
        <v>717</v>
      </c>
      <c r="B2250" s="74" t="s">
        <v>249</v>
      </c>
      <c r="C2250" s="74" t="s">
        <v>1532</v>
      </c>
      <c r="D2250" s="74" t="s">
        <v>80</v>
      </c>
      <c r="E2250" s="74">
        <v>1</v>
      </c>
      <c r="F2250" s="74">
        <v>2</v>
      </c>
      <c r="G2250" s="758">
        <f t="shared" si="140"/>
        <v>0.51</v>
      </c>
      <c r="H2250" s="759">
        <f t="shared" si="141"/>
        <v>0.27</v>
      </c>
      <c r="I2250" s="758">
        <f t="shared" si="142"/>
        <v>1.49</v>
      </c>
      <c r="J2250" s="760">
        <f t="shared" si="143"/>
        <v>0.745</v>
      </c>
    </row>
    <row r="2251" spans="1:10">
      <c r="A2251" s="74" t="s">
        <v>717</v>
      </c>
      <c r="B2251" s="74" t="s">
        <v>249</v>
      </c>
      <c r="C2251" s="74" t="s">
        <v>1511</v>
      </c>
      <c r="D2251" s="74" t="s">
        <v>80</v>
      </c>
      <c r="E2251" s="74">
        <v>2</v>
      </c>
      <c r="F2251" s="74">
        <v>4.05</v>
      </c>
      <c r="G2251" s="758">
        <f t="shared" si="140"/>
        <v>0.51</v>
      </c>
      <c r="H2251" s="759">
        <f t="shared" si="141"/>
        <v>0.27</v>
      </c>
      <c r="I2251" s="758">
        <f t="shared" si="142"/>
        <v>1.5149999999999999</v>
      </c>
      <c r="J2251" s="760">
        <f t="shared" si="143"/>
        <v>0.74814814814814812</v>
      </c>
    </row>
    <row r="2252" spans="1:10">
      <c r="A2252" s="74" t="s">
        <v>717</v>
      </c>
      <c r="B2252" s="74" t="s">
        <v>249</v>
      </c>
      <c r="C2252" s="74" t="s">
        <v>1512</v>
      </c>
      <c r="D2252" s="74" t="s">
        <v>80</v>
      </c>
      <c r="E2252" s="74">
        <v>2</v>
      </c>
      <c r="F2252" s="74">
        <v>4.0999999999999996</v>
      </c>
      <c r="G2252" s="758">
        <f t="shared" si="140"/>
        <v>0.51</v>
      </c>
      <c r="H2252" s="759">
        <f t="shared" si="141"/>
        <v>0.27</v>
      </c>
      <c r="I2252" s="758">
        <f t="shared" si="142"/>
        <v>1.5399999999999998</v>
      </c>
      <c r="J2252" s="760">
        <f t="shared" si="143"/>
        <v>0.75121951219512195</v>
      </c>
    </row>
    <row r="2253" spans="1:10">
      <c r="A2253" s="74" t="s">
        <v>717</v>
      </c>
      <c r="B2253" s="74" t="s">
        <v>249</v>
      </c>
      <c r="C2253" s="74" t="s">
        <v>1534</v>
      </c>
      <c r="D2253" s="74" t="s">
        <v>81</v>
      </c>
      <c r="E2253" s="74">
        <v>2</v>
      </c>
      <c r="F2253" s="74">
        <v>4.4000000000000004</v>
      </c>
      <c r="G2253" s="758">
        <f t="shared" si="140"/>
        <v>0.51</v>
      </c>
      <c r="H2253" s="759">
        <f t="shared" si="141"/>
        <v>0.27</v>
      </c>
      <c r="I2253" s="758">
        <f t="shared" si="142"/>
        <v>1.6900000000000002</v>
      </c>
      <c r="J2253" s="760">
        <f t="shared" si="143"/>
        <v>0.76818181818181819</v>
      </c>
    </row>
    <row r="2254" spans="1:10">
      <c r="A2254" s="74" t="s">
        <v>717</v>
      </c>
      <c r="B2254" s="74" t="s">
        <v>249</v>
      </c>
      <c r="C2254" s="74" t="s">
        <v>1515</v>
      </c>
      <c r="D2254" s="74" t="s">
        <v>81</v>
      </c>
      <c r="E2254" s="74">
        <v>2</v>
      </c>
      <c r="F2254" s="74">
        <v>4.4000000000000004</v>
      </c>
      <c r="G2254" s="758">
        <f t="shared" si="140"/>
        <v>0.51</v>
      </c>
      <c r="H2254" s="759">
        <f t="shared" si="141"/>
        <v>0.27</v>
      </c>
      <c r="I2254" s="758">
        <f t="shared" si="142"/>
        <v>1.6900000000000002</v>
      </c>
      <c r="J2254" s="760">
        <f t="shared" si="143"/>
        <v>0.76818181818181819</v>
      </c>
    </row>
    <row r="2255" spans="1:10">
      <c r="A2255" s="74" t="s">
        <v>717</v>
      </c>
      <c r="B2255" s="74" t="s">
        <v>249</v>
      </c>
      <c r="C2255" s="74" t="s">
        <v>1518</v>
      </c>
      <c r="D2255" s="74" t="s">
        <v>82</v>
      </c>
      <c r="E2255" s="74">
        <v>1</v>
      </c>
      <c r="F2255" s="74">
        <v>2.0499999999999998</v>
      </c>
      <c r="G2255" s="758">
        <f t="shared" si="140"/>
        <v>0.51</v>
      </c>
      <c r="H2255" s="759">
        <f t="shared" si="141"/>
        <v>0.27</v>
      </c>
      <c r="I2255" s="758">
        <f t="shared" si="142"/>
        <v>1.5399999999999998</v>
      </c>
      <c r="J2255" s="760">
        <f t="shared" si="143"/>
        <v>0.75121951219512195</v>
      </c>
    </row>
    <row r="2256" spans="1:10">
      <c r="A2256" s="74" t="s">
        <v>717</v>
      </c>
      <c r="B2256" s="74" t="s">
        <v>249</v>
      </c>
      <c r="C2256" s="74" t="s">
        <v>1519</v>
      </c>
      <c r="D2256" s="74" t="s">
        <v>84</v>
      </c>
      <c r="E2256" s="74">
        <v>2</v>
      </c>
      <c r="F2256" s="74">
        <v>4.4000000000000004</v>
      </c>
      <c r="G2256" s="758">
        <f t="shared" si="140"/>
        <v>0.51</v>
      </c>
      <c r="H2256" s="759">
        <f t="shared" si="141"/>
        <v>0.27</v>
      </c>
      <c r="I2256" s="758">
        <f t="shared" si="142"/>
        <v>1.6900000000000002</v>
      </c>
      <c r="J2256" s="760">
        <f t="shared" si="143"/>
        <v>0.76818181818181819</v>
      </c>
    </row>
    <row r="2257" spans="1:10">
      <c r="A2257" s="74" t="s">
        <v>1762</v>
      </c>
      <c r="B2257" s="74" t="s">
        <v>247</v>
      </c>
      <c r="C2257" s="74" t="s">
        <v>1547</v>
      </c>
      <c r="D2257" s="74" t="s">
        <v>89</v>
      </c>
      <c r="E2257" s="74">
        <v>1</v>
      </c>
      <c r="F2257" s="74">
        <v>2.0499999999999998</v>
      </c>
      <c r="G2257" s="758">
        <f t="shared" si="140"/>
        <v>0</v>
      </c>
      <c r="H2257" s="759">
        <f t="shared" si="141"/>
        <v>0</v>
      </c>
      <c r="I2257" s="758">
        <f t="shared" si="142"/>
        <v>2.0499999999999998</v>
      </c>
      <c r="J2257" s="760">
        <f t="shared" si="143"/>
        <v>1</v>
      </c>
    </row>
    <row r="2258" spans="1:10">
      <c r="A2258" s="74" t="s">
        <v>904</v>
      </c>
      <c r="B2258" s="74" t="s">
        <v>247</v>
      </c>
      <c r="C2258" s="74" t="s">
        <v>1546</v>
      </c>
      <c r="D2258" s="74" t="s">
        <v>89</v>
      </c>
      <c r="E2258" s="74">
        <v>1</v>
      </c>
      <c r="F2258" s="74">
        <v>2.0499999999999998</v>
      </c>
      <c r="G2258" s="758">
        <f t="shared" si="140"/>
        <v>0</v>
      </c>
      <c r="H2258" s="759">
        <f t="shared" si="141"/>
        <v>0</v>
      </c>
      <c r="I2258" s="758">
        <f t="shared" si="142"/>
        <v>2.0499999999999998</v>
      </c>
      <c r="J2258" s="760">
        <f t="shared" si="143"/>
        <v>1</v>
      </c>
    </row>
    <row r="2259" spans="1:10">
      <c r="A2259" s="74" t="s">
        <v>1000</v>
      </c>
      <c r="B2259" s="74" t="s">
        <v>276</v>
      </c>
      <c r="C2259" s="74" t="s">
        <v>1517</v>
      </c>
      <c r="D2259" s="74" t="s">
        <v>82</v>
      </c>
      <c r="E2259" s="74">
        <v>1</v>
      </c>
      <c r="F2259" s="74">
        <v>3.3</v>
      </c>
      <c r="G2259" s="758">
        <f t="shared" si="140"/>
        <v>0.06</v>
      </c>
      <c r="H2259" s="759">
        <f t="shared" si="141"/>
        <v>0.24</v>
      </c>
      <c r="I2259" s="758">
        <f t="shared" si="142"/>
        <v>3.2399999999999998</v>
      </c>
      <c r="J2259" s="760">
        <f t="shared" si="143"/>
        <v>0.98181818181818181</v>
      </c>
    </row>
    <row r="2260" spans="1:10">
      <c r="A2260" s="74" t="s">
        <v>1000</v>
      </c>
      <c r="B2260" s="74" t="s">
        <v>276</v>
      </c>
      <c r="C2260" s="74" t="s">
        <v>1550</v>
      </c>
      <c r="D2260" s="74" t="s">
        <v>91</v>
      </c>
      <c r="E2260" s="74">
        <v>1</v>
      </c>
      <c r="F2260" s="74">
        <v>3.3</v>
      </c>
      <c r="G2260" s="758">
        <f t="shared" si="140"/>
        <v>0.06</v>
      </c>
      <c r="H2260" s="759">
        <f t="shared" si="141"/>
        <v>0.24</v>
      </c>
      <c r="I2260" s="758">
        <f t="shared" si="142"/>
        <v>3.2399999999999998</v>
      </c>
      <c r="J2260" s="760">
        <f t="shared" si="143"/>
        <v>0.98181818181818181</v>
      </c>
    </row>
    <row r="2261" spans="1:10">
      <c r="A2261" s="74" t="s">
        <v>1000</v>
      </c>
      <c r="B2261" s="74" t="s">
        <v>276</v>
      </c>
      <c r="C2261" s="74" t="s">
        <v>1524</v>
      </c>
      <c r="D2261" s="74" t="s">
        <v>91</v>
      </c>
      <c r="E2261" s="74">
        <v>8</v>
      </c>
      <c r="F2261" s="74">
        <v>13.8</v>
      </c>
      <c r="G2261" s="758">
        <f t="shared" si="140"/>
        <v>0.06</v>
      </c>
      <c r="H2261" s="759">
        <f t="shared" si="141"/>
        <v>0.24</v>
      </c>
      <c r="I2261" s="758">
        <f t="shared" si="142"/>
        <v>1.665</v>
      </c>
      <c r="J2261" s="760">
        <f t="shared" si="143"/>
        <v>0.9652173913043478</v>
      </c>
    </row>
    <row r="2262" spans="1:10">
      <c r="A2262" s="74" t="s">
        <v>1000</v>
      </c>
      <c r="B2262" s="74" t="s">
        <v>276</v>
      </c>
      <c r="C2262" s="74" t="s">
        <v>1617</v>
      </c>
      <c r="D2262" s="74" t="s">
        <v>94</v>
      </c>
      <c r="E2262" s="74">
        <v>2</v>
      </c>
      <c r="F2262" s="74">
        <v>3.45</v>
      </c>
      <c r="G2262" s="758">
        <f t="shared" si="140"/>
        <v>0.06</v>
      </c>
      <c r="H2262" s="759">
        <f t="shared" si="141"/>
        <v>0.24</v>
      </c>
      <c r="I2262" s="758">
        <f t="shared" si="142"/>
        <v>1.665</v>
      </c>
      <c r="J2262" s="760">
        <f t="shared" si="143"/>
        <v>0.9652173913043478</v>
      </c>
    </row>
    <row r="2263" spans="1:10">
      <c r="A2263" s="74" t="s">
        <v>1763</v>
      </c>
      <c r="B2263" s="74" t="s">
        <v>276</v>
      </c>
      <c r="C2263" s="74" t="s">
        <v>1534</v>
      </c>
      <c r="D2263" s="74" t="s">
        <v>81</v>
      </c>
      <c r="E2263" s="74">
        <v>1</v>
      </c>
      <c r="F2263" s="74">
        <v>15.15</v>
      </c>
      <c r="G2263" s="758">
        <f t="shared" si="140"/>
        <v>3.65</v>
      </c>
      <c r="H2263" s="759">
        <f t="shared" si="141"/>
        <v>0.26</v>
      </c>
      <c r="I2263" s="758">
        <f t="shared" si="142"/>
        <v>11.5</v>
      </c>
      <c r="J2263" s="760">
        <f t="shared" si="143"/>
        <v>0.75907590759075905</v>
      </c>
    </row>
    <row r="2264" spans="1:10">
      <c r="A2264" s="74" t="s">
        <v>1763</v>
      </c>
      <c r="B2264" s="74" t="s">
        <v>276</v>
      </c>
      <c r="C2264" s="74" t="s">
        <v>1513</v>
      </c>
      <c r="D2264" s="74" t="s">
        <v>81</v>
      </c>
      <c r="E2264" s="74">
        <v>1</v>
      </c>
      <c r="F2264" s="74">
        <v>15.4</v>
      </c>
      <c r="G2264" s="758">
        <f t="shared" si="140"/>
        <v>3.65</v>
      </c>
      <c r="H2264" s="759">
        <f t="shared" si="141"/>
        <v>0.26</v>
      </c>
      <c r="I2264" s="758">
        <f t="shared" si="142"/>
        <v>11.75</v>
      </c>
      <c r="J2264" s="760">
        <f t="shared" si="143"/>
        <v>0.76298701298701299</v>
      </c>
    </row>
    <row r="2265" spans="1:10">
      <c r="A2265" s="74" t="s">
        <v>1763</v>
      </c>
      <c r="B2265" s="74" t="s">
        <v>276</v>
      </c>
      <c r="C2265" s="74" t="s">
        <v>1517</v>
      </c>
      <c r="D2265" s="74" t="s">
        <v>82</v>
      </c>
      <c r="E2265" s="74">
        <v>1</v>
      </c>
      <c r="F2265" s="74">
        <v>15.15</v>
      </c>
      <c r="G2265" s="758">
        <f t="shared" si="140"/>
        <v>3.65</v>
      </c>
      <c r="H2265" s="759">
        <f t="shared" si="141"/>
        <v>0.26</v>
      </c>
      <c r="I2265" s="758">
        <f t="shared" si="142"/>
        <v>11.5</v>
      </c>
      <c r="J2265" s="760">
        <f t="shared" si="143"/>
        <v>0.75907590759075905</v>
      </c>
    </row>
    <row r="2266" spans="1:10">
      <c r="A2266" s="74" t="s">
        <v>1764</v>
      </c>
      <c r="B2266" s="74" t="s">
        <v>276</v>
      </c>
      <c r="C2266" s="74" t="s">
        <v>1534</v>
      </c>
      <c r="D2266" s="74" t="s">
        <v>81</v>
      </c>
      <c r="E2266" s="74">
        <v>3</v>
      </c>
      <c r="F2266" s="74">
        <v>9.9</v>
      </c>
      <c r="G2266" s="758">
        <f t="shared" si="140"/>
        <v>0.73</v>
      </c>
      <c r="H2266" s="759">
        <f t="shared" si="141"/>
        <v>0.24</v>
      </c>
      <c r="I2266" s="758">
        <f t="shared" si="142"/>
        <v>2.5700000000000003</v>
      </c>
      <c r="J2266" s="760">
        <f t="shared" si="143"/>
        <v>0.77878787878787881</v>
      </c>
    </row>
    <row r="2267" spans="1:10">
      <c r="A2267" s="74" t="s">
        <v>1764</v>
      </c>
      <c r="B2267" s="74" t="s">
        <v>276</v>
      </c>
      <c r="C2267" s="74" t="s">
        <v>1513</v>
      </c>
      <c r="D2267" s="74" t="s">
        <v>81</v>
      </c>
      <c r="E2267" s="74">
        <v>1</v>
      </c>
      <c r="F2267" s="74">
        <v>3.45</v>
      </c>
      <c r="G2267" s="758">
        <f t="shared" si="140"/>
        <v>0.73</v>
      </c>
      <c r="H2267" s="759">
        <f t="shared" si="141"/>
        <v>0.24</v>
      </c>
      <c r="I2267" s="758">
        <f t="shared" si="142"/>
        <v>2.72</v>
      </c>
      <c r="J2267" s="760">
        <f t="shared" si="143"/>
        <v>0.78840579710144931</v>
      </c>
    </row>
    <row r="2268" spans="1:10">
      <c r="A2268" s="74" t="s">
        <v>1764</v>
      </c>
      <c r="B2268" s="74" t="s">
        <v>276</v>
      </c>
      <c r="C2268" s="74" t="s">
        <v>1514</v>
      </c>
      <c r="D2268" s="74" t="s">
        <v>81</v>
      </c>
      <c r="E2268" s="74">
        <v>1</v>
      </c>
      <c r="F2268" s="74">
        <v>3.3</v>
      </c>
      <c r="G2268" s="758">
        <f t="shared" si="140"/>
        <v>0.73</v>
      </c>
      <c r="H2268" s="759">
        <f t="shared" si="141"/>
        <v>0.24</v>
      </c>
      <c r="I2268" s="758">
        <f t="shared" si="142"/>
        <v>2.57</v>
      </c>
      <c r="J2268" s="760">
        <f t="shared" si="143"/>
        <v>0.77878787878787881</v>
      </c>
    </row>
    <row r="2269" spans="1:10">
      <c r="A2269" s="74" t="s">
        <v>1764</v>
      </c>
      <c r="B2269" s="74" t="s">
        <v>276</v>
      </c>
      <c r="C2269" s="74" t="s">
        <v>1516</v>
      </c>
      <c r="D2269" s="74" t="s">
        <v>82</v>
      </c>
      <c r="E2269" s="74">
        <v>1</v>
      </c>
      <c r="F2269" s="74">
        <v>3.3</v>
      </c>
      <c r="G2269" s="758">
        <f t="shared" si="140"/>
        <v>0.73</v>
      </c>
      <c r="H2269" s="759">
        <f t="shared" si="141"/>
        <v>0.24</v>
      </c>
      <c r="I2269" s="758">
        <f t="shared" si="142"/>
        <v>2.57</v>
      </c>
      <c r="J2269" s="760">
        <f t="shared" si="143"/>
        <v>0.77878787878787881</v>
      </c>
    </row>
    <row r="2270" spans="1:10">
      <c r="A2270" s="74" t="s">
        <v>1764</v>
      </c>
      <c r="B2270" s="74" t="s">
        <v>276</v>
      </c>
      <c r="C2270" s="74" t="s">
        <v>1517</v>
      </c>
      <c r="D2270" s="74" t="s">
        <v>82</v>
      </c>
      <c r="E2270" s="74">
        <v>1</v>
      </c>
      <c r="F2270" s="74">
        <v>3.3</v>
      </c>
      <c r="G2270" s="758">
        <f t="shared" si="140"/>
        <v>0.73</v>
      </c>
      <c r="H2270" s="759">
        <f t="shared" si="141"/>
        <v>0.24</v>
      </c>
      <c r="I2270" s="758">
        <f t="shared" si="142"/>
        <v>2.57</v>
      </c>
      <c r="J2270" s="760">
        <f t="shared" si="143"/>
        <v>0.77878787878787881</v>
      </c>
    </row>
    <row r="2271" spans="1:10">
      <c r="A2271" s="74" t="s">
        <v>1764</v>
      </c>
      <c r="B2271" s="74" t="s">
        <v>276</v>
      </c>
      <c r="C2271" s="74" t="s">
        <v>1527</v>
      </c>
      <c r="D2271" s="74" t="s">
        <v>82</v>
      </c>
      <c r="E2271" s="74">
        <v>1</v>
      </c>
      <c r="F2271" s="74">
        <v>3.3</v>
      </c>
      <c r="G2271" s="758">
        <f t="shared" si="140"/>
        <v>0.73</v>
      </c>
      <c r="H2271" s="759">
        <f t="shared" si="141"/>
        <v>0.24</v>
      </c>
      <c r="I2271" s="758">
        <f t="shared" si="142"/>
        <v>2.57</v>
      </c>
      <c r="J2271" s="760">
        <f t="shared" si="143"/>
        <v>0.77878787878787881</v>
      </c>
    </row>
    <row r="2272" spans="1:10">
      <c r="A2272" s="74" t="s">
        <v>1764</v>
      </c>
      <c r="B2272" s="74" t="s">
        <v>276</v>
      </c>
      <c r="C2272" s="74" t="s">
        <v>1518</v>
      </c>
      <c r="D2272" s="74" t="s">
        <v>82</v>
      </c>
      <c r="E2272" s="74">
        <v>3</v>
      </c>
      <c r="F2272" s="74">
        <v>10.35</v>
      </c>
      <c r="G2272" s="758">
        <f t="shared" si="140"/>
        <v>0.73</v>
      </c>
      <c r="H2272" s="759">
        <f t="shared" si="141"/>
        <v>0.24</v>
      </c>
      <c r="I2272" s="758">
        <f t="shared" si="142"/>
        <v>2.7199999999999998</v>
      </c>
      <c r="J2272" s="760">
        <f t="shared" si="143"/>
        <v>0.78840579710144931</v>
      </c>
    </row>
    <row r="2273" spans="1:10">
      <c r="A2273" s="74" t="s">
        <v>1765</v>
      </c>
      <c r="B2273" s="74" t="s">
        <v>266</v>
      </c>
      <c r="C2273" s="74" t="s">
        <v>1561</v>
      </c>
      <c r="D2273" s="74" t="s">
        <v>87</v>
      </c>
      <c r="E2273" s="74">
        <v>1</v>
      </c>
      <c r="F2273" s="74">
        <v>0</v>
      </c>
      <c r="G2273" s="758">
        <f t="shared" si="140"/>
        <v>0</v>
      </c>
      <c r="H2273" s="759">
        <f t="shared" si="141"/>
        <v>0</v>
      </c>
      <c r="I2273" s="758">
        <f t="shared" si="142"/>
        <v>0</v>
      </c>
      <c r="J2273" s="760">
        <f t="shared" si="143"/>
        <v>0</v>
      </c>
    </row>
    <row r="2274" spans="1:10">
      <c r="A2274" s="74" t="s">
        <v>1766</v>
      </c>
      <c r="B2274" s="74" t="s">
        <v>266</v>
      </c>
      <c r="C2274" s="74" t="s">
        <v>1555</v>
      </c>
      <c r="D2274" s="74" t="s">
        <v>94</v>
      </c>
      <c r="E2274" s="74">
        <v>1</v>
      </c>
      <c r="F2274" s="74">
        <v>20.05</v>
      </c>
      <c r="G2274" s="758">
        <f t="shared" si="140"/>
        <v>0</v>
      </c>
      <c r="H2274" s="759">
        <f t="shared" si="141"/>
        <v>0</v>
      </c>
      <c r="I2274" s="758">
        <f t="shared" si="142"/>
        <v>20.05</v>
      </c>
      <c r="J2274" s="760">
        <f t="shared" si="143"/>
        <v>1</v>
      </c>
    </row>
    <row r="2275" spans="1:10">
      <c r="A2275" s="74" t="s">
        <v>1140</v>
      </c>
      <c r="B2275" s="74" t="s">
        <v>276</v>
      </c>
      <c r="C2275" s="74" t="s">
        <v>1530</v>
      </c>
      <c r="D2275" s="74" t="s">
        <v>80</v>
      </c>
      <c r="E2275" s="74">
        <v>2</v>
      </c>
      <c r="F2275" s="74">
        <v>8.1</v>
      </c>
      <c r="G2275" s="758">
        <f t="shared" si="140"/>
        <v>0.66</v>
      </c>
      <c r="H2275" s="759">
        <f t="shared" si="141"/>
        <v>0.22</v>
      </c>
      <c r="I2275" s="758">
        <f t="shared" si="142"/>
        <v>3.3899999999999997</v>
      </c>
      <c r="J2275" s="760">
        <f t="shared" si="143"/>
        <v>0.83703703703703702</v>
      </c>
    </row>
    <row r="2276" spans="1:10">
      <c r="A2276" s="74" t="s">
        <v>1140</v>
      </c>
      <c r="B2276" s="74" t="s">
        <v>276</v>
      </c>
      <c r="C2276" s="74" t="s">
        <v>1532</v>
      </c>
      <c r="D2276" s="74" t="s">
        <v>80</v>
      </c>
      <c r="E2276" s="74">
        <v>2</v>
      </c>
      <c r="F2276" s="74">
        <v>8.25</v>
      </c>
      <c r="G2276" s="758">
        <f t="shared" si="140"/>
        <v>0.66</v>
      </c>
      <c r="H2276" s="759">
        <f t="shared" si="141"/>
        <v>0.22</v>
      </c>
      <c r="I2276" s="758">
        <f t="shared" si="142"/>
        <v>3.4649999999999999</v>
      </c>
      <c r="J2276" s="760">
        <f t="shared" si="143"/>
        <v>0.84</v>
      </c>
    </row>
    <row r="2277" spans="1:10">
      <c r="A2277" s="74" t="s">
        <v>1140</v>
      </c>
      <c r="B2277" s="74" t="s">
        <v>276</v>
      </c>
      <c r="C2277" s="74" t="s">
        <v>1511</v>
      </c>
      <c r="D2277" s="74" t="s">
        <v>80</v>
      </c>
      <c r="E2277" s="74">
        <v>5</v>
      </c>
      <c r="F2277" s="74">
        <v>20.25</v>
      </c>
      <c r="G2277" s="758">
        <f t="shared" si="140"/>
        <v>0.66</v>
      </c>
      <c r="H2277" s="759">
        <f t="shared" si="141"/>
        <v>0.22</v>
      </c>
      <c r="I2277" s="758">
        <f t="shared" si="142"/>
        <v>3.3899999999999997</v>
      </c>
      <c r="J2277" s="760">
        <f t="shared" si="143"/>
        <v>0.83703703703703702</v>
      </c>
    </row>
    <row r="2278" spans="1:10">
      <c r="A2278" s="74" t="s">
        <v>1140</v>
      </c>
      <c r="B2278" s="74" t="s">
        <v>276</v>
      </c>
      <c r="C2278" s="74" t="s">
        <v>1512</v>
      </c>
      <c r="D2278" s="74" t="s">
        <v>80</v>
      </c>
      <c r="E2278" s="74">
        <v>2</v>
      </c>
      <c r="F2278" s="74">
        <v>0</v>
      </c>
      <c r="G2278" s="758">
        <f t="shared" si="140"/>
        <v>0.66</v>
      </c>
      <c r="H2278" s="759">
        <f t="shared" si="141"/>
        <v>0.22</v>
      </c>
      <c r="I2278" s="758">
        <f t="shared" si="142"/>
        <v>-0.66</v>
      </c>
      <c r="J2278" s="760">
        <f t="shared" si="143"/>
        <v>0</v>
      </c>
    </row>
    <row r="2279" spans="1:10">
      <c r="A2279" s="74" t="s">
        <v>1140</v>
      </c>
      <c r="B2279" s="74" t="s">
        <v>276</v>
      </c>
      <c r="C2279" s="74" t="s">
        <v>1534</v>
      </c>
      <c r="D2279" s="74" t="s">
        <v>81</v>
      </c>
      <c r="E2279" s="74">
        <v>4</v>
      </c>
      <c r="F2279" s="74">
        <v>16.2</v>
      </c>
      <c r="G2279" s="758">
        <f t="shared" si="140"/>
        <v>0.66</v>
      </c>
      <c r="H2279" s="759">
        <f t="shared" si="141"/>
        <v>0.22</v>
      </c>
      <c r="I2279" s="758">
        <f t="shared" si="142"/>
        <v>3.3899999999999997</v>
      </c>
      <c r="J2279" s="760">
        <f t="shared" si="143"/>
        <v>0.83703703703703702</v>
      </c>
    </row>
    <row r="2280" spans="1:10">
      <c r="A2280" s="74" t="s">
        <v>1140</v>
      </c>
      <c r="B2280" s="74" t="s">
        <v>276</v>
      </c>
      <c r="C2280" s="74" t="s">
        <v>1514</v>
      </c>
      <c r="D2280" s="74" t="s">
        <v>81</v>
      </c>
      <c r="E2280" s="74">
        <v>3</v>
      </c>
      <c r="F2280" s="74">
        <v>4.05</v>
      </c>
      <c r="G2280" s="758">
        <f t="shared" si="140"/>
        <v>0.66</v>
      </c>
      <c r="H2280" s="759">
        <f t="shared" si="141"/>
        <v>0.22</v>
      </c>
      <c r="I2280" s="758">
        <f t="shared" si="142"/>
        <v>0.68999999999999984</v>
      </c>
      <c r="J2280" s="760">
        <f t="shared" si="143"/>
        <v>0.51111111111111107</v>
      </c>
    </row>
    <row r="2281" spans="1:10">
      <c r="A2281" s="74" t="s">
        <v>1140</v>
      </c>
      <c r="B2281" s="74" t="s">
        <v>276</v>
      </c>
      <c r="C2281" s="74" t="s">
        <v>1517</v>
      </c>
      <c r="D2281" s="74" t="s">
        <v>82</v>
      </c>
      <c r="E2281" s="74">
        <v>4</v>
      </c>
      <c r="F2281" s="74">
        <v>16.2</v>
      </c>
      <c r="G2281" s="758">
        <f t="shared" si="140"/>
        <v>0.66</v>
      </c>
      <c r="H2281" s="759">
        <f t="shared" si="141"/>
        <v>0.22</v>
      </c>
      <c r="I2281" s="758">
        <f t="shared" si="142"/>
        <v>3.3899999999999997</v>
      </c>
      <c r="J2281" s="760">
        <f t="shared" si="143"/>
        <v>0.83703703703703702</v>
      </c>
    </row>
    <row r="2282" spans="1:10">
      <c r="A2282" s="74" t="s">
        <v>1140</v>
      </c>
      <c r="B2282" s="74" t="s">
        <v>276</v>
      </c>
      <c r="C2282" s="74" t="s">
        <v>1527</v>
      </c>
      <c r="D2282" s="74" t="s">
        <v>82</v>
      </c>
      <c r="E2282" s="74">
        <v>4</v>
      </c>
      <c r="F2282" s="74">
        <v>12.15</v>
      </c>
      <c r="G2282" s="758">
        <f t="shared" si="140"/>
        <v>0.66</v>
      </c>
      <c r="H2282" s="759">
        <f t="shared" si="141"/>
        <v>0.22</v>
      </c>
      <c r="I2282" s="758">
        <f t="shared" si="142"/>
        <v>2.3774999999999999</v>
      </c>
      <c r="J2282" s="760">
        <f t="shared" si="143"/>
        <v>0.78271604938271611</v>
      </c>
    </row>
    <row r="2283" spans="1:10">
      <c r="A2283" s="74" t="s">
        <v>1140</v>
      </c>
      <c r="B2283" s="74" t="s">
        <v>276</v>
      </c>
      <c r="C2283" s="74" t="s">
        <v>1518</v>
      </c>
      <c r="D2283" s="74" t="s">
        <v>82</v>
      </c>
      <c r="E2283" s="74">
        <v>1</v>
      </c>
      <c r="F2283" s="74">
        <v>0</v>
      </c>
      <c r="G2283" s="758">
        <f t="shared" si="140"/>
        <v>0.66</v>
      </c>
      <c r="H2283" s="759">
        <f t="shared" si="141"/>
        <v>0.22</v>
      </c>
      <c r="I2283" s="758">
        <f t="shared" si="142"/>
        <v>-0.66</v>
      </c>
      <c r="J2283" s="760">
        <f t="shared" si="143"/>
        <v>0</v>
      </c>
    </row>
    <row r="2284" spans="1:10">
      <c r="A2284" s="74" t="s">
        <v>1140</v>
      </c>
      <c r="B2284" s="74" t="s">
        <v>276</v>
      </c>
      <c r="C2284" s="74" t="s">
        <v>1540</v>
      </c>
      <c r="D2284" s="74" t="s">
        <v>84</v>
      </c>
      <c r="E2284" s="74">
        <v>1</v>
      </c>
      <c r="F2284" s="74">
        <v>4.05</v>
      </c>
      <c r="G2284" s="758">
        <f t="shared" si="140"/>
        <v>0.66</v>
      </c>
      <c r="H2284" s="759">
        <f t="shared" si="141"/>
        <v>0.22</v>
      </c>
      <c r="I2284" s="758">
        <f t="shared" si="142"/>
        <v>3.3899999999999997</v>
      </c>
      <c r="J2284" s="760">
        <f t="shared" si="143"/>
        <v>0.83703703703703702</v>
      </c>
    </row>
    <row r="2285" spans="1:10">
      <c r="A2285" s="74" t="s">
        <v>1140</v>
      </c>
      <c r="B2285" s="74" t="s">
        <v>276</v>
      </c>
      <c r="C2285" s="74" t="s">
        <v>1546</v>
      </c>
      <c r="D2285" s="74" t="s">
        <v>89</v>
      </c>
      <c r="E2285" s="74">
        <v>1</v>
      </c>
      <c r="F2285" s="74">
        <v>4.05</v>
      </c>
      <c r="G2285" s="758">
        <f t="shared" si="140"/>
        <v>0.66</v>
      </c>
      <c r="H2285" s="759">
        <f t="shared" si="141"/>
        <v>0.22</v>
      </c>
      <c r="I2285" s="758">
        <f t="shared" si="142"/>
        <v>3.3899999999999997</v>
      </c>
      <c r="J2285" s="760">
        <f t="shared" si="143"/>
        <v>0.83703703703703702</v>
      </c>
    </row>
    <row r="2286" spans="1:10">
      <c r="A2286" s="74" t="s">
        <v>1140</v>
      </c>
      <c r="B2286" s="74" t="s">
        <v>276</v>
      </c>
      <c r="C2286" s="74" t="s">
        <v>1547</v>
      </c>
      <c r="D2286" s="74" t="s">
        <v>89</v>
      </c>
      <c r="E2286" s="74">
        <v>3</v>
      </c>
      <c r="F2286" s="74">
        <v>12.15</v>
      </c>
      <c r="G2286" s="758">
        <f t="shared" si="140"/>
        <v>0.66</v>
      </c>
      <c r="H2286" s="759">
        <f t="shared" si="141"/>
        <v>0.22</v>
      </c>
      <c r="I2286" s="758">
        <f t="shared" si="142"/>
        <v>3.3899999999999997</v>
      </c>
      <c r="J2286" s="760">
        <f t="shared" si="143"/>
        <v>0.83703703703703702</v>
      </c>
    </row>
    <row r="2287" spans="1:10">
      <c r="A2287" s="74" t="s">
        <v>1140</v>
      </c>
      <c r="B2287" s="74" t="s">
        <v>276</v>
      </c>
      <c r="C2287" s="74" t="s">
        <v>1524</v>
      </c>
      <c r="D2287" s="74" t="s">
        <v>91</v>
      </c>
      <c r="E2287" s="74">
        <v>1</v>
      </c>
      <c r="F2287" s="74">
        <v>4.05</v>
      </c>
      <c r="G2287" s="758">
        <f t="shared" si="140"/>
        <v>0.66</v>
      </c>
      <c r="H2287" s="759">
        <f t="shared" si="141"/>
        <v>0.22</v>
      </c>
      <c r="I2287" s="758">
        <f t="shared" si="142"/>
        <v>3.3899999999999997</v>
      </c>
      <c r="J2287" s="760">
        <f t="shared" si="143"/>
        <v>0.83703703703703702</v>
      </c>
    </row>
    <row r="2288" spans="1:10">
      <c r="A2288" s="74" t="s">
        <v>1140</v>
      </c>
      <c r="B2288" s="74" t="s">
        <v>276</v>
      </c>
      <c r="C2288" s="74" t="s">
        <v>1552</v>
      </c>
      <c r="D2288" s="74" t="s">
        <v>92</v>
      </c>
      <c r="E2288" s="74">
        <v>1</v>
      </c>
      <c r="F2288" s="74">
        <v>4.05</v>
      </c>
      <c r="G2288" s="758">
        <f t="shared" si="140"/>
        <v>0.66</v>
      </c>
      <c r="H2288" s="759">
        <f t="shared" si="141"/>
        <v>0.22</v>
      </c>
      <c r="I2288" s="758">
        <f t="shared" si="142"/>
        <v>3.3899999999999997</v>
      </c>
      <c r="J2288" s="760">
        <f t="shared" si="143"/>
        <v>0.83703703703703702</v>
      </c>
    </row>
    <row r="2289" spans="1:10">
      <c r="A2289" s="74" t="s">
        <v>1767</v>
      </c>
      <c r="B2289" s="74" t="s">
        <v>256</v>
      </c>
      <c r="C2289" s="74" t="s">
        <v>1617</v>
      </c>
      <c r="D2289" s="74" t="s">
        <v>94</v>
      </c>
      <c r="E2289" s="74">
        <v>1</v>
      </c>
      <c r="F2289" s="74">
        <v>7.25</v>
      </c>
      <c r="G2289" s="758">
        <f t="shared" si="140"/>
        <v>0</v>
      </c>
      <c r="H2289" s="759">
        <f t="shared" si="141"/>
        <v>0</v>
      </c>
      <c r="I2289" s="758">
        <f t="shared" si="142"/>
        <v>7.25</v>
      </c>
      <c r="J2289" s="760">
        <f t="shared" si="143"/>
        <v>1</v>
      </c>
    </row>
    <row r="2290" spans="1:10">
      <c r="A2290" s="74" t="s">
        <v>1768</v>
      </c>
      <c r="B2290" s="74" t="s">
        <v>894</v>
      </c>
      <c r="C2290" s="74" t="s">
        <v>1534</v>
      </c>
      <c r="D2290" s="74" t="s">
        <v>81</v>
      </c>
      <c r="E2290" s="74">
        <v>1</v>
      </c>
      <c r="F2290" s="74">
        <v>-0.54</v>
      </c>
      <c r="G2290" s="758">
        <f t="shared" si="140"/>
        <v>0</v>
      </c>
      <c r="H2290" s="759">
        <f t="shared" si="141"/>
        <v>0.16</v>
      </c>
      <c r="I2290" s="758">
        <f t="shared" si="142"/>
        <v>-0.54</v>
      </c>
      <c r="J2290" s="760">
        <f t="shared" si="143"/>
        <v>1</v>
      </c>
    </row>
    <row r="2291" spans="1:10">
      <c r="A2291" s="74" t="s">
        <v>1769</v>
      </c>
      <c r="B2291" s="74" t="s">
        <v>2274</v>
      </c>
      <c r="C2291" s="74" t="s">
        <v>1541</v>
      </c>
      <c r="D2291" s="74" t="s">
        <v>86</v>
      </c>
      <c r="E2291" s="74">
        <v>12</v>
      </c>
      <c r="F2291" s="74">
        <v>-5.4</v>
      </c>
      <c r="G2291" s="758">
        <f t="shared" si="140"/>
        <v>0</v>
      </c>
      <c r="H2291" s="759">
        <f t="shared" si="141"/>
        <v>0</v>
      </c>
      <c r="I2291" s="758">
        <f t="shared" si="142"/>
        <v>-0.45</v>
      </c>
      <c r="J2291" s="760">
        <f t="shared" si="143"/>
        <v>1</v>
      </c>
    </row>
    <row r="2292" spans="1:10">
      <c r="A2292" s="74" t="s">
        <v>1066</v>
      </c>
      <c r="B2292" s="74" t="s">
        <v>266</v>
      </c>
      <c r="C2292" s="74" t="s">
        <v>1644</v>
      </c>
      <c r="D2292" s="74" t="s">
        <v>86</v>
      </c>
      <c r="E2292" s="74">
        <v>1</v>
      </c>
      <c r="F2292" s="74">
        <v>0</v>
      </c>
      <c r="G2292" s="758">
        <f t="shared" si="140"/>
        <v>0</v>
      </c>
      <c r="H2292" s="759">
        <f t="shared" si="141"/>
        <v>0</v>
      </c>
      <c r="I2292" s="758">
        <f t="shared" si="142"/>
        <v>0</v>
      </c>
      <c r="J2292" s="760">
        <f t="shared" si="143"/>
        <v>0</v>
      </c>
    </row>
    <row r="2293" spans="1:10">
      <c r="A2293" s="74" t="s">
        <v>1066</v>
      </c>
      <c r="B2293" s="74" t="s">
        <v>266</v>
      </c>
      <c r="C2293" s="74" t="s">
        <v>1578</v>
      </c>
      <c r="D2293" s="74" t="s">
        <v>86</v>
      </c>
      <c r="E2293" s="74">
        <v>6</v>
      </c>
      <c r="F2293" s="74">
        <v>8.1</v>
      </c>
      <c r="G2293" s="758">
        <f t="shared" si="140"/>
        <v>0</v>
      </c>
      <c r="H2293" s="759">
        <f t="shared" si="141"/>
        <v>0</v>
      </c>
      <c r="I2293" s="758">
        <f t="shared" si="142"/>
        <v>1.3499999999999999</v>
      </c>
      <c r="J2293" s="760">
        <f t="shared" si="143"/>
        <v>1</v>
      </c>
    </row>
    <row r="2294" spans="1:10">
      <c r="A2294" s="74" t="s">
        <v>1066</v>
      </c>
      <c r="B2294" s="74" t="s">
        <v>266</v>
      </c>
      <c r="C2294" s="74" t="s">
        <v>1543</v>
      </c>
      <c r="D2294" s="74" t="s">
        <v>87</v>
      </c>
      <c r="E2294" s="74">
        <v>4</v>
      </c>
      <c r="F2294" s="74">
        <v>5</v>
      </c>
      <c r="G2294" s="758">
        <f t="shared" si="140"/>
        <v>0</v>
      </c>
      <c r="H2294" s="759">
        <f t="shared" si="141"/>
        <v>0</v>
      </c>
      <c r="I2294" s="758">
        <f t="shared" si="142"/>
        <v>1.25</v>
      </c>
      <c r="J2294" s="760">
        <f t="shared" si="143"/>
        <v>1</v>
      </c>
    </row>
    <row r="2295" spans="1:10">
      <c r="A2295" s="74" t="s">
        <v>1066</v>
      </c>
      <c r="B2295" s="74" t="s">
        <v>266</v>
      </c>
      <c r="C2295" s="74" t="s">
        <v>1544</v>
      </c>
      <c r="D2295" s="74" t="s">
        <v>87</v>
      </c>
      <c r="E2295" s="74">
        <v>1</v>
      </c>
      <c r="F2295" s="74">
        <v>2.5</v>
      </c>
      <c r="G2295" s="758">
        <f t="shared" si="140"/>
        <v>0</v>
      </c>
      <c r="H2295" s="759">
        <f t="shared" si="141"/>
        <v>0</v>
      </c>
      <c r="I2295" s="758">
        <f t="shared" si="142"/>
        <v>2.5</v>
      </c>
      <c r="J2295" s="760">
        <f t="shared" si="143"/>
        <v>1</v>
      </c>
    </row>
    <row r="2296" spans="1:10">
      <c r="A2296" s="74" t="s">
        <v>1066</v>
      </c>
      <c r="B2296" s="74" t="s">
        <v>266</v>
      </c>
      <c r="C2296" s="74" t="s">
        <v>1605</v>
      </c>
      <c r="D2296" s="74" t="s">
        <v>87</v>
      </c>
      <c r="E2296" s="74">
        <v>1</v>
      </c>
      <c r="F2296" s="74">
        <v>2.5</v>
      </c>
      <c r="G2296" s="758">
        <f t="shared" si="140"/>
        <v>0</v>
      </c>
      <c r="H2296" s="759">
        <f t="shared" si="141"/>
        <v>0</v>
      </c>
      <c r="I2296" s="758">
        <f t="shared" si="142"/>
        <v>2.5</v>
      </c>
      <c r="J2296" s="760">
        <f t="shared" si="143"/>
        <v>1</v>
      </c>
    </row>
    <row r="2297" spans="1:10">
      <c r="A2297" s="74" t="s">
        <v>1066</v>
      </c>
      <c r="B2297" s="74" t="s">
        <v>266</v>
      </c>
      <c r="C2297" s="74" t="s">
        <v>1561</v>
      </c>
      <c r="D2297" s="74" t="s">
        <v>87</v>
      </c>
      <c r="E2297" s="74">
        <v>1</v>
      </c>
      <c r="F2297" s="74">
        <v>0</v>
      </c>
      <c r="G2297" s="758">
        <f t="shared" si="140"/>
        <v>0</v>
      </c>
      <c r="H2297" s="759">
        <f t="shared" si="141"/>
        <v>0</v>
      </c>
      <c r="I2297" s="758">
        <f t="shared" si="142"/>
        <v>0</v>
      </c>
      <c r="J2297" s="760">
        <f t="shared" si="143"/>
        <v>0</v>
      </c>
    </row>
    <row r="2298" spans="1:10">
      <c r="A2298" s="74" t="s">
        <v>1066</v>
      </c>
      <c r="B2298" s="74" t="s">
        <v>266</v>
      </c>
      <c r="C2298" s="74" t="s">
        <v>1610</v>
      </c>
      <c r="D2298" s="74" t="s">
        <v>89</v>
      </c>
      <c r="E2298" s="74">
        <v>4</v>
      </c>
      <c r="F2298" s="74">
        <v>0</v>
      </c>
      <c r="G2298" s="758">
        <f t="shared" si="140"/>
        <v>0</v>
      </c>
      <c r="H2298" s="759">
        <f t="shared" si="141"/>
        <v>0</v>
      </c>
      <c r="I2298" s="758">
        <f t="shared" si="142"/>
        <v>0</v>
      </c>
      <c r="J2298" s="760">
        <f t="shared" si="143"/>
        <v>0</v>
      </c>
    </row>
    <row r="2299" spans="1:10">
      <c r="A2299" s="74" t="s">
        <v>1066</v>
      </c>
      <c r="B2299" s="74" t="s">
        <v>266</v>
      </c>
      <c r="C2299" s="74" t="s">
        <v>1546</v>
      </c>
      <c r="D2299" s="74" t="s">
        <v>89</v>
      </c>
      <c r="E2299" s="74">
        <v>6</v>
      </c>
      <c r="F2299" s="74">
        <v>0</v>
      </c>
      <c r="G2299" s="758">
        <f t="shared" si="140"/>
        <v>0</v>
      </c>
      <c r="H2299" s="759">
        <f t="shared" si="141"/>
        <v>0</v>
      </c>
      <c r="I2299" s="758">
        <f t="shared" si="142"/>
        <v>0</v>
      </c>
      <c r="J2299" s="760">
        <f t="shared" si="143"/>
        <v>0</v>
      </c>
    </row>
    <row r="2300" spans="1:10">
      <c r="A2300" s="74" t="s">
        <v>1066</v>
      </c>
      <c r="B2300" s="74" t="s">
        <v>266</v>
      </c>
      <c r="C2300" s="74" t="s">
        <v>1547</v>
      </c>
      <c r="D2300" s="74" t="s">
        <v>89</v>
      </c>
      <c r="E2300" s="74">
        <v>2</v>
      </c>
      <c r="F2300" s="74">
        <v>0</v>
      </c>
      <c r="G2300" s="758">
        <f t="shared" si="140"/>
        <v>0</v>
      </c>
      <c r="H2300" s="759">
        <f t="shared" si="141"/>
        <v>0</v>
      </c>
      <c r="I2300" s="758">
        <f t="shared" si="142"/>
        <v>0</v>
      </c>
      <c r="J2300" s="760">
        <f t="shared" si="143"/>
        <v>0</v>
      </c>
    </row>
    <row r="2301" spans="1:10">
      <c r="A2301" s="74" t="s">
        <v>1066</v>
      </c>
      <c r="B2301" s="74" t="s">
        <v>266</v>
      </c>
      <c r="C2301" s="74" t="s">
        <v>1582</v>
      </c>
      <c r="D2301" s="74" t="s">
        <v>89</v>
      </c>
      <c r="E2301" s="74">
        <v>3</v>
      </c>
      <c r="F2301" s="74">
        <v>0</v>
      </c>
      <c r="G2301" s="758">
        <f t="shared" si="140"/>
        <v>0</v>
      </c>
      <c r="H2301" s="759">
        <f t="shared" si="141"/>
        <v>0</v>
      </c>
      <c r="I2301" s="758">
        <f t="shared" si="142"/>
        <v>0</v>
      </c>
      <c r="J2301" s="760">
        <f t="shared" si="143"/>
        <v>0</v>
      </c>
    </row>
    <row r="2302" spans="1:10">
      <c r="A2302" s="74" t="s">
        <v>1066</v>
      </c>
      <c r="B2302" s="74" t="s">
        <v>266</v>
      </c>
      <c r="C2302" s="74" t="s">
        <v>1522</v>
      </c>
      <c r="D2302" s="74" t="s">
        <v>91</v>
      </c>
      <c r="E2302" s="74">
        <v>1</v>
      </c>
      <c r="F2302" s="74">
        <v>0</v>
      </c>
      <c r="G2302" s="758">
        <f t="shared" si="140"/>
        <v>0</v>
      </c>
      <c r="H2302" s="759">
        <f t="shared" si="141"/>
        <v>0</v>
      </c>
      <c r="I2302" s="758">
        <f t="shared" si="142"/>
        <v>0</v>
      </c>
      <c r="J2302" s="760">
        <f t="shared" si="143"/>
        <v>0</v>
      </c>
    </row>
    <row r="2303" spans="1:10">
      <c r="A2303" s="74" t="s">
        <v>1066</v>
      </c>
      <c r="B2303" s="74" t="s">
        <v>266</v>
      </c>
      <c r="C2303" s="74" t="s">
        <v>1550</v>
      </c>
      <c r="D2303" s="74" t="s">
        <v>91</v>
      </c>
      <c r="E2303" s="74">
        <v>1</v>
      </c>
      <c r="F2303" s="74">
        <v>0</v>
      </c>
      <c r="G2303" s="758">
        <f t="shared" si="140"/>
        <v>0</v>
      </c>
      <c r="H2303" s="759">
        <f t="shared" si="141"/>
        <v>0</v>
      </c>
      <c r="I2303" s="758">
        <f t="shared" si="142"/>
        <v>0</v>
      </c>
      <c r="J2303" s="760">
        <f t="shared" si="143"/>
        <v>0</v>
      </c>
    </row>
    <row r="2304" spans="1:10">
      <c r="A2304" s="74" t="s">
        <v>1066</v>
      </c>
      <c r="B2304" s="74" t="s">
        <v>266</v>
      </c>
      <c r="C2304" s="74" t="s">
        <v>1675</v>
      </c>
      <c r="D2304" s="74" t="s">
        <v>91</v>
      </c>
      <c r="E2304" s="74">
        <v>2</v>
      </c>
      <c r="F2304" s="74">
        <v>0</v>
      </c>
      <c r="G2304" s="758">
        <f t="shared" si="140"/>
        <v>0</v>
      </c>
      <c r="H2304" s="759">
        <f t="shared" si="141"/>
        <v>0</v>
      </c>
      <c r="I2304" s="758">
        <f t="shared" si="142"/>
        <v>0</v>
      </c>
      <c r="J2304" s="760">
        <f t="shared" si="143"/>
        <v>0</v>
      </c>
    </row>
    <row r="2305" spans="1:10">
      <c r="A2305" s="74" t="s">
        <v>1066</v>
      </c>
      <c r="B2305" s="74" t="s">
        <v>266</v>
      </c>
      <c r="C2305" s="74" t="s">
        <v>1524</v>
      </c>
      <c r="D2305" s="74" t="s">
        <v>91</v>
      </c>
      <c r="E2305" s="74">
        <v>2</v>
      </c>
      <c r="F2305" s="74">
        <v>0</v>
      </c>
      <c r="G2305" s="758">
        <f t="shared" si="140"/>
        <v>0</v>
      </c>
      <c r="H2305" s="759">
        <f t="shared" si="141"/>
        <v>0</v>
      </c>
      <c r="I2305" s="758">
        <f t="shared" si="142"/>
        <v>0</v>
      </c>
      <c r="J2305" s="760">
        <f t="shared" si="143"/>
        <v>0</v>
      </c>
    </row>
    <row r="2306" spans="1:10">
      <c r="A2306" s="74" t="s">
        <v>1066</v>
      </c>
      <c r="B2306" s="74" t="s">
        <v>266</v>
      </c>
      <c r="C2306" s="74" t="s">
        <v>1584</v>
      </c>
      <c r="D2306" s="74" t="s">
        <v>92</v>
      </c>
      <c r="E2306" s="74">
        <v>1</v>
      </c>
      <c r="F2306" s="74">
        <v>0</v>
      </c>
      <c r="G2306" s="758">
        <f t="shared" ref="G2306:G2369" si="144">IFERROR(VLOOKUP(A2306,$M$1:$P$1014,2,FALSE),0)</f>
        <v>0</v>
      </c>
      <c r="H2306" s="759">
        <f t="shared" ref="H2306:H2369" si="145">IFERROR(VLOOKUP(A2306,$M$1:$P$1014,3,FALSE),0)</f>
        <v>0</v>
      </c>
      <c r="I2306" s="758">
        <f t="shared" ref="I2306:I2369" si="146">IFERROR(F2306/E2306-G2306,0)</f>
        <v>0</v>
      </c>
      <c r="J2306" s="760">
        <f t="shared" ref="J2306:J2369" si="147">IFERROR(1-G2306*E2306/F2306,0)</f>
        <v>0</v>
      </c>
    </row>
    <row r="2307" spans="1:10">
      <c r="A2307" s="74" t="s">
        <v>1066</v>
      </c>
      <c r="B2307" s="74" t="s">
        <v>266</v>
      </c>
      <c r="C2307" s="74" t="s">
        <v>1614</v>
      </c>
      <c r="D2307" s="74" t="s">
        <v>92</v>
      </c>
      <c r="E2307" s="74">
        <v>4</v>
      </c>
      <c r="F2307" s="74">
        <v>2</v>
      </c>
      <c r="G2307" s="758">
        <f t="shared" si="144"/>
        <v>0</v>
      </c>
      <c r="H2307" s="759">
        <f t="shared" si="145"/>
        <v>0</v>
      </c>
      <c r="I2307" s="758">
        <f t="shared" si="146"/>
        <v>0.5</v>
      </c>
      <c r="J2307" s="760">
        <f t="shared" si="147"/>
        <v>1</v>
      </c>
    </row>
    <row r="2308" spans="1:10">
      <c r="A2308" s="74" t="s">
        <v>1066</v>
      </c>
      <c r="B2308" s="74" t="s">
        <v>266</v>
      </c>
      <c r="C2308" s="74" t="s">
        <v>1631</v>
      </c>
      <c r="D2308" s="74" t="s">
        <v>92</v>
      </c>
      <c r="E2308" s="74">
        <v>3</v>
      </c>
      <c r="F2308" s="74">
        <v>0</v>
      </c>
      <c r="G2308" s="758">
        <f t="shared" si="144"/>
        <v>0</v>
      </c>
      <c r="H2308" s="759">
        <f t="shared" si="145"/>
        <v>0</v>
      </c>
      <c r="I2308" s="758">
        <f t="shared" si="146"/>
        <v>0</v>
      </c>
      <c r="J2308" s="760">
        <f t="shared" si="147"/>
        <v>0</v>
      </c>
    </row>
    <row r="2309" spans="1:10">
      <c r="A2309" s="74" t="s">
        <v>1066</v>
      </c>
      <c r="B2309" s="74" t="s">
        <v>266</v>
      </c>
      <c r="C2309" s="74" t="s">
        <v>1552</v>
      </c>
      <c r="D2309" s="74" t="s">
        <v>92</v>
      </c>
      <c r="E2309" s="74">
        <v>2</v>
      </c>
      <c r="F2309" s="74">
        <v>0</v>
      </c>
      <c r="G2309" s="758">
        <f t="shared" si="144"/>
        <v>0</v>
      </c>
      <c r="H2309" s="759">
        <f t="shared" si="145"/>
        <v>0</v>
      </c>
      <c r="I2309" s="758">
        <f t="shared" si="146"/>
        <v>0</v>
      </c>
      <c r="J2309" s="760">
        <f t="shared" si="147"/>
        <v>0</v>
      </c>
    </row>
    <row r="2310" spans="1:10">
      <c r="A2310" s="74" t="s">
        <v>1066</v>
      </c>
      <c r="B2310" s="74" t="s">
        <v>266</v>
      </c>
      <c r="C2310" s="74" t="s">
        <v>1617</v>
      </c>
      <c r="D2310" s="74" t="s">
        <v>94</v>
      </c>
      <c r="E2310" s="74">
        <v>1</v>
      </c>
      <c r="F2310" s="74">
        <v>0</v>
      </c>
      <c r="G2310" s="758">
        <f t="shared" si="144"/>
        <v>0</v>
      </c>
      <c r="H2310" s="759">
        <f t="shared" si="145"/>
        <v>0</v>
      </c>
      <c r="I2310" s="758">
        <f t="shared" si="146"/>
        <v>0</v>
      </c>
      <c r="J2310" s="760">
        <f t="shared" si="147"/>
        <v>0</v>
      </c>
    </row>
    <row r="2311" spans="1:10">
      <c r="A2311" s="74" t="s">
        <v>1066</v>
      </c>
      <c r="B2311" s="74" t="s">
        <v>266</v>
      </c>
      <c r="C2311" s="74" t="s">
        <v>1553</v>
      </c>
      <c r="D2311" s="74" t="s">
        <v>94</v>
      </c>
      <c r="E2311" s="74">
        <v>1</v>
      </c>
      <c r="F2311" s="74">
        <v>0</v>
      </c>
      <c r="G2311" s="758">
        <f t="shared" si="144"/>
        <v>0</v>
      </c>
      <c r="H2311" s="759">
        <f t="shared" si="145"/>
        <v>0</v>
      </c>
      <c r="I2311" s="758">
        <f t="shared" si="146"/>
        <v>0</v>
      </c>
      <c r="J2311" s="760">
        <f t="shared" si="147"/>
        <v>0</v>
      </c>
    </row>
    <row r="2312" spans="1:10">
      <c r="A2312" s="74" t="s">
        <v>1066</v>
      </c>
      <c r="B2312" s="74" t="s">
        <v>266</v>
      </c>
      <c r="C2312" s="74" t="s">
        <v>1555</v>
      </c>
      <c r="D2312" s="74" t="s">
        <v>94</v>
      </c>
      <c r="E2312" s="74">
        <v>1</v>
      </c>
      <c r="F2312" s="74">
        <v>0</v>
      </c>
      <c r="G2312" s="758">
        <f t="shared" si="144"/>
        <v>0</v>
      </c>
      <c r="H2312" s="759">
        <f t="shared" si="145"/>
        <v>0</v>
      </c>
      <c r="I2312" s="758">
        <f t="shared" si="146"/>
        <v>0</v>
      </c>
      <c r="J2312" s="760">
        <f t="shared" si="147"/>
        <v>0</v>
      </c>
    </row>
    <row r="2313" spans="1:10">
      <c r="A2313" s="74" t="s">
        <v>1066</v>
      </c>
      <c r="B2313" s="74" t="s">
        <v>266</v>
      </c>
      <c r="C2313" s="74" t="s">
        <v>1557</v>
      </c>
      <c r="D2313" s="74" t="s">
        <v>95</v>
      </c>
      <c r="E2313" s="74">
        <v>1</v>
      </c>
      <c r="F2313" s="74">
        <v>0</v>
      </c>
      <c r="G2313" s="758">
        <f t="shared" si="144"/>
        <v>0</v>
      </c>
      <c r="H2313" s="759">
        <f t="shared" si="145"/>
        <v>0</v>
      </c>
      <c r="I2313" s="758">
        <f t="shared" si="146"/>
        <v>0</v>
      </c>
      <c r="J2313" s="760">
        <f t="shared" si="147"/>
        <v>0</v>
      </c>
    </row>
    <row r="2314" spans="1:10">
      <c r="A2314" s="74" t="s">
        <v>1770</v>
      </c>
      <c r="B2314" s="74" t="s">
        <v>266</v>
      </c>
      <c r="C2314" s="74" t="s">
        <v>1514</v>
      </c>
      <c r="D2314" s="74" t="s">
        <v>81</v>
      </c>
      <c r="E2314" s="74">
        <v>1</v>
      </c>
      <c r="F2314" s="74">
        <v>0</v>
      </c>
      <c r="G2314" s="758">
        <f t="shared" si="144"/>
        <v>0.25</v>
      </c>
      <c r="H2314" s="759">
        <f t="shared" si="145"/>
        <v>0</v>
      </c>
      <c r="I2314" s="758">
        <f t="shared" si="146"/>
        <v>-0.25</v>
      </c>
      <c r="J2314" s="760">
        <f t="shared" si="147"/>
        <v>0</v>
      </c>
    </row>
    <row r="2315" spans="1:10">
      <c r="A2315" s="74" t="s">
        <v>1770</v>
      </c>
      <c r="B2315" s="74" t="s">
        <v>266</v>
      </c>
      <c r="C2315" s="74" t="s">
        <v>1557</v>
      </c>
      <c r="D2315" s="74" t="s">
        <v>95</v>
      </c>
      <c r="E2315" s="74">
        <v>1</v>
      </c>
      <c r="F2315" s="74">
        <v>0</v>
      </c>
      <c r="G2315" s="758">
        <f t="shared" si="144"/>
        <v>0.25</v>
      </c>
      <c r="H2315" s="759">
        <f t="shared" si="145"/>
        <v>0</v>
      </c>
      <c r="I2315" s="758">
        <f t="shared" si="146"/>
        <v>-0.25</v>
      </c>
      <c r="J2315" s="760">
        <f t="shared" si="147"/>
        <v>0</v>
      </c>
    </row>
    <row r="2316" spans="1:10">
      <c r="A2316" s="74" t="s">
        <v>1771</v>
      </c>
      <c r="B2316" s="74" t="s">
        <v>266</v>
      </c>
      <c r="C2316" s="74" t="s">
        <v>1520</v>
      </c>
      <c r="D2316" s="74" t="s">
        <v>84</v>
      </c>
      <c r="E2316" s="74">
        <v>1</v>
      </c>
      <c r="F2316" s="74">
        <v>0</v>
      </c>
      <c r="G2316" s="758">
        <f t="shared" si="144"/>
        <v>0</v>
      </c>
      <c r="H2316" s="759">
        <f t="shared" si="145"/>
        <v>0</v>
      </c>
      <c r="I2316" s="758">
        <f t="shared" si="146"/>
        <v>0</v>
      </c>
      <c r="J2316" s="760">
        <f t="shared" si="147"/>
        <v>0</v>
      </c>
    </row>
    <row r="2317" spans="1:10">
      <c r="A2317" s="74" t="s">
        <v>980</v>
      </c>
      <c r="B2317" s="74" t="s">
        <v>266</v>
      </c>
      <c r="C2317" s="74" t="s">
        <v>1553</v>
      </c>
      <c r="D2317" s="74" t="s">
        <v>94</v>
      </c>
      <c r="E2317" s="74">
        <v>1</v>
      </c>
      <c r="F2317" s="74">
        <v>0</v>
      </c>
      <c r="G2317" s="758">
        <f t="shared" si="144"/>
        <v>0</v>
      </c>
      <c r="H2317" s="759">
        <f t="shared" si="145"/>
        <v>0</v>
      </c>
      <c r="I2317" s="758">
        <f t="shared" si="146"/>
        <v>0</v>
      </c>
      <c r="J2317" s="760">
        <f t="shared" si="147"/>
        <v>0</v>
      </c>
    </row>
    <row r="2318" spans="1:10">
      <c r="A2318" s="74" t="s">
        <v>1772</v>
      </c>
      <c r="B2318" s="74" t="s">
        <v>266</v>
      </c>
      <c r="C2318" s="74" t="s">
        <v>1543</v>
      </c>
      <c r="D2318" s="74" t="s">
        <v>87</v>
      </c>
      <c r="E2318" s="74">
        <v>1</v>
      </c>
      <c r="F2318" s="74">
        <v>0</v>
      </c>
      <c r="G2318" s="758">
        <f t="shared" si="144"/>
        <v>0</v>
      </c>
      <c r="H2318" s="759">
        <f t="shared" si="145"/>
        <v>0</v>
      </c>
      <c r="I2318" s="758">
        <f t="shared" si="146"/>
        <v>0</v>
      </c>
      <c r="J2318" s="760">
        <f t="shared" si="147"/>
        <v>0</v>
      </c>
    </row>
    <row r="2319" spans="1:10">
      <c r="A2319" s="74" t="s">
        <v>1099</v>
      </c>
      <c r="B2319" s="74" t="s">
        <v>266</v>
      </c>
      <c r="C2319" s="74" t="s">
        <v>1578</v>
      </c>
      <c r="D2319" s="74" t="s">
        <v>86</v>
      </c>
      <c r="E2319" s="74">
        <v>1</v>
      </c>
      <c r="F2319" s="74">
        <v>0</v>
      </c>
      <c r="G2319" s="758">
        <f t="shared" si="144"/>
        <v>0</v>
      </c>
      <c r="H2319" s="759">
        <f t="shared" si="145"/>
        <v>0</v>
      </c>
      <c r="I2319" s="758">
        <f t="shared" si="146"/>
        <v>0</v>
      </c>
      <c r="J2319" s="760">
        <f t="shared" si="147"/>
        <v>0</v>
      </c>
    </row>
    <row r="2320" spans="1:10">
      <c r="A2320" s="74" t="s">
        <v>1099</v>
      </c>
      <c r="B2320" s="74" t="s">
        <v>266</v>
      </c>
      <c r="C2320" s="74" t="s">
        <v>1608</v>
      </c>
      <c r="D2320" s="74" t="s">
        <v>89</v>
      </c>
      <c r="E2320" s="74">
        <v>1</v>
      </c>
      <c r="F2320" s="74">
        <v>0</v>
      </c>
      <c r="G2320" s="758">
        <f t="shared" si="144"/>
        <v>0</v>
      </c>
      <c r="H2320" s="759">
        <f t="shared" si="145"/>
        <v>0</v>
      </c>
      <c r="I2320" s="758">
        <f t="shared" si="146"/>
        <v>0</v>
      </c>
      <c r="J2320" s="760">
        <f t="shared" si="147"/>
        <v>0</v>
      </c>
    </row>
    <row r="2321" spans="1:10">
      <c r="A2321" s="74" t="s">
        <v>1099</v>
      </c>
      <c r="B2321" s="74" t="s">
        <v>266</v>
      </c>
      <c r="C2321" s="74" t="s">
        <v>1610</v>
      </c>
      <c r="D2321" s="74" t="s">
        <v>89</v>
      </c>
      <c r="E2321" s="74">
        <v>1</v>
      </c>
      <c r="F2321" s="74">
        <v>0</v>
      </c>
      <c r="G2321" s="758">
        <f t="shared" si="144"/>
        <v>0</v>
      </c>
      <c r="H2321" s="759">
        <f t="shared" si="145"/>
        <v>0</v>
      </c>
      <c r="I2321" s="758">
        <f t="shared" si="146"/>
        <v>0</v>
      </c>
      <c r="J2321" s="760">
        <f t="shared" si="147"/>
        <v>0</v>
      </c>
    </row>
    <row r="2322" spans="1:10">
      <c r="A2322" s="74" t="s">
        <v>1099</v>
      </c>
      <c r="B2322" s="74" t="s">
        <v>266</v>
      </c>
      <c r="C2322" s="74" t="s">
        <v>1524</v>
      </c>
      <c r="D2322" s="74" t="s">
        <v>91</v>
      </c>
      <c r="E2322" s="74">
        <v>1</v>
      </c>
      <c r="F2322" s="74">
        <v>0</v>
      </c>
      <c r="G2322" s="758">
        <f t="shared" si="144"/>
        <v>0</v>
      </c>
      <c r="H2322" s="759">
        <f t="shared" si="145"/>
        <v>0</v>
      </c>
      <c r="I2322" s="758">
        <f t="shared" si="146"/>
        <v>0</v>
      </c>
      <c r="J2322" s="760">
        <f t="shared" si="147"/>
        <v>0</v>
      </c>
    </row>
    <row r="2323" spans="1:10">
      <c r="A2323" s="74" t="s">
        <v>1099</v>
      </c>
      <c r="B2323" s="74" t="s">
        <v>266</v>
      </c>
      <c r="C2323" s="74" t="s">
        <v>1553</v>
      </c>
      <c r="D2323" s="74" t="s">
        <v>94</v>
      </c>
      <c r="E2323" s="74">
        <v>1</v>
      </c>
      <c r="F2323" s="74">
        <v>0</v>
      </c>
      <c r="G2323" s="758">
        <f t="shared" si="144"/>
        <v>0</v>
      </c>
      <c r="H2323" s="759">
        <f t="shared" si="145"/>
        <v>0</v>
      </c>
      <c r="I2323" s="758">
        <f t="shared" si="146"/>
        <v>0</v>
      </c>
      <c r="J2323" s="760">
        <f t="shared" si="147"/>
        <v>0</v>
      </c>
    </row>
    <row r="2324" spans="1:10">
      <c r="A2324" s="74" t="s">
        <v>1250</v>
      </c>
      <c r="B2324" s="74" t="s">
        <v>266</v>
      </c>
      <c r="C2324" s="74" t="s">
        <v>1524</v>
      </c>
      <c r="D2324" s="74" t="s">
        <v>91</v>
      </c>
      <c r="E2324" s="74">
        <v>1</v>
      </c>
      <c r="F2324" s="74">
        <v>0</v>
      </c>
      <c r="G2324" s="758">
        <f t="shared" si="144"/>
        <v>0</v>
      </c>
      <c r="H2324" s="759">
        <f t="shared" si="145"/>
        <v>0</v>
      </c>
      <c r="I2324" s="758">
        <f t="shared" si="146"/>
        <v>0</v>
      </c>
      <c r="J2324" s="760">
        <f t="shared" si="147"/>
        <v>0</v>
      </c>
    </row>
    <row r="2325" spans="1:10">
      <c r="A2325" s="74" t="s">
        <v>1250</v>
      </c>
      <c r="B2325" s="74" t="s">
        <v>266</v>
      </c>
      <c r="C2325" s="74" t="s">
        <v>1553</v>
      </c>
      <c r="D2325" s="74" t="s">
        <v>94</v>
      </c>
      <c r="E2325" s="74">
        <v>5</v>
      </c>
      <c r="F2325" s="74">
        <v>0</v>
      </c>
      <c r="G2325" s="758">
        <f t="shared" si="144"/>
        <v>0</v>
      </c>
      <c r="H2325" s="759">
        <f t="shared" si="145"/>
        <v>0</v>
      </c>
      <c r="I2325" s="758">
        <f t="shared" si="146"/>
        <v>0</v>
      </c>
      <c r="J2325" s="760">
        <f t="shared" si="147"/>
        <v>0</v>
      </c>
    </row>
    <row r="2326" spans="1:10">
      <c r="A2326" s="74" t="s">
        <v>1250</v>
      </c>
      <c r="B2326" s="74" t="s">
        <v>266</v>
      </c>
      <c r="C2326" s="74" t="s">
        <v>1930</v>
      </c>
      <c r="D2326" s="74" t="s">
        <v>95</v>
      </c>
      <c r="E2326" s="74">
        <v>1</v>
      </c>
      <c r="F2326" s="74">
        <v>0</v>
      </c>
      <c r="G2326" s="758">
        <f t="shared" si="144"/>
        <v>0</v>
      </c>
      <c r="H2326" s="759">
        <f t="shared" si="145"/>
        <v>0</v>
      </c>
      <c r="I2326" s="758">
        <f t="shared" si="146"/>
        <v>0</v>
      </c>
      <c r="J2326" s="760">
        <f t="shared" si="147"/>
        <v>0</v>
      </c>
    </row>
    <row r="2327" spans="1:10">
      <c r="A2327" s="74" t="s">
        <v>1773</v>
      </c>
      <c r="B2327" s="74" t="s">
        <v>266</v>
      </c>
      <c r="C2327" s="74" t="s">
        <v>1608</v>
      </c>
      <c r="D2327" s="74" t="s">
        <v>89</v>
      </c>
      <c r="E2327" s="74">
        <v>1</v>
      </c>
      <c r="F2327" s="74">
        <v>0</v>
      </c>
      <c r="G2327" s="758">
        <f t="shared" si="144"/>
        <v>0</v>
      </c>
      <c r="H2327" s="759">
        <f t="shared" si="145"/>
        <v>0</v>
      </c>
      <c r="I2327" s="758">
        <f t="shared" si="146"/>
        <v>0</v>
      </c>
      <c r="J2327" s="760">
        <f t="shared" si="147"/>
        <v>0</v>
      </c>
    </row>
    <row r="2328" spans="1:10">
      <c r="A2328" s="74" t="s">
        <v>1773</v>
      </c>
      <c r="B2328" s="74" t="s">
        <v>266</v>
      </c>
      <c r="C2328" s="74" t="s">
        <v>1524</v>
      </c>
      <c r="D2328" s="74" t="s">
        <v>91</v>
      </c>
      <c r="E2328" s="74">
        <v>1</v>
      </c>
      <c r="F2328" s="74">
        <v>0</v>
      </c>
      <c r="G2328" s="758">
        <f t="shared" si="144"/>
        <v>0</v>
      </c>
      <c r="H2328" s="759">
        <f t="shared" si="145"/>
        <v>0</v>
      </c>
      <c r="I2328" s="758">
        <f t="shared" si="146"/>
        <v>0</v>
      </c>
      <c r="J2328" s="760">
        <f t="shared" si="147"/>
        <v>0</v>
      </c>
    </row>
    <row r="2329" spans="1:10">
      <c r="A2329" s="74" t="s">
        <v>1773</v>
      </c>
      <c r="B2329" s="74" t="s">
        <v>266</v>
      </c>
      <c r="C2329" s="74" t="s">
        <v>1557</v>
      </c>
      <c r="D2329" s="74" t="s">
        <v>95</v>
      </c>
      <c r="E2329" s="74">
        <v>3</v>
      </c>
      <c r="F2329" s="74">
        <v>0</v>
      </c>
      <c r="G2329" s="758">
        <f t="shared" si="144"/>
        <v>0</v>
      </c>
      <c r="H2329" s="759">
        <f t="shared" si="145"/>
        <v>0</v>
      </c>
      <c r="I2329" s="758">
        <f t="shared" si="146"/>
        <v>0</v>
      </c>
      <c r="J2329" s="760">
        <f t="shared" si="147"/>
        <v>0</v>
      </c>
    </row>
    <row r="2330" spans="1:10">
      <c r="A2330" s="74" t="s">
        <v>1773</v>
      </c>
      <c r="B2330" s="74" t="s">
        <v>266</v>
      </c>
      <c r="C2330" s="74" t="s">
        <v>1930</v>
      </c>
      <c r="D2330" s="74" t="s">
        <v>95</v>
      </c>
      <c r="E2330" s="74">
        <v>1</v>
      </c>
      <c r="F2330" s="74">
        <v>0</v>
      </c>
      <c r="G2330" s="758">
        <f t="shared" si="144"/>
        <v>0</v>
      </c>
      <c r="H2330" s="759">
        <f t="shared" si="145"/>
        <v>0</v>
      </c>
      <c r="I2330" s="758">
        <f t="shared" si="146"/>
        <v>0</v>
      </c>
      <c r="J2330" s="760">
        <f t="shared" si="147"/>
        <v>0</v>
      </c>
    </row>
    <row r="2331" spans="1:10">
      <c r="A2331" s="74" t="s">
        <v>976</v>
      </c>
      <c r="B2331" s="74" t="s">
        <v>266</v>
      </c>
      <c r="C2331" s="74" t="s">
        <v>1675</v>
      </c>
      <c r="D2331" s="74" t="s">
        <v>91</v>
      </c>
      <c r="E2331" s="74">
        <v>1</v>
      </c>
      <c r="F2331" s="74">
        <v>1</v>
      </c>
      <c r="G2331" s="758">
        <f t="shared" si="144"/>
        <v>0</v>
      </c>
      <c r="H2331" s="759">
        <f t="shared" si="145"/>
        <v>0</v>
      </c>
      <c r="I2331" s="758">
        <f t="shared" si="146"/>
        <v>1</v>
      </c>
      <c r="J2331" s="760">
        <f t="shared" si="147"/>
        <v>1</v>
      </c>
    </row>
    <row r="2332" spans="1:10">
      <c r="A2332" s="74" t="s">
        <v>976</v>
      </c>
      <c r="B2332" s="74" t="s">
        <v>266</v>
      </c>
      <c r="C2332" s="74" t="s">
        <v>1614</v>
      </c>
      <c r="D2332" s="74" t="s">
        <v>92</v>
      </c>
      <c r="E2332" s="74">
        <v>1</v>
      </c>
      <c r="F2332" s="74">
        <v>1</v>
      </c>
      <c r="G2332" s="758">
        <f t="shared" si="144"/>
        <v>0</v>
      </c>
      <c r="H2332" s="759">
        <f t="shared" si="145"/>
        <v>0</v>
      </c>
      <c r="I2332" s="758">
        <f t="shared" si="146"/>
        <v>1</v>
      </c>
      <c r="J2332" s="760">
        <f t="shared" si="147"/>
        <v>1</v>
      </c>
    </row>
    <row r="2333" spans="1:10">
      <c r="A2333" s="74" t="s">
        <v>1774</v>
      </c>
      <c r="B2333" s="74" t="s">
        <v>266</v>
      </c>
      <c r="C2333" s="74" t="s">
        <v>1578</v>
      </c>
      <c r="D2333" s="74" t="s">
        <v>86</v>
      </c>
      <c r="E2333" s="74">
        <v>1</v>
      </c>
      <c r="F2333" s="74">
        <v>2.95</v>
      </c>
      <c r="G2333" s="758">
        <f t="shared" si="144"/>
        <v>0</v>
      </c>
      <c r="H2333" s="759">
        <f t="shared" si="145"/>
        <v>0</v>
      </c>
      <c r="I2333" s="758">
        <f t="shared" si="146"/>
        <v>2.95</v>
      </c>
      <c r="J2333" s="760">
        <f t="shared" si="147"/>
        <v>1</v>
      </c>
    </row>
    <row r="2334" spans="1:10">
      <c r="A2334" s="74" t="s">
        <v>1775</v>
      </c>
      <c r="B2334" s="74" t="s">
        <v>256</v>
      </c>
      <c r="C2334" s="74" t="s">
        <v>1646</v>
      </c>
      <c r="D2334" s="74" t="s">
        <v>86</v>
      </c>
      <c r="E2334" s="74">
        <v>1</v>
      </c>
      <c r="F2334" s="74">
        <v>8.25</v>
      </c>
      <c r="G2334" s="758">
        <f t="shared" si="144"/>
        <v>0</v>
      </c>
      <c r="H2334" s="759">
        <f t="shared" si="145"/>
        <v>0</v>
      </c>
      <c r="I2334" s="758">
        <f t="shared" si="146"/>
        <v>8.25</v>
      </c>
      <c r="J2334" s="760">
        <f t="shared" si="147"/>
        <v>1</v>
      </c>
    </row>
    <row r="2335" spans="1:10">
      <c r="A2335" s="74" t="s">
        <v>1776</v>
      </c>
      <c r="B2335" s="74" t="s">
        <v>256</v>
      </c>
      <c r="C2335" s="74" t="s">
        <v>1520</v>
      </c>
      <c r="D2335" s="74" t="s">
        <v>84</v>
      </c>
      <c r="E2335" s="74">
        <v>2</v>
      </c>
      <c r="F2335" s="74">
        <v>3.2</v>
      </c>
      <c r="G2335" s="758">
        <f t="shared" si="144"/>
        <v>0</v>
      </c>
      <c r="H2335" s="759">
        <f t="shared" si="145"/>
        <v>0</v>
      </c>
      <c r="I2335" s="758">
        <f t="shared" si="146"/>
        <v>1.6</v>
      </c>
      <c r="J2335" s="760">
        <f t="shared" si="147"/>
        <v>1</v>
      </c>
    </row>
    <row r="2336" spans="1:10">
      <c r="A2336" s="74" t="s">
        <v>1077</v>
      </c>
      <c r="B2336" s="74" t="s">
        <v>258</v>
      </c>
      <c r="C2336" s="74" t="s">
        <v>1511</v>
      </c>
      <c r="D2336" s="74" t="s">
        <v>80</v>
      </c>
      <c r="E2336" s="74">
        <v>5</v>
      </c>
      <c r="F2336" s="74">
        <v>9.9</v>
      </c>
      <c r="G2336" s="758">
        <f t="shared" si="144"/>
        <v>0.66</v>
      </c>
      <c r="H2336" s="759">
        <f t="shared" si="145"/>
        <v>0.34</v>
      </c>
      <c r="I2336" s="758">
        <f t="shared" si="146"/>
        <v>1.3199999999999998</v>
      </c>
      <c r="J2336" s="760">
        <f t="shared" si="147"/>
        <v>0.66666666666666663</v>
      </c>
    </row>
    <row r="2337" spans="1:10">
      <c r="A2337" s="74" t="s">
        <v>1077</v>
      </c>
      <c r="B2337" s="74" t="s">
        <v>258</v>
      </c>
      <c r="C2337" s="74" t="s">
        <v>1512</v>
      </c>
      <c r="D2337" s="74" t="s">
        <v>80</v>
      </c>
      <c r="E2337" s="74">
        <v>2</v>
      </c>
      <c r="F2337" s="74">
        <v>0</v>
      </c>
      <c r="G2337" s="758">
        <f t="shared" si="144"/>
        <v>0.66</v>
      </c>
      <c r="H2337" s="759">
        <f t="shared" si="145"/>
        <v>0.34</v>
      </c>
      <c r="I2337" s="758">
        <f t="shared" si="146"/>
        <v>-0.66</v>
      </c>
      <c r="J2337" s="760">
        <f t="shared" si="147"/>
        <v>0</v>
      </c>
    </row>
    <row r="2338" spans="1:10">
      <c r="A2338" s="74" t="s">
        <v>1077</v>
      </c>
      <c r="B2338" s="74" t="s">
        <v>258</v>
      </c>
      <c r="C2338" s="74" t="s">
        <v>1534</v>
      </c>
      <c r="D2338" s="74" t="s">
        <v>81</v>
      </c>
      <c r="E2338" s="74">
        <v>1</v>
      </c>
      <c r="F2338" s="74">
        <v>4.95</v>
      </c>
      <c r="G2338" s="758">
        <f t="shared" si="144"/>
        <v>0.66</v>
      </c>
      <c r="H2338" s="759">
        <f t="shared" si="145"/>
        <v>0.34</v>
      </c>
      <c r="I2338" s="758">
        <f t="shared" si="146"/>
        <v>4.29</v>
      </c>
      <c r="J2338" s="760">
        <f t="shared" si="147"/>
        <v>0.8666666666666667</v>
      </c>
    </row>
    <row r="2339" spans="1:10">
      <c r="A2339" s="74" t="s">
        <v>1077</v>
      </c>
      <c r="B2339" s="74" t="s">
        <v>258</v>
      </c>
      <c r="C2339" s="74" t="s">
        <v>1515</v>
      </c>
      <c r="D2339" s="74" t="s">
        <v>81</v>
      </c>
      <c r="E2339" s="74">
        <v>1</v>
      </c>
      <c r="F2339" s="74">
        <v>7.2</v>
      </c>
      <c r="G2339" s="758">
        <f t="shared" si="144"/>
        <v>0.66</v>
      </c>
      <c r="H2339" s="759">
        <f t="shared" si="145"/>
        <v>0.34</v>
      </c>
      <c r="I2339" s="758">
        <f t="shared" si="146"/>
        <v>6.54</v>
      </c>
      <c r="J2339" s="760">
        <f t="shared" si="147"/>
        <v>0.90833333333333333</v>
      </c>
    </row>
    <row r="2340" spans="1:10">
      <c r="A2340" s="74" t="s">
        <v>1077</v>
      </c>
      <c r="B2340" s="74" t="s">
        <v>258</v>
      </c>
      <c r="C2340" s="74" t="s">
        <v>1516</v>
      </c>
      <c r="D2340" s="74" t="s">
        <v>82</v>
      </c>
      <c r="E2340" s="74">
        <v>1</v>
      </c>
      <c r="F2340" s="74">
        <v>5.95</v>
      </c>
      <c r="G2340" s="758">
        <f t="shared" si="144"/>
        <v>0.66</v>
      </c>
      <c r="H2340" s="759">
        <f t="shared" si="145"/>
        <v>0.34</v>
      </c>
      <c r="I2340" s="758">
        <f t="shared" si="146"/>
        <v>5.29</v>
      </c>
      <c r="J2340" s="760">
        <f t="shared" si="147"/>
        <v>0.88907563025210079</v>
      </c>
    </row>
    <row r="2341" spans="1:10">
      <c r="A2341" s="74" t="s">
        <v>1077</v>
      </c>
      <c r="B2341" s="74" t="s">
        <v>258</v>
      </c>
      <c r="C2341" s="74" t="s">
        <v>1517</v>
      </c>
      <c r="D2341" s="74" t="s">
        <v>82</v>
      </c>
      <c r="E2341" s="74">
        <v>2</v>
      </c>
      <c r="F2341" s="74">
        <v>11.9</v>
      </c>
      <c r="G2341" s="758">
        <f t="shared" si="144"/>
        <v>0.66</v>
      </c>
      <c r="H2341" s="759">
        <f t="shared" si="145"/>
        <v>0.34</v>
      </c>
      <c r="I2341" s="758">
        <f t="shared" si="146"/>
        <v>5.29</v>
      </c>
      <c r="J2341" s="760">
        <f t="shared" si="147"/>
        <v>0.88907563025210079</v>
      </c>
    </row>
    <row r="2342" spans="1:10">
      <c r="A2342" s="74" t="s">
        <v>1077</v>
      </c>
      <c r="B2342" s="74" t="s">
        <v>258</v>
      </c>
      <c r="C2342" s="74" t="s">
        <v>1518</v>
      </c>
      <c r="D2342" s="74" t="s">
        <v>82</v>
      </c>
      <c r="E2342" s="74">
        <v>2</v>
      </c>
      <c r="F2342" s="74">
        <v>2</v>
      </c>
      <c r="G2342" s="758">
        <f t="shared" si="144"/>
        <v>0.66</v>
      </c>
      <c r="H2342" s="759">
        <f t="shared" si="145"/>
        <v>0.34</v>
      </c>
      <c r="I2342" s="758">
        <f t="shared" si="146"/>
        <v>0.33999999999999997</v>
      </c>
      <c r="J2342" s="760">
        <f t="shared" si="147"/>
        <v>0.33999999999999997</v>
      </c>
    </row>
    <row r="2343" spans="1:10">
      <c r="A2343" s="74" t="s">
        <v>1077</v>
      </c>
      <c r="B2343" s="74" t="s">
        <v>258</v>
      </c>
      <c r="C2343" s="74" t="s">
        <v>1577</v>
      </c>
      <c r="D2343" s="74" t="s">
        <v>84</v>
      </c>
      <c r="E2343" s="74">
        <v>1</v>
      </c>
      <c r="F2343" s="74">
        <v>3</v>
      </c>
      <c r="G2343" s="758">
        <f t="shared" si="144"/>
        <v>0.66</v>
      </c>
      <c r="H2343" s="759">
        <f t="shared" si="145"/>
        <v>0.34</v>
      </c>
      <c r="I2343" s="758">
        <f t="shared" si="146"/>
        <v>2.34</v>
      </c>
      <c r="J2343" s="760">
        <f t="shared" si="147"/>
        <v>0.78</v>
      </c>
    </row>
    <row r="2344" spans="1:10">
      <c r="A2344" s="74" t="s">
        <v>1077</v>
      </c>
      <c r="B2344" s="74" t="s">
        <v>258</v>
      </c>
      <c r="C2344" s="74" t="s">
        <v>1646</v>
      </c>
      <c r="D2344" s="74" t="s">
        <v>86</v>
      </c>
      <c r="E2344" s="74">
        <v>1</v>
      </c>
      <c r="F2344" s="74">
        <v>6.5</v>
      </c>
      <c r="G2344" s="758">
        <f t="shared" si="144"/>
        <v>0.66</v>
      </c>
      <c r="H2344" s="759">
        <f t="shared" si="145"/>
        <v>0.34</v>
      </c>
      <c r="I2344" s="758">
        <f t="shared" si="146"/>
        <v>5.84</v>
      </c>
      <c r="J2344" s="760">
        <f t="shared" si="147"/>
        <v>0.89846153846153842</v>
      </c>
    </row>
    <row r="2345" spans="1:10">
      <c r="A2345" s="74" t="s">
        <v>1077</v>
      </c>
      <c r="B2345" s="74" t="s">
        <v>258</v>
      </c>
      <c r="C2345" s="74" t="s">
        <v>1543</v>
      </c>
      <c r="D2345" s="74" t="s">
        <v>87</v>
      </c>
      <c r="E2345" s="74">
        <v>1</v>
      </c>
      <c r="F2345" s="74">
        <v>3</v>
      </c>
      <c r="G2345" s="758">
        <f t="shared" si="144"/>
        <v>0.66</v>
      </c>
      <c r="H2345" s="759">
        <f t="shared" si="145"/>
        <v>0.34</v>
      </c>
      <c r="I2345" s="758">
        <f t="shared" si="146"/>
        <v>2.34</v>
      </c>
      <c r="J2345" s="760">
        <f t="shared" si="147"/>
        <v>0.78</v>
      </c>
    </row>
    <row r="2346" spans="1:10">
      <c r="A2346" s="74" t="s">
        <v>1077</v>
      </c>
      <c r="B2346" s="74" t="s">
        <v>258</v>
      </c>
      <c r="C2346" s="74" t="s">
        <v>1544</v>
      </c>
      <c r="D2346" s="74" t="s">
        <v>87</v>
      </c>
      <c r="E2346" s="74">
        <v>3</v>
      </c>
      <c r="F2346" s="74">
        <v>9</v>
      </c>
      <c r="G2346" s="758">
        <f t="shared" si="144"/>
        <v>0.66</v>
      </c>
      <c r="H2346" s="759">
        <f t="shared" si="145"/>
        <v>0.34</v>
      </c>
      <c r="I2346" s="758">
        <f t="shared" si="146"/>
        <v>2.34</v>
      </c>
      <c r="J2346" s="760">
        <f t="shared" si="147"/>
        <v>0.78</v>
      </c>
    </row>
    <row r="2347" spans="1:10">
      <c r="A2347" s="74" t="s">
        <v>1077</v>
      </c>
      <c r="B2347" s="74" t="s">
        <v>258</v>
      </c>
      <c r="C2347" s="74" t="s">
        <v>1605</v>
      </c>
      <c r="D2347" s="74" t="s">
        <v>87</v>
      </c>
      <c r="E2347" s="74">
        <v>2</v>
      </c>
      <c r="F2347" s="74">
        <v>6</v>
      </c>
      <c r="G2347" s="758">
        <f t="shared" si="144"/>
        <v>0.66</v>
      </c>
      <c r="H2347" s="759">
        <f t="shared" si="145"/>
        <v>0.34</v>
      </c>
      <c r="I2347" s="758">
        <f t="shared" si="146"/>
        <v>2.34</v>
      </c>
      <c r="J2347" s="760">
        <f t="shared" si="147"/>
        <v>0.78</v>
      </c>
    </row>
    <row r="2348" spans="1:10">
      <c r="A2348" s="74" t="s">
        <v>1077</v>
      </c>
      <c r="B2348" s="74" t="s">
        <v>258</v>
      </c>
      <c r="C2348" s="74" t="s">
        <v>1610</v>
      </c>
      <c r="D2348" s="74" t="s">
        <v>89</v>
      </c>
      <c r="E2348" s="74">
        <v>2</v>
      </c>
      <c r="F2348" s="74">
        <v>13</v>
      </c>
      <c r="G2348" s="758">
        <f t="shared" si="144"/>
        <v>0.66</v>
      </c>
      <c r="H2348" s="759">
        <f t="shared" si="145"/>
        <v>0.34</v>
      </c>
      <c r="I2348" s="758">
        <f t="shared" si="146"/>
        <v>5.84</v>
      </c>
      <c r="J2348" s="760">
        <f t="shared" si="147"/>
        <v>0.89846153846153842</v>
      </c>
    </row>
    <row r="2349" spans="1:10">
      <c r="A2349" s="74" t="s">
        <v>1077</v>
      </c>
      <c r="B2349" s="74" t="s">
        <v>258</v>
      </c>
      <c r="C2349" s="74" t="s">
        <v>1547</v>
      </c>
      <c r="D2349" s="74" t="s">
        <v>89</v>
      </c>
      <c r="E2349" s="74">
        <v>1</v>
      </c>
      <c r="F2349" s="74">
        <v>3</v>
      </c>
      <c r="G2349" s="758">
        <f t="shared" si="144"/>
        <v>0.66</v>
      </c>
      <c r="H2349" s="759">
        <f t="shared" si="145"/>
        <v>0.34</v>
      </c>
      <c r="I2349" s="758">
        <f t="shared" si="146"/>
        <v>2.34</v>
      </c>
      <c r="J2349" s="760">
        <f t="shared" si="147"/>
        <v>0.78</v>
      </c>
    </row>
    <row r="2350" spans="1:10">
      <c r="A2350" s="74" t="s">
        <v>1077</v>
      </c>
      <c r="B2350" s="74" t="s">
        <v>258</v>
      </c>
      <c r="C2350" s="74" t="s">
        <v>1617</v>
      </c>
      <c r="D2350" s="74" t="s">
        <v>94</v>
      </c>
      <c r="E2350" s="74">
        <v>1</v>
      </c>
      <c r="F2350" s="74">
        <v>3</v>
      </c>
      <c r="G2350" s="758">
        <f t="shared" si="144"/>
        <v>0.66</v>
      </c>
      <c r="H2350" s="759">
        <f t="shared" si="145"/>
        <v>0.34</v>
      </c>
      <c r="I2350" s="758">
        <f t="shared" si="146"/>
        <v>2.34</v>
      </c>
      <c r="J2350" s="760">
        <f t="shared" si="147"/>
        <v>0.78</v>
      </c>
    </row>
    <row r="2351" spans="1:10">
      <c r="A2351" s="74" t="s">
        <v>1077</v>
      </c>
      <c r="B2351" s="74" t="s">
        <v>258</v>
      </c>
      <c r="C2351" s="74" t="s">
        <v>1553</v>
      </c>
      <c r="D2351" s="74" t="s">
        <v>94</v>
      </c>
      <c r="E2351" s="74">
        <v>1</v>
      </c>
      <c r="F2351" s="74">
        <v>3</v>
      </c>
      <c r="G2351" s="758">
        <f t="shared" si="144"/>
        <v>0.66</v>
      </c>
      <c r="H2351" s="759">
        <f t="shared" si="145"/>
        <v>0.34</v>
      </c>
      <c r="I2351" s="758">
        <f t="shared" si="146"/>
        <v>2.34</v>
      </c>
      <c r="J2351" s="760">
        <f t="shared" si="147"/>
        <v>0.78</v>
      </c>
    </row>
    <row r="2352" spans="1:10">
      <c r="A2352" s="74" t="s">
        <v>1077</v>
      </c>
      <c r="B2352" s="74" t="s">
        <v>258</v>
      </c>
      <c r="C2352" s="74" t="s">
        <v>1526</v>
      </c>
      <c r="D2352" s="74" t="s">
        <v>95</v>
      </c>
      <c r="E2352" s="74">
        <v>1</v>
      </c>
      <c r="F2352" s="74">
        <v>3</v>
      </c>
      <c r="G2352" s="758">
        <f t="shared" si="144"/>
        <v>0.66</v>
      </c>
      <c r="H2352" s="759">
        <f t="shared" si="145"/>
        <v>0.34</v>
      </c>
      <c r="I2352" s="758">
        <f t="shared" si="146"/>
        <v>2.34</v>
      </c>
      <c r="J2352" s="760">
        <f t="shared" si="147"/>
        <v>0.78</v>
      </c>
    </row>
    <row r="2353" spans="1:10">
      <c r="A2353" s="74" t="s">
        <v>1077</v>
      </c>
      <c r="B2353" s="74" t="s">
        <v>258</v>
      </c>
      <c r="C2353" s="74" t="s">
        <v>1930</v>
      </c>
      <c r="D2353" s="74" t="s">
        <v>95</v>
      </c>
      <c r="E2353" s="74">
        <v>1</v>
      </c>
      <c r="F2353" s="74">
        <v>3</v>
      </c>
      <c r="G2353" s="758">
        <f t="shared" si="144"/>
        <v>0.66</v>
      </c>
      <c r="H2353" s="759">
        <f t="shared" si="145"/>
        <v>0.34</v>
      </c>
      <c r="I2353" s="758">
        <f t="shared" si="146"/>
        <v>2.34</v>
      </c>
      <c r="J2353" s="760">
        <f t="shared" si="147"/>
        <v>0.78</v>
      </c>
    </row>
    <row r="2354" spans="1:10">
      <c r="A2354" s="74" t="s">
        <v>1777</v>
      </c>
      <c r="B2354" s="74" t="s">
        <v>1079</v>
      </c>
      <c r="C2354" s="74" t="s">
        <v>1584</v>
      </c>
      <c r="D2354" s="74" t="s">
        <v>92</v>
      </c>
      <c r="E2354" s="74">
        <v>1</v>
      </c>
      <c r="F2354" s="74">
        <v>34.21</v>
      </c>
      <c r="G2354" s="758">
        <f t="shared" si="144"/>
        <v>0</v>
      </c>
      <c r="H2354" s="759">
        <f t="shared" si="145"/>
        <v>0</v>
      </c>
      <c r="I2354" s="758">
        <f t="shared" si="146"/>
        <v>34.21</v>
      </c>
      <c r="J2354" s="760">
        <f t="shared" si="147"/>
        <v>1</v>
      </c>
    </row>
    <row r="2355" spans="1:10">
      <c r="A2355" s="74" t="s">
        <v>690</v>
      </c>
      <c r="B2355" s="74" t="s">
        <v>275</v>
      </c>
      <c r="C2355" s="74" t="s">
        <v>1528</v>
      </c>
      <c r="D2355" s="74" t="s">
        <v>78</v>
      </c>
      <c r="E2355" s="74">
        <v>5</v>
      </c>
      <c r="F2355" s="74">
        <v>29.55</v>
      </c>
      <c r="G2355" s="758">
        <f t="shared" si="144"/>
        <v>0</v>
      </c>
      <c r="H2355" s="759">
        <f t="shared" si="145"/>
        <v>0</v>
      </c>
      <c r="I2355" s="758">
        <f t="shared" si="146"/>
        <v>5.91</v>
      </c>
      <c r="J2355" s="760">
        <f t="shared" si="147"/>
        <v>1</v>
      </c>
    </row>
    <row r="2356" spans="1:10">
      <c r="A2356" s="74" t="s">
        <v>690</v>
      </c>
      <c r="B2356" s="74" t="s">
        <v>275</v>
      </c>
      <c r="C2356" s="74" t="s">
        <v>1508</v>
      </c>
      <c r="D2356" s="74" t="s">
        <v>78</v>
      </c>
      <c r="E2356" s="74">
        <v>2</v>
      </c>
      <c r="F2356" s="74">
        <v>11.82</v>
      </c>
      <c r="G2356" s="758">
        <f t="shared" si="144"/>
        <v>0</v>
      </c>
      <c r="H2356" s="759">
        <f t="shared" si="145"/>
        <v>0</v>
      </c>
      <c r="I2356" s="758">
        <f t="shared" si="146"/>
        <v>5.91</v>
      </c>
      <c r="J2356" s="760">
        <f t="shared" si="147"/>
        <v>1</v>
      </c>
    </row>
    <row r="2357" spans="1:10">
      <c r="A2357" s="74" t="s">
        <v>690</v>
      </c>
      <c r="B2357" s="74" t="s">
        <v>275</v>
      </c>
      <c r="C2357" s="74" t="s">
        <v>1509</v>
      </c>
      <c r="D2357" s="74" t="s">
        <v>78</v>
      </c>
      <c r="E2357" s="74">
        <v>2</v>
      </c>
      <c r="F2357" s="74">
        <v>11.82</v>
      </c>
      <c r="G2357" s="758">
        <f t="shared" si="144"/>
        <v>0</v>
      </c>
      <c r="H2357" s="759">
        <f t="shared" si="145"/>
        <v>0</v>
      </c>
      <c r="I2357" s="758">
        <f t="shared" si="146"/>
        <v>5.91</v>
      </c>
      <c r="J2357" s="760">
        <f t="shared" si="147"/>
        <v>1</v>
      </c>
    </row>
    <row r="2358" spans="1:10">
      <c r="A2358" s="74" t="s">
        <v>690</v>
      </c>
      <c r="B2358" s="74" t="s">
        <v>275</v>
      </c>
      <c r="C2358" s="74" t="s">
        <v>1565</v>
      </c>
      <c r="D2358" s="74" t="s">
        <v>78</v>
      </c>
      <c r="E2358" s="74">
        <v>1</v>
      </c>
      <c r="F2358" s="74">
        <v>5.91</v>
      </c>
      <c r="G2358" s="758">
        <f t="shared" si="144"/>
        <v>0</v>
      </c>
      <c r="H2358" s="759">
        <f t="shared" si="145"/>
        <v>0</v>
      </c>
      <c r="I2358" s="758">
        <f t="shared" si="146"/>
        <v>5.91</v>
      </c>
      <c r="J2358" s="760">
        <f t="shared" si="147"/>
        <v>1</v>
      </c>
    </row>
    <row r="2359" spans="1:10">
      <c r="A2359" s="74" t="s">
        <v>690</v>
      </c>
      <c r="B2359" s="74" t="s">
        <v>275</v>
      </c>
      <c r="C2359" s="74" t="s">
        <v>1511</v>
      </c>
      <c r="D2359" s="74" t="s">
        <v>80</v>
      </c>
      <c r="E2359" s="74">
        <v>1</v>
      </c>
      <c r="F2359" s="74">
        <v>5.91</v>
      </c>
      <c r="G2359" s="758">
        <f t="shared" si="144"/>
        <v>0</v>
      </c>
      <c r="H2359" s="759">
        <f t="shared" si="145"/>
        <v>0</v>
      </c>
      <c r="I2359" s="758">
        <f t="shared" si="146"/>
        <v>5.91</v>
      </c>
      <c r="J2359" s="760">
        <f t="shared" si="147"/>
        <v>1</v>
      </c>
    </row>
    <row r="2360" spans="1:10">
      <c r="A2360" s="74" t="s">
        <v>690</v>
      </c>
      <c r="B2360" s="74" t="s">
        <v>275</v>
      </c>
      <c r="C2360" s="74" t="s">
        <v>1512</v>
      </c>
      <c r="D2360" s="74" t="s">
        <v>80</v>
      </c>
      <c r="E2360" s="74">
        <v>2</v>
      </c>
      <c r="F2360" s="74">
        <v>8.86</v>
      </c>
      <c r="G2360" s="758">
        <f t="shared" si="144"/>
        <v>0</v>
      </c>
      <c r="H2360" s="759">
        <f t="shared" si="145"/>
        <v>0</v>
      </c>
      <c r="I2360" s="758">
        <f t="shared" si="146"/>
        <v>4.43</v>
      </c>
      <c r="J2360" s="760">
        <f t="shared" si="147"/>
        <v>1</v>
      </c>
    </row>
    <row r="2361" spans="1:10">
      <c r="A2361" s="74" t="s">
        <v>690</v>
      </c>
      <c r="B2361" s="74" t="s">
        <v>275</v>
      </c>
      <c r="C2361" s="74" t="s">
        <v>1513</v>
      </c>
      <c r="D2361" s="74" t="s">
        <v>81</v>
      </c>
      <c r="E2361" s="74">
        <v>6</v>
      </c>
      <c r="F2361" s="74">
        <v>35.909999999999997</v>
      </c>
      <c r="G2361" s="758">
        <f t="shared" si="144"/>
        <v>0</v>
      </c>
      <c r="H2361" s="759">
        <f t="shared" si="145"/>
        <v>0</v>
      </c>
      <c r="I2361" s="758">
        <f t="shared" si="146"/>
        <v>5.9849999999999994</v>
      </c>
      <c r="J2361" s="760">
        <f t="shared" si="147"/>
        <v>1</v>
      </c>
    </row>
    <row r="2362" spans="1:10">
      <c r="A2362" s="74" t="s">
        <v>690</v>
      </c>
      <c r="B2362" s="74" t="s">
        <v>275</v>
      </c>
      <c r="C2362" s="74" t="s">
        <v>1514</v>
      </c>
      <c r="D2362" s="74" t="s">
        <v>81</v>
      </c>
      <c r="E2362" s="74">
        <v>3</v>
      </c>
      <c r="F2362" s="74">
        <v>16.82</v>
      </c>
      <c r="G2362" s="758">
        <f t="shared" si="144"/>
        <v>0</v>
      </c>
      <c r="H2362" s="759">
        <f t="shared" si="145"/>
        <v>0</v>
      </c>
      <c r="I2362" s="758">
        <f t="shared" si="146"/>
        <v>5.6066666666666665</v>
      </c>
      <c r="J2362" s="760">
        <f t="shared" si="147"/>
        <v>1</v>
      </c>
    </row>
    <row r="2363" spans="1:10">
      <c r="A2363" s="74" t="s">
        <v>690</v>
      </c>
      <c r="B2363" s="74" t="s">
        <v>275</v>
      </c>
      <c r="C2363" s="74" t="s">
        <v>1515</v>
      </c>
      <c r="D2363" s="74" t="s">
        <v>81</v>
      </c>
      <c r="E2363" s="74">
        <v>4</v>
      </c>
      <c r="F2363" s="74">
        <v>12.5</v>
      </c>
      <c r="G2363" s="758">
        <f t="shared" si="144"/>
        <v>0</v>
      </c>
      <c r="H2363" s="759">
        <f t="shared" si="145"/>
        <v>0</v>
      </c>
      <c r="I2363" s="758">
        <f t="shared" si="146"/>
        <v>3.125</v>
      </c>
      <c r="J2363" s="760">
        <f t="shared" si="147"/>
        <v>1</v>
      </c>
    </row>
    <row r="2364" spans="1:10">
      <c r="A2364" s="74" t="s">
        <v>1778</v>
      </c>
      <c r="B2364" s="74" t="s">
        <v>258</v>
      </c>
      <c r="C2364" s="74" t="s">
        <v>1610</v>
      </c>
      <c r="D2364" s="74" t="s">
        <v>89</v>
      </c>
      <c r="E2364" s="74">
        <v>1</v>
      </c>
      <c r="F2364" s="74">
        <v>3</v>
      </c>
      <c r="G2364" s="758">
        <f t="shared" si="144"/>
        <v>0</v>
      </c>
      <c r="H2364" s="759">
        <f t="shared" si="145"/>
        <v>0</v>
      </c>
      <c r="I2364" s="758">
        <f t="shared" si="146"/>
        <v>3</v>
      </c>
      <c r="J2364" s="760">
        <f t="shared" si="147"/>
        <v>1</v>
      </c>
    </row>
    <row r="2365" spans="1:10">
      <c r="A2365" s="74" t="s">
        <v>1778</v>
      </c>
      <c r="B2365" s="74" t="s">
        <v>258</v>
      </c>
      <c r="C2365" s="74" t="s">
        <v>1552</v>
      </c>
      <c r="D2365" s="74" t="s">
        <v>92</v>
      </c>
      <c r="E2365" s="74">
        <v>1</v>
      </c>
      <c r="F2365" s="74">
        <v>3</v>
      </c>
      <c r="G2365" s="758">
        <f t="shared" si="144"/>
        <v>0</v>
      </c>
      <c r="H2365" s="759">
        <f t="shared" si="145"/>
        <v>0</v>
      </c>
      <c r="I2365" s="758">
        <f t="shared" si="146"/>
        <v>3</v>
      </c>
      <c r="J2365" s="760">
        <f t="shared" si="147"/>
        <v>1</v>
      </c>
    </row>
    <row r="2366" spans="1:10">
      <c r="A2366" s="74" t="s">
        <v>974</v>
      </c>
      <c r="B2366" s="74" t="s">
        <v>873</v>
      </c>
      <c r="C2366" s="74" t="s">
        <v>1524</v>
      </c>
      <c r="D2366" s="74" t="s">
        <v>91</v>
      </c>
      <c r="E2366" s="74">
        <v>13</v>
      </c>
      <c r="F2366" s="74">
        <v>0</v>
      </c>
      <c r="G2366" s="758">
        <f t="shared" si="144"/>
        <v>0</v>
      </c>
      <c r="H2366" s="759">
        <f t="shared" si="145"/>
        <v>0</v>
      </c>
      <c r="I2366" s="758">
        <f t="shared" si="146"/>
        <v>0</v>
      </c>
      <c r="J2366" s="760">
        <f t="shared" si="147"/>
        <v>0</v>
      </c>
    </row>
    <row r="2367" spans="1:10">
      <c r="A2367" s="74" t="s">
        <v>1779</v>
      </c>
      <c r="B2367" s="74" t="s">
        <v>873</v>
      </c>
      <c r="C2367" s="74" t="s">
        <v>1930</v>
      </c>
      <c r="D2367" s="74" t="s">
        <v>95</v>
      </c>
      <c r="E2367" s="74">
        <v>6</v>
      </c>
      <c r="F2367" s="74">
        <v>0</v>
      </c>
      <c r="G2367" s="758">
        <f t="shared" si="144"/>
        <v>0</v>
      </c>
      <c r="H2367" s="759">
        <f t="shared" si="145"/>
        <v>0</v>
      </c>
      <c r="I2367" s="758">
        <f t="shared" si="146"/>
        <v>0</v>
      </c>
      <c r="J2367" s="760">
        <f t="shared" si="147"/>
        <v>0</v>
      </c>
    </row>
    <row r="2368" spans="1:10">
      <c r="A2368" s="74" t="s">
        <v>811</v>
      </c>
      <c r="B2368" s="74" t="s">
        <v>275</v>
      </c>
      <c r="C2368" s="74" t="s">
        <v>1528</v>
      </c>
      <c r="D2368" s="74" t="s">
        <v>78</v>
      </c>
      <c r="E2368" s="74">
        <v>1</v>
      </c>
      <c r="F2368" s="74">
        <v>0</v>
      </c>
      <c r="G2368" s="758">
        <f t="shared" si="144"/>
        <v>0.42</v>
      </c>
      <c r="H2368" s="759">
        <f t="shared" si="145"/>
        <v>0.19</v>
      </c>
      <c r="I2368" s="758">
        <f t="shared" si="146"/>
        <v>-0.42</v>
      </c>
      <c r="J2368" s="760">
        <f t="shared" si="147"/>
        <v>0</v>
      </c>
    </row>
    <row r="2369" spans="1:10">
      <c r="A2369" s="74" t="s">
        <v>811</v>
      </c>
      <c r="B2369" s="74" t="s">
        <v>275</v>
      </c>
      <c r="C2369" s="74" t="s">
        <v>1508</v>
      </c>
      <c r="D2369" s="74" t="s">
        <v>78</v>
      </c>
      <c r="E2369" s="74">
        <v>2</v>
      </c>
      <c r="F2369" s="74">
        <v>0</v>
      </c>
      <c r="G2369" s="758">
        <f t="shared" si="144"/>
        <v>0.42</v>
      </c>
      <c r="H2369" s="759">
        <f t="shared" si="145"/>
        <v>0.19</v>
      </c>
      <c r="I2369" s="758">
        <f t="shared" si="146"/>
        <v>-0.42</v>
      </c>
      <c r="J2369" s="760">
        <f t="shared" si="147"/>
        <v>0</v>
      </c>
    </row>
    <row r="2370" spans="1:10">
      <c r="A2370" s="74" t="s">
        <v>811</v>
      </c>
      <c r="B2370" s="74" t="s">
        <v>275</v>
      </c>
      <c r="C2370" s="74" t="s">
        <v>1509</v>
      </c>
      <c r="D2370" s="74" t="s">
        <v>78</v>
      </c>
      <c r="E2370" s="74">
        <v>3</v>
      </c>
      <c r="F2370" s="74">
        <v>0</v>
      </c>
      <c r="G2370" s="758">
        <f t="shared" ref="G2370:G2433" si="148">IFERROR(VLOOKUP(A2370,$M$1:$P$1014,2,FALSE),0)</f>
        <v>0.42</v>
      </c>
      <c r="H2370" s="759">
        <f t="shared" ref="H2370:H2433" si="149">IFERROR(VLOOKUP(A2370,$M$1:$P$1014,3,FALSE),0)</f>
        <v>0.19</v>
      </c>
      <c r="I2370" s="758">
        <f t="shared" ref="I2370:I2433" si="150">IFERROR(F2370/E2370-G2370,0)</f>
        <v>-0.42</v>
      </c>
      <c r="J2370" s="760">
        <f t="shared" ref="J2370:J2433" si="151">IFERROR(1-G2370*E2370/F2370,0)</f>
        <v>0</v>
      </c>
    </row>
    <row r="2371" spans="1:10">
      <c r="A2371" s="74" t="s">
        <v>811</v>
      </c>
      <c r="B2371" s="74" t="s">
        <v>275</v>
      </c>
      <c r="C2371" s="74" t="s">
        <v>1512</v>
      </c>
      <c r="D2371" s="74" t="s">
        <v>80</v>
      </c>
      <c r="E2371" s="74">
        <v>1</v>
      </c>
      <c r="F2371" s="74">
        <v>4.09</v>
      </c>
      <c r="G2371" s="758">
        <f t="shared" si="148"/>
        <v>0.42</v>
      </c>
      <c r="H2371" s="759">
        <f t="shared" si="149"/>
        <v>0.19</v>
      </c>
      <c r="I2371" s="758">
        <f t="shared" si="150"/>
        <v>3.67</v>
      </c>
      <c r="J2371" s="760">
        <f t="shared" si="151"/>
        <v>0.89731051344743273</v>
      </c>
    </row>
    <row r="2372" spans="1:10">
      <c r="A2372" s="74" t="s">
        <v>811</v>
      </c>
      <c r="B2372" s="74" t="s">
        <v>275</v>
      </c>
      <c r="C2372" s="74" t="s">
        <v>1513</v>
      </c>
      <c r="D2372" s="74" t="s">
        <v>81</v>
      </c>
      <c r="E2372" s="74">
        <v>2</v>
      </c>
      <c r="F2372" s="74">
        <v>8.64</v>
      </c>
      <c r="G2372" s="758">
        <f t="shared" si="148"/>
        <v>0.42</v>
      </c>
      <c r="H2372" s="759">
        <f t="shared" si="149"/>
        <v>0.19</v>
      </c>
      <c r="I2372" s="758">
        <f t="shared" si="150"/>
        <v>3.9000000000000004</v>
      </c>
      <c r="J2372" s="760">
        <f t="shared" si="151"/>
        <v>0.90277777777777779</v>
      </c>
    </row>
    <row r="2373" spans="1:10">
      <c r="A2373" s="74" t="s">
        <v>811</v>
      </c>
      <c r="B2373" s="74" t="s">
        <v>275</v>
      </c>
      <c r="C2373" s="74" t="s">
        <v>1515</v>
      </c>
      <c r="D2373" s="74" t="s">
        <v>81</v>
      </c>
      <c r="E2373" s="74">
        <v>4</v>
      </c>
      <c r="F2373" s="74">
        <v>17.68</v>
      </c>
      <c r="G2373" s="758">
        <f t="shared" si="148"/>
        <v>0.42</v>
      </c>
      <c r="H2373" s="759">
        <f t="shared" si="149"/>
        <v>0.19</v>
      </c>
      <c r="I2373" s="758">
        <f t="shared" si="150"/>
        <v>4</v>
      </c>
      <c r="J2373" s="760">
        <f t="shared" si="151"/>
        <v>0.90497737556561086</v>
      </c>
    </row>
    <row r="2374" spans="1:10">
      <c r="A2374" s="74" t="s">
        <v>811</v>
      </c>
      <c r="B2374" s="74" t="s">
        <v>275</v>
      </c>
      <c r="C2374" s="74" t="s">
        <v>1516</v>
      </c>
      <c r="D2374" s="74" t="s">
        <v>82</v>
      </c>
      <c r="E2374" s="74">
        <v>2</v>
      </c>
      <c r="F2374" s="74">
        <v>9.5</v>
      </c>
      <c r="G2374" s="758">
        <f t="shared" si="148"/>
        <v>0.42</v>
      </c>
      <c r="H2374" s="759">
        <f t="shared" si="149"/>
        <v>0.19</v>
      </c>
      <c r="I2374" s="758">
        <f t="shared" si="150"/>
        <v>4.33</v>
      </c>
      <c r="J2374" s="760">
        <f t="shared" si="151"/>
        <v>0.91157894736842104</v>
      </c>
    </row>
    <row r="2375" spans="1:10">
      <c r="A2375" s="74" t="s">
        <v>811</v>
      </c>
      <c r="B2375" s="74" t="s">
        <v>275</v>
      </c>
      <c r="C2375" s="74" t="s">
        <v>1518</v>
      </c>
      <c r="D2375" s="74" t="s">
        <v>82</v>
      </c>
      <c r="E2375" s="74">
        <v>1</v>
      </c>
      <c r="F2375" s="74">
        <v>4.75</v>
      </c>
      <c r="G2375" s="758">
        <f t="shared" si="148"/>
        <v>0.42</v>
      </c>
      <c r="H2375" s="759">
        <f t="shared" si="149"/>
        <v>0.19</v>
      </c>
      <c r="I2375" s="758">
        <f t="shared" si="150"/>
        <v>4.33</v>
      </c>
      <c r="J2375" s="760">
        <f t="shared" si="151"/>
        <v>0.91157894736842104</v>
      </c>
    </row>
    <row r="2376" spans="1:10">
      <c r="A2376" s="74" t="s">
        <v>951</v>
      </c>
      <c r="B2376" s="74" t="s">
        <v>275</v>
      </c>
      <c r="C2376" s="74" t="s">
        <v>1528</v>
      </c>
      <c r="D2376" s="74" t="s">
        <v>78</v>
      </c>
      <c r="E2376" s="74">
        <v>5</v>
      </c>
      <c r="F2376" s="74">
        <v>23.75</v>
      </c>
      <c r="G2376" s="758">
        <f t="shared" si="148"/>
        <v>0.87</v>
      </c>
      <c r="H2376" s="759">
        <f t="shared" si="149"/>
        <v>0.21</v>
      </c>
      <c r="I2376" s="758">
        <f t="shared" si="150"/>
        <v>3.88</v>
      </c>
      <c r="J2376" s="760">
        <f t="shared" si="151"/>
        <v>0.81684210526315792</v>
      </c>
    </row>
    <row r="2377" spans="1:10">
      <c r="A2377" s="74" t="s">
        <v>951</v>
      </c>
      <c r="B2377" s="74" t="s">
        <v>275</v>
      </c>
      <c r="C2377" s="74" t="s">
        <v>1508</v>
      </c>
      <c r="D2377" s="74" t="s">
        <v>78</v>
      </c>
      <c r="E2377" s="74">
        <v>5</v>
      </c>
      <c r="F2377" s="74">
        <v>23.75</v>
      </c>
      <c r="G2377" s="758">
        <f t="shared" si="148"/>
        <v>0.87</v>
      </c>
      <c r="H2377" s="759">
        <f t="shared" si="149"/>
        <v>0.21</v>
      </c>
      <c r="I2377" s="758">
        <f t="shared" si="150"/>
        <v>3.88</v>
      </c>
      <c r="J2377" s="760">
        <f t="shared" si="151"/>
        <v>0.81684210526315792</v>
      </c>
    </row>
    <row r="2378" spans="1:10">
      <c r="A2378" s="74" t="s">
        <v>951</v>
      </c>
      <c r="B2378" s="74" t="s">
        <v>275</v>
      </c>
      <c r="C2378" s="74" t="s">
        <v>1509</v>
      </c>
      <c r="D2378" s="74" t="s">
        <v>78</v>
      </c>
      <c r="E2378" s="74">
        <v>6</v>
      </c>
      <c r="F2378" s="74">
        <v>28.5</v>
      </c>
      <c r="G2378" s="758">
        <f t="shared" si="148"/>
        <v>0.87</v>
      </c>
      <c r="H2378" s="759">
        <f t="shared" si="149"/>
        <v>0.21</v>
      </c>
      <c r="I2378" s="758">
        <f t="shared" si="150"/>
        <v>3.88</v>
      </c>
      <c r="J2378" s="760">
        <f t="shared" si="151"/>
        <v>0.81684210526315792</v>
      </c>
    </row>
    <row r="2379" spans="1:10">
      <c r="A2379" s="74" t="s">
        <v>951</v>
      </c>
      <c r="B2379" s="74" t="s">
        <v>275</v>
      </c>
      <c r="C2379" s="74" t="s">
        <v>1565</v>
      </c>
      <c r="D2379" s="74" t="s">
        <v>78</v>
      </c>
      <c r="E2379" s="74">
        <v>4</v>
      </c>
      <c r="F2379" s="74">
        <v>19</v>
      </c>
      <c r="G2379" s="758">
        <f t="shared" si="148"/>
        <v>0.87</v>
      </c>
      <c r="H2379" s="759">
        <f t="shared" si="149"/>
        <v>0.21</v>
      </c>
      <c r="I2379" s="758">
        <f t="shared" si="150"/>
        <v>3.88</v>
      </c>
      <c r="J2379" s="760">
        <f t="shared" si="151"/>
        <v>0.81684210526315792</v>
      </c>
    </row>
    <row r="2380" spans="1:10">
      <c r="A2380" s="74" t="s">
        <v>951</v>
      </c>
      <c r="B2380" s="74" t="s">
        <v>275</v>
      </c>
      <c r="C2380" s="74" t="s">
        <v>1513</v>
      </c>
      <c r="D2380" s="74" t="s">
        <v>81</v>
      </c>
      <c r="E2380" s="74">
        <v>1</v>
      </c>
      <c r="F2380" s="74">
        <v>5</v>
      </c>
      <c r="G2380" s="758">
        <f t="shared" si="148"/>
        <v>0.87</v>
      </c>
      <c r="H2380" s="759">
        <f t="shared" si="149"/>
        <v>0.21</v>
      </c>
      <c r="I2380" s="758">
        <f t="shared" si="150"/>
        <v>4.13</v>
      </c>
      <c r="J2380" s="760">
        <f t="shared" si="151"/>
        <v>0.82600000000000007</v>
      </c>
    </row>
    <row r="2381" spans="1:10">
      <c r="A2381" s="74" t="s">
        <v>951</v>
      </c>
      <c r="B2381" s="74" t="s">
        <v>275</v>
      </c>
      <c r="C2381" s="74" t="s">
        <v>1527</v>
      </c>
      <c r="D2381" s="74" t="s">
        <v>82</v>
      </c>
      <c r="E2381" s="74">
        <v>1</v>
      </c>
      <c r="F2381" s="74">
        <v>4.75</v>
      </c>
      <c r="G2381" s="758">
        <f t="shared" si="148"/>
        <v>0.87</v>
      </c>
      <c r="H2381" s="759">
        <f t="shared" si="149"/>
        <v>0.21</v>
      </c>
      <c r="I2381" s="758">
        <f t="shared" si="150"/>
        <v>3.88</v>
      </c>
      <c r="J2381" s="760">
        <f t="shared" si="151"/>
        <v>0.81684210526315792</v>
      </c>
    </row>
    <row r="2382" spans="1:10">
      <c r="A2382" s="74" t="s">
        <v>951</v>
      </c>
      <c r="B2382" s="74" t="s">
        <v>275</v>
      </c>
      <c r="C2382" s="74" t="s">
        <v>1518</v>
      </c>
      <c r="D2382" s="74" t="s">
        <v>82</v>
      </c>
      <c r="E2382" s="74">
        <v>3</v>
      </c>
      <c r="F2382" s="74">
        <v>14.25</v>
      </c>
      <c r="G2382" s="758">
        <f t="shared" si="148"/>
        <v>0.87</v>
      </c>
      <c r="H2382" s="759">
        <f t="shared" si="149"/>
        <v>0.21</v>
      </c>
      <c r="I2382" s="758">
        <f t="shared" si="150"/>
        <v>3.88</v>
      </c>
      <c r="J2382" s="760">
        <f t="shared" si="151"/>
        <v>0.81684210526315792</v>
      </c>
    </row>
    <row r="2383" spans="1:10">
      <c r="A2383" s="74" t="s">
        <v>951</v>
      </c>
      <c r="B2383" s="74" t="s">
        <v>275</v>
      </c>
      <c r="C2383" s="74" t="s">
        <v>1519</v>
      </c>
      <c r="D2383" s="74" t="s">
        <v>84</v>
      </c>
      <c r="E2383" s="74">
        <v>1</v>
      </c>
      <c r="F2383" s="74">
        <v>4.75</v>
      </c>
      <c r="G2383" s="758">
        <f t="shared" si="148"/>
        <v>0.87</v>
      </c>
      <c r="H2383" s="759">
        <f t="shared" si="149"/>
        <v>0.21</v>
      </c>
      <c r="I2383" s="758">
        <f t="shared" si="150"/>
        <v>3.88</v>
      </c>
      <c r="J2383" s="760">
        <f t="shared" si="151"/>
        <v>0.81684210526315792</v>
      </c>
    </row>
    <row r="2384" spans="1:10">
      <c r="A2384" s="74" t="s">
        <v>1780</v>
      </c>
      <c r="B2384" s="74" t="s">
        <v>873</v>
      </c>
      <c r="C2384" s="74" t="s">
        <v>1508</v>
      </c>
      <c r="D2384" s="74" t="s">
        <v>78</v>
      </c>
      <c r="E2384" s="74">
        <v>8</v>
      </c>
      <c r="F2384" s="74">
        <v>0</v>
      </c>
      <c r="G2384" s="758">
        <f t="shared" si="148"/>
        <v>1.82</v>
      </c>
      <c r="H2384" s="759">
        <f t="shared" si="149"/>
        <v>0</v>
      </c>
      <c r="I2384" s="758">
        <f t="shared" si="150"/>
        <v>-1.82</v>
      </c>
      <c r="J2384" s="760">
        <f t="shared" si="151"/>
        <v>0</v>
      </c>
    </row>
    <row r="2385" spans="1:10">
      <c r="A2385" s="74" t="s">
        <v>1781</v>
      </c>
      <c r="B2385" s="74" t="s">
        <v>873</v>
      </c>
      <c r="C2385" s="74" t="s">
        <v>1526</v>
      </c>
      <c r="D2385" s="74" t="s">
        <v>95</v>
      </c>
      <c r="E2385" s="74">
        <v>12</v>
      </c>
      <c r="F2385" s="74">
        <v>0</v>
      </c>
      <c r="G2385" s="758">
        <f t="shared" si="148"/>
        <v>0</v>
      </c>
      <c r="H2385" s="759">
        <f t="shared" si="149"/>
        <v>0</v>
      </c>
      <c r="I2385" s="758">
        <f t="shared" si="150"/>
        <v>0</v>
      </c>
      <c r="J2385" s="760">
        <f t="shared" si="151"/>
        <v>0</v>
      </c>
    </row>
    <row r="2386" spans="1:10">
      <c r="A2386" s="74" t="s">
        <v>1782</v>
      </c>
      <c r="B2386" s="74" t="s">
        <v>873</v>
      </c>
      <c r="C2386" s="74" t="s">
        <v>1614</v>
      </c>
      <c r="D2386" s="74" t="s">
        <v>92</v>
      </c>
      <c r="E2386" s="74">
        <v>8</v>
      </c>
      <c r="F2386" s="74">
        <v>0</v>
      </c>
      <c r="G2386" s="758">
        <f t="shared" si="148"/>
        <v>0</v>
      </c>
      <c r="H2386" s="759">
        <f t="shared" si="149"/>
        <v>0</v>
      </c>
      <c r="I2386" s="758">
        <f t="shared" si="150"/>
        <v>0</v>
      </c>
      <c r="J2386" s="760">
        <f t="shared" si="151"/>
        <v>0</v>
      </c>
    </row>
    <row r="2387" spans="1:10">
      <c r="A2387" s="74" t="s">
        <v>1783</v>
      </c>
      <c r="B2387" s="74" t="s">
        <v>873</v>
      </c>
      <c r="C2387" s="74" t="s">
        <v>1577</v>
      </c>
      <c r="D2387" s="74" t="s">
        <v>84</v>
      </c>
      <c r="E2387" s="74">
        <v>4</v>
      </c>
      <c r="F2387" s="74">
        <v>0</v>
      </c>
      <c r="G2387" s="758">
        <f t="shared" si="148"/>
        <v>0</v>
      </c>
      <c r="H2387" s="759">
        <f t="shared" si="149"/>
        <v>0</v>
      </c>
      <c r="I2387" s="758">
        <f t="shared" si="150"/>
        <v>0</v>
      </c>
      <c r="J2387" s="760">
        <f t="shared" si="151"/>
        <v>0</v>
      </c>
    </row>
    <row r="2388" spans="1:10">
      <c r="A2388" s="74" t="s">
        <v>1784</v>
      </c>
      <c r="B2388" s="74" t="s">
        <v>873</v>
      </c>
      <c r="C2388" s="74" t="s">
        <v>1518</v>
      </c>
      <c r="D2388" s="74" t="s">
        <v>82</v>
      </c>
      <c r="E2388" s="74">
        <v>7</v>
      </c>
      <c r="F2388" s="74">
        <v>0</v>
      </c>
      <c r="G2388" s="758">
        <f t="shared" si="148"/>
        <v>0</v>
      </c>
      <c r="H2388" s="759">
        <f t="shared" si="149"/>
        <v>0.28999999999999998</v>
      </c>
      <c r="I2388" s="758">
        <f t="shared" si="150"/>
        <v>0</v>
      </c>
      <c r="J2388" s="760">
        <f t="shared" si="151"/>
        <v>0</v>
      </c>
    </row>
    <row r="2389" spans="1:10">
      <c r="A2389" s="74" t="s">
        <v>1785</v>
      </c>
      <c r="B2389" s="74" t="s">
        <v>873</v>
      </c>
      <c r="C2389" s="74" t="s">
        <v>1582</v>
      </c>
      <c r="D2389" s="74" t="s">
        <v>89</v>
      </c>
      <c r="E2389" s="74">
        <v>4</v>
      </c>
      <c r="F2389" s="74">
        <v>0</v>
      </c>
      <c r="G2389" s="758">
        <f t="shared" si="148"/>
        <v>0</v>
      </c>
      <c r="H2389" s="759">
        <f t="shared" si="149"/>
        <v>0</v>
      </c>
      <c r="I2389" s="758">
        <f t="shared" si="150"/>
        <v>0</v>
      </c>
      <c r="J2389" s="760">
        <f t="shared" si="151"/>
        <v>0</v>
      </c>
    </row>
    <row r="2390" spans="1:10">
      <c r="A2390" s="74" t="s">
        <v>1786</v>
      </c>
      <c r="B2390" s="74" t="s">
        <v>873</v>
      </c>
      <c r="C2390" s="74" t="s">
        <v>1511</v>
      </c>
      <c r="D2390" s="74" t="s">
        <v>80</v>
      </c>
      <c r="E2390" s="74">
        <v>4</v>
      </c>
      <c r="F2390" s="74">
        <v>0</v>
      </c>
      <c r="G2390" s="758">
        <f t="shared" si="148"/>
        <v>0</v>
      </c>
      <c r="H2390" s="759">
        <f t="shared" si="149"/>
        <v>0.16</v>
      </c>
      <c r="I2390" s="758">
        <f t="shared" si="150"/>
        <v>0</v>
      </c>
      <c r="J2390" s="760">
        <f t="shared" si="151"/>
        <v>0</v>
      </c>
    </row>
    <row r="2391" spans="1:10">
      <c r="A2391" s="74" t="s">
        <v>1787</v>
      </c>
      <c r="B2391" s="74" t="s">
        <v>873</v>
      </c>
      <c r="C2391" s="74" t="s">
        <v>1511</v>
      </c>
      <c r="D2391" s="74" t="s">
        <v>80</v>
      </c>
      <c r="E2391" s="74">
        <v>1</v>
      </c>
      <c r="F2391" s="74">
        <v>0</v>
      </c>
      <c r="G2391" s="758">
        <f t="shared" si="148"/>
        <v>0</v>
      </c>
      <c r="H2391" s="759">
        <f t="shared" si="149"/>
        <v>0.21</v>
      </c>
      <c r="I2391" s="758">
        <f t="shared" si="150"/>
        <v>0</v>
      </c>
      <c r="J2391" s="760">
        <f t="shared" si="151"/>
        <v>0</v>
      </c>
    </row>
    <row r="2392" spans="1:10">
      <c r="A2392" s="74" t="s">
        <v>1787</v>
      </c>
      <c r="B2392" s="74" t="s">
        <v>873</v>
      </c>
      <c r="C2392" s="74" t="s">
        <v>1514</v>
      </c>
      <c r="D2392" s="74" t="s">
        <v>81</v>
      </c>
      <c r="E2392" s="74">
        <v>8</v>
      </c>
      <c r="F2392" s="74">
        <v>0</v>
      </c>
      <c r="G2392" s="758">
        <f t="shared" si="148"/>
        <v>0</v>
      </c>
      <c r="H2392" s="759">
        <f t="shared" si="149"/>
        <v>0.21</v>
      </c>
      <c r="I2392" s="758">
        <f t="shared" si="150"/>
        <v>0</v>
      </c>
      <c r="J2392" s="760">
        <f t="shared" si="151"/>
        <v>0</v>
      </c>
    </row>
    <row r="2393" spans="1:10">
      <c r="A2393" s="74" t="s">
        <v>267</v>
      </c>
      <c r="B2393" s="74" t="s">
        <v>268</v>
      </c>
      <c r="C2393" s="74" t="s">
        <v>1528</v>
      </c>
      <c r="D2393" s="74" t="s">
        <v>78</v>
      </c>
      <c r="E2393" s="74">
        <v>18</v>
      </c>
      <c r="F2393" s="74">
        <v>27</v>
      </c>
      <c r="G2393" s="758">
        <f t="shared" si="148"/>
        <v>0.25</v>
      </c>
      <c r="H2393" s="759">
        <f t="shared" si="149"/>
        <v>0.33</v>
      </c>
      <c r="I2393" s="758">
        <f t="shared" si="150"/>
        <v>1.25</v>
      </c>
      <c r="J2393" s="760">
        <f t="shared" si="151"/>
        <v>0.83333333333333337</v>
      </c>
    </row>
    <row r="2394" spans="1:10">
      <c r="A2394" s="74" t="s">
        <v>267</v>
      </c>
      <c r="B2394" s="74" t="s">
        <v>268</v>
      </c>
      <c r="C2394" s="74" t="s">
        <v>1508</v>
      </c>
      <c r="D2394" s="74" t="s">
        <v>78</v>
      </c>
      <c r="E2394" s="74">
        <v>15</v>
      </c>
      <c r="F2394" s="74">
        <v>23.5</v>
      </c>
      <c r="G2394" s="758">
        <f t="shared" si="148"/>
        <v>0.25</v>
      </c>
      <c r="H2394" s="759">
        <f t="shared" si="149"/>
        <v>0.33</v>
      </c>
      <c r="I2394" s="758">
        <f t="shared" si="150"/>
        <v>1.3166666666666667</v>
      </c>
      <c r="J2394" s="760">
        <f t="shared" si="151"/>
        <v>0.84042553191489366</v>
      </c>
    </row>
    <row r="2395" spans="1:10">
      <c r="A2395" s="74" t="s">
        <v>267</v>
      </c>
      <c r="B2395" s="74" t="s">
        <v>268</v>
      </c>
      <c r="C2395" s="74" t="s">
        <v>1509</v>
      </c>
      <c r="D2395" s="74" t="s">
        <v>78</v>
      </c>
      <c r="E2395" s="74">
        <v>18</v>
      </c>
      <c r="F2395" s="74">
        <v>31.5</v>
      </c>
      <c r="G2395" s="758">
        <f t="shared" si="148"/>
        <v>0.25</v>
      </c>
      <c r="H2395" s="759">
        <f t="shared" si="149"/>
        <v>0.33</v>
      </c>
      <c r="I2395" s="758">
        <f t="shared" si="150"/>
        <v>1.5</v>
      </c>
      <c r="J2395" s="760">
        <f t="shared" si="151"/>
        <v>0.85714285714285721</v>
      </c>
    </row>
    <row r="2396" spans="1:10">
      <c r="A2396" s="74" t="s">
        <v>267</v>
      </c>
      <c r="B2396" s="74" t="s">
        <v>268</v>
      </c>
      <c r="C2396" s="74" t="s">
        <v>1565</v>
      </c>
      <c r="D2396" s="74" t="s">
        <v>78</v>
      </c>
      <c r="E2396" s="74">
        <v>23</v>
      </c>
      <c r="F2396" s="74">
        <v>34.5</v>
      </c>
      <c r="G2396" s="758">
        <f t="shared" si="148"/>
        <v>0.25</v>
      </c>
      <c r="H2396" s="759">
        <f t="shared" si="149"/>
        <v>0.33</v>
      </c>
      <c r="I2396" s="758">
        <f t="shared" si="150"/>
        <v>1.25</v>
      </c>
      <c r="J2396" s="760">
        <f t="shared" si="151"/>
        <v>0.83333333333333337</v>
      </c>
    </row>
    <row r="2397" spans="1:10">
      <c r="A2397" s="74" t="s">
        <v>267</v>
      </c>
      <c r="B2397" s="74" t="s">
        <v>268</v>
      </c>
      <c r="C2397" s="74" t="s">
        <v>1530</v>
      </c>
      <c r="D2397" s="74" t="s">
        <v>80</v>
      </c>
      <c r="E2397" s="74">
        <v>8</v>
      </c>
      <c r="F2397" s="74">
        <v>12</v>
      </c>
      <c r="G2397" s="758">
        <f t="shared" si="148"/>
        <v>0.25</v>
      </c>
      <c r="H2397" s="759">
        <f t="shared" si="149"/>
        <v>0.33</v>
      </c>
      <c r="I2397" s="758">
        <f t="shared" si="150"/>
        <v>1.25</v>
      </c>
      <c r="J2397" s="760">
        <f t="shared" si="151"/>
        <v>0.83333333333333337</v>
      </c>
    </row>
    <row r="2398" spans="1:10">
      <c r="A2398" s="74" t="s">
        <v>267</v>
      </c>
      <c r="B2398" s="74" t="s">
        <v>268</v>
      </c>
      <c r="C2398" s="74" t="s">
        <v>1532</v>
      </c>
      <c r="D2398" s="74" t="s">
        <v>80</v>
      </c>
      <c r="E2398" s="74">
        <v>36</v>
      </c>
      <c r="F2398" s="74">
        <v>54</v>
      </c>
      <c r="G2398" s="758">
        <f t="shared" si="148"/>
        <v>0.25</v>
      </c>
      <c r="H2398" s="759">
        <f t="shared" si="149"/>
        <v>0.33</v>
      </c>
      <c r="I2398" s="758">
        <f t="shared" si="150"/>
        <v>1.25</v>
      </c>
      <c r="J2398" s="760">
        <f t="shared" si="151"/>
        <v>0.83333333333333337</v>
      </c>
    </row>
    <row r="2399" spans="1:10">
      <c r="A2399" s="74" t="s">
        <v>267</v>
      </c>
      <c r="B2399" s="74" t="s">
        <v>268</v>
      </c>
      <c r="C2399" s="74" t="s">
        <v>1511</v>
      </c>
      <c r="D2399" s="74" t="s">
        <v>80</v>
      </c>
      <c r="E2399" s="74">
        <v>25</v>
      </c>
      <c r="F2399" s="74">
        <v>37.659999999999997</v>
      </c>
      <c r="G2399" s="758">
        <f t="shared" si="148"/>
        <v>0.25</v>
      </c>
      <c r="H2399" s="759">
        <f t="shared" si="149"/>
        <v>0.33</v>
      </c>
      <c r="I2399" s="758">
        <f t="shared" si="150"/>
        <v>1.2564</v>
      </c>
      <c r="J2399" s="760">
        <f t="shared" si="151"/>
        <v>0.83404142326075403</v>
      </c>
    </row>
    <row r="2400" spans="1:10">
      <c r="A2400" s="74" t="s">
        <v>267</v>
      </c>
      <c r="B2400" s="74" t="s">
        <v>268</v>
      </c>
      <c r="C2400" s="74" t="s">
        <v>1512</v>
      </c>
      <c r="D2400" s="74" t="s">
        <v>80</v>
      </c>
      <c r="E2400" s="74">
        <v>18</v>
      </c>
      <c r="F2400" s="74">
        <v>27</v>
      </c>
      <c r="G2400" s="758">
        <f t="shared" si="148"/>
        <v>0.25</v>
      </c>
      <c r="H2400" s="759">
        <f t="shared" si="149"/>
        <v>0.33</v>
      </c>
      <c r="I2400" s="758">
        <f t="shared" si="150"/>
        <v>1.25</v>
      </c>
      <c r="J2400" s="760">
        <f t="shared" si="151"/>
        <v>0.83333333333333337</v>
      </c>
    </row>
    <row r="2401" spans="1:10">
      <c r="A2401" s="74" t="s">
        <v>267</v>
      </c>
      <c r="B2401" s="74" t="s">
        <v>268</v>
      </c>
      <c r="C2401" s="74" t="s">
        <v>1534</v>
      </c>
      <c r="D2401" s="74" t="s">
        <v>81</v>
      </c>
      <c r="E2401" s="74">
        <v>25</v>
      </c>
      <c r="F2401" s="74">
        <v>37.799999999999997</v>
      </c>
      <c r="G2401" s="758">
        <f t="shared" si="148"/>
        <v>0.25</v>
      </c>
      <c r="H2401" s="759">
        <f t="shared" si="149"/>
        <v>0.33</v>
      </c>
      <c r="I2401" s="758">
        <f t="shared" si="150"/>
        <v>1.2619999999999998</v>
      </c>
      <c r="J2401" s="760">
        <f t="shared" si="151"/>
        <v>0.83465608465608465</v>
      </c>
    </row>
    <row r="2402" spans="1:10">
      <c r="A2402" s="74" t="s">
        <v>267</v>
      </c>
      <c r="B2402" s="74" t="s">
        <v>268</v>
      </c>
      <c r="C2402" s="74" t="s">
        <v>1513</v>
      </c>
      <c r="D2402" s="74" t="s">
        <v>81</v>
      </c>
      <c r="E2402" s="74">
        <v>10</v>
      </c>
      <c r="F2402" s="74">
        <v>15.15</v>
      </c>
      <c r="G2402" s="758">
        <f t="shared" si="148"/>
        <v>0.25</v>
      </c>
      <c r="H2402" s="759">
        <f t="shared" si="149"/>
        <v>0.33</v>
      </c>
      <c r="I2402" s="758">
        <f t="shared" si="150"/>
        <v>1.2650000000000001</v>
      </c>
      <c r="J2402" s="760">
        <f t="shared" si="151"/>
        <v>0.83498349834983498</v>
      </c>
    </row>
    <row r="2403" spans="1:10">
      <c r="A2403" s="74" t="s">
        <v>267</v>
      </c>
      <c r="B2403" s="74" t="s">
        <v>268</v>
      </c>
      <c r="C2403" s="74" t="s">
        <v>1514</v>
      </c>
      <c r="D2403" s="74" t="s">
        <v>81</v>
      </c>
      <c r="E2403" s="74">
        <v>21</v>
      </c>
      <c r="F2403" s="74">
        <v>34.950000000000003</v>
      </c>
      <c r="G2403" s="758">
        <f t="shared" si="148"/>
        <v>0.25</v>
      </c>
      <c r="H2403" s="759">
        <f t="shared" si="149"/>
        <v>0.33</v>
      </c>
      <c r="I2403" s="758">
        <f t="shared" si="150"/>
        <v>1.4142857142857144</v>
      </c>
      <c r="J2403" s="760">
        <f t="shared" si="151"/>
        <v>0.84978540772532196</v>
      </c>
    </row>
    <row r="2404" spans="1:10">
      <c r="A2404" s="74" t="s">
        <v>267</v>
      </c>
      <c r="B2404" s="74" t="s">
        <v>268</v>
      </c>
      <c r="C2404" s="74" t="s">
        <v>1515</v>
      </c>
      <c r="D2404" s="74" t="s">
        <v>81</v>
      </c>
      <c r="E2404" s="74">
        <v>22</v>
      </c>
      <c r="F2404" s="74">
        <v>34.15</v>
      </c>
      <c r="G2404" s="758">
        <f t="shared" si="148"/>
        <v>0.25</v>
      </c>
      <c r="H2404" s="759">
        <f t="shared" si="149"/>
        <v>0.33</v>
      </c>
      <c r="I2404" s="758">
        <f t="shared" si="150"/>
        <v>1.3022727272727272</v>
      </c>
      <c r="J2404" s="760">
        <f t="shared" si="151"/>
        <v>0.83894582723279654</v>
      </c>
    </row>
    <row r="2405" spans="1:10">
      <c r="A2405" s="74" t="s">
        <v>267</v>
      </c>
      <c r="B2405" s="74" t="s">
        <v>268</v>
      </c>
      <c r="C2405" s="74" t="s">
        <v>1516</v>
      </c>
      <c r="D2405" s="74" t="s">
        <v>82</v>
      </c>
      <c r="E2405" s="74">
        <v>14</v>
      </c>
      <c r="F2405" s="74">
        <v>23.15</v>
      </c>
      <c r="G2405" s="758">
        <f t="shared" si="148"/>
        <v>0.25</v>
      </c>
      <c r="H2405" s="759">
        <f t="shared" si="149"/>
        <v>0.33</v>
      </c>
      <c r="I2405" s="758">
        <f t="shared" si="150"/>
        <v>1.4035714285714285</v>
      </c>
      <c r="J2405" s="760">
        <f t="shared" si="151"/>
        <v>0.84881209503239741</v>
      </c>
    </row>
    <row r="2406" spans="1:10">
      <c r="A2406" s="74" t="s">
        <v>267</v>
      </c>
      <c r="B2406" s="74" t="s">
        <v>268</v>
      </c>
      <c r="C2406" s="74" t="s">
        <v>1517</v>
      </c>
      <c r="D2406" s="74" t="s">
        <v>82</v>
      </c>
      <c r="E2406" s="74">
        <v>16</v>
      </c>
      <c r="F2406" s="74">
        <v>24.15</v>
      </c>
      <c r="G2406" s="758">
        <f t="shared" si="148"/>
        <v>0.25</v>
      </c>
      <c r="H2406" s="759">
        <f t="shared" si="149"/>
        <v>0.33</v>
      </c>
      <c r="I2406" s="758">
        <f t="shared" si="150"/>
        <v>1.2593749999999999</v>
      </c>
      <c r="J2406" s="760">
        <f t="shared" si="151"/>
        <v>0.83436853002070399</v>
      </c>
    </row>
    <row r="2407" spans="1:10">
      <c r="A2407" s="74" t="s">
        <v>267</v>
      </c>
      <c r="B2407" s="74" t="s">
        <v>268</v>
      </c>
      <c r="C2407" s="74" t="s">
        <v>1527</v>
      </c>
      <c r="D2407" s="74" t="s">
        <v>82</v>
      </c>
      <c r="E2407" s="74">
        <v>17</v>
      </c>
      <c r="F2407" s="74">
        <v>25.5</v>
      </c>
      <c r="G2407" s="758">
        <f t="shared" si="148"/>
        <v>0.25</v>
      </c>
      <c r="H2407" s="759">
        <f t="shared" si="149"/>
        <v>0.33</v>
      </c>
      <c r="I2407" s="758">
        <f t="shared" si="150"/>
        <v>1.25</v>
      </c>
      <c r="J2407" s="760">
        <f t="shared" si="151"/>
        <v>0.83333333333333337</v>
      </c>
    </row>
    <row r="2408" spans="1:10">
      <c r="A2408" s="74" t="s">
        <v>267</v>
      </c>
      <c r="B2408" s="74" t="s">
        <v>268</v>
      </c>
      <c r="C2408" s="74" t="s">
        <v>1518</v>
      </c>
      <c r="D2408" s="74" t="s">
        <v>82</v>
      </c>
      <c r="E2408" s="74">
        <v>20</v>
      </c>
      <c r="F2408" s="74">
        <v>30</v>
      </c>
      <c r="G2408" s="758">
        <f t="shared" si="148"/>
        <v>0.25</v>
      </c>
      <c r="H2408" s="759">
        <f t="shared" si="149"/>
        <v>0.33</v>
      </c>
      <c r="I2408" s="758">
        <f t="shared" si="150"/>
        <v>1.25</v>
      </c>
      <c r="J2408" s="760">
        <f t="shared" si="151"/>
        <v>0.83333333333333337</v>
      </c>
    </row>
    <row r="2409" spans="1:10">
      <c r="A2409" s="74" t="s">
        <v>267</v>
      </c>
      <c r="B2409" s="74" t="s">
        <v>268</v>
      </c>
      <c r="C2409" s="74" t="s">
        <v>1519</v>
      </c>
      <c r="D2409" s="74" t="s">
        <v>84</v>
      </c>
      <c r="E2409" s="74">
        <v>5</v>
      </c>
      <c r="F2409" s="74">
        <v>7.5</v>
      </c>
      <c r="G2409" s="758">
        <f t="shared" si="148"/>
        <v>0.25</v>
      </c>
      <c r="H2409" s="759">
        <f t="shared" si="149"/>
        <v>0.33</v>
      </c>
      <c r="I2409" s="758">
        <f t="shared" si="150"/>
        <v>1.25</v>
      </c>
      <c r="J2409" s="760">
        <f t="shared" si="151"/>
        <v>0.83333333333333337</v>
      </c>
    </row>
    <row r="2410" spans="1:10">
      <c r="A2410" s="74" t="s">
        <v>267</v>
      </c>
      <c r="B2410" s="74" t="s">
        <v>268</v>
      </c>
      <c r="C2410" s="74" t="s">
        <v>1540</v>
      </c>
      <c r="D2410" s="74" t="s">
        <v>84</v>
      </c>
      <c r="E2410" s="74">
        <v>9</v>
      </c>
      <c r="F2410" s="74">
        <v>13.5</v>
      </c>
      <c r="G2410" s="758">
        <f t="shared" si="148"/>
        <v>0.25</v>
      </c>
      <c r="H2410" s="759">
        <f t="shared" si="149"/>
        <v>0.33</v>
      </c>
      <c r="I2410" s="758">
        <f t="shared" si="150"/>
        <v>1.25</v>
      </c>
      <c r="J2410" s="760">
        <f t="shared" si="151"/>
        <v>0.83333333333333337</v>
      </c>
    </row>
    <row r="2411" spans="1:10">
      <c r="A2411" s="74" t="s">
        <v>267</v>
      </c>
      <c r="B2411" s="74" t="s">
        <v>268</v>
      </c>
      <c r="C2411" s="74" t="s">
        <v>1520</v>
      </c>
      <c r="D2411" s="74" t="s">
        <v>84</v>
      </c>
      <c r="E2411" s="74">
        <v>6</v>
      </c>
      <c r="F2411" s="74">
        <v>9</v>
      </c>
      <c r="G2411" s="758">
        <f t="shared" si="148"/>
        <v>0.25</v>
      </c>
      <c r="H2411" s="759">
        <f t="shared" si="149"/>
        <v>0.33</v>
      </c>
      <c r="I2411" s="758">
        <f t="shared" si="150"/>
        <v>1.25</v>
      </c>
      <c r="J2411" s="760">
        <f t="shared" si="151"/>
        <v>0.83333333333333337</v>
      </c>
    </row>
    <row r="2412" spans="1:10">
      <c r="A2412" s="74" t="s">
        <v>267</v>
      </c>
      <c r="B2412" s="74" t="s">
        <v>268</v>
      </c>
      <c r="C2412" s="74" t="s">
        <v>1577</v>
      </c>
      <c r="D2412" s="74" t="s">
        <v>84</v>
      </c>
      <c r="E2412" s="74">
        <v>2</v>
      </c>
      <c r="F2412" s="74">
        <v>3</v>
      </c>
      <c r="G2412" s="758">
        <f t="shared" si="148"/>
        <v>0.25</v>
      </c>
      <c r="H2412" s="759">
        <f t="shared" si="149"/>
        <v>0.33</v>
      </c>
      <c r="I2412" s="758">
        <f t="shared" si="150"/>
        <v>1.25</v>
      </c>
      <c r="J2412" s="760">
        <f t="shared" si="151"/>
        <v>0.83333333333333337</v>
      </c>
    </row>
    <row r="2413" spans="1:10">
      <c r="A2413" s="74" t="s">
        <v>267</v>
      </c>
      <c r="B2413" s="74" t="s">
        <v>268</v>
      </c>
      <c r="C2413" s="74" t="s">
        <v>1507</v>
      </c>
      <c r="D2413" s="74" t="s">
        <v>86</v>
      </c>
      <c r="E2413" s="74">
        <v>5</v>
      </c>
      <c r="F2413" s="74">
        <v>7.5</v>
      </c>
      <c r="G2413" s="758">
        <f t="shared" si="148"/>
        <v>0.25</v>
      </c>
      <c r="H2413" s="759">
        <f t="shared" si="149"/>
        <v>0.33</v>
      </c>
      <c r="I2413" s="758">
        <f t="shared" si="150"/>
        <v>1.25</v>
      </c>
      <c r="J2413" s="760">
        <f t="shared" si="151"/>
        <v>0.83333333333333337</v>
      </c>
    </row>
    <row r="2414" spans="1:10">
      <c r="A2414" s="74" t="s">
        <v>267</v>
      </c>
      <c r="B2414" s="74" t="s">
        <v>268</v>
      </c>
      <c r="C2414" s="74" t="s">
        <v>1644</v>
      </c>
      <c r="D2414" s="74" t="s">
        <v>86</v>
      </c>
      <c r="E2414" s="74">
        <v>10</v>
      </c>
      <c r="F2414" s="74">
        <v>15</v>
      </c>
      <c r="G2414" s="758">
        <f t="shared" si="148"/>
        <v>0.25</v>
      </c>
      <c r="H2414" s="759">
        <f t="shared" si="149"/>
        <v>0.33</v>
      </c>
      <c r="I2414" s="758">
        <f t="shared" si="150"/>
        <v>1.25</v>
      </c>
      <c r="J2414" s="760">
        <f t="shared" si="151"/>
        <v>0.83333333333333337</v>
      </c>
    </row>
    <row r="2415" spans="1:10">
      <c r="A2415" s="74" t="s">
        <v>267</v>
      </c>
      <c r="B2415" s="74" t="s">
        <v>268</v>
      </c>
      <c r="C2415" s="74" t="s">
        <v>1578</v>
      </c>
      <c r="D2415" s="74" t="s">
        <v>86</v>
      </c>
      <c r="E2415" s="74">
        <v>7</v>
      </c>
      <c r="F2415" s="74">
        <v>10.5</v>
      </c>
      <c r="G2415" s="758">
        <f t="shared" si="148"/>
        <v>0.25</v>
      </c>
      <c r="H2415" s="759">
        <f t="shared" si="149"/>
        <v>0.33</v>
      </c>
      <c r="I2415" s="758">
        <f t="shared" si="150"/>
        <v>1.25</v>
      </c>
      <c r="J2415" s="760">
        <f t="shared" si="151"/>
        <v>0.83333333333333337</v>
      </c>
    </row>
    <row r="2416" spans="1:10">
      <c r="A2416" s="74" t="s">
        <v>267</v>
      </c>
      <c r="B2416" s="74" t="s">
        <v>268</v>
      </c>
      <c r="C2416" s="74" t="s">
        <v>1646</v>
      </c>
      <c r="D2416" s="74" t="s">
        <v>86</v>
      </c>
      <c r="E2416" s="74">
        <v>10</v>
      </c>
      <c r="F2416" s="74">
        <v>15</v>
      </c>
      <c r="G2416" s="758">
        <f t="shared" si="148"/>
        <v>0.25</v>
      </c>
      <c r="H2416" s="759">
        <f t="shared" si="149"/>
        <v>0.33</v>
      </c>
      <c r="I2416" s="758">
        <f t="shared" si="150"/>
        <v>1.25</v>
      </c>
      <c r="J2416" s="760">
        <f t="shared" si="151"/>
        <v>0.83333333333333337</v>
      </c>
    </row>
    <row r="2417" spans="1:10">
      <c r="A2417" s="74" t="s">
        <v>267</v>
      </c>
      <c r="B2417" s="74" t="s">
        <v>268</v>
      </c>
      <c r="C2417" s="74" t="s">
        <v>1541</v>
      </c>
      <c r="D2417" s="74" t="s">
        <v>86</v>
      </c>
      <c r="E2417" s="74">
        <v>10</v>
      </c>
      <c r="F2417" s="74">
        <v>15</v>
      </c>
      <c r="G2417" s="758">
        <f t="shared" si="148"/>
        <v>0.25</v>
      </c>
      <c r="H2417" s="759">
        <f t="shared" si="149"/>
        <v>0.33</v>
      </c>
      <c r="I2417" s="758">
        <f t="shared" si="150"/>
        <v>1.25</v>
      </c>
      <c r="J2417" s="760">
        <f t="shared" si="151"/>
        <v>0.83333333333333337</v>
      </c>
    </row>
    <row r="2418" spans="1:10">
      <c r="A2418" s="74" t="s">
        <v>267</v>
      </c>
      <c r="B2418" s="74" t="s">
        <v>268</v>
      </c>
      <c r="C2418" s="74" t="s">
        <v>1543</v>
      </c>
      <c r="D2418" s="74" t="s">
        <v>87</v>
      </c>
      <c r="E2418" s="74">
        <v>13</v>
      </c>
      <c r="F2418" s="74">
        <v>19.5</v>
      </c>
      <c r="G2418" s="758">
        <f t="shared" si="148"/>
        <v>0.25</v>
      </c>
      <c r="H2418" s="759">
        <f t="shared" si="149"/>
        <v>0.33</v>
      </c>
      <c r="I2418" s="758">
        <f t="shared" si="150"/>
        <v>1.25</v>
      </c>
      <c r="J2418" s="760">
        <f t="shared" si="151"/>
        <v>0.83333333333333337</v>
      </c>
    </row>
    <row r="2419" spans="1:10">
      <c r="A2419" s="74" t="s">
        <v>267</v>
      </c>
      <c r="B2419" s="74" t="s">
        <v>268</v>
      </c>
      <c r="C2419" s="74" t="s">
        <v>1544</v>
      </c>
      <c r="D2419" s="74" t="s">
        <v>87</v>
      </c>
      <c r="E2419" s="74">
        <v>13</v>
      </c>
      <c r="F2419" s="74">
        <v>19.5</v>
      </c>
      <c r="G2419" s="758">
        <f t="shared" si="148"/>
        <v>0.25</v>
      </c>
      <c r="H2419" s="759">
        <f t="shared" si="149"/>
        <v>0.33</v>
      </c>
      <c r="I2419" s="758">
        <f t="shared" si="150"/>
        <v>1.25</v>
      </c>
      <c r="J2419" s="760">
        <f t="shared" si="151"/>
        <v>0.83333333333333337</v>
      </c>
    </row>
    <row r="2420" spans="1:10">
      <c r="A2420" s="74" t="s">
        <v>267</v>
      </c>
      <c r="B2420" s="74" t="s">
        <v>268</v>
      </c>
      <c r="C2420" s="74" t="s">
        <v>1605</v>
      </c>
      <c r="D2420" s="74" t="s">
        <v>87</v>
      </c>
      <c r="E2420" s="74">
        <v>13</v>
      </c>
      <c r="F2420" s="74">
        <v>19.5</v>
      </c>
      <c r="G2420" s="758">
        <f t="shared" si="148"/>
        <v>0.25</v>
      </c>
      <c r="H2420" s="759">
        <f t="shared" si="149"/>
        <v>0.33</v>
      </c>
      <c r="I2420" s="758">
        <f t="shared" si="150"/>
        <v>1.25</v>
      </c>
      <c r="J2420" s="760">
        <f t="shared" si="151"/>
        <v>0.83333333333333337</v>
      </c>
    </row>
    <row r="2421" spans="1:10">
      <c r="A2421" s="74" t="s">
        <v>267</v>
      </c>
      <c r="B2421" s="74" t="s">
        <v>268</v>
      </c>
      <c r="C2421" s="74" t="s">
        <v>1561</v>
      </c>
      <c r="D2421" s="74" t="s">
        <v>87</v>
      </c>
      <c r="E2421" s="74">
        <v>8</v>
      </c>
      <c r="F2421" s="74">
        <v>12</v>
      </c>
      <c r="G2421" s="758">
        <f t="shared" si="148"/>
        <v>0.25</v>
      </c>
      <c r="H2421" s="759">
        <f t="shared" si="149"/>
        <v>0.33</v>
      </c>
      <c r="I2421" s="758">
        <f t="shared" si="150"/>
        <v>1.25</v>
      </c>
      <c r="J2421" s="760">
        <f t="shared" si="151"/>
        <v>0.83333333333333337</v>
      </c>
    </row>
    <row r="2422" spans="1:10">
      <c r="A2422" s="74" t="s">
        <v>267</v>
      </c>
      <c r="B2422" s="74" t="s">
        <v>268</v>
      </c>
      <c r="C2422" s="74" t="s">
        <v>1608</v>
      </c>
      <c r="D2422" s="74" t="s">
        <v>89</v>
      </c>
      <c r="E2422" s="74">
        <v>6</v>
      </c>
      <c r="F2422" s="74">
        <v>9</v>
      </c>
      <c r="G2422" s="758">
        <f t="shared" si="148"/>
        <v>0.25</v>
      </c>
      <c r="H2422" s="759">
        <f t="shared" si="149"/>
        <v>0.33</v>
      </c>
      <c r="I2422" s="758">
        <f t="shared" si="150"/>
        <v>1.25</v>
      </c>
      <c r="J2422" s="760">
        <f t="shared" si="151"/>
        <v>0.83333333333333337</v>
      </c>
    </row>
    <row r="2423" spans="1:10">
      <c r="A2423" s="74" t="s">
        <v>267</v>
      </c>
      <c r="B2423" s="74" t="s">
        <v>268</v>
      </c>
      <c r="C2423" s="74" t="s">
        <v>1610</v>
      </c>
      <c r="D2423" s="74" t="s">
        <v>89</v>
      </c>
      <c r="E2423" s="74">
        <v>11</v>
      </c>
      <c r="F2423" s="74">
        <v>16.5</v>
      </c>
      <c r="G2423" s="758">
        <f t="shared" si="148"/>
        <v>0.25</v>
      </c>
      <c r="H2423" s="759">
        <f t="shared" si="149"/>
        <v>0.33</v>
      </c>
      <c r="I2423" s="758">
        <f t="shared" si="150"/>
        <v>1.25</v>
      </c>
      <c r="J2423" s="760">
        <f t="shared" si="151"/>
        <v>0.83333333333333337</v>
      </c>
    </row>
    <row r="2424" spans="1:10">
      <c r="A2424" s="74" t="s">
        <v>267</v>
      </c>
      <c r="B2424" s="74" t="s">
        <v>268</v>
      </c>
      <c r="C2424" s="74" t="s">
        <v>1546</v>
      </c>
      <c r="D2424" s="74" t="s">
        <v>89</v>
      </c>
      <c r="E2424" s="74">
        <v>16</v>
      </c>
      <c r="F2424" s="74">
        <v>24</v>
      </c>
      <c r="G2424" s="758">
        <f t="shared" si="148"/>
        <v>0.25</v>
      </c>
      <c r="H2424" s="759">
        <f t="shared" si="149"/>
        <v>0.33</v>
      </c>
      <c r="I2424" s="758">
        <f t="shared" si="150"/>
        <v>1.25</v>
      </c>
      <c r="J2424" s="760">
        <f t="shared" si="151"/>
        <v>0.83333333333333337</v>
      </c>
    </row>
    <row r="2425" spans="1:10">
      <c r="A2425" s="74" t="s">
        <v>267</v>
      </c>
      <c r="B2425" s="74" t="s">
        <v>268</v>
      </c>
      <c r="C2425" s="74" t="s">
        <v>1547</v>
      </c>
      <c r="D2425" s="74" t="s">
        <v>89</v>
      </c>
      <c r="E2425" s="74">
        <v>16</v>
      </c>
      <c r="F2425" s="74">
        <v>24</v>
      </c>
      <c r="G2425" s="758">
        <f t="shared" si="148"/>
        <v>0.25</v>
      </c>
      <c r="H2425" s="759">
        <f t="shared" si="149"/>
        <v>0.33</v>
      </c>
      <c r="I2425" s="758">
        <f t="shared" si="150"/>
        <v>1.25</v>
      </c>
      <c r="J2425" s="760">
        <f t="shared" si="151"/>
        <v>0.83333333333333337</v>
      </c>
    </row>
    <row r="2426" spans="1:10">
      <c r="A2426" s="74" t="s">
        <v>267</v>
      </c>
      <c r="B2426" s="74" t="s">
        <v>268</v>
      </c>
      <c r="C2426" s="74" t="s">
        <v>1582</v>
      </c>
      <c r="D2426" s="74" t="s">
        <v>89</v>
      </c>
      <c r="E2426" s="74">
        <v>11</v>
      </c>
      <c r="F2426" s="74">
        <v>16.5</v>
      </c>
      <c r="G2426" s="758">
        <f t="shared" si="148"/>
        <v>0.25</v>
      </c>
      <c r="H2426" s="759">
        <f t="shared" si="149"/>
        <v>0.33</v>
      </c>
      <c r="I2426" s="758">
        <f t="shared" si="150"/>
        <v>1.25</v>
      </c>
      <c r="J2426" s="760">
        <f t="shared" si="151"/>
        <v>0.83333333333333337</v>
      </c>
    </row>
    <row r="2427" spans="1:10">
      <c r="A2427" s="74" t="s">
        <v>267</v>
      </c>
      <c r="B2427" s="74" t="s">
        <v>268</v>
      </c>
      <c r="C2427" s="74" t="s">
        <v>1522</v>
      </c>
      <c r="D2427" s="74" t="s">
        <v>91</v>
      </c>
      <c r="E2427" s="74">
        <v>9</v>
      </c>
      <c r="F2427" s="74">
        <v>13.5</v>
      </c>
      <c r="G2427" s="758">
        <f t="shared" si="148"/>
        <v>0.25</v>
      </c>
      <c r="H2427" s="759">
        <f t="shared" si="149"/>
        <v>0.33</v>
      </c>
      <c r="I2427" s="758">
        <f t="shared" si="150"/>
        <v>1.25</v>
      </c>
      <c r="J2427" s="760">
        <f t="shared" si="151"/>
        <v>0.83333333333333337</v>
      </c>
    </row>
    <row r="2428" spans="1:10">
      <c r="A2428" s="74" t="s">
        <v>267</v>
      </c>
      <c r="B2428" s="74" t="s">
        <v>268</v>
      </c>
      <c r="C2428" s="74" t="s">
        <v>1550</v>
      </c>
      <c r="D2428" s="74" t="s">
        <v>91</v>
      </c>
      <c r="E2428" s="74">
        <v>14</v>
      </c>
      <c r="F2428" s="74">
        <v>21</v>
      </c>
      <c r="G2428" s="758">
        <f t="shared" si="148"/>
        <v>0.25</v>
      </c>
      <c r="H2428" s="759">
        <f t="shared" si="149"/>
        <v>0.33</v>
      </c>
      <c r="I2428" s="758">
        <f t="shared" si="150"/>
        <v>1.25</v>
      </c>
      <c r="J2428" s="760">
        <f t="shared" si="151"/>
        <v>0.83333333333333337</v>
      </c>
    </row>
    <row r="2429" spans="1:10">
      <c r="A2429" s="74" t="s">
        <v>267</v>
      </c>
      <c r="B2429" s="74" t="s">
        <v>268</v>
      </c>
      <c r="C2429" s="74" t="s">
        <v>1675</v>
      </c>
      <c r="D2429" s="74" t="s">
        <v>91</v>
      </c>
      <c r="E2429" s="74">
        <v>13</v>
      </c>
      <c r="F2429" s="74">
        <v>19.5</v>
      </c>
      <c r="G2429" s="758">
        <f t="shared" si="148"/>
        <v>0.25</v>
      </c>
      <c r="H2429" s="759">
        <f t="shared" si="149"/>
        <v>0.33</v>
      </c>
      <c r="I2429" s="758">
        <f t="shared" si="150"/>
        <v>1.25</v>
      </c>
      <c r="J2429" s="760">
        <f t="shared" si="151"/>
        <v>0.83333333333333337</v>
      </c>
    </row>
    <row r="2430" spans="1:10">
      <c r="A2430" s="74" t="s">
        <v>267</v>
      </c>
      <c r="B2430" s="74" t="s">
        <v>268</v>
      </c>
      <c r="C2430" s="74" t="s">
        <v>1524</v>
      </c>
      <c r="D2430" s="74" t="s">
        <v>91</v>
      </c>
      <c r="E2430" s="74">
        <v>6</v>
      </c>
      <c r="F2430" s="74">
        <v>9</v>
      </c>
      <c r="G2430" s="758">
        <f t="shared" si="148"/>
        <v>0.25</v>
      </c>
      <c r="H2430" s="759">
        <f t="shared" si="149"/>
        <v>0.33</v>
      </c>
      <c r="I2430" s="758">
        <f t="shared" si="150"/>
        <v>1.25</v>
      </c>
      <c r="J2430" s="760">
        <f t="shared" si="151"/>
        <v>0.83333333333333337</v>
      </c>
    </row>
    <row r="2431" spans="1:10">
      <c r="A2431" s="74" t="s">
        <v>267</v>
      </c>
      <c r="B2431" s="74" t="s">
        <v>268</v>
      </c>
      <c r="C2431" s="74" t="s">
        <v>1584</v>
      </c>
      <c r="D2431" s="74" t="s">
        <v>92</v>
      </c>
      <c r="E2431" s="74">
        <v>6</v>
      </c>
      <c r="F2431" s="74">
        <v>9</v>
      </c>
      <c r="G2431" s="758">
        <f t="shared" si="148"/>
        <v>0.25</v>
      </c>
      <c r="H2431" s="759">
        <f t="shared" si="149"/>
        <v>0.33</v>
      </c>
      <c r="I2431" s="758">
        <f t="shared" si="150"/>
        <v>1.25</v>
      </c>
      <c r="J2431" s="760">
        <f t="shared" si="151"/>
        <v>0.83333333333333337</v>
      </c>
    </row>
    <row r="2432" spans="1:10">
      <c r="A2432" s="74" t="s">
        <v>267</v>
      </c>
      <c r="B2432" s="74" t="s">
        <v>268</v>
      </c>
      <c r="C2432" s="74" t="s">
        <v>1614</v>
      </c>
      <c r="D2432" s="74" t="s">
        <v>92</v>
      </c>
      <c r="E2432" s="74">
        <v>11</v>
      </c>
      <c r="F2432" s="74">
        <v>16.649999999999999</v>
      </c>
      <c r="G2432" s="758">
        <f t="shared" si="148"/>
        <v>0.25</v>
      </c>
      <c r="H2432" s="759">
        <f t="shared" si="149"/>
        <v>0.33</v>
      </c>
      <c r="I2432" s="758">
        <f t="shared" si="150"/>
        <v>1.2636363636363634</v>
      </c>
      <c r="J2432" s="760">
        <f t="shared" si="151"/>
        <v>0.83483483483483478</v>
      </c>
    </row>
    <row r="2433" spans="1:10">
      <c r="A2433" s="74" t="s">
        <v>267</v>
      </c>
      <c r="B2433" s="74" t="s">
        <v>268</v>
      </c>
      <c r="C2433" s="74" t="s">
        <v>1631</v>
      </c>
      <c r="D2433" s="74" t="s">
        <v>92</v>
      </c>
      <c r="E2433" s="74">
        <v>7</v>
      </c>
      <c r="F2433" s="74">
        <v>10.5</v>
      </c>
      <c r="G2433" s="758">
        <f t="shared" si="148"/>
        <v>0.25</v>
      </c>
      <c r="H2433" s="759">
        <f t="shared" si="149"/>
        <v>0.33</v>
      </c>
      <c r="I2433" s="758">
        <f t="shared" si="150"/>
        <v>1.25</v>
      </c>
      <c r="J2433" s="760">
        <f t="shared" si="151"/>
        <v>0.83333333333333337</v>
      </c>
    </row>
    <row r="2434" spans="1:10">
      <c r="A2434" s="74" t="s">
        <v>267</v>
      </c>
      <c r="B2434" s="74" t="s">
        <v>268</v>
      </c>
      <c r="C2434" s="74" t="s">
        <v>1552</v>
      </c>
      <c r="D2434" s="74" t="s">
        <v>92</v>
      </c>
      <c r="E2434" s="74">
        <v>8</v>
      </c>
      <c r="F2434" s="74">
        <v>12</v>
      </c>
      <c r="G2434" s="758">
        <f t="shared" ref="G2434:G2497" si="152">IFERROR(VLOOKUP(A2434,$M$1:$P$1014,2,FALSE),0)</f>
        <v>0.25</v>
      </c>
      <c r="H2434" s="759">
        <f t="shared" ref="H2434:H2497" si="153">IFERROR(VLOOKUP(A2434,$M$1:$P$1014,3,FALSE),0)</f>
        <v>0.33</v>
      </c>
      <c r="I2434" s="758">
        <f t="shared" ref="I2434:I2497" si="154">IFERROR(F2434/E2434-G2434,0)</f>
        <v>1.25</v>
      </c>
      <c r="J2434" s="760">
        <f t="shared" ref="J2434:J2497" si="155">IFERROR(1-G2434*E2434/F2434,0)</f>
        <v>0.83333333333333337</v>
      </c>
    </row>
    <row r="2435" spans="1:10">
      <c r="A2435" s="74" t="s">
        <v>267</v>
      </c>
      <c r="B2435" s="74" t="s">
        <v>268</v>
      </c>
      <c r="C2435" s="74" t="s">
        <v>1617</v>
      </c>
      <c r="D2435" s="74" t="s">
        <v>94</v>
      </c>
      <c r="E2435" s="74">
        <v>14</v>
      </c>
      <c r="F2435" s="74">
        <v>21</v>
      </c>
      <c r="G2435" s="758">
        <f t="shared" si="152"/>
        <v>0.25</v>
      </c>
      <c r="H2435" s="759">
        <f t="shared" si="153"/>
        <v>0.33</v>
      </c>
      <c r="I2435" s="758">
        <f t="shared" si="154"/>
        <v>1.25</v>
      </c>
      <c r="J2435" s="760">
        <f t="shared" si="155"/>
        <v>0.83333333333333337</v>
      </c>
    </row>
    <row r="2436" spans="1:10">
      <c r="A2436" s="74" t="s">
        <v>267</v>
      </c>
      <c r="B2436" s="74" t="s">
        <v>268</v>
      </c>
      <c r="C2436" s="74" t="s">
        <v>1553</v>
      </c>
      <c r="D2436" s="74" t="s">
        <v>94</v>
      </c>
      <c r="E2436" s="74">
        <v>5</v>
      </c>
      <c r="F2436" s="74">
        <v>7.5</v>
      </c>
      <c r="G2436" s="758">
        <f t="shared" si="152"/>
        <v>0.25</v>
      </c>
      <c r="H2436" s="759">
        <f t="shared" si="153"/>
        <v>0.33</v>
      </c>
      <c r="I2436" s="758">
        <f t="shared" si="154"/>
        <v>1.25</v>
      </c>
      <c r="J2436" s="760">
        <f t="shared" si="155"/>
        <v>0.83333333333333337</v>
      </c>
    </row>
    <row r="2437" spans="1:10">
      <c r="A2437" s="74" t="s">
        <v>267</v>
      </c>
      <c r="B2437" s="74" t="s">
        <v>268</v>
      </c>
      <c r="C2437" s="74" t="s">
        <v>1555</v>
      </c>
      <c r="D2437" s="74" t="s">
        <v>94</v>
      </c>
      <c r="E2437" s="74">
        <v>6</v>
      </c>
      <c r="F2437" s="74">
        <v>9</v>
      </c>
      <c r="G2437" s="758">
        <f t="shared" si="152"/>
        <v>0.25</v>
      </c>
      <c r="H2437" s="759">
        <f t="shared" si="153"/>
        <v>0.33</v>
      </c>
      <c r="I2437" s="758">
        <f t="shared" si="154"/>
        <v>1.25</v>
      </c>
      <c r="J2437" s="760">
        <f t="shared" si="155"/>
        <v>0.83333333333333337</v>
      </c>
    </row>
    <row r="2438" spans="1:10">
      <c r="A2438" s="74" t="s">
        <v>267</v>
      </c>
      <c r="B2438" s="74" t="s">
        <v>268</v>
      </c>
      <c r="C2438" s="74" t="s">
        <v>1557</v>
      </c>
      <c r="D2438" s="74" t="s">
        <v>95</v>
      </c>
      <c r="E2438" s="74">
        <v>10</v>
      </c>
      <c r="F2438" s="74">
        <v>15.15</v>
      </c>
      <c r="G2438" s="758">
        <f t="shared" si="152"/>
        <v>0.25</v>
      </c>
      <c r="H2438" s="759">
        <f t="shared" si="153"/>
        <v>0.33</v>
      </c>
      <c r="I2438" s="758">
        <f t="shared" si="154"/>
        <v>1.2650000000000001</v>
      </c>
      <c r="J2438" s="760">
        <f t="shared" si="155"/>
        <v>0.83498349834983498</v>
      </c>
    </row>
    <row r="2439" spans="1:10">
      <c r="A2439" s="74" t="s">
        <v>267</v>
      </c>
      <c r="B2439" s="74" t="s">
        <v>268</v>
      </c>
      <c r="C2439" s="74" t="s">
        <v>1526</v>
      </c>
      <c r="D2439" s="74" t="s">
        <v>95</v>
      </c>
      <c r="E2439" s="74">
        <v>4</v>
      </c>
      <c r="F2439" s="74">
        <v>6</v>
      </c>
      <c r="G2439" s="758">
        <f t="shared" si="152"/>
        <v>0.25</v>
      </c>
      <c r="H2439" s="759">
        <f t="shared" si="153"/>
        <v>0.33</v>
      </c>
      <c r="I2439" s="758">
        <f t="shared" si="154"/>
        <v>1.25</v>
      </c>
      <c r="J2439" s="760">
        <f t="shared" si="155"/>
        <v>0.83333333333333337</v>
      </c>
    </row>
    <row r="2440" spans="1:10">
      <c r="A2440" s="74" t="s">
        <v>267</v>
      </c>
      <c r="B2440" s="74" t="s">
        <v>268</v>
      </c>
      <c r="C2440" s="74" t="s">
        <v>1930</v>
      </c>
      <c r="D2440" s="74" t="s">
        <v>95</v>
      </c>
      <c r="E2440" s="74">
        <v>5</v>
      </c>
      <c r="F2440" s="74">
        <v>7.5</v>
      </c>
      <c r="G2440" s="758">
        <f t="shared" si="152"/>
        <v>0.25</v>
      </c>
      <c r="H2440" s="759">
        <f t="shared" si="153"/>
        <v>0.33</v>
      </c>
      <c r="I2440" s="758">
        <f t="shared" si="154"/>
        <v>1.25</v>
      </c>
      <c r="J2440" s="760">
        <f t="shared" si="155"/>
        <v>0.83333333333333337</v>
      </c>
    </row>
    <row r="2441" spans="1:10">
      <c r="A2441" s="74" t="s">
        <v>1788</v>
      </c>
      <c r="B2441" s="74" t="s">
        <v>268</v>
      </c>
      <c r="C2441" s="74" t="s">
        <v>1509</v>
      </c>
      <c r="D2441" s="74" t="s">
        <v>78</v>
      </c>
      <c r="E2441" s="74">
        <v>1</v>
      </c>
      <c r="F2441" s="74">
        <v>2.5499999999999998</v>
      </c>
      <c r="G2441" s="758">
        <f t="shared" si="152"/>
        <v>0.89</v>
      </c>
      <c r="H2441" s="759">
        <f t="shared" si="153"/>
        <v>0.38</v>
      </c>
      <c r="I2441" s="758">
        <f t="shared" si="154"/>
        <v>1.6599999999999997</v>
      </c>
      <c r="J2441" s="760">
        <f t="shared" si="155"/>
        <v>0.65098039215686265</v>
      </c>
    </row>
    <row r="2442" spans="1:10">
      <c r="A2442" s="74" t="s">
        <v>1788</v>
      </c>
      <c r="B2442" s="74" t="s">
        <v>268</v>
      </c>
      <c r="C2442" s="74" t="s">
        <v>1532</v>
      </c>
      <c r="D2442" s="74" t="s">
        <v>80</v>
      </c>
      <c r="E2442" s="74">
        <v>1</v>
      </c>
      <c r="F2442" s="74">
        <v>2.5499999999999998</v>
      </c>
      <c r="G2442" s="758">
        <f t="shared" si="152"/>
        <v>0.89</v>
      </c>
      <c r="H2442" s="759">
        <f t="shared" si="153"/>
        <v>0.38</v>
      </c>
      <c r="I2442" s="758">
        <f t="shared" si="154"/>
        <v>1.6599999999999997</v>
      </c>
      <c r="J2442" s="760">
        <f t="shared" si="155"/>
        <v>0.65098039215686265</v>
      </c>
    </row>
    <row r="2443" spans="1:10">
      <c r="A2443" s="74" t="s">
        <v>1788</v>
      </c>
      <c r="B2443" s="74" t="s">
        <v>268</v>
      </c>
      <c r="C2443" s="74" t="s">
        <v>1511</v>
      </c>
      <c r="D2443" s="74" t="s">
        <v>80</v>
      </c>
      <c r="E2443" s="74">
        <v>2</v>
      </c>
      <c r="F2443" s="74">
        <v>5.0999999999999996</v>
      </c>
      <c r="G2443" s="758">
        <f t="shared" si="152"/>
        <v>0.89</v>
      </c>
      <c r="H2443" s="759">
        <f t="shared" si="153"/>
        <v>0.38</v>
      </c>
      <c r="I2443" s="758">
        <f t="shared" si="154"/>
        <v>1.6599999999999997</v>
      </c>
      <c r="J2443" s="760">
        <f t="shared" si="155"/>
        <v>0.65098039215686265</v>
      </c>
    </row>
    <row r="2444" spans="1:10">
      <c r="A2444" s="74" t="s">
        <v>1788</v>
      </c>
      <c r="B2444" s="74" t="s">
        <v>268</v>
      </c>
      <c r="C2444" s="74" t="s">
        <v>1512</v>
      </c>
      <c r="D2444" s="74" t="s">
        <v>80</v>
      </c>
      <c r="E2444" s="74">
        <v>2</v>
      </c>
      <c r="F2444" s="74">
        <v>5.25</v>
      </c>
      <c r="G2444" s="758">
        <f t="shared" si="152"/>
        <v>0.89</v>
      </c>
      <c r="H2444" s="759">
        <f t="shared" si="153"/>
        <v>0.38</v>
      </c>
      <c r="I2444" s="758">
        <f t="shared" si="154"/>
        <v>1.7349999999999999</v>
      </c>
      <c r="J2444" s="760">
        <f t="shared" si="155"/>
        <v>0.66095238095238096</v>
      </c>
    </row>
    <row r="2445" spans="1:10">
      <c r="A2445" s="74" t="s">
        <v>1788</v>
      </c>
      <c r="B2445" s="74" t="s">
        <v>268</v>
      </c>
      <c r="C2445" s="74" t="s">
        <v>1534</v>
      </c>
      <c r="D2445" s="74" t="s">
        <v>81</v>
      </c>
      <c r="E2445" s="74">
        <v>2</v>
      </c>
      <c r="F2445" s="74">
        <v>5.0999999999999996</v>
      </c>
      <c r="G2445" s="758">
        <f t="shared" si="152"/>
        <v>0.89</v>
      </c>
      <c r="H2445" s="759">
        <f t="shared" si="153"/>
        <v>0.38</v>
      </c>
      <c r="I2445" s="758">
        <f t="shared" si="154"/>
        <v>1.6599999999999997</v>
      </c>
      <c r="J2445" s="760">
        <f t="shared" si="155"/>
        <v>0.65098039215686265</v>
      </c>
    </row>
    <row r="2446" spans="1:10">
      <c r="A2446" s="74" t="s">
        <v>1788</v>
      </c>
      <c r="B2446" s="74" t="s">
        <v>268</v>
      </c>
      <c r="C2446" s="74" t="s">
        <v>1513</v>
      </c>
      <c r="D2446" s="74" t="s">
        <v>81</v>
      </c>
      <c r="E2446" s="74">
        <v>1</v>
      </c>
      <c r="F2446" s="74">
        <v>2.5499999999999998</v>
      </c>
      <c r="G2446" s="758">
        <f t="shared" si="152"/>
        <v>0.89</v>
      </c>
      <c r="H2446" s="759">
        <f t="shared" si="153"/>
        <v>0.38</v>
      </c>
      <c r="I2446" s="758">
        <f t="shared" si="154"/>
        <v>1.6599999999999997</v>
      </c>
      <c r="J2446" s="760">
        <f t="shared" si="155"/>
        <v>0.65098039215686265</v>
      </c>
    </row>
    <row r="2447" spans="1:10">
      <c r="A2447" s="74" t="s">
        <v>1788</v>
      </c>
      <c r="B2447" s="74" t="s">
        <v>268</v>
      </c>
      <c r="C2447" s="74" t="s">
        <v>1515</v>
      </c>
      <c r="D2447" s="74" t="s">
        <v>81</v>
      </c>
      <c r="E2447" s="74">
        <v>8</v>
      </c>
      <c r="F2447" s="74">
        <v>21.15</v>
      </c>
      <c r="G2447" s="758">
        <f t="shared" si="152"/>
        <v>0.89</v>
      </c>
      <c r="H2447" s="759">
        <f t="shared" si="153"/>
        <v>0.38</v>
      </c>
      <c r="I2447" s="758">
        <f t="shared" si="154"/>
        <v>1.7537499999999997</v>
      </c>
      <c r="J2447" s="760">
        <f t="shared" si="155"/>
        <v>0.66335697399527183</v>
      </c>
    </row>
    <row r="2448" spans="1:10">
      <c r="A2448" s="74" t="s">
        <v>1788</v>
      </c>
      <c r="B2448" s="74" t="s">
        <v>268</v>
      </c>
      <c r="C2448" s="74" t="s">
        <v>1517</v>
      </c>
      <c r="D2448" s="74" t="s">
        <v>82</v>
      </c>
      <c r="E2448" s="74">
        <v>1</v>
      </c>
      <c r="F2448" s="74">
        <v>2.5499999999999998</v>
      </c>
      <c r="G2448" s="758">
        <f t="shared" si="152"/>
        <v>0.89</v>
      </c>
      <c r="H2448" s="759">
        <f t="shared" si="153"/>
        <v>0.38</v>
      </c>
      <c r="I2448" s="758">
        <f t="shared" si="154"/>
        <v>1.6599999999999997</v>
      </c>
      <c r="J2448" s="760">
        <f t="shared" si="155"/>
        <v>0.65098039215686265</v>
      </c>
    </row>
    <row r="2449" spans="1:10">
      <c r="A2449" s="74" t="s">
        <v>1788</v>
      </c>
      <c r="B2449" s="74" t="s">
        <v>268</v>
      </c>
      <c r="C2449" s="74" t="s">
        <v>1527</v>
      </c>
      <c r="D2449" s="74" t="s">
        <v>82</v>
      </c>
      <c r="E2449" s="74">
        <v>1</v>
      </c>
      <c r="F2449" s="74">
        <v>2.5499999999999998</v>
      </c>
      <c r="G2449" s="758">
        <f t="shared" si="152"/>
        <v>0.89</v>
      </c>
      <c r="H2449" s="759">
        <f t="shared" si="153"/>
        <v>0.38</v>
      </c>
      <c r="I2449" s="758">
        <f t="shared" si="154"/>
        <v>1.6599999999999997</v>
      </c>
      <c r="J2449" s="760">
        <f t="shared" si="155"/>
        <v>0.65098039215686265</v>
      </c>
    </row>
    <row r="2450" spans="1:10">
      <c r="A2450" s="74" t="s">
        <v>1788</v>
      </c>
      <c r="B2450" s="74" t="s">
        <v>268</v>
      </c>
      <c r="C2450" s="74" t="s">
        <v>1518</v>
      </c>
      <c r="D2450" s="74" t="s">
        <v>82</v>
      </c>
      <c r="E2450" s="74">
        <v>1</v>
      </c>
      <c r="F2450" s="74">
        <v>2.5499999999999998</v>
      </c>
      <c r="G2450" s="758">
        <f t="shared" si="152"/>
        <v>0.89</v>
      </c>
      <c r="H2450" s="759">
        <f t="shared" si="153"/>
        <v>0.38</v>
      </c>
      <c r="I2450" s="758">
        <f t="shared" si="154"/>
        <v>1.6599999999999997</v>
      </c>
      <c r="J2450" s="760">
        <f t="shared" si="155"/>
        <v>0.65098039215686265</v>
      </c>
    </row>
    <row r="2451" spans="1:10">
      <c r="A2451" s="74" t="s">
        <v>1788</v>
      </c>
      <c r="B2451" s="74" t="s">
        <v>268</v>
      </c>
      <c r="C2451" s="74" t="s">
        <v>1540</v>
      </c>
      <c r="D2451" s="74" t="s">
        <v>84</v>
      </c>
      <c r="E2451" s="74">
        <v>1</v>
      </c>
      <c r="F2451" s="74">
        <v>2.5499999999999998</v>
      </c>
      <c r="G2451" s="758">
        <f t="shared" si="152"/>
        <v>0.89</v>
      </c>
      <c r="H2451" s="759">
        <f t="shared" si="153"/>
        <v>0.38</v>
      </c>
      <c r="I2451" s="758">
        <f t="shared" si="154"/>
        <v>1.6599999999999997</v>
      </c>
      <c r="J2451" s="760">
        <f t="shared" si="155"/>
        <v>0.65098039215686265</v>
      </c>
    </row>
    <row r="2452" spans="1:10">
      <c r="A2452" s="74" t="s">
        <v>780</v>
      </c>
      <c r="B2452" s="74" t="s">
        <v>268</v>
      </c>
      <c r="C2452" s="74" t="s">
        <v>1530</v>
      </c>
      <c r="D2452" s="74" t="s">
        <v>80</v>
      </c>
      <c r="E2452" s="74">
        <v>6</v>
      </c>
      <c r="F2452" s="74">
        <v>8.18</v>
      </c>
      <c r="G2452" s="758">
        <f t="shared" si="152"/>
        <v>0</v>
      </c>
      <c r="H2452" s="759">
        <f t="shared" si="153"/>
        <v>0</v>
      </c>
      <c r="I2452" s="758">
        <f t="shared" si="154"/>
        <v>1.3633333333333333</v>
      </c>
      <c r="J2452" s="760">
        <f t="shared" si="155"/>
        <v>1</v>
      </c>
    </row>
    <row r="2453" spans="1:10">
      <c r="A2453" s="74" t="s">
        <v>780</v>
      </c>
      <c r="B2453" s="74" t="s">
        <v>268</v>
      </c>
      <c r="C2453" s="74" t="s">
        <v>1532</v>
      </c>
      <c r="D2453" s="74" t="s">
        <v>80</v>
      </c>
      <c r="E2453" s="74">
        <v>6</v>
      </c>
      <c r="F2453" s="74">
        <v>8.18</v>
      </c>
      <c r="G2453" s="758">
        <f t="shared" si="152"/>
        <v>0</v>
      </c>
      <c r="H2453" s="759">
        <f t="shared" si="153"/>
        <v>0</v>
      </c>
      <c r="I2453" s="758">
        <f t="shared" si="154"/>
        <v>1.3633333333333333</v>
      </c>
      <c r="J2453" s="760">
        <f t="shared" si="155"/>
        <v>1</v>
      </c>
    </row>
    <row r="2454" spans="1:10">
      <c r="A2454" s="74" t="s">
        <v>780</v>
      </c>
      <c r="B2454" s="74" t="s">
        <v>268</v>
      </c>
      <c r="C2454" s="74" t="s">
        <v>1511</v>
      </c>
      <c r="D2454" s="74" t="s">
        <v>80</v>
      </c>
      <c r="E2454" s="74">
        <v>13</v>
      </c>
      <c r="F2454" s="74">
        <v>17.73</v>
      </c>
      <c r="G2454" s="758">
        <f t="shared" si="152"/>
        <v>0</v>
      </c>
      <c r="H2454" s="759">
        <f t="shared" si="153"/>
        <v>0</v>
      </c>
      <c r="I2454" s="758">
        <f t="shared" si="154"/>
        <v>1.3638461538461539</v>
      </c>
      <c r="J2454" s="760">
        <f t="shared" si="155"/>
        <v>1</v>
      </c>
    </row>
    <row r="2455" spans="1:10">
      <c r="A2455" s="74" t="s">
        <v>780</v>
      </c>
      <c r="B2455" s="74" t="s">
        <v>268</v>
      </c>
      <c r="C2455" s="74" t="s">
        <v>1512</v>
      </c>
      <c r="D2455" s="74" t="s">
        <v>80</v>
      </c>
      <c r="E2455" s="74">
        <v>11</v>
      </c>
      <c r="F2455" s="74">
        <v>15</v>
      </c>
      <c r="G2455" s="758">
        <f t="shared" si="152"/>
        <v>0</v>
      </c>
      <c r="H2455" s="759">
        <f t="shared" si="153"/>
        <v>0</v>
      </c>
      <c r="I2455" s="758">
        <f t="shared" si="154"/>
        <v>1.3636363636363635</v>
      </c>
      <c r="J2455" s="760">
        <f t="shared" si="155"/>
        <v>1</v>
      </c>
    </row>
    <row r="2456" spans="1:10">
      <c r="A2456" s="74" t="s">
        <v>780</v>
      </c>
      <c r="B2456" s="74" t="s">
        <v>268</v>
      </c>
      <c r="C2456" s="74" t="s">
        <v>1513</v>
      </c>
      <c r="D2456" s="74" t="s">
        <v>81</v>
      </c>
      <c r="E2456" s="74">
        <v>34</v>
      </c>
      <c r="F2456" s="74">
        <v>46.36</v>
      </c>
      <c r="G2456" s="758">
        <f t="shared" si="152"/>
        <v>0</v>
      </c>
      <c r="H2456" s="759">
        <f t="shared" si="153"/>
        <v>0</v>
      </c>
      <c r="I2456" s="758">
        <f t="shared" si="154"/>
        <v>1.3635294117647059</v>
      </c>
      <c r="J2456" s="760">
        <f t="shared" si="155"/>
        <v>1</v>
      </c>
    </row>
    <row r="2457" spans="1:10">
      <c r="A2457" s="74" t="s">
        <v>780</v>
      </c>
      <c r="B2457" s="74" t="s">
        <v>268</v>
      </c>
      <c r="C2457" s="74" t="s">
        <v>1514</v>
      </c>
      <c r="D2457" s="74" t="s">
        <v>81</v>
      </c>
      <c r="E2457" s="74">
        <v>14</v>
      </c>
      <c r="F2457" s="74">
        <v>19.09</v>
      </c>
      <c r="G2457" s="758">
        <f t="shared" si="152"/>
        <v>0</v>
      </c>
      <c r="H2457" s="759">
        <f t="shared" si="153"/>
        <v>0</v>
      </c>
      <c r="I2457" s="758">
        <f t="shared" si="154"/>
        <v>1.3635714285714287</v>
      </c>
      <c r="J2457" s="760">
        <f t="shared" si="155"/>
        <v>1</v>
      </c>
    </row>
    <row r="2458" spans="1:10">
      <c r="A2458" s="74" t="s">
        <v>780</v>
      </c>
      <c r="B2458" s="74" t="s">
        <v>268</v>
      </c>
      <c r="C2458" s="74" t="s">
        <v>1515</v>
      </c>
      <c r="D2458" s="74" t="s">
        <v>81</v>
      </c>
      <c r="E2458" s="74">
        <v>12</v>
      </c>
      <c r="F2458" s="74">
        <v>16.36</v>
      </c>
      <c r="G2458" s="758">
        <f t="shared" si="152"/>
        <v>0</v>
      </c>
      <c r="H2458" s="759">
        <f t="shared" si="153"/>
        <v>0</v>
      </c>
      <c r="I2458" s="758">
        <f t="shared" si="154"/>
        <v>1.3633333333333333</v>
      </c>
      <c r="J2458" s="760">
        <f t="shared" si="155"/>
        <v>1</v>
      </c>
    </row>
    <row r="2459" spans="1:10">
      <c r="A2459" s="74" t="s">
        <v>1061</v>
      </c>
      <c r="B2459" s="74" t="s">
        <v>268</v>
      </c>
      <c r="C2459" s="74" t="s">
        <v>1543</v>
      </c>
      <c r="D2459" s="74" t="s">
        <v>87</v>
      </c>
      <c r="E2459" s="74">
        <v>2</v>
      </c>
      <c r="F2459" s="74">
        <v>1.7</v>
      </c>
      <c r="G2459" s="758">
        <f t="shared" si="152"/>
        <v>0</v>
      </c>
      <c r="H2459" s="759">
        <f t="shared" si="153"/>
        <v>0</v>
      </c>
      <c r="I2459" s="758">
        <f t="shared" si="154"/>
        <v>0.85</v>
      </c>
      <c r="J2459" s="760">
        <f t="shared" si="155"/>
        <v>1</v>
      </c>
    </row>
    <row r="2460" spans="1:10">
      <c r="A2460" s="74" t="s">
        <v>1061</v>
      </c>
      <c r="B2460" s="74" t="s">
        <v>268</v>
      </c>
      <c r="C2460" s="74" t="s">
        <v>1605</v>
      </c>
      <c r="D2460" s="74" t="s">
        <v>87</v>
      </c>
      <c r="E2460" s="74">
        <v>1</v>
      </c>
      <c r="F2460" s="74">
        <v>0.85</v>
      </c>
      <c r="G2460" s="758">
        <f t="shared" si="152"/>
        <v>0</v>
      </c>
      <c r="H2460" s="759">
        <f t="shared" si="153"/>
        <v>0</v>
      </c>
      <c r="I2460" s="758">
        <f t="shared" si="154"/>
        <v>0.85</v>
      </c>
      <c r="J2460" s="760">
        <f t="shared" si="155"/>
        <v>1</v>
      </c>
    </row>
    <row r="2461" spans="1:10">
      <c r="A2461" s="74" t="s">
        <v>1061</v>
      </c>
      <c r="B2461" s="74" t="s">
        <v>268</v>
      </c>
      <c r="C2461" s="74" t="s">
        <v>1608</v>
      </c>
      <c r="D2461" s="74" t="s">
        <v>89</v>
      </c>
      <c r="E2461" s="74">
        <v>2</v>
      </c>
      <c r="F2461" s="74">
        <v>1.7</v>
      </c>
      <c r="G2461" s="758">
        <f t="shared" si="152"/>
        <v>0</v>
      </c>
      <c r="H2461" s="759">
        <f t="shared" si="153"/>
        <v>0</v>
      </c>
      <c r="I2461" s="758">
        <f t="shared" si="154"/>
        <v>0.85</v>
      </c>
      <c r="J2461" s="760">
        <f t="shared" si="155"/>
        <v>1</v>
      </c>
    </row>
    <row r="2462" spans="1:10">
      <c r="A2462" s="74" t="s">
        <v>1061</v>
      </c>
      <c r="B2462" s="74" t="s">
        <v>268</v>
      </c>
      <c r="C2462" s="74" t="s">
        <v>1546</v>
      </c>
      <c r="D2462" s="74" t="s">
        <v>89</v>
      </c>
      <c r="E2462" s="74">
        <v>1</v>
      </c>
      <c r="F2462" s="74">
        <v>0.85</v>
      </c>
      <c r="G2462" s="758">
        <f t="shared" si="152"/>
        <v>0</v>
      </c>
      <c r="H2462" s="759">
        <f t="shared" si="153"/>
        <v>0</v>
      </c>
      <c r="I2462" s="758">
        <f t="shared" si="154"/>
        <v>0.85</v>
      </c>
      <c r="J2462" s="760">
        <f t="shared" si="155"/>
        <v>1</v>
      </c>
    </row>
    <row r="2463" spans="1:10">
      <c r="A2463" s="74" t="s">
        <v>1061</v>
      </c>
      <c r="B2463" s="74" t="s">
        <v>268</v>
      </c>
      <c r="C2463" s="74" t="s">
        <v>1547</v>
      </c>
      <c r="D2463" s="74" t="s">
        <v>89</v>
      </c>
      <c r="E2463" s="74">
        <v>1</v>
      </c>
      <c r="F2463" s="74">
        <v>0.85</v>
      </c>
      <c r="G2463" s="758">
        <f t="shared" si="152"/>
        <v>0</v>
      </c>
      <c r="H2463" s="759">
        <f t="shared" si="153"/>
        <v>0</v>
      </c>
      <c r="I2463" s="758">
        <f t="shared" si="154"/>
        <v>0.85</v>
      </c>
      <c r="J2463" s="760">
        <f t="shared" si="155"/>
        <v>1</v>
      </c>
    </row>
    <row r="2464" spans="1:10">
      <c r="A2464" s="74" t="s">
        <v>1061</v>
      </c>
      <c r="B2464" s="74" t="s">
        <v>268</v>
      </c>
      <c r="C2464" s="74" t="s">
        <v>1582</v>
      </c>
      <c r="D2464" s="74" t="s">
        <v>89</v>
      </c>
      <c r="E2464" s="74">
        <v>2</v>
      </c>
      <c r="F2464" s="74">
        <v>1.7</v>
      </c>
      <c r="G2464" s="758">
        <f t="shared" si="152"/>
        <v>0</v>
      </c>
      <c r="H2464" s="759">
        <f t="shared" si="153"/>
        <v>0</v>
      </c>
      <c r="I2464" s="758">
        <f t="shared" si="154"/>
        <v>0.85</v>
      </c>
      <c r="J2464" s="760">
        <f t="shared" si="155"/>
        <v>1</v>
      </c>
    </row>
    <row r="2465" spans="1:10">
      <c r="A2465" s="74" t="s">
        <v>1061</v>
      </c>
      <c r="B2465" s="74" t="s">
        <v>268</v>
      </c>
      <c r="C2465" s="74" t="s">
        <v>1522</v>
      </c>
      <c r="D2465" s="74" t="s">
        <v>91</v>
      </c>
      <c r="E2465" s="74">
        <v>1</v>
      </c>
      <c r="F2465" s="74">
        <v>0.85</v>
      </c>
      <c r="G2465" s="758">
        <f t="shared" si="152"/>
        <v>0</v>
      </c>
      <c r="H2465" s="759">
        <f t="shared" si="153"/>
        <v>0</v>
      </c>
      <c r="I2465" s="758">
        <f t="shared" si="154"/>
        <v>0.85</v>
      </c>
      <c r="J2465" s="760">
        <f t="shared" si="155"/>
        <v>1</v>
      </c>
    </row>
    <row r="2466" spans="1:10">
      <c r="A2466" s="74" t="s">
        <v>808</v>
      </c>
      <c r="B2466" s="74" t="s">
        <v>268</v>
      </c>
      <c r="C2466" s="74" t="s">
        <v>1512</v>
      </c>
      <c r="D2466" s="74" t="s">
        <v>80</v>
      </c>
      <c r="E2466" s="74">
        <v>4</v>
      </c>
      <c r="F2466" s="74">
        <v>2.36</v>
      </c>
      <c r="G2466" s="758">
        <f t="shared" si="152"/>
        <v>0</v>
      </c>
      <c r="H2466" s="759">
        <f t="shared" si="153"/>
        <v>0</v>
      </c>
      <c r="I2466" s="758">
        <f t="shared" si="154"/>
        <v>0.59</v>
      </c>
      <c r="J2466" s="760">
        <f t="shared" si="155"/>
        <v>1</v>
      </c>
    </row>
    <row r="2467" spans="1:10">
      <c r="A2467" s="74" t="s">
        <v>808</v>
      </c>
      <c r="B2467" s="74" t="s">
        <v>268</v>
      </c>
      <c r="C2467" s="74" t="s">
        <v>1513</v>
      </c>
      <c r="D2467" s="74" t="s">
        <v>81</v>
      </c>
      <c r="E2467" s="74">
        <v>10</v>
      </c>
      <c r="F2467" s="74">
        <v>5.91</v>
      </c>
      <c r="G2467" s="758">
        <f t="shared" si="152"/>
        <v>0</v>
      </c>
      <c r="H2467" s="759">
        <f t="shared" si="153"/>
        <v>0</v>
      </c>
      <c r="I2467" s="758">
        <f t="shared" si="154"/>
        <v>0.59099999999999997</v>
      </c>
      <c r="J2467" s="760">
        <f t="shared" si="155"/>
        <v>1</v>
      </c>
    </row>
    <row r="2468" spans="1:10">
      <c r="A2468" s="74" t="s">
        <v>808</v>
      </c>
      <c r="B2468" s="74" t="s">
        <v>268</v>
      </c>
      <c r="C2468" s="74" t="s">
        <v>1514</v>
      </c>
      <c r="D2468" s="74" t="s">
        <v>81</v>
      </c>
      <c r="E2468" s="74">
        <v>8</v>
      </c>
      <c r="F2468" s="74">
        <v>4.7300000000000004</v>
      </c>
      <c r="G2468" s="758">
        <f t="shared" si="152"/>
        <v>0</v>
      </c>
      <c r="H2468" s="759">
        <f t="shared" si="153"/>
        <v>0</v>
      </c>
      <c r="I2468" s="758">
        <f t="shared" si="154"/>
        <v>0.59125000000000005</v>
      </c>
      <c r="J2468" s="760">
        <f t="shared" si="155"/>
        <v>1</v>
      </c>
    </row>
    <row r="2469" spans="1:10">
      <c r="A2469" s="74" t="s">
        <v>808</v>
      </c>
      <c r="B2469" s="74" t="s">
        <v>268</v>
      </c>
      <c r="C2469" s="74" t="s">
        <v>1515</v>
      </c>
      <c r="D2469" s="74" t="s">
        <v>81</v>
      </c>
      <c r="E2469" s="74">
        <v>2</v>
      </c>
      <c r="F2469" s="74">
        <v>1.18</v>
      </c>
      <c r="G2469" s="758">
        <f t="shared" si="152"/>
        <v>0</v>
      </c>
      <c r="H2469" s="759">
        <f t="shared" si="153"/>
        <v>0</v>
      </c>
      <c r="I2469" s="758">
        <f t="shared" si="154"/>
        <v>0.59</v>
      </c>
      <c r="J2469" s="760">
        <f t="shared" si="155"/>
        <v>1</v>
      </c>
    </row>
    <row r="2470" spans="1:10">
      <c r="A2470" s="74" t="s">
        <v>800</v>
      </c>
      <c r="B2470" s="74" t="s">
        <v>268</v>
      </c>
      <c r="C2470" s="74" t="s">
        <v>1511</v>
      </c>
      <c r="D2470" s="74" t="s">
        <v>80</v>
      </c>
      <c r="E2470" s="74">
        <v>1</v>
      </c>
      <c r="F2470" s="74">
        <v>2.64</v>
      </c>
      <c r="G2470" s="758">
        <f t="shared" si="152"/>
        <v>0</v>
      </c>
      <c r="H2470" s="759">
        <f t="shared" si="153"/>
        <v>0</v>
      </c>
      <c r="I2470" s="758">
        <f t="shared" si="154"/>
        <v>2.64</v>
      </c>
      <c r="J2470" s="760">
        <f t="shared" si="155"/>
        <v>1</v>
      </c>
    </row>
    <row r="2471" spans="1:10">
      <c r="A2471" s="74" t="s">
        <v>860</v>
      </c>
      <c r="B2471" s="74" t="s">
        <v>268</v>
      </c>
      <c r="C2471" s="74" t="s">
        <v>1528</v>
      </c>
      <c r="D2471" s="74" t="s">
        <v>78</v>
      </c>
      <c r="E2471" s="74">
        <v>6</v>
      </c>
      <c r="F2471" s="74">
        <v>12</v>
      </c>
      <c r="G2471" s="758">
        <f t="shared" si="152"/>
        <v>0.37</v>
      </c>
      <c r="H2471" s="759">
        <f t="shared" si="153"/>
        <v>0.39</v>
      </c>
      <c r="I2471" s="758">
        <f t="shared" si="154"/>
        <v>1.63</v>
      </c>
      <c r="J2471" s="760">
        <f t="shared" si="155"/>
        <v>0.81500000000000006</v>
      </c>
    </row>
    <row r="2472" spans="1:10">
      <c r="A2472" s="74" t="s">
        <v>860</v>
      </c>
      <c r="B2472" s="74" t="s">
        <v>268</v>
      </c>
      <c r="C2472" s="74" t="s">
        <v>1508</v>
      </c>
      <c r="D2472" s="74" t="s">
        <v>78</v>
      </c>
      <c r="E2472" s="74">
        <v>9</v>
      </c>
      <c r="F2472" s="74">
        <v>19.5</v>
      </c>
      <c r="G2472" s="758">
        <f t="shared" si="152"/>
        <v>0.37</v>
      </c>
      <c r="H2472" s="759">
        <f t="shared" si="153"/>
        <v>0.39</v>
      </c>
      <c r="I2472" s="758">
        <f t="shared" si="154"/>
        <v>1.7966666666666664</v>
      </c>
      <c r="J2472" s="760">
        <f t="shared" si="155"/>
        <v>0.82923076923076922</v>
      </c>
    </row>
    <row r="2473" spans="1:10">
      <c r="A2473" s="74" t="s">
        <v>860</v>
      </c>
      <c r="B2473" s="74" t="s">
        <v>268</v>
      </c>
      <c r="C2473" s="74" t="s">
        <v>1509</v>
      </c>
      <c r="D2473" s="74" t="s">
        <v>78</v>
      </c>
      <c r="E2473" s="74">
        <v>9</v>
      </c>
      <c r="F2473" s="74">
        <v>20</v>
      </c>
      <c r="G2473" s="758">
        <f t="shared" si="152"/>
        <v>0.37</v>
      </c>
      <c r="H2473" s="759">
        <f t="shared" si="153"/>
        <v>0.39</v>
      </c>
      <c r="I2473" s="758">
        <f t="shared" si="154"/>
        <v>1.8522222222222222</v>
      </c>
      <c r="J2473" s="760">
        <f t="shared" si="155"/>
        <v>0.83350000000000002</v>
      </c>
    </row>
    <row r="2474" spans="1:10">
      <c r="A2474" s="74" t="s">
        <v>860</v>
      </c>
      <c r="B2474" s="74" t="s">
        <v>268</v>
      </c>
      <c r="C2474" s="74" t="s">
        <v>1565</v>
      </c>
      <c r="D2474" s="74" t="s">
        <v>78</v>
      </c>
      <c r="E2474" s="74">
        <v>13</v>
      </c>
      <c r="F2474" s="74">
        <v>27</v>
      </c>
      <c r="G2474" s="758">
        <f t="shared" si="152"/>
        <v>0.37</v>
      </c>
      <c r="H2474" s="759">
        <f t="shared" si="153"/>
        <v>0.39</v>
      </c>
      <c r="I2474" s="758">
        <f t="shared" si="154"/>
        <v>1.706923076923077</v>
      </c>
      <c r="J2474" s="760">
        <f t="shared" si="155"/>
        <v>0.82185185185185183</v>
      </c>
    </row>
    <row r="2475" spans="1:10">
      <c r="A2475" s="74" t="s">
        <v>860</v>
      </c>
      <c r="B2475" s="74" t="s">
        <v>268</v>
      </c>
      <c r="C2475" s="74" t="s">
        <v>1530</v>
      </c>
      <c r="D2475" s="74" t="s">
        <v>80</v>
      </c>
      <c r="E2475" s="74">
        <v>2</v>
      </c>
      <c r="F2475" s="74">
        <v>4.5</v>
      </c>
      <c r="G2475" s="758">
        <f t="shared" si="152"/>
        <v>0.37</v>
      </c>
      <c r="H2475" s="759">
        <f t="shared" si="153"/>
        <v>0.39</v>
      </c>
      <c r="I2475" s="758">
        <f t="shared" si="154"/>
        <v>1.88</v>
      </c>
      <c r="J2475" s="760">
        <f t="shared" si="155"/>
        <v>0.83555555555555561</v>
      </c>
    </row>
    <row r="2476" spans="1:10">
      <c r="A2476" s="74" t="s">
        <v>860</v>
      </c>
      <c r="B2476" s="74" t="s">
        <v>268</v>
      </c>
      <c r="C2476" s="74" t="s">
        <v>1532</v>
      </c>
      <c r="D2476" s="74" t="s">
        <v>80</v>
      </c>
      <c r="E2476" s="74">
        <v>9</v>
      </c>
      <c r="F2476" s="74">
        <v>19.5</v>
      </c>
      <c r="G2476" s="758">
        <f t="shared" si="152"/>
        <v>0.37</v>
      </c>
      <c r="H2476" s="759">
        <f t="shared" si="153"/>
        <v>0.39</v>
      </c>
      <c r="I2476" s="758">
        <f t="shared" si="154"/>
        <v>1.7966666666666664</v>
      </c>
      <c r="J2476" s="760">
        <f t="shared" si="155"/>
        <v>0.82923076923076922</v>
      </c>
    </row>
    <row r="2477" spans="1:10">
      <c r="A2477" s="74" t="s">
        <v>860</v>
      </c>
      <c r="B2477" s="74" t="s">
        <v>268</v>
      </c>
      <c r="C2477" s="74" t="s">
        <v>1511</v>
      </c>
      <c r="D2477" s="74" t="s">
        <v>80</v>
      </c>
      <c r="E2477" s="74">
        <v>10</v>
      </c>
      <c r="F2477" s="74">
        <v>22.65</v>
      </c>
      <c r="G2477" s="758">
        <f t="shared" si="152"/>
        <v>0.37</v>
      </c>
      <c r="H2477" s="759">
        <f t="shared" si="153"/>
        <v>0.39</v>
      </c>
      <c r="I2477" s="758">
        <f t="shared" si="154"/>
        <v>1.8949999999999996</v>
      </c>
      <c r="J2477" s="760">
        <f t="shared" si="155"/>
        <v>0.83664459161147897</v>
      </c>
    </row>
    <row r="2478" spans="1:10">
      <c r="A2478" s="74" t="s">
        <v>860</v>
      </c>
      <c r="B2478" s="74" t="s">
        <v>268</v>
      </c>
      <c r="C2478" s="74" t="s">
        <v>1512</v>
      </c>
      <c r="D2478" s="74" t="s">
        <v>80</v>
      </c>
      <c r="E2478" s="74">
        <v>10</v>
      </c>
      <c r="F2478" s="74">
        <v>22.5</v>
      </c>
      <c r="G2478" s="758">
        <f t="shared" si="152"/>
        <v>0.37</v>
      </c>
      <c r="H2478" s="759">
        <f t="shared" si="153"/>
        <v>0.39</v>
      </c>
      <c r="I2478" s="758">
        <f t="shared" si="154"/>
        <v>1.88</v>
      </c>
      <c r="J2478" s="760">
        <f t="shared" si="155"/>
        <v>0.83555555555555561</v>
      </c>
    </row>
    <row r="2479" spans="1:10">
      <c r="A2479" s="74" t="s">
        <v>860</v>
      </c>
      <c r="B2479" s="74" t="s">
        <v>268</v>
      </c>
      <c r="C2479" s="74" t="s">
        <v>1534</v>
      </c>
      <c r="D2479" s="74" t="s">
        <v>81</v>
      </c>
      <c r="E2479" s="74">
        <v>11</v>
      </c>
      <c r="F2479" s="74">
        <v>24</v>
      </c>
      <c r="G2479" s="758">
        <f t="shared" si="152"/>
        <v>0.37</v>
      </c>
      <c r="H2479" s="759">
        <f t="shared" si="153"/>
        <v>0.39</v>
      </c>
      <c r="I2479" s="758">
        <f t="shared" si="154"/>
        <v>1.8118181818181816</v>
      </c>
      <c r="J2479" s="760">
        <f t="shared" si="155"/>
        <v>0.83041666666666669</v>
      </c>
    </row>
    <row r="2480" spans="1:10">
      <c r="A2480" s="74" t="s">
        <v>860</v>
      </c>
      <c r="B2480" s="74" t="s">
        <v>268</v>
      </c>
      <c r="C2480" s="74" t="s">
        <v>1513</v>
      </c>
      <c r="D2480" s="74" t="s">
        <v>81</v>
      </c>
      <c r="E2480" s="74">
        <v>3</v>
      </c>
      <c r="F2480" s="74">
        <v>6.9</v>
      </c>
      <c r="G2480" s="758">
        <f t="shared" si="152"/>
        <v>0.37</v>
      </c>
      <c r="H2480" s="759">
        <f t="shared" si="153"/>
        <v>0.39</v>
      </c>
      <c r="I2480" s="758">
        <f t="shared" si="154"/>
        <v>1.9300000000000002</v>
      </c>
      <c r="J2480" s="760">
        <f t="shared" si="155"/>
        <v>0.83913043478260874</v>
      </c>
    </row>
    <row r="2481" spans="1:10">
      <c r="A2481" s="74" t="s">
        <v>860</v>
      </c>
      <c r="B2481" s="74" t="s">
        <v>268</v>
      </c>
      <c r="C2481" s="74" t="s">
        <v>1514</v>
      </c>
      <c r="D2481" s="74" t="s">
        <v>81</v>
      </c>
      <c r="E2481" s="74">
        <v>5</v>
      </c>
      <c r="F2481" s="74">
        <v>11.25</v>
      </c>
      <c r="G2481" s="758">
        <f t="shared" si="152"/>
        <v>0.37</v>
      </c>
      <c r="H2481" s="759">
        <f t="shared" si="153"/>
        <v>0.39</v>
      </c>
      <c r="I2481" s="758">
        <f t="shared" si="154"/>
        <v>1.88</v>
      </c>
      <c r="J2481" s="760">
        <f t="shared" si="155"/>
        <v>0.83555555555555561</v>
      </c>
    </row>
    <row r="2482" spans="1:10">
      <c r="A2482" s="74" t="s">
        <v>860</v>
      </c>
      <c r="B2482" s="74" t="s">
        <v>268</v>
      </c>
      <c r="C2482" s="74" t="s">
        <v>1515</v>
      </c>
      <c r="D2482" s="74" t="s">
        <v>81</v>
      </c>
      <c r="E2482" s="74">
        <v>6</v>
      </c>
      <c r="F2482" s="74">
        <v>14.5</v>
      </c>
      <c r="G2482" s="758">
        <f t="shared" si="152"/>
        <v>0.37</v>
      </c>
      <c r="H2482" s="759">
        <f t="shared" si="153"/>
        <v>0.39</v>
      </c>
      <c r="I2482" s="758">
        <f t="shared" si="154"/>
        <v>2.0466666666666664</v>
      </c>
      <c r="J2482" s="760">
        <f t="shared" si="155"/>
        <v>0.84689655172413791</v>
      </c>
    </row>
    <row r="2483" spans="1:10">
      <c r="A2483" s="74" t="s">
        <v>860</v>
      </c>
      <c r="B2483" s="74" t="s">
        <v>268</v>
      </c>
      <c r="C2483" s="74" t="s">
        <v>1516</v>
      </c>
      <c r="D2483" s="74" t="s">
        <v>82</v>
      </c>
      <c r="E2483" s="74">
        <v>10</v>
      </c>
      <c r="F2483" s="74">
        <v>23.5</v>
      </c>
      <c r="G2483" s="758">
        <f t="shared" si="152"/>
        <v>0.37</v>
      </c>
      <c r="H2483" s="759">
        <f t="shared" si="153"/>
        <v>0.39</v>
      </c>
      <c r="I2483" s="758">
        <f t="shared" si="154"/>
        <v>1.98</v>
      </c>
      <c r="J2483" s="760">
        <f t="shared" si="155"/>
        <v>0.8425531914893617</v>
      </c>
    </row>
    <row r="2484" spans="1:10">
      <c r="A2484" s="74" t="s">
        <v>860</v>
      </c>
      <c r="B2484" s="74" t="s">
        <v>268</v>
      </c>
      <c r="C2484" s="74" t="s">
        <v>1517</v>
      </c>
      <c r="D2484" s="74" t="s">
        <v>82</v>
      </c>
      <c r="E2484" s="74">
        <v>11</v>
      </c>
      <c r="F2484" s="74">
        <v>24.9</v>
      </c>
      <c r="G2484" s="758">
        <f t="shared" si="152"/>
        <v>0.37</v>
      </c>
      <c r="H2484" s="759">
        <f t="shared" si="153"/>
        <v>0.39</v>
      </c>
      <c r="I2484" s="758">
        <f t="shared" si="154"/>
        <v>1.8936363636363636</v>
      </c>
      <c r="J2484" s="760">
        <f t="shared" si="155"/>
        <v>0.83654618473895581</v>
      </c>
    </row>
    <row r="2485" spans="1:10">
      <c r="A2485" s="74" t="s">
        <v>860</v>
      </c>
      <c r="B2485" s="74" t="s">
        <v>268</v>
      </c>
      <c r="C2485" s="74" t="s">
        <v>1527</v>
      </c>
      <c r="D2485" s="74" t="s">
        <v>82</v>
      </c>
      <c r="E2485" s="74">
        <v>13</v>
      </c>
      <c r="F2485" s="74">
        <v>29.25</v>
      </c>
      <c r="G2485" s="758">
        <f t="shared" si="152"/>
        <v>0.37</v>
      </c>
      <c r="H2485" s="759">
        <f t="shared" si="153"/>
        <v>0.39</v>
      </c>
      <c r="I2485" s="758">
        <f t="shared" si="154"/>
        <v>1.88</v>
      </c>
      <c r="J2485" s="760">
        <f t="shared" si="155"/>
        <v>0.83555555555555561</v>
      </c>
    </row>
    <row r="2486" spans="1:10">
      <c r="A2486" s="74" t="s">
        <v>860</v>
      </c>
      <c r="B2486" s="74" t="s">
        <v>268</v>
      </c>
      <c r="C2486" s="74" t="s">
        <v>1518</v>
      </c>
      <c r="D2486" s="74" t="s">
        <v>82</v>
      </c>
      <c r="E2486" s="74">
        <v>12</v>
      </c>
      <c r="F2486" s="74">
        <v>27</v>
      </c>
      <c r="G2486" s="758">
        <f t="shared" si="152"/>
        <v>0.37</v>
      </c>
      <c r="H2486" s="759">
        <f t="shared" si="153"/>
        <v>0.39</v>
      </c>
      <c r="I2486" s="758">
        <f t="shared" si="154"/>
        <v>1.88</v>
      </c>
      <c r="J2486" s="760">
        <f t="shared" si="155"/>
        <v>0.83555555555555561</v>
      </c>
    </row>
    <row r="2487" spans="1:10">
      <c r="A2487" s="74" t="s">
        <v>860</v>
      </c>
      <c r="B2487" s="74" t="s">
        <v>268</v>
      </c>
      <c r="C2487" s="74" t="s">
        <v>1519</v>
      </c>
      <c r="D2487" s="74" t="s">
        <v>84</v>
      </c>
      <c r="E2487" s="74">
        <v>5</v>
      </c>
      <c r="F2487" s="74">
        <v>11.25</v>
      </c>
      <c r="G2487" s="758">
        <f t="shared" si="152"/>
        <v>0.37</v>
      </c>
      <c r="H2487" s="759">
        <f t="shared" si="153"/>
        <v>0.39</v>
      </c>
      <c r="I2487" s="758">
        <f t="shared" si="154"/>
        <v>1.88</v>
      </c>
      <c r="J2487" s="760">
        <f t="shared" si="155"/>
        <v>0.83555555555555561</v>
      </c>
    </row>
    <row r="2488" spans="1:10">
      <c r="A2488" s="74" t="s">
        <v>860</v>
      </c>
      <c r="B2488" s="74" t="s">
        <v>268</v>
      </c>
      <c r="C2488" s="74" t="s">
        <v>1540</v>
      </c>
      <c r="D2488" s="74" t="s">
        <v>84</v>
      </c>
      <c r="E2488" s="74">
        <v>4</v>
      </c>
      <c r="F2488" s="74">
        <v>9</v>
      </c>
      <c r="G2488" s="758">
        <f t="shared" si="152"/>
        <v>0.37</v>
      </c>
      <c r="H2488" s="759">
        <f t="shared" si="153"/>
        <v>0.39</v>
      </c>
      <c r="I2488" s="758">
        <f t="shared" si="154"/>
        <v>1.88</v>
      </c>
      <c r="J2488" s="760">
        <f t="shared" si="155"/>
        <v>0.83555555555555561</v>
      </c>
    </row>
    <row r="2489" spans="1:10">
      <c r="A2489" s="74" t="s">
        <v>860</v>
      </c>
      <c r="B2489" s="74" t="s">
        <v>268</v>
      </c>
      <c r="C2489" s="74" t="s">
        <v>1520</v>
      </c>
      <c r="D2489" s="74" t="s">
        <v>84</v>
      </c>
      <c r="E2489" s="74">
        <v>3</v>
      </c>
      <c r="F2489" s="74">
        <v>6.75</v>
      </c>
      <c r="G2489" s="758">
        <f t="shared" si="152"/>
        <v>0.37</v>
      </c>
      <c r="H2489" s="759">
        <f t="shared" si="153"/>
        <v>0.39</v>
      </c>
      <c r="I2489" s="758">
        <f t="shared" si="154"/>
        <v>1.88</v>
      </c>
      <c r="J2489" s="760">
        <f t="shared" si="155"/>
        <v>0.83555555555555561</v>
      </c>
    </row>
    <row r="2490" spans="1:10">
      <c r="A2490" s="74" t="s">
        <v>860</v>
      </c>
      <c r="B2490" s="74" t="s">
        <v>268</v>
      </c>
      <c r="C2490" s="74" t="s">
        <v>1577</v>
      </c>
      <c r="D2490" s="74" t="s">
        <v>84</v>
      </c>
      <c r="E2490" s="74">
        <v>3</v>
      </c>
      <c r="F2490" s="74">
        <v>6.75</v>
      </c>
      <c r="G2490" s="758">
        <f t="shared" si="152"/>
        <v>0.37</v>
      </c>
      <c r="H2490" s="759">
        <f t="shared" si="153"/>
        <v>0.39</v>
      </c>
      <c r="I2490" s="758">
        <f t="shared" si="154"/>
        <v>1.88</v>
      </c>
      <c r="J2490" s="760">
        <f t="shared" si="155"/>
        <v>0.83555555555555561</v>
      </c>
    </row>
    <row r="2491" spans="1:10">
      <c r="A2491" s="74" t="s">
        <v>860</v>
      </c>
      <c r="B2491" s="74" t="s">
        <v>268</v>
      </c>
      <c r="C2491" s="74" t="s">
        <v>1507</v>
      </c>
      <c r="D2491" s="74" t="s">
        <v>86</v>
      </c>
      <c r="E2491" s="74">
        <v>6</v>
      </c>
      <c r="F2491" s="74">
        <v>13.5</v>
      </c>
      <c r="G2491" s="758">
        <f t="shared" si="152"/>
        <v>0.37</v>
      </c>
      <c r="H2491" s="759">
        <f t="shared" si="153"/>
        <v>0.39</v>
      </c>
      <c r="I2491" s="758">
        <f t="shared" si="154"/>
        <v>1.88</v>
      </c>
      <c r="J2491" s="760">
        <f t="shared" si="155"/>
        <v>0.83555555555555561</v>
      </c>
    </row>
    <row r="2492" spans="1:10">
      <c r="A2492" s="74" t="s">
        <v>860</v>
      </c>
      <c r="B2492" s="74" t="s">
        <v>268</v>
      </c>
      <c r="C2492" s="74" t="s">
        <v>1644</v>
      </c>
      <c r="D2492" s="74" t="s">
        <v>86</v>
      </c>
      <c r="E2492" s="74">
        <v>4</v>
      </c>
      <c r="F2492" s="74">
        <v>9</v>
      </c>
      <c r="G2492" s="758">
        <f t="shared" si="152"/>
        <v>0.37</v>
      </c>
      <c r="H2492" s="759">
        <f t="shared" si="153"/>
        <v>0.39</v>
      </c>
      <c r="I2492" s="758">
        <f t="shared" si="154"/>
        <v>1.88</v>
      </c>
      <c r="J2492" s="760">
        <f t="shared" si="155"/>
        <v>0.83555555555555561</v>
      </c>
    </row>
    <row r="2493" spans="1:10">
      <c r="A2493" s="74" t="s">
        <v>860</v>
      </c>
      <c r="B2493" s="74" t="s">
        <v>268</v>
      </c>
      <c r="C2493" s="74" t="s">
        <v>1578</v>
      </c>
      <c r="D2493" s="74" t="s">
        <v>86</v>
      </c>
      <c r="E2493" s="74">
        <v>3</v>
      </c>
      <c r="F2493" s="74">
        <v>6.75</v>
      </c>
      <c r="G2493" s="758">
        <f t="shared" si="152"/>
        <v>0.37</v>
      </c>
      <c r="H2493" s="759">
        <f t="shared" si="153"/>
        <v>0.39</v>
      </c>
      <c r="I2493" s="758">
        <f t="shared" si="154"/>
        <v>1.88</v>
      </c>
      <c r="J2493" s="760">
        <f t="shared" si="155"/>
        <v>0.83555555555555561</v>
      </c>
    </row>
    <row r="2494" spans="1:10">
      <c r="A2494" s="74" t="s">
        <v>860</v>
      </c>
      <c r="B2494" s="74" t="s">
        <v>268</v>
      </c>
      <c r="C2494" s="74" t="s">
        <v>1646</v>
      </c>
      <c r="D2494" s="74" t="s">
        <v>86</v>
      </c>
      <c r="E2494" s="74">
        <v>5</v>
      </c>
      <c r="F2494" s="74">
        <v>11.25</v>
      </c>
      <c r="G2494" s="758">
        <f t="shared" si="152"/>
        <v>0.37</v>
      </c>
      <c r="H2494" s="759">
        <f t="shared" si="153"/>
        <v>0.39</v>
      </c>
      <c r="I2494" s="758">
        <f t="shared" si="154"/>
        <v>1.88</v>
      </c>
      <c r="J2494" s="760">
        <f t="shared" si="155"/>
        <v>0.83555555555555561</v>
      </c>
    </row>
    <row r="2495" spans="1:10">
      <c r="A2495" s="74" t="s">
        <v>860</v>
      </c>
      <c r="B2495" s="74" t="s">
        <v>268</v>
      </c>
      <c r="C2495" s="74" t="s">
        <v>1541</v>
      </c>
      <c r="D2495" s="74" t="s">
        <v>86</v>
      </c>
      <c r="E2495" s="74">
        <v>9</v>
      </c>
      <c r="F2495" s="74">
        <v>20.25</v>
      </c>
      <c r="G2495" s="758">
        <f t="shared" si="152"/>
        <v>0.37</v>
      </c>
      <c r="H2495" s="759">
        <f t="shared" si="153"/>
        <v>0.39</v>
      </c>
      <c r="I2495" s="758">
        <f t="shared" si="154"/>
        <v>1.88</v>
      </c>
      <c r="J2495" s="760">
        <f t="shared" si="155"/>
        <v>0.83555555555555561</v>
      </c>
    </row>
    <row r="2496" spans="1:10">
      <c r="A2496" s="74" t="s">
        <v>860</v>
      </c>
      <c r="B2496" s="74" t="s">
        <v>268</v>
      </c>
      <c r="C2496" s="74" t="s">
        <v>1543</v>
      </c>
      <c r="D2496" s="74" t="s">
        <v>87</v>
      </c>
      <c r="E2496" s="74">
        <v>3</v>
      </c>
      <c r="F2496" s="74">
        <v>6.75</v>
      </c>
      <c r="G2496" s="758">
        <f t="shared" si="152"/>
        <v>0.37</v>
      </c>
      <c r="H2496" s="759">
        <f t="shared" si="153"/>
        <v>0.39</v>
      </c>
      <c r="I2496" s="758">
        <f t="shared" si="154"/>
        <v>1.88</v>
      </c>
      <c r="J2496" s="760">
        <f t="shared" si="155"/>
        <v>0.83555555555555561</v>
      </c>
    </row>
    <row r="2497" spans="1:10">
      <c r="A2497" s="74" t="s">
        <v>860</v>
      </c>
      <c r="B2497" s="74" t="s">
        <v>268</v>
      </c>
      <c r="C2497" s="74" t="s">
        <v>1544</v>
      </c>
      <c r="D2497" s="74" t="s">
        <v>87</v>
      </c>
      <c r="E2497" s="74">
        <v>5</v>
      </c>
      <c r="F2497" s="74">
        <v>11.25</v>
      </c>
      <c r="G2497" s="758">
        <f t="shared" si="152"/>
        <v>0.37</v>
      </c>
      <c r="H2497" s="759">
        <f t="shared" si="153"/>
        <v>0.39</v>
      </c>
      <c r="I2497" s="758">
        <f t="shared" si="154"/>
        <v>1.88</v>
      </c>
      <c r="J2497" s="760">
        <f t="shared" si="155"/>
        <v>0.83555555555555561</v>
      </c>
    </row>
    <row r="2498" spans="1:10">
      <c r="A2498" s="74" t="s">
        <v>860</v>
      </c>
      <c r="B2498" s="74" t="s">
        <v>268</v>
      </c>
      <c r="C2498" s="74" t="s">
        <v>1605</v>
      </c>
      <c r="D2498" s="74" t="s">
        <v>87</v>
      </c>
      <c r="E2498" s="74">
        <v>8</v>
      </c>
      <c r="F2498" s="74">
        <v>18</v>
      </c>
      <c r="G2498" s="758">
        <f t="shared" ref="G2498:G2561" si="156">IFERROR(VLOOKUP(A2498,$M$1:$P$1014,2,FALSE),0)</f>
        <v>0.37</v>
      </c>
      <c r="H2498" s="759">
        <f t="shared" ref="H2498:H2561" si="157">IFERROR(VLOOKUP(A2498,$M$1:$P$1014,3,FALSE),0)</f>
        <v>0.39</v>
      </c>
      <c r="I2498" s="758">
        <f t="shared" ref="I2498:I2561" si="158">IFERROR(F2498/E2498-G2498,0)</f>
        <v>1.88</v>
      </c>
      <c r="J2498" s="760">
        <f t="shared" ref="J2498:J2561" si="159">IFERROR(1-G2498*E2498/F2498,0)</f>
        <v>0.83555555555555561</v>
      </c>
    </row>
    <row r="2499" spans="1:10">
      <c r="A2499" s="74" t="s">
        <v>860</v>
      </c>
      <c r="B2499" s="74" t="s">
        <v>268</v>
      </c>
      <c r="C2499" s="74" t="s">
        <v>1561</v>
      </c>
      <c r="D2499" s="74" t="s">
        <v>87</v>
      </c>
      <c r="E2499" s="74">
        <v>7</v>
      </c>
      <c r="F2499" s="74">
        <v>15.75</v>
      </c>
      <c r="G2499" s="758">
        <f t="shared" si="156"/>
        <v>0.37</v>
      </c>
      <c r="H2499" s="759">
        <f t="shared" si="157"/>
        <v>0.39</v>
      </c>
      <c r="I2499" s="758">
        <f t="shared" si="158"/>
        <v>1.88</v>
      </c>
      <c r="J2499" s="760">
        <f t="shared" si="159"/>
        <v>0.83555555555555561</v>
      </c>
    </row>
    <row r="2500" spans="1:10">
      <c r="A2500" s="74" t="s">
        <v>860</v>
      </c>
      <c r="B2500" s="74" t="s">
        <v>268</v>
      </c>
      <c r="C2500" s="74" t="s">
        <v>1608</v>
      </c>
      <c r="D2500" s="74" t="s">
        <v>89</v>
      </c>
      <c r="E2500" s="74">
        <v>10</v>
      </c>
      <c r="F2500" s="74">
        <v>22.8</v>
      </c>
      <c r="G2500" s="758">
        <f t="shared" si="156"/>
        <v>0.37</v>
      </c>
      <c r="H2500" s="759">
        <f t="shared" si="157"/>
        <v>0.39</v>
      </c>
      <c r="I2500" s="758">
        <f t="shared" si="158"/>
        <v>1.9100000000000001</v>
      </c>
      <c r="J2500" s="760">
        <f t="shared" si="159"/>
        <v>0.83771929824561409</v>
      </c>
    </row>
    <row r="2501" spans="1:10">
      <c r="A2501" s="74" t="s">
        <v>860</v>
      </c>
      <c r="B2501" s="74" t="s">
        <v>268</v>
      </c>
      <c r="C2501" s="74" t="s">
        <v>1610</v>
      </c>
      <c r="D2501" s="74" t="s">
        <v>89</v>
      </c>
      <c r="E2501" s="74">
        <v>9</v>
      </c>
      <c r="F2501" s="74">
        <v>20.25</v>
      </c>
      <c r="G2501" s="758">
        <f t="shared" si="156"/>
        <v>0.37</v>
      </c>
      <c r="H2501" s="759">
        <f t="shared" si="157"/>
        <v>0.39</v>
      </c>
      <c r="I2501" s="758">
        <f t="shared" si="158"/>
        <v>1.88</v>
      </c>
      <c r="J2501" s="760">
        <f t="shared" si="159"/>
        <v>0.83555555555555561</v>
      </c>
    </row>
    <row r="2502" spans="1:10">
      <c r="A2502" s="74" t="s">
        <v>860</v>
      </c>
      <c r="B2502" s="74" t="s">
        <v>268</v>
      </c>
      <c r="C2502" s="74" t="s">
        <v>1546</v>
      </c>
      <c r="D2502" s="74" t="s">
        <v>89</v>
      </c>
      <c r="E2502" s="74">
        <v>7</v>
      </c>
      <c r="F2502" s="74">
        <v>15.75</v>
      </c>
      <c r="G2502" s="758">
        <f t="shared" si="156"/>
        <v>0.37</v>
      </c>
      <c r="H2502" s="759">
        <f t="shared" si="157"/>
        <v>0.39</v>
      </c>
      <c r="I2502" s="758">
        <f t="shared" si="158"/>
        <v>1.88</v>
      </c>
      <c r="J2502" s="760">
        <f t="shared" si="159"/>
        <v>0.83555555555555561</v>
      </c>
    </row>
    <row r="2503" spans="1:10">
      <c r="A2503" s="74" t="s">
        <v>860</v>
      </c>
      <c r="B2503" s="74" t="s">
        <v>268</v>
      </c>
      <c r="C2503" s="74" t="s">
        <v>1547</v>
      </c>
      <c r="D2503" s="74" t="s">
        <v>89</v>
      </c>
      <c r="E2503" s="74">
        <v>12</v>
      </c>
      <c r="F2503" s="74">
        <v>27</v>
      </c>
      <c r="G2503" s="758">
        <f t="shared" si="156"/>
        <v>0.37</v>
      </c>
      <c r="H2503" s="759">
        <f t="shared" si="157"/>
        <v>0.39</v>
      </c>
      <c r="I2503" s="758">
        <f t="shared" si="158"/>
        <v>1.88</v>
      </c>
      <c r="J2503" s="760">
        <f t="shared" si="159"/>
        <v>0.83555555555555561</v>
      </c>
    </row>
    <row r="2504" spans="1:10">
      <c r="A2504" s="74" t="s">
        <v>860</v>
      </c>
      <c r="B2504" s="74" t="s">
        <v>268</v>
      </c>
      <c r="C2504" s="74" t="s">
        <v>1582</v>
      </c>
      <c r="D2504" s="74" t="s">
        <v>89</v>
      </c>
      <c r="E2504" s="74">
        <v>4</v>
      </c>
      <c r="F2504" s="74">
        <v>9</v>
      </c>
      <c r="G2504" s="758">
        <f t="shared" si="156"/>
        <v>0.37</v>
      </c>
      <c r="H2504" s="759">
        <f t="shared" si="157"/>
        <v>0.39</v>
      </c>
      <c r="I2504" s="758">
        <f t="shared" si="158"/>
        <v>1.88</v>
      </c>
      <c r="J2504" s="760">
        <f t="shared" si="159"/>
        <v>0.83555555555555561</v>
      </c>
    </row>
    <row r="2505" spans="1:10">
      <c r="A2505" s="74" t="s">
        <v>860</v>
      </c>
      <c r="B2505" s="74" t="s">
        <v>268</v>
      </c>
      <c r="C2505" s="74" t="s">
        <v>1522</v>
      </c>
      <c r="D2505" s="74" t="s">
        <v>91</v>
      </c>
      <c r="E2505" s="74">
        <v>5</v>
      </c>
      <c r="F2505" s="74">
        <v>11.4</v>
      </c>
      <c r="G2505" s="758">
        <f t="shared" si="156"/>
        <v>0.37</v>
      </c>
      <c r="H2505" s="759">
        <f t="shared" si="157"/>
        <v>0.39</v>
      </c>
      <c r="I2505" s="758">
        <f t="shared" si="158"/>
        <v>1.9100000000000001</v>
      </c>
      <c r="J2505" s="760">
        <f t="shared" si="159"/>
        <v>0.83771929824561409</v>
      </c>
    </row>
    <row r="2506" spans="1:10">
      <c r="A2506" s="74" t="s">
        <v>860</v>
      </c>
      <c r="B2506" s="74" t="s">
        <v>268</v>
      </c>
      <c r="C2506" s="74" t="s">
        <v>1550</v>
      </c>
      <c r="D2506" s="74" t="s">
        <v>91</v>
      </c>
      <c r="E2506" s="74">
        <v>3</v>
      </c>
      <c r="F2506" s="74">
        <v>6.75</v>
      </c>
      <c r="G2506" s="758">
        <f t="shared" si="156"/>
        <v>0.37</v>
      </c>
      <c r="H2506" s="759">
        <f t="shared" si="157"/>
        <v>0.39</v>
      </c>
      <c r="I2506" s="758">
        <f t="shared" si="158"/>
        <v>1.88</v>
      </c>
      <c r="J2506" s="760">
        <f t="shared" si="159"/>
        <v>0.83555555555555561</v>
      </c>
    </row>
    <row r="2507" spans="1:10">
      <c r="A2507" s="74" t="s">
        <v>860</v>
      </c>
      <c r="B2507" s="74" t="s">
        <v>268</v>
      </c>
      <c r="C2507" s="74" t="s">
        <v>1675</v>
      </c>
      <c r="D2507" s="74" t="s">
        <v>91</v>
      </c>
      <c r="E2507" s="74">
        <v>3</v>
      </c>
      <c r="F2507" s="74">
        <v>6.75</v>
      </c>
      <c r="G2507" s="758">
        <f t="shared" si="156"/>
        <v>0.37</v>
      </c>
      <c r="H2507" s="759">
        <f t="shared" si="157"/>
        <v>0.39</v>
      </c>
      <c r="I2507" s="758">
        <f t="shared" si="158"/>
        <v>1.88</v>
      </c>
      <c r="J2507" s="760">
        <f t="shared" si="159"/>
        <v>0.83555555555555561</v>
      </c>
    </row>
    <row r="2508" spans="1:10">
      <c r="A2508" s="74" t="s">
        <v>860</v>
      </c>
      <c r="B2508" s="74" t="s">
        <v>268</v>
      </c>
      <c r="C2508" s="74" t="s">
        <v>1524</v>
      </c>
      <c r="D2508" s="74" t="s">
        <v>91</v>
      </c>
      <c r="E2508" s="74">
        <v>5</v>
      </c>
      <c r="F2508" s="74">
        <v>11.25</v>
      </c>
      <c r="G2508" s="758">
        <f t="shared" si="156"/>
        <v>0.37</v>
      </c>
      <c r="H2508" s="759">
        <f t="shared" si="157"/>
        <v>0.39</v>
      </c>
      <c r="I2508" s="758">
        <f t="shared" si="158"/>
        <v>1.88</v>
      </c>
      <c r="J2508" s="760">
        <f t="shared" si="159"/>
        <v>0.83555555555555561</v>
      </c>
    </row>
    <row r="2509" spans="1:10">
      <c r="A2509" s="74" t="s">
        <v>860</v>
      </c>
      <c r="B2509" s="74" t="s">
        <v>268</v>
      </c>
      <c r="C2509" s="74" t="s">
        <v>1584</v>
      </c>
      <c r="D2509" s="74" t="s">
        <v>92</v>
      </c>
      <c r="E2509" s="74">
        <v>2</v>
      </c>
      <c r="F2509" s="74">
        <v>4.5</v>
      </c>
      <c r="G2509" s="758">
        <f t="shared" si="156"/>
        <v>0.37</v>
      </c>
      <c r="H2509" s="759">
        <f t="shared" si="157"/>
        <v>0.39</v>
      </c>
      <c r="I2509" s="758">
        <f t="shared" si="158"/>
        <v>1.88</v>
      </c>
      <c r="J2509" s="760">
        <f t="shared" si="159"/>
        <v>0.83555555555555561</v>
      </c>
    </row>
    <row r="2510" spans="1:10">
      <c r="A2510" s="74" t="s">
        <v>860</v>
      </c>
      <c r="B2510" s="74" t="s">
        <v>268</v>
      </c>
      <c r="C2510" s="74" t="s">
        <v>1614</v>
      </c>
      <c r="D2510" s="74" t="s">
        <v>92</v>
      </c>
      <c r="E2510" s="74">
        <v>9</v>
      </c>
      <c r="F2510" s="74">
        <v>20.25</v>
      </c>
      <c r="G2510" s="758">
        <f t="shared" si="156"/>
        <v>0.37</v>
      </c>
      <c r="H2510" s="759">
        <f t="shared" si="157"/>
        <v>0.39</v>
      </c>
      <c r="I2510" s="758">
        <f t="shared" si="158"/>
        <v>1.88</v>
      </c>
      <c r="J2510" s="760">
        <f t="shared" si="159"/>
        <v>0.83555555555555561</v>
      </c>
    </row>
    <row r="2511" spans="1:10">
      <c r="A2511" s="74" t="s">
        <v>860</v>
      </c>
      <c r="B2511" s="74" t="s">
        <v>268</v>
      </c>
      <c r="C2511" s="74" t="s">
        <v>1631</v>
      </c>
      <c r="D2511" s="74" t="s">
        <v>92</v>
      </c>
      <c r="E2511" s="74">
        <v>3</v>
      </c>
      <c r="F2511" s="74">
        <v>6.75</v>
      </c>
      <c r="G2511" s="758">
        <f t="shared" si="156"/>
        <v>0.37</v>
      </c>
      <c r="H2511" s="759">
        <f t="shared" si="157"/>
        <v>0.39</v>
      </c>
      <c r="I2511" s="758">
        <f t="shared" si="158"/>
        <v>1.88</v>
      </c>
      <c r="J2511" s="760">
        <f t="shared" si="159"/>
        <v>0.83555555555555561</v>
      </c>
    </row>
    <row r="2512" spans="1:10">
      <c r="A2512" s="74" t="s">
        <v>860</v>
      </c>
      <c r="B2512" s="74" t="s">
        <v>268</v>
      </c>
      <c r="C2512" s="74" t="s">
        <v>1552</v>
      </c>
      <c r="D2512" s="74" t="s">
        <v>92</v>
      </c>
      <c r="E2512" s="74">
        <v>7</v>
      </c>
      <c r="F2512" s="74">
        <v>15.75</v>
      </c>
      <c r="G2512" s="758">
        <f t="shared" si="156"/>
        <v>0.37</v>
      </c>
      <c r="H2512" s="759">
        <f t="shared" si="157"/>
        <v>0.39</v>
      </c>
      <c r="I2512" s="758">
        <f t="shared" si="158"/>
        <v>1.88</v>
      </c>
      <c r="J2512" s="760">
        <f t="shared" si="159"/>
        <v>0.83555555555555561</v>
      </c>
    </row>
    <row r="2513" spans="1:10">
      <c r="A2513" s="74" t="s">
        <v>860</v>
      </c>
      <c r="B2513" s="74" t="s">
        <v>268</v>
      </c>
      <c r="C2513" s="74" t="s">
        <v>1617</v>
      </c>
      <c r="D2513" s="74" t="s">
        <v>94</v>
      </c>
      <c r="E2513" s="74">
        <v>5</v>
      </c>
      <c r="F2513" s="74">
        <v>11.25</v>
      </c>
      <c r="G2513" s="758">
        <f t="shared" si="156"/>
        <v>0.37</v>
      </c>
      <c r="H2513" s="759">
        <f t="shared" si="157"/>
        <v>0.39</v>
      </c>
      <c r="I2513" s="758">
        <f t="shared" si="158"/>
        <v>1.88</v>
      </c>
      <c r="J2513" s="760">
        <f t="shared" si="159"/>
        <v>0.83555555555555561</v>
      </c>
    </row>
    <row r="2514" spans="1:10">
      <c r="A2514" s="74" t="s">
        <v>860</v>
      </c>
      <c r="B2514" s="74" t="s">
        <v>268</v>
      </c>
      <c r="C2514" s="74" t="s">
        <v>1553</v>
      </c>
      <c r="D2514" s="74" t="s">
        <v>94</v>
      </c>
      <c r="E2514" s="74">
        <v>6</v>
      </c>
      <c r="F2514" s="74">
        <v>13.5</v>
      </c>
      <c r="G2514" s="758">
        <f t="shared" si="156"/>
        <v>0.37</v>
      </c>
      <c r="H2514" s="759">
        <f t="shared" si="157"/>
        <v>0.39</v>
      </c>
      <c r="I2514" s="758">
        <f t="shared" si="158"/>
        <v>1.88</v>
      </c>
      <c r="J2514" s="760">
        <f t="shared" si="159"/>
        <v>0.83555555555555561</v>
      </c>
    </row>
    <row r="2515" spans="1:10">
      <c r="A2515" s="74" t="s">
        <v>860</v>
      </c>
      <c r="B2515" s="74" t="s">
        <v>268</v>
      </c>
      <c r="C2515" s="74" t="s">
        <v>1555</v>
      </c>
      <c r="D2515" s="74" t="s">
        <v>94</v>
      </c>
      <c r="E2515" s="74">
        <v>7</v>
      </c>
      <c r="F2515" s="74">
        <v>15.75</v>
      </c>
      <c r="G2515" s="758">
        <f t="shared" si="156"/>
        <v>0.37</v>
      </c>
      <c r="H2515" s="759">
        <f t="shared" si="157"/>
        <v>0.39</v>
      </c>
      <c r="I2515" s="758">
        <f t="shared" si="158"/>
        <v>1.88</v>
      </c>
      <c r="J2515" s="760">
        <f t="shared" si="159"/>
        <v>0.83555555555555561</v>
      </c>
    </row>
    <row r="2516" spans="1:10">
      <c r="A2516" s="74" t="s">
        <v>860</v>
      </c>
      <c r="B2516" s="74" t="s">
        <v>268</v>
      </c>
      <c r="C2516" s="74" t="s">
        <v>1557</v>
      </c>
      <c r="D2516" s="74" t="s">
        <v>95</v>
      </c>
      <c r="E2516" s="74">
        <v>2</v>
      </c>
      <c r="F2516" s="74">
        <v>4.5</v>
      </c>
      <c r="G2516" s="758">
        <f t="shared" si="156"/>
        <v>0.37</v>
      </c>
      <c r="H2516" s="759">
        <f t="shared" si="157"/>
        <v>0.39</v>
      </c>
      <c r="I2516" s="758">
        <f t="shared" si="158"/>
        <v>1.88</v>
      </c>
      <c r="J2516" s="760">
        <f t="shared" si="159"/>
        <v>0.83555555555555561</v>
      </c>
    </row>
    <row r="2517" spans="1:10">
      <c r="A2517" s="74" t="s">
        <v>860</v>
      </c>
      <c r="B2517" s="74" t="s">
        <v>268</v>
      </c>
      <c r="C2517" s="74" t="s">
        <v>1526</v>
      </c>
      <c r="D2517" s="74" t="s">
        <v>95</v>
      </c>
      <c r="E2517" s="74">
        <v>6</v>
      </c>
      <c r="F2517" s="74">
        <v>13.5</v>
      </c>
      <c r="G2517" s="758">
        <f t="shared" si="156"/>
        <v>0.37</v>
      </c>
      <c r="H2517" s="759">
        <f t="shared" si="157"/>
        <v>0.39</v>
      </c>
      <c r="I2517" s="758">
        <f t="shared" si="158"/>
        <v>1.88</v>
      </c>
      <c r="J2517" s="760">
        <f t="shared" si="159"/>
        <v>0.83555555555555561</v>
      </c>
    </row>
    <row r="2518" spans="1:10">
      <c r="A2518" s="74" t="s">
        <v>860</v>
      </c>
      <c r="B2518" s="74" t="s">
        <v>268</v>
      </c>
      <c r="C2518" s="74" t="s">
        <v>1930</v>
      </c>
      <c r="D2518" s="74" t="s">
        <v>95</v>
      </c>
      <c r="E2518" s="74">
        <v>2</v>
      </c>
      <c r="F2518" s="74">
        <v>4.5</v>
      </c>
      <c r="G2518" s="758">
        <f t="shared" si="156"/>
        <v>0.37</v>
      </c>
      <c r="H2518" s="759">
        <f t="shared" si="157"/>
        <v>0.39</v>
      </c>
      <c r="I2518" s="758">
        <f t="shared" si="158"/>
        <v>1.88</v>
      </c>
      <c r="J2518" s="760">
        <f t="shared" si="159"/>
        <v>0.83555555555555561</v>
      </c>
    </row>
    <row r="2519" spans="1:10">
      <c r="A2519" s="74" t="s">
        <v>1789</v>
      </c>
      <c r="B2519" s="74" t="s">
        <v>268</v>
      </c>
      <c r="C2519" s="74" t="s">
        <v>1610</v>
      </c>
      <c r="D2519" s="74" t="s">
        <v>89</v>
      </c>
      <c r="E2519" s="74">
        <v>1</v>
      </c>
      <c r="F2519" s="74">
        <v>0</v>
      </c>
      <c r="G2519" s="758">
        <f t="shared" si="156"/>
        <v>0</v>
      </c>
      <c r="H2519" s="759">
        <f t="shared" si="157"/>
        <v>0</v>
      </c>
      <c r="I2519" s="758">
        <f t="shared" si="158"/>
        <v>0</v>
      </c>
      <c r="J2519" s="760">
        <f t="shared" si="159"/>
        <v>0</v>
      </c>
    </row>
    <row r="2520" spans="1:10">
      <c r="A2520" s="74" t="s">
        <v>1005</v>
      </c>
      <c r="B2520" s="74" t="s">
        <v>268</v>
      </c>
      <c r="C2520" s="74" t="s">
        <v>1507</v>
      </c>
      <c r="D2520" s="74" t="s">
        <v>86</v>
      </c>
      <c r="E2520" s="74">
        <v>1</v>
      </c>
      <c r="F2520" s="74">
        <v>2.5499999999999998</v>
      </c>
      <c r="G2520" s="758">
        <f t="shared" si="156"/>
        <v>0</v>
      </c>
      <c r="H2520" s="759">
        <f t="shared" si="157"/>
        <v>0</v>
      </c>
      <c r="I2520" s="758">
        <f t="shared" si="158"/>
        <v>2.5499999999999998</v>
      </c>
      <c r="J2520" s="760">
        <f t="shared" si="159"/>
        <v>1</v>
      </c>
    </row>
    <row r="2521" spans="1:10">
      <c r="A2521" s="74" t="s">
        <v>1005</v>
      </c>
      <c r="B2521" s="74" t="s">
        <v>268</v>
      </c>
      <c r="C2521" s="74" t="s">
        <v>1644</v>
      </c>
      <c r="D2521" s="74" t="s">
        <v>86</v>
      </c>
      <c r="E2521" s="74">
        <v>1</v>
      </c>
      <c r="F2521" s="74">
        <v>2.5499999999999998</v>
      </c>
      <c r="G2521" s="758">
        <f t="shared" si="156"/>
        <v>0</v>
      </c>
      <c r="H2521" s="759">
        <f t="shared" si="157"/>
        <v>0</v>
      </c>
      <c r="I2521" s="758">
        <f t="shared" si="158"/>
        <v>2.5499999999999998</v>
      </c>
      <c r="J2521" s="760">
        <f t="shared" si="159"/>
        <v>1</v>
      </c>
    </row>
    <row r="2522" spans="1:10">
      <c r="A2522" s="74" t="s">
        <v>1005</v>
      </c>
      <c r="B2522" s="74" t="s">
        <v>268</v>
      </c>
      <c r="C2522" s="74" t="s">
        <v>1543</v>
      </c>
      <c r="D2522" s="74" t="s">
        <v>87</v>
      </c>
      <c r="E2522" s="74">
        <v>1</v>
      </c>
      <c r="F2522" s="74">
        <v>2.9</v>
      </c>
      <c r="G2522" s="758">
        <f t="shared" si="156"/>
        <v>0</v>
      </c>
      <c r="H2522" s="759">
        <f t="shared" si="157"/>
        <v>0</v>
      </c>
      <c r="I2522" s="758">
        <f t="shared" si="158"/>
        <v>2.9</v>
      </c>
      <c r="J2522" s="760">
        <f t="shared" si="159"/>
        <v>1</v>
      </c>
    </row>
    <row r="2523" spans="1:10">
      <c r="A2523" s="74" t="s">
        <v>1005</v>
      </c>
      <c r="B2523" s="74" t="s">
        <v>268</v>
      </c>
      <c r="C2523" s="74" t="s">
        <v>1561</v>
      </c>
      <c r="D2523" s="74" t="s">
        <v>87</v>
      </c>
      <c r="E2523" s="74">
        <v>4</v>
      </c>
      <c r="F2523" s="74">
        <v>11.6</v>
      </c>
      <c r="G2523" s="758">
        <f t="shared" si="156"/>
        <v>0</v>
      </c>
      <c r="H2523" s="759">
        <f t="shared" si="157"/>
        <v>0</v>
      </c>
      <c r="I2523" s="758">
        <f t="shared" si="158"/>
        <v>2.9</v>
      </c>
      <c r="J2523" s="760">
        <f t="shared" si="159"/>
        <v>1</v>
      </c>
    </row>
    <row r="2524" spans="1:10">
      <c r="A2524" s="74" t="s">
        <v>1005</v>
      </c>
      <c r="B2524" s="74" t="s">
        <v>268</v>
      </c>
      <c r="C2524" s="74" t="s">
        <v>1608</v>
      </c>
      <c r="D2524" s="74" t="s">
        <v>89</v>
      </c>
      <c r="E2524" s="74">
        <v>5</v>
      </c>
      <c r="F2524" s="74">
        <v>14.5</v>
      </c>
      <c r="G2524" s="758">
        <f t="shared" si="156"/>
        <v>0</v>
      </c>
      <c r="H2524" s="759">
        <f t="shared" si="157"/>
        <v>0</v>
      </c>
      <c r="I2524" s="758">
        <f t="shared" si="158"/>
        <v>2.9</v>
      </c>
      <c r="J2524" s="760">
        <f t="shared" si="159"/>
        <v>1</v>
      </c>
    </row>
    <row r="2525" spans="1:10">
      <c r="A2525" s="74" t="s">
        <v>1005</v>
      </c>
      <c r="B2525" s="74" t="s">
        <v>268</v>
      </c>
      <c r="C2525" s="74" t="s">
        <v>1582</v>
      </c>
      <c r="D2525" s="74" t="s">
        <v>89</v>
      </c>
      <c r="E2525" s="74">
        <v>3</v>
      </c>
      <c r="F2525" s="74">
        <v>8.6999999999999993</v>
      </c>
      <c r="G2525" s="758">
        <f t="shared" si="156"/>
        <v>0</v>
      </c>
      <c r="H2525" s="759">
        <f t="shared" si="157"/>
        <v>0</v>
      </c>
      <c r="I2525" s="758">
        <f t="shared" si="158"/>
        <v>2.9</v>
      </c>
      <c r="J2525" s="760">
        <f t="shared" si="159"/>
        <v>1</v>
      </c>
    </row>
    <row r="2526" spans="1:10">
      <c r="A2526" s="74" t="s">
        <v>921</v>
      </c>
      <c r="B2526" s="74" t="s">
        <v>873</v>
      </c>
      <c r="C2526" s="74" t="s">
        <v>1930</v>
      </c>
      <c r="D2526" s="74" t="s">
        <v>95</v>
      </c>
      <c r="E2526" s="74">
        <v>6</v>
      </c>
      <c r="F2526" s="74">
        <v>0</v>
      </c>
      <c r="G2526" s="758">
        <f t="shared" si="156"/>
        <v>0</v>
      </c>
      <c r="H2526" s="759">
        <f t="shared" si="157"/>
        <v>0</v>
      </c>
      <c r="I2526" s="758">
        <f t="shared" si="158"/>
        <v>0</v>
      </c>
      <c r="J2526" s="760">
        <f t="shared" si="159"/>
        <v>0</v>
      </c>
    </row>
    <row r="2527" spans="1:10">
      <c r="A2527" s="74" t="s">
        <v>806</v>
      </c>
      <c r="B2527" s="74" t="s">
        <v>256</v>
      </c>
      <c r="C2527" s="74" t="s">
        <v>1512</v>
      </c>
      <c r="D2527" s="74" t="s">
        <v>80</v>
      </c>
      <c r="E2527" s="74">
        <v>23</v>
      </c>
      <c r="F2527" s="74">
        <v>-1.23</v>
      </c>
      <c r="G2527" s="758">
        <f t="shared" si="156"/>
        <v>0</v>
      </c>
      <c r="H2527" s="759">
        <f t="shared" si="157"/>
        <v>0</v>
      </c>
      <c r="I2527" s="758">
        <f t="shared" si="158"/>
        <v>-5.3478260869565218E-2</v>
      </c>
      <c r="J2527" s="760">
        <f t="shared" si="159"/>
        <v>1</v>
      </c>
    </row>
    <row r="2528" spans="1:10">
      <c r="A2528" s="74" t="s">
        <v>806</v>
      </c>
      <c r="B2528" s="74" t="s">
        <v>256</v>
      </c>
      <c r="C2528" s="74" t="s">
        <v>1513</v>
      </c>
      <c r="D2528" s="74" t="s">
        <v>81</v>
      </c>
      <c r="E2528" s="74">
        <v>42</v>
      </c>
      <c r="F2528" s="74">
        <v>-6.27</v>
      </c>
      <c r="G2528" s="758">
        <f t="shared" si="156"/>
        <v>0</v>
      </c>
      <c r="H2528" s="759">
        <f t="shared" si="157"/>
        <v>0</v>
      </c>
      <c r="I2528" s="758">
        <f t="shared" si="158"/>
        <v>-0.14928571428571427</v>
      </c>
      <c r="J2528" s="760">
        <f t="shared" si="159"/>
        <v>1</v>
      </c>
    </row>
    <row r="2529" spans="1:10">
      <c r="A2529" s="74" t="s">
        <v>806</v>
      </c>
      <c r="B2529" s="74" t="s">
        <v>256</v>
      </c>
      <c r="C2529" s="74" t="s">
        <v>1514</v>
      </c>
      <c r="D2529" s="74" t="s">
        <v>81</v>
      </c>
      <c r="E2529" s="74">
        <v>21</v>
      </c>
      <c r="F2529" s="74">
        <v>-1.59</v>
      </c>
      <c r="G2529" s="758">
        <f t="shared" si="156"/>
        <v>0</v>
      </c>
      <c r="H2529" s="759">
        <f t="shared" si="157"/>
        <v>0</v>
      </c>
      <c r="I2529" s="758">
        <f t="shared" si="158"/>
        <v>-7.571428571428572E-2</v>
      </c>
      <c r="J2529" s="760">
        <f t="shared" si="159"/>
        <v>1</v>
      </c>
    </row>
    <row r="2530" spans="1:10">
      <c r="A2530" s="74" t="s">
        <v>806</v>
      </c>
      <c r="B2530" s="74" t="s">
        <v>256</v>
      </c>
      <c r="C2530" s="74" t="s">
        <v>1515</v>
      </c>
      <c r="D2530" s="74" t="s">
        <v>81</v>
      </c>
      <c r="E2530" s="74">
        <v>18</v>
      </c>
      <c r="F2530" s="74">
        <v>-2.59</v>
      </c>
      <c r="G2530" s="758">
        <f t="shared" si="156"/>
        <v>0</v>
      </c>
      <c r="H2530" s="759">
        <f t="shared" si="157"/>
        <v>0</v>
      </c>
      <c r="I2530" s="758">
        <f t="shared" si="158"/>
        <v>-0.14388888888888887</v>
      </c>
      <c r="J2530" s="760">
        <f t="shared" si="159"/>
        <v>1</v>
      </c>
    </row>
    <row r="2531" spans="1:10">
      <c r="A2531" s="74" t="s">
        <v>1790</v>
      </c>
      <c r="B2531" s="74" t="s">
        <v>256</v>
      </c>
      <c r="C2531" s="74" t="s">
        <v>1528</v>
      </c>
      <c r="D2531" s="74" t="s">
        <v>78</v>
      </c>
      <c r="E2531" s="74">
        <v>8</v>
      </c>
      <c r="F2531" s="74">
        <v>63.7</v>
      </c>
      <c r="G2531" s="758">
        <f t="shared" si="156"/>
        <v>1.34</v>
      </c>
      <c r="H2531" s="759">
        <f t="shared" si="157"/>
        <v>0.18</v>
      </c>
      <c r="I2531" s="758">
        <f t="shared" si="158"/>
        <v>6.6225000000000005</v>
      </c>
      <c r="J2531" s="760">
        <f t="shared" si="159"/>
        <v>0.83171114599686025</v>
      </c>
    </row>
    <row r="2532" spans="1:10">
      <c r="A2532" s="74" t="s">
        <v>1790</v>
      </c>
      <c r="B2532" s="74" t="s">
        <v>256</v>
      </c>
      <c r="C2532" s="74" t="s">
        <v>1508</v>
      </c>
      <c r="D2532" s="74" t="s">
        <v>78</v>
      </c>
      <c r="E2532" s="74">
        <v>16</v>
      </c>
      <c r="F2532" s="74">
        <v>128.5</v>
      </c>
      <c r="G2532" s="758">
        <f t="shared" si="156"/>
        <v>1.34</v>
      </c>
      <c r="H2532" s="759">
        <f t="shared" si="157"/>
        <v>0.18</v>
      </c>
      <c r="I2532" s="758">
        <f t="shared" si="158"/>
        <v>6.6912500000000001</v>
      </c>
      <c r="J2532" s="760">
        <f t="shared" si="159"/>
        <v>0.83315175097276262</v>
      </c>
    </row>
    <row r="2533" spans="1:10">
      <c r="A2533" s="74" t="s">
        <v>2284</v>
      </c>
      <c r="B2533" s="74" t="s">
        <v>256</v>
      </c>
      <c r="C2533" s="74" t="s">
        <v>1544</v>
      </c>
      <c r="D2533" s="74" t="s">
        <v>87</v>
      </c>
      <c r="E2533" s="74">
        <v>1</v>
      </c>
      <c r="F2533" s="74">
        <v>8.8000000000000007</v>
      </c>
      <c r="G2533" s="758">
        <f t="shared" si="156"/>
        <v>1.66</v>
      </c>
      <c r="H2533" s="759">
        <f t="shared" si="157"/>
        <v>0.24</v>
      </c>
      <c r="I2533" s="758">
        <f t="shared" si="158"/>
        <v>7.1400000000000006</v>
      </c>
      <c r="J2533" s="760">
        <f t="shared" si="159"/>
        <v>0.8113636363636364</v>
      </c>
    </row>
    <row r="2534" spans="1:10">
      <c r="A2534" s="74" t="s">
        <v>870</v>
      </c>
      <c r="B2534" s="74" t="s">
        <v>256</v>
      </c>
      <c r="C2534" s="74" t="s">
        <v>1528</v>
      </c>
      <c r="D2534" s="74" t="s">
        <v>78</v>
      </c>
      <c r="E2534" s="74">
        <v>21</v>
      </c>
      <c r="F2534" s="74">
        <v>172.2</v>
      </c>
      <c r="G2534" s="758">
        <f t="shared" si="156"/>
        <v>1.1599999999999999</v>
      </c>
      <c r="H2534" s="759">
        <f t="shared" si="157"/>
        <v>0.23</v>
      </c>
      <c r="I2534" s="758">
        <f t="shared" si="158"/>
        <v>7.0399999999999991</v>
      </c>
      <c r="J2534" s="760">
        <f t="shared" si="159"/>
        <v>0.85853658536585364</v>
      </c>
    </row>
    <row r="2535" spans="1:10">
      <c r="A2535" s="74" t="s">
        <v>870</v>
      </c>
      <c r="B2535" s="74" t="s">
        <v>256</v>
      </c>
      <c r="C2535" s="74" t="s">
        <v>1508</v>
      </c>
      <c r="D2535" s="74" t="s">
        <v>78</v>
      </c>
      <c r="E2535" s="74">
        <v>18</v>
      </c>
      <c r="F2535" s="74">
        <v>147.6</v>
      </c>
      <c r="G2535" s="758">
        <f t="shared" si="156"/>
        <v>1.1599999999999999</v>
      </c>
      <c r="H2535" s="759">
        <f t="shared" si="157"/>
        <v>0.23</v>
      </c>
      <c r="I2535" s="758">
        <f t="shared" si="158"/>
        <v>7.0399999999999991</v>
      </c>
      <c r="J2535" s="760">
        <f t="shared" si="159"/>
        <v>0.85853658536585364</v>
      </c>
    </row>
    <row r="2536" spans="1:10">
      <c r="A2536" s="74" t="s">
        <v>870</v>
      </c>
      <c r="B2536" s="74" t="s">
        <v>256</v>
      </c>
      <c r="C2536" s="74" t="s">
        <v>1509</v>
      </c>
      <c r="D2536" s="74" t="s">
        <v>78</v>
      </c>
      <c r="E2536" s="74">
        <v>24</v>
      </c>
      <c r="F2536" s="74">
        <v>196.8</v>
      </c>
      <c r="G2536" s="758">
        <f t="shared" si="156"/>
        <v>1.1599999999999999</v>
      </c>
      <c r="H2536" s="759">
        <f t="shared" si="157"/>
        <v>0.23</v>
      </c>
      <c r="I2536" s="758">
        <f t="shared" si="158"/>
        <v>7.0400000000000009</v>
      </c>
      <c r="J2536" s="760">
        <f t="shared" si="159"/>
        <v>0.85853658536585364</v>
      </c>
    </row>
    <row r="2537" spans="1:10">
      <c r="A2537" s="74" t="s">
        <v>870</v>
      </c>
      <c r="B2537" s="74" t="s">
        <v>256</v>
      </c>
      <c r="C2537" s="74" t="s">
        <v>1565</v>
      </c>
      <c r="D2537" s="74" t="s">
        <v>78</v>
      </c>
      <c r="E2537" s="74">
        <v>12</v>
      </c>
      <c r="F2537" s="74">
        <v>98.4</v>
      </c>
      <c r="G2537" s="758">
        <f t="shared" si="156"/>
        <v>1.1599999999999999</v>
      </c>
      <c r="H2537" s="759">
        <f t="shared" si="157"/>
        <v>0.23</v>
      </c>
      <c r="I2537" s="758">
        <f t="shared" si="158"/>
        <v>7.0400000000000009</v>
      </c>
      <c r="J2537" s="760">
        <f t="shared" si="159"/>
        <v>0.85853658536585364</v>
      </c>
    </row>
    <row r="2538" spans="1:10">
      <c r="A2538" s="74" t="s">
        <v>870</v>
      </c>
      <c r="B2538" s="74" t="s">
        <v>256</v>
      </c>
      <c r="C2538" s="74" t="s">
        <v>1532</v>
      </c>
      <c r="D2538" s="74" t="s">
        <v>80</v>
      </c>
      <c r="E2538" s="74">
        <v>5</v>
      </c>
      <c r="F2538" s="74">
        <v>41</v>
      </c>
      <c r="G2538" s="758">
        <f t="shared" si="156"/>
        <v>1.1599999999999999</v>
      </c>
      <c r="H2538" s="759">
        <f t="shared" si="157"/>
        <v>0.23</v>
      </c>
      <c r="I2538" s="758">
        <f t="shared" si="158"/>
        <v>7.0399999999999991</v>
      </c>
      <c r="J2538" s="760">
        <f t="shared" si="159"/>
        <v>0.85853658536585364</v>
      </c>
    </row>
    <row r="2539" spans="1:10">
      <c r="A2539" s="74" t="s">
        <v>870</v>
      </c>
      <c r="B2539" s="74" t="s">
        <v>256</v>
      </c>
      <c r="C2539" s="74" t="s">
        <v>1511</v>
      </c>
      <c r="D2539" s="74" t="s">
        <v>80</v>
      </c>
      <c r="E2539" s="74">
        <v>6</v>
      </c>
      <c r="F2539" s="74">
        <v>49.2</v>
      </c>
      <c r="G2539" s="758">
        <f t="shared" si="156"/>
        <v>1.1599999999999999</v>
      </c>
      <c r="H2539" s="759">
        <f t="shared" si="157"/>
        <v>0.23</v>
      </c>
      <c r="I2539" s="758">
        <f t="shared" si="158"/>
        <v>7.0400000000000009</v>
      </c>
      <c r="J2539" s="760">
        <f t="shared" si="159"/>
        <v>0.85853658536585364</v>
      </c>
    </row>
    <row r="2540" spans="1:10">
      <c r="A2540" s="74" t="s">
        <v>870</v>
      </c>
      <c r="B2540" s="74" t="s">
        <v>256</v>
      </c>
      <c r="C2540" s="74" t="s">
        <v>1512</v>
      </c>
      <c r="D2540" s="74" t="s">
        <v>80</v>
      </c>
      <c r="E2540" s="74">
        <v>9</v>
      </c>
      <c r="F2540" s="74">
        <v>74.400000000000006</v>
      </c>
      <c r="G2540" s="758">
        <f t="shared" si="156"/>
        <v>1.1599999999999999</v>
      </c>
      <c r="H2540" s="759">
        <f t="shared" si="157"/>
        <v>0.23</v>
      </c>
      <c r="I2540" s="758">
        <f t="shared" si="158"/>
        <v>7.1066666666666674</v>
      </c>
      <c r="J2540" s="760">
        <f t="shared" si="159"/>
        <v>0.85967741935483877</v>
      </c>
    </row>
    <row r="2541" spans="1:10">
      <c r="A2541" s="74" t="s">
        <v>870</v>
      </c>
      <c r="B2541" s="74" t="s">
        <v>256</v>
      </c>
      <c r="C2541" s="74" t="s">
        <v>1534</v>
      </c>
      <c r="D2541" s="74" t="s">
        <v>81</v>
      </c>
      <c r="E2541" s="74">
        <v>10</v>
      </c>
      <c r="F2541" s="74">
        <v>82</v>
      </c>
      <c r="G2541" s="758">
        <f t="shared" si="156"/>
        <v>1.1599999999999999</v>
      </c>
      <c r="H2541" s="759">
        <f t="shared" si="157"/>
        <v>0.23</v>
      </c>
      <c r="I2541" s="758">
        <f t="shared" si="158"/>
        <v>7.0399999999999991</v>
      </c>
      <c r="J2541" s="760">
        <f t="shared" si="159"/>
        <v>0.85853658536585364</v>
      </c>
    </row>
    <row r="2542" spans="1:10">
      <c r="A2542" s="74" t="s">
        <v>870</v>
      </c>
      <c r="B2542" s="74" t="s">
        <v>256</v>
      </c>
      <c r="C2542" s="74" t="s">
        <v>1513</v>
      </c>
      <c r="D2542" s="74" t="s">
        <v>81</v>
      </c>
      <c r="E2542" s="74">
        <v>7</v>
      </c>
      <c r="F2542" s="74">
        <v>57.4</v>
      </c>
      <c r="G2542" s="758">
        <f t="shared" si="156"/>
        <v>1.1599999999999999</v>
      </c>
      <c r="H2542" s="759">
        <f t="shared" si="157"/>
        <v>0.23</v>
      </c>
      <c r="I2542" s="758">
        <f t="shared" si="158"/>
        <v>7.0399999999999991</v>
      </c>
      <c r="J2542" s="760">
        <f t="shared" si="159"/>
        <v>0.85853658536585364</v>
      </c>
    </row>
    <row r="2543" spans="1:10">
      <c r="A2543" s="74" t="s">
        <v>870</v>
      </c>
      <c r="B2543" s="74" t="s">
        <v>256</v>
      </c>
      <c r="C2543" s="74" t="s">
        <v>1514</v>
      </c>
      <c r="D2543" s="74" t="s">
        <v>81</v>
      </c>
      <c r="E2543" s="74">
        <v>5</v>
      </c>
      <c r="F2543" s="74">
        <v>41</v>
      </c>
      <c r="G2543" s="758">
        <f t="shared" si="156"/>
        <v>1.1599999999999999</v>
      </c>
      <c r="H2543" s="759">
        <f t="shared" si="157"/>
        <v>0.23</v>
      </c>
      <c r="I2543" s="758">
        <f t="shared" si="158"/>
        <v>7.0399999999999991</v>
      </c>
      <c r="J2543" s="760">
        <f t="shared" si="159"/>
        <v>0.85853658536585364</v>
      </c>
    </row>
    <row r="2544" spans="1:10">
      <c r="A2544" s="74" t="s">
        <v>870</v>
      </c>
      <c r="B2544" s="74" t="s">
        <v>256</v>
      </c>
      <c r="C2544" s="74" t="s">
        <v>1515</v>
      </c>
      <c r="D2544" s="74" t="s">
        <v>81</v>
      </c>
      <c r="E2544" s="74">
        <v>9</v>
      </c>
      <c r="F2544" s="74">
        <v>73.8</v>
      </c>
      <c r="G2544" s="758">
        <f t="shared" si="156"/>
        <v>1.1599999999999999</v>
      </c>
      <c r="H2544" s="759">
        <f t="shared" si="157"/>
        <v>0.23</v>
      </c>
      <c r="I2544" s="758">
        <f t="shared" si="158"/>
        <v>7.0399999999999991</v>
      </c>
      <c r="J2544" s="760">
        <f t="shared" si="159"/>
        <v>0.85853658536585364</v>
      </c>
    </row>
    <row r="2545" spans="1:10">
      <c r="A2545" s="74" t="s">
        <v>870</v>
      </c>
      <c r="B2545" s="74" t="s">
        <v>256</v>
      </c>
      <c r="C2545" s="74" t="s">
        <v>1516</v>
      </c>
      <c r="D2545" s="74" t="s">
        <v>82</v>
      </c>
      <c r="E2545" s="74">
        <v>7</v>
      </c>
      <c r="F2545" s="74">
        <v>57.4</v>
      </c>
      <c r="G2545" s="758">
        <f t="shared" si="156"/>
        <v>1.1599999999999999</v>
      </c>
      <c r="H2545" s="759">
        <f t="shared" si="157"/>
        <v>0.23</v>
      </c>
      <c r="I2545" s="758">
        <f t="shared" si="158"/>
        <v>7.0399999999999991</v>
      </c>
      <c r="J2545" s="760">
        <f t="shared" si="159"/>
        <v>0.85853658536585364</v>
      </c>
    </row>
    <row r="2546" spans="1:10">
      <c r="A2546" s="74" t="s">
        <v>870</v>
      </c>
      <c r="B2546" s="74" t="s">
        <v>256</v>
      </c>
      <c r="C2546" s="74" t="s">
        <v>1517</v>
      </c>
      <c r="D2546" s="74" t="s">
        <v>82</v>
      </c>
      <c r="E2546" s="74">
        <v>6</v>
      </c>
      <c r="F2546" s="74">
        <v>49.2</v>
      </c>
      <c r="G2546" s="758">
        <f t="shared" si="156"/>
        <v>1.1599999999999999</v>
      </c>
      <c r="H2546" s="759">
        <f t="shared" si="157"/>
        <v>0.23</v>
      </c>
      <c r="I2546" s="758">
        <f t="shared" si="158"/>
        <v>7.0400000000000009</v>
      </c>
      <c r="J2546" s="760">
        <f t="shared" si="159"/>
        <v>0.85853658536585364</v>
      </c>
    </row>
    <row r="2547" spans="1:10">
      <c r="A2547" s="74" t="s">
        <v>870</v>
      </c>
      <c r="B2547" s="74" t="s">
        <v>256</v>
      </c>
      <c r="C2547" s="74" t="s">
        <v>1527</v>
      </c>
      <c r="D2547" s="74" t="s">
        <v>82</v>
      </c>
      <c r="E2547" s="74">
        <v>3</v>
      </c>
      <c r="F2547" s="74">
        <v>24.6</v>
      </c>
      <c r="G2547" s="758">
        <f t="shared" si="156"/>
        <v>1.1599999999999999</v>
      </c>
      <c r="H2547" s="759">
        <f t="shared" si="157"/>
        <v>0.23</v>
      </c>
      <c r="I2547" s="758">
        <f t="shared" si="158"/>
        <v>7.0400000000000009</v>
      </c>
      <c r="J2547" s="760">
        <f t="shared" si="159"/>
        <v>0.85853658536585364</v>
      </c>
    </row>
    <row r="2548" spans="1:10">
      <c r="A2548" s="74" t="s">
        <v>870</v>
      </c>
      <c r="B2548" s="74" t="s">
        <v>256</v>
      </c>
      <c r="C2548" s="74" t="s">
        <v>1518</v>
      </c>
      <c r="D2548" s="74" t="s">
        <v>82</v>
      </c>
      <c r="E2548" s="74">
        <v>3</v>
      </c>
      <c r="F2548" s="74">
        <v>24.6</v>
      </c>
      <c r="G2548" s="758">
        <f t="shared" si="156"/>
        <v>1.1599999999999999</v>
      </c>
      <c r="H2548" s="759">
        <f t="shared" si="157"/>
        <v>0.23</v>
      </c>
      <c r="I2548" s="758">
        <f t="shared" si="158"/>
        <v>7.0400000000000009</v>
      </c>
      <c r="J2548" s="760">
        <f t="shared" si="159"/>
        <v>0.85853658536585364</v>
      </c>
    </row>
    <row r="2549" spans="1:10">
      <c r="A2549" s="74" t="s">
        <v>870</v>
      </c>
      <c r="B2549" s="74" t="s">
        <v>256</v>
      </c>
      <c r="C2549" s="74" t="s">
        <v>1519</v>
      </c>
      <c r="D2549" s="74" t="s">
        <v>84</v>
      </c>
      <c r="E2549" s="74">
        <v>1</v>
      </c>
      <c r="F2549" s="74">
        <v>8.1999999999999993</v>
      </c>
      <c r="G2549" s="758">
        <f t="shared" si="156"/>
        <v>1.1599999999999999</v>
      </c>
      <c r="H2549" s="759">
        <f t="shared" si="157"/>
        <v>0.23</v>
      </c>
      <c r="I2549" s="758">
        <f t="shared" si="158"/>
        <v>7.0399999999999991</v>
      </c>
      <c r="J2549" s="760">
        <f t="shared" si="159"/>
        <v>0.85853658536585364</v>
      </c>
    </row>
    <row r="2550" spans="1:10">
      <c r="A2550" s="74" t="s">
        <v>870</v>
      </c>
      <c r="B2550" s="74" t="s">
        <v>256</v>
      </c>
      <c r="C2550" s="74" t="s">
        <v>1577</v>
      </c>
      <c r="D2550" s="74" t="s">
        <v>84</v>
      </c>
      <c r="E2550" s="74">
        <v>2</v>
      </c>
      <c r="F2550" s="74">
        <v>3.2</v>
      </c>
      <c r="G2550" s="758">
        <f t="shared" si="156"/>
        <v>1.1599999999999999</v>
      </c>
      <c r="H2550" s="759">
        <f t="shared" si="157"/>
        <v>0.23</v>
      </c>
      <c r="I2550" s="758">
        <f t="shared" si="158"/>
        <v>0.44000000000000017</v>
      </c>
      <c r="J2550" s="760">
        <f t="shared" si="159"/>
        <v>0.27500000000000013</v>
      </c>
    </row>
    <row r="2551" spans="1:10">
      <c r="A2551" s="74" t="s">
        <v>870</v>
      </c>
      <c r="B2551" s="74" t="s">
        <v>256</v>
      </c>
      <c r="C2551" s="74" t="s">
        <v>1644</v>
      </c>
      <c r="D2551" s="74" t="s">
        <v>86</v>
      </c>
      <c r="E2551" s="74">
        <v>2</v>
      </c>
      <c r="F2551" s="74">
        <v>16.649999999999999</v>
      </c>
      <c r="G2551" s="758">
        <f t="shared" si="156"/>
        <v>1.1599999999999999</v>
      </c>
      <c r="H2551" s="759">
        <f t="shared" si="157"/>
        <v>0.23</v>
      </c>
      <c r="I2551" s="758">
        <f t="shared" si="158"/>
        <v>7.1649999999999991</v>
      </c>
      <c r="J2551" s="760">
        <f t="shared" si="159"/>
        <v>0.8606606606606606</v>
      </c>
    </row>
    <row r="2552" spans="1:10">
      <c r="A2552" s="74" t="s">
        <v>870</v>
      </c>
      <c r="B2552" s="74" t="s">
        <v>256</v>
      </c>
      <c r="C2552" s="74" t="s">
        <v>1646</v>
      </c>
      <c r="D2552" s="74" t="s">
        <v>86</v>
      </c>
      <c r="E2552" s="74">
        <v>1</v>
      </c>
      <c r="F2552" s="74">
        <v>8.25</v>
      </c>
      <c r="G2552" s="758">
        <f t="shared" si="156"/>
        <v>1.1599999999999999</v>
      </c>
      <c r="H2552" s="759">
        <f t="shared" si="157"/>
        <v>0.23</v>
      </c>
      <c r="I2552" s="758">
        <f t="shared" si="158"/>
        <v>7.09</v>
      </c>
      <c r="J2552" s="760">
        <f t="shared" si="159"/>
        <v>0.85939393939393938</v>
      </c>
    </row>
    <row r="2553" spans="1:10">
      <c r="A2553" s="74" t="s">
        <v>870</v>
      </c>
      <c r="B2553" s="74" t="s">
        <v>256</v>
      </c>
      <c r="C2553" s="74" t="s">
        <v>1541</v>
      </c>
      <c r="D2553" s="74" t="s">
        <v>86</v>
      </c>
      <c r="E2553" s="74">
        <v>5</v>
      </c>
      <c r="F2553" s="74">
        <v>8</v>
      </c>
      <c r="G2553" s="758">
        <f t="shared" si="156"/>
        <v>1.1599999999999999</v>
      </c>
      <c r="H2553" s="759">
        <f t="shared" si="157"/>
        <v>0.23</v>
      </c>
      <c r="I2553" s="758">
        <f t="shared" si="158"/>
        <v>0.44000000000000017</v>
      </c>
      <c r="J2553" s="760">
        <f t="shared" si="159"/>
        <v>0.27500000000000002</v>
      </c>
    </row>
    <row r="2554" spans="1:10">
      <c r="A2554" s="74" t="s">
        <v>870</v>
      </c>
      <c r="B2554" s="74" t="s">
        <v>256</v>
      </c>
      <c r="C2554" s="74" t="s">
        <v>1543</v>
      </c>
      <c r="D2554" s="74" t="s">
        <v>87</v>
      </c>
      <c r="E2554" s="74">
        <v>6</v>
      </c>
      <c r="F2554" s="74">
        <v>9.6</v>
      </c>
      <c r="G2554" s="758">
        <f t="shared" si="156"/>
        <v>1.1599999999999999</v>
      </c>
      <c r="H2554" s="759">
        <f t="shared" si="157"/>
        <v>0.23</v>
      </c>
      <c r="I2554" s="758">
        <f t="shared" si="158"/>
        <v>0.43999999999999995</v>
      </c>
      <c r="J2554" s="760">
        <f t="shared" si="159"/>
        <v>0.27500000000000002</v>
      </c>
    </row>
    <row r="2555" spans="1:10">
      <c r="A2555" s="74" t="s">
        <v>870</v>
      </c>
      <c r="B2555" s="74" t="s">
        <v>256</v>
      </c>
      <c r="C2555" s="74" t="s">
        <v>1561</v>
      </c>
      <c r="D2555" s="74" t="s">
        <v>87</v>
      </c>
      <c r="E2555" s="74">
        <v>1</v>
      </c>
      <c r="F2555" s="74">
        <v>8.4</v>
      </c>
      <c r="G2555" s="758">
        <f t="shared" si="156"/>
        <v>1.1599999999999999</v>
      </c>
      <c r="H2555" s="759">
        <f t="shared" si="157"/>
        <v>0.23</v>
      </c>
      <c r="I2555" s="758">
        <f t="shared" si="158"/>
        <v>7.24</v>
      </c>
      <c r="J2555" s="760">
        <f t="shared" si="159"/>
        <v>0.86190476190476195</v>
      </c>
    </row>
    <row r="2556" spans="1:10">
      <c r="A2556" s="74" t="s">
        <v>870</v>
      </c>
      <c r="B2556" s="74" t="s">
        <v>256</v>
      </c>
      <c r="C2556" s="74" t="s">
        <v>1608</v>
      </c>
      <c r="D2556" s="74" t="s">
        <v>89</v>
      </c>
      <c r="E2556" s="74">
        <v>4</v>
      </c>
      <c r="F2556" s="74">
        <v>6.4</v>
      </c>
      <c r="G2556" s="758">
        <f t="shared" si="156"/>
        <v>1.1599999999999999</v>
      </c>
      <c r="H2556" s="759">
        <f t="shared" si="157"/>
        <v>0.23</v>
      </c>
      <c r="I2556" s="758">
        <f t="shared" si="158"/>
        <v>0.44000000000000017</v>
      </c>
      <c r="J2556" s="760">
        <f t="shared" si="159"/>
        <v>0.27500000000000013</v>
      </c>
    </row>
    <row r="2557" spans="1:10">
      <c r="A2557" s="74" t="s">
        <v>870</v>
      </c>
      <c r="B2557" s="74" t="s">
        <v>256</v>
      </c>
      <c r="C2557" s="74" t="s">
        <v>1610</v>
      </c>
      <c r="D2557" s="74" t="s">
        <v>89</v>
      </c>
      <c r="E2557" s="74">
        <v>4</v>
      </c>
      <c r="F2557" s="74">
        <v>6.4</v>
      </c>
      <c r="G2557" s="758">
        <f t="shared" si="156"/>
        <v>1.1599999999999999</v>
      </c>
      <c r="H2557" s="759">
        <f t="shared" si="157"/>
        <v>0.23</v>
      </c>
      <c r="I2557" s="758">
        <f t="shared" si="158"/>
        <v>0.44000000000000017</v>
      </c>
      <c r="J2557" s="760">
        <f t="shared" si="159"/>
        <v>0.27500000000000013</v>
      </c>
    </row>
    <row r="2558" spans="1:10">
      <c r="A2558" s="74" t="s">
        <v>870</v>
      </c>
      <c r="B2558" s="74" t="s">
        <v>256</v>
      </c>
      <c r="C2558" s="74" t="s">
        <v>1547</v>
      </c>
      <c r="D2558" s="74" t="s">
        <v>89</v>
      </c>
      <c r="E2558" s="74">
        <v>8</v>
      </c>
      <c r="F2558" s="74">
        <v>19.45</v>
      </c>
      <c r="G2558" s="758">
        <f t="shared" si="156"/>
        <v>1.1599999999999999</v>
      </c>
      <c r="H2558" s="759">
        <f t="shared" si="157"/>
        <v>0.23</v>
      </c>
      <c r="I2558" s="758">
        <f t="shared" si="158"/>
        <v>1.27125</v>
      </c>
      <c r="J2558" s="760">
        <f t="shared" si="159"/>
        <v>0.52287917737789202</v>
      </c>
    </row>
    <row r="2559" spans="1:10">
      <c r="A2559" s="74" t="s">
        <v>870</v>
      </c>
      <c r="B2559" s="74" t="s">
        <v>256</v>
      </c>
      <c r="C2559" s="74" t="s">
        <v>1582</v>
      </c>
      <c r="D2559" s="74" t="s">
        <v>89</v>
      </c>
      <c r="E2559" s="74">
        <v>7</v>
      </c>
      <c r="F2559" s="74">
        <v>11.2</v>
      </c>
      <c r="G2559" s="758">
        <f t="shared" si="156"/>
        <v>1.1599999999999999</v>
      </c>
      <c r="H2559" s="759">
        <f t="shared" si="157"/>
        <v>0.23</v>
      </c>
      <c r="I2559" s="758">
        <f t="shared" si="158"/>
        <v>0.43999999999999995</v>
      </c>
      <c r="J2559" s="760">
        <f t="shared" si="159"/>
        <v>0.27500000000000002</v>
      </c>
    </row>
    <row r="2560" spans="1:10">
      <c r="A2560" s="74" t="s">
        <v>870</v>
      </c>
      <c r="B2560" s="74" t="s">
        <v>256</v>
      </c>
      <c r="C2560" s="74" t="s">
        <v>1522</v>
      </c>
      <c r="D2560" s="74" t="s">
        <v>91</v>
      </c>
      <c r="E2560" s="74">
        <v>4</v>
      </c>
      <c r="F2560" s="74">
        <v>6.4</v>
      </c>
      <c r="G2560" s="758">
        <f t="shared" si="156"/>
        <v>1.1599999999999999</v>
      </c>
      <c r="H2560" s="759">
        <f t="shared" si="157"/>
        <v>0.23</v>
      </c>
      <c r="I2560" s="758">
        <f t="shared" si="158"/>
        <v>0.44000000000000017</v>
      </c>
      <c r="J2560" s="760">
        <f t="shared" si="159"/>
        <v>0.27500000000000013</v>
      </c>
    </row>
    <row r="2561" spans="1:10">
      <c r="A2561" s="74" t="s">
        <v>870</v>
      </c>
      <c r="B2561" s="74" t="s">
        <v>256</v>
      </c>
      <c r="C2561" s="74" t="s">
        <v>1675</v>
      </c>
      <c r="D2561" s="74" t="s">
        <v>91</v>
      </c>
      <c r="E2561" s="74">
        <v>4</v>
      </c>
      <c r="F2561" s="74">
        <v>6.4</v>
      </c>
      <c r="G2561" s="758">
        <f t="shared" si="156"/>
        <v>1.1599999999999999</v>
      </c>
      <c r="H2561" s="759">
        <f t="shared" si="157"/>
        <v>0.23</v>
      </c>
      <c r="I2561" s="758">
        <f t="shared" si="158"/>
        <v>0.44000000000000017</v>
      </c>
      <c r="J2561" s="760">
        <f t="shared" si="159"/>
        <v>0.27500000000000013</v>
      </c>
    </row>
    <row r="2562" spans="1:10">
      <c r="A2562" s="74" t="s">
        <v>870</v>
      </c>
      <c r="B2562" s="74" t="s">
        <v>256</v>
      </c>
      <c r="C2562" s="74" t="s">
        <v>1524</v>
      </c>
      <c r="D2562" s="74" t="s">
        <v>91</v>
      </c>
      <c r="E2562" s="74">
        <v>2</v>
      </c>
      <c r="F2562" s="74">
        <v>3.2</v>
      </c>
      <c r="G2562" s="758">
        <f t="shared" ref="G2562:G2625" si="160">IFERROR(VLOOKUP(A2562,$M$1:$P$1014,2,FALSE),0)</f>
        <v>1.1599999999999999</v>
      </c>
      <c r="H2562" s="759">
        <f t="shared" ref="H2562:H2625" si="161">IFERROR(VLOOKUP(A2562,$M$1:$P$1014,3,FALSE),0)</f>
        <v>0.23</v>
      </c>
      <c r="I2562" s="758">
        <f t="shared" ref="I2562:I2625" si="162">IFERROR(F2562/E2562-G2562,0)</f>
        <v>0.44000000000000017</v>
      </c>
      <c r="J2562" s="760">
        <f t="shared" ref="J2562:J2625" si="163">IFERROR(1-G2562*E2562/F2562,0)</f>
        <v>0.27500000000000013</v>
      </c>
    </row>
    <row r="2563" spans="1:10">
      <c r="A2563" s="74" t="s">
        <v>870</v>
      </c>
      <c r="B2563" s="74" t="s">
        <v>256</v>
      </c>
      <c r="C2563" s="74" t="s">
        <v>1584</v>
      </c>
      <c r="D2563" s="74" t="s">
        <v>92</v>
      </c>
      <c r="E2563" s="74">
        <v>2</v>
      </c>
      <c r="F2563" s="74">
        <v>16.5</v>
      </c>
      <c r="G2563" s="758">
        <f t="shared" si="160"/>
        <v>1.1599999999999999</v>
      </c>
      <c r="H2563" s="759">
        <f t="shared" si="161"/>
        <v>0.23</v>
      </c>
      <c r="I2563" s="758">
        <f t="shared" si="162"/>
        <v>7.09</v>
      </c>
      <c r="J2563" s="760">
        <f t="shared" si="163"/>
        <v>0.85939393939393938</v>
      </c>
    </row>
    <row r="2564" spans="1:10">
      <c r="A2564" s="74" t="s">
        <v>870</v>
      </c>
      <c r="B2564" s="74" t="s">
        <v>256</v>
      </c>
      <c r="C2564" s="74" t="s">
        <v>1614</v>
      </c>
      <c r="D2564" s="74" t="s">
        <v>92</v>
      </c>
      <c r="E2564" s="74">
        <v>5</v>
      </c>
      <c r="F2564" s="74">
        <v>8.25</v>
      </c>
      <c r="G2564" s="758">
        <f t="shared" si="160"/>
        <v>1.1599999999999999</v>
      </c>
      <c r="H2564" s="759">
        <f t="shared" si="161"/>
        <v>0.23</v>
      </c>
      <c r="I2564" s="758">
        <f t="shared" si="162"/>
        <v>0.49</v>
      </c>
      <c r="J2564" s="760">
        <f t="shared" si="163"/>
        <v>0.29696969696969699</v>
      </c>
    </row>
    <row r="2565" spans="1:10">
      <c r="A2565" s="74" t="s">
        <v>870</v>
      </c>
      <c r="B2565" s="74" t="s">
        <v>256</v>
      </c>
      <c r="C2565" s="74" t="s">
        <v>1631</v>
      </c>
      <c r="D2565" s="74" t="s">
        <v>92</v>
      </c>
      <c r="E2565" s="74">
        <v>5</v>
      </c>
      <c r="F2565" s="74">
        <v>8.25</v>
      </c>
      <c r="G2565" s="758">
        <f t="shared" si="160"/>
        <v>1.1599999999999999</v>
      </c>
      <c r="H2565" s="759">
        <f t="shared" si="161"/>
        <v>0.23</v>
      </c>
      <c r="I2565" s="758">
        <f t="shared" si="162"/>
        <v>0.49</v>
      </c>
      <c r="J2565" s="760">
        <f t="shared" si="163"/>
        <v>0.29696969696969699</v>
      </c>
    </row>
    <row r="2566" spans="1:10">
      <c r="A2566" s="74" t="s">
        <v>870</v>
      </c>
      <c r="B2566" s="74" t="s">
        <v>256</v>
      </c>
      <c r="C2566" s="74" t="s">
        <v>1553</v>
      </c>
      <c r="D2566" s="74" t="s">
        <v>94</v>
      </c>
      <c r="E2566" s="74">
        <v>2</v>
      </c>
      <c r="F2566" s="74">
        <v>3.3</v>
      </c>
      <c r="G2566" s="758">
        <f t="shared" si="160"/>
        <v>1.1599999999999999</v>
      </c>
      <c r="H2566" s="759">
        <f t="shared" si="161"/>
        <v>0.23</v>
      </c>
      <c r="I2566" s="758">
        <f t="shared" si="162"/>
        <v>0.49</v>
      </c>
      <c r="J2566" s="760">
        <f t="shared" si="163"/>
        <v>0.29696969696969699</v>
      </c>
    </row>
    <row r="2567" spans="1:10">
      <c r="A2567" s="74" t="s">
        <v>870</v>
      </c>
      <c r="B2567" s="74" t="s">
        <v>256</v>
      </c>
      <c r="C2567" s="74" t="s">
        <v>1555</v>
      </c>
      <c r="D2567" s="74" t="s">
        <v>94</v>
      </c>
      <c r="E2567" s="74">
        <v>4</v>
      </c>
      <c r="F2567" s="74">
        <v>6.6</v>
      </c>
      <c r="G2567" s="758">
        <f t="shared" si="160"/>
        <v>1.1599999999999999</v>
      </c>
      <c r="H2567" s="759">
        <f t="shared" si="161"/>
        <v>0.23</v>
      </c>
      <c r="I2567" s="758">
        <f t="shared" si="162"/>
        <v>0.49</v>
      </c>
      <c r="J2567" s="760">
        <f t="shared" si="163"/>
        <v>0.29696969696969699</v>
      </c>
    </row>
    <row r="2568" spans="1:10">
      <c r="A2568" s="74" t="s">
        <v>870</v>
      </c>
      <c r="B2568" s="74" t="s">
        <v>256</v>
      </c>
      <c r="C2568" s="74" t="s">
        <v>1557</v>
      </c>
      <c r="D2568" s="74" t="s">
        <v>95</v>
      </c>
      <c r="E2568" s="74">
        <v>2</v>
      </c>
      <c r="F2568" s="74">
        <v>3.3</v>
      </c>
      <c r="G2568" s="758">
        <f t="shared" si="160"/>
        <v>1.1599999999999999</v>
      </c>
      <c r="H2568" s="759">
        <f t="shared" si="161"/>
        <v>0.23</v>
      </c>
      <c r="I2568" s="758">
        <f t="shared" si="162"/>
        <v>0.49</v>
      </c>
      <c r="J2568" s="760">
        <f t="shared" si="163"/>
        <v>0.29696969696969699</v>
      </c>
    </row>
    <row r="2569" spans="1:10">
      <c r="A2569" s="74" t="s">
        <v>1791</v>
      </c>
      <c r="B2569" s="74" t="s">
        <v>256</v>
      </c>
      <c r="C2569" s="74" t="s">
        <v>1565</v>
      </c>
      <c r="D2569" s="74" t="s">
        <v>78</v>
      </c>
      <c r="E2569" s="74">
        <v>12</v>
      </c>
      <c r="F2569" s="74">
        <v>19.2</v>
      </c>
      <c r="G2569" s="758">
        <f t="shared" si="160"/>
        <v>0.34</v>
      </c>
      <c r="H2569" s="759">
        <f t="shared" si="161"/>
        <v>0.24</v>
      </c>
      <c r="I2569" s="758">
        <f t="shared" si="162"/>
        <v>1.2599999999999998</v>
      </c>
      <c r="J2569" s="760">
        <f t="shared" si="163"/>
        <v>0.78749999999999998</v>
      </c>
    </row>
    <row r="2570" spans="1:10">
      <c r="A2570" s="74" t="s">
        <v>1791</v>
      </c>
      <c r="B2570" s="74" t="s">
        <v>256</v>
      </c>
      <c r="C2570" s="74" t="s">
        <v>1530</v>
      </c>
      <c r="D2570" s="74" t="s">
        <v>80</v>
      </c>
      <c r="E2570" s="74">
        <v>2</v>
      </c>
      <c r="F2570" s="74">
        <v>3.2</v>
      </c>
      <c r="G2570" s="758">
        <f t="shared" si="160"/>
        <v>0.34</v>
      </c>
      <c r="H2570" s="759">
        <f t="shared" si="161"/>
        <v>0.24</v>
      </c>
      <c r="I2570" s="758">
        <f t="shared" si="162"/>
        <v>1.26</v>
      </c>
      <c r="J2570" s="760">
        <f t="shared" si="163"/>
        <v>0.78749999999999998</v>
      </c>
    </row>
    <row r="2571" spans="1:10">
      <c r="A2571" s="74" t="s">
        <v>1791</v>
      </c>
      <c r="B2571" s="74" t="s">
        <v>256</v>
      </c>
      <c r="C2571" s="74" t="s">
        <v>1532</v>
      </c>
      <c r="D2571" s="74" t="s">
        <v>80</v>
      </c>
      <c r="E2571" s="74">
        <v>16</v>
      </c>
      <c r="F2571" s="74">
        <v>25.6</v>
      </c>
      <c r="G2571" s="758">
        <f t="shared" si="160"/>
        <v>0.34</v>
      </c>
      <c r="H2571" s="759">
        <f t="shared" si="161"/>
        <v>0.24</v>
      </c>
      <c r="I2571" s="758">
        <f t="shared" si="162"/>
        <v>1.26</v>
      </c>
      <c r="J2571" s="760">
        <f t="shared" si="163"/>
        <v>0.78749999999999998</v>
      </c>
    </row>
    <row r="2572" spans="1:10">
      <c r="A2572" s="74" t="s">
        <v>1791</v>
      </c>
      <c r="B2572" s="74" t="s">
        <v>256</v>
      </c>
      <c r="C2572" s="74" t="s">
        <v>1511</v>
      </c>
      <c r="D2572" s="74" t="s">
        <v>80</v>
      </c>
      <c r="E2572" s="74">
        <v>18</v>
      </c>
      <c r="F2572" s="74">
        <v>28.8</v>
      </c>
      <c r="G2572" s="758">
        <f t="shared" si="160"/>
        <v>0.34</v>
      </c>
      <c r="H2572" s="759">
        <f t="shared" si="161"/>
        <v>0.24</v>
      </c>
      <c r="I2572" s="758">
        <f t="shared" si="162"/>
        <v>1.26</v>
      </c>
      <c r="J2572" s="760">
        <f t="shared" si="163"/>
        <v>0.78749999999999998</v>
      </c>
    </row>
    <row r="2573" spans="1:10">
      <c r="A2573" s="74" t="s">
        <v>1791</v>
      </c>
      <c r="B2573" s="74" t="s">
        <v>256</v>
      </c>
      <c r="C2573" s="74" t="s">
        <v>1512</v>
      </c>
      <c r="D2573" s="74" t="s">
        <v>80</v>
      </c>
      <c r="E2573" s="74">
        <v>9</v>
      </c>
      <c r="F2573" s="74">
        <v>14.4</v>
      </c>
      <c r="G2573" s="758">
        <f t="shared" si="160"/>
        <v>0.34</v>
      </c>
      <c r="H2573" s="759">
        <f t="shared" si="161"/>
        <v>0.24</v>
      </c>
      <c r="I2573" s="758">
        <f t="shared" si="162"/>
        <v>1.26</v>
      </c>
      <c r="J2573" s="760">
        <f t="shared" si="163"/>
        <v>0.78749999999999998</v>
      </c>
    </row>
    <row r="2574" spans="1:10">
      <c r="A2574" s="74" t="s">
        <v>1791</v>
      </c>
      <c r="B2574" s="74" t="s">
        <v>256</v>
      </c>
      <c r="C2574" s="74" t="s">
        <v>1534</v>
      </c>
      <c r="D2574" s="74" t="s">
        <v>81</v>
      </c>
      <c r="E2574" s="74">
        <v>12</v>
      </c>
      <c r="F2574" s="74">
        <v>19.2</v>
      </c>
      <c r="G2574" s="758">
        <f t="shared" si="160"/>
        <v>0.34</v>
      </c>
      <c r="H2574" s="759">
        <f t="shared" si="161"/>
        <v>0.24</v>
      </c>
      <c r="I2574" s="758">
        <f t="shared" si="162"/>
        <v>1.2599999999999998</v>
      </c>
      <c r="J2574" s="760">
        <f t="shared" si="163"/>
        <v>0.78749999999999998</v>
      </c>
    </row>
    <row r="2575" spans="1:10">
      <c r="A2575" s="74" t="s">
        <v>1791</v>
      </c>
      <c r="B2575" s="74" t="s">
        <v>256</v>
      </c>
      <c r="C2575" s="74" t="s">
        <v>1513</v>
      </c>
      <c r="D2575" s="74" t="s">
        <v>81</v>
      </c>
      <c r="E2575" s="74">
        <v>16</v>
      </c>
      <c r="F2575" s="74">
        <v>25.6</v>
      </c>
      <c r="G2575" s="758">
        <f t="shared" si="160"/>
        <v>0.34</v>
      </c>
      <c r="H2575" s="759">
        <f t="shared" si="161"/>
        <v>0.24</v>
      </c>
      <c r="I2575" s="758">
        <f t="shared" si="162"/>
        <v>1.26</v>
      </c>
      <c r="J2575" s="760">
        <f t="shared" si="163"/>
        <v>0.78749999999999998</v>
      </c>
    </row>
    <row r="2576" spans="1:10">
      <c r="A2576" s="74" t="s">
        <v>1791</v>
      </c>
      <c r="B2576" s="74" t="s">
        <v>256</v>
      </c>
      <c r="C2576" s="74" t="s">
        <v>1514</v>
      </c>
      <c r="D2576" s="74" t="s">
        <v>81</v>
      </c>
      <c r="E2576" s="74">
        <v>11</v>
      </c>
      <c r="F2576" s="74">
        <v>17.600000000000001</v>
      </c>
      <c r="G2576" s="758">
        <f t="shared" si="160"/>
        <v>0.34</v>
      </c>
      <c r="H2576" s="759">
        <f t="shared" si="161"/>
        <v>0.24</v>
      </c>
      <c r="I2576" s="758">
        <f t="shared" si="162"/>
        <v>1.26</v>
      </c>
      <c r="J2576" s="760">
        <f t="shared" si="163"/>
        <v>0.78749999999999998</v>
      </c>
    </row>
    <row r="2577" spans="1:10">
      <c r="A2577" s="74" t="s">
        <v>1791</v>
      </c>
      <c r="B2577" s="74" t="s">
        <v>256</v>
      </c>
      <c r="C2577" s="74" t="s">
        <v>1515</v>
      </c>
      <c r="D2577" s="74" t="s">
        <v>81</v>
      </c>
      <c r="E2577" s="74">
        <v>17</v>
      </c>
      <c r="F2577" s="74">
        <v>27.2</v>
      </c>
      <c r="G2577" s="758">
        <f t="shared" si="160"/>
        <v>0.34</v>
      </c>
      <c r="H2577" s="759">
        <f t="shared" si="161"/>
        <v>0.24</v>
      </c>
      <c r="I2577" s="758">
        <f t="shared" si="162"/>
        <v>1.2599999999999998</v>
      </c>
      <c r="J2577" s="760">
        <f t="shared" si="163"/>
        <v>0.78749999999999998</v>
      </c>
    </row>
    <row r="2578" spans="1:10">
      <c r="A2578" s="74" t="s">
        <v>1791</v>
      </c>
      <c r="B2578" s="74" t="s">
        <v>256</v>
      </c>
      <c r="C2578" s="74" t="s">
        <v>1516</v>
      </c>
      <c r="D2578" s="74" t="s">
        <v>82</v>
      </c>
      <c r="E2578" s="74">
        <v>20</v>
      </c>
      <c r="F2578" s="74">
        <v>32</v>
      </c>
      <c r="G2578" s="758">
        <f t="shared" si="160"/>
        <v>0.34</v>
      </c>
      <c r="H2578" s="759">
        <f t="shared" si="161"/>
        <v>0.24</v>
      </c>
      <c r="I2578" s="758">
        <f t="shared" si="162"/>
        <v>1.26</v>
      </c>
      <c r="J2578" s="760">
        <f t="shared" si="163"/>
        <v>0.78749999999999998</v>
      </c>
    </row>
    <row r="2579" spans="1:10">
      <c r="A2579" s="74" t="s">
        <v>1791</v>
      </c>
      <c r="B2579" s="74" t="s">
        <v>256</v>
      </c>
      <c r="C2579" s="74" t="s">
        <v>1517</v>
      </c>
      <c r="D2579" s="74" t="s">
        <v>82</v>
      </c>
      <c r="E2579" s="74">
        <v>20</v>
      </c>
      <c r="F2579" s="74">
        <v>32</v>
      </c>
      <c r="G2579" s="758">
        <f t="shared" si="160"/>
        <v>0.34</v>
      </c>
      <c r="H2579" s="759">
        <f t="shared" si="161"/>
        <v>0.24</v>
      </c>
      <c r="I2579" s="758">
        <f t="shared" si="162"/>
        <v>1.26</v>
      </c>
      <c r="J2579" s="760">
        <f t="shared" si="163"/>
        <v>0.78749999999999998</v>
      </c>
    </row>
    <row r="2580" spans="1:10">
      <c r="A2580" s="74" t="s">
        <v>1791</v>
      </c>
      <c r="B2580" s="74" t="s">
        <v>256</v>
      </c>
      <c r="C2580" s="74" t="s">
        <v>1527</v>
      </c>
      <c r="D2580" s="74" t="s">
        <v>82</v>
      </c>
      <c r="E2580" s="74">
        <v>13</v>
      </c>
      <c r="F2580" s="74">
        <v>20.8</v>
      </c>
      <c r="G2580" s="758">
        <f t="shared" si="160"/>
        <v>0.34</v>
      </c>
      <c r="H2580" s="759">
        <f t="shared" si="161"/>
        <v>0.24</v>
      </c>
      <c r="I2580" s="758">
        <f t="shared" si="162"/>
        <v>1.26</v>
      </c>
      <c r="J2580" s="760">
        <f t="shared" si="163"/>
        <v>0.78749999999999998</v>
      </c>
    </row>
    <row r="2581" spans="1:10">
      <c r="A2581" s="74" t="s">
        <v>1791</v>
      </c>
      <c r="B2581" s="74" t="s">
        <v>256</v>
      </c>
      <c r="C2581" s="74" t="s">
        <v>1518</v>
      </c>
      <c r="D2581" s="74" t="s">
        <v>82</v>
      </c>
      <c r="E2581" s="74">
        <v>34</v>
      </c>
      <c r="F2581" s="74">
        <v>54.4</v>
      </c>
      <c r="G2581" s="758">
        <f t="shared" si="160"/>
        <v>0.34</v>
      </c>
      <c r="H2581" s="759">
        <f t="shared" si="161"/>
        <v>0.24</v>
      </c>
      <c r="I2581" s="758">
        <f t="shared" si="162"/>
        <v>1.2599999999999998</v>
      </c>
      <c r="J2581" s="760">
        <f t="shared" si="163"/>
        <v>0.78749999999999998</v>
      </c>
    </row>
    <row r="2582" spans="1:10">
      <c r="A2582" s="74" t="s">
        <v>1791</v>
      </c>
      <c r="B2582" s="74" t="s">
        <v>256</v>
      </c>
      <c r="C2582" s="74" t="s">
        <v>1519</v>
      </c>
      <c r="D2582" s="74" t="s">
        <v>84</v>
      </c>
      <c r="E2582" s="74">
        <v>8</v>
      </c>
      <c r="F2582" s="74">
        <v>12.8</v>
      </c>
      <c r="G2582" s="758">
        <f t="shared" si="160"/>
        <v>0.34</v>
      </c>
      <c r="H2582" s="759">
        <f t="shared" si="161"/>
        <v>0.24</v>
      </c>
      <c r="I2582" s="758">
        <f t="shared" si="162"/>
        <v>1.26</v>
      </c>
      <c r="J2582" s="760">
        <f t="shared" si="163"/>
        <v>0.78749999999999998</v>
      </c>
    </row>
    <row r="2583" spans="1:10">
      <c r="A2583" s="74" t="s">
        <v>1792</v>
      </c>
      <c r="B2583" s="74" t="s">
        <v>256</v>
      </c>
      <c r="C2583" s="74" t="s">
        <v>1675</v>
      </c>
      <c r="D2583" s="74" t="s">
        <v>91</v>
      </c>
      <c r="E2583" s="74">
        <v>2</v>
      </c>
      <c r="F2583" s="74">
        <v>4.4000000000000004</v>
      </c>
      <c r="G2583" s="758">
        <f t="shared" si="160"/>
        <v>0</v>
      </c>
      <c r="H2583" s="759">
        <f t="shared" si="161"/>
        <v>0</v>
      </c>
      <c r="I2583" s="758">
        <f t="shared" si="162"/>
        <v>2.2000000000000002</v>
      </c>
      <c r="J2583" s="760">
        <f t="shared" si="163"/>
        <v>1</v>
      </c>
    </row>
    <row r="2584" spans="1:10">
      <c r="A2584" s="74" t="s">
        <v>1794</v>
      </c>
      <c r="B2584" s="74" t="s">
        <v>256</v>
      </c>
      <c r="C2584" s="74" t="s">
        <v>1518</v>
      </c>
      <c r="D2584" s="74" t="s">
        <v>82</v>
      </c>
      <c r="E2584" s="74">
        <v>2</v>
      </c>
      <c r="F2584" s="74">
        <v>5.6</v>
      </c>
      <c r="G2584" s="758">
        <f t="shared" si="160"/>
        <v>0.37</v>
      </c>
      <c r="H2584" s="759">
        <f t="shared" si="161"/>
        <v>0.15</v>
      </c>
      <c r="I2584" s="758">
        <f t="shared" si="162"/>
        <v>2.4299999999999997</v>
      </c>
      <c r="J2584" s="760">
        <f t="shared" si="163"/>
        <v>0.86785714285714288</v>
      </c>
    </row>
    <row r="2585" spans="1:10">
      <c r="A2585" s="74" t="s">
        <v>1795</v>
      </c>
      <c r="B2585" s="74" t="s">
        <v>873</v>
      </c>
      <c r="C2585" s="74" t="s">
        <v>1644</v>
      </c>
      <c r="D2585" s="74" t="s">
        <v>86</v>
      </c>
      <c r="E2585" s="74">
        <v>5</v>
      </c>
      <c r="F2585" s="74">
        <v>0</v>
      </c>
      <c r="G2585" s="758">
        <f t="shared" si="160"/>
        <v>0</v>
      </c>
      <c r="H2585" s="759">
        <f t="shared" si="161"/>
        <v>0</v>
      </c>
      <c r="I2585" s="758">
        <f t="shared" si="162"/>
        <v>0</v>
      </c>
      <c r="J2585" s="760">
        <f t="shared" si="163"/>
        <v>0</v>
      </c>
    </row>
    <row r="2586" spans="1:10">
      <c r="A2586" s="74" t="s">
        <v>1796</v>
      </c>
      <c r="B2586" s="74" t="s">
        <v>877</v>
      </c>
      <c r="C2586" s="74" t="s">
        <v>1646</v>
      </c>
      <c r="D2586" s="74" t="s">
        <v>86</v>
      </c>
      <c r="E2586" s="74">
        <v>2</v>
      </c>
      <c r="F2586" s="74">
        <v>0</v>
      </c>
      <c r="G2586" s="758">
        <f t="shared" si="160"/>
        <v>0</v>
      </c>
      <c r="H2586" s="759">
        <f t="shared" si="161"/>
        <v>0</v>
      </c>
      <c r="I2586" s="758">
        <f t="shared" si="162"/>
        <v>0</v>
      </c>
      <c r="J2586" s="760">
        <f t="shared" si="163"/>
        <v>0</v>
      </c>
    </row>
    <row r="2587" spans="1:10">
      <c r="A2587" s="74" t="s">
        <v>1797</v>
      </c>
      <c r="B2587" s="74" t="s">
        <v>873</v>
      </c>
      <c r="C2587" s="74" t="s">
        <v>1608</v>
      </c>
      <c r="D2587" s="74" t="s">
        <v>89</v>
      </c>
      <c r="E2587" s="74">
        <v>2</v>
      </c>
      <c r="F2587" s="74">
        <v>6</v>
      </c>
      <c r="G2587" s="758">
        <f t="shared" si="160"/>
        <v>0</v>
      </c>
      <c r="H2587" s="759">
        <f t="shared" si="161"/>
        <v>0</v>
      </c>
      <c r="I2587" s="758">
        <f t="shared" si="162"/>
        <v>3</v>
      </c>
      <c r="J2587" s="760">
        <f t="shared" si="163"/>
        <v>1</v>
      </c>
    </row>
    <row r="2588" spans="1:10">
      <c r="A2588" s="74" t="s">
        <v>871</v>
      </c>
      <c r="B2588" s="74" t="s">
        <v>256</v>
      </c>
      <c r="C2588" s="74" t="s">
        <v>1509</v>
      </c>
      <c r="D2588" s="74" t="s">
        <v>78</v>
      </c>
      <c r="E2588" s="74">
        <v>38</v>
      </c>
      <c r="F2588" s="74">
        <v>334.4</v>
      </c>
      <c r="G2588" s="758">
        <f t="shared" si="160"/>
        <v>1.66</v>
      </c>
      <c r="H2588" s="759">
        <f t="shared" si="161"/>
        <v>0.24</v>
      </c>
      <c r="I2588" s="758">
        <f t="shared" si="162"/>
        <v>7.1399999999999988</v>
      </c>
      <c r="J2588" s="760">
        <f t="shared" si="163"/>
        <v>0.81136363636363629</v>
      </c>
    </row>
    <row r="2589" spans="1:10">
      <c r="A2589" s="74" t="s">
        <v>871</v>
      </c>
      <c r="B2589" s="74" t="s">
        <v>256</v>
      </c>
      <c r="C2589" s="74" t="s">
        <v>1565</v>
      </c>
      <c r="D2589" s="74" t="s">
        <v>78</v>
      </c>
      <c r="E2589" s="74">
        <v>2</v>
      </c>
      <c r="F2589" s="74">
        <v>17.600000000000001</v>
      </c>
      <c r="G2589" s="758">
        <f t="shared" si="160"/>
        <v>1.66</v>
      </c>
      <c r="H2589" s="759">
        <f t="shared" si="161"/>
        <v>0.24</v>
      </c>
      <c r="I2589" s="758">
        <f t="shared" si="162"/>
        <v>7.1400000000000006</v>
      </c>
      <c r="J2589" s="760">
        <f t="shared" si="163"/>
        <v>0.8113636363636364</v>
      </c>
    </row>
    <row r="2590" spans="1:10">
      <c r="A2590" s="74" t="s">
        <v>871</v>
      </c>
      <c r="B2590" s="74" t="s">
        <v>256</v>
      </c>
      <c r="C2590" s="74" t="s">
        <v>1511</v>
      </c>
      <c r="D2590" s="74" t="s">
        <v>80</v>
      </c>
      <c r="E2590" s="74">
        <v>23</v>
      </c>
      <c r="F2590" s="74">
        <v>203.71</v>
      </c>
      <c r="G2590" s="758">
        <f t="shared" si="160"/>
        <v>1.66</v>
      </c>
      <c r="H2590" s="759">
        <f t="shared" si="161"/>
        <v>0.24</v>
      </c>
      <c r="I2590" s="758">
        <f t="shared" si="162"/>
        <v>7.1969565217391303</v>
      </c>
      <c r="J2590" s="760">
        <f t="shared" si="163"/>
        <v>0.81257670217466005</v>
      </c>
    </row>
    <row r="2591" spans="1:10">
      <c r="A2591" s="74" t="s">
        <v>871</v>
      </c>
      <c r="B2591" s="74" t="s">
        <v>256</v>
      </c>
      <c r="C2591" s="74" t="s">
        <v>1512</v>
      </c>
      <c r="D2591" s="74" t="s">
        <v>80</v>
      </c>
      <c r="E2591" s="74">
        <v>11</v>
      </c>
      <c r="F2591" s="74">
        <v>97.3</v>
      </c>
      <c r="G2591" s="758">
        <f t="shared" si="160"/>
        <v>1.66</v>
      </c>
      <c r="H2591" s="759">
        <f t="shared" si="161"/>
        <v>0.24</v>
      </c>
      <c r="I2591" s="758">
        <f t="shared" si="162"/>
        <v>7.1854545454545455</v>
      </c>
      <c r="J2591" s="760">
        <f t="shared" si="163"/>
        <v>0.812332990750257</v>
      </c>
    </row>
    <row r="2592" spans="1:10">
      <c r="A2592" s="74" t="s">
        <v>871</v>
      </c>
      <c r="B2592" s="74" t="s">
        <v>256</v>
      </c>
      <c r="C2592" s="74" t="s">
        <v>1534</v>
      </c>
      <c r="D2592" s="74" t="s">
        <v>81</v>
      </c>
      <c r="E2592" s="74">
        <v>7</v>
      </c>
      <c r="F2592" s="74">
        <v>61.85</v>
      </c>
      <c r="G2592" s="758">
        <f t="shared" si="160"/>
        <v>1.66</v>
      </c>
      <c r="H2592" s="759">
        <f t="shared" si="161"/>
        <v>0.24</v>
      </c>
      <c r="I2592" s="758">
        <f t="shared" si="162"/>
        <v>7.1757142857142853</v>
      </c>
      <c r="J2592" s="760">
        <f t="shared" si="163"/>
        <v>0.8121261115602264</v>
      </c>
    </row>
    <row r="2593" spans="1:10">
      <c r="A2593" s="74" t="s">
        <v>871</v>
      </c>
      <c r="B2593" s="74" t="s">
        <v>256</v>
      </c>
      <c r="C2593" s="74" t="s">
        <v>1517</v>
      </c>
      <c r="D2593" s="74" t="s">
        <v>82</v>
      </c>
      <c r="E2593" s="74">
        <v>3</v>
      </c>
      <c r="F2593" s="74">
        <v>26.4</v>
      </c>
      <c r="G2593" s="758">
        <f t="shared" si="160"/>
        <v>1.66</v>
      </c>
      <c r="H2593" s="759">
        <f t="shared" si="161"/>
        <v>0.24</v>
      </c>
      <c r="I2593" s="758">
        <f t="shared" si="162"/>
        <v>7.1399999999999988</v>
      </c>
      <c r="J2593" s="760">
        <f t="shared" si="163"/>
        <v>0.8113636363636364</v>
      </c>
    </row>
    <row r="2594" spans="1:10">
      <c r="A2594" s="74" t="s">
        <v>871</v>
      </c>
      <c r="B2594" s="74" t="s">
        <v>256</v>
      </c>
      <c r="C2594" s="74" t="s">
        <v>1527</v>
      </c>
      <c r="D2594" s="74" t="s">
        <v>82</v>
      </c>
      <c r="E2594" s="74">
        <v>16</v>
      </c>
      <c r="F2594" s="74">
        <v>142.30000000000001</v>
      </c>
      <c r="G2594" s="758">
        <f t="shared" si="160"/>
        <v>1.66</v>
      </c>
      <c r="H2594" s="759">
        <f t="shared" si="161"/>
        <v>0.24</v>
      </c>
      <c r="I2594" s="758">
        <f t="shared" si="162"/>
        <v>7.2337500000000006</v>
      </c>
      <c r="J2594" s="760">
        <f t="shared" si="163"/>
        <v>0.81335207308503166</v>
      </c>
    </row>
    <row r="2595" spans="1:10">
      <c r="A2595" s="74" t="s">
        <v>871</v>
      </c>
      <c r="B2595" s="74" t="s">
        <v>256</v>
      </c>
      <c r="C2595" s="74" t="s">
        <v>1518</v>
      </c>
      <c r="D2595" s="74" t="s">
        <v>82</v>
      </c>
      <c r="E2595" s="74">
        <v>2</v>
      </c>
      <c r="F2595" s="74">
        <v>3.2</v>
      </c>
      <c r="G2595" s="758">
        <f t="shared" si="160"/>
        <v>1.66</v>
      </c>
      <c r="H2595" s="759">
        <f t="shared" si="161"/>
        <v>0.24</v>
      </c>
      <c r="I2595" s="758">
        <f t="shared" si="162"/>
        <v>-5.9999999999999831E-2</v>
      </c>
      <c r="J2595" s="760">
        <f t="shared" si="163"/>
        <v>-3.7499999999999867E-2</v>
      </c>
    </row>
    <row r="2596" spans="1:10">
      <c r="A2596" s="74" t="s">
        <v>871</v>
      </c>
      <c r="B2596" s="74" t="s">
        <v>256</v>
      </c>
      <c r="C2596" s="74" t="s">
        <v>1540</v>
      </c>
      <c r="D2596" s="74" t="s">
        <v>84</v>
      </c>
      <c r="E2596" s="74">
        <v>1</v>
      </c>
      <c r="F2596" s="74">
        <v>9.0500000000000007</v>
      </c>
      <c r="G2596" s="758">
        <f t="shared" si="160"/>
        <v>1.66</v>
      </c>
      <c r="H2596" s="759">
        <f t="shared" si="161"/>
        <v>0.24</v>
      </c>
      <c r="I2596" s="758">
        <f t="shared" si="162"/>
        <v>7.3900000000000006</v>
      </c>
      <c r="J2596" s="760">
        <f t="shared" si="163"/>
        <v>0.81657458563535912</v>
      </c>
    </row>
    <row r="2597" spans="1:10">
      <c r="A2597" s="74" t="s">
        <v>871</v>
      </c>
      <c r="B2597" s="74" t="s">
        <v>256</v>
      </c>
      <c r="C2597" s="74" t="s">
        <v>1520</v>
      </c>
      <c r="D2597" s="74" t="s">
        <v>84</v>
      </c>
      <c r="E2597" s="74">
        <v>2</v>
      </c>
      <c r="F2597" s="74">
        <v>3.6</v>
      </c>
      <c r="G2597" s="758">
        <f t="shared" si="160"/>
        <v>1.66</v>
      </c>
      <c r="H2597" s="759">
        <f t="shared" si="161"/>
        <v>0.24</v>
      </c>
      <c r="I2597" s="758">
        <f t="shared" si="162"/>
        <v>0.14000000000000012</v>
      </c>
      <c r="J2597" s="760">
        <f t="shared" si="163"/>
        <v>7.7777777777777835E-2</v>
      </c>
    </row>
    <row r="2598" spans="1:10">
      <c r="A2598" s="74" t="s">
        <v>871</v>
      </c>
      <c r="B2598" s="74" t="s">
        <v>256</v>
      </c>
      <c r="C2598" s="74" t="s">
        <v>1644</v>
      </c>
      <c r="D2598" s="74" t="s">
        <v>86</v>
      </c>
      <c r="E2598" s="74">
        <v>2</v>
      </c>
      <c r="F2598" s="74">
        <v>17.600000000000001</v>
      </c>
      <c r="G2598" s="758">
        <f t="shared" si="160"/>
        <v>1.66</v>
      </c>
      <c r="H2598" s="759">
        <f t="shared" si="161"/>
        <v>0.24</v>
      </c>
      <c r="I2598" s="758">
        <f t="shared" si="162"/>
        <v>7.1400000000000006</v>
      </c>
      <c r="J2598" s="760">
        <f t="shared" si="163"/>
        <v>0.8113636363636364</v>
      </c>
    </row>
    <row r="2599" spans="1:10">
      <c r="A2599" s="74" t="s">
        <v>871</v>
      </c>
      <c r="B2599" s="74" t="s">
        <v>256</v>
      </c>
      <c r="C2599" s="74" t="s">
        <v>1543</v>
      </c>
      <c r="D2599" s="74" t="s">
        <v>87</v>
      </c>
      <c r="E2599" s="74">
        <v>3</v>
      </c>
      <c r="F2599" s="74">
        <v>12.4</v>
      </c>
      <c r="G2599" s="758">
        <f t="shared" si="160"/>
        <v>1.66</v>
      </c>
      <c r="H2599" s="759">
        <f t="shared" si="161"/>
        <v>0.24</v>
      </c>
      <c r="I2599" s="758">
        <f t="shared" si="162"/>
        <v>2.4733333333333336</v>
      </c>
      <c r="J2599" s="760">
        <f t="shared" si="163"/>
        <v>0.59838709677419355</v>
      </c>
    </row>
    <row r="2600" spans="1:10">
      <c r="A2600" s="74" t="s">
        <v>871</v>
      </c>
      <c r="B2600" s="74" t="s">
        <v>256</v>
      </c>
      <c r="C2600" s="74" t="s">
        <v>1547</v>
      </c>
      <c r="D2600" s="74" t="s">
        <v>89</v>
      </c>
      <c r="E2600" s="74">
        <v>1</v>
      </c>
      <c r="F2600" s="74">
        <v>9.0500000000000007</v>
      </c>
      <c r="G2600" s="758">
        <f t="shared" si="160"/>
        <v>1.66</v>
      </c>
      <c r="H2600" s="759">
        <f t="shared" si="161"/>
        <v>0.24</v>
      </c>
      <c r="I2600" s="758">
        <f t="shared" si="162"/>
        <v>7.3900000000000006</v>
      </c>
      <c r="J2600" s="760">
        <f t="shared" si="163"/>
        <v>0.81657458563535912</v>
      </c>
    </row>
    <row r="2601" spans="1:10">
      <c r="A2601" s="74" t="s">
        <v>871</v>
      </c>
      <c r="B2601" s="74" t="s">
        <v>256</v>
      </c>
      <c r="C2601" s="74" t="s">
        <v>1582</v>
      </c>
      <c r="D2601" s="74" t="s">
        <v>89</v>
      </c>
      <c r="E2601" s="74">
        <v>3</v>
      </c>
      <c r="F2601" s="74">
        <v>5.4</v>
      </c>
      <c r="G2601" s="758">
        <f t="shared" si="160"/>
        <v>1.66</v>
      </c>
      <c r="H2601" s="759">
        <f t="shared" si="161"/>
        <v>0.24</v>
      </c>
      <c r="I2601" s="758">
        <f t="shared" si="162"/>
        <v>0.14000000000000012</v>
      </c>
      <c r="J2601" s="760">
        <f t="shared" si="163"/>
        <v>7.7777777777777946E-2</v>
      </c>
    </row>
    <row r="2602" spans="1:10">
      <c r="A2602" s="74" t="s">
        <v>871</v>
      </c>
      <c r="B2602" s="74" t="s">
        <v>256</v>
      </c>
      <c r="C2602" s="74" t="s">
        <v>1617</v>
      </c>
      <c r="D2602" s="74" t="s">
        <v>94</v>
      </c>
      <c r="E2602" s="74">
        <v>1</v>
      </c>
      <c r="F2602" s="74">
        <v>8.8000000000000007</v>
      </c>
      <c r="G2602" s="758">
        <f t="shared" si="160"/>
        <v>1.66</v>
      </c>
      <c r="H2602" s="759">
        <f t="shared" si="161"/>
        <v>0.24</v>
      </c>
      <c r="I2602" s="758">
        <f t="shared" si="162"/>
        <v>7.1400000000000006</v>
      </c>
      <c r="J2602" s="760">
        <f t="shared" si="163"/>
        <v>0.8113636363636364</v>
      </c>
    </row>
    <row r="2603" spans="1:10">
      <c r="A2603" s="74" t="s">
        <v>871</v>
      </c>
      <c r="B2603" s="74" t="s">
        <v>256</v>
      </c>
      <c r="C2603" s="74" t="s">
        <v>1553</v>
      </c>
      <c r="D2603" s="74" t="s">
        <v>94</v>
      </c>
      <c r="E2603" s="74">
        <v>2</v>
      </c>
      <c r="F2603" s="74">
        <v>3.6</v>
      </c>
      <c r="G2603" s="758">
        <f t="shared" si="160"/>
        <v>1.66</v>
      </c>
      <c r="H2603" s="759">
        <f t="shared" si="161"/>
        <v>0.24</v>
      </c>
      <c r="I2603" s="758">
        <f t="shared" si="162"/>
        <v>0.14000000000000012</v>
      </c>
      <c r="J2603" s="760">
        <f t="shared" si="163"/>
        <v>7.7777777777777835E-2</v>
      </c>
    </row>
    <row r="2604" spans="1:10">
      <c r="A2604" s="74" t="s">
        <v>871</v>
      </c>
      <c r="B2604" s="74" t="s">
        <v>256</v>
      </c>
      <c r="C2604" s="74" t="s">
        <v>1557</v>
      </c>
      <c r="D2604" s="74" t="s">
        <v>95</v>
      </c>
      <c r="E2604" s="74">
        <v>3</v>
      </c>
      <c r="F2604" s="74">
        <v>5.4</v>
      </c>
      <c r="G2604" s="758">
        <f t="shared" si="160"/>
        <v>1.66</v>
      </c>
      <c r="H2604" s="759">
        <f t="shared" si="161"/>
        <v>0.24</v>
      </c>
      <c r="I2604" s="758">
        <f t="shared" si="162"/>
        <v>0.14000000000000012</v>
      </c>
      <c r="J2604" s="760">
        <f t="shared" si="163"/>
        <v>7.7777777777777946E-2</v>
      </c>
    </row>
    <row r="2605" spans="1:10">
      <c r="A2605" s="74" t="s">
        <v>1798</v>
      </c>
      <c r="B2605" s="74" t="s">
        <v>256</v>
      </c>
      <c r="C2605" s="74" t="s">
        <v>1511</v>
      </c>
      <c r="D2605" s="74" t="s">
        <v>80</v>
      </c>
      <c r="E2605" s="74">
        <v>18</v>
      </c>
      <c r="F2605" s="74">
        <v>32.4</v>
      </c>
      <c r="G2605" s="758">
        <f t="shared" si="160"/>
        <v>0.49</v>
      </c>
      <c r="H2605" s="759">
        <f t="shared" si="161"/>
        <v>0.3</v>
      </c>
      <c r="I2605" s="758">
        <f t="shared" si="162"/>
        <v>1.3099999999999998</v>
      </c>
      <c r="J2605" s="760">
        <f t="shared" si="163"/>
        <v>0.72777777777777775</v>
      </c>
    </row>
    <row r="2606" spans="1:10">
      <c r="A2606" s="74" t="s">
        <v>1798</v>
      </c>
      <c r="B2606" s="74" t="s">
        <v>256</v>
      </c>
      <c r="C2606" s="74" t="s">
        <v>1512</v>
      </c>
      <c r="D2606" s="74" t="s">
        <v>80</v>
      </c>
      <c r="E2606" s="74">
        <v>7</v>
      </c>
      <c r="F2606" s="74">
        <v>12.6</v>
      </c>
      <c r="G2606" s="758">
        <f t="shared" si="160"/>
        <v>0.49</v>
      </c>
      <c r="H2606" s="759">
        <f t="shared" si="161"/>
        <v>0.3</v>
      </c>
      <c r="I2606" s="758">
        <f t="shared" si="162"/>
        <v>1.31</v>
      </c>
      <c r="J2606" s="760">
        <f t="shared" si="163"/>
        <v>0.72777777777777786</v>
      </c>
    </row>
    <row r="2607" spans="1:10">
      <c r="A2607" s="74" t="s">
        <v>1798</v>
      </c>
      <c r="B2607" s="74" t="s">
        <v>256</v>
      </c>
      <c r="C2607" s="74" t="s">
        <v>1534</v>
      </c>
      <c r="D2607" s="74" t="s">
        <v>81</v>
      </c>
      <c r="E2607" s="74">
        <v>4</v>
      </c>
      <c r="F2607" s="74">
        <v>7.2</v>
      </c>
      <c r="G2607" s="758">
        <f t="shared" si="160"/>
        <v>0.49</v>
      </c>
      <c r="H2607" s="759">
        <f t="shared" si="161"/>
        <v>0.3</v>
      </c>
      <c r="I2607" s="758">
        <f t="shared" si="162"/>
        <v>1.31</v>
      </c>
      <c r="J2607" s="760">
        <f t="shared" si="163"/>
        <v>0.72777777777777786</v>
      </c>
    </row>
    <row r="2608" spans="1:10">
      <c r="A2608" s="74" t="s">
        <v>1798</v>
      </c>
      <c r="B2608" s="74" t="s">
        <v>256</v>
      </c>
      <c r="C2608" s="74" t="s">
        <v>1517</v>
      </c>
      <c r="D2608" s="74" t="s">
        <v>82</v>
      </c>
      <c r="E2608" s="74">
        <v>3</v>
      </c>
      <c r="F2608" s="74">
        <v>5.4</v>
      </c>
      <c r="G2608" s="758">
        <f t="shared" si="160"/>
        <v>0.49</v>
      </c>
      <c r="H2608" s="759">
        <f t="shared" si="161"/>
        <v>0.3</v>
      </c>
      <c r="I2608" s="758">
        <f t="shared" si="162"/>
        <v>1.31</v>
      </c>
      <c r="J2608" s="760">
        <f t="shared" si="163"/>
        <v>0.72777777777777786</v>
      </c>
    </row>
    <row r="2609" spans="1:10">
      <c r="A2609" s="74" t="s">
        <v>1798</v>
      </c>
      <c r="B2609" s="74" t="s">
        <v>256</v>
      </c>
      <c r="C2609" s="74" t="s">
        <v>1527</v>
      </c>
      <c r="D2609" s="74" t="s">
        <v>82</v>
      </c>
      <c r="E2609" s="74">
        <v>12</v>
      </c>
      <c r="F2609" s="74">
        <v>21.6</v>
      </c>
      <c r="G2609" s="758">
        <f t="shared" si="160"/>
        <v>0.49</v>
      </c>
      <c r="H2609" s="759">
        <f t="shared" si="161"/>
        <v>0.3</v>
      </c>
      <c r="I2609" s="758">
        <f t="shared" si="162"/>
        <v>1.31</v>
      </c>
      <c r="J2609" s="760">
        <f t="shared" si="163"/>
        <v>0.72777777777777786</v>
      </c>
    </row>
    <row r="2610" spans="1:10">
      <c r="A2610" s="74" t="s">
        <v>1799</v>
      </c>
      <c r="B2610" s="74" t="s">
        <v>256</v>
      </c>
      <c r="C2610" s="74" t="s">
        <v>1512</v>
      </c>
      <c r="D2610" s="74" t="s">
        <v>80</v>
      </c>
      <c r="E2610" s="74">
        <v>7</v>
      </c>
      <c r="F2610" s="74">
        <v>61.6</v>
      </c>
      <c r="G2610" s="758">
        <f t="shared" si="160"/>
        <v>1.82</v>
      </c>
      <c r="H2610" s="759">
        <f t="shared" si="161"/>
        <v>0.23</v>
      </c>
      <c r="I2610" s="758">
        <f t="shared" si="162"/>
        <v>6.98</v>
      </c>
      <c r="J2610" s="760">
        <f t="shared" si="163"/>
        <v>0.79318181818181821</v>
      </c>
    </row>
    <row r="2611" spans="1:10">
      <c r="A2611" s="74" t="s">
        <v>1799</v>
      </c>
      <c r="B2611" s="74" t="s">
        <v>256</v>
      </c>
      <c r="C2611" s="74" t="s">
        <v>1514</v>
      </c>
      <c r="D2611" s="74" t="s">
        <v>81</v>
      </c>
      <c r="E2611" s="74">
        <v>1</v>
      </c>
      <c r="F2611" s="74">
        <v>8.8000000000000007</v>
      </c>
      <c r="G2611" s="758">
        <f t="shared" si="160"/>
        <v>1.82</v>
      </c>
      <c r="H2611" s="759">
        <f t="shared" si="161"/>
        <v>0.23</v>
      </c>
      <c r="I2611" s="758">
        <f t="shared" si="162"/>
        <v>6.98</v>
      </c>
      <c r="J2611" s="760">
        <f t="shared" si="163"/>
        <v>0.79318181818181821</v>
      </c>
    </row>
    <row r="2612" spans="1:10">
      <c r="A2612" s="74" t="s">
        <v>1799</v>
      </c>
      <c r="B2612" s="74" t="s">
        <v>256</v>
      </c>
      <c r="C2612" s="74" t="s">
        <v>1516</v>
      </c>
      <c r="D2612" s="74" t="s">
        <v>82</v>
      </c>
      <c r="E2612" s="74">
        <v>8</v>
      </c>
      <c r="F2612" s="74">
        <v>70.400000000000006</v>
      </c>
      <c r="G2612" s="758">
        <f t="shared" si="160"/>
        <v>1.82</v>
      </c>
      <c r="H2612" s="759">
        <f t="shared" si="161"/>
        <v>0.23</v>
      </c>
      <c r="I2612" s="758">
        <f t="shared" si="162"/>
        <v>6.98</v>
      </c>
      <c r="J2612" s="760">
        <f t="shared" si="163"/>
        <v>0.79318181818181821</v>
      </c>
    </row>
    <row r="2613" spans="1:10">
      <c r="A2613" s="74" t="s">
        <v>1800</v>
      </c>
      <c r="B2613" s="74" t="s">
        <v>256</v>
      </c>
      <c r="C2613" s="74" t="s">
        <v>1516</v>
      </c>
      <c r="D2613" s="74" t="s">
        <v>82</v>
      </c>
      <c r="E2613" s="74">
        <v>6</v>
      </c>
      <c r="F2613" s="74">
        <v>13.2</v>
      </c>
      <c r="G2613" s="758">
        <f t="shared" si="160"/>
        <v>0.46</v>
      </c>
      <c r="H2613" s="759">
        <f t="shared" si="161"/>
        <v>0.23</v>
      </c>
      <c r="I2613" s="758">
        <f t="shared" si="162"/>
        <v>1.7399999999999998</v>
      </c>
      <c r="J2613" s="760">
        <f t="shared" si="163"/>
        <v>0.79090909090909089</v>
      </c>
    </row>
    <row r="2614" spans="1:10">
      <c r="A2614" s="74" t="s">
        <v>932</v>
      </c>
      <c r="B2614" s="74" t="s">
        <v>256</v>
      </c>
      <c r="C2614" s="74" t="s">
        <v>1528</v>
      </c>
      <c r="D2614" s="74" t="s">
        <v>78</v>
      </c>
      <c r="E2614" s="74">
        <v>23</v>
      </c>
      <c r="F2614" s="74">
        <v>188.6</v>
      </c>
      <c r="G2614" s="758">
        <f t="shared" si="160"/>
        <v>0.9</v>
      </c>
      <c r="H2614" s="759">
        <f t="shared" si="161"/>
        <v>0.18</v>
      </c>
      <c r="I2614" s="758">
        <f t="shared" si="162"/>
        <v>7.2999999999999989</v>
      </c>
      <c r="J2614" s="760">
        <f t="shared" si="163"/>
        <v>0.8902439024390244</v>
      </c>
    </row>
    <row r="2615" spans="1:10">
      <c r="A2615" s="74" t="s">
        <v>932</v>
      </c>
      <c r="B2615" s="74" t="s">
        <v>256</v>
      </c>
      <c r="C2615" s="74" t="s">
        <v>1508</v>
      </c>
      <c r="D2615" s="74" t="s">
        <v>78</v>
      </c>
      <c r="E2615" s="74">
        <v>17</v>
      </c>
      <c r="F2615" s="74">
        <v>139.4</v>
      </c>
      <c r="G2615" s="758">
        <f t="shared" si="160"/>
        <v>0.9</v>
      </c>
      <c r="H2615" s="759">
        <f t="shared" si="161"/>
        <v>0.18</v>
      </c>
      <c r="I2615" s="758">
        <f t="shared" si="162"/>
        <v>7.3000000000000007</v>
      </c>
      <c r="J2615" s="760">
        <f t="shared" si="163"/>
        <v>0.8902439024390244</v>
      </c>
    </row>
    <row r="2616" spans="1:10">
      <c r="A2616" s="74" t="s">
        <v>932</v>
      </c>
      <c r="B2616" s="74" t="s">
        <v>256</v>
      </c>
      <c r="C2616" s="74" t="s">
        <v>1509</v>
      </c>
      <c r="D2616" s="74" t="s">
        <v>78</v>
      </c>
      <c r="E2616" s="74">
        <v>33</v>
      </c>
      <c r="F2616" s="74">
        <v>271.39999999999998</v>
      </c>
      <c r="G2616" s="758">
        <f t="shared" si="160"/>
        <v>0.9</v>
      </c>
      <c r="H2616" s="759">
        <f t="shared" si="161"/>
        <v>0.18</v>
      </c>
      <c r="I2616" s="758">
        <f t="shared" si="162"/>
        <v>7.3242424242424224</v>
      </c>
      <c r="J2616" s="760">
        <f t="shared" si="163"/>
        <v>0.89056742815033163</v>
      </c>
    </row>
    <row r="2617" spans="1:10">
      <c r="A2617" s="74" t="s">
        <v>932</v>
      </c>
      <c r="B2617" s="74" t="s">
        <v>256</v>
      </c>
      <c r="C2617" s="74" t="s">
        <v>1565</v>
      </c>
      <c r="D2617" s="74" t="s">
        <v>78</v>
      </c>
      <c r="E2617" s="74">
        <v>9</v>
      </c>
      <c r="F2617" s="74">
        <v>74.25</v>
      </c>
      <c r="G2617" s="758">
        <f t="shared" si="160"/>
        <v>0.9</v>
      </c>
      <c r="H2617" s="759">
        <f t="shared" si="161"/>
        <v>0.18</v>
      </c>
      <c r="I2617" s="758">
        <f t="shared" si="162"/>
        <v>7.35</v>
      </c>
      <c r="J2617" s="760">
        <f t="shared" si="163"/>
        <v>0.89090909090909087</v>
      </c>
    </row>
    <row r="2618" spans="1:10">
      <c r="A2618" s="74" t="s">
        <v>932</v>
      </c>
      <c r="B2618" s="74" t="s">
        <v>256</v>
      </c>
      <c r="C2618" s="74" t="s">
        <v>1532</v>
      </c>
      <c r="D2618" s="74" t="s">
        <v>80</v>
      </c>
      <c r="E2618" s="74">
        <v>5</v>
      </c>
      <c r="F2618" s="74">
        <v>41.4</v>
      </c>
      <c r="G2618" s="758">
        <f t="shared" si="160"/>
        <v>0.9</v>
      </c>
      <c r="H2618" s="759">
        <f t="shared" si="161"/>
        <v>0.18</v>
      </c>
      <c r="I2618" s="758">
        <f t="shared" si="162"/>
        <v>7.379999999999999</v>
      </c>
      <c r="J2618" s="760">
        <f t="shared" si="163"/>
        <v>0.89130434782608692</v>
      </c>
    </row>
    <row r="2619" spans="1:10">
      <c r="A2619" s="74" t="s">
        <v>932</v>
      </c>
      <c r="B2619" s="74" t="s">
        <v>256</v>
      </c>
      <c r="C2619" s="74" t="s">
        <v>1511</v>
      </c>
      <c r="D2619" s="74" t="s">
        <v>80</v>
      </c>
      <c r="E2619" s="74">
        <v>5</v>
      </c>
      <c r="F2619" s="74">
        <v>41.51</v>
      </c>
      <c r="G2619" s="758">
        <f t="shared" si="160"/>
        <v>0.9</v>
      </c>
      <c r="H2619" s="759">
        <f t="shared" si="161"/>
        <v>0.18</v>
      </c>
      <c r="I2619" s="758">
        <f t="shared" si="162"/>
        <v>7.4019999999999992</v>
      </c>
      <c r="J2619" s="760">
        <f t="shared" si="163"/>
        <v>0.89159238737653579</v>
      </c>
    </row>
    <row r="2620" spans="1:10">
      <c r="A2620" s="74" t="s">
        <v>932</v>
      </c>
      <c r="B2620" s="74" t="s">
        <v>256</v>
      </c>
      <c r="C2620" s="74" t="s">
        <v>1512</v>
      </c>
      <c r="D2620" s="74" t="s">
        <v>80</v>
      </c>
      <c r="E2620" s="74">
        <v>15</v>
      </c>
      <c r="F2620" s="74">
        <v>124</v>
      </c>
      <c r="G2620" s="758">
        <f t="shared" si="160"/>
        <v>0.9</v>
      </c>
      <c r="H2620" s="759">
        <f t="shared" si="161"/>
        <v>0.18</v>
      </c>
      <c r="I2620" s="758">
        <f t="shared" si="162"/>
        <v>7.3666666666666671</v>
      </c>
      <c r="J2620" s="760">
        <f t="shared" si="163"/>
        <v>0.8911290322580645</v>
      </c>
    </row>
    <row r="2621" spans="1:10">
      <c r="A2621" s="74" t="s">
        <v>932</v>
      </c>
      <c r="B2621" s="74" t="s">
        <v>256</v>
      </c>
      <c r="C2621" s="74" t="s">
        <v>1534</v>
      </c>
      <c r="D2621" s="74" t="s">
        <v>81</v>
      </c>
      <c r="E2621" s="74">
        <v>6</v>
      </c>
      <c r="F2621" s="74">
        <v>49.5</v>
      </c>
      <c r="G2621" s="758">
        <f t="shared" si="160"/>
        <v>0.9</v>
      </c>
      <c r="H2621" s="759">
        <f t="shared" si="161"/>
        <v>0.18</v>
      </c>
      <c r="I2621" s="758">
        <f t="shared" si="162"/>
        <v>7.35</v>
      </c>
      <c r="J2621" s="760">
        <f t="shared" si="163"/>
        <v>0.89090909090909087</v>
      </c>
    </row>
    <row r="2622" spans="1:10">
      <c r="A2622" s="74" t="s">
        <v>932</v>
      </c>
      <c r="B2622" s="74" t="s">
        <v>256</v>
      </c>
      <c r="C2622" s="74" t="s">
        <v>1513</v>
      </c>
      <c r="D2622" s="74" t="s">
        <v>81</v>
      </c>
      <c r="E2622" s="74">
        <v>2</v>
      </c>
      <c r="F2622" s="74">
        <v>16.649999999999999</v>
      </c>
      <c r="G2622" s="758">
        <f t="shared" si="160"/>
        <v>0.9</v>
      </c>
      <c r="H2622" s="759">
        <f t="shared" si="161"/>
        <v>0.18</v>
      </c>
      <c r="I2622" s="758">
        <f t="shared" si="162"/>
        <v>7.4249999999999989</v>
      </c>
      <c r="J2622" s="760">
        <f t="shared" si="163"/>
        <v>0.89189189189189189</v>
      </c>
    </row>
    <row r="2623" spans="1:10">
      <c r="A2623" s="74" t="s">
        <v>932</v>
      </c>
      <c r="B2623" s="74" t="s">
        <v>256</v>
      </c>
      <c r="C2623" s="74" t="s">
        <v>1514</v>
      </c>
      <c r="D2623" s="74" t="s">
        <v>81</v>
      </c>
      <c r="E2623" s="74">
        <v>5</v>
      </c>
      <c r="F2623" s="74">
        <v>41.25</v>
      </c>
      <c r="G2623" s="758">
        <f t="shared" si="160"/>
        <v>0.9</v>
      </c>
      <c r="H2623" s="759">
        <f t="shared" si="161"/>
        <v>0.18</v>
      </c>
      <c r="I2623" s="758">
        <f t="shared" si="162"/>
        <v>7.35</v>
      </c>
      <c r="J2623" s="760">
        <f t="shared" si="163"/>
        <v>0.89090909090909087</v>
      </c>
    </row>
    <row r="2624" spans="1:10">
      <c r="A2624" s="74" t="s">
        <v>932</v>
      </c>
      <c r="B2624" s="74" t="s">
        <v>256</v>
      </c>
      <c r="C2624" s="74" t="s">
        <v>1515</v>
      </c>
      <c r="D2624" s="74" t="s">
        <v>81</v>
      </c>
      <c r="E2624" s="74">
        <v>8</v>
      </c>
      <c r="F2624" s="74">
        <v>66</v>
      </c>
      <c r="G2624" s="758">
        <f t="shared" si="160"/>
        <v>0.9</v>
      </c>
      <c r="H2624" s="759">
        <f t="shared" si="161"/>
        <v>0.18</v>
      </c>
      <c r="I2624" s="758">
        <f t="shared" si="162"/>
        <v>7.35</v>
      </c>
      <c r="J2624" s="760">
        <f t="shared" si="163"/>
        <v>0.89090909090909087</v>
      </c>
    </row>
    <row r="2625" spans="1:10">
      <c r="A2625" s="74" t="s">
        <v>932</v>
      </c>
      <c r="B2625" s="74" t="s">
        <v>256</v>
      </c>
      <c r="C2625" s="74" t="s">
        <v>1516</v>
      </c>
      <c r="D2625" s="74" t="s">
        <v>82</v>
      </c>
      <c r="E2625" s="74">
        <v>4</v>
      </c>
      <c r="F2625" s="74">
        <v>32.9</v>
      </c>
      <c r="G2625" s="758">
        <f t="shared" si="160"/>
        <v>0.9</v>
      </c>
      <c r="H2625" s="759">
        <f t="shared" si="161"/>
        <v>0.18</v>
      </c>
      <c r="I2625" s="758">
        <f t="shared" si="162"/>
        <v>7.3249999999999993</v>
      </c>
      <c r="J2625" s="760">
        <f t="shared" si="163"/>
        <v>0.89057750759878418</v>
      </c>
    </row>
    <row r="2626" spans="1:10">
      <c r="A2626" s="74" t="s">
        <v>932</v>
      </c>
      <c r="B2626" s="74" t="s">
        <v>256</v>
      </c>
      <c r="C2626" s="74" t="s">
        <v>1517</v>
      </c>
      <c r="D2626" s="74" t="s">
        <v>82</v>
      </c>
      <c r="E2626" s="74">
        <v>6</v>
      </c>
      <c r="F2626" s="74">
        <v>49.8</v>
      </c>
      <c r="G2626" s="758">
        <f t="shared" ref="G2626:G2689" si="164">IFERROR(VLOOKUP(A2626,$M$1:$P$1014,2,FALSE),0)</f>
        <v>0.9</v>
      </c>
      <c r="H2626" s="759">
        <f t="shared" ref="H2626:H2689" si="165">IFERROR(VLOOKUP(A2626,$M$1:$P$1014,3,FALSE),0)</f>
        <v>0.18</v>
      </c>
      <c r="I2626" s="758">
        <f t="shared" ref="I2626:I2689" si="166">IFERROR(F2626/E2626-G2626,0)</f>
        <v>7.3999999999999986</v>
      </c>
      <c r="J2626" s="760">
        <f t="shared" ref="J2626:J2689" si="167">IFERROR(1-G2626*E2626/F2626,0)</f>
        <v>0.89156626506024095</v>
      </c>
    </row>
    <row r="2627" spans="1:10">
      <c r="A2627" s="74" t="s">
        <v>932</v>
      </c>
      <c r="B2627" s="74" t="s">
        <v>256</v>
      </c>
      <c r="C2627" s="74" t="s">
        <v>1527</v>
      </c>
      <c r="D2627" s="74" t="s">
        <v>82</v>
      </c>
      <c r="E2627" s="74">
        <v>6</v>
      </c>
      <c r="F2627" s="74">
        <v>49.4</v>
      </c>
      <c r="G2627" s="758">
        <f t="shared" si="164"/>
        <v>0.9</v>
      </c>
      <c r="H2627" s="759">
        <f t="shared" si="165"/>
        <v>0.18</v>
      </c>
      <c r="I2627" s="758">
        <f t="shared" si="166"/>
        <v>7.3333333333333321</v>
      </c>
      <c r="J2627" s="760">
        <f t="shared" si="167"/>
        <v>0.89068825910931171</v>
      </c>
    </row>
    <row r="2628" spans="1:10">
      <c r="A2628" s="74" t="s">
        <v>932</v>
      </c>
      <c r="B2628" s="74" t="s">
        <v>256</v>
      </c>
      <c r="C2628" s="74" t="s">
        <v>1518</v>
      </c>
      <c r="D2628" s="74" t="s">
        <v>82</v>
      </c>
      <c r="E2628" s="74">
        <v>1</v>
      </c>
      <c r="F2628" s="74">
        <v>8.25</v>
      </c>
      <c r="G2628" s="758">
        <f t="shared" si="164"/>
        <v>0.9</v>
      </c>
      <c r="H2628" s="759">
        <f t="shared" si="165"/>
        <v>0.18</v>
      </c>
      <c r="I2628" s="758">
        <f t="shared" si="166"/>
        <v>7.35</v>
      </c>
      <c r="J2628" s="760">
        <f t="shared" si="167"/>
        <v>0.89090909090909087</v>
      </c>
    </row>
    <row r="2629" spans="1:10">
      <c r="A2629" s="74" t="s">
        <v>932</v>
      </c>
      <c r="B2629" s="74" t="s">
        <v>256</v>
      </c>
      <c r="C2629" s="74" t="s">
        <v>1519</v>
      </c>
      <c r="D2629" s="74" t="s">
        <v>84</v>
      </c>
      <c r="E2629" s="74">
        <v>1</v>
      </c>
      <c r="F2629" s="74">
        <v>8.4</v>
      </c>
      <c r="G2629" s="758">
        <f t="shared" si="164"/>
        <v>0.9</v>
      </c>
      <c r="H2629" s="759">
        <f t="shared" si="165"/>
        <v>0.18</v>
      </c>
      <c r="I2629" s="758">
        <f t="shared" si="166"/>
        <v>7.5</v>
      </c>
      <c r="J2629" s="760">
        <f t="shared" si="167"/>
        <v>0.8928571428571429</v>
      </c>
    </row>
    <row r="2630" spans="1:10">
      <c r="A2630" s="74" t="s">
        <v>932</v>
      </c>
      <c r="B2630" s="74" t="s">
        <v>256</v>
      </c>
      <c r="C2630" s="74" t="s">
        <v>1577</v>
      </c>
      <c r="D2630" s="74" t="s">
        <v>84</v>
      </c>
      <c r="E2630" s="74">
        <v>2</v>
      </c>
      <c r="F2630" s="74">
        <v>3.2</v>
      </c>
      <c r="G2630" s="758">
        <f t="shared" si="164"/>
        <v>0.9</v>
      </c>
      <c r="H2630" s="759">
        <f t="shared" si="165"/>
        <v>0.18</v>
      </c>
      <c r="I2630" s="758">
        <f t="shared" si="166"/>
        <v>0.70000000000000007</v>
      </c>
      <c r="J2630" s="760">
        <f t="shared" si="167"/>
        <v>0.4375</v>
      </c>
    </row>
    <row r="2631" spans="1:10">
      <c r="A2631" s="74" t="s">
        <v>932</v>
      </c>
      <c r="B2631" s="74" t="s">
        <v>256</v>
      </c>
      <c r="C2631" s="74" t="s">
        <v>1541</v>
      </c>
      <c r="D2631" s="74" t="s">
        <v>86</v>
      </c>
      <c r="E2631" s="74">
        <v>2</v>
      </c>
      <c r="F2631" s="74">
        <v>3.2</v>
      </c>
      <c r="G2631" s="758">
        <f t="shared" si="164"/>
        <v>0.9</v>
      </c>
      <c r="H2631" s="759">
        <f t="shared" si="165"/>
        <v>0.18</v>
      </c>
      <c r="I2631" s="758">
        <f t="shared" si="166"/>
        <v>0.70000000000000007</v>
      </c>
      <c r="J2631" s="760">
        <f t="shared" si="167"/>
        <v>0.4375</v>
      </c>
    </row>
    <row r="2632" spans="1:10">
      <c r="A2632" s="74" t="s">
        <v>932</v>
      </c>
      <c r="B2632" s="74" t="s">
        <v>256</v>
      </c>
      <c r="C2632" s="74" t="s">
        <v>1543</v>
      </c>
      <c r="D2632" s="74" t="s">
        <v>87</v>
      </c>
      <c r="E2632" s="74">
        <v>9</v>
      </c>
      <c r="F2632" s="74">
        <v>21.05</v>
      </c>
      <c r="G2632" s="758">
        <f t="shared" si="164"/>
        <v>0.9</v>
      </c>
      <c r="H2632" s="759">
        <f t="shared" si="165"/>
        <v>0.18</v>
      </c>
      <c r="I2632" s="758">
        <f t="shared" si="166"/>
        <v>1.4388888888888891</v>
      </c>
      <c r="J2632" s="760">
        <f t="shared" si="167"/>
        <v>0.61520190023752974</v>
      </c>
    </row>
    <row r="2633" spans="1:10">
      <c r="A2633" s="74" t="s">
        <v>932</v>
      </c>
      <c r="B2633" s="74" t="s">
        <v>256</v>
      </c>
      <c r="C2633" s="74" t="s">
        <v>1608</v>
      </c>
      <c r="D2633" s="74" t="s">
        <v>89</v>
      </c>
      <c r="E2633" s="74">
        <v>4</v>
      </c>
      <c r="F2633" s="74">
        <v>6.4</v>
      </c>
      <c r="G2633" s="758">
        <f t="shared" si="164"/>
        <v>0.9</v>
      </c>
      <c r="H2633" s="759">
        <f t="shared" si="165"/>
        <v>0.18</v>
      </c>
      <c r="I2633" s="758">
        <f t="shared" si="166"/>
        <v>0.70000000000000007</v>
      </c>
      <c r="J2633" s="760">
        <f t="shared" si="167"/>
        <v>0.4375</v>
      </c>
    </row>
    <row r="2634" spans="1:10">
      <c r="A2634" s="74" t="s">
        <v>932</v>
      </c>
      <c r="B2634" s="74" t="s">
        <v>256</v>
      </c>
      <c r="C2634" s="74" t="s">
        <v>1610</v>
      </c>
      <c r="D2634" s="74" t="s">
        <v>89</v>
      </c>
      <c r="E2634" s="74">
        <v>6</v>
      </c>
      <c r="F2634" s="74">
        <v>23.05</v>
      </c>
      <c r="G2634" s="758">
        <f t="shared" si="164"/>
        <v>0.9</v>
      </c>
      <c r="H2634" s="759">
        <f t="shared" si="165"/>
        <v>0.18</v>
      </c>
      <c r="I2634" s="758">
        <f t="shared" si="166"/>
        <v>2.9416666666666669</v>
      </c>
      <c r="J2634" s="760">
        <f t="shared" si="167"/>
        <v>0.76572668112798259</v>
      </c>
    </row>
    <row r="2635" spans="1:10">
      <c r="A2635" s="74" t="s">
        <v>932</v>
      </c>
      <c r="B2635" s="74" t="s">
        <v>256</v>
      </c>
      <c r="C2635" s="74" t="s">
        <v>1547</v>
      </c>
      <c r="D2635" s="74" t="s">
        <v>89</v>
      </c>
      <c r="E2635" s="74">
        <v>9</v>
      </c>
      <c r="F2635" s="74">
        <v>27.7</v>
      </c>
      <c r="G2635" s="758">
        <f t="shared" si="164"/>
        <v>0.9</v>
      </c>
      <c r="H2635" s="759">
        <f t="shared" si="165"/>
        <v>0.18</v>
      </c>
      <c r="I2635" s="758">
        <f t="shared" si="166"/>
        <v>2.1777777777777776</v>
      </c>
      <c r="J2635" s="760">
        <f t="shared" si="167"/>
        <v>0.70758122743682317</v>
      </c>
    </row>
    <row r="2636" spans="1:10">
      <c r="A2636" s="74" t="s">
        <v>932</v>
      </c>
      <c r="B2636" s="74" t="s">
        <v>256</v>
      </c>
      <c r="C2636" s="74" t="s">
        <v>1582</v>
      </c>
      <c r="D2636" s="74" t="s">
        <v>89</v>
      </c>
      <c r="E2636" s="74">
        <v>5</v>
      </c>
      <c r="F2636" s="74">
        <v>14.8</v>
      </c>
      <c r="G2636" s="758">
        <f t="shared" si="164"/>
        <v>0.9</v>
      </c>
      <c r="H2636" s="759">
        <f t="shared" si="165"/>
        <v>0.18</v>
      </c>
      <c r="I2636" s="758">
        <f t="shared" si="166"/>
        <v>2.06</v>
      </c>
      <c r="J2636" s="760">
        <f t="shared" si="167"/>
        <v>0.69594594594594594</v>
      </c>
    </row>
    <row r="2637" spans="1:10">
      <c r="A2637" s="74" t="s">
        <v>932</v>
      </c>
      <c r="B2637" s="74" t="s">
        <v>256</v>
      </c>
      <c r="C2637" s="74" t="s">
        <v>1522</v>
      </c>
      <c r="D2637" s="74" t="s">
        <v>91</v>
      </c>
      <c r="E2637" s="74">
        <v>4</v>
      </c>
      <c r="F2637" s="74">
        <v>6.4</v>
      </c>
      <c r="G2637" s="758">
        <f t="shared" si="164"/>
        <v>0.9</v>
      </c>
      <c r="H2637" s="759">
        <f t="shared" si="165"/>
        <v>0.18</v>
      </c>
      <c r="I2637" s="758">
        <f t="shared" si="166"/>
        <v>0.70000000000000007</v>
      </c>
      <c r="J2637" s="760">
        <f t="shared" si="167"/>
        <v>0.4375</v>
      </c>
    </row>
    <row r="2638" spans="1:10">
      <c r="A2638" s="74" t="s">
        <v>932</v>
      </c>
      <c r="B2638" s="74" t="s">
        <v>256</v>
      </c>
      <c r="C2638" s="74" t="s">
        <v>1675</v>
      </c>
      <c r="D2638" s="74" t="s">
        <v>91</v>
      </c>
      <c r="E2638" s="74">
        <v>2</v>
      </c>
      <c r="F2638" s="74">
        <v>3.2</v>
      </c>
      <c r="G2638" s="758">
        <f t="shared" si="164"/>
        <v>0.9</v>
      </c>
      <c r="H2638" s="759">
        <f t="shared" si="165"/>
        <v>0.18</v>
      </c>
      <c r="I2638" s="758">
        <f t="shared" si="166"/>
        <v>0.70000000000000007</v>
      </c>
      <c r="J2638" s="760">
        <f t="shared" si="167"/>
        <v>0.4375</v>
      </c>
    </row>
    <row r="2639" spans="1:10">
      <c r="A2639" s="74" t="s">
        <v>932</v>
      </c>
      <c r="B2639" s="74" t="s">
        <v>256</v>
      </c>
      <c r="C2639" s="74" t="s">
        <v>1524</v>
      </c>
      <c r="D2639" s="74" t="s">
        <v>91</v>
      </c>
      <c r="E2639" s="74">
        <v>2</v>
      </c>
      <c r="F2639" s="74">
        <v>3.2</v>
      </c>
      <c r="G2639" s="758">
        <f t="shared" si="164"/>
        <v>0.9</v>
      </c>
      <c r="H2639" s="759">
        <f t="shared" si="165"/>
        <v>0.18</v>
      </c>
      <c r="I2639" s="758">
        <f t="shared" si="166"/>
        <v>0.70000000000000007</v>
      </c>
      <c r="J2639" s="760">
        <f t="shared" si="167"/>
        <v>0.4375</v>
      </c>
    </row>
    <row r="2640" spans="1:10">
      <c r="A2640" s="74" t="s">
        <v>932</v>
      </c>
      <c r="B2640" s="74" t="s">
        <v>256</v>
      </c>
      <c r="C2640" s="74" t="s">
        <v>1584</v>
      </c>
      <c r="D2640" s="74" t="s">
        <v>92</v>
      </c>
      <c r="E2640" s="74">
        <v>3</v>
      </c>
      <c r="F2640" s="74">
        <v>4.8</v>
      </c>
      <c r="G2640" s="758">
        <f t="shared" si="164"/>
        <v>0.9</v>
      </c>
      <c r="H2640" s="759">
        <f t="shared" si="165"/>
        <v>0.18</v>
      </c>
      <c r="I2640" s="758">
        <f t="shared" si="166"/>
        <v>0.69999999999999984</v>
      </c>
      <c r="J2640" s="760">
        <f t="shared" si="167"/>
        <v>0.43749999999999989</v>
      </c>
    </row>
    <row r="2641" spans="1:10">
      <c r="A2641" s="74" t="s">
        <v>932</v>
      </c>
      <c r="B2641" s="74" t="s">
        <v>256</v>
      </c>
      <c r="C2641" s="74" t="s">
        <v>1614</v>
      </c>
      <c r="D2641" s="74" t="s">
        <v>92</v>
      </c>
      <c r="E2641" s="74">
        <v>5</v>
      </c>
      <c r="F2641" s="74">
        <v>8.25</v>
      </c>
      <c r="G2641" s="758">
        <f t="shared" si="164"/>
        <v>0.9</v>
      </c>
      <c r="H2641" s="759">
        <f t="shared" si="165"/>
        <v>0.18</v>
      </c>
      <c r="I2641" s="758">
        <f t="shared" si="166"/>
        <v>0.74999999999999989</v>
      </c>
      <c r="J2641" s="760">
        <f t="shared" si="167"/>
        <v>0.45454545454545459</v>
      </c>
    </row>
    <row r="2642" spans="1:10">
      <c r="A2642" s="74" t="s">
        <v>932</v>
      </c>
      <c r="B2642" s="74" t="s">
        <v>256</v>
      </c>
      <c r="C2642" s="74" t="s">
        <v>1631</v>
      </c>
      <c r="D2642" s="74" t="s">
        <v>92</v>
      </c>
      <c r="E2642" s="74">
        <v>5</v>
      </c>
      <c r="F2642" s="74">
        <v>8.25</v>
      </c>
      <c r="G2642" s="758">
        <f t="shared" si="164"/>
        <v>0.9</v>
      </c>
      <c r="H2642" s="759">
        <f t="shared" si="165"/>
        <v>0.18</v>
      </c>
      <c r="I2642" s="758">
        <f t="shared" si="166"/>
        <v>0.74999999999999989</v>
      </c>
      <c r="J2642" s="760">
        <f t="shared" si="167"/>
        <v>0.45454545454545459</v>
      </c>
    </row>
    <row r="2643" spans="1:10">
      <c r="A2643" s="74" t="s">
        <v>932</v>
      </c>
      <c r="B2643" s="74" t="s">
        <v>256</v>
      </c>
      <c r="C2643" s="74" t="s">
        <v>1553</v>
      </c>
      <c r="D2643" s="74" t="s">
        <v>94</v>
      </c>
      <c r="E2643" s="74">
        <v>3</v>
      </c>
      <c r="F2643" s="74">
        <v>0</v>
      </c>
      <c r="G2643" s="758">
        <f t="shared" si="164"/>
        <v>0.9</v>
      </c>
      <c r="H2643" s="759">
        <f t="shared" si="165"/>
        <v>0.18</v>
      </c>
      <c r="I2643" s="758">
        <f t="shared" si="166"/>
        <v>-0.9</v>
      </c>
      <c r="J2643" s="760">
        <f t="shared" si="167"/>
        <v>0</v>
      </c>
    </row>
    <row r="2644" spans="1:10">
      <c r="A2644" s="74" t="s">
        <v>932</v>
      </c>
      <c r="B2644" s="74" t="s">
        <v>256</v>
      </c>
      <c r="C2644" s="74" t="s">
        <v>1555</v>
      </c>
      <c r="D2644" s="74" t="s">
        <v>94</v>
      </c>
      <c r="E2644" s="74">
        <v>4</v>
      </c>
      <c r="F2644" s="74">
        <v>6.6</v>
      </c>
      <c r="G2644" s="758">
        <f t="shared" si="164"/>
        <v>0.9</v>
      </c>
      <c r="H2644" s="759">
        <f t="shared" si="165"/>
        <v>0.18</v>
      </c>
      <c r="I2644" s="758">
        <f t="shared" si="166"/>
        <v>0.74999999999999989</v>
      </c>
      <c r="J2644" s="760">
        <f t="shared" si="167"/>
        <v>0.45454545454545447</v>
      </c>
    </row>
    <row r="2645" spans="1:10">
      <c r="A2645" s="74" t="s">
        <v>932</v>
      </c>
      <c r="B2645" s="74" t="s">
        <v>256</v>
      </c>
      <c r="C2645" s="74" t="s">
        <v>1557</v>
      </c>
      <c r="D2645" s="74" t="s">
        <v>95</v>
      </c>
      <c r="E2645" s="74">
        <v>5</v>
      </c>
      <c r="F2645" s="74">
        <v>8.25</v>
      </c>
      <c r="G2645" s="758">
        <f t="shared" si="164"/>
        <v>0.9</v>
      </c>
      <c r="H2645" s="759">
        <f t="shared" si="165"/>
        <v>0.18</v>
      </c>
      <c r="I2645" s="758">
        <f t="shared" si="166"/>
        <v>0.74999999999999989</v>
      </c>
      <c r="J2645" s="760">
        <f t="shared" si="167"/>
        <v>0.45454545454545459</v>
      </c>
    </row>
    <row r="2646" spans="1:10">
      <c r="A2646" s="74" t="s">
        <v>932</v>
      </c>
      <c r="B2646" s="74" t="s">
        <v>256</v>
      </c>
      <c r="C2646" s="74" t="s">
        <v>1526</v>
      </c>
      <c r="D2646" s="74" t="s">
        <v>95</v>
      </c>
      <c r="E2646" s="74">
        <v>1</v>
      </c>
      <c r="F2646" s="74">
        <v>8.25</v>
      </c>
      <c r="G2646" s="758">
        <f t="shared" si="164"/>
        <v>0.9</v>
      </c>
      <c r="H2646" s="759">
        <f t="shared" si="165"/>
        <v>0.18</v>
      </c>
      <c r="I2646" s="758">
        <f t="shared" si="166"/>
        <v>7.35</v>
      </c>
      <c r="J2646" s="760">
        <f t="shared" si="167"/>
        <v>0.89090909090909087</v>
      </c>
    </row>
    <row r="2647" spans="1:10">
      <c r="A2647" s="74" t="s">
        <v>1802</v>
      </c>
      <c r="B2647" s="74" t="s">
        <v>256</v>
      </c>
      <c r="C2647" s="74" t="s">
        <v>1565</v>
      </c>
      <c r="D2647" s="74" t="s">
        <v>78</v>
      </c>
      <c r="E2647" s="74">
        <v>18</v>
      </c>
      <c r="F2647" s="74">
        <v>28.8</v>
      </c>
      <c r="G2647" s="758">
        <f t="shared" si="164"/>
        <v>0.27</v>
      </c>
      <c r="H2647" s="759">
        <f t="shared" si="165"/>
        <v>0.18</v>
      </c>
      <c r="I2647" s="758">
        <f t="shared" si="166"/>
        <v>1.33</v>
      </c>
      <c r="J2647" s="760">
        <f t="shared" si="167"/>
        <v>0.83125000000000004</v>
      </c>
    </row>
    <row r="2648" spans="1:10">
      <c r="A2648" s="74" t="s">
        <v>1802</v>
      </c>
      <c r="B2648" s="74" t="s">
        <v>256</v>
      </c>
      <c r="C2648" s="74" t="s">
        <v>1530</v>
      </c>
      <c r="D2648" s="74" t="s">
        <v>80</v>
      </c>
      <c r="E2648" s="74">
        <v>2</v>
      </c>
      <c r="F2648" s="74">
        <v>3.2</v>
      </c>
      <c r="G2648" s="758">
        <f t="shared" si="164"/>
        <v>0.27</v>
      </c>
      <c r="H2648" s="759">
        <f t="shared" si="165"/>
        <v>0.18</v>
      </c>
      <c r="I2648" s="758">
        <f t="shared" si="166"/>
        <v>1.33</v>
      </c>
      <c r="J2648" s="760">
        <f t="shared" si="167"/>
        <v>0.83125000000000004</v>
      </c>
    </row>
    <row r="2649" spans="1:10">
      <c r="A2649" s="74" t="s">
        <v>1802</v>
      </c>
      <c r="B2649" s="74" t="s">
        <v>256</v>
      </c>
      <c r="C2649" s="74" t="s">
        <v>1532</v>
      </c>
      <c r="D2649" s="74" t="s">
        <v>80</v>
      </c>
      <c r="E2649" s="74">
        <v>15</v>
      </c>
      <c r="F2649" s="74">
        <v>24</v>
      </c>
      <c r="G2649" s="758">
        <f t="shared" si="164"/>
        <v>0.27</v>
      </c>
      <c r="H2649" s="759">
        <f t="shared" si="165"/>
        <v>0.18</v>
      </c>
      <c r="I2649" s="758">
        <f t="shared" si="166"/>
        <v>1.33</v>
      </c>
      <c r="J2649" s="760">
        <f t="shared" si="167"/>
        <v>0.83124999999999993</v>
      </c>
    </row>
    <row r="2650" spans="1:10">
      <c r="A2650" s="74" t="s">
        <v>1802</v>
      </c>
      <c r="B2650" s="74" t="s">
        <v>256</v>
      </c>
      <c r="C2650" s="74" t="s">
        <v>1511</v>
      </c>
      <c r="D2650" s="74" t="s">
        <v>80</v>
      </c>
      <c r="E2650" s="74">
        <v>18</v>
      </c>
      <c r="F2650" s="74">
        <v>28.8</v>
      </c>
      <c r="G2650" s="758">
        <f t="shared" si="164"/>
        <v>0.27</v>
      </c>
      <c r="H2650" s="759">
        <f t="shared" si="165"/>
        <v>0.18</v>
      </c>
      <c r="I2650" s="758">
        <f t="shared" si="166"/>
        <v>1.33</v>
      </c>
      <c r="J2650" s="760">
        <f t="shared" si="167"/>
        <v>0.83125000000000004</v>
      </c>
    </row>
    <row r="2651" spans="1:10">
      <c r="A2651" s="74" t="s">
        <v>1802</v>
      </c>
      <c r="B2651" s="74" t="s">
        <v>256</v>
      </c>
      <c r="C2651" s="74" t="s">
        <v>1512</v>
      </c>
      <c r="D2651" s="74" t="s">
        <v>80</v>
      </c>
      <c r="E2651" s="74">
        <v>10</v>
      </c>
      <c r="F2651" s="74">
        <v>16</v>
      </c>
      <c r="G2651" s="758">
        <f t="shared" si="164"/>
        <v>0.27</v>
      </c>
      <c r="H2651" s="759">
        <f t="shared" si="165"/>
        <v>0.18</v>
      </c>
      <c r="I2651" s="758">
        <f t="shared" si="166"/>
        <v>1.33</v>
      </c>
      <c r="J2651" s="760">
        <f t="shared" si="167"/>
        <v>0.83125000000000004</v>
      </c>
    </row>
    <row r="2652" spans="1:10">
      <c r="A2652" s="74" t="s">
        <v>1802</v>
      </c>
      <c r="B2652" s="74" t="s">
        <v>256</v>
      </c>
      <c r="C2652" s="74" t="s">
        <v>1534</v>
      </c>
      <c r="D2652" s="74" t="s">
        <v>81</v>
      </c>
      <c r="E2652" s="74">
        <v>20</v>
      </c>
      <c r="F2652" s="74">
        <v>32</v>
      </c>
      <c r="G2652" s="758">
        <f t="shared" si="164"/>
        <v>0.27</v>
      </c>
      <c r="H2652" s="759">
        <f t="shared" si="165"/>
        <v>0.18</v>
      </c>
      <c r="I2652" s="758">
        <f t="shared" si="166"/>
        <v>1.33</v>
      </c>
      <c r="J2652" s="760">
        <f t="shared" si="167"/>
        <v>0.83125000000000004</v>
      </c>
    </row>
    <row r="2653" spans="1:10">
      <c r="A2653" s="74" t="s">
        <v>1802</v>
      </c>
      <c r="B2653" s="74" t="s">
        <v>256</v>
      </c>
      <c r="C2653" s="74" t="s">
        <v>1513</v>
      </c>
      <c r="D2653" s="74" t="s">
        <v>81</v>
      </c>
      <c r="E2653" s="74">
        <v>15</v>
      </c>
      <c r="F2653" s="74">
        <v>24</v>
      </c>
      <c r="G2653" s="758">
        <f t="shared" si="164"/>
        <v>0.27</v>
      </c>
      <c r="H2653" s="759">
        <f t="shared" si="165"/>
        <v>0.18</v>
      </c>
      <c r="I2653" s="758">
        <f t="shared" si="166"/>
        <v>1.33</v>
      </c>
      <c r="J2653" s="760">
        <f t="shared" si="167"/>
        <v>0.83124999999999993</v>
      </c>
    </row>
    <row r="2654" spans="1:10">
      <c r="A2654" s="74" t="s">
        <v>1802</v>
      </c>
      <c r="B2654" s="74" t="s">
        <v>256</v>
      </c>
      <c r="C2654" s="74" t="s">
        <v>1514</v>
      </c>
      <c r="D2654" s="74" t="s">
        <v>81</v>
      </c>
      <c r="E2654" s="74">
        <v>17</v>
      </c>
      <c r="F2654" s="74">
        <v>27.2</v>
      </c>
      <c r="G2654" s="758">
        <f t="shared" si="164"/>
        <v>0.27</v>
      </c>
      <c r="H2654" s="759">
        <f t="shared" si="165"/>
        <v>0.18</v>
      </c>
      <c r="I2654" s="758">
        <f t="shared" si="166"/>
        <v>1.3299999999999998</v>
      </c>
      <c r="J2654" s="760">
        <f t="shared" si="167"/>
        <v>0.83125000000000004</v>
      </c>
    </row>
    <row r="2655" spans="1:10">
      <c r="A2655" s="74" t="s">
        <v>1802</v>
      </c>
      <c r="B2655" s="74" t="s">
        <v>256</v>
      </c>
      <c r="C2655" s="74" t="s">
        <v>1515</v>
      </c>
      <c r="D2655" s="74" t="s">
        <v>81</v>
      </c>
      <c r="E2655" s="74">
        <v>25</v>
      </c>
      <c r="F2655" s="74">
        <v>40</v>
      </c>
      <c r="G2655" s="758">
        <f t="shared" si="164"/>
        <v>0.27</v>
      </c>
      <c r="H2655" s="759">
        <f t="shared" si="165"/>
        <v>0.18</v>
      </c>
      <c r="I2655" s="758">
        <f t="shared" si="166"/>
        <v>1.33</v>
      </c>
      <c r="J2655" s="760">
        <f t="shared" si="167"/>
        <v>0.83125000000000004</v>
      </c>
    </row>
    <row r="2656" spans="1:10">
      <c r="A2656" s="74" t="s">
        <v>1802</v>
      </c>
      <c r="B2656" s="74" t="s">
        <v>256</v>
      </c>
      <c r="C2656" s="74" t="s">
        <v>1516</v>
      </c>
      <c r="D2656" s="74" t="s">
        <v>82</v>
      </c>
      <c r="E2656" s="74">
        <v>19</v>
      </c>
      <c r="F2656" s="74">
        <v>30.4</v>
      </c>
      <c r="G2656" s="758">
        <f t="shared" si="164"/>
        <v>0.27</v>
      </c>
      <c r="H2656" s="759">
        <f t="shared" si="165"/>
        <v>0.18</v>
      </c>
      <c r="I2656" s="758">
        <f t="shared" si="166"/>
        <v>1.3299999999999998</v>
      </c>
      <c r="J2656" s="760">
        <f t="shared" si="167"/>
        <v>0.83124999999999993</v>
      </c>
    </row>
    <row r="2657" spans="1:10">
      <c r="A2657" s="74" t="s">
        <v>1802</v>
      </c>
      <c r="B2657" s="74" t="s">
        <v>256</v>
      </c>
      <c r="C2657" s="74" t="s">
        <v>1517</v>
      </c>
      <c r="D2657" s="74" t="s">
        <v>82</v>
      </c>
      <c r="E2657" s="74">
        <v>30</v>
      </c>
      <c r="F2657" s="74">
        <v>48</v>
      </c>
      <c r="G2657" s="758">
        <f t="shared" si="164"/>
        <v>0.27</v>
      </c>
      <c r="H2657" s="759">
        <f t="shared" si="165"/>
        <v>0.18</v>
      </c>
      <c r="I2657" s="758">
        <f t="shared" si="166"/>
        <v>1.33</v>
      </c>
      <c r="J2657" s="760">
        <f t="shared" si="167"/>
        <v>0.83124999999999993</v>
      </c>
    </row>
    <row r="2658" spans="1:10">
      <c r="A2658" s="74" t="s">
        <v>1802</v>
      </c>
      <c r="B2658" s="74" t="s">
        <v>256</v>
      </c>
      <c r="C2658" s="74" t="s">
        <v>1527</v>
      </c>
      <c r="D2658" s="74" t="s">
        <v>82</v>
      </c>
      <c r="E2658" s="74">
        <v>26</v>
      </c>
      <c r="F2658" s="74">
        <v>41.6</v>
      </c>
      <c r="G2658" s="758">
        <f t="shared" si="164"/>
        <v>0.27</v>
      </c>
      <c r="H2658" s="759">
        <f t="shared" si="165"/>
        <v>0.18</v>
      </c>
      <c r="I2658" s="758">
        <f t="shared" si="166"/>
        <v>1.33</v>
      </c>
      <c r="J2658" s="760">
        <f t="shared" si="167"/>
        <v>0.83125000000000004</v>
      </c>
    </row>
    <row r="2659" spans="1:10">
      <c r="A2659" s="74" t="s">
        <v>1802</v>
      </c>
      <c r="B2659" s="74" t="s">
        <v>256</v>
      </c>
      <c r="C2659" s="74" t="s">
        <v>1518</v>
      </c>
      <c r="D2659" s="74" t="s">
        <v>82</v>
      </c>
      <c r="E2659" s="74">
        <v>17</v>
      </c>
      <c r="F2659" s="74">
        <v>27.2</v>
      </c>
      <c r="G2659" s="758">
        <f t="shared" si="164"/>
        <v>0.27</v>
      </c>
      <c r="H2659" s="759">
        <f t="shared" si="165"/>
        <v>0.18</v>
      </c>
      <c r="I2659" s="758">
        <f t="shared" si="166"/>
        <v>1.3299999999999998</v>
      </c>
      <c r="J2659" s="760">
        <f t="shared" si="167"/>
        <v>0.83125000000000004</v>
      </c>
    </row>
    <row r="2660" spans="1:10">
      <c r="A2660" s="74" t="s">
        <v>1802</v>
      </c>
      <c r="B2660" s="74" t="s">
        <v>256</v>
      </c>
      <c r="C2660" s="74" t="s">
        <v>1519</v>
      </c>
      <c r="D2660" s="74" t="s">
        <v>84</v>
      </c>
      <c r="E2660" s="74">
        <v>4</v>
      </c>
      <c r="F2660" s="74">
        <v>6.4</v>
      </c>
      <c r="G2660" s="758">
        <f t="shared" si="164"/>
        <v>0.27</v>
      </c>
      <c r="H2660" s="759">
        <f t="shared" si="165"/>
        <v>0.18</v>
      </c>
      <c r="I2660" s="758">
        <f t="shared" si="166"/>
        <v>1.33</v>
      </c>
      <c r="J2660" s="760">
        <f t="shared" si="167"/>
        <v>0.83125000000000004</v>
      </c>
    </row>
    <row r="2661" spans="1:10">
      <c r="A2661" s="74" t="s">
        <v>1803</v>
      </c>
      <c r="B2661" s="74" t="s">
        <v>877</v>
      </c>
      <c r="C2661" s="74" t="s">
        <v>1605</v>
      </c>
      <c r="D2661" s="74" t="s">
        <v>87</v>
      </c>
      <c r="E2661" s="74">
        <v>5</v>
      </c>
      <c r="F2661" s="74">
        <v>0</v>
      </c>
      <c r="G2661" s="758">
        <f t="shared" si="164"/>
        <v>0</v>
      </c>
      <c r="H2661" s="759">
        <f t="shared" si="165"/>
        <v>0</v>
      </c>
      <c r="I2661" s="758">
        <f t="shared" si="166"/>
        <v>0</v>
      </c>
      <c r="J2661" s="760">
        <f t="shared" si="167"/>
        <v>0</v>
      </c>
    </row>
    <row r="2662" spans="1:10">
      <c r="A2662" s="74" t="s">
        <v>1804</v>
      </c>
      <c r="B2662" s="74" t="s">
        <v>873</v>
      </c>
      <c r="C2662" s="74" t="s">
        <v>1514</v>
      </c>
      <c r="D2662" s="74" t="s">
        <v>81</v>
      </c>
      <c r="E2662" s="74">
        <v>6</v>
      </c>
      <c r="F2662" s="74">
        <v>52.8</v>
      </c>
      <c r="G2662" s="758">
        <f t="shared" si="164"/>
        <v>1.82</v>
      </c>
      <c r="H2662" s="759">
        <f t="shared" si="165"/>
        <v>0.23</v>
      </c>
      <c r="I2662" s="758">
        <f t="shared" si="166"/>
        <v>6.9799999999999986</v>
      </c>
      <c r="J2662" s="760">
        <f t="shared" si="167"/>
        <v>0.79318181818181821</v>
      </c>
    </row>
    <row r="2663" spans="1:10">
      <c r="A2663" s="74" t="s">
        <v>1805</v>
      </c>
      <c r="B2663" s="74" t="s">
        <v>873</v>
      </c>
      <c r="C2663" s="74" t="s">
        <v>1507</v>
      </c>
      <c r="D2663" s="74" t="s">
        <v>86</v>
      </c>
      <c r="E2663" s="74">
        <v>4</v>
      </c>
      <c r="F2663" s="74">
        <v>12</v>
      </c>
      <c r="G2663" s="758">
        <f t="shared" si="164"/>
        <v>0</v>
      </c>
      <c r="H2663" s="759">
        <f t="shared" si="165"/>
        <v>0</v>
      </c>
      <c r="I2663" s="758">
        <f t="shared" si="166"/>
        <v>3</v>
      </c>
      <c r="J2663" s="760">
        <f t="shared" si="167"/>
        <v>1</v>
      </c>
    </row>
    <row r="2664" spans="1:10">
      <c r="A2664" s="74" t="s">
        <v>1805</v>
      </c>
      <c r="B2664" s="74" t="s">
        <v>873</v>
      </c>
      <c r="C2664" s="74" t="s">
        <v>1546</v>
      </c>
      <c r="D2664" s="74" t="s">
        <v>89</v>
      </c>
      <c r="E2664" s="74">
        <v>6</v>
      </c>
      <c r="F2664" s="74">
        <v>15</v>
      </c>
      <c r="G2664" s="758">
        <f t="shared" si="164"/>
        <v>0</v>
      </c>
      <c r="H2664" s="759">
        <f t="shared" si="165"/>
        <v>0</v>
      </c>
      <c r="I2664" s="758">
        <f t="shared" si="166"/>
        <v>2.5</v>
      </c>
      <c r="J2664" s="760">
        <f t="shared" si="167"/>
        <v>1</v>
      </c>
    </row>
    <row r="2665" spans="1:10">
      <c r="A2665" s="74" t="s">
        <v>1805</v>
      </c>
      <c r="B2665" s="74" t="s">
        <v>873</v>
      </c>
      <c r="C2665" s="74" t="s">
        <v>1552</v>
      </c>
      <c r="D2665" s="74" t="s">
        <v>92</v>
      </c>
      <c r="E2665" s="74">
        <v>4</v>
      </c>
      <c r="F2665" s="74">
        <v>12</v>
      </c>
      <c r="G2665" s="758">
        <f t="shared" si="164"/>
        <v>0</v>
      </c>
      <c r="H2665" s="759">
        <f t="shared" si="165"/>
        <v>0</v>
      </c>
      <c r="I2665" s="758">
        <f t="shared" si="166"/>
        <v>3</v>
      </c>
      <c r="J2665" s="760">
        <f t="shared" si="167"/>
        <v>1</v>
      </c>
    </row>
    <row r="2666" spans="1:10">
      <c r="A2666" s="74" t="s">
        <v>1806</v>
      </c>
      <c r="B2666" s="74" t="s">
        <v>873</v>
      </c>
      <c r="C2666" s="74" t="s">
        <v>1547</v>
      </c>
      <c r="D2666" s="74" t="s">
        <v>89</v>
      </c>
      <c r="E2666" s="74">
        <v>2</v>
      </c>
      <c r="F2666" s="74">
        <v>6</v>
      </c>
      <c r="G2666" s="758">
        <f t="shared" si="164"/>
        <v>0</v>
      </c>
      <c r="H2666" s="759">
        <f t="shared" si="165"/>
        <v>0</v>
      </c>
      <c r="I2666" s="758">
        <f t="shared" si="166"/>
        <v>3</v>
      </c>
      <c r="J2666" s="760">
        <f t="shared" si="167"/>
        <v>1</v>
      </c>
    </row>
    <row r="2667" spans="1:10">
      <c r="A2667" s="74" t="s">
        <v>1806</v>
      </c>
      <c r="B2667" s="74" t="s">
        <v>873</v>
      </c>
      <c r="C2667" s="74" t="s">
        <v>1550</v>
      </c>
      <c r="D2667" s="74" t="s">
        <v>91</v>
      </c>
      <c r="E2667" s="74">
        <v>2</v>
      </c>
      <c r="F2667" s="74">
        <v>6</v>
      </c>
      <c r="G2667" s="758">
        <f t="shared" si="164"/>
        <v>0</v>
      </c>
      <c r="H2667" s="759">
        <f t="shared" si="165"/>
        <v>0</v>
      </c>
      <c r="I2667" s="758">
        <f t="shared" si="166"/>
        <v>3</v>
      </c>
      <c r="J2667" s="760">
        <f t="shared" si="167"/>
        <v>1</v>
      </c>
    </row>
    <row r="2668" spans="1:10">
      <c r="A2668" s="74" t="s">
        <v>1806</v>
      </c>
      <c r="B2668" s="74" t="s">
        <v>873</v>
      </c>
      <c r="C2668" s="74" t="s">
        <v>1614</v>
      </c>
      <c r="D2668" s="74" t="s">
        <v>92</v>
      </c>
      <c r="E2668" s="74">
        <v>3</v>
      </c>
      <c r="F2668" s="74">
        <v>9</v>
      </c>
      <c r="G2668" s="758">
        <f t="shared" si="164"/>
        <v>0</v>
      </c>
      <c r="H2668" s="759">
        <f t="shared" si="165"/>
        <v>0</v>
      </c>
      <c r="I2668" s="758">
        <f t="shared" si="166"/>
        <v>3</v>
      </c>
      <c r="J2668" s="760">
        <f t="shared" si="167"/>
        <v>1</v>
      </c>
    </row>
    <row r="2669" spans="1:10">
      <c r="A2669" s="74" t="s">
        <v>1807</v>
      </c>
      <c r="B2669" s="74" t="s">
        <v>877</v>
      </c>
      <c r="C2669" s="74" t="s">
        <v>1557</v>
      </c>
      <c r="D2669" s="74" t="s">
        <v>95</v>
      </c>
      <c r="E2669" s="74">
        <v>7</v>
      </c>
      <c r="F2669" s="74">
        <v>0</v>
      </c>
      <c r="G2669" s="758">
        <f t="shared" si="164"/>
        <v>0</v>
      </c>
      <c r="H2669" s="759">
        <f t="shared" si="165"/>
        <v>0</v>
      </c>
      <c r="I2669" s="758">
        <f t="shared" si="166"/>
        <v>0</v>
      </c>
      <c r="J2669" s="760">
        <f t="shared" si="167"/>
        <v>0</v>
      </c>
    </row>
    <row r="2670" spans="1:10">
      <c r="A2670" s="74" t="s">
        <v>931</v>
      </c>
      <c r="B2670" s="74" t="s">
        <v>256</v>
      </c>
      <c r="C2670" s="74" t="s">
        <v>1528</v>
      </c>
      <c r="D2670" s="74" t="s">
        <v>78</v>
      </c>
      <c r="E2670" s="74">
        <v>27</v>
      </c>
      <c r="F2670" s="74">
        <v>218</v>
      </c>
      <c r="G2670" s="758">
        <f t="shared" si="164"/>
        <v>0.88</v>
      </c>
      <c r="H2670" s="759">
        <f t="shared" si="165"/>
        <v>0.19</v>
      </c>
      <c r="I2670" s="758">
        <f t="shared" si="166"/>
        <v>7.1940740740740745</v>
      </c>
      <c r="J2670" s="760">
        <f t="shared" si="167"/>
        <v>0.89100917431192661</v>
      </c>
    </row>
    <row r="2671" spans="1:10">
      <c r="A2671" s="74" t="s">
        <v>931</v>
      </c>
      <c r="B2671" s="74" t="s">
        <v>256</v>
      </c>
      <c r="C2671" s="74" t="s">
        <v>1508</v>
      </c>
      <c r="D2671" s="74" t="s">
        <v>78</v>
      </c>
      <c r="E2671" s="74">
        <v>21</v>
      </c>
      <c r="F2671" s="74">
        <v>172.2</v>
      </c>
      <c r="G2671" s="758">
        <f t="shared" si="164"/>
        <v>0.88</v>
      </c>
      <c r="H2671" s="759">
        <f t="shared" si="165"/>
        <v>0.19</v>
      </c>
      <c r="I2671" s="758">
        <f t="shared" si="166"/>
        <v>7.3199999999999994</v>
      </c>
      <c r="J2671" s="760">
        <f t="shared" si="167"/>
        <v>0.89268292682926831</v>
      </c>
    </row>
    <row r="2672" spans="1:10">
      <c r="A2672" s="74" t="s">
        <v>931</v>
      </c>
      <c r="B2672" s="74" t="s">
        <v>256</v>
      </c>
      <c r="C2672" s="74" t="s">
        <v>1509</v>
      </c>
      <c r="D2672" s="74" t="s">
        <v>78</v>
      </c>
      <c r="E2672" s="74">
        <v>34</v>
      </c>
      <c r="F2672" s="74">
        <v>278.8</v>
      </c>
      <c r="G2672" s="758">
        <f t="shared" si="164"/>
        <v>0.88</v>
      </c>
      <c r="H2672" s="759">
        <f t="shared" si="165"/>
        <v>0.19</v>
      </c>
      <c r="I2672" s="758">
        <f t="shared" si="166"/>
        <v>7.3200000000000012</v>
      </c>
      <c r="J2672" s="760">
        <f t="shared" si="167"/>
        <v>0.89268292682926831</v>
      </c>
    </row>
    <row r="2673" spans="1:10">
      <c r="A2673" s="74" t="s">
        <v>931</v>
      </c>
      <c r="B2673" s="74" t="s">
        <v>256</v>
      </c>
      <c r="C2673" s="74" t="s">
        <v>1565</v>
      </c>
      <c r="D2673" s="74" t="s">
        <v>78</v>
      </c>
      <c r="E2673" s="74">
        <v>21</v>
      </c>
      <c r="F2673" s="74">
        <v>175.4</v>
      </c>
      <c r="G2673" s="758">
        <f t="shared" si="164"/>
        <v>0.88</v>
      </c>
      <c r="H2673" s="759">
        <f t="shared" si="165"/>
        <v>0.19</v>
      </c>
      <c r="I2673" s="758">
        <f t="shared" si="166"/>
        <v>7.472380952380953</v>
      </c>
      <c r="J2673" s="760">
        <f t="shared" si="167"/>
        <v>0.8946408209806157</v>
      </c>
    </row>
    <row r="2674" spans="1:10">
      <c r="A2674" s="74" t="s">
        <v>931</v>
      </c>
      <c r="B2674" s="74" t="s">
        <v>256</v>
      </c>
      <c r="C2674" s="74" t="s">
        <v>1530</v>
      </c>
      <c r="D2674" s="74" t="s">
        <v>80</v>
      </c>
      <c r="E2674" s="74">
        <v>2</v>
      </c>
      <c r="F2674" s="74">
        <v>16.75</v>
      </c>
      <c r="G2674" s="758">
        <f t="shared" si="164"/>
        <v>0.88</v>
      </c>
      <c r="H2674" s="759">
        <f t="shared" si="165"/>
        <v>0.19</v>
      </c>
      <c r="I2674" s="758">
        <f t="shared" si="166"/>
        <v>7.4950000000000001</v>
      </c>
      <c r="J2674" s="760">
        <f t="shared" si="167"/>
        <v>0.89492537313432841</v>
      </c>
    </row>
    <row r="2675" spans="1:10">
      <c r="A2675" s="74" t="s">
        <v>931</v>
      </c>
      <c r="B2675" s="74" t="s">
        <v>256</v>
      </c>
      <c r="C2675" s="74" t="s">
        <v>1532</v>
      </c>
      <c r="D2675" s="74" t="s">
        <v>80</v>
      </c>
      <c r="E2675" s="74">
        <v>3</v>
      </c>
      <c r="F2675" s="74">
        <v>24.75</v>
      </c>
      <c r="G2675" s="758">
        <f t="shared" si="164"/>
        <v>0.88</v>
      </c>
      <c r="H2675" s="759">
        <f t="shared" si="165"/>
        <v>0.19</v>
      </c>
      <c r="I2675" s="758">
        <f t="shared" si="166"/>
        <v>7.37</v>
      </c>
      <c r="J2675" s="760">
        <f t="shared" si="167"/>
        <v>0.89333333333333331</v>
      </c>
    </row>
    <row r="2676" spans="1:10">
      <c r="A2676" s="74" t="s">
        <v>931</v>
      </c>
      <c r="B2676" s="74" t="s">
        <v>256</v>
      </c>
      <c r="C2676" s="74" t="s">
        <v>1512</v>
      </c>
      <c r="D2676" s="74" t="s">
        <v>80</v>
      </c>
      <c r="E2676" s="74">
        <v>5</v>
      </c>
      <c r="F2676" s="74">
        <v>41.25</v>
      </c>
      <c r="G2676" s="758">
        <f t="shared" si="164"/>
        <v>0.88</v>
      </c>
      <c r="H2676" s="759">
        <f t="shared" si="165"/>
        <v>0.19</v>
      </c>
      <c r="I2676" s="758">
        <f t="shared" si="166"/>
        <v>7.37</v>
      </c>
      <c r="J2676" s="760">
        <f t="shared" si="167"/>
        <v>0.89333333333333331</v>
      </c>
    </row>
    <row r="2677" spans="1:10">
      <c r="A2677" s="74" t="s">
        <v>931</v>
      </c>
      <c r="B2677" s="74" t="s">
        <v>256</v>
      </c>
      <c r="C2677" s="74" t="s">
        <v>1513</v>
      </c>
      <c r="D2677" s="74" t="s">
        <v>81</v>
      </c>
      <c r="E2677" s="74">
        <v>4</v>
      </c>
      <c r="F2677" s="74">
        <v>33</v>
      </c>
      <c r="G2677" s="758">
        <f t="shared" si="164"/>
        <v>0.88</v>
      </c>
      <c r="H2677" s="759">
        <f t="shared" si="165"/>
        <v>0.19</v>
      </c>
      <c r="I2677" s="758">
        <f t="shared" si="166"/>
        <v>7.37</v>
      </c>
      <c r="J2677" s="760">
        <f t="shared" si="167"/>
        <v>0.89333333333333331</v>
      </c>
    </row>
    <row r="2678" spans="1:10">
      <c r="A2678" s="74" t="s">
        <v>931</v>
      </c>
      <c r="B2678" s="74" t="s">
        <v>256</v>
      </c>
      <c r="C2678" s="74" t="s">
        <v>1514</v>
      </c>
      <c r="D2678" s="74" t="s">
        <v>81</v>
      </c>
      <c r="E2678" s="74">
        <v>1</v>
      </c>
      <c r="F2678" s="74">
        <v>8.25</v>
      </c>
      <c r="G2678" s="758">
        <f t="shared" si="164"/>
        <v>0.88</v>
      </c>
      <c r="H2678" s="759">
        <f t="shared" si="165"/>
        <v>0.19</v>
      </c>
      <c r="I2678" s="758">
        <f t="shared" si="166"/>
        <v>7.37</v>
      </c>
      <c r="J2678" s="760">
        <f t="shared" si="167"/>
        <v>0.89333333333333331</v>
      </c>
    </row>
    <row r="2679" spans="1:10">
      <c r="A2679" s="74" t="s">
        <v>931</v>
      </c>
      <c r="B2679" s="74" t="s">
        <v>256</v>
      </c>
      <c r="C2679" s="74" t="s">
        <v>1516</v>
      </c>
      <c r="D2679" s="74" t="s">
        <v>82</v>
      </c>
      <c r="E2679" s="74">
        <v>4</v>
      </c>
      <c r="F2679" s="74">
        <v>33</v>
      </c>
      <c r="G2679" s="758">
        <f t="shared" si="164"/>
        <v>0.88</v>
      </c>
      <c r="H2679" s="759">
        <f t="shared" si="165"/>
        <v>0.19</v>
      </c>
      <c r="I2679" s="758">
        <f t="shared" si="166"/>
        <v>7.37</v>
      </c>
      <c r="J2679" s="760">
        <f t="shared" si="167"/>
        <v>0.89333333333333331</v>
      </c>
    </row>
    <row r="2680" spans="1:10">
      <c r="A2680" s="74" t="s">
        <v>931</v>
      </c>
      <c r="B2680" s="74" t="s">
        <v>256</v>
      </c>
      <c r="C2680" s="74" t="s">
        <v>1527</v>
      </c>
      <c r="D2680" s="74" t="s">
        <v>82</v>
      </c>
      <c r="E2680" s="74">
        <v>2</v>
      </c>
      <c r="F2680" s="74">
        <v>16.5</v>
      </c>
      <c r="G2680" s="758">
        <f t="shared" si="164"/>
        <v>0.88</v>
      </c>
      <c r="H2680" s="759">
        <f t="shared" si="165"/>
        <v>0.19</v>
      </c>
      <c r="I2680" s="758">
        <f t="shared" si="166"/>
        <v>7.37</v>
      </c>
      <c r="J2680" s="760">
        <f t="shared" si="167"/>
        <v>0.89333333333333331</v>
      </c>
    </row>
    <row r="2681" spans="1:10">
      <c r="A2681" s="74" t="s">
        <v>931</v>
      </c>
      <c r="B2681" s="74" t="s">
        <v>256</v>
      </c>
      <c r="C2681" s="74" t="s">
        <v>1518</v>
      </c>
      <c r="D2681" s="74" t="s">
        <v>82</v>
      </c>
      <c r="E2681" s="74">
        <v>2</v>
      </c>
      <c r="F2681" s="74">
        <v>16.5</v>
      </c>
      <c r="G2681" s="758">
        <f t="shared" si="164"/>
        <v>0.88</v>
      </c>
      <c r="H2681" s="759">
        <f t="shared" si="165"/>
        <v>0.19</v>
      </c>
      <c r="I2681" s="758">
        <f t="shared" si="166"/>
        <v>7.37</v>
      </c>
      <c r="J2681" s="760">
        <f t="shared" si="167"/>
        <v>0.89333333333333331</v>
      </c>
    </row>
    <row r="2682" spans="1:10">
      <c r="A2682" s="74" t="s">
        <v>931</v>
      </c>
      <c r="B2682" s="74" t="s">
        <v>256</v>
      </c>
      <c r="C2682" s="74" t="s">
        <v>1519</v>
      </c>
      <c r="D2682" s="74" t="s">
        <v>84</v>
      </c>
      <c r="E2682" s="74">
        <v>1</v>
      </c>
      <c r="F2682" s="74">
        <v>8.5</v>
      </c>
      <c r="G2682" s="758">
        <f t="shared" si="164"/>
        <v>0.88</v>
      </c>
      <c r="H2682" s="759">
        <f t="shared" si="165"/>
        <v>0.19</v>
      </c>
      <c r="I2682" s="758">
        <f t="shared" si="166"/>
        <v>7.62</v>
      </c>
      <c r="J2682" s="760">
        <f t="shared" si="167"/>
        <v>0.89647058823529413</v>
      </c>
    </row>
    <row r="2683" spans="1:10">
      <c r="A2683" s="74" t="s">
        <v>931</v>
      </c>
      <c r="B2683" s="74" t="s">
        <v>256</v>
      </c>
      <c r="C2683" s="74" t="s">
        <v>1540</v>
      </c>
      <c r="D2683" s="74" t="s">
        <v>84</v>
      </c>
      <c r="E2683" s="74">
        <v>1</v>
      </c>
      <c r="F2683" s="74">
        <v>8.25</v>
      </c>
      <c r="G2683" s="758">
        <f t="shared" si="164"/>
        <v>0.88</v>
      </c>
      <c r="H2683" s="759">
        <f t="shared" si="165"/>
        <v>0.19</v>
      </c>
      <c r="I2683" s="758">
        <f t="shared" si="166"/>
        <v>7.37</v>
      </c>
      <c r="J2683" s="760">
        <f t="shared" si="167"/>
        <v>0.89333333333333331</v>
      </c>
    </row>
    <row r="2684" spans="1:10">
      <c r="A2684" s="74" t="s">
        <v>931</v>
      </c>
      <c r="B2684" s="74" t="s">
        <v>256</v>
      </c>
      <c r="C2684" s="74" t="s">
        <v>1520</v>
      </c>
      <c r="D2684" s="74" t="s">
        <v>84</v>
      </c>
      <c r="E2684" s="74">
        <v>3</v>
      </c>
      <c r="F2684" s="74">
        <v>11.7</v>
      </c>
      <c r="G2684" s="758">
        <f t="shared" si="164"/>
        <v>0.88</v>
      </c>
      <c r="H2684" s="759">
        <f t="shared" si="165"/>
        <v>0.19</v>
      </c>
      <c r="I2684" s="758">
        <f t="shared" si="166"/>
        <v>3.02</v>
      </c>
      <c r="J2684" s="760">
        <f t="shared" si="167"/>
        <v>0.77435897435897427</v>
      </c>
    </row>
    <row r="2685" spans="1:10">
      <c r="A2685" s="74" t="s">
        <v>931</v>
      </c>
      <c r="B2685" s="74" t="s">
        <v>256</v>
      </c>
      <c r="C2685" s="74" t="s">
        <v>1577</v>
      </c>
      <c r="D2685" s="74" t="s">
        <v>84</v>
      </c>
      <c r="E2685" s="74">
        <v>2</v>
      </c>
      <c r="F2685" s="74">
        <v>3.2</v>
      </c>
      <c r="G2685" s="758">
        <f t="shared" si="164"/>
        <v>0.88</v>
      </c>
      <c r="H2685" s="759">
        <f t="shared" si="165"/>
        <v>0.19</v>
      </c>
      <c r="I2685" s="758">
        <f t="shared" si="166"/>
        <v>0.72000000000000008</v>
      </c>
      <c r="J2685" s="760">
        <f t="shared" si="167"/>
        <v>0.45000000000000007</v>
      </c>
    </row>
    <row r="2686" spans="1:10">
      <c r="A2686" s="74" t="s">
        <v>931</v>
      </c>
      <c r="B2686" s="74" t="s">
        <v>256</v>
      </c>
      <c r="C2686" s="74" t="s">
        <v>1507</v>
      </c>
      <c r="D2686" s="74" t="s">
        <v>86</v>
      </c>
      <c r="E2686" s="74">
        <v>1</v>
      </c>
      <c r="F2686" s="74">
        <v>8.25</v>
      </c>
      <c r="G2686" s="758">
        <f t="shared" si="164"/>
        <v>0.88</v>
      </c>
      <c r="H2686" s="759">
        <f t="shared" si="165"/>
        <v>0.19</v>
      </c>
      <c r="I2686" s="758">
        <f t="shared" si="166"/>
        <v>7.37</v>
      </c>
      <c r="J2686" s="760">
        <f t="shared" si="167"/>
        <v>0.89333333333333331</v>
      </c>
    </row>
    <row r="2687" spans="1:10">
      <c r="A2687" s="74" t="s">
        <v>931</v>
      </c>
      <c r="B2687" s="74" t="s">
        <v>256</v>
      </c>
      <c r="C2687" s="74" t="s">
        <v>1646</v>
      </c>
      <c r="D2687" s="74" t="s">
        <v>86</v>
      </c>
      <c r="E2687" s="74">
        <v>2</v>
      </c>
      <c r="F2687" s="74">
        <v>16.5</v>
      </c>
      <c r="G2687" s="758">
        <f t="shared" si="164"/>
        <v>0.88</v>
      </c>
      <c r="H2687" s="759">
        <f t="shared" si="165"/>
        <v>0.19</v>
      </c>
      <c r="I2687" s="758">
        <f t="shared" si="166"/>
        <v>7.37</v>
      </c>
      <c r="J2687" s="760">
        <f t="shared" si="167"/>
        <v>0.89333333333333331</v>
      </c>
    </row>
    <row r="2688" spans="1:10">
      <c r="A2688" s="74" t="s">
        <v>931</v>
      </c>
      <c r="B2688" s="74" t="s">
        <v>256</v>
      </c>
      <c r="C2688" s="74" t="s">
        <v>1541</v>
      </c>
      <c r="D2688" s="74" t="s">
        <v>86</v>
      </c>
      <c r="E2688" s="74">
        <v>6</v>
      </c>
      <c r="F2688" s="74">
        <v>16.25</v>
      </c>
      <c r="G2688" s="758">
        <f t="shared" si="164"/>
        <v>0.88</v>
      </c>
      <c r="H2688" s="759">
        <f t="shared" si="165"/>
        <v>0.19</v>
      </c>
      <c r="I2688" s="758">
        <f t="shared" si="166"/>
        <v>1.8283333333333336</v>
      </c>
      <c r="J2688" s="760">
        <f t="shared" si="167"/>
        <v>0.67507692307692313</v>
      </c>
    </row>
    <row r="2689" spans="1:10">
      <c r="A2689" s="74" t="s">
        <v>931</v>
      </c>
      <c r="B2689" s="74" t="s">
        <v>256</v>
      </c>
      <c r="C2689" s="74" t="s">
        <v>1543</v>
      </c>
      <c r="D2689" s="74" t="s">
        <v>87</v>
      </c>
      <c r="E2689" s="74">
        <v>10</v>
      </c>
      <c r="F2689" s="74">
        <v>29.3</v>
      </c>
      <c r="G2689" s="758">
        <f t="shared" si="164"/>
        <v>0.88</v>
      </c>
      <c r="H2689" s="759">
        <f t="shared" si="165"/>
        <v>0.19</v>
      </c>
      <c r="I2689" s="758">
        <f t="shared" si="166"/>
        <v>2.0500000000000003</v>
      </c>
      <c r="J2689" s="760">
        <f t="shared" si="167"/>
        <v>0.69965870307167233</v>
      </c>
    </row>
    <row r="2690" spans="1:10">
      <c r="A2690" s="74" t="s">
        <v>931</v>
      </c>
      <c r="B2690" s="74" t="s">
        <v>256</v>
      </c>
      <c r="C2690" s="74" t="s">
        <v>1544</v>
      </c>
      <c r="D2690" s="74" t="s">
        <v>87</v>
      </c>
      <c r="E2690" s="74">
        <v>1</v>
      </c>
      <c r="F2690" s="74">
        <v>8.25</v>
      </c>
      <c r="G2690" s="758">
        <f t="shared" ref="G2690:G2753" si="168">IFERROR(VLOOKUP(A2690,$M$1:$P$1014,2,FALSE),0)</f>
        <v>0.88</v>
      </c>
      <c r="H2690" s="759">
        <f t="shared" ref="H2690:H2753" si="169">IFERROR(VLOOKUP(A2690,$M$1:$P$1014,3,FALSE),0)</f>
        <v>0.19</v>
      </c>
      <c r="I2690" s="758">
        <f t="shared" ref="I2690:I2753" si="170">IFERROR(F2690/E2690-G2690,0)</f>
        <v>7.37</v>
      </c>
      <c r="J2690" s="760">
        <f t="shared" ref="J2690:J2753" si="171">IFERROR(1-G2690*E2690/F2690,0)</f>
        <v>0.89333333333333331</v>
      </c>
    </row>
    <row r="2691" spans="1:10">
      <c r="A2691" s="74" t="s">
        <v>931</v>
      </c>
      <c r="B2691" s="74" t="s">
        <v>256</v>
      </c>
      <c r="C2691" s="74" t="s">
        <v>1561</v>
      </c>
      <c r="D2691" s="74" t="s">
        <v>87</v>
      </c>
      <c r="E2691" s="74">
        <v>1</v>
      </c>
      <c r="F2691" s="74">
        <v>8.25</v>
      </c>
      <c r="G2691" s="758">
        <f t="shared" si="168"/>
        <v>0.88</v>
      </c>
      <c r="H2691" s="759">
        <f t="shared" si="169"/>
        <v>0.19</v>
      </c>
      <c r="I2691" s="758">
        <f t="shared" si="170"/>
        <v>7.37</v>
      </c>
      <c r="J2691" s="760">
        <f t="shared" si="171"/>
        <v>0.89333333333333331</v>
      </c>
    </row>
    <row r="2692" spans="1:10">
      <c r="A2692" s="74" t="s">
        <v>931</v>
      </c>
      <c r="B2692" s="74" t="s">
        <v>256</v>
      </c>
      <c r="C2692" s="74" t="s">
        <v>1608</v>
      </c>
      <c r="D2692" s="74" t="s">
        <v>89</v>
      </c>
      <c r="E2692" s="74">
        <v>4</v>
      </c>
      <c r="F2692" s="74">
        <v>6.4</v>
      </c>
      <c r="G2692" s="758">
        <f t="shared" si="168"/>
        <v>0.88</v>
      </c>
      <c r="H2692" s="759">
        <f t="shared" si="169"/>
        <v>0.19</v>
      </c>
      <c r="I2692" s="758">
        <f t="shared" si="170"/>
        <v>0.72000000000000008</v>
      </c>
      <c r="J2692" s="760">
        <f t="shared" si="171"/>
        <v>0.45000000000000007</v>
      </c>
    </row>
    <row r="2693" spans="1:10">
      <c r="A2693" s="74" t="s">
        <v>931</v>
      </c>
      <c r="B2693" s="74" t="s">
        <v>256</v>
      </c>
      <c r="C2693" s="74" t="s">
        <v>1610</v>
      </c>
      <c r="D2693" s="74" t="s">
        <v>89</v>
      </c>
      <c r="E2693" s="74">
        <v>7</v>
      </c>
      <c r="F2693" s="74">
        <v>31.4</v>
      </c>
      <c r="G2693" s="758">
        <f t="shared" si="168"/>
        <v>0.88</v>
      </c>
      <c r="H2693" s="759">
        <f t="shared" si="169"/>
        <v>0.19</v>
      </c>
      <c r="I2693" s="758">
        <f t="shared" si="170"/>
        <v>3.6057142857142859</v>
      </c>
      <c r="J2693" s="760">
        <f t="shared" si="171"/>
        <v>0.80382165605095546</v>
      </c>
    </row>
    <row r="2694" spans="1:10">
      <c r="A2694" s="74" t="s">
        <v>931</v>
      </c>
      <c r="B2694" s="74" t="s">
        <v>256</v>
      </c>
      <c r="C2694" s="74" t="s">
        <v>1547</v>
      </c>
      <c r="D2694" s="74" t="s">
        <v>89</v>
      </c>
      <c r="E2694" s="74">
        <v>6</v>
      </c>
      <c r="F2694" s="74">
        <v>9.6</v>
      </c>
      <c r="G2694" s="758">
        <f t="shared" si="168"/>
        <v>0.88</v>
      </c>
      <c r="H2694" s="759">
        <f t="shared" si="169"/>
        <v>0.19</v>
      </c>
      <c r="I2694" s="758">
        <f t="shared" si="170"/>
        <v>0.71999999999999986</v>
      </c>
      <c r="J2694" s="760">
        <f t="shared" si="171"/>
        <v>0.44999999999999996</v>
      </c>
    </row>
    <row r="2695" spans="1:10">
      <c r="A2695" s="74" t="s">
        <v>931</v>
      </c>
      <c r="B2695" s="74" t="s">
        <v>256</v>
      </c>
      <c r="C2695" s="74" t="s">
        <v>1582</v>
      </c>
      <c r="D2695" s="74" t="s">
        <v>89</v>
      </c>
      <c r="E2695" s="74">
        <v>4</v>
      </c>
      <c r="F2695" s="74">
        <v>6.4</v>
      </c>
      <c r="G2695" s="758">
        <f t="shared" si="168"/>
        <v>0.88</v>
      </c>
      <c r="H2695" s="759">
        <f t="shared" si="169"/>
        <v>0.19</v>
      </c>
      <c r="I2695" s="758">
        <f t="shared" si="170"/>
        <v>0.72000000000000008</v>
      </c>
      <c r="J2695" s="760">
        <f t="shared" si="171"/>
        <v>0.45000000000000007</v>
      </c>
    </row>
    <row r="2696" spans="1:10">
      <c r="A2696" s="74" t="s">
        <v>931</v>
      </c>
      <c r="B2696" s="74" t="s">
        <v>256</v>
      </c>
      <c r="C2696" s="74" t="s">
        <v>1522</v>
      </c>
      <c r="D2696" s="74" t="s">
        <v>91</v>
      </c>
      <c r="E2696" s="74">
        <v>4</v>
      </c>
      <c r="F2696" s="74">
        <v>6.4</v>
      </c>
      <c r="G2696" s="758">
        <f t="shared" si="168"/>
        <v>0.88</v>
      </c>
      <c r="H2696" s="759">
        <f t="shared" si="169"/>
        <v>0.19</v>
      </c>
      <c r="I2696" s="758">
        <f t="shared" si="170"/>
        <v>0.72000000000000008</v>
      </c>
      <c r="J2696" s="760">
        <f t="shared" si="171"/>
        <v>0.45000000000000007</v>
      </c>
    </row>
    <row r="2697" spans="1:10">
      <c r="A2697" s="74" t="s">
        <v>931</v>
      </c>
      <c r="B2697" s="74" t="s">
        <v>256</v>
      </c>
      <c r="C2697" s="74" t="s">
        <v>1675</v>
      </c>
      <c r="D2697" s="74" t="s">
        <v>91</v>
      </c>
      <c r="E2697" s="74">
        <v>4</v>
      </c>
      <c r="F2697" s="74">
        <v>6.4</v>
      </c>
      <c r="G2697" s="758">
        <f t="shared" si="168"/>
        <v>0.88</v>
      </c>
      <c r="H2697" s="759">
        <f t="shared" si="169"/>
        <v>0.19</v>
      </c>
      <c r="I2697" s="758">
        <f t="shared" si="170"/>
        <v>0.72000000000000008</v>
      </c>
      <c r="J2697" s="760">
        <f t="shared" si="171"/>
        <v>0.45000000000000007</v>
      </c>
    </row>
    <row r="2698" spans="1:10">
      <c r="A2698" s="74" t="s">
        <v>931</v>
      </c>
      <c r="B2698" s="74" t="s">
        <v>256</v>
      </c>
      <c r="C2698" s="74" t="s">
        <v>1524</v>
      </c>
      <c r="D2698" s="74" t="s">
        <v>91</v>
      </c>
      <c r="E2698" s="74">
        <v>3</v>
      </c>
      <c r="F2698" s="74">
        <v>11.45</v>
      </c>
      <c r="G2698" s="758">
        <f t="shared" si="168"/>
        <v>0.88</v>
      </c>
      <c r="H2698" s="759">
        <f t="shared" si="169"/>
        <v>0.19</v>
      </c>
      <c r="I2698" s="758">
        <f t="shared" si="170"/>
        <v>2.9366666666666665</v>
      </c>
      <c r="J2698" s="760">
        <f t="shared" si="171"/>
        <v>0.76943231441048032</v>
      </c>
    </row>
    <row r="2699" spans="1:10">
      <c r="A2699" s="74" t="s">
        <v>931</v>
      </c>
      <c r="B2699" s="74" t="s">
        <v>256</v>
      </c>
      <c r="C2699" s="74" t="s">
        <v>1584</v>
      </c>
      <c r="D2699" s="74" t="s">
        <v>92</v>
      </c>
      <c r="E2699" s="74">
        <v>4</v>
      </c>
      <c r="F2699" s="74">
        <v>13.05</v>
      </c>
      <c r="G2699" s="758">
        <f t="shared" si="168"/>
        <v>0.88</v>
      </c>
      <c r="H2699" s="759">
        <f t="shared" si="169"/>
        <v>0.19</v>
      </c>
      <c r="I2699" s="758">
        <f t="shared" si="170"/>
        <v>2.3825000000000003</v>
      </c>
      <c r="J2699" s="760">
        <f t="shared" si="171"/>
        <v>0.73026819923371655</v>
      </c>
    </row>
    <row r="2700" spans="1:10">
      <c r="A2700" s="74" t="s">
        <v>931</v>
      </c>
      <c r="B2700" s="74" t="s">
        <v>256</v>
      </c>
      <c r="C2700" s="74" t="s">
        <v>1614</v>
      </c>
      <c r="D2700" s="74" t="s">
        <v>92</v>
      </c>
      <c r="E2700" s="74">
        <v>6</v>
      </c>
      <c r="F2700" s="74">
        <v>16.5</v>
      </c>
      <c r="G2700" s="758">
        <f t="shared" si="168"/>
        <v>0.88</v>
      </c>
      <c r="H2700" s="759">
        <f t="shared" si="169"/>
        <v>0.19</v>
      </c>
      <c r="I2700" s="758">
        <f t="shared" si="170"/>
        <v>1.87</v>
      </c>
      <c r="J2700" s="760">
        <f t="shared" si="171"/>
        <v>0.67999999999999994</v>
      </c>
    </row>
    <row r="2701" spans="1:10">
      <c r="A2701" s="74" t="s">
        <v>931</v>
      </c>
      <c r="B2701" s="74" t="s">
        <v>256</v>
      </c>
      <c r="C2701" s="74" t="s">
        <v>1631</v>
      </c>
      <c r="D2701" s="74" t="s">
        <v>92</v>
      </c>
      <c r="E2701" s="74">
        <v>2</v>
      </c>
      <c r="F2701" s="74">
        <v>3.3</v>
      </c>
      <c r="G2701" s="758">
        <f t="shared" si="168"/>
        <v>0.88</v>
      </c>
      <c r="H2701" s="759">
        <f t="shared" si="169"/>
        <v>0.19</v>
      </c>
      <c r="I2701" s="758">
        <f t="shared" si="170"/>
        <v>0.76999999999999991</v>
      </c>
      <c r="J2701" s="760">
        <f t="shared" si="171"/>
        <v>0.46666666666666667</v>
      </c>
    </row>
    <row r="2702" spans="1:10">
      <c r="A2702" s="74" t="s">
        <v>931</v>
      </c>
      <c r="B2702" s="74" t="s">
        <v>256</v>
      </c>
      <c r="C2702" s="74" t="s">
        <v>1553</v>
      </c>
      <c r="D2702" s="74" t="s">
        <v>94</v>
      </c>
      <c r="E2702" s="74">
        <v>2</v>
      </c>
      <c r="F2702" s="74">
        <v>3.3</v>
      </c>
      <c r="G2702" s="758">
        <f t="shared" si="168"/>
        <v>0.88</v>
      </c>
      <c r="H2702" s="759">
        <f t="shared" si="169"/>
        <v>0.19</v>
      </c>
      <c r="I2702" s="758">
        <f t="shared" si="170"/>
        <v>0.76999999999999991</v>
      </c>
      <c r="J2702" s="760">
        <f t="shared" si="171"/>
        <v>0.46666666666666667</v>
      </c>
    </row>
    <row r="2703" spans="1:10">
      <c r="A2703" s="74" t="s">
        <v>931</v>
      </c>
      <c r="B2703" s="74" t="s">
        <v>256</v>
      </c>
      <c r="C2703" s="74" t="s">
        <v>1555</v>
      </c>
      <c r="D2703" s="74" t="s">
        <v>94</v>
      </c>
      <c r="E2703" s="74">
        <v>4</v>
      </c>
      <c r="F2703" s="74">
        <v>6.6</v>
      </c>
      <c r="G2703" s="758">
        <f t="shared" si="168"/>
        <v>0.88</v>
      </c>
      <c r="H2703" s="759">
        <f t="shared" si="169"/>
        <v>0.19</v>
      </c>
      <c r="I2703" s="758">
        <f t="shared" si="170"/>
        <v>0.76999999999999991</v>
      </c>
      <c r="J2703" s="760">
        <f t="shared" si="171"/>
        <v>0.46666666666666667</v>
      </c>
    </row>
    <row r="2704" spans="1:10">
      <c r="A2704" s="74" t="s">
        <v>931</v>
      </c>
      <c r="B2704" s="74" t="s">
        <v>256</v>
      </c>
      <c r="C2704" s="74" t="s">
        <v>1557</v>
      </c>
      <c r="D2704" s="74" t="s">
        <v>95</v>
      </c>
      <c r="E2704" s="74">
        <v>2</v>
      </c>
      <c r="F2704" s="74">
        <v>3.3</v>
      </c>
      <c r="G2704" s="758">
        <f t="shared" si="168"/>
        <v>0.88</v>
      </c>
      <c r="H2704" s="759">
        <f t="shared" si="169"/>
        <v>0.19</v>
      </c>
      <c r="I2704" s="758">
        <f t="shared" si="170"/>
        <v>0.76999999999999991</v>
      </c>
      <c r="J2704" s="760">
        <f t="shared" si="171"/>
        <v>0.46666666666666667</v>
      </c>
    </row>
    <row r="2705" spans="1:10">
      <c r="A2705" s="74" t="s">
        <v>261</v>
      </c>
      <c r="B2705" s="74" t="s">
        <v>256</v>
      </c>
      <c r="C2705" s="74" t="s">
        <v>1528</v>
      </c>
      <c r="D2705" s="74" t="s">
        <v>78</v>
      </c>
      <c r="E2705" s="74">
        <v>45</v>
      </c>
      <c r="F2705" s="74">
        <v>97.5</v>
      </c>
      <c r="G2705" s="758">
        <f t="shared" si="168"/>
        <v>1.42</v>
      </c>
      <c r="H2705" s="759">
        <f t="shared" si="169"/>
        <v>0.19</v>
      </c>
      <c r="I2705" s="758">
        <f t="shared" si="170"/>
        <v>0.74666666666666659</v>
      </c>
      <c r="J2705" s="760">
        <f t="shared" si="171"/>
        <v>0.34461538461538466</v>
      </c>
    </row>
    <row r="2706" spans="1:10">
      <c r="A2706" s="74" t="s">
        <v>261</v>
      </c>
      <c r="B2706" s="74" t="s">
        <v>256</v>
      </c>
      <c r="C2706" s="74" t="s">
        <v>1508</v>
      </c>
      <c r="D2706" s="74" t="s">
        <v>78</v>
      </c>
      <c r="E2706" s="74">
        <v>46</v>
      </c>
      <c r="F2706" s="74">
        <v>121.5</v>
      </c>
      <c r="G2706" s="758">
        <f t="shared" si="168"/>
        <v>1.42</v>
      </c>
      <c r="H2706" s="759">
        <f t="shared" si="169"/>
        <v>0.19</v>
      </c>
      <c r="I2706" s="758">
        <f t="shared" si="170"/>
        <v>1.221304347826087</v>
      </c>
      <c r="J2706" s="760">
        <f t="shared" si="171"/>
        <v>0.46238683127572022</v>
      </c>
    </row>
    <row r="2707" spans="1:10">
      <c r="A2707" s="74" t="s">
        <v>261</v>
      </c>
      <c r="B2707" s="74" t="s">
        <v>256</v>
      </c>
      <c r="C2707" s="74" t="s">
        <v>1509</v>
      </c>
      <c r="D2707" s="74" t="s">
        <v>78</v>
      </c>
      <c r="E2707" s="74">
        <v>38</v>
      </c>
      <c r="F2707" s="74">
        <v>99</v>
      </c>
      <c r="G2707" s="758">
        <f t="shared" si="168"/>
        <v>1.42</v>
      </c>
      <c r="H2707" s="759">
        <f t="shared" si="169"/>
        <v>0.19</v>
      </c>
      <c r="I2707" s="758">
        <f t="shared" si="170"/>
        <v>1.1852631578947368</v>
      </c>
      <c r="J2707" s="760">
        <f t="shared" si="171"/>
        <v>0.45494949494949499</v>
      </c>
    </row>
    <row r="2708" spans="1:10">
      <c r="A2708" s="74" t="s">
        <v>261</v>
      </c>
      <c r="B2708" s="74" t="s">
        <v>256</v>
      </c>
      <c r="C2708" s="74" t="s">
        <v>1565</v>
      </c>
      <c r="D2708" s="74" t="s">
        <v>78</v>
      </c>
      <c r="E2708" s="74">
        <v>57</v>
      </c>
      <c r="F2708" s="74">
        <v>157.94999999999999</v>
      </c>
      <c r="G2708" s="758">
        <f t="shared" si="168"/>
        <v>1.42</v>
      </c>
      <c r="H2708" s="759">
        <f t="shared" si="169"/>
        <v>0.19</v>
      </c>
      <c r="I2708" s="758">
        <f t="shared" si="170"/>
        <v>1.3510526315789471</v>
      </c>
      <c r="J2708" s="760">
        <f t="shared" si="171"/>
        <v>0.48755935422602092</v>
      </c>
    </row>
    <row r="2709" spans="1:10">
      <c r="A2709" s="74" t="s">
        <v>261</v>
      </c>
      <c r="B2709" s="74" t="s">
        <v>256</v>
      </c>
      <c r="C2709" s="74" t="s">
        <v>1530</v>
      </c>
      <c r="D2709" s="74" t="s">
        <v>80</v>
      </c>
      <c r="E2709" s="74">
        <v>61</v>
      </c>
      <c r="F2709" s="74">
        <v>174.86</v>
      </c>
      <c r="G2709" s="758">
        <f t="shared" si="168"/>
        <v>1.42</v>
      </c>
      <c r="H2709" s="759">
        <f t="shared" si="169"/>
        <v>0.19</v>
      </c>
      <c r="I2709" s="758">
        <f t="shared" si="170"/>
        <v>1.4465573770491806</v>
      </c>
      <c r="J2709" s="760">
        <f t="shared" si="171"/>
        <v>0.50463227725037174</v>
      </c>
    </row>
    <row r="2710" spans="1:10">
      <c r="A2710" s="74" t="s">
        <v>261</v>
      </c>
      <c r="B2710" s="74" t="s">
        <v>256</v>
      </c>
      <c r="C2710" s="74" t="s">
        <v>1532</v>
      </c>
      <c r="D2710" s="74" t="s">
        <v>80</v>
      </c>
      <c r="E2710" s="74">
        <v>70</v>
      </c>
      <c r="F2710" s="74">
        <v>249.86</v>
      </c>
      <c r="G2710" s="758">
        <f t="shared" si="168"/>
        <v>1.42</v>
      </c>
      <c r="H2710" s="759">
        <f t="shared" si="169"/>
        <v>0.19</v>
      </c>
      <c r="I2710" s="758">
        <f t="shared" si="170"/>
        <v>2.1494285714285719</v>
      </c>
      <c r="J2710" s="760">
        <f t="shared" si="171"/>
        <v>0.60217721924277601</v>
      </c>
    </row>
    <row r="2711" spans="1:10">
      <c r="A2711" s="74" t="s">
        <v>261</v>
      </c>
      <c r="B2711" s="74" t="s">
        <v>256</v>
      </c>
      <c r="C2711" s="74" t="s">
        <v>1511</v>
      </c>
      <c r="D2711" s="74" t="s">
        <v>80</v>
      </c>
      <c r="E2711" s="74">
        <v>73</v>
      </c>
      <c r="F2711" s="74">
        <v>279.52</v>
      </c>
      <c r="G2711" s="758">
        <f t="shared" si="168"/>
        <v>1.42</v>
      </c>
      <c r="H2711" s="759">
        <f t="shared" si="169"/>
        <v>0.19</v>
      </c>
      <c r="I2711" s="758">
        <f t="shared" si="170"/>
        <v>2.4090410958904109</v>
      </c>
      <c r="J2711" s="760">
        <f t="shared" si="171"/>
        <v>0.62914997137950768</v>
      </c>
    </row>
    <row r="2712" spans="1:10">
      <c r="A2712" s="74" t="s">
        <v>261</v>
      </c>
      <c r="B2712" s="74" t="s">
        <v>256</v>
      </c>
      <c r="C2712" s="74" t="s">
        <v>1512</v>
      </c>
      <c r="D2712" s="74" t="s">
        <v>80</v>
      </c>
      <c r="E2712" s="74">
        <v>75</v>
      </c>
      <c r="F2712" s="74">
        <v>269.91000000000003</v>
      </c>
      <c r="G2712" s="758">
        <f t="shared" si="168"/>
        <v>1.42</v>
      </c>
      <c r="H2712" s="759">
        <f t="shared" si="169"/>
        <v>0.19</v>
      </c>
      <c r="I2712" s="758">
        <f t="shared" si="170"/>
        <v>2.1788000000000003</v>
      </c>
      <c r="J2712" s="760">
        <f t="shared" si="171"/>
        <v>0.60542403023229974</v>
      </c>
    </row>
    <row r="2713" spans="1:10">
      <c r="A2713" s="74" t="s">
        <v>261</v>
      </c>
      <c r="B2713" s="74" t="s">
        <v>256</v>
      </c>
      <c r="C2713" s="74" t="s">
        <v>1534</v>
      </c>
      <c r="D2713" s="74" t="s">
        <v>81</v>
      </c>
      <c r="E2713" s="74">
        <v>13</v>
      </c>
      <c r="F2713" s="74">
        <v>107.75</v>
      </c>
      <c r="G2713" s="758">
        <f t="shared" si="168"/>
        <v>1.42</v>
      </c>
      <c r="H2713" s="759">
        <f t="shared" si="169"/>
        <v>0.19</v>
      </c>
      <c r="I2713" s="758">
        <f t="shared" si="170"/>
        <v>6.8684615384615384</v>
      </c>
      <c r="J2713" s="760">
        <f t="shared" si="171"/>
        <v>0.82867749419953596</v>
      </c>
    </row>
    <row r="2714" spans="1:10">
      <c r="A2714" s="74" t="s">
        <v>261</v>
      </c>
      <c r="B2714" s="74" t="s">
        <v>256</v>
      </c>
      <c r="C2714" s="74" t="s">
        <v>1513</v>
      </c>
      <c r="D2714" s="74" t="s">
        <v>81</v>
      </c>
      <c r="E2714" s="74">
        <v>126</v>
      </c>
      <c r="F2714" s="74">
        <v>440.27</v>
      </c>
      <c r="G2714" s="758">
        <f t="shared" si="168"/>
        <v>1.42</v>
      </c>
      <c r="H2714" s="759">
        <f t="shared" si="169"/>
        <v>0.19</v>
      </c>
      <c r="I2714" s="758">
        <f t="shared" si="170"/>
        <v>2.0742063492063489</v>
      </c>
      <c r="J2714" s="760">
        <f t="shared" si="171"/>
        <v>0.59361301019828749</v>
      </c>
    </row>
    <row r="2715" spans="1:10">
      <c r="A2715" s="74" t="s">
        <v>261</v>
      </c>
      <c r="B2715" s="74" t="s">
        <v>256</v>
      </c>
      <c r="C2715" s="74" t="s">
        <v>1514</v>
      </c>
      <c r="D2715" s="74" t="s">
        <v>81</v>
      </c>
      <c r="E2715" s="74">
        <v>45</v>
      </c>
      <c r="F2715" s="74">
        <v>128.27000000000001</v>
      </c>
      <c r="G2715" s="758">
        <f t="shared" si="168"/>
        <v>1.42</v>
      </c>
      <c r="H2715" s="759">
        <f t="shared" si="169"/>
        <v>0.19</v>
      </c>
      <c r="I2715" s="758">
        <f t="shared" si="170"/>
        <v>1.4304444444444449</v>
      </c>
      <c r="J2715" s="760">
        <f t="shared" si="171"/>
        <v>0.50183207297107668</v>
      </c>
    </row>
    <row r="2716" spans="1:10">
      <c r="A2716" s="74" t="s">
        <v>261</v>
      </c>
      <c r="B2716" s="74" t="s">
        <v>256</v>
      </c>
      <c r="C2716" s="74" t="s">
        <v>1515</v>
      </c>
      <c r="D2716" s="74" t="s">
        <v>81</v>
      </c>
      <c r="E2716" s="74">
        <v>51</v>
      </c>
      <c r="F2716" s="74">
        <v>177.5</v>
      </c>
      <c r="G2716" s="758">
        <f t="shared" si="168"/>
        <v>1.42</v>
      </c>
      <c r="H2716" s="759">
        <f t="shared" si="169"/>
        <v>0.19</v>
      </c>
      <c r="I2716" s="758">
        <f t="shared" si="170"/>
        <v>2.0603921568627452</v>
      </c>
      <c r="J2716" s="760">
        <f t="shared" si="171"/>
        <v>0.59199999999999997</v>
      </c>
    </row>
    <row r="2717" spans="1:10">
      <c r="A2717" s="74" t="s">
        <v>261</v>
      </c>
      <c r="B2717" s="74" t="s">
        <v>256</v>
      </c>
      <c r="C2717" s="74" t="s">
        <v>1516</v>
      </c>
      <c r="D2717" s="74" t="s">
        <v>82</v>
      </c>
      <c r="E2717" s="74">
        <v>14</v>
      </c>
      <c r="F2717" s="74">
        <v>118.5</v>
      </c>
      <c r="G2717" s="758">
        <f t="shared" si="168"/>
        <v>1.42</v>
      </c>
      <c r="H2717" s="759">
        <f t="shared" si="169"/>
        <v>0.19</v>
      </c>
      <c r="I2717" s="758">
        <f t="shared" si="170"/>
        <v>7.0442857142857136</v>
      </c>
      <c r="J2717" s="760">
        <f t="shared" si="171"/>
        <v>0.8322362869198312</v>
      </c>
    </row>
    <row r="2718" spans="1:10">
      <c r="A2718" s="74" t="s">
        <v>261</v>
      </c>
      <c r="B2718" s="74" t="s">
        <v>256</v>
      </c>
      <c r="C2718" s="74" t="s">
        <v>1517</v>
      </c>
      <c r="D2718" s="74" t="s">
        <v>82</v>
      </c>
      <c r="E2718" s="74">
        <v>6</v>
      </c>
      <c r="F2718" s="74">
        <v>49.5</v>
      </c>
      <c r="G2718" s="758">
        <f t="shared" si="168"/>
        <v>1.42</v>
      </c>
      <c r="H2718" s="759">
        <f t="shared" si="169"/>
        <v>0.19</v>
      </c>
      <c r="I2718" s="758">
        <f t="shared" si="170"/>
        <v>6.83</v>
      </c>
      <c r="J2718" s="760">
        <f t="shared" si="171"/>
        <v>0.82787878787878788</v>
      </c>
    </row>
    <row r="2719" spans="1:10">
      <c r="A2719" s="74" t="s">
        <v>261</v>
      </c>
      <c r="B2719" s="74" t="s">
        <v>256</v>
      </c>
      <c r="C2719" s="74" t="s">
        <v>1527</v>
      </c>
      <c r="D2719" s="74" t="s">
        <v>82</v>
      </c>
      <c r="E2719" s="74">
        <v>18</v>
      </c>
      <c r="F2719" s="74">
        <v>149.25</v>
      </c>
      <c r="G2719" s="758">
        <f t="shared" si="168"/>
        <v>1.42</v>
      </c>
      <c r="H2719" s="759">
        <f t="shared" si="169"/>
        <v>0.19</v>
      </c>
      <c r="I2719" s="758">
        <f t="shared" si="170"/>
        <v>6.8716666666666661</v>
      </c>
      <c r="J2719" s="760">
        <f t="shared" si="171"/>
        <v>0.82874371859296481</v>
      </c>
    </row>
    <row r="2720" spans="1:10">
      <c r="A2720" s="74" t="s">
        <v>261</v>
      </c>
      <c r="B2720" s="74" t="s">
        <v>256</v>
      </c>
      <c r="C2720" s="74" t="s">
        <v>1518</v>
      </c>
      <c r="D2720" s="74" t="s">
        <v>82</v>
      </c>
      <c r="E2720" s="74">
        <v>14</v>
      </c>
      <c r="F2720" s="74">
        <v>117.5</v>
      </c>
      <c r="G2720" s="758">
        <f t="shared" si="168"/>
        <v>1.42</v>
      </c>
      <c r="H2720" s="759">
        <f t="shared" si="169"/>
        <v>0.19</v>
      </c>
      <c r="I2720" s="758">
        <f t="shared" si="170"/>
        <v>6.9728571428571424</v>
      </c>
      <c r="J2720" s="760">
        <f t="shared" si="171"/>
        <v>0.83080851063829786</v>
      </c>
    </row>
    <row r="2721" spans="1:10">
      <c r="A2721" s="74" t="s">
        <v>261</v>
      </c>
      <c r="B2721" s="74" t="s">
        <v>256</v>
      </c>
      <c r="C2721" s="74" t="s">
        <v>1519</v>
      </c>
      <c r="D2721" s="74" t="s">
        <v>84</v>
      </c>
      <c r="E2721" s="74">
        <v>2</v>
      </c>
      <c r="F2721" s="74">
        <v>17</v>
      </c>
      <c r="G2721" s="758">
        <f t="shared" si="168"/>
        <v>1.42</v>
      </c>
      <c r="H2721" s="759">
        <f t="shared" si="169"/>
        <v>0.19</v>
      </c>
      <c r="I2721" s="758">
        <f t="shared" si="170"/>
        <v>7.08</v>
      </c>
      <c r="J2721" s="760">
        <f t="shared" si="171"/>
        <v>0.8329411764705883</v>
      </c>
    </row>
    <row r="2722" spans="1:10">
      <c r="A2722" s="74" t="s">
        <v>1809</v>
      </c>
      <c r="B2722" s="74" t="s">
        <v>256</v>
      </c>
      <c r="C2722" s="74" t="s">
        <v>1565</v>
      </c>
      <c r="D2722" s="74" t="s">
        <v>78</v>
      </c>
      <c r="E2722" s="74">
        <v>4</v>
      </c>
      <c r="F2722" s="74">
        <v>6.4</v>
      </c>
      <c r="G2722" s="758">
        <f t="shared" si="168"/>
        <v>0.28000000000000003</v>
      </c>
      <c r="H2722" s="759">
        <f t="shared" si="169"/>
        <v>0.19</v>
      </c>
      <c r="I2722" s="758">
        <f t="shared" si="170"/>
        <v>1.32</v>
      </c>
      <c r="J2722" s="760">
        <f t="shared" si="171"/>
        <v>0.82499999999999996</v>
      </c>
    </row>
    <row r="2723" spans="1:10">
      <c r="A2723" s="74" t="s">
        <v>1809</v>
      </c>
      <c r="B2723" s="74" t="s">
        <v>256</v>
      </c>
      <c r="C2723" s="74" t="s">
        <v>1530</v>
      </c>
      <c r="D2723" s="74" t="s">
        <v>80</v>
      </c>
      <c r="E2723" s="74">
        <v>2</v>
      </c>
      <c r="F2723" s="74">
        <v>3.2</v>
      </c>
      <c r="G2723" s="758">
        <f t="shared" si="168"/>
        <v>0.28000000000000003</v>
      </c>
      <c r="H2723" s="759">
        <f t="shared" si="169"/>
        <v>0.19</v>
      </c>
      <c r="I2723" s="758">
        <f t="shared" si="170"/>
        <v>1.32</v>
      </c>
      <c r="J2723" s="760">
        <f t="shared" si="171"/>
        <v>0.82499999999999996</v>
      </c>
    </row>
    <row r="2724" spans="1:10">
      <c r="A2724" s="74" t="s">
        <v>1809</v>
      </c>
      <c r="B2724" s="74" t="s">
        <v>256</v>
      </c>
      <c r="C2724" s="74" t="s">
        <v>1532</v>
      </c>
      <c r="D2724" s="74" t="s">
        <v>80</v>
      </c>
      <c r="E2724" s="74">
        <v>19</v>
      </c>
      <c r="F2724" s="74">
        <v>30.4</v>
      </c>
      <c r="G2724" s="758">
        <f t="shared" si="168"/>
        <v>0.28000000000000003</v>
      </c>
      <c r="H2724" s="759">
        <f t="shared" si="169"/>
        <v>0.19</v>
      </c>
      <c r="I2724" s="758">
        <f t="shared" si="170"/>
        <v>1.3199999999999998</v>
      </c>
      <c r="J2724" s="760">
        <f t="shared" si="171"/>
        <v>0.82499999999999996</v>
      </c>
    </row>
    <row r="2725" spans="1:10">
      <c r="A2725" s="74" t="s">
        <v>1809</v>
      </c>
      <c r="B2725" s="74" t="s">
        <v>256</v>
      </c>
      <c r="C2725" s="74" t="s">
        <v>1511</v>
      </c>
      <c r="D2725" s="74" t="s">
        <v>80</v>
      </c>
      <c r="E2725" s="74">
        <v>23</v>
      </c>
      <c r="F2725" s="74">
        <v>36.799999999999997</v>
      </c>
      <c r="G2725" s="758">
        <f t="shared" si="168"/>
        <v>0.28000000000000003</v>
      </c>
      <c r="H2725" s="759">
        <f t="shared" si="169"/>
        <v>0.19</v>
      </c>
      <c r="I2725" s="758">
        <f t="shared" si="170"/>
        <v>1.3199999999999998</v>
      </c>
      <c r="J2725" s="760">
        <f t="shared" si="171"/>
        <v>0.82499999999999996</v>
      </c>
    </row>
    <row r="2726" spans="1:10">
      <c r="A2726" s="74" t="s">
        <v>1809</v>
      </c>
      <c r="B2726" s="74" t="s">
        <v>256</v>
      </c>
      <c r="C2726" s="74" t="s">
        <v>1512</v>
      </c>
      <c r="D2726" s="74" t="s">
        <v>80</v>
      </c>
      <c r="E2726" s="74">
        <v>9</v>
      </c>
      <c r="F2726" s="74">
        <v>14.4</v>
      </c>
      <c r="G2726" s="758">
        <f t="shared" si="168"/>
        <v>0.28000000000000003</v>
      </c>
      <c r="H2726" s="759">
        <f t="shared" si="169"/>
        <v>0.19</v>
      </c>
      <c r="I2726" s="758">
        <f t="shared" si="170"/>
        <v>1.32</v>
      </c>
      <c r="J2726" s="760">
        <f t="shared" si="171"/>
        <v>0.82499999999999996</v>
      </c>
    </row>
    <row r="2727" spans="1:10">
      <c r="A2727" s="74" t="s">
        <v>1809</v>
      </c>
      <c r="B2727" s="74" t="s">
        <v>256</v>
      </c>
      <c r="C2727" s="74" t="s">
        <v>1534</v>
      </c>
      <c r="D2727" s="74" t="s">
        <v>81</v>
      </c>
      <c r="E2727" s="74">
        <v>8</v>
      </c>
      <c r="F2727" s="74">
        <v>12.8</v>
      </c>
      <c r="G2727" s="758">
        <f t="shared" si="168"/>
        <v>0.28000000000000003</v>
      </c>
      <c r="H2727" s="759">
        <f t="shared" si="169"/>
        <v>0.19</v>
      </c>
      <c r="I2727" s="758">
        <f t="shared" si="170"/>
        <v>1.32</v>
      </c>
      <c r="J2727" s="760">
        <f t="shared" si="171"/>
        <v>0.82499999999999996</v>
      </c>
    </row>
    <row r="2728" spans="1:10">
      <c r="A2728" s="74" t="s">
        <v>1809</v>
      </c>
      <c r="B2728" s="74" t="s">
        <v>256</v>
      </c>
      <c r="C2728" s="74" t="s">
        <v>1513</v>
      </c>
      <c r="D2728" s="74" t="s">
        <v>81</v>
      </c>
      <c r="E2728" s="74">
        <v>29</v>
      </c>
      <c r="F2728" s="74">
        <v>46.4</v>
      </c>
      <c r="G2728" s="758">
        <f t="shared" si="168"/>
        <v>0.28000000000000003</v>
      </c>
      <c r="H2728" s="759">
        <f t="shared" si="169"/>
        <v>0.19</v>
      </c>
      <c r="I2728" s="758">
        <f t="shared" si="170"/>
        <v>1.3199999999999998</v>
      </c>
      <c r="J2728" s="760">
        <f t="shared" si="171"/>
        <v>0.82499999999999996</v>
      </c>
    </row>
    <row r="2729" spans="1:10">
      <c r="A2729" s="74" t="s">
        <v>1809</v>
      </c>
      <c r="B2729" s="74" t="s">
        <v>256</v>
      </c>
      <c r="C2729" s="74" t="s">
        <v>1514</v>
      </c>
      <c r="D2729" s="74" t="s">
        <v>81</v>
      </c>
      <c r="E2729" s="74">
        <v>14</v>
      </c>
      <c r="F2729" s="74">
        <v>22.4</v>
      </c>
      <c r="G2729" s="758">
        <f t="shared" si="168"/>
        <v>0.28000000000000003</v>
      </c>
      <c r="H2729" s="759">
        <f t="shared" si="169"/>
        <v>0.19</v>
      </c>
      <c r="I2729" s="758">
        <f t="shared" si="170"/>
        <v>1.3199999999999998</v>
      </c>
      <c r="J2729" s="760">
        <f t="shared" si="171"/>
        <v>0.82499999999999996</v>
      </c>
    </row>
    <row r="2730" spans="1:10">
      <c r="A2730" s="74" t="s">
        <v>1809</v>
      </c>
      <c r="B2730" s="74" t="s">
        <v>256</v>
      </c>
      <c r="C2730" s="74" t="s">
        <v>1515</v>
      </c>
      <c r="D2730" s="74" t="s">
        <v>81</v>
      </c>
      <c r="E2730" s="74">
        <v>20</v>
      </c>
      <c r="F2730" s="74">
        <v>36.200000000000003</v>
      </c>
      <c r="G2730" s="758">
        <f t="shared" si="168"/>
        <v>0.28000000000000003</v>
      </c>
      <c r="H2730" s="759">
        <f t="shared" si="169"/>
        <v>0.19</v>
      </c>
      <c r="I2730" s="758">
        <f t="shared" si="170"/>
        <v>1.53</v>
      </c>
      <c r="J2730" s="760">
        <f t="shared" si="171"/>
        <v>0.84530386740331487</v>
      </c>
    </row>
    <row r="2731" spans="1:10">
      <c r="A2731" s="74" t="s">
        <v>1809</v>
      </c>
      <c r="B2731" s="74" t="s">
        <v>256</v>
      </c>
      <c r="C2731" s="74" t="s">
        <v>1516</v>
      </c>
      <c r="D2731" s="74" t="s">
        <v>82</v>
      </c>
      <c r="E2731" s="74">
        <v>21</v>
      </c>
      <c r="F2731" s="74">
        <v>33.6</v>
      </c>
      <c r="G2731" s="758">
        <f t="shared" si="168"/>
        <v>0.28000000000000003</v>
      </c>
      <c r="H2731" s="759">
        <f t="shared" si="169"/>
        <v>0.19</v>
      </c>
      <c r="I2731" s="758">
        <f t="shared" si="170"/>
        <v>1.32</v>
      </c>
      <c r="J2731" s="760">
        <f t="shared" si="171"/>
        <v>0.82499999999999996</v>
      </c>
    </row>
    <row r="2732" spans="1:10">
      <c r="A2732" s="74" t="s">
        <v>1809</v>
      </c>
      <c r="B2732" s="74" t="s">
        <v>256</v>
      </c>
      <c r="C2732" s="74" t="s">
        <v>1517</v>
      </c>
      <c r="D2732" s="74" t="s">
        <v>82</v>
      </c>
      <c r="E2732" s="74">
        <v>37</v>
      </c>
      <c r="F2732" s="74">
        <v>59.2</v>
      </c>
      <c r="G2732" s="758">
        <f t="shared" si="168"/>
        <v>0.28000000000000003</v>
      </c>
      <c r="H2732" s="759">
        <f t="shared" si="169"/>
        <v>0.19</v>
      </c>
      <c r="I2732" s="758">
        <f t="shared" si="170"/>
        <v>1.32</v>
      </c>
      <c r="J2732" s="760">
        <f t="shared" si="171"/>
        <v>0.82499999999999996</v>
      </c>
    </row>
    <row r="2733" spans="1:10">
      <c r="A2733" s="74" t="s">
        <v>1809</v>
      </c>
      <c r="B2733" s="74" t="s">
        <v>256</v>
      </c>
      <c r="C2733" s="74" t="s">
        <v>1527</v>
      </c>
      <c r="D2733" s="74" t="s">
        <v>82</v>
      </c>
      <c r="E2733" s="74">
        <v>26</v>
      </c>
      <c r="F2733" s="74">
        <v>41.6</v>
      </c>
      <c r="G2733" s="758">
        <f t="shared" si="168"/>
        <v>0.28000000000000003</v>
      </c>
      <c r="H2733" s="759">
        <f t="shared" si="169"/>
        <v>0.19</v>
      </c>
      <c r="I2733" s="758">
        <f t="shared" si="170"/>
        <v>1.32</v>
      </c>
      <c r="J2733" s="760">
        <f t="shared" si="171"/>
        <v>0.82499999999999996</v>
      </c>
    </row>
    <row r="2734" spans="1:10">
      <c r="A2734" s="74" t="s">
        <v>1809</v>
      </c>
      <c r="B2734" s="74" t="s">
        <v>256</v>
      </c>
      <c r="C2734" s="74" t="s">
        <v>1518</v>
      </c>
      <c r="D2734" s="74" t="s">
        <v>82</v>
      </c>
      <c r="E2734" s="74">
        <v>31</v>
      </c>
      <c r="F2734" s="74">
        <v>49.6</v>
      </c>
      <c r="G2734" s="758">
        <f t="shared" si="168"/>
        <v>0.28000000000000003</v>
      </c>
      <c r="H2734" s="759">
        <f t="shared" si="169"/>
        <v>0.19</v>
      </c>
      <c r="I2734" s="758">
        <f t="shared" si="170"/>
        <v>1.32</v>
      </c>
      <c r="J2734" s="760">
        <f t="shared" si="171"/>
        <v>0.82499999999999996</v>
      </c>
    </row>
    <row r="2735" spans="1:10">
      <c r="A2735" s="74" t="s">
        <v>1809</v>
      </c>
      <c r="B2735" s="74" t="s">
        <v>256</v>
      </c>
      <c r="C2735" s="74" t="s">
        <v>1519</v>
      </c>
      <c r="D2735" s="74" t="s">
        <v>84</v>
      </c>
      <c r="E2735" s="74">
        <v>4</v>
      </c>
      <c r="F2735" s="74">
        <v>6.4</v>
      </c>
      <c r="G2735" s="758">
        <f t="shared" si="168"/>
        <v>0.28000000000000003</v>
      </c>
      <c r="H2735" s="759">
        <f t="shared" si="169"/>
        <v>0.19</v>
      </c>
      <c r="I2735" s="758">
        <f t="shared" si="170"/>
        <v>1.32</v>
      </c>
      <c r="J2735" s="760">
        <f t="shared" si="171"/>
        <v>0.82499999999999996</v>
      </c>
    </row>
    <row r="2736" spans="1:10">
      <c r="A2736" s="74" t="s">
        <v>1810</v>
      </c>
      <c r="B2736" s="74" t="s">
        <v>873</v>
      </c>
      <c r="C2736" s="74" t="s">
        <v>1541</v>
      </c>
      <c r="D2736" s="74" t="s">
        <v>86</v>
      </c>
      <c r="E2736" s="74">
        <v>14</v>
      </c>
      <c r="F2736" s="74">
        <v>0</v>
      </c>
      <c r="G2736" s="758">
        <f t="shared" si="168"/>
        <v>0</v>
      </c>
      <c r="H2736" s="759">
        <f t="shared" si="169"/>
        <v>0</v>
      </c>
      <c r="I2736" s="758">
        <f t="shared" si="170"/>
        <v>0</v>
      </c>
      <c r="J2736" s="760">
        <f t="shared" si="171"/>
        <v>0</v>
      </c>
    </row>
    <row r="2737" spans="1:10">
      <c r="A2737" s="74" t="s">
        <v>1810</v>
      </c>
      <c r="B2737" s="74" t="s">
        <v>873</v>
      </c>
      <c r="C2737" s="74" t="s">
        <v>1631</v>
      </c>
      <c r="D2737" s="74" t="s">
        <v>92</v>
      </c>
      <c r="E2737" s="74">
        <v>5</v>
      </c>
      <c r="F2737" s="74">
        <v>0</v>
      </c>
      <c r="G2737" s="758">
        <f t="shared" si="168"/>
        <v>0</v>
      </c>
      <c r="H2737" s="759">
        <f t="shared" si="169"/>
        <v>0</v>
      </c>
      <c r="I2737" s="758">
        <f t="shared" si="170"/>
        <v>0</v>
      </c>
      <c r="J2737" s="760">
        <f t="shared" si="171"/>
        <v>0</v>
      </c>
    </row>
    <row r="2738" spans="1:10">
      <c r="A2738" s="74" t="s">
        <v>1811</v>
      </c>
      <c r="B2738" s="74" t="s">
        <v>873</v>
      </c>
      <c r="C2738" s="74" t="s">
        <v>1524</v>
      </c>
      <c r="D2738" s="74" t="s">
        <v>91</v>
      </c>
      <c r="E2738" s="74">
        <v>9</v>
      </c>
      <c r="F2738" s="74">
        <v>0</v>
      </c>
      <c r="G2738" s="758">
        <f t="shared" si="168"/>
        <v>0</v>
      </c>
      <c r="H2738" s="759">
        <f t="shared" si="169"/>
        <v>0</v>
      </c>
      <c r="I2738" s="758">
        <f t="shared" si="170"/>
        <v>0</v>
      </c>
      <c r="J2738" s="760">
        <f t="shared" si="171"/>
        <v>0</v>
      </c>
    </row>
    <row r="2739" spans="1:10">
      <c r="A2739" s="74" t="s">
        <v>1812</v>
      </c>
      <c r="B2739" s="74" t="s">
        <v>873</v>
      </c>
      <c r="C2739" s="74" t="s">
        <v>1675</v>
      </c>
      <c r="D2739" s="74" t="s">
        <v>91</v>
      </c>
      <c r="E2739" s="74">
        <v>3</v>
      </c>
      <c r="F2739" s="74">
        <v>9</v>
      </c>
      <c r="G2739" s="758">
        <f t="shared" si="168"/>
        <v>0</v>
      </c>
      <c r="H2739" s="759">
        <f t="shared" si="169"/>
        <v>0</v>
      </c>
      <c r="I2739" s="758">
        <f t="shared" si="170"/>
        <v>3</v>
      </c>
      <c r="J2739" s="760">
        <f t="shared" si="171"/>
        <v>1</v>
      </c>
    </row>
    <row r="2740" spans="1:10">
      <c r="A2740" s="74" t="s">
        <v>1813</v>
      </c>
      <c r="B2740" s="74" t="s">
        <v>256</v>
      </c>
      <c r="C2740" s="74" t="s">
        <v>1518</v>
      </c>
      <c r="D2740" s="74" t="s">
        <v>82</v>
      </c>
      <c r="E2740" s="74">
        <v>9</v>
      </c>
      <c r="F2740" s="74">
        <v>75</v>
      </c>
      <c r="G2740" s="758">
        <f t="shared" si="168"/>
        <v>1.48</v>
      </c>
      <c r="H2740" s="759">
        <f t="shared" si="169"/>
        <v>0.19</v>
      </c>
      <c r="I2740" s="758">
        <f t="shared" si="170"/>
        <v>6.8533333333333335</v>
      </c>
      <c r="J2740" s="760">
        <f t="shared" si="171"/>
        <v>0.82240000000000002</v>
      </c>
    </row>
    <row r="2741" spans="1:10">
      <c r="A2741" s="74" t="s">
        <v>1813</v>
      </c>
      <c r="B2741" s="74" t="s">
        <v>256</v>
      </c>
      <c r="C2741" s="74" t="s">
        <v>1519</v>
      </c>
      <c r="D2741" s="74" t="s">
        <v>84</v>
      </c>
      <c r="E2741" s="74">
        <v>1</v>
      </c>
      <c r="F2741" s="74">
        <v>8.5</v>
      </c>
      <c r="G2741" s="758">
        <f t="shared" si="168"/>
        <v>1.48</v>
      </c>
      <c r="H2741" s="759">
        <f t="shared" si="169"/>
        <v>0.19</v>
      </c>
      <c r="I2741" s="758">
        <f t="shared" si="170"/>
        <v>7.02</v>
      </c>
      <c r="J2741" s="760">
        <f t="shared" si="171"/>
        <v>0.82588235294117651</v>
      </c>
    </row>
    <row r="2742" spans="1:10">
      <c r="A2742" s="74" t="s">
        <v>1814</v>
      </c>
      <c r="B2742" s="74" t="s">
        <v>256</v>
      </c>
      <c r="C2742" s="74" t="s">
        <v>1518</v>
      </c>
      <c r="D2742" s="74" t="s">
        <v>82</v>
      </c>
      <c r="E2742" s="74">
        <v>20</v>
      </c>
      <c r="F2742" s="74">
        <v>44</v>
      </c>
      <c r="G2742" s="758">
        <f t="shared" si="168"/>
        <v>0.37</v>
      </c>
      <c r="H2742" s="759">
        <f t="shared" si="169"/>
        <v>0.19</v>
      </c>
      <c r="I2742" s="758">
        <f t="shared" si="170"/>
        <v>1.83</v>
      </c>
      <c r="J2742" s="760">
        <f t="shared" si="171"/>
        <v>0.83181818181818179</v>
      </c>
    </row>
    <row r="2743" spans="1:10">
      <c r="A2743" s="74" t="s">
        <v>1814</v>
      </c>
      <c r="B2743" s="74" t="s">
        <v>256</v>
      </c>
      <c r="C2743" s="74" t="s">
        <v>1519</v>
      </c>
      <c r="D2743" s="74" t="s">
        <v>84</v>
      </c>
      <c r="E2743" s="74">
        <v>4</v>
      </c>
      <c r="F2743" s="74">
        <v>8.8000000000000007</v>
      </c>
      <c r="G2743" s="758">
        <f t="shared" si="168"/>
        <v>0.37</v>
      </c>
      <c r="H2743" s="759">
        <f t="shared" si="169"/>
        <v>0.19</v>
      </c>
      <c r="I2743" s="758">
        <f t="shared" si="170"/>
        <v>1.83</v>
      </c>
      <c r="J2743" s="760">
        <f t="shared" si="171"/>
        <v>0.83181818181818179</v>
      </c>
    </row>
    <row r="2744" spans="1:10">
      <c r="A2744" s="74" t="s">
        <v>1815</v>
      </c>
      <c r="B2744" s="74" t="s">
        <v>268</v>
      </c>
      <c r="C2744" s="74" t="s">
        <v>1520</v>
      </c>
      <c r="D2744" s="74" t="s">
        <v>84</v>
      </c>
      <c r="E2744" s="74">
        <v>1</v>
      </c>
      <c r="F2744" s="74">
        <v>0.65</v>
      </c>
      <c r="G2744" s="758">
        <f t="shared" si="168"/>
        <v>0</v>
      </c>
      <c r="H2744" s="759">
        <f t="shared" si="169"/>
        <v>0</v>
      </c>
      <c r="I2744" s="758">
        <f t="shared" si="170"/>
        <v>0.65</v>
      </c>
      <c r="J2744" s="760">
        <f t="shared" si="171"/>
        <v>1</v>
      </c>
    </row>
    <row r="2745" spans="1:10">
      <c r="A2745" s="74" t="s">
        <v>859</v>
      </c>
      <c r="B2745" s="74" t="s">
        <v>268</v>
      </c>
      <c r="C2745" s="74" t="s">
        <v>1528</v>
      </c>
      <c r="D2745" s="74" t="s">
        <v>78</v>
      </c>
      <c r="E2745" s="74">
        <v>8</v>
      </c>
      <c r="F2745" s="74">
        <v>5.6</v>
      </c>
      <c r="G2745" s="758">
        <f t="shared" si="168"/>
        <v>0.12</v>
      </c>
      <c r="H2745" s="759">
        <f t="shared" si="169"/>
        <v>0.22</v>
      </c>
      <c r="I2745" s="758">
        <f t="shared" si="170"/>
        <v>0.57999999999999996</v>
      </c>
      <c r="J2745" s="760">
        <f t="shared" si="171"/>
        <v>0.82857142857142851</v>
      </c>
    </row>
    <row r="2746" spans="1:10">
      <c r="A2746" s="74" t="s">
        <v>859</v>
      </c>
      <c r="B2746" s="74" t="s">
        <v>268</v>
      </c>
      <c r="C2746" s="74" t="s">
        <v>1508</v>
      </c>
      <c r="D2746" s="74" t="s">
        <v>78</v>
      </c>
      <c r="E2746" s="74">
        <v>5</v>
      </c>
      <c r="F2746" s="74">
        <v>3.5</v>
      </c>
      <c r="G2746" s="758">
        <f t="shared" si="168"/>
        <v>0.12</v>
      </c>
      <c r="H2746" s="759">
        <f t="shared" si="169"/>
        <v>0.22</v>
      </c>
      <c r="I2746" s="758">
        <f t="shared" si="170"/>
        <v>0.57999999999999996</v>
      </c>
      <c r="J2746" s="760">
        <f t="shared" si="171"/>
        <v>0.82857142857142851</v>
      </c>
    </row>
    <row r="2747" spans="1:10">
      <c r="A2747" s="74" t="s">
        <v>859</v>
      </c>
      <c r="B2747" s="74" t="s">
        <v>268</v>
      </c>
      <c r="C2747" s="74" t="s">
        <v>1509</v>
      </c>
      <c r="D2747" s="74" t="s">
        <v>78</v>
      </c>
      <c r="E2747" s="74">
        <v>17</v>
      </c>
      <c r="F2747" s="74">
        <v>13.6</v>
      </c>
      <c r="G2747" s="758">
        <f t="shared" si="168"/>
        <v>0.12</v>
      </c>
      <c r="H2747" s="759">
        <f t="shared" si="169"/>
        <v>0.22</v>
      </c>
      <c r="I2747" s="758">
        <f t="shared" si="170"/>
        <v>0.67999999999999994</v>
      </c>
      <c r="J2747" s="760">
        <f t="shared" si="171"/>
        <v>0.85</v>
      </c>
    </row>
    <row r="2748" spans="1:10">
      <c r="A2748" s="74" t="s">
        <v>859</v>
      </c>
      <c r="B2748" s="74" t="s">
        <v>268</v>
      </c>
      <c r="C2748" s="74" t="s">
        <v>1565</v>
      </c>
      <c r="D2748" s="74" t="s">
        <v>78</v>
      </c>
      <c r="E2748" s="74">
        <v>5</v>
      </c>
      <c r="F2748" s="74">
        <v>3.75</v>
      </c>
      <c r="G2748" s="758">
        <f t="shared" si="168"/>
        <v>0.12</v>
      </c>
      <c r="H2748" s="759">
        <f t="shared" si="169"/>
        <v>0.22</v>
      </c>
      <c r="I2748" s="758">
        <f t="shared" si="170"/>
        <v>0.63</v>
      </c>
      <c r="J2748" s="760">
        <f t="shared" si="171"/>
        <v>0.84</v>
      </c>
    </row>
    <row r="2749" spans="1:10">
      <c r="A2749" s="74" t="s">
        <v>859</v>
      </c>
      <c r="B2749" s="74" t="s">
        <v>268</v>
      </c>
      <c r="C2749" s="74" t="s">
        <v>1530</v>
      </c>
      <c r="D2749" s="74" t="s">
        <v>80</v>
      </c>
      <c r="E2749" s="74">
        <v>1</v>
      </c>
      <c r="F2749" s="74">
        <v>0.75</v>
      </c>
      <c r="G2749" s="758">
        <f t="shared" si="168"/>
        <v>0.12</v>
      </c>
      <c r="H2749" s="759">
        <f t="shared" si="169"/>
        <v>0.22</v>
      </c>
      <c r="I2749" s="758">
        <f t="shared" si="170"/>
        <v>0.63</v>
      </c>
      <c r="J2749" s="760">
        <f t="shared" si="171"/>
        <v>0.84</v>
      </c>
    </row>
    <row r="2750" spans="1:10">
      <c r="A2750" s="74" t="s">
        <v>859</v>
      </c>
      <c r="B2750" s="74" t="s">
        <v>268</v>
      </c>
      <c r="C2750" s="74" t="s">
        <v>1532</v>
      </c>
      <c r="D2750" s="74" t="s">
        <v>80</v>
      </c>
      <c r="E2750" s="74">
        <v>9</v>
      </c>
      <c r="F2750" s="74">
        <v>6.95</v>
      </c>
      <c r="G2750" s="758">
        <f t="shared" si="168"/>
        <v>0.12</v>
      </c>
      <c r="H2750" s="759">
        <f t="shared" si="169"/>
        <v>0.22</v>
      </c>
      <c r="I2750" s="758">
        <f t="shared" si="170"/>
        <v>0.65222222222222226</v>
      </c>
      <c r="J2750" s="760">
        <f t="shared" si="171"/>
        <v>0.8446043165467626</v>
      </c>
    </row>
    <row r="2751" spans="1:10">
      <c r="A2751" s="74" t="s">
        <v>859</v>
      </c>
      <c r="B2751" s="74" t="s">
        <v>268</v>
      </c>
      <c r="C2751" s="74" t="s">
        <v>1511</v>
      </c>
      <c r="D2751" s="74" t="s">
        <v>80</v>
      </c>
      <c r="E2751" s="74">
        <v>7</v>
      </c>
      <c r="F2751" s="74">
        <v>7.35</v>
      </c>
      <c r="G2751" s="758">
        <f t="shared" si="168"/>
        <v>0.12</v>
      </c>
      <c r="H2751" s="759">
        <f t="shared" si="169"/>
        <v>0.22</v>
      </c>
      <c r="I2751" s="758">
        <f t="shared" si="170"/>
        <v>0.93</v>
      </c>
      <c r="J2751" s="760">
        <f t="shared" si="171"/>
        <v>0.88571428571428568</v>
      </c>
    </row>
    <row r="2752" spans="1:10">
      <c r="A2752" s="74" t="s">
        <v>859</v>
      </c>
      <c r="B2752" s="74" t="s">
        <v>268</v>
      </c>
      <c r="C2752" s="74" t="s">
        <v>1512</v>
      </c>
      <c r="D2752" s="74" t="s">
        <v>80</v>
      </c>
      <c r="E2752" s="74">
        <v>11</v>
      </c>
      <c r="F2752" s="74">
        <v>8.43</v>
      </c>
      <c r="G2752" s="758">
        <f t="shared" si="168"/>
        <v>0.12</v>
      </c>
      <c r="H2752" s="759">
        <f t="shared" si="169"/>
        <v>0.22</v>
      </c>
      <c r="I2752" s="758">
        <f t="shared" si="170"/>
        <v>0.64636363636363636</v>
      </c>
      <c r="J2752" s="760">
        <f t="shared" si="171"/>
        <v>0.84341637010676163</v>
      </c>
    </row>
    <row r="2753" spans="1:10">
      <c r="A2753" s="74" t="s">
        <v>859</v>
      </c>
      <c r="B2753" s="74" t="s">
        <v>268</v>
      </c>
      <c r="C2753" s="74" t="s">
        <v>1534</v>
      </c>
      <c r="D2753" s="74" t="s">
        <v>81</v>
      </c>
      <c r="E2753" s="74">
        <v>7</v>
      </c>
      <c r="F2753" s="74">
        <v>5.25</v>
      </c>
      <c r="G2753" s="758">
        <f t="shared" si="168"/>
        <v>0.12</v>
      </c>
      <c r="H2753" s="759">
        <f t="shared" si="169"/>
        <v>0.22</v>
      </c>
      <c r="I2753" s="758">
        <f t="shared" si="170"/>
        <v>0.63</v>
      </c>
      <c r="J2753" s="760">
        <f t="shared" si="171"/>
        <v>0.84</v>
      </c>
    </row>
    <row r="2754" spans="1:10">
      <c r="A2754" s="74" t="s">
        <v>859</v>
      </c>
      <c r="B2754" s="74" t="s">
        <v>268</v>
      </c>
      <c r="C2754" s="74" t="s">
        <v>1513</v>
      </c>
      <c r="D2754" s="74" t="s">
        <v>81</v>
      </c>
      <c r="E2754" s="74">
        <v>7</v>
      </c>
      <c r="F2754" s="74">
        <v>5.25</v>
      </c>
      <c r="G2754" s="758">
        <f t="shared" ref="G2754:G2817" si="172">IFERROR(VLOOKUP(A2754,$M$1:$P$1014,2,FALSE),0)</f>
        <v>0.12</v>
      </c>
      <c r="H2754" s="759">
        <f t="shared" ref="H2754:H2817" si="173">IFERROR(VLOOKUP(A2754,$M$1:$P$1014,3,FALSE),0)</f>
        <v>0.22</v>
      </c>
      <c r="I2754" s="758">
        <f t="shared" ref="I2754:I2817" si="174">IFERROR(F2754/E2754-G2754,0)</f>
        <v>0.63</v>
      </c>
      <c r="J2754" s="760">
        <f t="shared" ref="J2754:J2817" si="175">IFERROR(1-G2754*E2754/F2754,0)</f>
        <v>0.84</v>
      </c>
    </row>
    <row r="2755" spans="1:10">
      <c r="A2755" s="74" t="s">
        <v>859</v>
      </c>
      <c r="B2755" s="74" t="s">
        <v>268</v>
      </c>
      <c r="C2755" s="74" t="s">
        <v>1514</v>
      </c>
      <c r="D2755" s="74" t="s">
        <v>81</v>
      </c>
      <c r="E2755" s="74">
        <v>9</v>
      </c>
      <c r="F2755" s="74">
        <v>6.75</v>
      </c>
      <c r="G2755" s="758">
        <f t="shared" si="172"/>
        <v>0.12</v>
      </c>
      <c r="H2755" s="759">
        <f t="shared" si="173"/>
        <v>0.22</v>
      </c>
      <c r="I2755" s="758">
        <f t="shared" si="174"/>
        <v>0.63</v>
      </c>
      <c r="J2755" s="760">
        <f t="shared" si="175"/>
        <v>0.84</v>
      </c>
    </row>
    <row r="2756" spans="1:10">
      <c r="A2756" s="74" t="s">
        <v>859</v>
      </c>
      <c r="B2756" s="74" t="s">
        <v>268</v>
      </c>
      <c r="C2756" s="74" t="s">
        <v>1515</v>
      </c>
      <c r="D2756" s="74" t="s">
        <v>81</v>
      </c>
      <c r="E2756" s="74">
        <v>10</v>
      </c>
      <c r="F2756" s="74">
        <v>7.7</v>
      </c>
      <c r="G2756" s="758">
        <f t="shared" si="172"/>
        <v>0.12</v>
      </c>
      <c r="H2756" s="759">
        <f t="shared" si="173"/>
        <v>0.22</v>
      </c>
      <c r="I2756" s="758">
        <f t="shared" si="174"/>
        <v>0.65</v>
      </c>
      <c r="J2756" s="760">
        <f t="shared" si="175"/>
        <v>0.8441558441558441</v>
      </c>
    </row>
    <row r="2757" spans="1:10">
      <c r="A2757" s="74" t="s">
        <v>859</v>
      </c>
      <c r="B2757" s="74" t="s">
        <v>268</v>
      </c>
      <c r="C2757" s="74" t="s">
        <v>1516</v>
      </c>
      <c r="D2757" s="74" t="s">
        <v>82</v>
      </c>
      <c r="E2757" s="74">
        <v>9</v>
      </c>
      <c r="F2757" s="74">
        <v>7.9</v>
      </c>
      <c r="G2757" s="758">
        <f t="shared" si="172"/>
        <v>0.12</v>
      </c>
      <c r="H2757" s="759">
        <f t="shared" si="173"/>
        <v>0.22</v>
      </c>
      <c r="I2757" s="758">
        <f t="shared" si="174"/>
        <v>0.75777777777777777</v>
      </c>
      <c r="J2757" s="760">
        <f t="shared" si="175"/>
        <v>0.86329113924050627</v>
      </c>
    </row>
    <row r="2758" spans="1:10">
      <c r="A2758" s="74" t="s">
        <v>859</v>
      </c>
      <c r="B2758" s="74" t="s">
        <v>268</v>
      </c>
      <c r="C2758" s="74" t="s">
        <v>1517</v>
      </c>
      <c r="D2758" s="74" t="s">
        <v>82</v>
      </c>
      <c r="E2758" s="74">
        <v>8</v>
      </c>
      <c r="F2758" s="74">
        <v>6</v>
      </c>
      <c r="G2758" s="758">
        <f t="shared" si="172"/>
        <v>0.12</v>
      </c>
      <c r="H2758" s="759">
        <f t="shared" si="173"/>
        <v>0.22</v>
      </c>
      <c r="I2758" s="758">
        <f t="shared" si="174"/>
        <v>0.63</v>
      </c>
      <c r="J2758" s="760">
        <f t="shared" si="175"/>
        <v>0.84</v>
      </c>
    </row>
    <row r="2759" spans="1:10">
      <c r="A2759" s="74" t="s">
        <v>859</v>
      </c>
      <c r="B2759" s="74" t="s">
        <v>268</v>
      </c>
      <c r="C2759" s="74" t="s">
        <v>1527</v>
      </c>
      <c r="D2759" s="74" t="s">
        <v>82</v>
      </c>
      <c r="E2759" s="74">
        <v>7</v>
      </c>
      <c r="F2759" s="74">
        <v>5.45</v>
      </c>
      <c r="G2759" s="758">
        <f t="shared" si="172"/>
        <v>0.12</v>
      </c>
      <c r="H2759" s="759">
        <f t="shared" si="173"/>
        <v>0.22</v>
      </c>
      <c r="I2759" s="758">
        <f t="shared" si="174"/>
        <v>0.65857142857142859</v>
      </c>
      <c r="J2759" s="760">
        <f t="shared" si="175"/>
        <v>0.84587155963302751</v>
      </c>
    </row>
    <row r="2760" spans="1:10">
      <c r="A2760" s="74" t="s">
        <v>859</v>
      </c>
      <c r="B2760" s="74" t="s">
        <v>268</v>
      </c>
      <c r="C2760" s="74" t="s">
        <v>1518</v>
      </c>
      <c r="D2760" s="74" t="s">
        <v>82</v>
      </c>
      <c r="E2760" s="74">
        <v>7</v>
      </c>
      <c r="F2760" s="74">
        <v>5.25</v>
      </c>
      <c r="G2760" s="758">
        <f t="shared" si="172"/>
        <v>0.12</v>
      </c>
      <c r="H2760" s="759">
        <f t="shared" si="173"/>
        <v>0.22</v>
      </c>
      <c r="I2760" s="758">
        <f t="shared" si="174"/>
        <v>0.63</v>
      </c>
      <c r="J2760" s="760">
        <f t="shared" si="175"/>
        <v>0.84</v>
      </c>
    </row>
    <row r="2761" spans="1:10">
      <c r="A2761" s="74" t="s">
        <v>859</v>
      </c>
      <c r="B2761" s="74" t="s">
        <v>268</v>
      </c>
      <c r="C2761" s="74" t="s">
        <v>1519</v>
      </c>
      <c r="D2761" s="74" t="s">
        <v>84</v>
      </c>
      <c r="E2761" s="74">
        <v>4</v>
      </c>
      <c r="F2761" s="74">
        <v>3</v>
      </c>
      <c r="G2761" s="758">
        <f t="shared" si="172"/>
        <v>0.12</v>
      </c>
      <c r="H2761" s="759">
        <f t="shared" si="173"/>
        <v>0.22</v>
      </c>
      <c r="I2761" s="758">
        <f t="shared" si="174"/>
        <v>0.63</v>
      </c>
      <c r="J2761" s="760">
        <f t="shared" si="175"/>
        <v>0.84</v>
      </c>
    </row>
    <row r="2762" spans="1:10">
      <c r="A2762" s="74" t="s">
        <v>859</v>
      </c>
      <c r="B2762" s="74" t="s">
        <v>268</v>
      </c>
      <c r="C2762" s="74" t="s">
        <v>1540</v>
      </c>
      <c r="D2762" s="74" t="s">
        <v>84</v>
      </c>
      <c r="E2762" s="74">
        <v>6</v>
      </c>
      <c r="F2762" s="74">
        <v>4.5</v>
      </c>
      <c r="G2762" s="758">
        <f t="shared" si="172"/>
        <v>0.12</v>
      </c>
      <c r="H2762" s="759">
        <f t="shared" si="173"/>
        <v>0.22</v>
      </c>
      <c r="I2762" s="758">
        <f t="shared" si="174"/>
        <v>0.63</v>
      </c>
      <c r="J2762" s="760">
        <f t="shared" si="175"/>
        <v>0.84</v>
      </c>
    </row>
    <row r="2763" spans="1:10">
      <c r="A2763" s="74" t="s">
        <v>859</v>
      </c>
      <c r="B2763" s="74" t="s">
        <v>268</v>
      </c>
      <c r="C2763" s="74" t="s">
        <v>1520</v>
      </c>
      <c r="D2763" s="74" t="s">
        <v>84</v>
      </c>
      <c r="E2763" s="74">
        <v>1</v>
      </c>
      <c r="F2763" s="74">
        <v>0.75</v>
      </c>
      <c r="G2763" s="758">
        <f t="shared" si="172"/>
        <v>0.12</v>
      </c>
      <c r="H2763" s="759">
        <f t="shared" si="173"/>
        <v>0.22</v>
      </c>
      <c r="I2763" s="758">
        <f t="shared" si="174"/>
        <v>0.63</v>
      </c>
      <c r="J2763" s="760">
        <f t="shared" si="175"/>
        <v>0.84</v>
      </c>
    </row>
    <row r="2764" spans="1:10">
      <c r="A2764" s="74" t="s">
        <v>859</v>
      </c>
      <c r="B2764" s="74" t="s">
        <v>268</v>
      </c>
      <c r="C2764" s="74" t="s">
        <v>1577</v>
      </c>
      <c r="D2764" s="74" t="s">
        <v>84</v>
      </c>
      <c r="E2764" s="74">
        <v>4</v>
      </c>
      <c r="F2764" s="74">
        <v>3</v>
      </c>
      <c r="G2764" s="758">
        <f t="shared" si="172"/>
        <v>0.12</v>
      </c>
      <c r="H2764" s="759">
        <f t="shared" si="173"/>
        <v>0.22</v>
      </c>
      <c r="I2764" s="758">
        <f t="shared" si="174"/>
        <v>0.63</v>
      </c>
      <c r="J2764" s="760">
        <f t="shared" si="175"/>
        <v>0.84</v>
      </c>
    </row>
    <row r="2765" spans="1:10">
      <c r="A2765" s="74" t="s">
        <v>859</v>
      </c>
      <c r="B2765" s="74" t="s">
        <v>268</v>
      </c>
      <c r="C2765" s="74" t="s">
        <v>1507</v>
      </c>
      <c r="D2765" s="74" t="s">
        <v>86</v>
      </c>
      <c r="E2765" s="74">
        <v>5</v>
      </c>
      <c r="F2765" s="74">
        <v>3.75</v>
      </c>
      <c r="G2765" s="758">
        <f t="shared" si="172"/>
        <v>0.12</v>
      </c>
      <c r="H2765" s="759">
        <f t="shared" si="173"/>
        <v>0.22</v>
      </c>
      <c r="I2765" s="758">
        <f t="shared" si="174"/>
        <v>0.63</v>
      </c>
      <c r="J2765" s="760">
        <f t="shared" si="175"/>
        <v>0.84</v>
      </c>
    </row>
    <row r="2766" spans="1:10">
      <c r="A2766" s="74" t="s">
        <v>859</v>
      </c>
      <c r="B2766" s="74" t="s">
        <v>268</v>
      </c>
      <c r="C2766" s="74" t="s">
        <v>1644</v>
      </c>
      <c r="D2766" s="74" t="s">
        <v>86</v>
      </c>
      <c r="E2766" s="74">
        <v>3</v>
      </c>
      <c r="F2766" s="74">
        <v>2.25</v>
      </c>
      <c r="G2766" s="758">
        <f t="shared" si="172"/>
        <v>0.12</v>
      </c>
      <c r="H2766" s="759">
        <f t="shared" si="173"/>
        <v>0.22</v>
      </c>
      <c r="I2766" s="758">
        <f t="shared" si="174"/>
        <v>0.63</v>
      </c>
      <c r="J2766" s="760">
        <f t="shared" si="175"/>
        <v>0.84</v>
      </c>
    </row>
    <row r="2767" spans="1:10">
      <c r="A2767" s="74" t="s">
        <v>859</v>
      </c>
      <c r="B2767" s="74" t="s">
        <v>268</v>
      </c>
      <c r="C2767" s="74" t="s">
        <v>1578</v>
      </c>
      <c r="D2767" s="74" t="s">
        <v>86</v>
      </c>
      <c r="E2767" s="74">
        <v>9</v>
      </c>
      <c r="F2767" s="74">
        <v>6.75</v>
      </c>
      <c r="G2767" s="758">
        <f t="shared" si="172"/>
        <v>0.12</v>
      </c>
      <c r="H2767" s="759">
        <f t="shared" si="173"/>
        <v>0.22</v>
      </c>
      <c r="I2767" s="758">
        <f t="shared" si="174"/>
        <v>0.63</v>
      </c>
      <c r="J2767" s="760">
        <f t="shared" si="175"/>
        <v>0.84</v>
      </c>
    </row>
    <row r="2768" spans="1:10">
      <c r="A2768" s="74" t="s">
        <v>859</v>
      </c>
      <c r="B2768" s="74" t="s">
        <v>268</v>
      </c>
      <c r="C2768" s="74" t="s">
        <v>1646</v>
      </c>
      <c r="D2768" s="74" t="s">
        <v>86</v>
      </c>
      <c r="E2768" s="74">
        <v>6</v>
      </c>
      <c r="F2768" s="74">
        <v>4.5</v>
      </c>
      <c r="G2768" s="758">
        <f t="shared" si="172"/>
        <v>0.12</v>
      </c>
      <c r="H2768" s="759">
        <f t="shared" si="173"/>
        <v>0.22</v>
      </c>
      <c r="I2768" s="758">
        <f t="shared" si="174"/>
        <v>0.63</v>
      </c>
      <c r="J2768" s="760">
        <f t="shared" si="175"/>
        <v>0.84</v>
      </c>
    </row>
    <row r="2769" spans="1:10">
      <c r="A2769" s="74" t="s">
        <v>859</v>
      </c>
      <c r="B2769" s="74" t="s">
        <v>268</v>
      </c>
      <c r="C2769" s="74" t="s">
        <v>1541</v>
      </c>
      <c r="D2769" s="74" t="s">
        <v>86</v>
      </c>
      <c r="E2769" s="74">
        <v>4</v>
      </c>
      <c r="F2769" s="74">
        <v>3</v>
      </c>
      <c r="G2769" s="758">
        <f t="shared" si="172"/>
        <v>0.12</v>
      </c>
      <c r="H2769" s="759">
        <f t="shared" si="173"/>
        <v>0.22</v>
      </c>
      <c r="I2769" s="758">
        <f t="shared" si="174"/>
        <v>0.63</v>
      </c>
      <c r="J2769" s="760">
        <f t="shared" si="175"/>
        <v>0.84</v>
      </c>
    </row>
    <row r="2770" spans="1:10">
      <c r="A2770" s="74" t="s">
        <v>859</v>
      </c>
      <c r="B2770" s="74" t="s">
        <v>268</v>
      </c>
      <c r="C2770" s="74" t="s">
        <v>1543</v>
      </c>
      <c r="D2770" s="74" t="s">
        <v>87</v>
      </c>
      <c r="E2770" s="74">
        <v>5</v>
      </c>
      <c r="F2770" s="74">
        <v>3.75</v>
      </c>
      <c r="G2770" s="758">
        <f t="shared" si="172"/>
        <v>0.12</v>
      </c>
      <c r="H2770" s="759">
        <f t="shared" si="173"/>
        <v>0.22</v>
      </c>
      <c r="I2770" s="758">
        <f t="shared" si="174"/>
        <v>0.63</v>
      </c>
      <c r="J2770" s="760">
        <f t="shared" si="175"/>
        <v>0.84</v>
      </c>
    </row>
    <row r="2771" spans="1:10">
      <c r="A2771" s="74" t="s">
        <v>859</v>
      </c>
      <c r="B2771" s="74" t="s">
        <v>268</v>
      </c>
      <c r="C2771" s="74" t="s">
        <v>1544</v>
      </c>
      <c r="D2771" s="74" t="s">
        <v>87</v>
      </c>
      <c r="E2771" s="74">
        <v>6</v>
      </c>
      <c r="F2771" s="74">
        <v>4.5</v>
      </c>
      <c r="G2771" s="758">
        <f t="shared" si="172"/>
        <v>0.12</v>
      </c>
      <c r="H2771" s="759">
        <f t="shared" si="173"/>
        <v>0.22</v>
      </c>
      <c r="I2771" s="758">
        <f t="shared" si="174"/>
        <v>0.63</v>
      </c>
      <c r="J2771" s="760">
        <f t="shared" si="175"/>
        <v>0.84</v>
      </c>
    </row>
    <row r="2772" spans="1:10">
      <c r="A2772" s="74" t="s">
        <v>859</v>
      </c>
      <c r="B2772" s="74" t="s">
        <v>268</v>
      </c>
      <c r="C2772" s="74" t="s">
        <v>1605</v>
      </c>
      <c r="D2772" s="74" t="s">
        <v>87</v>
      </c>
      <c r="E2772" s="74">
        <v>7</v>
      </c>
      <c r="F2772" s="74">
        <v>5.25</v>
      </c>
      <c r="G2772" s="758">
        <f t="shared" si="172"/>
        <v>0.12</v>
      </c>
      <c r="H2772" s="759">
        <f t="shared" si="173"/>
        <v>0.22</v>
      </c>
      <c r="I2772" s="758">
        <f t="shared" si="174"/>
        <v>0.63</v>
      </c>
      <c r="J2772" s="760">
        <f t="shared" si="175"/>
        <v>0.84</v>
      </c>
    </row>
    <row r="2773" spans="1:10">
      <c r="A2773" s="74" t="s">
        <v>859</v>
      </c>
      <c r="B2773" s="74" t="s">
        <v>268</v>
      </c>
      <c r="C2773" s="74" t="s">
        <v>1561</v>
      </c>
      <c r="D2773" s="74" t="s">
        <v>87</v>
      </c>
      <c r="E2773" s="74">
        <v>1</v>
      </c>
      <c r="F2773" s="74">
        <v>0.75</v>
      </c>
      <c r="G2773" s="758">
        <f t="shared" si="172"/>
        <v>0.12</v>
      </c>
      <c r="H2773" s="759">
        <f t="shared" si="173"/>
        <v>0.22</v>
      </c>
      <c r="I2773" s="758">
        <f t="shared" si="174"/>
        <v>0.63</v>
      </c>
      <c r="J2773" s="760">
        <f t="shared" si="175"/>
        <v>0.84</v>
      </c>
    </row>
    <row r="2774" spans="1:10">
      <c r="A2774" s="74" t="s">
        <v>859</v>
      </c>
      <c r="B2774" s="74" t="s">
        <v>268</v>
      </c>
      <c r="C2774" s="74" t="s">
        <v>1608</v>
      </c>
      <c r="D2774" s="74" t="s">
        <v>89</v>
      </c>
      <c r="E2774" s="74">
        <v>7</v>
      </c>
      <c r="F2774" s="74">
        <v>5.25</v>
      </c>
      <c r="G2774" s="758">
        <f t="shared" si="172"/>
        <v>0.12</v>
      </c>
      <c r="H2774" s="759">
        <f t="shared" si="173"/>
        <v>0.22</v>
      </c>
      <c r="I2774" s="758">
        <f t="shared" si="174"/>
        <v>0.63</v>
      </c>
      <c r="J2774" s="760">
        <f t="shared" si="175"/>
        <v>0.84</v>
      </c>
    </row>
    <row r="2775" spans="1:10">
      <c r="A2775" s="74" t="s">
        <v>859</v>
      </c>
      <c r="B2775" s="74" t="s">
        <v>268</v>
      </c>
      <c r="C2775" s="74" t="s">
        <v>1610</v>
      </c>
      <c r="D2775" s="74" t="s">
        <v>89</v>
      </c>
      <c r="E2775" s="74">
        <v>4</v>
      </c>
      <c r="F2775" s="74">
        <v>3</v>
      </c>
      <c r="G2775" s="758">
        <f t="shared" si="172"/>
        <v>0.12</v>
      </c>
      <c r="H2775" s="759">
        <f t="shared" si="173"/>
        <v>0.22</v>
      </c>
      <c r="I2775" s="758">
        <f t="shared" si="174"/>
        <v>0.63</v>
      </c>
      <c r="J2775" s="760">
        <f t="shared" si="175"/>
        <v>0.84</v>
      </c>
    </row>
    <row r="2776" spans="1:10">
      <c r="A2776" s="74" t="s">
        <v>859</v>
      </c>
      <c r="B2776" s="74" t="s">
        <v>268</v>
      </c>
      <c r="C2776" s="74" t="s">
        <v>1546</v>
      </c>
      <c r="D2776" s="74" t="s">
        <v>89</v>
      </c>
      <c r="E2776" s="74">
        <v>7</v>
      </c>
      <c r="F2776" s="74">
        <v>5.25</v>
      </c>
      <c r="G2776" s="758">
        <f t="shared" si="172"/>
        <v>0.12</v>
      </c>
      <c r="H2776" s="759">
        <f t="shared" si="173"/>
        <v>0.22</v>
      </c>
      <c r="I2776" s="758">
        <f t="shared" si="174"/>
        <v>0.63</v>
      </c>
      <c r="J2776" s="760">
        <f t="shared" si="175"/>
        <v>0.84</v>
      </c>
    </row>
    <row r="2777" spans="1:10">
      <c r="A2777" s="74" t="s">
        <v>859</v>
      </c>
      <c r="B2777" s="74" t="s">
        <v>268</v>
      </c>
      <c r="C2777" s="74" t="s">
        <v>1547</v>
      </c>
      <c r="D2777" s="74" t="s">
        <v>89</v>
      </c>
      <c r="E2777" s="74">
        <v>8</v>
      </c>
      <c r="F2777" s="74">
        <v>6</v>
      </c>
      <c r="G2777" s="758">
        <f t="shared" si="172"/>
        <v>0.12</v>
      </c>
      <c r="H2777" s="759">
        <f t="shared" si="173"/>
        <v>0.22</v>
      </c>
      <c r="I2777" s="758">
        <f t="shared" si="174"/>
        <v>0.63</v>
      </c>
      <c r="J2777" s="760">
        <f t="shared" si="175"/>
        <v>0.84</v>
      </c>
    </row>
    <row r="2778" spans="1:10">
      <c r="A2778" s="74" t="s">
        <v>859</v>
      </c>
      <c r="B2778" s="74" t="s">
        <v>268</v>
      </c>
      <c r="C2778" s="74" t="s">
        <v>1582</v>
      </c>
      <c r="D2778" s="74" t="s">
        <v>89</v>
      </c>
      <c r="E2778" s="74">
        <v>3</v>
      </c>
      <c r="F2778" s="74">
        <v>2.25</v>
      </c>
      <c r="G2778" s="758">
        <f t="shared" si="172"/>
        <v>0.12</v>
      </c>
      <c r="H2778" s="759">
        <f t="shared" si="173"/>
        <v>0.22</v>
      </c>
      <c r="I2778" s="758">
        <f t="shared" si="174"/>
        <v>0.63</v>
      </c>
      <c r="J2778" s="760">
        <f t="shared" si="175"/>
        <v>0.84</v>
      </c>
    </row>
    <row r="2779" spans="1:10">
      <c r="A2779" s="74" t="s">
        <v>859</v>
      </c>
      <c r="B2779" s="74" t="s">
        <v>268</v>
      </c>
      <c r="C2779" s="74" t="s">
        <v>1522</v>
      </c>
      <c r="D2779" s="74" t="s">
        <v>91</v>
      </c>
      <c r="E2779" s="74">
        <v>12</v>
      </c>
      <c r="F2779" s="74">
        <v>9</v>
      </c>
      <c r="G2779" s="758">
        <f t="shared" si="172"/>
        <v>0.12</v>
      </c>
      <c r="H2779" s="759">
        <f t="shared" si="173"/>
        <v>0.22</v>
      </c>
      <c r="I2779" s="758">
        <f t="shared" si="174"/>
        <v>0.63</v>
      </c>
      <c r="J2779" s="760">
        <f t="shared" si="175"/>
        <v>0.84</v>
      </c>
    </row>
    <row r="2780" spans="1:10">
      <c r="A2780" s="74" t="s">
        <v>859</v>
      </c>
      <c r="B2780" s="74" t="s">
        <v>268</v>
      </c>
      <c r="C2780" s="74" t="s">
        <v>1550</v>
      </c>
      <c r="D2780" s="74" t="s">
        <v>91</v>
      </c>
      <c r="E2780" s="74">
        <v>9</v>
      </c>
      <c r="F2780" s="74">
        <v>6.75</v>
      </c>
      <c r="G2780" s="758">
        <f t="shared" si="172"/>
        <v>0.12</v>
      </c>
      <c r="H2780" s="759">
        <f t="shared" si="173"/>
        <v>0.22</v>
      </c>
      <c r="I2780" s="758">
        <f t="shared" si="174"/>
        <v>0.63</v>
      </c>
      <c r="J2780" s="760">
        <f t="shared" si="175"/>
        <v>0.84</v>
      </c>
    </row>
    <row r="2781" spans="1:10">
      <c r="A2781" s="74" t="s">
        <v>859</v>
      </c>
      <c r="B2781" s="74" t="s">
        <v>268</v>
      </c>
      <c r="C2781" s="74" t="s">
        <v>1675</v>
      </c>
      <c r="D2781" s="74" t="s">
        <v>91</v>
      </c>
      <c r="E2781" s="74">
        <v>4</v>
      </c>
      <c r="F2781" s="74">
        <v>3.2</v>
      </c>
      <c r="G2781" s="758">
        <f t="shared" si="172"/>
        <v>0.12</v>
      </c>
      <c r="H2781" s="759">
        <f t="shared" si="173"/>
        <v>0.22</v>
      </c>
      <c r="I2781" s="758">
        <f t="shared" si="174"/>
        <v>0.68</v>
      </c>
      <c r="J2781" s="760">
        <f t="shared" si="175"/>
        <v>0.85</v>
      </c>
    </row>
    <row r="2782" spans="1:10">
      <c r="A2782" s="74" t="s">
        <v>859</v>
      </c>
      <c r="B2782" s="74" t="s">
        <v>268</v>
      </c>
      <c r="C2782" s="74" t="s">
        <v>1524</v>
      </c>
      <c r="D2782" s="74" t="s">
        <v>91</v>
      </c>
      <c r="E2782" s="74">
        <v>3</v>
      </c>
      <c r="F2782" s="74">
        <v>2.25</v>
      </c>
      <c r="G2782" s="758">
        <f t="shared" si="172"/>
        <v>0.12</v>
      </c>
      <c r="H2782" s="759">
        <f t="shared" si="173"/>
        <v>0.22</v>
      </c>
      <c r="I2782" s="758">
        <f t="shared" si="174"/>
        <v>0.63</v>
      </c>
      <c r="J2782" s="760">
        <f t="shared" si="175"/>
        <v>0.84</v>
      </c>
    </row>
    <row r="2783" spans="1:10">
      <c r="A2783" s="74" t="s">
        <v>859</v>
      </c>
      <c r="B2783" s="74" t="s">
        <v>268</v>
      </c>
      <c r="C2783" s="74" t="s">
        <v>1584</v>
      </c>
      <c r="D2783" s="74" t="s">
        <v>92</v>
      </c>
      <c r="E2783" s="74">
        <v>9</v>
      </c>
      <c r="F2783" s="74">
        <v>6.75</v>
      </c>
      <c r="G2783" s="758">
        <f t="shared" si="172"/>
        <v>0.12</v>
      </c>
      <c r="H2783" s="759">
        <f t="shared" si="173"/>
        <v>0.22</v>
      </c>
      <c r="I2783" s="758">
        <f t="shared" si="174"/>
        <v>0.63</v>
      </c>
      <c r="J2783" s="760">
        <f t="shared" si="175"/>
        <v>0.84</v>
      </c>
    </row>
    <row r="2784" spans="1:10">
      <c r="A2784" s="74" t="s">
        <v>859</v>
      </c>
      <c r="B2784" s="74" t="s">
        <v>268</v>
      </c>
      <c r="C2784" s="74" t="s">
        <v>1614</v>
      </c>
      <c r="D2784" s="74" t="s">
        <v>92</v>
      </c>
      <c r="E2784" s="74">
        <v>14</v>
      </c>
      <c r="F2784" s="74">
        <v>10.7</v>
      </c>
      <c r="G2784" s="758">
        <f t="shared" si="172"/>
        <v>0.12</v>
      </c>
      <c r="H2784" s="759">
        <f t="shared" si="173"/>
        <v>0.22</v>
      </c>
      <c r="I2784" s="758">
        <f t="shared" si="174"/>
        <v>0.64428571428571424</v>
      </c>
      <c r="J2784" s="760">
        <f t="shared" si="175"/>
        <v>0.84299065420560748</v>
      </c>
    </row>
    <row r="2785" spans="1:10">
      <c r="A2785" s="74" t="s">
        <v>859</v>
      </c>
      <c r="B2785" s="74" t="s">
        <v>268</v>
      </c>
      <c r="C2785" s="74" t="s">
        <v>1631</v>
      </c>
      <c r="D2785" s="74" t="s">
        <v>92</v>
      </c>
      <c r="E2785" s="74">
        <v>14</v>
      </c>
      <c r="F2785" s="74">
        <v>10.5</v>
      </c>
      <c r="G2785" s="758">
        <f t="shared" si="172"/>
        <v>0.12</v>
      </c>
      <c r="H2785" s="759">
        <f t="shared" si="173"/>
        <v>0.22</v>
      </c>
      <c r="I2785" s="758">
        <f t="shared" si="174"/>
        <v>0.63</v>
      </c>
      <c r="J2785" s="760">
        <f t="shared" si="175"/>
        <v>0.84</v>
      </c>
    </row>
    <row r="2786" spans="1:10">
      <c r="A2786" s="74" t="s">
        <v>859</v>
      </c>
      <c r="B2786" s="74" t="s">
        <v>268</v>
      </c>
      <c r="C2786" s="74" t="s">
        <v>1552</v>
      </c>
      <c r="D2786" s="74" t="s">
        <v>92</v>
      </c>
      <c r="E2786" s="74">
        <v>3</v>
      </c>
      <c r="F2786" s="74">
        <v>2.25</v>
      </c>
      <c r="G2786" s="758">
        <f t="shared" si="172"/>
        <v>0.12</v>
      </c>
      <c r="H2786" s="759">
        <f t="shared" si="173"/>
        <v>0.22</v>
      </c>
      <c r="I2786" s="758">
        <f t="shared" si="174"/>
        <v>0.63</v>
      </c>
      <c r="J2786" s="760">
        <f t="shared" si="175"/>
        <v>0.84</v>
      </c>
    </row>
    <row r="2787" spans="1:10">
      <c r="A2787" s="74" t="s">
        <v>859</v>
      </c>
      <c r="B2787" s="74" t="s">
        <v>268</v>
      </c>
      <c r="C2787" s="74" t="s">
        <v>1617</v>
      </c>
      <c r="D2787" s="74" t="s">
        <v>94</v>
      </c>
      <c r="E2787" s="74">
        <v>6</v>
      </c>
      <c r="F2787" s="74">
        <v>5.25</v>
      </c>
      <c r="G2787" s="758">
        <f t="shared" si="172"/>
        <v>0.12</v>
      </c>
      <c r="H2787" s="759">
        <f t="shared" si="173"/>
        <v>0.22</v>
      </c>
      <c r="I2787" s="758">
        <f t="shared" si="174"/>
        <v>0.755</v>
      </c>
      <c r="J2787" s="760">
        <f t="shared" si="175"/>
        <v>0.86285714285714288</v>
      </c>
    </row>
    <row r="2788" spans="1:10">
      <c r="A2788" s="74" t="s">
        <v>859</v>
      </c>
      <c r="B2788" s="74" t="s">
        <v>268</v>
      </c>
      <c r="C2788" s="74" t="s">
        <v>1553</v>
      </c>
      <c r="D2788" s="74" t="s">
        <v>94</v>
      </c>
      <c r="E2788" s="74">
        <v>2</v>
      </c>
      <c r="F2788" s="74">
        <v>1.5</v>
      </c>
      <c r="G2788" s="758">
        <f t="shared" si="172"/>
        <v>0.12</v>
      </c>
      <c r="H2788" s="759">
        <f t="shared" si="173"/>
        <v>0.22</v>
      </c>
      <c r="I2788" s="758">
        <f t="shared" si="174"/>
        <v>0.63</v>
      </c>
      <c r="J2788" s="760">
        <f t="shared" si="175"/>
        <v>0.84</v>
      </c>
    </row>
    <row r="2789" spans="1:10">
      <c r="A2789" s="74" t="s">
        <v>859</v>
      </c>
      <c r="B2789" s="74" t="s">
        <v>268</v>
      </c>
      <c r="C2789" s="74" t="s">
        <v>1555</v>
      </c>
      <c r="D2789" s="74" t="s">
        <v>94</v>
      </c>
      <c r="E2789" s="74">
        <v>5</v>
      </c>
      <c r="F2789" s="74">
        <v>3.75</v>
      </c>
      <c r="G2789" s="758">
        <f t="shared" si="172"/>
        <v>0.12</v>
      </c>
      <c r="H2789" s="759">
        <f t="shared" si="173"/>
        <v>0.22</v>
      </c>
      <c r="I2789" s="758">
        <f t="shared" si="174"/>
        <v>0.63</v>
      </c>
      <c r="J2789" s="760">
        <f t="shared" si="175"/>
        <v>0.84</v>
      </c>
    </row>
    <row r="2790" spans="1:10">
      <c r="A2790" s="74" t="s">
        <v>859</v>
      </c>
      <c r="B2790" s="74" t="s">
        <v>268</v>
      </c>
      <c r="C2790" s="74" t="s">
        <v>1557</v>
      </c>
      <c r="D2790" s="74" t="s">
        <v>95</v>
      </c>
      <c r="E2790" s="74">
        <v>9</v>
      </c>
      <c r="F2790" s="74">
        <v>6.75</v>
      </c>
      <c r="G2790" s="758">
        <f t="shared" si="172"/>
        <v>0.12</v>
      </c>
      <c r="H2790" s="759">
        <f t="shared" si="173"/>
        <v>0.22</v>
      </c>
      <c r="I2790" s="758">
        <f t="shared" si="174"/>
        <v>0.63</v>
      </c>
      <c r="J2790" s="760">
        <f t="shared" si="175"/>
        <v>0.84</v>
      </c>
    </row>
    <row r="2791" spans="1:10">
      <c r="A2791" s="74" t="s">
        <v>859</v>
      </c>
      <c r="B2791" s="74" t="s">
        <v>268</v>
      </c>
      <c r="C2791" s="74" t="s">
        <v>1526</v>
      </c>
      <c r="D2791" s="74" t="s">
        <v>95</v>
      </c>
      <c r="E2791" s="74">
        <v>8</v>
      </c>
      <c r="F2791" s="74">
        <v>6</v>
      </c>
      <c r="G2791" s="758">
        <f t="shared" si="172"/>
        <v>0.12</v>
      </c>
      <c r="H2791" s="759">
        <f t="shared" si="173"/>
        <v>0.22</v>
      </c>
      <c r="I2791" s="758">
        <f t="shared" si="174"/>
        <v>0.63</v>
      </c>
      <c r="J2791" s="760">
        <f t="shared" si="175"/>
        <v>0.84</v>
      </c>
    </row>
    <row r="2792" spans="1:10">
      <c r="A2792" s="74" t="s">
        <v>859</v>
      </c>
      <c r="B2792" s="74" t="s">
        <v>268</v>
      </c>
      <c r="C2792" s="74" t="s">
        <v>1930</v>
      </c>
      <c r="D2792" s="74" t="s">
        <v>95</v>
      </c>
      <c r="E2792" s="74">
        <v>4</v>
      </c>
      <c r="F2792" s="74">
        <v>3</v>
      </c>
      <c r="G2792" s="758">
        <f t="shared" si="172"/>
        <v>0.12</v>
      </c>
      <c r="H2792" s="759">
        <f t="shared" si="173"/>
        <v>0.22</v>
      </c>
      <c r="I2792" s="758">
        <f t="shared" si="174"/>
        <v>0.63</v>
      </c>
      <c r="J2792" s="760">
        <f t="shared" si="175"/>
        <v>0.84</v>
      </c>
    </row>
    <row r="2793" spans="1:10">
      <c r="A2793" s="74" t="s">
        <v>1816</v>
      </c>
      <c r="B2793" s="74" t="s">
        <v>268</v>
      </c>
      <c r="C2793" s="74" t="s">
        <v>1577</v>
      </c>
      <c r="D2793" s="74" t="s">
        <v>84</v>
      </c>
      <c r="E2793" s="74">
        <v>2</v>
      </c>
      <c r="F2793" s="74">
        <v>1.3</v>
      </c>
      <c r="G2793" s="758">
        <f t="shared" si="172"/>
        <v>0</v>
      </c>
      <c r="H2793" s="759">
        <f t="shared" si="173"/>
        <v>0</v>
      </c>
      <c r="I2793" s="758">
        <f t="shared" si="174"/>
        <v>0.65</v>
      </c>
      <c r="J2793" s="760">
        <f t="shared" si="175"/>
        <v>1</v>
      </c>
    </row>
    <row r="2794" spans="1:10">
      <c r="A2794" s="74" t="s">
        <v>1816</v>
      </c>
      <c r="B2794" s="74" t="s">
        <v>268</v>
      </c>
      <c r="C2794" s="74" t="s">
        <v>1578</v>
      </c>
      <c r="D2794" s="74" t="s">
        <v>86</v>
      </c>
      <c r="E2794" s="74">
        <v>2</v>
      </c>
      <c r="F2794" s="74">
        <v>1.3</v>
      </c>
      <c r="G2794" s="758">
        <f t="shared" si="172"/>
        <v>0</v>
      </c>
      <c r="H2794" s="759">
        <f t="shared" si="173"/>
        <v>0</v>
      </c>
      <c r="I2794" s="758">
        <f t="shared" si="174"/>
        <v>0.65</v>
      </c>
      <c r="J2794" s="760">
        <f t="shared" si="175"/>
        <v>1</v>
      </c>
    </row>
    <row r="2795" spans="1:10">
      <c r="A2795" s="74" t="s">
        <v>1817</v>
      </c>
      <c r="B2795" s="74" t="s">
        <v>268</v>
      </c>
      <c r="C2795" s="74" t="s">
        <v>1631</v>
      </c>
      <c r="D2795" s="74" t="s">
        <v>92</v>
      </c>
      <c r="E2795" s="74">
        <v>1</v>
      </c>
      <c r="F2795" s="74">
        <v>0.75</v>
      </c>
      <c r="G2795" s="758">
        <f t="shared" si="172"/>
        <v>0</v>
      </c>
      <c r="H2795" s="759">
        <f t="shared" si="173"/>
        <v>0</v>
      </c>
      <c r="I2795" s="758">
        <f t="shared" si="174"/>
        <v>0.75</v>
      </c>
      <c r="J2795" s="760">
        <f t="shared" si="175"/>
        <v>1</v>
      </c>
    </row>
    <row r="2796" spans="1:10">
      <c r="A2796" s="74" t="s">
        <v>858</v>
      </c>
      <c r="B2796" s="74" t="s">
        <v>268</v>
      </c>
      <c r="C2796" s="74" t="s">
        <v>1528</v>
      </c>
      <c r="D2796" s="74" t="s">
        <v>78</v>
      </c>
      <c r="E2796" s="74">
        <v>21</v>
      </c>
      <c r="F2796" s="74">
        <v>12.6</v>
      </c>
      <c r="G2796" s="758">
        <f t="shared" si="172"/>
        <v>0.13</v>
      </c>
      <c r="H2796" s="759">
        <f t="shared" si="173"/>
        <v>0.41</v>
      </c>
      <c r="I2796" s="758">
        <f t="shared" si="174"/>
        <v>0.47</v>
      </c>
      <c r="J2796" s="760">
        <f t="shared" si="175"/>
        <v>0.78333333333333333</v>
      </c>
    </row>
    <row r="2797" spans="1:10">
      <c r="A2797" s="74" t="s">
        <v>858</v>
      </c>
      <c r="B2797" s="74" t="s">
        <v>268</v>
      </c>
      <c r="C2797" s="74" t="s">
        <v>1508</v>
      </c>
      <c r="D2797" s="74" t="s">
        <v>78</v>
      </c>
      <c r="E2797" s="74">
        <v>36</v>
      </c>
      <c r="F2797" s="74">
        <v>21.6</v>
      </c>
      <c r="G2797" s="758">
        <f t="shared" si="172"/>
        <v>0.13</v>
      </c>
      <c r="H2797" s="759">
        <f t="shared" si="173"/>
        <v>0.41</v>
      </c>
      <c r="I2797" s="758">
        <f t="shared" si="174"/>
        <v>0.47000000000000008</v>
      </c>
      <c r="J2797" s="760">
        <f t="shared" si="175"/>
        <v>0.78333333333333333</v>
      </c>
    </row>
    <row r="2798" spans="1:10">
      <c r="A2798" s="74" t="s">
        <v>858</v>
      </c>
      <c r="B2798" s="74" t="s">
        <v>268</v>
      </c>
      <c r="C2798" s="74" t="s">
        <v>1509</v>
      </c>
      <c r="D2798" s="74" t="s">
        <v>78</v>
      </c>
      <c r="E2798" s="74">
        <v>9</v>
      </c>
      <c r="F2798" s="74">
        <v>5.7</v>
      </c>
      <c r="G2798" s="758">
        <f t="shared" si="172"/>
        <v>0.13</v>
      </c>
      <c r="H2798" s="759">
        <f t="shared" si="173"/>
        <v>0.41</v>
      </c>
      <c r="I2798" s="758">
        <f t="shared" si="174"/>
        <v>0.5033333333333333</v>
      </c>
      <c r="J2798" s="760">
        <f t="shared" si="175"/>
        <v>0.79473684210526319</v>
      </c>
    </row>
    <row r="2799" spans="1:10">
      <c r="A2799" s="74" t="s">
        <v>858</v>
      </c>
      <c r="B2799" s="74" t="s">
        <v>268</v>
      </c>
      <c r="C2799" s="74" t="s">
        <v>1565</v>
      </c>
      <c r="D2799" s="74" t="s">
        <v>78</v>
      </c>
      <c r="E2799" s="74">
        <v>22</v>
      </c>
      <c r="F2799" s="74">
        <v>14.3</v>
      </c>
      <c r="G2799" s="758">
        <f t="shared" si="172"/>
        <v>0.13</v>
      </c>
      <c r="H2799" s="759">
        <f t="shared" si="173"/>
        <v>0.41</v>
      </c>
      <c r="I2799" s="758">
        <f t="shared" si="174"/>
        <v>0.52</v>
      </c>
      <c r="J2799" s="760">
        <f t="shared" si="175"/>
        <v>0.8</v>
      </c>
    </row>
    <row r="2800" spans="1:10">
      <c r="A2800" s="74" t="s">
        <v>858</v>
      </c>
      <c r="B2800" s="74" t="s">
        <v>268</v>
      </c>
      <c r="C2800" s="74" t="s">
        <v>1530</v>
      </c>
      <c r="D2800" s="74" t="s">
        <v>80</v>
      </c>
      <c r="E2800" s="74">
        <v>10</v>
      </c>
      <c r="F2800" s="74">
        <v>6.5</v>
      </c>
      <c r="G2800" s="758">
        <f t="shared" si="172"/>
        <v>0.13</v>
      </c>
      <c r="H2800" s="759">
        <f t="shared" si="173"/>
        <v>0.41</v>
      </c>
      <c r="I2800" s="758">
        <f t="shared" si="174"/>
        <v>0.52</v>
      </c>
      <c r="J2800" s="760">
        <f t="shared" si="175"/>
        <v>0.8</v>
      </c>
    </row>
    <row r="2801" spans="1:10">
      <c r="A2801" s="74" t="s">
        <v>858</v>
      </c>
      <c r="B2801" s="74" t="s">
        <v>268</v>
      </c>
      <c r="C2801" s="74" t="s">
        <v>1532</v>
      </c>
      <c r="D2801" s="74" t="s">
        <v>80</v>
      </c>
      <c r="E2801" s="74">
        <v>19</v>
      </c>
      <c r="F2801" s="74">
        <v>12.3</v>
      </c>
      <c r="G2801" s="758">
        <f t="shared" si="172"/>
        <v>0.13</v>
      </c>
      <c r="H2801" s="759">
        <f t="shared" si="173"/>
        <v>0.41</v>
      </c>
      <c r="I2801" s="758">
        <f t="shared" si="174"/>
        <v>0.51736842105263159</v>
      </c>
      <c r="J2801" s="760">
        <f t="shared" si="175"/>
        <v>0.79918699186991871</v>
      </c>
    </row>
    <row r="2802" spans="1:10">
      <c r="A2802" s="74" t="s">
        <v>858</v>
      </c>
      <c r="B2802" s="74" t="s">
        <v>268</v>
      </c>
      <c r="C2802" s="74" t="s">
        <v>1511</v>
      </c>
      <c r="D2802" s="74" t="s">
        <v>80</v>
      </c>
      <c r="E2802" s="74">
        <v>13</v>
      </c>
      <c r="F2802" s="74">
        <v>8.4499999999999993</v>
      </c>
      <c r="G2802" s="758">
        <f t="shared" si="172"/>
        <v>0.13</v>
      </c>
      <c r="H2802" s="759">
        <f t="shared" si="173"/>
        <v>0.41</v>
      </c>
      <c r="I2802" s="758">
        <f t="shared" si="174"/>
        <v>0.51999999999999991</v>
      </c>
      <c r="J2802" s="760">
        <f t="shared" si="175"/>
        <v>0.8</v>
      </c>
    </row>
    <row r="2803" spans="1:10">
      <c r="A2803" s="74" t="s">
        <v>858</v>
      </c>
      <c r="B2803" s="74" t="s">
        <v>268</v>
      </c>
      <c r="C2803" s="74" t="s">
        <v>1512</v>
      </c>
      <c r="D2803" s="74" t="s">
        <v>80</v>
      </c>
      <c r="E2803" s="74">
        <v>25</v>
      </c>
      <c r="F2803" s="74">
        <v>16.7</v>
      </c>
      <c r="G2803" s="758">
        <f t="shared" si="172"/>
        <v>0.13</v>
      </c>
      <c r="H2803" s="759">
        <f t="shared" si="173"/>
        <v>0.41</v>
      </c>
      <c r="I2803" s="758">
        <f t="shared" si="174"/>
        <v>0.53799999999999992</v>
      </c>
      <c r="J2803" s="760">
        <f t="shared" si="175"/>
        <v>0.80538922155688619</v>
      </c>
    </row>
    <row r="2804" spans="1:10">
      <c r="A2804" s="74" t="s">
        <v>858</v>
      </c>
      <c r="B2804" s="74" t="s">
        <v>268</v>
      </c>
      <c r="C2804" s="74" t="s">
        <v>1534</v>
      </c>
      <c r="D2804" s="74" t="s">
        <v>81</v>
      </c>
      <c r="E2804" s="74">
        <v>21</v>
      </c>
      <c r="F2804" s="74">
        <v>13.65</v>
      </c>
      <c r="G2804" s="758">
        <f t="shared" si="172"/>
        <v>0.13</v>
      </c>
      <c r="H2804" s="759">
        <f t="shared" si="173"/>
        <v>0.41</v>
      </c>
      <c r="I2804" s="758">
        <f t="shared" si="174"/>
        <v>0.52</v>
      </c>
      <c r="J2804" s="760">
        <f t="shared" si="175"/>
        <v>0.8</v>
      </c>
    </row>
    <row r="2805" spans="1:10">
      <c r="A2805" s="74" t="s">
        <v>858</v>
      </c>
      <c r="B2805" s="74" t="s">
        <v>268</v>
      </c>
      <c r="C2805" s="74" t="s">
        <v>1513</v>
      </c>
      <c r="D2805" s="74" t="s">
        <v>81</v>
      </c>
      <c r="E2805" s="74">
        <v>12</v>
      </c>
      <c r="F2805" s="74">
        <v>9.1</v>
      </c>
      <c r="G2805" s="758">
        <f t="shared" si="172"/>
        <v>0.13</v>
      </c>
      <c r="H2805" s="759">
        <f t="shared" si="173"/>
        <v>0.41</v>
      </c>
      <c r="I2805" s="758">
        <f t="shared" si="174"/>
        <v>0.6283333333333333</v>
      </c>
      <c r="J2805" s="760">
        <f t="shared" si="175"/>
        <v>0.82857142857142851</v>
      </c>
    </row>
    <row r="2806" spans="1:10">
      <c r="A2806" s="74" t="s">
        <v>858</v>
      </c>
      <c r="B2806" s="74" t="s">
        <v>268</v>
      </c>
      <c r="C2806" s="74" t="s">
        <v>1514</v>
      </c>
      <c r="D2806" s="74" t="s">
        <v>81</v>
      </c>
      <c r="E2806" s="74">
        <v>17</v>
      </c>
      <c r="F2806" s="74">
        <v>11.05</v>
      </c>
      <c r="G2806" s="758">
        <f t="shared" si="172"/>
        <v>0.13</v>
      </c>
      <c r="H2806" s="759">
        <f t="shared" si="173"/>
        <v>0.41</v>
      </c>
      <c r="I2806" s="758">
        <f t="shared" si="174"/>
        <v>0.52</v>
      </c>
      <c r="J2806" s="760">
        <f t="shared" si="175"/>
        <v>0.8</v>
      </c>
    </row>
    <row r="2807" spans="1:10">
      <c r="A2807" s="74" t="s">
        <v>858</v>
      </c>
      <c r="B2807" s="74" t="s">
        <v>268</v>
      </c>
      <c r="C2807" s="74" t="s">
        <v>1515</v>
      </c>
      <c r="D2807" s="74" t="s">
        <v>81</v>
      </c>
      <c r="E2807" s="74">
        <v>3</v>
      </c>
      <c r="F2807" s="74">
        <v>1.95</v>
      </c>
      <c r="G2807" s="758">
        <f t="shared" si="172"/>
        <v>0.13</v>
      </c>
      <c r="H2807" s="759">
        <f t="shared" si="173"/>
        <v>0.41</v>
      </c>
      <c r="I2807" s="758">
        <f t="shared" si="174"/>
        <v>0.52</v>
      </c>
      <c r="J2807" s="760">
        <f t="shared" si="175"/>
        <v>0.8</v>
      </c>
    </row>
    <row r="2808" spans="1:10">
      <c r="A2808" s="74" t="s">
        <v>858</v>
      </c>
      <c r="B2808" s="74" t="s">
        <v>268</v>
      </c>
      <c r="C2808" s="74" t="s">
        <v>1516</v>
      </c>
      <c r="D2808" s="74" t="s">
        <v>82</v>
      </c>
      <c r="E2808" s="74">
        <v>14</v>
      </c>
      <c r="F2808" s="74">
        <v>9.1</v>
      </c>
      <c r="G2808" s="758">
        <f t="shared" si="172"/>
        <v>0.13</v>
      </c>
      <c r="H2808" s="759">
        <f t="shared" si="173"/>
        <v>0.41</v>
      </c>
      <c r="I2808" s="758">
        <f t="shared" si="174"/>
        <v>0.52</v>
      </c>
      <c r="J2808" s="760">
        <f t="shared" si="175"/>
        <v>0.8</v>
      </c>
    </row>
    <row r="2809" spans="1:10">
      <c r="A2809" s="74" t="s">
        <v>858</v>
      </c>
      <c r="B2809" s="74" t="s">
        <v>268</v>
      </c>
      <c r="C2809" s="74" t="s">
        <v>1517</v>
      </c>
      <c r="D2809" s="74" t="s">
        <v>82</v>
      </c>
      <c r="E2809" s="74">
        <v>13</v>
      </c>
      <c r="F2809" s="74">
        <v>9.0500000000000007</v>
      </c>
      <c r="G2809" s="758">
        <f t="shared" si="172"/>
        <v>0.13</v>
      </c>
      <c r="H2809" s="759">
        <f t="shared" si="173"/>
        <v>0.41</v>
      </c>
      <c r="I2809" s="758">
        <f t="shared" si="174"/>
        <v>0.56615384615384623</v>
      </c>
      <c r="J2809" s="760">
        <f t="shared" si="175"/>
        <v>0.81325966850828735</v>
      </c>
    </row>
    <row r="2810" spans="1:10">
      <c r="A2810" s="74" t="s">
        <v>858</v>
      </c>
      <c r="B2810" s="74" t="s">
        <v>268</v>
      </c>
      <c r="C2810" s="74" t="s">
        <v>1527</v>
      </c>
      <c r="D2810" s="74" t="s">
        <v>82</v>
      </c>
      <c r="E2810" s="74">
        <v>10</v>
      </c>
      <c r="F2810" s="74">
        <v>6.5</v>
      </c>
      <c r="G2810" s="758">
        <f t="shared" si="172"/>
        <v>0.13</v>
      </c>
      <c r="H2810" s="759">
        <f t="shared" si="173"/>
        <v>0.41</v>
      </c>
      <c r="I2810" s="758">
        <f t="shared" si="174"/>
        <v>0.52</v>
      </c>
      <c r="J2810" s="760">
        <f t="shared" si="175"/>
        <v>0.8</v>
      </c>
    </row>
    <row r="2811" spans="1:10">
      <c r="A2811" s="74" t="s">
        <v>858</v>
      </c>
      <c r="B2811" s="74" t="s">
        <v>268</v>
      </c>
      <c r="C2811" s="74" t="s">
        <v>1518</v>
      </c>
      <c r="D2811" s="74" t="s">
        <v>82</v>
      </c>
      <c r="E2811" s="74">
        <v>7</v>
      </c>
      <c r="F2811" s="74">
        <v>4.55</v>
      </c>
      <c r="G2811" s="758">
        <f t="shared" si="172"/>
        <v>0.13</v>
      </c>
      <c r="H2811" s="759">
        <f t="shared" si="173"/>
        <v>0.41</v>
      </c>
      <c r="I2811" s="758">
        <f t="shared" si="174"/>
        <v>0.52</v>
      </c>
      <c r="J2811" s="760">
        <f t="shared" si="175"/>
        <v>0.8</v>
      </c>
    </row>
    <row r="2812" spans="1:10">
      <c r="A2812" s="74" t="s">
        <v>858</v>
      </c>
      <c r="B2812" s="74" t="s">
        <v>268</v>
      </c>
      <c r="C2812" s="74" t="s">
        <v>1519</v>
      </c>
      <c r="D2812" s="74" t="s">
        <v>84</v>
      </c>
      <c r="E2812" s="74">
        <v>8</v>
      </c>
      <c r="F2812" s="74">
        <v>5.4</v>
      </c>
      <c r="G2812" s="758">
        <f t="shared" si="172"/>
        <v>0.13</v>
      </c>
      <c r="H2812" s="759">
        <f t="shared" si="173"/>
        <v>0.41</v>
      </c>
      <c r="I2812" s="758">
        <f t="shared" si="174"/>
        <v>0.54500000000000004</v>
      </c>
      <c r="J2812" s="760">
        <f t="shared" si="175"/>
        <v>0.80740740740740735</v>
      </c>
    </row>
    <row r="2813" spans="1:10">
      <c r="A2813" s="74" t="s">
        <v>858</v>
      </c>
      <c r="B2813" s="74" t="s">
        <v>268</v>
      </c>
      <c r="C2813" s="74" t="s">
        <v>1540</v>
      </c>
      <c r="D2813" s="74" t="s">
        <v>84</v>
      </c>
      <c r="E2813" s="74">
        <v>7</v>
      </c>
      <c r="F2813" s="74">
        <v>4.55</v>
      </c>
      <c r="G2813" s="758">
        <f t="shared" si="172"/>
        <v>0.13</v>
      </c>
      <c r="H2813" s="759">
        <f t="shared" si="173"/>
        <v>0.41</v>
      </c>
      <c r="I2813" s="758">
        <f t="shared" si="174"/>
        <v>0.52</v>
      </c>
      <c r="J2813" s="760">
        <f t="shared" si="175"/>
        <v>0.8</v>
      </c>
    </row>
    <row r="2814" spans="1:10">
      <c r="A2814" s="74" t="s">
        <v>858</v>
      </c>
      <c r="B2814" s="74" t="s">
        <v>268</v>
      </c>
      <c r="C2814" s="74" t="s">
        <v>1520</v>
      </c>
      <c r="D2814" s="74" t="s">
        <v>84</v>
      </c>
      <c r="E2814" s="74">
        <v>13</v>
      </c>
      <c r="F2814" s="74">
        <v>8.4499999999999993</v>
      </c>
      <c r="G2814" s="758">
        <f t="shared" si="172"/>
        <v>0.13</v>
      </c>
      <c r="H2814" s="759">
        <f t="shared" si="173"/>
        <v>0.41</v>
      </c>
      <c r="I2814" s="758">
        <f t="shared" si="174"/>
        <v>0.51999999999999991</v>
      </c>
      <c r="J2814" s="760">
        <f t="shared" si="175"/>
        <v>0.8</v>
      </c>
    </row>
    <row r="2815" spans="1:10">
      <c r="A2815" s="74" t="s">
        <v>858</v>
      </c>
      <c r="B2815" s="74" t="s">
        <v>268</v>
      </c>
      <c r="C2815" s="74" t="s">
        <v>1577</v>
      </c>
      <c r="D2815" s="74" t="s">
        <v>84</v>
      </c>
      <c r="E2815" s="74">
        <v>4</v>
      </c>
      <c r="F2815" s="74">
        <v>2.6</v>
      </c>
      <c r="G2815" s="758">
        <f t="shared" si="172"/>
        <v>0.13</v>
      </c>
      <c r="H2815" s="759">
        <f t="shared" si="173"/>
        <v>0.41</v>
      </c>
      <c r="I2815" s="758">
        <f t="shared" si="174"/>
        <v>0.52</v>
      </c>
      <c r="J2815" s="760">
        <f t="shared" si="175"/>
        <v>0.8</v>
      </c>
    </row>
    <row r="2816" spans="1:10">
      <c r="A2816" s="74" t="s">
        <v>858</v>
      </c>
      <c r="B2816" s="74" t="s">
        <v>268</v>
      </c>
      <c r="C2816" s="74" t="s">
        <v>1507</v>
      </c>
      <c r="D2816" s="74" t="s">
        <v>86</v>
      </c>
      <c r="E2816" s="74">
        <v>10</v>
      </c>
      <c r="F2816" s="74">
        <v>6.5</v>
      </c>
      <c r="G2816" s="758">
        <f t="shared" si="172"/>
        <v>0.13</v>
      </c>
      <c r="H2816" s="759">
        <f t="shared" si="173"/>
        <v>0.41</v>
      </c>
      <c r="I2816" s="758">
        <f t="shared" si="174"/>
        <v>0.52</v>
      </c>
      <c r="J2816" s="760">
        <f t="shared" si="175"/>
        <v>0.8</v>
      </c>
    </row>
    <row r="2817" spans="1:10">
      <c r="A2817" s="74" t="s">
        <v>858</v>
      </c>
      <c r="B2817" s="74" t="s">
        <v>268</v>
      </c>
      <c r="C2817" s="74" t="s">
        <v>1644</v>
      </c>
      <c r="D2817" s="74" t="s">
        <v>86</v>
      </c>
      <c r="E2817" s="74">
        <v>10</v>
      </c>
      <c r="F2817" s="74">
        <v>6.5</v>
      </c>
      <c r="G2817" s="758">
        <f t="shared" si="172"/>
        <v>0.13</v>
      </c>
      <c r="H2817" s="759">
        <f t="shared" si="173"/>
        <v>0.41</v>
      </c>
      <c r="I2817" s="758">
        <f t="shared" si="174"/>
        <v>0.52</v>
      </c>
      <c r="J2817" s="760">
        <f t="shared" si="175"/>
        <v>0.8</v>
      </c>
    </row>
    <row r="2818" spans="1:10">
      <c r="A2818" s="74" t="s">
        <v>858</v>
      </c>
      <c r="B2818" s="74" t="s">
        <v>268</v>
      </c>
      <c r="C2818" s="74" t="s">
        <v>1578</v>
      </c>
      <c r="D2818" s="74" t="s">
        <v>86</v>
      </c>
      <c r="E2818" s="74">
        <v>6</v>
      </c>
      <c r="F2818" s="74">
        <v>3.9</v>
      </c>
      <c r="G2818" s="758">
        <f t="shared" ref="G2818:G2881" si="176">IFERROR(VLOOKUP(A2818,$M$1:$P$1014,2,FALSE),0)</f>
        <v>0.13</v>
      </c>
      <c r="H2818" s="759">
        <f t="shared" ref="H2818:H2881" si="177">IFERROR(VLOOKUP(A2818,$M$1:$P$1014,3,FALSE),0)</f>
        <v>0.41</v>
      </c>
      <c r="I2818" s="758">
        <f t="shared" ref="I2818:I2881" si="178">IFERROR(F2818/E2818-G2818,0)</f>
        <v>0.52</v>
      </c>
      <c r="J2818" s="760">
        <f t="shared" ref="J2818:J2881" si="179">IFERROR(1-G2818*E2818/F2818,0)</f>
        <v>0.8</v>
      </c>
    </row>
    <row r="2819" spans="1:10">
      <c r="A2819" s="74" t="s">
        <v>858</v>
      </c>
      <c r="B2819" s="74" t="s">
        <v>268</v>
      </c>
      <c r="C2819" s="74" t="s">
        <v>1646</v>
      </c>
      <c r="D2819" s="74" t="s">
        <v>86</v>
      </c>
      <c r="E2819" s="74">
        <v>9</v>
      </c>
      <c r="F2819" s="74">
        <v>5.85</v>
      </c>
      <c r="G2819" s="758">
        <f t="shared" si="176"/>
        <v>0.13</v>
      </c>
      <c r="H2819" s="759">
        <f t="shared" si="177"/>
        <v>0.41</v>
      </c>
      <c r="I2819" s="758">
        <f t="shared" si="178"/>
        <v>0.51999999999999991</v>
      </c>
      <c r="J2819" s="760">
        <f t="shared" si="179"/>
        <v>0.8</v>
      </c>
    </row>
    <row r="2820" spans="1:10">
      <c r="A2820" s="74" t="s">
        <v>858</v>
      </c>
      <c r="B2820" s="74" t="s">
        <v>268</v>
      </c>
      <c r="C2820" s="74" t="s">
        <v>1541</v>
      </c>
      <c r="D2820" s="74" t="s">
        <v>86</v>
      </c>
      <c r="E2820" s="74">
        <v>7</v>
      </c>
      <c r="F2820" s="74">
        <v>4.55</v>
      </c>
      <c r="G2820" s="758">
        <f t="shared" si="176"/>
        <v>0.13</v>
      </c>
      <c r="H2820" s="759">
        <f t="shared" si="177"/>
        <v>0.41</v>
      </c>
      <c r="I2820" s="758">
        <f t="shared" si="178"/>
        <v>0.52</v>
      </c>
      <c r="J2820" s="760">
        <f t="shared" si="179"/>
        <v>0.8</v>
      </c>
    </row>
    <row r="2821" spans="1:10">
      <c r="A2821" s="74" t="s">
        <v>858</v>
      </c>
      <c r="B2821" s="74" t="s">
        <v>268</v>
      </c>
      <c r="C2821" s="74" t="s">
        <v>1543</v>
      </c>
      <c r="D2821" s="74" t="s">
        <v>87</v>
      </c>
      <c r="E2821" s="74">
        <v>7</v>
      </c>
      <c r="F2821" s="74">
        <v>4.55</v>
      </c>
      <c r="G2821" s="758">
        <f t="shared" si="176"/>
        <v>0.13</v>
      </c>
      <c r="H2821" s="759">
        <f t="shared" si="177"/>
        <v>0.41</v>
      </c>
      <c r="I2821" s="758">
        <f t="shared" si="178"/>
        <v>0.52</v>
      </c>
      <c r="J2821" s="760">
        <f t="shared" si="179"/>
        <v>0.8</v>
      </c>
    </row>
    <row r="2822" spans="1:10">
      <c r="A2822" s="74" t="s">
        <v>858</v>
      </c>
      <c r="B2822" s="74" t="s">
        <v>268</v>
      </c>
      <c r="C2822" s="74" t="s">
        <v>1544</v>
      </c>
      <c r="D2822" s="74" t="s">
        <v>87</v>
      </c>
      <c r="E2822" s="74">
        <v>9</v>
      </c>
      <c r="F2822" s="74">
        <v>5.85</v>
      </c>
      <c r="G2822" s="758">
        <f t="shared" si="176"/>
        <v>0.13</v>
      </c>
      <c r="H2822" s="759">
        <f t="shared" si="177"/>
        <v>0.41</v>
      </c>
      <c r="I2822" s="758">
        <f t="shared" si="178"/>
        <v>0.51999999999999991</v>
      </c>
      <c r="J2822" s="760">
        <f t="shared" si="179"/>
        <v>0.8</v>
      </c>
    </row>
    <row r="2823" spans="1:10">
      <c r="A2823" s="74" t="s">
        <v>858</v>
      </c>
      <c r="B2823" s="74" t="s">
        <v>268</v>
      </c>
      <c r="C2823" s="74" t="s">
        <v>1605</v>
      </c>
      <c r="D2823" s="74" t="s">
        <v>87</v>
      </c>
      <c r="E2823" s="74">
        <v>8</v>
      </c>
      <c r="F2823" s="74">
        <v>5.2</v>
      </c>
      <c r="G2823" s="758">
        <f t="shared" si="176"/>
        <v>0.13</v>
      </c>
      <c r="H2823" s="759">
        <f t="shared" si="177"/>
        <v>0.41</v>
      </c>
      <c r="I2823" s="758">
        <f t="shared" si="178"/>
        <v>0.52</v>
      </c>
      <c r="J2823" s="760">
        <f t="shared" si="179"/>
        <v>0.8</v>
      </c>
    </row>
    <row r="2824" spans="1:10">
      <c r="A2824" s="74" t="s">
        <v>858</v>
      </c>
      <c r="B2824" s="74" t="s">
        <v>268</v>
      </c>
      <c r="C2824" s="74" t="s">
        <v>1561</v>
      </c>
      <c r="D2824" s="74" t="s">
        <v>87</v>
      </c>
      <c r="E2824" s="74">
        <v>10</v>
      </c>
      <c r="F2824" s="74">
        <v>6.5</v>
      </c>
      <c r="G2824" s="758">
        <f t="shared" si="176"/>
        <v>0.13</v>
      </c>
      <c r="H2824" s="759">
        <f t="shared" si="177"/>
        <v>0.41</v>
      </c>
      <c r="I2824" s="758">
        <f t="shared" si="178"/>
        <v>0.52</v>
      </c>
      <c r="J2824" s="760">
        <f t="shared" si="179"/>
        <v>0.8</v>
      </c>
    </row>
    <row r="2825" spans="1:10">
      <c r="A2825" s="74" t="s">
        <v>858</v>
      </c>
      <c r="B2825" s="74" t="s">
        <v>268</v>
      </c>
      <c r="C2825" s="74" t="s">
        <v>1608</v>
      </c>
      <c r="D2825" s="74" t="s">
        <v>89</v>
      </c>
      <c r="E2825" s="74">
        <v>7</v>
      </c>
      <c r="F2825" s="74">
        <v>4.55</v>
      </c>
      <c r="G2825" s="758">
        <f t="shared" si="176"/>
        <v>0.13</v>
      </c>
      <c r="H2825" s="759">
        <f t="shared" si="177"/>
        <v>0.41</v>
      </c>
      <c r="I2825" s="758">
        <f t="shared" si="178"/>
        <v>0.52</v>
      </c>
      <c r="J2825" s="760">
        <f t="shared" si="179"/>
        <v>0.8</v>
      </c>
    </row>
    <row r="2826" spans="1:10">
      <c r="A2826" s="74" t="s">
        <v>858</v>
      </c>
      <c r="B2826" s="74" t="s">
        <v>268</v>
      </c>
      <c r="C2826" s="74" t="s">
        <v>1610</v>
      </c>
      <c r="D2826" s="74" t="s">
        <v>89</v>
      </c>
      <c r="E2826" s="74">
        <v>7</v>
      </c>
      <c r="F2826" s="74">
        <v>4.75</v>
      </c>
      <c r="G2826" s="758">
        <f t="shared" si="176"/>
        <v>0.13</v>
      </c>
      <c r="H2826" s="759">
        <f t="shared" si="177"/>
        <v>0.41</v>
      </c>
      <c r="I2826" s="758">
        <f t="shared" si="178"/>
        <v>0.5485714285714286</v>
      </c>
      <c r="J2826" s="760">
        <f t="shared" si="179"/>
        <v>0.80842105263157893</v>
      </c>
    </row>
    <row r="2827" spans="1:10">
      <c r="A2827" s="74" t="s">
        <v>858</v>
      </c>
      <c r="B2827" s="74" t="s">
        <v>268</v>
      </c>
      <c r="C2827" s="74" t="s">
        <v>1546</v>
      </c>
      <c r="D2827" s="74" t="s">
        <v>89</v>
      </c>
      <c r="E2827" s="74">
        <v>16</v>
      </c>
      <c r="F2827" s="74">
        <v>10.4</v>
      </c>
      <c r="G2827" s="758">
        <f t="shared" si="176"/>
        <v>0.13</v>
      </c>
      <c r="H2827" s="759">
        <f t="shared" si="177"/>
        <v>0.41</v>
      </c>
      <c r="I2827" s="758">
        <f t="shared" si="178"/>
        <v>0.52</v>
      </c>
      <c r="J2827" s="760">
        <f t="shared" si="179"/>
        <v>0.8</v>
      </c>
    </row>
    <row r="2828" spans="1:10">
      <c r="A2828" s="74" t="s">
        <v>858</v>
      </c>
      <c r="B2828" s="74" t="s">
        <v>268</v>
      </c>
      <c r="C2828" s="74" t="s">
        <v>1547</v>
      </c>
      <c r="D2828" s="74" t="s">
        <v>89</v>
      </c>
      <c r="E2828" s="74">
        <v>11</v>
      </c>
      <c r="F2828" s="74">
        <v>7.15</v>
      </c>
      <c r="G2828" s="758">
        <f t="shared" si="176"/>
        <v>0.13</v>
      </c>
      <c r="H2828" s="759">
        <f t="shared" si="177"/>
        <v>0.41</v>
      </c>
      <c r="I2828" s="758">
        <f t="shared" si="178"/>
        <v>0.52</v>
      </c>
      <c r="J2828" s="760">
        <f t="shared" si="179"/>
        <v>0.8</v>
      </c>
    </row>
    <row r="2829" spans="1:10">
      <c r="A2829" s="74" t="s">
        <v>858</v>
      </c>
      <c r="B2829" s="74" t="s">
        <v>268</v>
      </c>
      <c r="C2829" s="74" t="s">
        <v>1582</v>
      </c>
      <c r="D2829" s="74" t="s">
        <v>89</v>
      </c>
      <c r="E2829" s="74">
        <v>5</v>
      </c>
      <c r="F2829" s="74">
        <v>3.25</v>
      </c>
      <c r="G2829" s="758">
        <f t="shared" si="176"/>
        <v>0.13</v>
      </c>
      <c r="H2829" s="759">
        <f t="shared" si="177"/>
        <v>0.41</v>
      </c>
      <c r="I2829" s="758">
        <f t="shared" si="178"/>
        <v>0.52</v>
      </c>
      <c r="J2829" s="760">
        <f t="shared" si="179"/>
        <v>0.8</v>
      </c>
    </row>
    <row r="2830" spans="1:10">
      <c r="A2830" s="74" t="s">
        <v>858</v>
      </c>
      <c r="B2830" s="74" t="s">
        <v>268</v>
      </c>
      <c r="C2830" s="74" t="s">
        <v>1522</v>
      </c>
      <c r="D2830" s="74" t="s">
        <v>91</v>
      </c>
      <c r="E2830" s="74">
        <v>4</v>
      </c>
      <c r="F2830" s="74">
        <v>2.6</v>
      </c>
      <c r="G2830" s="758">
        <f t="shared" si="176"/>
        <v>0.13</v>
      </c>
      <c r="H2830" s="759">
        <f t="shared" si="177"/>
        <v>0.41</v>
      </c>
      <c r="I2830" s="758">
        <f t="shared" si="178"/>
        <v>0.52</v>
      </c>
      <c r="J2830" s="760">
        <f t="shared" si="179"/>
        <v>0.8</v>
      </c>
    </row>
    <row r="2831" spans="1:10">
      <c r="A2831" s="74" t="s">
        <v>858</v>
      </c>
      <c r="B2831" s="74" t="s">
        <v>268</v>
      </c>
      <c r="C2831" s="74" t="s">
        <v>1550</v>
      </c>
      <c r="D2831" s="74" t="s">
        <v>91</v>
      </c>
      <c r="E2831" s="74">
        <v>5</v>
      </c>
      <c r="F2831" s="74">
        <v>3.25</v>
      </c>
      <c r="G2831" s="758">
        <f t="shared" si="176"/>
        <v>0.13</v>
      </c>
      <c r="H2831" s="759">
        <f t="shared" si="177"/>
        <v>0.41</v>
      </c>
      <c r="I2831" s="758">
        <f t="shared" si="178"/>
        <v>0.52</v>
      </c>
      <c r="J2831" s="760">
        <f t="shared" si="179"/>
        <v>0.8</v>
      </c>
    </row>
    <row r="2832" spans="1:10">
      <c r="A2832" s="74" t="s">
        <v>858</v>
      </c>
      <c r="B2832" s="74" t="s">
        <v>268</v>
      </c>
      <c r="C2832" s="74" t="s">
        <v>1675</v>
      </c>
      <c r="D2832" s="74" t="s">
        <v>91</v>
      </c>
      <c r="E2832" s="74">
        <v>9</v>
      </c>
      <c r="F2832" s="74">
        <v>5.85</v>
      </c>
      <c r="G2832" s="758">
        <f t="shared" si="176"/>
        <v>0.13</v>
      </c>
      <c r="H2832" s="759">
        <f t="shared" si="177"/>
        <v>0.41</v>
      </c>
      <c r="I2832" s="758">
        <f t="shared" si="178"/>
        <v>0.51999999999999991</v>
      </c>
      <c r="J2832" s="760">
        <f t="shared" si="179"/>
        <v>0.8</v>
      </c>
    </row>
    <row r="2833" spans="1:10">
      <c r="A2833" s="74" t="s">
        <v>858</v>
      </c>
      <c r="B2833" s="74" t="s">
        <v>268</v>
      </c>
      <c r="C2833" s="74" t="s">
        <v>1524</v>
      </c>
      <c r="D2833" s="74" t="s">
        <v>91</v>
      </c>
      <c r="E2833" s="74">
        <v>7</v>
      </c>
      <c r="F2833" s="74">
        <v>4.55</v>
      </c>
      <c r="G2833" s="758">
        <f t="shared" si="176"/>
        <v>0.13</v>
      </c>
      <c r="H2833" s="759">
        <f t="shared" si="177"/>
        <v>0.41</v>
      </c>
      <c r="I2833" s="758">
        <f t="shared" si="178"/>
        <v>0.52</v>
      </c>
      <c r="J2833" s="760">
        <f t="shared" si="179"/>
        <v>0.8</v>
      </c>
    </row>
    <row r="2834" spans="1:10">
      <c r="A2834" s="74" t="s">
        <v>858</v>
      </c>
      <c r="B2834" s="74" t="s">
        <v>268</v>
      </c>
      <c r="C2834" s="74" t="s">
        <v>1584</v>
      </c>
      <c r="D2834" s="74" t="s">
        <v>92</v>
      </c>
      <c r="E2834" s="74">
        <v>2</v>
      </c>
      <c r="F2834" s="74">
        <v>1.3</v>
      </c>
      <c r="G2834" s="758">
        <f t="shared" si="176"/>
        <v>0.13</v>
      </c>
      <c r="H2834" s="759">
        <f t="shared" si="177"/>
        <v>0.41</v>
      </c>
      <c r="I2834" s="758">
        <f t="shared" si="178"/>
        <v>0.52</v>
      </c>
      <c r="J2834" s="760">
        <f t="shared" si="179"/>
        <v>0.8</v>
      </c>
    </row>
    <row r="2835" spans="1:10">
      <c r="A2835" s="74" t="s">
        <v>858</v>
      </c>
      <c r="B2835" s="74" t="s">
        <v>268</v>
      </c>
      <c r="C2835" s="74" t="s">
        <v>1614</v>
      </c>
      <c r="D2835" s="74" t="s">
        <v>92</v>
      </c>
      <c r="E2835" s="74">
        <v>9</v>
      </c>
      <c r="F2835" s="74">
        <v>5.85</v>
      </c>
      <c r="G2835" s="758">
        <f t="shared" si="176"/>
        <v>0.13</v>
      </c>
      <c r="H2835" s="759">
        <f t="shared" si="177"/>
        <v>0.41</v>
      </c>
      <c r="I2835" s="758">
        <f t="shared" si="178"/>
        <v>0.51999999999999991</v>
      </c>
      <c r="J2835" s="760">
        <f t="shared" si="179"/>
        <v>0.8</v>
      </c>
    </row>
    <row r="2836" spans="1:10">
      <c r="A2836" s="74" t="s">
        <v>858</v>
      </c>
      <c r="B2836" s="74" t="s">
        <v>268</v>
      </c>
      <c r="C2836" s="74" t="s">
        <v>1631</v>
      </c>
      <c r="D2836" s="74" t="s">
        <v>92</v>
      </c>
      <c r="E2836" s="74">
        <v>9</v>
      </c>
      <c r="F2836" s="74">
        <v>5.85</v>
      </c>
      <c r="G2836" s="758">
        <f t="shared" si="176"/>
        <v>0.13</v>
      </c>
      <c r="H2836" s="759">
        <f t="shared" si="177"/>
        <v>0.41</v>
      </c>
      <c r="I2836" s="758">
        <f t="shared" si="178"/>
        <v>0.51999999999999991</v>
      </c>
      <c r="J2836" s="760">
        <f t="shared" si="179"/>
        <v>0.8</v>
      </c>
    </row>
    <row r="2837" spans="1:10">
      <c r="A2837" s="74" t="s">
        <v>858</v>
      </c>
      <c r="B2837" s="74" t="s">
        <v>268</v>
      </c>
      <c r="C2837" s="74" t="s">
        <v>1552</v>
      </c>
      <c r="D2837" s="74" t="s">
        <v>92</v>
      </c>
      <c r="E2837" s="74">
        <v>7</v>
      </c>
      <c r="F2837" s="74">
        <v>4.55</v>
      </c>
      <c r="G2837" s="758">
        <f t="shared" si="176"/>
        <v>0.13</v>
      </c>
      <c r="H2837" s="759">
        <f t="shared" si="177"/>
        <v>0.41</v>
      </c>
      <c r="I2837" s="758">
        <f t="shared" si="178"/>
        <v>0.52</v>
      </c>
      <c r="J2837" s="760">
        <f t="shared" si="179"/>
        <v>0.8</v>
      </c>
    </row>
    <row r="2838" spans="1:10">
      <c r="A2838" s="74" t="s">
        <v>858</v>
      </c>
      <c r="B2838" s="74" t="s">
        <v>268</v>
      </c>
      <c r="C2838" s="74" t="s">
        <v>1617</v>
      </c>
      <c r="D2838" s="74" t="s">
        <v>94</v>
      </c>
      <c r="E2838" s="74">
        <v>11</v>
      </c>
      <c r="F2838" s="74">
        <v>7.15</v>
      </c>
      <c r="G2838" s="758">
        <f t="shared" si="176"/>
        <v>0.13</v>
      </c>
      <c r="H2838" s="759">
        <f t="shared" si="177"/>
        <v>0.41</v>
      </c>
      <c r="I2838" s="758">
        <f t="shared" si="178"/>
        <v>0.52</v>
      </c>
      <c r="J2838" s="760">
        <f t="shared" si="179"/>
        <v>0.8</v>
      </c>
    </row>
    <row r="2839" spans="1:10">
      <c r="A2839" s="74" t="s">
        <v>858</v>
      </c>
      <c r="B2839" s="74" t="s">
        <v>268</v>
      </c>
      <c r="C2839" s="74" t="s">
        <v>1553</v>
      </c>
      <c r="D2839" s="74" t="s">
        <v>94</v>
      </c>
      <c r="E2839" s="74">
        <v>8</v>
      </c>
      <c r="F2839" s="74">
        <v>5.2</v>
      </c>
      <c r="G2839" s="758">
        <f t="shared" si="176"/>
        <v>0.13</v>
      </c>
      <c r="H2839" s="759">
        <f t="shared" si="177"/>
        <v>0.41</v>
      </c>
      <c r="I2839" s="758">
        <f t="shared" si="178"/>
        <v>0.52</v>
      </c>
      <c r="J2839" s="760">
        <f t="shared" si="179"/>
        <v>0.8</v>
      </c>
    </row>
    <row r="2840" spans="1:10">
      <c r="A2840" s="74" t="s">
        <v>858</v>
      </c>
      <c r="B2840" s="74" t="s">
        <v>268</v>
      </c>
      <c r="C2840" s="74" t="s">
        <v>1555</v>
      </c>
      <c r="D2840" s="74" t="s">
        <v>94</v>
      </c>
      <c r="E2840" s="74">
        <v>9</v>
      </c>
      <c r="F2840" s="74">
        <v>5.85</v>
      </c>
      <c r="G2840" s="758">
        <f t="shared" si="176"/>
        <v>0.13</v>
      </c>
      <c r="H2840" s="759">
        <f t="shared" si="177"/>
        <v>0.41</v>
      </c>
      <c r="I2840" s="758">
        <f t="shared" si="178"/>
        <v>0.51999999999999991</v>
      </c>
      <c r="J2840" s="760">
        <f t="shared" si="179"/>
        <v>0.8</v>
      </c>
    </row>
    <row r="2841" spans="1:10">
      <c r="A2841" s="74" t="s">
        <v>858</v>
      </c>
      <c r="B2841" s="74" t="s">
        <v>268</v>
      </c>
      <c r="C2841" s="74" t="s">
        <v>1557</v>
      </c>
      <c r="D2841" s="74" t="s">
        <v>95</v>
      </c>
      <c r="E2841" s="74">
        <v>8</v>
      </c>
      <c r="F2841" s="74">
        <v>5.2</v>
      </c>
      <c r="G2841" s="758">
        <f t="shared" si="176"/>
        <v>0.13</v>
      </c>
      <c r="H2841" s="759">
        <f t="shared" si="177"/>
        <v>0.41</v>
      </c>
      <c r="I2841" s="758">
        <f t="shared" si="178"/>
        <v>0.52</v>
      </c>
      <c r="J2841" s="760">
        <f t="shared" si="179"/>
        <v>0.8</v>
      </c>
    </row>
    <row r="2842" spans="1:10">
      <c r="A2842" s="74" t="s">
        <v>858</v>
      </c>
      <c r="B2842" s="74" t="s">
        <v>268</v>
      </c>
      <c r="C2842" s="74" t="s">
        <v>1526</v>
      </c>
      <c r="D2842" s="74" t="s">
        <v>95</v>
      </c>
      <c r="E2842" s="74">
        <v>10</v>
      </c>
      <c r="F2842" s="74">
        <v>6.5</v>
      </c>
      <c r="G2842" s="758">
        <f t="shared" si="176"/>
        <v>0.13</v>
      </c>
      <c r="H2842" s="759">
        <f t="shared" si="177"/>
        <v>0.41</v>
      </c>
      <c r="I2842" s="758">
        <f t="shared" si="178"/>
        <v>0.52</v>
      </c>
      <c r="J2842" s="760">
        <f t="shared" si="179"/>
        <v>0.8</v>
      </c>
    </row>
    <row r="2843" spans="1:10">
      <c r="A2843" s="74" t="s">
        <v>858</v>
      </c>
      <c r="B2843" s="74" t="s">
        <v>268</v>
      </c>
      <c r="C2843" s="74" t="s">
        <v>1930</v>
      </c>
      <c r="D2843" s="74" t="s">
        <v>95</v>
      </c>
      <c r="E2843" s="74">
        <v>7</v>
      </c>
      <c r="F2843" s="74">
        <v>4.55</v>
      </c>
      <c r="G2843" s="758">
        <f t="shared" si="176"/>
        <v>0.13</v>
      </c>
      <c r="H2843" s="759">
        <f t="shared" si="177"/>
        <v>0.41</v>
      </c>
      <c r="I2843" s="758">
        <f t="shared" si="178"/>
        <v>0.52</v>
      </c>
      <c r="J2843" s="760">
        <f t="shared" si="179"/>
        <v>0.8</v>
      </c>
    </row>
    <row r="2844" spans="1:10">
      <c r="A2844" s="74" t="s">
        <v>1818</v>
      </c>
      <c r="B2844" s="74" t="s">
        <v>268</v>
      </c>
      <c r="C2844" s="74" t="s">
        <v>1646</v>
      </c>
      <c r="D2844" s="74" t="s">
        <v>86</v>
      </c>
      <c r="E2844" s="74">
        <v>1</v>
      </c>
      <c r="F2844" s="74">
        <v>0.75</v>
      </c>
      <c r="G2844" s="758">
        <f t="shared" si="176"/>
        <v>0</v>
      </c>
      <c r="H2844" s="759">
        <f t="shared" si="177"/>
        <v>0</v>
      </c>
      <c r="I2844" s="758">
        <f t="shared" si="178"/>
        <v>0.75</v>
      </c>
      <c r="J2844" s="760">
        <f t="shared" si="179"/>
        <v>1</v>
      </c>
    </row>
    <row r="2845" spans="1:10">
      <c r="A2845" s="74" t="s">
        <v>1819</v>
      </c>
      <c r="B2845" s="74" t="s">
        <v>256</v>
      </c>
      <c r="C2845" s="74" t="s">
        <v>1511</v>
      </c>
      <c r="D2845" s="74" t="s">
        <v>80</v>
      </c>
      <c r="E2845" s="74">
        <v>6</v>
      </c>
      <c r="F2845" s="74">
        <v>59.7</v>
      </c>
      <c r="G2845" s="758">
        <f t="shared" si="176"/>
        <v>1.71</v>
      </c>
      <c r="H2845" s="759">
        <f t="shared" si="177"/>
        <v>0.19</v>
      </c>
      <c r="I2845" s="758">
        <f t="shared" si="178"/>
        <v>8.240000000000002</v>
      </c>
      <c r="J2845" s="760">
        <f t="shared" si="179"/>
        <v>0.82814070351758795</v>
      </c>
    </row>
    <row r="2846" spans="1:10">
      <c r="A2846" s="74" t="s">
        <v>1819</v>
      </c>
      <c r="B2846" s="74" t="s">
        <v>256</v>
      </c>
      <c r="C2846" s="74" t="s">
        <v>1515</v>
      </c>
      <c r="D2846" s="74" t="s">
        <v>81</v>
      </c>
      <c r="E2846" s="74">
        <v>2</v>
      </c>
      <c r="F2846" s="74">
        <v>20.399999999999999</v>
      </c>
      <c r="G2846" s="758">
        <f t="shared" si="176"/>
        <v>1.71</v>
      </c>
      <c r="H2846" s="759">
        <f t="shared" si="177"/>
        <v>0.19</v>
      </c>
      <c r="I2846" s="758">
        <f t="shared" si="178"/>
        <v>8.4899999999999984</v>
      </c>
      <c r="J2846" s="760">
        <f t="shared" si="179"/>
        <v>0.83235294117647052</v>
      </c>
    </row>
    <row r="2847" spans="1:10">
      <c r="A2847" s="74" t="s">
        <v>906</v>
      </c>
      <c r="B2847" s="74" t="s">
        <v>268</v>
      </c>
      <c r="C2847" s="74" t="s">
        <v>1528</v>
      </c>
      <c r="D2847" s="74" t="s">
        <v>78</v>
      </c>
      <c r="E2847" s="74">
        <v>4</v>
      </c>
      <c r="F2847" s="74">
        <v>6</v>
      </c>
      <c r="G2847" s="758">
        <f t="shared" si="176"/>
        <v>0.44</v>
      </c>
      <c r="H2847" s="759">
        <f t="shared" si="177"/>
        <v>0.4</v>
      </c>
      <c r="I2847" s="758">
        <f t="shared" si="178"/>
        <v>1.06</v>
      </c>
      <c r="J2847" s="760">
        <f t="shared" si="179"/>
        <v>0.70666666666666667</v>
      </c>
    </row>
    <row r="2848" spans="1:10">
      <c r="A2848" s="74" t="s">
        <v>906</v>
      </c>
      <c r="B2848" s="74" t="s">
        <v>268</v>
      </c>
      <c r="C2848" s="74" t="s">
        <v>1508</v>
      </c>
      <c r="D2848" s="74" t="s">
        <v>78</v>
      </c>
      <c r="E2848" s="74">
        <v>2</v>
      </c>
      <c r="F2848" s="74">
        <v>3</v>
      </c>
      <c r="G2848" s="758">
        <f t="shared" si="176"/>
        <v>0.44</v>
      </c>
      <c r="H2848" s="759">
        <f t="shared" si="177"/>
        <v>0.4</v>
      </c>
      <c r="I2848" s="758">
        <f t="shared" si="178"/>
        <v>1.06</v>
      </c>
      <c r="J2848" s="760">
        <f t="shared" si="179"/>
        <v>0.70666666666666667</v>
      </c>
    </row>
    <row r="2849" spans="1:10">
      <c r="A2849" s="74" t="s">
        <v>906</v>
      </c>
      <c r="B2849" s="74" t="s">
        <v>268</v>
      </c>
      <c r="C2849" s="74" t="s">
        <v>1565</v>
      </c>
      <c r="D2849" s="74" t="s">
        <v>78</v>
      </c>
      <c r="E2849" s="74">
        <v>5</v>
      </c>
      <c r="F2849" s="74">
        <v>7.5</v>
      </c>
      <c r="G2849" s="758">
        <f t="shared" si="176"/>
        <v>0.44</v>
      </c>
      <c r="H2849" s="759">
        <f t="shared" si="177"/>
        <v>0.4</v>
      </c>
      <c r="I2849" s="758">
        <f t="shared" si="178"/>
        <v>1.06</v>
      </c>
      <c r="J2849" s="760">
        <f t="shared" si="179"/>
        <v>0.70666666666666667</v>
      </c>
    </row>
    <row r="2850" spans="1:10">
      <c r="A2850" s="74" t="s">
        <v>906</v>
      </c>
      <c r="B2850" s="74" t="s">
        <v>268</v>
      </c>
      <c r="C2850" s="74" t="s">
        <v>1530</v>
      </c>
      <c r="D2850" s="74" t="s">
        <v>80</v>
      </c>
      <c r="E2850" s="74">
        <v>1</v>
      </c>
      <c r="F2850" s="74">
        <v>1.5</v>
      </c>
      <c r="G2850" s="758">
        <f t="shared" si="176"/>
        <v>0.44</v>
      </c>
      <c r="H2850" s="759">
        <f t="shared" si="177"/>
        <v>0.4</v>
      </c>
      <c r="I2850" s="758">
        <f t="shared" si="178"/>
        <v>1.06</v>
      </c>
      <c r="J2850" s="760">
        <f t="shared" si="179"/>
        <v>0.70666666666666667</v>
      </c>
    </row>
    <row r="2851" spans="1:10">
      <c r="A2851" s="74" t="s">
        <v>906</v>
      </c>
      <c r="B2851" s="74" t="s">
        <v>268</v>
      </c>
      <c r="C2851" s="74" t="s">
        <v>1532</v>
      </c>
      <c r="D2851" s="74" t="s">
        <v>80</v>
      </c>
      <c r="E2851" s="74">
        <v>2</v>
      </c>
      <c r="F2851" s="74">
        <v>3</v>
      </c>
      <c r="G2851" s="758">
        <f t="shared" si="176"/>
        <v>0.44</v>
      </c>
      <c r="H2851" s="759">
        <f t="shared" si="177"/>
        <v>0.4</v>
      </c>
      <c r="I2851" s="758">
        <f t="shared" si="178"/>
        <v>1.06</v>
      </c>
      <c r="J2851" s="760">
        <f t="shared" si="179"/>
        <v>0.70666666666666667</v>
      </c>
    </row>
    <row r="2852" spans="1:10">
      <c r="A2852" s="74" t="s">
        <v>906</v>
      </c>
      <c r="B2852" s="74" t="s">
        <v>268</v>
      </c>
      <c r="C2852" s="74" t="s">
        <v>1511</v>
      </c>
      <c r="D2852" s="74" t="s">
        <v>80</v>
      </c>
      <c r="E2852" s="74">
        <v>3</v>
      </c>
      <c r="F2852" s="74">
        <v>4.5</v>
      </c>
      <c r="G2852" s="758">
        <f t="shared" si="176"/>
        <v>0.44</v>
      </c>
      <c r="H2852" s="759">
        <f t="shared" si="177"/>
        <v>0.4</v>
      </c>
      <c r="I2852" s="758">
        <f t="shared" si="178"/>
        <v>1.06</v>
      </c>
      <c r="J2852" s="760">
        <f t="shared" si="179"/>
        <v>0.70666666666666667</v>
      </c>
    </row>
    <row r="2853" spans="1:10">
      <c r="A2853" s="74" t="s">
        <v>906</v>
      </c>
      <c r="B2853" s="74" t="s">
        <v>268</v>
      </c>
      <c r="C2853" s="74" t="s">
        <v>1512</v>
      </c>
      <c r="D2853" s="74" t="s">
        <v>80</v>
      </c>
      <c r="E2853" s="74">
        <v>3</v>
      </c>
      <c r="F2853" s="74">
        <v>4.5</v>
      </c>
      <c r="G2853" s="758">
        <f t="shared" si="176"/>
        <v>0.44</v>
      </c>
      <c r="H2853" s="759">
        <f t="shared" si="177"/>
        <v>0.4</v>
      </c>
      <c r="I2853" s="758">
        <f t="shared" si="178"/>
        <v>1.06</v>
      </c>
      <c r="J2853" s="760">
        <f t="shared" si="179"/>
        <v>0.70666666666666667</v>
      </c>
    </row>
    <row r="2854" spans="1:10">
      <c r="A2854" s="74" t="s">
        <v>906</v>
      </c>
      <c r="B2854" s="74" t="s">
        <v>268</v>
      </c>
      <c r="C2854" s="74" t="s">
        <v>1534</v>
      </c>
      <c r="D2854" s="74" t="s">
        <v>81</v>
      </c>
      <c r="E2854" s="74">
        <v>5</v>
      </c>
      <c r="F2854" s="74">
        <v>7.5</v>
      </c>
      <c r="G2854" s="758">
        <f t="shared" si="176"/>
        <v>0.44</v>
      </c>
      <c r="H2854" s="759">
        <f t="shared" si="177"/>
        <v>0.4</v>
      </c>
      <c r="I2854" s="758">
        <f t="shared" si="178"/>
        <v>1.06</v>
      </c>
      <c r="J2854" s="760">
        <f t="shared" si="179"/>
        <v>0.70666666666666667</v>
      </c>
    </row>
    <row r="2855" spans="1:10">
      <c r="A2855" s="74" t="s">
        <v>906</v>
      </c>
      <c r="B2855" s="74" t="s">
        <v>268</v>
      </c>
      <c r="C2855" s="74" t="s">
        <v>1514</v>
      </c>
      <c r="D2855" s="74" t="s">
        <v>81</v>
      </c>
      <c r="E2855" s="74">
        <v>3</v>
      </c>
      <c r="F2855" s="74">
        <v>4.5</v>
      </c>
      <c r="G2855" s="758">
        <f t="shared" si="176"/>
        <v>0.44</v>
      </c>
      <c r="H2855" s="759">
        <f t="shared" si="177"/>
        <v>0.4</v>
      </c>
      <c r="I2855" s="758">
        <f t="shared" si="178"/>
        <v>1.06</v>
      </c>
      <c r="J2855" s="760">
        <f t="shared" si="179"/>
        <v>0.70666666666666667</v>
      </c>
    </row>
    <row r="2856" spans="1:10">
      <c r="A2856" s="74" t="s">
        <v>906</v>
      </c>
      <c r="B2856" s="74" t="s">
        <v>268</v>
      </c>
      <c r="C2856" s="74" t="s">
        <v>1515</v>
      </c>
      <c r="D2856" s="74" t="s">
        <v>81</v>
      </c>
      <c r="E2856" s="74">
        <v>7</v>
      </c>
      <c r="F2856" s="74">
        <v>10.5</v>
      </c>
      <c r="G2856" s="758">
        <f t="shared" si="176"/>
        <v>0.44</v>
      </c>
      <c r="H2856" s="759">
        <f t="shared" si="177"/>
        <v>0.4</v>
      </c>
      <c r="I2856" s="758">
        <f t="shared" si="178"/>
        <v>1.06</v>
      </c>
      <c r="J2856" s="760">
        <f t="shared" si="179"/>
        <v>0.70666666666666667</v>
      </c>
    </row>
    <row r="2857" spans="1:10">
      <c r="A2857" s="74" t="s">
        <v>906</v>
      </c>
      <c r="B2857" s="74" t="s">
        <v>268</v>
      </c>
      <c r="C2857" s="74" t="s">
        <v>1516</v>
      </c>
      <c r="D2857" s="74" t="s">
        <v>82</v>
      </c>
      <c r="E2857" s="74">
        <v>3</v>
      </c>
      <c r="F2857" s="74">
        <v>22.5</v>
      </c>
      <c r="G2857" s="758">
        <f t="shared" si="176"/>
        <v>0.44</v>
      </c>
      <c r="H2857" s="759">
        <f t="shared" si="177"/>
        <v>0.4</v>
      </c>
      <c r="I2857" s="758">
        <f t="shared" si="178"/>
        <v>7.06</v>
      </c>
      <c r="J2857" s="760">
        <f t="shared" si="179"/>
        <v>0.94133333333333336</v>
      </c>
    </row>
    <row r="2858" spans="1:10">
      <c r="A2858" s="74" t="s">
        <v>906</v>
      </c>
      <c r="B2858" s="74" t="s">
        <v>268</v>
      </c>
      <c r="C2858" s="74" t="s">
        <v>1517</v>
      </c>
      <c r="D2858" s="74" t="s">
        <v>82</v>
      </c>
      <c r="E2858" s="74">
        <v>2</v>
      </c>
      <c r="F2858" s="74">
        <v>3</v>
      </c>
      <c r="G2858" s="758">
        <f t="shared" si="176"/>
        <v>0.44</v>
      </c>
      <c r="H2858" s="759">
        <f t="shared" si="177"/>
        <v>0.4</v>
      </c>
      <c r="I2858" s="758">
        <f t="shared" si="178"/>
        <v>1.06</v>
      </c>
      <c r="J2858" s="760">
        <f t="shared" si="179"/>
        <v>0.70666666666666667</v>
      </c>
    </row>
    <row r="2859" spans="1:10">
      <c r="A2859" s="74" t="s">
        <v>906</v>
      </c>
      <c r="B2859" s="74" t="s">
        <v>268</v>
      </c>
      <c r="C2859" s="74" t="s">
        <v>1527</v>
      </c>
      <c r="D2859" s="74" t="s">
        <v>82</v>
      </c>
      <c r="E2859" s="74">
        <v>1</v>
      </c>
      <c r="F2859" s="74">
        <v>1.5</v>
      </c>
      <c r="G2859" s="758">
        <f t="shared" si="176"/>
        <v>0.44</v>
      </c>
      <c r="H2859" s="759">
        <f t="shared" si="177"/>
        <v>0.4</v>
      </c>
      <c r="I2859" s="758">
        <f t="shared" si="178"/>
        <v>1.06</v>
      </c>
      <c r="J2859" s="760">
        <f t="shared" si="179"/>
        <v>0.70666666666666667</v>
      </c>
    </row>
    <row r="2860" spans="1:10">
      <c r="A2860" s="74" t="s">
        <v>906</v>
      </c>
      <c r="B2860" s="74" t="s">
        <v>268</v>
      </c>
      <c r="C2860" s="74" t="s">
        <v>1518</v>
      </c>
      <c r="D2860" s="74" t="s">
        <v>82</v>
      </c>
      <c r="E2860" s="74">
        <v>4</v>
      </c>
      <c r="F2860" s="74">
        <v>6</v>
      </c>
      <c r="G2860" s="758">
        <f t="shared" si="176"/>
        <v>0.44</v>
      </c>
      <c r="H2860" s="759">
        <f t="shared" si="177"/>
        <v>0.4</v>
      </c>
      <c r="I2860" s="758">
        <f t="shared" si="178"/>
        <v>1.06</v>
      </c>
      <c r="J2860" s="760">
        <f t="shared" si="179"/>
        <v>0.70666666666666667</v>
      </c>
    </row>
    <row r="2861" spans="1:10">
      <c r="A2861" s="74" t="s">
        <v>906</v>
      </c>
      <c r="B2861" s="74" t="s">
        <v>268</v>
      </c>
      <c r="C2861" s="74" t="s">
        <v>1610</v>
      </c>
      <c r="D2861" s="74" t="s">
        <v>89</v>
      </c>
      <c r="E2861" s="74">
        <v>1</v>
      </c>
      <c r="F2861" s="74">
        <v>1.5</v>
      </c>
      <c r="G2861" s="758">
        <f t="shared" si="176"/>
        <v>0.44</v>
      </c>
      <c r="H2861" s="759">
        <f t="shared" si="177"/>
        <v>0.4</v>
      </c>
      <c r="I2861" s="758">
        <f t="shared" si="178"/>
        <v>1.06</v>
      </c>
      <c r="J2861" s="760">
        <f t="shared" si="179"/>
        <v>0.70666666666666667</v>
      </c>
    </row>
    <row r="2862" spans="1:10">
      <c r="A2862" s="74" t="s">
        <v>906</v>
      </c>
      <c r="B2862" s="74" t="s">
        <v>268</v>
      </c>
      <c r="C2862" s="74" t="s">
        <v>1546</v>
      </c>
      <c r="D2862" s="74" t="s">
        <v>89</v>
      </c>
      <c r="E2862" s="74">
        <v>1</v>
      </c>
      <c r="F2862" s="74">
        <v>1.5</v>
      </c>
      <c r="G2862" s="758">
        <f t="shared" si="176"/>
        <v>0.44</v>
      </c>
      <c r="H2862" s="759">
        <f t="shared" si="177"/>
        <v>0.4</v>
      </c>
      <c r="I2862" s="758">
        <f t="shared" si="178"/>
        <v>1.06</v>
      </c>
      <c r="J2862" s="760">
        <f t="shared" si="179"/>
        <v>0.70666666666666667</v>
      </c>
    </row>
    <row r="2863" spans="1:10">
      <c r="A2863" s="74" t="s">
        <v>906</v>
      </c>
      <c r="B2863" s="74" t="s">
        <v>268</v>
      </c>
      <c r="C2863" s="74" t="s">
        <v>1582</v>
      </c>
      <c r="D2863" s="74" t="s">
        <v>89</v>
      </c>
      <c r="E2863" s="74">
        <v>2</v>
      </c>
      <c r="F2863" s="74">
        <v>3</v>
      </c>
      <c r="G2863" s="758">
        <f t="shared" si="176"/>
        <v>0.44</v>
      </c>
      <c r="H2863" s="759">
        <f t="shared" si="177"/>
        <v>0.4</v>
      </c>
      <c r="I2863" s="758">
        <f t="shared" si="178"/>
        <v>1.06</v>
      </c>
      <c r="J2863" s="760">
        <f t="shared" si="179"/>
        <v>0.70666666666666667</v>
      </c>
    </row>
    <row r="2864" spans="1:10">
      <c r="A2864" s="74" t="s">
        <v>906</v>
      </c>
      <c r="B2864" s="74" t="s">
        <v>268</v>
      </c>
      <c r="C2864" s="74" t="s">
        <v>1522</v>
      </c>
      <c r="D2864" s="74" t="s">
        <v>91</v>
      </c>
      <c r="E2864" s="74">
        <v>3</v>
      </c>
      <c r="F2864" s="74">
        <v>4.5</v>
      </c>
      <c r="G2864" s="758">
        <f t="shared" si="176"/>
        <v>0.44</v>
      </c>
      <c r="H2864" s="759">
        <f t="shared" si="177"/>
        <v>0.4</v>
      </c>
      <c r="I2864" s="758">
        <f t="shared" si="178"/>
        <v>1.06</v>
      </c>
      <c r="J2864" s="760">
        <f t="shared" si="179"/>
        <v>0.70666666666666667</v>
      </c>
    </row>
    <row r="2865" spans="1:10">
      <c r="A2865" s="74" t="s">
        <v>906</v>
      </c>
      <c r="B2865" s="74" t="s">
        <v>268</v>
      </c>
      <c r="C2865" s="74" t="s">
        <v>1550</v>
      </c>
      <c r="D2865" s="74" t="s">
        <v>91</v>
      </c>
      <c r="E2865" s="74">
        <v>2</v>
      </c>
      <c r="F2865" s="74">
        <v>3</v>
      </c>
      <c r="G2865" s="758">
        <f t="shared" si="176"/>
        <v>0.44</v>
      </c>
      <c r="H2865" s="759">
        <f t="shared" si="177"/>
        <v>0.4</v>
      </c>
      <c r="I2865" s="758">
        <f t="shared" si="178"/>
        <v>1.06</v>
      </c>
      <c r="J2865" s="760">
        <f t="shared" si="179"/>
        <v>0.70666666666666667</v>
      </c>
    </row>
    <row r="2866" spans="1:10">
      <c r="A2866" s="74" t="s">
        <v>906</v>
      </c>
      <c r="B2866" s="74" t="s">
        <v>268</v>
      </c>
      <c r="C2866" s="74" t="s">
        <v>1526</v>
      </c>
      <c r="D2866" s="74" t="s">
        <v>95</v>
      </c>
      <c r="E2866" s="74">
        <v>1</v>
      </c>
      <c r="F2866" s="74">
        <v>1.5</v>
      </c>
      <c r="G2866" s="758">
        <f t="shared" si="176"/>
        <v>0.44</v>
      </c>
      <c r="H2866" s="759">
        <f t="shared" si="177"/>
        <v>0.4</v>
      </c>
      <c r="I2866" s="758">
        <f t="shared" si="178"/>
        <v>1.06</v>
      </c>
      <c r="J2866" s="760">
        <f t="shared" si="179"/>
        <v>0.70666666666666667</v>
      </c>
    </row>
    <row r="2867" spans="1:10">
      <c r="A2867" s="74" t="s">
        <v>906</v>
      </c>
      <c r="B2867" s="74" t="s">
        <v>268</v>
      </c>
      <c r="C2867" s="74" t="s">
        <v>1930</v>
      </c>
      <c r="D2867" s="74" t="s">
        <v>95</v>
      </c>
      <c r="E2867" s="74">
        <v>2</v>
      </c>
      <c r="F2867" s="74">
        <v>3</v>
      </c>
      <c r="G2867" s="758">
        <f t="shared" si="176"/>
        <v>0.44</v>
      </c>
      <c r="H2867" s="759">
        <f t="shared" si="177"/>
        <v>0.4</v>
      </c>
      <c r="I2867" s="758">
        <f t="shared" si="178"/>
        <v>1.06</v>
      </c>
      <c r="J2867" s="760">
        <f t="shared" si="179"/>
        <v>0.70666666666666667</v>
      </c>
    </row>
    <row r="2868" spans="1:10">
      <c r="A2868" s="74" t="s">
        <v>1820</v>
      </c>
      <c r="B2868" s="74" t="s">
        <v>877</v>
      </c>
      <c r="C2868" s="74" t="s">
        <v>1530</v>
      </c>
      <c r="D2868" s="74" t="s">
        <v>80</v>
      </c>
      <c r="E2868" s="74">
        <v>1</v>
      </c>
      <c r="F2868" s="74">
        <v>2</v>
      </c>
      <c r="G2868" s="758">
        <f t="shared" si="176"/>
        <v>0</v>
      </c>
      <c r="H2868" s="759">
        <f t="shared" si="177"/>
        <v>0</v>
      </c>
      <c r="I2868" s="758">
        <f t="shared" si="178"/>
        <v>2</v>
      </c>
      <c r="J2868" s="760">
        <f t="shared" si="179"/>
        <v>1</v>
      </c>
    </row>
    <row r="2869" spans="1:10">
      <c r="A2869" s="74" t="s">
        <v>1821</v>
      </c>
      <c r="B2869" s="74" t="s">
        <v>258</v>
      </c>
      <c r="C2869" s="74" t="s">
        <v>1509</v>
      </c>
      <c r="D2869" s="74" t="s">
        <v>78</v>
      </c>
      <c r="E2869" s="74">
        <v>6</v>
      </c>
      <c r="F2869" s="74">
        <v>0</v>
      </c>
      <c r="G2869" s="758">
        <f t="shared" si="176"/>
        <v>0</v>
      </c>
      <c r="H2869" s="759">
        <f t="shared" si="177"/>
        <v>0</v>
      </c>
      <c r="I2869" s="758">
        <f t="shared" si="178"/>
        <v>0</v>
      </c>
      <c r="J2869" s="760">
        <f t="shared" si="179"/>
        <v>0</v>
      </c>
    </row>
    <row r="2870" spans="1:10">
      <c r="A2870" s="74" t="s">
        <v>1267</v>
      </c>
      <c r="B2870" s="74" t="s">
        <v>873</v>
      </c>
      <c r="C2870" s="74" t="s">
        <v>1534</v>
      </c>
      <c r="D2870" s="74" t="s">
        <v>81</v>
      </c>
      <c r="E2870" s="74">
        <v>3</v>
      </c>
      <c r="F2870" s="74">
        <v>0</v>
      </c>
      <c r="G2870" s="758">
        <f t="shared" si="176"/>
        <v>0.98</v>
      </c>
      <c r="H2870" s="759">
        <f t="shared" si="177"/>
        <v>0</v>
      </c>
      <c r="I2870" s="758">
        <f t="shared" si="178"/>
        <v>-0.98</v>
      </c>
      <c r="J2870" s="760">
        <f t="shared" si="179"/>
        <v>0</v>
      </c>
    </row>
    <row r="2871" spans="1:10">
      <c r="A2871" s="74" t="s">
        <v>1267</v>
      </c>
      <c r="B2871" s="74" t="s">
        <v>873</v>
      </c>
      <c r="C2871" s="74" t="s">
        <v>1540</v>
      </c>
      <c r="D2871" s="74" t="s">
        <v>84</v>
      </c>
      <c r="E2871" s="74">
        <v>2</v>
      </c>
      <c r="F2871" s="74">
        <v>0</v>
      </c>
      <c r="G2871" s="758">
        <f t="shared" si="176"/>
        <v>0.98</v>
      </c>
      <c r="H2871" s="759">
        <f t="shared" si="177"/>
        <v>0</v>
      </c>
      <c r="I2871" s="758">
        <f t="shared" si="178"/>
        <v>-0.98</v>
      </c>
      <c r="J2871" s="760">
        <f t="shared" si="179"/>
        <v>0</v>
      </c>
    </row>
    <row r="2872" spans="1:10">
      <c r="A2872" s="74" t="s">
        <v>1822</v>
      </c>
      <c r="B2872" s="74" t="s">
        <v>873</v>
      </c>
      <c r="C2872" s="74" t="s">
        <v>1519</v>
      </c>
      <c r="D2872" s="74" t="s">
        <v>84</v>
      </c>
      <c r="E2872" s="74">
        <v>3</v>
      </c>
      <c r="F2872" s="74">
        <v>0</v>
      </c>
      <c r="G2872" s="758">
        <f t="shared" si="176"/>
        <v>0.98</v>
      </c>
      <c r="H2872" s="759">
        <f t="shared" si="177"/>
        <v>0</v>
      </c>
      <c r="I2872" s="758">
        <f t="shared" si="178"/>
        <v>-0.98</v>
      </c>
      <c r="J2872" s="760">
        <f t="shared" si="179"/>
        <v>0</v>
      </c>
    </row>
    <row r="2873" spans="1:10">
      <c r="A2873" s="74" t="s">
        <v>1823</v>
      </c>
      <c r="B2873" s="74" t="s">
        <v>873</v>
      </c>
      <c r="C2873" s="74" t="s">
        <v>1517</v>
      </c>
      <c r="D2873" s="74" t="s">
        <v>82</v>
      </c>
      <c r="E2873" s="74">
        <v>7</v>
      </c>
      <c r="F2873" s="74">
        <v>0</v>
      </c>
      <c r="G2873" s="758">
        <f t="shared" si="176"/>
        <v>0.98</v>
      </c>
      <c r="H2873" s="759">
        <f t="shared" si="177"/>
        <v>0</v>
      </c>
      <c r="I2873" s="758">
        <f t="shared" si="178"/>
        <v>-0.98</v>
      </c>
      <c r="J2873" s="760">
        <f t="shared" si="179"/>
        <v>0</v>
      </c>
    </row>
    <row r="2874" spans="1:10">
      <c r="A2874" s="74" t="s">
        <v>1824</v>
      </c>
      <c r="B2874" s="74" t="s">
        <v>894</v>
      </c>
      <c r="C2874" s="74" t="s">
        <v>1577</v>
      </c>
      <c r="D2874" s="74" t="s">
        <v>84</v>
      </c>
      <c r="E2874" s="74">
        <v>1</v>
      </c>
      <c r="F2874" s="74">
        <v>5.7</v>
      </c>
      <c r="G2874" s="758">
        <f t="shared" si="176"/>
        <v>0</v>
      </c>
      <c r="H2874" s="759">
        <f t="shared" si="177"/>
        <v>0</v>
      </c>
      <c r="I2874" s="758">
        <f t="shared" si="178"/>
        <v>5.7</v>
      </c>
      <c r="J2874" s="760">
        <f t="shared" si="179"/>
        <v>1</v>
      </c>
    </row>
    <row r="2875" spans="1:10">
      <c r="A2875" s="74" t="s">
        <v>1825</v>
      </c>
      <c r="B2875" s="74" t="s">
        <v>894</v>
      </c>
      <c r="C2875" s="74" t="s">
        <v>1541</v>
      </c>
      <c r="D2875" s="74" t="s">
        <v>86</v>
      </c>
      <c r="E2875" s="74">
        <v>1</v>
      </c>
      <c r="F2875" s="74">
        <v>5.7</v>
      </c>
      <c r="G2875" s="758">
        <f t="shared" si="176"/>
        <v>0</v>
      </c>
      <c r="H2875" s="759">
        <f t="shared" si="177"/>
        <v>0</v>
      </c>
      <c r="I2875" s="758">
        <f t="shared" si="178"/>
        <v>5.7</v>
      </c>
      <c r="J2875" s="760">
        <f t="shared" si="179"/>
        <v>1</v>
      </c>
    </row>
    <row r="2876" spans="1:10">
      <c r="A2876" s="74" t="s">
        <v>1826</v>
      </c>
      <c r="B2876" s="74" t="s">
        <v>264</v>
      </c>
      <c r="C2876" s="74" t="s">
        <v>1565</v>
      </c>
      <c r="D2876" s="74" t="s">
        <v>78</v>
      </c>
      <c r="E2876" s="74">
        <v>1</v>
      </c>
      <c r="F2876" s="74">
        <v>1</v>
      </c>
      <c r="G2876" s="758">
        <f t="shared" si="176"/>
        <v>0.1</v>
      </c>
      <c r="H2876" s="759">
        <f t="shared" si="177"/>
        <v>0.11</v>
      </c>
      <c r="I2876" s="758">
        <f t="shared" si="178"/>
        <v>0.9</v>
      </c>
      <c r="J2876" s="760">
        <f t="shared" si="179"/>
        <v>0.9</v>
      </c>
    </row>
    <row r="2877" spans="1:10">
      <c r="A2877" s="74" t="s">
        <v>1826</v>
      </c>
      <c r="B2877" s="74" t="s">
        <v>264</v>
      </c>
      <c r="C2877" s="74" t="s">
        <v>1515</v>
      </c>
      <c r="D2877" s="74" t="s">
        <v>81</v>
      </c>
      <c r="E2877" s="74">
        <v>1</v>
      </c>
      <c r="F2877" s="74">
        <v>1</v>
      </c>
      <c r="G2877" s="758">
        <f t="shared" si="176"/>
        <v>0.1</v>
      </c>
      <c r="H2877" s="759">
        <f t="shared" si="177"/>
        <v>0.11</v>
      </c>
      <c r="I2877" s="758">
        <f t="shared" si="178"/>
        <v>0.9</v>
      </c>
      <c r="J2877" s="760">
        <f t="shared" si="179"/>
        <v>0.9</v>
      </c>
    </row>
    <row r="2878" spans="1:10">
      <c r="A2878" s="74" t="s">
        <v>1827</v>
      </c>
      <c r="B2878" s="74" t="s">
        <v>323</v>
      </c>
      <c r="C2878" s="74" t="s">
        <v>1543</v>
      </c>
      <c r="D2878" s="74" t="s">
        <v>87</v>
      </c>
      <c r="E2878" s="74">
        <v>1</v>
      </c>
      <c r="F2878" s="74">
        <v>11.9</v>
      </c>
      <c r="G2878" s="758">
        <f t="shared" si="176"/>
        <v>0</v>
      </c>
      <c r="H2878" s="759">
        <f t="shared" si="177"/>
        <v>0</v>
      </c>
      <c r="I2878" s="758">
        <f t="shared" si="178"/>
        <v>11.9</v>
      </c>
      <c r="J2878" s="760">
        <f t="shared" si="179"/>
        <v>1</v>
      </c>
    </row>
    <row r="2879" spans="1:10">
      <c r="A2879" s="74" t="s">
        <v>1828</v>
      </c>
      <c r="B2879" s="74" t="s">
        <v>873</v>
      </c>
      <c r="C2879" s="74" t="s">
        <v>1578</v>
      </c>
      <c r="D2879" s="74" t="s">
        <v>86</v>
      </c>
      <c r="E2879" s="74">
        <v>4</v>
      </c>
      <c r="F2879" s="74">
        <v>0</v>
      </c>
      <c r="G2879" s="758">
        <f t="shared" si="176"/>
        <v>0</v>
      </c>
      <c r="H2879" s="759">
        <f t="shared" si="177"/>
        <v>0</v>
      </c>
      <c r="I2879" s="758">
        <f t="shared" si="178"/>
        <v>0</v>
      </c>
      <c r="J2879" s="760">
        <f t="shared" si="179"/>
        <v>0</v>
      </c>
    </row>
    <row r="2880" spans="1:10">
      <c r="A2880" s="74" t="s">
        <v>1829</v>
      </c>
      <c r="B2880" s="74" t="s">
        <v>873</v>
      </c>
      <c r="C2880" s="74" t="s">
        <v>1614</v>
      </c>
      <c r="D2880" s="74" t="s">
        <v>92</v>
      </c>
      <c r="E2880" s="74">
        <v>7</v>
      </c>
      <c r="F2880" s="74">
        <v>0</v>
      </c>
      <c r="G2880" s="758">
        <f t="shared" si="176"/>
        <v>0</v>
      </c>
      <c r="H2880" s="759">
        <f t="shared" si="177"/>
        <v>0</v>
      </c>
      <c r="I2880" s="758">
        <f t="shared" si="178"/>
        <v>0</v>
      </c>
      <c r="J2880" s="760">
        <f t="shared" si="179"/>
        <v>0</v>
      </c>
    </row>
    <row r="2881" spans="1:10">
      <c r="A2881" s="74" t="s">
        <v>1830</v>
      </c>
      <c r="B2881" s="74" t="s">
        <v>327</v>
      </c>
      <c r="C2881" s="74" t="s">
        <v>1646</v>
      </c>
      <c r="D2881" s="74" t="s">
        <v>86</v>
      </c>
      <c r="E2881" s="74">
        <v>1</v>
      </c>
      <c r="F2881" s="74">
        <v>4.8499999999999996</v>
      </c>
      <c r="G2881" s="758">
        <f t="shared" si="176"/>
        <v>0</v>
      </c>
      <c r="H2881" s="759">
        <f t="shared" si="177"/>
        <v>0</v>
      </c>
      <c r="I2881" s="758">
        <f t="shared" si="178"/>
        <v>4.8499999999999996</v>
      </c>
      <c r="J2881" s="760">
        <f t="shared" si="179"/>
        <v>1</v>
      </c>
    </row>
    <row r="2882" spans="1:10">
      <c r="A2882" s="74" t="s">
        <v>1831</v>
      </c>
      <c r="B2882" s="74" t="s">
        <v>873</v>
      </c>
      <c r="C2882" s="74" t="s">
        <v>1511</v>
      </c>
      <c r="D2882" s="74" t="s">
        <v>80</v>
      </c>
      <c r="E2882" s="74">
        <v>2</v>
      </c>
      <c r="F2882" s="74">
        <v>0</v>
      </c>
      <c r="G2882" s="758">
        <f t="shared" ref="G2882:G2945" si="180">IFERROR(VLOOKUP(A2882,$M$1:$P$1014,2,FALSE),0)</f>
        <v>1.21</v>
      </c>
      <c r="H2882" s="759">
        <f t="shared" ref="H2882:H2945" si="181">IFERROR(VLOOKUP(A2882,$M$1:$P$1014,3,FALSE),0)</f>
        <v>0</v>
      </c>
      <c r="I2882" s="758">
        <f t="shared" ref="I2882:I2945" si="182">IFERROR(F2882/E2882-G2882,0)</f>
        <v>-1.21</v>
      </c>
      <c r="J2882" s="760">
        <f t="shared" ref="J2882:J2945" si="183">IFERROR(1-G2882*E2882/F2882,0)</f>
        <v>0</v>
      </c>
    </row>
    <row r="2883" spans="1:10">
      <c r="A2883" s="74" t="s">
        <v>1831</v>
      </c>
      <c r="B2883" s="74" t="s">
        <v>873</v>
      </c>
      <c r="C2883" s="74" t="s">
        <v>1516</v>
      </c>
      <c r="D2883" s="74" t="s">
        <v>82</v>
      </c>
      <c r="E2883" s="74">
        <v>6</v>
      </c>
      <c r="F2883" s="74">
        <v>0</v>
      </c>
      <c r="G2883" s="758">
        <f t="shared" si="180"/>
        <v>1.21</v>
      </c>
      <c r="H2883" s="759">
        <f t="shared" si="181"/>
        <v>0</v>
      </c>
      <c r="I2883" s="758">
        <f t="shared" si="182"/>
        <v>-1.21</v>
      </c>
      <c r="J2883" s="760">
        <f t="shared" si="183"/>
        <v>0</v>
      </c>
    </row>
    <row r="2884" spans="1:10">
      <c r="A2884" s="74" t="s">
        <v>977</v>
      </c>
      <c r="B2884" s="74" t="s">
        <v>873</v>
      </c>
      <c r="C2884" s="74" t="s">
        <v>1544</v>
      </c>
      <c r="D2884" s="74" t="s">
        <v>87</v>
      </c>
      <c r="E2884" s="74">
        <v>5</v>
      </c>
      <c r="F2884" s="74">
        <v>0</v>
      </c>
      <c r="G2884" s="758">
        <f t="shared" si="180"/>
        <v>0</v>
      </c>
      <c r="H2884" s="759">
        <f t="shared" si="181"/>
        <v>0</v>
      </c>
      <c r="I2884" s="758">
        <f t="shared" si="182"/>
        <v>0</v>
      </c>
      <c r="J2884" s="760">
        <f t="shared" si="183"/>
        <v>0</v>
      </c>
    </row>
    <row r="2885" spans="1:10">
      <c r="A2885" s="74" t="s">
        <v>977</v>
      </c>
      <c r="B2885" s="74" t="s">
        <v>873</v>
      </c>
      <c r="C2885" s="74" t="s">
        <v>1561</v>
      </c>
      <c r="D2885" s="74" t="s">
        <v>87</v>
      </c>
      <c r="E2885" s="74">
        <v>7</v>
      </c>
      <c r="F2885" s="74">
        <v>0</v>
      </c>
      <c r="G2885" s="758">
        <f t="shared" si="180"/>
        <v>0</v>
      </c>
      <c r="H2885" s="759">
        <f t="shared" si="181"/>
        <v>0</v>
      </c>
      <c r="I2885" s="758">
        <f t="shared" si="182"/>
        <v>0</v>
      </c>
      <c r="J2885" s="760">
        <f t="shared" si="183"/>
        <v>0</v>
      </c>
    </row>
    <row r="2886" spans="1:10">
      <c r="A2886" s="74" t="s">
        <v>977</v>
      </c>
      <c r="B2886" s="74" t="s">
        <v>873</v>
      </c>
      <c r="C2886" s="74" t="s">
        <v>1930</v>
      </c>
      <c r="D2886" s="74" t="s">
        <v>95</v>
      </c>
      <c r="E2886" s="74">
        <v>6</v>
      </c>
      <c r="F2886" s="74">
        <v>0</v>
      </c>
      <c r="G2886" s="758">
        <f t="shared" si="180"/>
        <v>0</v>
      </c>
      <c r="H2886" s="759">
        <f t="shared" si="181"/>
        <v>0</v>
      </c>
      <c r="I2886" s="758">
        <f t="shared" si="182"/>
        <v>0</v>
      </c>
      <c r="J2886" s="760">
        <f t="shared" si="183"/>
        <v>0</v>
      </c>
    </row>
    <row r="2887" spans="1:10">
      <c r="A2887" s="74" t="s">
        <v>1832</v>
      </c>
      <c r="B2887" s="74" t="s">
        <v>873</v>
      </c>
      <c r="C2887" s="74" t="s">
        <v>1519</v>
      </c>
      <c r="D2887" s="74" t="s">
        <v>84</v>
      </c>
      <c r="E2887" s="74">
        <v>1</v>
      </c>
      <c r="F2887" s="74">
        <v>0</v>
      </c>
      <c r="G2887" s="758">
        <f t="shared" si="180"/>
        <v>1.21</v>
      </c>
      <c r="H2887" s="759">
        <f t="shared" si="181"/>
        <v>0</v>
      </c>
      <c r="I2887" s="758">
        <f t="shared" si="182"/>
        <v>-1.21</v>
      </c>
      <c r="J2887" s="760">
        <f t="shared" si="183"/>
        <v>0</v>
      </c>
    </row>
    <row r="2888" spans="1:10">
      <c r="A2888" s="74" t="s">
        <v>1832</v>
      </c>
      <c r="B2888" s="74" t="s">
        <v>873</v>
      </c>
      <c r="C2888" s="74" t="s">
        <v>1540</v>
      </c>
      <c r="D2888" s="74" t="s">
        <v>84</v>
      </c>
      <c r="E2888" s="74">
        <v>6</v>
      </c>
      <c r="F2888" s="74">
        <v>0</v>
      </c>
      <c r="G2888" s="758">
        <f t="shared" si="180"/>
        <v>1.21</v>
      </c>
      <c r="H2888" s="759">
        <f t="shared" si="181"/>
        <v>0</v>
      </c>
      <c r="I2888" s="758">
        <f t="shared" si="182"/>
        <v>-1.21</v>
      </c>
      <c r="J2888" s="760">
        <f t="shared" si="183"/>
        <v>0</v>
      </c>
    </row>
    <row r="2889" spans="1:10">
      <c r="A2889" s="74" t="s">
        <v>939</v>
      </c>
      <c r="B2889" s="74" t="s">
        <v>327</v>
      </c>
      <c r="C2889" s="74" t="s">
        <v>1546</v>
      </c>
      <c r="D2889" s="74" t="s">
        <v>89</v>
      </c>
      <c r="E2889" s="74">
        <v>1</v>
      </c>
      <c r="F2889" s="74">
        <v>4.8499999999999996</v>
      </c>
      <c r="G2889" s="758">
        <f t="shared" si="180"/>
        <v>0</v>
      </c>
      <c r="H2889" s="759">
        <f t="shared" si="181"/>
        <v>0</v>
      </c>
      <c r="I2889" s="758">
        <f t="shared" si="182"/>
        <v>4.8499999999999996</v>
      </c>
      <c r="J2889" s="760">
        <f t="shared" si="183"/>
        <v>1</v>
      </c>
    </row>
    <row r="2890" spans="1:10">
      <c r="A2890" s="74" t="s">
        <v>939</v>
      </c>
      <c r="B2890" s="74" t="s">
        <v>327</v>
      </c>
      <c r="C2890" s="74" t="s">
        <v>1547</v>
      </c>
      <c r="D2890" s="74" t="s">
        <v>89</v>
      </c>
      <c r="E2890" s="74">
        <v>3</v>
      </c>
      <c r="F2890" s="74">
        <v>14.55</v>
      </c>
      <c r="G2890" s="758">
        <f t="shared" si="180"/>
        <v>0</v>
      </c>
      <c r="H2890" s="759">
        <f t="shared" si="181"/>
        <v>0</v>
      </c>
      <c r="I2890" s="758">
        <f t="shared" si="182"/>
        <v>4.8500000000000005</v>
      </c>
      <c r="J2890" s="760">
        <f t="shared" si="183"/>
        <v>1</v>
      </c>
    </row>
    <row r="2891" spans="1:10">
      <c r="A2891" s="74" t="s">
        <v>939</v>
      </c>
      <c r="B2891" s="74" t="s">
        <v>327</v>
      </c>
      <c r="C2891" s="74" t="s">
        <v>1582</v>
      </c>
      <c r="D2891" s="74" t="s">
        <v>89</v>
      </c>
      <c r="E2891" s="74">
        <v>1</v>
      </c>
      <c r="F2891" s="74">
        <v>4.8499999999999996</v>
      </c>
      <c r="G2891" s="758">
        <f t="shared" si="180"/>
        <v>0</v>
      </c>
      <c r="H2891" s="759">
        <f t="shared" si="181"/>
        <v>0</v>
      </c>
      <c r="I2891" s="758">
        <f t="shared" si="182"/>
        <v>4.8499999999999996</v>
      </c>
      <c r="J2891" s="760">
        <f t="shared" si="183"/>
        <v>1</v>
      </c>
    </row>
    <row r="2892" spans="1:10">
      <c r="A2892" s="74" t="s">
        <v>939</v>
      </c>
      <c r="B2892" s="74" t="s">
        <v>327</v>
      </c>
      <c r="C2892" s="74" t="s">
        <v>1522</v>
      </c>
      <c r="D2892" s="74" t="s">
        <v>91</v>
      </c>
      <c r="E2892" s="74">
        <v>1</v>
      </c>
      <c r="F2892" s="74">
        <v>4.8499999999999996</v>
      </c>
      <c r="G2892" s="758">
        <f t="shared" si="180"/>
        <v>0</v>
      </c>
      <c r="H2892" s="759">
        <f t="shared" si="181"/>
        <v>0</v>
      </c>
      <c r="I2892" s="758">
        <f t="shared" si="182"/>
        <v>4.8499999999999996</v>
      </c>
      <c r="J2892" s="760">
        <f t="shared" si="183"/>
        <v>1</v>
      </c>
    </row>
    <row r="2893" spans="1:10">
      <c r="A2893" s="74" t="s">
        <v>939</v>
      </c>
      <c r="B2893" s="74" t="s">
        <v>327</v>
      </c>
      <c r="C2893" s="74" t="s">
        <v>1550</v>
      </c>
      <c r="D2893" s="74" t="s">
        <v>91</v>
      </c>
      <c r="E2893" s="74">
        <v>2</v>
      </c>
      <c r="F2893" s="74">
        <v>9.6999999999999993</v>
      </c>
      <c r="G2893" s="758">
        <f t="shared" si="180"/>
        <v>0</v>
      </c>
      <c r="H2893" s="759">
        <f t="shared" si="181"/>
        <v>0</v>
      </c>
      <c r="I2893" s="758">
        <f t="shared" si="182"/>
        <v>4.8499999999999996</v>
      </c>
      <c r="J2893" s="760">
        <f t="shared" si="183"/>
        <v>1</v>
      </c>
    </row>
    <row r="2894" spans="1:10">
      <c r="A2894" s="74" t="s">
        <v>939</v>
      </c>
      <c r="B2894" s="74" t="s">
        <v>327</v>
      </c>
      <c r="C2894" s="74" t="s">
        <v>1524</v>
      </c>
      <c r="D2894" s="74" t="s">
        <v>91</v>
      </c>
      <c r="E2894" s="74">
        <v>3</v>
      </c>
      <c r="F2894" s="74">
        <v>14.55</v>
      </c>
      <c r="G2894" s="758">
        <f t="shared" si="180"/>
        <v>0</v>
      </c>
      <c r="H2894" s="759">
        <f t="shared" si="181"/>
        <v>0</v>
      </c>
      <c r="I2894" s="758">
        <f t="shared" si="182"/>
        <v>4.8500000000000005</v>
      </c>
      <c r="J2894" s="760">
        <f t="shared" si="183"/>
        <v>1</v>
      </c>
    </row>
    <row r="2895" spans="1:10">
      <c r="A2895" s="74" t="s">
        <v>939</v>
      </c>
      <c r="B2895" s="74" t="s">
        <v>327</v>
      </c>
      <c r="C2895" s="74" t="s">
        <v>1614</v>
      </c>
      <c r="D2895" s="74" t="s">
        <v>92</v>
      </c>
      <c r="E2895" s="74">
        <v>2</v>
      </c>
      <c r="F2895" s="74">
        <v>9.6999999999999993</v>
      </c>
      <c r="G2895" s="758">
        <f t="shared" si="180"/>
        <v>0</v>
      </c>
      <c r="H2895" s="759">
        <f t="shared" si="181"/>
        <v>0</v>
      </c>
      <c r="I2895" s="758">
        <f t="shared" si="182"/>
        <v>4.8499999999999996</v>
      </c>
      <c r="J2895" s="760">
        <f t="shared" si="183"/>
        <v>1</v>
      </c>
    </row>
    <row r="2896" spans="1:10">
      <c r="A2896" s="74" t="s">
        <v>939</v>
      </c>
      <c r="B2896" s="74" t="s">
        <v>327</v>
      </c>
      <c r="C2896" s="74" t="s">
        <v>1631</v>
      </c>
      <c r="D2896" s="74" t="s">
        <v>92</v>
      </c>
      <c r="E2896" s="74">
        <v>1</v>
      </c>
      <c r="F2896" s="74">
        <v>4.8499999999999996</v>
      </c>
      <c r="G2896" s="758">
        <f t="shared" si="180"/>
        <v>0</v>
      </c>
      <c r="H2896" s="759">
        <f t="shared" si="181"/>
        <v>0</v>
      </c>
      <c r="I2896" s="758">
        <f t="shared" si="182"/>
        <v>4.8499999999999996</v>
      </c>
      <c r="J2896" s="760">
        <f t="shared" si="183"/>
        <v>1</v>
      </c>
    </row>
    <row r="2897" spans="1:10">
      <c r="A2897" s="74" t="s">
        <v>939</v>
      </c>
      <c r="B2897" s="74" t="s">
        <v>327</v>
      </c>
      <c r="C2897" s="74" t="s">
        <v>1553</v>
      </c>
      <c r="D2897" s="74" t="s">
        <v>94</v>
      </c>
      <c r="E2897" s="74">
        <v>1</v>
      </c>
      <c r="F2897" s="74">
        <v>4.8499999999999996</v>
      </c>
      <c r="G2897" s="758">
        <f t="shared" si="180"/>
        <v>0</v>
      </c>
      <c r="H2897" s="759">
        <f t="shared" si="181"/>
        <v>0</v>
      </c>
      <c r="I2897" s="758">
        <f t="shared" si="182"/>
        <v>4.8499999999999996</v>
      </c>
      <c r="J2897" s="760">
        <f t="shared" si="183"/>
        <v>1</v>
      </c>
    </row>
    <row r="2898" spans="1:10">
      <c r="A2898" s="74" t="s">
        <v>939</v>
      </c>
      <c r="B2898" s="74" t="s">
        <v>327</v>
      </c>
      <c r="C2898" s="74" t="s">
        <v>1557</v>
      </c>
      <c r="D2898" s="74" t="s">
        <v>95</v>
      </c>
      <c r="E2898" s="74">
        <v>2</v>
      </c>
      <c r="F2898" s="74">
        <v>9.6999999999999993</v>
      </c>
      <c r="G2898" s="758">
        <f t="shared" si="180"/>
        <v>0</v>
      </c>
      <c r="H2898" s="759">
        <f t="shared" si="181"/>
        <v>0</v>
      </c>
      <c r="I2898" s="758">
        <f t="shared" si="182"/>
        <v>4.8499999999999996</v>
      </c>
      <c r="J2898" s="760">
        <f t="shared" si="183"/>
        <v>1</v>
      </c>
    </row>
    <row r="2899" spans="1:10">
      <c r="A2899" s="74" t="s">
        <v>939</v>
      </c>
      <c r="B2899" s="74" t="s">
        <v>327</v>
      </c>
      <c r="C2899" s="74" t="s">
        <v>1526</v>
      </c>
      <c r="D2899" s="74" t="s">
        <v>95</v>
      </c>
      <c r="E2899" s="74">
        <v>2</v>
      </c>
      <c r="F2899" s="74">
        <v>9.6999999999999993</v>
      </c>
      <c r="G2899" s="758">
        <f t="shared" si="180"/>
        <v>0</v>
      </c>
      <c r="H2899" s="759">
        <f t="shared" si="181"/>
        <v>0</v>
      </c>
      <c r="I2899" s="758">
        <f t="shared" si="182"/>
        <v>4.8499999999999996</v>
      </c>
      <c r="J2899" s="760">
        <f t="shared" si="183"/>
        <v>1</v>
      </c>
    </row>
    <row r="2900" spans="1:10">
      <c r="A2900" s="74" t="s">
        <v>939</v>
      </c>
      <c r="B2900" s="74" t="s">
        <v>327</v>
      </c>
      <c r="C2900" s="74" t="s">
        <v>1930</v>
      </c>
      <c r="D2900" s="74" t="s">
        <v>95</v>
      </c>
      <c r="E2900" s="74">
        <v>2</v>
      </c>
      <c r="F2900" s="74">
        <v>9.6999999999999993</v>
      </c>
      <c r="G2900" s="758">
        <f t="shared" si="180"/>
        <v>0</v>
      </c>
      <c r="H2900" s="759">
        <f t="shared" si="181"/>
        <v>0</v>
      </c>
      <c r="I2900" s="758">
        <f t="shared" si="182"/>
        <v>4.8499999999999996</v>
      </c>
      <c r="J2900" s="760">
        <f t="shared" si="183"/>
        <v>1</v>
      </c>
    </row>
    <row r="2901" spans="1:10">
      <c r="A2901" s="74" t="s">
        <v>801</v>
      </c>
      <c r="B2901" s="74" t="s">
        <v>713</v>
      </c>
      <c r="C2901" s="74" t="s">
        <v>1528</v>
      </c>
      <c r="D2901" s="74" t="s">
        <v>78</v>
      </c>
      <c r="E2901" s="74">
        <v>1</v>
      </c>
      <c r="F2901" s="74">
        <v>4.8499999999999996</v>
      </c>
      <c r="G2901" s="758">
        <f t="shared" si="180"/>
        <v>1.26</v>
      </c>
      <c r="H2901" s="759">
        <f t="shared" si="181"/>
        <v>0.4</v>
      </c>
      <c r="I2901" s="758">
        <f t="shared" si="182"/>
        <v>3.59</v>
      </c>
      <c r="J2901" s="760">
        <f t="shared" si="183"/>
        <v>0.74020618556701034</v>
      </c>
    </row>
    <row r="2902" spans="1:10">
      <c r="A2902" s="74" t="s">
        <v>801</v>
      </c>
      <c r="B2902" s="74" t="s">
        <v>713</v>
      </c>
      <c r="C2902" s="74" t="s">
        <v>1508</v>
      </c>
      <c r="D2902" s="74" t="s">
        <v>78</v>
      </c>
      <c r="E2902" s="74">
        <v>4</v>
      </c>
      <c r="F2902" s="74">
        <v>20.399999999999999</v>
      </c>
      <c r="G2902" s="758">
        <f t="shared" si="180"/>
        <v>1.26</v>
      </c>
      <c r="H2902" s="759">
        <f t="shared" si="181"/>
        <v>0.4</v>
      </c>
      <c r="I2902" s="758">
        <f t="shared" si="182"/>
        <v>3.84</v>
      </c>
      <c r="J2902" s="760">
        <f t="shared" si="183"/>
        <v>0.75294117647058822</v>
      </c>
    </row>
    <row r="2903" spans="1:10">
      <c r="A2903" s="74" t="s">
        <v>801</v>
      </c>
      <c r="B2903" s="74" t="s">
        <v>713</v>
      </c>
      <c r="C2903" s="74" t="s">
        <v>1509</v>
      </c>
      <c r="D2903" s="74" t="s">
        <v>78</v>
      </c>
      <c r="E2903" s="74">
        <v>1</v>
      </c>
      <c r="F2903" s="74">
        <v>4.8499999999999996</v>
      </c>
      <c r="G2903" s="758">
        <f t="shared" si="180"/>
        <v>1.26</v>
      </c>
      <c r="H2903" s="759">
        <f t="shared" si="181"/>
        <v>0.4</v>
      </c>
      <c r="I2903" s="758">
        <f t="shared" si="182"/>
        <v>3.59</v>
      </c>
      <c r="J2903" s="760">
        <f t="shared" si="183"/>
        <v>0.74020618556701034</v>
      </c>
    </row>
    <row r="2904" spans="1:10">
      <c r="A2904" s="74" t="s">
        <v>801</v>
      </c>
      <c r="B2904" s="74" t="s">
        <v>713</v>
      </c>
      <c r="C2904" s="74" t="s">
        <v>1565</v>
      </c>
      <c r="D2904" s="74" t="s">
        <v>78</v>
      </c>
      <c r="E2904" s="74">
        <v>4</v>
      </c>
      <c r="F2904" s="74">
        <v>19.399999999999999</v>
      </c>
      <c r="G2904" s="758">
        <f t="shared" si="180"/>
        <v>1.26</v>
      </c>
      <c r="H2904" s="759">
        <f t="shared" si="181"/>
        <v>0.4</v>
      </c>
      <c r="I2904" s="758">
        <f t="shared" si="182"/>
        <v>3.59</v>
      </c>
      <c r="J2904" s="760">
        <f t="shared" si="183"/>
        <v>0.74020618556701034</v>
      </c>
    </row>
    <row r="2905" spans="1:10">
      <c r="A2905" s="74" t="s">
        <v>801</v>
      </c>
      <c r="B2905" s="74" t="s">
        <v>713</v>
      </c>
      <c r="C2905" s="74" t="s">
        <v>1532</v>
      </c>
      <c r="D2905" s="74" t="s">
        <v>80</v>
      </c>
      <c r="E2905" s="74">
        <v>2</v>
      </c>
      <c r="F2905" s="74">
        <v>9.6999999999999993</v>
      </c>
      <c r="G2905" s="758">
        <f t="shared" si="180"/>
        <v>1.26</v>
      </c>
      <c r="H2905" s="759">
        <f t="shared" si="181"/>
        <v>0.4</v>
      </c>
      <c r="I2905" s="758">
        <f t="shared" si="182"/>
        <v>3.59</v>
      </c>
      <c r="J2905" s="760">
        <f t="shared" si="183"/>
        <v>0.74020618556701034</v>
      </c>
    </row>
    <row r="2906" spans="1:10">
      <c r="A2906" s="74" t="s">
        <v>801</v>
      </c>
      <c r="B2906" s="74" t="s">
        <v>713</v>
      </c>
      <c r="C2906" s="74" t="s">
        <v>1511</v>
      </c>
      <c r="D2906" s="74" t="s">
        <v>80</v>
      </c>
      <c r="E2906" s="74">
        <v>2</v>
      </c>
      <c r="F2906" s="74">
        <v>9.26</v>
      </c>
      <c r="G2906" s="758">
        <f t="shared" si="180"/>
        <v>1.26</v>
      </c>
      <c r="H2906" s="759">
        <f t="shared" si="181"/>
        <v>0.4</v>
      </c>
      <c r="I2906" s="758">
        <f t="shared" si="182"/>
        <v>3.37</v>
      </c>
      <c r="J2906" s="760">
        <f t="shared" si="183"/>
        <v>0.72786177105831529</v>
      </c>
    </row>
    <row r="2907" spans="1:10">
      <c r="A2907" s="74" t="s">
        <v>801</v>
      </c>
      <c r="B2907" s="74" t="s">
        <v>713</v>
      </c>
      <c r="C2907" s="74" t="s">
        <v>1512</v>
      </c>
      <c r="D2907" s="74" t="s">
        <v>80</v>
      </c>
      <c r="E2907" s="74">
        <v>4</v>
      </c>
      <c r="F2907" s="74">
        <v>19.48</v>
      </c>
      <c r="G2907" s="758">
        <f t="shared" si="180"/>
        <v>1.26</v>
      </c>
      <c r="H2907" s="759">
        <f t="shared" si="181"/>
        <v>0.4</v>
      </c>
      <c r="I2907" s="758">
        <f t="shared" si="182"/>
        <v>3.6100000000000003</v>
      </c>
      <c r="J2907" s="760">
        <f t="shared" si="183"/>
        <v>0.74127310061601648</v>
      </c>
    </row>
    <row r="2908" spans="1:10">
      <c r="A2908" s="74" t="s">
        <v>801</v>
      </c>
      <c r="B2908" s="74" t="s">
        <v>713</v>
      </c>
      <c r="C2908" s="74" t="s">
        <v>1534</v>
      </c>
      <c r="D2908" s="74" t="s">
        <v>81</v>
      </c>
      <c r="E2908" s="74">
        <v>2</v>
      </c>
      <c r="F2908" s="74">
        <v>12.5</v>
      </c>
      <c r="G2908" s="758">
        <f t="shared" si="180"/>
        <v>1.26</v>
      </c>
      <c r="H2908" s="759">
        <f t="shared" si="181"/>
        <v>0.4</v>
      </c>
      <c r="I2908" s="758">
        <f t="shared" si="182"/>
        <v>4.99</v>
      </c>
      <c r="J2908" s="760">
        <f t="shared" si="183"/>
        <v>0.7984</v>
      </c>
    </row>
    <row r="2909" spans="1:10">
      <c r="A2909" s="74" t="s">
        <v>801</v>
      </c>
      <c r="B2909" s="74" t="s">
        <v>713</v>
      </c>
      <c r="C2909" s="74" t="s">
        <v>1513</v>
      </c>
      <c r="D2909" s="74" t="s">
        <v>81</v>
      </c>
      <c r="E2909" s="74">
        <v>3</v>
      </c>
      <c r="F2909" s="74">
        <v>14.6</v>
      </c>
      <c r="G2909" s="758">
        <f t="shared" si="180"/>
        <v>1.26</v>
      </c>
      <c r="H2909" s="759">
        <f t="shared" si="181"/>
        <v>0.4</v>
      </c>
      <c r="I2909" s="758">
        <f t="shared" si="182"/>
        <v>3.6066666666666665</v>
      </c>
      <c r="J2909" s="760">
        <f t="shared" si="183"/>
        <v>0.7410958904109588</v>
      </c>
    </row>
    <row r="2910" spans="1:10">
      <c r="A2910" s="74" t="s">
        <v>801</v>
      </c>
      <c r="B2910" s="74" t="s">
        <v>713</v>
      </c>
      <c r="C2910" s="74" t="s">
        <v>1514</v>
      </c>
      <c r="D2910" s="74" t="s">
        <v>81</v>
      </c>
      <c r="E2910" s="74">
        <v>4</v>
      </c>
      <c r="F2910" s="74">
        <v>22.2</v>
      </c>
      <c r="G2910" s="758">
        <f t="shared" si="180"/>
        <v>1.26</v>
      </c>
      <c r="H2910" s="759">
        <f t="shared" si="181"/>
        <v>0.4</v>
      </c>
      <c r="I2910" s="758">
        <f t="shared" si="182"/>
        <v>4.29</v>
      </c>
      <c r="J2910" s="760">
        <f t="shared" si="183"/>
        <v>0.77297297297297296</v>
      </c>
    </row>
    <row r="2911" spans="1:10">
      <c r="A2911" s="74" t="s">
        <v>801</v>
      </c>
      <c r="B2911" s="74" t="s">
        <v>713</v>
      </c>
      <c r="C2911" s="74" t="s">
        <v>1515</v>
      </c>
      <c r="D2911" s="74" t="s">
        <v>81</v>
      </c>
      <c r="E2911" s="74">
        <v>2</v>
      </c>
      <c r="F2911" s="74">
        <v>8.82</v>
      </c>
      <c r="G2911" s="758">
        <f t="shared" si="180"/>
        <v>1.26</v>
      </c>
      <c r="H2911" s="759">
        <f t="shared" si="181"/>
        <v>0.4</v>
      </c>
      <c r="I2911" s="758">
        <f t="shared" si="182"/>
        <v>3.1500000000000004</v>
      </c>
      <c r="J2911" s="760">
        <f t="shared" si="183"/>
        <v>0.7142857142857143</v>
      </c>
    </row>
    <row r="2912" spans="1:10">
      <c r="A2912" s="74" t="s">
        <v>801</v>
      </c>
      <c r="B2912" s="74" t="s">
        <v>713</v>
      </c>
      <c r="C2912" s="74" t="s">
        <v>1516</v>
      </c>
      <c r="D2912" s="74" t="s">
        <v>82</v>
      </c>
      <c r="E2912" s="74">
        <v>1</v>
      </c>
      <c r="F2912" s="74">
        <v>6.25</v>
      </c>
      <c r="G2912" s="758">
        <f t="shared" si="180"/>
        <v>1.26</v>
      </c>
      <c r="H2912" s="759">
        <f t="shared" si="181"/>
        <v>0.4</v>
      </c>
      <c r="I2912" s="758">
        <f t="shared" si="182"/>
        <v>4.99</v>
      </c>
      <c r="J2912" s="760">
        <f t="shared" si="183"/>
        <v>0.7984</v>
      </c>
    </row>
    <row r="2913" spans="1:10">
      <c r="A2913" s="74" t="s">
        <v>801</v>
      </c>
      <c r="B2913" s="74" t="s">
        <v>713</v>
      </c>
      <c r="C2913" s="74" t="s">
        <v>1527</v>
      </c>
      <c r="D2913" s="74" t="s">
        <v>82</v>
      </c>
      <c r="E2913" s="74">
        <v>8</v>
      </c>
      <c r="F2913" s="74">
        <v>47.2</v>
      </c>
      <c r="G2913" s="758">
        <f t="shared" si="180"/>
        <v>1.26</v>
      </c>
      <c r="H2913" s="759">
        <f t="shared" si="181"/>
        <v>0.4</v>
      </c>
      <c r="I2913" s="758">
        <f t="shared" si="182"/>
        <v>4.6400000000000006</v>
      </c>
      <c r="J2913" s="760">
        <f t="shared" si="183"/>
        <v>0.78644067796610173</v>
      </c>
    </row>
    <row r="2914" spans="1:10">
      <c r="A2914" s="74" t="s">
        <v>801</v>
      </c>
      <c r="B2914" s="74" t="s">
        <v>713</v>
      </c>
      <c r="C2914" s="74" t="s">
        <v>1518</v>
      </c>
      <c r="D2914" s="74" t="s">
        <v>82</v>
      </c>
      <c r="E2914" s="74">
        <v>1</v>
      </c>
      <c r="F2914" s="74">
        <v>4.8499999999999996</v>
      </c>
      <c r="G2914" s="758">
        <f t="shared" si="180"/>
        <v>1.26</v>
      </c>
      <c r="H2914" s="759">
        <f t="shared" si="181"/>
        <v>0.4</v>
      </c>
      <c r="I2914" s="758">
        <f t="shared" si="182"/>
        <v>3.59</v>
      </c>
      <c r="J2914" s="760">
        <f t="shared" si="183"/>
        <v>0.74020618556701034</v>
      </c>
    </row>
    <row r="2915" spans="1:10">
      <c r="A2915" s="74" t="s">
        <v>801</v>
      </c>
      <c r="B2915" s="74" t="s">
        <v>713</v>
      </c>
      <c r="C2915" s="74" t="s">
        <v>1519</v>
      </c>
      <c r="D2915" s="74" t="s">
        <v>84</v>
      </c>
      <c r="E2915" s="74">
        <v>2</v>
      </c>
      <c r="F2915" s="74">
        <v>9.6999999999999993</v>
      </c>
      <c r="G2915" s="758">
        <f t="shared" si="180"/>
        <v>1.26</v>
      </c>
      <c r="H2915" s="759">
        <f t="shared" si="181"/>
        <v>0.4</v>
      </c>
      <c r="I2915" s="758">
        <f t="shared" si="182"/>
        <v>3.59</v>
      </c>
      <c r="J2915" s="760">
        <f t="shared" si="183"/>
        <v>0.74020618556701034</v>
      </c>
    </row>
    <row r="2916" spans="1:10">
      <c r="A2916" s="74" t="s">
        <v>801</v>
      </c>
      <c r="B2916" s="74" t="s">
        <v>713</v>
      </c>
      <c r="C2916" s="74" t="s">
        <v>1577</v>
      </c>
      <c r="D2916" s="74" t="s">
        <v>84</v>
      </c>
      <c r="E2916" s="74">
        <v>3</v>
      </c>
      <c r="F2916" s="74">
        <v>14.55</v>
      </c>
      <c r="G2916" s="758">
        <f t="shared" si="180"/>
        <v>1.26</v>
      </c>
      <c r="H2916" s="759">
        <f t="shared" si="181"/>
        <v>0.4</v>
      </c>
      <c r="I2916" s="758">
        <f t="shared" si="182"/>
        <v>3.5900000000000007</v>
      </c>
      <c r="J2916" s="760">
        <f t="shared" si="183"/>
        <v>0.74020618556701034</v>
      </c>
    </row>
    <row r="2917" spans="1:10">
      <c r="A2917" s="74" t="s">
        <v>801</v>
      </c>
      <c r="B2917" s="74" t="s">
        <v>713</v>
      </c>
      <c r="C2917" s="74" t="s">
        <v>1507</v>
      </c>
      <c r="D2917" s="74" t="s">
        <v>86</v>
      </c>
      <c r="E2917" s="74">
        <v>3</v>
      </c>
      <c r="F2917" s="74">
        <v>14.55</v>
      </c>
      <c r="G2917" s="758">
        <f t="shared" si="180"/>
        <v>1.26</v>
      </c>
      <c r="H2917" s="759">
        <f t="shared" si="181"/>
        <v>0.4</v>
      </c>
      <c r="I2917" s="758">
        <f t="shared" si="182"/>
        <v>3.5900000000000007</v>
      </c>
      <c r="J2917" s="760">
        <f t="shared" si="183"/>
        <v>0.74020618556701034</v>
      </c>
    </row>
    <row r="2918" spans="1:10">
      <c r="A2918" s="74" t="s">
        <v>801</v>
      </c>
      <c r="B2918" s="74" t="s">
        <v>713</v>
      </c>
      <c r="C2918" s="74" t="s">
        <v>1644</v>
      </c>
      <c r="D2918" s="74" t="s">
        <v>86</v>
      </c>
      <c r="E2918" s="74">
        <v>1</v>
      </c>
      <c r="F2918" s="74">
        <v>4.8499999999999996</v>
      </c>
      <c r="G2918" s="758">
        <f t="shared" si="180"/>
        <v>1.26</v>
      </c>
      <c r="H2918" s="759">
        <f t="shared" si="181"/>
        <v>0.4</v>
      </c>
      <c r="I2918" s="758">
        <f t="shared" si="182"/>
        <v>3.59</v>
      </c>
      <c r="J2918" s="760">
        <f t="shared" si="183"/>
        <v>0.74020618556701034</v>
      </c>
    </row>
    <row r="2919" spans="1:10">
      <c r="A2919" s="74" t="s">
        <v>801</v>
      </c>
      <c r="B2919" s="74" t="s">
        <v>713</v>
      </c>
      <c r="C2919" s="74" t="s">
        <v>1578</v>
      </c>
      <c r="D2919" s="74" t="s">
        <v>86</v>
      </c>
      <c r="E2919" s="74">
        <v>2</v>
      </c>
      <c r="F2919" s="74">
        <v>9.6999999999999993</v>
      </c>
      <c r="G2919" s="758">
        <f t="shared" si="180"/>
        <v>1.26</v>
      </c>
      <c r="H2919" s="759">
        <f t="shared" si="181"/>
        <v>0.4</v>
      </c>
      <c r="I2919" s="758">
        <f t="shared" si="182"/>
        <v>3.59</v>
      </c>
      <c r="J2919" s="760">
        <f t="shared" si="183"/>
        <v>0.74020618556701034</v>
      </c>
    </row>
    <row r="2920" spans="1:10">
      <c r="A2920" s="74" t="s">
        <v>801</v>
      </c>
      <c r="B2920" s="74" t="s">
        <v>713</v>
      </c>
      <c r="C2920" s="74" t="s">
        <v>1543</v>
      </c>
      <c r="D2920" s="74" t="s">
        <v>87</v>
      </c>
      <c r="E2920" s="74">
        <v>1</v>
      </c>
      <c r="F2920" s="74">
        <v>4.8499999999999996</v>
      </c>
      <c r="G2920" s="758">
        <f t="shared" si="180"/>
        <v>1.26</v>
      </c>
      <c r="H2920" s="759">
        <f t="shared" si="181"/>
        <v>0.4</v>
      </c>
      <c r="I2920" s="758">
        <f t="shared" si="182"/>
        <v>3.59</v>
      </c>
      <c r="J2920" s="760">
        <f t="shared" si="183"/>
        <v>0.74020618556701034</v>
      </c>
    </row>
    <row r="2921" spans="1:10">
      <c r="A2921" s="74" t="s">
        <v>801</v>
      </c>
      <c r="B2921" s="74" t="s">
        <v>713</v>
      </c>
      <c r="C2921" s="74" t="s">
        <v>1544</v>
      </c>
      <c r="D2921" s="74" t="s">
        <v>87</v>
      </c>
      <c r="E2921" s="74">
        <v>4</v>
      </c>
      <c r="F2921" s="74">
        <v>19.399999999999999</v>
      </c>
      <c r="G2921" s="758">
        <f t="shared" si="180"/>
        <v>1.26</v>
      </c>
      <c r="H2921" s="759">
        <f t="shared" si="181"/>
        <v>0.4</v>
      </c>
      <c r="I2921" s="758">
        <f t="shared" si="182"/>
        <v>3.59</v>
      </c>
      <c r="J2921" s="760">
        <f t="shared" si="183"/>
        <v>0.74020618556701034</v>
      </c>
    </row>
    <row r="2922" spans="1:10">
      <c r="A2922" s="74" t="s">
        <v>801</v>
      </c>
      <c r="B2922" s="74" t="s">
        <v>713</v>
      </c>
      <c r="C2922" s="74" t="s">
        <v>1605</v>
      </c>
      <c r="D2922" s="74" t="s">
        <v>87</v>
      </c>
      <c r="E2922" s="74">
        <v>1</v>
      </c>
      <c r="F2922" s="74">
        <v>4.8499999999999996</v>
      </c>
      <c r="G2922" s="758">
        <f t="shared" si="180"/>
        <v>1.26</v>
      </c>
      <c r="H2922" s="759">
        <f t="shared" si="181"/>
        <v>0.4</v>
      </c>
      <c r="I2922" s="758">
        <f t="shared" si="182"/>
        <v>3.59</v>
      </c>
      <c r="J2922" s="760">
        <f t="shared" si="183"/>
        <v>0.74020618556701034</v>
      </c>
    </row>
    <row r="2923" spans="1:10">
      <c r="A2923" s="74" t="s">
        <v>801</v>
      </c>
      <c r="B2923" s="74" t="s">
        <v>713</v>
      </c>
      <c r="C2923" s="74" t="s">
        <v>1608</v>
      </c>
      <c r="D2923" s="74" t="s">
        <v>89</v>
      </c>
      <c r="E2923" s="74">
        <v>1</v>
      </c>
      <c r="F2923" s="74">
        <v>4.8499999999999996</v>
      </c>
      <c r="G2923" s="758">
        <f t="shared" si="180"/>
        <v>1.26</v>
      </c>
      <c r="H2923" s="759">
        <f t="shared" si="181"/>
        <v>0.4</v>
      </c>
      <c r="I2923" s="758">
        <f t="shared" si="182"/>
        <v>3.59</v>
      </c>
      <c r="J2923" s="760">
        <f t="shared" si="183"/>
        <v>0.74020618556701034</v>
      </c>
    </row>
    <row r="2924" spans="1:10">
      <c r="A2924" s="74" t="s">
        <v>801</v>
      </c>
      <c r="B2924" s="74" t="s">
        <v>713</v>
      </c>
      <c r="C2924" s="74" t="s">
        <v>1610</v>
      </c>
      <c r="D2924" s="74" t="s">
        <v>89</v>
      </c>
      <c r="E2924" s="74">
        <v>1</v>
      </c>
      <c r="F2924" s="74">
        <v>4.8499999999999996</v>
      </c>
      <c r="G2924" s="758">
        <f t="shared" si="180"/>
        <v>1.26</v>
      </c>
      <c r="H2924" s="759">
        <f t="shared" si="181"/>
        <v>0.4</v>
      </c>
      <c r="I2924" s="758">
        <f t="shared" si="182"/>
        <v>3.59</v>
      </c>
      <c r="J2924" s="760">
        <f t="shared" si="183"/>
        <v>0.74020618556701034</v>
      </c>
    </row>
    <row r="2925" spans="1:10">
      <c r="A2925" s="74" t="s">
        <v>1834</v>
      </c>
      <c r="B2925" s="74" t="s">
        <v>327</v>
      </c>
      <c r="C2925" s="74" t="s">
        <v>1524</v>
      </c>
      <c r="D2925" s="74" t="s">
        <v>91</v>
      </c>
      <c r="E2925" s="74">
        <v>1</v>
      </c>
      <c r="F2925" s="74">
        <v>5.95</v>
      </c>
      <c r="G2925" s="758">
        <f t="shared" si="180"/>
        <v>0</v>
      </c>
      <c r="H2925" s="759">
        <f t="shared" si="181"/>
        <v>0</v>
      </c>
      <c r="I2925" s="758">
        <f t="shared" si="182"/>
        <v>5.95</v>
      </c>
      <c r="J2925" s="760">
        <f t="shared" si="183"/>
        <v>1</v>
      </c>
    </row>
    <row r="2926" spans="1:10">
      <c r="A2926" s="74" t="s">
        <v>905</v>
      </c>
      <c r="B2926" s="74" t="s">
        <v>327</v>
      </c>
      <c r="C2926" s="74" t="s">
        <v>1508</v>
      </c>
      <c r="D2926" s="74" t="s">
        <v>78</v>
      </c>
      <c r="E2926" s="74">
        <v>1</v>
      </c>
      <c r="F2926" s="74">
        <v>5.65</v>
      </c>
      <c r="G2926" s="758">
        <f t="shared" si="180"/>
        <v>1.27</v>
      </c>
      <c r="H2926" s="759">
        <f t="shared" si="181"/>
        <v>0.33</v>
      </c>
      <c r="I2926" s="758">
        <f t="shared" si="182"/>
        <v>4.3800000000000008</v>
      </c>
      <c r="J2926" s="760">
        <f t="shared" si="183"/>
        <v>0.77522123893805306</v>
      </c>
    </row>
    <row r="2927" spans="1:10">
      <c r="A2927" s="74" t="s">
        <v>905</v>
      </c>
      <c r="B2927" s="74" t="s">
        <v>327</v>
      </c>
      <c r="C2927" s="74" t="s">
        <v>1511</v>
      </c>
      <c r="D2927" s="74" t="s">
        <v>80</v>
      </c>
      <c r="E2927" s="74">
        <v>1</v>
      </c>
      <c r="F2927" s="74">
        <v>5.65</v>
      </c>
      <c r="G2927" s="758">
        <f t="shared" si="180"/>
        <v>1.27</v>
      </c>
      <c r="H2927" s="759">
        <f t="shared" si="181"/>
        <v>0.33</v>
      </c>
      <c r="I2927" s="758">
        <f t="shared" si="182"/>
        <v>4.3800000000000008</v>
      </c>
      <c r="J2927" s="760">
        <f t="shared" si="183"/>
        <v>0.77522123893805306</v>
      </c>
    </row>
    <row r="2928" spans="1:10">
      <c r="A2928" s="74" t="s">
        <v>905</v>
      </c>
      <c r="B2928" s="74" t="s">
        <v>327</v>
      </c>
      <c r="C2928" s="74" t="s">
        <v>1516</v>
      </c>
      <c r="D2928" s="74" t="s">
        <v>82</v>
      </c>
      <c r="E2928" s="74">
        <v>1</v>
      </c>
      <c r="F2928" s="74">
        <v>5.65</v>
      </c>
      <c r="G2928" s="758">
        <f t="shared" si="180"/>
        <v>1.27</v>
      </c>
      <c r="H2928" s="759">
        <f t="shared" si="181"/>
        <v>0.33</v>
      </c>
      <c r="I2928" s="758">
        <f t="shared" si="182"/>
        <v>4.3800000000000008</v>
      </c>
      <c r="J2928" s="760">
        <f t="shared" si="183"/>
        <v>0.77522123893805306</v>
      </c>
    </row>
    <row r="2929" spans="1:10">
      <c r="A2929" s="74" t="s">
        <v>905</v>
      </c>
      <c r="B2929" s="74" t="s">
        <v>327</v>
      </c>
      <c r="C2929" s="74" t="s">
        <v>1631</v>
      </c>
      <c r="D2929" s="74" t="s">
        <v>92</v>
      </c>
      <c r="E2929" s="74">
        <v>1</v>
      </c>
      <c r="F2929" s="74">
        <v>5.95</v>
      </c>
      <c r="G2929" s="758">
        <f t="shared" si="180"/>
        <v>1.27</v>
      </c>
      <c r="H2929" s="759">
        <f t="shared" si="181"/>
        <v>0.33</v>
      </c>
      <c r="I2929" s="758">
        <f t="shared" si="182"/>
        <v>4.68</v>
      </c>
      <c r="J2929" s="760">
        <f t="shared" si="183"/>
        <v>0.78655462184873948</v>
      </c>
    </row>
    <row r="2930" spans="1:10">
      <c r="A2930" s="74" t="s">
        <v>776</v>
      </c>
      <c r="B2930" s="74" t="s">
        <v>730</v>
      </c>
      <c r="C2930" s="74" t="s">
        <v>1509</v>
      </c>
      <c r="D2930" s="74" t="s">
        <v>78</v>
      </c>
      <c r="E2930" s="74">
        <v>2</v>
      </c>
      <c r="F2930" s="74">
        <v>14.4</v>
      </c>
      <c r="G2930" s="758">
        <f t="shared" si="180"/>
        <v>1.89</v>
      </c>
      <c r="H2930" s="759">
        <f t="shared" si="181"/>
        <v>0.37</v>
      </c>
      <c r="I2930" s="758">
        <f t="shared" si="182"/>
        <v>5.3100000000000005</v>
      </c>
      <c r="J2930" s="760">
        <f t="shared" si="183"/>
        <v>0.73750000000000004</v>
      </c>
    </row>
    <row r="2931" spans="1:10">
      <c r="A2931" s="74" t="s">
        <v>776</v>
      </c>
      <c r="B2931" s="74" t="s">
        <v>730</v>
      </c>
      <c r="C2931" s="74" t="s">
        <v>1565</v>
      </c>
      <c r="D2931" s="74" t="s">
        <v>78</v>
      </c>
      <c r="E2931" s="74">
        <v>2</v>
      </c>
      <c r="F2931" s="74">
        <v>15.29</v>
      </c>
      <c r="G2931" s="758">
        <f t="shared" si="180"/>
        <v>1.89</v>
      </c>
      <c r="H2931" s="759">
        <f t="shared" si="181"/>
        <v>0.37</v>
      </c>
      <c r="I2931" s="758">
        <f t="shared" si="182"/>
        <v>5.7549999999999999</v>
      </c>
      <c r="J2931" s="760">
        <f t="shared" si="183"/>
        <v>0.75277959450621323</v>
      </c>
    </row>
    <row r="2932" spans="1:10">
      <c r="A2932" s="74" t="s">
        <v>776</v>
      </c>
      <c r="B2932" s="74" t="s">
        <v>730</v>
      </c>
      <c r="C2932" s="74" t="s">
        <v>1532</v>
      </c>
      <c r="D2932" s="74" t="s">
        <v>80</v>
      </c>
      <c r="E2932" s="74">
        <v>1</v>
      </c>
      <c r="F2932" s="74">
        <v>7.2</v>
      </c>
      <c r="G2932" s="758">
        <f t="shared" si="180"/>
        <v>1.89</v>
      </c>
      <c r="H2932" s="759">
        <f t="shared" si="181"/>
        <v>0.37</v>
      </c>
      <c r="I2932" s="758">
        <f t="shared" si="182"/>
        <v>5.3100000000000005</v>
      </c>
      <c r="J2932" s="760">
        <f t="shared" si="183"/>
        <v>0.73750000000000004</v>
      </c>
    </row>
    <row r="2933" spans="1:10">
      <c r="A2933" s="74" t="s">
        <v>776</v>
      </c>
      <c r="B2933" s="74" t="s">
        <v>730</v>
      </c>
      <c r="C2933" s="74" t="s">
        <v>1512</v>
      </c>
      <c r="D2933" s="74" t="s">
        <v>80</v>
      </c>
      <c r="E2933" s="74">
        <v>1</v>
      </c>
      <c r="F2933" s="74">
        <v>7.2</v>
      </c>
      <c r="G2933" s="758">
        <f t="shared" si="180"/>
        <v>1.89</v>
      </c>
      <c r="H2933" s="759">
        <f t="shared" si="181"/>
        <v>0.37</v>
      </c>
      <c r="I2933" s="758">
        <f t="shared" si="182"/>
        <v>5.3100000000000005</v>
      </c>
      <c r="J2933" s="760">
        <f t="shared" si="183"/>
        <v>0.73750000000000004</v>
      </c>
    </row>
    <row r="2934" spans="1:10">
      <c r="A2934" s="74" t="s">
        <v>776</v>
      </c>
      <c r="B2934" s="74" t="s">
        <v>730</v>
      </c>
      <c r="C2934" s="74" t="s">
        <v>1515</v>
      </c>
      <c r="D2934" s="74" t="s">
        <v>81</v>
      </c>
      <c r="E2934" s="74">
        <v>1</v>
      </c>
      <c r="F2934" s="74">
        <v>7.2</v>
      </c>
      <c r="G2934" s="758">
        <f t="shared" si="180"/>
        <v>1.89</v>
      </c>
      <c r="H2934" s="759">
        <f t="shared" si="181"/>
        <v>0.37</v>
      </c>
      <c r="I2934" s="758">
        <f t="shared" si="182"/>
        <v>5.3100000000000005</v>
      </c>
      <c r="J2934" s="760">
        <f t="shared" si="183"/>
        <v>0.73750000000000004</v>
      </c>
    </row>
    <row r="2935" spans="1:10">
      <c r="A2935" s="74" t="s">
        <v>776</v>
      </c>
      <c r="B2935" s="74" t="s">
        <v>730</v>
      </c>
      <c r="C2935" s="74" t="s">
        <v>1516</v>
      </c>
      <c r="D2935" s="74" t="s">
        <v>82</v>
      </c>
      <c r="E2935" s="74">
        <v>2</v>
      </c>
      <c r="F2935" s="74">
        <v>14.4</v>
      </c>
      <c r="G2935" s="758">
        <f t="shared" si="180"/>
        <v>1.89</v>
      </c>
      <c r="H2935" s="759">
        <f t="shared" si="181"/>
        <v>0.37</v>
      </c>
      <c r="I2935" s="758">
        <f t="shared" si="182"/>
        <v>5.3100000000000005</v>
      </c>
      <c r="J2935" s="760">
        <f t="shared" si="183"/>
        <v>0.73750000000000004</v>
      </c>
    </row>
    <row r="2936" spans="1:10">
      <c r="A2936" s="74" t="s">
        <v>776</v>
      </c>
      <c r="B2936" s="74" t="s">
        <v>730</v>
      </c>
      <c r="C2936" s="74" t="s">
        <v>1517</v>
      </c>
      <c r="D2936" s="74" t="s">
        <v>82</v>
      </c>
      <c r="E2936" s="74">
        <v>1</v>
      </c>
      <c r="F2936" s="74">
        <v>7.2</v>
      </c>
      <c r="G2936" s="758">
        <f t="shared" si="180"/>
        <v>1.89</v>
      </c>
      <c r="H2936" s="759">
        <f t="shared" si="181"/>
        <v>0.37</v>
      </c>
      <c r="I2936" s="758">
        <f t="shared" si="182"/>
        <v>5.3100000000000005</v>
      </c>
      <c r="J2936" s="760">
        <f t="shared" si="183"/>
        <v>0.73750000000000004</v>
      </c>
    </row>
    <row r="2937" spans="1:10">
      <c r="A2937" s="74" t="s">
        <v>776</v>
      </c>
      <c r="B2937" s="74" t="s">
        <v>730</v>
      </c>
      <c r="C2937" s="74" t="s">
        <v>1527</v>
      </c>
      <c r="D2937" s="74" t="s">
        <v>82</v>
      </c>
      <c r="E2937" s="74">
        <v>1</v>
      </c>
      <c r="F2937" s="74">
        <v>7.2</v>
      </c>
      <c r="G2937" s="758">
        <f t="shared" si="180"/>
        <v>1.89</v>
      </c>
      <c r="H2937" s="759">
        <f t="shared" si="181"/>
        <v>0.37</v>
      </c>
      <c r="I2937" s="758">
        <f t="shared" si="182"/>
        <v>5.3100000000000005</v>
      </c>
      <c r="J2937" s="760">
        <f t="shared" si="183"/>
        <v>0.73750000000000004</v>
      </c>
    </row>
    <row r="2938" spans="1:10">
      <c r="A2938" s="74" t="s">
        <v>776</v>
      </c>
      <c r="B2938" s="74" t="s">
        <v>730</v>
      </c>
      <c r="C2938" s="74" t="s">
        <v>1518</v>
      </c>
      <c r="D2938" s="74" t="s">
        <v>82</v>
      </c>
      <c r="E2938" s="74">
        <v>1</v>
      </c>
      <c r="F2938" s="74">
        <v>7.2</v>
      </c>
      <c r="G2938" s="758">
        <f t="shared" si="180"/>
        <v>1.89</v>
      </c>
      <c r="H2938" s="759">
        <f t="shared" si="181"/>
        <v>0.37</v>
      </c>
      <c r="I2938" s="758">
        <f t="shared" si="182"/>
        <v>5.3100000000000005</v>
      </c>
      <c r="J2938" s="760">
        <f t="shared" si="183"/>
        <v>0.73750000000000004</v>
      </c>
    </row>
    <row r="2939" spans="1:10">
      <c r="A2939" s="74" t="s">
        <v>776</v>
      </c>
      <c r="B2939" s="74" t="s">
        <v>730</v>
      </c>
      <c r="C2939" s="74" t="s">
        <v>1646</v>
      </c>
      <c r="D2939" s="74" t="s">
        <v>86</v>
      </c>
      <c r="E2939" s="74">
        <v>1</v>
      </c>
      <c r="F2939" s="74">
        <v>8.9</v>
      </c>
      <c r="G2939" s="758">
        <f t="shared" si="180"/>
        <v>1.89</v>
      </c>
      <c r="H2939" s="759">
        <f t="shared" si="181"/>
        <v>0.37</v>
      </c>
      <c r="I2939" s="758">
        <f t="shared" si="182"/>
        <v>7.0100000000000007</v>
      </c>
      <c r="J2939" s="760">
        <f t="shared" si="183"/>
        <v>0.78764044943820233</v>
      </c>
    </row>
    <row r="2940" spans="1:10">
      <c r="A2940" s="74" t="s">
        <v>776</v>
      </c>
      <c r="B2940" s="74" t="s">
        <v>730</v>
      </c>
      <c r="C2940" s="74" t="s">
        <v>1608</v>
      </c>
      <c r="D2940" s="74" t="s">
        <v>89</v>
      </c>
      <c r="E2940" s="74">
        <v>1</v>
      </c>
      <c r="F2940" s="74">
        <v>8.9</v>
      </c>
      <c r="G2940" s="758">
        <f t="shared" si="180"/>
        <v>1.89</v>
      </c>
      <c r="H2940" s="759">
        <f t="shared" si="181"/>
        <v>0.37</v>
      </c>
      <c r="I2940" s="758">
        <f t="shared" si="182"/>
        <v>7.0100000000000007</v>
      </c>
      <c r="J2940" s="760">
        <f t="shared" si="183"/>
        <v>0.78764044943820233</v>
      </c>
    </row>
    <row r="2941" spans="1:10">
      <c r="A2941" s="74" t="s">
        <v>776</v>
      </c>
      <c r="B2941" s="74" t="s">
        <v>730</v>
      </c>
      <c r="C2941" s="74" t="s">
        <v>1582</v>
      </c>
      <c r="D2941" s="74" t="s">
        <v>89</v>
      </c>
      <c r="E2941" s="74">
        <v>1</v>
      </c>
      <c r="F2941" s="74">
        <v>8.9</v>
      </c>
      <c r="G2941" s="758">
        <f t="shared" si="180"/>
        <v>1.89</v>
      </c>
      <c r="H2941" s="759">
        <f t="shared" si="181"/>
        <v>0.37</v>
      </c>
      <c r="I2941" s="758">
        <f t="shared" si="182"/>
        <v>7.0100000000000007</v>
      </c>
      <c r="J2941" s="760">
        <f t="shared" si="183"/>
        <v>0.78764044943820233</v>
      </c>
    </row>
    <row r="2942" spans="1:10">
      <c r="A2942" s="74" t="s">
        <v>769</v>
      </c>
      <c r="B2942" s="74" t="s">
        <v>730</v>
      </c>
      <c r="C2942" s="74" t="s">
        <v>1528</v>
      </c>
      <c r="D2942" s="74" t="s">
        <v>78</v>
      </c>
      <c r="E2942" s="74">
        <v>1</v>
      </c>
      <c r="F2942" s="74">
        <v>5.15</v>
      </c>
      <c r="G2942" s="758">
        <f t="shared" si="180"/>
        <v>0.95</v>
      </c>
      <c r="H2942" s="759">
        <f t="shared" si="181"/>
        <v>0.3</v>
      </c>
      <c r="I2942" s="758">
        <f t="shared" si="182"/>
        <v>4.2</v>
      </c>
      <c r="J2942" s="760">
        <f t="shared" si="183"/>
        <v>0.81553398058252435</v>
      </c>
    </row>
    <row r="2943" spans="1:10">
      <c r="A2943" s="74" t="s">
        <v>769</v>
      </c>
      <c r="B2943" s="74" t="s">
        <v>730</v>
      </c>
      <c r="C2943" s="74" t="s">
        <v>1509</v>
      </c>
      <c r="D2943" s="74" t="s">
        <v>78</v>
      </c>
      <c r="E2943" s="74">
        <v>4</v>
      </c>
      <c r="F2943" s="74">
        <v>13.91</v>
      </c>
      <c r="G2943" s="758">
        <f t="shared" si="180"/>
        <v>0.95</v>
      </c>
      <c r="H2943" s="759">
        <f t="shared" si="181"/>
        <v>0.3</v>
      </c>
      <c r="I2943" s="758">
        <f t="shared" si="182"/>
        <v>2.5274999999999999</v>
      </c>
      <c r="J2943" s="760">
        <f t="shared" si="183"/>
        <v>0.72681524083393245</v>
      </c>
    </row>
    <row r="2944" spans="1:10">
      <c r="A2944" s="74" t="s">
        <v>769</v>
      </c>
      <c r="B2944" s="74" t="s">
        <v>730</v>
      </c>
      <c r="C2944" s="74" t="s">
        <v>1565</v>
      </c>
      <c r="D2944" s="74" t="s">
        <v>78</v>
      </c>
      <c r="E2944" s="74">
        <v>8</v>
      </c>
      <c r="F2944" s="74">
        <v>40.24</v>
      </c>
      <c r="G2944" s="758">
        <f t="shared" si="180"/>
        <v>0.95</v>
      </c>
      <c r="H2944" s="759">
        <f t="shared" si="181"/>
        <v>0.3</v>
      </c>
      <c r="I2944" s="758">
        <f t="shared" si="182"/>
        <v>4.08</v>
      </c>
      <c r="J2944" s="760">
        <f t="shared" si="183"/>
        <v>0.81113320079522866</v>
      </c>
    </row>
    <row r="2945" spans="1:10">
      <c r="A2945" s="74" t="s">
        <v>769</v>
      </c>
      <c r="B2945" s="74" t="s">
        <v>730</v>
      </c>
      <c r="C2945" s="74" t="s">
        <v>1530</v>
      </c>
      <c r="D2945" s="74" t="s">
        <v>80</v>
      </c>
      <c r="E2945" s="74">
        <v>2</v>
      </c>
      <c r="F2945" s="74">
        <v>10.06</v>
      </c>
      <c r="G2945" s="758">
        <f t="shared" si="180"/>
        <v>0.95</v>
      </c>
      <c r="H2945" s="759">
        <f t="shared" si="181"/>
        <v>0.3</v>
      </c>
      <c r="I2945" s="758">
        <f t="shared" si="182"/>
        <v>4.08</v>
      </c>
      <c r="J2945" s="760">
        <f t="shared" si="183"/>
        <v>0.81113320079522866</v>
      </c>
    </row>
    <row r="2946" spans="1:10">
      <c r="A2946" s="74" t="s">
        <v>769</v>
      </c>
      <c r="B2946" s="74" t="s">
        <v>730</v>
      </c>
      <c r="C2946" s="74" t="s">
        <v>1532</v>
      </c>
      <c r="D2946" s="74" t="s">
        <v>80</v>
      </c>
      <c r="E2946" s="74">
        <v>2</v>
      </c>
      <c r="F2946" s="74">
        <v>10.06</v>
      </c>
      <c r="G2946" s="758">
        <f t="shared" ref="G2946:G3009" si="184">IFERROR(VLOOKUP(A2946,$M$1:$P$1014,2,FALSE),0)</f>
        <v>0.95</v>
      </c>
      <c r="H2946" s="759">
        <f t="shared" ref="H2946:H3009" si="185">IFERROR(VLOOKUP(A2946,$M$1:$P$1014,3,FALSE),0)</f>
        <v>0.3</v>
      </c>
      <c r="I2946" s="758">
        <f t="shared" ref="I2946:I3009" si="186">IFERROR(F2946/E2946-G2946,0)</f>
        <v>4.08</v>
      </c>
      <c r="J2946" s="760">
        <f t="shared" ref="J2946:J3009" si="187">IFERROR(1-G2946*E2946/F2946,0)</f>
        <v>0.81113320079522866</v>
      </c>
    </row>
    <row r="2947" spans="1:10">
      <c r="A2947" s="74" t="s">
        <v>769</v>
      </c>
      <c r="B2947" s="74" t="s">
        <v>730</v>
      </c>
      <c r="C2947" s="74" t="s">
        <v>1511</v>
      </c>
      <c r="D2947" s="74" t="s">
        <v>80</v>
      </c>
      <c r="E2947" s="74">
        <v>1</v>
      </c>
      <c r="F2947" s="74">
        <v>5.15</v>
      </c>
      <c r="G2947" s="758">
        <f t="shared" si="184"/>
        <v>0.95</v>
      </c>
      <c r="H2947" s="759">
        <f t="shared" si="185"/>
        <v>0.3</v>
      </c>
      <c r="I2947" s="758">
        <f t="shared" si="186"/>
        <v>4.2</v>
      </c>
      <c r="J2947" s="760">
        <f t="shared" si="187"/>
        <v>0.81553398058252435</v>
      </c>
    </row>
    <row r="2948" spans="1:10">
      <c r="A2948" s="74" t="s">
        <v>769</v>
      </c>
      <c r="B2948" s="74" t="s">
        <v>730</v>
      </c>
      <c r="C2948" s="74" t="s">
        <v>1512</v>
      </c>
      <c r="D2948" s="74" t="s">
        <v>80</v>
      </c>
      <c r="E2948" s="74">
        <v>3</v>
      </c>
      <c r="F2948" s="74">
        <v>14.97</v>
      </c>
      <c r="G2948" s="758">
        <f t="shared" si="184"/>
        <v>0.95</v>
      </c>
      <c r="H2948" s="759">
        <f t="shared" si="185"/>
        <v>0.3</v>
      </c>
      <c r="I2948" s="758">
        <f t="shared" si="186"/>
        <v>4.04</v>
      </c>
      <c r="J2948" s="760">
        <f t="shared" si="187"/>
        <v>0.80961923847695394</v>
      </c>
    </row>
    <row r="2949" spans="1:10">
      <c r="A2949" s="74" t="s">
        <v>769</v>
      </c>
      <c r="B2949" s="74" t="s">
        <v>730</v>
      </c>
      <c r="C2949" s="74" t="s">
        <v>1534</v>
      </c>
      <c r="D2949" s="74" t="s">
        <v>81</v>
      </c>
      <c r="E2949" s="74">
        <v>3</v>
      </c>
      <c r="F2949" s="74">
        <v>15.45</v>
      </c>
      <c r="G2949" s="758">
        <f t="shared" si="184"/>
        <v>0.95</v>
      </c>
      <c r="H2949" s="759">
        <f t="shared" si="185"/>
        <v>0.3</v>
      </c>
      <c r="I2949" s="758">
        <f t="shared" si="186"/>
        <v>4.1999999999999993</v>
      </c>
      <c r="J2949" s="760">
        <f t="shared" si="187"/>
        <v>0.81553398058252435</v>
      </c>
    </row>
    <row r="2950" spans="1:10">
      <c r="A2950" s="74" t="s">
        <v>769</v>
      </c>
      <c r="B2950" s="74" t="s">
        <v>730</v>
      </c>
      <c r="C2950" s="74" t="s">
        <v>1513</v>
      </c>
      <c r="D2950" s="74" t="s">
        <v>81</v>
      </c>
      <c r="E2950" s="74">
        <v>1</v>
      </c>
      <c r="F2950" s="74">
        <v>5.15</v>
      </c>
      <c r="G2950" s="758">
        <f t="shared" si="184"/>
        <v>0.95</v>
      </c>
      <c r="H2950" s="759">
        <f t="shared" si="185"/>
        <v>0.3</v>
      </c>
      <c r="I2950" s="758">
        <f t="shared" si="186"/>
        <v>4.2</v>
      </c>
      <c r="J2950" s="760">
        <f t="shared" si="187"/>
        <v>0.81553398058252435</v>
      </c>
    </row>
    <row r="2951" spans="1:10">
      <c r="A2951" s="74" t="s">
        <v>769</v>
      </c>
      <c r="B2951" s="74" t="s">
        <v>730</v>
      </c>
      <c r="C2951" s="74" t="s">
        <v>1514</v>
      </c>
      <c r="D2951" s="74" t="s">
        <v>81</v>
      </c>
      <c r="E2951" s="74">
        <v>1</v>
      </c>
      <c r="F2951" s="74">
        <v>5.15</v>
      </c>
      <c r="G2951" s="758">
        <f t="shared" si="184"/>
        <v>0.95</v>
      </c>
      <c r="H2951" s="759">
        <f t="shared" si="185"/>
        <v>0.3</v>
      </c>
      <c r="I2951" s="758">
        <f t="shared" si="186"/>
        <v>4.2</v>
      </c>
      <c r="J2951" s="760">
        <f t="shared" si="187"/>
        <v>0.81553398058252435</v>
      </c>
    </row>
    <row r="2952" spans="1:10">
      <c r="A2952" s="74" t="s">
        <v>769</v>
      </c>
      <c r="B2952" s="74" t="s">
        <v>730</v>
      </c>
      <c r="C2952" s="74" t="s">
        <v>1515</v>
      </c>
      <c r="D2952" s="74" t="s">
        <v>81</v>
      </c>
      <c r="E2952" s="74">
        <v>2</v>
      </c>
      <c r="F2952" s="74">
        <v>10.3</v>
      </c>
      <c r="G2952" s="758">
        <f t="shared" si="184"/>
        <v>0.95</v>
      </c>
      <c r="H2952" s="759">
        <f t="shared" si="185"/>
        <v>0.3</v>
      </c>
      <c r="I2952" s="758">
        <f t="shared" si="186"/>
        <v>4.2</v>
      </c>
      <c r="J2952" s="760">
        <f t="shared" si="187"/>
        <v>0.81553398058252435</v>
      </c>
    </row>
    <row r="2953" spans="1:10">
      <c r="A2953" s="74" t="s">
        <v>769</v>
      </c>
      <c r="B2953" s="74" t="s">
        <v>730</v>
      </c>
      <c r="C2953" s="74" t="s">
        <v>1516</v>
      </c>
      <c r="D2953" s="74" t="s">
        <v>82</v>
      </c>
      <c r="E2953" s="74">
        <v>2</v>
      </c>
      <c r="F2953" s="74">
        <v>11.3</v>
      </c>
      <c r="G2953" s="758">
        <f t="shared" si="184"/>
        <v>0.95</v>
      </c>
      <c r="H2953" s="759">
        <f t="shared" si="185"/>
        <v>0.3</v>
      </c>
      <c r="I2953" s="758">
        <f t="shared" si="186"/>
        <v>4.7</v>
      </c>
      <c r="J2953" s="760">
        <f t="shared" si="187"/>
        <v>0.83185840707964598</v>
      </c>
    </row>
    <row r="2954" spans="1:10">
      <c r="A2954" s="74" t="s">
        <v>769</v>
      </c>
      <c r="B2954" s="74" t="s">
        <v>730</v>
      </c>
      <c r="C2954" s="74" t="s">
        <v>1527</v>
      </c>
      <c r="D2954" s="74" t="s">
        <v>82</v>
      </c>
      <c r="E2954" s="74">
        <v>3</v>
      </c>
      <c r="F2954" s="74">
        <v>15.45</v>
      </c>
      <c r="G2954" s="758">
        <f t="shared" si="184"/>
        <v>0.95</v>
      </c>
      <c r="H2954" s="759">
        <f t="shared" si="185"/>
        <v>0.3</v>
      </c>
      <c r="I2954" s="758">
        <f t="shared" si="186"/>
        <v>4.1999999999999993</v>
      </c>
      <c r="J2954" s="760">
        <f t="shared" si="187"/>
        <v>0.81553398058252435</v>
      </c>
    </row>
    <row r="2955" spans="1:10">
      <c r="A2955" s="74" t="s">
        <v>769</v>
      </c>
      <c r="B2955" s="74" t="s">
        <v>730</v>
      </c>
      <c r="C2955" s="74" t="s">
        <v>1644</v>
      </c>
      <c r="D2955" s="74" t="s">
        <v>86</v>
      </c>
      <c r="E2955" s="74">
        <v>1</v>
      </c>
      <c r="F2955" s="74">
        <v>5.15</v>
      </c>
      <c r="G2955" s="758">
        <f t="shared" si="184"/>
        <v>0.95</v>
      </c>
      <c r="H2955" s="759">
        <f t="shared" si="185"/>
        <v>0.3</v>
      </c>
      <c r="I2955" s="758">
        <f t="shared" si="186"/>
        <v>4.2</v>
      </c>
      <c r="J2955" s="760">
        <f t="shared" si="187"/>
        <v>0.81553398058252435</v>
      </c>
    </row>
    <row r="2956" spans="1:10">
      <c r="A2956" s="74" t="s">
        <v>769</v>
      </c>
      <c r="B2956" s="74" t="s">
        <v>730</v>
      </c>
      <c r="C2956" s="74" t="s">
        <v>1605</v>
      </c>
      <c r="D2956" s="74" t="s">
        <v>87</v>
      </c>
      <c r="E2956" s="74">
        <v>1</v>
      </c>
      <c r="F2956" s="74">
        <v>5.4</v>
      </c>
      <c r="G2956" s="758">
        <f t="shared" si="184"/>
        <v>0.95</v>
      </c>
      <c r="H2956" s="759">
        <f t="shared" si="185"/>
        <v>0.3</v>
      </c>
      <c r="I2956" s="758">
        <f t="shared" si="186"/>
        <v>4.45</v>
      </c>
      <c r="J2956" s="760">
        <f t="shared" si="187"/>
        <v>0.82407407407407407</v>
      </c>
    </row>
    <row r="2957" spans="1:10">
      <c r="A2957" s="74" t="s">
        <v>769</v>
      </c>
      <c r="B2957" s="74" t="s">
        <v>730</v>
      </c>
      <c r="C2957" s="74" t="s">
        <v>1608</v>
      </c>
      <c r="D2957" s="74" t="s">
        <v>89</v>
      </c>
      <c r="E2957" s="74">
        <v>1</v>
      </c>
      <c r="F2957" s="74">
        <v>5.4</v>
      </c>
      <c r="G2957" s="758">
        <f t="shared" si="184"/>
        <v>0.95</v>
      </c>
      <c r="H2957" s="759">
        <f t="shared" si="185"/>
        <v>0.3</v>
      </c>
      <c r="I2957" s="758">
        <f t="shared" si="186"/>
        <v>4.45</v>
      </c>
      <c r="J2957" s="760">
        <f t="shared" si="187"/>
        <v>0.82407407407407407</v>
      </c>
    </row>
    <row r="2958" spans="1:10">
      <c r="A2958" s="74" t="s">
        <v>769</v>
      </c>
      <c r="B2958" s="74" t="s">
        <v>730</v>
      </c>
      <c r="C2958" s="74" t="s">
        <v>1610</v>
      </c>
      <c r="D2958" s="74" t="s">
        <v>89</v>
      </c>
      <c r="E2958" s="74">
        <v>1</v>
      </c>
      <c r="F2958" s="74">
        <v>5.4</v>
      </c>
      <c r="G2958" s="758">
        <f t="shared" si="184"/>
        <v>0.95</v>
      </c>
      <c r="H2958" s="759">
        <f t="shared" si="185"/>
        <v>0.3</v>
      </c>
      <c r="I2958" s="758">
        <f t="shared" si="186"/>
        <v>4.45</v>
      </c>
      <c r="J2958" s="760">
        <f t="shared" si="187"/>
        <v>0.82407407407407407</v>
      </c>
    </row>
    <row r="2959" spans="1:10">
      <c r="A2959" s="74" t="s">
        <v>769</v>
      </c>
      <c r="B2959" s="74" t="s">
        <v>730</v>
      </c>
      <c r="C2959" s="74" t="s">
        <v>1546</v>
      </c>
      <c r="D2959" s="74" t="s">
        <v>89</v>
      </c>
      <c r="E2959" s="74">
        <v>1</v>
      </c>
      <c r="F2959" s="74">
        <v>5.4</v>
      </c>
      <c r="G2959" s="758">
        <f t="shared" si="184"/>
        <v>0.95</v>
      </c>
      <c r="H2959" s="759">
        <f t="shared" si="185"/>
        <v>0.3</v>
      </c>
      <c r="I2959" s="758">
        <f t="shared" si="186"/>
        <v>4.45</v>
      </c>
      <c r="J2959" s="760">
        <f t="shared" si="187"/>
        <v>0.82407407407407407</v>
      </c>
    </row>
    <row r="2960" spans="1:10">
      <c r="A2960" s="74" t="s">
        <v>769</v>
      </c>
      <c r="B2960" s="74" t="s">
        <v>730</v>
      </c>
      <c r="C2960" s="74" t="s">
        <v>1582</v>
      </c>
      <c r="D2960" s="74" t="s">
        <v>89</v>
      </c>
      <c r="E2960" s="74">
        <v>1</v>
      </c>
      <c r="F2960" s="74">
        <v>5.4</v>
      </c>
      <c r="G2960" s="758">
        <f t="shared" si="184"/>
        <v>0.95</v>
      </c>
      <c r="H2960" s="759">
        <f t="shared" si="185"/>
        <v>0.3</v>
      </c>
      <c r="I2960" s="758">
        <f t="shared" si="186"/>
        <v>4.45</v>
      </c>
      <c r="J2960" s="760">
        <f t="shared" si="187"/>
        <v>0.82407407407407407</v>
      </c>
    </row>
    <row r="2961" spans="1:10">
      <c r="A2961" s="74" t="s">
        <v>769</v>
      </c>
      <c r="B2961" s="74" t="s">
        <v>730</v>
      </c>
      <c r="C2961" s="74" t="s">
        <v>1584</v>
      </c>
      <c r="D2961" s="74" t="s">
        <v>92</v>
      </c>
      <c r="E2961" s="74">
        <v>1</v>
      </c>
      <c r="F2961" s="74">
        <v>5.4</v>
      </c>
      <c r="G2961" s="758">
        <f t="shared" si="184"/>
        <v>0.95</v>
      </c>
      <c r="H2961" s="759">
        <f t="shared" si="185"/>
        <v>0.3</v>
      </c>
      <c r="I2961" s="758">
        <f t="shared" si="186"/>
        <v>4.45</v>
      </c>
      <c r="J2961" s="760">
        <f t="shared" si="187"/>
        <v>0.82407407407407407</v>
      </c>
    </row>
    <row r="2962" spans="1:10">
      <c r="A2962" s="74" t="s">
        <v>769</v>
      </c>
      <c r="B2962" s="74" t="s">
        <v>730</v>
      </c>
      <c r="C2962" s="74" t="s">
        <v>1631</v>
      </c>
      <c r="D2962" s="74" t="s">
        <v>92</v>
      </c>
      <c r="E2962" s="74">
        <v>2</v>
      </c>
      <c r="F2962" s="74">
        <v>10.8</v>
      </c>
      <c r="G2962" s="758">
        <f t="shared" si="184"/>
        <v>0.95</v>
      </c>
      <c r="H2962" s="759">
        <f t="shared" si="185"/>
        <v>0.3</v>
      </c>
      <c r="I2962" s="758">
        <f t="shared" si="186"/>
        <v>4.45</v>
      </c>
      <c r="J2962" s="760">
        <f t="shared" si="187"/>
        <v>0.82407407407407407</v>
      </c>
    </row>
    <row r="2963" spans="1:10">
      <c r="A2963" s="74" t="s">
        <v>769</v>
      </c>
      <c r="B2963" s="74" t="s">
        <v>730</v>
      </c>
      <c r="C2963" s="74" t="s">
        <v>1555</v>
      </c>
      <c r="D2963" s="74" t="s">
        <v>94</v>
      </c>
      <c r="E2963" s="74">
        <v>1</v>
      </c>
      <c r="F2963" s="74">
        <v>5.4</v>
      </c>
      <c r="G2963" s="758">
        <f t="shared" si="184"/>
        <v>0.95</v>
      </c>
      <c r="H2963" s="759">
        <f t="shared" si="185"/>
        <v>0.3</v>
      </c>
      <c r="I2963" s="758">
        <f t="shared" si="186"/>
        <v>4.45</v>
      </c>
      <c r="J2963" s="760">
        <f t="shared" si="187"/>
        <v>0.82407407407407407</v>
      </c>
    </row>
    <row r="2964" spans="1:10">
      <c r="A2964" s="74" t="s">
        <v>769</v>
      </c>
      <c r="B2964" s="74" t="s">
        <v>730</v>
      </c>
      <c r="C2964" s="74" t="s">
        <v>1557</v>
      </c>
      <c r="D2964" s="74" t="s">
        <v>95</v>
      </c>
      <c r="E2964" s="74">
        <v>1</v>
      </c>
      <c r="F2964" s="74">
        <v>5.4</v>
      </c>
      <c r="G2964" s="758">
        <f t="shared" si="184"/>
        <v>0.95</v>
      </c>
      <c r="H2964" s="759">
        <f t="shared" si="185"/>
        <v>0.3</v>
      </c>
      <c r="I2964" s="758">
        <f t="shared" si="186"/>
        <v>4.45</v>
      </c>
      <c r="J2964" s="760">
        <f t="shared" si="187"/>
        <v>0.82407407407407407</v>
      </c>
    </row>
    <row r="2965" spans="1:10">
      <c r="A2965" s="74" t="s">
        <v>817</v>
      </c>
      <c r="B2965" s="74" t="s">
        <v>713</v>
      </c>
      <c r="C2965" s="74" t="s">
        <v>1528</v>
      </c>
      <c r="D2965" s="74" t="s">
        <v>78</v>
      </c>
      <c r="E2965" s="74">
        <v>1</v>
      </c>
      <c r="F2965" s="74">
        <v>4.9000000000000004</v>
      </c>
      <c r="G2965" s="758">
        <f t="shared" si="184"/>
        <v>0.78</v>
      </c>
      <c r="H2965" s="759">
        <f t="shared" si="185"/>
        <v>0.28999999999999998</v>
      </c>
      <c r="I2965" s="758">
        <f t="shared" si="186"/>
        <v>4.12</v>
      </c>
      <c r="J2965" s="760">
        <f t="shared" si="187"/>
        <v>0.84081632653061222</v>
      </c>
    </row>
    <row r="2966" spans="1:10">
      <c r="A2966" s="74" t="s">
        <v>817</v>
      </c>
      <c r="B2966" s="74" t="s">
        <v>713</v>
      </c>
      <c r="C2966" s="74" t="s">
        <v>1508</v>
      </c>
      <c r="D2966" s="74" t="s">
        <v>78</v>
      </c>
      <c r="E2966" s="74">
        <v>2</v>
      </c>
      <c r="F2966" s="74">
        <v>9.8000000000000007</v>
      </c>
      <c r="G2966" s="758">
        <f t="shared" si="184"/>
        <v>0.78</v>
      </c>
      <c r="H2966" s="759">
        <f t="shared" si="185"/>
        <v>0.28999999999999998</v>
      </c>
      <c r="I2966" s="758">
        <f t="shared" si="186"/>
        <v>4.12</v>
      </c>
      <c r="J2966" s="760">
        <f t="shared" si="187"/>
        <v>0.84081632653061222</v>
      </c>
    </row>
    <row r="2967" spans="1:10">
      <c r="A2967" s="74" t="s">
        <v>817</v>
      </c>
      <c r="B2967" s="74" t="s">
        <v>713</v>
      </c>
      <c r="C2967" s="74" t="s">
        <v>1509</v>
      </c>
      <c r="D2967" s="74" t="s">
        <v>78</v>
      </c>
      <c r="E2967" s="74">
        <v>2</v>
      </c>
      <c r="F2967" s="74">
        <v>9.6</v>
      </c>
      <c r="G2967" s="758">
        <f t="shared" si="184"/>
        <v>0.78</v>
      </c>
      <c r="H2967" s="759">
        <f t="shared" si="185"/>
        <v>0.28999999999999998</v>
      </c>
      <c r="I2967" s="758">
        <f t="shared" si="186"/>
        <v>4.0199999999999996</v>
      </c>
      <c r="J2967" s="760">
        <f t="shared" si="187"/>
        <v>0.83750000000000002</v>
      </c>
    </row>
    <row r="2968" spans="1:10">
      <c r="A2968" s="74" t="s">
        <v>817</v>
      </c>
      <c r="B2968" s="74" t="s">
        <v>713</v>
      </c>
      <c r="C2968" s="74" t="s">
        <v>1565</v>
      </c>
      <c r="D2968" s="74" t="s">
        <v>78</v>
      </c>
      <c r="E2968" s="74">
        <v>1</v>
      </c>
      <c r="F2968" s="74">
        <v>4.9000000000000004</v>
      </c>
      <c r="G2968" s="758">
        <f t="shared" si="184"/>
        <v>0.78</v>
      </c>
      <c r="H2968" s="759">
        <f t="shared" si="185"/>
        <v>0.28999999999999998</v>
      </c>
      <c r="I2968" s="758">
        <f t="shared" si="186"/>
        <v>4.12</v>
      </c>
      <c r="J2968" s="760">
        <f t="shared" si="187"/>
        <v>0.84081632653061222</v>
      </c>
    </row>
    <row r="2969" spans="1:10">
      <c r="A2969" s="74" t="s">
        <v>817</v>
      </c>
      <c r="B2969" s="74" t="s">
        <v>713</v>
      </c>
      <c r="C2969" s="74" t="s">
        <v>1530</v>
      </c>
      <c r="D2969" s="74" t="s">
        <v>80</v>
      </c>
      <c r="E2969" s="74">
        <v>1</v>
      </c>
      <c r="F2969" s="74">
        <v>4.9000000000000004</v>
      </c>
      <c r="G2969" s="758">
        <f t="shared" si="184"/>
        <v>0.78</v>
      </c>
      <c r="H2969" s="759">
        <f t="shared" si="185"/>
        <v>0.28999999999999998</v>
      </c>
      <c r="I2969" s="758">
        <f t="shared" si="186"/>
        <v>4.12</v>
      </c>
      <c r="J2969" s="760">
        <f t="shared" si="187"/>
        <v>0.84081632653061222</v>
      </c>
    </row>
    <row r="2970" spans="1:10">
      <c r="A2970" s="74" t="s">
        <v>817</v>
      </c>
      <c r="B2970" s="74" t="s">
        <v>713</v>
      </c>
      <c r="C2970" s="74" t="s">
        <v>1532</v>
      </c>
      <c r="D2970" s="74" t="s">
        <v>80</v>
      </c>
      <c r="E2970" s="74">
        <v>1</v>
      </c>
      <c r="F2970" s="74">
        <v>5.6</v>
      </c>
      <c r="G2970" s="758">
        <f t="shared" si="184"/>
        <v>0.78</v>
      </c>
      <c r="H2970" s="759">
        <f t="shared" si="185"/>
        <v>0.28999999999999998</v>
      </c>
      <c r="I2970" s="758">
        <f t="shared" si="186"/>
        <v>4.8199999999999994</v>
      </c>
      <c r="J2970" s="760">
        <f t="shared" si="187"/>
        <v>0.86071428571428577</v>
      </c>
    </row>
    <row r="2971" spans="1:10">
      <c r="A2971" s="74" t="s">
        <v>817</v>
      </c>
      <c r="B2971" s="74" t="s">
        <v>713</v>
      </c>
      <c r="C2971" s="74" t="s">
        <v>1511</v>
      </c>
      <c r="D2971" s="74" t="s">
        <v>80</v>
      </c>
      <c r="E2971" s="74">
        <v>3</v>
      </c>
      <c r="F2971" s="74">
        <v>17</v>
      </c>
      <c r="G2971" s="758">
        <f t="shared" si="184"/>
        <v>0.78</v>
      </c>
      <c r="H2971" s="759">
        <f t="shared" si="185"/>
        <v>0.28999999999999998</v>
      </c>
      <c r="I2971" s="758">
        <f t="shared" si="186"/>
        <v>4.8866666666666667</v>
      </c>
      <c r="J2971" s="760">
        <f t="shared" si="187"/>
        <v>0.86235294117647054</v>
      </c>
    </row>
    <row r="2972" spans="1:10">
      <c r="A2972" s="74" t="s">
        <v>817</v>
      </c>
      <c r="B2972" s="74" t="s">
        <v>713</v>
      </c>
      <c r="C2972" s="74" t="s">
        <v>1512</v>
      </c>
      <c r="D2972" s="74" t="s">
        <v>80</v>
      </c>
      <c r="E2972" s="74">
        <v>5</v>
      </c>
      <c r="F2972" s="74">
        <v>30.1</v>
      </c>
      <c r="G2972" s="758">
        <f t="shared" si="184"/>
        <v>0.78</v>
      </c>
      <c r="H2972" s="759">
        <f t="shared" si="185"/>
        <v>0.28999999999999998</v>
      </c>
      <c r="I2972" s="758">
        <f t="shared" si="186"/>
        <v>5.24</v>
      </c>
      <c r="J2972" s="760">
        <f t="shared" si="187"/>
        <v>0.87043189368770757</v>
      </c>
    </row>
    <row r="2973" spans="1:10">
      <c r="A2973" s="74" t="s">
        <v>817</v>
      </c>
      <c r="B2973" s="74" t="s">
        <v>713</v>
      </c>
      <c r="C2973" s="74" t="s">
        <v>1534</v>
      </c>
      <c r="D2973" s="74" t="s">
        <v>81</v>
      </c>
      <c r="E2973" s="74">
        <v>3</v>
      </c>
      <c r="F2973" s="74">
        <v>16.100000000000001</v>
      </c>
      <c r="G2973" s="758">
        <f t="shared" si="184"/>
        <v>0.78</v>
      </c>
      <c r="H2973" s="759">
        <f t="shared" si="185"/>
        <v>0.28999999999999998</v>
      </c>
      <c r="I2973" s="758">
        <f t="shared" si="186"/>
        <v>4.5866666666666669</v>
      </c>
      <c r="J2973" s="760">
        <f t="shared" si="187"/>
        <v>0.85465838509316772</v>
      </c>
    </row>
    <row r="2974" spans="1:10">
      <c r="A2974" s="74" t="s">
        <v>817</v>
      </c>
      <c r="B2974" s="74" t="s">
        <v>713</v>
      </c>
      <c r="C2974" s="74" t="s">
        <v>1513</v>
      </c>
      <c r="D2974" s="74" t="s">
        <v>81</v>
      </c>
      <c r="E2974" s="74">
        <v>9</v>
      </c>
      <c r="F2974" s="74">
        <v>43.34</v>
      </c>
      <c r="G2974" s="758">
        <f t="shared" si="184"/>
        <v>0.78</v>
      </c>
      <c r="H2974" s="759">
        <f t="shared" si="185"/>
        <v>0.28999999999999998</v>
      </c>
      <c r="I2974" s="758">
        <f t="shared" si="186"/>
        <v>4.0355555555555558</v>
      </c>
      <c r="J2974" s="760">
        <f t="shared" si="187"/>
        <v>0.83802491924319333</v>
      </c>
    </row>
    <row r="2975" spans="1:10">
      <c r="A2975" s="74" t="s">
        <v>817</v>
      </c>
      <c r="B2975" s="74" t="s">
        <v>713</v>
      </c>
      <c r="C2975" s="74" t="s">
        <v>1514</v>
      </c>
      <c r="D2975" s="74" t="s">
        <v>81</v>
      </c>
      <c r="E2975" s="74">
        <v>2</v>
      </c>
      <c r="F2975" s="74">
        <v>9.8000000000000007</v>
      </c>
      <c r="G2975" s="758">
        <f t="shared" si="184"/>
        <v>0.78</v>
      </c>
      <c r="H2975" s="759">
        <f t="shared" si="185"/>
        <v>0.28999999999999998</v>
      </c>
      <c r="I2975" s="758">
        <f t="shared" si="186"/>
        <v>4.12</v>
      </c>
      <c r="J2975" s="760">
        <f t="shared" si="187"/>
        <v>0.84081632653061222</v>
      </c>
    </row>
    <row r="2976" spans="1:10">
      <c r="A2976" s="74" t="s">
        <v>817</v>
      </c>
      <c r="B2976" s="74" t="s">
        <v>713</v>
      </c>
      <c r="C2976" s="74" t="s">
        <v>1515</v>
      </c>
      <c r="D2976" s="74" t="s">
        <v>81</v>
      </c>
      <c r="E2976" s="74">
        <v>6</v>
      </c>
      <c r="F2976" s="74">
        <v>33.15</v>
      </c>
      <c r="G2976" s="758">
        <f t="shared" si="184"/>
        <v>0.78</v>
      </c>
      <c r="H2976" s="759">
        <f t="shared" si="185"/>
        <v>0.28999999999999998</v>
      </c>
      <c r="I2976" s="758">
        <f t="shared" si="186"/>
        <v>4.7449999999999992</v>
      </c>
      <c r="J2976" s="760">
        <f t="shared" si="187"/>
        <v>0.85882352941176476</v>
      </c>
    </row>
    <row r="2977" spans="1:10">
      <c r="A2977" s="74" t="s">
        <v>817</v>
      </c>
      <c r="B2977" s="74" t="s">
        <v>713</v>
      </c>
      <c r="C2977" s="74" t="s">
        <v>1516</v>
      </c>
      <c r="D2977" s="74" t="s">
        <v>82</v>
      </c>
      <c r="E2977" s="74">
        <v>3</v>
      </c>
      <c r="F2977" s="74">
        <v>17.5</v>
      </c>
      <c r="G2977" s="758">
        <f t="shared" si="184"/>
        <v>0.78</v>
      </c>
      <c r="H2977" s="759">
        <f t="shared" si="185"/>
        <v>0.28999999999999998</v>
      </c>
      <c r="I2977" s="758">
        <f t="shared" si="186"/>
        <v>5.0533333333333328</v>
      </c>
      <c r="J2977" s="760">
        <f t="shared" si="187"/>
        <v>0.86628571428571433</v>
      </c>
    </row>
    <row r="2978" spans="1:10">
      <c r="A2978" s="74" t="s">
        <v>817</v>
      </c>
      <c r="B2978" s="74" t="s">
        <v>713</v>
      </c>
      <c r="C2978" s="74" t="s">
        <v>1517</v>
      </c>
      <c r="D2978" s="74" t="s">
        <v>82</v>
      </c>
      <c r="E2978" s="74">
        <v>3</v>
      </c>
      <c r="F2978" s="74">
        <v>14.7</v>
      </c>
      <c r="G2978" s="758">
        <f t="shared" si="184"/>
        <v>0.78</v>
      </c>
      <c r="H2978" s="759">
        <f t="shared" si="185"/>
        <v>0.28999999999999998</v>
      </c>
      <c r="I2978" s="758">
        <f t="shared" si="186"/>
        <v>4.1199999999999992</v>
      </c>
      <c r="J2978" s="760">
        <f t="shared" si="187"/>
        <v>0.84081632653061222</v>
      </c>
    </row>
    <row r="2979" spans="1:10">
      <c r="A2979" s="74" t="s">
        <v>817</v>
      </c>
      <c r="B2979" s="74" t="s">
        <v>713</v>
      </c>
      <c r="C2979" s="74" t="s">
        <v>1527</v>
      </c>
      <c r="D2979" s="74" t="s">
        <v>82</v>
      </c>
      <c r="E2979" s="74">
        <v>2</v>
      </c>
      <c r="F2979" s="74">
        <v>11.2</v>
      </c>
      <c r="G2979" s="758">
        <f t="shared" si="184"/>
        <v>0.78</v>
      </c>
      <c r="H2979" s="759">
        <f t="shared" si="185"/>
        <v>0.28999999999999998</v>
      </c>
      <c r="I2979" s="758">
        <f t="shared" si="186"/>
        <v>4.8199999999999994</v>
      </c>
      <c r="J2979" s="760">
        <f t="shared" si="187"/>
        <v>0.86071428571428577</v>
      </c>
    </row>
    <row r="2980" spans="1:10">
      <c r="A2980" s="74" t="s">
        <v>817</v>
      </c>
      <c r="B2980" s="74" t="s">
        <v>713</v>
      </c>
      <c r="C2980" s="74" t="s">
        <v>1520</v>
      </c>
      <c r="D2980" s="74" t="s">
        <v>84</v>
      </c>
      <c r="E2980" s="74">
        <v>1</v>
      </c>
      <c r="F2980" s="74">
        <v>4.9000000000000004</v>
      </c>
      <c r="G2980" s="758">
        <f t="shared" si="184"/>
        <v>0.78</v>
      </c>
      <c r="H2980" s="759">
        <f t="shared" si="185"/>
        <v>0.28999999999999998</v>
      </c>
      <c r="I2980" s="758">
        <f t="shared" si="186"/>
        <v>4.12</v>
      </c>
      <c r="J2980" s="760">
        <f t="shared" si="187"/>
        <v>0.84081632653061222</v>
      </c>
    </row>
    <row r="2981" spans="1:10">
      <c r="A2981" s="74" t="s">
        <v>817</v>
      </c>
      <c r="B2981" s="74" t="s">
        <v>713</v>
      </c>
      <c r="C2981" s="74" t="s">
        <v>1577</v>
      </c>
      <c r="D2981" s="74" t="s">
        <v>84</v>
      </c>
      <c r="E2981" s="74">
        <v>1</v>
      </c>
      <c r="F2981" s="74">
        <v>5.05</v>
      </c>
      <c r="G2981" s="758">
        <f t="shared" si="184"/>
        <v>0.78</v>
      </c>
      <c r="H2981" s="759">
        <f t="shared" si="185"/>
        <v>0.28999999999999998</v>
      </c>
      <c r="I2981" s="758">
        <f t="shared" si="186"/>
        <v>4.2699999999999996</v>
      </c>
      <c r="J2981" s="760">
        <f t="shared" si="187"/>
        <v>0.84554455445544552</v>
      </c>
    </row>
    <row r="2982" spans="1:10">
      <c r="A2982" s="74" t="s">
        <v>817</v>
      </c>
      <c r="B2982" s="74" t="s">
        <v>713</v>
      </c>
      <c r="C2982" s="74" t="s">
        <v>1507</v>
      </c>
      <c r="D2982" s="74" t="s">
        <v>86</v>
      </c>
      <c r="E2982" s="74">
        <v>3</v>
      </c>
      <c r="F2982" s="74">
        <v>14.7</v>
      </c>
      <c r="G2982" s="758">
        <f t="shared" si="184"/>
        <v>0.78</v>
      </c>
      <c r="H2982" s="759">
        <f t="shared" si="185"/>
        <v>0.28999999999999998</v>
      </c>
      <c r="I2982" s="758">
        <f t="shared" si="186"/>
        <v>4.1199999999999992</v>
      </c>
      <c r="J2982" s="760">
        <f t="shared" si="187"/>
        <v>0.84081632653061222</v>
      </c>
    </row>
    <row r="2983" spans="1:10">
      <c r="A2983" s="74" t="s">
        <v>817</v>
      </c>
      <c r="B2983" s="74" t="s">
        <v>713</v>
      </c>
      <c r="C2983" s="74" t="s">
        <v>1644</v>
      </c>
      <c r="D2983" s="74" t="s">
        <v>86</v>
      </c>
      <c r="E2983" s="74">
        <v>1</v>
      </c>
      <c r="F2983" s="74">
        <v>4.9000000000000004</v>
      </c>
      <c r="G2983" s="758">
        <f t="shared" si="184"/>
        <v>0.78</v>
      </c>
      <c r="H2983" s="759">
        <f t="shared" si="185"/>
        <v>0.28999999999999998</v>
      </c>
      <c r="I2983" s="758">
        <f t="shared" si="186"/>
        <v>4.12</v>
      </c>
      <c r="J2983" s="760">
        <f t="shared" si="187"/>
        <v>0.84081632653061222</v>
      </c>
    </row>
    <row r="2984" spans="1:10">
      <c r="A2984" s="74" t="s">
        <v>817</v>
      </c>
      <c r="B2984" s="74" t="s">
        <v>713</v>
      </c>
      <c r="C2984" s="74" t="s">
        <v>1578</v>
      </c>
      <c r="D2984" s="74" t="s">
        <v>86</v>
      </c>
      <c r="E2984" s="74">
        <v>2</v>
      </c>
      <c r="F2984" s="74">
        <v>9.8000000000000007</v>
      </c>
      <c r="G2984" s="758">
        <f t="shared" si="184"/>
        <v>0.78</v>
      </c>
      <c r="H2984" s="759">
        <f t="shared" si="185"/>
        <v>0.28999999999999998</v>
      </c>
      <c r="I2984" s="758">
        <f t="shared" si="186"/>
        <v>4.12</v>
      </c>
      <c r="J2984" s="760">
        <f t="shared" si="187"/>
        <v>0.84081632653061222</v>
      </c>
    </row>
    <row r="2985" spans="1:10">
      <c r="A2985" s="74" t="s">
        <v>817</v>
      </c>
      <c r="B2985" s="74" t="s">
        <v>713</v>
      </c>
      <c r="C2985" s="74" t="s">
        <v>1541</v>
      </c>
      <c r="D2985" s="74" t="s">
        <v>86</v>
      </c>
      <c r="E2985" s="74">
        <v>1</v>
      </c>
      <c r="F2985" s="74">
        <v>4.9000000000000004</v>
      </c>
      <c r="G2985" s="758">
        <f t="shared" si="184"/>
        <v>0.78</v>
      </c>
      <c r="H2985" s="759">
        <f t="shared" si="185"/>
        <v>0.28999999999999998</v>
      </c>
      <c r="I2985" s="758">
        <f t="shared" si="186"/>
        <v>4.12</v>
      </c>
      <c r="J2985" s="760">
        <f t="shared" si="187"/>
        <v>0.84081632653061222</v>
      </c>
    </row>
    <row r="2986" spans="1:10">
      <c r="A2986" s="74" t="s">
        <v>817</v>
      </c>
      <c r="B2986" s="74" t="s">
        <v>713</v>
      </c>
      <c r="C2986" s="74" t="s">
        <v>1543</v>
      </c>
      <c r="D2986" s="74" t="s">
        <v>87</v>
      </c>
      <c r="E2986" s="74">
        <v>1</v>
      </c>
      <c r="F2986" s="74">
        <v>4.9000000000000004</v>
      </c>
      <c r="G2986" s="758">
        <f t="shared" si="184"/>
        <v>0.78</v>
      </c>
      <c r="H2986" s="759">
        <f t="shared" si="185"/>
        <v>0.28999999999999998</v>
      </c>
      <c r="I2986" s="758">
        <f t="shared" si="186"/>
        <v>4.12</v>
      </c>
      <c r="J2986" s="760">
        <f t="shared" si="187"/>
        <v>0.84081632653061222</v>
      </c>
    </row>
    <row r="2987" spans="1:10">
      <c r="A2987" s="74" t="s">
        <v>817</v>
      </c>
      <c r="B2987" s="74" t="s">
        <v>713</v>
      </c>
      <c r="C2987" s="74" t="s">
        <v>1561</v>
      </c>
      <c r="D2987" s="74" t="s">
        <v>87</v>
      </c>
      <c r="E2987" s="74">
        <v>1</v>
      </c>
      <c r="F2987" s="74">
        <v>4.9000000000000004</v>
      </c>
      <c r="G2987" s="758">
        <f t="shared" si="184"/>
        <v>0.78</v>
      </c>
      <c r="H2987" s="759">
        <f t="shared" si="185"/>
        <v>0.28999999999999998</v>
      </c>
      <c r="I2987" s="758">
        <f t="shared" si="186"/>
        <v>4.12</v>
      </c>
      <c r="J2987" s="760">
        <f t="shared" si="187"/>
        <v>0.84081632653061222</v>
      </c>
    </row>
    <row r="2988" spans="1:10">
      <c r="A2988" s="74" t="s">
        <v>817</v>
      </c>
      <c r="B2988" s="74" t="s">
        <v>713</v>
      </c>
      <c r="C2988" s="74" t="s">
        <v>1546</v>
      </c>
      <c r="D2988" s="74" t="s">
        <v>89</v>
      </c>
      <c r="E2988" s="74">
        <v>1</v>
      </c>
      <c r="F2988" s="74">
        <v>4.9000000000000004</v>
      </c>
      <c r="G2988" s="758">
        <f t="shared" si="184"/>
        <v>0.78</v>
      </c>
      <c r="H2988" s="759">
        <f t="shared" si="185"/>
        <v>0.28999999999999998</v>
      </c>
      <c r="I2988" s="758">
        <f t="shared" si="186"/>
        <v>4.12</v>
      </c>
      <c r="J2988" s="760">
        <f t="shared" si="187"/>
        <v>0.84081632653061222</v>
      </c>
    </row>
    <row r="2989" spans="1:10">
      <c r="A2989" s="74" t="s">
        <v>817</v>
      </c>
      <c r="B2989" s="74" t="s">
        <v>713</v>
      </c>
      <c r="C2989" s="74" t="s">
        <v>1582</v>
      </c>
      <c r="D2989" s="74" t="s">
        <v>89</v>
      </c>
      <c r="E2989" s="74">
        <v>1</v>
      </c>
      <c r="F2989" s="74">
        <v>4.9000000000000004</v>
      </c>
      <c r="G2989" s="758">
        <f t="shared" si="184"/>
        <v>0.78</v>
      </c>
      <c r="H2989" s="759">
        <f t="shared" si="185"/>
        <v>0.28999999999999998</v>
      </c>
      <c r="I2989" s="758">
        <f t="shared" si="186"/>
        <v>4.12</v>
      </c>
      <c r="J2989" s="760">
        <f t="shared" si="187"/>
        <v>0.84081632653061222</v>
      </c>
    </row>
    <row r="2990" spans="1:10">
      <c r="A2990" s="74" t="s">
        <v>817</v>
      </c>
      <c r="B2990" s="74" t="s">
        <v>713</v>
      </c>
      <c r="C2990" s="74" t="s">
        <v>1522</v>
      </c>
      <c r="D2990" s="74" t="s">
        <v>91</v>
      </c>
      <c r="E2990" s="74">
        <v>3</v>
      </c>
      <c r="F2990" s="74">
        <v>14.7</v>
      </c>
      <c r="G2990" s="758">
        <f t="shared" si="184"/>
        <v>0.78</v>
      </c>
      <c r="H2990" s="759">
        <f t="shared" si="185"/>
        <v>0.28999999999999998</v>
      </c>
      <c r="I2990" s="758">
        <f t="shared" si="186"/>
        <v>4.1199999999999992</v>
      </c>
      <c r="J2990" s="760">
        <f t="shared" si="187"/>
        <v>0.84081632653061222</v>
      </c>
    </row>
    <row r="2991" spans="1:10">
      <c r="A2991" s="74" t="s">
        <v>817</v>
      </c>
      <c r="B2991" s="74" t="s">
        <v>713</v>
      </c>
      <c r="C2991" s="74" t="s">
        <v>1675</v>
      </c>
      <c r="D2991" s="74" t="s">
        <v>91</v>
      </c>
      <c r="E2991" s="74">
        <v>5</v>
      </c>
      <c r="F2991" s="74">
        <v>24.5</v>
      </c>
      <c r="G2991" s="758">
        <f t="shared" si="184"/>
        <v>0.78</v>
      </c>
      <c r="H2991" s="759">
        <f t="shared" si="185"/>
        <v>0.28999999999999998</v>
      </c>
      <c r="I2991" s="758">
        <f t="shared" si="186"/>
        <v>4.12</v>
      </c>
      <c r="J2991" s="760">
        <f t="shared" si="187"/>
        <v>0.84081632653061222</v>
      </c>
    </row>
    <row r="2992" spans="1:10">
      <c r="A2992" s="74" t="s">
        <v>817</v>
      </c>
      <c r="B2992" s="74" t="s">
        <v>713</v>
      </c>
      <c r="C2992" s="74" t="s">
        <v>1524</v>
      </c>
      <c r="D2992" s="74" t="s">
        <v>91</v>
      </c>
      <c r="E2992" s="74">
        <v>1</v>
      </c>
      <c r="F2992" s="74">
        <v>4.9000000000000004</v>
      </c>
      <c r="G2992" s="758">
        <f t="shared" si="184"/>
        <v>0.78</v>
      </c>
      <c r="H2992" s="759">
        <f t="shared" si="185"/>
        <v>0.28999999999999998</v>
      </c>
      <c r="I2992" s="758">
        <f t="shared" si="186"/>
        <v>4.12</v>
      </c>
      <c r="J2992" s="760">
        <f t="shared" si="187"/>
        <v>0.84081632653061222</v>
      </c>
    </row>
    <row r="2993" spans="1:10">
      <c r="A2993" s="74" t="s">
        <v>817</v>
      </c>
      <c r="B2993" s="74" t="s">
        <v>713</v>
      </c>
      <c r="C2993" s="74" t="s">
        <v>1584</v>
      </c>
      <c r="D2993" s="74" t="s">
        <v>92</v>
      </c>
      <c r="E2993" s="74">
        <v>1</v>
      </c>
      <c r="F2993" s="74">
        <v>4.9000000000000004</v>
      </c>
      <c r="G2993" s="758">
        <f t="shared" si="184"/>
        <v>0.78</v>
      </c>
      <c r="H2993" s="759">
        <f t="shared" si="185"/>
        <v>0.28999999999999998</v>
      </c>
      <c r="I2993" s="758">
        <f t="shared" si="186"/>
        <v>4.12</v>
      </c>
      <c r="J2993" s="760">
        <f t="shared" si="187"/>
        <v>0.84081632653061222</v>
      </c>
    </row>
    <row r="2994" spans="1:10">
      <c r="A2994" s="74" t="s">
        <v>817</v>
      </c>
      <c r="B2994" s="74" t="s">
        <v>713</v>
      </c>
      <c r="C2994" s="74" t="s">
        <v>1617</v>
      </c>
      <c r="D2994" s="74" t="s">
        <v>94</v>
      </c>
      <c r="E2994" s="74">
        <v>4</v>
      </c>
      <c r="F2994" s="74">
        <v>19.600000000000001</v>
      </c>
      <c r="G2994" s="758">
        <f t="shared" si="184"/>
        <v>0.78</v>
      </c>
      <c r="H2994" s="759">
        <f t="shared" si="185"/>
        <v>0.28999999999999998</v>
      </c>
      <c r="I2994" s="758">
        <f t="shared" si="186"/>
        <v>4.12</v>
      </c>
      <c r="J2994" s="760">
        <f t="shared" si="187"/>
        <v>0.84081632653061222</v>
      </c>
    </row>
    <row r="2995" spans="1:10">
      <c r="A2995" s="74" t="s">
        <v>817</v>
      </c>
      <c r="B2995" s="74" t="s">
        <v>713</v>
      </c>
      <c r="C2995" s="74" t="s">
        <v>1555</v>
      </c>
      <c r="D2995" s="74" t="s">
        <v>94</v>
      </c>
      <c r="E2995" s="74">
        <v>2</v>
      </c>
      <c r="F2995" s="74">
        <v>9.8000000000000007</v>
      </c>
      <c r="G2995" s="758">
        <f t="shared" si="184"/>
        <v>0.78</v>
      </c>
      <c r="H2995" s="759">
        <f t="shared" si="185"/>
        <v>0.28999999999999998</v>
      </c>
      <c r="I2995" s="758">
        <f t="shared" si="186"/>
        <v>4.12</v>
      </c>
      <c r="J2995" s="760">
        <f t="shared" si="187"/>
        <v>0.84081632653061222</v>
      </c>
    </row>
    <row r="2996" spans="1:10">
      <c r="A2996" s="74" t="s">
        <v>2285</v>
      </c>
      <c r="B2996" s="74" t="s">
        <v>327</v>
      </c>
      <c r="C2996" s="74" t="s">
        <v>1543</v>
      </c>
      <c r="D2996" s="74" t="s">
        <v>87</v>
      </c>
      <c r="E2996" s="74">
        <v>1</v>
      </c>
      <c r="F2996" s="74">
        <v>4.2699999999999996</v>
      </c>
      <c r="G2996" s="758">
        <f t="shared" si="184"/>
        <v>0</v>
      </c>
      <c r="H2996" s="759">
        <f t="shared" si="185"/>
        <v>0</v>
      </c>
      <c r="I2996" s="758">
        <f t="shared" si="186"/>
        <v>4.2699999999999996</v>
      </c>
      <c r="J2996" s="760">
        <f t="shared" si="187"/>
        <v>1</v>
      </c>
    </row>
    <row r="2997" spans="1:10">
      <c r="A2997" s="74" t="s">
        <v>1836</v>
      </c>
      <c r="B2997" s="74" t="s">
        <v>328</v>
      </c>
      <c r="C2997" s="74" t="s">
        <v>1608</v>
      </c>
      <c r="D2997" s="74" t="s">
        <v>89</v>
      </c>
      <c r="E2997" s="74">
        <v>1</v>
      </c>
      <c r="F2997" s="74">
        <v>5.4</v>
      </c>
      <c r="G2997" s="758">
        <f t="shared" si="184"/>
        <v>0</v>
      </c>
      <c r="H2997" s="759">
        <f t="shared" si="185"/>
        <v>0</v>
      </c>
      <c r="I2997" s="758">
        <f t="shared" si="186"/>
        <v>5.4</v>
      </c>
      <c r="J2997" s="760">
        <f t="shared" si="187"/>
        <v>1</v>
      </c>
    </row>
    <row r="2998" spans="1:10">
      <c r="A2998" s="74" t="s">
        <v>1837</v>
      </c>
      <c r="B2998" s="74" t="s">
        <v>328</v>
      </c>
      <c r="C2998" s="74" t="s">
        <v>1528</v>
      </c>
      <c r="D2998" s="74" t="s">
        <v>78</v>
      </c>
      <c r="E2998" s="74">
        <v>1</v>
      </c>
      <c r="F2998" s="74">
        <v>4.5</v>
      </c>
      <c r="G2998" s="758">
        <f t="shared" si="184"/>
        <v>1.28</v>
      </c>
      <c r="H2998" s="759">
        <f t="shared" si="185"/>
        <v>0.31</v>
      </c>
      <c r="I2998" s="758">
        <f t="shared" si="186"/>
        <v>3.2199999999999998</v>
      </c>
      <c r="J2998" s="760">
        <f t="shared" si="187"/>
        <v>0.7155555555555555</v>
      </c>
    </row>
    <row r="2999" spans="1:10">
      <c r="A2999" s="74" t="s">
        <v>1837</v>
      </c>
      <c r="B2999" s="74" t="s">
        <v>328</v>
      </c>
      <c r="C2999" s="74" t="s">
        <v>1509</v>
      </c>
      <c r="D2999" s="74" t="s">
        <v>78</v>
      </c>
      <c r="E2999" s="74">
        <v>1</v>
      </c>
      <c r="F2999" s="74">
        <v>4.5</v>
      </c>
      <c r="G2999" s="758">
        <f t="shared" si="184"/>
        <v>1.28</v>
      </c>
      <c r="H2999" s="759">
        <f t="shared" si="185"/>
        <v>0.31</v>
      </c>
      <c r="I2999" s="758">
        <f t="shared" si="186"/>
        <v>3.2199999999999998</v>
      </c>
      <c r="J2999" s="760">
        <f t="shared" si="187"/>
        <v>0.7155555555555555</v>
      </c>
    </row>
    <row r="3000" spans="1:10">
      <c r="A3000" s="74" t="s">
        <v>1837</v>
      </c>
      <c r="B3000" s="74" t="s">
        <v>328</v>
      </c>
      <c r="C3000" s="74" t="s">
        <v>1515</v>
      </c>
      <c r="D3000" s="74" t="s">
        <v>81</v>
      </c>
      <c r="E3000" s="74">
        <v>1</v>
      </c>
      <c r="F3000" s="74">
        <v>4.5</v>
      </c>
      <c r="G3000" s="758">
        <f t="shared" si="184"/>
        <v>1.28</v>
      </c>
      <c r="H3000" s="759">
        <f t="shared" si="185"/>
        <v>0.31</v>
      </c>
      <c r="I3000" s="758">
        <f t="shared" si="186"/>
        <v>3.2199999999999998</v>
      </c>
      <c r="J3000" s="760">
        <f t="shared" si="187"/>
        <v>0.7155555555555555</v>
      </c>
    </row>
    <row r="3001" spans="1:10">
      <c r="A3001" s="74" t="s">
        <v>1837</v>
      </c>
      <c r="B3001" s="74" t="s">
        <v>328</v>
      </c>
      <c r="C3001" s="74" t="s">
        <v>1517</v>
      </c>
      <c r="D3001" s="74" t="s">
        <v>82</v>
      </c>
      <c r="E3001" s="74">
        <v>1</v>
      </c>
      <c r="F3001" s="74">
        <v>4.5</v>
      </c>
      <c r="G3001" s="758">
        <f t="shared" si="184"/>
        <v>1.28</v>
      </c>
      <c r="H3001" s="759">
        <f t="shared" si="185"/>
        <v>0.31</v>
      </c>
      <c r="I3001" s="758">
        <f t="shared" si="186"/>
        <v>3.2199999999999998</v>
      </c>
      <c r="J3001" s="760">
        <f t="shared" si="187"/>
        <v>0.7155555555555555</v>
      </c>
    </row>
    <row r="3002" spans="1:10">
      <c r="A3002" s="74" t="s">
        <v>1837</v>
      </c>
      <c r="B3002" s="74" t="s">
        <v>328</v>
      </c>
      <c r="C3002" s="74" t="s">
        <v>1518</v>
      </c>
      <c r="D3002" s="74" t="s">
        <v>82</v>
      </c>
      <c r="E3002" s="74">
        <v>1</v>
      </c>
      <c r="F3002" s="74">
        <v>4.5</v>
      </c>
      <c r="G3002" s="758">
        <f t="shared" si="184"/>
        <v>1.28</v>
      </c>
      <c r="H3002" s="759">
        <f t="shared" si="185"/>
        <v>0.31</v>
      </c>
      <c r="I3002" s="758">
        <f t="shared" si="186"/>
        <v>3.2199999999999998</v>
      </c>
      <c r="J3002" s="760">
        <f t="shared" si="187"/>
        <v>0.7155555555555555</v>
      </c>
    </row>
    <row r="3003" spans="1:10">
      <c r="A3003" s="74" t="s">
        <v>1837</v>
      </c>
      <c r="B3003" s="74" t="s">
        <v>328</v>
      </c>
      <c r="C3003" s="74" t="s">
        <v>1519</v>
      </c>
      <c r="D3003" s="74" t="s">
        <v>84</v>
      </c>
      <c r="E3003" s="74">
        <v>1</v>
      </c>
      <c r="F3003" s="74">
        <v>4.5</v>
      </c>
      <c r="G3003" s="758">
        <f t="shared" si="184"/>
        <v>1.28</v>
      </c>
      <c r="H3003" s="759">
        <f t="shared" si="185"/>
        <v>0.31</v>
      </c>
      <c r="I3003" s="758">
        <f t="shared" si="186"/>
        <v>3.2199999999999998</v>
      </c>
      <c r="J3003" s="760">
        <f t="shared" si="187"/>
        <v>0.7155555555555555</v>
      </c>
    </row>
    <row r="3004" spans="1:10">
      <c r="A3004" s="74" t="s">
        <v>1838</v>
      </c>
      <c r="B3004" s="74" t="s">
        <v>328</v>
      </c>
      <c r="C3004" s="74" t="s">
        <v>1528</v>
      </c>
      <c r="D3004" s="74" t="s">
        <v>78</v>
      </c>
      <c r="E3004" s="74">
        <v>2</v>
      </c>
      <c r="F3004" s="74">
        <v>17.399999999999999</v>
      </c>
      <c r="G3004" s="758">
        <f t="shared" si="184"/>
        <v>3</v>
      </c>
      <c r="H3004" s="759">
        <f t="shared" si="185"/>
        <v>0.39</v>
      </c>
      <c r="I3004" s="758">
        <f t="shared" si="186"/>
        <v>5.6999999999999993</v>
      </c>
      <c r="J3004" s="760">
        <f t="shared" si="187"/>
        <v>0.65517241379310343</v>
      </c>
    </row>
    <row r="3005" spans="1:10">
      <c r="A3005" s="74" t="s">
        <v>1838</v>
      </c>
      <c r="B3005" s="74" t="s">
        <v>328</v>
      </c>
      <c r="C3005" s="74" t="s">
        <v>1508</v>
      </c>
      <c r="D3005" s="74" t="s">
        <v>78</v>
      </c>
      <c r="E3005" s="74">
        <v>2</v>
      </c>
      <c r="F3005" s="74">
        <v>17.399999999999999</v>
      </c>
      <c r="G3005" s="758">
        <f t="shared" si="184"/>
        <v>3</v>
      </c>
      <c r="H3005" s="759">
        <f t="shared" si="185"/>
        <v>0.39</v>
      </c>
      <c r="I3005" s="758">
        <f t="shared" si="186"/>
        <v>5.6999999999999993</v>
      </c>
      <c r="J3005" s="760">
        <f t="shared" si="187"/>
        <v>0.65517241379310343</v>
      </c>
    </row>
    <row r="3006" spans="1:10">
      <c r="A3006" s="74" t="s">
        <v>1838</v>
      </c>
      <c r="B3006" s="74" t="s">
        <v>328</v>
      </c>
      <c r="C3006" s="74" t="s">
        <v>1565</v>
      </c>
      <c r="D3006" s="74" t="s">
        <v>78</v>
      </c>
      <c r="E3006" s="74">
        <v>2</v>
      </c>
      <c r="F3006" s="74">
        <v>17.399999999999999</v>
      </c>
      <c r="G3006" s="758">
        <f t="shared" si="184"/>
        <v>3</v>
      </c>
      <c r="H3006" s="759">
        <f t="shared" si="185"/>
        <v>0.39</v>
      </c>
      <c r="I3006" s="758">
        <f t="shared" si="186"/>
        <v>5.6999999999999993</v>
      </c>
      <c r="J3006" s="760">
        <f t="shared" si="187"/>
        <v>0.65517241379310343</v>
      </c>
    </row>
    <row r="3007" spans="1:10">
      <c r="A3007" s="74" t="s">
        <v>1838</v>
      </c>
      <c r="B3007" s="74" t="s">
        <v>328</v>
      </c>
      <c r="C3007" s="74" t="s">
        <v>1530</v>
      </c>
      <c r="D3007" s="74" t="s">
        <v>80</v>
      </c>
      <c r="E3007" s="74">
        <v>1</v>
      </c>
      <c r="F3007" s="74">
        <v>8.6999999999999993</v>
      </c>
      <c r="G3007" s="758">
        <f t="shared" si="184"/>
        <v>3</v>
      </c>
      <c r="H3007" s="759">
        <f t="shared" si="185"/>
        <v>0.39</v>
      </c>
      <c r="I3007" s="758">
        <f t="shared" si="186"/>
        <v>5.6999999999999993</v>
      </c>
      <c r="J3007" s="760">
        <f t="shared" si="187"/>
        <v>0.65517241379310343</v>
      </c>
    </row>
    <row r="3008" spans="1:10">
      <c r="A3008" s="74" t="s">
        <v>1838</v>
      </c>
      <c r="B3008" s="74" t="s">
        <v>328</v>
      </c>
      <c r="C3008" s="74" t="s">
        <v>1532</v>
      </c>
      <c r="D3008" s="74" t="s">
        <v>80</v>
      </c>
      <c r="E3008" s="74">
        <v>2</v>
      </c>
      <c r="F3008" s="74">
        <v>17.399999999999999</v>
      </c>
      <c r="G3008" s="758">
        <f t="shared" si="184"/>
        <v>3</v>
      </c>
      <c r="H3008" s="759">
        <f t="shared" si="185"/>
        <v>0.39</v>
      </c>
      <c r="I3008" s="758">
        <f t="shared" si="186"/>
        <v>5.6999999999999993</v>
      </c>
      <c r="J3008" s="760">
        <f t="shared" si="187"/>
        <v>0.65517241379310343</v>
      </c>
    </row>
    <row r="3009" spans="1:10">
      <c r="A3009" s="74" t="s">
        <v>1838</v>
      </c>
      <c r="B3009" s="74" t="s">
        <v>328</v>
      </c>
      <c r="C3009" s="74" t="s">
        <v>1511</v>
      </c>
      <c r="D3009" s="74" t="s">
        <v>80</v>
      </c>
      <c r="E3009" s="74">
        <v>1</v>
      </c>
      <c r="F3009" s="74">
        <v>8.6999999999999993</v>
      </c>
      <c r="G3009" s="758">
        <f t="shared" si="184"/>
        <v>3</v>
      </c>
      <c r="H3009" s="759">
        <f t="shared" si="185"/>
        <v>0.39</v>
      </c>
      <c r="I3009" s="758">
        <f t="shared" si="186"/>
        <v>5.6999999999999993</v>
      </c>
      <c r="J3009" s="760">
        <f t="shared" si="187"/>
        <v>0.65517241379310343</v>
      </c>
    </row>
    <row r="3010" spans="1:10">
      <c r="A3010" s="74" t="s">
        <v>1838</v>
      </c>
      <c r="B3010" s="74" t="s">
        <v>328</v>
      </c>
      <c r="C3010" s="74" t="s">
        <v>1512</v>
      </c>
      <c r="D3010" s="74" t="s">
        <v>80</v>
      </c>
      <c r="E3010" s="74">
        <v>1</v>
      </c>
      <c r="F3010" s="74">
        <v>8.6999999999999993</v>
      </c>
      <c r="G3010" s="758">
        <f t="shared" ref="G3010:G3073" si="188">IFERROR(VLOOKUP(A3010,$M$1:$P$1014,2,FALSE),0)</f>
        <v>3</v>
      </c>
      <c r="H3010" s="759">
        <f t="shared" ref="H3010:H3073" si="189">IFERROR(VLOOKUP(A3010,$M$1:$P$1014,3,FALSE),0)</f>
        <v>0.39</v>
      </c>
      <c r="I3010" s="758">
        <f t="shared" ref="I3010:I3073" si="190">IFERROR(F3010/E3010-G3010,0)</f>
        <v>5.6999999999999993</v>
      </c>
      <c r="J3010" s="760">
        <f t="shared" ref="J3010:J3073" si="191">IFERROR(1-G3010*E3010/F3010,0)</f>
        <v>0.65517241379310343</v>
      </c>
    </row>
    <row r="3011" spans="1:10">
      <c r="A3011" s="74" t="s">
        <v>1838</v>
      </c>
      <c r="B3011" s="74" t="s">
        <v>328</v>
      </c>
      <c r="C3011" s="74" t="s">
        <v>1534</v>
      </c>
      <c r="D3011" s="74" t="s">
        <v>81</v>
      </c>
      <c r="E3011" s="74">
        <v>3</v>
      </c>
      <c r="F3011" s="74">
        <v>26.1</v>
      </c>
      <c r="G3011" s="758">
        <f t="shared" si="188"/>
        <v>3</v>
      </c>
      <c r="H3011" s="759">
        <f t="shared" si="189"/>
        <v>0.39</v>
      </c>
      <c r="I3011" s="758">
        <f t="shared" si="190"/>
        <v>5.7000000000000011</v>
      </c>
      <c r="J3011" s="760">
        <f t="shared" si="191"/>
        <v>0.65517241379310343</v>
      </c>
    </row>
    <row r="3012" spans="1:10">
      <c r="A3012" s="74" t="s">
        <v>1838</v>
      </c>
      <c r="B3012" s="74" t="s">
        <v>328</v>
      </c>
      <c r="C3012" s="74" t="s">
        <v>1516</v>
      </c>
      <c r="D3012" s="74" t="s">
        <v>82</v>
      </c>
      <c r="E3012" s="74">
        <v>1</v>
      </c>
      <c r="F3012" s="74">
        <v>8.6999999999999993</v>
      </c>
      <c r="G3012" s="758">
        <f t="shared" si="188"/>
        <v>3</v>
      </c>
      <c r="H3012" s="759">
        <f t="shared" si="189"/>
        <v>0.39</v>
      </c>
      <c r="I3012" s="758">
        <f t="shared" si="190"/>
        <v>5.6999999999999993</v>
      </c>
      <c r="J3012" s="760">
        <f t="shared" si="191"/>
        <v>0.65517241379310343</v>
      </c>
    </row>
    <row r="3013" spans="1:10">
      <c r="A3013" s="74" t="s">
        <v>1838</v>
      </c>
      <c r="B3013" s="74" t="s">
        <v>328</v>
      </c>
      <c r="C3013" s="74" t="s">
        <v>1517</v>
      </c>
      <c r="D3013" s="74" t="s">
        <v>82</v>
      </c>
      <c r="E3013" s="74">
        <v>3</v>
      </c>
      <c r="F3013" s="74">
        <v>26.1</v>
      </c>
      <c r="G3013" s="758">
        <f t="shared" si="188"/>
        <v>3</v>
      </c>
      <c r="H3013" s="759">
        <f t="shared" si="189"/>
        <v>0.39</v>
      </c>
      <c r="I3013" s="758">
        <f t="shared" si="190"/>
        <v>5.7000000000000011</v>
      </c>
      <c r="J3013" s="760">
        <f t="shared" si="191"/>
        <v>0.65517241379310343</v>
      </c>
    </row>
    <row r="3014" spans="1:10">
      <c r="A3014" s="74" t="s">
        <v>1838</v>
      </c>
      <c r="B3014" s="74" t="s">
        <v>328</v>
      </c>
      <c r="C3014" s="74" t="s">
        <v>1527</v>
      </c>
      <c r="D3014" s="74" t="s">
        <v>82</v>
      </c>
      <c r="E3014" s="74">
        <v>3</v>
      </c>
      <c r="F3014" s="74">
        <v>26.1</v>
      </c>
      <c r="G3014" s="758">
        <f t="shared" si="188"/>
        <v>3</v>
      </c>
      <c r="H3014" s="759">
        <f t="shared" si="189"/>
        <v>0.39</v>
      </c>
      <c r="I3014" s="758">
        <f t="shared" si="190"/>
        <v>5.7000000000000011</v>
      </c>
      <c r="J3014" s="760">
        <f t="shared" si="191"/>
        <v>0.65517241379310343</v>
      </c>
    </row>
    <row r="3015" spans="1:10">
      <c r="A3015" s="74" t="s">
        <v>1838</v>
      </c>
      <c r="B3015" s="74" t="s">
        <v>328</v>
      </c>
      <c r="C3015" s="74" t="s">
        <v>1518</v>
      </c>
      <c r="D3015" s="74" t="s">
        <v>82</v>
      </c>
      <c r="E3015" s="74">
        <v>2</v>
      </c>
      <c r="F3015" s="74">
        <v>19.399999999999999</v>
      </c>
      <c r="G3015" s="758">
        <f t="shared" si="188"/>
        <v>3</v>
      </c>
      <c r="H3015" s="759">
        <f t="shared" si="189"/>
        <v>0.39</v>
      </c>
      <c r="I3015" s="758">
        <f t="shared" si="190"/>
        <v>6.6999999999999993</v>
      </c>
      <c r="J3015" s="760">
        <f t="shared" si="191"/>
        <v>0.69072164948453607</v>
      </c>
    </row>
    <row r="3016" spans="1:10">
      <c r="A3016" s="74" t="s">
        <v>1838</v>
      </c>
      <c r="B3016" s="74" t="s">
        <v>328</v>
      </c>
      <c r="C3016" s="74" t="s">
        <v>1540</v>
      </c>
      <c r="D3016" s="74" t="s">
        <v>84</v>
      </c>
      <c r="E3016" s="74">
        <v>1</v>
      </c>
      <c r="F3016" s="74">
        <v>9.6999999999999993</v>
      </c>
      <c r="G3016" s="758">
        <f t="shared" si="188"/>
        <v>3</v>
      </c>
      <c r="H3016" s="759">
        <f t="shared" si="189"/>
        <v>0.39</v>
      </c>
      <c r="I3016" s="758">
        <f t="shared" si="190"/>
        <v>6.6999999999999993</v>
      </c>
      <c r="J3016" s="760">
        <f t="shared" si="191"/>
        <v>0.69072164948453607</v>
      </c>
    </row>
    <row r="3017" spans="1:10">
      <c r="A3017" s="74" t="s">
        <v>1838</v>
      </c>
      <c r="B3017" s="74" t="s">
        <v>328</v>
      </c>
      <c r="C3017" s="74" t="s">
        <v>1507</v>
      </c>
      <c r="D3017" s="74" t="s">
        <v>86</v>
      </c>
      <c r="E3017" s="74">
        <v>1</v>
      </c>
      <c r="F3017" s="74">
        <v>9.6999999999999993</v>
      </c>
      <c r="G3017" s="758">
        <f t="shared" si="188"/>
        <v>3</v>
      </c>
      <c r="H3017" s="759">
        <f t="shared" si="189"/>
        <v>0.39</v>
      </c>
      <c r="I3017" s="758">
        <f t="shared" si="190"/>
        <v>6.6999999999999993</v>
      </c>
      <c r="J3017" s="760">
        <f t="shared" si="191"/>
        <v>0.69072164948453607</v>
      </c>
    </row>
    <row r="3018" spans="1:10">
      <c r="A3018" s="74" t="s">
        <v>1839</v>
      </c>
      <c r="B3018" s="74" t="s">
        <v>328</v>
      </c>
      <c r="C3018" s="74" t="s">
        <v>1565</v>
      </c>
      <c r="D3018" s="74" t="s">
        <v>78</v>
      </c>
      <c r="E3018" s="74">
        <v>1</v>
      </c>
      <c r="F3018" s="74">
        <v>5.4</v>
      </c>
      <c r="G3018" s="758">
        <f t="shared" si="188"/>
        <v>1.88</v>
      </c>
      <c r="H3018" s="759">
        <f t="shared" si="189"/>
        <v>0.4</v>
      </c>
      <c r="I3018" s="758">
        <f t="shared" si="190"/>
        <v>3.5200000000000005</v>
      </c>
      <c r="J3018" s="760">
        <f t="shared" si="191"/>
        <v>0.6518518518518519</v>
      </c>
    </row>
    <row r="3019" spans="1:10">
      <c r="A3019" s="74" t="s">
        <v>1839</v>
      </c>
      <c r="B3019" s="74" t="s">
        <v>328</v>
      </c>
      <c r="C3019" s="74" t="s">
        <v>1530</v>
      </c>
      <c r="D3019" s="74" t="s">
        <v>80</v>
      </c>
      <c r="E3019" s="74">
        <v>1</v>
      </c>
      <c r="F3019" s="74">
        <v>5.4</v>
      </c>
      <c r="G3019" s="758">
        <f t="shared" si="188"/>
        <v>1.88</v>
      </c>
      <c r="H3019" s="759">
        <f t="shared" si="189"/>
        <v>0.4</v>
      </c>
      <c r="I3019" s="758">
        <f t="shared" si="190"/>
        <v>3.5200000000000005</v>
      </c>
      <c r="J3019" s="760">
        <f t="shared" si="191"/>
        <v>0.6518518518518519</v>
      </c>
    </row>
    <row r="3020" spans="1:10">
      <c r="A3020" s="74" t="s">
        <v>1839</v>
      </c>
      <c r="B3020" s="74" t="s">
        <v>328</v>
      </c>
      <c r="C3020" s="74" t="s">
        <v>1511</v>
      </c>
      <c r="D3020" s="74" t="s">
        <v>80</v>
      </c>
      <c r="E3020" s="74">
        <v>1</v>
      </c>
      <c r="F3020" s="74">
        <v>5.4</v>
      </c>
      <c r="G3020" s="758">
        <f t="shared" si="188"/>
        <v>1.88</v>
      </c>
      <c r="H3020" s="759">
        <f t="shared" si="189"/>
        <v>0.4</v>
      </c>
      <c r="I3020" s="758">
        <f t="shared" si="190"/>
        <v>3.5200000000000005</v>
      </c>
      <c r="J3020" s="760">
        <f t="shared" si="191"/>
        <v>0.6518518518518519</v>
      </c>
    </row>
    <row r="3021" spans="1:10">
      <c r="A3021" s="74" t="s">
        <v>1839</v>
      </c>
      <c r="B3021" s="74" t="s">
        <v>328</v>
      </c>
      <c r="C3021" s="74" t="s">
        <v>1512</v>
      </c>
      <c r="D3021" s="74" t="s">
        <v>80</v>
      </c>
      <c r="E3021" s="74">
        <v>2</v>
      </c>
      <c r="F3021" s="74">
        <v>10.8</v>
      </c>
      <c r="G3021" s="758">
        <f t="shared" si="188"/>
        <v>1.88</v>
      </c>
      <c r="H3021" s="759">
        <f t="shared" si="189"/>
        <v>0.4</v>
      </c>
      <c r="I3021" s="758">
        <f t="shared" si="190"/>
        <v>3.5200000000000005</v>
      </c>
      <c r="J3021" s="760">
        <f t="shared" si="191"/>
        <v>0.6518518518518519</v>
      </c>
    </row>
    <row r="3022" spans="1:10">
      <c r="A3022" s="74" t="s">
        <v>1839</v>
      </c>
      <c r="B3022" s="74" t="s">
        <v>328</v>
      </c>
      <c r="C3022" s="74" t="s">
        <v>1534</v>
      </c>
      <c r="D3022" s="74" t="s">
        <v>81</v>
      </c>
      <c r="E3022" s="74">
        <v>2</v>
      </c>
      <c r="F3022" s="74">
        <v>10.8</v>
      </c>
      <c r="G3022" s="758">
        <f t="shared" si="188"/>
        <v>1.88</v>
      </c>
      <c r="H3022" s="759">
        <f t="shared" si="189"/>
        <v>0.4</v>
      </c>
      <c r="I3022" s="758">
        <f t="shared" si="190"/>
        <v>3.5200000000000005</v>
      </c>
      <c r="J3022" s="760">
        <f t="shared" si="191"/>
        <v>0.6518518518518519</v>
      </c>
    </row>
    <row r="3023" spans="1:10">
      <c r="A3023" s="74" t="s">
        <v>1839</v>
      </c>
      <c r="B3023" s="74" t="s">
        <v>328</v>
      </c>
      <c r="C3023" s="74" t="s">
        <v>1527</v>
      </c>
      <c r="D3023" s="74" t="s">
        <v>82</v>
      </c>
      <c r="E3023" s="74">
        <v>13</v>
      </c>
      <c r="F3023" s="74">
        <v>70.2</v>
      </c>
      <c r="G3023" s="758">
        <f t="shared" si="188"/>
        <v>1.88</v>
      </c>
      <c r="H3023" s="759">
        <f t="shared" si="189"/>
        <v>0.4</v>
      </c>
      <c r="I3023" s="758">
        <f t="shared" si="190"/>
        <v>3.5200000000000005</v>
      </c>
      <c r="J3023" s="760">
        <f t="shared" si="191"/>
        <v>0.6518518518518519</v>
      </c>
    </row>
    <row r="3024" spans="1:10">
      <c r="A3024" s="74" t="s">
        <v>1839</v>
      </c>
      <c r="B3024" s="74" t="s">
        <v>328</v>
      </c>
      <c r="C3024" s="74" t="s">
        <v>1522</v>
      </c>
      <c r="D3024" s="74" t="s">
        <v>91</v>
      </c>
      <c r="E3024" s="74">
        <v>1</v>
      </c>
      <c r="F3024" s="74">
        <v>5.4</v>
      </c>
      <c r="G3024" s="758">
        <f t="shared" si="188"/>
        <v>1.88</v>
      </c>
      <c r="H3024" s="759">
        <f t="shared" si="189"/>
        <v>0.4</v>
      </c>
      <c r="I3024" s="758">
        <f t="shared" si="190"/>
        <v>3.5200000000000005</v>
      </c>
      <c r="J3024" s="760">
        <f t="shared" si="191"/>
        <v>0.6518518518518519</v>
      </c>
    </row>
    <row r="3025" spans="1:10">
      <c r="A3025" s="74" t="s">
        <v>1003</v>
      </c>
      <c r="B3025" s="74" t="s">
        <v>328</v>
      </c>
      <c r="C3025" s="74" t="s">
        <v>1578</v>
      </c>
      <c r="D3025" s="74" t="s">
        <v>86</v>
      </c>
      <c r="E3025" s="74">
        <v>1</v>
      </c>
      <c r="F3025" s="74">
        <v>4.5</v>
      </c>
      <c r="G3025" s="758">
        <f t="shared" si="188"/>
        <v>0</v>
      </c>
      <c r="H3025" s="759">
        <f t="shared" si="189"/>
        <v>0</v>
      </c>
      <c r="I3025" s="758">
        <f t="shared" si="190"/>
        <v>4.5</v>
      </c>
      <c r="J3025" s="760">
        <f t="shared" si="191"/>
        <v>1</v>
      </c>
    </row>
    <row r="3026" spans="1:10">
      <c r="A3026" s="74" t="s">
        <v>1003</v>
      </c>
      <c r="B3026" s="74" t="s">
        <v>328</v>
      </c>
      <c r="C3026" s="74" t="s">
        <v>1646</v>
      </c>
      <c r="D3026" s="74" t="s">
        <v>86</v>
      </c>
      <c r="E3026" s="74">
        <v>1</v>
      </c>
      <c r="F3026" s="74">
        <v>4.5</v>
      </c>
      <c r="G3026" s="758">
        <f t="shared" si="188"/>
        <v>0</v>
      </c>
      <c r="H3026" s="759">
        <f t="shared" si="189"/>
        <v>0</v>
      </c>
      <c r="I3026" s="758">
        <f t="shared" si="190"/>
        <v>4.5</v>
      </c>
      <c r="J3026" s="760">
        <f t="shared" si="191"/>
        <v>1</v>
      </c>
    </row>
    <row r="3027" spans="1:10">
      <c r="A3027" s="74" t="s">
        <v>1003</v>
      </c>
      <c r="B3027" s="74" t="s">
        <v>328</v>
      </c>
      <c r="C3027" s="74" t="s">
        <v>1541</v>
      </c>
      <c r="D3027" s="74" t="s">
        <v>86</v>
      </c>
      <c r="E3027" s="74">
        <v>1</v>
      </c>
      <c r="F3027" s="74">
        <v>4.5</v>
      </c>
      <c r="G3027" s="758">
        <f t="shared" si="188"/>
        <v>0</v>
      </c>
      <c r="H3027" s="759">
        <f t="shared" si="189"/>
        <v>0</v>
      </c>
      <c r="I3027" s="758">
        <f t="shared" si="190"/>
        <v>4.5</v>
      </c>
      <c r="J3027" s="760">
        <f t="shared" si="191"/>
        <v>1</v>
      </c>
    </row>
    <row r="3028" spans="1:10">
      <c r="A3028" s="74" t="s">
        <v>1003</v>
      </c>
      <c r="B3028" s="74" t="s">
        <v>328</v>
      </c>
      <c r="C3028" s="74" t="s">
        <v>1544</v>
      </c>
      <c r="D3028" s="74" t="s">
        <v>87</v>
      </c>
      <c r="E3028" s="74">
        <v>2</v>
      </c>
      <c r="F3028" s="74">
        <v>9</v>
      </c>
      <c r="G3028" s="758">
        <f t="shared" si="188"/>
        <v>0</v>
      </c>
      <c r="H3028" s="759">
        <f t="shared" si="189"/>
        <v>0</v>
      </c>
      <c r="I3028" s="758">
        <f t="shared" si="190"/>
        <v>4.5</v>
      </c>
      <c r="J3028" s="760">
        <f t="shared" si="191"/>
        <v>1</v>
      </c>
    </row>
    <row r="3029" spans="1:10">
      <c r="A3029" s="74" t="s">
        <v>1003</v>
      </c>
      <c r="B3029" s="74" t="s">
        <v>328</v>
      </c>
      <c r="C3029" s="74" t="s">
        <v>1675</v>
      </c>
      <c r="D3029" s="74" t="s">
        <v>91</v>
      </c>
      <c r="E3029" s="74">
        <v>1</v>
      </c>
      <c r="F3029" s="74">
        <v>4.5</v>
      </c>
      <c r="G3029" s="758">
        <f t="shared" si="188"/>
        <v>0</v>
      </c>
      <c r="H3029" s="759">
        <f t="shared" si="189"/>
        <v>0</v>
      </c>
      <c r="I3029" s="758">
        <f t="shared" si="190"/>
        <v>4.5</v>
      </c>
      <c r="J3029" s="760">
        <f t="shared" si="191"/>
        <v>1</v>
      </c>
    </row>
    <row r="3030" spans="1:10">
      <c r="A3030" s="74" t="s">
        <v>1003</v>
      </c>
      <c r="B3030" s="74" t="s">
        <v>328</v>
      </c>
      <c r="C3030" s="74" t="s">
        <v>1631</v>
      </c>
      <c r="D3030" s="74" t="s">
        <v>92</v>
      </c>
      <c r="E3030" s="74">
        <v>1</v>
      </c>
      <c r="F3030" s="74">
        <v>4.5</v>
      </c>
      <c r="G3030" s="758">
        <f t="shared" si="188"/>
        <v>0</v>
      </c>
      <c r="H3030" s="759">
        <f t="shared" si="189"/>
        <v>0</v>
      </c>
      <c r="I3030" s="758">
        <f t="shared" si="190"/>
        <v>4.5</v>
      </c>
      <c r="J3030" s="760">
        <f t="shared" si="191"/>
        <v>1</v>
      </c>
    </row>
    <row r="3031" spans="1:10">
      <c r="A3031" s="74" t="s">
        <v>1003</v>
      </c>
      <c r="B3031" s="74" t="s">
        <v>328</v>
      </c>
      <c r="C3031" s="74" t="s">
        <v>1552</v>
      </c>
      <c r="D3031" s="74" t="s">
        <v>92</v>
      </c>
      <c r="E3031" s="74">
        <v>1</v>
      </c>
      <c r="F3031" s="74">
        <v>4.5</v>
      </c>
      <c r="G3031" s="758">
        <f t="shared" si="188"/>
        <v>0</v>
      </c>
      <c r="H3031" s="759">
        <f t="shared" si="189"/>
        <v>0</v>
      </c>
      <c r="I3031" s="758">
        <f t="shared" si="190"/>
        <v>4.5</v>
      </c>
      <c r="J3031" s="760">
        <f t="shared" si="191"/>
        <v>1</v>
      </c>
    </row>
    <row r="3032" spans="1:10">
      <c r="A3032" s="74" t="s">
        <v>1003</v>
      </c>
      <c r="B3032" s="74" t="s">
        <v>328</v>
      </c>
      <c r="C3032" s="74" t="s">
        <v>1617</v>
      </c>
      <c r="D3032" s="74" t="s">
        <v>94</v>
      </c>
      <c r="E3032" s="74">
        <v>1</v>
      </c>
      <c r="F3032" s="74">
        <v>4.5</v>
      </c>
      <c r="G3032" s="758">
        <f t="shared" si="188"/>
        <v>0</v>
      </c>
      <c r="H3032" s="759">
        <f t="shared" si="189"/>
        <v>0</v>
      </c>
      <c r="I3032" s="758">
        <f t="shared" si="190"/>
        <v>4.5</v>
      </c>
      <c r="J3032" s="760">
        <f t="shared" si="191"/>
        <v>1</v>
      </c>
    </row>
    <row r="3033" spans="1:10">
      <c r="A3033" s="74" t="s">
        <v>1003</v>
      </c>
      <c r="B3033" s="74" t="s">
        <v>328</v>
      </c>
      <c r="C3033" s="74" t="s">
        <v>1553</v>
      </c>
      <c r="D3033" s="74" t="s">
        <v>94</v>
      </c>
      <c r="E3033" s="74">
        <v>3</v>
      </c>
      <c r="F3033" s="74">
        <v>9</v>
      </c>
      <c r="G3033" s="758">
        <f t="shared" si="188"/>
        <v>0</v>
      </c>
      <c r="H3033" s="759">
        <f t="shared" si="189"/>
        <v>0</v>
      </c>
      <c r="I3033" s="758">
        <f t="shared" si="190"/>
        <v>3</v>
      </c>
      <c r="J3033" s="760">
        <f t="shared" si="191"/>
        <v>1</v>
      </c>
    </row>
    <row r="3034" spans="1:10">
      <c r="A3034" s="74" t="s">
        <v>1003</v>
      </c>
      <c r="B3034" s="74" t="s">
        <v>328</v>
      </c>
      <c r="C3034" s="74" t="s">
        <v>1555</v>
      </c>
      <c r="D3034" s="74" t="s">
        <v>94</v>
      </c>
      <c r="E3034" s="74">
        <v>2</v>
      </c>
      <c r="F3034" s="74">
        <v>9</v>
      </c>
      <c r="G3034" s="758">
        <f t="shared" si="188"/>
        <v>0</v>
      </c>
      <c r="H3034" s="759">
        <f t="shared" si="189"/>
        <v>0</v>
      </c>
      <c r="I3034" s="758">
        <f t="shared" si="190"/>
        <v>4.5</v>
      </c>
      <c r="J3034" s="760">
        <f t="shared" si="191"/>
        <v>1</v>
      </c>
    </row>
    <row r="3035" spans="1:10">
      <c r="A3035" s="74" t="s">
        <v>1003</v>
      </c>
      <c r="B3035" s="74" t="s">
        <v>328</v>
      </c>
      <c r="C3035" s="74" t="s">
        <v>1557</v>
      </c>
      <c r="D3035" s="74" t="s">
        <v>95</v>
      </c>
      <c r="E3035" s="74">
        <v>1</v>
      </c>
      <c r="F3035" s="74">
        <v>4.5</v>
      </c>
      <c r="G3035" s="758">
        <f t="shared" si="188"/>
        <v>0</v>
      </c>
      <c r="H3035" s="759">
        <f t="shared" si="189"/>
        <v>0</v>
      </c>
      <c r="I3035" s="758">
        <f t="shared" si="190"/>
        <v>4.5</v>
      </c>
      <c r="J3035" s="760">
        <f t="shared" si="191"/>
        <v>1</v>
      </c>
    </row>
    <row r="3036" spans="1:10">
      <c r="A3036" s="74" t="s">
        <v>1003</v>
      </c>
      <c r="B3036" s="74" t="s">
        <v>328</v>
      </c>
      <c r="C3036" s="74" t="s">
        <v>1526</v>
      </c>
      <c r="D3036" s="74" t="s">
        <v>95</v>
      </c>
      <c r="E3036" s="74">
        <v>1</v>
      </c>
      <c r="F3036" s="74">
        <v>4.5</v>
      </c>
      <c r="G3036" s="758">
        <f t="shared" si="188"/>
        <v>0</v>
      </c>
      <c r="H3036" s="759">
        <f t="shared" si="189"/>
        <v>0</v>
      </c>
      <c r="I3036" s="758">
        <f t="shared" si="190"/>
        <v>4.5</v>
      </c>
      <c r="J3036" s="760">
        <f t="shared" si="191"/>
        <v>1</v>
      </c>
    </row>
    <row r="3037" spans="1:10">
      <c r="A3037" s="74" t="s">
        <v>1003</v>
      </c>
      <c r="B3037" s="74" t="s">
        <v>328</v>
      </c>
      <c r="C3037" s="74" t="s">
        <v>1930</v>
      </c>
      <c r="D3037" s="74" t="s">
        <v>95</v>
      </c>
      <c r="E3037" s="74">
        <v>1</v>
      </c>
      <c r="F3037" s="74">
        <v>4.5</v>
      </c>
      <c r="G3037" s="758">
        <f t="shared" si="188"/>
        <v>0</v>
      </c>
      <c r="H3037" s="759">
        <f t="shared" si="189"/>
        <v>0</v>
      </c>
      <c r="I3037" s="758">
        <f t="shared" si="190"/>
        <v>4.5</v>
      </c>
      <c r="J3037" s="760">
        <f t="shared" si="191"/>
        <v>1</v>
      </c>
    </row>
    <row r="3038" spans="1:10">
      <c r="A3038" s="74" t="s">
        <v>1038</v>
      </c>
      <c r="B3038" s="74" t="s">
        <v>328</v>
      </c>
      <c r="C3038" s="74" t="s">
        <v>1577</v>
      </c>
      <c r="D3038" s="74" t="s">
        <v>84</v>
      </c>
      <c r="E3038" s="74">
        <v>1</v>
      </c>
      <c r="F3038" s="74">
        <v>9.6999999999999993</v>
      </c>
      <c r="G3038" s="758">
        <f t="shared" si="188"/>
        <v>3</v>
      </c>
      <c r="H3038" s="759">
        <f t="shared" si="189"/>
        <v>0.39</v>
      </c>
      <c r="I3038" s="758">
        <f t="shared" si="190"/>
        <v>6.6999999999999993</v>
      </c>
      <c r="J3038" s="760">
        <f t="shared" si="191"/>
        <v>0.69072164948453607</v>
      </c>
    </row>
    <row r="3039" spans="1:10">
      <c r="A3039" s="74" t="s">
        <v>1038</v>
      </c>
      <c r="B3039" s="74" t="s">
        <v>328</v>
      </c>
      <c r="C3039" s="74" t="s">
        <v>1507</v>
      </c>
      <c r="D3039" s="74" t="s">
        <v>86</v>
      </c>
      <c r="E3039" s="74">
        <v>1</v>
      </c>
      <c r="F3039" s="74">
        <v>9.6999999999999993</v>
      </c>
      <c r="G3039" s="758">
        <f t="shared" si="188"/>
        <v>3</v>
      </c>
      <c r="H3039" s="759">
        <f t="shared" si="189"/>
        <v>0.39</v>
      </c>
      <c r="I3039" s="758">
        <f t="shared" si="190"/>
        <v>6.6999999999999993</v>
      </c>
      <c r="J3039" s="760">
        <f t="shared" si="191"/>
        <v>0.69072164948453607</v>
      </c>
    </row>
    <row r="3040" spans="1:10">
      <c r="A3040" s="74" t="s">
        <v>1038</v>
      </c>
      <c r="B3040" s="74" t="s">
        <v>328</v>
      </c>
      <c r="C3040" s="74" t="s">
        <v>1646</v>
      </c>
      <c r="D3040" s="74" t="s">
        <v>86</v>
      </c>
      <c r="E3040" s="74">
        <v>1</v>
      </c>
      <c r="F3040" s="74">
        <v>9.6999999999999993</v>
      </c>
      <c r="G3040" s="758">
        <f t="shared" si="188"/>
        <v>3</v>
      </c>
      <c r="H3040" s="759">
        <f t="shared" si="189"/>
        <v>0.39</v>
      </c>
      <c r="I3040" s="758">
        <f t="shared" si="190"/>
        <v>6.6999999999999993</v>
      </c>
      <c r="J3040" s="760">
        <f t="shared" si="191"/>
        <v>0.69072164948453607</v>
      </c>
    </row>
    <row r="3041" spans="1:10">
      <c r="A3041" s="74" t="s">
        <v>1038</v>
      </c>
      <c r="B3041" s="74" t="s">
        <v>328</v>
      </c>
      <c r="C3041" s="74" t="s">
        <v>1541</v>
      </c>
      <c r="D3041" s="74" t="s">
        <v>86</v>
      </c>
      <c r="E3041" s="74">
        <v>1</v>
      </c>
      <c r="F3041" s="74">
        <v>8.6999999999999993</v>
      </c>
      <c r="G3041" s="758">
        <f t="shared" si="188"/>
        <v>3</v>
      </c>
      <c r="H3041" s="759">
        <f t="shared" si="189"/>
        <v>0.39</v>
      </c>
      <c r="I3041" s="758">
        <f t="shared" si="190"/>
        <v>5.6999999999999993</v>
      </c>
      <c r="J3041" s="760">
        <f t="shared" si="191"/>
        <v>0.65517241379310343</v>
      </c>
    </row>
    <row r="3042" spans="1:10">
      <c r="A3042" s="74" t="s">
        <v>1038</v>
      </c>
      <c r="B3042" s="74" t="s">
        <v>328</v>
      </c>
      <c r="C3042" s="74" t="s">
        <v>1544</v>
      </c>
      <c r="D3042" s="74" t="s">
        <v>87</v>
      </c>
      <c r="E3042" s="74">
        <v>1</v>
      </c>
      <c r="F3042" s="74">
        <v>11.85</v>
      </c>
      <c r="G3042" s="758">
        <f t="shared" si="188"/>
        <v>3</v>
      </c>
      <c r="H3042" s="759">
        <f t="shared" si="189"/>
        <v>0.39</v>
      </c>
      <c r="I3042" s="758">
        <f t="shared" si="190"/>
        <v>8.85</v>
      </c>
      <c r="J3042" s="760">
        <f t="shared" si="191"/>
        <v>0.74683544303797467</v>
      </c>
    </row>
    <row r="3043" spans="1:10">
      <c r="A3043" s="74" t="s">
        <v>1038</v>
      </c>
      <c r="B3043" s="74" t="s">
        <v>328</v>
      </c>
      <c r="C3043" s="74" t="s">
        <v>1608</v>
      </c>
      <c r="D3043" s="74" t="s">
        <v>89</v>
      </c>
      <c r="E3043" s="74">
        <v>1</v>
      </c>
      <c r="F3043" s="74">
        <v>11.85</v>
      </c>
      <c r="G3043" s="758">
        <f t="shared" si="188"/>
        <v>3</v>
      </c>
      <c r="H3043" s="759">
        <f t="shared" si="189"/>
        <v>0.39</v>
      </c>
      <c r="I3043" s="758">
        <f t="shared" si="190"/>
        <v>8.85</v>
      </c>
      <c r="J3043" s="760">
        <f t="shared" si="191"/>
        <v>0.74683544303797467</v>
      </c>
    </row>
    <row r="3044" spans="1:10">
      <c r="A3044" s="74" t="s">
        <v>1038</v>
      </c>
      <c r="B3044" s="74" t="s">
        <v>328</v>
      </c>
      <c r="C3044" s="74" t="s">
        <v>1582</v>
      </c>
      <c r="D3044" s="74" t="s">
        <v>89</v>
      </c>
      <c r="E3044" s="74">
        <v>2</v>
      </c>
      <c r="F3044" s="74">
        <v>23.7</v>
      </c>
      <c r="G3044" s="758">
        <f t="shared" si="188"/>
        <v>3</v>
      </c>
      <c r="H3044" s="759">
        <f t="shared" si="189"/>
        <v>0.39</v>
      </c>
      <c r="I3044" s="758">
        <f t="shared" si="190"/>
        <v>8.85</v>
      </c>
      <c r="J3044" s="760">
        <f t="shared" si="191"/>
        <v>0.74683544303797467</v>
      </c>
    </row>
    <row r="3045" spans="1:10">
      <c r="A3045" s="74" t="s">
        <v>1038</v>
      </c>
      <c r="B3045" s="74" t="s">
        <v>328</v>
      </c>
      <c r="C3045" s="74" t="s">
        <v>1522</v>
      </c>
      <c r="D3045" s="74" t="s">
        <v>91</v>
      </c>
      <c r="E3045" s="74">
        <v>1</v>
      </c>
      <c r="F3045" s="74">
        <v>11.85</v>
      </c>
      <c r="G3045" s="758">
        <f t="shared" si="188"/>
        <v>3</v>
      </c>
      <c r="H3045" s="759">
        <f t="shared" si="189"/>
        <v>0.39</v>
      </c>
      <c r="I3045" s="758">
        <f t="shared" si="190"/>
        <v>8.85</v>
      </c>
      <c r="J3045" s="760">
        <f t="shared" si="191"/>
        <v>0.74683544303797467</v>
      </c>
    </row>
    <row r="3046" spans="1:10">
      <c r="A3046" s="74" t="s">
        <v>1038</v>
      </c>
      <c r="B3046" s="74" t="s">
        <v>328</v>
      </c>
      <c r="C3046" s="74" t="s">
        <v>1675</v>
      </c>
      <c r="D3046" s="74" t="s">
        <v>91</v>
      </c>
      <c r="E3046" s="74">
        <v>2</v>
      </c>
      <c r="F3046" s="74">
        <v>23.7</v>
      </c>
      <c r="G3046" s="758">
        <f t="shared" si="188"/>
        <v>3</v>
      </c>
      <c r="H3046" s="759">
        <f t="shared" si="189"/>
        <v>0.39</v>
      </c>
      <c r="I3046" s="758">
        <f t="shared" si="190"/>
        <v>8.85</v>
      </c>
      <c r="J3046" s="760">
        <f t="shared" si="191"/>
        <v>0.74683544303797467</v>
      </c>
    </row>
    <row r="3047" spans="1:10">
      <c r="A3047" s="74" t="s">
        <v>1038</v>
      </c>
      <c r="B3047" s="74" t="s">
        <v>328</v>
      </c>
      <c r="C3047" s="74" t="s">
        <v>1584</v>
      </c>
      <c r="D3047" s="74" t="s">
        <v>92</v>
      </c>
      <c r="E3047" s="74">
        <v>2</v>
      </c>
      <c r="F3047" s="74">
        <v>23.7</v>
      </c>
      <c r="G3047" s="758">
        <f t="shared" si="188"/>
        <v>3</v>
      </c>
      <c r="H3047" s="759">
        <f t="shared" si="189"/>
        <v>0.39</v>
      </c>
      <c r="I3047" s="758">
        <f t="shared" si="190"/>
        <v>8.85</v>
      </c>
      <c r="J3047" s="760">
        <f t="shared" si="191"/>
        <v>0.74683544303797467</v>
      </c>
    </row>
    <row r="3048" spans="1:10">
      <c r="A3048" s="74" t="s">
        <v>1038</v>
      </c>
      <c r="B3048" s="74" t="s">
        <v>328</v>
      </c>
      <c r="C3048" s="74" t="s">
        <v>1614</v>
      </c>
      <c r="D3048" s="74" t="s">
        <v>92</v>
      </c>
      <c r="E3048" s="74">
        <v>1</v>
      </c>
      <c r="F3048" s="74">
        <v>11.85</v>
      </c>
      <c r="G3048" s="758">
        <f t="shared" si="188"/>
        <v>3</v>
      </c>
      <c r="H3048" s="759">
        <f t="shared" si="189"/>
        <v>0.39</v>
      </c>
      <c r="I3048" s="758">
        <f t="shared" si="190"/>
        <v>8.85</v>
      </c>
      <c r="J3048" s="760">
        <f t="shared" si="191"/>
        <v>0.74683544303797467</v>
      </c>
    </row>
    <row r="3049" spans="1:10">
      <c r="A3049" s="74" t="s">
        <v>1038</v>
      </c>
      <c r="B3049" s="74" t="s">
        <v>328</v>
      </c>
      <c r="C3049" s="74" t="s">
        <v>1617</v>
      </c>
      <c r="D3049" s="74" t="s">
        <v>94</v>
      </c>
      <c r="E3049" s="74">
        <v>1</v>
      </c>
      <c r="F3049" s="74">
        <v>11.85</v>
      </c>
      <c r="G3049" s="758">
        <f t="shared" si="188"/>
        <v>3</v>
      </c>
      <c r="H3049" s="759">
        <f t="shared" si="189"/>
        <v>0.39</v>
      </c>
      <c r="I3049" s="758">
        <f t="shared" si="190"/>
        <v>8.85</v>
      </c>
      <c r="J3049" s="760">
        <f t="shared" si="191"/>
        <v>0.74683544303797467</v>
      </c>
    </row>
    <row r="3050" spans="1:10">
      <c r="A3050" s="74" t="s">
        <v>1038</v>
      </c>
      <c r="B3050" s="74" t="s">
        <v>328</v>
      </c>
      <c r="C3050" s="74" t="s">
        <v>1553</v>
      </c>
      <c r="D3050" s="74" t="s">
        <v>94</v>
      </c>
      <c r="E3050" s="74">
        <v>2</v>
      </c>
      <c r="F3050" s="74">
        <v>23.7</v>
      </c>
      <c r="G3050" s="758">
        <f t="shared" si="188"/>
        <v>3</v>
      </c>
      <c r="H3050" s="759">
        <f t="shared" si="189"/>
        <v>0.39</v>
      </c>
      <c r="I3050" s="758">
        <f t="shared" si="190"/>
        <v>8.85</v>
      </c>
      <c r="J3050" s="760">
        <f t="shared" si="191"/>
        <v>0.74683544303797467</v>
      </c>
    </row>
    <row r="3051" spans="1:10">
      <c r="A3051" s="74" t="s">
        <v>1038</v>
      </c>
      <c r="B3051" s="74" t="s">
        <v>328</v>
      </c>
      <c r="C3051" s="74" t="s">
        <v>1557</v>
      </c>
      <c r="D3051" s="74" t="s">
        <v>95</v>
      </c>
      <c r="E3051" s="74">
        <v>1</v>
      </c>
      <c r="F3051" s="74">
        <v>11.85</v>
      </c>
      <c r="G3051" s="758">
        <f t="shared" si="188"/>
        <v>3</v>
      </c>
      <c r="H3051" s="759">
        <f t="shared" si="189"/>
        <v>0.39</v>
      </c>
      <c r="I3051" s="758">
        <f t="shared" si="190"/>
        <v>8.85</v>
      </c>
      <c r="J3051" s="760">
        <f t="shared" si="191"/>
        <v>0.74683544303797467</v>
      </c>
    </row>
    <row r="3052" spans="1:10">
      <c r="A3052" s="74" t="s">
        <v>2286</v>
      </c>
      <c r="B3052" s="74" t="s">
        <v>328</v>
      </c>
      <c r="C3052" s="74" t="s">
        <v>1507</v>
      </c>
      <c r="D3052" s="74" t="s">
        <v>86</v>
      </c>
      <c r="E3052" s="74">
        <v>2</v>
      </c>
      <c r="F3052" s="74">
        <v>10.8</v>
      </c>
      <c r="G3052" s="758">
        <f t="shared" si="188"/>
        <v>1.88</v>
      </c>
      <c r="H3052" s="759">
        <f t="shared" si="189"/>
        <v>0.4</v>
      </c>
      <c r="I3052" s="758">
        <f t="shared" si="190"/>
        <v>3.5200000000000005</v>
      </c>
      <c r="J3052" s="760">
        <f t="shared" si="191"/>
        <v>0.6518518518518519</v>
      </c>
    </row>
    <row r="3053" spans="1:10">
      <c r="A3053" s="74" t="s">
        <v>2286</v>
      </c>
      <c r="B3053" s="74" t="s">
        <v>328</v>
      </c>
      <c r="C3053" s="74" t="s">
        <v>1610</v>
      </c>
      <c r="D3053" s="74" t="s">
        <v>89</v>
      </c>
      <c r="E3053" s="74">
        <v>2</v>
      </c>
      <c r="F3053" s="74">
        <v>10.8</v>
      </c>
      <c r="G3053" s="758">
        <f t="shared" si="188"/>
        <v>1.88</v>
      </c>
      <c r="H3053" s="759">
        <f t="shared" si="189"/>
        <v>0.4</v>
      </c>
      <c r="I3053" s="758">
        <f t="shared" si="190"/>
        <v>3.5200000000000005</v>
      </c>
      <c r="J3053" s="760">
        <f t="shared" si="191"/>
        <v>0.6518518518518519</v>
      </c>
    </row>
    <row r="3054" spans="1:10">
      <c r="A3054" s="74" t="s">
        <v>2286</v>
      </c>
      <c r="B3054" s="74" t="s">
        <v>328</v>
      </c>
      <c r="C3054" s="74" t="s">
        <v>1547</v>
      </c>
      <c r="D3054" s="74" t="s">
        <v>89</v>
      </c>
      <c r="E3054" s="74">
        <v>1</v>
      </c>
      <c r="F3054" s="74">
        <v>5.4</v>
      </c>
      <c r="G3054" s="758">
        <f t="shared" si="188"/>
        <v>1.88</v>
      </c>
      <c r="H3054" s="759">
        <f t="shared" si="189"/>
        <v>0.4</v>
      </c>
      <c r="I3054" s="758">
        <f t="shared" si="190"/>
        <v>3.5200000000000005</v>
      </c>
      <c r="J3054" s="760">
        <f t="shared" si="191"/>
        <v>0.6518518518518519</v>
      </c>
    </row>
    <row r="3055" spans="1:10">
      <c r="A3055" s="74" t="s">
        <v>2286</v>
      </c>
      <c r="B3055" s="74" t="s">
        <v>328</v>
      </c>
      <c r="C3055" s="74" t="s">
        <v>1550</v>
      </c>
      <c r="D3055" s="74" t="s">
        <v>91</v>
      </c>
      <c r="E3055" s="74">
        <v>4</v>
      </c>
      <c r="F3055" s="74">
        <v>21.6</v>
      </c>
      <c r="G3055" s="758">
        <f t="shared" si="188"/>
        <v>1.88</v>
      </c>
      <c r="H3055" s="759">
        <f t="shared" si="189"/>
        <v>0.4</v>
      </c>
      <c r="I3055" s="758">
        <f t="shared" si="190"/>
        <v>3.5200000000000005</v>
      </c>
      <c r="J3055" s="760">
        <f t="shared" si="191"/>
        <v>0.6518518518518519</v>
      </c>
    </row>
    <row r="3056" spans="1:10">
      <c r="A3056" s="74" t="s">
        <v>2286</v>
      </c>
      <c r="B3056" s="74" t="s">
        <v>328</v>
      </c>
      <c r="C3056" s="74" t="s">
        <v>1552</v>
      </c>
      <c r="D3056" s="74" t="s">
        <v>92</v>
      </c>
      <c r="E3056" s="74">
        <v>1</v>
      </c>
      <c r="F3056" s="74">
        <v>5.4</v>
      </c>
      <c r="G3056" s="758">
        <f t="shared" si="188"/>
        <v>1.88</v>
      </c>
      <c r="H3056" s="759">
        <f t="shared" si="189"/>
        <v>0.4</v>
      </c>
      <c r="I3056" s="758">
        <f t="shared" si="190"/>
        <v>3.5200000000000005</v>
      </c>
      <c r="J3056" s="760">
        <f t="shared" si="191"/>
        <v>0.6518518518518519</v>
      </c>
    </row>
    <row r="3057" spans="1:10">
      <c r="A3057" s="74" t="s">
        <v>2286</v>
      </c>
      <c r="B3057" s="74" t="s">
        <v>328</v>
      </c>
      <c r="C3057" s="74" t="s">
        <v>1557</v>
      </c>
      <c r="D3057" s="74" t="s">
        <v>95</v>
      </c>
      <c r="E3057" s="74">
        <v>1</v>
      </c>
      <c r="F3057" s="74">
        <v>5.4</v>
      </c>
      <c r="G3057" s="758">
        <f t="shared" si="188"/>
        <v>1.88</v>
      </c>
      <c r="H3057" s="759">
        <f t="shared" si="189"/>
        <v>0.4</v>
      </c>
      <c r="I3057" s="758">
        <f t="shared" si="190"/>
        <v>3.5200000000000005</v>
      </c>
      <c r="J3057" s="760">
        <f t="shared" si="191"/>
        <v>0.6518518518518519</v>
      </c>
    </row>
    <row r="3058" spans="1:10">
      <c r="A3058" s="74" t="s">
        <v>2286</v>
      </c>
      <c r="B3058" s="74" t="s">
        <v>328</v>
      </c>
      <c r="C3058" s="74" t="s">
        <v>1526</v>
      </c>
      <c r="D3058" s="74" t="s">
        <v>95</v>
      </c>
      <c r="E3058" s="74">
        <v>1</v>
      </c>
      <c r="F3058" s="74">
        <v>5.4</v>
      </c>
      <c r="G3058" s="758">
        <f t="shared" si="188"/>
        <v>1.88</v>
      </c>
      <c r="H3058" s="759">
        <f t="shared" si="189"/>
        <v>0.4</v>
      </c>
      <c r="I3058" s="758">
        <f t="shared" si="190"/>
        <v>3.5200000000000005</v>
      </c>
      <c r="J3058" s="760">
        <f t="shared" si="191"/>
        <v>0.6518518518518519</v>
      </c>
    </row>
    <row r="3059" spans="1:10">
      <c r="A3059" s="74" t="s">
        <v>1840</v>
      </c>
      <c r="B3059" s="74" t="s">
        <v>327</v>
      </c>
      <c r="C3059" s="74" t="s">
        <v>1547</v>
      </c>
      <c r="D3059" s="74" t="s">
        <v>89</v>
      </c>
      <c r="E3059" s="74">
        <v>1</v>
      </c>
      <c r="F3059" s="74">
        <v>5.95</v>
      </c>
      <c r="G3059" s="758">
        <f t="shared" si="188"/>
        <v>0</v>
      </c>
      <c r="H3059" s="759">
        <f t="shared" si="189"/>
        <v>0</v>
      </c>
      <c r="I3059" s="758">
        <f t="shared" si="190"/>
        <v>5.95</v>
      </c>
      <c r="J3059" s="760">
        <f t="shared" si="191"/>
        <v>1</v>
      </c>
    </row>
    <row r="3060" spans="1:10">
      <c r="A3060" s="74" t="s">
        <v>1840</v>
      </c>
      <c r="B3060" s="74" t="s">
        <v>327</v>
      </c>
      <c r="C3060" s="74" t="s">
        <v>1524</v>
      </c>
      <c r="D3060" s="74" t="s">
        <v>91</v>
      </c>
      <c r="E3060" s="74">
        <v>1</v>
      </c>
      <c r="F3060" s="74">
        <v>5.95</v>
      </c>
      <c r="G3060" s="758">
        <f t="shared" si="188"/>
        <v>0</v>
      </c>
      <c r="H3060" s="759">
        <f t="shared" si="189"/>
        <v>0</v>
      </c>
      <c r="I3060" s="758">
        <f t="shared" si="190"/>
        <v>5.95</v>
      </c>
      <c r="J3060" s="760">
        <f t="shared" si="191"/>
        <v>1</v>
      </c>
    </row>
    <row r="3061" spans="1:10">
      <c r="A3061" s="74" t="s">
        <v>1144</v>
      </c>
      <c r="B3061" s="74" t="s">
        <v>327</v>
      </c>
      <c r="C3061" s="74" t="s">
        <v>1584</v>
      </c>
      <c r="D3061" s="74" t="s">
        <v>92</v>
      </c>
      <c r="E3061" s="74">
        <v>1</v>
      </c>
      <c r="F3061" s="74">
        <v>4.9000000000000004</v>
      </c>
      <c r="G3061" s="758">
        <f t="shared" si="188"/>
        <v>0</v>
      </c>
      <c r="H3061" s="759">
        <f t="shared" si="189"/>
        <v>0</v>
      </c>
      <c r="I3061" s="758">
        <f t="shared" si="190"/>
        <v>4.9000000000000004</v>
      </c>
      <c r="J3061" s="760">
        <f t="shared" si="191"/>
        <v>1</v>
      </c>
    </row>
    <row r="3062" spans="1:10">
      <c r="A3062" s="74" t="s">
        <v>1002</v>
      </c>
      <c r="B3062" s="74" t="s">
        <v>328</v>
      </c>
      <c r="C3062" s="74" t="s">
        <v>1508</v>
      </c>
      <c r="D3062" s="74" t="s">
        <v>78</v>
      </c>
      <c r="E3062" s="74">
        <v>2</v>
      </c>
      <c r="F3062" s="74">
        <v>9.6999999999999993</v>
      </c>
      <c r="G3062" s="758">
        <f t="shared" si="188"/>
        <v>1.17</v>
      </c>
      <c r="H3062" s="759">
        <f t="shared" si="189"/>
        <v>0.34</v>
      </c>
      <c r="I3062" s="758">
        <f t="shared" si="190"/>
        <v>3.6799999999999997</v>
      </c>
      <c r="J3062" s="760">
        <f t="shared" si="191"/>
        <v>0.75876288659793811</v>
      </c>
    </row>
    <row r="3063" spans="1:10">
      <c r="A3063" s="74" t="s">
        <v>1002</v>
      </c>
      <c r="B3063" s="74" t="s">
        <v>328</v>
      </c>
      <c r="C3063" s="74" t="s">
        <v>1565</v>
      </c>
      <c r="D3063" s="74" t="s">
        <v>78</v>
      </c>
      <c r="E3063" s="74">
        <v>1</v>
      </c>
      <c r="F3063" s="74">
        <v>4.8499999999999996</v>
      </c>
      <c r="G3063" s="758">
        <f t="shared" si="188"/>
        <v>1.17</v>
      </c>
      <c r="H3063" s="759">
        <f t="shared" si="189"/>
        <v>0.34</v>
      </c>
      <c r="I3063" s="758">
        <f t="shared" si="190"/>
        <v>3.6799999999999997</v>
      </c>
      <c r="J3063" s="760">
        <f t="shared" si="191"/>
        <v>0.75876288659793811</v>
      </c>
    </row>
    <row r="3064" spans="1:10">
      <c r="A3064" s="74" t="s">
        <v>1002</v>
      </c>
      <c r="B3064" s="74" t="s">
        <v>328</v>
      </c>
      <c r="C3064" s="74" t="s">
        <v>1530</v>
      </c>
      <c r="D3064" s="74" t="s">
        <v>80</v>
      </c>
      <c r="E3064" s="74">
        <v>1</v>
      </c>
      <c r="F3064" s="74">
        <v>4.8499999999999996</v>
      </c>
      <c r="G3064" s="758">
        <f t="shared" si="188"/>
        <v>1.17</v>
      </c>
      <c r="H3064" s="759">
        <f t="shared" si="189"/>
        <v>0.34</v>
      </c>
      <c r="I3064" s="758">
        <f t="shared" si="190"/>
        <v>3.6799999999999997</v>
      </c>
      <c r="J3064" s="760">
        <f t="shared" si="191"/>
        <v>0.75876288659793811</v>
      </c>
    </row>
    <row r="3065" spans="1:10">
      <c r="A3065" s="74" t="s">
        <v>1002</v>
      </c>
      <c r="B3065" s="74" t="s">
        <v>328</v>
      </c>
      <c r="C3065" s="74" t="s">
        <v>1532</v>
      </c>
      <c r="D3065" s="74" t="s">
        <v>80</v>
      </c>
      <c r="E3065" s="74">
        <v>2</v>
      </c>
      <c r="F3065" s="74">
        <v>9.6999999999999993</v>
      </c>
      <c r="G3065" s="758">
        <f t="shared" si="188"/>
        <v>1.17</v>
      </c>
      <c r="H3065" s="759">
        <f t="shared" si="189"/>
        <v>0.34</v>
      </c>
      <c r="I3065" s="758">
        <f t="shared" si="190"/>
        <v>3.6799999999999997</v>
      </c>
      <c r="J3065" s="760">
        <f t="shared" si="191"/>
        <v>0.75876288659793811</v>
      </c>
    </row>
    <row r="3066" spans="1:10">
      <c r="A3066" s="74" t="s">
        <v>1002</v>
      </c>
      <c r="B3066" s="74" t="s">
        <v>328</v>
      </c>
      <c r="C3066" s="74" t="s">
        <v>1512</v>
      </c>
      <c r="D3066" s="74" t="s">
        <v>80</v>
      </c>
      <c r="E3066" s="74">
        <v>2</v>
      </c>
      <c r="F3066" s="74">
        <v>9.6999999999999993</v>
      </c>
      <c r="G3066" s="758">
        <f t="shared" si="188"/>
        <v>1.17</v>
      </c>
      <c r="H3066" s="759">
        <f t="shared" si="189"/>
        <v>0.34</v>
      </c>
      <c r="I3066" s="758">
        <f t="shared" si="190"/>
        <v>3.6799999999999997</v>
      </c>
      <c r="J3066" s="760">
        <f t="shared" si="191"/>
        <v>0.75876288659793811</v>
      </c>
    </row>
    <row r="3067" spans="1:10">
      <c r="A3067" s="74" t="s">
        <v>1002</v>
      </c>
      <c r="B3067" s="74" t="s">
        <v>328</v>
      </c>
      <c r="C3067" s="74" t="s">
        <v>1534</v>
      </c>
      <c r="D3067" s="74" t="s">
        <v>81</v>
      </c>
      <c r="E3067" s="74">
        <v>1</v>
      </c>
      <c r="F3067" s="74">
        <v>4.8499999999999996</v>
      </c>
      <c r="G3067" s="758">
        <f t="shared" si="188"/>
        <v>1.17</v>
      </c>
      <c r="H3067" s="759">
        <f t="shared" si="189"/>
        <v>0.34</v>
      </c>
      <c r="I3067" s="758">
        <f t="shared" si="190"/>
        <v>3.6799999999999997</v>
      </c>
      <c r="J3067" s="760">
        <f t="shared" si="191"/>
        <v>0.75876288659793811</v>
      </c>
    </row>
    <row r="3068" spans="1:10">
      <c r="A3068" s="74" t="s">
        <v>1002</v>
      </c>
      <c r="B3068" s="74" t="s">
        <v>328</v>
      </c>
      <c r="C3068" s="74" t="s">
        <v>1514</v>
      </c>
      <c r="D3068" s="74" t="s">
        <v>81</v>
      </c>
      <c r="E3068" s="74">
        <v>2</v>
      </c>
      <c r="F3068" s="74">
        <v>9.6999999999999993</v>
      </c>
      <c r="G3068" s="758">
        <f t="shared" si="188"/>
        <v>1.17</v>
      </c>
      <c r="H3068" s="759">
        <f t="shared" si="189"/>
        <v>0.34</v>
      </c>
      <c r="I3068" s="758">
        <f t="shared" si="190"/>
        <v>3.6799999999999997</v>
      </c>
      <c r="J3068" s="760">
        <f t="shared" si="191"/>
        <v>0.75876288659793811</v>
      </c>
    </row>
    <row r="3069" spans="1:10">
      <c r="A3069" s="74" t="s">
        <v>1002</v>
      </c>
      <c r="B3069" s="74" t="s">
        <v>328</v>
      </c>
      <c r="C3069" s="74" t="s">
        <v>1515</v>
      </c>
      <c r="D3069" s="74" t="s">
        <v>81</v>
      </c>
      <c r="E3069" s="74">
        <v>5</v>
      </c>
      <c r="F3069" s="74">
        <v>24.25</v>
      </c>
      <c r="G3069" s="758">
        <f t="shared" si="188"/>
        <v>1.17</v>
      </c>
      <c r="H3069" s="759">
        <f t="shared" si="189"/>
        <v>0.34</v>
      </c>
      <c r="I3069" s="758">
        <f t="shared" si="190"/>
        <v>3.6799999999999997</v>
      </c>
      <c r="J3069" s="760">
        <f t="shared" si="191"/>
        <v>0.75876288659793811</v>
      </c>
    </row>
    <row r="3070" spans="1:10">
      <c r="A3070" s="74" t="s">
        <v>1002</v>
      </c>
      <c r="B3070" s="74" t="s">
        <v>328</v>
      </c>
      <c r="C3070" s="74" t="s">
        <v>1517</v>
      </c>
      <c r="D3070" s="74" t="s">
        <v>82</v>
      </c>
      <c r="E3070" s="74">
        <v>2</v>
      </c>
      <c r="F3070" s="74">
        <v>9.6999999999999993</v>
      </c>
      <c r="G3070" s="758">
        <f t="shared" si="188"/>
        <v>1.17</v>
      </c>
      <c r="H3070" s="759">
        <f t="shared" si="189"/>
        <v>0.34</v>
      </c>
      <c r="I3070" s="758">
        <f t="shared" si="190"/>
        <v>3.6799999999999997</v>
      </c>
      <c r="J3070" s="760">
        <f t="shared" si="191"/>
        <v>0.75876288659793811</v>
      </c>
    </row>
    <row r="3071" spans="1:10">
      <c r="A3071" s="74" t="s">
        <v>1002</v>
      </c>
      <c r="B3071" s="74" t="s">
        <v>328</v>
      </c>
      <c r="C3071" s="74" t="s">
        <v>1527</v>
      </c>
      <c r="D3071" s="74" t="s">
        <v>82</v>
      </c>
      <c r="E3071" s="74">
        <v>1</v>
      </c>
      <c r="F3071" s="74">
        <v>4.8499999999999996</v>
      </c>
      <c r="G3071" s="758">
        <f t="shared" si="188"/>
        <v>1.17</v>
      </c>
      <c r="H3071" s="759">
        <f t="shared" si="189"/>
        <v>0.34</v>
      </c>
      <c r="I3071" s="758">
        <f t="shared" si="190"/>
        <v>3.6799999999999997</v>
      </c>
      <c r="J3071" s="760">
        <f t="shared" si="191"/>
        <v>0.75876288659793811</v>
      </c>
    </row>
    <row r="3072" spans="1:10">
      <c r="A3072" s="74" t="s">
        <v>1002</v>
      </c>
      <c r="B3072" s="74" t="s">
        <v>328</v>
      </c>
      <c r="C3072" s="74" t="s">
        <v>1577</v>
      </c>
      <c r="D3072" s="74" t="s">
        <v>84</v>
      </c>
      <c r="E3072" s="74">
        <v>1</v>
      </c>
      <c r="F3072" s="74">
        <v>4.8499999999999996</v>
      </c>
      <c r="G3072" s="758">
        <f t="shared" si="188"/>
        <v>1.17</v>
      </c>
      <c r="H3072" s="759">
        <f t="shared" si="189"/>
        <v>0.34</v>
      </c>
      <c r="I3072" s="758">
        <f t="shared" si="190"/>
        <v>3.6799999999999997</v>
      </c>
      <c r="J3072" s="760">
        <f t="shared" si="191"/>
        <v>0.75876288659793811</v>
      </c>
    </row>
    <row r="3073" spans="1:10">
      <c r="A3073" s="74" t="s">
        <v>1002</v>
      </c>
      <c r="B3073" s="74" t="s">
        <v>328</v>
      </c>
      <c r="C3073" s="74" t="s">
        <v>1578</v>
      </c>
      <c r="D3073" s="74" t="s">
        <v>86</v>
      </c>
      <c r="E3073" s="74">
        <v>1</v>
      </c>
      <c r="F3073" s="74">
        <v>4.8499999999999996</v>
      </c>
      <c r="G3073" s="758">
        <f t="shared" si="188"/>
        <v>1.17</v>
      </c>
      <c r="H3073" s="759">
        <f t="shared" si="189"/>
        <v>0.34</v>
      </c>
      <c r="I3073" s="758">
        <f t="shared" si="190"/>
        <v>3.6799999999999997</v>
      </c>
      <c r="J3073" s="760">
        <f t="shared" si="191"/>
        <v>0.75876288659793811</v>
      </c>
    </row>
    <row r="3074" spans="1:10">
      <c r="A3074" s="74" t="s">
        <v>1002</v>
      </c>
      <c r="B3074" s="74" t="s">
        <v>328</v>
      </c>
      <c r="C3074" s="74" t="s">
        <v>1646</v>
      </c>
      <c r="D3074" s="74" t="s">
        <v>86</v>
      </c>
      <c r="E3074" s="74">
        <v>1</v>
      </c>
      <c r="F3074" s="74">
        <v>4.8499999999999996</v>
      </c>
      <c r="G3074" s="758">
        <f t="shared" ref="G3074:G3137" si="192">IFERROR(VLOOKUP(A3074,$M$1:$P$1014,2,FALSE),0)</f>
        <v>1.17</v>
      </c>
      <c r="H3074" s="759">
        <f t="shared" ref="H3074:H3137" si="193">IFERROR(VLOOKUP(A3074,$M$1:$P$1014,3,FALSE),0)</f>
        <v>0.34</v>
      </c>
      <c r="I3074" s="758">
        <f t="shared" ref="I3074:I3137" si="194">IFERROR(F3074/E3074-G3074,0)</f>
        <v>3.6799999999999997</v>
      </c>
      <c r="J3074" s="760">
        <f t="shared" ref="J3074:J3137" si="195">IFERROR(1-G3074*E3074/F3074,0)</f>
        <v>0.75876288659793811</v>
      </c>
    </row>
    <row r="3075" spans="1:10">
      <c r="A3075" s="74" t="s">
        <v>1002</v>
      </c>
      <c r="B3075" s="74" t="s">
        <v>328</v>
      </c>
      <c r="C3075" s="74" t="s">
        <v>1544</v>
      </c>
      <c r="D3075" s="74" t="s">
        <v>87</v>
      </c>
      <c r="E3075" s="74">
        <v>1</v>
      </c>
      <c r="F3075" s="74">
        <v>4.8499999999999996</v>
      </c>
      <c r="G3075" s="758">
        <f t="shared" si="192"/>
        <v>1.17</v>
      </c>
      <c r="H3075" s="759">
        <f t="shared" si="193"/>
        <v>0.34</v>
      </c>
      <c r="I3075" s="758">
        <f t="shared" si="194"/>
        <v>3.6799999999999997</v>
      </c>
      <c r="J3075" s="760">
        <f t="shared" si="195"/>
        <v>0.75876288659793811</v>
      </c>
    </row>
    <row r="3076" spans="1:10">
      <c r="A3076" s="74" t="s">
        <v>1002</v>
      </c>
      <c r="B3076" s="74" t="s">
        <v>328</v>
      </c>
      <c r="C3076" s="74" t="s">
        <v>1582</v>
      </c>
      <c r="D3076" s="74" t="s">
        <v>89</v>
      </c>
      <c r="E3076" s="74">
        <v>1</v>
      </c>
      <c r="F3076" s="74">
        <v>4.8499999999999996</v>
      </c>
      <c r="G3076" s="758">
        <f t="shared" si="192"/>
        <v>1.17</v>
      </c>
      <c r="H3076" s="759">
        <f t="shared" si="193"/>
        <v>0.34</v>
      </c>
      <c r="I3076" s="758">
        <f t="shared" si="194"/>
        <v>3.6799999999999997</v>
      </c>
      <c r="J3076" s="760">
        <f t="shared" si="195"/>
        <v>0.75876288659793811</v>
      </c>
    </row>
    <row r="3077" spans="1:10">
      <c r="A3077" s="74" t="s">
        <v>1841</v>
      </c>
      <c r="B3077" s="74" t="s">
        <v>328</v>
      </c>
      <c r="C3077" s="74" t="s">
        <v>1527</v>
      </c>
      <c r="D3077" s="74" t="s">
        <v>82</v>
      </c>
      <c r="E3077" s="74">
        <v>1</v>
      </c>
      <c r="F3077" s="74">
        <v>8.8000000000000007</v>
      </c>
      <c r="G3077" s="758">
        <f t="shared" si="192"/>
        <v>3.32</v>
      </c>
      <c r="H3077" s="759">
        <f t="shared" si="193"/>
        <v>0.42</v>
      </c>
      <c r="I3077" s="758">
        <f t="shared" si="194"/>
        <v>5.48</v>
      </c>
      <c r="J3077" s="760">
        <f t="shared" si="195"/>
        <v>0.6227272727272728</v>
      </c>
    </row>
    <row r="3078" spans="1:10">
      <c r="A3078" s="74" t="s">
        <v>802</v>
      </c>
      <c r="B3078" s="74" t="s">
        <v>713</v>
      </c>
      <c r="C3078" s="74" t="s">
        <v>1528</v>
      </c>
      <c r="D3078" s="74" t="s">
        <v>78</v>
      </c>
      <c r="E3078" s="74">
        <v>4</v>
      </c>
      <c r="F3078" s="74">
        <v>18.399999999999999</v>
      </c>
      <c r="G3078" s="758">
        <f t="shared" si="192"/>
        <v>0.86</v>
      </c>
      <c r="H3078" s="759">
        <f t="shared" si="193"/>
        <v>0.2</v>
      </c>
      <c r="I3078" s="758">
        <f t="shared" si="194"/>
        <v>3.7399999999999998</v>
      </c>
      <c r="J3078" s="760">
        <f t="shared" si="195"/>
        <v>0.81304347826086953</v>
      </c>
    </row>
    <row r="3079" spans="1:10">
      <c r="A3079" s="74" t="s">
        <v>802</v>
      </c>
      <c r="B3079" s="74" t="s">
        <v>713</v>
      </c>
      <c r="C3079" s="74" t="s">
        <v>1508</v>
      </c>
      <c r="D3079" s="74" t="s">
        <v>78</v>
      </c>
      <c r="E3079" s="74">
        <v>5</v>
      </c>
      <c r="F3079" s="74">
        <v>24</v>
      </c>
      <c r="G3079" s="758">
        <f t="shared" si="192"/>
        <v>0.86</v>
      </c>
      <c r="H3079" s="759">
        <f t="shared" si="193"/>
        <v>0.2</v>
      </c>
      <c r="I3079" s="758">
        <f t="shared" si="194"/>
        <v>3.94</v>
      </c>
      <c r="J3079" s="760">
        <f t="shared" si="195"/>
        <v>0.8208333333333333</v>
      </c>
    </row>
    <row r="3080" spans="1:10">
      <c r="A3080" s="74" t="s">
        <v>802</v>
      </c>
      <c r="B3080" s="74" t="s">
        <v>713</v>
      </c>
      <c r="C3080" s="74" t="s">
        <v>1509</v>
      </c>
      <c r="D3080" s="74" t="s">
        <v>78</v>
      </c>
      <c r="E3080" s="74">
        <v>4</v>
      </c>
      <c r="F3080" s="74">
        <v>18.05</v>
      </c>
      <c r="G3080" s="758">
        <f t="shared" si="192"/>
        <v>0.86</v>
      </c>
      <c r="H3080" s="759">
        <f t="shared" si="193"/>
        <v>0.2</v>
      </c>
      <c r="I3080" s="758">
        <f t="shared" si="194"/>
        <v>3.6525000000000003</v>
      </c>
      <c r="J3080" s="760">
        <f t="shared" si="195"/>
        <v>0.80941828254847648</v>
      </c>
    </row>
    <row r="3081" spans="1:10">
      <c r="A3081" s="74" t="s">
        <v>802</v>
      </c>
      <c r="B3081" s="74" t="s">
        <v>713</v>
      </c>
      <c r="C3081" s="74" t="s">
        <v>1565</v>
      </c>
      <c r="D3081" s="74" t="s">
        <v>78</v>
      </c>
      <c r="E3081" s="74">
        <v>5</v>
      </c>
      <c r="F3081" s="74">
        <v>23</v>
      </c>
      <c r="G3081" s="758">
        <f t="shared" si="192"/>
        <v>0.86</v>
      </c>
      <c r="H3081" s="759">
        <f t="shared" si="193"/>
        <v>0.2</v>
      </c>
      <c r="I3081" s="758">
        <f t="shared" si="194"/>
        <v>3.7399999999999998</v>
      </c>
      <c r="J3081" s="760">
        <f t="shared" si="195"/>
        <v>0.81304347826086953</v>
      </c>
    </row>
    <row r="3082" spans="1:10">
      <c r="A3082" s="74" t="s">
        <v>802</v>
      </c>
      <c r="B3082" s="74" t="s">
        <v>713</v>
      </c>
      <c r="C3082" s="74" t="s">
        <v>1530</v>
      </c>
      <c r="D3082" s="74" t="s">
        <v>80</v>
      </c>
      <c r="E3082" s="74">
        <v>1</v>
      </c>
      <c r="F3082" s="74">
        <v>4.5999999999999996</v>
      </c>
      <c r="G3082" s="758">
        <f t="shared" si="192"/>
        <v>0.86</v>
      </c>
      <c r="H3082" s="759">
        <f t="shared" si="193"/>
        <v>0.2</v>
      </c>
      <c r="I3082" s="758">
        <f t="shared" si="194"/>
        <v>3.7399999999999998</v>
      </c>
      <c r="J3082" s="760">
        <f t="shared" si="195"/>
        <v>0.81304347826086953</v>
      </c>
    </row>
    <row r="3083" spans="1:10">
      <c r="A3083" s="74" t="s">
        <v>802</v>
      </c>
      <c r="B3083" s="74" t="s">
        <v>713</v>
      </c>
      <c r="C3083" s="74" t="s">
        <v>1532</v>
      </c>
      <c r="D3083" s="74" t="s">
        <v>80</v>
      </c>
      <c r="E3083" s="74">
        <v>8</v>
      </c>
      <c r="F3083" s="74">
        <v>37.799999999999997</v>
      </c>
      <c r="G3083" s="758">
        <f t="shared" si="192"/>
        <v>0.86</v>
      </c>
      <c r="H3083" s="759">
        <f t="shared" si="193"/>
        <v>0.2</v>
      </c>
      <c r="I3083" s="758">
        <f t="shared" si="194"/>
        <v>3.8649999999999998</v>
      </c>
      <c r="J3083" s="760">
        <f t="shared" si="195"/>
        <v>0.81798941798941804</v>
      </c>
    </row>
    <row r="3084" spans="1:10">
      <c r="A3084" s="74" t="s">
        <v>802</v>
      </c>
      <c r="B3084" s="74" t="s">
        <v>713</v>
      </c>
      <c r="C3084" s="74" t="s">
        <v>1511</v>
      </c>
      <c r="D3084" s="74" t="s">
        <v>80</v>
      </c>
      <c r="E3084" s="74">
        <v>5</v>
      </c>
      <c r="F3084" s="74">
        <v>23.98</v>
      </c>
      <c r="G3084" s="758">
        <f t="shared" si="192"/>
        <v>0.86</v>
      </c>
      <c r="H3084" s="759">
        <f t="shared" si="193"/>
        <v>0.2</v>
      </c>
      <c r="I3084" s="758">
        <f t="shared" si="194"/>
        <v>3.9360000000000004</v>
      </c>
      <c r="J3084" s="760">
        <f t="shared" si="195"/>
        <v>0.82068390325271057</v>
      </c>
    </row>
    <row r="3085" spans="1:10">
      <c r="A3085" s="74" t="s">
        <v>802</v>
      </c>
      <c r="B3085" s="74" t="s">
        <v>713</v>
      </c>
      <c r="C3085" s="74" t="s">
        <v>1512</v>
      </c>
      <c r="D3085" s="74" t="s">
        <v>80</v>
      </c>
      <c r="E3085" s="74">
        <v>7</v>
      </c>
      <c r="F3085" s="74">
        <v>33.18</v>
      </c>
      <c r="G3085" s="758">
        <f t="shared" si="192"/>
        <v>0.86</v>
      </c>
      <c r="H3085" s="759">
        <f t="shared" si="193"/>
        <v>0.2</v>
      </c>
      <c r="I3085" s="758">
        <f t="shared" si="194"/>
        <v>3.8800000000000003</v>
      </c>
      <c r="J3085" s="760">
        <f t="shared" si="195"/>
        <v>0.81856540084388185</v>
      </c>
    </row>
    <row r="3086" spans="1:10">
      <c r="A3086" s="74" t="s">
        <v>802</v>
      </c>
      <c r="B3086" s="74" t="s">
        <v>713</v>
      </c>
      <c r="C3086" s="74" t="s">
        <v>1534</v>
      </c>
      <c r="D3086" s="74" t="s">
        <v>81</v>
      </c>
      <c r="E3086" s="74">
        <v>6</v>
      </c>
      <c r="F3086" s="74">
        <v>27.6</v>
      </c>
      <c r="G3086" s="758">
        <f t="shared" si="192"/>
        <v>0.86</v>
      </c>
      <c r="H3086" s="759">
        <f t="shared" si="193"/>
        <v>0.2</v>
      </c>
      <c r="I3086" s="758">
        <f t="shared" si="194"/>
        <v>3.7400000000000007</v>
      </c>
      <c r="J3086" s="760">
        <f t="shared" si="195"/>
        <v>0.81304347826086953</v>
      </c>
    </row>
    <row r="3087" spans="1:10">
      <c r="A3087" s="74" t="s">
        <v>802</v>
      </c>
      <c r="B3087" s="74" t="s">
        <v>713</v>
      </c>
      <c r="C3087" s="74" t="s">
        <v>1513</v>
      </c>
      <c r="D3087" s="74" t="s">
        <v>81</v>
      </c>
      <c r="E3087" s="74">
        <v>14</v>
      </c>
      <c r="F3087" s="74">
        <v>62.45</v>
      </c>
      <c r="G3087" s="758">
        <f t="shared" si="192"/>
        <v>0.86</v>
      </c>
      <c r="H3087" s="759">
        <f t="shared" si="193"/>
        <v>0.2</v>
      </c>
      <c r="I3087" s="758">
        <f t="shared" si="194"/>
        <v>3.6007142857142864</v>
      </c>
      <c r="J3087" s="760">
        <f t="shared" si="195"/>
        <v>0.80720576461168936</v>
      </c>
    </row>
    <row r="3088" spans="1:10">
      <c r="A3088" s="74" t="s">
        <v>802</v>
      </c>
      <c r="B3088" s="74" t="s">
        <v>713</v>
      </c>
      <c r="C3088" s="74" t="s">
        <v>1514</v>
      </c>
      <c r="D3088" s="74" t="s">
        <v>81</v>
      </c>
      <c r="E3088" s="74">
        <v>3</v>
      </c>
      <c r="F3088" s="74">
        <v>13.8</v>
      </c>
      <c r="G3088" s="758">
        <f t="shared" si="192"/>
        <v>0.86</v>
      </c>
      <c r="H3088" s="759">
        <f t="shared" si="193"/>
        <v>0.2</v>
      </c>
      <c r="I3088" s="758">
        <f t="shared" si="194"/>
        <v>3.7400000000000007</v>
      </c>
      <c r="J3088" s="760">
        <f t="shared" si="195"/>
        <v>0.81304347826086953</v>
      </c>
    </row>
    <row r="3089" spans="1:10">
      <c r="A3089" s="74" t="s">
        <v>802</v>
      </c>
      <c r="B3089" s="74" t="s">
        <v>713</v>
      </c>
      <c r="C3089" s="74" t="s">
        <v>1515</v>
      </c>
      <c r="D3089" s="74" t="s">
        <v>81</v>
      </c>
      <c r="E3089" s="74">
        <v>3</v>
      </c>
      <c r="F3089" s="74">
        <v>15.8</v>
      </c>
      <c r="G3089" s="758">
        <f t="shared" si="192"/>
        <v>0.86</v>
      </c>
      <c r="H3089" s="759">
        <f t="shared" si="193"/>
        <v>0.2</v>
      </c>
      <c r="I3089" s="758">
        <f t="shared" si="194"/>
        <v>4.4066666666666663</v>
      </c>
      <c r="J3089" s="760">
        <f t="shared" si="195"/>
        <v>0.83670886075949369</v>
      </c>
    </row>
    <row r="3090" spans="1:10">
      <c r="A3090" s="74" t="s">
        <v>802</v>
      </c>
      <c r="B3090" s="74" t="s">
        <v>713</v>
      </c>
      <c r="C3090" s="74" t="s">
        <v>1516</v>
      </c>
      <c r="D3090" s="74" t="s">
        <v>82</v>
      </c>
      <c r="E3090" s="74">
        <v>3</v>
      </c>
      <c r="F3090" s="74">
        <v>13.8</v>
      </c>
      <c r="G3090" s="758">
        <f t="shared" si="192"/>
        <v>0.86</v>
      </c>
      <c r="H3090" s="759">
        <f t="shared" si="193"/>
        <v>0.2</v>
      </c>
      <c r="I3090" s="758">
        <f t="shared" si="194"/>
        <v>3.7400000000000007</v>
      </c>
      <c r="J3090" s="760">
        <f t="shared" si="195"/>
        <v>0.81304347826086953</v>
      </c>
    </row>
    <row r="3091" spans="1:10">
      <c r="A3091" s="74" t="s">
        <v>802</v>
      </c>
      <c r="B3091" s="74" t="s">
        <v>713</v>
      </c>
      <c r="C3091" s="74" t="s">
        <v>1517</v>
      </c>
      <c r="D3091" s="74" t="s">
        <v>82</v>
      </c>
      <c r="E3091" s="74">
        <v>1</v>
      </c>
      <c r="F3091" s="74">
        <v>4.5999999999999996</v>
      </c>
      <c r="G3091" s="758">
        <f t="shared" si="192"/>
        <v>0.86</v>
      </c>
      <c r="H3091" s="759">
        <f t="shared" si="193"/>
        <v>0.2</v>
      </c>
      <c r="I3091" s="758">
        <f t="shared" si="194"/>
        <v>3.7399999999999998</v>
      </c>
      <c r="J3091" s="760">
        <f t="shared" si="195"/>
        <v>0.81304347826086953</v>
      </c>
    </row>
    <row r="3092" spans="1:10">
      <c r="A3092" s="74" t="s">
        <v>802</v>
      </c>
      <c r="B3092" s="74" t="s">
        <v>713</v>
      </c>
      <c r="C3092" s="74" t="s">
        <v>1527</v>
      </c>
      <c r="D3092" s="74" t="s">
        <v>82</v>
      </c>
      <c r="E3092" s="74">
        <v>2</v>
      </c>
      <c r="F3092" s="74">
        <v>9.1999999999999993</v>
      </c>
      <c r="G3092" s="758">
        <f t="shared" si="192"/>
        <v>0.86</v>
      </c>
      <c r="H3092" s="759">
        <f t="shared" si="193"/>
        <v>0.2</v>
      </c>
      <c r="I3092" s="758">
        <f t="shared" si="194"/>
        <v>3.7399999999999998</v>
      </c>
      <c r="J3092" s="760">
        <f t="shared" si="195"/>
        <v>0.81304347826086953</v>
      </c>
    </row>
    <row r="3093" spans="1:10">
      <c r="A3093" s="74" t="s">
        <v>802</v>
      </c>
      <c r="B3093" s="74" t="s">
        <v>713</v>
      </c>
      <c r="C3093" s="74" t="s">
        <v>1518</v>
      </c>
      <c r="D3093" s="74" t="s">
        <v>82</v>
      </c>
      <c r="E3093" s="74">
        <v>5</v>
      </c>
      <c r="F3093" s="74">
        <v>23</v>
      </c>
      <c r="G3093" s="758">
        <f t="shared" si="192"/>
        <v>0.86</v>
      </c>
      <c r="H3093" s="759">
        <f t="shared" si="193"/>
        <v>0.2</v>
      </c>
      <c r="I3093" s="758">
        <f t="shared" si="194"/>
        <v>3.7399999999999998</v>
      </c>
      <c r="J3093" s="760">
        <f t="shared" si="195"/>
        <v>0.81304347826086953</v>
      </c>
    </row>
    <row r="3094" spans="1:10">
      <c r="A3094" s="74" t="s">
        <v>802</v>
      </c>
      <c r="B3094" s="74" t="s">
        <v>713</v>
      </c>
      <c r="C3094" s="74" t="s">
        <v>1519</v>
      </c>
      <c r="D3094" s="74" t="s">
        <v>84</v>
      </c>
      <c r="E3094" s="74">
        <v>2</v>
      </c>
      <c r="F3094" s="74">
        <v>9.1999999999999993</v>
      </c>
      <c r="G3094" s="758">
        <f t="shared" si="192"/>
        <v>0.86</v>
      </c>
      <c r="H3094" s="759">
        <f t="shared" si="193"/>
        <v>0.2</v>
      </c>
      <c r="I3094" s="758">
        <f t="shared" si="194"/>
        <v>3.7399999999999998</v>
      </c>
      <c r="J3094" s="760">
        <f t="shared" si="195"/>
        <v>0.81304347826086953</v>
      </c>
    </row>
    <row r="3095" spans="1:10">
      <c r="A3095" s="74" t="s">
        <v>802</v>
      </c>
      <c r="B3095" s="74" t="s">
        <v>713</v>
      </c>
      <c r="C3095" s="74" t="s">
        <v>1540</v>
      </c>
      <c r="D3095" s="74" t="s">
        <v>84</v>
      </c>
      <c r="E3095" s="74">
        <v>2</v>
      </c>
      <c r="F3095" s="74">
        <v>9.1999999999999993</v>
      </c>
      <c r="G3095" s="758">
        <f t="shared" si="192"/>
        <v>0.86</v>
      </c>
      <c r="H3095" s="759">
        <f t="shared" si="193"/>
        <v>0.2</v>
      </c>
      <c r="I3095" s="758">
        <f t="shared" si="194"/>
        <v>3.7399999999999998</v>
      </c>
      <c r="J3095" s="760">
        <f t="shared" si="195"/>
        <v>0.81304347826086953</v>
      </c>
    </row>
    <row r="3096" spans="1:10">
      <c r="A3096" s="74" t="s">
        <v>802</v>
      </c>
      <c r="B3096" s="74" t="s">
        <v>713</v>
      </c>
      <c r="C3096" s="74" t="s">
        <v>1614</v>
      </c>
      <c r="D3096" s="74" t="s">
        <v>92</v>
      </c>
      <c r="E3096" s="74">
        <v>1</v>
      </c>
      <c r="F3096" s="74">
        <v>4.5999999999999996</v>
      </c>
      <c r="G3096" s="758">
        <f t="shared" si="192"/>
        <v>0.86</v>
      </c>
      <c r="H3096" s="759">
        <f t="shared" si="193"/>
        <v>0.2</v>
      </c>
      <c r="I3096" s="758">
        <f t="shared" si="194"/>
        <v>3.7399999999999998</v>
      </c>
      <c r="J3096" s="760">
        <f t="shared" si="195"/>
        <v>0.81304347826086953</v>
      </c>
    </row>
    <row r="3097" spans="1:10">
      <c r="A3097" s="74" t="s">
        <v>1090</v>
      </c>
      <c r="B3097" s="74" t="s">
        <v>327</v>
      </c>
      <c r="C3097" s="74" t="s">
        <v>1528</v>
      </c>
      <c r="D3097" s="74" t="s">
        <v>78</v>
      </c>
      <c r="E3097" s="74">
        <v>2</v>
      </c>
      <c r="F3097" s="74">
        <v>10.050000000000001</v>
      </c>
      <c r="G3097" s="758">
        <f t="shared" si="192"/>
        <v>0.6</v>
      </c>
      <c r="H3097" s="759">
        <f t="shared" si="193"/>
        <v>0.28999999999999998</v>
      </c>
      <c r="I3097" s="758">
        <f t="shared" si="194"/>
        <v>4.4250000000000007</v>
      </c>
      <c r="J3097" s="760">
        <f t="shared" si="195"/>
        <v>0.88059701492537312</v>
      </c>
    </row>
    <row r="3098" spans="1:10">
      <c r="A3098" s="74" t="s">
        <v>1090</v>
      </c>
      <c r="B3098" s="74" t="s">
        <v>327</v>
      </c>
      <c r="C3098" s="74" t="s">
        <v>1508</v>
      </c>
      <c r="D3098" s="74" t="s">
        <v>78</v>
      </c>
      <c r="E3098" s="74">
        <v>3</v>
      </c>
      <c r="F3098" s="74">
        <v>16.3</v>
      </c>
      <c r="G3098" s="758">
        <f t="shared" si="192"/>
        <v>0.6</v>
      </c>
      <c r="H3098" s="759">
        <f t="shared" si="193"/>
        <v>0.28999999999999998</v>
      </c>
      <c r="I3098" s="758">
        <f t="shared" si="194"/>
        <v>4.8333333333333339</v>
      </c>
      <c r="J3098" s="760">
        <f t="shared" si="195"/>
        <v>0.88957055214723924</v>
      </c>
    </row>
    <row r="3099" spans="1:10">
      <c r="A3099" s="74" t="s">
        <v>1090</v>
      </c>
      <c r="B3099" s="74" t="s">
        <v>327</v>
      </c>
      <c r="C3099" s="74" t="s">
        <v>1532</v>
      </c>
      <c r="D3099" s="74" t="s">
        <v>80</v>
      </c>
      <c r="E3099" s="74">
        <v>2</v>
      </c>
      <c r="F3099" s="74">
        <v>10.199999999999999</v>
      </c>
      <c r="G3099" s="758">
        <f t="shared" si="192"/>
        <v>0.6</v>
      </c>
      <c r="H3099" s="759">
        <f t="shared" si="193"/>
        <v>0.28999999999999998</v>
      </c>
      <c r="I3099" s="758">
        <f t="shared" si="194"/>
        <v>4.5</v>
      </c>
      <c r="J3099" s="760">
        <f t="shared" si="195"/>
        <v>0.88235294117647056</v>
      </c>
    </row>
    <row r="3100" spans="1:10">
      <c r="A3100" s="74" t="s">
        <v>1090</v>
      </c>
      <c r="B3100" s="74" t="s">
        <v>327</v>
      </c>
      <c r="C3100" s="74" t="s">
        <v>1511</v>
      </c>
      <c r="D3100" s="74" t="s">
        <v>80</v>
      </c>
      <c r="E3100" s="74">
        <v>1</v>
      </c>
      <c r="F3100" s="74">
        <v>5.0999999999999996</v>
      </c>
      <c r="G3100" s="758">
        <f t="shared" si="192"/>
        <v>0.6</v>
      </c>
      <c r="H3100" s="759">
        <f t="shared" si="193"/>
        <v>0.28999999999999998</v>
      </c>
      <c r="I3100" s="758">
        <f t="shared" si="194"/>
        <v>4.5</v>
      </c>
      <c r="J3100" s="760">
        <f t="shared" si="195"/>
        <v>0.88235294117647056</v>
      </c>
    </row>
    <row r="3101" spans="1:10">
      <c r="A3101" s="74" t="s">
        <v>1090</v>
      </c>
      <c r="B3101" s="74" t="s">
        <v>327</v>
      </c>
      <c r="C3101" s="74" t="s">
        <v>1534</v>
      </c>
      <c r="D3101" s="74" t="s">
        <v>81</v>
      </c>
      <c r="E3101" s="74">
        <v>1</v>
      </c>
      <c r="F3101" s="74">
        <v>5.0999999999999996</v>
      </c>
      <c r="G3101" s="758">
        <f t="shared" si="192"/>
        <v>0.6</v>
      </c>
      <c r="H3101" s="759">
        <f t="shared" si="193"/>
        <v>0.28999999999999998</v>
      </c>
      <c r="I3101" s="758">
        <f t="shared" si="194"/>
        <v>4.5</v>
      </c>
      <c r="J3101" s="760">
        <f t="shared" si="195"/>
        <v>0.88235294117647056</v>
      </c>
    </row>
    <row r="3102" spans="1:10">
      <c r="A3102" s="74" t="s">
        <v>1090</v>
      </c>
      <c r="B3102" s="74" t="s">
        <v>327</v>
      </c>
      <c r="C3102" s="74" t="s">
        <v>1527</v>
      </c>
      <c r="D3102" s="74" t="s">
        <v>82</v>
      </c>
      <c r="E3102" s="74">
        <v>3</v>
      </c>
      <c r="F3102" s="74">
        <v>15.3</v>
      </c>
      <c r="G3102" s="758">
        <f t="shared" si="192"/>
        <v>0.6</v>
      </c>
      <c r="H3102" s="759">
        <f t="shared" si="193"/>
        <v>0.28999999999999998</v>
      </c>
      <c r="I3102" s="758">
        <f t="shared" si="194"/>
        <v>4.5000000000000009</v>
      </c>
      <c r="J3102" s="760">
        <f t="shared" si="195"/>
        <v>0.88235294117647056</v>
      </c>
    </row>
    <row r="3103" spans="1:10">
      <c r="A3103" s="74" t="s">
        <v>1090</v>
      </c>
      <c r="B3103" s="74" t="s">
        <v>327</v>
      </c>
      <c r="C3103" s="74" t="s">
        <v>1518</v>
      </c>
      <c r="D3103" s="74" t="s">
        <v>82</v>
      </c>
      <c r="E3103" s="74">
        <v>2</v>
      </c>
      <c r="F3103" s="74">
        <v>10.199999999999999</v>
      </c>
      <c r="G3103" s="758">
        <f t="shared" si="192"/>
        <v>0.6</v>
      </c>
      <c r="H3103" s="759">
        <f t="shared" si="193"/>
        <v>0.28999999999999998</v>
      </c>
      <c r="I3103" s="758">
        <f t="shared" si="194"/>
        <v>4.5</v>
      </c>
      <c r="J3103" s="760">
        <f t="shared" si="195"/>
        <v>0.88235294117647056</v>
      </c>
    </row>
    <row r="3104" spans="1:10">
      <c r="A3104" s="74" t="s">
        <v>1090</v>
      </c>
      <c r="B3104" s="74" t="s">
        <v>327</v>
      </c>
      <c r="C3104" s="74" t="s">
        <v>1540</v>
      </c>
      <c r="D3104" s="74" t="s">
        <v>84</v>
      </c>
      <c r="E3104" s="74">
        <v>1</v>
      </c>
      <c r="F3104" s="74">
        <v>5.0999999999999996</v>
      </c>
      <c r="G3104" s="758">
        <f t="shared" si="192"/>
        <v>0.6</v>
      </c>
      <c r="H3104" s="759">
        <f t="shared" si="193"/>
        <v>0.28999999999999998</v>
      </c>
      <c r="I3104" s="758">
        <f t="shared" si="194"/>
        <v>4.5</v>
      </c>
      <c r="J3104" s="760">
        <f t="shared" si="195"/>
        <v>0.88235294117647056</v>
      </c>
    </row>
    <row r="3105" spans="1:10">
      <c r="A3105" s="74" t="s">
        <v>1090</v>
      </c>
      <c r="B3105" s="74" t="s">
        <v>327</v>
      </c>
      <c r="C3105" s="74" t="s">
        <v>1646</v>
      </c>
      <c r="D3105" s="74" t="s">
        <v>86</v>
      </c>
      <c r="E3105" s="74">
        <v>1</v>
      </c>
      <c r="F3105" s="74">
        <v>5.0999999999999996</v>
      </c>
      <c r="G3105" s="758">
        <f t="shared" si="192"/>
        <v>0.6</v>
      </c>
      <c r="H3105" s="759">
        <f t="shared" si="193"/>
        <v>0.28999999999999998</v>
      </c>
      <c r="I3105" s="758">
        <f t="shared" si="194"/>
        <v>4.5</v>
      </c>
      <c r="J3105" s="760">
        <f t="shared" si="195"/>
        <v>0.88235294117647056</v>
      </c>
    </row>
    <row r="3106" spans="1:10">
      <c r="A3106" s="74" t="s">
        <v>1090</v>
      </c>
      <c r="B3106" s="74" t="s">
        <v>327</v>
      </c>
      <c r="C3106" s="74" t="s">
        <v>1544</v>
      </c>
      <c r="D3106" s="74" t="s">
        <v>87</v>
      </c>
      <c r="E3106" s="74">
        <v>3</v>
      </c>
      <c r="F3106" s="74">
        <v>15.3</v>
      </c>
      <c r="G3106" s="758">
        <f t="shared" si="192"/>
        <v>0.6</v>
      </c>
      <c r="H3106" s="759">
        <f t="shared" si="193"/>
        <v>0.28999999999999998</v>
      </c>
      <c r="I3106" s="758">
        <f t="shared" si="194"/>
        <v>4.5000000000000009</v>
      </c>
      <c r="J3106" s="760">
        <f t="shared" si="195"/>
        <v>0.88235294117647056</v>
      </c>
    </row>
    <row r="3107" spans="1:10">
      <c r="A3107" s="74" t="s">
        <v>1090</v>
      </c>
      <c r="B3107" s="74" t="s">
        <v>327</v>
      </c>
      <c r="C3107" s="74" t="s">
        <v>1561</v>
      </c>
      <c r="D3107" s="74" t="s">
        <v>87</v>
      </c>
      <c r="E3107" s="74">
        <v>2</v>
      </c>
      <c r="F3107" s="74">
        <v>10.199999999999999</v>
      </c>
      <c r="G3107" s="758">
        <f t="shared" si="192"/>
        <v>0.6</v>
      </c>
      <c r="H3107" s="759">
        <f t="shared" si="193"/>
        <v>0.28999999999999998</v>
      </c>
      <c r="I3107" s="758">
        <f t="shared" si="194"/>
        <v>4.5</v>
      </c>
      <c r="J3107" s="760">
        <f t="shared" si="195"/>
        <v>0.88235294117647056</v>
      </c>
    </row>
    <row r="3108" spans="1:10">
      <c r="A3108" s="74" t="s">
        <v>1090</v>
      </c>
      <c r="B3108" s="74" t="s">
        <v>327</v>
      </c>
      <c r="C3108" s="74" t="s">
        <v>1608</v>
      </c>
      <c r="D3108" s="74" t="s">
        <v>89</v>
      </c>
      <c r="E3108" s="74">
        <v>1</v>
      </c>
      <c r="F3108" s="74">
        <v>5.0999999999999996</v>
      </c>
      <c r="G3108" s="758">
        <f t="shared" si="192"/>
        <v>0.6</v>
      </c>
      <c r="H3108" s="759">
        <f t="shared" si="193"/>
        <v>0.28999999999999998</v>
      </c>
      <c r="I3108" s="758">
        <f t="shared" si="194"/>
        <v>4.5</v>
      </c>
      <c r="J3108" s="760">
        <f t="shared" si="195"/>
        <v>0.88235294117647056</v>
      </c>
    </row>
    <row r="3109" spans="1:10">
      <c r="A3109" s="74" t="s">
        <v>1090</v>
      </c>
      <c r="B3109" s="74" t="s">
        <v>327</v>
      </c>
      <c r="C3109" s="74" t="s">
        <v>1550</v>
      </c>
      <c r="D3109" s="74" t="s">
        <v>91</v>
      </c>
      <c r="E3109" s="74">
        <v>1</v>
      </c>
      <c r="F3109" s="74">
        <v>5.0999999999999996</v>
      </c>
      <c r="G3109" s="758">
        <f t="shared" si="192"/>
        <v>0.6</v>
      </c>
      <c r="H3109" s="759">
        <f t="shared" si="193"/>
        <v>0.28999999999999998</v>
      </c>
      <c r="I3109" s="758">
        <f t="shared" si="194"/>
        <v>4.5</v>
      </c>
      <c r="J3109" s="760">
        <f t="shared" si="195"/>
        <v>0.88235294117647056</v>
      </c>
    </row>
    <row r="3110" spans="1:10">
      <c r="A3110" s="74" t="s">
        <v>1090</v>
      </c>
      <c r="B3110" s="74" t="s">
        <v>327</v>
      </c>
      <c r="C3110" s="74" t="s">
        <v>1524</v>
      </c>
      <c r="D3110" s="74" t="s">
        <v>91</v>
      </c>
      <c r="E3110" s="74">
        <v>1</v>
      </c>
      <c r="F3110" s="74">
        <v>5.0999999999999996</v>
      </c>
      <c r="G3110" s="758">
        <f t="shared" si="192"/>
        <v>0.6</v>
      </c>
      <c r="H3110" s="759">
        <f t="shared" si="193"/>
        <v>0.28999999999999998</v>
      </c>
      <c r="I3110" s="758">
        <f t="shared" si="194"/>
        <v>4.5</v>
      </c>
      <c r="J3110" s="760">
        <f t="shared" si="195"/>
        <v>0.88235294117647056</v>
      </c>
    </row>
    <row r="3111" spans="1:10">
      <c r="A3111" s="74" t="s">
        <v>1090</v>
      </c>
      <c r="B3111" s="74" t="s">
        <v>327</v>
      </c>
      <c r="C3111" s="74" t="s">
        <v>1631</v>
      </c>
      <c r="D3111" s="74" t="s">
        <v>92</v>
      </c>
      <c r="E3111" s="74">
        <v>1</v>
      </c>
      <c r="F3111" s="74">
        <v>5.0999999999999996</v>
      </c>
      <c r="G3111" s="758">
        <f t="shared" si="192"/>
        <v>0.6</v>
      </c>
      <c r="H3111" s="759">
        <f t="shared" si="193"/>
        <v>0.28999999999999998</v>
      </c>
      <c r="I3111" s="758">
        <f t="shared" si="194"/>
        <v>4.5</v>
      </c>
      <c r="J3111" s="760">
        <f t="shared" si="195"/>
        <v>0.88235294117647056</v>
      </c>
    </row>
    <row r="3112" spans="1:10">
      <c r="A3112" s="74" t="s">
        <v>1090</v>
      </c>
      <c r="B3112" s="74" t="s">
        <v>327</v>
      </c>
      <c r="C3112" s="74" t="s">
        <v>1552</v>
      </c>
      <c r="D3112" s="74" t="s">
        <v>92</v>
      </c>
      <c r="E3112" s="74">
        <v>2</v>
      </c>
      <c r="F3112" s="74">
        <v>10.199999999999999</v>
      </c>
      <c r="G3112" s="758">
        <f t="shared" si="192"/>
        <v>0.6</v>
      </c>
      <c r="H3112" s="759">
        <f t="shared" si="193"/>
        <v>0.28999999999999998</v>
      </c>
      <c r="I3112" s="758">
        <f t="shared" si="194"/>
        <v>4.5</v>
      </c>
      <c r="J3112" s="760">
        <f t="shared" si="195"/>
        <v>0.88235294117647056</v>
      </c>
    </row>
    <row r="3113" spans="1:10">
      <c r="A3113" s="74" t="s">
        <v>1090</v>
      </c>
      <c r="B3113" s="74" t="s">
        <v>327</v>
      </c>
      <c r="C3113" s="74" t="s">
        <v>1617</v>
      </c>
      <c r="D3113" s="74" t="s">
        <v>94</v>
      </c>
      <c r="E3113" s="74">
        <v>1</v>
      </c>
      <c r="F3113" s="74">
        <v>5.0999999999999996</v>
      </c>
      <c r="G3113" s="758">
        <f t="shared" si="192"/>
        <v>0.6</v>
      </c>
      <c r="H3113" s="759">
        <f t="shared" si="193"/>
        <v>0.28999999999999998</v>
      </c>
      <c r="I3113" s="758">
        <f t="shared" si="194"/>
        <v>4.5</v>
      </c>
      <c r="J3113" s="760">
        <f t="shared" si="195"/>
        <v>0.88235294117647056</v>
      </c>
    </row>
    <row r="3114" spans="1:10">
      <c r="A3114" s="74" t="s">
        <v>1090</v>
      </c>
      <c r="B3114" s="74" t="s">
        <v>327</v>
      </c>
      <c r="C3114" s="74" t="s">
        <v>1553</v>
      </c>
      <c r="D3114" s="74" t="s">
        <v>94</v>
      </c>
      <c r="E3114" s="74">
        <v>2</v>
      </c>
      <c r="F3114" s="74">
        <v>10.199999999999999</v>
      </c>
      <c r="G3114" s="758">
        <f t="shared" si="192"/>
        <v>0.6</v>
      </c>
      <c r="H3114" s="759">
        <f t="shared" si="193"/>
        <v>0.28999999999999998</v>
      </c>
      <c r="I3114" s="758">
        <f t="shared" si="194"/>
        <v>4.5</v>
      </c>
      <c r="J3114" s="760">
        <f t="shared" si="195"/>
        <v>0.88235294117647056</v>
      </c>
    </row>
    <row r="3115" spans="1:10">
      <c r="A3115" s="74" t="s">
        <v>1090</v>
      </c>
      <c r="B3115" s="74" t="s">
        <v>327</v>
      </c>
      <c r="C3115" s="74" t="s">
        <v>1555</v>
      </c>
      <c r="D3115" s="74" t="s">
        <v>94</v>
      </c>
      <c r="E3115" s="74">
        <v>1</v>
      </c>
      <c r="F3115" s="74">
        <v>5.0999999999999996</v>
      </c>
      <c r="G3115" s="758">
        <f t="shared" si="192"/>
        <v>0.6</v>
      </c>
      <c r="H3115" s="759">
        <f t="shared" si="193"/>
        <v>0.28999999999999998</v>
      </c>
      <c r="I3115" s="758">
        <f t="shared" si="194"/>
        <v>4.5</v>
      </c>
      <c r="J3115" s="760">
        <f t="shared" si="195"/>
        <v>0.88235294117647056</v>
      </c>
    </row>
    <row r="3116" spans="1:10">
      <c r="A3116" s="74" t="s">
        <v>1090</v>
      </c>
      <c r="B3116" s="74" t="s">
        <v>327</v>
      </c>
      <c r="C3116" s="74" t="s">
        <v>1526</v>
      </c>
      <c r="D3116" s="74" t="s">
        <v>95</v>
      </c>
      <c r="E3116" s="74">
        <v>1</v>
      </c>
      <c r="F3116" s="74">
        <v>5.0999999999999996</v>
      </c>
      <c r="G3116" s="758">
        <f t="shared" si="192"/>
        <v>0.6</v>
      </c>
      <c r="H3116" s="759">
        <f t="shared" si="193"/>
        <v>0.28999999999999998</v>
      </c>
      <c r="I3116" s="758">
        <f t="shared" si="194"/>
        <v>4.5</v>
      </c>
      <c r="J3116" s="760">
        <f t="shared" si="195"/>
        <v>0.88235294117647056</v>
      </c>
    </row>
    <row r="3117" spans="1:10">
      <c r="A3117" s="74" t="s">
        <v>1842</v>
      </c>
      <c r="B3117" s="74" t="s">
        <v>327</v>
      </c>
      <c r="C3117" s="74" t="s">
        <v>1565</v>
      </c>
      <c r="D3117" s="74" t="s">
        <v>78</v>
      </c>
      <c r="E3117" s="74">
        <v>1</v>
      </c>
      <c r="F3117" s="74">
        <v>6.1</v>
      </c>
      <c r="G3117" s="758">
        <f t="shared" si="192"/>
        <v>0.97</v>
      </c>
      <c r="H3117" s="759">
        <f t="shared" si="193"/>
        <v>0.17</v>
      </c>
      <c r="I3117" s="758">
        <f t="shared" si="194"/>
        <v>5.13</v>
      </c>
      <c r="J3117" s="760">
        <f t="shared" si="195"/>
        <v>0.84098360655737703</v>
      </c>
    </row>
    <row r="3118" spans="1:10">
      <c r="A3118" s="74" t="s">
        <v>1007</v>
      </c>
      <c r="B3118" s="74" t="s">
        <v>327</v>
      </c>
      <c r="C3118" s="74" t="s">
        <v>1540</v>
      </c>
      <c r="D3118" s="74" t="s">
        <v>84</v>
      </c>
      <c r="E3118" s="74">
        <v>2</v>
      </c>
      <c r="F3118" s="74">
        <v>9.1999999999999993</v>
      </c>
      <c r="G3118" s="758">
        <f t="shared" si="192"/>
        <v>0.86</v>
      </c>
      <c r="H3118" s="759">
        <f t="shared" si="193"/>
        <v>0.2</v>
      </c>
      <c r="I3118" s="758">
        <f t="shared" si="194"/>
        <v>3.7399999999999998</v>
      </c>
      <c r="J3118" s="760">
        <f t="shared" si="195"/>
        <v>0.81304347826086953</v>
      </c>
    </row>
    <row r="3119" spans="1:10">
      <c r="A3119" s="74" t="s">
        <v>1007</v>
      </c>
      <c r="B3119" s="74" t="s">
        <v>327</v>
      </c>
      <c r="C3119" s="74" t="s">
        <v>1577</v>
      </c>
      <c r="D3119" s="74" t="s">
        <v>84</v>
      </c>
      <c r="E3119" s="74">
        <v>4</v>
      </c>
      <c r="F3119" s="74">
        <v>18.55</v>
      </c>
      <c r="G3119" s="758">
        <f t="shared" si="192"/>
        <v>0.86</v>
      </c>
      <c r="H3119" s="759">
        <f t="shared" si="193"/>
        <v>0.2</v>
      </c>
      <c r="I3119" s="758">
        <f t="shared" si="194"/>
        <v>3.7775000000000003</v>
      </c>
      <c r="J3119" s="760">
        <f t="shared" si="195"/>
        <v>0.81455525606469004</v>
      </c>
    </row>
    <row r="3120" spans="1:10">
      <c r="A3120" s="74" t="s">
        <v>1007</v>
      </c>
      <c r="B3120" s="74" t="s">
        <v>327</v>
      </c>
      <c r="C3120" s="74" t="s">
        <v>1507</v>
      </c>
      <c r="D3120" s="74" t="s">
        <v>86</v>
      </c>
      <c r="E3120" s="74">
        <v>4</v>
      </c>
      <c r="F3120" s="74">
        <v>18.399999999999999</v>
      </c>
      <c r="G3120" s="758">
        <f t="shared" si="192"/>
        <v>0.86</v>
      </c>
      <c r="H3120" s="759">
        <f t="shared" si="193"/>
        <v>0.2</v>
      </c>
      <c r="I3120" s="758">
        <f t="shared" si="194"/>
        <v>3.7399999999999998</v>
      </c>
      <c r="J3120" s="760">
        <f t="shared" si="195"/>
        <v>0.81304347826086953</v>
      </c>
    </row>
    <row r="3121" spans="1:10">
      <c r="A3121" s="74" t="s">
        <v>1007</v>
      </c>
      <c r="B3121" s="74" t="s">
        <v>327</v>
      </c>
      <c r="C3121" s="74" t="s">
        <v>1644</v>
      </c>
      <c r="D3121" s="74" t="s">
        <v>86</v>
      </c>
      <c r="E3121" s="74">
        <v>3</v>
      </c>
      <c r="F3121" s="74">
        <v>13.8</v>
      </c>
      <c r="G3121" s="758">
        <f t="shared" si="192"/>
        <v>0.86</v>
      </c>
      <c r="H3121" s="759">
        <f t="shared" si="193"/>
        <v>0.2</v>
      </c>
      <c r="I3121" s="758">
        <f t="shared" si="194"/>
        <v>3.7400000000000007</v>
      </c>
      <c r="J3121" s="760">
        <f t="shared" si="195"/>
        <v>0.81304347826086953</v>
      </c>
    </row>
    <row r="3122" spans="1:10">
      <c r="A3122" s="74" t="s">
        <v>1007</v>
      </c>
      <c r="B3122" s="74" t="s">
        <v>327</v>
      </c>
      <c r="C3122" s="74" t="s">
        <v>1578</v>
      </c>
      <c r="D3122" s="74" t="s">
        <v>86</v>
      </c>
      <c r="E3122" s="74">
        <v>4</v>
      </c>
      <c r="F3122" s="74">
        <v>18.399999999999999</v>
      </c>
      <c r="G3122" s="758">
        <f t="shared" si="192"/>
        <v>0.86</v>
      </c>
      <c r="H3122" s="759">
        <f t="shared" si="193"/>
        <v>0.2</v>
      </c>
      <c r="I3122" s="758">
        <f t="shared" si="194"/>
        <v>3.7399999999999998</v>
      </c>
      <c r="J3122" s="760">
        <f t="shared" si="195"/>
        <v>0.81304347826086953</v>
      </c>
    </row>
    <row r="3123" spans="1:10">
      <c r="A3123" s="74" t="s">
        <v>1007</v>
      </c>
      <c r="B3123" s="74" t="s">
        <v>327</v>
      </c>
      <c r="C3123" s="74" t="s">
        <v>1646</v>
      </c>
      <c r="D3123" s="74" t="s">
        <v>86</v>
      </c>
      <c r="E3123" s="74">
        <v>2</v>
      </c>
      <c r="F3123" s="74">
        <v>9.1999999999999993</v>
      </c>
      <c r="G3123" s="758">
        <f t="shared" si="192"/>
        <v>0.86</v>
      </c>
      <c r="H3123" s="759">
        <f t="shared" si="193"/>
        <v>0.2</v>
      </c>
      <c r="I3123" s="758">
        <f t="shared" si="194"/>
        <v>3.7399999999999998</v>
      </c>
      <c r="J3123" s="760">
        <f t="shared" si="195"/>
        <v>0.81304347826086953</v>
      </c>
    </row>
    <row r="3124" spans="1:10">
      <c r="A3124" s="74" t="s">
        <v>1007</v>
      </c>
      <c r="B3124" s="74" t="s">
        <v>327</v>
      </c>
      <c r="C3124" s="74" t="s">
        <v>1541</v>
      </c>
      <c r="D3124" s="74" t="s">
        <v>86</v>
      </c>
      <c r="E3124" s="74">
        <v>1</v>
      </c>
      <c r="F3124" s="74">
        <v>4.5999999999999996</v>
      </c>
      <c r="G3124" s="758">
        <f t="shared" si="192"/>
        <v>0.86</v>
      </c>
      <c r="H3124" s="759">
        <f t="shared" si="193"/>
        <v>0.2</v>
      </c>
      <c r="I3124" s="758">
        <f t="shared" si="194"/>
        <v>3.7399999999999998</v>
      </c>
      <c r="J3124" s="760">
        <f t="shared" si="195"/>
        <v>0.81304347826086953</v>
      </c>
    </row>
    <row r="3125" spans="1:10">
      <c r="A3125" s="74" t="s">
        <v>1007</v>
      </c>
      <c r="B3125" s="74" t="s">
        <v>327</v>
      </c>
      <c r="C3125" s="74" t="s">
        <v>1543</v>
      </c>
      <c r="D3125" s="74" t="s">
        <v>87</v>
      </c>
      <c r="E3125" s="74">
        <v>6</v>
      </c>
      <c r="F3125" s="74">
        <v>27.6</v>
      </c>
      <c r="G3125" s="758">
        <f t="shared" si="192"/>
        <v>0.86</v>
      </c>
      <c r="H3125" s="759">
        <f t="shared" si="193"/>
        <v>0.2</v>
      </c>
      <c r="I3125" s="758">
        <f t="shared" si="194"/>
        <v>3.7400000000000007</v>
      </c>
      <c r="J3125" s="760">
        <f t="shared" si="195"/>
        <v>0.81304347826086953</v>
      </c>
    </row>
    <row r="3126" spans="1:10">
      <c r="A3126" s="74" t="s">
        <v>1007</v>
      </c>
      <c r="B3126" s="74" t="s">
        <v>327</v>
      </c>
      <c r="C3126" s="74" t="s">
        <v>1544</v>
      </c>
      <c r="D3126" s="74" t="s">
        <v>87</v>
      </c>
      <c r="E3126" s="74">
        <v>2</v>
      </c>
      <c r="F3126" s="74">
        <v>9.1999999999999993</v>
      </c>
      <c r="G3126" s="758">
        <f t="shared" si="192"/>
        <v>0.86</v>
      </c>
      <c r="H3126" s="759">
        <f t="shared" si="193"/>
        <v>0.2</v>
      </c>
      <c r="I3126" s="758">
        <f t="shared" si="194"/>
        <v>3.7399999999999998</v>
      </c>
      <c r="J3126" s="760">
        <f t="shared" si="195"/>
        <v>0.81304347826086953</v>
      </c>
    </row>
    <row r="3127" spans="1:10">
      <c r="A3127" s="74" t="s">
        <v>1007</v>
      </c>
      <c r="B3127" s="74" t="s">
        <v>327</v>
      </c>
      <c r="C3127" s="74" t="s">
        <v>1561</v>
      </c>
      <c r="D3127" s="74" t="s">
        <v>87</v>
      </c>
      <c r="E3127" s="74">
        <v>1</v>
      </c>
      <c r="F3127" s="74">
        <v>4.5999999999999996</v>
      </c>
      <c r="G3127" s="758">
        <f t="shared" si="192"/>
        <v>0.86</v>
      </c>
      <c r="H3127" s="759">
        <f t="shared" si="193"/>
        <v>0.2</v>
      </c>
      <c r="I3127" s="758">
        <f t="shared" si="194"/>
        <v>3.7399999999999998</v>
      </c>
      <c r="J3127" s="760">
        <f t="shared" si="195"/>
        <v>0.81304347826086953</v>
      </c>
    </row>
    <row r="3128" spans="1:10">
      <c r="A3128" s="74" t="s">
        <v>1007</v>
      </c>
      <c r="B3128" s="74" t="s">
        <v>327</v>
      </c>
      <c r="C3128" s="74" t="s">
        <v>1608</v>
      </c>
      <c r="D3128" s="74" t="s">
        <v>89</v>
      </c>
      <c r="E3128" s="74">
        <v>2</v>
      </c>
      <c r="F3128" s="74">
        <v>9.1999999999999993</v>
      </c>
      <c r="G3128" s="758">
        <f t="shared" si="192"/>
        <v>0.86</v>
      </c>
      <c r="H3128" s="759">
        <f t="shared" si="193"/>
        <v>0.2</v>
      </c>
      <c r="I3128" s="758">
        <f t="shared" si="194"/>
        <v>3.7399999999999998</v>
      </c>
      <c r="J3128" s="760">
        <f t="shared" si="195"/>
        <v>0.81304347826086953</v>
      </c>
    </row>
    <row r="3129" spans="1:10">
      <c r="A3129" s="74" t="s">
        <v>1007</v>
      </c>
      <c r="B3129" s="74" t="s">
        <v>327</v>
      </c>
      <c r="C3129" s="74" t="s">
        <v>1610</v>
      </c>
      <c r="D3129" s="74" t="s">
        <v>89</v>
      </c>
      <c r="E3129" s="74">
        <v>2</v>
      </c>
      <c r="F3129" s="74">
        <v>9.1999999999999993</v>
      </c>
      <c r="G3129" s="758">
        <f t="shared" si="192"/>
        <v>0.86</v>
      </c>
      <c r="H3129" s="759">
        <f t="shared" si="193"/>
        <v>0.2</v>
      </c>
      <c r="I3129" s="758">
        <f t="shared" si="194"/>
        <v>3.7399999999999998</v>
      </c>
      <c r="J3129" s="760">
        <f t="shared" si="195"/>
        <v>0.81304347826086953</v>
      </c>
    </row>
    <row r="3130" spans="1:10">
      <c r="A3130" s="74" t="s">
        <v>1007</v>
      </c>
      <c r="B3130" s="74" t="s">
        <v>327</v>
      </c>
      <c r="C3130" s="74" t="s">
        <v>1546</v>
      </c>
      <c r="D3130" s="74" t="s">
        <v>89</v>
      </c>
      <c r="E3130" s="74">
        <v>4</v>
      </c>
      <c r="F3130" s="74">
        <v>18.399999999999999</v>
      </c>
      <c r="G3130" s="758">
        <f t="shared" si="192"/>
        <v>0.86</v>
      </c>
      <c r="H3130" s="759">
        <f t="shared" si="193"/>
        <v>0.2</v>
      </c>
      <c r="I3130" s="758">
        <f t="shared" si="194"/>
        <v>3.7399999999999998</v>
      </c>
      <c r="J3130" s="760">
        <f t="shared" si="195"/>
        <v>0.81304347826086953</v>
      </c>
    </row>
    <row r="3131" spans="1:10">
      <c r="A3131" s="74" t="s">
        <v>1007</v>
      </c>
      <c r="B3131" s="74" t="s">
        <v>327</v>
      </c>
      <c r="C3131" s="74" t="s">
        <v>1547</v>
      </c>
      <c r="D3131" s="74" t="s">
        <v>89</v>
      </c>
      <c r="E3131" s="74">
        <v>2</v>
      </c>
      <c r="F3131" s="74">
        <v>9.1999999999999993</v>
      </c>
      <c r="G3131" s="758">
        <f t="shared" si="192"/>
        <v>0.86</v>
      </c>
      <c r="H3131" s="759">
        <f t="shared" si="193"/>
        <v>0.2</v>
      </c>
      <c r="I3131" s="758">
        <f t="shared" si="194"/>
        <v>3.7399999999999998</v>
      </c>
      <c r="J3131" s="760">
        <f t="shared" si="195"/>
        <v>0.81304347826086953</v>
      </c>
    </row>
    <row r="3132" spans="1:10">
      <c r="A3132" s="74" t="s">
        <v>1007</v>
      </c>
      <c r="B3132" s="74" t="s">
        <v>327</v>
      </c>
      <c r="C3132" s="74" t="s">
        <v>1522</v>
      </c>
      <c r="D3132" s="74" t="s">
        <v>91</v>
      </c>
      <c r="E3132" s="74">
        <v>1</v>
      </c>
      <c r="F3132" s="74">
        <v>4.5999999999999996</v>
      </c>
      <c r="G3132" s="758">
        <f t="shared" si="192"/>
        <v>0.86</v>
      </c>
      <c r="H3132" s="759">
        <f t="shared" si="193"/>
        <v>0.2</v>
      </c>
      <c r="I3132" s="758">
        <f t="shared" si="194"/>
        <v>3.7399999999999998</v>
      </c>
      <c r="J3132" s="760">
        <f t="shared" si="195"/>
        <v>0.81304347826086953</v>
      </c>
    </row>
    <row r="3133" spans="1:10">
      <c r="A3133" s="74" t="s">
        <v>1007</v>
      </c>
      <c r="B3133" s="74" t="s">
        <v>327</v>
      </c>
      <c r="C3133" s="74" t="s">
        <v>1550</v>
      </c>
      <c r="D3133" s="74" t="s">
        <v>91</v>
      </c>
      <c r="E3133" s="74">
        <v>4</v>
      </c>
      <c r="F3133" s="74">
        <v>18.399999999999999</v>
      </c>
      <c r="G3133" s="758">
        <f t="shared" si="192"/>
        <v>0.86</v>
      </c>
      <c r="H3133" s="759">
        <f t="shared" si="193"/>
        <v>0.2</v>
      </c>
      <c r="I3133" s="758">
        <f t="shared" si="194"/>
        <v>3.7399999999999998</v>
      </c>
      <c r="J3133" s="760">
        <f t="shared" si="195"/>
        <v>0.81304347826086953</v>
      </c>
    </row>
    <row r="3134" spans="1:10">
      <c r="A3134" s="74" t="s">
        <v>1007</v>
      </c>
      <c r="B3134" s="74" t="s">
        <v>327</v>
      </c>
      <c r="C3134" s="74" t="s">
        <v>1675</v>
      </c>
      <c r="D3134" s="74" t="s">
        <v>91</v>
      </c>
      <c r="E3134" s="74">
        <v>2</v>
      </c>
      <c r="F3134" s="74">
        <v>9.1999999999999993</v>
      </c>
      <c r="G3134" s="758">
        <f t="shared" si="192"/>
        <v>0.86</v>
      </c>
      <c r="H3134" s="759">
        <f t="shared" si="193"/>
        <v>0.2</v>
      </c>
      <c r="I3134" s="758">
        <f t="shared" si="194"/>
        <v>3.7399999999999998</v>
      </c>
      <c r="J3134" s="760">
        <f t="shared" si="195"/>
        <v>0.81304347826086953</v>
      </c>
    </row>
    <row r="3135" spans="1:10">
      <c r="A3135" s="74" t="s">
        <v>1007</v>
      </c>
      <c r="B3135" s="74" t="s">
        <v>327</v>
      </c>
      <c r="C3135" s="74" t="s">
        <v>1524</v>
      </c>
      <c r="D3135" s="74" t="s">
        <v>91</v>
      </c>
      <c r="E3135" s="74">
        <v>3</v>
      </c>
      <c r="F3135" s="74">
        <v>13.8</v>
      </c>
      <c r="G3135" s="758">
        <f t="shared" si="192"/>
        <v>0.86</v>
      </c>
      <c r="H3135" s="759">
        <f t="shared" si="193"/>
        <v>0.2</v>
      </c>
      <c r="I3135" s="758">
        <f t="shared" si="194"/>
        <v>3.7400000000000007</v>
      </c>
      <c r="J3135" s="760">
        <f t="shared" si="195"/>
        <v>0.81304347826086953</v>
      </c>
    </row>
    <row r="3136" spans="1:10">
      <c r="A3136" s="74" t="s">
        <v>1007</v>
      </c>
      <c r="B3136" s="74" t="s">
        <v>327</v>
      </c>
      <c r="C3136" s="74" t="s">
        <v>1584</v>
      </c>
      <c r="D3136" s="74" t="s">
        <v>92</v>
      </c>
      <c r="E3136" s="74">
        <v>3</v>
      </c>
      <c r="F3136" s="74">
        <v>13.8</v>
      </c>
      <c r="G3136" s="758">
        <f t="shared" si="192"/>
        <v>0.86</v>
      </c>
      <c r="H3136" s="759">
        <f t="shared" si="193"/>
        <v>0.2</v>
      </c>
      <c r="I3136" s="758">
        <f t="shared" si="194"/>
        <v>3.7400000000000007</v>
      </c>
      <c r="J3136" s="760">
        <f t="shared" si="195"/>
        <v>0.81304347826086953</v>
      </c>
    </row>
    <row r="3137" spans="1:10">
      <c r="A3137" s="74" t="s">
        <v>1007</v>
      </c>
      <c r="B3137" s="74" t="s">
        <v>327</v>
      </c>
      <c r="C3137" s="74" t="s">
        <v>1614</v>
      </c>
      <c r="D3137" s="74" t="s">
        <v>92</v>
      </c>
      <c r="E3137" s="74">
        <v>1</v>
      </c>
      <c r="F3137" s="74">
        <v>4.5999999999999996</v>
      </c>
      <c r="G3137" s="758">
        <f t="shared" si="192"/>
        <v>0.86</v>
      </c>
      <c r="H3137" s="759">
        <f t="shared" si="193"/>
        <v>0.2</v>
      </c>
      <c r="I3137" s="758">
        <f t="shared" si="194"/>
        <v>3.7399999999999998</v>
      </c>
      <c r="J3137" s="760">
        <f t="shared" si="195"/>
        <v>0.81304347826086953</v>
      </c>
    </row>
    <row r="3138" spans="1:10">
      <c r="A3138" s="74" t="s">
        <v>1007</v>
      </c>
      <c r="B3138" s="74" t="s">
        <v>327</v>
      </c>
      <c r="C3138" s="74" t="s">
        <v>1631</v>
      </c>
      <c r="D3138" s="74" t="s">
        <v>92</v>
      </c>
      <c r="E3138" s="74">
        <v>2</v>
      </c>
      <c r="F3138" s="74">
        <v>9.1999999999999993</v>
      </c>
      <c r="G3138" s="758">
        <f t="shared" ref="G3138:G3201" si="196">IFERROR(VLOOKUP(A3138,$M$1:$P$1014,2,FALSE),0)</f>
        <v>0.86</v>
      </c>
      <c r="H3138" s="759">
        <f t="shared" ref="H3138:H3201" si="197">IFERROR(VLOOKUP(A3138,$M$1:$P$1014,3,FALSE),0)</f>
        <v>0.2</v>
      </c>
      <c r="I3138" s="758">
        <f t="shared" ref="I3138:I3201" si="198">IFERROR(F3138/E3138-G3138,0)</f>
        <v>3.7399999999999998</v>
      </c>
      <c r="J3138" s="760">
        <f t="shared" ref="J3138:J3201" si="199">IFERROR(1-G3138*E3138/F3138,0)</f>
        <v>0.81304347826086953</v>
      </c>
    </row>
    <row r="3139" spans="1:10">
      <c r="A3139" s="74" t="s">
        <v>1007</v>
      </c>
      <c r="B3139" s="74" t="s">
        <v>327</v>
      </c>
      <c r="C3139" s="74" t="s">
        <v>1552</v>
      </c>
      <c r="D3139" s="74" t="s">
        <v>92</v>
      </c>
      <c r="E3139" s="74">
        <v>2</v>
      </c>
      <c r="F3139" s="74">
        <v>9.1999999999999993</v>
      </c>
      <c r="G3139" s="758">
        <f t="shared" si="196"/>
        <v>0.86</v>
      </c>
      <c r="H3139" s="759">
        <f t="shared" si="197"/>
        <v>0.2</v>
      </c>
      <c r="I3139" s="758">
        <f t="shared" si="198"/>
        <v>3.7399999999999998</v>
      </c>
      <c r="J3139" s="760">
        <f t="shared" si="199"/>
        <v>0.81304347826086953</v>
      </c>
    </row>
    <row r="3140" spans="1:10">
      <c r="A3140" s="74" t="s">
        <v>1007</v>
      </c>
      <c r="B3140" s="74" t="s">
        <v>327</v>
      </c>
      <c r="C3140" s="74" t="s">
        <v>1617</v>
      </c>
      <c r="D3140" s="74" t="s">
        <v>94</v>
      </c>
      <c r="E3140" s="74">
        <v>2</v>
      </c>
      <c r="F3140" s="74">
        <v>9.1999999999999993</v>
      </c>
      <c r="G3140" s="758">
        <f t="shared" si="196"/>
        <v>0.86</v>
      </c>
      <c r="H3140" s="759">
        <f t="shared" si="197"/>
        <v>0.2</v>
      </c>
      <c r="I3140" s="758">
        <f t="shared" si="198"/>
        <v>3.7399999999999998</v>
      </c>
      <c r="J3140" s="760">
        <f t="shared" si="199"/>
        <v>0.81304347826086953</v>
      </c>
    </row>
    <row r="3141" spans="1:10">
      <c r="A3141" s="74" t="s">
        <v>1007</v>
      </c>
      <c r="B3141" s="74" t="s">
        <v>327</v>
      </c>
      <c r="C3141" s="74" t="s">
        <v>1555</v>
      </c>
      <c r="D3141" s="74" t="s">
        <v>94</v>
      </c>
      <c r="E3141" s="74">
        <v>2</v>
      </c>
      <c r="F3141" s="74">
        <v>9.1999999999999993</v>
      </c>
      <c r="G3141" s="758">
        <f t="shared" si="196"/>
        <v>0.86</v>
      </c>
      <c r="H3141" s="759">
        <f t="shared" si="197"/>
        <v>0.2</v>
      </c>
      <c r="I3141" s="758">
        <f t="shared" si="198"/>
        <v>3.7399999999999998</v>
      </c>
      <c r="J3141" s="760">
        <f t="shared" si="199"/>
        <v>0.81304347826086953</v>
      </c>
    </row>
    <row r="3142" spans="1:10">
      <c r="A3142" s="74" t="s">
        <v>1007</v>
      </c>
      <c r="B3142" s="74" t="s">
        <v>327</v>
      </c>
      <c r="C3142" s="74" t="s">
        <v>1557</v>
      </c>
      <c r="D3142" s="74" t="s">
        <v>95</v>
      </c>
      <c r="E3142" s="74">
        <v>6</v>
      </c>
      <c r="F3142" s="74">
        <v>27.6</v>
      </c>
      <c r="G3142" s="758">
        <f t="shared" si="196"/>
        <v>0.86</v>
      </c>
      <c r="H3142" s="759">
        <f t="shared" si="197"/>
        <v>0.2</v>
      </c>
      <c r="I3142" s="758">
        <f t="shared" si="198"/>
        <v>3.7400000000000007</v>
      </c>
      <c r="J3142" s="760">
        <f t="shared" si="199"/>
        <v>0.81304347826086953</v>
      </c>
    </row>
    <row r="3143" spans="1:10">
      <c r="A3143" s="74" t="s">
        <v>1007</v>
      </c>
      <c r="B3143" s="74" t="s">
        <v>327</v>
      </c>
      <c r="C3143" s="74" t="s">
        <v>1526</v>
      </c>
      <c r="D3143" s="74" t="s">
        <v>95</v>
      </c>
      <c r="E3143" s="74">
        <v>1</v>
      </c>
      <c r="F3143" s="74">
        <v>4.5999999999999996</v>
      </c>
      <c r="G3143" s="758">
        <f t="shared" si="196"/>
        <v>0.86</v>
      </c>
      <c r="H3143" s="759">
        <f t="shared" si="197"/>
        <v>0.2</v>
      </c>
      <c r="I3143" s="758">
        <f t="shared" si="198"/>
        <v>3.7399999999999998</v>
      </c>
      <c r="J3143" s="760">
        <f t="shared" si="199"/>
        <v>0.81304347826086953</v>
      </c>
    </row>
    <row r="3144" spans="1:10">
      <c r="A3144" s="74" t="s">
        <v>1843</v>
      </c>
      <c r="B3144" s="74" t="s">
        <v>327</v>
      </c>
      <c r="C3144" s="74" t="s">
        <v>1544</v>
      </c>
      <c r="D3144" s="74" t="s">
        <v>87</v>
      </c>
      <c r="E3144" s="74">
        <v>1</v>
      </c>
      <c r="F3144" s="74">
        <v>7</v>
      </c>
      <c r="G3144" s="758">
        <f t="shared" si="196"/>
        <v>0</v>
      </c>
      <c r="H3144" s="759">
        <f t="shared" si="197"/>
        <v>0</v>
      </c>
      <c r="I3144" s="758">
        <f t="shared" si="198"/>
        <v>7</v>
      </c>
      <c r="J3144" s="760">
        <f t="shared" si="199"/>
        <v>1</v>
      </c>
    </row>
    <row r="3145" spans="1:10">
      <c r="A3145" s="74" t="s">
        <v>1843</v>
      </c>
      <c r="B3145" s="74" t="s">
        <v>327</v>
      </c>
      <c r="C3145" s="74" t="s">
        <v>1546</v>
      </c>
      <c r="D3145" s="74" t="s">
        <v>89</v>
      </c>
      <c r="E3145" s="74">
        <v>1</v>
      </c>
      <c r="F3145" s="74">
        <v>7</v>
      </c>
      <c r="G3145" s="758">
        <f t="shared" si="196"/>
        <v>0</v>
      </c>
      <c r="H3145" s="759">
        <f t="shared" si="197"/>
        <v>0</v>
      </c>
      <c r="I3145" s="758">
        <f t="shared" si="198"/>
        <v>7</v>
      </c>
      <c r="J3145" s="760">
        <f t="shared" si="199"/>
        <v>1</v>
      </c>
    </row>
    <row r="3146" spans="1:10">
      <c r="A3146" s="74" t="s">
        <v>940</v>
      </c>
      <c r="B3146" s="74" t="s">
        <v>327</v>
      </c>
      <c r="C3146" s="74" t="s">
        <v>1511</v>
      </c>
      <c r="D3146" s="74" t="s">
        <v>80</v>
      </c>
      <c r="E3146" s="74">
        <v>3</v>
      </c>
      <c r="F3146" s="74">
        <v>16.75</v>
      </c>
      <c r="G3146" s="758">
        <f t="shared" si="196"/>
        <v>0.8</v>
      </c>
      <c r="H3146" s="759">
        <f t="shared" si="197"/>
        <v>0.3</v>
      </c>
      <c r="I3146" s="758">
        <f t="shared" si="198"/>
        <v>4.7833333333333332</v>
      </c>
      <c r="J3146" s="760">
        <f t="shared" si="199"/>
        <v>0.85671641791044773</v>
      </c>
    </row>
    <row r="3147" spans="1:10">
      <c r="A3147" s="74" t="s">
        <v>940</v>
      </c>
      <c r="B3147" s="74" t="s">
        <v>327</v>
      </c>
      <c r="C3147" s="74" t="s">
        <v>1534</v>
      </c>
      <c r="D3147" s="74" t="s">
        <v>81</v>
      </c>
      <c r="E3147" s="74">
        <v>1</v>
      </c>
      <c r="F3147" s="74">
        <v>5.65</v>
      </c>
      <c r="G3147" s="758">
        <f t="shared" si="196"/>
        <v>0.8</v>
      </c>
      <c r="H3147" s="759">
        <f t="shared" si="197"/>
        <v>0.3</v>
      </c>
      <c r="I3147" s="758">
        <f t="shared" si="198"/>
        <v>4.8500000000000005</v>
      </c>
      <c r="J3147" s="760">
        <f t="shared" si="199"/>
        <v>0.8584070796460177</v>
      </c>
    </row>
    <row r="3148" spans="1:10">
      <c r="A3148" s="74" t="s">
        <v>940</v>
      </c>
      <c r="B3148" s="74" t="s">
        <v>327</v>
      </c>
      <c r="C3148" s="74" t="s">
        <v>1513</v>
      </c>
      <c r="D3148" s="74" t="s">
        <v>81</v>
      </c>
      <c r="E3148" s="74">
        <v>2</v>
      </c>
      <c r="F3148" s="74">
        <v>12.3</v>
      </c>
      <c r="G3148" s="758">
        <f t="shared" si="196"/>
        <v>0.8</v>
      </c>
      <c r="H3148" s="759">
        <f t="shared" si="197"/>
        <v>0.3</v>
      </c>
      <c r="I3148" s="758">
        <f t="shared" si="198"/>
        <v>5.3500000000000005</v>
      </c>
      <c r="J3148" s="760">
        <f t="shared" si="199"/>
        <v>0.86991869918699183</v>
      </c>
    </row>
    <row r="3149" spans="1:10">
      <c r="A3149" s="74" t="s">
        <v>940</v>
      </c>
      <c r="B3149" s="74" t="s">
        <v>327</v>
      </c>
      <c r="C3149" s="74" t="s">
        <v>1515</v>
      </c>
      <c r="D3149" s="74" t="s">
        <v>81</v>
      </c>
      <c r="E3149" s="74">
        <v>5</v>
      </c>
      <c r="F3149" s="74">
        <v>30.25</v>
      </c>
      <c r="G3149" s="758">
        <f t="shared" si="196"/>
        <v>0.8</v>
      </c>
      <c r="H3149" s="759">
        <f t="shared" si="197"/>
        <v>0.3</v>
      </c>
      <c r="I3149" s="758">
        <f t="shared" si="198"/>
        <v>5.25</v>
      </c>
      <c r="J3149" s="760">
        <f t="shared" si="199"/>
        <v>0.86776859504132231</v>
      </c>
    </row>
    <row r="3150" spans="1:10">
      <c r="A3150" s="74" t="s">
        <v>940</v>
      </c>
      <c r="B3150" s="74" t="s">
        <v>327</v>
      </c>
      <c r="C3150" s="74" t="s">
        <v>1516</v>
      </c>
      <c r="D3150" s="74" t="s">
        <v>82</v>
      </c>
      <c r="E3150" s="74">
        <v>3</v>
      </c>
      <c r="F3150" s="74">
        <v>16.95</v>
      </c>
      <c r="G3150" s="758">
        <f t="shared" si="196"/>
        <v>0.8</v>
      </c>
      <c r="H3150" s="759">
        <f t="shared" si="197"/>
        <v>0.3</v>
      </c>
      <c r="I3150" s="758">
        <f t="shared" si="198"/>
        <v>4.8499999999999996</v>
      </c>
      <c r="J3150" s="760">
        <f t="shared" si="199"/>
        <v>0.8584070796460177</v>
      </c>
    </row>
    <row r="3151" spans="1:10">
      <c r="A3151" s="74" t="s">
        <v>940</v>
      </c>
      <c r="B3151" s="74" t="s">
        <v>327</v>
      </c>
      <c r="C3151" s="74" t="s">
        <v>1527</v>
      </c>
      <c r="D3151" s="74" t="s">
        <v>82</v>
      </c>
      <c r="E3151" s="74">
        <v>1</v>
      </c>
      <c r="F3151" s="74">
        <v>5.65</v>
      </c>
      <c r="G3151" s="758">
        <f t="shared" si="196"/>
        <v>0.8</v>
      </c>
      <c r="H3151" s="759">
        <f t="shared" si="197"/>
        <v>0.3</v>
      </c>
      <c r="I3151" s="758">
        <f t="shared" si="198"/>
        <v>4.8500000000000005</v>
      </c>
      <c r="J3151" s="760">
        <f t="shared" si="199"/>
        <v>0.8584070796460177</v>
      </c>
    </row>
    <row r="3152" spans="1:10">
      <c r="A3152" s="74" t="s">
        <v>940</v>
      </c>
      <c r="B3152" s="74" t="s">
        <v>327</v>
      </c>
      <c r="C3152" s="74" t="s">
        <v>1518</v>
      </c>
      <c r="D3152" s="74" t="s">
        <v>82</v>
      </c>
      <c r="E3152" s="74">
        <v>1</v>
      </c>
      <c r="F3152" s="74">
        <v>5.95</v>
      </c>
      <c r="G3152" s="758">
        <f t="shared" si="196"/>
        <v>0.8</v>
      </c>
      <c r="H3152" s="759">
        <f t="shared" si="197"/>
        <v>0.3</v>
      </c>
      <c r="I3152" s="758">
        <f t="shared" si="198"/>
        <v>5.15</v>
      </c>
      <c r="J3152" s="760">
        <f t="shared" si="199"/>
        <v>0.86554621848739499</v>
      </c>
    </row>
    <row r="3153" spans="1:10">
      <c r="A3153" s="74" t="s">
        <v>940</v>
      </c>
      <c r="B3153" s="74" t="s">
        <v>327</v>
      </c>
      <c r="C3153" s="74" t="s">
        <v>1507</v>
      </c>
      <c r="D3153" s="74" t="s">
        <v>86</v>
      </c>
      <c r="E3153" s="74">
        <v>1</v>
      </c>
      <c r="F3153" s="74">
        <v>5.95</v>
      </c>
      <c r="G3153" s="758">
        <f t="shared" si="196"/>
        <v>0.8</v>
      </c>
      <c r="H3153" s="759">
        <f t="shared" si="197"/>
        <v>0.3</v>
      </c>
      <c r="I3153" s="758">
        <f t="shared" si="198"/>
        <v>5.15</v>
      </c>
      <c r="J3153" s="760">
        <f t="shared" si="199"/>
        <v>0.86554621848739499</v>
      </c>
    </row>
    <row r="3154" spans="1:10">
      <c r="A3154" s="74" t="s">
        <v>940</v>
      </c>
      <c r="B3154" s="74" t="s">
        <v>327</v>
      </c>
      <c r="C3154" s="74" t="s">
        <v>1644</v>
      </c>
      <c r="D3154" s="74" t="s">
        <v>86</v>
      </c>
      <c r="E3154" s="74">
        <v>1</v>
      </c>
      <c r="F3154" s="74">
        <v>5.95</v>
      </c>
      <c r="G3154" s="758">
        <f t="shared" si="196"/>
        <v>0.8</v>
      </c>
      <c r="H3154" s="759">
        <f t="shared" si="197"/>
        <v>0.3</v>
      </c>
      <c r="I3154" s="758">
        <f t="shared" si="198"/>
        <v>5.15</v>
      </c>
      <c r="J3154" s="760">
        <f t="shared" si="199"/>
        <v>0.86554621848739499</v>
      </c>
    </row>
    <row r="3155" spans="1:10">
      <c r="A3155" s="74" t="s">
        <v>940</v>
      </c>
      <c r="B3155" s="74" t="s">
        <v>327</v>
      </c>
      <c r="C3155" s="74" t="s">
        <v>1605</v>
      </c>
      <c r="D3155" s="74" t="s">
        <v>87</v>
      </c>
      <c r="E3155" s="74">
        <v>1</v>
      </c>
      <c r="F3155" s="74">
        <v>5.95</v>
      </c>
      <c r="G3155" s="758">
        <f t="shared" si="196"/>
        <v>0.8</v>
      </c>
      <c r="H3155" s="759">
        <f t="shared" si="197"/>
        <v>0.3</v>
      </c>
      <c r="I3155" s="758">
        <f t="shared" si="198"/>
        <v>5.15</v>
      </c>
      <c r="J3155" s="760">
        <f t="shared" si="199"/>
        <v>0.86554621848739499</v>
      </c>
    </row>
    <row r="3156" spans="1:10">
      <c r="A3156" s="74" t="s">
        <v>940</v>
      </c>
      <c r="B3156" s="74" t="s">
        <v>327</v>
      </c>
      <c r="C3156" s="74" t="s">
        <v>1546</v>
      </c>
      <c r="D3156" s="74" t="s">
        <v>89</v>
      </c>
      <c r="E3156" s="74">
        <v>2</v>
      </c>
      <c r="F3156" s="74">
        <v>11.9</v>
      </c>
      <c r="G3156" s="758">
        <f t="shared" si="196"/>
        <v>0.8</v>
      </c>
      <c r="H3156" s="759">
        <f t="shared" si="197"/>
        <v>0.3</v>
      </c>
      <c r="I3156" s="758">
        <f t="shared" si="198"/>
        <v>5.15</v>
      </c>
      <c r="J3156" s="760">
        <f t="shared" si="199"/>
        <v>0.86554621848739499</v>
      </c>
    </row>
    <row r="3157" spans="1:10">
      <c r="A3157" s="74" t="s">
        <v>940</v>
      </c>
      <c r="B3157" s="74" t="s">
        <v>327</v>
      </c>
      <c r="C3157" s="74" t="s">
        <v>1550</v>
      </c>
      <c r="D3157" s="74" t="s">
        <v>91</v>
      </c>
      <c r="E3157" s="74">
        <v>2</v>
      </c>
      <c r="F3157" s="74">
        <v>11.9</v>
      </c>
      <c r="G3157" s="758">
        <f t="shared" si="196"/>
        <v>0.8</v>
      </c>
      <c r="H3157" s="759">
        <f t="shared" si="197"/>
        <v>0.3</v>
      </c>
      <c r="I3157" s="758">
        <f t="shared" si="198"/>
        <v>5.15</v>
      </c>
      <c r="J3157" s="760">
        <f t="shared" si="199"/>
        <v>0.86554621848739499</v>
      </c>
    </row>
    <row r="3158" spans="1:10">
      <c r="A3158" s="74" t="s">
        <v>940</v>
      </c>
      <c r="B3158" s="74" t="s">
        <v>327</v>
      </c>
      <c r="C3158" s="74" t="s">
        <v>1675</v>
      </c>
      <c r="D3158" s="74" t="s">
        <v>91</v>
      </c>
      <c r="E3158" s="74">
        <v>1</v>
      </c>
      <c r="F3158" s="74">
        <v>5.95</v>
      </c>
      <c r="G3158" s="758">
        <f t="shared" si="196"/>
        <v>0.8</v>
      </c>
      <c r="H3158" s="759">
        <f t="shared" si="197"/>
        <v>0.3</v>
      </c>
      <c r="I3158" s="758">
        <f t="shared" si="198"/>
        <v>5.15</v>
      </c>
      <c r="J3158" s="760">
        <f t="shared" si="199"/>
        <v>0.86554621848739499</v>
      </c>
    </row>
    <row r="3159" spans="1:10">
      <c r="A3159" s="74" t="s">
        <v>940</v>
      </c>
      <c r="B3159" s="74" t="s">
        <v>327</v>
      </c>
      <c r="C3159" s="74" t="s">
        <v>1524</v>
      </c>
      <c r="D3159" s="74" t="s">
        <v>91</v>
      </c>
      <c r="E3159" s="74">
        <v>1</v>
      </c>
      <c r="F3159" s="74">
        <v>5.95</v>
      </c>
      <c r="G3159" s="758">
        <f t="shared" si="196"/>
        <v>0.8</v>
      </c>
      <c r="H3159" s="759">
        <f t="shared" si="197"/>
        <v>0.3</v>
      </c>
      <c r="I3159" s="758">
        <f t="shared" si="198"/>
        <v>5.15</v>
      </c>
      <c r="J3159" s="760">
        <f t="shared" si="199"/>
        <v>0.86554621848739499</v>
      </c>
    </row>
    <row r="3160" spans="1:10">
      <c r="A3160" s="74" t="s">
        <v>940</v>
      </c>
      <c r="B3160" s="74" t="s">
        <v>327</v>
      </c>
      <c r="C3160" s="74" t="s">
        <v>1584</v>
      </c>
      <c r="D3160" s="74" t="s">
        <v>92</v>
      </c>
      <c r="E3160" s="74">
        <v>1</v>
      </c>
      <c r="F3160" s="74">
        <v>5.95</v>
      </c>
      <c r="G3160" s="758">
        <f t="shared" si="196"/>
        <v>0.8</v>
      </c>
      <c r="H3160" s="759">
        <f t="shared" si="197"/>
        <v>0.3</v>
      </c>
      <c r="I3160" s="758">
        <f t="shared" si="198"/>
        <v>5.15</v>
      </c>
      <c r="J3160" s="760">
        <f t="shared" si="199"/>
        <v>0.86554621848739499</v>
      </c>
    </row>
    <row r="3161" spans="1:10">
      <c r="A3161" s="74" t="s">
        <v>940</v>
      </c>
      <c r="B3161" s="74" t="s">
        <v>327</v>
      </c>
      <c r="C3161" s="74" t="s">
        <v>1614</v>
      </c>
      <c r="D3161" s="74" t="s">
        <v>92</v>
      </c>
      <c r="E3161" s="74">
        <v>1</v>
      </c>
      <c r="F3161" s="74">
        <v>5.95</v>
      </c>
      <c r="G3161" s="758">
        <f t="shared" si="196"/>
        <v>0.8</v>
      </c>
      <c r="H3161" s="759">
        <f t="shared" si="197"/>
        <v>0.3</v>
      </c>
      <c r="I3161" s="758">
        <f t="shared" si="198"/>
        <v>5.15</v>
      </c>
      <c r="J3161" s="760">
        <f t="shared" si="199"/>
        <v>0.86554621848739499</v>
      </c>
    </row>
    <row r="3162" spans="1:10">
      <c r="A3162" s="74" t="s">
        <v>940</v>
      </c>
      <c r="B3162" s="74" t="s">
        <v>327</v>
      </c>
      <c r="C3162" s="74" t="s">
        <v>1631</v>
      </c>
      <c r="D3162" s="74" t="s">
        <v>92</v>
      </c>
      <c r="E3162" s="74">
        <v>1</v>
      </c>
      <c r="F3162" s="74">
        <v>5.95</v>
      </c>
      <c r="G3162" s="758">
        <f t="shared" si="196"/>
        <v>0.8</v>
      </c>
      <c r="H3162" s="759">
        <f t="shared" si="197"/>
        <v>0.3</v>
      </c>
      <c r="I3162" s="758">
        <f t="shared" si="198"/>
        <v>5.15</v>
      </c>
      <c r="J3162" s="760">
        <f t="shared" si="199"/>
        <v>0.86554621848739499</v>
      </c>
    </row>
    <row r="3163" spans="1:10">
      <c r="A3163" s="74" t="s">
        <v>940</v>
      </c>
      <c r="B3163" s="74" t="s">
        <v>327</v>
      </c>
      <c r="C3163" s="74" t="s">
        <v>1552</v>
      </c>
      <c r="D3163" s="74" t="s">
        <v>92</v>
      </c>
      <c r="E3163" s="74">
        <v>1</v>
      </c>
      <c r="F3163" s="74">
        <v>5.95</v>
      </c>
      <c r="G3163" s="758">
        <f t="shared" si="196"/>
        <v>0.8</v>
      </c>
      <c r="H3163" s="759">
        <f t="shared" si="197"/>
        <v>0.3</v>
      </c>
      <c r="I3163" s="758">
        <f t="shared" si="198"/>
        <v>5.15</v>
      </c>
      <c r="J3163" s="760">
        <f t="shared" si="199"/>
        <v>0.86554621848739499</v>
      </c>
    </row>
    <row r="3164" spans="1:10">
      <c r="A3164" s="74" t="s">
        <v>940</v>
      </c>
      <c r="B3164" s="74" t="s">
        <v>327</v>
      </c>
      <c r="C3164" s="74" t="s">
        <v>1617</v>
      </c>
      <c r="D3164" s="74" t="s">
        <v>94</v>
      </c>
      <c r="E3164" s="74">
        <v>1</v>
      </c>
      <c r="F3164" s="74">
        <v>5.95</v>
      </c>
      <c r="G3164" s="758">
        <f t="shared" si="196"/>
        <v>0.8</v>
      </c>
      <c r="H3164" s="759">
        <f t="shared" si="197"/>
        <v>0.3</v>
      </c>
      <c r="I3164" s="758">
        <f t="shared" si="198"/>
        <v>5.15</v>
      </c>
      <c r="J3164" s="760">
        <f t="shared" si="199"/>
        <v>0.86554621848739499</v>
      </c>
    </row>
    <row r="3165" spans="1:10">
      <c r="A3165" s="74" t="s">
        <v>940</v>
      </c>
      <c r="B3165" s="74" t="s">
        <v>327</v>
      </c>
      <c r="C3165" s="74" t="s">
        <v>1553</v>
      </c>
      <c r="D3165" s="74" t="s">
        <v>94</v>
      </c>
      <c r="E3165" s="74">
        <v>1</v>
      </c>
      <c r="F3165" s="74">
        <v>5.95</v>
      </c>
      <c r="G3165" s="758">
        <f t="shared" si="196"/>
        <v>0.8</v>
      </c>
      <c r="H3165" s="759">
        <f t="shared" si="197"/>
        <v>0.3</v>
      </c>
      <c r="I3165" s="758">
        <f t="shared" si="198"/>
        <v>5.15</v>
      </c>
      <c r="J3165" s="760">
        <f t="shared" si="199"/>
        <v>0.86554621848739499</v>
      </c>
    </row>
    <row r="3166" spans="1:10">
      <c r="A3166" s="74" t="s">
        <v>940</v>
      </c>
      <c r="B3166" s="74" t="s">
        <v>327</v>
      </c>
      <c r="C3166" s="74" t="s">
        <v>1557</v>
      </c>
      <c r="D3166" s="74" t="s">
        <v>95</v>
      </c>
      <c r="E3166" s="74">
        <v>1</v>
      </c>
      <c r="F3166" s="74">
        <v>5.95</v>
      </c>
      <c r="G3166" s="758">
        <f t="shared" si="196"/>
        <v>0.8</v>
      </c>
      <c r="H3166" s="759">
        <f t="shared" si="197"/>
        <v>0.3</v>
      </c>
      <c r="I3166" s="758">
        <f t="shared" si="198"/>
        <v>5.15</v>
      </c>
      <c r="J3166" s="760">
        <f t="shared" si="199"/>
        <v>0.86554621848739499</v>
      </c>
    </row>
    <row r="3167" spans="1:10">
      <c r="A3167" s="74" t="s">
        <v>798</v>
      </c>
      <c r="B3167" s="74" t="s">
        <v>713</v>
      </c>
      <c r="C3167" s="74" t="s">
        <v>1511</v>
      </c>
      <c r="D3167" s="74" t="s">
        <v>80</v>
      </c>
      <c r="E3167" s="74">
        <v>3</v>
      </c>
      <c r="F3167" s="74">
        <v>16.23</v>
      </c>
      <c r="G3167" s="758">
        <f t="shared" si="196"/>
        <v>0</v>
      </c>
      <c r="H3167" s="759">
        <f t="shared" si="197"/>
        <v>0</v>
      </c>
      <c r="I3167" s="758">
        <f t="shared" si="198"/>
        <v>5.41</v>
      </c>
      <c r="J3167" s="760">
        <f t="shared" si="199"/>
        <v>1</v>
      </c>
    </row>
    <row r="3168" spans="1:10">
      <c r="A3168" s="74" t="s">
        <v>798</v>
      </c>
      <c r="B3168" s="74" t="s">
        <v>713</v>
      </c>
      <c r="C3168" s="74" t="s">
        <v>1512</v>
      </c>
      <c r="D3168" s="74" t="s">
        <v>80</v>
      </c>
      <c r="E3168" s="74">
        <v>3</v>
      </c>
      <c r="F3168" s="74">
        <v>16.23</v>
      </c>
      <c r="G3168" s="758">
        <f t="shared" si="196"/>
        <v>0</v>
      </c>
      <c r="H3168" s="759">
        <f t="shared" si="197"/>
        <v>0</v>
      </c>
      <c r="I3168" s="758">
        <f t="shared" si="198"/>
        <v>5.41</v>
      </c>
      <c r="J3168" s="760">
        <f t="shared" si="199"/>
        <v>1</v>
      </c>
    </row>
    <row r="3169" spans="1:10">
      <c r="A3169" s="74" t="s">
        <v>798</v>
      </c>
      <c r="B3169" s="74" t="s">
        <v>713</v>
      </c>
      <c r="C3169" s="74" t="s">
        <v>1513</v>
      </c>
      <c r="D3169" s="74" t="s">
        <v>81</v>
      </c>
      <c r="E3169" s="74">
        <v>6</v>
      </c>
      <c r="F3169" s="74">
        <v>32.450000000000003</v>
      </c>
      <c r="G3169" s="758">
        <f t="shared" si="196"/>
        <v>0</v>
      </c>
      <c r="H3169" s="759">
        <f t="shared" si="197"/>
        <v>0</v>
      </c>
      <c r="I3169" s="758">
        <f t="shared" si="198"/>
        <v>5.4083333333333341</v>
      </c>
      <c r="J3169" s="760">
        <f t="shared" si="199"/>
        <v>1</v>
      </c>
    </row>
    <row r="3170" spans="1:10">
      <c r="A3170" s="74" t="s">
        <v>798</v>
      </c>
      <c r="B3170" s="74" t="s">
        <v>713</v>
      </c>
      <c r="C3170" s="74" t="s">
        <v>1514</v>
      </c>
      <c r="D3170" s="74" t="s">
        <v>81</v>
      </c>
      <c r="E3170" s="74">
        <v>1</v>
      </c>
      <c r="F3170" s="74">
        <v>5.41</v>
      </c>
      <c r="G3170" s="758">
        <f t="shared" si="196"/>
        <v>0</v>
      </c>
      <c r="H3170" s="759">
        <f t="shared" si="197"/>
        <v>0</v>
      </c>
      <c r="I3170" s="758">
        <f t="shared" si="198"/>
        <v>5.41</v>
      </c>
      <c r="J3170" s="760">
        <f t="shared" si="199"/>
        <v>1</v>
      </c>
    </row>
    <row r="3171" spans="1:10">
      <c r="A3171" s="74" t="s">
        <v>798</v>
      </c>
      <c r="B3171" s="74" t="s">
        <v>713</v>
      </c>
      <c r="C3171" s="74" t="s">
        <v>1515</v>
      </c>
      <c r="D3171" s="74" t="s">
        <v>81</v>
      </c>
      <c r="E3171" s="74">
        <v>1</v>
      </c>
      <c r="F3171" s="74">
        <v>5.41</v>
      </c>
      <c r="G3171" s="758">
        <f t="shared" si="196"/>
        <v>0</v>
      </c>
      <c r="H3171" s="759">
        <f t="shared" si="197"/>
        <v>0</v>
      </c>
      <c r="I3171" s="758">
        <f t="shared" si="198"/>
        <v>5.41</v>
      </c>
      <c r="J3171" s="760">
        <f t="shared" si="199"/>
        <v>1</v>
      </c>
    </row>
    <row r="3172" spans="1:10">
      <c r="A3172" s="74" t="s">
        <v>2287</v>
      </c>
      <c r="B3172" s="74" t="s">
        <v>327</v>
      </c>
      <c r="C3172" s="74" t="s">
        <v>1541</v>
      </c>
      <c r="D3172" s="74" t="s">
        <v>86</v>
      </c>
      <c r="E3172" s="74">
        <v>1</v>
      </c>
      <c r="F3172" s="74">
        <v>4.9000000000000004</v>
      </c>
      <c r="G3172" s="758">
        <f t="shared" si="196"/>
        <v>0</v>
      </c>
      <c r="H3172" s="759">
        <f t="shared" si="197"/>
        <v>0</v>
      </c>
      <c r="I3172" s="758">
        <f t="shared" si="198"/>
        <v>4.9000000000000004</v>
      </c>
      <c r="J3172" s="760">
        <f t="shared" si="199"/>
        <v>1</v>
      </c>
    </row>
    <row r="3173" spans="1:10">
      <c r="A3173" s="74" t="s">
        <v>821</v>
      </c>
      <c r="B3173" s="74" t="s">
        <v>730</v>
      </c>
      <c r="C3173" s="74" t="s">
        <v>1513</v>
      </c>
      <c r="D3173" s="74" t="s">
        <v>81</v>
      </c>
      <c r="E3173" s="74">
        <v>2</v>
      </c>
      <c r="F3173" s="74">
        <v>8.82</v>
      </c>
      <c r="G3173" s="758">
        <f t="shared" si="196"/>
        <v>1.17</v>
      </c>
      <c r="H3173" s="759">
        <f t="shared" si="197"/>
        <v>0.34</v>
      </c>
      <c r="I3173" s="758">
        <f t="shared" si="198"/>
        <v>3.24</v>
      </c>
      <c r="J3173" s="760">
        <f t="shared" si="199"/>
        <v>0.73469387755102045</v>
      </c>
    </row>
    <row r="3174" spans="1:10">
      <c r="A3174" s="74" t="s">
        <v>1844</v>
      </c>
      <c r="B3174" s="74" t="s">
        <v>327</v>
      </c>
      <c r="C3174" s="74" t="s">
        <v>1553</v>
      </c>
      <c r="D3174" s="74" t="s">
        <v>94</v>
      </c>
      <c r="E3174" s="74">
        <v>1</v>
      </c>
      <c r="F3174" s="74">
        <v>4.5999999999999996</v>
      </c>
      <c r="G3174" s="758">
        <f t="shared" si="196"/>
        <v>0</v>
      </c>
      <c r="H3174" s="759">
        <f t="shared" si="197"/>
        <v>0</v>
      </c>
      <c r="I3174" s="758">
        <f t="shared" si="198"/>
        <v>4.5999999999999996</v>
      </c>
      <c r="J3174" s="760">
        <f t="shared" si="199"/>
        <v>1</v>
      </c>
    </row>
    <row r="3175" spans="1:10">
      <c r="A3175" s="74" t="s">
        <v>729</v>
      </c>
      <c r="B3175" s="74" t="s">
        <v>730</v>
      </c>
      <c r="C3175" s="74" t="s">
        <v>1528</v>
      </c>
      <c r="D3175" s="74" t="s">
        <v>78</v>
      </c>
      <c r="E3175" s="74">
        <v>1</v>
      </c>
      <c r="F3175" s="74">
        <v>10.77</v>
      </c>
      <c r="G3175" s="758">
        <f t="shared" si="196"/>
        <v>0</v>
      </c>
      <c r="H3175" s="759">
        <f t="shared" si="197"/>
        <v>0</v>
      </c>
      <c r="I3175" s="758">
        <f t="shared" si="198"/>
        <v>10.77</v>
      </c>
      <c r="J3175" s="760">
        <f t="shared" si="199"/>
        <v>1</v>
      </c>
    </row>
    <row r="3176" spans="1:10">
      <c r="A3176" s="74" t="s">
        <v>729</v>
      </c>
      <c r="B3176" s="74" t="s">
        <v>730</v>
      </c>
      <c r="C3176" s="74" t="s">
        <v>1565</v>
      </c>
      <c r="D3176" s="74" t="s">
        <v>78</v>
      </c>
      <c r="E3176" s="74">
        <v>1</v>
      </c>
      <c r="F3176" s="74">
        <v>10.77</v>
      </c>
      <c r="G3176" s="758">
        <f t="shared" si="196"/>
        <v>0</v>
      </c>
      <c r="H3176" s="759">
        <f t="shared" si="197"/>
        <v>0</v>
      </c>
      <c r="I3176" s="758">
        <f t="shared" si="198"/>
        <v>10.77</v>
      </c>
      <c r="J3176" s="760">
        <f t="shared" si="199"/>
        <v>1</v>
      </c>
    </row>
    <row r="3177" spans="1:10">
      <c r="A3177" s="74" t="s">
        <v>774</v>
      </c>
      <c r="B3177" s="74" t="s">
        <v>730</v>
      </c>
      <c r="C3177" s="74" t="s">
        <v>1565</v>
      </c>
      <c r="D3177" s="74" t="s">
        <v>78</v>
      </c>
      <c r="E3177" s="74">
        <v>1</v>
      </c>
      <c r="F3177" s="74">
        <v>4.91</v>
      </c>
      <c r="G3177" s="758">
        <f t="shared" si="196"/>
        <v>0</v>
      </c>
      <c r="H3177" s="759">
        <f t="shared" si="197"/>
        <v>0</v>
      </c>
      <c r="I3177" s="758">
        <f t="shared" si="198"/>
        <v>4.91</v>
      </c>
      <c r="J3177" s="760">
        <f t="shared" si="199"/>
        <v>1</v>
      </c>
    </row>
    <row r="3178" spans="1:10">
      <c r="A3178" s="74" t="s">
        <v>774</v>
      </c>
      <c r="B3178" s="74" t="s">
        <v>730</v>
      </c>
      <c r="C3178" s="74" t="s">
        <v>1530</v>
      </c>
      <c r="D3178" s="74" t="s">
        <v>80</v>
      </c>
      <c r="E3178" s="74">
        <v>2</v>
      </c>
      <c r="F3178" s="74">
        <v>9.82</v>
      </c>
      <c r="G3178" s="758">
        <f t="shared" si="196"/>
        <v>0</v>
      </c>
      <c r="H3178" s="759">
        <f t="shared" si="197"/>
        <v>0</v>
      </c>
      <c r="I3178" s="758">
        <f t="shared" si="198"/>
        <v>4.91</v>
      </c>
      <c r="J3178" s="760">
        <f t="shared" si="199"/>
        <v>1</v>
      </c>
    </row>
    <row r="3179" spans="1:10">
      <c r="A3179" s="74" t="s">
        <v>774</v>
      </c>
      <c r="B3179" s="74" t="s">
        <v>730</v>
      </c>
      <c r="C3179" s="74" t="s">
        <v>1532</v>
      </c>
      <c r="D3179" s="74" t="s">
        <v>80</v>
      </c>
      <c r="E3179" s="74">
        <v>2</v>
      </c>
      <c r="F3179" s="74">
        <v>9.82</v>
      </c>
      <c r="G3179" s="758">
        <f t="shared" si="196"/>
        <v>0</v>
      </c>
      <c r="H3179" s="759">
        <f t="shared" si="197"/>
        <v>0</v>
      </c>
      <c r="I3179" s="758">
        <f t="shared" si="198"/>
        <v>4.91</v>
      </c>
      <c r="J3179" s="760">
        <f t="shared" si="199"/>
        <v>1</v>
      </c>
    </row>
    <row r="3180" spans="1:10">
      <c r="A3180" s="74" t="s">
        <v>774</v>
      </c>
      <c r="B3180" s="74" t="s">
        <v>730</v>
      </c>
      <c r="C3180" s="74" t="s">
        <v>1515</v>
      </c>
      <c r="D3180" s="74" t="s">
        <v>81</v>
      </c>
      <c r="E3180" s="74">
        <v>1</v>
      </c>
      <c r="F3180" s="74">
        <v>4.91</v>
      </c>
      <c r="G3180" s="758">
        <f t="shared" si="196"/>
        <v>0</v>
      </c>
      <c r="H3180" s="759">
        <f t="shared" si="197"/>
        <v>0</v>
      </c>
      <c r="I3180" s="758">
        <f t="shared" si="198"/>
        <v>4.91</v>
      </c>
      <c r="J3180" s="760">
        <f t="shared" si="199"/>
        <v>1</v>
      </c>
    </row>
    <row r="3181" spans="1:10">
      <c r="A3181" s="74" t="s">
        <v>818</v>
      </c>
      <c r="B3181" s="74" t="s">
        <v>713</v>
      </c>
      <c r="C3181" s="74" t="s">
        <v>1513</v>
      </c>
      <c r="D3181" s="74" t="s">
        <v>81</v>
      </c>
      <c r="E3181" s="74">
        <v>2</v>
      </c>
      <c r="F3181" s="74">
        <v>8.91</v>
      </c>
      <c r="G3181" s="758">
        <f t="shared" si="196"/>
        <v>0</v>
      </c>
      <c r="H3181" s="759">
        <f t="shared" si="197"/>
        <v>0</v>
      </c>
      <c r="I3181" s="758">
        <f t="shared" si="198"/>
        <v>4.4550000000000001</v>
      </c>
      <c r="J3181" s="760">
        <f t="shared" si="199"/>
        <v>1</v>
      </c>
    </row>
    <row r="3182" spans="1:10">
      <c r="A3182" s="74" t="s">
        <v>1845</v>
      </c>
      <c r="B3182" s="74" t="s">
        <v>327</v>
      </c>
      <c r="C3182" s="74" t="s">
        <v>1512</v>
      </c>
      <c r="D3182" s="74" t="s">
        <v>80</v>
      </c>
      <c r="E3182" s="74">
        <v>1</v>
      </c>
      <c r="F3182" s="74">
        <v>7</v>
      </c>
      <c r="G3182" s="758">
        <f t="shared" si="196"/>
        <v>1.46</v>
      </c>
      <c r="H3182" s="759">
        <f t="shared" si="197"/>
        <v>0.23</v>
      </c>
      <c r="I3182" s="758">
        <f t="shared" si="198"/>
        <v>5.54</v>
      </c>
      <c r="J3182" s="760">
        <f t="shared" si="199"/>
        <v>0.79142857142857137</v>
      </c>
    </row>
    <row r="3183" spans="1:10">
      <c r="A3183" s="74" t="s">
        <v>1023</v>
      </c>
      <c r="B3183" s="74" t="s">
        <v>877</v>
      </c>
      <c r="C3183" s="74" t="s">
        <v>1675</v>
      </c>
      <c r="D3183" s="74" t="s">
        <v>91</v>
      </c>
      <c r="E3183" s="74">
        <v>7</v>
      </c>
      <c r="F3183" s="74">
        <v>0</v>
      </c>
      <c r="G3183" s="758">
        <f t="shared" si="196"/>
        <v>0</v>
      </c>
      <c r="H3183" s="759">
        <f t="shared" si="197"/>
        <v>0</v>
      </c>
      <c r="I3183" s="758">
        <f t="shared" si="198"/>
        <v>0</v>
      </c>
      <c r="J3183" s="760">
        <f t="shared" si="199"/>
        <v>0</v>
      </c>
    </row>
    <row r="3184" spans="1:10">
      <c r="A3184" s="74" t="s">
        <v>1846</v>
      </c>
      <c r="B3184" s="74" t="s">
        <v>877</v>
      </c>
      <c r="C3184" s="74" t="s">
        <v>1517</v>
      </c>
      <c r="D3184" s="74" t="s">
        <v>82</v>
      </c>
      <c r="E3184" s="74">
        <v>3</v>
      </c>
      <c r="F3184" s="74">
        <v>0</v>
      </c>
      <c r="G3184" s="758">
        <f t="shared" si="196"/>
        <v>0</v>
      </c>
      <c r="H3184" s="759">
        <f t="shared" si="197"/>
        <v>0.25</v>
      </c>
      <c r="I3184" s="758">
        <f t="shared" si="198"/>
        <v>0</v>
      </c>
      <c r="J3184" s="760">
        <f t="shared" si="199"/>
        <v>0</v>
      </c>
    </row>
    <row r="3185" spans="1:10">
      <c r="A3185" s="74" t="s">
        <v>1847</v>
      </c>
      <c r="B3185" s="74" t="s">
        <v>877</v>
      </c>
      <c r="C3185" s="74" t="s">
        <v>1561</v>
      </c>
      <c r="D3185" s="74" t="s">
        <v>87</v>
      </c>
      <c r="E3185" s="74">
        <v>11</v>
      </c>
      <c r="F3185" s="74">
        <v>0</v>
      </c>
      <c r="G3185" s="758">
        <f t="shared" si="196"/>
        <v>0</v>
      </c>
      <c r="H3185" s="759">
        <f t="shared" si="197"/>
        <v>0</v>
      </c>
      <c r="I3185" s="758">
        <f t="shared" si="198"/>
        <v>0</v>
      </c>
      <c r="J3185" s="760">
        <f t="shared" si="199"/>
        <v>0</v>
      </c>
    </row>
    <row r="3186" spans="1:10">
      <c r="A3186" s="74" t="s">
        <v>732</v>
      </c>
      <c r="B3186" s="74" t="s">
        <v>695</v>
      </c>
      <c r="C3186" s="74" t="s">
        <v>1528</v>
      </c>
      <c r="D3186" s="74" t="s">
        <v>78</v>
      </c>
      <c r="E3186" s="74">
        <v>1</v>
      </c>
      <c r="F3186" s="74">
        <v>8.09</v>
      </c>
      <c r="G3186" s="758">
        <f t="shared" si="196"/>
        <v>0</v>
      </c>
      <c r="H3186" s="759">
        <f t="shared" si="197"/>
        <v>0</v>
      </c>
      <c r="I3186" s="758">
        <f t="shared" si="198"/>
        <v>8.09</v>
      </c>
      <c r="J3186" s="760">
        <f t="shared" si="199"/>
        <v>1</v>
      </c>
    </row>
    <row r="3187" spans="1:10">
      <c r="A3187" s="74" t="s">
        <v>732</v>
      </c>
      <c r="B3187" s="74" t="s">
        <v>695</v>
      </c>
      <c r="C3187" s="74" t="s">
        <v>1514</v>
      </c>
      <c r="D3187" s="74" t="s">
        <v>81</v>
      </c>
      <c r="E3187" s="74">
        <v>1</v>
      </c>
      <c r="F3187" s="74">
        <v>8.09</v>
      </c>
      <c r="G3187" s="758">
        <f t="shared" si="196"/>
        <v>0</v>
      </c>
      <c r="H3187" s="759">
        <f t="shared" si="197"/>
        <v>0</v>
      </c>
      <c r="I3187" s="758">
        <f t="shared" si="198"/>
        <v>8.09</v>
      </c>
      <c r="J3187" s="760">
        <f t="shared" si="199"/>
        <v>1</v>
      </c>
    </row>
    <row r="3188" spans="1:10">
      <c r="A3188" s="74" t="s">
        <v>732</v>
      </c>
      <c r="B3188" s="74" t="s">
        <v>695</v>
      </c>
      <c r="C3188" s="74" t="s">
        <v>1605</v>
      </c>
      <c r="D3188" s="74" t="s">
        <v>87</v>
      </c>
      <c r="E3188" s="74">
        <v>1</v>
      </c>
      <c r="F3188" s="74">
        <v>6.9</v>
      </c>
      <c r="G3188" s="758">
        <f t="shared" si="196"/>
        <v>0</v>
      </c>
      <c r="H3188" s="759">
        <f t="shared" si="197"/>
        <v>0</v>
      </c>
      <c r="I3188" s="758">
        <f t="shared" si="198"/>
        <v>6.9</v>
      </c>
      <c r="J3188" s="760">
        <f t="shared" si="199"/>
        <v>1</v>
      </c>
    </row>
    <row r="3189" spans="1:10">
      <c r="A3189" s="74" t="s">
        <v>1848</v>
      </c>
      <c r="B3189" s="74" t="s">
        <v>321</v>
      </c>
      <c r="C3189" s="74" t="s">
        <v>1608</v>
      </c>
      <c r="D3189" s="74" t="s">
        <v>89</v>
      </c>
      <c r="E3189" s="74">
        <v>1</v>
      </c>
      <c r="F3189" s="74">
        <v>5.52</v>
      </c>
      <c r="G3189" s="758">
        <f t="shared" si="196"/>
        <v>0</v>
      </c>
      <c r="H3189" s="759">
        <f t="shared" si="197"/>
        <v>0</v>
      </c>
      <c r="I3189" s="758">
        <f t="shared" si="198"/>
        <v>5.52</v>
      </c>
      <c r="J3189" s="760">
        <f t="shared" si="199"/>
        <v>1</v>
      </c>
    </row>
    <row r="3190" spans="1:10">
      <c r="A3190" s="74" t="s">
        <v>1849</v>
      </c>
      <c r="B3190" s="74" t="s">
        <v>894</v>
      </c>
      <c r="C3190" s="74" t="s">
        <v>1546</v>
      </c>
      <c r="D3190" s="74" t="s">
        <v>89</v>
      </c>
      <c r="E3190" s="74">
        <v>1</v>
      </c>
      <c r="F3190" s="74">
        <v>7.1</v>
      </c>
      <c r="G3190" s="758">
        <f t="shared" si="196"/>
        <v>0</v>
      </c>
      <c r="H3190" s="759">
        <f t="shared" si="197"/>
        <v>0</v>
      </c>
      <c r="I3190" s="758">
        <f t="shared" si="198"/>
        <v>7.1</v>
      </c>
      <c r="J3190" s="760">
        <f t="shared" si="199"/>
        <v>1</v>
      </c>
    </row>
    <row r="3191" spans="1:10">
      <c r="A3191" s="74" t="s">
        <v>946</v>
      </c>
      <c r="B3191" s="74" t="s">
        <v>894</v>
      </c>
      <c r="C3191" s="74" t="s">
        <v>1509</v>
      </c>
      <c r="D3191" s="74" t="s">
        <v>78</v>
      </c>
      <c r="E3191" s="74">
        <v>1</v>
      </c>
      <c r="F3191" s="74">
        <v>8.4499999999999993</v>
      </c>
      <c r="G3191" s="758">
        <f t="shared" si="196"/>
        <v>0.74</v>
      </c>
      <c r="H3191" s="759">
        <f t="shared" si="197"/>
        <v>0.24</v>
      </c>
      <c r="I3191" s="758">
        <f t="shared" si="198"/>
        <v>7.7099999999999991</v>
      </c>
      <c r="J3191" s="760">
        <f t="shared" si="199"/>
        <v>0.91242603550295853</v>
      </c>
    </row>
    <row r="3192" spans="1:10">
      <c r="A3192" s="74" t="s">
        <v>946</v>
      </c>
      <c r="B3192" s="74" t="s">
        <v>894</v>
      </c>
      <c r="C3192" s="74" t="s">
        <v>1565</v>
      </c>
      <c r="D3192" s="74" t="s">
        <v>78</v>
      </c>
      <c r="E3192" s="74">
        <v>2</v>
      </c>
      <c r="F3192" s="74">
        <v>16.899999999999999</v>
      </c>
      <c r="G3192" s="758">
        <f t="shared" si="196"/>
        <v>0.74</v>
      </c>
      <c r="H3192" s="759">
        <f t="shared" si="197"/>
        <v>0.24</v>
      </c>
      <c r="I3192" s="758">
        <f t="shared" si="198"/>
        <v>7.7099999999999991</v>
      </c>
      <c r="J3192" s="760">
        <f t="shared" si="199"/>
        <v>0.91242603550295853</v>
      </c>
    </row>
    <row r="3193" spans="1:10">
      <c r="A3193" s="74" t="s">
        <v>946</v>
      </c>
      <c r="B3193" s="74" t="s">
        <v>894</v>
      </c>
      <c r="C3193" s="74" t="s">
        <v>1530</v>
      </c>
      <c r="D3193" s="74" t="s">
        <v>80</v>
      </c>
      <c r="E3193" s="74">
        <v>1</v>
      </c>
      <c r="F3193" s="74">
        <v>8.4499999999999993</v>
      </c>
      <c r="G3193" s="758">
        <f t="shared" si="196"/>
        <v>0.74</v>
      </c>
      <c r="H3193" s="759">
        <f t="shared" si="197"/>
        <v>0.24</v>
      </c>
      <c r="I3193" s="758">
        <f t="shared" si="198"/>
        <v>7.7099999999999991</v>
      </c>
      <c r="J3193" s="760">
        <f t="shared" si="199"/>
        <v>0.91242603550295853</v>
      </c>
    </row>
    <row r="3194" spans="1:10">
      <c r="A3194" s="74" t="s">
        <v>946</v>
      </c>
      <c r="B3194" s="74" t="s">
        <v>894</v>
      </c>
      <c r="C3194" s="74" t="s">
        <v>1532</v>
      </c>
      <c r="D3194" s="74" t="s">
        <v>80</v>
      </c>
      <c r="E3194" s="74">
        <v>1</v>
      </c>
      <c r="F3194" s="74">
        <v>8.4499999999999993</v>
      </c>
      <c r="G3194" s="758">
        <f t="shared" si="196"/>
        <v>0.74</v>
      </c>
      <c r="H3194" s="759">
        <f t="shared" si="197"/>
        <v>0.24</v>
      </c>
      <c r="I3194" s="758">
        <f t="shared" si="198"/>
        <v>7.7099999999999991</v>
      </c>
      <c r="J3194" s="760">
        <f t="shared" si="199"/>
        <v>0.91242603550295853</v>
      </c>
    </row>
    <row r="3195" spans="1:10">
      <c r="A3195" s="74" t="s">
        <v>946</v>
      </c>
      <c r="B3195" s="74" t="s">
        <v>894</v>
      </c>
      <c r="C3195" s="74" t="s">
        <v>1511</v>
      </c>
      <c r="D3195" s="74" t="s">
        <v>80</v>
      </c>
      <c r="E3195" s="74">
        <v>1</v>
      </c>
      <c r="F3195" s="74">
        <v>8.4499999999999993</v>
      </c>
      <c r="G3195" s="758">
        <f t="shared" si="196"/>
        <v>0.74</v>
      </c>
      <c r="H3195" s="759">
        <f t="shared" si="197"/>
        <v>0.24</v>
      </c>
      <c r="I3195" s="758">
        <f t="shared" si="198"/>
        <v>7.7099999999999991</v>
      </c>
      <c r="J3195" s="760">
        <f t="shared" si="199"/>
        <v>0.91242603550295853</v>
      </c>
    </row>
    <row r="3196" spans="1:10">
      <c r="A3196" s="74" t="s">
        <v>946</v>
      </c>
      <c r="B3196" s="74" t="s">
        <v>894</v>
      </c>
      <c r="C3196" s="74" t="s">
        <v>1534</v>
      </c>
      <c r="D3196" s="74" t="s">
        <v>81</v>
      </c>
      <c r="E3196" s="74">
        <v>5</v>
      </c>
      <c r="F3196" s="74">
        <v>42.25</v>
      </c>
      <c r="G3196" s="758">
        <f t="shared" si="196"/>
        <v>0.74</v>
      </c>
      <c r="H3196" s="759">
        <f t="shared" si="197"/>
        <v>0.24</v>
      </c>
      <c r="I3196" s="758">
        <f t="shared" si="198"/>
        <v>7.7099999999999991</v>
      </c>
      <c r="J3196" s="760">
        <f t="shared" si="199"/>
        <v>0.91242603550295853</v>
      </c>
    </row>
    <row r="3197" spans="1:10">
      <c r="A3197" s="74" t="s">
        <v>946</v>
      </c>
      <c r="B3197" s="74" t="s">
        <v>894</v>
      </c>
      <c r="C3197" s="74" t="s">
        <v>1513</v>
      </c>
      <c r="D3197" s="74" t="s">
        <v>81</v>
      </c>
      <c r="E3197" s="74">
        <v>1</v>
      </c>
      <c r="F3197" s="74">
        <v>8.4499999999999993</v>
      </c>
      <c r="G3197" s="758">
        <f t="shared" si="196"/>
        <v>0.74</v>
      </c>
      <c r="H3197" s="759">
        <f t="shared" si="197"/>
        <v>0.24</v>
      </c>
      <c r="I3197" s="758">
        <f t="shared" si="198"/>
        <v>7.7099999999999991</v>
      </c>
      <c r="J3197" s="760">
        <f t="shared" si="199"/>
        <v>0.91242603550295853</v>
      </c>
    </row>
    <row r="3198" spans="1:10">
      <c r="A3198" s="74" t="s">
        <v>946</v>
      </c>
      <c r="B3198" s="74" t="s">
        <v>894</v>
      </c>
      <c r="C3198" s="74" t="s">
        <v>1514</v>
      </c>
      <c r="D3198" s="74" t="s">
        <v>81</v>
      </c>
      <c r="E3198" s="74">
        <v>3</v>
      </c>
      <c r="F3198" s="74">
        <v>25.35</v>
      </c>
      <c r="G3198" s="758">
        <f t="shared" si="196"/>
        <v>0.74</v>
      </c>
      <c r="H3198" s="759">
        <f t="shared" si="197"/>
        <v>0.24</v>
      </c>
      <c r="I3198" s="758">
        <f t="shared" si="198"/>
        <v>7.7100000000000009</v>
      </c>
      <c r="J3198" s="760">
        <f t="shared" si="199"/>
        <v>0.91242603550295853</v>
      </c>
    </row>
    <row r="3199" spans="1:10">
      <c r="A3199" s="74" t="s">
        <v>946</v>
      </c>
      <c r="B3199" s="74" t="s">
        <v>894</v>
      </c>
      <c r="C3199" s="74" t="s">
        <v>1515</v>
      </c>
      <c r="D3199" s="74" t="s">
        <v>81</v>
      </c>
      <c r="E3199" s="74">
        <v>3</v>
      </c>
      <c r="F3199" s="74">
        <v>25.35</v>
      </c>
      <c r="G3199" s="758">
        <f t="shared" si="196"/>
        <v>0.74</v>
      </c>
      <c r="H3199" s="759">
        <f t="shared" si="197"/>
        <v>0.24</v>
      </c>
      <c r="I3199" s="758">
        <f t="shared" si="198"/>
        <v>7.7100000000000009</v>
      </c>
      <c r="J3199" s="760">
        <f t="shared" si="199"/>
        <v>0.91242603550295853</v>
      </c>
    </row>
    <row r="3200" spans="1:10">
      <c r="A3200" s="74" t="s">
        <v>946</v>
      </c>
      <c r="B3200" s="74" t="s">
        <v>894</v>
      </c>
      <c r="C3200" s="74" t="s">
        <v>1516</v>
      </c>
      <c r="D3200" s="74" t="s">
        <v>82</v>
      </c>
      <c r="E3200" s="74">
        <v>1</v>
      </c>
      <c r="F3200" s="74">
        <v>9.4499999999999993</v>
      </c>
      <c r="G3200" s="758">
        <f t="shared" si="196"/>
        <v>0.74</v>
      </c>
      <c r="H3200" s="759">
        <f t="shared" si="197"/>
        <v>0.24</v>
      </c>
      <c r="I3200" s="758">
        <f t="shared" si="198"/>
        <v>8.7099999999999991</v>
      </c>
      <c r="J3200" s="760">
        <f t="shared" si="199"/>
        <v>0.92169312169312168</v>
      </c>
    </row>
    <row r="3201" spans="1:10">
      <c r="A3201" s="74" t="s">
        <v>946</v>
      </c>
      <c r="B3201" s="74" t="s">
        <v>894</v>
      </c>
      <c r="C3201" s="74" t="s">
        <v>1517</v>
      </c>
      <c r="D3201" s="74" t="s">
        <v>82</v>
      </c>
      <c r="E3201" s="74">
        <v>3</v>
      </c>
      <c r="F3201" s="74">
        <v>25.35</v>
      </c>
      <c r="G3201" s="758">
        <f t="shared" si="196"/>
        <v>0.74</v>
      </c>
      <c r="H3201" s="759">
        <f t="shared" si="197"/>
        <v>0.24</v>
      </c>
      <c r="I3201" s="758">
        <f t="shared" si="198"/>
        <v>7.7100000000000009</v>
      </c>
      <c r="J3201" s="760">
        <f t="shared" si="199"/>
        <v>0.91242603550295853</v>
      </c>
    </row>
    <row r="3202" spans="1:10">
      <c r="A3202" s="74" t="s">
        <v>946</v>
      </c>
      <c r="B3202" s="74" t="s">
        <v>894</v>
      </c>
      <c r="C3202" s="74" t="s">
        <v>1527</v>
      </c>
      <c r="D3202" s="74" t="s">
        <v>82</v>
      </c>
      <c r="E3202" s="74">
        <v>4</v>
      </c>
      <c r="F3202" s="74">
        <v>33.799999999999997</v>
      </c>
      <c r="G3202" s="758">
        <f t="shared" ref="G3202:G3265" si="200">IFERROR(VLOOKUP(A3202,$M$1:$P$1014,2,FALSE),0)</f>
        <v>0.74</v>
      </c>
      <c r="H3202" s="759">
        <f t="shared" ref="H3202:H3265" si="201">IFERROR(VLOOKUP(A3202,$M$1:$P$1014,3,FALSE),0)</f>
        <v>0.24</v>
      </c>
      <c r="I3202" s="758">
        <f t="shared" ref="I3202:I3265" si="202">IFERROR(F3202/E3202-G3202,0)</f>
        <v>7.7099999999999991</v>
      </c>
      <c r="J3202" s="760">
        <f t="shared" ref="J3202:J3265" si="203">IFERROR(1-G3202*E3202/F3202,0)</f>
        <v>0.91242603550295853</v>
      </c>
    </row>
    <row r="3203" spans="1:10">
      <c r="A3203" s="74" t="s">
        <v>946</v>
      </c>
      <c r="B3203" s="74" t="s">
        <v>894</v>
      </c>
      <c r="C3203" s="74" t="s">
        <v>1518</v>
      </c>
      <c r="D3203" s="74" t="s">
        <v>82</v>
      </c>
      <c r="E3203" s="74">
        <v>3</v>
      </c>
      <c r="F3203" s="74">
        <v>25.35</v>
      </c>
      <c r="G3203" s="758">
        <f t="shared" si="200"/>
        <v>0.74</v>
      </c>
      <c r="H3203" s="759">
        <f t="shared" si="201"/>
        <v>0.24</v>
      </c>
      <c r="I3203" s="758">
        <f t="shared" si="202"/>
        <v>7.7100000000000009</v>
      </c>
      <c r="J3203" s="760">
        <f t="shared" si="203"/>
        <v>0.91242603550295853</v>
      </c>
    </row>
    <row r="3204" spans="1:10">
      <c r="A3204" s="74" t="s">
        <v>946</v>
      </c>
      <c r="B3204" s="74" t="s">
        <v>894</v>
      </c>
      <c r="C3204" s="74" t="s">
        <v>1519</v>
      </c>
      <c r="D3204" s="74" t="s">
        <v>84</v>
      </c>
      <c r="E3204" s="74">
        <v>1</v>
      </c>
      <c r="F3204" s="74">
        <v>8.4499999999999993</v>
      </c>
      <c r="G3204" s="758">
        <f t="shared" si="200"/>
        <v>0.74</v>
      </c>
      <c r="H3204" s="759">
        <f t="shared" si="201"/>
        <v>0.24</v>
      </c>
      <c r="I3204" s="758">
        <f t="shared" si="202"/>
        <v>7.7099999999999991</v>
      </c>
      <c r="J3204" s="760">
        <f t="shared" si="203"/>
        <v>0.91242603550295853</v>
      </c>
    </row>
    <row r="3205" spans="1:10">
      <c r="A3205" s="74" t="s">
        <v>946</v>
      </c>
      <c r="B3205" s="74" t="s">
        <v>894</v>
      </c>
      <c r="C3205" s="74" t="s">
        <v>1644</v>
      </c>
      <c r="D3205" s="74" t="s">
        <v>86</v>
      </c>
      <c r="E3205" s="74">
        <v>1</v>
      </c>
      <c r="F3205" s="74">
        <v>8.4499999999999993</v>
      </c>
      <c r="G3205" s="758">
        <f t="shared" si="200"/>
        <v>0.74</v>
      </c>
      <c r="H3205" s="759">
        <f t="shared" si="201"/>
        <v>0.24</v>
      </c>
      <c r="I3205" s="758">
        <f t="shared" si="202"/>
        <v>7.7099999999999991</v>
      </c>
      <c r="J3205" s="760">
        <f t="shared" si="203"/>
        <v>0.91242603550295853</v>
      </c>
    </row>
    <row r="3206" spans="1:10">
      <c r="A3206" s="74" t="s">
        <v>946</v>
      </c>
      <c r="B3206" s="74" t="s">
        <v>894</v>
      </c>
      <c r="C3206" s="74" t="s">
        <v>1646</v>
      </c>
      <c r="D3206" s="74" t="s">
        <v>86</v>
      </c>
      <c r="E3206" s="74">
        <v>7</v>
      </c>
      <c r="F3206" s="74">
        <v>59.15</v>
      </c>
      <c r="G3206" s="758">
        <f t="shared" si="200"/>
        <v>0.74</v>
      </c>
      <c r="H3206" s="759">
        <f t="shared" si="201"/>
        <v>0.24</v>
      </c>
      <c r="I3206" s="758">
        <f t="shared" si="202"/>
        <v>7.7099999999999991</v>
      </c>
      <c r="J3206" s="760">
        <f t="shared" si="203"/>
        <v>0.91242603550295853</v>
      </c>
    </row>
    <row r="3207" spans="1:10">
      <c r="A3207" s="74" t="s">
        <v>946</v>
      </c>
      <c r="B3207" s="74" t="s">
        <v>894</v>
      </c>
      <c r="C3207" s="74" t="s">
        <v>1544</v>
      </c>
      <c r="D3207" s="74" t="s">
        <v>87</v>
      </c>
      <c r="E3207" s="74">
        <v>2</v>
      </c>
      <c r="F3207" s="74">
        <v>12.8</v>
      </c>
      <c r="G3207" s="758">
        <f t="shared" si="200"/>
        <v>0.74</v>
      </c>
      <c r="H3207" s="759">
        <f t="shared" si="201"/>
        <v>0.24</v>
      </c>
      <c r="I3207" s="758">
        <f t="shared" si="202"/>
        <v>5.66</v>
      </c>
      <c r="J3207" s="760">
        <f t="shared" si="203"/>
        <v>0.88437500000000002</v>
      </c>
    </row>
    <row r="3208" spans="1:10">
      <c r="A3208" s="74" t="s">
        <v>946</v>
      </c>
      <c r="B3208" s="74" t="s">
        <v>894</v>
      </c>
      <c r="C3208" s="74" t="s">
        <v>1561</v>
      </c>
      <c r="D3208" s="74" t="s">
        <v>87</v>
      </c>
      <c r="E3208" s="74">
        <v>1</v>
      </c>
      <c r="F3208" s="74">
        <v>6.4</v>
      </c>
      <c r="G3208" s="758">
        <f t="shared" si="200"/>
        <v>0.74</v>
      </c>
      <c r="H3208" s="759">
        <f t="shared" si="201"/>
        <v>0.24</v>
      </c>
      <c r="I3208" s="758">
        <f t="shared" si="202"/>
        <v>5.66</v>
      </c>
      <c r="J3208" s="760">
        <f t="shared" si="203"/>
        <v>0.88437500000000002</v>
      </c>
    </row>
    <row r="3209" spans="1:10">
      <c r="A3209" s="74" t="s">
        <v>946</v>
      </c>
      <c r="B3209" s="74" t="s">
        <v>894</v>
      </c>
      <c r="C3209" s="74" t="s">
        <v>1610</v>
      </c>
      <c r="D3209" s="74" t="s">
        <v>89</v>
      </c>
      <c r="E3209" s="74">
        <v>3</v>
      </c>
      <c r="F3209" s="74">
        <v>19.2</v>
      </c>
      <c r="G3209" s="758">
        <f t="shared" si="200"/>
        <v>0.74</v>
      </c>
      <c r="H3209" s="759">
        <f t="shared" si="201"/>
        <v>0.24</v>
      </c>
      <c r="I3209" s="758">
        <f t="shared" si="202"/>
        <v>5.6599999999999993</v>
      </c>
      <c r="J3209" s="760">
        <f t="shared" si="203"/>
        <v>0.88437500000000002</v>
      </c>
    </row>
    <row r="3210" spans="1:10">
      <c r="A3210" s="74" t="s">
        <v>946</v>
      </c>
      <c r="B3210" s="74" t="s">
        <v>894</v>
      </c>
      <c r="C3210" s="74" t="s">
        <v>1546</v>
      </c>
      <c r="D3210" s="74" t="s">
        <v>89</v>
      </c>
      <c r="E3210" s="74">
        <v>3</v>
      </c>
      <c r="F3210" s="74">
        <v>19.2</v>
      </c>
      <c r="G3210" s="758">
        <f t="shared" si="200"/>
        <v>0.74</v>
      </c>
      <c r="H3210" s="759">
        <f t="shared" si="201"/>
        <v>0.24</v>
      </c>
      <c r="I3210" s="758">
        <f t="shared" si="202"/>
        <v>5.6599999999999993</v>
      </c>
      <c r="J3210" s="760">
        <f t="shared" si="203"/>
        <v>0.88437500000000002</v>
      </c>
    </row>
    <row r="3211" spans="1:10">
      <c r="A3211" s="74" t="s">
        <v>946</v>
      </c>
      <c r="B3211" s="74" t="s">
        <v>894</v>
      </c>
      <c r="C3211" s="74" t="s">
        <v>1547</v>
      </c>
      <c r="D3211" s="74" t="s">
        <v>89</v>
      </c>
      <c r="E3211" s="74">
        <v>5</v>
      </c>
      <c r="F3211" s="74">
        <v>32</v>
      </c>
      <c r="G3211" s="758">
        <f t="shared" si="200"/>
        <v>0.74</v>
      </c>
      <c r="H3211" s="759">
        <f t="shared" si="201"/>
        <v>0.24</v>
      </c>
      <c r="I3211" s="758">
        <f t="shared" si="202"/>
        <v>5.66</v>
      </c>
      <c r="J3211" s="760">
        <f t="shared" si="203"/>
        <v>0.88437500000000002</v>
      </c>
    </row>
    <row r="3212" spans="1:10">
      <c r="A3212" s="74" t="s">
        <v>946</v>
      </c>
      <c r="B3212" s="74" t="s">
        <v>894</v>
      </c>
      <c r="C3212" s="74" t="s">
        <v>1582</v>
      </c>
      <c r="D3212" s="74" t="s">
        <v>89</v>
      </c>
      <c r="E3212" s="74">
        <v>1</v>
      </c>
      <c r="F3212" s="74">
        <v>6.4</v>
      </c>
      <c r="G3212" s="758">
        <f t="shared" si="200"/>
        <v>0.74</v>
      </c>
      <c r="H3212" s="759">
        <f t="shared" si="201"/>
        <v>0.24</v>
      </c>
      <c r="I3212" s="758">
        <f t="shared" si="202"/>
        <v>5.66</v>
      </c>
      <c r="J3212" s="760">
        <f t="shared" si="203"/>
        <v>0.88437500000000002</v>
      </c>
    </row>
    <row r="3213" spans="1:10">
      <c r="A3213" s="74" t="s">
        <v>946</v>
      </c>
      <c r="B3213" s="74" t="s">
        <v>894</v>
      </c>
      <c r="C3213" s="74" t="s">
        <v>1522</v>
      </c>
      <c r="D3213" s="74" t="s">
        <v>91</v>
      </c>
      <c r="E3213" s="74">
        <v>1</v>
      </c>
      <c r="F3213" s="74">
        <v>6.4</v>
      </c>
      <c r="G3213" s="758">
        <f t="shared" si="200"/>
        <v>0.74</v>
      </c>
      <c r="H3213" s="759">
        <f t="shared" si="201"/>
        <v>0.24</v>
      </c>
      <c r="I3213" s="758">
        <f t="shared" si="202"/>
        <v>5.66</v>
      </c>
      <c r="J3213" s="760">
        <f t="shared" si="203"/>
        <v>0.88437500000000002</v>
      </c>
    </row>
    <row r="3214" spans="1:10">
      <c r="A3214" s="74" t="s">
        <v>946</v>
      </c>
      <c r="B3214" s="74" t="s">
        <v>894</v>
      </c>
      <c r="C3214" s="74" t="s">
        <v>1675</v>
      </c>
      <c r="D3214" s="74" t="s">
        <v>91</v>
      </c>
      <c r="E3214" s="74">
        <v>1</v>
      </c>
      <c r="F3214" s="74">
        <v>6.4</v>
      </c>
      <c r="G3214" s="758">
        <f t="shared" si="200"/>
        <v>0.74</v>
      </c>
      <c r="H3214" s="759">
        <f t="shared" si="201"/>
        <v>0.24</v>
      </c>
      <c r="I3214" s="758">
        <f t="shared" si="202"/>
        <v>5.66</v>
      </c>
      <c r="J3214" s="760">
        <f t="shared" si="203"/>
        <v>0.88437500000000002</v>
      </c>
    </row>
    <row r="3215" spans="1:10">
      <c r="A3215" s="74" t="s">
        <v>946</v>
      </c>
      <c r="B3215" s="74" t="s">
        <v>894</v>
      </c>
      <c r="C3215" s="74" t="s">
        <v>1524</v>
      </c>
      <c r="D3215" s="74" t="s">
        <v>91</v>
      </c>
      <c r="E3215" s="74">
        <v>1</v>
      </c>
      <c r="F3215" s="74">
        <v>6.4</v>
      </c>
      <c r="G3215" s="758">
        <f t="shared" si="200"/>
        <v>0.74</v>
      </c>
      <c r="H3215" s="759">
        <f t="shared" si="201"/>
        <v>0.24</v>
      </c>
      <c r="I3215" s="758">
        <f t="shared" si="202"/>
        <v>5.66</v>
      </c>
      <c r="J3215" s="760">
        <f t="shared" si="203"/>
        <v>0.88437500000000002</v>
      </c>
    </row>
    <row r="3216" spans="1:10">
      <c r="A3216" s="74" t="s">
        <v>946</v>
      </c>
      <c r="B3216" s="74" t="s">
        <v>894</v>
      </c>
      <c r="C3216" s="74" t="s">
        <v>1614</v>
      </c>
      <c r="D3216" s="74" t="s">
        <v>92</v>
      </c>
      <c r="E3216" s="74">
        <v>9</v>
      </c>
      <c r="F3216" s="74">
        <v>57.6</v>
      </c>
      <c r="G3216" s="758">
        <f t="shared" si="200"/>
        <v>0.74</v>
      </c>
      <c r="H3216" s="759">
        <f t="shared" si="201"/>
        <v>0.24</v>
      </c>
      <c r="I3216" s="758">
        <f t="shared" si="202"/>
        <v>5.66</v>
      </c>
      <c r="J3216" s="760">
        <f t="shared" si="203"/>
        <v>0.88437500000000002</v>
      </c>
    </row>
    <row r="3217" spans="1:10">
      <c r="A3217" s="74" t="s">
        <v>946</v>
      </c>
      <c r="B3217" s="74" t="s">
        <v>894</v>
      </c>
      <c r="C3217" s="74" t="s">
        <v>1631</v>
      </c>
      <c r="D3217" s="74" t="s">
        <v>92</v>
      </c>
      <c r="E3217" s="74">
        <v>4</v>
      </c>
      <c r="F3217" s="74">
        <v>25.6</v>
      </c>
      <c r="G3217" s="758">
        <f t="shared" si="200"/>
        <v>0.74</v>
      </c>
      <c r="H3217" s="759">
        <f t="shared" si="201"/>
        <v>0.24</v>
      </c>
      <c r="I3217" s="758">
        <f t="shared" si="202"/>
        <v>5.66</v>
      </c>
      <c r="J3217" s="760">
        <f t="shared" si="203"/>
        <v>0.88437500000000002</v>
      </c>
    </row>
    <row r="3218" spans="1:10">
      <c r="A3218" s="74" t="s">
        <v>946</v>
      </c>
      <c r="B3218" s="74" t="s">
        <v>894</v>
      </c>
      <c r="C3218" s="74" t="s">
        <v>1552</v>
      </c>
      <c r="D3218" s="74" t="s">
        <v>92</v>
      </c>
      <c r="E3218" s="74">
        <v>1</v>
      </c>
      <c r="F3218" s="74">
        <v>6.4</v>
      </c>
      <c r="G3218" s="758">
        <f t="shared" si="200"/>
        <v>0.74</v>
      </c>
      <c r="H3218" s="759">
        <f t="shared" si="201"/>
        <v>0.24</v>
      </c>
      <c r="I3218" s="758">
        <f t="shared" si="202"/>
        <v>5.66</v>
      </c>
      <c r="J3218" s="760">
        <f t="shared" si="203"/>
        <v>0.88437500000000002</v>
      </c>
    </row>
    <row r="3219" spans="1:10">
      <c r="A3219" s="74" t="s">
        <v>946</v>
      </c>
      <c r="B3219" s="74" t="s">
        <v>894</v>
      </c>
      <c r="C3219" s="74" t="s">
        <v>1617</v>
      </c>
      <c r="D3219" s="74" t="s">
        <v>94</v>
      </c>
      <c r="E3219" s="74">
        <v>2</v>
      </c>
      <c r="F3219" s="74">
        <v>12.8</v>
      </c>
      <c r="G3219" s="758">
        <f t="shared" si="200"/>
        <v>0.74</v>
      </c>
      <c r="H3219" s="759">
        <f t="shared" si="201"/>
        <v>0.24</v>
      </c>
      <c r="I3219" s="758">
        <f t="shared" si="202"/>
        <v>5.66</v>
      </c>
      <c r="J3219" s="760">
        <f t="shared" si="203"/>
        <v>0.88437500000000002</v>
      </c>
    </row>
    <row r="3220" spans="1:10">
      <c r="A3220" s="74" t="s">
        <v>946</v>
      </c>
      <c r="B3220" s="74" t="s">
        <v>894</v>
      </c>
      <c r="C3220" s="74" t="s">
        <v>1553</v>
      </c>
      <c r="D3220" s="74" t="s">
        <v>94</v>
      </c>
      <c r="E3220" s="74">
        <v>2</v>
      </c>
      <c r="F3220" s="74">
        <v>12.8</v>
      </c>
      <c r="G3220" s="758">
        <f t="shared" si="200"/>
        <v>0.74</v>
      </c>
      <c r="H3220" s="759">
        <f t="shared" si="201"/>
        <v>0.24</v>
      </c>
      <c r="I3220" s="758">
        <f t="shared" si="202"/>
        <v>5.66</v>
      </c>
      <c r="J3220" s="760">
        <f t="shared" si="203"/>
        <v>0.88437500000000002</v>
      </c>
    </row>
    <row r="3221" spans="1:10">
      <c r="A3221" s="74" t="s">
        <v>946</v>
      </c>
      <c r="B3221" s="74" t="s">
        <v>894</v>
      </c>
      <c r="C3221" s="74" t="s">
        <v>1557</v>
      </c>
      <c r="D3221" s="74" t="s">
        <v>95</v>
      </c>
      <c r="E3221" s="74">
        <v>1</v>
      </c>
      <c r="F3221" s="74">
        <v>6.4</v>
      </c>
      <c r="G3221" s="758">
        <f t="shared" si="200"/>
        <v>0.74</v>
      </c>
      <c r="H3221" s="759">
        <f t="shared" si="201"/>
        <v>0.24</v>
      </c>
      <c r="I3221" s="758">
        <f t="shared" si="202"/>
        <v>5.66</v>
      </c>
      <c r="J3221" s="760">
        <f t="shared" si="203"/>
        <v>0.88437500000000002</v>
      </c>
    </row>
    <row r="3222" spans="1:10">
      <c r="A3222" s="74" t="s">
        <v>946</v>
      </c>
      <c r="B3222" s="74" t="s">
        <v>894</v>
      </c>
      <c r="C3222" s="74" t="s">
        <v>1526</v>
      </c>
      <c r="D3222" s="74" t="s">
        <v>95</v>
      </c>
      <c r="E3222" s="74">
        <v>1</v>
      </c>
      <c r="F3222" s="74">
        <v>6.4</v>
      </c>
      <c r="G3222" s="758">
        <f t="shared" si="200"/>
        <v>0.74</v>
      </c>
      <c r="H3222" s="759">
        <f t="shared" si="201"/>
        <v>0.24</v>
      </c>
      <c r="I3222" s="758">
        <f t="shared" si="202"/>
        <v>5.66</v>
      </c>
      <c r="J3222" s="760">
        <f t="shared" si="203"/>
        <v>0.88437500000000002</v>
      </c>
    </row>
    <row r="3223" spans="1:10">
      <c r="A3223" s="74" t="s">
        <v>1850</v>
      </c>
      <c r="B3223" s="74" t="s">
        <v>894</v>
      </c>
      <c r="C3223" s="74" t="s">
        <v>1544</v>
      </c>
      <c r="D3223" s="74" t="s">
        <v>87</v>
      </c>
      <c r="E3223" s="74">
        <v>1</v>
      </c>
      <c r="F3223" s="74">
        <v>5.4</v>
      </c>
      <c r="G3223" s="758">
        <f t="shared" si="200"/>
        <v>0</v>
      </c>
      <c r="H3223" s="759">
        <f t="shared" si="201"/>
        <v>0</v>
      </c>
      <c r="I3223" s="758">
        <f t="shared" si="202"/>
        <v>5.4</v>
      </c>
      <c r="J3223" s="760">
        <f t="shared" si="203"/>
        <v>1</v>
      </c>
    </row>
    <row r="3224" spans="1:10">
      <c r="A3224" s="74" t="s">
        <v>1001</v>
      </c>
      <c r="B3224" s="74" t="s">
        <v>894</v>
      </c>
      <c r="C3224" s="74" t="s">
        <v>1528</v>
      </c>
      <c r="D3224" s="74" t="s">
        <v>78</v>
      </c>
      <c r="E3224" s="74">
        <v>5</v>
      </c>
      <c r="F3224" s="74">
        <v>30.1</v>
      </c>
      <c r="G3224" s="758">
        <f t="shared" si="200"/>
        <v>0.68</v>
      </c>
      <c r="H3224" s="759">
        <f t="shared" si="201"/>
        <v>0.23</v>
      </c>
      <c r="I3224" s="758">
        <f t="shared" si="202"/>
        <v>5.3400000000000007</v>
      </c>
      <c r="J3224" s="760">
        <f t="shared" si="203"/>
        <v>0.8870431893687708</v>
      </c>
    </row>
    <row r="3225" spans="1:10">
      <c r="A3225" s="74" t="s">
        <v>1001</v>
      </c>
      <c r="B3225" s="74" t="s">
        <v>894</v>
      </c>
      <c r="C3225" s="74" t="s">
        <v>1508</v>
      </c>
      <c r="D3225" s="74" t="s">
        <v>78</v>
      </c>
      <c r="E3225" s="74">
        <v>13</v>
      </c>
      <c r="F3225" s="74">
        <v>77.900000000000006</v>
      </c>
      <c r="G3225" s="758">
        <f t="shared" si="200"/>
        <v>0.68</v>
      </c>
      <c r="H3225" s="759">
        <f t="shared" si="201"/>
        <v>0.23</v>
      </c>
      <c r="I3225" s="758">
        <f t="shared" si="202"/>
        <v>5.3123076923076926</v>
      </c>
      <c r="J3225" s="760">
        <f t="shared" si="203"/>
        <v>0.88652118100128374</v>
      </c>
    </row>
    <row r="3226" spans="1:10">
      <c r="A3226" s="74" t="s">
        <v>1001</v>
      </c>
      <c r="B3226" s="74" t="s">
        <v>894</v>
      </c>
      <c r="C3226" s="74" t="s">
        <v>1509</v>
      </c>
      <c r="D3226" s="74" t="s">
        <v>78</v>
      </c>
      <c r="E3226" s="74">
        <v>7</v>
      </c>
      <c r="F3226" s="74">
        <v>40.9</v>
      </c>
      <c r="G3226" s="758">
        <f t="shared" si="200"/>
        <v>0.68</v>
      </c>
      <c r="H3226" s="759">
        <f t="shared" si="201"/>
        <v>0.23</v>
      </c>
      <c r="I3226" s="758">
        <f t="shared" si="202"/>
        <v>5.1628571428571428</v>
      </c>
      <c r="J3226" s="760">
        <f t="shared" si="203"/>
        <v>0.88361858190709042</v>
      </c>
    </row>
    <row r="3227" spans="1:10">
      <c r="A3227" s="74" t="s">
        <v>1001</v>
      </c>
      <c r="B3227" s="74" t="s">
        <v>894</v>
      </c>
      <c r="C3227" s="74" t="s">
        <v>1565</v>
      </c>
      <c r="D3227" s="74" t="s">
        <v>78</v>
      </c>
      <c r="E3227" s="74">
        <v>8</v>
      </c>
      <c r="F3227" s="74">
        <v>46.6</v>
      </c>
      <c r="G3227" s="758">
        <f t="shared" si="200"/>
        <v>0.68</v>
      </c>
      <c r="H3227" s="759">
        <f t="shared" si="201"/>
        <v>0.23</v>
      </c>
      <c r="I3227" s="758">
        <f t="shared" si="202"/>
        <v>5.1450000000000005</v>
      </c>
      <c r="J3227" s="760">
        <f t="shared" si="203"/>
        <v>0.88326180257510734</v>
      </c>
    </row>
    <row r="3228" spans="1:10">
      <c r="A3228" s="74" t="s">
        <v>1001</v>
      </c>
      <c r="B3228" s="74" t="s">
        <v>894</v>
      </c>
      <c r="C3228" s="74" t="s">
        <v>1530</v>
      </c>
      <c r="D3228" s="74" t="s">
        <v>80</v>
      </c>
      <c r="E3228" s="74">
        <v>2</v>
      </c>
      <c r="F3228" s="74">
        <v>11.4</v>
      </c>
      <c r="G3228" s="758">
        <f t="shared" si="200"/>
        <v>0.68</v>
      </c>
      <c r="H3228" s="759">
        <f t="shared" si="201"/>
        <v>0.23</v>
      </c>
      <c r="I3228" s="758">
        <f t="shared" si="202"/>
        <v>5.0200000000000005</v>
      </c>
      <c r="J3228" s="760">
        <f t="shared" si="203"/>
        <v>0.88070175438596487</v>
      </c>
    </row>
    <row r="3229" spans="1:10">
      <c r="A3229" s="74" t="s">
        <v>1001</v>
      </c>
      <c r="B3229" s="74" t="s">
        <v>894</v>
      </c>
      <c r="C3229" s="74" t="s">
        <v>1532</v>
      </c>
      <c r="D3229" s="74" t="s">
        <v>80</v>
      </c>
      <c r="E3229" s="74">
        <v>8</v>
      </c>
      <c r="F3229" s="74">
        <v>45.6</v>
      </c>
      <c r="G3229" s="758">
        <f t="shared" si="200"/>
        <v>0.68</v>
      </c>
      <c r="H3229" s="759">
        <f t="shared" si="201"/>
        <v>0.23</v>
      </c>
      <c r="I3229" s="758">
        <f t="shared" si="202"/>
        <v>5.0200000000000005</v>
      </c>
      <c r="J3229" s="760">
        <f t="shared" si="203"/>
        <v>0.88070175438596487</v>
      </c>
    </row>
    <row r="3230" spans="1:10">
      <c r="A3230" s="74" t="s">
        <v>1001</v>
      </c>
      <c r="B3230" s="74" t="s">
        <v>894</v>
      </c>
      <c r="C3230" s="74" t="s">
        <v>1511</v>
      </c>
      <c r="D3230" s="74" t="s">
        <v>80</v>
      </c>
      <c r="E3230" s="74">
        <v>8</v>
      </c>
      <c r="F3230" s="74">
        <v>53.3</v>
      </c>
      <c r="G3230" s="758">
        <f t="shared" si="200"/>
        <v>0.68</v>
      </c>
      <c r="H3230" s="759">
        <f t="shared" si="201"/>
        <v>0.23</v>
      </c>
      <c r="I3230" s="758">
        <f t="shared" si="202"/>
        <v>5.9824999999999999</v>
      </c>
      <c r="J3230" s="760">
        <f t="shared" si="203"/>
        <v>0.89793621013133207</v>
      </c>
    </row>
    <row r="3231" spans="1:10">
      <c r="A3231" s="74" t="s">
        <v>1001</v>
      </c>
      <c r="B3231" s="74" t="s">
        <v>894</v>
      </c>
      <c r="C3231" s="74" t="s">
        <v>1512</v>
      </c>
      <c r="D3231" s="74" t="s">
        <v>80</v>
      </c>
      <c r="E3231" s="74">
        <v>5</v>
      </c>
      <c r="F3231" s="74">
        <v>28.5</v>
      </c>
      <c r="G3231" s="758">
        <f t="shared" si="200"/>
        <v>0.68</v>
      </c>
      <c r="H3231" s="759">
        <f t="shared" si="201"/>
        <v>0.23</v>
      </c>
      <c r="I3231" s="758">
        <f t="shared" si="202"/>
        <v>5.0200000000000005</v>
      </c>
      <c r="J3231" s="760">
        <f t="shared" si="203"/>
        <v>0.88070175438596487</v>
      </c>
    </row>
    <row r="3232" spans="1:10">
      <c r="A3232" s="74" t="s">
        <v>1001</v>
      </c>
      <c r="B3232" s="74" t="s">
        <v>894</v>
      </c>
      <c r="C3232" s="74" t="s">
        <v>1534</v>
      </c>
      <c r="D3232" s="74" t="s">
        <v>81</v>
      </c>
      <c r="E3232" s="74">
        <v>14</v>
      </c>
      <c r="F3232" s="74">
        <v>79.95</v>
      </c>
      <c r="G3232" s="758">
        <f t="shared" si="200"/>
        <v>0.68</v>
      </c>
      <c r="H3232" s="759">
        <f t="shared" si="201"/>
        <v>0.23</v>
      </c>
      <c r="I3232" s="758">
        <f t="shared" si="202"/>
        <v>5.0307142857142866</v>
      </c>
      <c r="J3232" s="760">
        <f t="shared" si="203"/>
        <v>0.88092557848655406</v>
      </c>
    </row>
    <row r="3233" spans="1:10">
      <c r="A3233" s="74" t="s">
        <v>1001</v>
      </c>
      <c r="B3233" s="74" t="s">
        <v>894</v>
      </c>
      <c r="C3233" s="74" t="s">
        <v>1514</v>
      </c>
      <c r="D3233" s="74" t="s">
        <v>81</v>
      </c>
      <c r="E3233" s="74">
        <v>5</v>
      </c>
      <c r="F3233" s="74">
        <v>28.5</v>
      </c>
      <c r="G3233" s="758">
        <f t="shared" si="200"/>
        <v>0.68</v>
      </c>
      <c r="H3233" s="759">
        <f t="shared" si="201"/>
        <v>0.23</v>
      </c>
      <c r="I3233" s="758">
        <f t="shared" si="202"/>
        <v>5.0200000000000005</v>
      </c>
      <c r="J3233" s="760">
        <f t="shared" si="203"/>
        <v>0.88070175438596487</v>
      </c>
    </row>
    <row r="3234" spans="1:10">
      <c r="A3234" s="74" t="s">
        <v>1001</v>
      </c>
      <c r="B3234" s="74" t="s">
        <v>894</v>
      </c>
      <c r="C3234" s="74" t="s">
        <v>1515</v>
      </c>
      <c r="D3234" s="74" t="s">
        <v>81</v>
      </c>
      <c r="E3234" s="74">
        <v>6</v>
      </c>
      <c r="F3234" s="74">
        <v>34.200000000000003</v>
      </c>
      <c r="G3234" s="758">
        <f t="shared" si="200"/>
        <v>0.68</v>
      </c>
      <c r="H3234" s="759">
        <f t="shared" si="201"/>
        <v>0.23</v>
      </c>
      <c r="I3234" s="758">
        <f t="shared" si="202"/>
        <v>5.0200000000000005</v>
      </c>
      <c r="J3234" s="760">
        <f t="shared" si="203"/>
        <v>0.88070175438596487</v>
      </c>
    </row>
    <row r="3235" spans="1:10">
      <c r="A3235" s="74" t="s">
        <v>1001</v>
      </c>
      <c r="B3235" s="74" t="s">
        <v>894</v>
      </c>
      <c r="C3235" s="74" t="s">
        <v>1516</v>
      </c>
      <c r="D3235" s="74" t="s">
        <v>82</v>
      </c>
      <c r="E3235" s="74">
        <v>13</v>
      </c>
      <c r="F3235" s="74">
        <v>74.099999999999994</v>
      </c>
      <c r="G3235" s="758">
        <f t="shared" si="200"/>
        <v>0.68</v>
      </c>
      <c r="H3235" s="759">
        <f t="shared" si="201"/>
        <v>0.23</v>
      </c>
      <c r="I3235" s="758">
        <f t="shared" si="202"/>
        <v>5.0199999999999996</v>
      </c>
      <c r="J3235" s="760">
        <f t="shared" si="203"/>
        <v>0.88070175438596487</v>
      </c>
    </row>
    <row r="3236" spans="1:10">
      <c r="A3236" s="74" t="s">
        <v>1001</v>
      </c>
      <c r="B3236" s="74" t="s">
        <v>894</v>
      </c>
      <c r="C3236" s="74" t="s">
        <v>1517</v>
      </c>
      <c r="D3236" s="74" t="s">
        <v>82</v>
      </c>
      <c r="E3236" s="74">
        <v>3</v>
      </c>
      <c r="F3236" s="74">
        <v>18.100000000000001</v>
      </c>
      <c r="G3236" s="758">
        <f t="shared" si="200"/>
        <v>0.68</v>
      </c>
      <c r="H3236" s="759">
        <f t="shared" si="201"/>
        <v>0.23</v>
      </c>
      <c r="I3236" s="758">
        <f t="shared" si="202"/>
        <v>5.3533333333333344</v>
      </c>
      <c r="J3236" s="760">
        <f t="shared" si="203"/>
        <v>0.88729281767955803</v>
      </c>
    </row>
    <row r="3237" spans="1:10">
      <c r="A3237" s="74" t="s">
        <v>1001</v>
      </c>
      <c r="B3237" s="74" t="s">
        <v>894</v>
      </c>
      <c r="C3237" s="74" t="s">
        <v>1527</v>
      </c>
      <c r="D3237" s="74" t="s">
        <v>82</v>
      </c>
      <c r="E3237" s="74">
        <v>7</v>
      </c>
      <c r="F3237" s="74">
        <v>39.9</v>
      </c>
      <c r="G3237" s="758">
        <f t="shared" si="200"/>
        <v>0.68</v>
      </c>
      <c r="H3237" s="759">
        <f t="shared" si="201"/>
        <v>0.23</v>
      </c>
      <c r="I3237" s="758">
        <f t="shared" si="202"/>
        <v>5.0200000000000005</v>
      </c>
      <c r="J3237" s="760">
        <f t="shared" si="203"/>
        <v>0.88070175438596487</v>
      </c>
    </row>
    <row r="3238" spans="1:10">
      <c r="A3238" s="74" t="s">
        <v>1001</v>
      </c>
      <c r="B3238" s="74" t="s">
        <v>894</v>
      </c>
      <c r="C3238" s="74" t="s">
        <v>1518</v>
      </c>
      <c r="D3238" s="74" t="s">
        <v>82</v>
      </c>
      <c r="E3238" s="74">
        <v>12</v>
      </c>
      <c r="F3238" s="74">
        <v>70.400000000000006</v>
      </c>
      <c r="G3238" s="758">
        <f t="shared" si="200"/>
        <v>0.68</v>
      </c>
      <c r="H3238" s="759">
        <f t="shared" si="201"/>
        <v>0.23</v>
      </c>
      <c r="I3238" s="758">
        <f t="shared" si="202"/>
        <v>5.1866666666666674</v>
      </c>
      <c r="J3238" s="760">
        <f t="shared" si="203"/>
        <v>0.88409090909090904</v>
      </c>
    </row>
    <row r="3239" spans="1:10">
      <c r="A3239" s="74" t="s">
        <v>1001</v>
      </c>
      <c r="B3239" s="74" t="s">
        <v>894</v>
      </c>
      <c r="C3239" s="74" t="s">
        <v>1519</v>
      </c>
      <c r="D3239" s="74" t="s">
        <v>84</v>
      </c>
      <c r="E3239" s="74">
        <v>5</v>
      </c>
      <c r="F3239" s="74">
        <v>28.5</v>
      </c>
      <c r="G3239" s="758">
        <f t="shared" si="200"/>
        <v>0.68</v>
      </c>
      <c r="H3239" s="759">
        <f t="shared" si="201"/>
        <v>0.23</v>
      </c>
      <c r="I3239" s="758">
        <f t="shared" si="202"/>
        <v>5.0200000000000005</v>
      </c>
      <c r="J3239" s="760">
        <f t="shared" si="203"/>
        <v>0.88070175438596487</v>
      </c>
    </row>
    <row r="3240" spans="1:10">
      <c r="A3240" s="74" t="s">
        <v>1001</v>
      </c>
      <c r="B3240" s="74" t="s">
        <v>894</v>
      </c>
      <c r="C3240" s="74" t="s">
        <v>1540</v>
      </c>
      <c r="D3240" s="74" t="s">
        <v>84</v>
      </c>
      <c r="E3240" s="74">
        <v>8</v>
      </c>
      <c r="F3240" s="74">
        <v>45.6</v>
      </c>
      <c r="G3240" s="758">
        <f t="shared" si="200"/>
        <v>0.68</v>
      </c>
      <c r="H3240" s="759">
        <f t="shared" si="201"/>
        <v>0.23</v>
      </c>
      <c r="I3240" s="758">
        <f t="shared" si="202"/>
        <v>5.0200000000000005</v>
      </c>
      <c r="J3240" s="760">
        <f t="shared" si="203"/>
        <v>0.88070175438596487</v>
      </c>
    </row>
    <row r="3241" spans="1:10">
      <c r="A3241" s="74" t="s">
        <v>1001</v>
      </c>
      <c r="B3241" s="74" t="s">
        <v>894</v>
      </c>
      <c r="C3241" s="74" t="s">
        <v>1520</v>
      </c>
      <c r="D3241" s="74" t="s">
        <v>84</v>
      </c>
      <c r="E3241" s="74">
        <v>1</v>
      </c>
      <c r="F3241" s="74">
        <v>5.7</v>
      </c>
      <c r="G3241" s="758">
        <f t="shared" si="200"/>
        <v>0.68</v>
      </c>
      <c r="H3241" s="759">
        <f t="shared" si="201"/>
        <v>0.23</v>
      </c>
      <c r="I3241" s="758">
        <f t="shared" si="202"/>
        <v>5.0200000000000005</v>
      </c>
      <c r="J3241" s="760">
        <f t="shared" si="203"/>
        <v>0.88070175438596487</v>
      </c>
    </row>
    <row r="3242" spans="1:10">
      <c r="A3242" s="74" t="s">
        <v>1001</v>
      </c>
      <c r="B3242" s="74" t="s">
        <v>894</v>
      </c>
      <c r="C3242" s="74" t="s">
        <v>1577</v>
      </c>
      <c r="D3242" s="74" t="s">
        <v>84</v>
      </c>
      <c r="E3242" s="74">
        <v>3</v>
      </c>
      <c r="F3242" s="74">
        <v>17.100000000000001</v>
      </c>
      <c r="G3242" s="758">
        <f t="shared" si="200"/>
        <v>0.68</v>
      </c>
      <c r="H3242" s="759">
        <f t="shared" si="201"/>
        <v>0.23</v>
      </c>
      <c r="I3242" s="758">
        <f t="shared" si="202"/>
        <v>5.0200000000000005</v>
      </c>
      <c r="J3242" s="760">
        <f t="shared" si="203"/>
        <v>0.88070175438596487</v>
      </c>
    </row>
    <row r="3243" spans="1:10">
      <c r="A3243" s="74" t="s">
        <v>1001</v>
      </c>
      <c r="B3243" s="74" t="s">
        <v>894</v>
      </c>
      <c r="C3243" s="74" t="s">
        <v>1507</v>
      </c>
      <c r="D3243" s="74" t="s">
        <v>86</v>
      </c>
      <c r="E3243" s="74">
        <v>5</v>
      </c>
      <c r="F3243" s="74">
        <v>28.5</v>
      </c>
      <c r="G3243" s="758">
        <f t="shared" si="200"/>
        <v>0.68</v>
      </c>
      <c r="H3243" s="759">
        <f t="shared" si="201"/>
        <v>0.23</v>
      </c>
      <c r="I3243" s="758">
        <f t="shared" si="202"/>
        <v>5.0200000000000005</v>
      </c>
      <c r="J3243" s="760">
        <f t="shared" si="203"/>
        <v>0.88070175438596487</v>
      </c>
    </row>
    <row r="3244" spans="1:10">
      <c r="A3244" s="74" t="s">
        <v>1001</v>
      </c>
      <c r="B3244" s="74" t="s">
        <v>894</v>
      </c>
      <c r="C3244" s="74" t="s">
        <v>1578</v>
      </c>
      <c r="D3244" s="74" t="s">
        <v>86</v>
      </c>
      <c r="E3244" s="74">
        <v>3</v>
      </c>
      <c r="F3244" s="74">
        <v>17.100000000000001</v>
      </c>
      <c r="G3244" s="758">
        <f t="shared" si="200"/>
        <v>0.68</v>
      </c>
      <c r="H3244" s="759">
        <f t="shared" si="201"/>
        <v>0.23</v>
      </c>
      <c r="I3244" s="758">
        <f t="shared" si="202"/>
        <v>5.0200000000000005</v>
      </c>
      <c r="J3244" s="760">
        <f t="shared" si="203"/>
        <v>0.88070175438596487</v>
      </c>
    </row>
    <row r="3245" spans="1:10">
      <c r="A3245" s="74" t="s">
        <v>1001</v>
      </c>
      <c r="B3245" s="74" t="s">
        <v>894</v>
      </c>
      <c r="C3245" s="74" t="s">
        <v>1646</v>
      </c>
      <c r="D3245" s="74" t="s">
        <v>86</v>
      </c>
      <c r="E3245" s="74">
        <v>3</v>
      </c>
      <c r="F3245" s="74">
        <v>17.100000000000001</v>
      </c>
      <c r="G3245" s="758">
        <f t="shared" si="200"/>
        <v>0.68</v>
      </c>
      <c r="H3245" s="759">
        <f t="shared" si="201"/>
        <v>0.23</v>
      </c>
      <c r="I3245" s="758">
        <f t="shared" si="202"/>
        <v>5.0200000000000005</v>
      </c>
      <c r="J3245" s="760">
        <f t="shared" si="203"/>
        <v>0.88070175438596487</v>
      </c>
    </row>
    <row r="3246" spans="1:10">
      <c r="A3246" s="74" t="s">
        <v>1001</v>
      </c>
      <c r="B3246" s="74" t="s">
        <v>894</v>
      </c>
      <c r="C3246" s="74" t="s">
        <v>1541</v>
      </c>
      <c r="D3246" s="74" t="s">
        <v>86</v>
      </c>
      <c r="E3246" s="74">
        <v>3</v>
      </c>
      <c r="F3246" s="74">
        <v>17.100000000000001</v>
      </c>
      <c r="G3246" s="758">
        <f t="shared" si="200"/>
        <v>0.68</v>
      </c>
      <c r="H3246" s="759">
        <f t="shared" si="201"/>
        <v>0.23</v>
      </c>
      <c r="I3246" s="758">
        <f t="shared" si="202"/>
        <v>5.0200000000000005</v>
      </c>
      <c r="J3246" s="760">
        <f t="shared" si="203"/>
        <v>0.88070175438596487</v>
      </c>
    </row>
    <row r="3247" spans="1:10">
      <c r="A3247" s="74" t="s">
        <v>1001</v>
      </c>
      <c r="B3247" s="74" t="s">
        <v>894</v>
      </c>
      <c r="C3247" s="74" t="s">
        <v>1543</v>
      </c>
      <c r="D3247" s="74" t="s">
        <v>87</v>
      </c>
      <c r="E3247" s="74">
        <v>6</v>
      </c>
      <c r="F3247" s="74">
        <v>33.97</v>
      </c>
      <c r="G3247" s="758">
        <f t="shared" si="200"/>
        <v>0.68</v>
      </c>
      <c r="H3247" s="759">
        <f t="shared" si="201"/>
        <v>0.23</v>
      </c>
      <c r="I3247" s="758">
        <f t="shared" si="202"/>
        <v>4.9816666666666665</v>
      </c>
      <c r="J3247" s="760">
        <f t="shared" si="203"/>
        <v>0.87989402413894613</v>
      </c>
    </row>
    <row r="3248" spans="1:10">
      <c r="A3248" s="74" t="s">
        <v>1001</v>
      </c>
      <c r="B3248" s="74" t="s">
        <v>894</v>
      </c>
      <c r="C3248" s="74" t="s">
        <v>1544</v>
      </c>
      <c r="D3248" s="74" t="s">
        <v>87</v>
      </c>
      <c r="E3248" s="74">
        <v>4</v>
      </c>
      <c r="F3248" s="74">
        <v>22.8</v>
      </c>
      <c r="G3248" s="758">
        <f t="shared" si="200"/>
        <v>0.68</v>
      </c>
      <c r="H3248" s="759">
        <f t="shared" si="201"/>
        <v>0.23</v>
      </c>
      <c r="I3248" s="758">
        <f t="shared" si="202"/>
        <v>5.0200000000000005</v>
      </c>
      <c r="J3248" s="760">
        <f t="shared" si="203"/>
        <v>0.88070175438596487</v>
      </c>
    </row>
    <row r="3249" spans="1:10">
      <c r="A3249" s="74" t="s">
        <v>1001</v>
      </c>
      <c r="B3249" s="74" t="s">
        <v>894</v>
      </c>
      <c r="C3249" s="74" t="s">
        <v>1605</v>
      </c>
      <c r="D3249" s="74" t="s">
        <v>87</v>
      </c>
      <c r="E3249" s="74">
        <v>5</v>
      </c>
      <c r="F3249" s="74">
        <v>28.5</v>
      </c>
      <c r="G3249" s="758">
        <f t="shared" si="200"/>
        <v>0.68</v>
      </c>
      <c r="H3249" s="759">
        <f t="shared" si="201"/>
        <v>0.23</v>
      </c>
      <c r="I3249" s="758">
        <f t="shared" si="202"/>
        <v>5.0200000000000005</v>
      </c>
      <c r="J3249" s="760">
        <f t="shared" si="203"/>
        <v>0.88070175438596487</v>
      </c>
    </row>
    <row r="3250" spans="1:10">
      <c r="A3250" s="74" t="s">
        <v>1001</v>
      </c>
      <c r="B3250" s="74" t="s">
        <v>894</v>
      </c>
      <c r="C3250" s="74" t="s">
        <v>1561</v>
      </c>
      <c r="D3250" s="74" t="s">
        <v>87</v>
      </c>
      <c r="E3250" s="74">
        <v>2</v>
      </c>
      <c r="F3250" s="74">
        <v>11.4</v>
      </c>
      <c r="G3250" s="758">
        <f t="shared" si="200"/>
        <v>0.68</v>
      </c>
      <c r="H3250" s="759">
        <f t="shared" si="201"/>
        <v>0.23</v>
      </c>
      <c r="I3250" s="758">
        <f t="shared" si="202"/>
        <v>5.0200000000000005</v>
      </c>
      <c r="J3250" s="760">
        <f t="shared" si="203"/>
        <v>0.88070175438596487</v>
      </c>
    </row>
    <row r="3251" spans="1:10">
      <c r="A3251" s="74" t="s">
        <v>1001</v>
      </c>
      <c r="B3251" s="74" t="s">
        <v>894</v>
      </c>
      <c r="C3251" s="74" t="s">
        <v>1608</v>
      </c>
      <c r="D3251" s="74" t="s">
        <v>89</v>
      </c>
      <c r="E3251" s="74">
        <v>1</v>
      </c>
      <c r="F3251" s="74">
        <v>5.7</v>
      </c>
      <c r="G3251" s="758">
        <f t="shared" si="200"/>
        <v>0.68</v>
      </c>
      <c r="H3251" s="759">
        <f t="shared" si="201"/>
        <v>0.23</v>
      </c>
      <c r="I3251" s="758">
        <f t="shared" si="202"/>
        <v>5.0200000000000005</v>
      </c>
      <c r="J3251" s="760">
        <f t="shared" si="203"/>
        <v>0.88070175438596487</v>
      </c>
    </row>
    <row r="3252" spans="1:10">
      <c r="A3252" s="74" t="s">
        <v>1001</v>
      </c>
      <c r="B3252" s="74" t="s">
        <v>894</v>
      </c>
      <c r="C3252" s="74" t="s">
        <v>1610</v>
      </c>
      <c r="D3252" s="74" t="s">
        <v>89</v>
      </c>
      <c r="E3252" s="74">
        <v>1</v>
      </c>
      <c r="F3252" s="74">
        <v>5.7</v>
      </c>
      <c r="G3252" s="758">
        <f t="shared" si="200"/>
        <v>0.68</v>
      </c>
      <c r="H3252" s="759">
        <f t="shared" si="201"/>
        <v>0.23</v>
      </c>
      <c r="I3252" s="758">
        <f t="shared" si="202"/>
        <v>5.0200000000000005</v>
      </c>
      <c r="J3252" s="760">
        <f t="shared" si="203"/>
        <v>0.88070175438596487</v>
      </c>
    </row>
    <row r="3253" spans="1:10">
      <c r="A3253" s="74" t="s">
        <v>1001</v>
      </c>
      <c r="B3253" s="74" t="s">
        <v>894</v>
      </c>
      <c r="C3253" s="74" t="s">
        <v>1546</v>
      </c>
      <c r="D3253" s="74" t="s">
        <v>89</v>
      </c>
      <c r="E3253" s="74">
        <v>7</v>
      </c>
      <c r="F3253" s="74">
        <v>39.9</v>
      </c>
      <c r="G3253" s="758">
        <f t="shared" si="200"/>
        <v>0.68</v>
      </c>
      <c r="H3253" s="759">
        <f t="shared" si="201"/>
        <v>0.23</v>
      </c>
      <c r="I3253" s="758">
        <f t="shared" si="202"/>
        <v>5.0200000000000005</v>
      </c>
      <c r="J3253" s="760">
        <f t="shared" si="203"/>
        <v>0.88070175438596487</v>
      </c>
    </row>
    <row r="3254" spans="1:10">
      <c r="A3254" s="74" t="s">
        <v>1001</v>
      </c>
      <c r="B3254" s="74" t="s">
        <v>894</v>
      </c>
      <c r="C3254" s="74" t="s">
        <v>1547</v>
      </c>
      <c r="D3254" s="74" t="s">
        <v>89</v>
      </c>
      <c r="E3254" s="74">
        <v>6</v>
      </c>
      <c r="F3254" s="74">
        <v>34.200000000000003</v>
      </c>
      <c r="G3254" s="758">
        <f t="shared" si="200"/>
        <v>0.68</v>
      </c>
      <c r="H3254" s="759">
        <f t="shared" si="201"/>
        <v>0.23</v>
      </c>
      <c r="I3254" s="758">
        <f t="shared" si="202"/>
        <v>5.0200000000000005</v>
      </c>
      <c r="J3254" s="760">
        <f t="shared" si="203"/>
        <v>0.88070175438596487</v>
      </c>
    </row>
    <row r="3255" spans="1:10">
      <c r="A3255" s="74" t="s">
        <v>1001</v>
      </c>
      <c r="B3255" s="74" t="s">
        <v>894</v>
      </c>
      <c r="C3255" s="74" t="s">
        <v>1582</v>
      </c>
      <c r="D3255" s="74" t="s">
        <v>89</v>
      </c>
      <c r="E3255" s="74">
        <v>2</v>
      </c>
      <c r="F3255" s="74">
        <v>11.4</v>
      </c>
      <c r="G3255" s="758">
        <f t="shared" si="200"/>
        <v>0.68</v>
      </c>
      <c r="H3255" s="759">
        <f t="shared" si="201"/>
        <v>0.23</v>
      </c>
      <c r="I3255" s="758">
        <f t="shared" si="202"/>
        <v>5.0200000000000005</v>
      </c>
      <c r="J3255" s="760">
        <f t="shared" si="203"/>
        <v>0.88070175438596487</v>
      </c>
    </row>
    <row r="3256" spans="1:10">
      <c r="A3256" s="74" t="s">
        <v>1001</v>
      </c>
      <c r="B3256" s="74" t="s">
        <v>894</v>
      </c>
      <c r="C3256" s="74" t="s">
        <v>1522</v>
      </c>
      <c r="D3256" s="74" t="s">
        <v>91</v>
      </c>
      <c r="E3256" s="74">
        <v>2</v>
      </c>
      <c r="F3256" s="74">
        <v>11.4</v>
      </c>
      <c r="G3256" s="758">
        <f t="shared" si="200"/>
        <v>0.68</v>
      </c>
      <c r="H3256" s="759">
        <f t="shared" si="201"/>
        <v>0.23</v>
      </c>
      <c r="I3256" s="758">
        <f t="shared" si="202"/>
        <v>5.0200000000000005</v>
      </c>
      <c r="J3256" s="760">
        <f t="shared" si="203"/>
        <v>0.88070175438596487</v>
      </c>
    </row>
    <row r="3257" spans="1:10">
      <c r="A3257" s="74" t="s">
        <v>1001</v>
      </c>
      <c r="B3257" s="74" t="s">
        <v>894</v>
      </c>
      <c r="C3257" s="74" t="s">
        <v>1550</v>
      </c>
      <c r="D3257" s="74" t="s">
        <v>91</v>
      </c>
      <c r="E3257" s="74">
        <v>2</v>
      </c>
      <c r="F3257" s="74">
        <v>11.4</v>
      </c>
      <c r="G3257" s="758">
        <f t="shared" si="200"/>
        <v>0.68</v>
      </c>
      <c r="H3257" s="759">
        <f t="shared" si="201"/>
        <v>0.23</v>
      </c>
      <c r="I3257" s="758">
        <f t="shared" si="202"/>
        <v>5.0200000000000005</v>
      </c>
      <c r="J3257" s="760">
        <f t="shared" si="203"/>
        <v>0.88070175438596487</v>
      </c>
    </row>
    <row r="3258" spans="1:10">
      <c r="A3258" s="74" t="s">
        <v>1001</v>
      </c>
      <c r="B3258" s="74" t="s">
        <v>894</v>
      </c>
      <c r="C3258" s="74" t="s">
        <v>1675</v>
      </c>
      <c r="D3258" s="74" t="s">
        <v>91</v>
      </c>
      <c r="E3258" s="74">
        <v>3</v>
      </c>
      <c r="F3258" s="74">
        <v>17.100000000000001</v>
      </c>
      <c r="G3258" s="758">
        <f t="shared" si="200"/>
        <v>0.68</v>
      </c>
      <c r="H3258" s="759">
        <f t="shared" si="201"/>
        <v>0.23</v>
      </c>
      <c r="I3258" s="758">
        <f t="shared" si="202"/>
        <v>5.0200000000000005</v>
      </c>
      <c r="J3258" s="760">
        <f t="shared" si="203"/>
        <v>0.88070175438596487</v>
      </c>
    </row>
    <row r="3259" spans="1:10">
      <c r="A3259" s="74" t="s">
        <v>1001</v>
      </c>
      <c r="B3259" s="74" t="s">
        <v>894</v>
      </c>
      <c r="C3259" s="74" t="s">
        <v>1524</v>
      </c>
      <c r="D3259" s="74" t="s">
        <v>91</v>
      </c>
      <c r="E3259" s="74">
        <v>2</v>
      </c>
      <c r="F3259" s="74">
        <v>11.4</v>
      </c>
      <c r="G3259" s="758">
        <f t="shared" si="200"/>
        <v>0.68</v>
      </c>
      <c r="H3259" s="759">
        <f t="shared" si="201"/>
        <v>0.23</v>
      </c>
      <c r="I3259" s="758">
        <f t="shared" si="202"/>
        <v>5.0200000000000005</v>
      </c>
      <c r="J3259" s="760">
        <f t="shared" si="203"/>
        <v>0.88070175438596487</v>
      </c>
    </row>
    <row r="3260" spans="1:10">
      <c r="A3260" s="74" t="s">
        <v>1001</v>
      </c>
      <c r="B3260" s="74" t="s">
        <v>894</v>
      </c>
      <c r="C3260" s="74" t="s">
        <v>1584</v>
      </c>
      <c r="D3260" s="74" t="s">
        <v>92</v>
      </c>
      <c r="E3260" s="74">
        <v>5</v>
      </c>
      <c r="F3260" s="74">
        <v>28.5</v>
      </c>
      <c r="G3260" s="758">
        <f t="shared" si="200"/>
        <v>0.68</v>
      </c>
      <c r="H3260" s="759">
        <f t="shared" si="201"/>
        <v>0.23</v>
      </c>
      <c r="I3260" s="758">
        <f t="shared" si="202"/>
        <v>5.0200000000000005</v>
      </c>
      <c r="J3260" s="760">
        <f t="shared" si="203"/>
        <v>0.88070175438596487</v>
      </c>
    </row>
    <row r="3261" spans="1:10">
      <c r="A3261" s="74" t="s">
        <v>1001</v>
      </c>
      <c r="B3261" s="74" t="s">
        <v>894</v>
      </c>
      <c r="C3261" s="74" t="s">
        <v>1614</v>
      </c>
      <c r="D3261" s="74" t="s">
        <v>92</v>
      </c>
      <c r="E3261" s="74">
        <v>3</v>
      </c>
      <c r="F3261" s="74">
        <v>17.25</v>
      </c>
      <c r="G3261" s="758">
        <f t="shared" si="200"/>
        <v>0.68</v>
      </c>
      <c r="H3261" s="759">
        <f t="shared" si="201"/>
        <v>0.23</v>
      </c>
      <c r="I3261" s="758">
        <f t="shared" si="202"/>
        <v>5.07</v>
      </c>
      <c r="J3261" s="760">
        <f t="shared" si="203"/>
        <v>0.88173913043478258</v>
      </c>
    </row>
    <row r="3262" spans="1:10">
      <c r="A3262" s="74" t="s">
        <v>1001</v>
      </c>
      <c r="B3262" s="74" t="s">
        <v>894</v>
      </c>
      <c r="C3262" s="74" t="s">
        <v>1631</v>
      </c>
      <c r="D3262" s="74" t="s">
        <v>92</v>
      </c>
      <c r="E3262" s="74">
        <v>2</v>
      </c>
      <c r="F3262" s="74">
        <v>11.4</v>
      </c>
      <c r="G3262" s="758">
        <f t="shared" si="200"/>
        <v>0.68</v>
      </c>
      <c r="H3262" s="759">
        <f t="shared" si="201"/>
        <v>0.23</v>
      </c>
      <c r="I3262" s="758">
        <f t="shared" si="202"/>
        <v>5.0200000000000005</v>
      </c>
      <c r="J3262" s="760">
        <f t="shared" si="203"/>
        <v>0.88070175438596487</v>
      </c>
    </row>
    <row r="3263" spans="1:10">
      <c r="A3263" s="74" t="s">
        <v>1001</v>
      </c>
      <c r="B3263" s="74" t="s">
        <v>894</v>
      </c>
      <c r="C3263" s="74" t="s">
        <v>1552</v>
      </c>
      <c r="D3263" s="74" t="s">
        <v>92</v>
      </c>
      <c r="E3263" s="74">
        <v>9</v>
      </c>
      <c r="F3263" s="74">
        <v>51.3</v>
      </c>
      <c r="G3263" s="758">
        <f t="shared" si="200"/>
        <v>0.68</v>
      </c>
      <c r="H3263" s="759">
        <f t="shared" si="201"/>
        <v>0.23</v>
      </c>
      <c r="I3263" s="758">
        <f t="shared" si="202"/>
        <v>5.0199999999999996</v>
      </c>
      <c r="J3263" s="760">
        <f t="shared" si="203"/>
        <v>0.88070175438596487</v>
      </c>
    </row>
    <row r="3264" spans="1:10">
      <c r="A3264" s="74" t="s">
        <v>1001</v>
      </c>
      <c r="B3264" s="74" t="s">
        <v>894</v>
      </c>
      <c r="C3264" s="74" t="s">
        <v>1617</v>
      </c>
      <c r="D3264" s="74" t="s">
        <v>94</v>
      </c>
      <c r="E3264" s="74">
        <v>1</v>
      </c>
      <c r="F3264" s="74">
        <v>5.7</v>
      </c>
      <c r="G3264" s="758">
        <f t="shared" si="200"/>
        <v>0.68</v>
      </c>
      <c r="H3264" s="759">
        <f t="shared" si="201"/>
        <v>0.23</v>
      </c>
      <c r="I3264" s="758">
        <f t="shared" si="202"/>
        <v>5.0200000000000005</v>
      </c>
      <c r="J3264" s="760">
        <f t="shared" si="203"/>
        <v>0.88070175438596487</v>
      </c>
    </row>
    <row r="3265" spans="1:10">
      <c r="A3265" s="74" t="s">
        <v>1001</v>
      </c>
      <c r="B3265" s="74" t="s">
        <v>894</v>
      </c>
      <c r="C3265" s="74" t="s">
        <v>1553</v>
      </c>
      <c r="D3265" s="74" t="s">
        <v>94</v>
      </c>
      <c r="E3265" s="74">
        <v>1</v>
      </c>
      <c r="F3265" s="74">
        <v>5.7</v>
      </c>
      <c r="G3265" s="758">
        <f t="shared" si="200"/>
        <v>0.68</v>
      </c>
      <c r="H3265" s="759">
        <f t="shared" si="201"/>
        <v>0.23</v>
      </c>
      <c r="I3265" s="758">
        <f t="shared" si="202"/>
        <v>5.0200000000000005</v>
      </c>
      <c r="J3265" s="760">
        <f t="shared" si="203"/>
        <v>0.88070175438596487</v>
      </c>
    </row>
    <row r="3266" spans="1:10">
      <c r="A3266" s="74" t="s">
        <v>1001</v>
      </c>
      <c r="B3266" s="74" t="s">
        <v>894</v>
      </c>
      <c r="C3266" s="74" t="s">
        <v>1555</v>
      </c>
      <c r="D3266" s="74" t="s">
        <v>94</v>
      </c>
      <c r="E3266" s="74">
        <v>10</v>
      </c>
      <c r="F3266" s="74">
        <v>57</v>
      </c>
      <c r="G3266" s="758">
        <f t="shared" ref="G3266:G3329" si="204">IFERROR(VLOOKUP(A3266,$M$1:$P$1014,2,FALSE),0)</f>
        <v>0.68</v>
      </c>
      <c r="H3266" s="759">
        <f t="shared" ref="H3266:H3329" si="205">IFERROR(VLOOKUP(A3266,$M$1:$P$1014,3,FALSE),0)</f>
        <v>0.23</v>
      </c>
      <c r="I3266" s="758">
        <f t="shared" ref="I3266:I3329" si="206">IFERROR(F3266/E3266-G3266,0)</f>
        <v>5.0200000000000005</v>
      </c>
      <c r="J3266" s="760">
        <f t="shared" ref="J3266:J3329" si="207">IFERROR(1-G3266*E3266/F3266,0)</f>
        <v>0.88070175438596487</v>
      </c>
    </row>
    <row r="3267" spans="1:10">
      <c r="A3267" s="74" t="s">
        <v>1001</v>
      </c>
      <c r="B3267" s="74" t="s">
        <v>894</v>
      </c>
      <c r="C3267" s="74" t="s">
        <v>1557</v>
      </c>
      <c r="D3267" s="74" t="s">
        <v>95</v>
      </c>
      <c r="E3267" s="74">
        <v>5</v>
      </c>
      <c r="F3267" s="74">
        <v>28.5</v>
      </c>
      <c r="G3267" s="758">
        <f t="shared" si="204"/>
        <v>0.68</v>
      </c>
      <c r="H3267" s="759">
        <f t="shared" si="205"/>
        <v>0.23</v>
      </c>
      <c r="I3267" s="758">
        <f t="shared" si="206"/>
        <v>5.0200000000000005</v>
      </c>
      <c r="J3267" s="760">
        <f t="shared" si="207"/>
        <v>0.88070175438596487</v>
      </c>
    </row>
    <row r="3268" spans="1:10">
      <c r="A3268" s="74" t="s">
        <v>1001</v>
      </c>
      <c r="B3268" s="74" t="s">
        <v>894</v>
      </c>
      <c r="C3268" s="74" t="s">
        <v>1526</v>
      </c>
      <c r="D3268" s="74" t="s">
        <v>95</v>
      </c>
      <c r="E3268" s="74">
        <v>2</v>
      </c>
      <c r="F3268" s="74">
        <v>11.4</v>
      </c>
      <c r="G3268" s="758">
        <f t="shared" si="204"/>
        <v>0.68</v>
      </c>
      <c r="H3268" s="759">
        <f t="shared" si="205"/>
        <v>0.23</v>
      </c>
      <c r="I3268" s="758">
        <f t="shared" si="206"/>
        <v>5.0200000000000005</v>
      </c>
      <c r="J3268" s="760">
        <f t="shared" si="207"/>
        <v>0.88070175438596487</v>
      </c>
    </row>
    <row r="3269" spans="1:10">
      <c r="A3269" s="74" t="s">
        <v>1001</v>
      </c>
      <c r="B3269" s="74" t="s">
        <v>894</v>
      </c>
      <c r="C3269" s="74" t="s">
        <v>1930</v>
      </c>
      <c r="D3269" s="74" t="s">
        <v>95</v>
      </c>
      <c r="E3269" s="74">
        <v>2</v>
      </c>
      <c r="F3269" s="74">
        <v>11.4</v>
      </c>
      <c r="G3269" s="758">
        <f t="shared" si="204"/>
        <v>0.68</v>
      </c>
      <c r="H3269" s="759">
        <f t="shared" si="205"/>
        <v>0.23</v>
      </c>
      <c r="I3269" s="758">
        <f t="shared" si="206"/>
        <v>5.0200000000000005</v>
      </c>
      <c r="J3269" s="760">
        <f t="shared" si="207"/>
        <v>0.88070175438596487</v>
      </c>
    </row>
    <row r="3270" spans="1:10">
      <c r="A3270" s="74" t="s">
        <v>1851</v>
      </c>
      <c r="B3270" s="74" t="s">
        <v>894</v>
      </c>
      <c r="C3270" s="74" t="s">
        <v>1532</v>
      </c>
      <c r="D3270" s="74" t="s">
        <v>80</v>
      </c>
      <c r="E3270" s="74">
        <v>2</v>
      </c>
      <c r="F3270" s="74">
        <v>12.4</v>
      </c>
      <c r="G3270" s="758">
        <f t="shared" si="204"/>
        <v>1.57</v>
      </c>
      <c r="H3270" s="759">
        <f t="shared" si="205"/>
        <v>0.28000000000000003</v>
      </c>
      <c r="I3270" s="758">
        <f t="shared" si="206"/>
        <v>4.63</v>
      </c>
      <c r="J3270" s="760">
        <f t="shared" si="207"/>
        <v>0.74677419354838714</v>
      </c>
    </row>
    <row r="3271" spans="1:10">
      <c r="A3271" s="74" t="s">
        <v>1851</v>
      </c>
      <c r="B3271" s="74" t="s">
        <v>894</v>
      </c>
      <c r="C3271" s="74" t="s">
        <v>1511</v>
      </c>
      <c r="D3271" s="74" t="s">
        <v>80</v>
      </c>
      <c r="E3271" s="74">
        <v>1</v>
      </c>
      <c r="F3271" s="74">
        <v>6.35</v>
      </c>
      <c r="G3271" s="758">
        <f t="shared" si="204"/>
        <v>1.57</v>
      </c>
      <c r="H3271" s="759">
        <f t="shared" si="205"/>
        <v>0.28000000000000003</v>
      </c>
      <c r="I3271" s="758">
        <f t="shared" si="206"/>
        <v>4.7799999999999994</v>
      </c>
      <c r="J3271" s="760">
        <f t="shared" si="207"/>
        <v>0.75275590551181104</v>
      </c>
    </row>
    <row r="3272" spans="1:10">
      <c r="A3272" s="74" t="s">
        <v>1851</v>
      </c>
      <c r="B3272" s="74" t="s">
        <v>894</v>
      </c>
      <c r="C3272" s="74" t="s">
        <v>1514</v>
      </c>
      <c r="D3272" s="74" t="s">
        <v>81</v>
      </c>
      <c r="E3272" s="74">
        <v>2</v>
      </c>
      <c r="F3272" s="74">
        <v>12.4</v>
      </c>
      <c r="G3272" s="758">
        <f t="shared" si="204"/>
        <v>1.57</v>
      </c>
      <c r="H3272" s="759">
        <f t="shared" si="205"/>
        <v>0.28000000000000003</v>
      </c>
      <c r="I3272" s="758">
        <f t="shared" si="206"/>
        <v>4.63</v>
      </c>
      <c r="J3272" s="760">
        <f t="shared" si="207"/>
        <v>0.74677419354838714</v>
      </c>
    </row>
    <row r="3273" spans="1:10">
      <c r="A3273" s="74" t="s">
        <v>1852</v>
      </c>
      <c r="B3273" s="74" t="s">
        <v>894</v>
      </c>
      <c r="C3273" s="74" t="s">
        <v>1582</v>
      </c>
      <c r="D3273" s="74" t="s">
        <v>89</v>
      </c>
      <c r="E3273" s="74">
        <v>2</v>
      </c>
      <c r="F3273" s="74">
        <v>13.9</v>
      </c>
      <c r="G3273" s="758">
        <f t="shared" si="204"/>
        <v>0</v>
      </c>
      <c r="H3273" s="759">
        <f t="shared" si="205"/>
        <v>0</v>
      </c>
      <c r="I3273" s="758">
        <f t="shared" si="206"/>
        <v>6.95</v>
      </c>
      <c r="J3273" s="760">
        <f t="shared" si="207"/>
        <v>1</v>
      </c>
    </row>
    <row r="3274" spans="1:10">
      <c r="A3274" s="74" t="s">
        <v>895</v>
      </c>
      <c r="B3274" s="74" t="s">
        <v>894</v>
      </c>
      <c r="C3274" s="74" t="s">
        <v>1528</v>
      </c>
      <c r="D3274" s="74" t="s">
        <v>78</v>
      </c>
      <c r="E3274" s="74">
        <v>13</v>
      </c>
      <c r="F3274" s="74">
        <v>95</v>
      </c>
      <c r="G3274" s="758">
        <f t="shared" si="204"/>
        <v>1.23</v>
      </c>
      <c r="H3274" s="759">
        <f t="shared" si="205"/>
        <v>0.26</v>
      </c>
      <c r="I3274" s="758">
        <f t="shared" si="206"/>
        <v>6.0776923076923079</v>
      </c>
      <c r="J3274" s="760">
        <f t="shared" si="207"/>
        <v>0.8316842105263158</v>
      </c>
    </row>
    <row r="3275" spans="1:10">
      <c r="A3275" s="74" t="s">
        <v>895</v>
      </c>
      <c r="B3275" s="74" t="s">
        <v>894</v>
      </c>
      <c r="C3275" s="74" t="s">
        <v>1508</v>
      </c>
      <c r="D3275" s="74" t="s">
        <v>78</v>
      </c>
      <c r="E3275" s="74">
        <v>7</v>
      </c>
      <c r="F3275" s="74">
        <v>49.7</v>
      </c>
      <c r="G3275" s="758">
        <f t="shared" si="204"/>
        <v>1.23</v>
      </c>
      <c r="H3275" s="759">
        <f t="shared" si="205"/>
        <v>0.26</v>
      </c>
      <c r="I3275" s="758">
        <f t="shared" si="206"/>
        <v>5.870000000000001</v>
      </c>
      <c r="J3275" s="760">
        <f t="shared" si="207"/>
        <v>0.8267605633802817</v>
      </c>
    </row>
    <row r="3276" spans="1:10">
      <c r="A3276" s="74" t="s">
        <v>895</v>
      </c>
      <c r="B3276" s="74" t="s">
        <v>894</v>
      </c>
      <c r="C3276" s="74" t="s">
        <v>1509</v>
      </c>
      <c r="D3276" s="74" t="s">
        <v>78</v>
      </c>
      <c r="E3276" s="74">
        <v>18</v>
      </c>
      <c r="F3276" s="74">
        <v>127.8</v>
      </c>
      <c r="G3276" s="758">
        <f t="shared" si="204"/>
        <v>1.23</v>
      </c>
      <c r="H3276" s="759">
        <f t="shared" si="205"/>
        <v>0.26</v>
      </c>
      <c r="I3276" s="758">
        <f t="shared" si="206"/>
        <v>5.8699999999999992</v>
      </c>
      <c r="J3276" s="760">
        <f t="shared" si="207"/>
        <v>0.8267605633802817</v>
      </c>
    </row>
    <row r="3277" spans="1:10">
      <c r="A3277" s="74" t="s">
        <v>895</v>
      </c>
      <c r="B3277" s="74" t="s">
        <v>894</v>
      </c>
      <c r="C3277" s="74" t="s">
        <v>1565</v>
      </c>
      <c r="D3277" s="74" t="s">
        <v>78</v>
      </c>
      <c r="E3277" s="74">
        <v>10</v>
      </c>
      <c r="F3277" s="74">
        <v>71.09</v>
      </c>
      <c r="G3277" s="758">
        <f t="shared" si="204"/>
        <v>1.23</v>
      </c>
      <c r="H3277" s="759">
        <f t="shared" si="205"/>
        <v>0.26</v>
      </c>
      <c r="I3277" s="758">
        <f t="shared" si="206"/>
        <v>5.8789999999999996</v>
      </c>
      <c r="J3277" s="760">
        <f t="shared" si="207"/>
        <v>0.82697988465325645</v>
      </c>
    </row>
    <row r="3278" spans="1:10">
      <c r="A3278" s="74" t="s">
        <v>895</v>
      </c>
      <c r="B3278" s="74" t="s">
        <v>894</v>
      </c>
      <c r="C3278" s="74" t="s">
        <v>1530</v>
      </c>
      <c r="D3278" s="74" t="s">
        <v>80</v>
      </c>
      <c r="E3278" s="74">
        <v>1</v>
      </c>
      <c r="F3278" s="74">
        <v>7.1</v>
      </c>
      <c r="G3278" s="758">
        <f t="shared" si="204"/>
        <v>1.23</v>
      </c>
      <c r="H3278" s="759">
        <f t="shared" si="205"/>
        <v>0.26</v>
      </c>
      <c r="I3278" s="758">
        <f t="shared" si="206"/>
        <v>5.8699999999999992</v>
      </c>
      <c r="J3278" s="760">
        <f t="shared" si="207"/>
        <v>0.8267605633802817</v>
      </c>
    </row>
    <row r="3279" spans="1:10">
      <c r="A3279" s="74" t="s">
        <v>895</v>
      </c>
      <c r="B3279" s="74" t="s">
        <v>894</v>
      </c>
      <c r="C3279" s="74" t="s">
        <v>1532</v>
      </c>
      <c r="D3279" s="74" t="s">
        <v>80</v>
      </c>
      <c r="E3279" s="74">
        <v>3</v>
      </c>
      <c r="F3279" s="74">
        <v>21.3</v>
      </c>
      <c r="G3279" s="758">
        <f t="shared" si="204"/>
        <v>1.23</v>
      </c>
      <c r="H3279" s="759">
        <f t="shared" si="205"/>
        <v>0.26</v>
      </c>
      <c r="I3279" s="758">
        <f t="shared" si="206"/>
        <v>5.870000000000001</v>
      </c>
      <c r="J3279" s="760">
        <f t="shared" si="207"/>
        <v>0.8267605633802817</v>
      </c>
    </row>
    <row r="3280" spans="1:10">
      <c r="A3280" s="74" t="s">
        <v>895</v>
      </c>
      <c r="B3280" s="74" t="s">
        <v>894</v>
      </c>
      <c r="C3280" s="74" t="s">
        <v>1511</v>
      </c>
      <c r="D3280" s="74" t="s">
        <v>80</v>
      </c>
      <c r="E3280" s="74">
        <v>11</v>
      </c>
      <c r="F3280" s="74">
        <v>78.099999999999994</v>
      </c>
      <c r="G3280" s="758">
        <f t="shared" si="204"/>
        <v>1.23</v>
      </c>
      <c r="H3280" s="759">
        <f t="shared" si="205"/>
        <v>0.26</v>
      </c>
      <c r="I3280" s="758">
        <f t="shared" si="206"/>
        <v>5.8699999999999992</v>
      </c>
      <c r="J3280" s="760">
        <f t="shared" si="207"/>
        <v>0.8267605633802817</v>
      </c>
    </row>
    <row r="3281" spans="1:10">
      <c r="A3281" s="74" t="s">
        <v>895</v>
      </c>
      <c r="B3281" s="74" t="s">
        <v>894</v>
      </c>
      <c r="C3281" s="74" t="s">
        <v>1512</v>
      </c>
      <c r="D3281" s="74" t="s">
        <v>80</v>
      </c>
      <c r="E3281" s="74">
        <v>15</v>
      </c>
      <c r="F3281" s="74">
        <v>106.5</v>
      </c>
      <c r="G3281" s="758">
        <f t="shared" si="204"/>
        <v>1.23</v>
      </c>
      <c r="H3281" s="759">
        <f t="shared" si="205"/>
        <v>0.26</v>
      </c>
      <c r="I3281" s="758">
        <f t="shared" si="206"/>
        <v>5.8699999999999992</v>
      </c>
      <c r="J3281" s="760">
        <f t="shared" si="207"/>
        <v>0.8267605633802817</v>
      </c>
    </row>
    <row r="3282" spans="1:10">
      <c r="A3282" s="74" t="s">
        <v>895</v>
      </c>
      <c r="B3282" s="74" t="s">
        <v>894</v>
      </c>
      <c r="C3282" s="74" t="s">
        <v>1534</v>
      </c>
      <c r="D3282" s="74" t="s">
        <v>81</v>
      </c>
      <c r="E3282" s="74">
        <v>10</v>
      </c>
      <c r="F3282" s="74">
        <v>71</v>
      </c>
      <c r="G3282" s="758">
        <f t="shared" si="204"/>
        <v>1.23</v>
      </c>
      <c r="H3282" s="759">
        <f t="shared" si="205"/>
        <v>0.26</v>
      </c>
      <c r="I3282" s="758">
        <f t="shared" si="206"/>
        <v>5.8699999999999992</v>
      </c>
      <c r="J3282" s="760">
        <f t="shared" si="207"/>
        <v>0.8267605633802817</v>
      </c>
    </row>
    <row r="3283" spans="1:10">
      <c r="A3283" s="74" t="s">
        <v>895</v>
      </c>
      <c r="B3283" s="74" t="s">
        <v>894</v>
      </c>
      <c r="C3283" s="74" t="s">
        <v>1513</v>
      </c>
      <c r="D3283" s="74" t="s">
        <v>81</v>
      </c>
      <c r="E3283" s="74">
        <v>8</v>
      </c>
      <c r="F3283" s="74">
        <v>56.8</v>
      </c>
      <c r="G3283" s="758">
        <f t="shared" si="204"/>
        <v>1.23</v>
      </c>
      <c r="H3283" s="759">
        <f t="shared" si="205"/>
        <v>0.26</v>
      </c>
      <c r="I3283" s="758">
        <f t="shared" si="206"/>
        <v>5.8699999999999992</v>
      </c>
      <c r="J3283" s="760">
        <f t="shared" si="207"/>
        <v>0.8267605633802817</v>
      </c>
    </row>
    <row r="3284" spans="1:10">
      <c r="A3284" s="74" t="s">
        <v>895</v>
      </c>
      <c r="B3284" s="74" t="s">
        <v>894</v>
      </c>
      <c r="C3284" s="74" t="s">
        <v>1514</v>
      </c>
      <c r="D3284" s="74" t="s">
        <v>81</v>
      </c>
      <c r="E3284" s="74">
        <v>6</v>
      </c>
      <c r="F3284" s="74">
        <v>42.6</v>
      </c>
      <c r="G3284" s="758">
        <f t="shared" si="204"/>
        <v>1.23</v>
      </c>
      <c r="H3284" s="759">
        <f t="shared" si="205"/>
        <v>0.26</v>
      </c>
      <c r="I3284" s="758">
        <f t="shared" si="206"/>
        <v>5.870000000000001</v>
      </c>
      <c r="J3284" s="760">
        <f t="shared" si="207"/>
        <v>0.8267605633802817</v>
      </c>
    </row>
    <row r="3285" spans="1:10">
      <c r="A3285" s="74" t="s">
        <v>895</v>
      </c>
      <c r="B3285" s="74" t="s">
        <v>894</v>
      </c>
      <c r="C3285" s="74" t="s">
        <v>1515</v>
      </c>
      <c r="D3285" s="74" t="s">
        <v>81</v>
      </c>
      <c r="E3285" s="74">
        <v>8</v>
      </c>
      <c r="F3285" s="74">
        <v>56.8</v>
      </c>
      <c r="G3285" s="758">
        <f t="shared" si="204"/>
        <v>1.23</v>
      </c>
      <c r="H3285" s="759">
        <f t="shared" si="205"/>
        <v>0.26</v>
      </c>
      <c r="I3285" s="758">
        <f t="shared" si="206"/>
        <v>5.8699999999999992</v>
      </c>
      <c r="J3285" s="760">
        <f t="shared" si="207"/>
        <v>0.8267605633802817</v>
      </c>
    </row>
    <row r="3286" spans="1:10">
      <c r="A3286" s="74" t="s">
        <v>895</v>
      </c>
      <c r="B3286" s="74" t="s">
        <v>894</v>
      </c>
      <c r="C3286" s="74" t="s">
        <v>1516</v>
      </c>
      <c r="D3286" s="74" t="s">
        <v>82</v>
      </c>
      <c r="E3286" s="74">
        <v>6</v>
      </c>
      <c r="F3286" s="74">
        <v>43.6</v>
      </c>
      <c r="G3286" s="758">
        <f t="shared" si="204"/>
        <v>1.23</v>
      </c>
      <c r="H3286" s="759">
        <f t="shared" si="205"/>
        <v>0.26</v>
      </c>
      <c r="I3286" s="758">
        <f t="shared" si="206"/>
        <v>6.0366666666666671</v>
      </c>
      <c r="J3286" s="760">
        <f t="shared" si="207"/>
        <v>0.83073394495412844</v>
      </c>
    </row>
    <row r="3287" spans="1:10">
      <c r="A3287" s="74" t="s">
        <v>895</v>
      </c>
      <c r="B3287" s="74" t="s">
        <v>894</v>
      </c>
      <c r="C3287" s="74" t="s">
        <v>1517</v>
      </c>
      <c r="D3287" s="74" t="s">
        <v>82</v>
      </c>
      <c r="E3287" s="74">
        <v>3</v>
      </c>
      <c r="F3287" s="74">
        <v>21.3</v>
      </c>
      <c r="G3287" s="758">
        <f t="shared" si="204"/>
        <v>1.23</v>
      </c>
      <c r="H3287" s="759">
        <f t="shared" si="205"/>
        <v>0.26</v>
      </c>
      <c r="I3287" s="758">
        <f t="shared" si="206"/>
        <v>5.870000000000001</v>
      </c>
      <c r="J3287" s="760">
        <f t="shared" si="207"/>
        <v>0.8267605633802817</v>
      </c>
    </row>
    <row r="3288" spans="1:10">
      <c r="A3288" s="74" t="s">
        <v>895</v>
      </c>
      <c r="B3288" s="74" t="s">
        <v>894</v>
      </c>
      <c r="C3288" s="74" t="s">
        <v>1527</v>
      </c>
      <c r="D3288" s="74" t="s">
        <v>82</v>
      </c>
      <c r="E3288" s="74">
        <v>7</v>
      </c>
      <c r="F3288" s="74">
        <v>49.7</v>
      </c>
      <c r="G3288" s="758">
        <f t="shared" si="204"/>
        <v>1.23</v>
      </c>
      <c r="H3288" s="759">
        <f t="shared" si="205"/>
        <v>0.26</v>
      </c>
      <c r="I3288" s="758">
        <f t="shared" si="206"/>
        <v>5.870000000000001</v>
      </c>
      <c r="J3288" s="760">
        <f t="shared" si="207"/>
        <v>0.8267605633802817</v>
      </c>
    </row>
    <row r="3289" spans="1:10">
      <c r="A3289" s="74" t="s">
        <v>895</v>
      </c>
      <c r="B3289" s="74" t="s">
        <v>894</v>
      </c>
      <c r="C3289" s="74" t="s">
        <v>1518</v>
      </c>
      <c r="D3289" s="74" t="s">
        <v>82</v>
      </c>
      <c r="E3289" s="74">
        <v>3</v>
      </c>
      <c r="F3289" s="74">
        <v>21.3</v>
      </c>
      <c r="G3289" s="758">
        <f t="shared" si="204"/>
        <v>1.23</v>
      </c>
      <c r="H3289" s="759">
        <f t="shared" si="205"/>
        <v>0.26</v>
      </c>
      <c r="I3289" s="758">
        <f t="shared" si="206"/>
        <v>5.870000000000001</v>
      </c>
      <c r="J3289" s="760">
        <f t="shared" si="207"/>
        <v>0.8267605633802817</v>
      </c>
    </row>
    <row r="3290" spans="1:10">
      <c r="A3290" s="74" t="s">
        <v>895</v>
      </c>
      <c r="B3290" s="74" t="s">
        <v>894</v>
      </c>
      <c r="C3290" s="74" t="s">
        <v>1519</v>
      </c>
      <c r="D3290" s="74" t="s">
        <v>84</v>
      </c>
      <c r="E3290" s="74">
        <v>6</v>
      </c>
      <c r="F3290" s="74">
        <v>42.6</v>
      </c>
      <c r="G3290" s="758">
        <f t="shared" si="204"/>
        <v>1.23</v>
      </c>
      <c r="H3290" s="759">
        <f t="shared" si="205"/>
        <v>0.26</v>
      </c>
      <c r="I3290" s="758">
        <f t="shared" si="206"/>
        <v>5.870000000000001</v>
      </c>
      <c r="J3290" s="760">
        <f t="shared" si="207"/>
        <v>0.8267605633802817</v>
      </c>
    </row>
    <row r="3291" spans="1:10">
      <c r="A3291" s="74" t="s">
        <v>895</v>
      </c>
      <c r="B3291" s="74" t="s">
        <v>894</v>
      </c>
      <c r="C3291" s="74" t="s">
        <v>1540</v>
      </c>
      <c r="D3291" s="74" t="s">
        <v>84</v>
      </c>
      <c r="E3291" s="74">
        <v>7</v>
      </c>
      <c r="F3291" s="74">
        <v>49.7</v>
      </c>
      <c r="G3291" s="758">
        <f t="shared" si="204"/>
        <v>1.23</v>
      </c>
      <c r="H3291" s="759">
        <f t="shared" si="205"/>
        <v>0.26</v>
      </c>
      <c r="I3291" s="758">
        <f t="shared" si="206"/>
        <v>5.870000000000001</v>
      </c>
      <c r="J3291" s="760">
        <f t="shared" si="207"/>
        <v>0.8267605633802817</v>
      </c>
    </row>
    <row r="3292" spans="1:10">
      <c r="A3292" s="74" t="s">
        <v>895</v>
      </c>
      <c r="B3292" s="74" t="s">
        <v>894</v>
      </c>
      <c r="C3292" s="74" t="s">
        <v>1577</v>
      </c>
      <c r="D3292" s="74" t="s">
        <v>84</v>
      </c>
      <c r="E3292" s="74">
        <v>3</v>
      </c>
      <c r="F3292" s="74">
        <v>21.3</v>
      </c>
      <c r="G3292" s="758">
        <f t="shared" si="204"/>
        <v>1.23</v>
      </c>
      <c r="H3292" s="759">
        <f t="shared" si="205"/>
        <v>0.26</v>
      </c>
      <c r="I3292" s="758">
        <f t="shared" si="206"/>
        <v>5.870000000000001</v>
      </c>
      <c r="J3292" s="760">
        <f t="shared" si="207"/>
        <v>0.8267605633802817</v>
      </c>
    </row>
    <row r="3293" spans="1:10">
      <c r="A3293" s="74" t="s">
        <v>895</v>
      </c>
      <c r="B3293" s="74" t="s">
        <v>894</v>
      </c>
      <c r="C3293" s="74" t="s">
        <v>1507</v>
      </c>
      <c r="D3293" s="74" t="s">
        <v>86</v>
      </c>
      <c r="E3293" s="74">
        <v>4</v>
      </c>
      <c r="F3293" s="74">
        <v>25.6</v>
      </c>
      <c r="G3293" s="758">
        <f t="shared" si="204"/>
        <v>1.23</v>
      </c>
      <c r="H3293" s="759">
        <f t="shared" si="205"/>
        <v>0.26</v>
      </c>
      <c r="I3293" s="758">
        <f t="shared" si="206"/>
        <v>5.17</v>
      </c>
      <c r="J3293" s="760">
        <f t="shared" si="207"/>
        <v>0.80781250000000004</v>
      </c>
    </row>
    <row r="3294" spans="1:10">
      <c r="A3294" s="74" t="s">
        <v>895</v>
      </c>
      <c r="B3294" s="74" t="s">
        <v>894</v>
      </c>
      <c r="C3294" s="74" t="s">
        <v>1644</v>
      </c>
      <c r="D3294" s="74" t="s">
        <v>86</v>
      </c>
      <c r="E3294" s="74">
        <v>2</v>
      </c>
      <c r="F3294" s="74">
        <v>14.2</v>
      </c>
      <c r="G3294" s="758">
        <f t="shared" si="204"/>
        <v>1.23</v>
      </c>
      <c r="H3294" s="759">
        <f t="shared" si="205"/>
        <v>0.26</v>
      </c>
      <c r="I3294" s="758">
        <f t="shared" si="206"/>
        <v>5.8699999999999992</v>
      </c>
      <c r="J3294" s="760">
        <f t="shared" si="207"/>
        <v>0.8267605633802817</v>
      </c>
    </row>
    <row r="3295" spans="1:10">
      <c r="A3295" s="74" t="s">
        <v>895</v>
      </c>
      <c r="B3295" s="74" t="s">
        <v>894</v>
      </c>
      <c r="C3295" s="74" t="s">
        <v>1578</v>
      </c>
      <c r="D3295" s="74" t="s">
        <v>86</v>
      </c>
      <c r="E3295" s="74">
        <v>1</v>
      </c>
      <c r="F3295" s="74">
        <v>7.1</v>
      </c>
      <c r="G3295" s="758">
        <f t="shared" si="204"/>
        <v>1.23</v>
      </c>
      <c r="H3295" s="759">
        <f t="shared" si="205"/>
        <v>0.26</v>
      </c>
      <c r="I3295" s="758">
        <f t="shared" si="206"/>
        <v>5.8699999999999992</v>
      </c>
      <c r="J3295" s="760">
        <f t="shared" si="207"/>
        <v>0.8267605633802817</v>
      </c>
    </row>
    <row r="3296" spans="1:10">
      <c r="A3296" s="74" t="s">
        <v>895</v>
      </c>
      <c r="B3296" s="74" t="s">
        <v>894</v>
      </c>
      <c r="C3296" s="74" t="s">
        <v>1646</v>
      </c>
      <c r="D3296" s="74" t="s">
        <v>86</v>
      </c>
      <c r="E3296" s="74">
        <v>2</v>
      </c>
      <c r="F3296" s="74">
        <v>14.2</v>
      </c>
      <c r="G3296" s="758">
        <f t="shared" si="204"/>
        <v>1.23</v>
      </c>
      <c r="H3296" s="759">
        <f t="shared" si="205"/>
        <v>0.26</v>
      </c>
      <c r="I3296" s="758">
        <f t="shared" si="206"/>
        <v>5.8699999999999992</v>
      </c>
      <c r="J3296" s="760">
        <f t="shared" si="207"/>
        <v>0.8267605633802817</v>
      </c>
    </row>
    <row r="3297" spans="1:10">
      <c r="A3297" s="74" t="s">
        <v>895</v>
      </c>
      <c r="B3297" s="74" t="s">
        <v>894</v>
      </c>
      <c r="C3297" s="74" t="s">
        <v>1543</v>
      </c>
      <c r="D3297" s="74" t="s">
        <v>87</v>
      </c>
      <c r="E3297" s="74">
        <v>3</v>
      </c>
      <c r="F3297" s="74">
        <v>21.3</v>
      </c>
      <c r="G3297" s="758">
        <f t="shared" si="204"/>
        <v>1.23</v>
      </c>
      <c r="H3297" s="759">
        <f t="shared" si="205"/>
        <v>0.26</v>
      </c>
      <c r="I3297" s="758">
        <f t="shared" si="206"/>
        <v>5.870000000000001</v>
      </c>
      <c r="J3297" s="760">
        <f t="shared" si="207"/>
        <v>0.8267605633802817</v>
      </c>
    </row>
    <row r="3298" spans="1:10">
      <c r="A3298" s="74" t="s">
        <v>895</v>
      </c>
      <c r="B3298" s="74" t="s">
        <v>894</v>
      </c>
      <c r="C3298" s="74" t="s">
        <v>1544</v>
      </c>
      <c r="D3298" s="74" t="s">
        <v>87</v>
      </c>
      <c r="E3298" s="74">
        <v>3</v>
      </c>
      <c r="F3298" s="74">
        <v>21.3</v>
      </c>
      <c r="G3298" s="758">
        <f t="shared" si="204"/>
        <v>1.23</v>
      </c>
      <c r="H3298" s="759">
        <f t="shared" si="205"/>
        <v>0.26</v>
      </c>
      <c r="I3298" s="758">
        <f t="shared" si="206"/>
        <v>5.870000000000001</v>
      </c>
      <c r="J3298" s="760">
        <f t="shared" si="207"/>
        <v>0.8267605633802817</v>
      </c>
    </row>
    <row r="3299" spans="1:10">
      <c r="A3299" s="74" t="s">
        <v>895</v>
      </c>
      <c r="B3299" s="74" t="s">
        <v>894</v>
      </c>
      <c r="C3299" s="74" t="s">
        <v>1605</v>
      </c>
      <c r="D3299" s="74" t="s">
        <v>87</v>
      </c>
      <c r="E3299" s="74">
        <v>1</v>
      </c>
      <c r="F3299" s="74">
        <v>7.1</v>
      </c>
      <c r="G3299" s="758">
        <f t="shared" si="204"/>
        <v>1.23</v>
      </c>
      <c r="H3299" s="759">
        <f t="shared" si="205"/>
        <v>0.26</v>
      </c>
      <c r="I3299" s="758">
        <f t="shared" si="206"/>
        <v>5.8699999999999992</v>
      </c>
      <c r="J3299" s="760">
        <f t="shared" si="207"/>
        <v>0.8267605633802817</v>
      </c>
    </row>
    <row r="3300" spans="1:10">
      <c r="A3300" s="74" t="s">
        <v>895</v>
      </c>
      <c r="B3300" s="74" t="s">
        <v>894</v>
      </c>
      <c r="C3300" s="74" t="s">
        <v>1561</v>
      </c>
      <c r="D3300" s="74" t="s">
        <v>87</v>
      </c>
      <c r="E3300" s="74">
        <v>2</v>
      </c>
      <c r="F3300" s="74">
        <v>14.2</v>
      </c>
      <c r="G3300" s="758">
        <f t="shared" si="204"/>
        <v>1.23</v>
      </c>
      <c r="H3300" s="759">
        <f t="shared" si="205"/>
        <v>0.26</v>
      </c>
      <c r="I3300" s="758">
        <f t="shared" si="206"/>
        <v>5.8699999999999992</v>
      </c>
      <c r="J3300" s="760">
        <f t="shared" si="207"/>
        <v>0.8267605633802817</v>
      </c>
    </row>
    <row r="3301" spans="1:10">
      <c r="A3301" s="74" t="s">
        <v>895</v>
      </c>
      <c r="B3301" s="74" t="s">
        <v>894</v>
      </c>
      <c r="C3301" s="74" t="s">
        <v>1608</v>
      </c>
      <c r="D3301" s="74" t="s">
        <v>89</v>
      </c>
      <c r="E3301" s="74">
        <v>3</v>
      </c>
      <c r="F3301" s="74">
        <v>21.3</v>
      </c>
      <c r="G3301" s="758">
        <f t="shared" si="204"/>
        <v>1.23</v>
      </c>
      <c r="H3301" s="759">
        <f t="shared" si="205"/>
        <v>0.26</v>
      </c>
      <c r="I3301" s="758">
        <f t="shared" si="206"/>
        <v>5.870000000000001</v>
      </c>
      <c r="J3301" s="760">
        <f t="shared" si="207"/>
        <v>0.8267605633802817</v>
      </c>
    </row>
    <row r="3302" spans="1:10">
      <c r="A3302" s="74" t="s">
        <v>895</v>
      </c>
      <c r="B3302" s="74" t="s">
        <v>894</v>
      </c>
      <c r="C3302" s="74" t="s">
        <v>1610</v>
      </c>
      <c r="D3302" s="74" t="s">
        <v>89</v>
      </c>
      <c r="E3302" s="74">
        <v>1</v>
      </c>
      <c r="F3302" s="74">
        <v>7.1</v>
      </c>
      <c r="G3302" s="758">
        <f t="shared" si="204"/>
        <v>1.23</v>
      </c>
      <c r="H3302" s="759">
        <f t="shared" si="205"/>
        <v>0.26</v>
      </c>
      <c r="I3302" s="758">
        <f t="shared" si="206"/>
        <v>5.8699999999999992</v>
      </c>
      <c r="J3302" s="760">
        <f t="shared" si="207"/>
        <v>0.8267605633802817</v>
      </c>
    </row>
    <row r="3303" spans="1:10">
      <c r="A3303" s="74" t="s">
        <v>895</v>
      </c>
      <c r="B3303" s="74" t="s">
        <v>894</v>
      </c>
      <c r="C3303" s="74" t="s">
        <v>1546</v>
      </c>
      <c r="D3303" s="74" t="s">
        <v>89</v>
      </c>
      <c r="E3303" s="74">
        <v>4</v>
      </c>
      <c r="F3303" s="74">
        <v>28.4</v>
      </c>
      <c r="G3303" s="758">
        <f t="shared" si="204"/>
        <v>1.23</v>
      </c>
      <c r="H3303" s="759">
        <f t="shared" si="205"/>
        <v>0.26</v>
      </c>
      <c r="I3303" s="758">
        <f t="shared" si="206"/>
        <v>5.8699999999999992</v>
      </c>
      <c r="J3303" s="760">
        <f t="shared" si="207"/>
        <v>0.8267605633802817</v>
      </c>
    </row>
    <row r="3304" spans="1:10">
      <c r="A3304" s="74" t="s">
        <v>895</v>
      </c>
      <c r="B3304" s="74" t="s">
        <v>894</v>
      </c>
      <c r="C3304" s="74" t="s">
        <v>1582</v>
      </c>
      <c r="D3304" s="74" t="s">
        <v>89</v>
      </c>
      <c r="E3304" s="74">
        <v>2</v>
      </c>
      <c r="F3304" s="74">
        <v>14.2</v>
      </c>
      <c r="G3304" s="758">
        <f t="shared" si="204"/>
        <v>1.23</v>
      </c>
      <c r="H3304" s="759">
        <f t="shared" si="205"/>
        <v>0.26</v>
      </c>
      <c r="I3304" s="758">
        <f t="shared" si="206"/>
        <v>5.8699999999999992</v>
      </c>
      <c r="J3304" s="760">
        <f t="shared" si="207"/>
        <v>0.8267605633802817</v>
      </c>
    </row>
    <row r="3305" spans="1:10">
      <c r="A3305" s="74" t="s">
        <v>895</v>
      </c>
      <c r="B3305" s="74" t="s">
        <v>894</v>
      </c>
      <c r="C3305" s="74" t="s">
        <v>1550</v>
      </c>
      <c r="D3305" s="74" t="s">
        <v>91</v>
      </c>
      <c r="E3305" s="74">
        <v>6</v>
      </c>
      <c r="F3305" s="74">
        <v>42.6</v>
      </c>
      <c r="G3305" s="758">
        <f t="shared" si="204"/>
        <v>1.23</v>
      </c>
      <c r="H3305" s="759">
        <f t="shared" si="205"/>
        <v>0.26</v>
      </c>
      <c r="I3305" s="758">
        <f t="shared" si="206"/>
        <v>5.870000000000001</v>
      </c>
      <c r="J3305" s="760">
        <f t="shared" si="207"/>
        <v>0.8267605633802817</v>
      </c>
    </row>
    <row r="3306" spans="1:10">
      <c r="A3306" s="74" t="s">
        <v>895</v>
      </c>
      <c r="B3306" s="74" t="s">
        <v>894</v>
      </c>
      <c r="C3306" s="74" t="s">
        <v>1675</v>
      </c>
      <c r="D3306" s="74" t="s">
        <v>91</v>
      </c>
      <c r="E3306" s="74">
        <v>2</v>
      </c>
      <c r="F3306" s="74">
        <v>14.2</v>
      </c>
      <c r="G3306" s="758">
        <f t="shared" si="204"/>
        <v>1.23</v>
      </c>
      <c r="H3306" s="759">
        <f t="shared" si="205"/>
        <v>0.26</v>
      </c>
      <c r="I3306" s="758">
        <f t="shared" si="206"/>
        <v>5.8699999999999992</v>
      </c>
      <c r="J3306" s="760">
        <f t="shared" si="207"/>
        <v>0.8267605633802817</v>
      </c>
    </row>
    <row r="3307" spans="1:10">
      <c r="A3307" s="74" t="s">
        <v>895</v>
      </c>
      <c r="B3307" s="74" t="s">
        <v>894</v>
      </c>
      <c r="C3307" s="74" t="s">
        <v>1524</v>
      </c>
      <c r="D3307" s="74" t="s">
        <v>91</v>
      </c>
      <c r="E3307" s="74">
        <v>1</v>
      </c>
      <c r="F3307" s="74">
        <v>7.1</v>
      </c>
      <c r="G3307" s="758">
        <f t="shared" si="204"/>
        <v>1.23</v>
      </c>
      <c r="H3307" s="759">
        <f t="shared" si="205"/>
        <v>0.26</v>
      </c>
      <c r="I3307" s="758">
        <f t="shared" si="206"/>
        <v>5.8699999999999992</v>
      </c>
      <c r="J3307" s="760">
        <f t="shared" si="207"/>
        <v>0.8267605633802817</v>
      </c>
    </row>
    <row r="3308" spans="1:10">
      <c r="A3308" s="74" t="s">
        <v>895</v>
      </c>
      <c r="B3308" s="74" t="s">
        <v>894</v>
      </c>
      <c r="C3308" s="74" t="s">
        <v>1584</v>
      </c>
      <c r="D3308" s="74" t="s">
        <v>92</v>
      </c>
      <c r="E3308" s="74">
        <v>1</v>
      </c>
      <c r="F3308" s="74">
        <v>7.1</v>
      </c>
      <c r="G3308" s="758">
        <f t="shared" si="204"/>
        <v>1.23</v>
      </c>
      <c r="H3308" s="759">
        <f t="shared" si="205"/>
        <v>0.26</v>
      </c>
      <c r="I3308" s="758">
        <f t="shared" si="206"/>
        <v>5.8699999999999992</v>
      </c>
      <c r="J3308" s="760">
        <f t="shared" si="207"/>
        <v>0.8267605633802817</v>
      </c>
    </row>
    <row r="3309" spans="1:10">
      <c r="A3309" s="74" t="s">
        <v>895</v>
      </c>
      <c r="B3309" s="74" t="s">
        <v>894</v>
      </c>
      <c r="C3309" s="74" t="s">
        <v>1614</v>
      </c>
      <c r="D3309" s="74" t="s">
        <v>92</v>
      </c>
      <c r="E3309" s="74">
        <v>1</v>
      </c>
      <c r="F3309" s="74">
        <v>7.1</v>
      </c>
      <c r="G3309" s="758">
        <f t="shared" si="204"/>
        <v>1.23</v>
      </c>
      <c r="H3309" s="759">
        <f t="shared" si="205"/>
        <v>0.26</v>
      </c>
      <c r="I3309" s="758">
        <f t="shared" si="206"/>
        <v>5.8699999999999992</v>
      </c>
      <c r="J3309" s="760">
        <f t="shared" si="207"/>
        <v>0.8267605633802817</v>
      </c>
    </row>
    <row r="3310" spans="1:10">
      <c r="A3310" s="74" t="s">
        <v>895</v>
      </c>
      <c r="B3310" s="74" t="s">
        <v>894</v>
      </c>
      <c r="C3310" s="74" t="s">
        <v>1631</v>
      </c>
      <c r="D3310" s="74" t="s">
        <v>92</v>
      </c>
      <c r="E3310" s="74">
        <v>3</v>
      </c>
      <c r="F3310" s="74">
        <v>21.3</v>
      </c>
      <c r="G3310" s="758">
        <f t="shared" si="204"/>
        <v>1.23</v>
      </c>
      <c r="H3310" s="759">
        <f t="shared" si="205"/>
        <v>0.26</v>
      </c>
      <c r="I3310" s="758">
        <f t="shared" si="206"/>
        <v>5.870000000000001</v>
      </c>
      <c r="J3310" s="760">
        <f t="shared" si="207"/>
        <v>0.8267605633802817</v>
      </c>
    </row>
    <row r="3311" spans="1:10">
      <c r="A3311" s="74" t="s">
        <v>895</v>
      </c>
      <c r="B3311" s="74" t="s">
        <v>894</v>
      </c>
      <c r="C3311" s="74" t="s">
        <v>1617</v>
      </c>
      <c r="D3311" s="74" t="s">
        <v>94</v>
      </c>
      <c r="E3311" s="74">
        <v>1</v>
      </c>
      <c r="F3311" s="74">
        <v>7.1</v>
      </c>
      <c r="G3311" s="758">
        <f t="shared" si="204"/>
        <v>1.23</v>
      </c>
      <c r="H3311" s="759">
        <f t="shared" si="205"/>
        <v>0.26</v>
      </c>
      <c r="I3311" s="758">
        <f t="shared" si="206"/>
        <v>5.8699999999999992</v>
      </c>
      <c r="J3311" s="760">
        <f t="shared" si="207"/>
        <v>0.8267605633802817</v>
      </c>
    </row>
    <row r="3312" spans="1:10">
      <c r="A3312" s="74" t="s">
        <v>895</v>
      </c>
      <c r="B3312" s="74" t="s">
        <v>894</v>
      </c>
      <c r="C3312" s="74" t="s">
        <v>1555</v>
      </c>
      <c r="D3312" s="74" t="s">
        <v>94</v>
      </c>
      <c r="E3312" s="74">
        <v>1</v>
      </c>
      <c r="F3312" s="74">
        <v>7.1</v>
      </c>
      <c r="G3312" s="758">
        <f t="shared" si="204"/>
        <v>1.23</v>
      </c>
      <c r="H3312" s="759">
        <f t="shared" si="205"/>
        <v>0.26</v>
      </c>
      <c r="I3312" s="758">
        <f t="shared" si="206"/>
        <v>5.8699999999999992</v>
      </c>
      <c r="J3312" s="760">
        <f t="shared" si="207"/>
        <v>0.8267605633802817</v>
      </c>
    </row>
    <row r="3313" spans="1:10">
      <c r="A3313" s="74" t="s">
        <v>895</v>
      </c>
      <c r="B3313" s="74" t="s">
        <v>894</v>
      </c>
      <c r="C3313" s="74" t="s">
        <v>1557</v>
      </c>
      <c r="D3313" s="74" t="s">
        <v>95</v>
      </c>
      <c r="E3313" s="74">
        <v>1</v>
      </c>
      <c r="F3313" s="74">
        <v>7.1</v>
      </c>
      <c r="G3313" s="758">
        <f t="shared" si="204"/>
        <v>1.23</v>
      </c>
      <c r="H3313" s="759">
        <f t="shared" si="205"/>
        <v>0.26</v>
      </c>
      <c r="I3313" s="758">
        <f t="shared" si="206"/>
        <v>5.8699999999999992</v>
      </c>
      <c r="J3313" s="760">
        <f t="shared" si="207"/>
        <v>0.8267605633802817</v>
      </c>
    </row>
    <row r="3314" spans="1:10">
      <c r="A3314" s="74" t="s">
        <v>895</v>
      </c>
      <c r="B3314" s="74" t="s">
        <v>894</v>
      </c>
      <c r="C3314" s="74" t="s">
        <v>1526</v>
      </c>
      <c r="D3314" s="74" t="s">
        <v>95</v>
      </c>
      <c r="E3314" s="74">
        <v>1</v>
      </c>
      <c r="F3314" s="74">
        <v>7.1</v>
      </c>
      <c r="G3314" s="758">
        <f t="shared" si="204"/>
        <v>1.23</v>
      </c>
      <c r="H3314" s="759">
        <f t="shared" si="205"/>
        <v>0.26</v>
      </c>
      <c r="I3314" s="758">
        <f t="shared" si="206"/>
        <v>5.8699999999999992</v>
      </c>
      <c r="J3314" s="760">
        <f t="shared" si="207"/>
        <v>0.8267605633802817</v>
      </c>
    </row>
    <row r="3315" spans="1:10">
      <c r="A3315" s="74" t="s">
        <v>1120</v>
      </c>
      <c r="B3315" s="74" t="s">
        <v>894</v>
      </c>
      <c r="C3315" s="74" t="s">
        <v>1543</v>
      </c>
      <c r="D3315" s="74" t="s">
        <v>87</v>
      </c>
      <c r="E3315" s="74">
        <v>2</v>
      </c>
      <c r="F3315" s="74">
        <v>15.7</v>
      </c>
      <c r="G3315" s="758">
        <f t="shared" si="204"/>
        <v>0</v>
      </c>
      <c r="H3315" s="759">
        <f t="shared" si="205"/>
        <v>0</v>
      </c>
      <c r="I3315" s="758">
        <f t="shared" si="206"/>
        <v>7.85</v>
      </c>
      <c r="J3315" s="760">
        <f t="shared" si="207"/>
        <v>1</v>
      </c>
    </row>
    <row r="3316" spans="1:10">
      <c r="A3316" s="74" t="s">
        <v>1120</v>
      </c>
      <c r="B3316" s="74" t="s">
        <v>894</v>
      </c>
      <c r="C3316" s="74" t="s">
        <v>1544</v>
      </c>
      <c r="D3316" s="74" t="s">
        <v>87</v>
      </c>
      <c r="E3316" s="74">
        <v>5</v>
      </c>
      <c r="F3316" s="74">
        <v>39.25</v>
      </c>
      <c r="G3316" s="758">
        <f t="shared" si="204"/>
        <v>0</v>
      </c>
      <c r="H3316" s="759">
        <f t="shared" si="205"/>
        <v>0</v>
      </c>
      <c r="I3316" s="758">
        <f t="shared" si="206"/>
        <v>7.85</v>
      </c>
      <c r="J3316" s="760">
        <f t="shared" si="207"/>
        <v>1</v>
      </c>
    </row>
    <row r="3317" spans="1:10">
      <c r="A3317" s="74" t="s">
        <v>1120</v>
      </c>
      <c r="B3317" s="74" t="s">
        <v>894</v>
      </c>
      <c r="C3317" s="74" t="s">
        <v>1561</v>
      </c>
      <c r="D3317" s="74" t="s">
        <v>87</v>
      </c>
      <c r="E3317" s="74">
        <v>1</v>
      </c>
      <c r="F3317" s="74">
        <v>7.85</v>
      </c>
      <c r="G3317" s="758">
        <f t="shared" si="204"/>
        <v>0</v>
      </c>
      <c r="H3317" s="759">
        <f t="shared" si="205"/>
        <v>0</v>
      </c>
      <c r="I3317" s="758">
        <f t="shared" si="206"/>
        <v>7.85</v>
      </c>
      <c r="J3317" s="760">
        <f t="shared" si="207"/>
        <v>1</v>
      </c>
    </row>
    <row r="3318" spans="1:10">
      <c r="A3318" s="74" t="s">
        <v>1120</v>
      </c>
      <c r="B3318" s="74" t="s">
        <v>894</v>
      </c>
      <c r="C3318" s="74" t="s">
        <v>1608</v>
      </c>
      <c r="D3318" s="74" t="s">
        <v>89</v>
      </c>
      <c r="E3318" s="74">
        <v>1</v>
      </c>
      <c r="F3318" s="74">
        <v>7.85</v>
      </c>
      <c r="G3318" s="758">
        <f t="shared" si="204"/>
        <v>0</v>
      </c>
      <c r="H3318" s="759">
        <f t="shared" si="205"/>
        <v>0</v>
      </c>
      <c r="I3318" s="758">
        <f t="shared" si="206"/>
        <v>7.85</v>
      </c>
      <c r="J3318" s="760">
        <f t="shared" si="207"/>
        <v>1</v>
      </c>
    </row>
    <row r="3319" spans="1:10">
      <c r="A3319" s="74" t="s">
        <v>1120</v>
      </c>
      <c r="B3319" s="74" t="s">
        <v>894</v>
      </c>
      <c r="C3319" s="74" t="s">
        <v>1610</v>
      </c>
      <c r="D3319" s="74" t="s">
        <v>89</v>
      </c>
      <c r="E3319" s="74">
        <v>2</v>
      </c>
      <c r="F3319" s="74">
        <v>15.7</v>
      </c>
      <c r="G3319" s="758">
        <f t="shared" si="204"/>
        <v>0</v>
      </c>
      <c r="H3319" s="759">
        <f t="shared" si="205"/>
        <v>0</v>
      </c>
      <c r="I3319" s="758">
        <f t="shared" si="206"/>
        <v>7.85</v>
      </c>
      <c r="J3319" s="760">
        <f t="shared" si="207"/>
        <v>1</v>
      </c>
    </row>
    <row r="3320" spans="1:10">
      <c r="A3320" s="74" t="s">
        <v>1120</v>
      </c>
      <c r="B3320" s="74" t="s">
        <v>894</v>
      </c>
      <c r="C3320" s="74" t="s">
        <v>1546</v>
      </c>
      <c r="D3320" s="74" t="s">
        <v>89</v>
      </c>
      <c r="E3320" s="74">
        <v>1</v>
      </c>
      <c r="F3320" s="74">
        <v>7.85</v>
      </c>
      <c r="G3320" s="758">
        <f t="shared" si="204"/>
        <v>0</v>
      </c>
      <c r="H3320" s="759">
        <f t="shared" si="205"/>
        <v>0</v>
      </c>
      <c r="I3320" s="758">
        <f t="shared" si="206"/>
        <v>7.85</v>
      </c>
      <c r="J3320" s="760">
        <f t="shared" si="207"/>
        <v>1</v>
      </c>
    </row>
    <row r="3321" spans="1:10">
      <c r="A3321" s="74" t="s">
        <v>1120</v>
      </c>
      <c r="B3321" s="74" t="s">
        <v>894</v>
      </c>
      <c r="C3321" s="74" t="s">
        <v>1547</v>
      </c>
      <c r="D3321" s="74" t="s">
        <v>89</v>
      </c>
      <c r="E3321" s="74">
        <v>3</v>
      </c>
      <c r="F3321" s="74">
        <v>26.05</v>
      </c>
      <c r="G3321" s="758">
        <f t="shared" si="204"/>
        <v>0</v>
      </c>
      <c r="H3321" s="759">
        <f t="shared" si="205"/>
        <v>0</v>
      </c>
      <c r="I3321" s="758">
        <f t="shared" si="206"/>
        <v>8.6833333333333336</v>
      </c>
      <c r="J3321" s="760">
        <f t="shared" si="207"/>
        <v>1</v>
      </c>
    </row>
    <row r="3322" spans="1:10">
      <c r="A3322" s="74" t="s">
        <v>1120</v>
      </c>
      <c r="B3322" s="74" t="s">
        <v>894</v>
      </c>
      <c r="C3322" s="74" t="s">
        <v>1631</v>
      </c>
      <c r="D3322" s="74" t="s">
        <v>92</v>
      </c>
      <c r="E3322" s="74">
        <v>2</v>
      </c>
      <c r="F3322" s="74">
        <v>15.7</v>
      </c>
      <c r="G3322" s="758">
        <f t="shared" si="204"/>
        <v>0</v>
      </c>
      <c r="H3322" s="759">
        <f t="shared" si="205"/>
        <v>0</v>
      </c>
      <c r="I3322" s="758">
        <f t="shared" si="206"/>
        <v>7.85</v>
      </c>
      <c r="J3322" s="760">
        <f t="shared" si="207"/>
        <v>1</v>
      </c>
    </row>
    <row r="3323" spans="1:10">
      <c r="A3323" s="74" t="s">
        <v>1120</v>
      </c>
      <c r="B3323" s="74" t="s">
        <v>894</v>
      </c>
      <c r="C3323" s="74" t="s">
        <v>1557</v>
      </c>
      <c r="D3323" s="74" t="s">
        <v>95</v>
      </c>
      <c r="E3323" s="74">
        <v>3</v>
      </c>
      <c r="F3323" s="74">
        <v>24.15</v>
      </c>
      <c r="G3323" s="758">
        <f t="shared" si="204"/>
        <v>0</v>
      </c>
      <c r="H3323" s="759">
        <f t="shared" si="205"/>
        <v>0</v>
      </c>
      <c r="I3323" s="758">
        <f t="shared" si="206"/>
        <v>8.0499999999999989</v>
      </c>
      <c r="J3323" s="760">
        <f t="shared" si="207"/>
        <v>1</v>
      </c>
    </row>
    <row r="3324" spans="1:10">
      <c r="A3324" s="74" t="s">
        <v>1120</v>
      </c>
      <c r="B3324" s="74" t="s">
        <v>894</v>
      </c>
      <c r="C3324" s="74" t="s">
        <v>1526</v>
      </c>
      <c r="D3324" s="74" t="s">
        <v>95</v>
      </c>
      <c r="E3324" s="74">
        <v>2</v>
      </c>
      <c r="F3324" s="74">
        <v>15.7</v>
      </c>
      <c r="G3324" s="758">
        <f t="shared" si="204"/>
        <v>0</v>
      </c>
      <c r="H3324" s="759">
        <f t="shared" si="205"/>
        <v>0</v>
      </c>
      <c r="I3324" s="758">
        <f t="shared" si="206"/>
        <v>7.85</v>
      </c>
      <c r="J3324" s="760">
        <f t="shared" si="207"/>
        <v>1</v>
      </c>
    </row>
    <row r="3325" spans="1:10">
      <c r="A3325" s="74" t="s">
        <v>1120</v>
      </c>
      <c r="B3325" s="74" t="s">
        <v>894</v>
      </c>
      <c r="C3325" s="74" t="s">
        <v>1930</v>
      </c>
      <c r="D3325" s="74" t="s">
        <v>95</v>
      </c>
      <c r="E3325" s="74">
        <v>2</v>
      </c>
      <c r="F3325" s="74">
        <v>15.7</v>
      </c>
      <c r="G3325" s="758">
        <f t="shared" si="204"/>
        <v>0</v>
      </c>
      <c r="H3325" s="759">
        <f t="shared" si="205"/>
        <v>0</v>
      </c>
      <c r="I3325" s="758">
        <f t="shared" si="206"/>
        <v>7.85</v>
      </c>
      <c r="J3325" s="760">
        <f t="shared" si="207"/>
        <v>1</v>
      </c>
    </row>
    <row r="3326" spans="1:10">
      <c r="A3326" s="74" t="s">
        <v>950</v>
      </c>
      <c r="B3326" s="74" t="s">
        <v>894</v>
      </c>
      <c r="C3326" s="74" t="s">
        <v>1541</v>
      </c>
      <c r="D3326" s="74" t="s">
        <v>86</v>
      </c>
      <c r="E3326" s="74">
        <v>4</v>
      </c>
      <c r="F3326" s="74">
        <v>22.8</v>
      </c>
      <c r="G3326" s="758">
        <f t="shared" si="204"/>
        <v>0</v>
      </c>
      <c r="H3326" s="759">
        <f t="shared" si="205"/>
        <v>0</v>
      </c>
      <c r="I3326" s="758">
        <f t="shared" si="206"/>
        <v>5.7</v>
      </c>
      <c r="J3326" s="760">
        <f t="shared" si="207"/>
        <v>1</v>
      </c>
    </row>
    <row r="3327" spans="1:10">
      <c r="A3327" s="74" t="s">
        <v>950</v>
      </c>
      <c r="B3327" s="74" t="s">
        <v>894</v>
      </c>
      <c r="C3327" s="74" t="s">
        <v>1543</v>
      </c>
      <c r="D3327" s="74" t="s">
        <v>87</v>
      </c>
      <c r="E3327" s="74">
        <v>3</v>
      </c>
      <c r="F3327" s="74">
        <v>17.100000000000001</v>
      </c>
      <c r="G3327" s="758">
        <f t="shared" si="204"/>
        <v>0</v>
      </c>
      <c r="H3327" s="759">
        <f t="shared" si="205"/>
        <v>0</v>
      </c>
      <c r="I3327" s="758">
        <f t="shared" si="206"/>
        <v>5.7</v>
      </c>
      <c r="J3327" s="760">
        <f t="shared" si="207"/>
        <v>1</v>
      </c>
    </row>
    <row r="3328" spans="1:10">
      <c r="A3328" s="74" t="s">
        <v>950</v>
      </c>
      <c r="B3328" s="74" t="s">
        <v>894</v>
      </c>
      <c r="C3328" s="74" t="s">
        <v>1544</v>
      </c>
      <c r="D3328" s="74" t="s">
        <v>87</v>
      </c>
      <c r="E3328" s="74">
        <v>1</v>
      </c>
      <c r="F3328" s="74">
        <v>5.7</v>
      </c>
      <c r="G3328" s="758">
        <f t="shared" si="204"/>
        <v>0</v>
      </c>
      <c r="H3328" s="759">
        <f t="shared" si="205"/>
        <v>0</v>
      </c>
      <c r="I3328" s="758">
        <f t="shared" si="206"/>
        <v>5.7</v>
      </c>
      <c r="J3328" s="760">
        <f t="shared" si="207"/>
        <v>1</v>
      </c>
    </row>
    <row r="3329" spans="1:10">
      <c r="A3329" s="74" t="s">
        <v>950</v>
      </c>
      <c r="B3329" s="74" t="s">
        <v>894</v>
      </c>
      <c r="C3329" s="74" t="s">
        <v>1605</v>
      </c>
      <c r="D3329" s="74" t="s">
        <v>87</v>
      </c>
      <c r="E3329" s="74">
        <v>6</v>
      </c>
      <c r="F3329" s="74">
        <v>34.200000000000003</v>
      </c>
      <c r="G3329" s="758">
        <f t="shared" si="204"/>
        <v>0</v>
      </c>
      <c r="H3329" s="759">
        <f t="shared" si="205"/>
        <v>0</v>
      </c>
      <c r="I3329" s="758">
        <f t="shared" si="206"/>
        <v>5.7</v>
      </c>
      <c r="J3329" s="760">
        <f t="shared" si="207"/>
        <v>1</v>
      </c>
    </row>
    <row r="3330" spans="1:10">
      <c r="A3330" s="74" t="s">
        <v>950</v>
      </c>
      <c r="B3330" s="74" t="s">
        <v>894</v>
      </c>
      <c r="C3330" s="74" t="s">
        <v>1608</v>
      </c>
      <c r="D3330" s="74" t="s">
        <v>89</v>
      </c>
      <c r="E3330" s="74">
        <v>6</v>
      </c>
      <c r="F3330" s="74">
        <v>34.200000000000003</v>
      </c>
      <c r="G3330" s="758">
        <f t="shared" ref="G3330:G3393" si="208">IFERROR(VLOOKUP(A3330,$M$1:$P$1014,2,FALSE),0)</f>
        <v>0</v>
      </c>
      <c r="H3330" s="759">
        <f t="shared" ref="H3330:H3393" si="209">IFERROR(VLOOKUP(A3330,$M$1:$P$1014,3,FALSE),0)</f>
        <v>0</v>
      </c>
      <c r="I3330" s="758">
        <f t="shared" ref="I3330:I3393" si="210">IFERROR(F3330/E3330-G3330,0)</f>
        <v>5.7</v>
      </c>
      <c r="J3330" s="760">
        <f t="shared" ref="J3330:J3393" si="211">IFERROR(1-G3330*E3330/F3330,0)</f>
        <v>1</v>
      </c>
    </row>
    <row r="3331" spans="1:10">
      <c r="A3331" s="74" t="s">
        <v>950</v>
      </c>
      <c r="B3331" s="74" t="s">
        <v>894</v>
      </c>
      <c r="C3331" s="74" t="s">
        <v>1610</v>
      </c>
      <c r="D3331" s="74" t="s">
        <v>89</v>
      </c>
      <c r="E3331" s="74">
        <v>2</v>
      </c>
      <c r="F3331" s="74">
        <v>11.4</v>
      </c>
      <c r="G3331" s="758">
        <f t="shared" si="208"/>
        <v>0</v>
      </c>
      <c r="H3331" s="759">
        <f t="shared" si="209"/>
        <v>0</v>
      </c>
      <c r="I3331" s="758">
        <f t="shared" si="210"/>
        <v>5.7</v>
      </c>
      <c r="J3331" s="760">
        <f t="shared" si="211"/>
        <v>1</v>
      </c>
    </row>
    <row r="3332" spans="1:10">
      <c r="A3332" s="74" t="s">
        <v>950</v>
      </c>
      <c r="B3332" s="74" t="s">
        <v>894</v>
      </c>
      <c r="C3332" s="74" t="s">
        <v>1546</v>
      </c>
      <c r="D3332" s="74" t="s">
        <v>89</v>
      </c>
      <c r="E3332" s="74">
        <v>3</v>
      </c>
      <c r="F3332" s="74">
        <v>17.100000000000001</v>
      </c>
      <c r="G3332" s="758">
        <f t="shared" si="208"/>
        <v>0</v>
      </c>
      <c r="H3332" s="759">
        <f t="shared" si="209"/>
        <v>0</v>
      </c>
      <c r="I3332" s="758">
        <f t="shared" si="210"/>
        <v>5.7</v>
      </c>
      <c r="J3332" s="760">
        <f t="shared" si="211"/>
        <v>1</v>
      </c>
    </row>
    <row r="3333" spans="1:10">
      <c r="A3333" s="74" t="s">
        <v>950</v>
      </c>
      <c r="B3333" s="74" t="s">
        <v>894</v>
      </c>
      <c r="C3333" s="74" t="s">
        <v>1547</v>
      </c>
      <c r="D3333" s="74" t="s">
        <v>89</v>
      </c>
      <c r="E3333" s="74">
        <v>1</v>
      </c>
      <c r="F3333" s="74">
        <v>5.7</v>
      </c>
      <c r="G3333" s="758">
        <f t="shared" si="208"/>
        <v>0</v>
      </c>
      <c r="H3333" s="759">
        <f t="shared" si="209"/>
        <v>0</v>
      </c>
      <c r="I3333" s="758">
        <f t="shared" si="210"/>
        <v>5.7</v>
      </c>
      <c r="J3333" s="760">
        <f t="shared" si="211"/>
        <v>1</v>
      </c>
    </row>
    <row r="3334" spans="1:10">
      <c r="A3334" s="74" t="s">
        <v>950</v>
      </c>
      <c r="B3334" s="74" t="s">
        <v>894</v>
      </c>
      <c r="C3334" s="74" t="s">
        <v>1582</v>
      </c>
      <c r="D3334" s="74" t="s">
        <v>89</v>
      </c>
      <c r="E3334" s="74">
        <v>4</v>
      </c>
      <c r="F3334" s="74">
        <v>22.8</v>
      </c>
      <c r="G3334" s="758">
        <f t="shared" si="208"/>
        <v>0</v>
      </c>
      <c r="H3334" s="759">
        <f t="shared" si="209"/>
        <v>0</v>
      </c>
      <c r="I3334" s="758">
        <f t="shared" si="210"/>
        <v>5.7</v>
      </c>
      <c r="J3334" s="760">
        <f t="shared" si="211"/>
        <v>1</v>
      </c>
    </row>
    <row r="3335" spans="1:10">
      <c r="A3335" s="74" t="s">
        <v>950</v>
      </c>
      <c r="B3335" s="74" t="s">
        <v>894</v>
      </c>
      <c r="C3335" s="74" t="s">
        <v>1522</v>
      </c>
      <c r="D3335" s="74" t="s">
        <v>91</v>
      </c>
      <c r="E3335" s="74">
        <v>3</v>
      </c>
      <c r="F3335" s="74">
        <v>17.100000000000001</v>
      </c>
      <c r="G3335" s="758">
        <f t="shared" si="208"/>
        <v>0</v>
      </c>
      <c r="H3335" s="759">
        <f t="shared" si="209"/>
        <v>0</v>
      </c>
      <c r="I3335" s="758">
        <f t="shared" si="210"/>
        <v>5.7</v>
      </c>
      <c r="J3335" s="760">
        <f t="shared" si="211"/>
        <v>1</v>
      </c>
    </row>
    <row r="3336" spans="1:10">
      <c r="A3336" s="74" t="s">
        <v>950</v>
      </c>
      <c r="B3336" s="74" t="s">
        <v>894</v>
      </c>
      <c r="C3336" s="74" t="s">
        <v>1550</v>
      </c>
      <c r="D3336" s="74" t="s">
        <v>91</v>
      </c>
      <c r="E3336" s="74">
        <v>6</v>
      </c>
      <c r="F3336" s="74">
        <v>34.200000000000003</v>
      </c>
      <c r="G3336" s="758">
        <f t="shared" si="208"/>
        <v>0</v>
      </c>
      <c r="H3336" s="759">
        <f t="shared" si="209"/>
        <v>0</v>
      </c>
      <c r="I3336" s="758">
        <f t="shared" si="210"/>
        <v>5.7</v>
      </c>
      <c r="J3336" s="760">
        <f t="shared" si="211"/>
        <v>1</v>
      </c>
    </row>
    <row r="3337" spans="1:10">
      <c r="A3337" s="74" t="s">
        <v>950</v>
      </c>
      <c r="B3337" s="74" t="s">
        <v>894</v>
      </c>
      <c r="C3337" s="74" t="s">
        <v>1524</v>
      </c>
      <c r="D3337" s="74" t="s">
        <v>91</v>
      </c>
      <c r="E3337" s="74">
        <v>1</v>
      </c>
      <c r="F3337" s="74">
        <v>5.7</v>
      </c>
      <c r="G3337" s="758">
        <f t="shared" si="208"/>
        <v>0</v>
      </c>
      <c r="H3337" s="759">
        <f t="shared" si="209"/>
        <v>0</v>
      </c>
      <c r="I3337" s="758">
        <f t="shared" si="210"/>
        <v>5.7</v>
      </c>
      <c r="J3337" s="760">
        <f t="shared" si="211"/>
        <v>1</v>
      </c>
    </row>
    <row r="3338" spans="1:10">
      <c r="A3338" s="74" t="s">
        <v>950</v>
      </c>
      <c r="B3338" s="74" t="s">
        <v>894</v>
      </c>
      <c r="C3338" s="74" t="s">
        <v>1584</v>
      </c>
      <c r="D3338" s="74" t="s">
        <v>92</v>
      </c>
      <c r="E3338" s="74">
        <v>1</v>
      </c>
      <c r="F3338" s="74">
        <v>5.7</v>
      </c>
      <c r="G3338" s="758">
        <f t="shared" si="208"/>
        <v>0</v>
      </c>
      <c r="H3338" s="759">
        <f t="shared" si="209"/>
        <v>0</v>
      </c>
      <c r="I3338" s="758">
        <f t="shared" si="210"/>
        <v>5.7</v>
      </c>
      <c r="J3338" s="760">
        <f t="shared" si="211"/>
        <v>1</v>
      </c>
    </row>
    <row r="3339" spans="1:10">
      <c r="A3339" s="74" t="s">
        <v>950</v>
      </c>
      <c r="B3339" s="74" t="s">
        <v>894</v>
      </c>
      <c r="C3339" s="74" t="s">
        <v>1614</v>
      </c>
      <c r="D3339" s="74" t="s">
        <v>92</v>
      </c>
      <c r="E3339" s="74">
        <v>3</v>
      </c>
      <c r="F3339" s="74">
        <v>17.100000000000001</v>
      </c>
      <c r="G3339" s="758">
        <f t="shared" si="208"/>
        <v>0</v>
      </c>
      <c r="H3339" s="759">
        <f t="shared" si="209"/>
        <v>0</v>
      </c>
      <c r="I3339" s="758">
        <f t="shared" si="210"/>
        <v>5.7</v>
      </c>
      <c r="J3339" s="760">
        <f t="shared" si="211"/>
        <v>1</v>
      </c>
    </row>
    <row r="3340" spans="1:10">
      <c r="A3340" s="74" t="s">
        <v>950</v>
      </c>
      <c r="B3340" s="74" t="s">
        <v>894</v>
      </c>
      <c r="C3340" s="74" t="s">
        <v>1631</v>
      </c>
      <c r="D3340" s="74" t="s">
        <v>92</v>
      </c>
      <c r="E3340" s="74">
        <v>1</v>
      </c>
      <c r="F3340" s="74">
        <v>5.7</v>
      </c>
      <c r="G3340" s="758">
        <f t="shared" si="208"/>
        <v>0</v>
      </c>
      <c r="H3340" s="759">
        <f t="shared" si="209"/>
        <v>0</v>
      </c>
      <c r="I3340" s="758">
        <f t="shared" si="210"/>
        <v>5.7</v>
      </c>
      <c r="J3340" s="760">
        <f t="shared" si="211"/>
        <v>1</v>
      </c>
    </row>
    <row r="3341" spans="1:10">
      <c r="A3341" s="74" t="s">
        <v>950</v>
      </c>
      <c r="B3341" s="74" t="s">
        <v>894</v>
      </c>
      <c r="C3341" s="74" t="s">
        <v>1617</v>
      </c>
      <c r="D3341" s="74" t="s">
        <v>94</v>
      </c>
      <c r="E3341" s="74">
        <v>1</v>
      </c>
      <c r="F3341" s="74">
        <v>5.7</v>
      </c>
      <c r="G3341" s="758">
        <f t="shared" si="208"/>
        <v>0</v>
      </c>
      <c r="H3341" s="759">
        <f t="shared" si="209"/>
        <v>0</v>
      </c>
      <c r="I3341" s="758">
        <f t="shared" si="210"/>
        <v>5.7</v>
      </c>
      <c r="J3341" s="760">
        <f t="shared" si="211"/>
        <v>1</v>
      </c>
    </row>
    <row r="3342" spans="1:10">
      <c r="A3342" s="74" t="s">
        <v>950</v>
      </c>
      <c r="B3342" s="74" t="s">
        <v>894</v>
      </c>
      <c r="C3342" s="74" t="s">
        <v>1553</v>
      </c>
      <c r="D3342" s="74" t="s">
        <v>94</v>
      </c>
      <c r="E3342" s="74">
        <v>3</v>
      </c>
      <c r="F3342" s="74">
        <v>17.100000000000001</v>
      </c>
      <c r="G3342" s="758">
        <f t="shared" si="208"/>
        <v>0</v>
      </c>
      <c r="H3342" s="759">
        <f t="shared" si="209"/>
        <v>0</v>
      </c>
      <c r="I3342" s="758">
        <f t="shared" si="210"/>
        <v>5.7</v>
      </c>
      <c r="J3342" s="760">
        <f t="shared" si="211"/>
        <v>1</v>
      </c>
    </row>
    <row r="3343" spans="1:10">
      <c r="A3343" s="74" t="s">
        <v>950</v>
      </c>
      <c r="B3343" s="74" t="s">
        <v>894</v>
      </c>
      <c r="C3343" s="74" t="s">
        <v>1557</v>
      </c>
      <c r="D3343" s="74" t="s">
        <v>95</v>
      </c>
      <c r="E3343" s="74">
        <v>3</v>
      </c>
      <c r="F3343" s="74">
        <v>17.100000000000001</v>
      </c>
      <c r="G3343" s="758">
        <f t="shared" si="208"/>
        <v>0</v>
      </c>
      <c r="H3343" s="759">
        <f t="shared" si="209"/>
        <v>0</v>
      </c>
      <c r="I3343" s="758">
        <f t="shared" si="210"/>
        <v>5.7</v>
      </c>
      <c r="J3343" s="760">
        <f t="shared" si="211"/>
        <v>1</v>
      </c>
    </row>
    <row r="3344" spans="1:10">
      <c r="A3344" s="74" t="s">
        <v>950</v>
      </c>
      <c r="B3344" s="74" t="s">
        <v>894</v>
      </c>
      <c r="C3344" s="74" t="s">
        <v>1526</v>
      </c>
      <c r="D3344" s="74" t="s">
        <v>95</v>
      </c>
      <c r="E3344" s="74">
        <v>4</v>
      </c>
      <c r="F3344" s="74">
        <v>22.8</v>
      </c>
      <c r="G3344" s="758">
        <f t="shared" si="208"/>
        <v>0</v>
      </c>
      <c r="H3344" s="759">
        <f t="shared" si="209"/>
        <v>0</v>
      </c>
      <c r="I3344" s="758">
        <f t="shared" si="210"/>
        <v>5.7</v>
      </c>
      <c r="J3344" s="760">
        <f t="shared" si="211"/>
        <v>1</v>
      </c>
    </row>
    <row r="3345" spans="1:10">
      <c r="A3345" s="74" t="s">
        <v>950</v>
      </c>
      <c r="B3345" s="74" t="s">
        <v>894</v>
      </c>
      <c r="C3345" s="74" t="s">
        <v>1930</v>
      </c>
      <c r="D3345" s="74" t="s">
        <v>95</v>
      </c>
      <c r="E3345" s="74">
        <v>1</v>
      </c>
      <c r="F3345" s="74">
        <v>5.7</v>
      </c>
      <c r="G3345" s="758">
        <f t="shared" si="208"/>
        <v>0</v>
      </c>
      <c r="H3345" s="759">
        <f t="shared" si="209"/>
        <v>0</v>
      </c>
      <c r="I3345" s="758">
        <f t="shared" si="210"/>
        <v>5.7</v>
      </c>
      <c r="J3345" s="760">
        <f t="shared" si="211"/>
        <v>1</v>
      </c>
    </row>
    <row r="3346" spans="1:10">
      <c r="A3346" s="74" t="s">
        <v>1853</v>
      </c>
      <c r="B3346" s="74" t="s">
        <v>873</v>
      </c>
      <c r="C3346" s="74" t="s">
        <v>1644</v>
      </c>
      <c r="D3346" s="74" t="s">
        <v>86</v>
      </c>
      <c r="E3346" s="74">
        <v>4</v>
      </c>
      <c r="F3346" s="74">
        <v>0</v>
      </c>
      <c r="G3346" s="758">
        <f t="shared" si="208"/>
        <v>0</v>
      </c>
      <c r="H3346" s="759">
        <f t="shared" si="209"/>
        <v>0</v>
      </c>
      <c r="I3346" s="758">
        <f t="shared" si="210"/>
        <v>0</v>
      </c>
      <c r="J3346" s="760">
        <f t="shared" si="211"/>
        <v>0</v>
      </c>
    </row>
    <row r="3347" spans="1:10">
      <c r="A3347" s="74" t="s">
        <v>1854</v>
      </c>
      <c r="B3347" s="74" t="s">
        <v>2288</v>
      </c>
      <c r="C3347" s="74" t="s">
        <v>1516</v>
      </c>
      <c r="D3347" s="74" t="s">
        <v>82</v>
      </c>
      <c r="E3347" s="74">
        <v>5</v>
      </c>
      <c r="F3347" s="74">
        <v>25</v>
      </c>
      <c r="G3347" s="758">
        <f t="shared" si="208"/>
        <v>0</v>
      </c>
      <c r="H3347" s="759">
        <f t="shared" si="209"/>
        <v>0.24</v>
      </c>
      <c r="I3347" s="758">
        <f t="shared" si="210"/>
        <v>5</v>
      </c>
      <c r="J3347" s="760">
        <f t="shared" si="211"/>
        <v>1</v>
      </c>
    </row>
    <row r="3348" spans="1:10">
      <c r="A3348" s="74" t="s">
        <v>830</v>
      </c>
      <c r="B3348" s="74" t="s">
        <v>820</v>
      </c>
      <c r="C3348" s="74" t="s">
        <v>1532</v>
      </c>
      <c r="D3348" s="74" t="s">
        <v>80</v>
      </c>
      <c r="E3348" s="74">
        <v>2</v>
      </c>
      <c r="F3348" s="74">
        <v>17.399999999999999</v>
      </c>
      <c r="G3348" s="758">
        <f t="shared" si="208"/>
        <v>0.88</v>
      </c>
      <c r="H3348" s="759">
        <f t="shared" si="209"/>
        <v>0.27</v>
      </c>
      <c r="I3348" s="758">
        <f t="shared" si="210"/>
        <v>7.8199999999999994</v>
      </c>
      <c r="J3348" s="760">
        <f t="shared" si="211"/>
        <v>0.89885057471264362</v>
      </c>
    </row>
    <row r="3349" spans="1:10">
      <c r="A3349" s="74" t="s">
        <v>830</v>
      </c>
      <c r="B3349" s="74" t="s">
        <v>820</v>
      </c>
      <c r="C3349" s="74" t="s">
        <v>1512</v>
      </c>
      <c r="D3349" s="74" t="s">
        <v>80</v>
      </c>
      <c r="E3349" s="74">
        <v>1</v>
      </c>
      <c r="F3349" s="74">
        <v>8.6999999999999993</v>
      </c>
      <c r="G3349" s="758">
        <f t="shared" si="208"/>
        <v>0.88</v>
      </c>
      <c r="H3349" s="759">
        <f t="shared" si="209"/>
        <v>0.27</v>
      </c>
      <c r="I3349" s="758">
        <f t="shared" si="210"/>
        <v>7.8199999999999994</v>
      </c>
      <c r="J3349" s="760">
        <f t="shared" si="211"/>
        <v>0.89885057471264362</v>
      </c>
    </row>
    <row r="3350" spans="1:10">
      <c r="A3350" s="74" t="s">
        <v>830</v>
      </c>
      <c r="B3350" s="74" t="s">
        <v>820</v>
      </c>
      <c r="C3350" s="74" t="s">
        <v>1534</v>
      </c>
      <c r="D3350" s="74" t="s">
        <v>81</v>
      </c>
      <c r="E3350" s="74">
        <v>1</v>
      </c>
      <c r="F3350" s="74">
        <v>8.6999999999999993</v>
      </c>
      <c r="G3350" s="758">
        <f t="shared" si="208"/>
        <v>0.88</v>
      </c>
      <c r="H3350" s="759">
        <f t="shared" si="209"/>
        <v>0.27</v>
      </c>
      <c r="I3350" s="758">
        <f t="shared" si="210"/>
        <v>7.8199999999999994</v>
      </c>
      <c r="J3350" s="760">
        <f t="shared" si="211"/>
        <v>0.89885057471264362</v>
      </c>
    </row>
    <row r="3351" spans="1:10">
      <c r="A3351" s="74" t="s">
        <v>830</v>
      </c>
      <c r="B3351" s="74" t="s">
        <v>820</v>
      </c>
      <c r="C3351" s="74" t="s">
        <v>1513</v>
      </c>
      <c r="D3351" s="74" t="s">
        <v>81</v>
      </c>
      <c r="E3351" s="74">
        <v>1</v>
      </c>
      <c r="F3351" s="74">
        <v>8.6999999999999993</v>
      </c>
      <c r="G3351" s="758">
        <f t="shared" si="208"/>
        <v>0.88</v>
      </c>
      <c r="H3351" s="759">
        <f t="shared" si="209"/>
        <v>0.27</v>
      </c>
      <c r="I3351" s="758">
        <f t="shared" si="210"/>
        <v>7.8199999999999994</v>
      </c>
      <c r="J3351" s="760">
        <f t="shared" si="211"/>
        <v>0.89885057471264362</v>
      </c>
    </row>
    <row r="3352" spans="1:10">
      <c r="A3352" s="74" t="s">
        <v>830</v>
      </c>
      <c r="B3352" s="74" t="s">
        <v>820</v>
      </c>
      <c r="C3352" s="74" t="s">
        <v>1514</v>
      </c>
      <c r="D3352" s="74" t="s">
        <v>81</v>
      </c>
      <c r="E3352" s="74">
        <v>1</v>
      </c>
      <c r="F3352" s="74">
        <v>7.91</v>
      </c>
      <c r="G3352" s="758">
        <f t="shared" si="208"/>
        <v>0.88</v>
      </c>
      <c r="H3352" s="759">
        <f t="shared" si="209"/>
        <v>0.27</v>
      </c>
      <c r="I3352" s="758">
        <f t="shared" si="210"/>
        <v>7.03</v>
      </c>
      <c r="J3352" s="760">
        <f t="shared" si="211"/>
        <v>0.88874841972187102</v>
      </c>
    </row>
    <row r="3353" spans="1:10">
      <c r="A3353" s="74" t="s">
        <v>830</v>
      </c>
      <c r="B3353" s="74" t="s">
        <v>820</v>
      </c>
      <c r="C3353" s="74" t="s">
        <v>1515</v>
      </c>
      <c r="D3353" s="74" t="s">
        <v>81</v>
      </c>
      <c r="E3353" s="74">
        <v>2</v>
      </c>
      <c r="F3353" s="74">
        <v>15.82</v>
      </c>
      <c r="G3353" s="758">
        <f t="shared" si="208"/>
        <v>0.88</v>
      </c>
      <c r="H3353" s="759">
        <f t="shared" si="209"/>
        <v>0.27</v>
      </c>
      <c r="I3353" s="758">
        <f t="shared" si="210"/>
        <v>7.03</v>
      </c>
      <c r="J3353" s="760">
        <f t="shared" si="211"/>
        <v>0.88874841972187102</v>
      </c>
    </row>
    <row r="3354" spans="1:10">
      <c r="A3354" s="74" t="s">
        <v>830</v>
      </c>
      <c r="B3354" s="74" t="s">
        <v>820</v>
      </c>
      <c r="C3354" s="74" t="s">
        <v>1577</v>
      </c>
      <c r="D3354" s="74" t="s">
        <v>84</v>
      </c>
      <c r="E3354" s="74">
        <v>2</v>
      </c>
      <c r="F3354" s="74">
        <v>17.399999999999999</v>
      </c>
      <c r="G3354" s="758">
        <f t="shared" si="208"/>
        <v>0.88</v>
      </c>
      <c r="H3354" s="759">
        <f t="shared" si="209"/>
        <v>0.27</v>
      </c>
      <c r="I3354" s="758">
        <f t="shared" si="210"/>
        <v>7.8199999999999994</v>
      </c>
      <c r="J3354" s="760">
        <f t="shared" si="211"/>
        <v>0.89885057471264362</v>
      </c>
    </row>
    <row r="3355" spans="1:10">
      <c r="A3355" s="74" t="s">
        <v>830</v>
      </c>
      <c r="B3355" s="74" t="s">
        <v>820</v>
      </c>
      <c r="C3355" s="74" t="s">
        <v>1646</v>
      </c>
      <c r="D3355" s="74" t="s">
        <v>86</v>
      </c>
      <c r="E3355" s="74">
        <v>2</v>
      </c>
      <c r="F3355" s="74">
        <v>17.399999999999999</v>
      </c>
      <c r="G3355" s="758">
        <f t="shared" si="208"/>
        <v>0.88</v>
      </c>
      <c r="H3355" s="759">
        <f t="shared" si="209"/>
        <v>0.27</v>
      </c>
      <c r="I3355" s="758">
        <f t="shared" si="210"/>
        <v>7.8199999999999994</v>
      </c>
      <c r="J3355" s="760">
        <f t="shared" si="211"/>
        <v>0.89885057471264362</v>
      </c>
    </row>
    <row r="3356" spans="1:10">
      <c r="A3356" s="74" t="s">
        <v>830</v>
      </c>
      <c r="B3356" s="74" t="s">
        <v>820</v>
      </c>
      <c r="C3356" s="74" t="s">
        <v>1543</v>
      </c>
      <c r="D3356" s="74" t="s">
        <v>87</v>
      </c>
      <c r="E3356" s="74">
        <v>1</v>
      </c>
      <c r="F3356" s="74">
        <v>8.6999999999999993</v>
      </c>
      <c r="G3356" s="758">
        <f t="shared" si="208"/>
        <v>0.88</v>
      </c>
      <c r="H3356" s="759">
        <f t="shared" si="209"/>
        <v>0.27</v>
      </c>
      <c r="I3356" s="758">
        <f t="shared" si="210"/>
        <v>7.8199999999999994</v>
      </c>
      <c r="J3356" s="760">
        <f t="shared" si="211"/>
        <v>0.89885057471264362</v>
      </c>
    </row>
    <row r="3357" spans="1:10">
      <c r="A3357" s="74" t="s">
        <v>830</v>
      </c>
      <c r="B3357" s="74" t="s">
        <v>820</v>
      </c>
      <c r="C3357" s="74" t="s">
        <v>1544</v>
      </c>
      <c r="D3357" s="74" t="s">
        <v>87</v>
      </c>
      <c r="E3357" s="74">
        <v>1</v>
      </c>
      <c r="F3357" s="74">
        <v>8.6999999999999993</v>
      </c>
      <c r="G3357" s="758">
        <f t="shared" si="208"/>
        <v>0.88</v>
      </c>
      <c r="H3357" s="759">
        <f t="shared" si="209"/>
        <v>0.27</v>
      </c>
      <c r="I3357" s="758">
        <f t="shared" si="210"/>
        <v>7.8199999999999994</v>
      </c>
      <c r="J3357" s="760">
        <f t="shared" si="211"/>
        <v>0.89885057471264362</v>
      </c>
    </row>
    <row r="3358" spans="1:10">
      <c r="A3358" s="74" t="s">
        <v>830</v>
      </c>
      <c r="B3358" s="74" t="s">
        <v>820</v>
      </c>
      <c r="C3358" s="74" t="s">
        <v>1524</v>
      </c>
      <c r="D3358" s="74" t="s">
        <v>91</v>
      </c>
      <c r="E3358" s="74">
        <v>1</v>
      </c>
      <c r="F3358" s="74">
        <v>8.6999999999999993</v>
      </c>
      <c r="G3358" s="758">
        <f t="shared" si="208"/>
        <v>0.88</v>
      </c>
      <c r="H3358" s="759">
        <f t="shared" si="209"/>
        <v>0.27</v>
      </c>
      <c r="I3358" s="758">
        <f t="shared" si="210"/>
        <v>7.8199999999999994</v>
      </c>
      <c r="J3358" s="760">
        <f t="shared" si="211"/>
        <v>0.89885057471264362</v>
      </c>
    </row>
    <row r="3359" spans="1:10">
      <c r="A3359" s="74" t="s">
        <v>1855</v>
      </c>
      <c r="B3359" s="74" t="s">
        <v>873</v>
      </c>
      <c r="C3359" s="74" t="s">
        <v>1614</v>
      </c>
      <c r="D3359" s="74" t="s">
        <v>92</v>
      </c>
      <c r="E3359" s="74">
        <v>4</v>
      </c>
      <c r="F3359" s="74">
        <v>0</v>
      </c>
      <c r="G3359" s="758">
        <f t="shared" si="208"/>
        <v>0</v>
      </c>
      <c r="H3359" s="759">
        <f t="shared" si="209"/>
        <v>0</v>
      </c>
      <c r="I3359" s="758">
        <f t="shared" si="210"/>
        <v>0</v>
      </c>
      <c r="J3359" s="760">
        <f t="shared" si="211"/>
        <v>0</v>
      </c>
    </row>
    <row r="3360" spans="1:10">
      <c r="A3360" s="74" t="s">
        <v>1856</v>
      </c>
      <c r="B3360" s="74" t="s">
        <v>873</v>
      </c>
      <c r="C3360" s="74" t="s">
        <v>1507</v>
      </c>
      <c r="D3360" s="74" t="s">
        <v>86</v>
      </c>
      <c r="E3360" s="74">
        <v>2</v>
      </c>
      <c r="F3360" s="74">
        <v>0</v>
      </c>
      <c r="G3360" s="758">
        <f t="shared" si="208"/>
        <v>0</v>
      </c>
      <c r="H3360" s="759">
        <f t="shared" si="209"/>
        <v>0</v>
      </c>
      <c r="I3360" s="758">
        <f t="shared" si="210"/>
        <v>0</v>
      </c>
      <c r="J3360" s="760">
        <f t="shared" si="211"/>
        <v>0</v>
      </c>
    </row>
    <row r="3361" spans="1:10">
      <c r="A3361" s="74" t="s">
        <v>1857</v>
      </c>
      <c r="B3361" s="74" t="s">
        <v>873</v>
      </c>
      <c r="C3361" s="74" t="s">
        <v>1508</v>
      </c>
      <c r="D3361" s="74" t="s">
        <v>78</v>
      </c>
      <c r="E3361" s="74">
        <v>12</v>
      </c>
      <c r="F3361" s="74">
        <v>0</v>
      </c>
      <c r="G3361" s="758">
        <f t="shared" si="208"/>
        <v>1.44</v>
      </c>
      <c r="H3361" s="759">
        <f t="shared" si="209"/>
        <v>0</v>
      </c>
      <c r="I3361" s="758">
        <f t="shared" si="210"/>
        <v>-1.44</v>
      </c>
      <c r="J3361" s="760">
        <f t="shared" si="211"/>
        <v>0</v>
      </c>
    </row>
    <row r="3362" spans="1:10">
      <c r="A3362" s="74" t="s">
        <v>1857</v>
      </c>
      <c r="B3362" s="74" t="s">
        <v>873</v>
      </c>
      <c r="C3362" s="74" t="s">
        <v>1509</v>
      </c>
      <c r="D3362" s="74" t="s">
        <v>78</v>
      </c>
      <c r="E3362" s="74">
        <v>10</v>
      </c>
      <c r="F3362" s="74">
        <v>0</v>
      </c>
      <c r="G3362" s="758">
        <f t="shared" si="208"/>
        <v>1.44</v>
      </c>
      <c r="H3362" s="759">
        <f t="shared" si="209"/>
        <v>0</v>
      </c>
      <c r="I3362" s="758">
        <f t="shared" si="210"/>
        <v>-1.44</v>
      </c>
      <c r="J3362" s="760">
        <f t="shared" si="211"/>
        <v>0</v>
      </c>
    </row>
    <row r="3363" spans="1:10">
      <c r="A3363" s="74" t="s">
        <v>1858</v>
      </c>
      <c r="B3363" s="74" t="s">
        <v>258</v>
      </c>
      <c r="C3363" s="74" t="s">
        <v>1555</v>
      </c>
      <c r="D3363" s="74" t="s">
        <v>94</v>
      </c>
      <c r="E3363" s="74">
        <v>2</v>
      </c>
      <c r="F3363" s="74">
        <v>0</v>
      </c>
      <c r="G3363" s="758">
        <f t="shared" si="208"/>
        <v>0</v>
      </c>
      <c r="H3363" s="759">
        <f t="shared" si="209"/>
        <v>0</v>
      </c>
      <c r="I3363" s="758">
        <f t="shared" si="210"/>
        <v>0</v>
      </c>
      <c r="J3363" s="760">
        <f t="shared" si="211"/>
        <v>0</v>
      </c>
    </row>
    <row r="3364" spans="1:10">
      <c r="A3364" s="74" t="s">
        <v>743</v>
      </c>
      <c r="B3364" s="74" t="s">
        <v>251</v>
      </c>
      <c r="C3364" s="74" t="s">
        <v>1528</v>
      </c>
      <c r="D3364" s="74" t="s">
        <v>78</v>
      </c>
      <c r="E3364" s="74">
        <v>1</v>
      </c>
      <c r="F3364" s="74">
        <v>2.5499999999999998</v>
      </c>
      <c r="G3364" s="758">
        <f t="shared" si="208"/>
        <v>0</v>
      </c>
      <c r="H3364" s="759">
        <f t="shared" si="209"/>
        <v>0</v>
      </c>
      <c r="I3364" s="758">
        <f t="shared" si="210"/>
        <v>2.5499999999999998</v>
      </c>
      <c r="J3364" s="760">
        <f t="shared" si="211"/>
        <v>1</v>
      </c>
    </row>
    <row r="3365" spans="1:10">
      <c r="A3365" s="74" t="s">
        <v>743</v>
      </c>
      <c r="B3365" s="74" t="s">
        <v>251</v>
      </c>
      <c r="C3365" s="74" t="s">
        <v>1508</v>
      </c>
      <c r="D3365" s="74" t="s">
        <v>78</v>
      </c>
      <c r="E3365" s="74">
        <v>1</v>
      </c>
      <c r="F3365" s="74">
        <v>2.41</v>
      </c>
      <c r="G3365" s="758">
        <f t="shared" si="208"/>
        <v>0</v>
      </c>
      <c r="H3365" s="759">
        <f t="shared" si="209"/>
        <v>0</v>
      </c>
      <c r="I3365" s="758">
        <f t="shared" si="210"/>
        <v>2.41</v>
      </c>
      <c r="J3365" s="760">
        <f t="shared" si="211"/>
        <v>1</v>
      </c>
    </row>
    <row r="3366" spans="1:10">
      <c r="A3366" s="74" t="s">
        <v>743</v>
      </c>
      <c r="B3366" s="74" t="s">
        <v>251</v>
      </c>
      <c r="C3366" s="74" t="s">
        <v>1509</v>
      </c>
      <c r="D3366" s="74" t="s">
        <v>78</v>
      </c>
      <c r="E3366" s="74">
        <v>3</v>
      </c>
      <c r="F3366" s="74">
        <v>7.23</v>
      </c>
      <c r="G3366" s="758">
        <f t="shared" si="208"/>
        <v>0</v>
      </c>
      <c r="H3366" s="759">
        <f t="shared" si="209"/>
        <v>0</v>
      </c>
      <c r="I3366" s="758">
        <f t="shared" si="210"/>
        <v>2.41</v>
      </c>
      <c r="J3366" s="760">
        <f t="shared" si="211"/>
        <v>1</v>
      </c>
    </row>
    <row r="3367" spans="1:10">
      <c r="A3367" s="74" t="s">
        <v>743</v>
      </c>
      <c r="B3367" s="74" t="s">
        <v>251</v>
      </c>
      <c r="C3367" s="74" t="s">
        <v>1565</v>
      </c>
      <c r="D3367" s="74" t="s">
        <v>78</v>
      </c>
      <c r="E3367" s="74">
        <v>9</v>
      </c>
      <c r="F3367" s="74">
        <v>21.95</v>
      </c>
      <c r="G3367" s="758">
        <f t="shared" si="208"/>
        <v>0</v>
      </c>
      <c r="H3367" s="759">
        <f t="shared" si="209"/>
        <v>0</v>
      </c>
      <c r="I3367" s="758">
        <f t="shared" si="210"/>
        <v>2.4388888888888887</v>
      </c>
      <c r="J3367" s="760">
        <f t="shared" si="211"/>
        <v>1</v>
      </c>
    </row>
    <row r="3368" spans="1:10">
      <c r="A3368" s="74" t="s">
        <v>743</v>
      </c>
      <c r="B3368" s="74" t="s">
        <v>251</v>
      </c>
      <c r="C3368" s="74" t="s">
        <v>1530</v>
      </c>
      <c r="D3368" s="74" t="s">
        <v>80</v>
      </c>
      <c r="E3368" s="74">
        <v>3</v>
      </c>
      <c r="F3368" s="74">
        <v>5.73</v>
      </c>
      <c r="G3368" s="758">
        <f t="shared" si="208"/>
        <v>0</v>
      </c>
      <c r="H3368" s="759">
        <f t="shared" si="209"/>
        <v>0</v>
      </c>
      <c r="I3368" s="758">
        <f t="shared" si="210"/>
        <v>1.9100000000000001</v>
      </c>
      <c r="J3368" s="760">
        <f t="shared" si="211"/>
        <v>1</v>
      </c>
    </row>
    <row r="3369" spans="1:10">
      <c r="A3369" s="74" t="s">
        <v>743</v>
      </c>
      <c r="B3369" s="74" t="s">
        <v>251</v>
      </c>
      <c r="C3369" s="74" t="s">
        <v>1532</v>
      </c>
      <c r="D3369" s="74" t="s">
        <v>80</v>
      </c>
      <c r="E3369" s="74">
        <v>3</v>
      </c>
      <c r="F3369" s="74">
        <v>5.73</v>
      </c>
      <c r="G3369" s="758">
        <f t="shared" si="208"/>
        <v>0</v>
      </c>
      <c r="H3369" s="759">
        <f t="shared" si="209"/>
        <v>0</v>
      </c>
      <c r="I3369" s="758">
        <f t="shared" si="210"/>
        <v>1.9100000000000001</v>
      </c>
      <c r="J3369" s="760">
        <f t="shared" si="211"/>
        <v>1</v>
      </c>
    </row>
    <row r="3370" spans="1:10">
      <c r="A3370" s="74" t="s">
        <v>743</v>
      </c>
      <c r="B3370" s="74" t="s">
        <v>251</v>
      </c>
      <c r="C3370" s="74" t="s">
        <v>1511</v>
      </c>
      <c r="D3370" s="74" t="s">
        <v>80</v>
      </c>
      <c r="E3370" s="74">
        <v>6</v>
      </c>
      <c r="F3370" s="74">
        <v>14.45</v>
      </c>
      <c r="G3370" s="758">
        <f t="shared" si="208"/>
        <v>0</v>
      </c>
      <c r="H3370" s="759">
        <f t="shared" si="209"/>
        <v>0</v>
      </c>
      <c r="I3370" s="758">
        <f t="shared" si="210"/>
        <v>2.4083333333333332</v>
      </c>
      <c r="J3370" s="760">
        <f t="shared" si="211"/>
        <v>1</v>
      </c>
    </row>
    <row r="3371" spans="1:10">
      <c r="A3371" s="74" t="s">
        <v>743</v>
      </c>
      <c r="B3371" s="74" t="s">
        <v>251</v>
      </c>
      <c r="C3371" s="74" t="s">
        <v>1512</v>
      </c>
      <c r="D3371" s="74" t="s">
        <v>80</v>
      </c>
      <c r="E3371" s="74">
        <v>4</v>
      </c>
      <c r="F3371" s="74">
        <v>9.77</v>
      </c>
      <c r="G3371" s="758">
        <f t="shared" si="208"/>
        <v>0</v>
      </c>
      <c r="H3371" s="759">
        <f t="shared" si="209"/>
        <v>0</v>
      </c>
      <c r="I3371" s="758">
        <f t="shared" si="210"/>
        <v>2.4424999999999999</v>
      </c>
      <c r="J3371" s="760">
        <f t="shared" si="211"/>
        <v>1</v>
      </c>
    </row>
    <row r="3372" spans="1:10">
      <c r="A3372" s="74" t="s">
        <v>743</v>
      </c>
      <c r="B3372" s="74" t="s">
        <v>251</v>
      </c>
      <c r="C3372" s="74" t="s">
        <v>1513</v>
      </c>
      <c r="D3372" s="74" t="s">
        <v>81</v>
      </c>
      <c r="E3372" s="74">
        <v>14</v>
      </c>
      <c r="F3372" s="74">
        <v>34</v>
      </c>
      <c r="G3372" s="758">
        <f t="shared" si="208"/>
        <v>0</v>
      </c>
      <c r="H3372" s="759">
        <f t="shared" si="209"/>
        <v>0</v>
      </c>
      <c r="I3372" s="758">
        <f t="shared" si="210"/>
        <v>2.4285714285714284</v>
      </c>
      <c r="J3372" s="760">
        <f t="shared" si="211"/>
        <v>1</v>
      </c>
    </row>
    <row r="3373" spans="1:10">
      <c r="A3373" s="74" t="s">
        <v>743</v>
      </c>
      <c r="B3373" s="74" t="s">
        <v>251</v>
      </c>
      <c r="C3373" s="74" t="s">
        <v>1514</v>
      </c>
      <c r="D3373" s="74" t="s">
        <v>81</v>
      </c>
      <c r="E3373" s="74">
        <v>2</v>
      </c>
      <c r="F3373" s="74">
        <v>5.09</v>
      </c>
      <c r="G3373" s="758">
        <f t="shared" si="208"/>
        <v>0</v>
      </c>
      <c r="H3373" s="759">
        <f t="shared" si="209"/>
        <v>0</v>
      </c>
      <c r="I3373" s="758">
        <f t="shared" si="210"/>
        <v>2.5449999999999999</v>
      </c>
      <c r="J3373" s="760">
        <f t="shared" si="211"/>
        <v>1</v>
      </c>
    </row>
    <row r="3374" spans="1:10">
      <c r="A3374" s="74" t="s">
        <v>743</v>
      </c>
      <c r="B3374" s="74" t="s">
        <v>251</v>
      </c>
      <c r="C3374" s="74" t="s">
        <v>1515</v>
      </c>
      <c r="D3374" s="74" t="s">
        <v>81</v>
      </c>
      <c r="E3374" s="74">
        <v>5</v>
      </c>
      <c r="F3374" s="74">
        <v>12.18</v>
      </c>
      <c r="G3374" s="758">
        <f t="shared" si="208"/>
        <v>0</v>
      </c>
      <c r="H3374" s="759">
        <f t="shared" si="209"/>
        <v>0</v>
      </c>
      <c r="I3374" s="758">
        <f t="shared" si="210"/>
        <v>2.4359999999999999</v>
      </c>
      <c r="J3374" s="760">
        <f t="shared" si="211"/>
        <v>1</v>
      </c>
    </row>
    <row r="3375" spans="1:10">
      <c r="A3375" s="74" t="s">
        <v>720</v>
      </c>
      <c r="B3375" s="74" t="s">
        <v>251</v>
      </c>
      <c r="C3375" s="74" t="s">
        <v>1528</v>
      </c>
      <c r="D3375" s="74" t="s">
        <v>78</v>
      </c>
      <c r="E3375" s="74">
        <v>2</v>
      </c>
      <c r="F3375" s="74">
        <v>4.82</v>
      </c>
      <c r="G3375" s="758">
        <f t="shared" si="208"/>
        <v>0</v>
      </c>
      <c r="H3375" s="759">
        <f t="shared" si="209"/>
        <v>0</v>
      </c>
      <c r="I3375" s="758">
        <f t="shared" si="210"/>
        <v>2.41</v>
      </c>
      <c r="J3375" s="760">
        <f t="shared" si="211"/>
        <v>1</v>
      </c>
    </row>
    <row r="3376" spans="1:10">
      <c r="A3376" s="74" t="s">
        <v>720</v>
      </c>
      <c r="B3376" s="74" t="s">
        <v>251</v>
      </c>
      <c r="C3376" s="74" t="s">
        <v>1508</v>
      </c>
      <c r="D3376" s="74" t="s">
        <v>78</v>
      </c>
      <c r="E3376" s="74">
        <v>4</v>
      </c>
      <c r="F3376" s="74">
        <v>9.77</v>
      </c>
      <c r="G3376" s="758">
        <f t="shared" si="208"/>
        <v>0</v>
      </c>
      <c r="H3376" s="759">
        <f t="shared" si="209"/>
        <v>0</v>
      </c>
      <c r="I3376" s="758">
        <f t="shared" si="210"/>
        <v>2.4424999999999999</v>
      </c>
      <c r="J3376" s="760">
        <f t="shared" si="211"/>
        <v>1</v>
      </c>
    </row>
    <row r="3377" spans="1:10">
      <c r="A3377" s="74" t="s">
        <v>720</v>
      </c>
      <c r="B3377" s="74" t="s">
        <v>251</v>
      </c>
      <c r="C3377" s="74" t="s">
        <v>1509</v>
      </c>
      <c r="D3377" s="74" t="s">
        <v>78</v>
      </c>
      <c r="E3377" s="74">
        <v>1</v>
      </c>
      <c r="F3377" s="74">
        <v>2.5499999999999998</v>
      </c>
      <c r="G3377" s="758">
        <f t="shared" si="208"/>
        <v>0</v>
      </c>
      <c r="H3377" s="759">
        <f t="shared" si="209"/>
        <v>0</v>
      </c>
      <c r="I3377" s="758">
        <f t="shared" si="210"/>
        <v>2.5499999999999998</v>
      </c>
      <c r="J3377" s="760">
        <f t="shared" si="211"/>
        <v>1</v>
      </c>
    </row>
    <row r="3378" spans="1:10">
      <c r="A3378" s="74" t="s">
        <v>720</v>
      </c>
      <c r="B3378" s="74" t="s">
        <v>251</v>
      </c>
      <c r="C3378" s="74" t="s">
        <v>1565</v>
      </c>
      <c r="D3378" s="74" t="s">
        <v>78</v>
      </c>
      <c r="E3378" s="74">
        <v>7</v>
      </c>
      <c r="F3378" s="74">
        <v>17</v>
      </c>
      <c r="G3378" s="758">
        <f t="shared" si="208"/>
        <v>0</v>
      </c>
      <c r="H3378" s="759">
        <f t="shared" si="209"/>
        <v>0</v>
      </c>
      <c r="I3378" s="758">
        <f t="shared" si="210"/>
        <v>2.4285714285714284</v>
      </c>
      <c r="J3378" s="760">
        <f t="shared" si="211"/>
        <v>1</v>
      </c>
    </row>
    <row r="3379" spans="1:10">
      <c r="A3379" s="74" t="s">
        <v>720</v>
      </c>
      <c r="B3379" s="74" t="s">
        <v>251</v>
      </c>
      <c r="C3379" s="74" t="s">
        <v>1530</v>
      </c>
      <c r="D3379" s="74" t="s">
        <v>80</v>
      </c>
      <c r="E3379" s="74">
        <v>2</v>
      </c>
      <c r="F3379" s="74">
        <v>4.95</v>
      </c>
      <c r="G3379" s="758">
        <f t="shared" si="208"/>
        <v>0</v>
      </c>
      <c r="H3379" s="759">
        <f t="shared" si="209"/>
        <v>0</v>
      </c>
      <c r="I3379" s="758">
        <f t="shared" si="210"/>
        <v>2.4750000000000001</v>
      </c>
      <c r="J3379" s="760">
        <f t="shared" si="211"/>
        <v>1</v>
      </c>
    </row>
    <row r="3380" spans="1:10">
      <c r="A3380" s="74" t="s">
        <v>720</v>
      </c>
      <c r="B3380" s="74" t="s">
        <v>251</v>
      </c>
      <c r="C3380" s="74" t="s">
        <v>1532</v>
      </c>
      <c r="D3380" s="74" t="s">
        <v>80</v>
      </c>
      <c r="E3380" s="74">
        <v>2</v>
      </c>
      <c r="F3380" s="74">
        <v>4.95</v>
      </c>
      <c r="G3380" s="758">
        <f t="shared" si="208"/>
        <v>0</v>
      </c>
      <c r="H3380" s="759">
        <f t="shared" si="209"/>
        <v>0</v>
      </c>
      <c r="I3380" s="758">
        <f t="shared" si="210"/>
        <v>2.4750000000000001</v>
      </c>
      <c r="J3380" s="760">
        <f t="shared" si="211"/>
        <v>1</v>
      </c>
    </row>
    <row r="3381" spans="1:10">
      <c r="A3381" s="74" t="s">
        <v>720</v>
      </c>
      <c r="B3381" s="74" t="s">
        <v>251</v>
      </c>
      <c r="C3381" s="74" t="s">
        <v>1511</v>
      </c>
      <c r="D3381" s="74" t="s">
        <v>80</v>
      </c>
      <c r="E3381" s="74">
        <v>5</v>
      </c>
      <c r="F3381" s="74">
        <v>12.32</v>
      </c>
      <c r="G3381" s="758">
        <f t="shared" si="208"/>
        <v>0</v>
      </c>
      <c r="H3381" s="759">
        <f t="shared" si="209"/>
        <v>0</v>
      </c>
      <c r="I3381" s="758">
        <f t="shared" si="210"/>
        <v>2.464</v>
      </c>
      <c r="J3381" s="760">
        <f t="shared" si="211"/>
        <v>1</v>
      </c>
    </row>
    <row r="3382" spans="1:10">
      <c r="A3382" s="74" t="s">
        <v>720</v>
      </c>
      <c r="B3382" s="74" t="s">
        <v>251</v>
      </c>
      <c r="C3382" s="74" t="s">
        <v>1512</v>
      </c>
      <c r="D3382" s="74" t="s">
        <v>80</v>
      </c>
      <c r="E3382" s="74">
        <v>6</v>
      </c>
      <c r="F3382" s="74">
        <v>15</v>
      </c>
      <c r="G3382" s="758">
        <f t="shared" si="208"/>
        <v>0</v>
      </c>
      <c r="H3382" s="759">
        <f t="shared" si="209"/>
        <v>0</v>
      </c>
      <c r="I3382" s="758">
        <f t="shared" si="210"/>
        <v>2.5</v>
      </c>
      <c r="J3382" s="760">
        <f t="shared" si="211"/>
        <v>1</v>
      </c>
    </row>
    <row r="3383" spans="1:10">
      <c r="A3383" s="74" t="s">
        <v>720</v>
      </c>
      <c r="B3383" s="74" t="s">
        <v>251</v>
      </c>
      <c r="C3383" s="74" t="s">
        <v>1513</v>
      </c>
      <c r="D3383" s="74" t="s">
        <v>81</v>
      </c>
      <c r="E3383" s="74">
        <v>6</v>
      </c>
      <c r="F3383" s="74">
        <v>14.45</v>
      </c>
      <c r="G3383" s="758">
        <f t="shared" si="208"/>
        <v>0</v>
      </c>
      <c r="H3383" s="759">
        <f t="shared" si="209"/>
        <v>0</v>
      </c>
      <c r="I3383" s="758">
        <f t="shared" si="210"/>
        <v>2.4083333333333332</v>
      </c>
      <c r="J3383" s="760">
        <f t="shared" si="211"/>
        <v>1</v>
      </c>
    </row>
    <row r="3384" spans="1:10">
      <c r="A3384" s="74" t="s">
        <v>720</v>
      </c>
      <c r="B3384" s="74" t="s">
        <v>251</v>
      </c>
      <c r="C3384" s="74" t="s">
        <v>1515</v>
      </c>
      <c r="D3384" s="74" t="s">
        <v>81</v>
      </c>
      <c r="E3384" s="74">
        <v>1</v>
      </c>
      <c r="F3384" s="74">
        <v>2.41</v>
      </c>
      <c r="G3384" s="758">
        <f t="shared" si="208"/>
        <v>0</v>
      </c>
      <c r="H3384" s="759">
        <f t="shared" si="209"/>
        <v>0</v>
      </c>
      <c r="I3384" s="758">
        <f t="shared" si="210"/>
        <v>2.41</v>
      </c>
      <c r="J3384" s="760">
        <f t="shared" si="211"/>
        <v>1</v>
      </c>
    </row>
    <row r="3385" spans="1:10">
      <c r="A3385" s="74" t="s">
        <v>979</v>
      </c>
      <c r="B3385" s="74" t="s">
        <v>266</v>
      </c>
      <c r="C3385" s="74" t="s">
        <v>1584</v>
      </c>
      <c r="D3385" s="74" t="s">
        <v>92</v>
      </c>
      <c r="E3385" s="74">
        <v>1</v>
      </c>
      <c r="F3385" s="74">
        <v>1</v>
      </c>
      <c r="G3385" s="758">
        <f t="shared" si="208"/>
        <v>0</v>
      </c>
      <c r="H3385" s="759">
        <f t="shared" si="209"/>
        <v>0</v>
      </c>
      <c r="I3385" s="758">
        <f t="shared" si="210"/>
        <v>1</v>
      </c>
      <c r="J3385" s="760">
        <f t="shared" si="211"/>
        <v>1</v>
      </c>
    </row>
    <row r="3386" spans="1:10">
      <c r="A3386" s="74" t="s">
        <v>1859</v>
      </c>
      <c r="B3386" s="74" t="s">
        <v>251</v>
      </c>
      <c r="C3386" s="74" t="s">
        <v>1520</v>
      </c>
      <c r="D3386" s="74" t="s">
        <v>84</v>
      </c>
      <c r="E3386" s="74">
        <v>1</v>
      </c>
      <c r="F3386" s="74">
        <v>0</v>
      </c>
      <c r="G3386" s="758">
        <f t="shared" si="208"/>
        <v>0</v>
      </c>
      <c r="H3386" s="759">
        <f t="shared" si="209"/>
        <v>0</v>
      </c>
      <c r="I3386" s="758">
        <f t="shared" si="210"/>
        <v>0</v>
      </c>
      <c r="J3386" s="760">
        <f t="shared" si="211"/>
        <v>0</v>
      </c>
    </row>
    <row r="3387" spans="1:10">
      <c r="A3387" s="74" t="s">
        <v>890</v>
      </c>
      <c r="B3387" s="74" t="s">
        <v>251</v>
      </c>
      <c r="C3387" s="74" t="s">
        <v>1528</v>
      </c>
      <c r="D3387" s="74" t="s">
        <v>78</v>
      </c>
      <c r="E3387" s="74">
        <v>1</v>
      </c>
      <c r="F3387" s="74">
        <v>2.6</v>
      </c>
      <c r="G3387" s="758">
        <f t="shared" si="208"/>
        <v>0.59</v>
      </c>
      <c r="H3387" s="759">
        <f t="shared" si="209"/>
        <v>0.28000000000000003</v>
      </c>
      <c r="I3387" s="758">
        <f t="shared" si="210"/>
        <v>2.0100000000000002</v>
      </c>
      <c r="J3387" s="760">
        <f t="shared" si="211"/>
        <v>0.77307692307692311</v>
      </c>
    </row>
    <row r="3388" spans="1:10">
      <c r="A3388" s="74" t="s">
        <v>890</v>
      </c>
      <c r="B3388" s="74" t="s">
        <v>251</v>
      </c>
      <c r="C3388" s="74" t="s">
        <v>1508</v>
      </c>
      <c r="D3388" s="74" t="s">
        <v>78</v>
      </c>
      <c r="E3388" s="74">
        <v>3</v>
      </c>
      <c r="F3388" s="74">
        <v>7.8</v>
      </c>
      <c r="G3388" s="758">
        <f t="shared" si="208"/>
        <v>0.59</v>
      </c>
      <c r="H3388" s="759">
        <f t="shared" si="209"/>
        <v>0.28000000000000003</v>
      </c>
      <c r="I3388" s="758">
        <f t="shared" si="210"/>
        <v>2.0100000000000002</v>
      </c>
      <c r="J3388" s="760">
        <f t="shared" si="211"/>
        <v>0.77307692307692311</v>
      </c>
    </row>
    <row r="3389" spans="1:10">
      <c r="A3389" s="74" t="s">
        <v>890</v>
      </c>
      <c r="B3389" s="74" t="s">
        <v>251</v>
      </c>
      <c r="C3389" s="74" t="s">
        <v>1509</v>
      </c>
      <c r="D3389" s="74" t="s">
        <v>78</v>
      </c>
      <c r="E3389" s="74">
        <v>2</v>
      </c>
      <c r="F3389" s="74">
        <v>2.6</v>
      </c>
      <c r="G3389" s="758">
        <f t="shared" si="208"/>
        <v>0.59</v>
      </c>
      <c r="H3389" s="759">
        <f t="shared" si="209"/>
        <v>0.28000000000000003</v>
      </c>
      <c r="I3389" s="758">
        <f t="shared" si="210"/>
        <v>0.71000000000000008</v>
      </c>
      <c r="J3389" s="760">
        <f t="shared" si="211"/>
        <v>0.54615384615384621</v>
      </c>
    </row>
    <row r="3390" spans="1:10">
      <c r="A3390" s="74" t="s">
        <v>890</v>
      </c>
      <c r="B3390" s="74" t="s">
        <v>251</v>
      </c>
      <c r="C3390" s="74" t="s">
        <v>1565</v>
      </c>
      <c r="D3390" s="74" t="s">
        <v>78</v>
      </c>
      <c r="E3390" s="74">
        <v>2</v>
      </c>
      <c r="F3390" s="74">
        <v>2.65</v>
      </c>
      <c r="G3390" s="758">
        <f t="shared" si="208"/>
        <v>0.59</v>
      </c>
      <c r="H3390" s="759">
        <f t="shared" si="209"/>
        <v>0.28000000000000003</v>
      </c>
      <c r="I3390" s="758">
        <f t="shared" si="210"/>
        <v>0.73499999999999999</v>
      </c>
      <c r="J3390" s="760">
        <f t="shared" si="211"/>
        <v>0.55471698113207546</v>
      </c>
    </row>
    <row r="3391" spans="1:10">
      <c r="A3391" s="74" t="s">
        <v>890</v>
      </c>
      <c r="B3391" s="74" t="s">
        <v>251</v>
      </c>
      <c r="C3391" s="74" t="s">
        <v>1532</v>
      </c>
      <c r="D3391" s="74" t="s">
        <v>80</v>
      </c>
      <c r="E3391" s="74">
        <v>2</v>
      </c>
      <c r="F3391" s="74">
        <v>5.45</v>
      </c>
      <c r="G3391" s="758">
        <f t="shared" si="208"/>
        <v>0.59</v>
      </c>
      <c r="H3391" s="759">
        <f t="shared" si="209"/>
        <v>0.28000000000000003</v>
      </c>
      <c r="I3391" s="758">
        <f t="shared" si="210"/>
        <v>2.1350000000000002</v>
      </c>
      <c r="J3391" s="760">
        <f t="shared" si="211"/>
        <v>0.78348623853211008</v>
      </c>
    </row>
    <row r="3392" spans="1:10">
      <c r="A3392" s="74" t="s">
        <v>890</v>
      </c>
      <c r="B3392" s="74" t="s">
        <v>251</v>
      </c>
      <c r="C3392" s="74" t="s">
        <v>1511</v>
      </c>
      <c r="D3392" s="74" t="s">
        <v>80</v>
      </c>
      <c r="E3392" s="74">
        <v>5</v>
      </c>
      <c r="F3392" s="74">
        <v>13.7</v>
      </c>
      <c r="G3392" s="758">
        <f t="shared" si="208"/>
        <v>0.59</v>
      </c>
      <c r="H3392" s="759">
        <f t="shared" si="209"/>
        <v>0.28000000000000003</v>
      </c>
      <c r="I3392" s="758">
        <f t="shared" si="210"/>
        <v>2.15</v>
      </c>
      <c r="J3392" s="760">
        <f t="shared" si="211"/>
        <v>0.78467153284671531</v>
      </c>
    </row>
    <row r="3393" spans="1:10">
      <c r="A3393" s="74" t="s">
        <v>890</v>
      </c>
      <c r="B3393" s="74" t="s">
        <v>251</v>
      </c>
      <c r="C3393" s="74" t="s">
        <v>1512</v>
      </c>
      <c r="D3393" s="74" t="s">
        <v>80</v>
      </c>
      <c r="E3393" s="74">
        <v>6</v>
      </c>
      <c r="F3393" s="74">
        <v>10.61</v>
      </c>
      <c r="G3393" s="758">
        <f t="shared" si="208"/>
        <v>0.59</v>
      </c>
      <c r="H3393" s="759">
        <f t="shared" si="209"/>
        <v>0.28000000000000003</v>
      </c>
      <c r="I3393" s="758">
        <f t="shared" si="210"/>
        <v>1.1783333333333332</v>
      </c>
      <c r="J3393" s="760">
        <f t="shared" si="211"/>
        <v>0.66635249764373228</v>
      </c>
    </row>
    <row r="3394" spans="1:10">
      <c r="A3394" s="74" t="s">
        <v>890</v>
      </c>
      <c r="B3394" s="74" t="s">
        <v>251</v>
      </c>
      <c r="C3394" s="74" t="s">
        <v>1534</v>
      </c>
      <c r="D3394" s="74" t="s">
        <v>81</v>
      </c>
      <c r="E3394" s="74">
        <v>3</v>
      </c>
      <c r="F3394" s="74">
        <v>8.1</v>
      </c>
      <c r="G3394" s="758">
        <f t="shared" ref="G3394:G3457" si="212">IFERROR(VLOOKUP(A3394,$M$1:$P$1014,2,FALSE),0)</f>
        <v>0.59</v>
      </c>
      <c r="H3394" s="759">
        <f t="shared" ref="H3394:H3457" si="213">IFERROR(VLOOKUP(A3394,$M$1:$P$1014,3,FALSE),0)</f>
        <v>0.28000000000000003</v>
      </c>
      <c r="I3394" s="758">
        <f t="shared" ref="I3394:I3457" si="214">IFERROR(F3394/E3394-G3394,0)</f>
        <v>2.11</v>
      </c>
      <c r="J3394" s="760">
        <f t="shared" ref="J3394:J3457" si="215">IFERROR(1-G3394*E3394/F3394,0)</f>
        <v>0.78148148148148144</v>
      </c>
    </row>
    <row r="3395" spans="1:10">
      <c r="A3395" s="74" t="s">
        <v>890</v>
      </c>
      <c r="B3395" s="74" t="s">
        <v>251</v>
      </c>
      <c r="C3395" s="74" t="s">
        <v>1513</v>
      </c>
      <c r="D3395" s="74" t="s">
        <v>81</v>
      </c>
      <c r="E3395" s="74">
        <v>6</v>
      </c>
      <c r="F3395" s="74">
        <v>16.8</v>
      </c>
      <c r="G3395" s="758">
        <f t="shared" si="212"/>
        <v>0.59</v>
      </c>
      <c r="H3395" s="759">
        <f t="shared" si="213"/>
        <v>0.28000000000000003</v>
      </c>
      <c r="I3395" s="758">
        <f t="shared" si="214"/>
        <v>2.2100000000000004</v>
      </c>
      <c r="J3395" s="760">
        <f t="shared" si="215"/>
        <v>0.78928571428571426</v>
      </c>
    </row>
    <row r="3396" spans="1:10">
      <c r="A3396" s="74" t="s">
        <v>890</v>
      </c>
      <c r="B3396" s="74" t="s">
        <v>251</v>
      </c>
      <c r="C3396" s="74" t="s">
        <v>1514</v>
      </c>
      <c r="D3396" s="74" t="s">
        <v>81</v>
      </c>
      <c r="E3396" s="74">
        <v>3</v>
      </c>
      <c r="F3396" s="74">
        <v>5.3</v>
      </c>
      <c r="G3396" s="758">
        <f t="shared" si="212"/>
        <v>0.59</v>
      </c>
      <c r="H3396" s="759">
        <f t="shared" si="213"/>
        <v>0.28000000000000003</v>
      </c>
      <c r="I3396" s="758">
        <f t="shared" si="214"/>
        <v>1.1766666666666667</v>
      </c>
      <c r="J3396" s="760">
        <f t="shared" si="215"/>
        <v>0.66603773584905657</v>
      </c>
    </row>
    <row r="3397" spans="1:10">
      <c r="A3397" s="74" t="s">
        <v>890</v>
      </c>
      <c r="B3397" s="74" t="s">
        <v>251</v>
      </c>
      <c r="C3397" s="74" t="s">
        <v>1515</v>
      </c>
      <c r="D3397" s="74" t="s">
        <v>81</v>
      </c>
      <c r="E3397" s="74">
        <v>8</v>
      </c>
      <c r="F3397" s="74">
        <v>47</v>
      </c>
      <c r="G3397" s="758">
        <f t="shared" si="212"/>
        <v>0.59</v>
      </c>
      <c r="H3397" s="759">
        <f t="shared" si="213"/>
        <v>0.28000000000000003</v>
      </c>
      <c r="I3397" s="758">
        <f t="shared" si="214"/>
        <v>5.2850000000000001</v>
      </c>
      <c r="J3397" s="760">
        <f t="shared" si="215"/>
        <v>0.89957446808510633</v>
      </c>
    </row>
    <row r="3398" spans="1:10">
      <c r="A3398" s="74" t="s">
        <v>890</v>
      </c>
      <c r="B3398" s="74" t="s">
        <v>251</v>
      </c>
      <c r="C3398" s="74" t="s">
        <v>1516</v>
      </c>
      <c r="D3398" s="74" t="s">
        <v>82</v>
      </c>
      <c r="E3398" s="74">
        <v>4</v>
      </c>
      <c r="F3398" s="74">
        <v>12.05</v>
      </c>
      <c r="G3398" s="758">
        <f t="shared" si="212"/>
        <v>0.59</v>
      </c>
      <c r="H3398" s="759">
        <f t="shared" si="213"/>
        <v>0.28000000000000003</v>
      </c>
      <c r="I3398" s="758">
        <f t="shared" si="214"/>
        <v>2.4225000000000003</v>
      </c>
      <c r="J3398" s="760">
        <f t="shared" si="215"/>
        <v>0.80414937759336103</v>
      </c>
    </row>
    <row r="3399" spans="1:10">
      <c r="A3399" s="74" t="s">
        <v>890</v>
      </c>
      <c r="B3399" s="74" t="s">
        <v>251</v>
      </c>
      <c r="C3399" s="74" t="s">
        <v>1517</v>
      </c>
      <c r="D3399" s="74" t="s">
        <v>82</v>
      </c>
      <c r="E3399" s="74">
        <v>4</v>
      </c>
      <c r="F3399" s="74">
        <v>10.75</v>
      </c>
      <c r="G3399" s="758">
        <f t="shared" si="212"/>
        <v>0.59</v>
      </c>
      <c r="H3399" s="759">
        <f t="shared" si="213"/>
        <v>0.28000000000000003</v>
      </c>
      <c r="I3399" s="758">
        <f t="shared" si="214"/>
        <v>2.0975000000000001</v>
      </c>
      <c r="J3399" s="760">
        <f t="shared" si="215"/>
        <v>0.78046511627906978</v>
      </c>
    </row>
    <row r="3400" spans="1:10">
      <c r="A3400" s="74" t="s">
        <v>890</v>
      </c>
      <c r="B3400" s="74" t="s">
        <v>251</v>
      </c>
      <c r="C3400" s="74" t="s">
        <v>1527</v>
      </c>
      <c r="D3400" s="74" t="s">
        <v>82</v>
      </c>
      <c r="E3400" s="74">
        <v>3</v>
      </c>
      <c r="F3400" s="74">
        <v>8.4</v>
      </c>
      <c r="G3400" s="758">
        <f t="shared" si="212"/>
        <v>0.59</v>
      </c>
      <c r="H3400" s="759">
        <f t="shared" si="213"/>
        <v>0.28000000000000003</v>
      </c>
      <c r="I3400" s="758">
        <f t="shared" si="214"/>
        <v>2.2100000000000004</v>
      </c>
      <c r="J3400" s="760">
        <f t="shared" si="215"/>
        <v>0.78928571428571426</v>
      </c>
    </row>
    <row r="3401" spans="1:10">
      <c r="A3401" s="74" t="s">
        <v>890</v>
      </c>
      <c r="B3401" s="74" t="s">
        <v>251</v>
      </c>
      <c r="C3401" s="74" t="s">
        <v>1518</v>
      </c>
      <c r="D3401" s="74" t="s">
        <v>82</v>
      </c>
      <c r="E3401" s="74">
        <v>3</v>
      </c>
      <c r="F3401" s="74">
        <v>13.25</v>
      </c>
      <c r="G3401" s="758">
        <f t="shared" si="212"/>
        <v>0.59</v>
      </c>
      <c r="H3401" s="759">
        <f t="shared" si="213"/>
        <v>0.28000000000000003</v>
      </c>
      <c r="I3401" s="758">
        <f t="shared" si="214"/>
        <v>3.8266666666666671</v>
      </c>
      <c r="J3401" s="760">
        <f t="shared" si="215"/>
        <v>0.8664150943396226</v>
      </c>
    </row>
    <row r="3402" spans="1:10">
      <c r="A3402" s="74" t="s">
        <v>890</v>
      </c>
      <c r="B3402" s="74" t="s">
        <v>251</v>
      </c>
      <c r="C3402" s="74" t="s">
        <v>1519</v>
      </c>
      <c r="D3402" s="74" t="s">
        <v>84</v>
      </c>
      <c r="E3402" s="74">
        <v>3</v>
      </c>
      <c r="F3402" s="74">
        <v>7.57</v>
      </c>
      <c r="G3402" s="758">
        <f t="shared" si="212"/>
        <v>0.59</v>
      </c>
      <c r="H3402" s="759">
        <f t="shared" si="213"/>
        <v>0.28000000000000003</v>
      </c>
      <c r="I3402" s="758">
        <f t="shared" si="214"/>
        <v>1.9333333333333336</v>
      </c>
      <c r="J3402" s="760">
        <f t="shared" si="215"/>
        <v>0.76618229854689568</v>
      </c>
    </row>
    <row r="3403" spans="1:10">
      <c r="A3403" s="74" t="s">
        <v>890</v>
      </c>
      <c r="B3403" s="74" t="s">
        <v>251</v>
      </c>
      <c r="C3403" s="74" t="s">
        <v>1644</v>
      </c>
      <c r="D3403" s="74" t="s">
        <v>86</v>
      </c>
      <c r="E3403" s="74">
        <v>1</v>
      </c>
      <c r="F3403" s="74">
        <v>2.65</v>
      </c>
      <c r="G3403" s="758">
        <f t="shared" si="212"/>
        <v>0.59</v>
      </c>
      <c r="H3403" s="759">
        <f t="shared" si="213"/>
        <v>0.28000000000000003</v>
      </c>
      <c r="I3403" s="758">
        <f t="shared" si="214"/>
        <v>2.06</v>
      </c>
      <c r="J3403" s="760">
        <f t="shared" si="215"/>
        <v>0.77735849056603779</v>
      </c>
    </row>
    <row r="3404" spans="1:10">
      <c r="A3404" s="74" t="s">
        <v>890</v>
      </c>
      <c r="B3404" s="74" t="s">
        <v>251</v>
      </c>
      <c r="C3404" s="74" t="s">
        <v>1541</v>
      </c>
      <c r="D3404" s="74" t="s">
        <v>86</v>
      </c>
      <c r="E3404" s="74">
        <v>1</v>
      </c>
      <c r="F3404" s="74">
        <v>2.8</v>
      </c>
      <c r="G3404" s="758">
        <f t="shared" si="212"/>
        <v>0.59</v>
      </c>
      <c r="H3404" s="759">
        <f t="shared" si="213"/>
        <v>0.28000000000000003</v>
      </c>
      <c r="I3404" s="758">
        <f t="shared" si="214"/>
        <v>2.21</v>
      </c>
      <c r="J3404" s="760">
        <f t="shared" si="215"/>
        <v>0.78928571428571426</v>
      </c>
    </row>
    <row r="3405" spans="1:10">
      <c r="A3405" s="74" t="s">
        <v>890</v>
      </c>
      <c r="B3405" s="74" t="s">
        <v>251</v>
      </c>
      <c r="C3405" s="74" t="s">
        <v>1546</v>
      </c>
      <c r="D3405" s="74" t="s">
        <v>89</v>
      </c>
      <c r="E3405" s="74">
        <v>1</v>
      </c>
      <c r="F3405" s="74">
        <v>0</v>
      </c>
      <c r="G3405" s="758">
        <f t="shared" si="212"/>
        <v>0.59</v>
      </c>
      <c r="H3405" s="759">
        <f t="shared" si="213"/>
        <v>0.28000000000000003</v>
      </c>
      <c r="I3405" s="758">
        <f t="shared" si="214"/>
        <v>-0.59</v>
      </c>
      <c r="J3405" s="760">
        <f t="shared" si="215"/>
        <v>0</v>
      </c>
    </row>
    <row r="3406" spans="1:10">
      <c r="A3406" s="74" t="s">
        <v>890</v>
      </c>
      <c r="B3406" s="74" t="s">
        <v>251</v>
      </c>
      <c r="C3406" s="74" t="s">
        <v>1547</v>
      </c>
      <c r="D3406" s="74" t="s">
        <v>89</v>
      </c>
      <c r="E3406" s="74">
        <v>3</v>
      </c>
      <c r="F3406" s="74">
        <v>2.65</v>
      </c>
      <c r="G3406" s="758">
        <f t="shared" si="212"/>
        <v>0.59</v>
      </c>
      <c r="H3406" s="759">
        <f t="shared" si="213"/>
        <v>0.28000000000000003</v>
      </c>
      <c r="I3406" s="758">
        <f t="shared" si="214"/>
        <v>0.29333333333333333</v>
      </c>
      <c r="J3406" s="760">
        <f t="shared" si="215"/>
        <v>0.33207547169811313</v>
      </c>
    </row>
    <row r="3407" spans="1:10">
      <c r="A3407" s="74" t="s">
        <v>890</v>
      </c>
      <c r="B3407" s="74" t="s">
        <v>251</v>
      </c>
      <c r="C3407" s="74" t="s">
        <v>1675</v>
      </c>
      <c r="D3407" s="74" t="s">
        <v>91</v>
      </c>
      <c r="E3407" s="74">
        <v>1</v>
      </c>
      <c r="F3407" s="74">
        <v>1</v>
      </c>
      <c r="G3407" s="758">
        <f t="shared" si="212"/>
        <v>0.59</v>
      </c>
      <c r="H3407" s="759">
        <f t="shared" si="213"/>
        <v>0.28000000000000003</v>
      </c>
      <c r="I3407" s="758">
        <f t="shared" si="214"/>
        <v>0.41000000000000003</v>
      </c>
      <c r="J3407" s="760">
        <f t="shared" si="215"/>
        <v>0.41000000000000003</v>
      </c>
    </row>
    <row r="3408" spans="1:10">
      <c r="A3408" s="74" t="s">
        <v>890</v>
      </c>
      <c r="B3408" s="74" t="s">
        <v>251</v>
      </c>
      <c r="C3408" s="74" t="s">
        <v>1584</v>
      </c>
      <c r="D3408" s="74" t="s">
        <v>92</v>
      </c>
      <c r="E3408" s="74">
        <v>1</v>
      </c>
      <c r="F3408" s="74">
        <v>2.65</v>
      </c>
      <c r="G3408" s="758">
        <f t="shared" si="212"/>
        <v>0.59</v>
      </c>
      <c r="H3408" s="759">
        <f t="shared" si="213"/>
        <v>0.28000000000000003</v>
      </c>
      <c r="I3408" s="758">
        <f t="shared" si="214"/>
        <v>2.06</v>
      </c>
      <c r="J3408" s="760">
        <f t="shared" si="215"/>
        <v>0.77735849056603779</v>
      </c>
    </row>
    <row r="3409" spans="1:10">
      <c r="A3409" s="74" t="s">
        <v>890</v>
      </c>
      <c r="B3409" s="74" t="s">
        <v>251</v>
      </c>
      <c r="C3409" s="74" t="s">
        <v>1614</v>
      </c>
      <c r="D3409" s="74" t="s">
        <v>92</v>
      </c>
      <c r="E3409" s="74">
        <v>1</v>
      </c>
      <c r="F3409" s="74">
        <v>2.65</v>
      </c>
      <c r="G3409" s="758">
        <f t="shared" si="212"/>
        <v>0.59</v>
      </c>
      <c r="H3409" s="759">
        <f t="shared" si="213"/>
        <v>0.28000000000000003</v>
      </c>
      <c r="I3409" s="758">
        <f t="shared" si="214"/>
        <v>2.06</v>
      </c>
      <c r="J3409" s="760">
        <f t="shared" si="215"/>
        <v>0.77735849056603779</v>
      </c>
    </row>
    <row r="3410" spans="1:10">
      <c r="A3410" s="74" t="s">
        <v>890</v>
      </c>
      <c r="B3410" s="74" t="s">
        <v>251</v>
      </c>
      <c r="C3410" s="74" t="s">
        <v>1631</v>
      </c>
      <c r="D3410" s="74" t="s">
        <v>92</v>
      </c>
      <c r="E3410" s="74">
        <v>1</v>
      </c>
      <c r="F3410" s="74">
        <v>2.8</v>
      </c>
      <c r="G3410" s="758">
        <f t="shared" si="212"/>
        <v>0.59</v>
      </c>
      <c r="H3410" s="759">
        <f t="shared" si="213"/>
        <v>0.28000000000000003</v>
      </c>
      <c r="I3410" s="758">
        <f t="shared" si="214"/>
        <v>2.21</v>
      </c>
      <c r="J3410" s="760">
        <f t="shared" si="215"/>
        <v>0.78928571428571426</v>
      </c>
    </row>
    <row r="3411" spans="1:10">
      <c r="A3411" s="74" t="s">
        <v>890</v>
      </c>
      <c r="B3411" s="74" t="s">
        <v>251</v>
      </c>
      <c r="C3411" s="74" t="s">
        <v>1557</v>
      </c>
      <c r="D3411" s="74" t="s">
        <v>95</v>
      </c>
      <c r="E3411" s="74">
        <v>1</v>
      </c>
      <c r="F3411" s="74">
        <v>2.65</v>
      </c>
      <c r="G3411" s="758">
        <f t="shared" si="212"/>
        <v>0.59</v>
      </c>
      <c r="H3411" s="759">
        <f t="shared" si="213"/>
        <v>0.28000000000000003</v>
      </c>
      <c r="I3411" s="758">
        <f t="shared" si="214"/>
        <v>2.06</v>
      </c>
      <c r="J3411" s="760">
        <f t="shared" si="215"/>
        <v>0.77735849056603779</v>
      </c>
    </row>
    <row r="3412" spans="1:10">
      <c r="A3412" s="74" t="s">
        <v>1086</v>
      </c>
      <c r="B3412" s="74" t="s">
        <v>266</v>
      </c>
      <c r="C3412" s="74" t="s">
        <v>1518</v>
      </c>
      <c r="D3412" s="74" t="s">
        <v>82</v>
      </c>
      <c r="E3412" s="74">
        <v>1</v>
      </c>
      <c r="F3412" s="74">
        <v>0</v>
      </c>
      <c r="G3412" s="758">
        <f t="shared" si="212"/>
        <v>0.14000000000000001</v>
      </c>
      <c r="H3412" s="759">
        <f t="shared" si="213"/>
        <v>0</v>
      </c>
      <c r="I3412" s="758">
        <f t="shared" si="214"/>
        <v>-0.14000000000000001</v>
      </c>
      <c r="J3412" s="760">
        <f t="shared" si="215"/>
        <v>0</v>
      </c>
    </row>
    <row r="3413" spans="1:10">
      <c r="A3413" s="74" t="s">
        <v>1086</v>
      </c>
      <c r="B3413" s="74" t="s">
        <v>266</v>
      </c>
      <c r="C3413" s="74" t="s">
        <v>1520</v>
      </c>
      <c r="D3413" s="74" t="s">
        <v>84</v>
      </c>
      <c r="E3413" s="74">
        <v>1</v>
      </c>
      <c r="F3413" s="74">
        <v>0</v>
      </c>
      <c r="G3413" s="758">
        <f t="shared" si="212"/>
        <v>0.14000000000000001</v>
      </c>
      <c r="H3413" s="759">
        <f t="shared" si="213"/>
        <v>0</v>
      </c>
      <c r="I3413" s="758">
        <f t="shared" si="214"/>
        <v>-0.14000000000000001</v>
      </c>
      <c r="J3413" s="760">
        <f t="shared" si="215"/>
        <v>0</v>
      </c>
    </row>
    <row r="3414" spans="1:10">
      <c r="A3414" s="74" t="s">
        <v>1086</v>
      </c>
      <c r="B3414" s="74" t="s">
        <v>266</v>
      </c>
      <c r="C3414" s="74" t="s">
        <v>1577</v>
      </c>
      <c r="D3414" s="74" t="s">
        <v>84</v>
      </c>
      <c r="E3414" s="74">
        <v>1</v>
      </c>
      <c r="F3414" s="74">
        <v>0</v>
      </c>
      <c r="G3414" s="758">
        <f t="shared" si="212"/>
        <v>0.14000000000000001</v>
      </c>
      <c r="H3414" s="759">
        <f t="shared" si="213"/>
        <v>0</v>
      </c>
      <c r="I3414" s="758">
        <f t="shared" si="214"/>
        <v>-0.14000000000000001</v>
      </c>
      <c r="J3414" s="760">
        <f t="shared" si="215"/>
        <v>0</v>
      </c>
    </row>
    <row r="3415" spans="1:10">
      <c r="A3415" s="74" t="s">
        <v>1086</v>
      </c>
      <c r="B3415" s="74" t="s">
        <v>266</v>
      </c>
      <c r="C3415" s="74" t="s">
        <v>1543</v>
      </c>
      <c r="D3415" s="74" t="s">
        <v>87</v>
      </c>
      <c r="E3415" s="74">
        <v>1</v>
      </c>
      <c r="F3415" s="74">
        <v>0</v>
      </c>
      <c r="G3415" s="758">
        <f t="shared" si="212"/>
        <v>0.14000000000000001</v>
      </c>
      <c r="H3415" s="759">
        <f t="shared" si="213"/>
        <v>0</v>
      </c>
      <c r="I3415" s="758">
        <f t="shared" si="214"/>
        <v>-0.14000000000000001</v>
      </c>
      <c r="J3415" s="760">
        <f t="shared" si="215"/>
        <v>0</v>
      </c>
    </row>
    <row r="3416" spans="1:10">
      <c r="A3416" s="74" t="s">
        <v>1086</v>
      </c>
      <c r="B3416" s="74" t="s">
        <v>266</v>
      </c>
      <c r="C3416" s="74" t="s">
        <v>1610</v>
      </c>
      <c r="D3416" s="74" t="s">
        <v>89</v>
      </c>
      <c r="E3416" s="74">
        <v>1</v>
      </c>
      <c r="F3416" s="74">
        <v>0</v>
      </c>
      <c r="G3416" s="758">
        <f t="shared" si="212"/>
        <v>0.14000000000000001</v>
      </c>
      <c r="H3416" s="759">
        <f t="shared" si="213"/>
        <v>0</v>
      </c>
      <c r="I3416" s="758">
        <f t="shared" si="214"/>
        <v>-0.14000000000000001</v>
      </c>
      <c r="J3416" s="760">
        <f t="shared" si="215"/>
        <v>0</v>
      </c>
    </row>
    <row r="3417" spans="1:10">
      <c r="A3417" s="74" t="s">
        <v>945</v>
      </c>
      <c r="B3417" s="74" t="s">
        <v>251</v>
      </c>
      <c r="C3417" s="74" t="s">
        <v>1528</v>
      </c>
      <c r="D3417" s="74" t="s">
        <v>78</v>
      </c>
      <c r="E3417" s="74">
        <v>1</v>
      </c>
      <c r="F3417" s="74">
        <v>2.6</v>
      </c>
      <c r="G3417" s="758">
        <f t="shared" si="212"/>
        <v>0.52</v>
      </c>
      <c r="H3417" s="759">
        <f t="shared" si="213"/>
        <v>0.28000000000000003</v>
      </c>
      <c r="I3417" s="758">
        <f t="shared" si="214"/>
        <v>2.08</v>
      </c>
      <c r="J3417" s="760">
        <f t="shared" si="215"/>
        <v>0.8</v>
      </c>
    </row>
    <row r="3418" spans="1:10">
      <c r="A3418" s="74" t="s">
        <v>945</v>
      </c>
      <c r="B3418" s="74" t="s">
        <v>251</v>
      </c>
      <c r="C3418" s="74" t="s">
        <v>1508</v>
      </c>
      <c r="D3418" s="74" t="s">
        <v>78</v>
      </c>
      <c r="E3418" s="74">
        <v>2</v>
      </c>
      <c r="F3418" s="74">
        <v>2.6</v>
      </c>
      <c r="G3418" s="758">
        <f t="shared" si="212"/>
        <v>0.52</v>
      </c>
      <c r="H3418" s="759">
        <f t="shared" si="213"/>
        <v>0.28000000000000003</v>
      </c>
      <c r="I3418" s="758">
        <f t="shared" si="214"/>
        <v>0.78</v>
      </c>
      <c r="J3418" s="760">
        <f t="shared" si="215"/>
        <v>0.6</v>
      </c>
    </row>
    <row r="3419" spans="1:10">
      <c r="A3419" s="74" t="s">
        <v>945</v>
      </c>
      <c r="B3419" s="74" t="s">
        <v>251</v>
      </c>
      <c r="C3419" s="74" t="s">
        <v>1509</v>
      </c>
      <c r="D3419" s="74" t="s">
        <v>78</v>
      </c>
      <c r="E3419" s="74">
        <v>4</v>
      </c>
      <c r="F3419" s="74">
        <v>10.6</v>
      </c>
      <c r="G3419" s="758">
        <f t="shared" si="212"/>
        <v>0.52</v>
      </c>
      <c r="H3419" s="759">
        <f t="shared" si="213"/>
        <v>0.28000000000000003</v>
      </c>
      <c r="I3419" s="758">
        <f t="shared" si="214"/>
        <v>2.13</v>
      </c>
      <c r="J3419" s="760">
        <f t="shared" si="215"/>
        <v>0.80377358490566042</v>
      </c>
    </row>
    <row r="3420" spans="1:10">
      <c r="A3420" s="74" t="s">
        <v>945</v>
      </c>
      <c r="B3420" s="74" t="s">
        <v>251</v>
      </c>
      <c r="C3420" s="74" t="s">
        <v>1565</v>
      </c>
      <c r="D3420" s="74" t="s">
        <v>78</v>
      </c>
      <c r="E3420" s="74">
        <v>3</v>
      </c>
      <c r="F3420" s="74">
        <v>7.95</v>
      </c>
      <c r="G3420" s="758">
        <f t="shared" si="212"/>
        <v>0.52</v>
      </c>
      <c r="H3420" s="759">
        <f t="shared" si="213"/>
        <v>0.28000000000000003</v>
      </c>
      <c r="I3420" s="758">
        <f t="shared" si="214"/>
        <v>2.13</v>
      </c>
      <c r="J3420" s="760">
        <f t="shared" si="215"/>
        <v>0.80377358490566042</v>
      </c>
    </row>
    <row r="3421" spans="1:10">
      <c r="A3421" s="74" t="s">
        <v>945</v>
      </c>
      <c r="B3421" s="74" t="s">
        <v>251</v>
      </c>
      <c r="C3421" s="74" t="s">
        <v>1532</v>
      </c>
      <c r="D3421" s="74" t="s">
        <v>80</v>
      </c>
      <c r="E3421" s="74">
        <v>2</v>
      </c>
      <c r="F3421" s="74">
        <v>5.3</v>
      </c>
      <c r="G3421" s="758">
        <f t="shared" si="212"/>
        <v>0.52</v>
      </c>
      <c r="H3421" s="759">
        <f t="shared" si="213"/>
        <v>0.28000000000000003</v>
      </c>
      <c r="I3421" s="758">
        <f t="shared" si="214"/>
        <v>2.13</v>
      </c>
      <c r="J3421" s="760">
        <f t="shared" si="215"/>
        <v>0.80377358490566042</v>
      </c>
    </row>
    <row r="3422" spans="1:10">
      <c r="A3422" s="74" t="s">
        <v>945</v>
      </c>
      <c r="B3422" s="74" t="s">
        <v>251</v>
      </c>
      <c r="C3422" s="74" t="s">
        <v>1511</v>
      </c>
      <c r="D3422" s="74" t="s">
        <v>80</v>
      </c>
      <c r="E3422" s="74">
        <v>4</v>
      </c>
      <c r="F3422" s="74">
        <v>7.95</v>
      </c>
      <c r="G3422" s="758">
        <f t="shared" si="212"/>
        <v>0.52</v>
      </c>
      <c r="H3422" s="759">
        <f t="shared" si="213"/>
        <v>0.28000000000000003</v>
      </c>
      <c r="I3422" s="758">
        <f t="shared" si="214"/>
        <v>1.4675</v>
      </c>
      <c r="J3422" s="760">
        <f t="shared" si="215"/>
        <v>0.73836477987421389</v>
      </c>
    </row>
    <row r="3423" spans="1:10">
      <c r="A3423" s="74" t="s">
        <v>945</v>
      </c>
      <c r="B3423" s="74" t="s">
        <v>251</v>
      </c>
      <c r="C3423" s="74" t="s">
        <v>1512</v>
      </c>
      <c r="D3423" s="74" t="s">
        <v>80</v>
      </c>
      <c r="E3423" s="74">
        <v>7</v>
      </c>
      <c r="F3423" s="74">
        <v>18.7</v>
      </c>
      <c r="G3423" s="758">
        <f t="shared" si="212"/>
        <v>0.52</v>
      </c>
      <c r="H3423" s="759">
        <f t="shared" si="213"/>
        <v>0.28000000000000003</v>
      </c>
      <c r="I3423" s="758">
        <f t="shared" si="214"/>
        <v>2.1514285714285712</v>
      </c>
      <c r="J3423" s="760">
        <f t="shared" si="215"/>
        <v>0.80534759358288766</v>
      </c>
    </row>
    <row r="3424" spans="1:10">
      <c r="A3424" s="74" t="s">
        <v>945</v>
      </c>
      <c r="B3424" s="74" t="s">
        <v>251</v>
      </c>
      <c r="C3424" s="74" t="s">
        <v>1534</v>
      </c>
      <c r="D3424" s="74" t="s">
        <v>81</v>
      </c>
      <c r="E3424" s="74">
        <v>5</v>
      </c>
      <c r="F3424" s="74">
        <v>13.4</v>
      </c>
      <c r="G3424" s="758">
        <f t="shared" si="212"/>
        <v>0.52</v>
      </c>
      <c r="H3424" s="759">
        <f t="shared" si="213"/>
        <v>0.28000000000000003</v>
      </c>
      <c r="I3424" s="758">
        <f t="shared" si="214"/>
        <v>2.16</v>
      </c>
      <c r="J3424" s="760">
        <f t="shared" si="215"/>
        <v>0.80597014925373134</v>
      </c>
    </row>
    <row r="3425" spans="1:10">
      <c r="A3425" s="74" t="s">
        <v>945</v>
      </c>
      <c r="B3425" s="74" t="s">
        <v>251</v>
      </c>
      <c r="C3425" s="74" t="s">
        <v>1514</v>
      </c>
      <c r="D3425" s="74" t="s">
        <v>81</v>
      </c>
      <c r="E3425" s="74">
        <v>7</v>
      </c>
      <c r="F3425" s="74">
        <v>18.7</v>
      </c>
      <c r="G3425" s="758">
        <f t="shared" si="212"/>
        <v>0.52</v>
      </c>
      <c r="H3425" s="759">
        <f t="shared" si="213"/>
        <v>0.28000000000000003</v>
      </c>
      <c r="I3425" s="758">
        <f t="shared" si="214"/>
        <v>2.1514285714285712</v>
      </c>
      <c r="J3425" s="760">
        <f t="shared" si="215"/>
        <v>0.80534759358288766</v>
      </c>
    </row>
    <row r="3426" spans="1:10">
      <c r="A3426" s="74" t="s">
        <v>945</v>
      </c>
      <c r="B3426" s="74" t="s">
        <v>251</v>
      </c>
      <c r="C3426" s="74" t="s">
        <v>1515</v>
      </c>
      <c r="D3426" s="74" t="s">
        <v>81</v>
      </c>
      <c r="E3426" s="74">
        <v>5</v>
      </c>
      <c r="F3426" s="74">
        <v>14.7</v>
      </c>
      <c r="G3426" s="758">
        <f t="shared" si="212"/>
        <v>0.52</v>
      </c>
      <c r="H3426" s="759">
        <f t="shared" si="213"/>
        <v>0.28000000000000003</v>
      </c>
      <c r="I3426" s="758">
        <f t="shared" si="214"/>
        <v>2.42</v>
      </c>
      <c r="J3426" s="760">
        <f t="shared" si="215"/>
        <v>0.8231292517006803</v>
      </c>
    </row>
    <row r="3427" spans="1:10">
      <c r="A3427" s="74" t="s">
        <v>945</v>
      </c>
      <c r="B3427" s="74" t="s">
        <v>251</v>
      </c>
      <c r="C3427" s="74" t="s">
        <v>1516</v>
      </c>
      <c r="D3427" s="74" t="s">
        <v>82</v>
      </c>
      <c r="E3427" s="74">
        <v>4</v>
      </c>
      <c r="F3427" s="74">
        <v>11.6</v>
      </c>
      <c r="G3427" s="758">
        <f t="shared" si="212"/>
        <v>0.52</v>
      </c>
      <c r="H3427" s="759">
        <f t="shared" si="213"/>
        <v>0.28000000000000003</v>
      </c>
      <c r="I3427" s="758">
        <f t="shared" si="214"/>
        <v>2.38</v>
      </c>
      <c r="J3427" s="760">
        <f t="shared" si="215"/>
        <v>0.82068965517241377</v>
      </c>
    </row>
    <row r="3428" spans="1:10">
      <c r="A3428" s="74" t="s">
        <v>945</v>
      </c>
      <c r="B3428" s="74" t="s">
        <v>251</v>
      </c>
      <c r="C3428" s="74" t="s">
        <v>1517</v>
      </c>
      <c r="D3428" s="74" t="s">
        <v>82</v>
      </c>
      <c r="E3428" s="74">
        <v>9</v>
      </c>
      <c r="F3428" s="74">
        <v>23.85</v>
      </c>
      <c r="G3428" s="758">
        <f t="shared" si="212"/>
        <v>0.52</v>
      </c>
      <c r="H3428" s="759">
        <f t="shared" si="213"/>
        <v>0.28000000000000003</v>
      </c>
      <c r="I3428" s="758">
        <f t="shared" si="214"/>
        <v>2.1300000000000003</v>
      </c>
      <c r="J3428" s="760">
        <f t="shared" si="215"/>
        <v>0.80377358490566042</v>
      </c>
    </row>
    <row r="3429" spans="1:10">
      <c r="A3429" s="74" t="s">
        <v>945</v>
      </c>
      <c r="B3429" s="74" t="s">
        <v>251</v>
      </c>
      <c r="C3429" s="74" t="s">
        <v>1527</v>
      </c>
      <c r="D3429" s="74" t="s">
        <v>82</v>
      </c>
      <c r="E3429" s="74">
        <v>7</v>
      </c>
      <c r="F3429" s="74">
        <v>18.850000000000001</v>
      </c>
      <c r="G3429" s="758">
        <f t="shared" si="212"/>
        <v>0.52</v>
      </c>
      <c r="H3429" s="759">
        <f t="shared" si="213"/>
        <v>0.28000000000000003</v>
      </c>
      <c r="I3429" s="758">
        <f t="shared" si="214"/>
        <v>2.172857142857143</v>
      </c>
      <c r="J3429" s="760">
        <f t="shared" si="215"/>
        <v>0.80689655172413799</v>
      </c>
    </row>
    <row r="3430" spans="1:10">
      <c r="A3430" s="74" t="s">
        <v>945</v>
      </c>
      <c r="B3430" s="74" t="s">
        <v>251</v>
      </c>
      <c r="C3430" s="74" t="s">
        <v>1518</v>
      </c>
      <c r="D3430" s="74" t="s">
        <v>82</v>
      </c>
      <c r="E3430" s="74">
        <v>5</v>
      </c>
      <c r="F3430" s="74">
        <v>13.7</v>
      </c>
      <c r="G3430" s="758">
        <f t="shared" si="212"/>
        <v>0.52</v>
      </c>
      <c r="H3430" s="759">
        <f t="shared" si="213"/>
        <v>0.28000000000000003</v>
      </c>
      <c r="I3430" s="758">
        <f t="shared" si="214"/>
        <v>2.2199999999999998</v>
      </c>
      <c r="J3430" s="760">
        <f t="shared" si="215"/>
        <v>0.81021897810218979</v>
      </c>
    </row>
    <row r="3431" spans="1:10">
      <c r="A3431" s="74" t="s">
        <v>945</v>
      </c>
      <c r="B3431" s="74" t="s">
        <v>251</v>
      </c>
      <c r="C3431" s="74" t="s">
        <v>1519</v>
      </c>
      <c r="D3431" s="74" t="s">
        <v>84</v>
      </c>
      <c r="E3431" s="74">
        <v>2</v>
      </c>
      <c r="F3431" s="74">
        <v>5.45</v>
      </c>
      <c r="G3431" s="758">
        <f t="shared" si="212"/>
        <v>0.52</v>
      </c>
      <c r="H3431" s="759">
        <f t="shared" si="213"/>
        <v>0.28000000000000003</v>
      </c>
      <c r="I3431" s="758">
        <f t="shared" si="214"/>
        <v>2.2050000000000001</v>
      </c>
      <c r="J3431" s="760">
        <f t="shared" si="215"/>
        <v>0.80917431192660549</v>
      </c>
    </row>
    <row r="3432" spans="1:10">
      <c r="A3432" s="74" t="s">
        <v>945</v>
      </c>
      <c r="B3432" s="74" t="s">
        <v>251</v>
      </c>
      <c r="C3432" s="74" t="s">
        <v>1520</v>
      </c>
      <c r="D3432" s="74" t="s">
        <v>84</v>
      </c>
      <c r="E3432" s="74">
        <v>2</v>
      </c>
      <c r="F3432" s="74">
        <v>5.3</v>
      </c>
      <c r="G3432" s="758">
        <f t="shared" si="212"/>
        <v>0.52</v>
      </c>
      <c r="H3432" s="759">
        <f t="shared" si="213"/>
        <v>0.28000000000000003</v>
      </c>
      <c r="I3432" s="758">
        <f t="shared" si="214"/>
        <v>2.13</v>
      </c>
      <c r="J3432" s="760">
        <f t="shared" si="215"/>
        <v>0.80377358490566042</v>
      </c>
    </row>
    <row r="3433" spans="1:10">
      <c r="A3433" s="74" t="s">
        <v>945</v>
      </c>
      <c r="B3433" s="74" t="s">
        <v>251</v>
      </c>
      <c r="C3433" s="74" t="s">
        <v>1507</v>
      </c>
      <c r="D3433" s="74" t="s">
        <v>86</v>
      </c>
      <c r="E3433" s="74">
        <v>1</v>
      </c>
      <c r="F3433" s="74">
        <v>2.65</v>
      </c>
      <c r="G3433" s="758">
        <f t="shared" si="212"/>
        <v>0.52</v>
      </c>
      <c r="H3433" s="759">
        <f t="shared" si="213"/>
        <v>0.28000000000000003</v>
      </c>
      <c r="I3433" s="758">
        <f t="shared" si="214"/>
        <v>2.13</v>
      </c>
      <c r="J3433" s="760">
        <f t="shared" si="215"/>
        <v>0.80377358490566042</v>
      </c>
    </row>
    <row r="3434" spans="1:10">
      <c r="A3434" s="74" t="s">
        <v>945</v>
      </c>
      <c r="B3434" s="74" t="s">
        <v>251</v>
      </c>
      <c r="C3434" s="74" t="s">
        <v>1541</v>
      </c>
      <c r="D3434" s="74" t="s">
        <v>86</v>
      </c>
      <c r="E3434" s="74">
        <v>5</v>
      </c>
      <c r="F3434" s="74">
        <v>11.05</v>
      </c>
      <c r="G3434" s="758">
        <f t="shared" si="212"/>
        <v>0.52</v>
      </c>
      <c r="H3434" s="759">
        <f t="shared" si="213"/>
        <v>0.28000000000000003</v>
      </c>
      <c r="I3434" s="758">
        <f t="shared" si="214"/>
        <v>1.69</v>
      </c>
      <c r="J3434" s="760">
        <f t="shared" si="215"/>
        <v>0.76470588235294112</v>
      </c>
    </row>
    <row r="3435" spans="1:10">
      <c r="A3435" s="74" t="s">
        <v>945</v>
      </c>
      <c r="B3435" s="74" t="s">
        <v>251</v>
      </c>
      <c r="C3435" s="74" t="s">
        <v>1544</v>
      </c>
      <c r="D3435" s="74" t="s">
        <v>87</v>
      </c>
      <c r="E3435" s="74">
        <v>1</v>
      </c>
      <c r="F3435" s="74">
        <v>0</v>
      </c>
      <c r="G3435" s="758">
        <f t="shared" si="212"/>
        <v>0.52</v>
      </c>
      <c r="H3435" s="759">
        <f t="shared" si="213"/>
        <v>0.28000000000000003</v>
      </c>
      <c r="I3435" s="758">
        <f t="shared" si="214"/>
        <v>-0.52</v>
      </c>
      <c r="J3435" s="760">
        <f t="shared" si="215"/>
        <v>0</v>
      </c>
    </row>
    <row r="3436" spans="1:10">
      <c r="A3436" s="74" t="s">
        <v>945</v>
      </c>
      <c r="B3436" s="74" t="s">
        <v>251</v>
      </c>
      <c r="C3436" s="74" t="s">
        <v>1605</v>
      </c>
      <c r="D3436" s="74" t="s">
        <v>87</v>
      </c>
      <c r="E3436" s="74">
        <v>1</v>
      </c>
      <c r="F3436" s="74">
        <v>0</v>
      </c>
      <c r="G3436" s="758">
        <f t="shared" si="212"/>
        <v>0.52</v>
      </c>
      <c r="H3436" s="759">
        <f t="shared" si="213"/>
        <v>0.28000000000000003</v>
      </c>
      <c r="I3436" s="758">
        <f t="shared" si="214"/>
        <v>-0.52</v>
      </c>
      <c r="J3436" s="760">
        <f t="shared" si="215"/>
        <v>0</v>
      </c>
    </row>
    <row r="3437" spans="1:10">
      <c r="A3437" s="74" t="s">
        <v>945</v>
      </c>
      <c r="B3437" s="74" t="s">
        <v>251</v>
      </c>
      <c r="C3437" s="74" t="s">
        <v>1561</v>
      </c>
      <c r="D3437" s="74" t="s">
        <v>87</v>
      </c>
      <c r="E3437" s="74">
        <v>1</v>
      </c>
      <c r="F3437" s="74">
        <v>2.8</v>
      </c>
      <c r="G3437" s="758">
        <f t="shared" si="212"/>
        <v>0.52</v>
      </c>
      <c r="H3437" s="759">
        <f t="shared" si="213"/>
        <v>0.28000000000000003</v>
      </c>
      <c r="I3437" s="758">
        <f t="shared" si="214"/>
        <v>2.2799999999999998</v>
      </c>
      <c r="J3437" s="760">
        <f t="shared" si="215"/>
        <v>0.81428571428571428</v>
      </c>
    </row>
    <row r="3438" spans="1:10">
      <c r="A3438" s="74" t="s">
        <v>945</v>
      </c>
      <c r="B3438" s="74" t="s">
        <v>251</v>
      </c>
      <c r="C3438" s="74" t="s">
        <v>1610</v>
      </c>
      <c r="D3438" s="74" t="s">
        <v>89</v>
      </c>
      <c r="E3438" s="74">
        <v>1</v>
      </c>
      <c r="F3438" s="74">
        <v>2.65</v>
      </c>
      <c r="G3438" s="758">
        <f t="shared" si="212"/>
        <v>0.52</v>
      </c>
      <c r="H3438" s="759">
        <f t="shared" si="213"/>
        <v>0.28000000000000003</v>
      </c>
      <c r="I3438" s="758">
        <f t="shared" si="214"/>
        <v>2.13</v>
      </c>
      <c r="J3438" s="760">
        <f t="shared" si="215"/>
        <v>0.80377358490566042</v>
      </c>
    </row>
    <row r="3439" spans="1:10">
      <c r="A3439" s="74" t="s">
        <v>945</v>
      </c>
      <c r="B3439" s="74" t="s">
        <v>251</v>
      </c>
      <c r="C3439" s="74" t="s">
        <v>1546</v>
      </c>
      <c r="D3439" s="74" t="s">
        <v>89</v>
      </c>
      <c r="E3439" s="74">
        <v>1</v>
      </c>
      <c r="F3439" s="74">
        <v>2.65</v>
      </c>
      <c r="G3439" s="758">
        <f t="shared" si="212"/>
        <v>0.52</v>
      </c>
      <c r="H3439" s="759">
        <f t="shared" si="213"/>
        <v>0.28000000000000003</v>
      </c>
      <c r="I3439" s="758">
        <f t="shared" si="214"/>
        <v>2.13</v>
      </c>
      <c r="J3439" s="760">
        <f t="shared" si="215"/>
        <v>0.80377358490566042</v>
      </c>
    </row>
    <row r="3440" spans="1:10">
      <c r="A3440" s="74" t="s">
        <v>945</v>
      </c>
      <c r="B3440" s="74" t="s">
        <v>251</v>
      </c>
      <c r="C3440" s="74" t="s">
        <v>1547</v>
      </c>
      <c r="D3440" s="74" t="s">
        <v>89</v>
      </c>
      <c r="E3440" s="74">
        <v>1</v>
      </c>
      <c r="F3440" s="74">
        <v>2.8</v>
      </c>
      <c r="G3440" s="758">
        <f t="shared" si="212"/>
        <v>0.52</v>
      </c>
      <c r="H3440" s="759">
        <f t="shared" si="213"/>
        <v>0.28000000000000003</v>
      </c>
      <c r="I3440" s="758">
        <f t="shared" si="214"/>
        <v>2.2799999999999998</v>
      </c>
      <c r="J3440" s="760">
        <f t="shared" si="215"/>
        <v>0.81428571428571428</v>
      </c>
    </row>
    <row r="3441" spans="1:10">
      <c r="A3441" s="74" t="s">
        <v>945</v>
      </c>
      <c r="B3441" s="74" t="s">
        <v>251</v>
      </c>
      <c r="C3441" s="74" t="s">
        <v>1522</v>
      </c>
      <c r="D3441" s="74" t="s">
        <v>91</v>
      </c>
      <c r="E3441" s="74">
        <v>2</v>
      </c>
      <c r="F3441" s="74">
        <v>5.45</v>
      </c>
      <c r="G3441" s="758">
        <f t="shared" si="212"/>
        <v>0.52</v>
      </c>
      <c r="H3441" s="759">
        <f t="shared" si="213"/>
        <v>0.28000000000000003</v>
      </c>
      <c r="I3441" s="758">
        <f t="shared" si="214"/>
        <v>2.2050000000000001</v>
      </c>
      <c r="J3441" s="760">
        <f t="shared" si="215"/>
        <v>0.80917431192660549</v>
      </c>
    </row>
    <row r="3442" spans="1:10">
      <c r="A3442" s="74" t="s">
        <v>945</v>
      </c>
      <c r="B3442" s="74" t="s">
        <v>251</v>
      </c>
      <c r="C3442" s="74" t="s">
        <v>1550</v>
      </c>
      <c r="D3442" s="74" t="s">
        <v>91</v>
      </c>
      <c r="E3442" s="74">
        <v>1</v>
      </c>
      <c r="F3442" s="74">
        <v>2.8</v>
      </c>
      <c r="G3442" s="758">
        <f t="shared" si="212"/>
        <v>0.52</v>
      </c>
      <c r="H3442" s="759">
        <f t="shared" si="213"/>
        <v>0.28000000000000003</v>
      </c>
      <c r="I3442" s="758">
        <f t="shared" si="214"/>
        <v>2.2799999999999998</v>
      </c>
      <c r="J3442" s="760">
        <f t="shared" si="215"/>
        <v>0.81428571428571428</v>
      </c>
    </row>
    <row r="3443" spans="1:10">
      <c r="A3443" s="74" t="s">
        <v>945</v>
      </c>
      <c r="B3443" s="74" t="s">
        <v>251</v>
      </c>
      <c r="C3443" s="74" t="s">
        <v>1524</v>
      </c>
      <c r="D3443" s="74" t="s">
        <v>91</v>
      </c>
      <c r="E3443" s="74">
        <v>1</v>
      </c>
      <c r="F3443" s="74">
        <v>2.65</v>
      </c>
      <c r="G3443" s="758">
        <f t="shared" si="212"/>
        <v>0.52</v>
      </c>
      <c r="H3443" s="759">
        <f t="shared" si="213"/>
        <v>0.28000000000000003</v>
      </c>
      <c r="I3443" s="758">
        <f t="shared" si="214"/>
        <v>2.13</v>
      </c>
      <c r="J3443" s="760">
        <f t="shared" si="215"/>
        <v>0.80377358490566042</v>
      </c>
    </row>
    <row r="3444" spans="1:10">
      <c r="A3444" s="74" t="s">
        <v>945</v>
      </c>
      <c r="B3444" s="74" t="s">
        <v>251</v>
      </c>
      <c r="C3444" s="74" t="s">
        <v>1584</v>
      </c>
      <c r="D3444" s="74" t="s">
        <v>92</v>
      </c>
      <c r="E3444" s="74">
        <v>2</v>
      </c>
      <c r="F3444" s="74">
        <v>5.45</v>
      </c>
      <c r="G3444" s="758">
        <f t="shared" si="212"/>
        <v>0.52</v>
      </c>
      <c r="H3444" s="759">
        <f t="shared" si="213"/>
        <v>0.28000000000000003</v>
      </c>
      <c r="I3444" s="758">
        <f t="shared" si="214"/>
        <v>2.2050000000000001</v>
      </c>
      <c r="J3444" s="760">
        <f t="shared" si="215"/>
        <v>0.80917431192660549</v>
      </c>
    </row>
    <row r="3445" spans="1:10">
      <c r="A3445" s="74" t="s">
        <v>945</v>
      </c>
      <c r="B3445" s="74" t="s">
        <v>251</v>
      </c>
      <c r="C3445" s="74" t="s">
        <v>1631</v>
      </c>
      <c r="D3445" s="74" t="s">
        <v>92</v>
      </c>
      <c r="E3445" s="74">
        <v>1</v>
      </c>
      <c r="F3445" s="74">
        <v>2.8</v>
      </c>
      <c r="G3445" s="758">
        <f t="shared" si="212"/>
        <v>0.52</v>
      </c>
      <c r="H3445" s="759">
        <f t="shared" si="213"/>
        <v>0.28000000000000003</v>
      </c>
      <c r="I3445" s="758">
        <f t="shared" si="214"/>
        <v>2.2799999999999998</v>
      </c>
      <c r="J3445" s="760">
        <f t="shared" si="215"/>
        <v>0.81428571428571428</v>
      </c>
    </row>
    <row r="3446" spans="1:10">
      <c r="A3446" s="74" t="s">
        <v>945</v>
      </c>
      <c r="B3446" s="74" t="s">
        <v>251</v>
      </c>
      <c r="C3446" s="74" t="s">
        <v>1617</v>
      </c>
      <c r="D3446" s="74" t="s">
        <v>94</v>
      </c>
      <c r="E3446" s="74">
        <v>1</v>
      </c>
      <c r="F3446" s="74">
        <v>2.65</v>
      </c>
      <c r="G3446" s="758">
        <f t="shared" si="212"/>
        <v>0.52</v>
      </c>
      <c r="H3446" s="759">
        <f t="shared" si="213"/>
        <v>0.28000000000000003</v>
      </c>
      <c r="I3446" s="758">
        <f t="shared" si="214"/>
        <v>2.13</v>
      </c>
      <c r="J3446" s="760">
        <f t="shared" si="215"/>
        <v>0.80377358490566042</v>
      </c>
    </row>
    <row r="3447" spans="1:10">
      <c r="A3447" s="74" t="s">
        <v>945</v>
      </c>
      <c r="B3447" s="74" t="s">
        <v>251</v>
      </c>
      <c r="C3447" s="74" t="s">
        <v>1557</v>
      </c>
      <c r="D3447" s="74" t="s">
        <v>95</v>
      </c>
      <c r="E3447" s="74">
        <v>1</v>
      </c>
      <c r="F3447" s="74">
        <v>2.65</v>
      </c>
      <c r="G3447" s="758">
        <f t="shared" si="212"/>
        <v>0.52</v>
      </c>
      <c r="H3447" s="759">
        <f t="shared" si="213"/>
        <v>0.28000000000000003</v>
      </c>
      <c r="I3447" s="758">
        <f t="shared" si="214"/>
        <v>2.13</v>
      </c>
      <c r="J3447" s="760">
        <f t="shared" si="215"/>
        <v>0.80377358490566042</v>
      </c>
    </row>
    <row r="3448" spans="1:10">
      <c r="A3448" s="74" t="s">
        <v>2289</v>
      </c>
      <c r="B3448" s="74" t="s">
        <v>251</v>
      </c>
      <c r="C3448" s="74" t="s">
        <v>1646</v>
      </c>
      <c r="D3448" s="74" t="s">
        <v>86</v>
      </c>
      <c r="E3448" s="74">
        <v>2</v>
      </c>
      <c r="F3448" s="74">
        <v>5.3</v>
      </c>
      <c r="G3448" s="758">
        <f t="shared" si="212"/>
        <v>0.52</v>
      </c>
      <c r="H3448" s="759">
        <f t="shared" si="213"/>
        <v>0.28000000000000003</v>
      </c>
      <c r="I3448" s="758">
        <f t="shared" si="214"/>
        <v>2.13</v>
      </c>
      <c r="J3448" s="760">
        <f t="shared" si="215"/>
        <v>0.80377358490566042</v>
      </c>
    </row>
    <row r="3449" spans="1:10">
      <c r="A3449" s="74" t="s">
        <v>1860</v>
      </c>
      <c r="B3449" s="74" t="s">
        <v>256</v>
      </c>
      <c r="C3449" s="74" t="s">
        <v>1608</v>
      </c>
      <c r="D3449" s="74" t="s">
        <v>89</v>
      </c>
      <c r="E3449" s="74">
        <v>1</v>
      </c>
      <c r="F3449" s="74">
        <v>7.96</v>
      </c>
      <c r="G3449" s="758">
        <f t="shared" si="212"/>
        <v>0</v>
      </c>
      <c r="H3449" s="759">
        <f t="shared" si="213"/>
        <v>0</v>
      </c>
      <c r="I3449" s="758">
        <f t="shared" si="214"/>
        <v>7.96</v>
      </c>
      <c r="J3449" s="760">
        <f t="shared" si="215"/>
        <v>1</v>
      </c>
    </row>
    <row r="3450" spans="1:10">
      <c r="A3450" s="74" t="s">
        <v>1862</v>
      </c>
      <c r="B3450" s="74" t="s">
        <v>877</v>
      </c>
      <c r="C3450" s="74" t="s">
        <v>1610</v>
      </c>
      <c r="D3450" s="74" t="s">
        <v>89</v>
      </c>
      <c r="E3450" s="74">
        <v>15</v>
      </c>
      <c r="F3450" s="74">
        <v>0</v>
      </c>
      <c r="G3450" s="758">
        <f t="shared" si="212"/>
        <v>0</v>
      </c>
      <c r="H3450" s="759">
        <f t="shared" si="213"/>
        <v>0</v>
      </c>
      <c r="I3450" s="758">
        <f t="shared" si="214"/>
        <v>0</v>
      </c>
      <c r="J3450" s="760">
        <f t="shared" si="215"/>
        <v>0</v>
      </c>
    </row>
    <row r="3451" spans="1:10">
      <c r="A3451" s="74" t="s">
        <v>1862</v>
      </c>
      <c r="B3451" s="74" t="s">
        <v>877</v>
      </c>
      <c r="C3451" s="74" t="s">
        <v>1547</v>
      </c>
      <c r="D3451" s="74" t="s">
        <v>89</v>
      </c>
      <c r="E3451" s="74">
        <v>8</v>
      </c>
      <c r="F3451" s="74">
        <v>0</v>
      </c>
      <c r="G3451" s="758">
        <f t="shared" si="212"/>
        <v>0</v>
      </c>
      <c r="H3451" s="759">
        <f t="shared" si="213"/>
        <v>0</v>
      </c>
      <c r="I3451" s="758">
        <f t="shared" si="214"/>
        <v>0</v>
      </c>
      <c r="J3451" s="760">
        <f t="shared" si="215"/>
        <v>0</v>
      </c>
    </row>
    <row r="3452" spans="1:10">
      <c r="A3452" s="74" t="s">
        <v>1862</v>
      </c>
      <c r="B3452" s="74" t="s">
        <v>877</v>
      </c>
      <c r="C3452" s="74" t="s">
        <v>1522</v>
      </c>
      <c r="D3452" s="74" t="s">
        <v>91</v>
      </c>
      <c r="E3452" s="74">
        <v>13</v>
      </c>
      <c r="F3452" s="74">
        <v>0</v>
      </c>
      <c r="G3452" s="758">
        <f t="shared" si="212"/>
        <v>0</v>
      </c>
      <c r="H3452" s="759">
        <f t="shared" si="213"/>
        <v>0</v>
      </c>
      <c r="I3452" s="758">
        <f t="shared" si="214"/>
        <v>0</v>
      </c>
      <c r="J3452" s="760">
        <f t="shared" si="215"/>
        <v>0</v>
      </c>
    </row>
    <row r="3453" spans="1:10">
      <c r="A3453" s="74" t="s">
        <v>2290</v>
      </c>
      <c r="B3453" s="74" t="s">
        <v>256</v>
      </c>
      <c r="C3453" s="74" t="s">
        <v>1543</v>
      </c>
      <c r="D3453" s="74" t="s">
        <v>87</v>
      </c>
      <c r="E3453" s="74">
        <v>1</v>
      </c>
      <c r="F3453" s="74">
        <v>9.9499999999999993</v>
      </c>
      <c r="G3453" s="758">
        <f t="shared" si="212"/>
        <v>2.34</v>
      </c>
      <c r="H3453" s="759">
        <f t="shared" si="213"/>
        <v>0.28000000000000003</v>
      </c>
      <c r="I3453" s="758">
        <f t="shared" si="214"/>
        <v>7.6099999999999994</v>
      </c>
      <c r="J3453" s="760">
        <f t="shared" si="215"/>
        <v>0.76482412060301508</v>
      </c>
    </row>
    <row r="3454" spans="1:10">
      <c r="A3454" s="74" t="s">
        <v>679</v>
      </c>
      <c r="B3454" s="74" t="s">
        <v>256</v>
      </c>
      <c r="C3454" s="74" t="s">
        <v>1528</v>
      </c>
      <c r="D3454" s="74" t="s">
        <v>78</v>
      </c>
      <c r="E3454" s="74">
        <v>32</v>
      </c>
      <c r="F3454" s="74">
        <v>308.55</v>
      </c>
      <c r="G3454" s="758">
        <f t="shared" si="212"/>
        <v>2.34</v>
      </c>
      <c r="H3454" s="759">
        <f t="shared" si="213"/>
        <v>0.28000000000000003</v>
      </c>
      <c r="I3454" s="758">
        <f t="shared" si="214"/>
        <v>7.3021875000000005</v>
      </c>
      <c r="J3454" s="760">
        <f t="shared" si="215"/>
        <v>0.75731648031113274</v>
      </c>
    </row>
    <row r="3455" spans="1:10">
      <c r="A3455" s="74" t="s">
        <v>679</v>
      </c>
      <c r="B3455" s="74" t="s">
        <v>256</v>
      </c>
      <c r="C3455" s="74" t="s">
        <v>1508</v>
      </c>
      <c r="D3455" s="74" t="s">
        <v>78</v>
      </c>
      <c r="E3455" s="74">
        <v>30</v>
      </c>
      <c r="F3455" s="74">
        <v>275.55</v>
      </c>
      <c r="G3455" s="758">
        <f t="shared" si="212"/>
        <v>2.34</v>
      </c>
      <c r="H3455" s="759">
        <f t="shared" si="213"/>
        <v>0.28000000000000003</v>
      </c>
      <c r="I3455" s="758">
        <f t="shared" si="214"/>
        <v>6.8450000000000006</v>
      </c>
      <c r="J3455" s="760">
        <f t="shared" si="215"/>
        <v>0.74523679912901475</v>
      </c>
    </row>
    <row r="3456" spans="1:10">
      <c r="A3456" s="74" t="s">
        <v>679</v>
      </c>
      <c r="B3456" s="74" t="s">
        <v>256</v>
      </c>
      <c r="C3456" s="74" t="s">
        <v>1509</v>
      </c>
      <c r="D3456" s="74" t="s">
        <v>78</v>
      </c>
      <c r="E3456" s="74">
        <v>23</v>
      </c>
      <c r="F3456" s="74">
        <v>219.15</v>
      </c>
      <c r="G3456" s="758">
        <f t="shared" si="212"/>
        <v>2.34</v>
      </c>
      <c r="H3456" s="759">
        <f t="shared" si="213"/>
        <v>0.28000000000000003</v>
      </c>
      <c r="I3456" s="758">
        <f t="shared" si="214"/>
        <v>7.1882608695652177</v>
      </c>
      <c r="J3456" s="760">
        <f t="shared" si="215"/>
        <v>0.75441478439425058</v>
      </c>
    </row>
    <row r="3457" spans="1:10">
      <c r="A3457" s="74" t="s">
        <v>679</v>
      </c>
      <c r="B3457" s="74" t="s">
        <v>256</v>
      </c>
      <c r="C3457" s="74" t="s">
        <v>1565</v>
      </c>
      <c r="D3457" s="74" t="s">
        <v>78</v>
      </c>
      <c r="E3457" s="74">
        <v>28</v>
      </c>
      <c r="F3457" s="74">
        <v>264.63</v>
      </c>
      <c r="G3457" s="758">
        <f t="shared" si="212"/>
        <v>2.34</v>
      </c>
      <c r="H3457" s="759">
        <f t="shared" si="213"/>
        <v>0.28000000000000003</v>
      </c>
      <c r="I3457" s="758">
        <f t="shared" si="214"/>
        <v>7.111071428571428</v>
      </c>
      <c r="J3457" s="760">
        <f t="shared" si="215"/>
        <v>0.75240902392019049</v>
      </c>
    </row>
    <row r="3458" spans="1:10">
      <c r="A3458" s="74" t="s">
        <v>679</v>
      </c>
      <c r="B3458" s="74" t="s">
        <v>256</v>
      </c>
      <c r="C3458" s="74" t="s">
        <v>1530</v>
      </c>
      <c r="D3458" s="74" t="s">
        <v>80</v>
      </c>
      <c r="E3458" s="74">
        <v>18</v>
      </c>
      <c r="F3458" s="74">
        <v>165.4</v>
      </c>
      <c r="G3458" s="758">
        <f t="shared" ref="G3458:G3521" si="216">IFERROR(VLOOKUP(A3458,$M$1:$P$1014,2,FALSE),0)</f>
        <v>2.34</v>
      </c>
      <c r="H3458" s="759">
        <f t="shared" ref="H3458:H3521" si="217">IFERROR(VLOOKUP(A3458,$M$1:$P$1014,3,FALSE),0)</f>
        <v>0.28000000000000003</v>
      </c>
      <c r="I3458" s="758">
        <f t="shared" ref="I3458:I3521" si="218">IFERROR(F3458/E3458-G3458,0)</f>
        <v>6.8488888888888901</v>
      </c>
      <c r="J3458" s="760">
        <f t="shared" ref="J3458:J3521" si="219">IFERROR(1-G3458*E3458/F3458,0)</f>
        <v>0.74534461910519956</v>
      </c>
    </row>
    <row r="3459" spans="1:10">
      <c r="A3459" s="74" t="s">
        <v>679</v>
      </c>
      <c r="B3459" s="74" t="s">
        <v>256</v>
      </c>
      <c r="C3459" s="74" t="s">
        <v>1532</v>
      </c>
      <c r="D3459" s="74" t="s">
        <v>80</v>
      </c>
      <c r="E3459" s="74">
        <v>28</v>
      </c>
      <c r="F3459" s="74">
        <v>265.64999999999998</v>
      </c>
      <c r="G3459" s="758">
        <f t="shared" si="216"/>
        <v>2.34</v>
      </c>
      <c r="H3459" s="759">
        <f t="shared" si="217"/>
        <v>0.28000000000000003</v>
      </c>
      <c r="I3459" s="758">
        <f t="shared" si="218"/>
        <v>7.1474999999999991</v>
      </c>
      <c r="J3459" s="760">
        <f t="shared" si="219"/>
        <v>0.75335968379446638</v>
      </c>
    </row>
    <row r="3460" spans="1:10">
      <c r="A3460" s="74" t="s">
        <v>679</v>
      </c>
      <c r="B3460" s="74" t="s">
        <v>256</v>
      </c>
      <c r="C3460" s="74" t="s">
        <v>1511</v>
      </c>
      <c r="D3460" s="74" t="s">
        <v>80</v>
      </c>
      <c r="E3460" s="74">
        <v>49</v>
      </c>
      <c r="F3460" s="74">
        <v>466.25</v>
      </c>
      <c r="G3460" s="758">
        <f t="shared" si="216"/>
        <v>2.34</v>
      </c>
      <c r="H3460" s="759">
        <f t="shared" si="217"/>
        <v>0.28000000000000003</v>
      </c>
      <c r="I3460" s="758">
        <f t="shared" si="218"/>
        <v>7.1753061224489798</v>
      </c>
      <c r="J3460" s="760">
        <f t="shared" si="219"/>
        <v>0.75408042895442362</v>
      </c>
    </row>
    <row r="3461" spans="1:10">
      <c r="A3461" s="74" t="s">
        <v>679</v>
      </c>
      <c r="B3461" s="74" t="s">
        <v>256</v>
      </c>
      <c r="C3461" s="74" t="s">
        <v>1512</v>
      </c>
      <c r="D3461" s="74" t="s">
        <v>80</v>
      </c>
      <c r="E3461" s="74">
        <v>46</v>
      </c>
      <c r="F3461" s="74">
        <v>426.59</v>
      </c>
      <c r="G3461" s="758">
        <f t="shared" si="216"/>
        <v>2.34</v>
      </c>
      <c r="H3461" s="759">
        <f t="shared" si="217"/>
        <v>0.28000000000000003</v>
      </c>
      <c r="I3461" s="758">
        <f t="shared" si="218"/>
        <v>6.9336956521739133</v>
      </c>
      <c r="J3461" s="760">
        <f t="shared" si="219"/>
        <v>0.74767341006587129</v>
      </c>
    </row>
    <row r="3462" spans="1:10">
      <c r="A3462" s="74" t="s">
        <v>679</v>
      </c>
      <c r="B3462" s="74" t="s">
        <v>256</v>
      </c>
      <c r="C3462" s="74" t="s">
        <v>1534</v>
      </c>
      <c r="D3462" s="74" t="s">
        <v>81</v>
      </c>
      <c r="E3462" s="74">
        <v>16</v>
      </c>
      <c r="F3462" s="74">
        <v>159.80000000000001</v>
      </c>
      <c r="G3462" s="758">
        <f t="shared" si="216"/>
        <v>2.34</v>
      </c>
      <c r="H3462" s="759">
        <f t="shared" si="217"/>
        <v>0.28000000000000003</v>
      </c>
      <c r="I3462" s="758">
        <f t="shared" si="218"/>
        <v>7.6475000000000009</v>
      </c>
      <c r="J3462" s="760">
        <f t="shared" si="219"/>
        <v>0.76570713391739675</v>
      </c>
    </row>
    <row r="3463" spans="1:10">
      <c r="A3463" s="74" t="s">
        <v>679</v>
      </c>
      <c r="B3463" s="74" t="s">
        <v>256</v>
      </c>
      <c r="C3463" s="74" t="s">
        <v>1513</v>
      </c>
      <c r="D3463" s="74" t="s">
        <v>81</v>
      </c>
      <c r="E3463" s="74">
        <v>58</v>
      </c>
      <c r="F3463" s="74">
        <v>542.91999999999996</v>
      </c>
      <c r="G3463" s="758">
        <f t="shared" si="216"/>
        <v>2.34</v>
      </c>
      <c r="H3463" s="759">
        <f t="shared" si="217"/>
        <v>0.28000000000000003</v>
      </c>
      <c r="I3463" s="758">
        <f t="shared" si="218"/>
        <v>7.0206896551724132</v>
      </c>
      <c r="J3463" s="760">
        <f t="shared" si="219"/>
        <v>0.7500184189199145</v>
      </c>
    </row>
    <row r="3464" spans="1:10">
      <c r="A3464" s="74" t="s">
        <v>679</v>
      </c>
      <c r="B3464" s="74" t="s">
        <v>256</v>
      </c>
      <c r="C3464" s="74" t="s">
        <v>1514</v>
      </c>
      <c r="D3464" s="74" t="s">
        <v>81</v>
      </c>
      <c r="E3464" s="74">
        <v>27</v>
      </c>
      <c r="F3464" s="74">
        <v>258.95</v>
      </c>
      <c r="G3464" s="758">
        <f t="shared" si="216"/>
        <v>2.34</v>
      </c>
      <c r="H3464" s="759">
        <f t="shared" si="217"/>
        <v>0.28000000000000003</v>
      </c>
      <c r="I3464" s="758">
        <f t="shared" si="218"/>
        <v>7.2507407407407403</v>
      </c>
      <c r="J3464" s="760">
        <f t="shared" si="219"/>
        <v>0.7560146746476154</v>
      </c>
    </row>
    <row r="3465" spans="1:10">
      <c r="A3465" s="74" t="s">
        <v>679</v>
      </c>
      <c r="B3465" s="74" t="s">
        <v>256</v>
      </c>
      <c r="C3465" s="74" t="s">
        <v>1515</v>
      </c>
      <c r="D3465" s="74" t="s">
        <v>81</v>
      </c>
      <c r="E3465" s="74">
        <v>33</v>
      </c>
      <c r="F3465" s="74">
        <v>324.52999999999997</v>
      </c>
      <c r="G3465" s="758">
        <f t="shared" si="216"/>
        <v>2.34</v>
      </c>
      <c r="H3465" s="759">
        <f t="shared" si="217"/>
        <v>0.28000000000000003</v>
      </c>
      <c r="I3465" s="758">
        <f t="shared" si="218"/>
        <v>7.4942424242424241</v>
      </c>
      <c r="J3465" s="760">
        <f t="shared" si="219"/>
        <v>0.76205589621914771</v>
      </c>
    </row>
    <row r="3466" spans="1:10">
      <c r="A3466" s="74" t="s">
        <v>679</v>
      </c>
      <c r="B3466" s="74" t="s">
        <v>256</v>
      </c>
      <c r="C3466" s="74" t="s">
        <v>1516</v>
      </c>
      <c r="D3466" s="74" t="s">
        <v>82</v>
      </c>
      <c r="E3466" s="74">
        <v>23</v>
      </c>
      <c r="F3466" s="74">
        <v>236.05</v>
      </c>
      <c r="G3466" s="758">
        <f t="shared" si="216"/>
        <v>2.34</v>
      </c>
      <c r="H3466" s="759">
        <f t="shared" si="217"/>
        <v>0.28000000000000003</v>
      </c>
      <c r="I3466" s="758">
        <f t="shared" si="218"/>
        <v>7.9230434782608707</v>
      </c>
      <c r="J3466" s="760">
        <f t="shared" si="219"/>
        <v>0.77199745816564291</v>
      </c>
    </row>
    <row r="3467" spans="1:10">
      <c r="A3467" s="74" t="s">
        <v>679</v>
      </c>
      <c r="B3467" s="74" t="s">
        <v>256</v>
      </c>
      <c r="C3467" s="74" t="s">
        <v>1517</v>
      </c>
      <c r="D3467" s="74" t="s">
        <v>82</v>
      </c>
      <c r="E3467" s="74">
        <v>27</v>
      </c>
      <c r="F3467" s="74">
        <v>269.39999999999998</v>
      </c>
      <c r="G3467" s="758">
        <f t="shared" si="216"/>
        <v>2.34</v>
      </c>
      <c r="H3467" s="759">
        <f t="shared" si="217"/>
        <v>0.28000000000000003</v>
      </c>
      <c r="I3467" s="758">
        <f t="shared" si="218"/>
        <v>7.6377777777777762</v>
      </c>
      <c r="J3467" s="760">
        <f t="shared" si="219"/>
        <v>0.76547884187082404</v>
      </c>
    </row>
    <row r="3468" spans="1:10">
      <c r="A3468" s="74" t="s">
        <v>679</v>
      </c>
      <c r="B3468" s="74" t="s">
        <v>256</v>
      </c>
      <c r="C3468" s="74" t="s">
        <v>1527</v>
      </c>
      <c r="D3468" s="74" t="s">
        <v>82</v>
      </c>
      <c r="E3468" s="74">
        <v>23</v>
      </c>
      <c r="F3468" s="74">
        <v>229.6</v>
      </c>
      <c r="G3468" s="758">
        <f t="shared" si="216"/>
        <v>2.34</v>
      </c>
      <c r="H3468" s="759">
        <f t="shared" si="217"/>
        <v>0.28000000000000003</v>
      </c>
      <c r="I3468" s="758">
        <f t="shared" si="218"/>
        <v>7.6426086956521733</v>
      </c>
      <c r="J3468" s="760">
        <f t="shared" si="219"/>
        <v>0.76559233449477349</v>
      </c>
    </row>
    <row r="3469" spans="1:10">
      <c r="A3469" s="74" t="s">
        <v>679</v>
      </c>
      <c r="B3469" s="74" t="s">
        <v>256</v>
      </c>
      <c r="C3469" s="74" t="s">
        <v>1518</v>
      </c>
      <c r="D3469" s="74" t="s">
        <v>82</v>
      </c>
      <c r="E3469" s="74">
        <v>17</v>
      </c>
      <c r="F3469" s="74">
        <v>170.05</v>
      </c>
      <c r="G3469" s="758">
        <f t="shared" si="216"/>
        <v>2.34</v>
      </c>
      <c r="H3469" s="759">
        <f t="shared" si="217"/>
        <v>0.28000000000000003</v>
      </c>
      <c r="I3469" s="758">
        <f t="shared" si="218"/>
        <v>7.6629411764705893</v>
      </c>
      <c r="J3469" s="760">
        <f t="shared" si="219"/>
        <v>0.76606880329314908</v>
      </c>
    </row>
    <row r="3470" spans="1:10">
      <c r="A3470" s="74" t="s">
        <v>679</v>
      </c>
      <c r="B3470" s="74" t="s">
        <v>256</v>
      </c>
      <c r="C3470" s="74" t="s">
        <v>1519</v>
      </c>
      <c r="D3470" s="74" t="s">
        <v>84</v>
      </c>
      <c r="E3470" s="74">
        <v>6</v>
      </c>
      <c r="F3470" s="74">
        <v>58.16</v>
      </c>
      <c r="G3470" s="758">
        <f t="shared" si="216"/>
        <v>2.34</v>
      </c>
      <c r="H3470" s="759">
        <f t="shared" si="217"/>
        <v>0.28000000000000003</v>
      </c>
      <c r="I3470" s="758">
        <f t="shared" si="218"/>
        <v>7.3533333333333335</v>
      </c>
      <c r="J3470" s="760">
        <f t="shared" si="219"/>
        <v>0.75859697386519942</v>
      </c>
    </row>
    <row r="3471" spans="1:10">
      <c r="A3471" s="74" t="s">
        <v>679</v>
      </c>
      <c r="B3471" s="74" t="s">
        <v>256</v>
      </c>
      <c r="C3471" s="74" t="s">
        <v>1520</v>
      </c>
      <c r="D3471" s="74" t="s">
        <v>84</v>
      </c>
      <c r="E3471" s="74">
        <v>2</v>
      </c>
      <c r="F3471" s="74">
        <v>20.05</v>
      </c>
      <c r="G3471" s="758">
        <f t="shared" si="216"/>
        <v>2.34</v>
      </c>
      <c r="H3471" s="759">
        <f t="shared" si="217"/>
        <v>0.28000000000000003</v>
      </c>
      <c r="I3471" s="758">
        <f t="shared" si="218"/>
        <v>7.6850000000000005</v>
      </c>
      <c r="J3471" s="760">
        <f t="shared" si="219"/>
        <v>0.76658354114713223</v>
      </c>
    </row>
    <row r="3472" spans="1:10">
      <c r="A3472" s="74" t="s">
        <v>679</v>
      </c>
      <c r="B3472" s="74" t="s">
        <v>256</v>
      </c>
      <c r="C3472" s="74" t="s">
        <v>1507</v>
      </c>
      <c r="D3472" s="74" t="s">
        <v>86</v>
      </c>
      <c r="E3472" s="74">
        <v>1</v>
      </c>
      <c r="F3472" s="74">
        <v>9.9499999999999993</v>
      </c>
      <c r="G3472" s="758">
        <f t="shared" si="216"/>
        <v>2.34</v>
      </c>
      <c r="H3472" s="759">
        <f t="shared" si="217"/>
        <v>0.28000000000000003</v>
      </c>
      <c r="I3472" s="758">
        <f t="shared" si="218"/>
        <v>7.6099999999999994</v>
      </c>
      <c r="J3472" s="760">
        <f t="shared" si="219"/>
        <v>0.76482412060301508</v>
      </c>
    </row>
    <row r="3473" spans="1:10">
      <c r="A3473" s="74" t="s">
        <v>679</v>
      </c>
      <c r="B3473" s="74" t="s">
        <v>256</v>
      </c>
      <c r="C3473" s="74" t="s">
        <v>1644</v>
      </c>
      <c r="D3473" s="74" t="s">
        <v>86</v>
      </c>
      <c r="E3473" s="74">
        <v>1</v>
      </c>
      <c r="F3473" s="74">
        <v>9.9499999999999993</v>
      </c>
      <c r="G3473" s="758">
        <f t="shared" si="216"/>
        <v>2.34</v>
      </c>
      <c r="H3473" s="759">
        <f t="shared" si="217"/>
        <v>0.28000000000000003</v>
      </c>
      <c r="I3473" s="758">
        <f t="shared" si="218"/>
        <v>7.6099999999999994</v>
      </c>
      <c r="J3473" s="760">
        <f t="shared" si="219"/>
        <v>0.76482412060301508</v>
      </c>
    </row>
    <row r="3474" spans="1:10">
      <c r="A3474" s="74" t="s">
        <v>679</v>
      </c>
      <c r="B3474" s="74" t="s">
        <v>256</v>
      </c>
      <c r="C3474" s="74" t="s">
        <v>1646</v>
      </c>
      <c r="D3474" s="74" t="s">
        <v>86</v>
      </c>
      <c r="E3474" s="74">
        <v>3</v>
      </c>
      <c r="F3474" s="74">
        <v>30</v>
      </c>
      <c r="G3474" s="758">
        <f t="shared" si="216"/>
        <v>2.34</v>
      </c>
      <c r="H3474" s="759">
        <f t="shared" si="217"/>
        <v>0.28000000000000003</v>
      </c>
      <c r="I3474" s="758">
        <f t="shared" si="218"/>
        <v>7.66</v>
      </c>
      <c r="J3474" s="760">
        <f t="shared" si="219"/>
        <v>0.76600000000000001</v>
      </c>
    </row>
    <row r="3475" spans="1:10">
      <c r="A3475" s="74" t="s">
        <v>679</v>
      </c>
      <c r="B3475" s="74" t="s">
        <v>256</v>
      </c>
      <c r="C3475" s="74" t="s">
        <v>1541</v>
      </c>
      <c r="D3475" s="74" t="s">
        <v>86</v>
      </c>
      <c r="E3475" s="74">
        <v>3</v>
      </c>
      <c r="F3475" s="74">
        <v>29.85</v>
      </c>
      <c r="G3475" s="758">
        <f t="shared" si="216"/>
        <v>2.34</v>
      </c>
      <c r="H3475" s="759">
        <f t="shared" si="217"/>
        <v>0.28000000000000003</v>
      </c>
      <c r="I3475" s="758">
        <f t="shared" si="218"/>
        <v>7.6100000000000012</v>
      </c>
      <c r="J3475" s="760">
        <f t="shared" si="219"/>
        <v>0.76482412060301508</v>
      </c>
    </row>
    <row r="3476" spans="1:10">
      <c r="A3476" s="74" t="s">
        <v>679</v>
      </c>
      <c r="B3476" s="74" t="s">
        <v>256</v>
      </c>
      <c r="C3476" s="74" t="s">
        <v>1543</v>
      </c>
      <c r="D3476" s="74" t="s">
        <v>87</v>
      </c>
      <c r="E3476" s="74">
        <v>2</v>
      </c>
      <c r="F3476" s="74">
        <v>20.2</v>
      </c>
      <c r="G3476" s="758">
        <f t="shared" si="216"/>
        <v>2.34</v>
      </c>
      <c r="H3476" s="759">
        <f t="shared" si="217"/>
        <v>0.28000000000000003</v>
      </c>
      <c r="I3476" s="758">
        <f t="shared" si="218"/>
        <v>7.76</v>
      </c>
      <c r="J3476" s="760">
        <f t="shared" si="219"/>
        <v>0.76831683168316833</v>
      </c>
    </row>
    <row r="3477" spans="1:10">
      <c r="A3477" s="74" t="s">
        <v>679</v>
      </c>
      <c r="B3477" s="74" t="s">
        <v>256</v>
      </c>
      <c r="C3477" s="74" t="s">
        <v>1605</v>
      </c>
      <c r="D3477" s="74" t="s">
        <v>87</v>
      </c>
      <c r="E3477" s="74">
        <v>1</v>
      </c>
      <c r="F3477" s="74">
        <v>10.1</v>
      </c>
      <c r="G3477" s="758">
        <f t="shared" si="216"/>
        <v>2.34</v>
      </c>
      <c r="H3477" s="759">
        <f t="shared" si="217"/>
        <v>0.28000000000000003</v>
      </c>
      <c r="I3477" s="758">
        <f t="shared" si="218"/>
        <v>7.76</v>
      </c>
      <c r="J3477" s="760">
        <f t="shared" si="219"/>
        <v>0.76831683168316833</v>
      </c>
    </row>
    <row r="3478" spans="1:10">
      <c r="A3478" s="74" t="s">
        <v>679</v>
      </c>
      <c r="B3478" s="74" t="s">
        <v>256</v>
      </c>
      <c r="C3478" s="74" t="s">
        <v>1561</v>
      </c>
      <c r="D3478" s="74" t="s">
        <v>87</v>
      </c>
      <c r="E3478" s="74">
        <v>1</v>
      </c>
      <c r="F3478" s="74">
        <v>10.1</v>
      </c>
      <c r="G3478" s="758">
        <f t="shared" si="216"/>
        <v>2.34</v>
      </c>
      <c r="H3478" s="759">
        <f t="shared" si="217"/>
        <v>0.28000000000000003</v>
      </c>
      <c r="I3478" s="758">
        <f t="shared" si="218"/>
        <v>7.76</v>
      </c>
      <c r="J3478" s="760">
        <f t="shared" si="219"/>
        <v>0.76831683168316833</v>
      </c>
    </row>
    <row r="3479" spans="1:10">
      <c r="A3479" s="74" t="s">
        <v>679</v>
      </c>
      <c r="B3479" s="74" t="s">
        <v>256</v>
      </c>
      <c r="C3479" s="74" t="s">
        <v>1608</v>
      </c>
      <c r="D3479" s="74" t="s">
        <v>89</v>
      </c>
      <c r="E3479" s="74">
        <v>1</v>
      </c>
      <c r="F3479" s="74">
        <v>10.1</v>
      </c>
      <c r="G3479" s="758">
        <f t="shared" si="216"/>
        <v>2.34</v>
      </c>
      <c r="H3479" s="759">
        <f t="shared" si="217"/>
        <v>0.28000000000000003</v>
      </c>
      <c r="I3479" s="758">
        <f t="shared" si="218"/>
        <v>7.76</v>
      </c>
      <c r="J3479" s="760">
        <f t="shared" si="219"/>
        <v>0.76831683168316833</v>
      </c>
    </row>
    <row r="3480" spans="1:10">
      <c r="A3480" s="74" t="s">
        <v>679</v>
      </c>
      <c r="B3480" s="74" t="s">
        <v>256</v>
      </c>
      <c r="C3480" s="74" t="s">
        <v>1522</v>
      </c>
      <c r="D3480" s="74" t="s">
        <v>91</v>
      </c>
      <c r="E3480" s="74">
        <v>1</v>
      </c>
      <c r="F3480" s="74">
        <v>10.1</v>
      </c>
      <c r="G3480" s="758">
        <f t="shared" si="216"/>
        <v>2.34</v>
      </c>
      <c r="H3480" s="759">
        <f t="shared" si="217"/>
        <v>0.28000000000000003</v>
      </c>
      <c r="I3480" s="758">
        <f t="shared" si="218"/>
        <v>7.76</v>
      </c>
      <c r="J3480" s="760">
        <f t="shared" si="219"/>
        <v>0.76831683168316833</v>
      </c>
    </row>
    <row r="3481" spans="1:10">
      <c r="A3481" s="74" t="s">
        <v>679</v>
      </c>
      <c r="B3481" s="74" t="s">
        <v>256</v>
      </c>
      <c r="C3481" s="74" t="s">
        <v>1675</v>
      </c>
      <c r="D3481" s="74" t="s">
        <v>91</v>
      </c>
      <c r="E3481" s="74">
        <v>2</v>
      </c>
      <c r="F3481" s="74">
        <v>20.2</v>
      </c>
      <c r="G3481" s="758">
        <f t="shared" si="216"/>
        <v>2.34</v>
      </c>
      <c r="H3481" s="759">
        <f t="shared" si="217"/>
        <v>0.28000000000000003</v>
      </c>
      <c r="I3481" s="758">
        <f t="shared" si="218"/>
        <v>7.76</v>
      </c>
      <c r="J3481" s="760">
        <f t="shared" si="219"/>
        <v>0.76831683168316833</v>
      </c>
    </row>
    <row r="3482" spans="1:10">
      <c r="A3482" s="74" t="s">
        <v>679</v>
      </c>
      <c r="B3482" s="74" t="s">
        <v>256</v>
      </c>
      <c r="C3482" s="74" t="s">
        <v>1584</v>
      </c>
      <c r="D3482" s="74" t="s">
        <v>92</v>
      </c>
      <c r="E3482" s="74">
        <v>2</v>
      </c>
      <c r="F3482" s="74">
        <v>20.05</v>
      </c>
      <c r="G3482" s="758">
        <f t="shared" si="216"/>
        <v>2.34</v>
      </c>
      <c r="H3482" s="759">
        <f t="shared" si="217"/>
        <v>0.28000000000000003</v>
      </c>
      <c r="I3482" s="758">
        <f t="shared" si="218"/>
        <v>7.6850000000000005</v>
      </c>
      <c r="J3482" s="760">
        <f t="shared" si="219"/>
        <v>0.76658354114713223</v>
      </c>
    </row>
    <row r="3483" spans="1:10">
      <c r="A3483" s="74" t="s">
        <v>679</v>
      </c>
      <c r="B3483" s="74" t="s">
        <v>256</v>
      </c>
      <c r="C3483" s="74" t="s">
        <v>1631</v>
      </c>
      <c r="D3483" s="74" t="s">
        <v>92</v>
      </c>
      <c r="E3483" s="74">
        <v>1</v>
      </c>
      <c r="F3483" s="74">
        <v>9.9499999999999993</v>
      </c>
      <c r="G3483" s="758">
        <f t="shared" si="216"/>
        <v>2.34</v>
      </c>
      <c r="H3483" s="759">
        <f t="shared" si="217"/>
        <v>0.28000000000000003</v>
      </c>
      <c r="I3483" s="758">
        <f t="shared" si="218"/>
        <v>7.6099999999999994</v>
      </c>
      <c r="J3483" s="760">
        <f t="shared" si="219"/>
        <v>0.76482412060301508</v>
      </c>
    </row>
    <row r="3484" spans="1:10">
      <c r="A3484" s="74" t="s">
        <v>679</v>
      </c>
      <c r="B3484" s="74" t="s">
        <v>256</v>
      </c>
      <c r="C3484" s="74" t="s">
        <v>1552</v>
      </c>
      <c r="D3484" s="74" t="s">
        <v>92</v>
      </c>
      <c r="E3484" s="74">
        <v>1</v>
      </c>
      <c r="F3484" s="74">
        <v>9.9499999999999993</v>
      </c>
      <c r="G3484" s="758">
        <f t="shared" si="216"/>
        <v>2.34</v>
      </c>
      <c r="H3484" s="759">
        <f t="shared" si="217"/>
        <v>0.28000000000000003</v>
      </c>
      <c r="I3484" s="758">
        <f t="shared" si="218"/>
        <v>7.6099999999999994</v>
      </c>
      <c r="J3484" s="760">
        <f t="shared" si="219"/>
        <v>0.76482412060301508</v>
      </c>
    </row>
    <row r="3485" spans="1:10">
      <c r="A3485" s="74" t="s">
        <v>679</v>
      </c>
      <c r="B3485" s="74" t="s">
        <v>256</v>
      </c>
      <c r="C3485" s="74" t="s">
        <v>1553</v>
      </c>
      <c r="D3485" s="74" t="s">
        <v>94</v>
      </c>
      <c r="E3485" s="74">
        <v>1</v>
      </c>
      <c r="F3485" s="74">
        <v>9.9499999999999993</v>
      </c>
      <c r="G3485" s="758">
        <f t="shared" si="216"/>
        <v>2.34</v>
      </c>
      <c r="H3485" s="759">
        <f t="shared" si="217"/>
        <v>0.28000000000000003</v>
      </c>
      <c r="I3485" s="758">
        <f t="shared" si="218"/>
        <v>7.6099999999999994</v>
      </c>
      <c r="J3485" s="760">
        <f t="shared" si="219"/>
        <v>0.76482412060301508</v>
      </c>
    </row>
    <row r="3486" spans="1:10">
      <c r="A3486" s="74" t="s">
        <v>679</v>
      </c>
      <c r="B3486" s="74" t="s">
        <v>256</v>
      </c>
      <c r="C3486" s="74" t="s">
        <v>1557</v>
      </c>
      <c r="D3486" s="74" t="s">
        <v>95</v>
      </c>
      <c r="E3486" s="74">
        <v>2</v>
      </c>
      <c r="F3486" s="74">
        <v>20.05</v>
      </c>
      <c r="G3486" s="758">
        <f t="shared" si="216"/>
        <v>2.34</v>
      </c>
      <c r="H3486" s="759">
        <f t="shared" si="217"/>
        <v>0.28000000000000003</v>
      </c>
      <c r="I3486" s="758">
        <f t="shared" si="218"/>
        <v>7.6850000000000005</v>
      </c>
      <c r="J3486" s="760">
        <f t="shared" si="219"/>
        <v>0.76658354114713223</v>
      </c>
    </row>
    <row r="3487" spans="1:10">
      <c r="A3487" s="74" t="s">
        <v>1863</v>
      </c>
      <c r="B3487" s="74" t="s">
        <v>256</v>
      </c>
      <c r="C3487" s="74" t="s">
        <v>1608</v>
      </c>
      <c r="D3487" s="74" t="s">
        <v>89</v>
      </c>
      <c r="E3487" s="74">
        <v>1</v>
      </c>
      <c r="F3487" s="74">
        <v>7.96</v>
      </c>
      <c r="G3487" s="758">
        <f t="shared" si="216"/>
        <v>0</v>
      </c>
      <c r="H3487" s="759">
        <f t="shared" si="217"/>
        <v>0</v>
      </c>
      <c r="I3487" s="758">
        <f t="shared" si="218"/>
        <v>7.96</v>
      </c>
      <c r="J3487" s="760">
        <f t="shared" si="219"/>
        <v>1</v>
      </c>
    </row>
    <row r="3488" spans="1:10">
      <c r="A3488" s="74" t="s">
        <v>1864</v>
      </c>
      <c r="B3488" s="74" t="s">
        <v>258</v>
      </c>
      <c r="C3488" s="74" t="s">
        <v>1543</v>
      </c>
      <c r="D3488" s="74" t="s">
        <v>87</v>
      </c>
      <c r="E3488" s="74">
        <v>2</v>
      </c>
      <c r="F3488" s="74">
        <v>0</v>
      </c>
      <c r="G3488" s="758">
        <f t="shared" si="216"/>
        <v>0</v>
      </c>
      <c r="H3488" s="759">
        <f t="shared" si="217"/>
        <v>0</v>
      </c>
      <c r="I3488" s="758">
        <f t="shared" si="218"/>
        <v>0</v>
      </c>
      <c r="J3488" s="760">
        <f t="shared" si="219"/>
        <v>0</v>
      </c>
    </row>
    <row r="3489" spans="1:10">
      <c r="A3489" s="74" t="s">
        <v>883</v>
      </c>
      <c r="B3489" s="74" t="s">
        <v>275</v>
      </c>
      <c r="C3489" s="74" t="s">
        <v>1520</v>
      </c>
      <c r="D3489" s="74" t="s">
        <v>84</v>
      </c>
      <c r="E3489" s="74">
        <v>2</v>
      </c>
      <c r="F3489" s="74">
        <v>0</v>
      </c>
      <c r="G3489" s="758">
        <f t="shared" si="216"/>
        <v>0</v>
      </c>
      <c r="H3489" s="759">
        <f t="shared" si="217"/>
        <v>0</v>
      </c>
      <c r="I3489" s="758">
        <f t="shared" si="218"/>
        <v>0</v>
      </c>
      <c r="J3489" s="760">
        <f t="shared" si="219"/>
        <v>0</v>
      </c>
    </row>
    <row r="3490" spans="1:10">
      <c r="A3490" s="74" t="s">
        <v>883</v>
      </c>
      <c r="B3490" s="74" t="s">
        <v>275</v>
      </c>
      <c r="C3490" s="74" t="s">
        <v>1646</v>
      </c>
      <c r="D3490" s="74" t="s">
        <v>86</v>
      </c>
      <c r="E3490" s="74">
        <v>1</v>
      </c>
      <c r="F3490" s="74">
        <v>5.25</v>
      </c>
      <c r="G3490" s="758">
        <f t="shared" si="216"/>
        <v>0</v>
      </c>
      <c r="H3490" s="759">
        <f t="shared" si="217"/>
        <v>0</v>
      </c>
      <c r="I3490" s="758">
        <f t="shared" si="218"/>
        <v>5.25</v>
      </c>
      <c r="J3490" s="760">
        <f t="shared" si="219"/>
        <v>1</v>
      </c>
    </row>
    <row r="3491" spans="1:10">
      <c r="A3491" s="74" t="s">
        <v>883</v>
      </c>
      <c r="B3491" s="74" t="s">
        <v>275</v>
      </c>
      <c r="C3491" s="74" t="s">
        <v>1541</v>
      </c>
      <c r="D3491" s="74" t="s">
        <v>86</v>
      </c>
      <c r="E3491" s="74">
        <v>1</v>
      </c>
      <c r="F3491" s="74">
        <v>5.25</v>
      </c>
      <c r="G3491" s="758">
        <f t="shared" si="216"/>
        <v>0</v>
      </c>
      <c r="H3491" s="759">
        <f t="shared" si="217"/>
        <v>0</v>
      </c>
      <c r="I3491" s="758">
        <f t="shared" si="218"/>
        <v>5.25</v>
      </c>
      <c r="J3491" s="760">
        <f t="shared" si="219"/>
        <v>1</v>
      </c>
    </row>
    <row r="3492" spans="1:10">
      <c r="A3492" s="74" t="s">
        <v>883</v>
      </c>
      <c r="B3492" s="74" t="s">
        <v>275</v>
      </c>
      <c r="C3492" s="74" t="s">
        <v>1544</v>
      </c>
      <c r="D3492" s="74" t="s">
        <v>87</v>
      </c>
      <c r="E3492" s="74">
        <v>1</v>
      </c>
      <c r="F3492" s="74">
        <v>0</v>
      </c>
      <c r="G3492" s="758">
        <f t="shared" si="216"/>
        <v>0</v>
      </c>
      <c r="H3492" s="759">
        <f t="shared" si="217"/>
        <v>0</v>
      </c>
      <c r="I3492" s="758">
        <f t="shared" si="218"/>
        <v>0</v>
      </c>
      <c r="J3492" s="760">
        <f t="shared" si="219"/>
        <v>0</v>
      </c>
    </row>
    <row r="3493" spans="1:10">
      <c r="A3493" s="74" t="s">
        <v>883</v>
      </c>
      <c r="B3493" s="74" t="s">
        <v>275</v>
      </c>
      <c r="C3493" s="74" t="s">
        <v>1605</v>
      </c>
      <c r="D3493" s="74" t="s">
        <v>87</v>
      </c>
      <c r="E3493" s="74">
        <v>1</v>
      </c>
      <c r="F3493" s="74">
        <v>0</v>
      </c>
      <c r="G3493" s="758">
        <f t="shared" si="216"/>
        <v>0</v>
      </c>
      <c r="H3493" s="759">
        <f t="shared" si="217"/>
        <v>0</v>
      </c>
      <c r="I3493" s="758">
        <f t="shared" si="218"/>
        <v>0</v>
      </c>
      <c r="J3493" s="760">
        <f t="shared" si="219"/>
        <v>0</v>
      </c>
    </row>
    <row r="3494" spans="1:10">
      <c r="A3494" s="74" t="s">
        <v>883</v>
      </c>
      <c r="B3494" s="74" t="s">
        <v>275</v>
      </c>
      <c r="C3494" s="74" t="s">
        <v>1561</v>
      </c>
      <c r="D3494" s="74" t="s">
        <v>87</v>
      </c>
      <c r="E3494" s="74">
        <v>2</v>
      </c>
      <c r="F3494" s="74">
        <v>0</v>
      </c>
      <c r="G3494" s="758">
        <f t="shared" si="216"/>
        <v>0</v>
      </c>
      <c r="H3494" s="759">
        <f t="shared" si="217"/>
        <v>0</v>
      </c>
      <c r="I3494" s="758">
        <f t="shared" si="218"/>
        <v>0</v>
      </c>
      <c r="J3494" s="760">
        <f t="shared" si="219"/>
        <v>0</v>
      </c>
    </row>
    <row r="3495" spans="1:10">
      <c r="A3495" s="74" t="s">
        <v>883</v>
      </c>
      <c r="B3495" s="74" t="s">
        <v>275</v>
      </c>
      <c r="C3495" s="74" t="s">
        <v>1608</v>
      </c>
      <c r="D3495" s="74" t="s">
        <v>89</v>
      </c>
      <c r="E3495" s="74">
        <v>3</v>
      </c>
      <c r="F3495" s="74">
        <v>0</v>
      </c>
      <c r="G3495" s="758">
        <f t="shared" si="216"/>
        <v>0</v>
      </c>
      <c r="H3495" s="759">
        <f t="shared" si="217"/>
        <v>0</v>
      </c>
      <c r="I3495" s="758">
        <f t="shared" si="218"/>
        <v>0</v>
      </c>
      <c r="J3495" s="760">
        <f t="shared" si="219"/>
        <v>0</v>
      </c>
    </row>
    <row r="3496" spans="1:10">
      <c r="A3496" s="74" t="s">
        <v>883</v>
      </c>
      <c r="B3496" s="74" t="s">
        <v>275</v>
      </c>
      <c r="C3496" s="74" t="s">
        <v>1610</v>
      </c>
      <c r="D3496" s="74" t="s">
        <v>89</v>
      </c>
      <c r="E3496" s="74">
        <v>3</v>
      </c>
      <c r="F3496" s="74">
        <v>0</v>
      </c>
      <c r="G3496" s="758">
        <f t="shared" si="216"/>
        <v>0</v>
      </c>
      <c r="H3496" s="759">
        <f t="shared" si="217"/>
        <v>0</v>
      </c>
      <c r="I3496" s="758">
        <f t="shared" si="218"/>
        <v>0</v>
      </c>
      <c r="J3496" s="760">
        <f t="shared" si="219"/>
        <v>0</v>
      </c>
    </row>
    <row r="3497" spans="1:10">
      <c r="A3497" s="74" t="s">
        <v>883</v>
      </c>
      <c r="B3497" s="74" t="s">
        <v>275</v>
      </c>
      <c r="C3497" s="74" t="s">
        <v>1546</v>
      </c>
      <c r="D3497" s="74" t="s">
        <v>89</v>
      </c>
      <c r="E3497" s="74">
        <v>6</v>
      </c>
      <c r="F3497" s="74">
        <v>0</v>
      </c>
      <c r="G3497" s="758">
        <f t="shared" si="216"/>
        <v>0</v>
      </c>
      <c r="H3497" s="759">
        <f t="shared" si="217"/>
        <v>0</v>
      </c>
      <c r="I3497" s="758">
        <f t="shared" si="218"/>
        <v>0</v>
      </c>
      <c r="J3497" s="760">
        <f t="shared" si="219"/>
        <v>0</v>
      </c>
    </row>
    <row r="3498" spans="1:10">
      <c r="A3498" s="74" t="s">
        <v>883</v>
      </c>
      <c r="B3498" s="74" t="s">
        <v>275</v>
      </c>
      <c r="C3498" s="74" t="s">
        <v>1547</v>
      </c>
      <c r="D3498" s="74" t="s">
        <v>89</v>
      </c>
      <c r="E3498" s="74">
        <v>5</v>
      </c>
      <c r="F3498" s="74">
        <v>5.25</v>
      </c>
      <c r="G3498" s="758">
        <f t="shared" si="216"/>
        <v>0</v>
      </c>
      <c r="H3498" s="759">
        <f t="shared" si="217"/>
        <v>0</v>
      </c>
      <c r="I3498" s="758">
        <f t="shared" si="218"/>
        <v>1.05</v>
      </c>
      <c r="J3498" s="760">
        <f t="shared" si="219"/>
        <v>1</v>
      </c>
    </row>
    <row r="3499" spans="1:10">
      <c r="A3499" s="74" t="s">
        <v>883</v>
      </c>
      <c r="B3499" s="74" t="s">
        <v>275</v>
      </c>
      <c r="C3499" s="74" t="s">
        <v>1522</v>
      </c>
      <c r="D3499" s="74" t="s">
        <v>91</v>
      </c>
      <c r="E3499" s="74">
        <v>3</v>
      </c>
      <c r="F3499" s="74">
        <v>10.5</v>
      </c>
      <c r="G3499" s="758">
        <f t="shared" si="216"/>
        <v>0</v>
      </c>
      <c r="H3499" s="759">
        <f t="shared" si="217"/>
        <v>0</v>
      </c>
      <c r="I3499" s="758">
        <f t="shared" si="218"/>
        <v>3.5</v>
      </c>
      <c r="J3499" s="760">
        <f t="shared" si="219"/>
        <v>1</v>
      </c>
    </row>
    <row r="3500" spans="1:10">
      <c r="A3500" s="74" t="s">
        <v>883</v>
      </c>
      <c r="B3500" s="74" t="s">
        <v>275</v>
      </c>
      <c r="C3500" s="74" t="s">
        <v>1550</v>
      </c>
      <c r="D3500" s="74" t="s">
        <v>91</v>
      </c>
      <c r="E3500" s="74">
        <v>3</v>
      </c>
      <c r="F3500" s="74">
        <v>0</v>
      </c>
      <c r="G3500" s="758">
        <f t="shared" si="216"/>
        <v>0</v>
      </c>
      <c r="H3500" s="759">
        <f t="shared" si="217"/>
        <v>0</v>
      </c>
      <c r="I3500" s="758">
        <f t="shared" si="218"/>
        <v>0</v>
      </c>
      <c r="J3500" s="760">
        <f t="shared" si="219"/>
        <v>0</v>
      </c>
    </row>
    <row r="3501" spans="1:10">
      <c r="A3501" s="74" t="s">
        <v>883</v>
      </c>
      <c r="B3501" s="74" t="s">
        <v>275</v>
      </c>
      <c r="C3501" s="74" t="s">
        <v>1614</v>
      </c>
      <c r="D3501" s="74" t="s">
        <v>92</v>
      </c>
      <c r="E3501" s="74">
        <v>3</v>
      </c>
      <c r="F3501" s="74">
        <v>5.25</v>
      </c>
      <c r="G3501" s="758">
        <f t="shared" si="216"/>
        <v>0</v>
      </c>
      <c r="H3501" s="759">
        <f t="shared" si="217"/>
        <v>0</v>
      </c>
      <c r="I3501" s="758">
        <f t="shared" si="218"/>
        <v>1.75</v>
      </c>
      <c r="J3501" s="760">
        <f t="shared" si="219"/>
        <v>1</v>
      </c>
    </row>
    <row r="3502" spans="1:10">
      <c r="A3502" s="74" t="s">
        <v>883</v>
      </c>
      <c r="B3502" s="74" t="s">
        <v>275</v>
      </c>
      <c r="C3502" s="74" t="s">
        <v>1631</v>
      </c>
      <c r="D3502" s="74" t="s">
        <v>92</v>
      </c>
      <c r="E3502" s="74">
        <v>1</v>
      </c>
      <c r="F3502" s="74">
        <v>5.25</v>
      </c>
      <c r="G3502" s="758">
        <f t="shared" si="216"/>
        <v>0</v>
      </c>
      <c r="H3502" s="759">
        <f t="shared" si="217"/>
        <v>0</v>
      </c>
      <c r="I3502" s="758">
        <f t="shared" si="218"/>
        <v>5.25</v>
      </c>
      <c r="J3502" s="760">
        <f t="shared" si="219"/>
        <v>1</v>
      </c>
    </row>
    <row r="3503" spans="1:10">
      <c r="A3503" s="74" t="s">
        <v>883</v>
      </c>
      <c r="B3503" s="74" t="s">
        <v>275</v>
      </c>
      <c r="C3503" s="74" t="s">
        <v>1552</v>
      </c>
      <c r="D3503" s="74" t="s">
        <v>92</v>
      </c>
      <c r="E3503" s="74">
        <v>2</v>
      </c>
      <c r="F3503" s="74">
        <v>0</v>
      </c>
      <c r="G3503" s="758">
        <f t="shared" si="216"/>
        <v>0</v>
      </c>
      <c r="H3503" s="759">
        <f t="shared" si="217"/>
        <v>0</v>
      </c>
      <c r="I3503" s="758">
        <f t="shared" si="218"/>
        <v>0</v>
      </c>
      <c r="J3503" s="760">
        <f t="shared" si="219"/>
        <v>0</v>
      </c>
    </row>
    <row r="3504" spans="1:10">
      <c r="A3504" s="74" t="s">
        <v>883</v>
      </c>
      <c r="B3504" s="74" t="s">
        <v>275</v>
      </c>
      <c r="C3504" s="74" t="s">
        <v>1617</v>
      </c>
      <c r="D3504" s="74" t="s">
        <v>94</v>
      </c>
      <c r="E3504" s="74">
        <v>1</v>
      </c>
      <c r="F3504" s="74">
        <v>0</v>
      </c>
      <c r="G3504" s="758">
        <f t="shared" si="216"/>
        <v>0</v>
      </c>
      <c r="H3504" s="759">
        <f t="shared" si="217"/>
        <v>0</v>
      </c>
      <c r="I3504" s="758">
        <f t="shared" si="218"/>
        <v>0</v>
      </c>
      <c r="J3504" s="760">
        <f t="shared" si="219"/>
        <v>0</v>
      </c>
    </row>
    <row r="3505" spans="1:10">
      <c r="A3505" s="74" t="s">
        <v>883</v>
      </c>
      <c r="B3505" s="74" t="s">
        <v>275</v>
      </c>
      <c r="C3505" s="74" t="s">
        <v>1553</v>
      </c>
      <c r="D3505" s="74" t="s">
        <v>94</v>
      </c>
      <c r="E3505" s="74">
        <v>5</v>
      </c>
      <c r="F3505" s="74">
        <v>0</v>
      </c>
      <c r="G3505" s="758">
        <f t="shared" si="216"/>
        <v>0</v>
      </c>
      <c r="H3505" s="759">
        <f t="shared" si="217"/>
        <v>0</v>
      </c>
      <c r="I3505" s="758">
        <f t="shared" si="218"/>
        <v>0</v>
      </c>
      <c r="J3505" s="760">
        <f t="shared" si="219"/>
        <v>0</v>
      </c>
    </row>
    <row r="3506" spans="1:10">
      <c r="A3506" s="74" t="s">
        <v>883</v>
      </c>
      <c r="B3506" s="74" t="s">
        <v>275</v>
      </c>
      <c r="C3506" s="74" t="s">
        <v>1555</v>
      </c>
      <c r="D3506" s="74" t="s">
        <v>94</v>
      </c>
      <c r="E3506" s="74">
        <v>2</v>
      </c>
      <c r="F3506" s="74">
        <v>0</v>
      </c>
      <c r="G3506" s="758">
        <f t="shared" si="216"/>
        <v>0</v>
      </c>
      <c r="H3506" s="759">
        <f t="shared" si="217"/>
        <v>0</v>
      </c>
      <c r="I3506" s="758">
        <f t="shared" si="218"/>
        <v>0</v>
      </c>
      <c r="J3506" s="760">
        <f t="shared" si="219"/>
        <v>0</v>
      </c>
    </row>
    <row r="3507" spans="1:10">
      <c r="A3507" s="74" t="s">
        <v>883</v>
      </c>
      <c r="B3507" s="74" t="s">
        <v>275</v>
      </c>
      <c r="C3507" s="74" t="s">
        <v>1557</v>
      </c>
      <c r="D3507" s="74" t="s">
        <v>95</v>
      </c>
      <c r="E3507" s="74">
        <v>2</v>
      </c>
      <c r="F3507" s="74">
        <v>0</v>
      </c>
      <c r="G3507" s="758">
        <f t="shared" si="216"/>
        <v>0</v>
      </c>
      <c r="H3507" s="759">
        <f t="shared" si="217"/>
        <v>0</v>
      </c>
      <c r="I3507" s="758">
        <f t="shared" si="218"/>
        <v>0</v>
      </c>
      <c r="J3507" s="760">
        <f t="shared" si="219"/>
        <v>0</v>
      </c>
    </row>
    <row r="3508" spans="1:10">
      <c r="A3508" s="74" t="s">
        <v>883</v>
      </c>
      <c r="B3508" s="74" t="s">
        <v>275</v>
      </c>
      <c r="C3508" s="74" t="s">
        <v>1526</v>
      </c>
      <c r="D3508" s="74" t="s">
        <v>95</v>
      </c>
      <c r="E3508" s="74">
        <v>1</v>
      </c>
      <c r="F3508" s="74">
        <v>5.25</v>
      </c>
      <c r="G3508" s="758">
        <f t="shared" si="216"/>
        <v>0</v>
      </c>
      <c r="H3508" s="759">
        <f t="shared" si="217"/>
        <v>0</v>
      </c>
      <c r="I3508" s="758">
        <f t="shared" si="218"/>
        <v>5.25</v>
      </c>
      <c r="J3508" s="760">
        <f t="shared" si="219"/>
        <v>1</v>
      </c>
    </row>
    <row r="3509" spans="1:10">
      <c r="A3509" s="74" t="s">
        <v>1865</v>
      </c>
      <c r="B3509" s="74" t="s">
        <v>275</v>
      </c>
      <c r="C3509" s="74" t="s">
        <v>1516</v>
      </c>
      <c r="D3509" s="74" t="s">
        <v>82</v>
      </c>
      <c r="E3509" s="74">
        <v>5</v>
      </c>
      <c r="F3509" s="74">
        <v>0</v>
      </c>
      <c r="G3509" s="758">
        <f t="shared" si="216"/>
        <v>0.41</v>
      </c>
      <c r="H3509" s="759">
        <f t="shared" si="217"/>
        <v>0</v>
      </c>
      <c r="I3509" s="758">
        <f t="shared" si="218"/>
        <v>-0.41</v>
      </c>
      <c r="J3509" s="760">
        <f t="shared" si="219"/>
        <v>0</v>
      </c>
    </row>
    <row r="3510" spans="1:10">
      <c r="A3510" s="74" t="s">
        <v>1866</v>
      </c>
      <c r="B3510" s="74" t="s">
        <v>258</v>
      </c>
      <c r="C3510" s="74" t="s">
        <v>1610</v>
      </c>
      <c r="D3510" s="74" t="s">
        <v>89</v>
      </c>
      <c r="E3510" s="74">
        <v>7</v>
      </c>
      <c r="F3510" s="74">
        <v>0</v>
      </c>
      <c r="G3510" s="758">
        <f t="shared" si="216"/>
        <v>0</v>
      </c>
      <c r="H3510" s="759">
        <f t="shared" si="217"/>
        <v>0</v>
      </c>
      <c r="I3510" s="758">
        <f t="shared" si="218"/>
        <v>0</v>
      </c>
      <c r="J3510" s="760">
        <f t="shared" si="219"/>
        <v>0</v>
      </c>
    </row>
    <row r="3511" spans="1:10">
      <c r="A3511" s="74" t="s">
        <v>1866</v>
      </c>
      <c r="B3511" s="74" t="s">
        <v>258</v>
      </c>
      <c r="C3511" s="74" t="s">
        <v>1546</v>
      </c>
      <c r="D3511" s="74" t="s">
        <v>89</v>
      </c>
      <c r="E3511" s="74">
        <v>2</v>
      </c>
      <c r="F3511" s="74">
        <v>0</v>
      </c>
      <c r="G3511" s="758">
        <f t="shared" si="216"/>
        <v>0</v>
      </c>
      <c r="H3511" s="759">
        <f t="shared" si="217"/>
        <v>0</v>
      </c>
      <c r="I3511" s="758">
        <f t="shared" si="218"/>
        <v>0</v>
      </c>
      <c r="J3511" s="760">
        <f t="shared" si="219"/>
        <v>0</v>
      </c>
    </row>
    <row r="3512" spans="1:10">
      <c r="A3512" s="74" t="s">
        <v>2291</v>
      </c>
      <c r="B3512" s="74" t="s">
        <v>258</v>
      </c>
      <c r="C3512" s="74" t="s">
        <v>1522</v>
      </c>
      <c r="D3512" s="74" t="s">
        <v>91</v>
      </c>
      <c r="E3512" s="74">
        <v>4</v>
      </c>
      <c r="F3512" s="74">
        <v>0</v>
      </c>
      <c r="G3512" s="758">
        <f t="shared" si="216"/>
        <v>0.41</v>
      </c>
      <c r="H3512" s="759">
        <f t="shared" si="217"/>
        <v>0.09</v>
      </c>
      <c r="I3512" s="758">
        <f t="shared" si="218"/>
        <v>-0.41</v>
      </c>
      <c r="J3512" s="760">
        <f t="shared" si="219"/>
        <v>0</v>
      </c>
    </row>
    <row r="3513" spans="1:10">
      <c r="A3513" s="74" t="s">
        <v>1867</v>
      </c>
      <c r="B3513" s="74" t="s">
        <v>258</v>
      </c>
      <c r="C3513" s="74" t="s">
        <v>1610</v>
      </c>
      <c r="D3513" s="74" t="s">
        <v>89</v>
      </c>
      <c r="E3513" s="74">
        <v>1</v>
      </c>
      <c r="F3513" s="74">
        <v>0</v>
      </c>
      <c r="G3513" s="758">
        <f t="shared" si="216"/>
        <v>0</v>
      </c>
      <c r="H3513" s="759">
        <f t="shared" si="217"/>
        <v>0</v>
      </c>
      <c r="I3513" s="758">
        <f t="shared" si="218"/>
        <v>0</v>
      </c>
      <c r="J3513" s="760">
        <f t="shared" si="219"/>
        <v>0</v>
      </c>
    </row>
    <row r="3514" spans="1:10">
      <c r="A3514" s="74" t="s">
        <v>1867</v>
      </c>
      <c r="B3514" s="74" t="s">
        <v>258</v>
      </c>
      <c r="C3514" s="74" t="s">
        <v>1547</v>
      </c>
      <c r="D3514" s="74" t="s">
        <v>89</v>
      </c>
      <c r="E3514" s="74">
        <v>6</v>
      </c>
      <c r="F3514" s="74">
        <v>0</v>
      </c>
      <c r="G3514" s="758">
        <f t="shared" si="216"/>
        <v>0</v>
      </c>
      <c r="H3514" s="759">
        <f t="shared" si="217"/>
        <v>0</v>
      </c>
      <c r="I3514" s="758">
        <f t="shared" si="218"/>
        <v>0</v>
      </c>
      <c r="J3514" s="760">
        <f t="shared" si="219"/>
        <v>0</v>
      </c>
    </row>
    <row r="3515" spans="1:10">
      <c r="A3515" s="74" t="s">
        <v>1867</v>
      </c>
      <c r="B3515" s="74" t="s">
        <v>258</v>
      </c>
      <c r="C3515" s="74" t="s">
        <v>1582</v>
      </c>
      <c r="D3515" s="74" t="s">
        <v>89</v>
      </c>
      <c r="E3515" s="74">
        <v>2</v>
      </c>
      <c r="F3515" s="74">
        <v>0</v>
      </c>
      <c r="G3515" s="758">
        <f t="shared" si="216"/>
        <v>0</v>
      </c>
      <c r="H3515" s="759">
        <f t="shared" si="217"/>
        <v>0</v>
      </c>
      <c r="I3515" s="758">
        <f t="shared" si="218"/>
        <v>0</v>
      </c>
      <c r="J3515" s="760">
        <f t="shared" si="219"/>
        <v>0</v>
      </c>
    </row>
    <row r="3516" spans="1:10">
      <c r="A3516" s="74" t="s">
        <v>1867</v>
      </c>
      <c r="B3516" s="74" t="s">
        <v>258</v>
      </c>
      <c r="C3516" s="74" t="s">
        <v>1555</v>
      </c>
      <c r="D3516" s="74" t="s">
        <v>94</v>
      </c>
      <c r="E3516" s="74">
        <v>3</v>
      </c>
      <c r="F3516" s="74">
        <v>0</v>
      </c>
      <c r="G3516" s="758">
        <f t="shared" si="216"/>
        <v>0</v>
      </c>
      <c r="H3516" s="759">
        <f t="shared" si="217"/>
        <v>0</v>
      </c>
      <c r="I3516" s="758">
        <f t="shared" si="218"/>
        <v>0</v>
      </c>
      <c r="J3516" s="760">
        <f t="shared" si="219"/>
        <v>0</v>
      </c>
    </row>
    <row r="3517" spans="1:10">
      <c r="A3517" s="74" t="s">
        <v>1868</v>
      </c>
      <c r="B3517" s="74" t="s">
        <v>258</v>
      </c>
      <c r="C3517" s="74" t="s">
        <v>1543</v>
      </c>
      <c r="D3517" s="74" t="s">
        <v>87</v>
      </c>
      <c r="E3517" s="74">
        <v>1</v>
      </c>
      <c r="F3517" s="74">
        <v>0</v>
      </c>
      <c r="G3517" s="758">
        <f t="shared" si="216"/>
        <v>0</v>
      </c>
      <c r="H3517" s="759">
        <f t="shared" si="217"/>
        <v>0</v>
      </c>
      <c r="I3517" s="758">
        <f t="shared" si="218"/>
        <v>0</v>
      </c>
      <c r="J3517" s="760">
        <f t="shared" si="219"/>
        <v>0</v>
      </c>
    </row>
    <row r="3518" spans="1:10">
      <c r="A3518" s="74" t="s">
        <v>827</v>
      </c>
      <c r="B3518" s="74" t="s">
        <v>275</v>
      </c>
      <c r="C3518" s="74" t="s">
        <v>1514</v>
      </c>
      <c r="D3518" s="74" t="s">
        <v>81</v>
      </c>
      <c r="E3518" s="74">
        <v>1</v>
      </c>
      <c r="F3518" s="74">
        <v>0</v>
      </c>
      <c r="G3518" s="758">
        <f t="shared" si="216"/>
        <v>0</v>
      </c>
      <c r="H3518" s="759">
        <f t="shared" si="217"/>
        <v>0</v>
      </c>
      <c r="I3518" s="758">
        <f t="shared" si="218"/>
        <v>0</v>
      </c>
      <c r="J3518" s="760">
        <f t="shared" si="219"/>
        <v>0</v>
      </c>
    </row>
    <row r="3519" spans="1:10">
      <c r="A3519" s="74" t="s">
        <v>1869</v>
      </c>
      <c r="B3519" s="74" t="s">
        <v>258</v>
      </c>
      <c r="C3519" s="74" t="s">
        <v>1614</v>
      </c>
      <c r="D3519" s="74" t="s">
        <v>92</v>
      </c>
      <c r="E3519" s="74">
        <v>2</v>
      </c>
      <c r="F3519" s="74">
        <v>0</v>
      </c>
      <c r="G3519" s="758">
        <f t="shared" si="216"/>
        <v>0</v>
      </c>
      <c r="H3519" s="759">
        <f t="shared" si="217"/>
        <v>0</v>
      </c>
      <c r="I3519" s="758">
        <f t="shared" si="218"/>
        <v>0</v>
      </c>
      <c r="J3519" s="760">
        <f t="shared" si="219"/>
        <v>0</v>
      </c>
    </row>
    <row r="3520" spans="1:10">
      <c r="A3520" s="74" t="s">
        <v>1869</v>
      </c>
      <c r="B3520" s="74" t="s">
        <v>258</v>
      </c>
      <c r="C3520" s="74" t="s">
        <v>1553</v>
      </c>
      <c r="D3520" s="74" t="s">
        <v>94</v>
      </c>
      <c r="E3520" s="74">
        <v>1</v>
      </c>
      <c r="F3520" s="74">
        <v>0</v>
      </c>
      <c r="G3520" s="758">
        <f t="shared" si="216"/>
        <v>0</v>
      </c>
      <c r="H3520" s="759">
        <f t="shared" si="217"/>
        <v>0</v>
      </c>
      <c r="I3520" s="758">
        <f t="shared" si="218"/>
        <v>0</v>
      </c>
      <c r="J3520" s="760">
        <f t="shared" si="219"/>
        <v>0</v>
      </c>
    </row>
    <row r="3521" spans="1:10">
      <c r="A3521" s="74" t="s">
        <v>1197</v>
      </c>
      <c r="B3521" s="74" t="s">
        <v>258</v>
      </c>
      <c r="C3521" s="74" t="s">
        <v>1544</v>
      </c>
      <c r="D3521" s="74" t="s">
        <v>87</v>
      </c>
      <c r="E3521" s="74">
        <v>1</v>
      </c>
      <c r="F3521" s="74">
        <v>0</v>
      </c>
      <c r="G3521" s="758">
        <f t="shared" si="216"/>
        <v>0</v>
      </c>
      <c r="H3521" s="759">
        <f t="shared" si="217"/>
        <v>0</v>
      </c>
      <c r="I3521" s="758">
        <f t="shared" si="218"/>
        <v>0</v>
      </c>
      <c r="J3521" s="760">
        <f t="shared" si="219"/>
        <v>0</v>
      </c>
    </row>
    <row r="3522" spans="1:10">
      <c r="A3522" s="74" t="s">
        <v>1197</v>
      </c>
      <c r="B3522" s="74" t="s">
        <v>258</v>
      </c>
      <c r="C3522" s="74" t="s">
        <v>1930</v>
      </c>
      <c r="D3522" s="74" t="s">
        <v>95</v>
      </c>
      <c r="E3522" s="74">
        <v>6</v>
      </c>
      <c r="F3522" s="74">
        <v>0</v>
      </c>
      <c r="G3522" s="758">
        <f t="shared" ref="G3522:G3585" si="220">IFERROR(VLOOKUP(A3522,$M$1:$P$1014,2,FALSE),0)</f>
        <v>0</v>
      </c>
      <c r="H3522" s="759">
        <f t="shared" ref="H3522:H3585" si="221">IFERROR(VLOOKUP(A3522,$M$1:$P$1014,3,FALSE),0)</f>
        <v>0</v>
      </c>
      <c r="I3522" s="758">
        <f t="shared" ref="I3522:I3585" si="222">IFERROR(F3522/E3522-G3522,0)</f>
        <v>0</v>
      </c>
      <c r="J3522" s="760">
        <f t="shared" ref="J3522:J3585" si="223">IFERROR(1-G3522*E3522/F3522,0)</f>
        <v>0</v>
      </c>
    </row>
    <row r="3523" spans="1:10">
      <c r="A3523" s="74" t="s">
        <v>1870</v>
      </c>
      <c r="B3523" s="74" t="s">
        <v>258</v>
      </c>
      <c r="C3523" s="74" t="s">
        <v>1631</v>
      </c>
      <c r="D3523" s="74" t="s">
        <v>92</v>
      </c>
      <c r="E3523" s="74">
        <v>1</v>
      </c>
      <c r="F3523" s="74">
        <v>0</v>
      </c>
      <c r="G3523" s="758">
        <f t="shared" si="220"/>
        <v>0</v>
      </c>
      <c r="H3523" s="759">
        <f t="shared" si="221"/>
        <v>0</v>
      </c>
      <c r="I3523" s="758">
        <f t="shared" si="222"/>
        <v>0</v>
      </c>
      <c r="J3523" s="760">
        <f t="shared" si="223"/>
        <v>0</v>
      </c>
    </row>
    <row r="3524" spans="1:10">
      <c r="A3524" s="74" t="s">
        <v>1871</v>
      </c>
      <c r="B3524" s="74" t="s">
        <v>873</v>
      </c>
      <c r="C3524" s="74" t="s">
        <v>1605</v>
      </c>
      <c r="D3524" s="74" t="s">
        <v>87</v>
      </c>
      <c r="E3524" s="74">
        <v>2</v>
      </c>
      <c r="F3524" s="74">
        <v>0</v>
      </c>
      <c r="G3524" s="758">
        <f t="shared" si="220"/>
        <v>0</v>
      </c>
      <c r="H3524" s="759">
        <f t="shared" si="221"/>
        <v>0</v>
      </c>
      <c r="I3524" s="758">
        <f t="shared" si="222"/>
        <v>0</v>
      </c>
      <c r="J3524" s="760">
        <f t="shared" si="223"/>
        <v>0</v>
      </c>
    </row>
    <row r="3525" spans="1:10">
      <c r="A3525" s="74" t="s">
        <v>1872</v>
      </c>
      <c r="B3525" s="74" t="s">
        <v>258</v>
      </c>
      <c r="C3525" s="74" t="s">
        <v>1552</v>
      </c>
      <c r="D3525" s="74" t="s">
        <v>92</v>
      </c>
      <c r="E3525" s="74">
        <v>1</v>
      </c>
      <c r="F3525" s="74">
        <v>0</v>
      </c>
      <c r="G3525" s="758">
        <f t="shared" si="220"/>
        <v>0</v>
      </c>
      <c r="H3525" s="759">
        <f t="shared" si="221"/>
        <v>0</v>
      </c>
      <c r="I3525" s="758">
        <f t="shared" si="222"/>
        <v>0</v>
      </c>
      <c r="J3525" s="760">
        <f t="shared" si="223"/>
        <v>0</v>
      </c>
    </row>
    <row r="3526" spans="1:10">
      <c r="A3526" s="74" t="s">
        <v>1873</v>
      </c>
      <c r="B3526" s="74" t="s">
        <v>258</v>
      </c>
      <c r="C3526" s="74" t="s">
        <v>1553</v>
      </c>
      <c r="D3526" s="74" t="s">
        <v>94</v>
      </c>
      <c r="E3526" s="74">
        <v>1</v>
      </c>
      <c r="F3526" s="74">
        <v>0</v>
      </c>
      <c r="G3526" s="758">
        <f t="shared" si="220"/>
        <v>0</v>
      </c>
      <c r="H3526" s="759">
        <f t="shared" si="221"/>
        <v>0</v>
      </c>
      <c r="I3526" s="758">
        <f t="shared" si="222"/>
        <v>0</v>
      </c>
      <c r="J3526" s="760">
        <f t="shared" si="223"/>
        <v>0</v>
      </c>
    </row>
    <row r="3527" spans="1:10">
      <c r="A3527" s="74" t="s">
        <v>1874</v>
      </c>
      <c r="B3527" s="74" t="s">
        <v>873</v>
      </c>
      <c r="C3527" s="74" t="s">
        <v>1516</v>
      </c>
      <c r="D3527" s="74" t="s">
        <v>82</v>
      </c>
      <c r="E3527" s="74">
        <v>1</v>
      </c>
      <c r="F3527" s="74">
        <v>0</v>
      </c>
      <c r="G3527" s="758">
        <f t="shared" si="220"/>
        <v>0</v>
      </c>
      <c r="H3527" s="759">
        <f t="shared" si="221"/>
        <v>0</v>
      </c>
      <c r="I3527" s="758">
        <f t="shared" si="222"/>
        <v>0</v>
      </c>
      <c r="J3527" s="760">
        <f t="shared" si="223"/>
        <v>0</v>
      </c>
    </row>
    <row r="3528" spans="1:10">
      <c r="A3528" s="74" t="s">
        <v>1875</v>
      </c>
      <c r="B3528" s="74" t="s">
        <v>275</v>
      </c>
      <c r="C3528" s="74" t="s">
        <v>1528</v>
      </c>
      <c r="D3528" s="74" t="s">
        <v>78</v>
      </c>
      <c r="E3528" s="74">
        <v>3</v>
      </c>
      <c r="F3528" s="74">
        <v>13.5</v>
      </c>
      <c r="G3528" s="758">
        <f t="shared" si="220"/>
        <v>0.41</v>
      </c>
      <c r="H3528" s="759">
        <f t="shared" si="221"/>
        <v>0.09</v>
      </c>
      <c r="I3528" s="758">
        <f t="shared" si="222"/>
        <v>4.09</v>
      </c>
      <c r="J3528" s="760">
        <f t="shared" si="223"/>
        <v>0.90888888888888886</v>
      </c>
    </row>
    <row r="3529" spans="1:10">
      <c r="A3529" s="74" t="s">
        <v>1875</v>
      </c>
      <c r="B3529" s="74" t="s">
        <v>275</v>
      </c>
      <c r="C3529" s="74" t="s">
        <v>1508</v>
      </c>
      <c r="D3529" s="74" t="s">
        <v>78</v>
      </c>
      <c r="E3529" s="74">
        <v>4</v>
      </c>
      <c r="F3529" s="74">
        <v>22</v>
      </c>
      <c r="G3529" s="758">
        <f t="shared" si="220"/>
        <v>0.41</v>
      </c>
      <c r="H3529" s="759">
        <f t="shared" si="221"/>
        <v>0.09</v>
      </c>
      <c r="I3529" s="758">
        <f t="shared" si="222"/>
        <v>5.09</v>
      </c>
      <c r="J3529" s="760">
        <f t="shared" si="223"/>
        <v>0.92545454545454542</v>
      </c>
    </row>
    <row r="3530" spans="1:10">
      <c r="A3530" s="74" t="s">
        <v>1875</v>
      </c>
      <c r="B3530" s="74" t="s">
        <v>275</v>
      </c>
      <c r="C3530" s="74" t="s">
        <v>1509</v>
      </c>
      <c r="D3530" s="74" t="s">
        <v>78</v>
      </c>
      <c r="E3530" s="74">
        <v>3</v>
      </c>
      <c r="F3530" s="74">
        <v>14.25</v>
      </c>
      <c r="G3530" s="758">
        <f t="shared" si="220"/>
        <v>0.41</v>
      </c>
      <c r="H3530" s="759">
        <f t="shared" si="221"/>
        <v>0.09</v>
      </c>
      <c r="I3530" s="758">
        <f t="shared" si="222"/>
        <v>4.34</v>
      </c>
      <c r="J3530" s="760">
        <f t="shared" si="223"/>
        <v>0.91368421052631577</v>
      </c>
    </row>
    <row r="3531" spans="1:10">
      <c r="A3531" s="74" t="s">
        <v>1875</v>
      </c>
      <c r="B3531" s="74" t="s">
        <v>275</v>
      </c>
      <c r="C3531" s="74" t="s">
        <v>1565</v>
      </c>
      <c r="D3531" s="74" t="s">
        <v>78</v>
      </c>
      <c r="E3531" s="74">
        <v>7</v>
      </c>
      <c r="F3531" s="74">
        <v>33.25</v>
      </c>
      <c r="G3531" s="758">
        <f t="shared" si="220"/>
        <v>0.41</v>
      </c>
      <c r="H3531" s="759">
        <f t="shared" si="221"/>
        <v>0.09</v>
      </c>
      <c r="I3531" s="758">
        <f t="shared" si="222"/>
        <v>4.34</v>
      </c>
      <c r="J3531" s="760">
        <f t="shared" si="223"/>
        <v>0.91368421052631577</v>
      </c>
    </row>
    <row r="3532" spans="1:10">
      <c r="A3532" s="74" t="s">
        <v>1875</v>
      </c>
      <c r="B3532" s="74" t="s">
        <v>275</v>
      </c>
      <c r="C3532" s="74" t="s">
        <v>1532</v>
      </c>
      <c r="D3532" s="74" t="s">
        <v>80</v>
      </c>
      <c r="E3532" s="74">
        <v>8</v>
      </c>
      <c r="F3532" s="74">
        <v>23.75</v>
      </c>
      <c r="G3532" s="758">
        <f t="shared" si="220"/>
        <v>0.41</v>
      </c>
      <c r="H3532" s="759">
        <f t="shared" si="221"/>
        <v>0.09</v>
      </c>
      <c r="I3532" s="758">
        <f t="shared" si="222"/>
        <v>2.5587499999999999</v>
      </c>
      <c r="J3532" s="760">
        <f t="shared" si="223"/>
        <v>0.86189473684210527</v>
      </c>
    </row>
    <row r="3533" spans="1:10">
      <c r="A3533" s="74" t="s">
        <v>1875</v>
      </c>
      <c r="B3533" s="74" t="s">
        <v>275</v>
      </c>
      <c r="C3533" s="74" t="s">
        <v>1511</v>
      </c>
      <c r="D3533" s="74" t="s">
        <v>80</v>
      </c>
      <c r="E3533" s="74">
        <v>10</v>
      </c>
      <c r="F3533" s="74">
        <v>33.25</v>
      </c>
      <c r="G3533" s="758">
        <f t="shared" si="220"/>
        <v>0.41</v>
      </c>
      <c r="H3533" s="759">
        <f t="shared" si="221"/>
        <v>0.09</v>
      </c>
      <c r="I3533" s="758">
        <f t="shared" si="222"/>
        <v>2.915</v>
      </c>
      <c r="J3533" s="760">
        <f t="shared" si="223"/>
        <v>0.8766917293233083</v>
      </c>
    </row>
    <row r="3534" spans="1:10">
      <c r="A3534" s="74" t="s">
        <v>1875</v>
      </c>
      <c r="B3534" s="74" t="s">
        <v>275</v>
      </c>
      <c r="C3534" s="74" t="s">
        <v>1512</v>
      </c>
      <c r="D3534" s="74" t="s">
        <v>80</v>
      </c>
      <c r="E3534" s="74">
        <v>3</v>
      </c>
      <c r="F3534" s="74">
        <v>14.25</v>
      </c>
      <c r="G3534" s="758">
        <f t="shared" si="220"/>
        <v>0.41</v>
      </c>
      <c r="H3534" s="759">
        <f t="shared" si="221"/>
        <v>0.09</v>
      </c>
      <c r="I3534" s="758">
        <f t="shared" si="222"/>
        <v>4.34</v>
      </c>
      <c r="J3534" s="760">
        <f t="shared" si="223"/>
        <v>0.91368421052631577</v>
      </c>
    </row>
    <row r="3535" spans="1:10">
      <c r="A3535" s="74" t="s">
        <v>1875</v>
      </c>
      <c r="B3535" s="74" t="s">
        <v>275</v>
      </c>
      <c r="C3535" s="74" t="s">
        <v>1534</v>
      </c>
      <c r="D3535" s="74" t="s">
        <v>81</v>
      </c>
      <c r="E3535" s="74">
        <v>7</v>
      </c>
      <c r="F3535" s="74">
        <v>28.75</v>
      </c>
      <c r="G3535" s="758">
        <f t="shared" si="220"/>
        <v>0.41</v>
      </c>
      <c r="H3535" s="759">
        <f t="shared" si="221"/>
        <v>0.09</v>
      </c>
      <c r="I3535" s="758">
        <f t="shared" si="222"/>
        <v>3.6971428571428566</v>
      </c>
      <c r="J3535" s="760">
        <f t="shared" si="223"/>
        <v>0.90017391304347827</v>
      </c>
    </row>
    <row r="3536" spans="1:10">
      <c r="A3536" s="74" t="s">
        <v>1875</v>
      </c>
      <c r="B3536" s="74" t="s">
        <v>275</v>
      </c>
      <c r="C3536" s="74" t="s">
        <v>1513</v>
      </c>
      <c r="D3536" s="74" t="s">
        <v>81</v>
      </c>
      <c r="E3536" s="74">
        <v>10</v>
      </c>
      <c r="F3536" s="74">
        <v>49.75</v>
      </c>
      <c r="G3536" s="758">
        <f t="shared" si="220"/>
        <v>0.41</v>
      </c>
      <c r="H3536" s="759">
        <f t="shared" si="221"/>
        <v>0.09</v>
      </c>
      <c r="I3536" s="758">
        <f t="shared" si="222"/>
        <v>4.5649999999999995</v>
      </c>
      <c r="J3536" s="760">
        <f t="shared" si="223"/>
        <v>0.91758793969849251</v>
      </c>
    </row>
    <row r="3537" spans="1:10">
      <c r="A3537" s="74" t="s">
        <v>1875</v>
      </c>
      <c r="B3537" s="74" t="s">
        <v>275</v>
      </c>
      <c r="C3537" s="74" t="s">
        <v>1514</v>
      </c>
      <c r="D3537" s="74" t="s">
        <v>81</v>
      </c>
      <c r="E3537" s="74">
        <v>4</v>
      </c>
      <c r="F3537" s="74">
        <v>20</v>
      </c>
      <c r="G3537" s="758">
        <f t="shared" si="220"/>
        <v>0.41</v>
      </c>
      <c r="H3537" s="759">
        <f t="shared" si="221"/>
        <v>0.09</v>
      </c>
      <c r="I3537" s="758">
        <f t="shared" si="222"/>
        <v>4.59</v>
      </c>
      <c r="J3537" s="760">
        <f t="shared" si="223"/>
        <v>0.91800000000000004</v>
      </c>
    </row>
    <row r="3538" spans="1:10">
      <c r="A3538" s="74" t="s">
        <v>1875</v>
      </c>
      <c r="B3538" s="74" t="s">
        <v>275</v>
      </c>
      <c r="C3538" s="74" t="s">
        <v>1515</v>
      </c>
      <c r="D3538" s="74" t="s">
        <v>81</v>
      </c>
      <c r="E3538" s="74">
        <v>5</v>
      </c>
      <c r="F3538" s="74">
        <v>27.5</v>
      </c>
      <c r="G3538" s="758">
        <f t="shared" si="220"/>
        <v>0.41</v>
      </c>
      <c r="H3538" s="759">
        <f t="shared" si="221"/>
        <v>0.09</v>
      </c>
      <c r="I3538" s="758">
        <f t="shared" si="222"/>
        <v>5.09</v>
      </c>
      <c r="J3538" s="760">
        <f t="shared" si="223"/>
        <v>0.92545454545454542</v>
      </c>
    </row>
    <row r="3539" spans="1:10">
      <c r="A3539" s="74" t="s">
        <v>1875</v>
      </c>
      <c r="B3539" s="74" t="s">
        <v>275</v>
      </c>
      <c r="C3539" s="74" t="s">
        <v>1516</v>
      </c>
      <c r="D3539" s="74" t="s">
        <v>82</v>
      </c>
      <c r="E3539" s="74">
        <v>6</v>
      </c>
      <c r="F3539" s="74">
        <v>32</v>
      </c>
      <c r="G3539" s="758">
        <f t="shared" si="220"/>
        <v>0.41</v>
      </c>
      <c r="H3539" s="759">
        <f t="shared" si="221"/>
        <v>0.09</v>
      </c>
      <c r="I3539" s="758">
        <f t="shared" si="222"/>
        <v>4.9233333333333329</v>
      </c>
      <c r="J3539" s="760">
        <f t="shared" si="223"/>
        <v>0.92312499999999997</v>
      </c>
    </row>
    <row r="3540" spans="1:10">
      <c r="A3540" s="74" t="s">
        <v>1875</v>
      </c>
      <c r="B3540" s="74" t="s">
        <v>275</v>
      </c>
      <c r="C3540" s="74" t="s">
        <v>1517</v>
      </c>
      <c r="D3540" s="74" t="s">
        <v>82</v>
      </c>
      <c r="E3540" s="74">
        <v>13</v>
      </c>
      <c r="F3540" s="74">
        <v>68.25</v>
      </c>
      <c r="G3540" s="758">
        <f t="shared" si="220"/>
        <v>0.41</v>
      </c>
      <c r="H3540" s="759">
        <f t="shared" si="221"/>
        <v>0.09</v>
      </c>
      <c r="I3540" s="758">
        <f t="shared" si="222"/>
        <v>4.84</v>
      </c>
      <c r="J3540" s="760">
        <f t="shared" si="223"/>
        <v>0.92190476190476189</v>
      </c>
    </row>
    <row r="3541" spans="1:10">
      <c r="A3541" s="74" t="s">
        <v>1875</v>
      </c>
      <c r="B3541" s="74" t="s">
        <v>275</v>
      </c>
      <c r="C3541" s="74" t="s">
        <v>1527</v>
      </c>
      <c r="D3541" s="74" t="s">
        <v>82</v>
      </c>
      <c r="E3541" s="74">
        <v>2</v>
      </c>
      <c r="F3541" s="74">
        <v>11</v>
      </c>
      <c r="G3541" s="758">
        <f t="shared" si="220"/>
        <v>0.41</v>
      </c>
      <c r="H3541" s="759">
        <f t="shared" si="221"/>
        <v>0.09</v>
      </c>
      <c r="I3541" s="758">
        <f t="shared" si="222"/>
        <v>5.09</v>
      </c>
      <c r="J3541" s="760">
        <f t="shared" si="223"/>
        <v>0.92545454545454542</v>
      </c>
    </row>
    <row r="3542" spans="1:10">
      <c r="A3542" s="74" t="s">
        <v>745</v>
      </c>
      <c r="B3542" s="74" t="s">
        <v>275</v>
      </c>
      <c r="C3542" s="74" t="s">
        <v>1528</v>
      </c>
      <c r="D3542" s="74" t="s">
        <v>78</v>
      </c>
      <c r="E3542" s="74">
        <v>1</v>
      </c>
      <c r="F3542" s="74">
        <v>4.7699999999999996</v>
      </c>
      <c r="G3542" s="758">
        <f t="shared" si="220"/>
        <v>0.41</v>
      </c>
      <c r="H3542" s="759">
        <f t="shared" si="221"/>
        <v>0.09</v>
      </c>
      <c r="I3542" s="758">
        <f t="shared" si="222"/>
        <v>4.3599999999999994</v>
      </c>
      <c r="J3542" s="760">
        <f t="shared" si="223"/>
        <v>0.91404612159329135</v>
      </c>
    </row>
    <row r="3543" spans="1:10">
      <c r="A3543" s="74" t="s">
        <v>745</v>
      </c>
      <c r="B3543" s="74" t="s">
        <v>275</v>
      </c>
      <c r="C3543" s="74" t="s">
        <v>1508</v>
      </c>
      <c r="D3543" s="74" t="s">
        <v>78</v>
      </c>
      <c r="E3543" s="74">
        <v>3</v>
      </c>
      <c r="F3543" s="74">
        <v>14.32</v>
      </c>
      <c r="G3543" s="758">
        <f t="shared" si="220"/>
        <v>0.41</v>
      </c>
      <c r="H3543" s="759">
        <f t="shared" si="221"/>
        <v>0.09</v>
      </c>
      <c r="I3543" s="758">
        <f t="shared" si="222"/>
        <v>4.3633333333333333</v>
      </c>
      <c r="J3543" s="760">
        <f t="shared" si="223"/>
        <v>0.91410614525139666</v>
      </c>
    </row>
    <row r="3544" spans="1:10">
      <c r="A3544" s="74" t="s">
        <v>745</v>
      </c>
      <c r="B3544" s="74" t="s">
        <v>275</v>
      </c>
      <c r="C3544" s="74" t="s">
        <v>1509</v>
      </c>
      <c r="D3544" s="74" t="s">
        <v>78</v>
      </c>
      <c r="E3544" s="74">
        <v>3</v>
      </c>
      <c r="F3544" s="74">
        <v>14.32</v>
      </c>
      <c r="G3544" s="758">
        <f t="shared" si="220"/>
        <v>0.41</v>
      </c>
      <c r="H3544" s="759">
        <f t="shared" si="221"/>
        <v>0.09</v>
      </c>
      <c r="I3544" s="758">
        <f t="shared" si="222"/>
        <v>4.3633333333333333</v>
      </c>
      <c r="J3544" s="760">
        <f t="shared" si="223"/>
        <v>0.91410614525139666</v>
      </c>
    </row>
    <row r="3545" spans="1:10">
      <c r="A3545" s="74" t="s">
        <v>745</v>
      </c>
      <c r="B3545" s="74" t="s">
        <v>275</v>
      </c>
      <c r="C3545" s="74" t="s">
        <v>1565</v>
      </c>
      <c r="D3545" s="74" t="s">
        <v>78</v>
      </c>
      <c r="E3545" s="74">
        <v>1</v>
      </c>
      <c r="F3545" s="74">
        <v>4.7699999999999996</v>
      </c>
      <c r="G3545" s="758">
        <f t="shared" si="220"/>
        <v>0.41</v>
      </c>
      <c r="H3545" s="759">
        <f t="shared" si="221"/>
        <v>0.09</v>
      </c>
      <c r="I3545" s="758">
        <f t="shared" si="222"/>
        <v>4.3599999999999994</v>
      </c>
      <c r="J3545" s="760">
        <f t="shared" si="223"/>
        <v>0.91404612159329135</v>
      </c>
    </row>
    <row r="3546" spans="1:10">
      <c r="A3546" s="74" t="s">
        <v>745</v>
      </c>
      <c r="B3546" s="74" t="s">
        <v>275</v>
      </c>
      <c r="C3546" s="74" t="s">
        <v>1530</v>
      </c>
      <c r="D3546" s="74" t="s">
        <v>80</v>
      </c>
      <c r="E3546" s="74">
        <v>2</v>
      </c>
      <c r="F3546" s="74">
        <v>9.5500000000000007</v>
      </c>
      <c r="G3546" s="758">
        <f t="shared" si="220"/>
        <v>0.41</v>
      </c>
      <c r="H3546" s="759">
        <f t="shared" si="221"/>
        <v>0.09</v>
      </c>
      <c r="I3546" s="758">
        <f t="shared" si="222"/>
        <v>4.3650000000000002</v>
      </c>
      <c r="J3546" s="760">
        <f t="shared" si="223"/>
        <v>0.91413612565445024</v>
      </c>
    </row>
    <row r="3547" spans="1:10">
      <c r="A3547" s="74" t="s">
        <v>745</v>
      </c>
      <c r="B3547" s="74" t="s">
        <v>275</v>
      </c>
      <c r="C3547" s="74" t="s">
        <v>1532</v>
      </c>
      <c r="D3547" s="74" t="s">
        <v>80</v>
      </c>
      <c r="E3547" s="74">
        <v>2</v>
      </c>
      <c r="F3547" s="74">
        <v>9.5500000000000007</v>
      </c>
      <c r="G3547" s="758">
        <f t="shared" si="220"/>
        <v>0.41</v>
      </c>
      <c r="H3547" s="759">
        <f t="shared" si="221"/>
        <v>0.09</v>
      </c>
      <c r="I3547" s="758">
        <f t="shared" si="222"/>
        <v>4.3650000000000002</v>
      </c>
      <c r="J3547" s="760">
        <f t="shared" si="223"/>
        <v>0.91413612565445024</v>
      </c>
    </row>
    <row r="3548" spans="1:10">
      <c r="A3548" s="74" t="s">
        <v>745</v>
      </c>
      <c r="B3548" s="74" t="s">
        <v>275</v>
      </c>
      <c r="C3548" s="74" t="s">
        <v>1511</v>
      </c>
      <c r="D3548" s="74" t="s">
        <v>80</v>
      </c>
      <c r="E3548" s="74">
        <v>1</v>
      </c>
      <c r="F3548" s="74">
        <v>4.7699999999999996</v>
      </c>
      <c r="G3548" s="758">
        <f t="shared" si="220"/>
        <v>0.41</v>
      </c>
      <c r="H3548" s="759">
        <f t="shared" si="221"/>
        <v>0.09</v>
      </c>
      <c r="I3548" s="758">
        <f t="shared" si="222"/>
        <v>4.3599999999999994</v>
      </c>
      <c r="J3548" s="760">
        <f t="shared" si="223"/>
        <v>0.91404612159329135</v>
      </c>
    </row>
    <row r="3549" spans="1:10">
      <c r="A3549" s="74" t="s">
        <v>745</v>
      </c>
      <c r="B3549" s="74" t="s">
        <v>275</v>
      </c>
      <c r="C3549" s="74" t="s">
        <v>1512</v>
      </c>
      <c r="D3549" s="74" t="s">
        <v>80</v>
      </c>
      <c r="E3549" s="74">
        <v>2</v>
      </c>
      <c r="F3549" s="74">
        <v>9.77</v>
      </c>
      <c r="G3549" s="758">
        <f t="shared" si="220"/>
        <v>0.41</v>
      </c>
      <c r="H3549" s="759">
        <f t="shared" si="221"/>
        <v>0.09</v>
      </c>
      <c r="I3549" s="758">
        <f t="shared" si="222"/>
        <v>4.4749999999999996</v>
      </c>
      <c r="J3549" s="760">
        <f t="shared" si="223"/>
        <v>0.91606960081883315</v>
      </c>
    </row>
    <row r="3550" spans="1:10">
      <c r="A3550" s="74" t="s">
        <v>745</v>
      </c>
      <c r="B3550" s="74" t="s">
        <v>275</v>
      </c>
      <c r="C3550" s="74" t="s">
        <v>1513</v>
      </c>
      <c r="D3550" s="74" t="s">
        <v>81</v>
      </c>
      <c r="E3550" s="74">
        <v>10</v>
      </c>
      <c r="F3550" s="74">
        <v>48.18</v>
      </c>
      <c r="G3550" s="758">
        <f t="shared" si="220"/>
        <v>0.41</v>
      </c>
      <c r="H3550" s="759">
        <f t="shared" si="221"/>
        <v>0.09</v>
      </c>
      <c r="I3550" s="758">
        <f t="shared" si="222"/>
        <v>4.4079999999999995</v>
      </c>
      <c r="J3550" s="760">
        <f t="shared" si="223"/>
        <v>0.91490244914902452</v>
      </c>
    </row>
    <row r="3551" spans="1:10">
      <c r="A3551" s="74" t="s">
        <v>745</v>
      </c>
      <c r="B3551" s="74" t="s">
        <v>275</v>
      </c>
      <c r="C3551" s="74" t="s">
        <v>1514</v>
      </c>
      <c r="D3551" s="74" t="s">
        <v>81</v>
      </c>
      <c r="E3551" s="74">
        <v>4</v>
      </c>
      <c r="F3551" s="74">
        <v>19.09</v>
      </c>
      <c r="G3551" s="758">
        <f t="shared" si="220"/>
        <v>0.41</v>
      </c>
      <c r="H3551" s="759">
        <f t="shared" si="221"/>
        <v>0.09</v>
      </c>
      <c r="I3551" s="758">
        <f t="shared" si="222"/>
        <v>4.3624999999999998</v>
      </c>
      <c r="J3551" s="760">
        <f t="shared" si="223"/>
        <v>0.91409114719748563</v>
      </c>
    </row>
    <row r="3552" spans="1:10">
      <c r="A3552" s="74" t="s">
        <v>745</v>
      </c>
      <c r="B3552" s="74" t="s">
        <v>275</v>
      </c>
      <c r="C3552" s="74" t="s">
        <v>1515</v>
      </c>
      <c r="D3552" s="74" t="s">
        <v>81</v>
      </c>
      <c r="E3552" s="74">
        <v>7</v>
      </c>
      <c r="F3552" s="74">
        <v>33.409999999999997</v>
      </c>
      <c r="G3552" s="758">
        <f t="shared" si="220"/>
        <v>0.41</v>
      </c>
      <c r="H3552" s="759">
        <f t="shared" si="221"/>
        <v>0.09</v>
      </c>
      <c r="I3552" s="758">
        <f t="shared" si="222"/>
        <v>4.3628571428571421</v>
      </c>
      <c r="J3552" s="760">
        <f t="shared" si="223"/>
        <v>0.91409757557617477</v>
      </c>
    </row>
    <row r="3553" spans="1:10">
      <c r="A3553" s="74" t="s">
        <v>745</v>
      </c>
      <c r="B3553" s="74" t="s">
        <v>275</v>
      </c>
      <c r="C3553" s="74" t="s">
        <v>1584</v>
      </c>
      <c r="D3553" s="74" t="s">
        <v>92</v>
      </c>
      <c r="E3553" s="74">
        <v>5</v>
      </c>
      <c r="F3553" s="74">
        <v>0</v>
      </c>
      <c r="G3553" s="758">
        <f t="shared" si="220"/>
        <v>0.41</v>
      </c>
      <c r="H3553" s="759">
        <f t="shared" si="221"/>
        <v>0.09</v>
      </c>
      <c r="I3553" s="758">
        <f t="shared" si="222"/>
        <v>-0.41</v>
      </c>
      <c r="J3553" s="760">
        <f t="shared" si="223"/>
        <v>0</v>
      </c>
    </row>
    <row r="3554" spans="1:10">
      <c r="A3554" s="74" t="s">
        <v>745</v>
      </c>
      <c r="B3554" s="74" t="s">
        <v>275</v>
      </c>
      <c r="C3554" s="74" t="s">
        <v>1631</v>
      </c>
      <c r="D3554" s="74" t="s">
        <v>92</v>
      </c>
      <c r="E3554" s="74">
        <v>5</v>
      </c>
      <c r="F3554" s="74">
        <v>0</v>
      </c>
      <c r="G3554" s="758">
        <f t="shared" si="220"/>
        <v>0.41</v>
      </c>
      <c r="H3554" s="759">
        <f t="shared" si="221"/>
        <v>0.09</v>
      </c>
      <c r="I3554" s="758">
        <f t="shared" si="222"/>
        <v>-0.41</v>
      </c>
      <c r="J3554" s="760">
        <f t="shared" si="223"/>
        <v>0</v>
      </c>
    </row>
    <row r="3555" spans="1:10">
      <c r="A3555" s="74" t="s">
        <v>745</v>
      </c>
      <c r="B3555" s="74" t="s">
        <v>275</v>
      </c>
      <c r="C3555" s="74" t="s">
        <v>1526</v>
      </c>
      <c r="D3555" s="74" t="s">
        <v>95</v>
      </c>
      <c r="E3555" s="74">
        <v>2</v>
      </c>
      <c r="F3555" s="74">
        <v>0</v>
      </c>
      <c r="G3555" s="758">
        <f t="shared" si="220"/>
        <v>0.41</v>
      </c>
      <c r="H3555" s="759">
        <f t="shared" si="221"/>
        <v>0.09</v>
      </c>
      <c r="I3555" s="758">
        <f t="shared" si="222"/>
        <v>-0.41</v>
      </c>
      <c r="J3555" s="760">
        <f t="shared" si="223"/>
        <v>0</v>
      </c>
    </row>
    <row r="3556" spans="1:10">
      <c r="A3556" s="74" t="s">
        <v>727</v>
      </c>
      <c r="B3556" s="74" t="s">
        <v>275</v>
      </c>
      <c r="C3556" s="74" t="s">
        <v>1528</v>
      </c>
      <c r="D3556" s="74" t="s">
        <v>78</v>
      </c>
      <c r="E3556" s="74">
        <v>1</v>
      </c>
      <c r="F3556" s="74">
        <v>0</v>
      </c>
      <c r="G3556" s="758">
        <f t="shared" si="220"/>
        <v>0.41</v>
      </c>
      <c r="H3556" s="759">
        <f t="shared" si="221"/>
        <v>0.09</v>
      </c>
      <c r="I3556" s="758">
        <f t="shared" si="222"/>
        <v>-0.41</v>
      </c>
      <c r="J3556" s="760">
        <f t="shared" si="223"/>
        <v>0</v>
      </c>
    </row>
    <row r="3557" spans="1:10">
      <c r="A3557" s="74" t="s">
        <v>727</v>
      </c>
      <c r="B3557" s="74" t="s">
        <v>275</v>
      </c>
      <c r="C3557" s="74" t="s">
        <v>1508</v>
      </c>
      <c r="D3557" s="74" t="s">
        <v>78</v>
      </c>
      <c r="E3557" s="74">
        <v>13</v>
      </c>
      <c r="F3557" s="74">
        <v>0</v>
      </c>
      <c r="G3557" s="758">
        <f t="shared" si="220"/>
        <v>0.41</v>
      </c>
      <c r="H3557" s="759">
        <f t="shared" si="221"/>
        <v>0.09</v>
      </c>
      <c r="I3557" s="758">
        <f t="shared" si="222"/>
        <v>-0.41</v>
      </c>
      <c r="J3557" s="760">
        <f t="shared" si="223"/>
        <v>0</v>
      </c>
    </row>
    <row r="3558" spans="1:10">
      <c r="A3558" s="74" t="s">
        <v>727</v>
      </c>
      <c r="B3558" s="74" t="s">
        <v>275</v>
      </c>
      <c r="C3558" s="74" t="s">
        <v>1509</v>
      </c>
      <c r="D3558" s="74" t="s">
        <v>78</v>
      </c>
      <c r="E3558" s="74">
        <v>10</v>
      </c>
      <c r="F3558" s="74">
        <v>0</v>
      </c>
      <c r="G3558" s="758">
        <f t="shared" si="220"/>
        <v>0.41</v>
      </c>
      <c r="H3558" s="759">
        <f t="shared" si="221"/>
        <v>0.09</v>
      </c>
      <c r="I3558" s="758">
        <f t="shared" si="222"/>
        <v>-0.41</v>
      </c>
      <c r="J3558" s="760">
        <f t="shared" si="223"/>
        <v>0</v>
      </c>
    </row>
    <row r="3559" spans="1:10">
      <c r="A3559" s="74" t="s">
        <v>727</v>
      </c>
      <c r="B3559" s="74" t="s">
        <v>275</v>
      </c>
      <c r="C3559" s="74" t="s">
        <v>1565</v>
      </c>
      <c r="D3559" s="74" t="s">
        <v>78</v>
      </c>
      <c r="E3559" s="74">
        <v>6</v>
      </c>
      <c r="F3559" s="74">
        <v>0</v>
      </c>
      <c r="G3559" s="758">
        <f t="shared" si="220"/>
        <v>0.41</v>
      </c>
      <c r="H3559" s="759">
        <f t="shared" si="221"/>
        <v>0.09</v>
      </c>
      <c r="I3559" s="758">
        <f t="shared" si="222"/>
        <v>-0.41</v>
      </c>
      <c r="J3559" s="760">
        <f t="shared" si="223"/>
        <v>0</v>
      </c>
    </row>
    <row r="3560" spans="1:10">
      <c r="A3560" s="74" t="s">
        <v>727</v>
      </c>
      <c r="B3560" s="74" t="s">
        <v>275</v>
      </c>
      <c r="C3560" s="74" t="s">
        <v>1530</v>
      </c>
      <c r="D3560" s="74" t="s">
        <v>80</v>
      </c>
      <c r="E3560" s="74">
        <v>1</v>
      </c>
      <c r="F3560" s="74">
        <v>0</v>
      </c>
      <c r="G3560" s="758">
        <f t="shared" si="220"/>
        <v>0.41</v>
      </c>
      <c r="H3560" s="759">
        <f t="shared" si="221"/>
        <v>0.09</v>
      </c>
      <c r="I3560" s="758">
        <f t="shared" si="222"/>
        <v>-0.41</v>
      </c>
      <c r="J3560" s="760">
        <f t="shared" si="223"/>
        <v>0</v>
      </c>
    </row>
    <row r="3561" spans="1:10">
      <c r="A3561" s="74" t="s">
        <v>727</v>
      </c>
      <c r="B3561" s="74" t="s">
        <v>275</v>
      </c>
      <c r="C3561" s="74" t="s">
        <v>1532</v>
      </c>
      <c r="D3561" s="74" t="s">
        <v>80</v>
      </c>
      <c r="E3561" s="74">
        <v>1</v>
      </c>
      <c r="F3561" s="74">
        <v>0</v>
      </c>
      <c r="G3561" s="758">
        <f t="shared" si="220"/>
        <v>0.41</v>
      </c>
      <c r="H3561" s="759">
        <f t="shared" si="221"/>
        <v>0.09</v>
      </c>
      <c r="I3561" s="758">
        <f t="shared" si="222"/>
        <v>-0.41</v>
      </c>
      <c r="J3561" s="760">
        <f t="shared" si="223"/>
        <v>0</v>
      </c>
    </row>
    <row r="3562" spans="1:10">
      <c r="A3562" s="74" t="s">
        <v>727</v>
      </c>
      <c r="B3562" s="74" t="s">
        <v>275</v>
      </c>
      <c r="C3562" s="74" t="s">
        <v>1511</v>
      </c>
      <c r="D3562" s="74" t="s">
        <v>80</v>
      </c>
      <c r="E3562" s="74">
        <v>6</v>
      </c>
      <c r="F3562" s="74">
        <v>0</v>
      </c>
      <c r="G3562" s="758">
        <f t="shared" si="220"/>
        <v>0.41</v>
      </c>
      <c r="H3562" s="759">
        <f t="shared" si="221"/>
        <v>0.09</v>
      </c>
      <c r="I3562" s="758">
        <f t="shared" si="222"/>
        <v>-0.41</v>
      </c>
      <c r="J3562" s="760">
        <f t="shared" si="223"/>
        <v>0</v>
      </c>
    </row>
    <row r="3563" spans="1:10">
      <c r="A3563" s="74" t="s">
        <v>727</v>
      </c>
      <c r="B3563" s="74" t="s">
        <v>275</v>
      </c>
      <c r="C3563" s="74" t="s">
        <v>1512</v>
      </c>
      <c r="D3563" s="74" t="s">
        <v>80</v>
      </c>
      <c r="E3563" s="74">
        <v>1</v>
      </c>
      <c r="F3563" s="74">
        <v>0</v>
      </c>
      <c r="G3563" s="758">
        <f t="shared" si="220"/>
        <v>0.41</v>
      </c>
      <c r="H3563" s="759">
        <f t="shared" si="221"/>
        <v>0.09</v>
      </c>
      <c r="I3563" s="758">
        <f t="shared" si="222"/>
        <v>-0.41</v>
      </c>
      <c r="J3563" s="760">
        <f t="shared" si="223"/>
        <v>0</v>
      </c>
    </row>
    <row r="3564" spans="1:10">
      <c r="A3564" s="74" t="s">
        <v>727</v>
      </c>
      <c r="B3564" s="74" t="s">
        <v>275</v>
      </c>
      <c r="C3564" s="74" t="s">
        <v>1513</v>
      </c>
      <c r="D3564" s="74" t="s">
        <v>81</v>
      </c>
      <c r="E3564" s="74">
        <v>14</v>
      </c>
      <c r="F3564" s="74">
        <v>0</v>
      </c>
      <c r="G3564" s="758">
        <f t="shared" si="220"/>
        <v>0.41</v>
      </c>
      <c r="H3564" s="759">
        <f t="shared" si="221"/>
        <v>0.09</v>
      </c>
      <c r="I3564" s="758">
        <f t="shared" si="222"/>
        <v>-0.41</v>
      </c>
      <c r="J3564" s="760">
        <f t="shared" si="223"/>
        <v>0</v>
      </c>
    </row>
    <row r="3565" spans="1:10">
      <c r="A3565" s="74" t="s">
        <v>727</v>
      </c>
      <c r="B3565" s="74" t="s">
        <v>275</v>
      </c>
      <c r="C3565" s="74" t="s">
        <v>1514</v>
      </c>
      <c r="D3565" s="74" t="s">
        <v>81</v>
      </c>
      <c r="E3565" s="74">
        <v>5</v>
      </c>
      <c r="F3565" s="74">
        <v>0</v>
      </c>
      <c r="G3565" s="758">
        <f t="shared" si="220"/>
        <v>0.41</v>
      </c>
      <c r="H3565" s="759">
        <f t="shared" si="221"/>
        <v>0.09</v>
      </c>
      <c r="I3565" s="758">
        <f t="shared" si="222"/>
        <v>-0.41</v>
      </c>
      <c r="J3565" s="760">
        <f t="shared" si="223"/>
        <v>0</v>
      </c>
    </row>
    <row r="3566" spans="1:10">
      <c r="A3566" s="74" t="s">
        <v>727</v>
      </c>
      <c r="B3566" s="74" t="s">
        <v>275</v>
      </c>
      <c r="C3566" s="74" t="s">
        <v>1515</v>
      </c>
      <c r="D3566" s="74" t="s">
        <v>81</v>
      </c>
      <c r="E3566" s="74">
        <v>3</v>
      </c>
      <c r="F3566" s="74">
        <v>0</v>
      </c>
      <c r="G3566" s="758">
        <f t="shared" si="220"/>
        <v>0.41</v>
      </c>
      <c r="H3566" s="759">
        <f t="shared" si="221"/>
        <v>0.09</v>
      </c>
      <c r="I3566" s="758">
        <f t="shared" si="222"/>
        <v>-0.41</v>
      </c>
      <c r="J3566" s="760">
        <f t="shared" si="223"/>
        <v>0</v>
      </c>
    </row>
    <row r="3567" spans="1:10">
      <c r="A3567" s="74" t="s">
        <v>1876</v>
      </c>
      <c r="B3567" s="74" t="s">
        <v>873</v>
      </c>
      <c r="C3567" s="74" t="s">
        <v>1565</v>
      </c>
      <c r="D3567" s="74" t="s">
        <v>78</v>
      </c>
      <c r="E3567" s="74">
        <v>10</v>
      </c>
      <c r="F3567" s="74">
        <v>0</v>
      </c>
      <c r="G3567" s="758">
        <f t="shared" si="220"/>
        <v>2.11</v>
      </c>
      <c r="H3567" s="759">
        <f t="shared" si="221"/>
        <v>0</v>
      </c>
      <c r="I3567" s="758">
        <f t="shared" si="222"/>
        <v>-2.11</v>
      </c>
      <c r="J3567" s="760">
        <f t="shared" si="223"/>
        <v>0</v>
      </c>
    </row>
    <row r="3568" spans="1:10">
      <c r="A3568" s="74" t="s">
        <v>1877</v>
      </c>
      <c r="B3568" s="74" t="s">
        <v>258</v>
      </c>
      <c r="C3568" s="74" t="s">
        <v>1528</v>
      </c>
      <c r="D3568" s="74" t="s">
        <v>78</v>
      </c>
      <c r="E3568" s="74">
        <v>2</v>
      </c>
      <c r="F3568" s="74">
        <v>9.9</v>
      </c>
      <c r="G3568" s="758">
        <f t="shared" si="220"/>
        <v>0.46</v>
      </c>
      <c r="H3568" s="759">
        <f t="shared" si="221"/>
        <v>0.09</v>
      </c>
      <c r="I3568" s="758">
        <f t="shared" si="222"/>
        <v>4.49</v>
      </c>
      <c r="J3568" s="760">
        <f t="shared" si="223"/>
        <v>0.90707070707070703</v>
      </c>
    </row>
    <row r="3569" spans="1:10">
      <c r="A3569" s="74" t="s">
        <v>1877</v>
      </c>
      <c r="B3569" s="74" t="s">
        <v>258</v>
      </c>
      <c r="C3569" s="74" t="s">
        <v>1508</v>
      </c>
      <c r="D3569" s="74" t="s">
        <v>78</v>
      </c>
      <c r="E3569" s="74">
        <v>3</v>
      </c>
      <c r="F3569" s="74">
        <v>15.35</v>
      </c>
      <c r="G3569" s="758">
        <f t="shared" si="220"/>
        <v>0.46</v>
      </c>
      <c r="H3569" s="759">
        <f t="shared" si="221"/>
        <v>0.09</v>
      </c>
      <c r="I3569" s="758">
        <f t="shared" si="222"/>
        <v>4.6566666666666663</v>
      </c>
      <c r="J3569" s="760">
        <f t="shared" si="223"/>
        <v>0.91009771986970689</v>
      </c>
    </row>
    <row r="3570" spans="1:10">
      <c r="A3570" s="74" t="s">
        <v>1877</v>
      </c>
      <c r="B3570" s="74" t="s">
        <v>258</v>
      </c>
      <c r="C3570" s="74" t="s">
        <v>1511</v>
      </c>
      <c r="D3570" s="74" t="s">
        <v>80</v>
      </c>
      <c r="E3570" s="74">
        <v>1</v>
      </c>
      <c r="F3570" s="74">
        <v>0</v>
      </c>
      <c r="G3570" s="758">
        <f t="shared" si="220"/>
        <v>0.46</v>
      </c>
      <c r="H3570" s="759">
        <f t="shared" si="221"/>
        <v>0.09</v>
      </c>
      <c r="I3570" s="758">
        <f t="shared" si="222"/>
        <v>-0.46</v>
      </c>
      <c r="J3570" s="760">
        <f t="shared" si="223"/>
        <v>0</v>
      </c>
    </row>
    <row r="3571" spans="1:10">
      <c r="A3571" s="74" t="s">
        <v>1877</v>
      </c>
      <c r="B3571" s="74" t="s">
        <v>258</v>
      </c>
      <c r="C3571" s="74" t="s">
        <v>1513</v>
      </c>
      <c r="D3571" s="74" t="s">
        <v>81</v>
      </c>
      <c r="E3571" s="74">
        <v>1</v>
      </c>
      <c r="F3571" s="74">
        <v>0</v>
      </c>
      <c r="G3571" s="758">
        <f t="shared" si="220"/>
        <v>0.46</v>
      </c>
      <c r="H3571" s="759">
        <f t="shared" si="221"/>
        <v>0.09</v>
      </c>
      <c r="I3571" s="758">
        <f t="shared" si="222"/>
        <v>-0.46</v>
      </c>
      <c r="J3571" s="760">
        <f t="shared" si="223"/>
        <v>0</v>
      </c>
    </row>
    <row r="3572" spans="1:10">
      <c r="A3572" s="74" t="s">
        <v>1877</v>
      </c>
      <c r="B3572" s="74" t="s">
        <v>258</v>
      </c>
      <c r="C3572" s="74" t="s">
        <v>1514</v>
      </c>
      <c r="D3572" s="74" t="s">
        <v>81</v>
      </c>
      <c r="E3572" s="74">
        <v>3</v>
      </c>
      <c r="F3572" s="74">
        <v>0</v>
      </c>
      <c r="G3572" s="758">
        <f t="shared" si="220"/>
        <v>0.46</v>
      </c>
      <c r="H3572" s="759">
        <f t="shared" si="221"/>
        <v>0.09</v>
      </c>
      <c r="I3572" s="758">
        <f t="shared" si="222"/>
        <v>-0.46</v>
      </c>
      <c r="J3572" s="760">
        <f t="shared" si="223"/>
        <v>0</v>
      </c>
    </row>
    <row r="3573" spans="1:10">
      <c r="A3573" s="74" t="s">
        <v>1877</v>
      </c>
      <c r="B3573" s="74" t="s">
        <v>258</v>
      </c>
      <c r="C3573" s="74" t="s">
        <v>1515</v>
      </c>
      <c r="D3573" s="74" t="s">
        <v>81</v>
      </c>
      <c r="E3573" s="74">
        <v>6</v>
      </c>
      <c r="F3573" s="74">
        <v>0</v>
      </c>
      <c r="G3573" s="758">
        <f t="shared" si="220"/>
        <v>0.46</v>
      </c>
      <c r="H3573" s="759">
        <f t="shared" si="221"/>
        <v>0.09</v>
      </c>
      <c r="I3573" s="758">
        <f t="shared" si="222"/>
        <v>-0.46</v>
      </c>
      <c r="J3573" s="760">
        <f t="shared" si="223"/>
        <v>0</v>
      </c>
    </row>
    <row r="3574" spans="1:10">
      <c r="A3574" s="74" t="s">
        <v>1877</v>
      </c>
      <c r="B3574" s="74" t="s">
        <v>258</v>
      </c>
      <c r="C3574" s="74" t="s">
        <v>1516</v>
      </c>
      <c r="D3574" s="74" t="s">
        <v>82</v>
      </c>
      <c r="E3574" s="74">
        <v>1</v>
      </c>
      <c r="F3574" s="74">
        <v>0</v>
      </c>
      <c r="G3574" s="758">
        <f t="shared" si="220"/>
        <v>0.46</v>
      </c>
      <c r="H3574" s="759">
        <f t="shared" si="221"/>
        <v>0.09</v>
      </c>
      <c r="I3574" s="758">
        <f t="shared" si="222"/>
        <v>-0.46</v>
      </c>
      <c r="J3574" s="760">
        <f t="shared" si="223"/>
        <v>0</v>
      </c>
    </row>
    <row r="3575" spans="1:10">
      <c r="A3575" s="74" t="s">
        <v>1877</v>
      </c>
      <c r="B3575" s="74" t="s">
        <v>258</v>
      </c>
      <c r="C3575" s="74" t="s">
        <v>1527</v>
      </c>
      <c r="D3575" s="74" t="s">
        <v>82</v>
      </c>
      <c r="E3575" s="74">
        <v>9</v>
      </c>
      <c r="F3575" s="74">
        <v>37</v>
      </c>
      <c r="G3575" s="758">
        <f t="shared" si="220"/>
        <v>0.46</v>
      </c>
      <c r="H3575" s="759">
        <f t="shared" si="221"/>
        <v>0.09</v>
      </c>
      <c r="I3575" s="758">
        <f t="shared" si="222"/>
        <v>3.6511111111111108</v>
      </c>
      <c r="J3575" s="760">
        <f t="shared" si="223"/>
        <v>0.88810810810810814</v>
      </c>
    </row>
    <row r="3576" spans="1:10">
      <c r="A3576" s="74" t="s">
        <v>1877</v>
      </c>
      <c r="B3576" s="74" t="s">
        <v>258</v>
      </c>
      <c r="C3576" s="74" t="s">
        <v>1518</v>
      </c>
      <c r="D3576" s="74" t="s">
        <v>82</v>
      </c>
      <c r="E3576" s="74">
        <v>4</v>
      </c>
      <c r="F3576" s="74">
        <v>0</v>
      </c>
      <c r="G3576" s="758">
        <f t="shared" si="220"/>
        <v>0.46</v>
      </c>
      <c r="H3576" s="759">
        <f t="shared" si="221"/>
        <v>0.09</v>
      </c>
      <c r="I3576" s="758">
        <f t="shared" si="222"/>
        <v>-0.46</v>
      </c>
      <c r="J3576" s="760">
        <f t="shared" si="223"/>
        <v>0</v>
      </c>
    </row>
    <row r="3577" spans="1:10">
      <c r="A3577" s="74" t="s">
        <v>1877</v>
      </c>
      <c r="B3577" s="74" t="s">
        <v>258</v>
      </c>
      <c r="C3577" s="74" t="s">
        <v>1519</v>
      </c>
      <c r="D3577" s="74" t="s">
        <v>84</v>
      </c>
      <c r="E3577" s="74">
        <v>1</v>
      </c>
      <c r="F3577" s="74">
        <v>0</v>
      </c>
      <c r="G3577" s="758">
        <f t="shared" si="220"/>
        <v>0.46</v>
      </c>
      <c r="H3577" s="759">
        <f t="shared" si="221"/>
        <v>0.09</v>
      </c>
      <c r="I3577" s="758">
        <f t="shared" si="222"/>
        <v>-0.46</v>
      </c>
      <c r="J3577" s="760">
        <f t="shared" si="223"/>
        <v>0</v>
      </c>
    </row>
    <row r="3578" spans="1:10">
      <c r="A3578" s="74" t="s">
        <v>1877</v>
      </c>
      <c r="B3578" s="74" t="s">
        <v>258</v>
      </c>
      <c r="C3578" s="74" t="s">
        <v>1540</v>
      </c>
      <c r="D3578" s="74" t="s">
        <v>84</v>
      </c>
      <c r="E3578" s="74">
        <v>1</v>
      </c>
      <c r="F3578" s="74">
        <v>0</v>
      </c>
      <c r="G3578" s="758">
        <f t="shared" si="220"/>
        <v>0.46</v>
      </c>
      <c r="H3578" s="759">
        <f t="shared" si="221"/>
        <v>0.09</v>
      </c>
      <c r="I3578" s="758">
        <f t="shared" si="222"/>
        <v>-0.46</v>
      </c>
      <c r="J3578" s="760">
        <f t="shared" si="223"/>
        <v>0</v>
      </c>
    </row>
    <row r="3579" spans="1:10">
      <c r="A3579" s="74" t="s">
        <v>2292</v>
      </c>
      <c r="B3579" s="74" t="s">
        <v>258</v>
      </c>
      <c r="C3579" s="74" t="s">
        <v>1614</v>
      </c>
      <c r="D3579" s="74" t="s">
        <v>92</v>
      </c>
      <c r="E3579" s="74">
        <v>3</v>
      </c>
      <c r="F3579" s="74">
        <v>0</v>
      </c>
      <c r="G3579" s="758">
        <f t="shared" si="220"/>
        <v>0</v>
      </c>
      <c r="H3579" s="759">
        <f t="shared" si="221"/>
        <v>0</v>
      </c>
      <c r="I3579" s="758">
        <f t="shared" si="222"/>
        <v>0</v>
      </c>
      <c r="J3579" s="760">
        <f t="shared" si="223"/>
        <v>0</v>
      </c>
    </row>
    <row r="3580" spans="1:10">
      <c r="A3580" s="74" t="s">
        <v>2293</v>
      </c>
      <c r="B3580" s="74" t="s">
        <v>258</v>
      </c>
      <c r="C3580" s="74" t="s">
        <v>1605</v>
      </c>
      <c r="D3580" s="74" t="s">
        <v>87</v>
      </c>
      <c r="E3580" s="74">
        <v>2</v>
      </c>
      <c r="F3580" s="74">
        <v>0</v>
      </c>
      <c r="G3580" s="758">
        <f t="shared" si="220"/>
        <v>0</v>
      </c>
      <c r="H3580" s="759">
        <f t="shared" si="221"/>
        <v>0</v>
      </c>
      <c r="I3580" s="758">
        <f t="shared" si="222"/>
        <v>0</v>
      </c>
      <c r="J3580" s="760">
        <f t="shared" si="223"/>
        <v>0</v>
      </c>
    </row>
    <row r="3581" spans="1:10">
      <c r="A3581" s="74" t="s">
        <v>2293</v>
      </c>
      <c r="B3581" s="74" t="s">
        <v>258</v>
      </c>
      <c r="C3581" s="74" t="s">
        <v>1608</v>
      </c>
      <c r="D3581" s="74" t="s">
        <v>89</v>
      </c>
      <c r="E3581" s="74">
        <v>1</v>
      </c>
      <c r="F3581" s="74">
        <v>0</v>
      </c>
      <c r="G3581" s="758">
        <f t="shared" si="220"/>
        <v>0</v>
      </c>
      <c r="H3581" s="759">
        <f t="shared" si="221"/>
        <v>0</v>
      </c>
      <c r="I3581" s="758">
        <f t="shared" si="222"/>
        <v>0</v>
      </c>
      <c r="J3581" s="760">
        <f t="shared" si="223"/>
        <v>0</v>
      </c>
    </row>
    <row r="3582" spans="1:10">
      <c r="A3582" s="74" t="s">
        <v>2293</v>
      </c>
      <c r="B3582" s="74" t="s">
        <v>258</v>
      </c>
      <c r="C3582" s="74" t="s">
        <v>1524</v>
      </c>
      <c r="D3582" s="74" t="s">
        <v>91</v>
      </c>
      <c r="E3582" s="74">
        <v>2</v>
      </c>
      <c r="F3582" s="74">
        <v>0</v>
      </c>
      <c r="G3582" s="758">
        <f t="shared" si="220"/>
        <v>0</v>
      </c>
      <c r="H3582" s="759">
        <f t="shared" si="221"/>
        <v>0</v>
      </c>
      <c r="I3582" s="758">
        <f t="shared" si="222"/>
        <v>0</v>
      </c>
      <c r="J3582" s="760">
        <f t="shared" si="223"/>
        <v>0</v>
      </c>
    </row>
    <row r="3583" spans="1:10">
      <c r="A3583" s="74" t="s">
        <v>2293</v>
      </c>
      <c r="B3583" s="74" t="s">
        <v>258</v>
      </c>
      <c r="C3583" s="74" t="s">
        <v>1552</v>
      </c>
      <c r="D3583" s="74" t="s">
        <v>92</v>
      </c>
      <c r="E3583" s="74">
        <v>2</v>
      </c>
      <c r="F3583" s="74">
        <v>0</v>
      </c>
      <c r="G3583" s="758">
        <f t="shared" si="220"/>
        <v>0</v>
      </c>
      <c r="H3583" s="759">
        <f t="shared" si="221"/>
        <v>0</v>
      </c>
      <c r="I3583" s="758">
        <f t="shared" si="222"/>
        <v>0</v>
      </c>
      <c r="J3583" s="760">
        <f t="shared" si="223"/>
        <v>0</v>
      </c>
    </row>
    <row r="3584" spans="1:10">
      <c r="A3584" s="74" t="s">
        <v>1878</v>
      </c>
      <c r="B3584" s="74" t="s">
        <v>873</v>
      </c>
      <c r="C3584" s="74" t="s">
        <v>1544</v>
      </c>
      <c r="D3584" s="74" t="s">
        <v>87</v>
      </c>
      <c r="E3584" s="74">
        <v>2</v>
      </c>
      <c r="F3584" s="74">
        <v>0</v>
      </c>
      <c r="G3584" s="758">
        <f t="shared" si="220"/>
        <v>0</v>
      </c>
      <c r="H3584" s="759">
        <f t="shared" si="221"/>
        <v>0</v>
      </c>
      <c r="I3584" s="758">
        <f t="shared" si="222"/>
        <v>0</v>
      </c>
      <c r="J3584" s="760">
        <f t="shared" si="223"/>
        <v>0</v>
      </c>
    </row>
    <row r="3585" spans="1:10">
      <c r="A3585" s="74" t="s">
        <v>1025</v>
      </c>
      <c r="B3585" s="74" t="s">
        <v>258</v>
      </c>
      <c r="C3585" s="74" t="s">
        <v>1605</v>
      </c>
      <c r="D3585" s="74" t="s">
        <v>87</v>
      </c>
      <c r="E3585" s="74">
        <v>1</v>
      </c>
      <c r="F3585" s="74">
        <v>0</v>
      </c>
      <c r="G3585" s="758">
        <f t="shared" si="220"/>
        <v>0</v>
      </c>
      <c r="H3585" s="759">
        <f t="shared" si="221"/>
        <v>0</v>
      </c>
      <c r="I3585" s="758">
        <f t="shared" si="222"/>
        <v>0</v>
      </c>
      <c r="J3585" s="760">
        <f t="shared" si="223"/>
        <v>0</v>
      </c>
    </row>
    <row r="3586" spans="1:10">
      <c r="A3586" s="74" t="s">
        <v>1879</v>
      </c>
      <c r="B3586" s="74" t="s">
        <v>258</v>
      </c>
      <c r="C3586" s="74" t="s">
        <v>1617</v>
      </c>
      <c r="D3586" s="74" t="s">
        <v>94</v>
      </c>
      <c r="E3586" s="74">
        <v>1</v>
      </c>
      <c r="F3586" s="74">
        <v>0</v>
      </c>
      <c r="G3586" s="758">
        <f t="shared" ref="G3586:G3649" si="224">IFERROR(VLOOKUP(A3586,$M$1:$P$1014,2,FALSE),0)</f>
        <v>0</v>
      </c>
      <c r="H3586" s="759">
        <f t="shared" ref="H3586:H3649" si="225">IFERROR(VLOOKUP(A3586,$M$1:$P$1014,3,FALSE),0)</f>
        <v>0</v>
      </c>
      <c r="I3586" s="758">
        <f t="shared" ref="I3586:I3649" si="226">IFERROR(F3586/E3586-G3586,0)</f>
        <v>0</v>
      </c>
      <c r="J3586" s="760">
        <f t="shared" ref="J3586:J3649" si="227">IFERROR(1-G3586*E3586/F3586,0)</f>
        <v>0</v>
      </c>
    </row>
    <row r="3587" spans="1:10">
      <c r="A3587" s="74" t="s">
        <v>990</v>
      </c>
      <c r="B3587" s="74" t="s">
        <v>258</v>
      </c>
      <c r="C3587" s="74" t="s">
        <v>1646</v>
      </c>
      <c r="D3587" s="74" t="s">
        <v>86</v>
      </c>
      <c r="E3587" s="74">
        <v>2</v>
      </c>
      <c r="F3587" s="74">
        <v>0</v>
      </c>
      <c r="G3587" s="758">
        <f t="shared" si="224"/>
        <v>0</v>
      </c>
      <c r="H3587" s="759">
        <f t="shared" si="225"/>
        <v>0</v>
      </c>
      <c r="I3587" s="758">
        <f t="shared" si="226"/>
        <v>0</v>
      </c>
      <c r="J3587" s="760">
        <f t="shared" si="227"/>
        <v>0</v>
      </c>
    </row>
    <row r="3588" spans="1:10">
      <c r="A3588" s="74" t="s">
        <v>990</v>
      </c>
      <c r="B3588" s="74" t="s">
        <v>258</v>
      </c>
      <c r="C3588" s="74" t="s">
        <v>1541</v>
      </c>
      <c r="D3588" s="74" t="s">
        <v>86</v>
      </c>
      <c r="E3588" s="74">
        <v>6</v>
      </c>
      <c r="F3588" s="74">
        <v>0</v>
      </c>
      <c r="G3588" s="758">
        <f t="shared" si="224"/>
        <v>0</v>
      </c>
      <c r="H3588" s="759">
        <f t="shared" si="225"/>
        <v>0</v>
      </c>
      <c r="I3588" s="758">
        <f t="shared" si="226"/>
        <v>0</v>
      </c>
      <c r="J3588" s="760">
        <f t="shared" si="227"/>
        <v>0</v>
      </c>
    </row>
    <row r="3589" spans="1:10">
      <c r="A3589" s="74" t="s">
        <v>990</v>
      </c>
      <c r="B3589" s="74" t="s">
        <v>258</v>
      </c>
      <c r="C3589" s="74" t="s">
        <v>1547</v>
      </c>
      <c r="D3589" s="74" t="s">
        <v>89</v>
      </c>
      <c r="E3589" s="74">
        <v>2</v>
      </c>
      <c r="F3589" s="74">
        <v>0</v>
      </c>
      <c r="G3589" s="758">
        <f t="shared" si="224"/>
        <v>0</v>
      </c>
      <c r="H3589" s="759">
        <f t="shared" si="225"/>
        <v>0</v>
      </c>
      <c r="I3589" s="758">
        <f t="shared" si="226"/>
        <v>0</v>
      </c>
      <c r="J3589" s="760">
        <f t="shared" si="227"/>
        <v>0</v>
      </c>
    </row>
    <row r="3590" spans="1:10">
      <c r="A3590" s="74" t="s">
        <v>990</v>
      </c>
      <c r="B3590" s="74" t="s">
        <v>258</v>
      </c>
      <c r="C3590" s="74" t="s">
        <v>1617</v>
      </c>
      <c r="D3590" s="74" t="s">
        <v>94</v>
      </c>
      <c r="E3590" s="74">
        <v>9</v>
      </c>
      <c r="F3590" s="74">
        <v>0</v>
      </c>
      <c r="G3590" s="758">
        <f t="shared" si="224"/>
        <v>0</v>
      </c>
      <c r="H3590" s="759">
        <f t="shared" si="225"/>
        <v>0</v>
      </c>
      <c r="I3590" s="758">
        <f t="shared" si="226"/>
        <v>0</v>
      </c>
      <c r="J3590" s="760">
        <f t="shared" si="227"/>
        <v>0</v>
      </c>
    </row>
    <row r="3591" spans="1:10">
      <c r="A3591" s="74" t="s">
        <v>1880</v>
      </c>
      <c r="B3591" s="74" t="s">
        <v>258</v>
      </c>
      <c r="C3591" s="74" t="s">
        <v>1541</v>
      </c>
      <c r="D3591" s="74" t="s">
        <v>86</v>
      </c>
      <c r="E3591" s="74">
        <v>1</v>
      </c>
      <c r="F3591" s="74">
        <v>0</v>
      </c>
      <c r="G3591" s="758">
        <f t="shared" si="224"/>
        <v>0</v>
      </c>
      <c r="H3591" s="759">
        <f t="shared" si="225"/>
        <v>0</v>
      </c>
      <c r="I3591" s="758">
        <f t="shared" si="226"/>
        <v>0</v>
      </c>
      <c r="J3591" s="760">
        <f t="shared" si="227"/>
        <v>0</v>
      </c>
    </row>
    <row r="3592" spans="1:10">
      <c r="A3592" s="74" t="s">
        <v>1881</v>
      </c>
      <c r="B3592" s="74" t="s">
        <v>258</v>
      </c>
      <c r="C3592" s="74" t="s">
        <v>1543</v>
      </c>
      <c r="D3592" s="74" t="s">
        <v>87</v>
      </c>
      <c r="E3592" s="74">
        <v>2</v>
      </c>
      <c r="F3592" s="74">
        <v>0</v>
      </c>
      <c r="G3592" s="758">
        <f t="shared" si="224"/>
        <v>0</v>
      </c>
      <c r="H3592" s="759">
        <f t="shared" si="225"/>
        <v>0</v>
      </c>
      <c r="I3592" s="758">
        <f t="shared" si="226"/>
        <v>0</v>
      </c>
      <c r="J3592" s="760">
        <f t="shared" si="227"/>
        <v>0</v>
      </c>
    </row>
    <row r="3593" spans="1:10">
      <c r="A3593" s="74" t="s">
        <v>1882</v>
      </c>
      <c r="B3593" s="74" t="s">
        <v>258</v>
      </c>
      <c r="C3593" s="74" t="s">
        <v>1541</v>
      </c>
      <c r="D3593" s="74" t="s">
        <v>86</v>
      </c>
      <c r="E3593" s="74">
        <v>1</v>
      </c>
      <c r="F3593" s="74">
        <v>0</v>
      </c>
      <c r="G3593" s="758">
        <f t="shared" si="224"/>
        <v>0</v>
      </c>
      <c r="H3593" s="759">
        <f t="shared" si="225"/>
        <v>0</v>
      </c>
      <c r="I3593" s="758">
        <f t="shared" si="226"/>
        <v>0</v>
      </c>
      <c r="J3593" s="760">
        <f t="shared" si="227"/>
        <v>0</v>
      </c>
    </row>
    <row r="3594" spans="1:10">
      <c r="A3594" s="74" t="s">
        <v>1883</v>
      </c>
      <c r="B3594" s="74" t="s">
        <v>258</v>
      </c>
      <c r="C3594" s="74" t="s">
        <v>1617</v>
      </c>
      <c r="D3594" s="74" t="s">
        <v>94</v>
      </c>
      <c r="E3594" s="74">
        <v>2</v>
      </c>
      <c r="F3594" s="74">
        <v>0</v>
      </c>
      <c r="G3594" s="758">
        <f t="shared" si="224"/>
        <v>0</v>
      </c>
      <c r="H3594" s="759">
        <f t="shared" si="225"/>
        <v>0</v>
      </c>
      <c r="I3594" s="758">
        <f t="shared" si="226"/>
        <v>0</v>
      </c>
      <c r="J3594" s="760">
        <f t="shared" si="227"/>
        <v>0</v>
      </c>
    </row>
    <row r="3595" spans="1:10">
      <c r="A3595" s="74" t="s">
        <v>865</v>
      </c>
      <c r="B3595" s="74" t="s">
        <v>862</v>
      </c>
      <c r="C3595" s="74" t="s">
        <v>1509</v>
      </c>
      <c r="D3595" s="74" t="s">
        <v>78</v>
      </c>
      <c r="E3595" s="74">
        <v>3</v>
      </c>
      <c r="F3595" s="74">
        <v>0.15</v>
      </c>
      <c r="G3595" s="758">
        <f t="shared" si="224"/>
        <v>0</v>
      </c>
      <c r="H3595" s="759">
        <f t="shared" si="225"/>
        <v>0.09</v>
      </c>
      <c r="I3595" s="758">
        <f t="shared" si="226"/>
        <v>4.9999999999999996E-2</v>
      </c>
      <c r="J3595" s="760">
        <f t="shared" si="227"/>
        <v>1</v>
      </c>
    </row>
    <row r="3596" spans="1:10">
      <c r="A3596" s="74" t="s">
        <v>865</v>
      </c>
      <c r="B3596" s="74" t="s">
        <v>862</v>
      </c>
      <c r="C3596" s="74" t="s">
        <v>1565</v>
      </c>
      <c r="D3596" s="74" t="s">
        <v>78</v>
      </c>
      <c r="E3596" s="74">
        <v>4</v>
      </c>
      <c r="F3596" s="74">
        <v>0.2</v>
      </c>
      <c r="G3596" s="758">
        <f t="shared" si="224"/>
        <v>0</v>
      </c>
      <c r="H3596" s="759">
        <f t="shared" si="225"/>
        <v>0.09</v>
      </c>
      <c r="I3596" s="758">
        <f t="shared" si="226"/>
        <v>0.05</v>
      </c>
      <c r="J3596" s="760">
        <f t="shared" si="227"/>
        <v>1</v>
      </c>
    </row>
    <row r="3597" spans="1:10">
      <c r="A3597" s="74" t="s">
        <v>865</v>
      </c>
      <c r="B3597" s="74" t="s">
        <v>862</v>
      </c>
      <c r="C3597" s="74" t="s">
        <v>1530</v>
      </c>
      <c r="D3597" s="74" t="s">
        <v>80</v>
      </c>
      <c r="E3597" s="74">
        <v>1</v>
      </c>
      <c r="F3597" s="74">
        <v>0.05</v>
      </c>
      <c r="G3597" s="758">
        <f t="shared" si="224"/>
        <v>0</v>
      </c>
      <c r="H3597" s="759">
        <f t="shared" si="225"/>
        <v>0.09</v>
      </c>
      <c r="I3597" s="758">
        <f t="shared" si="226"/>
        <v>0.05</v>
      </c>
      <c r="J3597" s="760">
        <f t="shared" si="227"/>
        <v>1</v>
      </c>
    </row>
    <row r="3598" spans="1:10">
      <c r="A3598" s="74" t="s">
        <v>865</v>
      </c>
      <c r="B3598" s="74" t="s">
        <v>862</v>
      </c>
      <c r="C3598" s="74" t="s">
        <v>1532</v>
      </c>
      <c r="D3598" s="74" t="s">
        <v>80</v>
      </c>
      <c r="E3598" s="74">
        <v>2</v>
      </c>
      <c r="F3598" s="74">
        <v>0.1</v>
      </c>
      <c r="G3598" s="758">
        <f t="shared" si="224"/>
        <v>0</v>
      </c>
      <c r="H3598" s="759">
        <f t="shared" si="225"/>
        <v>0.09</v>
      </c>
      <c r="I3598" s="758">
        <f t="shared" si="226"/>
        <v>0.05</v>
      </c>
      <c r="J3598" s="760">
        <f t="shared" si="227"/>
        <v>1</v>
      </c>
    </row>
    <row r="3599" spans="1:10">
      <c r="A3599" s="74" t="s">
        <v>865</v>
      </c>
      <c r="B3599" s="74" t="s">
        <v>862</v>
      </c>
      <c r="C3599" s="74" t="s">
        <v>1511</v>
      </c>
      <c r="D3599" s="74" t="s">
        <v>80</v>
      </c>
      <c r="E3599" s="74">
        <v>2</v>
      </c>
      <c r="F3599" s="74">
        <v>0.1</v>
      </c>
      <c r="G3599" s="758">
        <f t="shared" si="224"/>
        <v>0</v>
      </c>
      <c r="H3599" s="759">
        <f t="shared" si="225"/>
        <v>0.09</v>
      </c>
      <c r="I3599" s="758">
        <f t="shared" si="226"/>
        <v>0.05</v>
      </c>
      <c r="J3599" s="760">
        <f t="shared" si="227"/>
        <v>1</v>
      </c>
    </row>
    <row r="3600" spans="1:10">
      <c r="A3600" s="74" t="s">
        <v>865</v>
      </c>
      <c r="B3600" s="74" t="s">
        <v>862</v>
      </c>
      <c r="C3600" s="74" t="s">
        <v>1512</v>
      </c>
      <c r="D3600" s="74" t="s">
        <v>80</v>
      </c>
      <c r="E3600" s="74">
        <v>1</v>
      </c>
      <c r="F3600" s="74">
        <v>0.05</v>
      </c>
      <c r="G3600" s="758">
        <f t="shared" si="224"/>
        <v>0</v>
      </c>
      <c r="H3600" s="759">
        <f t="shared" si="225"/>
        <v>0.09</v>
      </c>
      <c r="I3600" s="758">
        <f t="shared" si="226"/>
        <v>0.05</v>
      </c>
      <c r="J3600" s="760">
        <f t="shared" si="227"/>
        <v>1</v>
      </c>
    </row>
    <row r="3601" spans="1:10">
      <c r="A3601" s="74" t="s">
        <v>865</v>
      </c>
      <c r="B3601" s="74" t="s">
        <v>862</v>
      </c>
      <c r="C3601" s="74" t="s">
        <v>1534</v>
      </c>
      <c r="D3601" s="74" t="s">
        <v>81</v>
      </c>
      <c r="E3601" s="74">
        <v>3</v>
      </c>
      <c r="F3601" s="74">
        <v>0.15</v>
      </c>
      <c r="G3601" s="758">
        <f t="shared" si="224"/>
        <v>0</v>
      </c>
      <c r="H3601" s="759">
        <f t="shared" si="225"/>
        <v>0.09</v>
      </c>
      <c r="I3601" s="758">
        <f t="shared" si="226"/>
        <v>4.9999999999999996E-2</v>
      </c>
      <c r="J3601" s="760">
        <f t="shared" si="227"/>
        <v>1</v>
      </c>
    </row>
    <row r="3602" spans="1:10">
      <c r="A3602" s="74" t="s">
        <v>865</v>
      </c>
      <c r="B3602" s="74" t="s">
        <v>862</v>
      </c>
      <c r="C3602" s="74" t="s">
        <v>1514</v>
      </c>
      <c r="D3602" s="74" t="s">
        <v>81</v>
      </c>
      <c r="E3602" s="74">
        <v>1</v>
      </c>
      <c r="F3602" s="74">
        <v>0.05</v>
      </c>
      <c r="G3602" s="758">
        <f t="shared" si="224"/>
        <v>0</v>
      </c>
      <c r="H3602" s="759">
        <f t="shared" si="225"/>
        <v>0.09</v>
      </c>
      <c r="I3602" s="758">
        <f t="shared" si="226"/>
        <v>0.05</v>
      </c>
      <c r="J3602" s="760">
        <f t="shared" si="227"/>
        <v>1</v>
      </c>
    </row>
    <row r="3603" spans="1:10">
      <c r="A3603" s="74" t="s">
        <v>865</v>
      </c>
      <c r="B3603" s="74" t="s">
        <v>862</v>
      </c>
      <c r="C3603" s="74" t="s">
        <v>1515</v>
      </c>
      <c r="D3603" s="74" t="s">
        <v>81</v>
      </c>
      <c r="E3603" s="74">
        <v>2</v>
      </c>
      <c r="F3603" s="74">
        <v>0.1</v>
      </c>
      <c r="G3603" s="758">
        <f t="shared" si="224"/>
        <v>0</v>
      </c>
      <c r="H3603" s="759">
        <f t="shared" si="225"/>
        <v>0.09</v>
      </c>
      <c r="I3603" s="758">
        <f t="shared" si="226"/>
        <v>0.05</v>
      </c>
      <c r="J3603" s="760">
        <f t="shared" si="227"/>
        <v>1</v>
      </c>
    </row>
    <row r="3604" spans="1:10">
      <c r="A3604" s="74" t="s">
        <v>865</v>
      </c>
      <c r="B3604" s="74" t="s">
        <v>862</v>
      </c>
      <c r="C3604" s="74" t="s">
        <v>1516</v>
      </c>
      <c r="D3604" s="74" t="s">
        <v>82</v>
      </c>
      <c r="E3604" s="74">
        <v>2</v>
      </c>
      <c r="F3604" s="74">
        <v>0.1</v>
      </c>
      <c r="G3604" s="758">
        <f t="shared" si="224"/>
        <v>0</v>
      </c>
      <c r="H3604" s="759">
        <f t="shared" si="225"/>
        <v>0.09</v>
      </c>
      <c r="I3604" s="758">
        <f t="shared" si="226"/>
        <v>0.05</v>
      </c>
      <c r="J3604" s="760">
        <f t="shared" si="227"/>
        <v>1</v>
      </c>
    </row>
    <row r="3605" spans="1:10">
      <c r="A3605" s="74" t="s">
        <v>865</v>
      </c>
      <c r="B3605" s="74" t="s">
        <v>862</v>
      </c>
      <c r="C3605" s="74" t="s">
        <v>1517</v>
      </c>
      <c r="D3605" s="74" t="s">
        <v>82</v>
      </c>
      <c r="E3605" s="74">
        <v>1</v>
      </c>
      <c r="F3605" s="74">
        <v>0.05</v>
      </c>
      <c r="G3605" s="758">
        <f t="shared" si="224"/>
        <v>0</v>
      </c>
      <c r="H3605" s="759">
        <f t="shared" si="225"/>
        <v>0.09</v>
      </c>
      <c r="I3605" s="758">
        <f t="shared" si="226"/>
        <v>0.05</v>
      </c>
      <c r="J3605" s="760">
        <f t="shared" si="227"/>
        <v>1</v>
      </c>
    </row>
    <row r="3606" spans="1:10">
      <c r="A3606" s="74" t="s">
        <v>865</v>
      </c>
      <c r="B3606" s="74" t="s">
        <v>862</v>
      </c>
      <c r="C3606" s="74" t="s">
        <v>1519</v>
      </c>
      <c r="D3606" s="74" t="s">
        <v>84</v>
      </c>
      <c r="E3606" s="74">
        <v>2</v>
      </c>
      <c r="F3606" s="74">
        <v>0.1</v>
      </c>
      <c r="G3606" s="758">
        <f t="shared" si="224"/>
        <v>0</v>
      </c>
      <c r="H3606" s="759">
        <f t="shared" si="225"/>
        <v>0.09</v>
      </c>
      <c r="I3606" s="758">
        <f t="shared" si="226"/>
        <v>0.05</v>
      </c>
      <c r="J3606" s="760">
        <f t="shared" si="227"/>
        <v>1</v>
      </c>
    </row>
    <row r="3607" spans="1:10">
      <c r="A3607" s="74" t="s">
        <v>865</v>
      </c>
      <c r="B3607" s="74" t="s">
        <v>862</v>
      </c>
      <c r="C3607" s="74" t="s">
        <v>1540</v>
      </c>
      <c r="D3607" s="74" t="s">
        <v>84</v>
      </c>
      <c r="E3607" s="74">
        <v>1</v>
      </c>
      <c r="F3607" s="74">
        <v>0.05</v>
      </c>
      <c r="G3607" s="758">
        <f t="shared" si="224"/>
        <v>0</v>
      </c>
      <c r="H3607" s="759">
        <f t="shared" si="225"/>
        <v>0.09</v>
      </c>
      <c r="I3607" s="758">
        <f t="shared" si="226"/>
        <v>0.05</v>
      </c>
      <c r="J3607" s="760">
        <f t="shared" si="227"/>
        <v>1</v>
      </c>
    </row>
    <row r="3608" spans="1:10">
      <c r="A3608" s="74" t="s">
        <v>865</v>
      </c>
      <c r="B3608" s="74" t="s">
        <v>862</v>
      </c>
      <c r="C3608" s="74" t="s">
        <v>1520</v>
      </c>
      <c r="D3608" s="74" t="s">
        <v>84</v>
      </c>
      <c r="E3608" s="74">
        <v>1</v>
      </c>
      <c r="F3608" s="74">
        <v>0.05</v>
      </c>
      <c r="G3608" s="758">
        <f t="shared" si="224"/>
        <v>0</v>
      </c>
      <c r="H3608" s="759">
        <f t="shared" si="225"/>
        <v>0.09</v>
      </c>
      <c r="I3608" s="758">
        <f t="shared" si="226"/>
        <v>0.05</v>
      </c>
      <c r="J3608" s="760">
        <f t="shared" si="227"/>
        <v>1</v>
      </c>
    </row>
    <row r="3609" spans="1:10">
      <c r="A3609" s="74" t="s">
        <v>865</v>
      </c>
      <c r="B3609" s="74" t="s">
        <v>862</v>
      </c>
      <c r="C3609" s="74" t="s">
        <v>1577</v>
      </c>
      <c r="D3609" s="74" t="s">
        <v>84</v>
      </c>
      <c r="E3609" s="74">
        <v>1</v>
      </c>
      <c r="F3609" s="74">
        <v>0.05</v>
      </c>
      <c r="G3609" s="758">
        <f t="shared" si="224"/>
        <v>0</v>
      </c>
      <c r="H3609" s="759">
        <f t="shared" si="225"/>
        <v>0.09</v>
      </c>
      <c r="I3609" s="758">
        <f t="shared" si="226"/>
        <v>0.05</v>
      </c>
      <c r="J3609" s="760">
        <f t="shared" si="227"/>
        <v>1</v>
      </c>
    </row>
    <row r="3610" spans="1:10">
      <c r="A3610" s="74" t="s">
        <v>865</v>
      </c>
      <c r="B3610" s="74" t="s">
        <v>862</v>
      </c>
      <c r="C3610" s="74" t="s">
        <v>1644</v>
      </c>
      <c r="D3610" s="74" t="s">
        <v>86</v>
      </c>
      <c r="E3610" s="74">
        <v>5</v>
      </c>
      <c r="F3610" s="74">
        <v>0.25</v>
      </c>
      <c r="G3610" s="758">
        <f t="shared" si="224"/>
        <v>0</v>
      </c>
      <c r="H3610" s="759">
        <f t="shared" si="225"/>
        <v>0.09</v>
      </c>
      <c r="I3610" s="758">
        <f t="shared" si="226"/>
        <v>0.05</v>
      </c>
      <c r="J3610" s="760">
        <f t="shared" si="227"/>
        <v>1</v>
      </c>
    </row>
    <row r="3611" spans="1:10">
      <c r="A3611" s="74" t="s">
        <v>865</v>
      </c>
      <c r="B3611" s="74" t="s">
        <v>862</v>
      </c>
      <c r="C3611" s="74" t="s">
        <v>1578</v>
      </c>
      <c r="D3611" s="74" t="s">
        <v>86</v>
      </c>
      <c r="E3611" s="74">
        <v>1</v>
      </c>
      <c r="F3611" s="74">
        <v>0.05</v>
      </c>
      <c r="G3611" s="758">
        <f t="shared" si="224"/>
        <v>0</v>
      </c>
      <c r="H3611" s="759">
        <f t="shared" si="225"/>
        <v>0.09</v>
      </c>
      <c r="I3611" s="758">
        <f t="shared" si="226"/>
        <v>0.05</v>
      </c>
      <c r="J3611" s="760">
        <f t="shared" si="227"/>
        <v>1</v>
      </c>
    </row>
    <row r="3612" spans="1:10">
      <c r="A3612" s="74" t="s">
        <v>865</v>
      </c>
      <c r="B3612" s="74" t="s">
        <v>862</v>
      </c>
      <c r="C3612" s="74" t="s">
        <v>1541</v>
      </c>
      <c r="D3612" s="74" t="s">
        <v>86</v>
      </c>
      <c r="E3612" s="74">
        <v>4</v>
      </c>
      <c r="F3612" s="74">
        <v>0.2</v>
      </c>
      <c r="G3612" s="758">
        <f t="shared" si="224"/>
        <v>0</v>
      </c>
      <c r="H3612" s="759">
        <f t="shared" si="225"/>
        <v>0.09</v>
      </c>
      <c r="I3612" s="758">
        <f t="shared" si="226"/>
        <v>0.05</v>
      </c>
      <c r="J3612" s="760">
        <f t="shared" si="227"/>
        <v>1</v>
      </c>
    </row>
    <row r="3613" spans="1:10">
      <c r="A3613" s="74" t="s">
        <v>865</v>
      </c>
      <c r="B3613" s="74" t="s">
        <v>862</v>
      </c>
      <c r="C3613" s="74" t="s">
        <v>1543</v>
      </c>
      <c r="D3613" s="74" t="s">
        <v>87</v>
      </c>
      <c r="E3613" s="74">
        <v>7</v>
      </c>
      <c r="F3613" s="74">
        <v>0.35</v>
      </c>
      <c r="G3613" s="758">
        <f t="shared" si="224"/>
        <v>0</v>
      </c>
      <c r="H3613" s="759">
        <f t="shared" si="225"/>
        <v>0.09</v>
      </c>
      <c r="I3613" s="758">
        <f t="shared" si="226"/>
        <v>4.9999999999999996E-2</v>
      </c>
      <c r="J3613" s="760">
        <f t="shared" si="227"/>
        <v>1</v>
      </c>
    </row>
    <row r="3614" spans="1:10">
      <c r="A3614" s="74" t="s">
        <v>865</v>
      </c>
      <c r="B3614" s="74" t="s">
        <v>862</v>
      </c>
      <c r="C3614" s="74" t="s">
        <v>1544</v>
      </c>
      <c r="D3614" s="74" t="s">
        <v>87</v>
      </c>
      <c r="E3614" s="74">
        <v>3</v>
      </c>
      <c r="F3614" s="74">
        <v>0.15</v>
      </c>
      <c r="G3614" s="758">
        <f t="shared" si="224"/>
        <v>0</v>
      </c>
      <c r="H3614" s="759">
        <f t="shared" si="225"/>
        <v>0.09</v>
      </c>
      <c r="I3614" s="758">
        <f t="shared" si="226"/>
        <v>4.9999999999999996E-2</v>
      </c>
      <c r="J3614" s="760">
        <f t="shared" si="227"/>
        <v>1</v>
      </c>
    </row>
    <row r="3615" spans="1:10">
      <c r="A3615" s="74" t="s">
        <v>865</v>
      </c>
      <c r="B3615" s="74" t="s">
        <v>862</v>
      </c>
      <c r="C3615" s="74" t="s">
        <v>1605</v>
      </c>
      <c r="D3615" s="74" t="s">
        <v>87</v>
      </c>
      <c r="E3615" s="74">
        <v>4</v>
      </c>
      <c r="F3615" s="74">
        <v>0.2</v>
      </c>
      <c r="G3615" s="758">
        <f t="shared" si="224"/>
        <v>0</v>
      </c>
      <c r="H3615" s="759">
        <f t="shared" si="225"/>
        <v>0.09</v>
      </c>
      <c r="I3615" s="758">
        <f t="shared" si="226"/>
        <v>0.05</v>
      </c>
      <c r="J3615" s="760">
        <f t="shared" si="227"/>
        <v>1</v>
      </c>
    </row>
    <row r="3616" spans="1:10">
      <c r="A3616" s="74" t="s">
        <v>865</v>
      </c>
      <c r="B3616" s="74" t="s">
        <v>862</v>
      </c>
      <c r="C3616" s="74" t="s">
        <v>1561</v>
      </c>
      <c r="D3616" s="74" t="s">
        <v>87</v>
      </c>
      <c r="E3616" s="74">
        <v>2</v>
      </c>
      <c r="F3616" s="74">
        <v>0.1</v>
      </c>
      <c r="G3616" s="758">
        <f t="shared" si="224"/>
        <v>0</v>
      </c>
      <c r="H3616" s="759">
        <f t="shared" si="225"/>
        <v>0.09</v>
      </c>
      <c r="I3616" s="758">
        <f t="shared" si="226"/>
        <v>0.05</v>
      </c>
      <c r="J3616" s="760">
        <f t="shared" si="227"/>
        <v>1</v>
      </c>
    </row>
    <row r="3617" spans="1:10">
      <c r="A3617" s="74" t="s">
        <v>865</v>
      </c>
      <c r="B3617" s="74" t="s">
        <v>862</v>
      </c>
      <c r="C3617" s="74" t="s">
        <v>1608</v>
      </c>
      <c r="D3617" s="74" t="s">
        <v>89</v>
      </c>
      <c r="E3617" s="74">
        <v>3</v>
      </c>
      <c r="F3617" s="74">
        <v>0.15</v>
      </c>
      <c r="G3617" s="758">
        <f t="shared" si="224"/>
        <v>0</v>
      </c>
      <c r="H3617" s="759">
        <f t="shared" si="225"/>
        <v>0.09</v>
      </c>
      <c r="I3617" s="758">
        <f t="shared" si="226"/>
        <v>4.9999999999999996E-2</v>
      </c>
      <c r="J3617" s="760">
        <f t="shared" si="227"/>
        <v>1</v>
      </c>
    </row>
    <row r="3618" spans="1:10">
      <c r="A3618" s="74" t="s">
        <v>865</v>
      </c>
      <c r="B3618" s="74" t="s">
        <v>862</v>
      </c>
      <c r="C3618" s="74" t="s">
        <v>1610</v>
      </c>
      <c r="D3618" s="74" t="s">
        <v>89</v>
      </c>
      <c r="E3618" s="74">
        <v>2</v>
      </c>
      <c r="F3618" s="74">
        <v>0.1</v>
      </c>
      <c r="G3618" s="758">
        <f t="shared" si="224"/>
        <v>0</v>
      </c>
      <c r="H3618" s="759">
        <f t="shared" si="225"/>
        <v>0.09</v>
      </c>
      <c r="I3618" s="758">
        <f t="shared" si="226"/>
        <v>0.05</v>
      </c>
      <c r="J3618" s="760">
        <f t="shared" si="227"/>
        <v>1</v>
      </c>
    </row>
    <row r="3619" spans="1:10">
      <c r="A3619" s="74" t="s">
        <v>865</v>
      </c>
      <c r="B3619" s="74" t="s">
        <v>862</v>
      </c>
      <c r="C3619" s="74" t="s">
        <v>1546</v>
      </c>
      <c r="D3619" s="74" t="s">
        <v>89</v>
      </c>
      <c r="E3619" s="74">
        <v>2</v>
      </c>
      <c r="F3619" s="74">
        <v>0.1</v>
      </c>
      <c r="G3619" s="758">
        <f t="shared" si="224"/>
        <v>0</v>
      </c>
      <c r="H3619" s="759">
        <f t="shared" si="225"/>
        <v>0.09</v>
      </c>
      <c r="I3619" s="758">
        <f t="shared" si="226"/>
        <v>0.05</v>
      </c>
      <c r="J3619" s="760">
        <f t="shared" si="227"/>
        <v>1</v>
      </c>
    </row>
    <row r="3620" spans="1:10">
      <c r="A3620" s="74" t="s">
        <v>865</v>
      </c>
      <c r="B3620" s="74" t="s">
        <v>862</v>
      </c>
      <c r="C3620" s="74" t="s">
        <v>1547</v>
      </c>
      <c r="D3620" s="74" t="s">
        <v>89</v>
      </c>
      <c r="E3620" s="74">
        <v>5</v>
      </c>
      <c r="F3620" s="74">
        <v>0.25</v>
      </c>
      <c r="G3620" s="758">
        <f t="shared" si="224"/>
        <v>0</v>
      </c>
      <c r="H3620" s="759">
        <f t="shared" si="225"/>
        <v>0.09</v>
      </c>
      <c r="I3620" s="758">
        <f t="shared" si="226"/>
        <v>0.05</v>
      </c>
      <c r="J3620" s="760">
        <f t="shared" si="227"/>
        <v>1</v>
      </c>
    </row>
    <row r="3621" spans="1:10">
      <c r="A3621" s="74" t="s">
        <v>865</v>
      </c>
      <c r="B3621" s="74" t="s">
        <v>862</v>
      </c>
      <c r="C3621" s="74" t="s">
        <v>1582</v>
      </c>
      <c r="D3621" s="74" t="s">
        <v>89</v>
      </c>
      <c r="E3621" s="74">
        <v>6</v>
      </c>
      <c r="F3621" s="74">
        <v>0.3</v>
      </c>
      <c r="G3621" s="758">
        <f t="shared" si="224"/>
        <v>0</v>
      </c>
      <c r="H3621" s="759">
        <f t="shared" si="225"/>
        <v>0.09</v>
      </c>
      <c r="I3621" s="758">
        <f t="shared" si="226"/>
        <v>4.9999999999999996E-2</v>
      </c>
      <c r="J3621" s="760">
        <f t="shared" si="227"/>
        <v>1</v>
      </c>
    </row>
    <row r="3622" spans="1:10">
      <c r="A3622" s="74" t="s">
        <v>865</v>
      </c>
      <c r="B3622" s="74" t="s">
        <v>862</v>
      </c>
      <c r="C3622" s="74" t="s">
        <v>1522</v>
      </c>
      <c r="D3622" s="74" t="s">
        <v>91</v>
      </c>
      <c r="E3622" s="74">
        <v>6</v>
      </c>
      <c r="F3622" s="74">
        <v>0.3</v>
      </c>
      <c r="G3622" s="758">
        <f t="shared" si="224"/>
        <v>0</v>
      </c>
      <c r="H3622" s="759">
        <f t="shared" si="225"/>
        <v>0.09</v>
      </c>
      <c r="I3622" s="758">
        <f t="shared" si="226"/>
        <v>4.9999999999999996E-2</v>
      </c>
      <c r="J3622" s="760">
        <f t="shared" si="227"/>
        <v>1</v>
      </c>
    </row>
    <row r="3623" spans="1:10">
      <c r="A3623" s="74" t="s">
        <v>865</v>
      </c>
      <c r="B3623" s="74" t="s">
        <v>862</v>
      </c>
      <c r="C3623" s="74" t="s">
        <v>1550</v>
      </c>
      <c r="D3623" s="74" t="s">
        <v>91</v>
      </c>
      <c r="E3623" s="74">
        <v>9</v>
      </c>
      <c r="F3623" s="74">
        <v>0.45</v>
      </c>
      <c r="G3623" s="758">
        <f t="shared" si="224"/>
        <v>0</v>
      </c>
      <c r="H3623" s="759">
        <f t="shared" si="225"/>
        <v>0.09</v>
      </c>
      <c r="I3623" s="758">
        <f t="shared" si="226"/>
        <v>0.05</v>
      </c>
      <c r="J3623" s="760">
        <f t="shared" si="227"/>
        <v>1</v>
      </c>
    </row>
    <row r="3624" spans="1:10">
      <c r="A3624" s="74" t="s">
        <v>865</v>
      </c>
      <c r="B3624" s="74" t="s">
        <v>862</v>
      </c>
      <c r="C3624" s="74" t="s">
        <v>1675</v>
      </c>
      <c r="D3624" s="74" t="s">
        <v>91</v>
      </c>
      <c r="E3624" s="74">
        <v>1</v>
      </c>
      <c r="F3624" s="74">
        <v>0.05</v>
      </c>
      <c r="G3624" s="758">
        <f t="shared" si="224"/>
        <v>0</v>
      </c>
      <c r="H3624" s="759">
        <f t="shared" si="225"/>
        <v>0.09</v>
      </c>
      <c r="I3624" s="758">
        <f t="shared" si="226"/>
        <v>0.05</v>
      </c>
      <c r="J3624" s="760">
        <f t="shared" si="227"/>
        <v>1</v>
      </c>
    </row>
    <row r="3625" spans="1:10">
      <c r="A3625" s="74" t="s">
        <v>865</v>
      </c>
      <c r="B3625" s="74" t="s">
        <v>862</v>
      </c>
      <c r="C3625" s="74" t="s">
        <v>1524</v>
      </c>
      <c r="D3625" s="74" t="s">
        <v>91</v>
      </c>
      <c r="E3625" s="74">
        <v>2</v>
      </c>
      <c r="F3625" s="74">
        <v>0.1</v>
      </c>
      <c r="G3625" s="758">
        <f t="shared" si="224"/>
        <v>0</v>
      </c>
      <c r="H3625" s="759">
        <f t="shared" si="225"/>
        <v>0.09</v>
      </c>
      <c r="I3625" s="758">
        <f t="shared" si="226"/>
        <v>0.05</v>
      </c>
      <c r="J3625" s="760">
        <f t="shared" si="227"/>
        <v>1</v>
      </c>
    </row>
    <row r="3626" spans="1:10">
      <c r="A3626" s="74" t="s">
        <v>865</v>
      </c>
      <c r="B3626" s="74" t="s">
        <v>862</v>
      </c>
      <c r="C3626" s="74" t="s">
        <v>1584</v>
      </c>
      <c r="D3626" s="74" t="s">
        <v>92</v>
      </c>
      <c r="E3626" s="74">
        <v>2</v>
      </c>
      <c r="F3626" s="74">
        <v>0.1</v>
      </c>
      <c r="G3626" s="758">
        <f t="shared" si="224"/>
        <v>0</v>
      </c>
      <c r="H3626" s="759">
        <f t="shared" si="225"/>
        <v>0.09</v>
      </c>
      <c r="I3626" s="758">
        <f t="shared" si="226"/>
        <v>0.05</v>
      </c>
      <c r="J3626" s="760">
        <f t="shared" si="227"/>
        <v>1</v>
      </c>
    </row>
    <row r="3627" spans="1:10">
      <c r="A3627" s="74" t="s">
        <v>865</v>
      </c>
      <c r="B3627" s="74" t="s">
        <v>862</v>
      </c>
      <c r="C3627" s="74" t="s">
        <v>1614</v>
      </c>
      <c r="D3627" s="74" t="s">
        <v>92</v>
      </c>
      <c r="E3627" s="74">
        <v>4</v>
      </c>
      <c r="F3627" s="74">
        <v>0.2</v>
      </c>
      <c r="G3627" s="758">
        <f t="shared" si="224"/>
        <v>0</v>
      </c>
      <c r="H3627" s="759">
        <f t="shared" si="225"/>
        <v>0.09</v>
      </c>
      <c r="I3627" s="758">
        <f t="shared" si="226"/>
        <v>0.05</v>
      </c>
      <c r="J3627" s="760">
        <f t="shared" si="227"/>
        <v>1</v>
      </c>
    </row>
    <row r="3628" spans="1:10">
      <c r="A3628" s="74" t="s">
        <v>865</v>
      </c>
      <c r="B3628" s="74" t="s">
        <v>862</v>
      </c>
      <c r="C3628" s="74" t="s">
        <v>1631</v>
      </c>
      <c r="D3628" s="74" t="s">
        <v>92</v>
      </c>
      <c r="E3628" s="74">
        <v>2</v>
      </c>
      <c r="F3628" s="74">
        <v>0.1</v>
      </c>
      <c r="G3628" s="758">
        <f t="shared" si="224"/>
        <v>0</v>
      </c>
      <c r="H3628" s="759">
        <f t="shared" si="225"/>
        <v>0.09</v>
      </c>
      <c r="I3628" s="758">
        <f t="shared" si="226"/>
        <v>0.05</v>
      </c>
      <c r="J3628" s="760">
        <f t="shared" si="227"/>
        <v>1</v>
      </c>
    </row>
    <row r="3629" spans="1:10">
      <c r="A3629" s="74" t="s">
        <v>865</v>
      </c>
      <c r="B3629" s="74" t="s">
        <v>862</v>
      </c>
      <c r="C3629" s="74" t="s">
        <v>1552</v>
      </c>
      <c r="D3629" s="74" t="s">
        <v>92</v>
      </c>
      <c r="E3629" s="74">
        <v>3</v>
      </c>
      <c r="F3629" s="74">
        <v>0.15</v>
      </c>
      <c r="G3629" s="758">
        <f t="shared" si="224"/>
        <v>0</v>
      </c>
      <c r="H3629" s="759">
        <f t="shared" si="225"/>
        <v>0.09</v>
      </c>
      <c r="I3629" s="758">
        <f t="shared" si="226"/>
        <v>4.9999999999999996E-2</v>
      </c>
      <c r="J3629" s="760">
        <f t="shared" si="227"/>
        <v>1</v>
      </c>
    </row>
    <row r="3630" spans="1:10">
      <c r="A3630" s="74" t="s">
        <v>865</v>
      </c>
      <c r="B3630" s="74" t="s">
        <v>862</v>
      </c>
      <c r="C3630" s="74" t="s">
        <v>1617</v>
      </c>
      <c r="D3630" s="74" t="s">
        <v>94</v>
      </c>
      <c r="E3630" s="74">
        <v>7</v>
      </c>
      <c r="F3630" s="74">
        <v>0.35</v>
      </c>
      <c r="G3630" s="758">
        <f t="shared" si="224"/>
        <v>0</v>
      </c>
      <c r="H3630" s="759">
        <f t="shared" si="225"/>
        <v>0.09</v>
      </c>
      <c r="I3630" s="758">
        <f t="shared" si="226"/>
        <v>4.9999999999999996E-2</v>
      </c>
      <c r="J3630" s="760">
        <f t="shared" si="227"/>
        <v>1</v>
      </c>
    </row>
    <row r="3631" spans="1:10">
      <c r="A3631" s="74" t="s">
        <v>865</v>
      </c>
      <c r="B3631" s="74" t="s">
        <v>862</v>
      </c>
      <c r="C3631" s="74" t="s">
        <v>1553</v>
      </c>
      <c r="D3631" s="74" t="s">
        <v>94</v>
      </c>
      <c r="E3631" s="74">
        <v>3</v>
      </c>
      <c r="F3631" s="74">
        <v>0.15</v>
      </c>
      <c r="G3631" s="758">
        <f t="shared" si="224"/>
        <v>0</v>
      </c>
      <c r="H3631" s="759">
        <f t="shared" si="225"/>
        <v>0.09</v>
      </c>
      <c r="I3631" s="758">
        <f t="shared" si="226"/>
        <v>4.9999999999999996E-2</v>
      </c>
      <c r="J3631" s="760">
        <f t="shared" si="227"/>
        <v>1</v>
      </c>
    </row>
    <row r="3632" spans="1:10">
      <c r="A3632" s="74" t="s">
        <v>865</v>
      </c>
      <c r="B3632" s="74" t="s">
        <v>862</v>
      </c>
      <c r="C3632" s="74" t="s">
        <v>1555</v>
      </c>
      <c r="D3632" s="74" t="s">
        <v>94</v>
      </c>
      <c r="E3632" s="74">
        <v>3</v>
      </c>
      <c r="F3632" s="74">
        <v>0.15</v>
      </c>
      <c r="G3632" s="758">
        <f t="shared" si="224"/>
        <v>0</v>
      </c>
      <c r="H3632" s="759">
        <f t="shared" si="225"/>
        <v>0.09</v>
      </c>
      <c r="I3632" s="758">
        <f t="shared" si="226"/>
        <v>4.9999999999999996E-2</v>
      </c>
      <c r="J3632" s="760">
        <f t="shared" si="227"/>
        <v>1</v>
      </c>
    </row>
    <row r="3633" spans="1:10">
      <c r="A3633" s="74" t="s">
        <v>865</v>
      </c>
      <c r="B3633" s="74" t="s">
        <v>862</v>
      </c>
      <c r="C3633" s="74" t="s">
        <v>1557</v>
      </c>
      <c r="D3633" s="74" t="s">
        <v>95</v>
      </c>
      <c r="E3633" s="74">
        <v>2</v>
      </c>
      <c r="F3633" s="74">
        <v>0.1</v>
      </c>
      <c r="G3633" s="758">
        <f t="shared" si="224"/>
        <v>0</v>
      </c>
      <c r="H3633" s="759">
        <f t="shared" si="225"/>
        <v>0.09</v>
      </c>
      <c r="I3633" s="758">
        <f t="shared" si="226"/>
        <v>0.05</v>
      </c>
      <c r="J3633" s="760">
        <f t="shared" si="227"/>
        <v>1</v>
      </c>
    </row>
    <row r="3634" spans="1:10">
      <c r="A3634" s="74" t="s">
        <v>865</v>
      </c>
      <c r="B3634" s="74" t="s">
        <v>862</v>
      </c>
      <c r="C3634" s="74" t="s">
        <v>1526</v>
      </c>
      <c r="D3634" s="74" t="s">
        <v>95</v>
      </c>
      <c r="E3634" s="74">
        <v>4</v>
      </c>
      <c r="F3634" s="74">
        <v>0.2</v>
      </c>
      <c r="G3634" s="758">
        <f t="shared" si="224"/>
        <v>0</v>
      </c>
      <c r="H3634" s="759">
        <f t="shared" si="225"/>
        <v>0.09</v>
      </c>
      <c r="I3634" s="758">
        <f t="shared" si="226"/>
        <v>0.05</v>
      </c>
      <c r="J3634" s="760">
        <f t="shared" si="227"/>
        <v>1</v>
      </c>
    </row>
    <row r="3635" spans="1:10">
      <c r="A3635" s="74" t="s">
        <v>792</v>
      </c>
      <c r="B3635" s="74" t="s">
        <v>256</v>
      </c>
      <c r="C3635" s="74" t="s">
        <v>1511</v>
      </c>
      <c r="D3635" s="74" t="s">
        <v>80</v>
      </c>
      <c r="E3635" s="74">
        <v>20</v>
      </c>
      <c r="F3635" s="74">
        <v>221.09</v>
      </c>
      <c r="G3635" s="758">
        <f t="shared" si="224"/>
        <v>0</v>
      </c>
      <c r="H3635" s="759">
        <f t="shared" si="225"/>
        <v>0</v>
      </c>
      <c r="I3635" s="758">
        <f t="shared" si="226"/>
        <v>11.054500000000001</v>
      </c>
      <c r="J3635" s="760">
        <f t="shared" si="227"/>
        <v>1</v>
      </c>
    </row>
    <row r="3636" spans="1:10">
      <c r="A3636" s="74" t="s">
        <v>792</v>
      </c>
      <c r="B3636" s="74" t="s">
        <v>256</v>
      </c>
      <c r="C3636" s="74" t="s">
        <v>1512</v>
      </c>
      <c r="D3636" s="74" t="s">
        <v>80</v>
      </c>
      <c r="E3636" s="74">
        <v>15</v>
      </c>
      <c r="F3636" s="74">
        <v>190.45</v>
      </c>
      <c r="G3636" s="758">
        <f t="shared" si="224"/>
        <v>0</v>
      </c>
      <c r="H3636" s="759">
        <f t="shared" si="225"/>
        <v>0</v>
      </c>
      <c r="I3636" s="758">
        <f t="shared" si="226"/>
        <v>12.696666666666665</v>
      </c>
      <c r="J3636" s="760">
        <f t="shared" si="227"/>
        <v>1</v>
      </c>
    </row>
    <row r="3637" spans="1:10">
      <c r="A3637" s="74" t="s">
        <v>792</v>
      </c>
      <c r="B3637" s="74" t="s">
        <v>256</v>
      </c>
      <c r="C3637" s="74" t="s">
        <v>1513</v>
      </c>
      <c r="D3637" s="74" t="s">
        <v>81</v>
      </c>
      <c r="E3637" s="74">
        <v>40</v>
      </c>
      <c r="F3637" s="74">
        <v>408.18</v>
      </c>
      <c r="G3637" s="758">
        <f t="shared" si="224"/>
        <v>0</v>
      </c>
      <c r="H3637" s="759">
        <f t="shared" si="225"/>
        <v>0</v>
      </c>
      <c r="I3637" s="758">
        <f t="shared" si="226"/>
        <v>10.204499999999999</v>
      </c>
      <c r="J3637" s="760">
        <f t="shared" si="227"/>
        <v>1</v>
      </c>
    </row>
    <row r="3638" spans="1:10">
      <c r="A3638" s="74" t="s">
        <v>792</v>
      </c>
      <c r="B3638" s="74" t="s">
        <v>256</v>
      </c>
      <c r="C3638" s="74" t="s">
        <v>1514</v>
      </c>
      <c r="D3638" s="74" t="s">
        <v>81</v>
      </c>
      <c r="E3638" s="74">
        <v>11</v>
      </c>
      <c r="F3638" s="74">
        <v>139.72999999999999</v>
      </c>
      <c r="G3638" s="758">
        <f t="shared" si="224"/>
        <v>0</v>
      </c>
      <c r="H3638" s="759">
        <f t="shared" si="225"/>
        <v>0</v>
      </c>
      <c r="I3638" s="758">
        <f t="shared" si="226"/>
        <v>12.702727272727271</v>
      </c>
      <c r="J3638" s="760">
        <f t="shared" si="227"/>
        <v>1</v>
      </c>
    </row>
    <row r="3639" spans="1:10">
      <c r="A3639" s="74" t="s">
        <v>792</v>
      </c>
      <c r="B3639" s="74" t="s">
        <v>256</v>
      </c>
      <c r="C3639" s="74" t="s">
        <v>1515</v>
      </c>
      <c r="D3639" s="74" t="s">
        <v>81</v>
      </c>
      <c r="E3639" s="74">
        <v>15</v>
      </c>
      <c r="F3639" s="74">
        <v>190.68</v>
      </c>
      <c r="G3639" s="758">
        <f t="shared" si="224"/>
        <v>0</v>
      </c>
      <c r="H3639" s="759">
        <f t="shared" si="225"/>
        <v>0</v>
      </c>
      <c r="I3639" s="758">
        <f t="shared" si="226"/>
        <v>12.712</v>
      </c>
      <c r="J3639" s="760">
        <f t="shared" si="227"/>
        <v>1</v>
      </c>
    </row>
    <row r="3640" spans="1:10">
      <c r="A3640" s="74" t="s">
        <v>2294</v>
      </c>
      <c r="B3640" s="74" t="s">
        <v>256</v>
      </c>
      <c r="C3640" s="74" t="s">
        <v>1646</v>
      </c>
      <c r="D3640" s="74" t="s">
        <v>86</v>
      </c>
      <c r="E3640" s="74">
        <v>1</v>
      </c>
      <c r="F3640" s="74">
        <v>13.95</v>
      </c>
      <c r="G3640" s="758">
        <f t="shared" si="224"/>
        <v>3.51</v>
      </c>
      <c r="H3640" s="759">
        <f t="shared" si="225"/>
        <v>0.32</v>
      </c>
      <c r="I3640" s="758">
        <f t="shared" si="226"/>
        <v>10.44</v>
      </c>
      <c r="J3640" s="760">
        <f t="shared" si="227"/>
        <v>0.74838709677419357</v>
      </c>
    </row>
    <row r="3641" spans="1:10">
      <c r="A3641" s="74" t="s">
        <v>1042</v>
      </c>
      <c r="B3641" s="74" t="s">
        <v>256</v>
      </c>
      <c r="C3641" s="74" t="s">
        <v>1508</v>
      </c>
      <c r="D3641" s="74" t="s">
        <v>78</v>
      </c>
      <c r="E3641" s="74">
        <v>3</v>
      </c>
      <c r="F3641" s="74">
        <v>38.799999999999997</v>
      </c>
      <c r="G3641" s="758">
        <f t="shared" si="224"/>
        <v>3.51</v>
      </c>
      <c r="H3641" s="759">
        <f t="shared" si="225"/>
        <v>0.32</v>
      </c>
      <c r="I3641" s="758">
        <f t="shared" si="226"/>
        <v>9.423333333333332</v>
      </c>
      <c r="J3641" s="760">
        <f t="shared" si="227"/>
        <v>0.72860824742268049</v>
      </c>
    </row>
    <row r="3642" spans="1:10">
      <c r="A3642" s="74" t="s">
        <v>1042</v>
      </c>
      <c r="B3642" s="74" t="s">
        <v>256</v>
      </c>
      <c r="C3642" s="74" t="s">
        <v>1509</v>
      </c>
      <c r="D3642" s="74" t="s">
        <v>78</v>
      </c>
      <c r="E3642" s="74">
        <v>13</v>
      </c>
      <c r="F3642" s="74">
        <v>167.7</v>
      </c>
      <c r="G3642" s="758">
        <f t="shared" si="224"/>
        <v>3.51</v>
      </c>
      <c r="H3642" s="759">
        <f t="shared" si="225"/>
        <v>0.32</v>
      </c>
      <c r="I3642" s="758">
        <f t="shared" si="226"/>
        <v>9.3899999999999988</v>
      </c>
      <c r="J3642" s="760">
        <f t="shared" si="227"/>
        <v>0.72790697674418603</v>
      </c>
    </row>
    <row r="3643" spans="1:10">
      <c r="A3643" s="74" t="s">
        <v>1042</v>
      </c>
      <c r="B3643" s="74" t="s">
        <v>256</v>
      </c>
      <c r="C3643" s="74" t="s">
        <v>1565</v>
      </c>
      <c r="D3643" s="74" t="s">
        <v>78</v>
      </c>
      <c r="E3643" s="74">
        <v>8</v>
      </c>
      <c r="F3643" s="74">
        <v>103.2</v>
      </c>
      <c r="G3643" s="758">
        <f t="shared" si="224"/>
        <v>3.51</v>
      </c>
      <c r="H3643" s="759">
        <f t="shared" si="225"/>
        <v>0.32</v>
      </c>
      <c r="I3643" s="758">
        <f t="shared" si="226"/>
        <v>9.39</v>
      </c>
      <c r="J3643" s="760">
        <f t="shared" si="227"/>
        <v>0.72790697674418614</v>
      </c>
    </row>
    <row r="3644" spans="1:10">
      <c r="A3644" s="74" t="s">
        <v>1042</v>
      </c>
      <c r="B3644" s="74" t="s">
        <v>256</v>
      </c>
      <c r="C3644" s="74" t="s">
        <v>1530</v>
      </c>
      <c r="D3644" s="74" t="s">
        <v>80</v>
      </c>
      <c r="E3644" s="74">
        <v>2</v>
      </c>
      <c r="F3644" s="74">
        <v>25.8</v>
      </c>
      <c r="G3644" s="758">
        <f t="shared" si="224"/>
        <v>3.51</v>
      </c>
      <c r="H3644" s="759">
        <f t="shared" si="225"/>
        <v>0.32</v>
      </c>
      <c r="I3644" s="758">
        <f t="shared" si="226"/>
        <v>9.39</v>
      </c>
      <c r="J3644" s="760">
        <f t="shared" si="227"/>
        <v>0.72790697674418614</v>
      </c>
    </row>
    <row r="3645" spans="1:10">
      <c r="A3645" s="74" t="s">
        <v>1042</v>
      </c>
      <c r="B3645" s="74" t="s">
        <v>256</v>
      </c>
      <c r="C3645" s="74" t="s">
        <v>1532</v>
      </c>
      <c r="D3645" s="74" t="s">
        <v>80</v>
      </c>
      <c r="E3645" s="74">
        <v>22</v>
      </c>
      <c r="F3645" s="74">
        <v>283.89999999999998</v>
      </c>
      <c r="G3645" s="758">
        <f t="shared" si="224"/>
        <v>3.51</v>
      </c>
      <c r="H3645" s="759">
        <f t="shared" si="225"/>
        <v>0.32</v>
      </c>
      <c r="I3645" s="758">
        <f t="shared" si="226"/>
        <v>9.3945454545454545</v>
      </c>
      <c r="J3645" s="760">
        <f t="shared" si="227"/>
        <v>0.72800281789362442</v>
      </c>
    </row>
    <row r="3646" spans="1:10">
      <c r="A3646" s="74" t="s">
        <v>1042</v>
      </c>
      <c r="B3646" s="74" t="s">
        <v>256</v>
      </c>
      <c r="C3646" s="74" t="s">
        <v>1511</v>
      </c>
      <c r="D3646" s="74" t="s">
        <v>80</v>
      </c>
      <c r="E3646" s="74">
        <v>18</v>
      </c>
      <c r="F3646" s="74">
        <v>232.32</v>
      </c>
      <c r="G3646" s="758">
        <f t="shared" si="224"/>
        <v>3.51</v>
      </c>
      <c r="H3646" s="759">
        <f t="shared" si="225"/>
        <v>0.32</v>
      </c>
      <c r="I3646" s="758">
        <f t="shared" si="226"/>
        <v>9.3966666666666665</v>
      </c>
      <c r="J3646" s="760">
        <f t="shared" si="227"/>
        <v>0.72804752066115697</v>
      </c>
    </row>
    <row r="3647" spans="1:10">
      <c r="A3647" s="74" t="s">
        <v>1042</v>
      </c>
      <c r="B3647" s="74" t="s">
        <v>256</v>
      </c>
      <c r="C3647" s="74" t="s">
        <v>1512</v>
      </c>
      <c r="D3647" s="74" t="s">
        <v>80</v>
      </c>
      <c r="E3647" s="74">
        <v>22</v>
      </c>
      <c r="F3647" s="74">
        <v>283.8</v>
      </c>
      <c r="G3647" s="758">
        <f t="shared" si="224"/>
        <v>3.51</v>
      </c>
      <c r="H3647" s="759">
        <f t="shared" si="225"/>
        <v>0.32</v>
      </c>
      <c r="I3647" s="758">
        <f t="shared" si="226"/>
        <v>9.39</v>
      </c>
      <c r="J3647" s="760">
        <f t="shared" si="227"/>
        <v>0.72790697674418614</v>
      </c>
    </row>
    <row r="3648" spans="1:10">
      <c r="A3648" s="74" t="s">
        <v>1042</v>
      </c>
      <c r="B3648" s="74" t="s">
        <v>256</v>
      </c>
      <c r="C3648" s="74" t="s">
        <v>1534</v>
      </c>
      <c r="D3648" s="74" t="s">
        <v>81</v>
      </c>
      <c r="E3648" s="74">
        <v>15</v>
      </c>
      <c r="F3648" s="74">
        <v>193.5</v>
      </c>
      <c r="G3648" s="758">
        <f t="shared" si="224"/>
        <v>3.51</v>
      </c>
      <c r="H3648" s="759">
        <f t="shared" si="225"/>
        <v>0.32</v>
      </c>
      <c r="I3648" s="758">
        <f t="shared" si="226"/>
        <v>9.39</v>
      </c>
      <c r="J3648" s="760">
        <f t="shared" si="227"/>
        <v>0.72790697674418603</v>
      </c>
    </row>
    <row r="3649" spans="1:10">
      <c r="A3649" s="74" t="s">
        <v>1042</v>
      </c>
      <c r="B3649" s="74" t="s">
        <v>256</v>
      </c>
      <c r="C3649" s="74" t="s">
        <v>1513</v>
      </c>
      <c r="D3649" s="74" t="s">
        <v>81</v>
      </c>
      <c r="E3649" s="74">
        <v>12</v>
      </c>
      <c r="F3649" s="74">
        <v>156.44999999999999</v>
      </c>
      <c r="G3649" s="758">
        <f t="shared" si="224"/>
        <v>3.51</v>
      </c>
      <c r="H3649" s="759">
        <f t="shared" si="225"/>
        <v>0.32</v>
      </c>
      <c r="I3649" s="758">
        <f t="shared" si="226"/>
        <v>9.5274999999999999</v>
      </c>
      <c r="J3649" s="760">
        <f t="shared" si="227"/>
        <v>0.7307766059443912</v>
      </c>
    </row>
    <row r="3650" spans="1:10">
      <c r="A3650" s="74" t="s">
        <v>1042</v>
      </c>
      <c r="B3650" s="74" t="s">
        <v>256</v>
      </c>
      <c r="C3650" s="74" t="s">
        <v>1514</v>
      </c>
      <c r="D3650" s="74" t="s">
        <v>81</v>
      </c>
      <c r="E3650" s="74">
        <v>12</v>
      </c>
      <c r="F3650" s="74">
        <v>154.80000000000001</v>
      </c>
      <c r="G3650" s="758">
        <f t="shared" ref="G3650:G3713" si="228">IFERROR(VLOOKUP(A3650,$M$1:$P$1014,2,FALSE),0)</f>
        <v>3.51</v>
      </c>
      <c r="H3650" s="759">
        <f t="shared" ref="H3650:H3713" si="229">IFERROR(VLOOKUP(A3650,$M$1:$P$1014,3,FALSE),0)</f>
        <v>0.32</v>
      </c>
      <c r="I3650" s="758">
        <f t="shared" ref="I3650:I3713" si="230">IFERROR(F3650/E3650-G3650,0)</f>
        <v>9.39</v>
      </c>
      <c r="J3650" s="760">
        <f t="shared" ref="J3650:J3713" si="231">IFERROR(1-G3650*E3650/F3650,0)</f>
        <v>0.72790697674418614</v>
      </c>
    </row>
    <row r="3651" spans="1:10">
      <c r="A3651" s="74" t="s">
        <v>1042</v>
      </c>
      <c r="B3651" s="74" t="s">
        <v>256</v>
      </c>
      <c r="C3651" s="74" t="s">
        <v>1515</v>
      </c>
      <c r="D3651" s="74" t="s">
        <v>81</v>
      </c>
      <c r="E3651" s="74">
        <v>11</v>
      </c>
      <c r="F3651" s="74">
        <v>143.9</v>
      </c>
      <c r="G3651" s="758">
        <f t="shared" si="228"/>
        <v>3.51</v>
      </c>
      <c r="H3651" s="759">
        <f t="shared" si="229"/>
        <v>0.32</v>
      </c>
      <c r="I3651" s="758">
        <f t="shared" si="230"/>
        <v>9.5718181818181822</v>
      </c>
      <c r="J3651" s="760">
        <f t="shared" si="231"/>
        <v>0.73168867268936766</v>
      </c>
    </row>
    <row r="3652" spans="1:10">
      <c r="A3652" s="74" t="s">
        <v>1042</v>
      </c>
      <c r="B3652" s="74" t="s">
        <v>256</v>
      </c>
      <c r="C3652" s="74" t="s">
        <v>1516</v>
      </c>
      <c r="D3652" s="74" t="s">
        <v>82</v>
      </c>
      <c r="E3652" s="74">
        <v>14</v>
      </c>
      <c r="F3652" s="74">
        <v>185.9</v>
      </c>
      <c r="G3652" s="758">
        <f t="shared" si="228"/>
        <v>3.51</v>
      </c>
      <c r="H3652" s="759">
        <f t="shared" si="229"/>
        <v>0.32</v>
      </c>
      <c r="I3652" s="758">
        <f t="shared" si="230"/>
        <v>9.7685714285714287</v>
      </c>
      <c r="J3652" s="760">
        <f t="shared" si="231"/>
        <v>0.73566433566433564</v>
      </c>
    </row>
    <row r="3653" spans="1:10">
      <c r="A3653" s="74" t="s">
        <v>1042</v>
      </c>
      <c r="B3653" s="74" t="s">
        <v>256</v>
      </c>
      <c r="C3653" s="74" t="s">
        <v>1517</v>
      </c>
      <c r="D3653" s="74" t="s">
        <v>82</v>
      </c>
      <c r="E3653" s="74">
        <v>14</v>
      </c>
      <c r="F3653" s="74">
        <v>181.35</v>
      </c>
      <c r="G3653" s="758">
        <f t="shared" si="228"/>
        <v>3.51</v>
      </c>
      <c r="H3653" s="759">
        <f t="shared" si="229"/>
        <v>0.32</v>
      </c>
      <c r="I3653" s="758">
        <f t="shared" si="230"/>
        <v>9.4435714285714276</v>
      </c>
      <c r="J3653" s="760">
        <f t="shared" si="231"/>
        <v>0.7290322580645161</v>
      </c>
    </row>
    <row r="3654" spans="1:10">
      <c r="A3654" s="74" t="s">
        <v>1042</v>
      </c>
      <c r="B3654" s="74" t="s">
        <v>256</v>
      </c>
      <c r="C3654" s="74" t="s">
        <v>1527</v>
      </c>
      <c r="D3654" s="74" t="s">
        <v>82</v>
      </c>
      <c r="E3654" s="74">
        <v>23</v>
      </c>
      <c r="F3654" s="74">
        <v>297.45</v>
      </c>
      <c r="G3654" s="758">
        <f t="shared" si="228"/>
        <v>3.51</v>
      </c>
      <c r="H3654" s="759">
        <f t="shared" si="229"/>
        <v>0.32</v>
      </c>
      <c r="I3654" s="758">
        <f t="shared" si="230"/>
        <v>9.4226086956521744</v>
      </c>
      <c r="J3654" s="760">
        <f t="shared" si="231"/>
        <v>0.72859304084720122</v>
      </c>
    </row>
    <row r="3655" spans="1:10">
      <c r="A3655" s="74" t="s">
        <v>1042</v>
      </c>
      <c r="B3655" s="74" t="s">
        <v>256</v>
      </c>
      <c r="C3655" s="74" t="s">
        <v>1518</v>
      </c>
      <c r="D3655" s="74" t="s">
        <v>82</v>
      </c>
      <c r="E3655" s="74">
        <v>9</v>
      </c>
      <c r="F3655" s="74">
        <v>116.4</v>
      </c>
      <c r="G3655" s="758">
        <f t="shared" si="228"/>
        <v>3.51</v>
      </c>
      <c r="H3655" s="759">
        <f t="shared" si="229"/>
        <v>0.32</v>
      </c>
      <c r="I3655" s="758">
        <f t="shared" si="230"/>
        <v>9.4233333333333338</v>
      </c>
      <c r="J3655" s="760">
        <f t="shared" si="231"/>
        <v>0.72860824742268049</v>
      </c>
    </row>
    <row r="3656" spans="1:10">
      <c r="A3656" s="74" t="s">
        <v>1042</v>
      </c>
      <c r="B3656" s="74" t="s">
        <v>256</v>
      </c>
      <c r="C3656" s="74" t="s">
        <v>1519</v>
      </c>
      <c r="D3656" s="74" t="s">
        <v>84</v>
      </c>
      <c r="E3656" s="74">
        <v>2</v>
      </c>
      <c r="F3656" s="74">
        <v>25.95</v>
      </c>
      <c r="G3656" s="758">
        <f t="shared" si="228"/>
        <v>3.51</v>
      </c>
      <c r="H3656" s="759">
        <f t="shared" si="229"/>
        <v>0.32</v>
      </c>
      <c r="I3656" s="758">
        <f t="shared" si="230"/>
        <v>9.4649999999999999</v>
      </c>
      <c r="J3656" s="760">
        <f t="shared" si="231"/>
        <v>0.72947976878612719</v>
      </c>
    </row>
    <row r="3657" spans="1:10">
      <c r="A3657" s="74" t="s">
        <v>1042</v>
      </c>
      <c r="B3657" s="74" t="s">
        <v>256</v>
      </c>
      <c r="C3657" s="74" t="s">
        <v>1644</v>
      </c>
      <c r="D3657" s="74" t="s">
        <v>86</v>
      </c>
      <c r="E3657" s="74">
        <v>1</v>
      </c>
      <c r="F3657" s="74">
        <v>12.9</v>
      </c>
      <c r="G3657" s="758">
        <f t="shared" si="228"/>
        <v>3.51</v>
      </c>
      <c r="H3657" s="759">
        <f t="shared" si="229"/>
        <v>0.32</v>
      </c>
      <c r="I3657" s="758">
        <f t="shared" si="230"/>
        <v>9.39</v>
      </c>
      <c r="J3657" s="760">
        <f t="shared" si="231"/>
        <v>0.72790697674418614</v>
      </c>
    </row>
    <row r="3658" spans="1:10">
      <c r="A3658" s="74" t="s">
        <v>1042</v>
      </c>
      <c r="B3658" s="74" t="s">
        <v>256</v>
      </c>
      <c r="C3658" s="74" t="s">
        <v>1578</v>
      </c>
      <c r="D3658" s="74" t="s">
        <v>86</v>
      </c>
      <c r="E3658" s="74">
        <v>1</v>
      </c>
      <c r="F3658" s="74">
        <v>12.9</v>
      </c>
      <c r="G3658" s="758">
        <f t="shared" si="228"/>
        <v>3.51</v>
      </c>
      <c r="H3658" s="759">
        <f t="shared" si="229"/>
        <v>0.32</v>
      </c>
      <c r="I3658" s="758">
        <f t="shared" si="230"/>
        <v>9.39</v>
      </c>
      <c r="J3658" s="760">
        <f t="shared" si="231"/>
        <v>0.72790697674418614</v>
      </c>
    </row>
    <row r="3659" spans="1:10">
      <c r="A3659" s="74" t="s">
        <v>1042</v>
      </c>
      <c r="B3659" s="74" t="s">
        <v>256</v>
      </c>
      <c r="C3659" s="74" t="s">
        <v>1541</v>
      </c>
      <c r="D3659" s="74" t="s">
        <v>86</v>
      </c>
      <c r="E3659" s="74">
        <v>2</v>
      </c>
      <c r="F3659" s="74">
        <v>27.9</v>
      </c>
      <c r="G3659" s="758">
        <f t="shared" si="228"/>
        <v>3.51</v>
      </c>
      <c r="H3659" s="759">
        <f t="shared" si="229"/>
        <v>0.32</v>
      </c>
      <c r="I3659" s="758">
        <f t="shared" si="230"/>
        <v>10.44</v>
      </c>
      <c r="J3659" s="760">
        <f t="shared" si="231"/>
        <v>0.74838709677419357</v>
      </c>
    </row>
    <row r="3660" spans="1:10">
      <c r="A3660" s="74" t="s">
        <v>1042</v>
      </c>
      <c r="B3660" s="74" t="s">
        <v>256</v>
      </c>
      <c r="C3660" s="74" t="s">
        <v>1605</v>
      </c>
      <c r="D3660" s="74" t="s">
        <v>87</v>
      </c>
      <c r="E3660" s="74">
        <v>1</v>
      </c>
      <c r="F3660" s="74">
        <v>13.95</v>
      </c>
      <c r="G3660" s="758">
        <f t="shared" si="228"/>
        <v>3.51</v>
      </c>
      <c r="H3660" s="759">
        <f t="shared" si="229"/>
        <v>0.32</v>
      </c>
      <c r="I3660" s="758">
        <f t="shared" si="230"/>
        <v>10.44</v>
      </c>
      <c r="J3660" s="760">
        <f t="shared" si="231"/>
        <v>0.74838709677419357</v>
      </c>
    </row>
    <row r="3661" spans="1:10">
      <c r="A3661" s="74" t="s">
        <v>1042</v>
      </c>
      <c r="B3661" s="74" t="s">
        <v>256</v>
      </c>
      <c r="C3661" s="74" t="s">
        <v>1610</v>
      </c>
      <c r="D3661" s="74" t="s">
        <v>89</v>
      </c>
      <c r="E3661" s="74">
        <v>2</v>
      </c>
      <c r="F3661" s="74">
        <v>27.9</v>
      </c>
      <c r="G3661" s="758">
        <f t="shared" si="228"/>
        <v>3.51</v>
      </c>
      <c r="H3661" s="759">
        <f t="shared" si="229"/>
        <v>0.32</v>
      </c>
      <c r="I3661" s="758">
        <f t="shared" si="230"/>
        <v>10.44</v>
      </c>
      <c r="J3661" s="760">
        <f t="shared" si="231"/>
        <v>0.74838709677419357</v>
      </c>
    </row>
    <row r="3662" spans="1:10">
      <c r="A3662" s="74" t="s">
        <v>1042</v>
      </c>
      <c r="B3662" s="74" t="s">
        <v>256</v>
      </c>
      <c r="C3662" s="74" t="s">
        <v>1547</v>
      </c>
      <c r="D3662" s="74" t="s">
        <v>89</v>
      </c>
      <c r="E3662" s="74">
        <v>1</v>
      </c>
      <c r="F3662" s="74">
        <v>13.95</v>
      </c>
      <c r="G3662" s="758">
        <f t="shared" si="228"/>
        <v>3.51</v>
      </c>
      <c r="H3662" s="759">
        <f t="shared" si="229"/>
        <v>0.32</v>
      </c>
      <c r="I3662" s="758">
        <f t="shared" si="230"/>
        <v>10.44</v>
      </c>
      <c r="J3662" s="760">
        <f t="shared" si="231"/>
        <v>0.74838709677419357</v>
      </c>
    </row>
    <row r="3663" spans="1:10">
      <c r="A3663" s="74" t="s">
        <v>1042</v>
      </c>
      <c r="B3663" s="74" t="s">
        <v>256</v>
      </c>
      <c r="C3663" s="74" t="s">
        <v>1582</v>
      </c>
      <c r="D3663" s="74" t="s">
        <v>89</v>
      </c>
      <c r="E3663" s="74">
        <v>1</v>
      </c>
      <c r="F3663" s="74">
        <v>13.95</v>
      </c>
      <c r="G3663" s="758">
        <f t="shared" si="228"/>
        <v>3.51</v>
      </c>
      <c r="H3663" s="759">
        <f t="shared" si="229"/>
        <v>0.32</v>
      </c>
      <c r="I3663" s="758">
        <f t="shared" si="230"/>
        <v>10.44</v>
      </c>
      <c r="J3663" s="760">
        <f t="shared" si="231"/>
        <v>0.74838709677419357</v>
      </c>
    </row>
    <row r="3664" spans="1:10">
      <c r="A3664" s="74" t="s">
        <v>1042</v>
      </c>
      <c r="B3664" s="74" t="s">
        <v>256</v>
      </c>
      <c r="C3664" s="74" t="s">
        <v>1675</v>
      </c>
      <c r="D3664" s="74" t="s">
        <v>91</v>
      </c>
      <c r="E3664" s="74">
        <v>3</v>
      </c>
      <c r="F3664" s="74">
        <v>41.85</v>
      </c>
      <c r="G3664" s="758">
        <f t="shared" si="228"/>
        <v>3.51</v>
      </c>
      <c r="H3664" s="759">
        <f t="shared" si="229"/>
        <v>0.32</v>
      </c>
      <c r="I3664" s="758">
        <f t="shared" si="230"/>
        <v>10.440000000000001</v>
      </c>
      <c r="J3664" s="760">
        <f t="shared" si="231"/>
        <v>0.74838709677419357</v>
      </c>
    </row>
    <row r="3665" spans="1:10">
      <c r="A3665" s="74" t="s">
        <v>1042</v>
      </c>
      <c r="B3665" s="74" t="s">
        <v>256</v>
      </c>
      <c r="C3665" s="74" t="s">
        <v>1614</v>
      </c>
      <c r="D3665" s="74" t="s">
        <v>92</v>
      </c>
      <c r="E3665" s="74">
        <v>1</v>
      </c>
      <c r="F3665" s="74">
        <v>13.95</v>
      </c>
      <c r="G3665" s="758">
        <f t="shared" si="228"/>
        <v>3.51</v>
      </c>
      <c r="H3665" s="759">
        <f t="shared" si="229"/>
        <v>0.32</v>
      </c>
      <c r="I3665" s="758">
        <f t="shared" si="230"/>
        <v>10.44</v>
      </c>
      <c r="J3665" s="760">
        <f t="shared" si="231"/>
        <v>0.74838709677419357</v>
      </c>
    </row>
    <row r="3666" spans="1:10">
      <c r="A3666" s="74" t="s">
        <v>1042</v>
      </c>
      <c r="B3666" s="74" t="s">
        <v>256</v>
      </c>
      <c r="C3666" s="74" t="s">
        <v>1617</v>
      </c>
      <c r="D3666" s="74" t="s">
        <v>94</v>
      </c>
      <c r="E3666" s="74">
        <v>1</v>
      </c>
      <c r="F3666" s="74">
        <v>13.95</v>
      </c>
      <c r="G3666" s="758">
        <f t="shared" si="228"/>
        <v>3.51</v>
      </c>
      <c r="H3666" s="759">
        <f t="shared" si="229"/>
        <v>0.32</v>
      </c>
      <c r="I3666" s="758">
        <f t="shared" si="230"/>
        <v>10.44</v>
      </c>
      <c r="J3666" s="760">
        <f t="shared" si="231"/>
        <v>0.74838709677419357</v>
      </c>
    </row>
    <row r="3667" spans="1:10">
      <c r="A3667" s="74" t="s">
        <v>1042</v>
      </c>
      <c r="B3667" s="74" t="s">
        <v>256</v>
      </c>
      <c r="C3667" s="74" t="s">
        <v>1526</v>
      </c>
      <c r="D3667" s="74" t="s">
        <v>95</v>
      </c>
      <c r="E3667" s="74">
        <v>1</v>
      </c>
      <c r="F3667" s="74">
        <v>13.95</v>
      </c>
      <c r="G3667" s="758">
        <f t="shared" si="228"/>
        <v>3.51</v>
      </c>
      <c r="H3667" s="759">
        <f t="shared" si="229"/>
        <v>0.32</v>
      </c>
      <c r="I3667" s="758">
        <f t="shared" si="230"/>
        <v>10.44</v>
      </c>
      <c r="J3667" s="760">
        <f t="shared" si="231"/>
        <v>0.74838709677419357</v>
      </c>
    </row>
    <row r="3668" spans="1:10">
      <c r="A3668" s="74" t="s">
        <v>1884</v>
      </c>
      <c r="B3668" s="74" t="s">
        <v>873</v>
      </c>
      <c r="C3668" s="74" t="s">
        <v>1526</v>
      </c>
      <c r="D3668" s="74" t="s">
        <v>95</v>
      </c>
      <c r="E3668" s="74">
        <v>2</v>
      </c>
      <c r="F3668" s="74">
        <v>10</v>
      </c>
      <c r="G3668" s="758">
        <f t="shared" si="228"/>
        <v>0</v>
      </c>
      <c r="H3668" s="759">
        <f t="shared" si="229"/>
        <v>0</v>
      </c>
      <c r="I3668" s="758">
        <f t="shared" si="230"/>
        <v>5</v>
      </c>
      <c r="J3668" s="760">
        <f t="shared" si="231"/>
        <v>1</v>
      </c>
    </row>
    <row r="3669" spans="1:10">
      <c r="A3669" s="74" t="s">
        <v>1885</v>
      </c>
      <c r="B3669" s="74" t="s">
        <v>873</v>
      </c>
      <c r="C3669" s="74" t="s">
        <v>1582</v>
      </c>
      <c r="D3669" s="74" t="s">
        <v>89</v>
      </c>
      <c r="E3669" s="74">
        <v>2</v>
      </c>
      <c r="F3669" s="74">
        <v>0</v>
      </c>
      <c r="G3669" s="758">
        <f t="shared" si="228"/>
        <v>0</v>
      </c>
      <c r="H3669" s="759">
        <f t="shared" si="229"/>
        <v>0</v>
      </c>
      <c r="I3669" s="758">
        <f t="shared" si="230"/>
        <v>0</v>
      </c>
      <c r="J3669" s="760">
        <f t="shared" si="231"/>
        <v>0</v>
      </c>
    </row>
    <row r="3670" spans="1:10">
      <c r="A3670" s="74" t="s">
        <v>987</v>
      </c>
      <c r="B3670" s="74" t="s">
        <v>873</v>
      </c>
      <c r="C3670" s="74" t="s">
        <v>1519</v>
      </c>
      <c r="D3670" s="74" t="s">
        <v>84</v>
      </c>
      <c r="E3670" s="74">
        <v>3</v>
      </c>
      <c r="F3670" s="74">
        <v>12</v>
      </c>
      <c r="G3670" s="758">
        <f t="shared" si="228"/>
        <v>3.77</v>
      </c>
      <c r="H3670" s="759">
        <f t="shared" si="229"/>
        <v>1.04</v>
      </c>
      <c r="I3670" s="758">
        <f t="shared" si="230"/>
        <v>0.22999999999999998</v>
      </c>
      <c r="J3670" s="760">
        <f t="shared" si="231"/>
        <v>5.7499999999999996E-2</v>
      </c>
    </row>
    <row r="3671" spans="1:10">
      <c r="A3671" s="74" t="s">
        <v>987</v>
      </c>
      <c r="B3671" s="74" t="s">
        <v>873</v>
      </c>
      <c r="C3671" s="74" t="s">
        <v>1540</v>
      </c>
      <c r="D3671" s="74" t="s">
        <v>84</v>
      </c>
      <c r="E3671" s="74">
        <v>1</v>
      </c>
      <c r="F3671" s="74">
        <v>4</v>
      </c>
      <c r="G3671" s="758">
        <f t="shared" si="228"/>
        <v>3.77</v>
      </c>
      <c r="H3671" s="759">
        <f t="shared" si="229"/>
        <v>1.04</v>
      </c>
      <c r="I3671" s="758">
        <f t="shared" si="230"/>
        <v>0.22999999999999998</v>
      </c>
      <c r="J3671" s="760">
        <f t="shared" si="231"/>
        <v>5.7499999999999996E-2</v>
      </c>
    </row>
    <row r="3672" spans="1:10">
      <c r="A3672" s="74" t="s">
        <v>913</v>
      </c>
      <c r="B3672" s="74" t="s">
        <v>873</v>
      </c>
      <c r="C3672" s="74" t="s">
        <v>1522</v>
      </c>
      <c r="D3672" s="74" t="s">
        <v>91</v>
      </c>
      <c r="E3672" s="74">
        <v>1</v>
      </c>
      <c r="F3672" s="74">
        <v>5</v>
      </c>
      <c r="G3672" s="758">
        <f t="shared" si="228"/>
        <v>0</v>
      </c>
      <c r="H3672" s="759">
        <f t="shared" si="229"/>
        <v>0</v>
      </c>
      <c r="I3672" s="758">
        <f t="shared" si="230"/>
        <v>5</v>
      </c>
      <c r="J3672" s="760">
        <f t="shared" si="231"/>
        <v>1</v>
      </c>
    </row>
    <row r="3673" spans="1:10">
      <c r="A3673" s="74" t="s">
        <v>913</v>
      </c>
      <c r="B3673" s="74" t="s">
        <v>873</v>
      </c>
      <c r="C3673" s="74" t="s">
        <v>1675</v>
      </c>
      <c r="D3673" s="74" t="s">
        <v>91</v>
      </c>
      <c r="E3673" s="74">
        <v>3</v>
      </c>
      <c r="F3673" s="74">
        <v>15</v>
      </c>
      <c r="G3673" s="758">
        <f t="shared" si="228"/>
        <v>0</v>
      </c>
      <c r="H3673" s="759">
        <f t="shared" si="229"/>
        <v>0</v>
      </c>
      <c r="I3673" s="758">
        <f t="shared" si="230"/>
        <v>5</v>
      </c>
      <c r="J3673" s="760">
        <f t="shared" si="231"/>
        <v>1</v>
      </c>
    </row>
    <row r="3674" spans="1:10">
      <c r="A3674" s="74" t="s">
        <v>913</v>
      </c>
      <c r="B3674" s="74" t="s">
        <v>873</v>
      </c>
      <c r="C3674" s="74" t="s">
        <v>1524</v>
      </c>
      <c r="D3674" s="74" t="s">
        <v>91</v>
      </c>
      <c r="E3674" s="74">
        <v>3</v>
      </c>
      <c r="F3674" s="74">
        <v>15</v>
      </c>
      <c r="G3674" s="758">
        <f t="shared" si="228"/>
        <v>0</v>
      </c>
      <c r="H3674" s="759">
        <f t="shared" si="229"/>
        <v>0</v>
      </c>
      <c r="I3674" s="758">
        <f t="shared" si="230"/>
        <v>5</v>
      </c>
      <c r="J3674" s="760">
        <f t="shared" si="231"/>
        <v>1</v>
      </c>
    </row>
    <row r="3675" spans="1:10">
      <c r="A3675" s="74" t="s">
        <v>913</v>
      </c>
      <c r="B3675" s="74" t="s">
        <v>873</v>
      </c>
      <c r="C3675" s="74" t="s">
        <v>1584</v>
      </c>
      <c r="D3675" s="74" t="s">
        <v>92</v>
      </c>
      <c r="E3675" s="74">
        <v>1</v>
      </c>
      <c r="F3675" s="74">
        <v>0</v>
      </c>
      <c r="G3675" s="758">
        <f t="shared" si="228"/>
        <v>0</v>
      </c>
      <c r="H3675" s="759">
        <f t="shared" si="229"/>
        <v>0</v>
      </c>
      <c r="I3675" s="758">
        <f t="shared" si="230"/>
        <v>0</v>
      </c>
      <c r="J3675" s="760">
        <f t="shared" si="231"/>
        <v>0</v>
      </c>
    </row>
    <row r="3676" spans="1:10">
      <c r="A3676" s="74" t="s">
        <v>913</v>
      </c>
      <c r="B3676" s="74" t="s">
        <v>873</v>
      </c>
      <c r="C3676" s="74" t="s">
        <v>1614</v>
      </c>
      <c r="D3676" s="74" t="s">
        <v>92</v>
      </c>
      <c r="E3676" s="74">
        <v>2</v>
      </c>
      <c r="F3676" s="74">
        <v>10</v>
      </c>
      <c r="G3676" s="758">
        <f t="shared" si="228"/>
        <v>0</v>
      </c>
      <c r="H3676" s="759">
        <f t="shared" si="229"/>
        <v>0</v>
      </c>
      <c r="I3676" s="758">
        <f t="shared" si="230"/>
        <v>5</v>
      </c>
      <c r="J3676" s="760">
        <f t="shared" si="231"/>
        <v>1</v>
      </c>
    </row>
    <row r="3677" spans="1:10">
      <c r="A3677" s="74" t="s">
        <v>913</v>
      </c>
      <c r="B3677" s="74" t="s">
        <v>873</v>
      </c>
      <c r="C3677" s="74" t="s">
        <v>1552</v>
      </c>
      <c r="D3677" s="74" t="s">
        <v>92</v>
      </c>
      <c r="E3677" s="74">
        <v>1</v>
      </c>
      <c r="F3677" s="74">
        <v>5</v>
      </c>
      <c r="G3677" s="758">
        <f t="shared" si="228"/>
        <v>0</v>
      </c>
      <c r="H3677" s="759">
        <f t="shared" si="229"/>
        <v>0</v>
      </c>
      <c r="I3677" s="758">
        <f t="shared" si="230"/>
        <v>5</v>
      </c>
      <c r="J3677" s="760">
        <f t="shared" si="231"/>
        <v>1</v>
      </c>
    </row>
    <row r="3678" spans="1:10">
      <c r="A3678" s="74" t="s">
        <v>913</v>
      </c>
      <c r="B3678" s="74" t="s">
        <v>873</v>
      </c>
      <c r="C3678" s="74" t="s">
        <v>1617</v>
      </c>
      <c r="D3678" s="74" t="s">
        <v>94</v>
      </c>
      <c r="E3678" s="74">
        <v>2</v>
      </c>
      <c r="F3678" s="74">
        <v>10</v>
      </c>
      <c r="G3678" s="758">
        <f t="shared" si="228"/>
        <v>0</v>
      </c>
      <c r="H3678" s="759">
        <f t="shared" si="229"/>
        <v>0</v>
      </c>
      <c r="I3678" s="758">
        <f t="shared" si="230"/>
        <v>5</v>
      </c>
      <c r="J3678" s="760">
        <f t="shared" si="231"/>
        <v>1</v>
      </c>
    </row>
    <row r="3679" spans="1:10">
      <c r="A3679" s="74" t="s">
        <v>913</v>
      </c>
      <c r="B3679" s="74" t="s">
        <v>873</v>
      </c>
      <c r="C3679" s="74" t="s">
        <v>1553</v>
      </c>
      <c r="D3679" s="74" t="s">
        <v>94</v>
      </c>
      <c r="E3679" s="74">
        <v>5</v>
      </c>
      <c r="F3679" s="74">
        <v>25</v>
      </c>
      <c r="G3679" s="758">
        <f t="shared" si="228"/>
        <v>0</v>
      </c>
      <c r="H3679" s="759">
        <f t="shared" si="229"/>
        <v>0</v>
      </c>
      <c r="I3679" s="758">
        <f t="shared" si="230"/>
        <v>5</v>
      </c>
      <c r="J3679" s="760">
        <f t="shared" si="231"/>
        <v>1</v>
      </c>
    </row>
    <row r="3680" spans="1:10">
      <c r="A3680" s="74" t="s">
        <v>913</v>
      </c>
      <c r="B3680" s="74" t="s">
        <v>873</v>
      </c>
      <c r="C3680" s="74" t="s">
        <v>1555</v>
      </c>
      <c r="D3680" s="74" t="s">
        <v>94</v>
      </c>
      <c r="E3680" s="74">
        <v>3</v>
      </c>
      <c r="F3680" s="74">
        <v>15</v>
      </c>
      <c r="G3680" s="758">
        <f t="shared" si="228"/>
        <v>0</v>
      </c>
      <c r="H3680" s="759">
        <f t="shared" si="229"/>
        <v>0</v>
      </c>
      <c r="I3680" s="758">
        <f t="shared" si="230"/>
        <v>5</v>
      </c>
      <c r="J3680" s="760">
        <f t="shared" si="231"/>
        <v>1</v>
      </c>
    </row>
    <row r="3681" spans="1:10">
      <c r="A3681" s="74" t="s">
        <v>913</v>
      </c>
      <c r="B3681" s="74" t="s">
        <v>873</v>
      </c>
      <c r="C3681" s="74" t="s">
        <v>1930</v>
      </c>
      <c r="D3681" s="74" t="s">
        <v>95</v>
      </c>
      <c r="E3681" s="74">
        <v>2</v>
      </c>
      <c r="F3681" s="74">
        <v>10</v>
      </c>
      <c r="G3681" s="758">
        <f t="shared" si="228"/>
        <v>0</v>
      </c>
      <c r="H3681" s="759">
        <f t="shared" si="229"/>
        <v>0</v>
      </c>
      <c r="I3681" s="758">
        <f t="shared" si="230"/>
        <v>5</v>
      </c>
      <c r="J3681" s="760">
        <f t="shared" si="231"/>
        <v>1</v>
      </c>
    </row>
    <row r="3682" spans="1:10">
      <c r="A3682" s="74" t="s">
        <v>1886</v>
      </c>
      <c r="B3682" s="74" t="s">
        <v>877</v>
      </c>
      <c r="C3682" s="74" t="s">
        <v>1617</v>
      </c>
      <c r="D3682" s="74" t="s">
        <v>94</v>
      </c>
      <c r="E3682" s="74">
        <v>1</v>
      </c>
      <c r="F3682" s="74">
        <v>5</v>
      </c>
      <c r="G3682" s="758">
        <f t="shared" si="228"/>
        <v>0</v>
      </c>
      <c r="H3682" s="759">
        <f t="shared" si="229"/>
        <v>0</v>
      </c>
      <c r="I3682" s="758">
        <f t="shared" si="230"/>
        <v>5</v>
      </c>
      <c r="J3682" s="760">
        <f t="shared" si="231"/>
        <v>1</v>
      </c>
    </row>
    <row r="3683" spans="1:10">
      <c r="A3683" s="74" t="s">
        <v>1887</v>
      </c>
      <c r="B3683" s="74" t="s">
        <v>877</v>
      </c>
      <c r="C3683" s="74" t="s">
        <v>1541</v>
      </c>
      <c r="D3683" s="74" t="s">
        <v>86</v>
      </c>
      <c r="E3683" s="74">
        <v>7</v>
      </c>
      <c r="F3683" s="74">
        <v>35</v>
      </c>
      <c r="G3683" s="758">
        <f t="shared" si="228"/>
        <v>0</v>
      </c>
      <c r="H3683" s="759">
        <f t="shared" si="229"/>
        <v>0</v>
      </c>
      <c r="I3683" s="758">
        <f t="shared" si="230"/>
        <v>5</v>
      </c>
      <c r="J3683" s="760">
        <f t="shared" si="231"/>
        <v>1</v>
      </c>
    </row>
    <row r="3684" spans="1:10">
      <c r="A3684" s="74" t="s">
        <v>1887</v>
      </c>
      <c r="B3684" s="74" t="s">
        <v>877</v>
      </c>
      <c r="C3684" s="74" t="s">
        <v>1543</v>
      </c>
      <c r="D3684" s="74" t="s">
        <v>87</v>
      </c>
      <c r="E3684" s="74">
        <v>2</v>
      </c>
      <c r="F3684" s="74">
        <v>10</v>
      </c>
      <c r="G3684" s="758">
        <f t="shared" si="228"/>
        <v>0</v>
      </c>
      <c r="H3684" s="759">
        <f t="shared" si="229"/>
        <v>0</v>
      </c>
      <c r="I3684" s="758">
        <f t="shared" si="230"/>
        <v>5</v>
      </c>
      <c r="J3684" s="760">
        <f t="shared" si="231"/>
        <v>1</v>
      </c>
    </row>
    <row r="3685" spans="1:10">
      <c r="A3685" s="74" t="s">
        <v>1889</v>
      </c>
      <c r="B3685" s="74" t="s">
        <v>877</v>
      </c>
      <c r="C3685" s="74" t="s">
        <v>1561</v>
      </c>
      <c r="D3685" s="74" t="s">
        <v>87</v>
      </c>
      <c r="E3685" s="74">
        <v>6</v>
      </c>
      <c r="F3685" s="74">
        <v>30</v>
      </c>
      <c r="G3685" s="758">
        <f t="shared" si="228"/>
        <v>0</v>
      </c>
      <c r="H3685" s="759">
        <f t="shared" si="229"/>
        <v>0</v>
      </c>
      <c r="I3685" s="758">
        <f t="shared" si="230"/>
        <v>5</v>
      </c>
      <c r="J3685" s="760">
        <f t="shared" si="231"/>
        <v>1</v>
      </c>
    </row>
    <row r="3686" spans="1:10">
      <c r="A3686" s="74" t="s">
        <v>1889</v>
      </c>
      <c r="B3686" s="74" t="s">
        <v>877</v>
      </c>
      <c r="C3686" s="74" t="s">
        <v>1608</v>
      </c>
      <c r="D3686" s="74" t="s">
        <v>89</v>
      </c>
      <c r="E3686" s="74">
        <v>7</v>
      </c>
      <c r="F3686" s="74">
        <v>10</v>
      </c>
      <c r="G3686" s="758">
        <f t="shared" si="228"/>
        <v>0</v>
      </c>
      <c r="H3686" s="759">
        <f t="shared" si="229"/>
        <v>0</v>
      </c>
      <c r="I3686" s="758">
        <f t="shared" si="230"/>
        <v>1.4285714285714286</v>
      </c>
      <c r="J3686" s="760">
        <f t="shared" si="231"/>
        <v>1</v>
      </c>
    </row>
    <row r="3687" spans="1:10">
      <c r="A3687" s="74" t="s">
        <v>1889</v>
      </c>
      <c r="B3687" s="74" t="s">
        <v>877</v>
      </c>
      <c r="C3687" s="74" t="s">
        <v>1610</v>
      </c>
      <c r="D3687" s="74" t="s">
        <v>89</v>
      </c>
      <c r="E3687" s="74">
        <v>6</v>
      </c>
      <c r="F3687" s="74">
        <v>30</v>
      </c>
      <c r="G3687" s="758">
        <f t="shared" si="228"/>
        <v>0</v>
      </c>
      <c r="H3687" s="759">
        <f t="shared" si="229"/>
        <v>0</v>
      </c>
      <c r="I3687" s="758">
        <f t="shared" si="230"/>
        <v>5</v>
      </c>
      <c r="J3687" s="760">
        <f t="shared" si="231"/>
        <v>1</v>
      </c>
    </row>
    <row r="3688" spans="1:10">
      <c r="A3688" s="74" t="s">
        <v>1889</v>
      </c>
      <c r="B3688" s="74" t="s">
        <v>877</v>
      </c>
      <c r="C3688" s="74" t="s">
        <v>1547</v>
      </c>
      <c r="D3688" s="74" t="s">
        <v>89</v>
      </c>
      <c r="E3688" s="74">
        <v>2</v>
      </c>
      <c r="F3688" s="74">
        <v>10</v>
      </c>
      <c r="G3688" s="758">
        <f t="shared" si="228"/>
        <v>0</v>
      </c>
      <c r="H3688" s="759">
        <f t="shared" si="229"/>
        <v>0</v>
      </c>
      <c r="I3688" s="758">
        <f t="shared" si="230"/>
        <v>5</v>
      </c>
      <c r="J3688" s="760">
        <f t="shared" si="231"/>
        <v>1</v>
      </c>
    </row>
    <row r="3689" spans="1:10">
      <c r="A3689" s="74" t="s">
        <v>1890</v>
      </c>
      <c r="B3689" s="74" t="s">
        <v>877</v>
      </c>
      <c r="C3689" s="74" t="s">
        <v>1544</v>
      </c>
      <c r="D3689" s="74" t="s">
        <v>87</v>
      </c>
      <c r="E3689" s="74">
        <v>4</v>
      </c>
      <c r="F3689" s="74">
        <v>20</v>
      </c>
      <c r="G3689" s="758">
        <f t="shared" si="228"/>
        <v>0</v>
      </c>
      <c r="H3689" s="759">
        <f t="shared" si="229"/>
        <v>0</v>
      </c>
      <c r="I3689" s="758">
        <f t="shared" si="230"/>
        <v>5</v>
      </c>
      <c r="J3689" s="760">
        <f t="shared" si="231"/>
        <v>1</v>
      </c>
    </row>
    <row r="3690" spans="1:10">
      <c r="A3690" s="74" t="s">
        <v>1890</v>
      </c>
      <c r="B3690" s="74" t="s">
        <v>877</v>
      </c>
      <c r="C3690" s="74" t="s">
        <v>1631</v>
      </c>
      <c r="D3690" s="74" t="s">
        <v>92</v>
      </c>
      <c r="E3690" s="74">
        <v>1</v>
      </c>
      <c r="F3690" s="74">
        <v>5</v>
      </c>
      <c r="G3690" s="758">
        <f t="shared" si="228"/>
        <v>0</v>
      </c>
      <c r="H3690" s="759">
        <f t="shared" si="229"/>
        <v>0</v>
      </c>
      <c r="I3690" s="758">
        <f t="shared" si="230"/>
        <v>5</v>
      </c>
      <c r="J3690" s="760">
        <f t="shared" si="231"/>
        <v>1</v>
      </c>
    </row>
    <row r="3691" spans="1:10">
      <c r="A3691" s="74" t="s">
        <v>1891</v>
      </c>
      <c r="B3691" s="74" t="s">
        <v>873</v>
      </c>
      <c r="C3691" s="74" t="s">
        <v>1577</v>
      </c>
      <c r="D3691" s="74" t="s">
        <v>84</v>
      </c>
      <c r="E3691" s="74">
        <v>3</v>
      </c>
      <c r="F3691" s="74">
        <v>8</v>
      </c>
      <c r="G3691" s="758">
        <f t="shared" si="228"/>
        <v>0</v>
      </c>
      <c r="H3691" s="759">
        <f t="shared" si="229"/>
        <v>0</v>
      </c>
      <c r="I3691" s="758">
        <f t="shared" si="230"/>
        <v>2.6666666666666665</v>
      </c>
      <c r="J3691" s="760">
        <f t="shared" si="231"/>
        <v>1</v>
      </c>
    </row>
    <row r="3692" spans="1:10">
      <c r="A3692" s="74" t="s">
        <v>1892</v>
      </c>
      <c r="B3692" s="74" t="s">
        <v>877</v>
      </c>
      <c r="C3692" s="74" t="s">
        <v>1631</v>
      </c>
      <c r="D3692" s="74" t="s">
        <v>92</v>
      </c>
      <c r="E3692" s="74">
        <v>3</v>
      </c>
      <c r="F3692" s="74">
        <v>0</v>
      </c>
      <c r="G3692" s="758">
        <f t="shared" si="228"/>
        <v>0</v>
      </c>
      <c r="H3692" s="759">
        <f t="shared" si="229"/>
        <v>0</v>
      </c>
      <c r="I3692" s="758">
        <f t="shared" si="230"/>
        <v>0</v>
      </c>
      <c r="J3692" s="760">
        <f t="shared" si="231"/>
        <v>0</v>
      </c>
    </row>
    <row r="3693" spans="1:10">
      <c r="A3693" s="74" t="s">
        <v>2295</v>
      </c>
      <c r="B3693" s="74" t="s">
        <v>873</v>
      </c>
      <c r="C3693" s="74" t="s">
        <v>1555</v>
      </c>
      <c r="D3693" s="74" t="s">
        <v>94</v>
      </c>
      <c r="E3693" s="74">
        <v>1</v>
      </c>
      <c r="F3693" s="74">
        <v>3</v>
      </c>
      <c r="G3693" s="758">
        <f t="shared" si="228"/>
        <v>0</v>
      </c>
      <c r="H3693" s="759">
        <f t="shared" si="229"/>
        <v>0</v>
      </c>
      <c r="I3693" s="758">
        <f t="shared" si="230"/>
        <v>3</v>
      </c>
      <c r="J3693" s="760">
        <f t="shared" si="231"/>
        <v>1</v>
      </c>
    </row>
    <row r="3694" spans="1:10">
      <c r="A3694" s="74" t="s">
        <v>1894</v>
      </c>
      <c r="B3694" s="74" t="s">
        <v>873</v>
      </c>
      <c r="C3694" s="74" t="s">
        <v>1555</v>
      </c>
      <c r="D3694" s="74" t="s">
        <v>94</v>
      </c>
      <c r="E3694" s="74">
        <v>2</v>
      </c>
      <c r="F3694" s="74">
        <v>6</v>
      </c>
      <c r="G3694" s="758">
        <f t="shared" si="228"/>
        <v>0</v>
      </c>
      <c r="H3694" s="759">
        <f t="shared" si="229"/>
        <v>0</v>
      </c>
      <c r="I3694" s="758">
        <f t="shared" si="230"/>
        <v>3</v>
      </c>
      <c r="J3694" s="760">
        <f t="shared" si="231"/>
        <v>1</v>
      </c>
    </row>
    <row r="3695" spans="1:10">
      <c r="A3695" s="74" t="s">
        <v>1895</v>
      </c>
      <c r="B3695" s="74" t="s">
        <v>256</v>
      </c>
      <c r="C3695" s="74" t="s">
        <v>1515</v>
      </c>
      <c r="D3695" s="74" t="s">
        <v>81</v>
      </c>
      <c r="E3695" s="74">
        <v>4</v>
      </c>
      <c r="F3695" s="74">
        <v>35.6</v>
      </c>
      <c r="G3695" s="758">
        <f t="shared" si="228"/>
        <v>3.77</v>
      </c>
      <c r="H3695" s="759">
        <f t="shared" si="229"/>
        <v>0.47</v>
      </c>
      <c r="I3695" s="758">
        <f t="shared" si="230"/>
        <v>5.1300000000000008</v>
      </c>
      <c r="J3695" s="760">
        <f t="shared" si="231"/>
        <v>0.57640449438202257</v>
      </c>
    </row>
    <row r="3696" spans="1:10">
      <c r="A3696" s="74" t="s">
        <v>1896</v>
      </c>
      <c r="B3696" s="74" t="s">
        <v>256</v>
      </c>
      <c r="C3696" s="74" t="s">
        <v>1515</v>
      </c>
      <c r="D3696" s="74" t="s">
        <v>81</v>
      </c>
      <c r="E3696" s="74">
        <v>5</v>
      </c>
      <c r="F3696" s="74">
        <v>44.5</v>
      </c>
      <c r="G3696" s="758">
        <f t="shared" si="228"/>
        <v>3.77</v>
      </c>
      <c r="H3696" s="759">
        <f t="shared" si="229"/>
        <v>0.47</v>
      </c>
      <c r="I3696" s="758">
        <f t="shared" si="230"/>
        <v>5.1300000000000008</v>
      </c>
      <c r="J3696" s="760">
        <f t="shared" si="231"/>
        <v>0.57640449438202246</v>
      </c>
    </row>
    <row r="3697" spans="1:10">
      <c r="A3697" s="74" t="s">
        <v>1897</v>
      </c>
      <c r="B3697" s="74" t="s">
        <v>873</v>
      </c>
      <c r="C3697" s="74" t="s">
        <v>1520</v>
      </c>
      <c r="D3697" s="74" t="s">
        <v>84</v>
      </c>
      <c r="E3697" s="74">
        <v>3</v>
      </c>
      <c r="F3697" s="74">
        <v>0</v>
      </c>
      <c r="G3697" s="758">
        <f t="shared" si="228"/>
        <v>0</v>
      </c>
      <c r="H3697" s="759">
        <f t="shared" si="229"/>
        <v>0</v>
      </c>
      <c r="I3697" s="758">
        <f t="shared" si="230"/>
        <v>0</v>
      </c>
      <c r="J3697" s="760">
        <f t="shared" si="231"/>
        <v>0</v>
      </c>
    </row>
    <row r="3698" spans="1:10">
      <c r="A3698" s="74" t="s">
        <v>1075</v>
      </c>
      <c r="B3698" s="74" t="s">
        <v>873</v>
      </c>
      <c r="C3698" s="74" t="s">
        <v>1515</v>
      </c>
      <c r="D3698" s="74" t="s">
        <v>81</v>
      </c>
      <c r="E3698" s="74">
        <v>7</v>
      </c>
      <c r="F3698" s="74">
        <v>0</v>
      </c>
      <c r="G3698" s="758">
        <f t="shared" si="228"/>
        <v>3.3</v>
      </c>
      <c r="H3698" s="759">
        <f t="shared" si="229"/>
        <v>0</v>
      </c>
      <c r="I3698" s="758">
        <f t="shared" si="230"/>
        <v>-3.3</v>
      </c>
      <c r="J3698" s="760">
        <f t="shared" si="231"/>
        <v>0</v>
      </c>
    </row>
    <row r="3699" spans="1:10">
      <c r="A3699" s="74" t="s">
        <v>1075</v>
      </c>
      <c r="B3699" s="74" t="s">
        <v>873</v>
      </c>
      <c r="C3699" s="74" t="s">
        <v>1526</v>
      </c>
      <c r="D3699" s="74" t="s">
        <v>95</v>
      </c>
      <c r="E3699" s="74">
        <v>1</v>
      </c>
      <c r="F3699" s="74">
        <v>3</v>
      </c>
      <c r="G3699" s="758">
        <f t="shared" si="228"/>
        <v>3.3</v>
      </c>
      <c r="H3699" s="759">
        <f t="shared" si="229"/>
        <v>0</v>
      </c>
      <c r="I3699" s="758">
        <f t="shared" si="230"/>
        <v>-0.29999999999999982</v>
      </c>
      <c r="J3699" s="760">
        <f t="shared" si="231"/>
        <v>-9.9999999999999867E-2</v>
      </c>
    </row>
    <row r="3700" spans="1:10">
      <c r="A3700" s="74" t="s">
        <v>891</v>
      </c>
      <c r="B3700" s="74" t="s">
        <v>264</v>
      </c>
      <c r="C3700" s="74" t="s">
        <v>1528</v>
      </c>
      <c r="D3700" s="74" t="s">
        <v>78</v>
      </c>
      <c r="E3700" s="74">
        <v>5</v>
      </c>
      <c r="F3700" s="74">
        <v>6.5</v>
      </c>
      <c r="G3700" s="758">
        <f t="shared" si="228"/>
        <v>0.03</v>
      </c>
      <c r="H3700" s="759">
        <f t="shared" si="229"/>
        <v>0.24</v>
      </c>
      <c r="I3700" s="758">
        <f t="shared" si="230"/>
        <v>1.27</v>
      </c>
      <c r="J3700" s="760">
        <f t="shared" si="231"/>
        <v>0.97692307692307689</v>
      </c>
    </row>
    <row r="3701" spans="1:10">
      <c r="A3701" s="74" t="s">
        <v>891</v>
      </c>
      <c r="B3701" s="74" t="s">
        <v>264</v>
      </c>
      <c r="C3701" s="74" t="s">
        <v>1508</v>
      </c>
      <c r="D3701" s="74" t="s">
        <v>78</v>
      </c>
      <c r="E3701" s="74">
        <v>1</v>
      </c>
      <c r="F3701" s="74">
        <v>1.4</v>
      </c>
      <c r="G3701" s="758">
        <f t="shared" si="228"/>
        <v>0.03</v>
      </c>
      <c r="H3701" s="759">
        <f t="shared" si="229"/>
        <v>0.24</v>
      </c>
      <c r="I3701" s="758">
        <f t="shared" si="230"/>
        <v>1.3699999999999999</v>
      </c>
      <c r="J3701" s="760">
        <f t="shared" si="231"/>
        <v>0.97857142857142854</v>
      </c>
    </row>
    <row r="3702" spans="1:10">
      <c r="A3702" s="74" t="s">
        <v>891</v>
      </c>
      <c r="B3702" s="74" t="s">
        <v>264</v>
      </c>
      <c r="C3702" s="74" t="s">
        <v>1509</v>
      </c>
      <c r="D3702" s="74" t="s">
        <v>78</v>
      </c>
      <c r="E3702" s="74">
        <v>2</v>
      </c>
      <c r="F3702" s="74">
        <v>2.8</v>
      </c>
      <c r="G3702" s="758">
        <f t="shared" si="228"/>
        <v>0.03</v>
      </c>
      <c r="H3702" s="759">
        <f t="shared" si="229"/>
        <v>0.24</v>
      </c>
      <c r="I3702" s="758">
        <f t="shared" si="230"/>
        <v>1.3699999999999999</v>
      </c>
      <c r="J3702" s="760">
        <f t="shared" si="231"/>
        <v>0.97857142857142854</v>
      </c>
    </row>
    <row r="3703" spans="1:10">
      <c r="A3703" s="74" t="s">
        <v>891</v>
      </c>
      <c r="B3703" s="74" t="s">
        <v>264</v>
      </c>
      <c r="C3703" s="74" t="s">
        <v>1565</v>
      </c>
      <c r="D3703" s="74" t="s">
        <v>78</v>
      </c>
      <c r="E3703" s="74">
        <v>5</v>
      </c>
      <c r="F3703" s="74">
        <v>7</v>
      </c>
      <c r="G3703" s="758">
        <f t="shared" si="228"/>
        <v>0.03</v>
      </c>
      <c r="H3703" s="759">
        <f t="shared" si="229"/>
        <v>0.24</v>
      </c>
      <c r="I3703" s="758">
        <f t="shared" si="230"/>
        <v>1.3699999999999999</v>
      </c>
      <c r="J3703" s="760">
        <f t="shared" si="231"/>
        <v>0.97857142857142854</v>
      </c>
    </row>
    <row r="3704" spans="1:10">
      <c r="A3704" s="74" t="s">
        <v>891</v>
      </c>
      <c r="B3704" s="74" t="s">
        <v>264</v>
      </c>
      <c r="C3704" s="74" t="s">
        <v>1530</v>
      </c>
      <c r="D3704" s="74" t="s">
        <v>80</v>
      </c>
      <c r="E3704" s="74">
        <v>1</v>
      </c>
      <c r="F3704" s="74">
        <v>1.4</v>
      </c>
      <c r="G3704" s="758">
        <f t="shared" si="228"/>
        <v>0.03</v>
      </c>
      <c r="H3704" s="759">
        <f t="shared" si="229"/>
        <v>0.24</v>
      </c>
      <c r="I3704" s="758">
        <f t="shared" si="230"/>
        <v>1.3699999999999999</v>
      </c>
      <c r="J3704" s="760">
        <f t="shared" si="231"/>
        <v>0.97857142857142854</v>
      </c>
    </row>
    <row r="3705" spans="1:10">
      <c r="A3705" s="74" t="s">
        <v>891</v>
      </c>
      <c r="B3705" s="74" t="s">
        <v>264</v>
      </c>
      <c r="C3705" s="74" t="s">
        <v>1532</v>
      </c>
      <c r="D3705" s="74" t="s">
        <v>80</v>
      </c>
      <c r="E3705" s="74">
        <v>2</v>
      </c>
      <c r="F3705" s="74">
        <v>2.8</v>
      </c>
      <c r="G3705" s="758">
        <f t="shared" si="228"/>
        <v>0.03</v>
      </c>
      <c r="H3705" s="759">
        <f t="shared" si="229"/>
        <v>0.24</v>
      </c>
      <c r="I3705" s="758">
        <f t="shared" si="230"/>
        <v>1.3699999999999999</v>
      </c>
      <c r="J3705" s="760">
        <f t="shared" si="231"/>
        <v>0.97857142857142854</v>
      </c>
    </row>
    <row r="3706" spans="1:10">
      <c r="A3706" s="74" t="s">
        <v>891</v>
      </c>
      <c r="B3706" s="74" t="s">
        <v>264</v>
      </c>
      <c r="C3706" s="74" t="s">
        <v>1511</v>
      </c>
      <c r="D3706" s="74" t="s">
        <v>80</v>
      </c>
      <c r="E3706" s="74">
        <v>1</v>
      </c>
      <c r="F3706" s="74">
        <v>1.4</v>
      </c>
      <c r="G3706" s="758">
        <f t="shared" si="228"/>
        <v>0.03</v>
      </c>
      <c r="H3706" s="759">
        <f t="shared" si="229"/>
        <v>0.24</v>
      </c>
      <c r="I3706" s="758">
        <f t="shared" si="230"/>
        <v>1.3699999999999999</v>
      </c>
      <c r="J3706" s="760">
        <f t="shared" si="231"/>
        <v>0.97857142857142854</v>
      </c>
    </row>
    <row r="3707" spans="1:10">
      <c r="A3707" s="74" t="s">
        <v>891</v>
      </c>
      <c r="B3707" s="74" t="s">
        <v>264</v>
      </c>
      <c r="C3707" s="74" t="s">
        <v>1512</v>
      </c>
      <c r="D3707" s="74" t="s">
        <v>80</v>
      </c>
      <c r="E3707" s="74">
        <v>1</v>
      </c>
      <c r="F3707" s="74">
        <v>1.4</v>
      </c>
      <c r="G3707" s="758">
        <f t="shared" si="228"/>
        <v>0.03</v>
      </c>
      <c r="H3707" s="759">
        <f t="shared" si="229"/>
        <v>0.24</v>
      </c>
      <c r="I3707" s="758">
        <f t="shared" si="230"/>
        <v>1.3699999999999999</v>
      </c>
      <c r="J3707" s="760">
        <f t="shared" si="231"/>
        <v>0.97857142857142854</v>
      </c>
    </row>
    <row r="3708" spans="1:10">
      <c r="A3708" s="74" t="s">
        <v>891</v>
      </c>
      <c r="B3708" s="74" t="s">
        <v>264</v>
      </c>
      <c r="C3708" s="74" t="s">
        <v>1534</v>
      </c>
      <c r="D3708" s="74" t="s">
        <v>81</v>
      </c>
      <c r="E3708" s="74">
        <v>2</v>
      </c>
      <c r="F3708" s="74">
        <v>2.8</v>
      </c>
      <c r="G3708" s="758">
        <f t="shared" si="228"/>
        <v>0.03</v>
      </c>
      <c r="H3708" s="759">
        <f t="shared" si="229"/>
        <v>0.24</v>
      </c>
      <c r="I3708" s="758">
        <f t="shared" si="230"/>
        <v>1.3699999999999999</v>
      </c>
      <c r="J3708" s="760">
        <f t="shared" si="231"/>
        <v>0.97857142857142854</v>
      </c>
    </row>
    <row r="3709" spans="1:10">
      <c r="A3709" s="74" t="s">
        <v>891</v>
      </c>
      <c r="B3709" s="74" t="s">
        <v>264</v>
      </c>
      <c r="C3709" s="74" t="s">
        <v>1513</v>
      </c>
      <c r="D3709" s="74" t="s">
        <v>81</v>
      </c>
      <c r="E3709" s="74">
        <v>1</v>
      </c>
      <c r="F3709" s="74">
        <v>1.4</v>
      </c>
      <c r="G3709" s="758">
        <f t="shared" si="228"/>
        <v>0.03</v>
      </c>
      <c r="H3709" s="759">
        <f t="shared" si="229"/>
        <v>0.24</v>
      </c>
      <c r="I3709" s="758">
        <f t="shared" si="230"/>
        <v>1.3699999999999999</v>
      </c>
      <c r="J3709" s="760">
        <f t="shared" si="231"/>
        <v>0.97857142857142854</v>
      </c>
    </row>
    <row r="3710" spans="1:10">
      <c r="A3710" s="74" t="s">
        <v>891</v>
      </c>
      <c r="B3710" s="74" t="s">
        <v>264</v>
      </c>
      <c r="C3710" s="74" t="s">
        <v>1514</v>
      </c>
      <c r="D3710" s="74" t="s">
        <v>81</v>
      </c>
      <c r="E3710" s="74">
        <v>3</v>
      </c>
      <c r="F3710" s="74">
        <v>4.2</v>
      </c>
      <c r="G3710" s="758">
        <f t="shared" si="228"/>
        <v>0.03</v>
      </c>
      <c r="H3710" s="759">
        <f t="shared" si="229"/>
        <v>0.24</v>
      </c>
      <c r="I3710" s="758">
        <f t="shared" si="230"/>
        <v>1.37</v>
      </c>
      <c r="J3710" s="760">
        <f t="shared" si="231"/>
        <v>0.97857142857142854</v>
      </c>
    </row>
    <row r="3711" spans="1:10">
      <c r="A3711" s="74" t="s">
        <v>891</v>
      </c>
      <c r="B3711" s="74" t="s">
        <v>264</v>
      </c>
      <c r="C3711" s="74" t="s">
        <v>1515</v>
      </c>
      <c r="D3711" s="74" t="s">
        <v>81</v>
      </c>
      <c r="E3711" s="74">
        <v>1</v>
      </c>
      <c r="F3711" s="74">
        <v>1.4</v>
      </c>
      <c r="G3711" s="758">
        <f t="shared" si="228"/>
        <v>0.03</v>
      </c>
      <c r="H3711" s="759">
        <f t="shared" si="229"/>
        <v>0.24</v>
      </c>
      <c r="I3711" s="758">
        <f t="shared" si="230"/>
        <v>1.3699999999999999</v>
      </c>
      <c r="J3711" s="760">
        <f t="shared" si="231"/>
        <v>0.97857142857142854</v>
      </c>
    </row>
    <row r="3712" spans="1:10">
      <c r="A3712" s="74" t="s">
        <v>891</v>
      </c>
      <c r="B3712" s="74" t="s">
        <v>264</v>
      </c>
      <c r="C3712" s="74" t="s">
        <v>1516</v>
      </c>
      <c r="D3712" s="74" t="s">
        <v>82</v>
      </c>
      <c r="E3712" s="74">
        <v>1</v>
      </c>
      <c r="F3712" s="74">
        <v>1.4</v>
      </c>
      <c r="G3712" s="758">
        <f t="shared" si="228"/>
        <v>0.03</v>
      </c>
      <c r="H3712" s="759">
        <f t="shared" si="229"/>
        <v>0.24</v>
      </c>
      <c r="I3712" s="758">
        <f t="shared" si="230"/>
        <v>1.3699999999999999</v>
      </c>
      <c r="J3712" s="760">
        <f t="shared" si="231"/>
        <v>0.97857142857142854</v>
      </c>
    </row>
    <row r="3713" spans="1:10">
      <c r="A3713" s="74" t="s">
        <v>891</v>
      </c>
      <c r="B3713" s="74" t="s">
        <v>264</v>
      </c>
      <c r="C3713" s="74" t="s">
        <v>1517</v>
      </c>
      <c r="D3713" s="74" t="s">
        <v>82</v>
      </c>
      <c r="E3713" s="74">
        <v>1</v>
      </c>
      <c r="F3713" s="74">
        <v>1.4</v>
      </c>
      <c r="G3713" s="758">
        <f t="shared" si="228"/>
        <v>0.03</v>
      </c>
      <c r="H3713" s="759">
        <f t="shared" si="229"/>
        <v>0.24</v>
      </c>
      <c r="I3713" s="758">
        <f t="shared" si="230"/>
        <v>1.3699999999999999</v>
      </c>
      <c r="J3713" s="760">
        <f t="shared" si="231"/>
        <v>0.97857142857142854</v>
      </c>
    </row>
    <row r="3714" spans="1:10">
      <c r="A3714" s="74" t="s">
        <v>891</v>
      </c>
      <c r="B3714" s="74" t="s">
        <v>264</v>
      </c>
      <c r="C3714" s="74" t="s">
        <v>1527</v>
      </c>
      <c r="D3714" s="74" t="s">
        <v>82</v>
      </c>
      <c r="E3714" s="74">
        <v>2</v>
      </c>
      <c r="F3714" s="74">
        <v>2.8</v>
      </c>
      <c r="G3714" s="758">
        <f t="shared" ref="G3714:G3777" si="232">IFERROR(VLOOKUP(A3714,$M$1:$P$1014,2,FALSE),0)</f>
        <v>0.03</v>
      </c>
      <c r="H3714" s="759">
        <f t="shared" ref="H3714:H3777" si="233">IFERROR(VLOOKUP(A3714,$M$1:$P$1014,3,FALSE),0)</f>
        <v>0.24</v>
      </c>
      <c r="I3714" s="758">
        <f t="shared" ref="I3714:I3777" si="234">IFERROR(F3714/E3714-G3714,0)</f>
        <v>1.3699999999999999</v>
      </c>
      <c r="J3714" s="760">
        <f t="shared" ref="J3714:J3777" si="235">IFERROR(1-G3714*E3714/F3714,0)</f>
        <v>0.97857142857142854</v>
      </c>
    </row>
    <row r="3715" spans="1:10">
      <c r="A3715" s="74" t="s">
        <v>891</v>
      </c>
      <c r="B3715" s="74" t="s">
        <v>264</v>
      </c>
      <c r="C3715" s="74" t="s">
        <v>1518</v>
      </c>
      <c r="D3715" s="74" t="s">
        <v>82</v>
      </c>
      <c r="E3715" s="74">
        <v>1</v>
      </c>
      <c r="F3715" s="74">
        <v>1.4</v>
      </c>
      <c r="G3715" s="758">
        <f t="shared" si="232"/>
        <v>0.03</v>
      </c>
      <c r="H3715" s="759">
        <f t="shared" si="233"/>
        <v>0.24</v>
      </c>
      <c r="I3715" s="758">
        <f t="shared" si="234"/>
        <v>1.3699999999999999</v>
      </c>
      <c r="J3715" s="760">
        <f t="shared" si="235"/>
        <v>0.97857142857142854</v>
      </c>
    </row>
    <row r="3716" spans="1:10">
      <c r="A3716" s="74" t="s">
        <v>891</v>
      </c>
      <c r="B3716" s="74" t="s">
        <v>264</v>
      </c>
      <c r="C3716" s="74" t="s">
        <v>1519</v>
      </c>
      <c r="D3716" s="74" t="s">
        <v>84</v>
      </c>
      <c r="E3716" s="74">
        <v>3</v>
      </c>
      <c r="F3716" s="74">
        <v>4.2</v>
      </c>
      <c r="G3716" s="758">
        <f t="shared" si="232"/>
        <v>0.03</v>
      </c>
      <c r="H3716" s="759">
        <f t="shared" si="233"/>
        <v>0.24</v>
      </c>
      <c r="I3716" s="758">
        <f t="shared" si="234"/>
        <v>1.37</v>
      </c>
      <c r="J3716" s="760">
        <f t="shared" si="235"/>
        <v>0.97857142857142854</v>
      </c>
    </row>
    <row r="3717" spans="1:10">
      <c r="A3717" s="74" t="s">
        <v>891</v>
      </c>
      <c r="B3717" s="74" t="s">
        <v>264</v>
      </c>
      <c r="C3717" s="74" t="s">
        <v>1540</v>
      </c>
      <c r="D3717" s="74" t="s">
        <v>84</v>
      </c>
      <c r="E3717" s="74">
        <v>1</v>
      </c>
      <c r="F3717" s="74">
        <v>1.4</v>
      </c>
      <c r="G3717" s="758">
        <f t="shared" si="232"/>
        <v>0.03</v>
      </c>
      <c r="H3717" s="759">
        <f t="shared" si="233"/>
        <v>0.24</v>
      </c>
      <c r="I3717" s="758">
        <f t="shared" si="234"/>
        <v>1.3699999999999999</v>
      </c>
      <c r="J3717" s="760">
        <f t="shared" si="235"/>
        <v>0.97857142857142854</v>
      </c>
    </row>
    <row r="3718" spans="1:10">
      <c r="A3718" s="74" t="s">
        <v>891</v>
      </c>
      <c r="B3718" s="74" t="s">
        <v>264</v>
      </c>
      <c r="C3718" s="74" t="s">
        <v>1520</v>
      </c>
      <c r="D3718" s="74" t="s">
        <v>84</v>
      </c>
      <c r="E3718" s="74">
        <v>1</v>
      </c>
      <c r="F3718" s="74">
        <v>1.4</v>
      </c>
      <c r="G3718" s="758">
        <f t="shared" si="232"/>
        <v>0.03</v>
      </c>
      <c r="H3718" s="759">
        <f t="shared" si="233"/>
        <v>0.24</v>
      </c>
      <c r="I3718" s="758">
        <f t="shared" si="234"/>
        <v>1.3699999999999999</v>
      </c>
      <c r="J3718" s="760">
        <f t="shared" si="235"/>
        <v>0.97857142857142854</v>
      </c>
    </row>
    <row r="3719" spans="1:10">
      <c r="A3719" s="74" t="s">
        <v>891</v>
      </c>
      <c r="B3719" s="74" t="s">
        <v>264</v>
      </c>
      <c r="C3719" s="74" t="s">
        <v>1577</v>
      </c>
      <c r="D3719" s="74" t="s">
        <v>84</v>
      </c>
      <c r="E3719" s="74">
        <v>5</v>
      </c>
      <c r="F3719" s="74">
        <v>7</v>
      </c>
      <c r="G3719" s="758">
        <f t="shared" si="232"/>
        <v>0.03</v>
      </c>
      <c r="H3719" s="759">
        <f t="shared" si="233"/>
        <v>0.24</v>
      </c>
      <c r="I3719" s="758">
        <f t="shared" si="234"/>
        <v>1.3699999999999999</v>
      </c>
      <c r="J3719" s="760">
        <f t="shared" si="235"/>
        <v>0.97857142857142854</v>
      </c>
    </row>
    <row r="3720" spans="1:10">
      <c r="A3720" s="74" t="s">
        <v>891</v>
      </c>
      <c r="B3720" s="74" t="s">
        <v>264</v>
      </c>
      <c r="C3720" s="74" t="s">
        <v>1507</v>
      </c>
      <c r="D3720" s="74" t="s">
        <v>86</v>
      </c>
      <c r="E3720" s="74">
        <v>5</v>
      </c>
      <c r="F3720" s="74">
        <v>7</v>
      </c>
      <c r="G3720" s="758">
        <f t="shared" si="232"/>
        <v>0.03</v>
      </c>
      <c r="H3720" s="759">
        <f t="shared" si="233"/>
        <v>0.24</v>
      </c>
      <c r="I3720" s="758">
        <f t="shared" si="234"/>
        <v>1.3699999999999999</v>
      </c>
      <c r="J3720" s="760">
        <f t="shared" si="235"/>
        <v>0.97857142857142854</v>
      </c>
    </row>
    <row r="3721" spans="1:10">
      <c r="A3721" s="74" t="s">
        <v>891</v>
      </c>
      <c r="B3721" s="74" t="s">
        <v>264</v>
      </c>
      <c r="C3721" s="74" t="s">
        <v>1644</v>
      </c>
      <c r="D3721" s="74" t="s">
        <v>86</v>
      </c>
      <c r="E3721" s="74">
        <v>2</v>
      </c>
      <c r="F3721" s="74">
        <v>2.8</v>
      </c>
      <c r="G3721" s="758">
        <f t="shared" si="232"/>
        <v>0.03</v>
      </c>
      <c r="H3721" s="759">
        <f t="shared" si="233"/>
        <v>0.24</v>
      </c>
      <c r="I3721" s="758">
        <f t="shared" si="234"/>
        <v>1.3699999999999999</v>
      </c>
      <c r="J3721" s="760">
        <f t="shared" si="235"/>
        <v>0.97857142857142854</v>
      </c>
    </row>
    <row r="3722" spans="1:10">
      <c r="A3722" s="74" t="s">
        <v>891</v>
      </c>
      <c r="B3722" s="74" t="s">
        <v>264</v>
      </c>
      <c r="C3722" s="74" t="s">
        <v>1578</v>
      </c>
      <c r="D3722" s="74" t="s">
        <v>86</v>
      </c>
      <c r="E3722" s="74">
        <v>4</v>
      </c>
      <c r="F3722" s="74">
        <v>5.6</v>
      </c>
      <c r="G3722" s="758">
        <f t="shared" si="232"/>
        <v>0.03</v>
      </c>
      <c r="H3722" s="759">
        <f t="shared" si="233"/>
        <v>0.24</v>
      </c>
      <c r="I3722" s="758">
        <f t="shared" si="234"/>
        <v>1.3699999999999999</v>
      </c>
      <c r="J3722" s="760">
        <f t="shared" si="235"/>
        <v>0.97857142857142854</v>
      </c>
    </row>
    <row r="3723" spans="1:10">
      <c r="A3723" s="74" t="s">
        <v>891</v>
      </c>
      <c r="B3723" s="74" t="s">
        <v>264</v>
      </c>
      <c r="C3723" s="74" t="s">
        <v>1646</v>
      </c>
      <c r="D3723" s="74" t="s">
        <v>86</v>
      </c>
      <c r="E3723" s="74">
        <v>1</v>
      </c>
      <c r="F3723" s="74">
        <v>1.4</v>
      </c>
      <c r="G3723" s="758">
        <f t="shared" si="232"/>
        <v>0.03</v>
      </c>
      <c r="H3723" s="759">
        <f t="shared" si="233"/>
        <v>0.24</v>
      </c>
      <c r="I3723" s="758">
        <f t="shared" si="234"/>
        <v>1.3699999999999999</v>
      </c>
      <c r="J3723" s="760">
        <f t="shared" si="235"/>
        <v>0.97857142857142854</v>
      </c>
    </row>
    <row r="3724" spans="1:10">
      <c r="A3724" s="74" t="s">
        <v>891</v>
      </c>
      <c r="B3724" s="74" t="s">
        <v>264</v>
      </c>
      <c r="C3724" s="74" t="s">
        <v>1541</v>
      </c>
      <c r="D3724" s="74" t="s">
        <v>86</v>
      </c>
      <c r="E3724" s="74">
        <v>3</v>
      </c>
      <c r="F3724" s="74">
        <v>4.2</v>
      </c>
      <c r="G3724" s="758">
        <f t="shared" si="232"/>
        <v>0.03</v>
      </c>
      <c r="H3724" s="759">
        <f t="shared" si="233"/>
        <v>0.24</v>
      </c>
      <c r="I3724" s="758">
        <f t="shared" si="234"/>
        <v>1.37</v>
      </c>
      <c r="J3724" s="760">
        <f t="shared" si="235"/>
        <v>0.97857142857142854</v>
      </c>
    </row>
    <row r="3725" spans="1:10">
      <c r="A3725" s="74" t="s">
        <v>891</v>
      </c>
      <c r="B3725" s="74" t="s">
        <v>264</v>
      </c>
      <c r="C3725" s="74" t="s">
        <v>1543</v>
      </c>
      <c r="D3725" s="74" t="s">
        <v>87</v>
      </c>
      <c r="E3725" s="74">
        <v>3</v>
      </c>
      <c r="F3725" s="74">
        <v>5.8</v>
      </c>
      <c r="G3725" s="758">
        <f t="shared" si="232"/>
        <v>0.03</v>
      </c>
      <c r="H3725" s="759">
        <f t="shared" si="233"/>
        <v>0.24</v>
      </c>
      <c r="I3725" s="758">
        <f t="shared" si="234"/>
        <v>1.9033333333333333</v>
      </c>
      <c r="J3725" s="760">
        <f t="shared" si="235"/>
        <v>0.98448275862068968</v>
      </c>
    </row>
    <row r="3726" spans="1:10">
      <c r="A3726" s="74" t="s">
        <v>891</v>
      </c>
      <c r="B3726" s="74" t="s">
        <v>264</v>
      </c>
      <c r="C3726" s="74" t="s">
        <v>1544</v>
      </c>
      <c r="D3726" s="74" t="s">
        <v>87</v>
      </c>
      <c r="E3726" s="74">
        <v>4</v>
      </c>
      <c r="F3726" s="74">
        <v>5.6</v>
      </c>
      <c r="G3726" s="758">
        <f t="shared" si="232"/>
        <v>0.03</v>
      </c>
      <c r="H3726" s="759">
        <f t="shared" si="233"/>
        <v>0.24</v>
      </c>
      <c r="I3726" s="758">
        <f t="shared" si="234"/>
        <v>1.3699999999999999</v>
      </c>
      <c r="J3726" s="760">
        <f t="shared" si="235"/>
        <v>0.97857142857142854</v>
      </c>
    </row>
    <row r="3727" spans="1:10">
      <c r="A3727" s="74" t="s">
        <v>891</v>
      </c>
      <c r="B3727" s="74" t="s">
        <v>264</v>
      </c>
      <c r="C3727" s="74" t="s">
        <v>1605</v>
      </c>
      <c r="D3727" s="74" t="s">
        <v>87</v>
      </c>
      <c r="E3727" s="74">
        <v>1</v>
      </c>
      <c r="F3727" s="74">
        <v>1.4</v>
      </c>
      <c r="G3727" s="758">
        <f t="shared" si="232"/>
        <v>0.03</v>
      </c>
      <c r="H3727" s="759">
        <f t="shared" si="233"/>
        <v>0.24</v>
      </c>
      <c r="I3727" s="758">
        <f t="shared" si="234"/>
        <v>1.3699999999999999</v>
      </c>
      <c r="J3727" s="760">
        <f t="shared" si="235"/>
        <v>0.97857142857142854</v>
      </c>
    </row>
    <row r="3728" spans="1:10">
      <c r="A3728" s="74" t="s">
        <v>891</v>
      </c>
      <c r="B3728" s="74" t="s">
        <v>264</v>
      </c>
      <c r="C3728" s="74" t="s">
        <v>1561</v>
      </c>
      <c r="D3728" s="74" t="s">
        <v>87</v>
      </c>
      <c r="E3728" s="74">
        <v>1</v>
      </c>
      <c r="F3728" s="74">
        <v>1.4</v>
      </c>
      <c r="G3728" s="758">
        <f t="shared" si="232"/>
        <v>0.03</v>
      </c>
      <c r="H3728" s="759">
        <f t="shared" si="233"/>
        <v>0.24</v>
      </c>
      <c r="I3728" s="758">
        <f t="shared" si="234"/>
        <v>1.3699999999999999</v>
      </c>
      <c r="J3728" s="760">
        <f t="shared" si="235"/>
        <v>0.97857142857142854</v>
      </c>
    </row>
    <row r="3729" spans="1:10">
      <c r="A3729" s="74" t="s">
        <v>891</v>
      </c>
      <c r="B3729" s="74" t="s">
        <v>264</v>
      </c>
      <c r="C3729" s="74" t="s">
        <v>1608</v>
      </c>
      <c r="D3729" s="74" t="s">
        <v>89</v>
      </c>
      <c r="E3729" s="74">
        <v>2</v>
      </c>
      <c r="F3729" s="74">
        <v>4.4000000000000004</v>
      </c>
      <c r="G3729" s="758">
        <f t="shared" si="232"/>
        <v>0.03</v>
      </c>
      <c r="H3729" s="759">
        <f t="shared" si="233"/>
        <v>0.24</v>
      </c>
      <c r="I3729" s="758">
        <f t="shared" si="234"/>
        <v>2.1700000000000004</v>
      </c>
      <c r="J3729" s="760">
        <f t="shared" si="235"/>
        <v>0.98636363636363633</v>
      </c>
    </row>
    <row r="3730" spans="1:10">
      <c r="A3730" s="74" t="s">
        <v>891</v>
      </c>
      <c r="B3730" s="74" t="s">
        <v>264</v>
      </c>
      <c r="C3730" s="74" t="s">
        <v>1610</v>
      </c>
      <c r="D3730" s="74" t="s">
        <v>89</v>
      </c>
      <c r="E3730" s="74">
        <v>2</v>
      </c>
      <c r="F3730" s="74">
        <v>2.8</v>
      </c>
      <c r="G3730" s="758">
        <f t="shared" si="232"/>
        <v>0.03</v>
      </c>
      <c r="H3730" s="759">
        <f t="shared" si="233"/>
        <v>0.24</v>
      </c>
      <c r="I3730" s="758">
        <f t="shared" si="234"/>
        <v>1.3699999999999999</v>
      </c>
      <c r="J3730" s="760">
        <f t="shared" si="235"/>
        <v>0.97857142857142854</v>
      </c>
    </row>
    <row r="3731" spans="1:10">
      <c r="A3731" s="74" t="s">
        <v>891</v>
      </c>
      <c r="B3731" s="74" t="s">
        <v>264</v>
      </c>
      <c r="C3731" s="74" t="s">
        <v>1546</v>
      </c>
      <c r="D3731" s="74" t="s">
        <v>89</v>
      </c>
      <c r="E3731" s="74">
        <v>2</v>
      </c>
      <c r="F3731" s="74">
        <v>2.8</v>
      </c>
      <c r="G3731" s="758">
        <f t="shared" si="232"/>
        <v>0.03</v>
      </c>
      <c r="H3731" s="759">
        <f t="shared" si="233"/>
        <v>0.24</v>
      </c>
      <c r="I3731" s="758">
        <f t="shared" si="234"/>
        <v>1.3699999999999999</v>
      </c>
      <c r="J3731" s="760">
        <f t="shared" si="235"/>
        <v>0.97857142857142854</v>
      </c>
    </row>
    <row r="3732" spans="1:10">
      <c r="A3732" s="74" t="s">
        <v>891</v>
      </c>
      <c r="B3732" s="74" t="s">
        <v>264</v>
      </c>
      <c r="C3732" s="74" t="s">
        <v>1547</v>
      </c>
      <c r="D3732" s="74" t="s">
        <v>89</v>
      </c>
      <c r="E3732" s="74">
        <v>4</v>
      </c>
      <c r="F3732" s="74">
        <v>5.6</v>
      </c>
      <c r="G3732" s="758">
        <f t="shared" si="232"/>
        <v>0.03</v>
      </c>
      <c r="H3732" s="759">
        <f t="shared" si="233"/>
        <v>0.24</v>
      </c>
      <c r="I3732" s="758">
        <f t="shared" si="234"/>
        <v>1.3699999999999999</v>
      </c>
      <c r="J3732" s="760">
        <f t="shared" si="235"/>
        <v>0.97857142857142854</v>
      </c>
    </row>
    <row r="3733" spans="1:10">
      <c r="A3733" s="74" t="s">
        <v>891</v>
      </c>
      <c r="B3733" s="74" t="s">
        <v>264</v>
      </c>
      <c r="C3733" s="74" t="s">
        <v>1582</v>
      </c>
      <c r="D3733" s="74" t="s">
        <v>89</v>
      </c>
      <c r="E3733" s="74">
        <v>2</v>
      </c>
      <c r="F3733" s="74">
        <v>2.8</v>
      </c>
      <c r="G3733" s="758">
        <f t="shared" si="232"/>
        <v>0.03</v>
      </c>
      <c r="H3733" s="759">
        <f t="shared" si="233"/>
        <v>0.24</v>
      </c>
      <c r="I3733" s="758">
        <f t="shared" si="234"/>
        <v>1.3699999999999999</v>
      </c>
      <c r="J3733" s="760">
        <f t="shared" si="235"/>
        <v>0.97857142857142854</v>
      </c>
    </row>
    <row r="3734" spans="1:10">
      <c r="A3734" s="74" t="s">
        <v>891</v>
      </c>
      <c r="B3734" s="74" t="s">
        <v>264</v>
      </c>
      <c r="C3734" s="74" t="s">
        <v>1522</v>
      </c>
      <c r="D3734" s="74" t="s">
        <v>91</v>
      </c>
      <c r="E3734" s="74">
        <v>3</v>
      </c>
      <c r="F3734" s="74">
        <v>4.2</v>
      </c>
      <c r="G3734" s="758">
        <f t="shared" si="232"/>
        <v>0.03</v>
      </c>
      <c r="H3734" s="759">
        <f t="shared" si="233"/>
        <v>0.24</v>
      </c>
      <c r="I3734" s="758">
        <f t="shared" si="234"/>
        <v>1.37</v>
      </c>
      <c r="J3734" s="760">
        <f t="shared" si="235"/>
        <v>0.97857142857142854</v>
      </c>
    </row>
    <row r="3735" spans="1:10">
      <c r="A3735" s="74" t="s">
        <v>891</v>
      </c>
      <c r="B3735" s="74" t="s">
        <v>264</v>
      </c>
      <c r="C3735" s="74" t="s">
        <v>1550</v>
      </c>
      <c r="D3735" s="74" t="s">
        <v>91</v>
      </c>
      <c r="E3735" s="74">
        <v>2</v>
      </c>
      <c r="F3735" s="74">
        <v>2.8</v>
      </c>
      <c r="G3735" s="758">
        <f t="shared" si="232"/>
        <v>0.03</v>
      </c>
      <c r="H3735" s="759">
        <f t="shared" si="233"/>
        <v>0.24</v>
      </c>
      <c r="I3735" s="758">
        <f t="shared" si="234"/>
        <v>1.3699999999999999</v>
      </c>
      <c r="J3735" s="760">
        <f t="shared" si="235"/>
        <v>0.97857142857142854</v>
      </c>
    </row>
    <row r="3736" spans="1:10">
      <c r="A3736" s="74" t="s">
        <v>891</v>
      </c>
      <c r="B3736" s="74" t="s">
        <v>264</v>
      </c>
      <c r="C3736" s="74" t="s">
        <v>1675</v>
      </c>
      <c r="D3736" s="74" t="s">
        <v>91</v>
      </c>
      <c r="E3736" s="74">
        <v>5</v>
      </c>
      <c r="F3736" s="74">
        <v>7</v>
      </c>
      <c r="G3736" s="758">
        <f t="shared" si="232"/>
        <v>0.03</v>
      </c>
      <c r="H3736" s="759">
        <f t="shared" si="233"/>
        <v>0.24</v>
      </c>
      <c r="I3736" s="758">
        <f t="shared" si="234"/>
        <v>1.3699999999999999</v>
      </c>
      <c r="J3736" s="760">
        <f t="shared" si="235"/>
        <v>0.97857142857142854</v>
      </c>
    </row>
    <row r="3737" spans="1:10">
      <c r="A3737" s="74" t="s">
        <v>891</v>
      </c>
      <c r="B3737" s="74" t="s">
        <v>264</v>
      </c>
      <c r="C3737" s="74" t="s">
        <v>1524</v>
      </c>
      <c r="D3737" s="74" t="s">
        <v>91</v>
      </c>
      <c r="E3737" s="74">
        <v>3</v>
      </c>
      <c r="F3737" s="74">
        <v>4.2</v>
      </c>
      <c r="G3737" s="758">
        <f t="shared" si="232"/>
        <v>0.03</v>
      </c>
      <c r="H3737" s="759">
        <f t="shared" si="233"/>
        <v>0.24</v>
      </c>
      <c r="I3737" s="758">
        <f t="shared" si="234"/>
        <v>1.37</v>
      </c>
      <c r="J3737" s="760">
        <f t="shared" si="235"/>
        <v>0.97857142857142854</v>
      </c>
    </row>
    <row r="3738" spans="1:10">
      <c r="A3738" s="74" t="s">
        <v>891</v>
      </c>
      <c r="B3738" s="74" t="s">
        <v>264</v>
      </c>
      <c r="C3738" s="74" t="s">
        <v>1584</v>
      </c>
      <c r="D3738" s="74" t="s">
        <v>92</v>
      </c>
      <c r="E3738" s="74">
        <v>1</v>
      </c>
      <c r="F3738" s="74">
        <v>1.4</v>
      </c>
      <c r="G3738" s="758">
        <f t="shared" si="232"/>
        <v>0.03</v>
      </c>
      <c r="H3738" s="759">
        <f t="shared" si="233"/>
        <v>0.24</v>
      </c>
      <c r="I3738" s="758">
        <f t="shared" si="234"/>
        <v>1.3699999999999999</v>
      </c>
      <c r="J3738" s="760">
        <f t="shared" si="235"/>
        <v>0.97857142857142854</v>
      </c>
    </row>
    <row r="3739" spans="1:10">
      <c r="A3739" s="74" t="s">
        <v>891</v>
      </c>
      <c r="B3739" s="74" t="s">
        <v>264</v>
      </c>
      <c r="C3739" s="74" t="s">
        <v>1614</v>
      </c>
      <c r="D3739" s="74" t="s">
        <v>92</v>
      </c>
      <c r="E3739" s="74">
        <v>1</v>
      </c>
      <c r="F3739" s="74">
        <v>1.4</v>
      </c>
      <c r="G3739" s="758">
        <f t="shared" si="232"/>
        <v>0.03</v>
      </c>
      <c r="H3739" s="759">
        <f t="shared" si="233"/>
        <v>0.24</v>
      </c>
      <c r="I3739" s="758">
        <f t="shared" si="234"/>
        <v>1.3699999999999999</v>
      </c>
      <c r="J3739" s="760">
        <f t="shared" si="235"/>
        <v>0.97857142857142854</v>
      </c>
    </row>
    <row r="3740" spans="1:10">
      <c r="A3740" s="74" t="s">
        <v>891</v>
      </c>
      <c r="B3740" s="74" t="s">
        <v>264</v>
      </c>
      <c r="C3740" s="74" t="s">
        <v>1631</v>
      </c>
      <c r="D3740" s="74" t="s">
        <v>92</v>
      </c>
      <c r="E3740" s="74">
        <v>2</v>
      </c>
      <c r="F3740" s="74">
        <v>4.4000000000000004</v>
      </c>
      <c r="G3740" s="758">
        <f t="shared" si="232"/>
        <v>0.03</v>
      </c>
      <c r="H3740" s="759">
        <f t="shared" si="233"/>
        <v>0.24</v>
      </c>
      <c r="I3740" s="758">
        <f t="shared" si="234"/>
        <v>2.1700000000000004</v>
      </c>
      <c r="J3740" s="760">
        <f t="shared" si="235"/>
        <v>0.98636363636363633</v>
      </c>
    </row>
    <row r="3741" spans="1:10">
      <c r="A3741" s="74" t="s">
        <v>891</v>
      </c>
      <c r="B3741" s="74" t="s">
        <v>264</v>
      </c>
      <c r="C3741" s="74" t="s">
        <v>1617</v>
      </c>
      <c r="D3741" s="74" t="s">
        <v>94</v>
      </c>
      <c r="E3741" s="74">
        <v>4</v>
      </c>
      <c r="F3741" s="74">
        <v>5.6</v>
      </c>
      <c r="G3741" s="758">
        <f t="shared" si="232"/>
        <v>0.03</v>
      </c>
      <c r="H3741" s="759">
        <f t="shared" si="233"/>
        <v>0.24</v>
      </c>
      <c r="I3741" s="758">
        <f t="shared" si="234"/>
        <v>1.3699999999999999</v>
      </c>
      <c r="J3741" s="760">
        <f t="shared" si="235"/>
        <v>0.97857142857142854</v>
      </c>
    </row>
    <row r="3742" spans="1:10">
      <c r="A3742" s="74" t="s">
        <v>891</v>
      </c>
      <c r="B3742" s="74" t="s">
        <v>264</v>
      </c>
      <c r="C3742" s="74" t="s">
        <v>1553</v>
      </c>
      <c r="D3742" s="74" t="s">
        <v>94</v>
      </c>
      <c r="E3742" s="74">
        <v>2</v>
      </c>
      <c r="F3742" s="74">
        <v>2.8</v>
      </c>
      <c r="G3742" s="758">
        <f t="shared" si="232"/>
        <v>0.03</v>
      </c>
      <c r="H3742" s="759">
        <f t="shared" si="233"/>
        <v>0.24</v>
      </c>
      <c r="I3742" s="758">
        <f t="shared" si="234"/>
        <v>1.3699999999999999</v>
      </c>
      <c r="J3742" s="760">
        <f t="shared" si="235"/>
        <v>0.97857142857142854</v>
      </c>
    </row>
    <row r="3743" spans="1:10">
      <c r="A3743" s="74" t="s">
        <v>891</v>
      </c>
      <c r="B3743" s="74" t="s">
        <v>264</v>
      </c>
      <c r="C3743" s="74" t="s">
        <v>1555</v>
      </c>
      <c r="D3743" s="74" t="s">
        <v>94</v>
      </c>
      <c r="E3743" s="74">
        <v>2</v>
      </c>
      <c r="F3743" s="74">
        <v>2.8</v>
      </c>
      <c r="G3743" s="758">
        <f t="shared" si="232"/>
        <v>0.03</v>
      </c>
      <c r="H3743" s="759">
        <f t="shared" si="233"/>
        <v>0.24</v>
      </c>
      <c r="I3743" s="758">
        <f t="shared" si="234"/>
        <v>1.3699999999999999</v>
      </c>
      <c r="J3743" s="760">
        <f t="shared" si="235"/>
        <v>0.97857142857142854</v>
      </c>
    </row>
    <row r="3744" spans="1:10">
      <c r="A3744" s="74" t="s">
        <v>891</v>
      </c>
      <c r="B3744" s="74" t="s">
        <v>264</v>
      </c>
      <c r="C3744" s="74" t="s">
        <v>1557</v>
      </c>
      <c r="D3744" s="74" t="s">
        <v>95</v>
      </c>
      <c r="E3744" s="74">
        <v>2</v>
      </c>
      <c r="F3744" s="74">
        <v>2.8</v>
      </c>
      <c r="G3744" s="758">
        <f t="shared" si="232"/>
        <v>0.03</v>
      </c>
      <c r="H3744" s="759">
        <f t="shared" si="233"/>
        <v>0.24</v>
      </c>
      <c r="I3744" s="758">
        <f t="shared" si="234"/>
        <v>1.3699999999999999</v>
      </c>
      <c r="J3744" s="760">
        <f t="shared" si="235"/>
        <v>0.97857142857142854</v>
      </c>
    </row>
    <row r="3745" spans="1:10">
      <c r="A3745" s="74" t="s">
        <v>891</v>
      </c>
      <c r="B3745" s="74" t="s">
        <v>264</v>
      </c>
      <c r="C3745" s="74" t="s">
        <v>1526</v>
      </c>
      <c r="D3745" s="74" t="s">
        <v>95</v>
      </c>
      <c r="E3745" s="74">
        <v>4</v>
      </c>
      <c r="F3745" s="74">
        <v>5.6</v>
      </c>
      <c r="G3745" s="758">
        <f t="shared" si="232"/>
        <v>0.03</v>
      </c>
      <c r="H3745" s="759">
        <f t="shared" si="233"/>
        <v>0.24</v>
      </c>
      <c r="I3745" s="758">
        <f t="shared" si="234"/>
        <v>1.3699999999999999</v>
      </c>
      <c r="J3745" s="760">
        <f t="shared" si="235"/>
        <v>0.97857142857142854</v>
      </c>
    </row>
    <row r="3746" spans="1:10">
      <c r="A3746" s="74" t="s">
        <v>891</v>
      </c>
      <c r="B3746" s="74" t="s">
        <v>264</v>
      </c>
      <c r="C3746" s="74" t="s">
        <v>1930</v>
      </c>
      <c r="D3746" s="74" t="s">
        <v>95</v>
      </c>
      <c r="E3746" s="74">
        <v>3</v>
      </c>
      <c r="F3746" s="74">
        <v>5.8</v>
      </c>
      <c r="G3746" s="758">
        <f t="shared" si="232"/>
        <v>0.03</v>
      </c>
      <c r="H3746" s="759">
        <f t="shared" si="233"/>
        <v>0.24</v>
      </c>
      <c r="I3746" s="758">
        <f t="shared" si="234"/>
        <v>1.9033333333333333</v>
      </c>
      <c r="J3746" s="760">
        <f t="shared" si="235"/>
        <v>0.98448275862068968</v>
      </c>
    </row>
    <row r="3747" spans="1:10">
      <c r="A3747" s="74" t="s">
        <v>2296</v>
      </c>
      <c r="B3747" s="74" t="s">
        <v>264</v>
      </c>
      <c r="C3747" s="74" t="s">
        <v>1543</v>
      </c>
      <c r="D3747" s="74" t="s">
        <v>87</v>
      </c>
      <c r="E3747" s="74">
        <v>1</v>
      </c>
      <c r="F3747" s="74">
        <v>0.77</v>
      </c>
      <c r="G3747" s="758">
        <f t="shared" si="232"/>
        <v>0</v>
      </c>
      <c r="H3747" s="759">
        <f t="shared" si="233"/>
        <v>0</v>
      </c>
      <c r="I3747" s="758">
        <f t="shared" si="234"/>
        <v>0.77</v>
      </c>
      <c r="J3747" s="760">
        <f t="shared" si="235"/>
        <v>1</v>
      </c>
    </row>
    <row r="3748" spans="1:10">
      <c r="A3748" s="74" t="s">
        <v>1899</v>
      </c>
      <c r="B3748" s="74" t="s">
        <v>873</v>
      </c>
      <c r="C3748" s="74" t="s">
        <v>1675</v>
      </c>
      <c r="D3748" s="74" t="s">
        <v>91</v>
      </c>
      <c r="E3748" s="74">
        <v>3</v>
      </c>
      <c r="F3748" s="74">
        <v>0</v>
      </c>
      <c r="G3748" s="758">
        <f t="shared" si="232"/>
        <v>0</v>
      </c>
      <c r="H3748" s="759">
        <f t="shared" si="233"/>
        <v>0</v>
      </c>
      <c r="I3748" s="758">
        <f t="shared" si="234"/>
        <v>0</v>
      </c>
      <c r="J3748" s="760">
        <f t="shared" si="235"/>
        <v>0</v>
      </c>
    </row>
    <row r="3749" spans="1:10">
      <c r="A3749" s="74" t="s">
        <v>1900</v>
      </c>
      <c r="B3749" s="74" t="s">
        <v>725</v>
      </c>
      <c r="C3749" s="74" t="s">
        <v>1528</v>
      </c>
      <c r="D3749" s="74" t="s">
        <v>78</v>
      </c>
      <c r="E3749" s="74">
        <v>1</v>
      </c>
      <c r="F3749" s="74">
        <v>4.55</v>
      </c>
      <c r="G3749" s="758">
        <f t="shared" si="232"/>
        <v>0.83</v>
      </c>
      <c r="H3749" s="759">
        <f t="shared" si="233"/>
        <v>0.24</v>
      </c>
      <c r="I3749" s="758">
        <f t="shared" si="234"/>
        <v>3.7199999999999998</v>
      </c>
      <c r="J3749" s="760">
        <f t="shared" si="235"/>
        <v>0.81758241758241756</v>
      </c>
    </row>
    <row r="3750" spans="1:10">
      <c r="A3750" s="74" t="s">
        <v>1901</v>
      </c>
      <c r="B3750" s="74" t="s">
        <v>264</v>
      </c>
      <c r="C3750" s="74" t="s">
        <v>1552</v>
      </c>
      <c r="D3750" s="74" t="s">
        <v>92</v>
      </c>
      <c r="E3750" s="74">
        <v>1</v>
      </c>
      <c r="F3750" s="74">
        <v>1.25</v>
      </c>
      <c r="G3750" s="758">
        <f t="shared" si="232"/>
        <v>0</v>
      </c>
      <c r="H3750" s="759">
        <f t="shared" si="233"/>
        <v>0</v>
      </c>
      <c r="I3750" s="758">
        <f t="shared" si="234"/>
        <v>1.25</v>
      </c>
      <c r="J3750" s="760">
        <f t="shared" si="235"/>
        <v>1</v>
      </c>
    </row>
    <row r="3751" spans="1:10">
      <c r="A3751" s="74" t="s">
        <v>724</v>
      </c>
      <c r="B3751" s="74" t="s">
        <v>725</v>
      </c>
      <c r="C3751" s="74" t="s">
        <v>1528</v>
      </c>
      <c r="D3751" s="74" t="s">
        <v>78</v>
      </c>
      <c r="E3751" s="74">
        <v>1</v>
      </c>
      <c r="F3751" s="74">
        <v>2.73</v>
      </c>
      <c r="G3751" s="758">
        <f t="shared" si="232"/>
        <v>0</v>
      </c>
      <c r="H3751" s="759">
        <f t="shared" si="233"/>
        <v>0</v>
      </c>
      <c r="I3751" s="758">
        <f t="shared" si="234"/>
        <v>2.73</v>
      </c>
      <c r="J3751" s="760">
        <f t="shared" si="235"/>
        <v>1</v>
      </c>
    </row>
    <row r="3752" spans="1:10">
      <c r="A3752" s="74" t="s">
        <v>724</v>
      </c>
      <c r="B3752" s="74" t="s">
        <v>725</v>
      </c>
      <c r="C3752" s="74" t="s">
        <v>1530</v>
      </c>
      <c r="D3752" s="74" t="s">
        <v>80</v>
      </c>
      <c r="E3752" s="74">
        <v>2</v>
      </c>
      <c r="F3752" s="74">
        <v>5.18</v>
      </c>
      <c r="G3752" s="758">
        <f t="shared" si="232"/>
        <v>0</v>
      </c>
      <c r="H3752" s="759">
        <f t="shared" si="233"/>
        <v>0</v>
      </c>
      <c r="I3752" s="758">
        <f t="shared" si="234"/>
        <v>2.59</v>
      </c>
      <c r="J3752" s="760">
        <f t="shared" si="235"/>
        <v>1</v>
      </c>
    </row>
    <row r="3753" spans="1:10">
      <c r="A3753" s="74" t="s">
        <v>724</v>
      </c>
      <c r="B3753" s="74" t="s">
        <v>725</v>
      </c>
      <c r="C3753" s="74" t="s">
        <v>1532</v>
      </c>
      <c r="D3753" s="74" t="s">
        <v>80</v>
      </c>
      <c r="E3753" s="74">
        <v>2</v>
      </c>
      <c r="F3753" s="74">
        <v>5.18</v>
      </c>
      <c r="G3753" s="758">
        <f t="shared" si="232"/>
        <v>0</v>
      </c>
      <c r="H3753" s="759">
        <f t="shared" si="233"/>
        <v>0</v>
      </c>
      <c r="I3753" s="758">
        <f t="shared" si="234"/>
        <v>2.59</v>
      </c>
      <c r="J3753" s="760">
        <f t="shared" si="235"/>
        <v>1</v>
      </c>
    </row>
    <row r="3754" spans="1:10">
      <c r="A3754" s="74" t="s">
        <v>1902</v>
      </c>
      <c r="B3754" s="74" t="s">
        <v>725</v>
      </c>
      <c r="C3754" s="74" t="s">
        <v>1511</v>
      </c>
      <c r="D3754" s="74" t="s">
        <v>80</v>
      </c>
      <c r="E3754" s="74">
        <v>1</v>
      </c>
      <c r="F3754" s="74">
        <v>2.25</v>
      </c>
      <c r="G3754" s="758">
        <f t="shared" si="232"/>
        <v>0</v>
      </c>
      <c r="H3754" s="759">
        <f t="shared" si="233"/>
        <v>0.24</v>
      </c>
      <c r="I3754" s="758">
        <f t="shared" si="234"/>
        <v>2.25</v>
      </c>
      <c r="J3754" s="760">
        <f t="shared" si="235"/>
        <v>1</v>
      </c>
    </row>
    <row r="3755" spans="1:10">
      <c r="A3755" s="74" t="s">
        <v>1903</v>
      </c>
      <c r="B3755" s="74" t="s">
        <v>877</v>
      </c>
      <c r="C3755" s="74" t="s">
        <v>1565</v>
      </c>
      <c r="D3755" s="74" t="s">
        <v>78</v>
      </c>
      <c r="E3755" s="74">
        <v>2</v>
      </c>
      <c r="F3755" s="74">
        <v>6</v>
      </c>
      <c r="G3755" s="758">
        <f t="shared" si="232"/>
        <v>2.4</v>
      </c>
      <c r="H3755" s="759">
        <f t="shared" si="233"/>
        <v>0.88</v>
      </c>
      <c r="I3755" s="758">
        <f t="shared" si="234"/>
        <v>0.60000000000000009</v>
      </c>
      <c r="J3755" s="760">
        <f t="shared" si="235"/>
        <v>0.20000000000000007</v>
      </c>
    </row>
    <row r="3756" spans="1:10">
      <c r="A3756" s="74" t="s">
        <v>1904</v>
      </c>
      <c r="B3756" s="74" t="s">
        <v>877</v>
      </c>
      <c r="C3756" s="74" t="s">
        <v>1565</v>
      </c>
      <c r="D3756" s="74" t="s">
        <v>78</v>
      </c>
      <c r="E3756" s="74">
        <v>4</v>
      </c>
      <c r="F3756" s="74">
        <v>55.6</v>
      </c>
      <c r="G3756" s="758">
        <f t="shared" si="232"/>
        <v>2.4</v>
      </c>
      <c r="H3756" s="759">
        <f t="shared" si="233"/>
        <v>0.71</v>
      </c>
      <c r="I3756" s="758">
        <f t="shared" si="234"/>
        <v>11.5</v>
      </c>
      <c r="J3756" s="760">
        <f t="shared" si="235"/>
        <v>0.82733812949640284</v>
      </c>
    </row>
    <row r="3757" spans="1:10">
      <c r="A3757" s="74" t="s">
        <v>1904</v>
      </c>
      <c r="B3757" s="74" t="s">
        <v>877</v>
      </c>
      <c r="C3757" s="74" t="s">
        <v>1534</v>
      </c>
      <c r="D3757" s="74" t="s">
        <v>81</v>
      </c>
      <c r="E3757" s="74">
        <v>1</v>
      </c>
      <c r="F3757" s="74">
        <v>3</v>
      </c>
      <c r="G3757" s="758">
        <f t="shared" si="232"/>
        <v>2.4</v>
      </c>
      <c r="H3757" s="759">
        <f t="shared" si="233"/>
        <v>0.71</v>
      </c>
      <c r="I3757" s="758">
        <f t="shared" si="234"/>
        <v>0.60000000000000009</v>
      </c>
      <c r="J3757" s="760">
        <f t="shared" si="235"/>
        <v>0.20000000000000007</v>
      </c>
    </row>
    <row r="3758" spans="1:10">
      <c r="A3758" s="74" t="s">
        <v>1904</v>
      </c>
      <c r="B3758" s="74" t="s">
        <v>877</v>
      </c>
      <c r="C3758" s="74" t="s">
        <v>1517</v>
      </c>
      <c r="D3758" s="74" t="s">
        <v>82</v>
      </c>
      <c r="E3758" s="74">
        <v>4</v>
      </c>
      <c r="F3758" s="74">
        <v>12</v>
      </c>
      <c r="G3758" s="758">
        <f t="shared" si="232"/>
        <v>2.4</v>
      </c>
      <c r="H3758" s="759">
        <f t="shared" si="233"/>
        <v>0.71</v>
      </c>
      <c r="I3758" s="758">
        <f t="shared" si="234"/>
        <v>0.60000000000000009</v>
      </c>
      <c r="J3758" s="760">
        <f t="shared" si="235"/>
        <v>0.20000000000000007</v>
      </c>
    </row>
    <row r="3759" spans="1:10">
      <c r="A3759" s="74" t="s">
        <v>1232</v>
      </c>
      <c r="B3759" s="74" t="s">
        <v>256</v>
      </c>
      <c r="C3759" s="74" t="s">
        <v>1532</v>
      </c>
      <c r="D3759" s="74" t="s">
        <v>80</v>
      </c>
      <c r="E3759" s="74">
        <v>3</v>
      </c>
      <c r="F3759" s="74">
        <v>41.7</v>
      </c>
      <c r="G3759" s="758">
        <f t="shared" si="232"/>
        <v>2.4</v>
      </c>
      <c r="H3759" s="759">
        <f t="shared" si="233"/>
        <v>0.19</v>
      </c>
      <c r="I3759" s="758">
        <f t="shared" si="234"/>
        <v>11.5</v>
      </c>
      <c r="J3759" s="760">
        <f t="shared" si="235"/>
        <v>0.82733812949640284</v>
      </c>
    </row>
    <row r="3760" spans="1:10">
      <c r="A3760" s="74" t="s">
        <v>1232</v>
      </c>
      <c r="B3760" s="74" t="s">
        <v>256</v>
      </c>
      <c r="C3760" s="74" t="s">
        <v>1534</v>
      </c>
      <c r="D3760" s="74" t="s">
        <v>81</v>
      </c>
      <c r="E3760" s="74">
        <v>2</v>
      </c>
      <c r="F3760" s="74">
        <v>27.8</v>
      </c>
      <c r="G3760" s="758">
        <f t="shared" si="232"/>
        <v>2.4</v>
      </c>
      <c r="H3760" s="759">
        <f t="shared" si="233"/>
        <v>0.19</v>
      </c>
      <c r="I3760" s="758">
        <f t="shared" si="234"/>
        <v>11.5</v>
      </c>
      <c r="J3760" s="760">
        <f t="shared" si="235"/>
        <v>0.82733812949640284</v>
      </c>
    </row>
    <row r="3761" spans="1:10">
      <c r="A3761" s="74" t="s">
        <v>1232</v>
      </c>
      <c r="B3761" s="74" t="s">
        <v>256</v>
      </c>
      <c r="C3761" s="74" t="s">
        <v>1514</v>
      </c>
      <c r="D3761" s="74" t="s">
        <v>81</v>
      </c>
      <c r="E3761" s="74">
        <v>12</v>
      </c>
      <c r="F3761" s="74">
        <v>167.55</v>
      </c>
      <c r="G3761" s="758">
        <f t="shared" si="232"/>
        <v>2.4</v>
      </c>
      <c r="H3761" s="759">
        <f t="shared" si="233"/>
        <v>0.19</v>
      </c>
      <c r="I3761" s="758">
        <f t="shared" si="234"/>
        <v>11.5625</v>
      </c>
      <c r="J3761" s="760">
        <f t="shared" si="235"/>
        <v>0.82811101163831702</v>
      </c>
    </row>
    <row r="3762" spans="1:10">
      <c r="A3762" s="74" t="s">
        <v>1232</v>
      </c>
      <c r="B3762" s="74" t="s">
        <v>256</v>
      </c>
      <c r="C3762" s="74" t="s">
        <v>1517</v>
      </c>
      <c r="D3762" s="74" t="s">
        <v>82</v>
      </c>
      <c r="E3762" s="74">
        <v>1</v>
      </c>
      <c r="F3762" s="74">
        <v>13.9</v>
      </c>
      <c r="G3762" s="758">
        <f t="shared" si="232"/>
        <v>2.4</v>
      </c>
      <c r="H3762" s="759">
        <f t="shared" si="233"/>
        <v>0.19</v>
      </c>
      <c r="I3762" s="758">
        <f t="shared" si="234"/>
        <v>11.5</v>
      </c>
      <c r="J3762" s="760">
        <f t="shared" si="235"/>
        <v>0.82733812949640284</v>
      </c>
    </row>
    <row r="3763" spans="1:10">
      <c r="A3763" s="74" t="s">
        <v>1905</v>
      </c>
      <c r="B3763" s="74" t="s">
        <v>877</v>
      </c>
      <c r="C3763" s="74" t="s">
        <v>1550</v>
      </c>
      <c r="D3763" s="74" t="s">
        <v>91</v>
      </c>
      <c r="E3763" s="74">
        <v>2</v>
      </c>
      <c r="F3763" s="74">
        <v>8</v>
      </c>
      <c r="G3763" s="758">
        <f t="shared" si="232"/>
        <v>0</v>
      </c>
      <c r="H3763" s="759">
        <f t="shared" si="233"/>
        <v>0</v>
      </c>
      <c r="I3763" s="758">
        <f t="shared" si="234"/>
        <v>4</v>
      </c>
      <c r="J3763" s="760">
        <f t="shared" si="235"/>
        <v>1</v>
      </c>
    </row>
    <row r="3764" spans="1:10">
      <c r="A3764" s="74" t="s">
        <v>1906</v>
      </c>
      <c r="B3764" s="74" t="s">
        <v>258</v>
      </c>
      <c r="C3764" s="74" t="s">
        <v>1610</v>
      </c>
      <c r="D3764" s="74" t="s">
        <v>89</v>
      </c>
      <c r="E3764" s="74">
        <v>1</v>
      </c>
      <c r="F3764" s="74">
        <v>0</v>
      </c>
      <c r="G3764" s="758">
        <f t="shared" si="232"/>
        <v>0</v>
      </c>
      <c r="H3764" s="759">
        <f t="shared" si="233"/>
        <v>0</v>
      </c>
      <c r="I3764" s="758">
        <f t="shared" si="234"/>
        <v>0</v>
      </c>
      <c r="J3764" s="760">
        <f t="shared" si="235"/>
        <v>0</v>
      </c>
    </row>
    <row r="3765" spans="1:10">
      <c r="A3765" s="74" t="s">
        <v>1006</v>
      </c>
      <c r="B3765" s="74" t="s">
        <v>264</v>
      </c>
      <c r="C3765" s="74" t="s">
        <v>1546</v>
      </c>
      <c r="D3765" s="74" t="s">
        <v>89</v>
      </c>
      <c r="E3765" s="74">
        <v>2</v>
      </c>
      <c r="F3765" s="74">
        <v>3</v>
      </c>
      <c r="G3765" s="758">
        <f t="shared" si="232"/>
        <v>0</v>
      </c>
      <c r="H3765" s="759">
        <f t="shared" si="233"/>
        <v>0</v>
      </c>
      <c r="I3765" s="758">
        <f t="shared" si="234"/>
        <v>1.5</v>
      </c>
      <c r="J3765" s="760">
        <f t="shared" si="235"/>
        <v>1</v>
      </c>
    </row>
    <row r="3766" spans="1:10">
      <c r="A3766" s="74" t="s">
        <v>1006</v>
      </c>
      <c r="B3766" s="74" t="s">
        <v>264</v>
      </c>
      <c r="C3766" s="74" t="s">
        <v>1675</v>
      </c>
      <c r="D3766" s="74" t="s">
        <v>91</v>
      </c>
      <c r="E3766" s="74">
        <v>1</v>
      </c>
      <c r="F3766" s="74">
        <v>1.5</v>
      </c>
      <c r="G3766" s="758">
        <f t="shared" si="232"/>
        <v>0</v>
      </c>
      <c r="H3766" s="759">
        <f t="shared" si="233"/>
        <v>0</v>
      </c>
      <c r="I3766" s="758">
        <f t="shared" si="234"/>
        <v>1.5</v>
      </c>
      <c r="J3766" s="760">
        <f t="shared" si="235"/>
        <v>1</v>
      </c>
    </row>
    <row r="3767" spans="1:10">
      <c r="A3767" s="74" t="s">
        <v>1006</v>
      </c>
      <c r="B3767" s="74" t="s">
        <v>264</v>
      </c>
      <c r="C3767" s="74" t="s">
        <v>1584</v>
      </c>
      <c r="D3767" s="74" t="s">
        <v>92</v>
      </c>
      <c r="E3767" s="74">
        <v>1</v>
      </c>
      <c r="F3767" s="74">
        <v>1.5</v>
      </c>
      <c r="G3767" s="758">
        <f t="shared" si="232"/>
        <v>0</v>
      </c>
      <c r="H3767" s="759">
        <f t="shared" si="233"/>
        <v>0</v>
      </c>
      <c r="I3767" s="758">
        <f t="shared" si="234"/>
        <v>1.5</v>
      </c>
      <c r="J3767" s="760">
        <f t="shared" si="235"/>
        <v>1</v>
      </c>
    </row>
    <row r="3768" spans="1:10">
      <c r="A3768" s="74" t="s">
        <v>957</v>
      </c>
      <c r="B3768" s="74" t="s">
        <v>266</v>
      </c>
      <c r="C3768" s="74" t="s">
        <v>1584</v>
      </c>
      <c r="D3768" s="74" t="s">
        <v>92</v>
      </c>
      <c r="E3768" s="74">
        <v>1</v>
      </c>
      <c r="F3768" s="74">
        <v>2.65</v>
      </c>
      <c r="G3768" s="758">
        <f t="shared" si="232"/>
        <v>0</v>
      </c>
      <c r="H3768" s="759">
        <f t="shared" si="233"/>
        <v>0</v>
      </c>
      <c r="I3768" s="758">
        <f t="shared" si="234"/>
        <v>2.65</v>
      </c>
      <c r="J3768" s="760">
        <f t="shared" si="235"/>
        <v>1</v>
      </c>
    </row>
    <row r="3769" spans="1:10">
      <c r="A3769" s="74" t="s">
        <v>957</v>
      </c>
      <c r="B3769" s="74" t="s">
        <v>266</v>
      </c>
      <c r="C3769" s="74" t="s">
        <v>1631</v>
      </c>
      <c r="D3769" s="74" t="s">
        <v>92</v>
      </c>
      <c r="E3769" s="74">
        <v>5</v>
      </c>
      <c r="F3769" s="74">
        <v>13.4</v>
      </c>
      <c r="G3769" s="758">
        <f t="shared" si="232"/>
        <v>0</v>
      </c>
      <c r="H3769" s="759">
        <f t="shared" si="233"/>
        <v>0</v>
      </c>
      <c r="I3769" s="758">
        <f t="shared" si="234"/>
        <v>2.68</v>
      </c>
      <c r="J3769" s="760">
        <f t="shared" si="235"/>
        <v>1</v>
      </c>
    </row>
    <row r="3770" spans="1:10">
      <c r="A3770" s="74" t="s">
        <v>957</v>
      </c>
      <c r="B3770" s="74" t="s">
        <v>266</v>
      </c>
      <c r="C3770" s="74" t="s">
        <v>1552</v>
      </c>
      <c r="D3770" s="74" t="s">
        <v>92</v>
      </c>
      <c r="E3770" s="74">
        <v>1</v>
      </c>
      <c r="F3770" s="74">
        <v>2.65</v>
      </c>
      <c r="G3770" s="758">
        <f t="shared" si="232"/>
        <v>0</v>
      </c>
      <c r="H3770" s="759">
        <f t="shared" si="233"/>
        <v>0</v>
      </c>
      <c r="I3770" s="758">
        <f t="shared" si="234"/>
        <v>2.65</v>
      </c>
      <c r="J3770" s="760">
        <f t="shared" si="235"/>
        <v>1</v>
      </c>
    </row>
    <row r="3771" spans="1:10">
      <c r="A3771" s="74" t="s">
        <v>957</v>
      </c>
      <c r="B3771" s="74" t="s">
        <v>266</v>
      </c>
      <c r="C3771" s="74" t="s">
        <v>1617</v>
      </c>
      <c r="D3771" s="74" t="s">
        <v>94</v>
      </c>
      <c r="E3771" s="74">
        <v>1</v>
      </c>
      <c r="F3771" s="74">
        <v>2.65</v>
      </c>
      <c r="G3771" s="758">
        <f t="shared" si="232"/>
        <v>0</v>
      </c>
      <c r="H3771" s="759">
        <f t="shared" si="233"/>
        <v>0</v>
      </c>
      <c r="I3771" s="758">
        <f t="shared" si="234"/>
        <v>2.65</v>
      </c>
      <c r="J3771" s="760">
        <f t="shared" si="235"/>
        <v>1</v>
      </c>
    </row>
    <row r="3772" spans="1:10">
      <c r="A3772" s="74" t="s">
        <v>957</v>
      </c>
      <c r="B3772" s="74" t="s">
        <v>266</v>
      </c>
      <c r="C3772" s="74" t="s">
        <v>1553</v>
      </c>
      <c r="D3772" s="74" t="s">
        <v>94</v>
      </c>
      <c r="E3772" s="74">
        <v>2</v>
      </c>
      <c r="F3772" s="74">
        <v>5.45</v>
      </c>
      <c r="G3772" s="758">
        <f t="shared" si="232"/>
        <v>0</v>
      </c>
      <c r="H3772" s="759">
        <f t="shared" si="233"/>
        <v>0</v>
      </c>
      <c r="I3772" s="758">
        <f t="shared" si="234"/>
        <v>2.7250000000000001</v>
      </c>
      <c r="J3772" s="760">
        <f t="shared" si="235"/>
        <v>1</v>
      </c>
    </row>
    <row r="3773" spans="1:10">
      <c r="A3773" s="74" t="s">
        <v>957</v>
      </c>
      <c r="B3773" s="74" t="s">
        <v>266</v>
      </c>
      <c r="C3773" s="74" t="s">
        <v>1526</v>
      </c>
      <c r="D3773" s="74" t="s">
        <v>95</v>
      </c>
      <c r="E3773" s="74">
        <v>1</v>
      </c>
      <c r="F3773" s="74">
        <v>1</v>
      </c>
      <c r="G3773" s="758">
        <f t="shared" si="232"/>
        <v>0</v>
      </c>
      <c r="H3773" s="759">
        <f t="shared" si="233"/>
        <v>0</v>
      </c>
      <c r="I3773" s="758">
        <f t="shared" si="234"/>
        <v>1</v>
      </c>
      <c r="J3773" s="760">
        <f t="shared" si="235"/>
        <v>1</v>
      </c>
    </row>
    <row r="3774" spans="1:10">
      <c r="A3774" s="74" t="s">
        <v>1100</v>
      </c>
      <c r="B3774" s="74" t="s">
        <v>251</v>
      </c>
      <c r="C3774" s="74" t="s">
        <v>1552</v>
      </c>
      <c r="D3774" s="74" t="s">
        <v>92</v>
      </c>
      <c r="E3774" s="74">
        <v>1</v>
      </c>
      <c r="F3774" s="74">
        <v>2.65</v>
      </c>
      <c r="G3774" s="758">
        <f t="shared" si="232"/>
        <v>0</v>
      </c>
      <c r="H3774" s="759">
        <f t="shared" si="233"/>
        <v>0</v>
      </c>
      <c r="I3774" s="758">
        <f t="shared" si="234"/>
        <v>2.65</v>
      </c>
      <c r="J3774" s="760">
        <f t="shared" si="235"/>
        <v>1</v>
      </c>
    </row>
    <row r="3775" spans="1:10">
      <c r="A3775" s="74" t="s">
        <v>1907</v>
      </c>
      <c r="B3775" s="74" t="s">
        <v>873</v>
      </c>
      <c r="C3775" s="74" t="s">
        <v>1578</v>
      </c>
      <c r="D3775" s="74" t="s">
        <v>86</v>
      </c>
      <c r="E3775" s="74">
        <v>18</v>
      </c>
      <c r="F3775" s="74">
        <v>0</v>
      </c>
      <c r="G3775" s="758">
        <f t="shared" si="232"/>
        <v>0</v>
      </c>
      <c r="H3775" s="759">
        <f t="shared" si="233"/>
        <v>0</v>
      </c>
      <c r="I3775" s="758">
        <f t="shared" si="234"/>
        <v>0</v>
      </c>
      <c r="J3775" s="760">
        <f t="shared" si="235"/>
        <v>0</v>
      </c>
    </row>
    <row r="3776" spans="1:10">
      <c r="A3776" s="74" t="s">
        <v>1219</v>
      </c>
      <c r="B3776" s="74" t="s">
        <v>873</v>
      </c>
      <c r="C3776" s="74" t="s">
        <v>1541</v>
      </c>
      <c r="D3776" s="74" t="s">
        <v>86</v>
      </c>
      <c r="E3776" s="74">
        <v>4</v>
      </c>
      <c r="F3776" s="74">
        <v>0</v>
      </c>
      <c r="G3776" s="758">
        <f t="shared" si="232"/>
        <v>0</v>
      </c>
      <c r="H3776" s="759">
        <f t="shared" si="233"/>
        <v>0</v>
      </c>
      <c r="I3776" s="758">
        <f t="shared" si="234"/>
        <v>0</v>
      </c>
      <c r="J3776" s="760">
        <f t="shared" si="235"/>
        <v>0</v>
      </c>
    </row>
    <row r="3777" spans="1:10">
      <c r="A3777" s="74" t="s">
        <v>1219</v>
      </c>
      <c r="B3777" s="74" t="s">
        <v>873</v>
      </c>
      <c r="C3777" s="74" t="s">
        <v>1610</v>
      </c>
      <c r="D3777" s="74" t="s">
        <v>89</v>
      </c>
      <c r="E3777" s="74">
        <v>6</v>
      </c>
      <c r="F3777" s="74">
        <v>0</v>
      </c>
      <c r="G3777" s="758">
        <f t="shared" si="232"/>
        <v>0</v>
      </c>
      <c r="H3777" s="759">
        <f t="shared" si="233"/>
        <v>0</v>
      </c>
      <c r="I3777" s="758">
        <f t="shared" si="234"/>
        <v>0</v>
      </c>
      <c r="J3777" s="760">
        <f t="shared" si="235"/>
        <v>0</v>
      </c>
    </row>
    <row r="3778" spans="1:10">
      <c r="A3778" s="74" t="s">
        <v>1908</v>
      </c>
      <c r="B3778" s="74" t="s">
        <v>873</v>
      </c>
      <c r="C3778" s="74" t="s">
        <v>1561</v>
      </c>
      <c r="D3778" s="74" t="s">
        <v>87</v>
      </c>
      <c r="E3778" s="74">
        <v>3</v>
      </c>
      <c r="F3778" s="74">
        <v>0</v>
      </c>
      <c r="G3778" s="758">
        <f t="shared" ref="G3778:G3841" si="236">IFERROR(VLOOKUP(A3778,$M$1:$P$1014,2,FALSE),0)</f>
        <v>0</v>
      </c>
      <c r="H3778" s="759">
        <f t="shared" ref="H3778:H3841" si="237">IFERROR(VLOOKUP(A3778,$M$1:$P$1014,3,FALSE),0)</f>
        <v>0</v>
      </c>
      <c r="I3778" s="758">
        <f t="shared" ref="I3778:I3841" si="238">IFERROR(F3778/E3778-G3778,0)</f>
        <v>0</v>
      </c>
      <c r="J3778" s="760">
        <f t="shared" ref="J3778:J3841" si="239">IFERROR(1-G3778*E3778/F3778,0)</f>
        <v>0</v>
      </c>
    </row>
    <row r="3779" spans="1:10">
      <c r="A3779" s="74" t="s">
        <v>1909</v>
      </c>
      <c r="B3779" s="74" t="s">
        <v>873</v>
      </c>
      <c r="C3779" s="74" t="s">
        <v>1675</v>
      </c>
      <c r="D3779" s="74" t="s">
        <v>91</v>
      </c>
      <c r="E3779" s="74">
        <v>13</v>
      </c>
      <c r="F3779" s="74">
        <v>0</v>
      </c>
      <c r="G3779" s="758">
        <f t="shared" si="236"/>
        <v>0</v>
      </c>
      <c r="H3779" s="759">
        <f t="shared" si="237"/>
        <v>0</v>
      </c>
      <c r="I3779" s="758">
        <f t="shared" si="238"/>
        <v>0</v>
      </c>
      <c r="J3779" s="760">
        <f t="shared" si="239"/>
        <v>0</v>
      </c>
    </row>
    <row r="3780" spans="1:10">
      <c r="A3780" s="74" t="s">
        <v>269</v>
      </c>
      <c r="B3780" s="74" t="s">
        <v>264</v>
      </c>
      <c r="C3780" s="74" t="s">
        <v>1528</v>
      </c>
      <c r="D3780" s="74" t="s">
        <v>78</v>
      </c>
      <c r="E3780" s="74">
        <v>6</v>
      </c>
      <c r="F3780" s="74">
        <v>0.6</v>
      </c>
      <c r="G3780" s="758">
        <f t="shared" si="236"/>
        <v>0</v>
      </c>
      <c r="H3780" s="759">
        <f t="shared" si="237"/>
        <v>0.23</v>
      </c>
      <c r="I3780" s="758">
        <f t="shared" si="238"/>
        <v>9.9999999999999992E-2</v>
      </c>
      <c r="J3780" s="760">
        <f t="shared" si="239"/>
        <v>1</v>
      </c>
    </row>
    <row r="3781" spans="1:10">
      <c r="A3781" s="74" t="s">
        <v>269</v>
      </c>
      <c r="B3781" s="74" t="s">
        <v>264</v>
      </c>
      <c r="C3781" s="74" t="s">
        <v>1508</v>
      </c>
      <c r="D3781" s="74" t="s">
        <v>78</v>
      </c>
      <c r="E3781" s="74">
        <v>4</v>
      </c>
      <c r="F3781" s="74">
        <v>0.4</v>
      </c>
      <c r="G3781" s="758">
        <f t="shared" si="236"/>
        <v>0</v>
      </c>
      <c r="H3781" s="759">
        <f t="shared" si="237"/>
        <v>0.23</v>
      </c>
      <c r="I3781" s="758">
        <f t="shared" si="238"/>
        <v>0.1</v>
      </c>
      <c r="J3781" s="760">
        <f t="shared" si="239"/>
        <v>1</v>
      </c>
    </row>
    <row r="3782" spans="1:10">
      <c r="A3782" s="74" t="s">
        <v>269</v>
      </c>
      <c r="B3782" s="74" t="s">
        <v>264</v>
      </c>
      <c r="C3782" s="74" t="s">
        <v>1509</v>
      </c>
      <c r="D3782" s="74" t="s">
        <v>78</v>
      </c>
      <c r="E3782" s="74">
        <v>4</v>
      </c>
      <c r="F3782" s="74">
        <v>0.4</v>
      </c>
      <c r="G3782" s="758">
        <f t="shared" si="236"/>
        <v>0</v>
      </c>
      <c r="H3782" s="759">
        <f t="shared" si="237"/>
        <v>0.23</v>
      </c>
      <c r="I3782" s="758">
        <f t="shared" si="238"/>
        <v>0.1</v>
      </c>
      <c r="J3782" s="760">
        <f t="shared" si="239"/>
        <v>1</v>
      </c>
    </row>
    <row r="3783" spans="1:10">
      <c r="A3783" s="74" t="s">
        <v>269</v>
      </c>
      <c r="B3783" s="74" t="s">
        <v>264</v>
      </c>
      <c r="C3783" s="74" t="s">
        <v>1565</v>
      </c>
      <c r="D3783" s="74" t="s">
        <v>78</v>
      </c>
      <c r="E3783" s="74">
        <v>10</v>
      </c>
      <c r="F3783" s="74">
        <v>1</v>
      </c>
      <c r="G3783" s="758">
        <f t="shared" si="236"/>
        <v>0</v>
      </c>
      <c r="H3783" s="759">
        <f t="shared" si="237"/>
        <v>0.23</v>
      </c>
      <c r="I3783" s="758">
        <f t="shared" si="238"/>
        <v>0.1</v>
      </c>
      <c r="J3783" s="760">
        <f t="shared" si="239"/>
        <v>1</v>
      </c>
    </row>
    <row r="3784" spans="1:10">
      <c r="A3784" s="74" t="s">
        <v>269</v>
      </c>
      <c r="B3784" s="74" t="s">
        <v>264</v>
      </c>
      <c r="C3784" s="74" t="s">
        <v>1530</v>
      </c>
      <c r="D3784" s="74" t="s">
        <v>80</v>
      </c>
      <c r="E3784" s="74">
        <v>5</v>
      </c>
      <c r="F3784" s="74">
        <v>1.4</v>
      </c>
      <c r="G3784" s="758">
        <f t="shared" si="236"/>
        <v>0</v>
      </c>
      <c r="H3784" s="759">
        <f t="shared" si="237"/>
        <v>0.23</v>
      </c>
      <c r="I3784" s="758">
        <f t="shared" si="238"/>
        <v>0.27999999999999997</v>
      </c>
      <c r="J3784" s="760">
        <f t="shared" si="239"/>
        <v>1</v>
      </c>
    </row>
    <row r="3785" spans="1:10">
      <c r="A3785" s="74" t="s">
        <v>269</v>
      </c>
      <c r="B3785" s="74" t="s">
        <v>264</v>
      </c>
      <c r="C3785" s="74" t="s">
        <v>1532</v>
      </c>
      <c r="D3785" s="74" t="s">
        <v>80</v>
      </c>
      <c r="E3785" s="74">
        <v>7</v>
      </c>
      <c r="F3785" s="74">
        <v>0.7</v>
      </c>
      <c r="G3785" s="758">
        <f t="shared" si="236"/>
        <v>0</v>
      </c>
      <c r="H3785" s="759">
        <f t="shared" si="237"/>
        <v>0.23</v>
      </c>
      <c r="I3785" s="758">
        <f t="shared" si="238"/>
        <v>9.9999999999999992E-2</v>
      </c>
      <c r="J3785" s="760">
        <f t="shared" si="239"/>
        <v>1</v>
      </c>
    </row>
    <row r="3786" spans="1:10">
      <c r="A3786" s="74" t="s">
        <v>269</v>
      </c>
      <c r="B3786" s="74" t="s">
        <v>264</v>
      </c>
      <c r="C3786" s="74" t="s">
        <v>1511</v>
      </c>
      <c r="D3786" s="74" t="s">
        <v>80</v>
      </c>
      <c r="E3786" s="74">
        <v>4</v>
      </c>
      <c r="F3786" s="74">
        <v>0.4</v>
      </c>
      <c r="G3786" s="758">
        <f t="shared" si="236"/>
        <v>0</v>
      </c>
      <c r="H3786" s="759">
        <f t="shared" si="237"/>
        <v>0.23</v>
      </c>
      <c r="I3786" s="758">
        <f t="shared" si="238"/>
        <v>0.1</v>
      </c>
      <c r="J3786" s="760">
        <f t="shared" si="239"/>
        <v>1</v>
      </c>
    </row>
    <row r="3787" spans="1:10">
      <c r="A3787" s="74" t="s">
        <v>269</v>
      </c>
      <c r="B3787" s="74" t="s">
        <v>264</v>
      </c>
      <c r="C3787" s="74" t="s">
        <v>1512</v>
      </c>
      <c r="D3787" s="74" t="s">
        <v>80</v>
      </c>
      <c r="E3787" s="74">
        <v>7</v>
      </c>
      <c r="F3787" s="74">
        <v>0.7</v>
      </c>
      <c r="G3787" s="758">
        <f t="shared" si="236"/>
        <v>0</v>
      </c>
      <c r="H3787" s="759">
        <f t="shared" si="237"/>
        <v>0.23</v>
      </c>
      <c r="I3787" s="758">
        <f t="shared" si="238"/>
        <v>9.9999999999999992E-2</v>
      </c>
      <c r="J3787" s="760">
        <f t="shared" si="239"/>
        <v>1</v>
      </c>
    </row>
    <row r="3788" spans="1:10">
      <c r="A3788" s="74" t="s">
        <v>269</v>
      </c>
      <c r="B3788" s="74" t="s">
        <v>264</v>
      </c>
      <c r="C3788" s="74" t="s">
        <v>1534</v>
      </c>
      <c r="D3788" s="74" t="s">
        <v>81</v>
      </c>
      <c r="E3788" s="74">
        <v>7</v>
      </c>
      <c r="F3788" s="74">
        <v>0.7</v>
      </c>
      <c r="G3788" s="758">
        <f t="shared" si="236"/>
        <v>0</v>
      </c>
      <c r="H3788" s="759">
        <f t="shared" si="237"/>
        <v>0.23</v>
      </c>
      <c r="I3788" s="758">
        <f t="shared" si="238"/>
        <v>9.9999999999999992E-2</v>
      </c>
      <c r="J3788" s="760">
        <f t="shared" si="239"/>
        <v>1</v>
      </c>
    </row>
    <row r="3789" spans="1:10">
      <c r="A3789" s="74" t="s">
        <v>269</v>
      </c>
      <c r="B3789" s="74" t="s">
        <v>264</v>
      </c>
      <c r="C3789" s="74" t="s">
        <v>1513</v>
      </c>
      <c r="D3789" s="74" t="s">
        <v>81</v>
      </c>
      <c r="E3789" s="74">
        <v>2</v>
      </c>
      <c r="F3789" s="74">
        <v>0.2</v>
      </c>
      <c r="G3789" s="758">
        <f t="shared" si="236"/>
        <v>0</v>
      </c>
      <c r="H3789" s="759">
        <f t="shared" si="237"/>
        <v>0.23</v>
      </c>
      <c r="I3789" s="758">
        <f t="shared" si="238"/>
        <v>0.1</v>
      </c>
      <c r="J3789" s="760">
        <f t="shared" si="239"/>
        <v>1</v>
      </c>
    </row>
    <row r="3790" spans="1:10">
      <c r="A3790" s="74" t="s">
        <v>269</v>
      </c>
      <c r="B3790" s="74" t="s">
        <v>264</v>
      </c>
      <c r="C3790" s="74" t="s">
        <v>1514</v>
      </c>
      <c r="D3790" s="74" t="s">
        <v>81</v>
      </c>
      <c r="E3790" s="74">
        <v>6</v>
      </c>
      <c r="F3790" s="74">
        <v>0.6</v>
      </c>
      <c r="G3790" s="758">
        <f t="shared" si="236"/>
        <v>0</v>
      </c>
      <c r="H3790" s="759">
        <f t="shared" si="237"/>
        <v>0.23</v>
      </c>
      <c r="I3790" s="758">
        <f t="shared" si="238"/>
        <v>9.9999999999999992E-2</v>
      </c>
      <c r="J3790" s="760">
        <f t="shared" si="239"/>
        <v>1</v>
      </c>
    </row>
    <row r="3791" spans="1:10">
      <c r="A3791" s="74" t="s">
        <v>269</v>
      </c>
      <c r="B3791" s="74" t="s">
        <v>264</v>
      </c>
      <c r="C3791" s="74" t="s">
        <v>1515</v>
      </c>
      <c r="D3791" s="74" t="s">
        <v>81</v>
      </c>
      <c r="E3791" s="74">
        <v>1</v>
      </c>
      <c r="F3791" s="74">
        <v>0.1</v>
      </c>
      <c r="G3791" s="758">
        <f t="shared" si="236"/>
        <v>0</v>
      </c>
      <c r="H3791" s="759">
        <f t="shared" si="237"/>
        <v>0.23</v>
      </c>
      <c r="I3791" s="758">
        <f t="shared" si="238"/>
        <v>0.1</v>
      </c>
      <c r="J3791" s="760">
        <f t="shared" si="239"/>
        <v>1</v>
      </c>
    </row>
    <row r="3792" spans="1:10">
      <c r="A3792" s="74" t="s">
        <v>269</v>
      </c>
      <c r="B3792" s="74" t="s">
        <v>264</v>
      </c>
      <c r="C3792" s="74" t="s">
        <v>1516</v>
      </c>
      <c r="D3792" s="74" t="s">
        <v>82</v>
      </c>
      <c r="E3792" s="74">
        <v>5</v>
      </c>
      <c r="F3792" s="74">
        <v>0.5</v>
      </c>
      <c r="G3792" s="758">
        <f t="shared" si="236"/>
        <v>0</v>
      </c>
      <c r="H3792" s="759">
        <f t="shared" si="237"/>
        <v>0.23</v>
      </c>
      <c r="I3792" s="758">
        <f t="shared" si="238"/>
        <v>0.1</v>
      </c>
      <c r="J3792" s="760">
        <f t="shared" si="239"/>
        <v>1</v>
      </c>
    </row>
    <row r="3793" spans="1:10">
      <c r="A3793" s="74" t="s">
        <v>269</v>
      </c>
      <c r="B3793" s="74" t="s">
        <v>264</v>
      </c>
      <c r="C3793" s="74" t="s">
        <v>1517</v>
      </c>
      <c r="D3793" s="74" t="s">
        <v>82</v>
      </c>
      <c r="E3793" s="74">
        <v>4</v>
      </c>
      <c r="F3793" s="74">
        <v>0.4</v>
      </c>
      <c r="G3793" s="758">
        <f t="shared" si="236"/>
        <v>0</v>
      </c>
      <c r="H3793" s="759">
        <f t="shared" si="237"/>
        <v>0.23</v>
      </c>
      <c r="I3793" s="758">
        <f t="shared" si="238"/>
        <v>0.1</v>
      </c>
      <c r="J3793" s="760">
        <f t="shared" si="239"/>
        <v>1</v>
      </c>
    </row>
    <row r="3794" spans="1:10">
      <c r="A3794" s="74" t="s">
        <v>269</v>
      </c>
      <c r="B3794" s="74" t="s">
        <v>264</v>
      </c>
      <c r="C3794" s="74" t="s">
        <v>1527</v>
      </c>
      <c r="D3794" s="74" t="s">
        <v>82</v>
      </c>
      <c r="E3794" s="74">
        <v>2</v>
      </c>
      <c r="F3794" s="74">
        <v>0.2</v>
      </c>
      <c r="G3794" s="758">
        <f t="shared" si="236"/>
        <v>0</v>
      </c>
      <c r="H3794" s="759">
        <f t="shared" si="237"/>
        <v>0.23</v>
      </c>
      <c r="I3794" s="758">
        <f t="shared" si="238"/>
        <v>0.1</v>
      </c>
      <c r="J3794" s="760">
        <f t="shared" si="239"/>
        <v>1</v>
      </c>
    </row>
    <row r="3795" spans="1:10">
      <c r="A3795" s="74" t="s">
        <v>269</v>
      </c>
      <c r="B3795" s="74" t="s">
        <v>264</v>
      </c>
      <c r="C3795" s="74" t="s">
        <v>1518</v>
      </c>
      <c r="D3795" s="74" t="s">
        <v>82</v>
      </c>
      <c r="E3795" s="74">
        <v>4</v>
      </c>
      <c r="F3795" s="74">
        <v>0.4</v>
      </c>
      <c r="G3795" s="758">
        <f t="shared" si="236"/>
        <v>0</v>
      </c>
      <c r="H3795" s="759">
        <f t="shared" si="237"/>
        <v>0.23</v>
      </c>
      <c r="I3795" s="758">
        <f t="shared" si="238"/>
        <v>0.1</v>
      </c>
      <c r="J3795" s="760">
        <f t="shared" si="239"/>
        <v>1</v>
      </c>
    </row>
    <row r="3796" spans="1:10">
      <c r="A3796" s="74" t="s">
        <v>269</v>
      </c>
      <c r="B3796" s="74" t="s">
        <v>264</v>
      </c>
      <c r="C3796" s="74" t="s">
        <v>1519</v>
      </c>
      <c r="D3796" s="74" t="s">
        <v>84</v>
      </c>
      <c r="E3796" s="74">
        <v>5</v>
      </c>
      <c r="F3796" s="74">
        <v>0.5</v>
      </c>
      <c r="G3796" s="758">
        <f t="shared" si="236"/>
        <v>0</v>
      </c>
      <c r="H3796" s="759">
        <f t="shared" si="237"/>
        <v>0.23</v>
      </c>
      <c r="I3796" s="758">
        <f t="shared" si="238"/>
        <v>0.1</v>
      </c>
      <c r="J3796" s="760">
        <f t="shared" si="239"/>
        <v>1</v>
      </c>
    </row>
    <row r="3797" spans="1:10">
      <c r="A3797" s="74" t="s">
        <v>269</v>
      </c>
      <c r="B3797" s="74" t="s">
        <v>264</v>
      </c>
      <c r="C3797" s="74" t="s">
        <v>1540</v>
      </c>
      <c r="D3797" s="74" t="s">
        <v>84</v>
      </c>
      <c r="E3797" s="74">
        <v>5</v>
      </c>
      <c r="F3797" s="74">
        <v>0.5</v>
      </c>
      <c r="G3797" s="758">
        <f t="shared" si="236"/>
        <v>0</v>
      </c>
      <c r="H3797" s="759">
        <f t="shared" si="237"/>
        <v>0.23</v>
      </c>
      <c r="I3797" s="758">
        <f t="shared" si="238"/>
        <v>0.1</v>
      </c>
      <c r="J3797" s="760">
        <f t="shared" si="239"/>
        <v>1</v>
      </c>
    </row>
    <row r="3798" spans="1:10">
      <c r="A3798" s="74" t="s">
        <v>269</v>
      </c>
      <c r="B3798" s="74" t="s">
        <v>264</v>
      </c>
      <c r="C3798" s="74" t="s">
        <v>1520</v>
      </c>
      <c r="D3798" s="74" t="s">
        <v>84</v>
      </c>
      <c r="E3798" s="74">
        <v>6</v>
      </c>
      <c r="F3798" s="74">
        <v>0.6</v>
      </c>
      <c r="G3798" s="758">
        <f t="shared" si="236"/>
        <v>0</v>
      </c>
      <c r="H3798" s="759">
        <f t="shared" si="237"/>
        <v>0.23</v>
      </c>
      <c r="I3798" s="758">
        <f t="shared" si="238"/>
        <v>9.9999999999999992E-2</v>
      </c>
      <c r="J3798" s="760">
        <f t="shared" si="239"/>
        <v>1</v>
      </c>
    </row>
    <row r="3799" spans="1:10">
      <c r="A3799" s="74" t="s">
        <v>269</v>
      </c>
      <c r="B3799" s="74" t="s">
        <v>264</v>
      </c>
      <c r="C3799" s="74" t="s">
        <v>1577</v>
      </c>
      <c r="D3799" s="74" t="s">
        <v>84</v>
      </c>
      <c r="E3799" s="74">
        <v>4</v>
      </c>
      <c r="F3799" s="74">
        <v>0.4</v>
      </c>
      <c r="G3799" s="758">
        <f t="shared" si="236"/>
        <v>0</v>
      </c>
      <c r="H3799" s="759">
        <f t="shared" si="237"/>
        <v>0.23</v>
      </c>
      <c r="I3799" s="758">
        <f t="shared" si="238"/>
        <v>0.1</v>
      </c>
      <c r="J3799" s="760">
        <f t="shared" si="239"/>
        <v>1</v>
      </c>
    </row>
    <row r="3800" spans="1:10">
      <c r="A3800" s="74" t="s">
        <v>269</v>
      </c>
      <c r="B3800" s="74" t="s">
        <v>264</v>
      </c>
      <c r="C3800" s="74" t="s">
        <v>1507</v>
      </c>
      <c r="D3800" s="74" t="s">
        <v>86</v>
      </c>
      <c r="E3800" s="74">
        <v>18</v>
      </c>
      <c r="F3800" s="74">
        <v>1.8</v>
      </c>
      <c r="G3800" s="758">
        <f t="shared" si="236"/>
        <v>0</v>
      </c>
      <c r="H3800" s="759">
        <f t="shared" si="237"/>
        <v>0.23</v>
      </c>
      <c r="I3800" s="758">
        <f t="shared" si="238"/>
        <v>0.1</v>
      </c>
      <c r="J3800" s="760">
        <f t="shared" si="239"/>
        <v>1</v>
      </c>
    </row>
    <row r="3801" spans="1:10">
      <c r="A3801" s="74" t="s">
        <v>269</v>
      </c>
      <c r="B3801" s="74" t="s">
        <v>264</v>
      </c>
      <c r="C3801" s="74" t="s">
        <v>1644</v>
      </c>
      <c r="D3801" s="74" t="s">
        <v>86</v>
      </c>
      <c r="E3801" s="74">
        <v>17</v>
      </c>
      <c r="F3801" s="74">
        <v>1.7</v>
      </c>
      <c r="G3801" s="758">
        <f t="shared" si="236"/>
        <v>0</v>
      </c>
      <c r="H3801" s="759">
        <f t="shared" si="237"/>
        <v>0.23</v>
      </c>
      <c r="I3801" s="758">
        <f t="shared" si="238"/>
        <v>9.9999999999999992E-2</v>
      </c>
      <c r="J3801" s="760">
        <f t="shared" si="239"/>
        <v>1</v>
      </c>
    </row>
    <row r="3802" spans="1:10">
      <c r="A3802" s="74" t="s">
        <v>269</v>
      </c>
      <c r="B3802" s="74" t="s">
        <v>264</v>
      </c>
      <c r="C3802" s="74" t="s">
        <v>1578</v>
      </c>
      <c r="D3802" s="74" t="s">
        <v>86</v>
      </c>
      <c r="E3802" s="74">
        <v>26</v>
      </c>
      <c r="F3802" s="74">
        <v>2.5499999999999998</v>
      </c>
      <c r="G3802" s="758">
        <f t="shared" si="236"/>
        <v>0</v>
      </c>
      <c r="H3802" s="759">
        <f t="shared" si="237"/>
        <v>0.23</v>
      </c>
      <c r="I3802" s="758">
        <f t="shared" si="238"/>
        <v>9.8076923076923075E-2</v>
      </c>
      <c r="J3802" s="760">
        <f t="shared" si="239"/>
        <v>1</v>
      </c>
    </row>
    <row r="3803" spans="1:10">
      <c r="A3803" s="74" t="s">
        <v>269</v>
      </c>
      <c r="B3803" s="74" t="s">
        <v>264</v>
      </c>
      <c r="C3803" s="74" t="s">
        <v>1646</v>
      </c>
      <c r="D3803" s="74" t="s">
        <v>86</v>
      </c>
      <c r="E3803" s="74">
        <v>25</v>
      </c>
      <c r="F3803" s="74">
        <v>2.5</v>
      </c>
      <c r="G3803" s="758">
        <f t="shared" si="236"/>
        <v>0</v>
      </c>
      <c r="H3803" s="759">
        <f t="shared" si="237"/>
        <v>0.23</v>
      </c>
      <c r="I3803" s="758">
        <f t="shared" si="238"/>
        <v>0.1</v>
      </c>
      <c r="J3803" s="760">
        <f t="shared" si="239"/>
        <v>1</v>
      </c>
    </row>
    <row r="3804" spans="1:10">
      <c r="A3804" s="74" t="s">
        <v>269</v>
      </c>
      <c r="B3804" s="74" t="s">
        <v>264</v>
      </c>
      <c r="C3804" s="74" t="s">
        <v>1541</v>
      </c>
      <c r="D3804" s="74" t="s">
        <v>86</v>
      </c>
      <c r="E3804" s="74">
        <v>38</v>
      </c>
      <c r="F3804" s="74">
        <v>3.8</v>
      </c>
      <c r="G3804" s="758">
        <f t="shared" si="236"/>
        <v>0</v>
      </c>
      <c r="H3804" s="759">
        <f t="shared" si="237"/>
        <v>0.23</v>
      </c>
      <c r="I3804" s="758">
        <f t="shared" si="238"/>
        <v>9.9999999999999992E-2</v>
      </c>
      <c r="J3804" s="760">
        <f t="shared" si="239"/>
        <v>1</v>
      </c>
    </row>
    <row r="3805" spans="1:10">
      <c r="A3805" s="74" t="s">
        <v>269</v>
      </c>
      <c r="B3805" s="74" t="s">
        <v>264</v>
      </c>
      <c r="C3805" s="74" t="s">
        <v>1543</v>
      </c>
      <c r="D3805" s="74" t="s">
        <v>87</v>
      </c>
      <c r="E3805" s="74">
        <v>32</v>
      </c>
      <c r="F3805" s="74">
        <v>3.2</v>
      </c>
      <c r="G3805" s="758">
        <f t="shared" si="236"/>
        <v>0</v>
      </c>
      <c r="H3805" s="759">
        <f t="shared" si="237"/>
        <v>0.23</v>
      </c>
      <c r="I3805" s="758">
        <f t="shared" si="238"/>
        <v>0.1</v>
      </c>
      <c r="J3805" s="760">
        <f t="shared" si="239"/>
        <v>1</v>
      </c>
    </row>
    <row r="3806" spans="1:10">
      <c r="A3806" s="74" t="s">
        <v>269</v>
      </c>
      <c r="B3806" s="74" t="s">
        <v>264</v>
      </c>
      <c r="C3806" s="74" t="s">
        <v>1544</v>
      </c>
      <c r="D3806" s="74" t="s">
        <v>87</v>
      </c>
      <c r="E3806" s="74">
        <v>22</v>
      </c>
      <c r="F3806" s="74">
        <v>2.2000000000000002</v>
      </c>
      <c r="G3806" s="758">
        <f t="shared" si="236"/>
        <v>0</v>
      </c>
      <c r="H3806" s="759">
        <f t="shared" si="237"/>
        <v>0.23</v>
      </c>
      <c r="I3806" s="758">
        <f t="shared" si="238"/>
        <v>0.1</v>
      </c>
      <c r="J3806" s="760">
        <f t="shared" si="239"/>
        <v>1</v>
      </c>
    </row>
    <row r="3807" spans="1:10">
      <c r="A3807" s="74" t="s">
        <v>269</v>
      </c>
      <c r="B3807" s="74" t="s">
        <v>264</v>
      </c>
      <c r="C3807" s="74" t="s">
        <v>1605</v>
      </c>
      <c r="D3807" s="74" t="s">
        <v>87</v>
      </c>
      <c r="E3807" s="74">
        <v>31</v>
      </c>
      <c r="F3807" s="74">
        <v>3.1</v>
      </c>
      <c r="G3807" s="758">
        <f t="shared" si="236"/>
        <v>0</v>
      </c>
      <c r="H3807" s="759">
        <f t="shared" si="237"/>
        <v>0.23</v>
      </c>
      <c r="I3807" s="758">
        <f t="shared" si="238"/>
        <v>0.1</v>
      </c>
      <c r="J3807" s="760">
        <f t="shared" si="239"/>
        <v>1</v>
      </c>
    </row>
    <row r="3808" spans="1:10">
      <c r="A3808" s="74" t="s">
        <v>269</v>
      </c>
      <c r="B3808" s="74" t="s">
        <v>264</v>
      </c>
      <c r="C3808" s="74" t="s">
        <v>1561</v>
      </c>
      <c r="D3808" s="74" t="s">
        <v>87</v>
      </c>
      <c r="E3808" s="74">
        <v>15</v>
      </c>
      <c r="F3808" s="74">
        <v>1.5</v>
      </c>
      <c r="G3808" s="758">
        <f t="shared" si="236"/>
        <v>0</v>
      </c>
      <c r="H3808" s="759">
        <f t="shared" si="237"/>
        <v>0.23</v>
      </c>
      <c r="I3808" s="758">
        <f t="shared" si="238"/>
        <v>0.1</v>
      </c>
      <c r="J3808" s="760">
        <f t="shared" si="239"/>
        <v>1</v>
      </c>
    </row>
    <row r="3809" spans="1:10">
      <c r="A3809" s="74" t="s">
        <v>269</v>
      </c>
      <c r="B3809" s="74" t="s">
        <v>264</v>
      </c>
      <c r="C3809" s="74" t="s">
        <v>1608</v>
      </c>
      <c r="D3809" s="74" t="s">
        <v>89</v>
      </c>
      <c r="E3809" s="74">
        <v>24</v>
      </c>
      <c r="F3809" s="74">
        <v>2.4</v>
      </c>
      <c r="G3809" s="758">
        <f t="shared" si="236"/>
        <v>0</v>
      </c>
      <c r="H3809" s="759">
        <f t="shared" si="237"/>
        <v>0.23</v>
      </c>
      <c r="I3809" s="758">
        <f t="shared" si="238"/>
        <v>9.9999999999999992E-2</v>
      </c>
      <c r="J3809" s="760">
        <f t="shared" si="239"/>
        <v>1</v>
      </c>
    </row>
    <row r="3810" spans="1:10">
      <c r="A3810" s="74" t="s">
        <v>269</v>
      </c>
      <c r="B3810" s="74" t="s">
        <v>264</v>
      </c>
      <c r="C3810" s="74" t="s">
        <v>1610</v>
      </c>
      <c r="D3810" s="74" t="s">
        <v>89</v>
      </c>
      <c r="E3810" s="74">
        <v>24</v>
      </c>
      <c r="F3810" s="74">
        <v>2.4</v>
      </c>
      <c r="G3810" s="758">
        <f t="shared" si="236"/>
        <v>0</v>
      </c>
      <c r="H3810" s="759">
        <f t="shared" si="237"/>
        <v>0.23</v>
      </c>
      <c r="I3810" s="758">
        <f t="shared" si="238"/>
        <v>9.9999999999999992E-2</v>
      </c>
      <c r="J3810" s="760">
        <f t="shared" si="239"/>
        <v>1</v>
      </c>
    </row>
    <row r="3811" spans="1:10">
      <c r="A3811" s="74" t="s">
        <v>269</v>
      </c>
      <c r="B3811" s="74" t="s">
        <v>264</v>
      </c>
      <c r="C3811" s="74" t="s">
        <v>1546</v>
      </c>
      <c r="D3811" s="74" t="s">
        <v>89</v>
      </c>
      <c r="E3811" s="74">
        <v>23</v>
      </c>
      <c r="F3811" s="74">
        <v>2.2999999999999998</v>
      </c>
      <c r="G3811" s="758">
        <f t="shared" si="236"/>
        <v>0</v>
      </c>
      <c r="H3811" s="759">
        <f t="shared" si="237"/>
        <v>0.23</v>
      </c>
      <c r="I3811" s="758">
        <f t="shared" si="238"/>
        <v>9.9999999999999992E-2</v>
      </c>
      <c r="J3811" s="760">
        <f t="shared" si="239"/>
        <v>1</v>
      </c>
    </row>
    <row r="3812" spans="1:10">
      <c r="A3812" s="74" t="s">
        <v>269</v>
      </c>
      <c r="B3812" s="74" t="s">
        <v>264</v>
      </c>
      <c r="C3812" s="74" t="s">
        <v>1547</v>
      </c>
      <c r="D3812" s="74" t="s">
        <v>89</v>
      </c>
      <c r="E3812" s="74">
        <v>28</v>
      </c>
      <c r="F3812" s="74">
        <v>2.8</v>
      </c>
      <c r="G3812" s="758">
        <f t="shared" si="236"/>
        <v>0</v>
      </c>
      <c r="H3812" s="759">
        <f t="shared" si="237"/>
        <v>0.23</v>
      </c>
      <c r="I3812" s="758">
        <f t="shared" si="238"/>
        <v>9.9999999999999992E-2</v>
      </c>
      <c r="J3812" s="760">
        <f t="shared" si="239"/>
        <v>1</v>
      </c>
    </row>
    <row r="3813" spans="1:10">
      <c r="A3813" s="74" t="s">
        <v>269</v>
      </c>
      <c r="B3813" s="74" t="s">
        <v>264</v>
      </c>
      <c r="C3813" s="74" t="s">
        <v>1582</v>
      </c>
      <c r="D3813" s="74" t="s">
        <v>89</v>
      </c>
      <c r="E3813" s="74">
        <v>21</v>
      </c>
      <c r="F3813" s="74">
        <v>2.1</v>
      </c>
      <c r="G3813" s="758">
        <f t="shared" si="236"/>
        <v>0</v>
      </c>
      <c r="H3813" s="759">
        <f t="shared" si="237"/>
        <v>0.23</v>
      </c>
      <c r="I3813" s="758">
        <f t="shared" si="238"/>
        <v>0.1</v>
      </c>
      <c r="J3813" s="760">
        <f t="shared" si="239"/>
        <v>1</v>
      </c>
    </row>
    <row r="3814" spans="1:10">
      <c r="A3814" s="74" t="s">
        <v>269</v>
      </c>
      <c r="B3814" s="74" t="s">
        <v>264</v>
      </c>
      <c r="C3814" s="74" t="s">
        <v>1522</v>
      </c>
      <c r="D3814" s="74" t="s">
        <v>91</v>
      </c>
      <c r="E3814" s="74">
        <v>27</v>
      </c>
      <c r="F3814" s="74">
        <v>2.7</v>
      </c>
      <c r="G3814" s="758">
        <f t="shared" si="236"/>
        <v>0</v>
      </c>
      <c r="H3814" s="759">
        <f t="shared" si="237"/>
        <v>0.23</v>
      </c>
      <c r="I3814" s="758">
        <f t="shared" si="238"/>
        <v>0.1</v>
      </c>
      <c r="J3814" s="760">
        <f t="shared" si="239"/>
        <v>1</v>
      </c>
    </row>
    <row r="3815" spans="1:10">
      <c r="A3815" s="74" t="s">
        <v>269</v>
      </c>
      <c r="B3815" s="74" t="s">
        <v>264</v>
      </c>
      <c r="C3815" s="74" t="s">
        <v>1550</v>
      </c>
      <c r="D3815" s="74" t="s">
        <v>91</v>
      </c>
      <c r="E3815" s="74">
        <v>7</v>
      </c>
      <c r="F3815" s="74">
        <v>0.7</v>
      </c>
      <c r="G3815" s="758">
        <f t="shared" si="236"/>
        <v>0</v>
      </c>
      <c r="H3815" s="759">
        <f t="shared" si="237"/>
        <v>0.23</v>
      </c>
      <c r="I3815" s="758">
        <f t="shared" si="238"/>
        <v>9.9999999999999992E-2</v>
      </c>
      <c r="J3815" s="760">
        <f t="shared" si="239"/>
        <v>1</v>
      </c>
    </row>
    <row r="3816" spans="1:10">
      <c r="A3816" s="74" t="s">
        <v>269</v>
      </c>
      <c r="B3816" s="74" t="s">
        <v>264</v>
      </c>
      <c r="C3816" s="74" t="s">
        <v>1675</v>
      </c>
      <c r="D3816" s="74" t="s">
        <v>91</v>
      </c>
      <c r="E3816" s="74">
        <v>18</v>
      </c>
      <c r="F3816" s="74">
        <v>1.8</v>
      </c>
      <c r="G3816" s="758">
        <f t="shared" si="236"/>
        <v>0</v>
      </c>
      <c r="H3816" s="759">
        <f t="shared" si="237"/>
        <v>0.23</v>
      </c>
      <c r="I3816" s="758">
        <f t="shared" si="238"/>
        <v>0.1</v>
      </c>
      <c r="J3816" s="760">
        <f t="shared" si="239"/>
        <v>1</v>
      </c>
    </row>
    <row r="3817" spans="1:10">
      <c r="A3817" s="74" t="s">
        <v>269</v>
      </c>
      <c r="B3817" s="74" t="s">
        <v>264</v>
      </c>
      <c r="C3817" s="74" t="s">
        <v>1524</v>
      </c>
      <c r="D3817" s="74" t="s">
        <v>91</v>
      </c>
      <c r="E3817" s="74">
        <v>13</v>
      </c>
      <c r="F3817" s="74">
        <v>1.3</v>
      </c>
      <c r="G3817" s="758">
        <f t="shared" si="236"/>
        <v>0</v>
      </c>
      <c r="H3817" s="759">
        <f t="shared" si="237"/>
        <v>0.23</v>
      </c>
      <c r="I3817" s="758">
        <f t="shared" si="238"/>
        <v>0.1</v>
      </c>
      <c r="J3817" s="760">
        <f t="shared" si="239"/>
        <v>1</v>
      </c>
    </row>
    <row r="3818" spans="1:10">
      <c r="A3818" s="74" t="s">
        <v>269</v>
      </c>
      <c r="B3818" s="74" t="s">
        <v>264</v>
      </c>
      <c r="C3818" s="74" t="s">
        <v>1584</v>
      </c>
      <c r="D3818" s="74" t="s">
        <v>92</v>
      </c>
      <c r="E3818" s="74">
        <v>10</v>
      </c>
      <c r="F3818" s="74">
        <v>1</v>
      </c>
      <c r="G3818" s="758">
        <f t="shared" si="236"/>
        <v>0</v>
      </c>
      <c r="H3818" s="759">
        <f t="shared" si="237"/>
        <v>0.23</v>
      </c>
      <c r="I3818" s="758">
        <f t="shared" si="238"/>
        <v>0.1</v>
      </c>
      <c r="J3818" s="760">
        <f t="shared" si="239"/>
        <v>1</v>
      </c>
    </row>
    <row r="3819" spans="1:10">
      <c r="A3819" s="74" t="s">
        <v>269</v>
      </c>
      <c r="B3819" s="74" t="s">
        <v>264</v>
      </c>
      <c r="C3819" s="74" t="s">
        <v>1614</v>
      </c>
      <c r="D3819" s="74" t="s">
        <v>92</v>
      </c>
      <c r="E3819" s="74">
        <v>11</v>
      </c>
      <c r="F3819" s="74">
        <v>1.1000000000000001</v>
      </c>
      <c r="G3819" s="758">
        <f t="shared" si="236"/>
        <v>0</v>
      </c>
      <c r="H3819" s="759">
        <f t="shared" si="237"/>
        <v>0.23</v>
      </c>
      <c r="I3819" s="758">
        <f t="shared" si="238"/>
        <v>0.1</v>
      </c>
      <c r="J3819" s="760">
        <f t="shared" si="239"/>
        <v>1</v>
      </c>
    </row>
    <row r="3820" spans="1:10">
      <c r="A3820" s="74" t="s">
        <v>269</v>
      </c>
      <c r="B3820" s="74" t="s">
        <v>264</v>
      </c>
      <c r="C3820" s="74" t="s">
        <v>1631</v>
      </c>
      <c r="D3820" s="74" t="s">
        <v>92</v>
      </c>
      <c r="E3820" s="74">
        <v>8</v>
      </c>
      <c r="F3820" s="74">
        <v>0.8</v>
      </c>
      <c r="G3820" s="758">
        <f t="shared" si="236"/>
        <v>0</v>
      </c>
      <c r="H3820" s="759">
        <f t="shared" si="237"/>
        <v>0.23</v>
      </c>
      <c r="I3820" s="758">
        <f t="shared" si="238"/>
        <v>0.1</v>
      </c>
      <c r="J3820" s="760">
        <f t="shared" si="239"/>
        <v>1</v>
      </c>
    </row>
    <row r="3821" spans="1:10">
      <c r="A3821" s="74" t="s">
        <v>269</v>
      </c>
      <c r="B3821" s="74" t="s">
        <v>264</v>
      </c>
      <c r="C3821" s="74" t="s">
        <v>1552</v>
      </c>
      <c r="D3821" s="74" t="s">
        <v>92</v>
      </c>
      <c r="E3821" s="74">
        <v>6</v>
      </c>
      <c r="F3821" s="74">
        <v>0.6</v>
      </c>
      <c r="G3821" s="758">
        <f t="shared" si="236"/>
        <v>0</v>
      </c>
      <c r="H3821" s="759">
        <f t="shared" si="237"/>
        <v>0.23</v>
      </c>
      <c r="I3821" s="758">
        <f t="shared" si="238"/>
        <v>9.9999999999999992E-2</v>
      </c>
      <c r="J3821" s="760">
        <f t="shared" si="239"/>
        <v>1</v>
      </c>
    </row>
    <row r="3822" spans="1:10">
      <c r="A3822" s="74" t="s">
        <v>269</v>
      </c>
      <c r="B3822" s="74" t="s">
        <v>264</v>
      </c>
      <c r="C3822" s="74" t="s">
        <v>1617</v>
      </c>
      <c r="D3822" s="74" t="s">
        <v>94</v>
      </c>
      <c r="E3822" s="74">
        <v>3</v>
      </c>
      <c r="F3822" s="74">
        <v>0.3</v>
      </c>
      <c r="G3822" s="758">
        <f t="shared" si="236"/>
        <v>0</v>
      </c>
      <c r="H3822" s="759">
        <f t="shared" si="237"/>
        <v>0.23</v>
      </c>
      <c r="I3822" s="758">
        <f t="shared" si="238"/>
        <v>9.9999999999999992E-2</v>
      </c>
      <c r="J3822" s="760">
        <f t="shared" si="239"/>
        <v>1</v>
      </c>
    </row>
    <row r="3823" spans="1:10">
      <c r="A3823" s="74" t="s">
        <v>269</v>
      </c>
      <c r="B3823" s="74" t="s">
        <v>264</v>
      </c>
      <c r="C3823" s="74" t="s">
        <v>1553</v>
      </c>
      <c r="D3823" s="74" t="s">
        <v>94</v>
      </c>
      <c r="E3823" s="74">
        <v>2</v>
      </c>
      <c r="F3823" s="74">
        <v>0.2</v>
      </c>
      <c r="G3823" s="758">
        <f t="shared" si="236"/>
        <v>0</v>
      </c>
      <c r="H3823" s="759">
        <f t="shared" si="237"/>
        <v>0.23</v>
      </c>
      <c r="I3823" s="758">
        <f t="shared" si="238"/>
        <v>0.1</v>
      </c>
      <c r="J3823" s="760">
        <f t="shared" si="239"/>
        <v>1</v>
      </c>
    </row>
    <row r="3824" spans="1:10">
      <c r="A3824" s="74" t="s">
        <v>269</v>
      </c>
      <c r="B3824" s="74" t="s">
        <v>264</v>
      </c>
      <c r="C3824" s="74" t="s">
        <v>1555</v>
      </c>
      <c r="D3824" s="74" t="s">
        <v>94</v>
      </c>
      <c r="E3824" s="74">
        <v>5</v>
      </c>
      <c r="F3824" s="74">
        <v>0.5</v>
      </c>
      <c r="G3824" s="758">
        <f t="shared" si="236"/>
        <v>0</v>
      </c>
      <c r="H3824" s="759">
        <f t="shared" si="237"/>
        <v>0.23</v>
      </c>
      <c r="I3824" s="758">
        <f t="shared" si="238"/>
        <v>0.1</v>
      </c>
      <c r="J3824" s="760">
        <f t="shared" si="239"/>
        <v>1</v>
      </c>
    </row>
    <row r="3825" spans="1:10">
      <c r="A3825" s="74" t="s">
        <v>269</v>
      </c>
      <c r="B3825" s="74" t="s">
        <v>264</v>
      </c>
      <c r="C3825" s="74" t="s">
        <v>1557</v>
      </c>
      <c r="D3825" s="74" t="s">
        <v>95</v>
      </c>
      <c r="E3825" s="74">
        <v>4</v>
      </c>
      <c r="F3825" s="74">
        <v>0.4</v>
      </c>
      <c r="G3825" s="758">
        <f t="shared" si="236"/>
        <v>0</v>
      </c>
      <c r="H3825" s="759">
        <f t="shared" si="237"/>
        <v>0.23</v>
      </c>
      <c r="I3825" s="758">
        <f t="shared" si="238"/>
        <v>0.1</v>
      </c>
      <c r="J3825" s="760">
        <f t="shared" si="239"/>
        <v>1</v>
      </c>
    </row>
    <row r="3826" spans="1:10">
      <c r="A3826" s="74" t="s">
        <v>269</v>
      </c>
      <c r="B3826" s="74" t="s">
        <v>264</v>
      </c>
      <c r="C3826" s="74" t="s">
        <v>1526</v>
      </c>
      <c r="D3826" s="74" t="s">
        <v>95</v>
      </c>
      <c r="E3826" s="74">
        <v>6</v>
      </c>
      <c r="F3826" s="74">
        <v>0.6</v>
      </c>
      <c r="G3826" s="758">
        <f t="shared" si="236"/>
        <v>0</v>
      </c>
      <c r="H3826" s="759">
        <f t="shared" si="237"/>
        <v>0.23</v>
      </c>
      <c r="I3826" s="758">
        <f t="shared" si="238"/>
        <v>9.9999999999999992E-2</v>
      </c>
      <c r="J3826" s="760">
        <f t="shared" si="239"/>
        <v>1</v>
      </c>
    </row>
    <row r="3827" spans="1:10">
      <c r="A3827" s="74" t="s">
        <v>1910</v>
      </c>
      <c r="B3827" s="74" t="s">
        <v>275</v>
      </c>
      <c r="C3827" s="74" t="s">
        <v>1528</v>
      </c>
      <c r="D3827" s="74" t="s">
        <v>78</v>
      </c>
      <c r="E3827" s="74">
        <v>1</v>
      </c>
      <c r="F3827" s="74">
        <v>4</v>
      </c>
      <c r="G3827" s="758">
        <f t="shared" si="236"/>
        <v>0.65</v>
      </c>
      <c r="H3827" s="759">
        <f t="shared" si="237"/>
        <v>0.16</v>
      </c>
      <c r="I3827" s="758">
        <f t="shared" si="238"/>
        <v>3.35</v>
      </c>
      <c r="J3827" s="760">
        <f t="shared" si="239"/>
        <v>0.83750000000000002</v>
      </c>
    </row>
    <row r="3828" spans="1:10">
      <c r="A3828" s="74" t="s">
        <v>1910</v>
      </c>
      <c r="B3828" s="74" t="s">
        <v>275</v>
      </c>
      <c r="C3828" s="74" t="s">
        <v>1516</v>
      </c>
      <c r="D3828" s="74" t="s">
        <v>82</v>
      </c>
      <c r="E3828" s="74">
        <v>2</v>
      </c>
      <c r="F3828" s="74">
        <v>8.5</v>
      </c>
      <c r="G3828" s="758">
        <f t="shared" si="236"/>
        <v>0.65</v>
      </c>
      <c r="H3828" s="759">
        <f t="shared" si="237"/>
        <v>0.16</v>
      </c>
      <c r="I3828" s="758">
        <f t="shared" si="238"/>
        <v>3.6</v>
      </c>
      <c r="J3828" s="760">
        <f t="shared" si="239"/>
        <v>0.84705882352941175</v>
      </c>
    </row>
    <row r="3829" spans="1:10">
      <c r="A3829" s="74" t="s">
        <v>1911</v>
      </c>
      <c r="B3829" s="74" t="s">
        <v>258</v>
      </c>
      <c r="C3829" s="74" t="s">
        <v>1528</v>
      </c>
      <c r="D3829" s="74" t="s">
        <v>78</v>
      </c>
      <c r="E3829" s="74">
        <v>1</v>
      </c>
      <c r="F3829" s="74">
        <v>0</v>
      </c>
      <c r="G3829" s="758">
        <f t="shared" si="236"/>
        <v>0.65</v>
      </c>
      <c r="H3829" s="759">
        <f t="shared" si="237"/>
        <v>0</v>
      </c>
      <c r="I3829" s="758">
        <f t="shared" si="238"/>
        <v>-0.65</v>
      </c>
      <c r="J3829" s="760">
        <f t="shared" si="239"/>
        <v>0</v>
      </c>
    </row>
    <row r="3830" spans="1:10">
      <c r="A3830" s="74" t="s">
        <v>1911</v>
      </c>
      <c r="B3830" s="74" t="s">
        <v>258</v>
      </c>
      <c r="C3830" s="74" t="s">
        <v>1508</v>
      </c>
      <c r="D3830" s="74" t="s">
        <v>78</v>
      </c>
      <c r="E3830" s="74">
        <v>3</v>
      </c>
      <c r="F3830" s="74">
        <v>0</v>
      </c>
      <c r="G3830" s="758">
        <f t="shared" si="236"/>
        <v>0.65</v>
      </c>
      <c r="H3830" s="759">
        <f t="shared" si="237"/>
        <v>0</v>
      </c>
      <c r="I3830" s="758">
        <f t="shared" si="238"/>
        <v>-0.65</v>
      </c>
      <c r="J3830" s="760">
        <f t="shared" si="239"/>
        <v>0</v>
      </c>
    </row>
    <row r="3831" spans="1:10">
      <c r="A3831" s="74" t="s">
        <v>1198</v>
      </c>
      <c r="B3831" s="74" t="s">
        <v>275</v>
      </c>
      <c r="C3831" s="74" t="s">
        <v>1532</v>
      </c>
      <c r="D3831" s="74" t="s">
        <v>80</v>
      </c>
      <c r="E3831" s="74">
        <v>4</v>
      </c>
      <c r="F3831" s="74">
        <v>16</v>
      </c>
      <c r="G3831" s="758">
        <f t="shared" si="236"/>
        <v>0.53</v>
      </c>
      <c r="H3831" s="759">
        <f t="shared" si="237"/>
        <v>0.17</v>
      </c>
      <c r="I3831" s="758">
        <f t="shared" si="238"/>
        <v>3.4699999999999998</v>
      </c>
      <c r="J3831" s="760">
        <f t="shared" si="239"/>
        <v>0.86749999999999994</v>
      </c>
    </row>
    <row r="3832" spans="1:10">
      <c r="A3832" s="74" t="s">
        <v>1198</v>
      </c>
      <c r="B3832" s="74" t="s">
        <v>275</v>
      </c>
      <c r="C3832" s="74" t="s">
        <v>1511</v>
      </c>
      <c r="D3832" s="74" t="s">
        <v>80</v>
      </c>
      <c r="E3832" s="74">
        <v>1</v>
      </c>
      <c r="F3832" s="74">
        <v>4.25</v>
      </c>
      <c r="G3832" s="758">
        <f t="shared" si="236"/>
        <v>0.53</v>
      </c>
      <c r="H3832" s="759">
        <f t="shared" si="237"/>
        <v>0.17</v>
      </c>
      <c r="I3832" s="758">
        <f t="shared" si="238"/>
        <v>3.7199999999999998</v>
      </c>
      <c r="J3832" s="760">
        <f t="shared" si="239"/>
        <v>0.87529411764705878</v>
      </c>
    </row>
    <row r="3833" spans="1:10">
      <c r="A3833" s="74" t="s">
        <v>1198</v>
      </c>
      <c r="B3833" s="74" t="s">
        <v>275</v>
      </c>
      <c r="C3833" s="74" t="s">
        <v>1512</v>
      </c>
      <c r="D3833" s="74" t="s">
        <v>80</v>
      </c>
      <c r="E3833" s="74">
        <v>1</v>
      </c>
      <c r="F3833" s="74">
        <v>4</v>
      </c>
      <c r="G3833" s="758">
        <f t="shared" si="236"/>
        <v>0.53</v>
      </c>
      <c r="H3833" s="759">
        <f t="shared" si="237"/>
        <v>0.17</v>
      </c>
      <c r="I3833" s="758">
        <f t="shared" si="238"/>
        <v>3.4699999999999998</v>
      </c>
      <c r="J3833" s="760">
        <f t="shared" si="239"/>
        <v>0.86749999999999994</v>
      </c>
    </row>
    <row r="3834" spans="1:10">
      <c r="A3834" s="74" t="s">
        <v>1198</v>
      </c>
      <c r="B3834" s="74" t="s">
        <v>275</v>
      </c>
      <c r="C3834" s="74" t="s">
        <v>1534</v>
      </c>
      <c r="D3834" s="74" t="s">
        <v>81</v>
      </c>
      <c r="E3834" s="74">
        <v>4</v>
      </c>
      <c r="F3834" s="74">
        <v>16</v>
      </c>
      <c r="G3834" s="758">
        <f t="shared" si="236"/>
        <v>0.53</v>
      </c>
      <c r="H3834" s="759">
        <f t="shared" si="237"/>
        <v>0.17</v>
      </c>
      <c r="I3834" s="758">
        <f t="shared" si="238"/>
        <v>3.4699999999999998</v>
      </c>
      <c r="J3834" s="760">
        <f t="shared" si="239"/>
        <v>0.86749999999999994</v>
      </c>
    </row>
    <row r="3835" spans="1:10">
      <c r="A3835" s="74" t="s">
        <v>1198</v>
      </c>
      <c r="B3835" s="74" t="s">
        <v>275</v>
      </c>
      <c r="C3835" s="74" t="s">
        <v>1513</v>
      </c>
      <c r="D3835" s="74" t="s">
        <v>81</v>
      </c>
      <c r="E3835" s="74">
        <v>1</v>
      </c>
      <c r="F3835" s="74">
        <v>4.25</v>
      </c>
      <c r="G3835" s="758">
        <f t="shared" si="236"/>
        <v>0.53</v>
      </c>
      <c r="H3835" s="759">
        <f t="shared" si="237"/>
        <v>0.17</v>
      </c>
      <c r="I3835" s="758">
        <f t="shared" si="238"/>
        <v>3.7199999999999998</v>
      </c>
      <c r="J3835" s="760">
        <f t="shared" si="239"/>
        <v>0.87529411764705878</v>
      </c>
    </row>
    <row r="3836" spans="1:10">
      <c r="A3836" s="74" t="s">
        <v>1198</v>
      </c>
      <c r="B3836" s="74" t="s">
        <v>275</v>
      </c>
      <c r="C3836" s="74" t="s">
        <v>1514</v>
      </c>
      <c r="D3836" s="74" t="s">
        <v>81</v>
      </c>
      <c r="E3836" s="74">
        <v>1</v>
      </c>
      <c r="F3836" s="74">
        <v>4</v>
      </c>
      <c r="G3836" s="758">
        <f t="shared" si="236"/>
        <v>0.53</v>
      </c>
      <c r="H3836" s="759">
        <f t="shared" si="237"/>
        <v>0.17</v>
      </c>
      <c r="I3836" s="758">
        <f t="shared" si="238"/>
        <v>3.4699999999999998</v>
      </c>
      <c r="J3836" s="760">
        <f t="shared" si="239"/>
        <v>0.86749999999999994</v>
      </c>
    </row>
    <row r="3837" spans="1:10">
      <c r="A3837" s="74" t="s">
        <v>1198</v>
      </c>
      <c r="B3837" s="74" t="s">
        <v>275</v>
      </c>
      <c r="C3837" s="74" t="s">
        <v>1515</v>
      </c>
      <c r="D3837" s="74" t="s">
        <v>81</v>
      </c>
      <c r="E3837" s="74">
        <v>1</v>
      </c>
      <c r="F3837" s="74">
        <v>4.25</v>
      </c>
      <c r="G3837" s="758">
        <f t="shared" si="236"/>
        <v>0.53</v>
      </c>
      <c r="H3837" s="759">
        <f t="shared" si="237"/>
        <v>0.17</v>
      </c>
      <c r="I3837" s="758">
        <f t="shared" si="238"/>
        <v>3.7199999999999998</v>
      </c>
      <c r="J3837" s="760">
        <f t="shared" si="239"/>
        <v>0.87529411764705878</v>
      </c>
    </row>
    <row r="3838" spans="1:10">
      <c r="A3838" s="74" t="s">
        <v>1198</v>
      </c>
      <c r="B3838" s="74" t="s">
        <v>275</v>
      </c>
      <c r="C3838" s="74" t="s">
        <v>1516</v>
      </c>
      <c r="D3838" s="74" t="s">
        <v>82</v>
      </c>
      <c r="E3838" s="74">
        <v>3</v>
      </c>
      <c r="F3838" s="74">
        <v>13</v>
      </c>
      <c r="G3838" s="758">
        <f t="shared" si="236"/>
        <v>0.53</v>
      </c>
      <c r="H3838" s="759">
        <f t="shared" si="237"/>
        <v>0.17</v>
      </c>
      <c r="I3838" s="758">
        <f t="shared" si="238"/>
        <v>3.8033333333333328</v>
      </c>
      <c r="J3838" s="760">
        <f t="shared" si="239"/>
        <v>0.87769230769230766</v>
      </c>
    </row>
    <row r="3839" spans="1:10">
      <c r="A3839" s="74" t="s">
        <v>1198</v>
      </c>
      <c r="B3839" s="74" t="s">
        <v>275</v>
      </c>
      <c r="C3839" s="74" t="s">
        <v>1517</v>
      </c>
      <c r="D3839" s="74" t="s">
        <v>82</v>
      </c>
      <c r="E3839" s="74">
        <v>4</v>
      </c>
      <c r="F3839" s="74">
        <v>16</v>
      </c>
      <c r="G3839" s="758">
        <f t="shared" si="236"/>
        <v>0.53</v>
      </c>
      <c r="H3839" s="759">
        <f t="shared" si="237"/>
        <v>0.17</v>
      </c>
      <c r="I3839" s="758">
        <f t="shared" si="238"/>
        <v>3.4699999999999998</v>
      </c>
      <c r="J3839" s="760">
        <f t="shared" si="239"/>
        <v>0.86749999999999994</v>
      </c>
    </row>
    <row r="3840" spans="1:10">
      <c r="A3840" s="74" t="s">
        <v>1198</v>
      </c>
      <c r="B3840" s="74" t="s">
        <v>275</v>
      </c>
      <c r="C3840" s="74" t="s">
        <v>1527</v>
      </c>
      <c r="D3840" s="74" t="s">
        <v>82</v>
      </c>
      <c r="E3840" s="74">
        <v>5</v>
      </c>
      <c r="F3840" s="74">
        <v>22.25</v>
      </c>
      <c r="G3840" s="758">
        <f t="shared" si="236"/>
        <v>0.53</v>
      </c>
      <c r="H3840" s="759">
        <f t="shared" si="237"/>
        <v>0.17</v>
      </c>
      <c r="I3840" s="758">
        <f t="shared" si="238"/>
        <v>3.92</v>
      </c>
      <c r="J3840" s="760">
        <f t="shared" si="239"/>
        <v>0.88089887640449438</v>
      </c>
    </row>
    <row r="3841" spans="1:10">
      <c r="A3841" s="74" t="s">
        <v>1198</v>
      </c>
      <c r="B3841" s="74" t="s">
        <v>275</v>
      </c>
      <c r="C3841" s="74" t="s">
        <v>1518</v>
      </c>
      <c r="D3841" s="74" t="s">
        <v>82</v>
      </c>
      <c r="E3841" s="74">
        <v>4</v>
      </c>
      <c r="F3841" s="74">
        <v>19.25</v>
      </c>
      <c r="G3841" s="758">
        <f t="shared" si="236"/>
        <v>0.53</v>
      </c>
      <c r="H3841" s="759">
        <f t="shared" si="237"/>
        <v>0.17</v>
      </c>
      <c r="I3841" s="758">
        <f t="shared" si="238"/>
        <v>4.2824999999999998</v>
      </c>
      <c r="J3841" s="760">
        <f t="shared" si="239"/>
        <v>0.88987012987012992</v>
      </c>
    </row>
    <row r="3842" spans="1:10">
      <c r="A3842" s="74" t="s">
        <v>1198</v>
      </c>
      <c r="B3842" s="74" t="s">
        <v>275</v>
      </c>
      <c r="C3842" s="74" t="s">
        <v>1519</v>
      </c>
      <c r="D3842" s="74" t="s">
        <v>84</v>
      </c>
      <c r="E3842" s="74">
        <v>1</v>
      </c>
      <c r="F3842" s="74">
        <v>5</v>
      </c>
      <c r="G3842" s="758">
        <f t="shared" ref="G3842:G3905" si="240">IFERROR(VLOOKUP(A3842,$M$1:$P$1014,2,FALSE),0)</f>
        <v>0.53</v>
      </c>
      <c r="H3842" s="759">
        <f t="shared" ref="H3842:H3905" si="241">IFERROR(VLOOKUP(A3842,$M$1:$P$1014,3,FALSE),0)</f>
        <v>0.17</v>
      </c>
      <c r="I3842" s="758">
        <f t="shared" ref="I3842:I3905" si="242">IFERROR(F3842/E3842-G3842,0)</f>
        <v>4.47</v>
      </c>
      <c r="J3842" s="760">
        <f t="shared" ref="J3842:J3905" si="243">IFERROR(1-G3842*E3842/F3842,0)</f>
        <v>0.89400000000000002</v>
      </c>
    </row>
    <row r="3843" spans="1:10">
      <c r="A3843" s="74" t="s">
        <v>1198</v>
      </c>
      <c r="B3843" s="74" t="s">
        <v>275</v>
      </c>
      <c r="C3843" s="74" t="s">
        <v>1541</v>
      </c>
      <c r="D3843" s="74" t="s">
        <v>86</v>
      </c>
      <c r="E3843" s="74">
        <v>3</v>
      </c>
      <c r="F3843" s="74">
        <v>13.25</v>
      </c>
      <c r="G3843" s="758">
        <f t="shared" si="240"/>
        <v>0.53</v>
      </c>
      <c r="H3843" s="759">
        <f t="shared" si="241"/>
        <v>0.17</v>
      </c>
      <c r="I3843" s="758">
        <f t="shared" si="242"/>
        <v>3.8866666666666667</v>
      </c>
      <c r="J3843" s="760">
        <f t="shared" si="243"/>
        <v>0.88</v>
      </c>
    </row>
    <row r="3844" spans="1:10">
      <c r="A3844" s="74" t="s">
        <v>1198</v>
      </c>
      <c r="B3844" s="74" t="s">
        <v>275</v>
      </c>
      <c r="C3844" s="74" t="s">
        <v>1544</v>
      </c>
      <c r="D3844" s="74" t="s">
        <v>87</v>
      </c>
      <c r="E3844" s="74">
        <v>1</v>
      </c>
      <c r="F3844" s="74">
        <v>5.25</v>
      </c>
      <c r="G3844" s="758">
        <f t="shared" si="240"/>
        <v>0.53</v>
      </c>
      <c r="H3844" s="759">
        <f t="shared" si="241"/>
        <v>0.17</v>
      </c>
      <c r="I3844" s="758">
        <f t="shared" si="242"/>
        <v>4.72</v>
      </c>
      <c r="J3844" s="760">
        <f t="shared" si="243"/>
        <v>0.8990476190476191</v>
      </c>
    </row>
    <row r="3845" spans="1:10">
      <c r="A3845" s="74" t="s">
        <v>1198</v>
      </c>
      <c r="B3845" s="74" t="s">
        <v>275</v>
      </c>
      <c r="C3845" s="74" t="s">
        <v>1608</v>
      </c>
      <c r="D3845" s="74" t="s">
        <v>89</v>
      </c>
      <c r="E3845" s="74">
        <v>1</v>
      </c>
      <c r="F3845" s="74">
        <v>5</v>
      </c>
      <c r="G3845" s="758">
        <f t="shared" si="240"/>
        <v>0.53</v>
      </c>
      <c r="H3845" s="759">
        <f t="shared" si="241"/>
        <v>0.17</v>
      </c>
      <c r="I3845" s="758">
        <f t="shared" si="242"/>
        <v>4.47</v>
      </c>
      <c r="J3845" s="760">
        <f t="shared" si="243"/>
        <v>0.89400000000000002</v>
      </c>
    </row>
    <row r="3846" spans="1:10">
      <c r="A3846" s="74" t="s">
        <v>1198</v>
      </c>
      <c r="B3846" s="74" t="s">
        <v>275</v>
      </c>
      <c r="C3846" s="74" t="s">
        <v>1522</v>
      </c>
      <c r="D3846" s="74" t="s">
        <v>91</v>
      </c>
      <c r="E3846" s="74">
        <v>1</v>
      </c>
      <c r="F3846" s="74">
        <v>5</v>
      </c>
      <c r="G3846" s="758">
        <f t="shared" si="240"/>
        <v>0.53</v>
      </c>
      <c r="H3846" s="759">
        <f t="shared" si="241"/>
        <v>0.17</v>
      </c>
      <c r="I3846" s="758">
        <f t="shared" si="242"/>
        <v>4.47</v>
      </c>
      <c r="J3846" s="760">
        <f t="shared" si="243"/>
        <v>0.89400000000000002</v>
      </c>
    </row>
    <row r="3847" spans="1:10">
      <c r="A3847" s="74" t="s">
        <v>1198</v>
      </c>
      <c r="B3847" s="74" t="s">
        <v>275</v>
      </c>
      <c r="C3847" s="74" t="s">
        <v>1614</v>
      </c>
      <c r="D3847" s="74" t="s">
        <v>92</v>
      </c>
      <c r="E3847" s="74">
        <v>1</v>
      </c>
      <c r="F3847" s="74">
        <v>2.75</v>
      </c>
      <c r="G3847" s="758">
        <f t="shared" si="240"/>
        <v>0.53</v>
      </c>
      <c r="H3847" s="759">
        <f t="shared" si="241"/>
        <v>0.17</v>
      </c>
      <c r="I3847" s="758">
        <f t="shared" si="242"/>
        <v>2.2199999999999998</v>
      </c>
      <c r="J3847" s="760">
        <f t="shared" si="243"/>
        <v>0.80727272727272725</v>
      </c>
    </row>
    <row r="3848" spans="1:10">
      <c r="A3848" s="74" t="s">
        <v>2297</v>
      </c>
      <c r="B3848" s="74" t="s">
        <v>247</v>
      </c>
      <c r="C3848" s="74" t="s">
        <v>1546</v>
      </c>
      <c r="D3848" s="74" t="s">
        <v>89</v>
      </c>
      <c r="E3848" s="74">
        <v>1</v>
      </c>
      <c r="F3848" s="74">
        <v>1.65</v>
      </c>
      <c r="G3848" s="758">
        <f t="shared" si="240"/>
        <v>0.26</v>
      </c>
      <c r="H3848" s="759">
        <f t="shared" si="241"/>
        <v>0.17</v>
      </c>
      <c r="I3848" s="758">
        <f t="shared" si="242"/>
        <v>1.39</v>
      </c>
      <c r="J3848" s="760">
        <f t="shared" si="243"/>
        <v>0.84242424242424241</v>
      </c>
    </row>
    <row r="3849" spans="1:10">
      <c r="A3849" s="74" t="s">
        <v>786</v>
      </c>
      <c r="B3849" s="74" t="s">
        <v>249</v>
      </c>
      <c r="C3849" s="74" t="s">
        <v>1530</v>
      </c>
      <c r="D3849" s="74" t="s">
        <v>80</v>
      </c>
      <c r="E3849" s="74">
        <v>1</v>
      </c>
      <c r="F3849" s="74">
        <v>0</v>
      </c>
      <c r="G3849" s="758">
        <f t="shared" si="240"/>
        <v>0</v>
      </c>
      <c r="H3849" s="759">
        <f t="shared" si="241"/>
        <v>0</v>
      </c>
      <c r="I3849" s="758">
        <f t="shared" si="242"/>
        <v>0</v>
      </c>
      <c r="J3849" s="760">
        <f t="shared" si="243"/>
        <v>0</v>
      </c>
    </row>
    <row r="3850" spans="1:10">
      <c r="A3850" s="74" t="s">
        <v>786</v>
      </c>
      <c r="B3850" s="74" t="s">
        <v>249</v>
      </c>
      <c r="C3850" s="74" t="s">
        <v>1532</v>
      </c>
      <c r="D3850" s="74" t="s">
        <v>80</v>
      </c>
      <c r="E3850" s="74">
        <v>1</v>
      </c>
      <c r="F3850" s="74">
        <v>0</v>
      </c>
      <c r="G3850" s="758">
        <f t="shared" si="240"/>
        <v>0</v>
      </c>
      <c r="H3850" s="759">
        <f t="shared" si="241"/>
        <v>0</v>
      </c>
      <c r="I3850" s="758">
        <f t="shared" si="242"/>
        <v>0</v>
      </c>
      <c r="J3850" s="760">
        <f t="shared" si="243"/>
        <v>0</v>
      </c>
    </row>
    <row r="3851" spans="1:10">
      <c r="A3851" s="74" t="s">
        <v>786</v>
      </c>
      <c r="B3851" s="74" t="s">
        <v>249</v>
      </c>
      <c r="C3851" s="74" t="s">
        <v>1511</v>
      </c>
      <c r="D3851" s="74" t="s">
        <v>80</v>
      </c>
      <c r="E3851" s="74">
        <v>1</v>
      </c>
      <c r="F3851" s="74">
        <v>0</v>
      </c>
      <c r="G3851" s="758">
        <f t="shared" si="240"/>
        <v>0</v>
      </c>
      <c r="H3851" s="759">
        <f t="shared" si="241"/>
        <v>0</v>
      </c>
      <c r="I3851" s="758">
        <f t="shared" si="242"/>
        <v>0</v>
      </c>
      <c r="J3851" s="760">
        <f t="shared" si="243"/>
        <v>0</v>
      </c>
    </row>
    <row r="3852" spans="1:10">
      <c r="A3852" s="74" t="s">
        <v>786</v>
      </c>
      <c r="B3852" s="74" t="s">
        <v>249</v>
      </c>
      <c r="C3852" s="74" t="s">
        <v>1513</v>
      </c>
      <c r="D3852" s="74" t="s">
        <v>81</v>
      </c>
      <c r="E3852" s="74">
        <v>4</v>
      </c>
      <c r="F3852" s="74">
        <v>6.64</v>
      </c>
      <c r="G3852" s="758">
        <f t="shared" si="240"/>
        <v>0</v>
      </c>
      <c r="H3852" s="759">
        <f t="shared" si="241"/>
        <v>0</v>
      </c>
      <c r="I3852" s="758">
        <f t="shared" si="242"/>
        <v>1.66</v>
      </c>
      <c r="J3852" s="760">
        <f t="shared" si="243"/>
        <v>1</v>
      </c>
    </row>
    <row r="3853" spans="1:10">
      <c r="A3853" s="74" t="s">
        <v>786</v>
      </c>
      <c r="B3853" s="74" t="s">
        <v>249</v>
      </c>
      <c r="C3853" s="74" t="s">
        <v>1515</v>
      </c>
      <c r="D3853" s="74" t="s">
        <v>81</v>
      </c>
      <c r="E3853" s="74">
        <v>1</v>
      </c>
      <c r="F3853" s="74">
        <v>1.5</v>
      </c>
      <c r="G3853" s="758">
        <f t="shared" si="240"/>
        <v>0</v>
      </c>
      <c r="H3853" s="759">
        <f t="shared" si="241"/>
        <v>0</v>
      </c>
      <c r="I3853" s="758">
        <f t="shared" si="242"/>
        <v>1.5</v>
      </c>
      <c r="J3853" s="760">
        <f t="shared" si="243"/>
        <v>1</v>
      </c>
    </row>
    <row r="3854" spans="1:10">
      <c r="A3854" s="74" t="s">
        <v>2298</v>
      </c>
      <c r="B3854" s="74" t="s">
        <v>247</v>
      </c>
      <c r="C3854" s="74" t="s">
        <v>1547</v>
      </c>
      <c r="D3854" s="74" t="s">
        <v>89</v>
      </c>
      <c r="E3854" s="74">
        <v>2</v>
      </c>
      <c r="F3854" s="74">
        <v>3.3</v>
      </c>
      <c r="G3854" s="758">
        <f t="shared" si="240"/>
        <v>0.26</v>
      </c>
      <c r="H3854" s="759">
        <f t="shared" si="241"/>
        <v>0.17</v>
      </c>
      <c r="I3854" s="758">
        <f t="shared" si="242"/>
        <v>1.39</v>
      </c>
      <c r="J3854" s="760">
        <f t="shared" si="243"/>
        <v>0.84242424242424241</v>
      </c>
    </row>
    <row r="3855" spans="1:10">
      <c r="A3855" s="74" t="s">
        <v>2298</v>
      </c>
      <c r="B3855" s="74" t="s">
        <v>247</v>
      </c>
      <c r="C3855" s="74" t="s">
        <v>1522</v>
      </c>
      <c r="D3855" s="74" t="s">
        <v>91</v>
      </c>
      <c r="E3855" s="74">
        <v>1</v>
      </c>
      <c r="F3855" s="74">
        <v>1.65</v>
      </c>
      <c r="G3855" s="758">
        <f t="shared" si="240"/>
        <v>0.26</v>
      </c>
      <c r="H3855" s="759">
        <f t="shared" si="241"/>
        <v>0.17</v>
      </c>
      <c r="I3855" s="758">
        <f t="shared" si="242"/>
        <v>1.39</v>
      </c>
      <c r="J3855" s="760">
        <f t="shared" si="243"/>
        <v>0.84242424242424241</v>
      </c>
    </row>
    <row r="3856" spans="1:10">
      <c r="A3856" s="74" t="s">
        <v>2298</v>
      </c>
      <c r="B3856" s="74" t="s">
        <v>247</v>
      </c>
      <c r="C3856" s="74" t="s">
        <v>1557</v>
      </c>
      <c r="D3856" s="74" t="s">
        <v>95</v>
      </c>
      <c r="E3856" s="74">
        <v>1</v>
      </c>
      <c r="F3856" s="74">
        <v>1.65</v>
      </c>
      <c r="G3856" s="758">
        <f t="shared" si="240"/>
        <v>0.26</v>
      </c>
      <c r="H3856" s="759">
        <f t="shared" si="241"/>
        <v>0.17</v>
      </c>
      <c r="I3856" s="758">
        <f t="shared" si="242"/>
        <v>1.39</v>
      </c>
      <c r="J3856" s="760">
        <f t="shared" si="243"/>
        <v>0.84242424242424241</v>
      </c>
    </row>
    <row r="3857" spans="1:10">
      <c r="A3857" s="74" t="s">
        <v>1008</v>
      </c>
      <c r="B3857" s="74" t="s">
        <v>247</v>
      </c>
      <c r="C3857" s="74" t="s">
        <v>1605</v>
      </c>
      <c r="D3857" s="74" t="s">
        <v>87</v>
      </c>
      <c r="E3857" s="74">
        <v>1</v>
      </c>
      <c r="F3857" s="74">
        <v>1.65</v>
      </c>
      <c r="G3857" s="758">
        <f t="shared" si="240"/>
        <v>0</v>
      </c>
      <c r="H3857" s="759">
        <f t="shared" si="241"/>
        <v>0</v>
      </c>
      <c r="I3857" s="758">
        <f t="shared" si="242"/>
        <v>1.65</v>
      </c>
      <c r="J3857" s="760">
        <f t="shared" si="243"/>
        <v>1</v>
      </c>
    </row>
    <row r="3858" spans="1:10">
      <c r="A3858" s="74" t="s">
        <v>1912</v>
      </c>
      <c r="B3858" s="74" t="s">
        <v>247</v>
      </c>
      <c r="C3858" s="74" t="s">
        <v>1508</v>
      </c>
      <c r="D3858" s="74" t="s">
        <v>78</v>
      </c>
      <c r="E3858" s="74">
        <v>1</v>
      </c>
      <c r="F3858" s="74">
        <v>1.6</v>
      </c>
      <c r="G3858" s="758">
        <f t="shared" si="240"/>
        <v>0.26</v>
      </c>
      <c r="H3858" s="759">
        <f t="shared" si="241"/>
        <v>0.17</v>
      </c>
      <c r="I3858" s="758">
        <f t="shared" si="242"/>
        <v>1.34</v>
      </c>
      <c r="J3858" s="760">
        <f t="shared" si="243"/>
        <v>0.83750000000000002</v>
      </c>
    </row>
    <row r="3859" spans="1:10">
      <c r="A3859" s="74" t="s">
        <v>1912</v>
      </c>
      <c r="B3859" s="74" t="s">
        <v>247</v>
      </c>
      <c r="C3859" s="74" t="s">
        <v>1565</v>
      </c>
      <c r="D3859" s="74" t="s">
        <v>78</v>
      </c>
      <c r="E3859" s="74">
        <v>2</v>
      </c>
      <c r="F3859" s="74">
        <v>3.3</v>
      </c>
      <c r="G3859" s="758">
        <f t="shared" si="240"/>
        <v>0.26</v>
      </c>
      <c r="H3859" s="759">
        <f t="shared" si="241"/>
        <v>0.17</v>
      </c>
      <c r="I3859" s="758">
        <f t="shared" si="242"/>
        <v>1.39</v>
      </c>
      <c r="J3859" s="760">
        <f t="shared" si="243"/>
        <v>0.84242424242424241</v>
      </c>
    </row>
    <row r="3860" spans="1:10">
      <c r="A3860" s="74" t="s">
        <v>1912</v>
      </c>
      <c r="B3860" s="74" t="s">
        <v>247</v>
      </c>
      <c r="C3860" s="74" t="s">
        <v>1532</v>
      </c>
      <c r="D3860" s="74" t="s">
        <v>80</v>
      </c>
      <c r="E3860" s="74">
        <v>3</v>
      </c>
      <c r="F3860" s="74">
        <v>4.95</v>
      </c>
      <c r="G3860" s="758">
        <f t="shared" si="240"/>
        <v>0.26</v>
      </c>
      <c r="H3860" s="759">
        <f t="shared" si="241"/>
        <v>0.17</v>
      </c>
      <c r="I3860" s="758">
        <f t="shared" si="242"/>
        <v>1.3900000000000001</v>
      </c>
      <c r="J3860" s="760">
        <f t="shared" si="243"/>
        <v>0.84242424242424241</v>
      </c>
    </row>
    <row r="3861" spans="1:10">
      <c r="A3861" s="74" t="s">
        <v>1912</v>
      </c>
      <c r="B3861" s="74" t="s">
        <v>247</v>
      </c>
      <c r="C3861" s="74" t="s">
        <v>1511</v>
      </c>
      <c r="D3861" s="74" t="s">
        <v>80</v>
      </c>
      <c r="E3861" s="74">
        <v>1</v>
      </c>
      <c r="F3861" s="74">
        <v>1.65</v>
      </c>
      <c r="G3861" s="758">
        <f t="shared" si="240"/>
        <v>0.26</v>
      </c>
      <c r="H3861" s="759">
        <f t="shared" si="241"/>
        <v>0.17</v>
      </c>
      <c r="I3861" s="758">
        <f t="shared" si="242"/>
        <v>1.39</v>
      </c>
      <c r="J3861" s="760">
        <f t="shared" si="243"/>
        <v>0.84242424242424241</v>
      </c>
    </row>
    <row r="3862" spans="1:10">
      <c r="A3862" s="74" t="s">
        <v>1912</v>
      </c>
      <c r="B3862" s="74" t="s">
        <v>247</v>
      </c>
      <c r="C3862" s="74" t="s">
        <v>1512</v>
      </c>
      <c r="D3862" s="74" t="s">
        <v>80</v>
      </c>
      <c r="E3862" s="74">
        <v>2</v>
      </c>
      <c r="F3862" s="74">
        <v>3.3</v>
      </c>
      <c r="G3862" s="758">
        <f t="shared" si="240"/>
        <v>0.26</v>
      </c>
      <c r="H3862" s="759">
        <f t="shared" si="241"/>
        <v>0.17</v>
      </c>
      <c r="I3862" s="758">
        <f t="shared" si="242"/>
        <v>1.39</v>
      </c>
      <c r="J3862" s="760">
        <f t="shared" si="243"/>
        <v>0.84242424242424241</v>
      </c>
    </row>
    <row r="3863" spans="1:10">
      <c r="A3863" s="74" t="s">
        <v>1912</v>
      </c>
      <c r="B3863" s="74" t="s">
        <v>247</v>
      </c>
      <c r="C3863" s="74" t="s">
        <v>1534</v>
      </c>
      <c r="D3863" s="74" t="s">
        <v>81</v>
      </c>
      <c r="E3863" s="74">
        <v>2</v>
      </c>
      <c r="F3863" s="74">
        <v>3.45</v>
      </c>
      <c r="G3863" s="758">
        <f t="shared" si="240"/>
        <v>0.26</v>
      </c>
      <c r="H3863" s="759">
        <f t="shared" si="241"/>
        <v>0.17</v>
      </c>
      <c r="I3863" s="758">
        <f t="shared" si="242"/>
        <v>1.4650000000000001</v>
      </c>
      <c r="J3863" s="760">
        <f t="shared" si="243"/>
        <v>0.8492753623188406</v>
      </c>
    </row>
    <row r="3864" spans="1:10">
      <c r="A3864" s="74" t="s">
        <v>1912</v>
      </c>
      <c r="B3864" s="74" t="s">
        <v>247</v>
      </c>
      <c r="C3864" s="74" t="s">
        <v>1513</v>
      </c>
      <c r="D3864" s="74" t="s">
        <v>81</v>
      </c>
      <c r="E3864" s="74">
        <v>2</v>
      </c>
      <c r="F3864" s="74">
        <v>3.6</v>
      </c>
      <c r="G3864" s="758">
        <f t="shared" si="240"/>
        <v>0.26</v>
      </c>
      <c r="H3864" s="759">
        <f t="shared" si="241"/>
        <v>0.17</v>
      </c>
      <c r="I3864" s="758">
        <f t="shared" si="242"/>
        <v>1.54</v>
      </c>
      <c r="J3864" s="760">
        <f t="shared" si="243"/>
        <v>0.85555555555555551</v>
      </c>
    </row>
    <row r="3865" spans="1:10">
      <c r="A3865" s="74" t="s">
        <v>1912</v>
      </c>
      <c r="B3865" s="74" t="s">
        <v>247</v>
      </c>
      <c r="C3865" s="74" t="s">
        <v>1514</v>
      </c>
      <c r="D3865" s="74" t="s">
        <v>81</v>
      </c>
      <c r="E3865" s="74">
        <v>1</v>
      </c>
      <c r="F3865" s="74">
        <v>1.65</v>
      </c>
      <c r="G3865" s="758">
        <f t="shared" si="240"/>
        <v>0.26</v>
      </c>
      <c r="H3865" s="759">
        <f t="shared" si="241"/>
        <v>0.17</v>
      </c>
      <c r="I3865" s="758">
        <f t="shared" si="242"/>
        <v>1.39</v>
      </c>
      <c r="J3865" s="760">
        <f t="shared" si="243"/>
        <v>0.84242424242424241</v>
      </c>
    </row>
    <row r="3866" spans="1:10">
      <c r="A3866" s="74" t="s">
        <v>1912</v>
      </c>
      <c r="B3866" s="74" t="s">
        <v>247</v>
      </c>
      <c r="C3866" s="74" t="s">
        <v>1515</v>
      </c>
      <c r="D3866" s="74" t="s">
        <v>81</v>
      </c>
      <c r="E3866" s="74">
        <v>1</v>
      </c>
      <c r="F3866" s="74">
        <v>1.65</v>
      </c>
      <c r="G3866" s="758">
        <f t="shared" si="240"/>
        <v>0.26</v>
      </c>
      <c r="H3866" s="759">
        <f t="shared" si="241"/>
        <v>0.17</v>
      </c>
      <c r="I3866" s="758">
        <f t="shared" si="242"/>
        <v>1.39</v>
      </c>
      <c r="J3866" s="760">
        <f t="shared" si="243"/>
        <v>0.84242424242424241</v>
      </c>
    </row>
    <row r="3867" spans="1:10">
      <c r="A3867" s="74" t="s">
        <v>1912</v>
      </c>
      <c r="B3867" s="74" t="s">
        <v>247</v>
      </c>
      <c r="C3867" s="74" t="s">
        <v>1527</v>
      </c>
      <c r="D3867" s="74" t="s">
        <v>82</v>
      </c>
      <c r="E3867" s="74">
        <v>1</v>
      </c>
      <c r="F3867" s="74">
        <v>1.65</v>
      </c>
      <c r="G3867" s="758">
        <f t="shared" si="240"/>
        <v>0.26</v>
      </c>
      <c r="H3867" s="759">
        <f t="shared" si="241"/>
        <v>0.17</v>
      </c>
      <c r="I3867" s="758">
        <f t="shared" si="242"/>
        <v>1.39</v>
      </c>
      <c r="J3867" s="760">
        <f t="shared" si="243"/>
        <v>0.84242424242424241</v>
      </c>
    </row>
    <row r="3868" spans="1:10">
      <c r="A3868" s="74" t="s">
        <v>763</v>
      </c>
      <c r="B3868" s="74" t="s">
        <v>764</v>
      </c>
      <c r="C3868" s="74" t="s">
        <v>1509</v>
      </c>
      <c r="D3868" s="74" t="s">
        <v>78</v>
      </c>
      <c r="E3868" s="74">
        <v>2</v>
      </c>
      <c r="F3868" s="74">
        <v>28.18</v>
      </c>
      <c r="G3868" s="758">
        <f t="shared" si="240"/>
        <v>0</v>
      </c>
      <c r="H3868" s="759">
        <f t="shared" si="241"/>
        <v>0</v>
      </c>
      <c r="I3868" s="758">
        <f t="shared" si="242"/>
        <v>14.09</v>
      </c>
      <c r="J3868" s="760">
        <f t="shared" si="243"/>
        <v>1</v>
      </c>
    </row>
    <row r="3869" spans="1:10">
      <c r="A3869" s="74" t="s">
        <v>763</v>
      </c>
      <c r="B3869" s="74" t="s">
        <v>764</v>
      </c>
      <c r="C3869" s="74" t="s">
        <v>1530</v>
      </c>
      <c r="D3869" s="74" t="s">
        <v>80</v>
      </c>
      <c r="E3869" s="74">
        <v>6</v>
      </c>
      <c r="F3869" s="74">
        <v>66.95</v>
      </c>
      <c r="G3869" s="758">
        <f t="shared" si="240"/>
        <v>0</v>
      </c>
      <c r="H3869" s="759">
        <f t="shared" si="241"/>
        <v>0</v>
      </c>
      <c r="I3869" s="758">
        <f t="shared" si="242"/>
        <v>11.158333333333333</v>
      </c>
      <c r="J3869" s="760">
        <f t="shared" si="243"/>
        <v>1</v>
      </c>
    </row>
    <row r="3870" spans="1:10">
      <c r="A3870" s="74" t="s">
        <v>763</v>
      </c>
      <c r="B3870" s="74" t="s">
        <v>764</v>
      </c>
      <c r="C3870" s="74" t="s">
        <v>1532</v>
      </c>
      <c r="D3870" s="74" t="s">
        <v>80</v>
      </c>
      <c r="E3870" s="74">
        <v>6</v>
      </c>
      <c r="F3870" s="74">
        <v>66.95</v>
      </c>
      <c r="G3870" s="758">
        <f t="shared" si="240"/>
        <v>0</v>
      </c>
      <c r="H3870" s="759">
        <f t="shared" si="241"/>
        <v>0</v>
      </c>
      <c r="I3870" s="758">
        <f t="shared" si="242"/>
        <v>11.158333333333333</v>
      </c>
      <c r="J3870" s="760">
        <f t="shared" si="243"/>
        <v>1</v>
      </c>
    </row>
    <row r="3871" spans="1:10">
      <c r="A3871" s="74" t="s">
        <v>763</v>
      </c>
      <c r="B3871" s="74" t="s">
        <v>764</v>
      </c>
      <c r="C3871" s="74" t="s">
        <v>1511</v>
      </c>
      <c r="D3871" s="74" t="s">
        <v>80</v>
      </c>
      <c r="E3871" s="74">
        <v>8</v>
      </c>
      <c r="F3871" s="74">
        <v>83.86</v>
      </c>
      <c r="G3871" s="758">
        <f t="shared" si="240"/>
        <v>0</v>
      </c>
      <c r="H3871" s="759">
        <f t="shared" si="241"/>
        <v>0</v>
      </c>
      <c r="I3871" s="758">
        <f t="shared" si="242"/>
        <v>10.4825</v>
      </c>
      <c r="J3871" s="760">
        <f t="shared" si="243"/>
        <v>1</v>
      </c>
    </row>
    <row r="3872" spans="1:10">
      <c r="A3872" s="74" t="s">
        <v>763</v>
      </c>
      <c r="B3872" s="74" t="s">
        <v>764</v>
      </c>
      <c r="C3872" s="74" t="s">
        <v>1512</v>
      </c>
      <c r="D3872" s="74" t="s">
        <v>80</v>
      </c>
      <c r="E3872" s="74">
        <v>2</v>
      </c>
      <c r="F3872" s="74">
        <v>20.91</v>
      </c>
      <c r="G3872" s="758">
        <f t="shared" si="240"/>
        <v>0</v>
      </c>
      <c r="H3872" s="759">
        <f t="shared" si="241"/>
        <v>0</v>
      </c>
      <c r="I3872" s="758">
        <f t="shared" si="242"/>
        <v>10.455</v>
      </c>
      <c r="J3872" s="760">
        <f t="shared" si="243"/>
        <v>1</v>
      </c>
    </row>
    <row r="3873" spans="1:10">
      <c r="A3873" s="74" t="s">
        <v>763</v>
      </c>
      <c r="B3873" s="74" t="s">
        <v>764</v>
      </c>
      <c r="C3873" s="74" t="s">
        <v>1514</v>
      </c>
      <c r="D3873" s="74" t="s">
        <v>81</v>
      </c>
      <c r="E3873" s="74">
        <v>3</v>
      </c>
      <c r="F3873" s="74">
        <v>31.36</v>
      </c>
      <c r="G3873" s="758">
        <f t="shared" si="240"/>
        <v>0</v>
      </c>
      <c r="H3873" s="759">
        <f t="shared" si="241"/>
        <v>0</v>
      </c>
      <c r="I3873" s="758">
        <f t="shared" si="242"/>
        <v>10.453333333333333</v>
      </c>
      <c r="J3873" s="760">
        <f t="shared" si="243"/>
        <v>1</v>
      </c>
    </row>
    <row r="3874" spans="1:10">
      <c r="A3874" s="74" t="s">
        <v>763</v>
      </c>
      <c r="B3874" s="74" t="s">
        <v>764</v>
      </c>
      <c r="C3874" s="74" t="s">
        <v>1515</v>
      </c>
      <c r="D3874" s="74" t="s">
        <v>81</v>
      </c>
      <c r="E3874" s="74">
        <v>3</v>
      </c>
      <c r="F3874" s="74">
        <v>31.59</v>
      </c>
      <c r="G3874" s="758">
        <f t="shared" si="240"/>
        <v>0</v>
      </c>
      <c r="H3874" s="759">
        <f t="shared" si="241"/>
        <v>0</v>
      </c>
      <c r="I3874" s="758">
        <f t="shared" si="242"/>
        <v>10.53</v>
      </c>
      <c r="J3874" s="760">
        <f t="shared" si="243"/>
        <v>1</v>
      </c>
    </row>
    <row r="3875" spans="1:10">
      <c r="A3875" s="74" t="s">
        <v>763</v>
      </c>
      <c r="B3875" s="74" t="s">
        <v>764</v>
      </c>
      <c r="C3875" s="74" t="s">
        <v>1617</v>
      </c>
      <c r="D3875" s="74" t="s">
        <v>94</v>
      </c>
      <c r="E3875" s="74">
        <v>1</v>
      </c>
      <c r="F3875" s="74">
        <v>11</v>
      </c>
      <c r="G3875" s="758">
        <f t="shared" si="240"/>
        <v>0</v>
      </c>
      <c r="H3875" s="759">
        <f t="shared" si="241"/>
        <v>0</v>
      </c>
      <c r="I3875" s="758">
        <f t="shared" si="242"/>
        <v>11</v>
      </c>
      <c r="J3875" s="760">
        <f t="shared" si="243"/>
        <v>1</v>
      </c>
    </row>
    <row r="3876" spans="1:10">
      <c r="A3876" s="74" t="s">
        <v>783</v>
      </c>
      <c r="B3876" s="74" t="s">
        <v>764</v>
      </c>
      <c r="C3876" s="74" t="s">
        <v>1530</v>
      </c>
      <c r="D3876" s="74" t="s">
        <v>80</v>
      </c>
      <c r="E3876" s="74">
        <v>4</v>
      </c>
      <c r="F3876" s="74">
        <v>36.82</v>
      </c>
      <c r="G3876" s="758">
        <f t="shared" si="240"/>
        <v>0</v>
      </c>
      <c r="H3876" s="759">
        <f t="shared" si="241"/>
        <v>0</v>
      </c>
      <c r="I3876" s="758">
        <f t="shared" si="242"/>
        <v>9.2050000000000001</v>
      </c>
      <c r="J3876" s="760">
        <f t="shared" si="243"/>
        <v>1</v>
      </c>
    </row>
    <row r="3877" spans="1:10">
      <c r="A3877" s="74" t="s">
        <v>783</v>
      </c>
      <c r="B3877" s="74" t="s">
        <v>764</v>
      </c>
      <c r="C3877" s="74" t="s">
        <v>1532</v>
      </c>
      <c r="D3877" s="74" t="s">
        <v>80</v>
      </c>
      <c r="E3877" s="74">
        <v>4</v>
      </c>
      <c r="F3877" s="74">
        <v>36.82</v>
      </c>
      <c r="G3877" s="758">
        <f t="shared" si="240"/>
        <v>0</v>
      </c>
      <c r="H3877" s="759">
        <f t="shared" si="241"/>
        <v>0</v>
      </c>
      <c r="I3877" s="758">
        <f t="shared" si="242"/>
        <v>9.2050000000000001</v>
      </c>
      <c r="J3877" s="760">
        <f t="shared" si="243"/>
        <v>1</v>
      </c>
    </row>
    <row r="3878" spans="1:10">
      <c r="A3878" s="74" t="s">
        <v>783</v>
      </c>
      <c r="B3878" s="74" t="s">
        <v>764</v>
      </c>
      <c r="C3878" s="74" t="s">
        <v>1511</v>
      </c>
      <c r="D3878" s="74" t="s">
        <v>80</v>
      </c>
      <c r="E3878" s="74">
        <v>3</v>
      </c>
      <c r="F3878" s="74">
        <v>27.5</v>
      </c>
      <c r="G3878" s="758">
        <f t="shared" si="240"/>
        <v>0</v>
      </c>
      <c r="H3878" s="759">
        <f t="shared" si="241"/>
        <v>0</v>
      </c>
      <c r="I3878" s="758">
        <f t="shared" si="242"/>
        <v>9.1666666666666661</v>
      </c>
      <c r="J3878" s="760">
        <f t="shared" si="243"/>
        <v>1</v>
      </c>
    </row>
    <row r="3879" spans="1:10">
      <c r="A3879" s="74" t="s">
        <v>783</v>
      </c>
      <c r="B3879" s="74" t="s">
        <v>764</v>
      </c>
      <c r="C3879" s="74" t="s">
        <v>1514</v>
      </c>
      <c r="D3879" s="74" t="s">
        <v>81</v>
      </c>
      <c r="E3879" s="74">
        <v>1</v>
      </c>
      <c r="F3879" s="74">
        <v>9.09</v>
      </c>
      <c r="G3879" s="758">
        <f t="shared" si="240"/>
        <v>0</v>
      </c>
      <c r="H3879" s="759">
        <f t="shared" si="241"/>
        <v>0</v>
      </c>
      <c r="I3879" s="758">
        <f t="shared" si="242"/>
        <v>9.09</v>
      </c>
      <c r="J3879" s="760">
        <f t="shared" si="243"/>
        <v>1</v>
      </c>
    </row>
    <row r="3880" spans="1:10">
      <c r="A3880" s="74" t="s">
        <v>783</v>
      </c>
      <c r="B3880" s="74" t="s">
        <v>764</v>
      </c>
      <c r="C3880" s="74" t="s">
        <v>1515</v>
      </c>
      <c r="D3880" s="74" t="s">
        <v>81</v>
      </c>
      <c r="E3880" s="74">
        <v>4</v>
      </c>
      <c r="F3880" s="74">
        <v>36.36</v>
      </c>
      <c r="G3880" s="758">
        <f t="shared" si="240"/>
        <v>0</v>
      </c>
      <c r="H3880" s="759">
        <f t="shared" si="241"/>
        <v>0</v>
      </c>
      <c r="I3880" s="758">
        <f t="shared" si="242"/>
        <v>9.09</v>
      </c>
      <c r="J3880" s="760">
        <f t="shared" si="243"/>
        <v>1</v>
      </c>
    </row>
    <row r="3881" spans="1:10">
      <c r="A3881" s="74" t="s">
        <v>781</v>
      </c>
      <c r="B3881" s="74" t="s">
        <v>764</v>
      </c>
      <c r="C3881" s="74" t="s">
        <v>1530</v>
      </c>
      <c r="D3881" s="74" t="s">
        <v>80</v>
      </c>
      <c r="E3881" s="74">
        <v>5</v>
      </c>
      <c r="F3881" s="74">
        <v>72.27</v>
      </c>
      <c r="G3881" s="758">
        <f t="shared" si="240"/>
        <v>0</v>
      </c>
      <c r="H3881" s="759">
        <f t="shared" si="241"/>
        <v>0</v>
      </c>
      <c r="I3881" s="758">
        <f t="shared" si="242"/>
        <v>14.453999999999999</v>
      </c>
      <c r="J3881" s="760">
        <f t="shared" si="243"/>
        <v>1</v>
      </c>
    </row>
    <row r="3882" spans="1:10">
      <c r="A3882" s="74" t="s">
        <v>781</v>
      </c>
      <c r="B3882" s="74" t="s">
        <v>764</v>
      </c>
      <c r="C3882" s="74" t="s">
        <v>1532</v>
      </c>
      <c r="D3882" s="74" t="s">
        <v>80</v>
      </c>
      <c r="E3882" s="74">
        <v>5</v>
      </c>
      <c r="F3882" s="74">
        <v>72.27</v>
      </c>
      <c r="G3882" s="758">
        <f t="shared" si="240"/>
        <v>0</v>
      </c>
      <c r="H3882" s="759">
        <f t="shared" si="241"/>
        <v>0</v>
      </c>
      <c r="I3882" s="758">
        <f t="shared" si="242"/>
        <v>14.453999999999999</v>
      </c>
      <c r="J3882" s="760">
        <f t="shared" si="243"/>
        <v>1</v>
      </c>
    </row>
    <row r="3883" spans="1:10">
      <c r="A3883" s="74" t="s">
        <v>781</v>
      </c>
      <c r="B3883" s="74" t="s">
        <v>764</v>
      </c>
      <c r="C3883" s="74" t="s">
        <v>1511</v>
      </c>
      <c r="D3883" s="74" t="s">
        <v>80</v>
      </c>
      <c r="E3883" s="74">
        <v>7</v>
      </c>
      <c r="F3883" s="74">
        <v>101.41</v>
      </c>
      <c r="G3883" s="758">
        <f t="shared" si="240"/>
        <v>0</v>
      </c>
      <c r="H3883" s="759">
        <f t="shared" si="241"/>
        <v>0</v>
      </c>
      <c r="I3883" s="758">
        <f t="shared" si="242"/>
        <v>14.487142857142857</v>
      </c>
      <c r="J3883" s="760">
        <f t="shared" si="243"/>
        <v>1</v>
      </c>
    </row>
    <row r="3884" spans="1:10">
      <c r="A3884" s="74" t="s">
        <v>781</v>
      </c>
      <c r="B3884" s="74" t="s">
        <v>764</v>
      </c>
      <c r="C3884" s="74" t="s">
        <v>1512</v>
      </c>
      <c r="D3884" s="74" t="s">
        <v>80</v>
      </c>
      <c r="E3884" s="74">
        <v>9</v>
      </c>
      <c r="F3884" s="74">
        <v>130.55000000000001</v>
      </c>
      <c r="G3884" s="758">
        <f t="shared" si="240"/>
        <v>0</v>
      </c>
      <c r="H3884" s="759">
        <f t="shared" si="241"/>
        <v>0</v>
      </c>
      <c r="I3884" s="758">
        <f t="shared" si="242"/>
        <v>14.505555555555556</v>
      </c>
      <c r="J3884" s="760">
        <f t="shared" si="243"/>
        <v>1</v>
      </c>
    </row>
    <row r="3885" spans="1:10">
      <c r="A3885" s="74" t="s">
        <v>781</v>
      </c>
      <c r="B3885" s="74" t="s">
        <v>764</v>
      </c>
      <c r="C3885" s="74" t="s">
        <v>1514</v>
      </c>
      <c r="D3885" s="74" t="s">
        <v>81</v>
      </c>
      <c r="E3885" s="74">
        <v>1</v>
      </c>
      <c r="F3885" s="74">
        <v>14.45</v>
      </c>
      <c r="G3885" s="758">
        <f t="shared" si="240"/>
        <v>0</v>
      </c>
      <c r="H3885" s="759">
        <f t="shared" si="241"/>
        <v>0</v>
      </c>
      <c r="I3885" s="758">
        <f t="shared" si="242"/>
        <v>14.45</v>
      </c>
      <c r="J3885" s="760">
        <f t="shared" si="243"/>
        <v>1</v>
      </c>
    </row>
    <row r="3886" spans="1:10">
      <c r="A3886" s="74" t="s">
        <v>781</v>
      </c>
      <c r="B3886" s="74" t="s">
        <v>764</v>
      </c>
      <c r="C3886" s="74" t="s">
        <v>1515</v>
      </c>
      <c r="D3886" s="74" t="s">
        <v>81</v>
      </c>
      <c r="E3886" s="74">
        <v>7</v>
      </c>
      <c r="F3886" s="74">
        <v>101.41</v>
      </c>
      <c r="G3886" s="758">
        <f t="shared" si="240"/>
        <v>0</v>
      </c>
      <c r="H3886" s="759">
        <f t="shared" si="241"/>
        <v>0</v>
      </c>
      <c r="I3886" s="758">
        <f t="shared" si="242"/>
        <v>14.487142857142857</v>
      </c>
      <c r="J3886" s="760">
        <f t="shared" si="243"/>
        <v>1</v>
      </c>
    </row>
    <row r="3887" spans="1:10">
      <c r="A3887" s="74" t="s">
        <v>784</v>
      </c>
      <c r="B3887" s="74" t="s">
        <v>764</v>
      </c>
      <c r="C3887" s="74" t="s">
        <v>1530</v>
      </c>
      <c r="D3887" s="74" t="s">
        <v>80</v>
      </c>
      <c r="E3887" s="74">
        <v>1</v>
      </c>
      <c r="F3887" s="74">
        <v>13.18</v>
      </c>
      <c r="G3887" s="758">
        <f t="shared" si="240"/>
        <v>0</v>
      </c>
      <c r="H3887" s="759">
        <f t="shared" si="241"/>
        <v>0</v>
      </c>
      <c r="I3887" s="758">
        <f t="shared" si="242"/>
        <v>13.18</v>
      </c>
      <c r="J3887" s="760">
        <f t="shared" si="243"/>
        <v>1</v>
      </c>
    </row>
    <row r="3888" spans="1:10">
      <c r="A3888" s="74" t="s">
        <v>784</v>
      </c>
      <c r="B3888" s="74" t="s">
        <v>764</v>
      </c>
      <c r="C3888" s="74" t="s">
        <v>1532</v>
      </c>
      <c r="D3888" s="74" t="s">
        <v>80</v>
      </c>
      <c r="E3888" s="74">
        <v>1</v>
      </c>
      <c r="F3888" s="74">
        <v>13.18</v>
      </c>
      <c r="G3888" s="758">
        <f t="shared" si="240"/>
        <v>0</v>
      </c>
      <c r="H3888" s="759">
        <f t="shared" si="241"/>
        <v>0</v>
      </c>
      <c r="I3888" s="758">
        <f t="shared" si="242"/>
        <v>13.18</v>
      </c>
      <c r="J3888" s="760">
        <f t="shared" si="243"/>
        <v>1</v>
      </c>
    </row>
    <row r="3889" spans="1:10">
      <c r="A3889" s="74" t="s">
        <v>784</v>
      </c>
      <c r="B3889" s="74" t="s">
        <v>764</v>
      </c>
      <c r="C3889" s="74" t="s">
        <v>1511</v>
      </c>
      <c r="D3889" s="74" t="s">
        <v>80</v>
      </c>
      <c r="E3889" s="74">
        <v>2</v>
      </c>
      <c r="F3889" s="74">
        <v>26.36</v>
      </c>
      <c r="G3889" s="758">
        <f t="shared" si="240"/>
        <v>0</v>
      </c>
      <c r="H3889" s="759">
        <f t="shared" si="241"/>
        <v>0</v>
      </c>
      <c r="I3889" s="758">
        <f t="shared" si="242"/>
        <v>13.18</v>
      </c>
      <c r="J3889" s="760">
        <f t="shared" si="243"/>
        <v>1</v>
      </c>
    </row>
    <row r="3890" spans="1:10">
      <c r="A3890" s="74" t="s">
        <v>784</v>
      </c>
      <c r="B3890" s="74" t="s">
        <v>764</v>
      </c>
      <c r="C3890" s="74" t="s">
        <v>1512</v>
      </c>
      <c r="D3890" s="74" t="s">
        <v>80</v>
      </c>
      <c r="E3890" s="74">
        <v>1</v>
      </c>
      <c r="F3890" s="74">
        <v>13.18</v>
      </c>
      <c r="G3890" s="758">
        <f t="shared" si="240"/>
        <v>0</v>
      </c>
      <c r="H3890" s="759">
        <f t="shared" si="241"/>
        <v>0</v>
      </c>
      <c r="I3890" s="758">
        <f t="shared" si="242"/>
        <v>13.18</v>
      </c>
      <c r="J3890" s="760">
        <f t="shared" si="243"/>
        <v>1</v>
      </c>
    </row>
    <row r="3891" spans="1:10">
      <c r="A3891" s="74" t="s">
        <v>784</v>
      </c>
      <c r="B3891" s="74" t="s">
        <v>764</v>
      </c>
      <c r="C3891" s="74" t="s">
        <v>1513</v>
      </c>
      <c r="D3891" s="74" t="s">
        <v>81</v>
      </c>
      <c r="E3891" s="74">
        <v>2</v>
      </c>
      <c r="F3891" s="74">
        <v>26.36</v>
      </c>
      <c r="G3891" s="758">
        <f t="shared" si="240"/>
        <v>0</v>
      </c>
      <c r="H3891" s="759">
        <f t="shared" si="241"/>
        <v>0</v>
      </c>
      <c r="I3891" s="758">
        <f t="shared" si="242"/>
        <v>13.18</v>
      </c>
      <c r="J3891" s="760">
        <f t="shared" si="243"/>
        <v>1</v>
      </c>
    </row>
    <row r="3892" spans="1:10">
      <c r="A3892" s="74" t="s">
        <v>784</v>
      </c>
      <c r="B3892" s="74" t="s">
        <v>764</v>
      </c>
      <c r="C3892" s="74" t="s">
        <v>1515</v>
      </c>
      <c r="D3892" s="74" t="s">
        <v>81</v>
      </c>
      <c r="E3892" s="74">
        <v>4</v>
      </c>
      <c r="F3892" s="74">
        <v>53.18</v>
      </c>
      <c r="G3892" s="758">
        <f t="shared" si="240"/>
        <v>0</v>
      </c>
      <c r="H3892" s="759">
        <f t="shared" si="241"/>
        <v>0</v>
      </c>
      <c r="I3892" s="758">
        <f t="shared" si="242"/>
        <v>13.295</v>
      </c>
      <c r="J3892" s="760">
        <f t="shared" si="243"/>
        <v>1</v>
      </c>
    </row>
    <row r="3893" spans="1:10">
      <c r="A3893" s="74" t="s">
        <v>803</v>
      </c>
      <c r="B3893" s="74" t="s">
        <v>764</v>
      </c>
      <c r="C3893" s="74" t="s">
        <v>1511</v>
      </c>
      <c r="D3893" s="74" t="s">
        <v>80</v>
      </c>
      <c r="E3893" s="74">
        <v>1</v>
      </c>
      <c r="F3893" s="74">
        <v>9.09</v>
      </c>
      <c r="G3893" s="758">
        <f t="shared" si="240"/>
        <v>0</v>
      </c>
      <c r="H3893" s="759">
        <f t="shared" si="241"/>
        <v>0</v>
      </c>
      <c r="I3893" s="758">
        <f t="shared" si="242"/>
        <v>9.09</v>
      </c>
      <c r="J3893" s="760">
        <f t="shared" si="243"/>
        <v>1</v>
      </c>
    </row>
    <row r="3894" spans="1:10">
      <c r="A3894" s="74" t="s">
        <v>1913</v>
      </c>
      <c r="B3894" s="74" t="s">
        <v>877</v>
      </c>
      <c r="C3894" s="74" t="s">
        <v>1543</v>
      </c>
      <c r="D3894" s="74" t="s">
        <v>87</v>
      </c>
      <c r="E3894" s="74">
        <v>23</v>
      </c>
      <c r="F3894" s="74">
        <v>0</v>
      </c>
      <c r="G3894" s="758">
        <f t="shared" si="240"/>
        <v>0</v>
      </c>
      <c r="H3894" s="759">
        <f t="shared" si="241"/>
        <v>0</v>
      </c>
      <c r="I3894" s="758">
        <f t="shared" si="242"/>
        <v>0</v>
      </c>
      <c r="J3894" s="760">
        <f t="shared" si="243"/>
        <v>0</v>
      </c>
    </row>
    <row r="3895" spans="1:10">
      <c r="A3895" s="74" t="s">
        <v>1913</v>
      </c>
      <c r="B3895" s="74" t="s">
        <v>877</v>
      </c>
      <c r="C3895" s="74" t="s">
        <v>1605</v>
      </c>
      <c r="D3895" s="74" t="s">
        <v>87</v>
      </c>
      <c r="E3895" s="74">
        <v>7</v>
      </c>
      <c r="F3895" s="74">
        <v>0</v>
      </c>
      <c r="G3895" s="758">
        <f t="shared" si="240"/>
        <v>0</v>
      </c>
      <c r="H3895" s="759">
        <f t="shared" si="241"/>
        <v>0</v>
      </c>
      <c r="I3895" s="758">
        <f t="shared" si="242"/>
        <v>0</v>
      </c>
      <c r="J3895" s="760">
        <f t="shared" si="243"/>
        <v>0</v>
      </c>
    </row>
    <row r="3896" spans="1:10">
      <c r="A3896" s="74" t="s">
        <v>1913</v>
      </c>
      <c r="B3896" s="74" t="s">
        <v>877</v>
      </c>
      <c r="C3896" s="74" t="s">
        <v>1555</v>
      </c>
      <c r="D3896" s="74" t="s">
        <v>94</v>
      </c>
      <c r="E3896" s="74">
        <v>11</v>
      </c>
      <c r="F3896" s="74">
        <v>0</v>
      </c>
      <c r="G3896" s="758">
        <f t="shared" si="240"/>
        <v>0</v>
      </c>
      <c r="H3896" s="759">
        <f t="shared" si="241"/>
        <v>0</v>
      </c>
      <c r="I3896" s="758">
        <f t="shared" si="242"/>
        <v>0</v>
      </c>
      <c r="J3896" s="760">
        <f t="shared" si="243"/>
        <v>0</v>
      </c>
    </row>
    <row r="3897" spans="1:10">
      <c r="A3897" s="74" t="s">
        <v>1914</v>
      </c>
      <c r="B3897" s="74" t="s">
        <v>877</v>
      </c>
      <c r="C3897" s="74" t="s">
        <v>1547</v>
      </c>
      <c r="D3897" s="74" t="s">
        <v>89</v>
      </c>
      <c r="E3897" s="74">
        <v>10</v>
      </c>
      <c r="F3897" s="74">
        <v>0</v>
      </c>
      <c r="G3897" s="758">
        <f t="shared" si="240"/>
        <v>0</v>
      </c>
      <c r="H3897" s="759">
        <f t="shared" si="241"/>
        <v>0</v>
      </c>
      <c r="I3897" s="758">
        <f t="shared" si="242"/>
        <v>0</v>
      </c>
      <c r="J3897" s="760">
        <f t="shared" si="243"/>
        <v>0</v>
      </c>
    </row>
    <row r="3898" spans="1:10">
      <c r="A3898" s="74" t="s">
        <v>1915</v>
      </c>
      <c r="B3898" s="74" t="s">
        <v>877</v>
      </c>
      <c r="C3898" s="74" t="s">
        <v>1578</v>
      </c>
      <c r="D3898" s="74" t="s">
        <v>86</v>
      </c>
      <c r="E3898" s="74">
        <v>11</v>
      </c>
      <c r="F3898" s="74">
        <v>0</v>
      </c>
      <c r="G3898" s="758">
        <f t="shared" si="240"/>
        <v>0</v>
      </c>
      <c r="H3898" s="759">
        <f t="shared" si="241"/>
        <v>0</v>
      </c>
      <c r="I3898" s="758">
        <f t="shared" si="242"/>
        <v>0</v>
      </c>
      <c r="J3898" s="760">
        <f t="shared" si="243"/>
        <v>0</v>
      </c>
    </row>
    <row r="3899" spans="1:10">
      <c r="A3899" s="74" t="s">
        <v>1916</v>
      </c>
      <c r="B3899" s="74" t="s">
        <v>877</v>
      </c>
      <c r="C3899" s="74" t="s">
        <v>1553</v>
      </c>
      <c r="D3899" s="74" t="s">
        <v>94</v>
      </c>
      <c r="E3899" s="74">
        <v>8</v>
      </c>
      <c r="F3899" s="74">
        <v>0</v>
      </c>
      <c r="G3899" s="758">
        <f t="shared" si="240"/>
        <v>0</v>
      </c>
      <c r="H3899" s="759">
        <f t="shared" si="241"/>
        <v>0</v>
      </c>
      <c r="I3899" s="758">
        <f t="shared" si="242"/>
        <v>0</v>
      </c>
      <c r="J3899" s="760">
        <f t="shared" si="243"/>
        <v>0</v>
      </c>
    </row>
    <row r="3900" spans="1:10">
      <c r="A3900" s="74" t="s">
        <v>1917</v>
      </c>
      <c r="B3900" s="74" t="s">
        <v>877</v>
      </c>
      <c r="C3900" s="74" t="s">
        <v>1520</v>
      </c>
      <c r="D3900" s="74" t="s">
        <v>84</v>
      </c>
      <c r="E3900" s="74">
        <v>7</v>
      </c>
      <c r="F3900" s="74">
        <v>0</v>
      </c>
      <c r="G3900" s="758">
        <f t="shared" si="240"/>
        <v>0</v>
      </c>
      <c r="H3900" s="759">
        <f t="shared" si="241"/>
        <v>0</v>
      </c>
      <c r="I3900" s="758">
        <f t="shared" si="242"/>
        <v>0</v>
      </c>
      <c r="J3900" s="760">
        <f t="shared" si="243"/>
        <v>0</v>
      </c>
    </row>
    <row r="3901" spans="1:10">
      <c r="A3901" s="74" t="s">
        <v>1918</v>
      </c>
      <c r="B3901" s="74" t="s">
        <v>877</v>
      </c>
      <c r="C3901" s="74" t="s">
        <v>1517</v>
      </c>
      <c r="D3901" s="74" t="s">
        <v>82</v>
      </c>
      <c r="E3901" s="74">
        <v>5</v>
      </c>
      <c r="F3901" s="74">
        <v>0</v>
      </c>
      <c r="G3901" s="758">
        <f t="shared" si="240"/>
        <v>2.35</v>
      </c>
      <c r="H3901" s="759">
        <f t="shared" si="241"/>
        <v>0</v>
      </c>
      <c r="I3901" s="758">
        <f t="shared" si="242"/>
        <v>-2.35</v>
      </c>
      <c r="J3901" s="760">
        <f t="shared" si="243"/>
        <v>0</v>
      </c>
    </row>
    <row r="3902" spans="1:10">
      <c r="A3902" s="74" t="s">
        <v>795</v>
      </c>
      <c r="B3902" s="74" t="s">
        <v>254</v>
      </c>
      <c r="C3902" s="74" t="s">
        <v>1511</v>
      </c>
      <c r="D3902" s="74" t="s">
        <v>80</v>
      </c>
      <c r="E3902" s="74">
        <v>7</v>
      </c>
      <c r="F3902" s="74">
        <v>0</v>
      </c>
      <c r="G3902" s="758">
        <f t="shared" si="240"/>
        <v>0</v>
      </c>
      <c r="H3902" s="759">
        <f t="shared" si="241"/>
        <v>0</v>
      </c>
      <c r="I3902" s="758">
        <f t="shared" si="242"/>
        <v>0</v>
      </c>
      <c r="J3902" s="760">
        <f t="shared" si="243"/>
        <v>0</v>
      </c>
    </row>
    <row r="3903" spans="1:10">
      <c r="A3903" s="74" t="s">
        <v>795</v>
      </c>
      <c r="B3903" s="74" t="s">
        <v>254</v>
      </c>
      <c r="C3903" s="74" t="s">
        <v>1513</v>
      </c>
      <c r="D3903" s="74" t="s">
        <v>81</v>
      </c>
      <c r="E3903" s="74">
        <v>18</v>
      </c>
      <c r="F3903" s="74">
        <v>3.64</v>
      </c>
      <c r="G3903" s="758">
        <f t="shared" si="240"/>
        <v>0</v>
      </c>
      <c r="H3903" s="759">
        <f t="shared" si="241"/>
        <v>0</v>
      </c>
      <c r="I3903" s="758">
        <f t="shared" si="242"/>
        <v>0.20222222222222222</v>
      </c>
      <c r="J3903" s="760">
        <f t="shared" si="243"/>
        <v>1</v>
      </c>
    </row>
    <row r="3904" spans="1:10">
      <c r="A3904" s="74" t="s">
        <v>1919</v>
      </c>
      <c r="B3904" s="74" t="s">
        <v>258</v>
      </c>
      <c r="C3904" s="74" t="s">
        <v>1520</v>
      </c>
      <c r="D3904" s="74" t="s">
        <v>84</v>
      </c>
      <c r="E3904" s="74">
        <v>1</v>
      </c>
      <c r="F3904" s="74">
        <v>0</v>
      </c>
      <c r="G3904" s="758">
        <f t="shared" si="240"/>
        <v>0</v>
      </c>
      <c r="H3904" s="759">
        <f t="shared" si="241"/>
        <v>0</v>
      </c>
      <c r="I3904" s="758">
        <f t="shared" si="242"/>
        <v>0</v>
      </c>
      <c r="J3904" s="760">
        <f t="shared" si="243"/>
        <v>0</v>
      </c>
    </row>
    <row r="3905" spans="1:10">
      <c r="A3905" s="74" t="s">
        <v>1919</v>
      </c>
      <c r="B3905" s="74" t="s">
        <v>258</v>
      </c>
      <c r="C3905" s="74" t="s">
        <v>1507</v>
      </c>
      <c r="D3905" s="74" t="s">
        <v>86</v>
      </c>
      <c r="E3905" s="74">
        <v>1</v>
      </c>
      <c r="F3905" s="74">
        <v>0</v>
      </c>
      <c r="G3905" s="758">
        <f t="shared" si="240"/>
        <v>0</v>
      </c>
      <c r="H3905" s="759">
        <f t="shared" si="241"/>
        <v>0</v>
      </c>
      <c r="I3905" s="758">
        <f t="shared" si="242"/>
        <v>0</v>
      </c>
      <c r="J3905" s="760">
        <f t="shared" si="243"/>
        <v>0</v>
      </c>
    </row>
    <row r="3906" spans="1:10">
      <c r="A3906" s="74" t="s">
        <v>1919</v>
      </c>
      <c r="B3906" s="74" t="s">
        <v>258</v>
      </c>
      <c r="C3906" s="74" t="s">
        <v>1522</v>
      </c>
      <c r="D3906" s="74" t="s">
        <v>91</v>
      </c>
      <c r="E3906" s="74">
        <v>1</v>
      </c>
      <c r="F3906" s="74">
        <v>0</v>
      </c>
      <c r="G3906" s="758">
        <f t="shared" ref="G3906:G3969" si="244">IFERROR(VLOOKUP(A3906,$M$1:$P$1014,2,FALSE),0)</f>
        <v>0</v>
      </c>
      <c r="H3906" s="759">
        <f t="shared" ref="H3906:H3969" si="245">IFERROR(VLOOKUP(A3906,$M$1:$P$1014,3,FALSE),0)</f>
        <v>0</v>
      </c>
      <c r="I3906" s="758">
        <f t="shared" ref="I3906:I3969" si="246">IFERROR(F3906/E3906-G3906,0)</f>
        <v>0</v>
      </c>
      <c r="J3906" s="760">
        <f t="shared" ref="J3906:J3969" si="247">IFERROR(1-G3906*E3906/F3906,0)</f>
        <v>0</v>
      </c>
    </row>
    <row r="3907" spans="1:10">
      <c r="A3907" s="74" t="s">
        <v>1920</v>
      </c>
      <c r="B3907" s="74" t="s">
        <v>725</v>
      </c>
      <c r="C3907" s="74" t="s">
        <v>1520</v>
      </c>
      <c r="D3907" s="74" t="s">
        <v>84</v>
      </c>
      <c r="E3907" s="74">
        <v>2</v>
      </c>
      <c r="F3907" s="74">
        <v>3.8</v>
      </c>
      <c r="G3907" s="758">
        <f t="shared" si="244"/>
        <v>0</v>
      </c>
      <c r="H3907" s="759">
        <f t="shared" si="245"/>
        <v>0</v>
      </c>
      <c r="I3907" s="758">
        <f t="shared" si="246"/>
        <v>1.9</v>
      </c>
      <c r="J3907" s="760">
        <f t="shared" si="247"/>
        <v>1</v>
      </c>
    </row>
    <row r="3908" spans="1:10">
      <c r="A3908" s="74" t="s">
        <v>1921</v>
      </c>
      <c r="B3908" s="74" t="s">
        <v>264</v>
      </c>
      <c r="C3908" s="74" t="s">
        <v>1631</v>
      </c>
      <c r="D3908" s="74" t="s">
        <v>92</v>
      </c>
      <c r="E3908" s="74">
        <v>1</v>
      </c>
      <c r="F3908" s="74">
        <v>1</v>
      </c>
      <c r="G3908" s="758">
        <f t="shared" si="244"/>
        <v>0</v>
      </c>
      <c r="H3908" s="759">
        <f t="shared" si="245"/>
        <v>0</v>
      </c>
      <c r="I3908" s="758">
        <f t="shared" si="246"/>
        <v>1</v>
      </c>
      <c r="J3908" s="760">
        <f t="shared" si="247"/>
        <v>1</v>
      </c>
    </row>
    <row r="3909" spans="1:10">
      <c r="A3909" s="74" t="s">
        <v>1922</v>
      </c>
      <c r="B3909" s="74" t="s">
        <v>877</v>
      </c>
      <c r="C3909" s="74" t="s">
        <v>1513</v>
      </c>
      <c r="D3909" s="74" t="s">
        <v>81</v>
      </c>
      <c r="E3909" s="74">
        <v>1</v>
      </c>
      <c r="F3909" s="74">
        <v>0</v>
      </c>
      <c r="G3909" s="758">
        <f t="shared" si="244"/>
        <v>1.3</v>
      </c>
      <c r="H3909" s="759">
        <f t="shared" si="245"/>
        <v>0</v>
      </c>
      <c r="I3909" s="758">
        <f t="shared" si="246"/>
        <v>-1.3</v>
      </c>
      <c r="J3909" s="760">
        <f t="shared" si="247"/>
        <v>0</v>
      </c>
    </row>
    <row r="3910" spans="1:10">
      <c r="A3910" s="74" t="s">
        <v>1923</v>
      </c>
      <c r="B3910" s="74" t="s">
        <v>321</v>
      </c>
      <c r="C3910" s="74" t="s">
        <v>1534</v>
      </c>
      <c r="D3910" s="74" t="s">
        <v>81</v>
      </c>
      <c r="E3910" s="74">
        <v>2</v>
      </c>
      <c r="F3910" s="74">
        <v>15.8</v>
      </c>
      <c r="G3910" s="758">
        <f t="shared" si="244"/>
        <v>0.49</v>
      </c>
      <c r="H3910" s="759">
        <f t="shared" si="245"/>
        <v>0.06</v>
      </c>
      <c r="I3910" s="758">
        <f t="shared" si="246"/>
        <v>7.41</v>
      </c>
      <c r="J3910" s="760">
        <f t="shared" si="247"/>
        <v>0.9379746835443038</v>
      </c>
    </row>
    <row r="3911" spans="1:10">
      <c r="A3911" s="74" t="s">
        <v>1923</v>
      </c>
      <c r="B3911" s="74" t="s">
        <v>321</v>
      </c>
      <c r="C3911" s="74" t="s">
        <v>1515</v>
      </c>
      <c r="D3911" s="74" t="s">
        <v>81</v>
      </c>
      <c r="E3911" s="74">
        <v>5</v>
      </c>
      <c r="F3911" s="74">
        <v>97.65</v>
      </c>
      <c r="G3911" s="758">
        <f t="shared" si="244"/>
        <v>0.49</v>
      </c>
      <c r="H3911" s="759">
        <f t="shared" si="245"/>
        <v>0.06</v>
      </c>
      <c r="I3911" s="758">
        <f t="shared" si="246"/>
        <v>19.040000000000003</v>
      </c>
      <c r="J3911" s="760">
        <f t="shared" si="247"/>
        <v>0.97491039426523296</v>
      </c>
    </row>
    <row r="3912" spans="1:10">
      <c r="A3912" s="74" t="s">
        <v>1924</v>
      </c>
      <c r="B3912" s="74" t="s">
        <v>873</v>
      </c>
      <c r="C3912" s="74" t="s">
        <v>1543</v>
      </c>
      <c r="D3912" s="74" t="s">
        <v>87</v>
      </c>
      <c r="E3912" s="74">
        <v>8</v>
      </c>
      <c r="F3912" s="74">
        <v>0</v>
      </c>
      <c r="G3912" s="758">
        <f t="shared" si="244"/>
        <v>0</v>
      </c>
      <c r="H3912" s="759">
        <f t="shared" si="245"/>
        <v>0</v>
      </c>
      <c r="I3912" s="758">
        <f t="shared" si="246"/>
        <v>0</v>
      </c>
      <c r="J3912" s="760">
        <f t="shared" si="247"/>
        <v>0</v>
      </c>
    </row>
    <row r="3913" spans="1:10">
      <c r="A3913" s="74" t="s">
        <v>2299</v>
      </c>
      <c r="B3913" s="74" t="s">
        <v>873</v>
      </c>
      <c r="C3913" s="74" t="s">
        <v>1644</v>
      </c>
      <c r="D3913" s="74" t="s">
        <v>86</v>
      </c>
      <c r="E3913" s="74">
        <v>13</v>
      </c>
      <c r="F3913" s="74">
        <v>0</v>
      </c>
      <c r="G3913" s="758">
        <f t="shared" si="244"/>
        <v>0.49</v>
      </c>
      <c r="H3913" s="759">
        <f t="shared" si="245"/>
        <v>0.06</v>
      </c>
      <c r="I3913" s="758">
        <f t="shared" si="246"/>
        <v>-0.49</v>
      </c>
      <c r="J3913" s="760">
        <f t="shared" si="247"/>
        <v>0</v>
      </c>
    </row>
    <row r="3914" spans="1:10">
      <c r="A3914" s="74" t="s">
        <v>2299</v>
      </c>
      <c r="B3914" s="74" t="s">
        <v>873</v>
      </c>
      <c r="C3914" s="74" t="s">
        <v>1522</v>
      </c>
      <c r="D3914" s="74" t="s">
        <v>91</v>
      </c>
      <c r="E3914" s="74">
        <v>9</v>
      </c>
      <c r="F3914" s="74">
        <v>0</v>
      </c>
      <c r="G3914" s="758">
        <f t="shared" si="244"/>
        <v>0.49</v>
      </c>
      <c r="H3914" s="759">
        <f t="shared" si="245"/>
        <v>0.06</v>
      </c>
      <c r="I3914" s="758">
        <f t="shared" si="246"/>
        <v>-0.49</v>
      </c>
      <c r="J3914" s="760">
        <f t="shared" si="247"/>
        <v>0</v>
      </c>
    </row>
    <row r="3915" spans="1:10">
      <c r="A3915" s="74" t="s">
        <v>1925</v>
      </c>
      <c r="B3915" s="74" t="s">
        <v>873</v>
      </c>
      <c r="C3915" s="74" t="s">
        <v>1532</v>
      </c>
      <c r="D3915" s="74" t="s">
        <v>80</v>
      </c>
      <c r="E3915" s="74">
        <v>10</v>
      </c>
      <c r="F3915" s="74">
        <v>0</v>
      </c>
      <c r="G3915" s="758">
        <f t="shared" si="244"/>
        <v>0.49</v>
      </c>
      <c r="H3915" s="759">
        <f t="shared" si="245"/>
        <v>0</v>
      </c>
      <c r="I3915" s="758">
        <f t="shared" si="246"/>
        <v>-0.49</v>
      </c>
      <c r="J3915" s="760">
        <f t="shared" si="247"/>
        <v>0</v>
      </c>
    </row>
    <row r="3916" spans="1:10">
      <c r="A3916" s="74" t="s">
        <v>1925</v>
      </c>
      <c r="B3916" s="74" t="s">
        <v>873</v>
      </c>
      <c r="C3916" s="74" t="s">
        <v>1534</v>
      </c>
      <c r="D3916" s="74" t="s">
        <v>81</v>
      </c>
      <c r="E3916" s="74">
        <v>1</v>
      </c>
      <c r="F3916" s="74">
        <v>0</v>
      </c>
      <c r="G3916" s="758">
        <f t="shared" si="244"/>
        <v>0.49</v>
      </c>
      <c r="H3916" s="759">
        <f t="shared" si="245"/>
        <v>0</v>
      </c>
      <c r="I3916" s="758">
        <f t="shared" si="246"/>
        <v>-0.49</v>
      </c>
      <c r="J3916" s="760">
        <f t="shared" si="247"/>
        <v>0</v>
      </c>
    </row>
    <row r="3917" spans="1:10">
      <c r="A3917" s="74" t="s">
        <v>1925</v>
      </c>
      <c r="B3917" s="74" t="s">
        <v>873</v>
      </c>
      <c r="C3917" s="74" t="s">
        <v>1515</v>
      </c>
      <c r="D3917" s="74" t="s">
        <v>81</v>
      </c>
      <c r="E3917" s="74">
        <v>3</v>
      </c>
      <c r="F3917" s="74">
        <v>0</v>
      </c>
      <c r="G3917" s="758">
        <f t="shared" si="244"/>
        <v>0.49</v>
      </c>
      <c r="H3917" s="759">
        <f t="shared" si="245"/>
        <v>0</v>
      </c>
      <c r="I3917" s="758">
        <f t="shared" si="246"/>
        <v>-0.49</v>
      </c>
      <c r="J3917" s="760">
        <f t="shared" si="247"/>
        <v>0</v>
      </c>
    </row>
    <row r="3918" spans="1:10">
      <c r="A3918" s="74" t="s">
        <v>1926</v>
      </c>
      <c r="B3918" s="74" t="s">
        <v>873</v>
      </c>
      <c r="C3918" s="74" t="s">
        <v>1608</v>
      </c>
      <c r="D3918" s="74" t="s">
        <v>89</v>
      </c>
      <c r="E3918" s="74">
        <v>5</v>
      </c>
      <c r="F3918" s="74">
        <v>0</v>
      </c>
      <c r="G3918" s="758">
        <f t="shared" si="244"/>
        <v>0</v>
      </c>
      <c r="H3918" s="759">
        <f t="shared" si="245"/>
        <v>0</v>
      </c>
      <c r="I3918" s="758">
        <f t="shared" si="246"/>
        <v>0</v>
      </c>
      <c r="J3918" s="760">
        <f t="shared" si="247"/>
        <v>0</v>
      </c>
    </row>
    <row r="3919" spans="1:10">
      <c r="A3919" s="74" t="s">
        <v>1927</v>
      </c>
      <c r="B3919" s="74" t="s">
        <v>873</v>
      </c>
      <c r="C3919" s="74" t="s">
        <v>1557</v>
      </c>
      <c r="D3919" s="74" t="s">
        <v>95</v>
      </c>
      <c r="E3919" s="74">
        <v>9</v>
      </c>
      <c r="F3919" s="74">
        <v>0</v>
      </c>
      <c r="G3919" s="758">
        <f t="shared" si="244"/>
        <v>0</v>
      </c>
      <c r="H3919" s="759">
        <f t="shared" si="245"/>
        <v>0</v>
      </c>
      <c r="I3919" s="758">
        <f t="shared" si="246"/>
        <v>0</v>
      </c>
      <c r="J3919" s="760">
        <f t="shared" si="247"/>
        <v>0</v>
      </c>
    </row>
    <row r="3920" spans="1:10">
      <c r="A3920" s="74" t="s">
        <v>1928</v>
      </c>
      <c r="B3920" s="74" t="s">
        <v>264</v>
      </c>
      <c r="C3920" s="74" t="s">
        <v>1605</v>
      </c>
      <c r="D3920" s="74" t="s">
        <v>87</v>
      </c>
      <c r="E3920" s="74">
        <v>2</v>
      </c>
      <c r="F3920" s="74">
        <v>8</v>
      </c>
      <c r="G3920" s="758">
        <f t="shared" si="244"/>
        <v>0</v>
      </c>
      <c r="H3920" s="759">
        <f t="shared" si="245"/>
        <v>0</v>
      </c>
      <c r="I3920" s="758">
        <f t="shared" si="246"/>
        <v>4</v>
      </c>
      <c r="J3920" s="760">
        <f t="shared" si="247"/>
        <v>1</v>
      </c>
    </row>
    <row r="3921" spans="1:10">
      <c r="A3921" s="74" t="s">
        <v>902</v>
      </c>
      <c r="B3921" s="74" t="s">
        <v>247</v>
      </c>
      <c r="C3921" s="74" t="s">
        <v>1528</v>
      </c>
      <c r="D3921" s="74" t="s">
        <v>78</v>
      </c>
      <c r="E3921" s="74">
        <v>5</v>
      </c>
      <c r="F3921" s="74">
        <v>9.65</v>
      </c>
      <c r="G3921" s="758">
        <f t="shared" si="244"/>
        <v>0.31</v>
      </c>
      <c r="H3921" s="759">
        <f t="shared" si="245"/>
        <v>0.24</v>
      </c>
      <c r="I3921" s="758">
        <f t="shared" si="246"/>
        <v>1.62</v>
      </c>
      <c r="J3921" s="760">
        <f t="shared" si="247"/>
        <v>0.8393782383419689</v>
      </c>
    </row>
    <row r="3922" spans="1:10">
      <c r="A3922" s="74" t="s">
        <v>902</v>
      </c>
      <c r="B3922" s="74" t="s">
        <v>247</v>
      </c>
      <c r="C3922" s="74" t="s">
        <v>1508</v>
      </c>
      <c r="D3922" s="74" t="s">
        <v>78</v>
      </c>
      <c r="E3922" s="74">
        <v>10</v>
      </c>
      <c r="F3922" s="74">
        <v>13.4</v>
      </c>
      <c r="G3922" s="758">
        <f t="shared" si="244"/>
        <v>0.31</v>
      </c>
      <c r="H3922" s="759">
        <f t="shared" si="245"/>
        <v>0.24</v>
      </c>
      <c r="I3922" s="758">
        <f t="shared" si="246"/>
        <v>1.03</v>
      </c>
      <c r="J3922" s="760">
        <f t="shared" si="247"/>
        <v>0.76865671641791045</v>
      </c>
    </row>
    <row r="3923" spans="1:10">
      <c r="A3923" s="74" t="s">
        <v>902</v>
      </c>
      <c r="B3923" s="74" t="s">
        <v>247</v>
      </c>
      <c r="C3923" s="74" t="s">
        <v>1509</v>
      </c>
      <c r="D3923" s="74" t="s">
        <v>78</v>
      </c>
      <c r="E3923" s="74">
        <v>20</v>
      </c>
      <c r="F3923" s="74">
        <v>36.6</v>
      </c>
      <c r="G3923" s="758">
        <f t="shared" si="244"/>
        <v>0.31</v>
      </c>
      <c r="H3923" s="759">
        <f t="shared" si="245"/>
        <v>0.24</v>
      </c>
      <c r="I3923" s="758">
        <f t="shared" si="246"/>
        <v>1.52</v>
      </c>
      <c r="J3923" s="760">
        <f t="shared" si="247"/>
        <v>0.8306010928961749</v>
      </c>
    </row>
    <row r="3924" spans="1:10">
      <c r="A3924" s="74" t="s">
        <v>902</v>
      </c>
      <c r="B3924" s="74" t="s">
        <v>247</v>
      </c>
      <c r="C3924" s="74" t="s">
        <v>1565</v>
      </c>
      <c r="D3924" s="74" t="s">
        <v>78</v>
      </c>
      <c r="E3924" s="74">
        <v>32</v>
      </c>
      <c r="F3924" s="74">
        <v>56.55</v>
      </c>
      <c r="G3924" s="758">
        <f t="shared" si="244"/>
        <v>0.31</v>
      </c>
      <c r="H3924" s="759">
        <f t="shared" si="245"/>
        <v>0.24</v>
      </c>
      <c r="I3924" s="758">
        <f t="shared" si="246"/>
        <v>1.4571874999999999</v>
      </c>
      <c r="J3924" s="760">
        <f t="shared" si="247"/>
        <v>0.82458001768346589</v>
      </c>
    </row>
    <row r="3925" spans="1:10">
      <c r="A3925" s="74" t="s">
        <v>902</v>
      </c>
      <c r="B3925" s="74" t="s">
        <v>247</v>
      </c>
      <c r="C3925" s="74" t="s">
        <v>1530</v>
      </c>
      <c r="D3925" s="74" t="s">
        <v>80</v>
      </c>
      <c r="E3925" s="74">
        <v>9</v>
      </c>
      <c r="F3925" s="74">
        <v>13.75</v>
      </c>
      <c r="G3925" s="758">
        <f t="shared" si="244"/>
        <v>0.31</v>
      </c>
      <c r="H3925" s="759">
        <f t="shared" si="245"/>
        <v>0.24</v>
      </c>
      <c r="I3925" s="758">
        <f t="shared" si="246"/>
        <v>1.2177777777777776</v>
      </c>
      <c r="J3925" s="760">
        <f t="shared" si="247"/>
        <v>0.79709090909090907</v>
      </c>
    </row>
    <row r="3926" spans="1:10">
      <c r="A3926" s="74" t="s">
        <v>902</v>
      </c>
      <c r="B3926" s="74" t="s">
        <v>247</v>
      </c>
      <c r="C3926" s="74" t="s">
        <v>1532</v>
      </c>
      <c r="D3926" s="74" t="s">
        <v>80</v>
      </c>
      <c r="E3926" s="74">
        <v>12</v>
      </c>
      <c r="F3926" s="74">
        <v>23.5</v>
      </c>
      <c r="G3926" s="758">
        <f t="shared" si="244"/>
        <v>0.31</v>
      </c>
      <c r="H3926" s="759">
        <f t="shared" si="245"/>
        <v>0.24</v>
      </c>
      <c r="I3926" s="758">
        <f t="shared" si="246"/>
        <v>1.6483333333333332</v>
      </c>
      <c r="J3926" s="760">
        <f t="shared" si="247"/>
        <v>0.84170212765957442</v>
      </c>
    </row>
    <row r="3927" spans="1:10">
      <c r="A3927" s="74" t="s">
        <v>902</v>
      </c>
      <c r="B3927" s="74" t="s">
        <v>247</v>
      </c>
      <c r="C3927" s="74" t="s">
        <v>1511</v>
      </c>
      <c r="D3927" s="74" t="s">
        <v>80</v>
      </c>
      <c r="E3927" s="74">
        <v>13</v>
      </c>
      <c r="F3927" s="74">
        <v>25.5</v>
      </c>
      <c r="G3927" s="758">
        <f t="shared" si="244"/>
        <v>0.31</v>
      </c>
      <c r="H3927" s="759">
        <f t="shared" si="245"/>
        <v>0.24</v>
      </c>
      <c r="I3927" s="758">
        <f t="shared" si="246"/>
        <v>1.6515384615384614</v>
      </c>
      <c r="J3927" s="760">
        <f t="shared" si="247"/>
        <v>0.84196078431372545</v>
      </c>
    </row>
    <row r="3928" spans="1:10">
      <c r="A3928" s="74" t="s">
        <v>902</v>
      </c>
      <c r="B3928" s="74" t="s">
        <v>247</v>
      </c>
      <c r="C3928" s="74" t="s">
        <v>1512</v>
      </c>
      <c r="D3928" s="74" t="s">
        <v>80</v>
      </c>
      <c r="E3928" s="74">
        <v>19</v>
      </c>
      <c r="F3928" s="74">
        <v>31.21</v>
      </c>
      <c r="G3928" s="758">
        <f t="shared" si="244"/>
        <v>0.31</v>
      </c>
      <c r="H3928" s="759">
        <f t="shared" si="245"/>
        <v>0.24</v>
      </c>
      <c r="I3928" s="758">
        <f t="shared" si="246"/>
        <v>1.3326315789473684</v>
      </c>
      <c r="J3928" s="760">
        <f t="shared" si="247"/>
        <v>0.81127843639859021</v>
      </c>
    </row>
    <row r="3929" spans="1:10">
      <c r="A3929" s="74" t="s">
        <v>902</v>
      </c>
      <c r="B3929" s="74" t="s">
        <v>247</v>
      </c>
      <c r="C3929" s="74" t="s">
        <v>1534</v>
      </c>
      <c r="D3929" s="74" t="s">
        <v>81</v>
      </c>
      <c r="E3929" s="74">
        <v>17</v>
      </c>
      <c r="F3929" s="74">
        <v>33.25</v>
      </c>
      <c r="G3929" s="758">
        <f t="shared" si="244"/>
        <v>0.31</v>
      </c>
      <c r="H3929" s="759">
        <f t="shared" si="245"/>
        <v>0.24</v>
      </c>
      <c r="I3929" s="758">
        <f t="shared" si="246"/>
        <v>1.6458823529411764</v>
      </c>
      <c r="J3929" s="760">
        <f t="shared" si="247"/>
        <v>0.8415037593984962</v>
      </c>
    </row>
    <row r="3930" spans="1:10">
      <c r="A3930" s="74" t="s">
        <v>902</v>
      </c>
      <c r="B3930" s="74" t="s">
        <v>247</v>
      </c>
      <c r="C3930" s="74" t="s">
        <v>1513</v>
      </c>
      <c r="D3930" s="74" t="s">
        <v>81</v>
      </c>
      <c r="E3930" s="74">
        <v>8</v>
      </c>
      <c r="F3930" s="74">
        <v>15.7</v>
      </c>
      <c r="G3930" s="758">
        <f t="shared" si="244"/>
        <v>0.31</v>
      </c>
      <c r="H3930" s="759">
        <f t="shared" si="245"/>
        <v>0.24</v>
      </c>
      <c r="I3930" s="758">
        <f t="shared" si="246"/>
        <v>1.6524999999999999</v>
      </c>
      <c r="J3930" s="760">
        <f t="shared" si="247"/>
        <v>0.84203821656050959</v>
      </c>
    </row>
    <row r="3931" spans="1:10">
      <c r="A3931" s="74" t="s">
        <v>902</v>
      </c>
      <c r="B3931" s="74" t="s">
        <v>247</v>
      </c>
      <c r="C3931" s="74" t="s">
        <v>1514</v>
      </c>
      <c r="D3931" s="74" t="s">
        <v>81</v>
      </c>
      <c r="E3931" s="74">
        <v>12</v>
      </c>
      <c r="F3931" s="74">
        <v>27.55</v>
      </c>
      <c r="G3931" s="758">
        <f t="shared" si="244"/>
        <v>0.31</v>
      </c>
      <c r="H3931" s="759">
        <f t="shared" si="245"/>
        <v>0.24</v>
      </c>
      <c r="I3931" s="758">
        <f t="shared" si="246"/>
        <v>1.9858333333333333</v>
      </c>
      <c r="J3931" s="760">
        <f t="shared" si="247"/>
        <v>0.86497277676951001</v>
      </c>
    </row>
    <row r="3932" spans="1:10">
      <c r="A3932" s="74" t="s">
        <v>902</v>
      </c>
      <c r="B3932" s="74" t="s">
        <v>247</v>
      </c>
      <c r="C3932" s="74" t="s">
        <v>1515</v>
      </c>
      <c r="D3932" s="74" t="s">
        <v>81</v>
      </c>
      <c r="E3932" s="74">
        <v>13</v>
      </c>
      <c r="F3932" s="74">
        <v>65</v>
      </c>
      <c r="G3932" s="758">
        <f t="shared" si="244"/>
        <v>0.31</v>
      </c>
      <c r="H3932" s="759">
        <f t="shared" si="245"/>
        <v>0.24</v>
      </c>
      <c r="I3932" s="758">
        <f t="shared" si="246"/>
        <v>4.6900000000000004</v>
      </c>
      <c r="J3932" s="760">
        <f t="shared" si="247"/>
        <v>0.93799999999999994</v>
      </c>
    </row>
    <row r="3933" spans="1:10">
      <c r="A3933" s="74" t="s">
        <v>902</v>
      </c>
      <c r="B3933" s="74" t="s">
        <v>247</v>
      </c>
      <c r="C3933" s="74" t="s">
        <v>1516</v>
      </c>
      <c r="D3933" s="74" t="s">
        <v>82</v>
      </c>
      <c r="E3933" s="74">
        <v>7</v>
      </c>
      <c r="F3933" s="74">
        <v>11.7</v>
      </c>
      <c r="G3933" s="758">
        <f t="shared" si="244"/>
        <v>0.31</v>
      </c>
      <c r="H3933" s="759">
        <f t="shared" si="245"/>
        <v>0.24</v>
      </c>
      <c r="I3933" s="758">
        <f t="shared" si="246"/>
        <v>1.3614285714285712</v>
      </c>
      <c r="J3933" s="760">
        <f t="shared" si="247"/>
        <v>0.81452991452991452</v>
      </c>
    </row>
    <row r="3934" spans="1:10">
      <c r="A3934" s="74" t="s">
        <v>902</v>
      </c>
      <c r="B3934" s="74" t="s">
        <v>247</v>
      </c>
      <c r="C3934" s="74" t="s">
        <v>1517</v>
      </c>
      <c r="D3934" s="74" t="s">
        <v>82</v>
      </c>
      <c r="E3934" s="74">
        <v>9</v>
      </c>
      <c r="F3934" s="74">
        <v>17.8</v>
      </c>
      <c r="G3934" s="758">
        <f t="shared" si="244"/>
        <v>0.31</v>
      </c>
      <c r="H3934" s="759">
        <f t="shared" si="245"/>
        <v>0.24</v>
      </c>
      <c r="I3934" s="758">
        <f t="shared" si="246"/>
        <v>1.6677777777777778</v>
      </c>
      <c r="J3934" s="760">
        <f t="shared" si="247"/>
        <v>0.84325842696629216</v>
      </c>
    </row>
    <row r="3935" spans="1:10">
      <c r="A3935" s="74" t="s">
        <v>902</v>
      </c>
      <c r="B3935" s="74" t="s">
        <v>247</v>
      </c>
      <c r="C3935" s="74" t="s">
        <v>1527</v>
      </c>
      <c r="D3935" s="74" t="s">
        <v>82</v>
      </c>
      <c r="E3935" s="74">
        <v>20</v>
      </c>
      <c r="F3935" s="74">
        <v>40.299999999999997</v>
      </c>
      <c r="G3935" s="758">
        <f t="shared" si="244"/>
        <v>0.31</v>
      </c>
      <c r="H3935" s="759">
        <f t="shared" si="245"/>
        <v>0.24</v>
      </c>
      <c r="I3935" s="758">
        <f t="shared" si="246"/>
        <v>1.7049999999999996</v>
      </c>
      <c r="J3935" s="760">
        <f t="shared" si="247"/>
        <v>0.84615384615384615</v>
      </c>
    </row>
    <row r="3936" spans="1:10">
      <c r="A3936" s="74" t="s">
        <v>902</v>
      </c>
      <c r="B3936" s="74" t="s">
        <v>247</v>
      </c>
      <c r="C3936" s="74" t="s">
        <v>1518</v>
      </c>
      <c r="D3936" s="74" t="s">
        <v>82</v>
      </c>
      <c r="E3936" s="74">
        <v>10</v>
      </c>
      <c r="F3936" s="74">
        <v>19.600000000000001</v>
      </c>
      <c r="G3936" s="758">
        <f t="shared" si="244"/>
        <v>0.31</v>
      </c>
      <c r="H3936" s="759">
        <f t="shared" si="245"/>
        <v>0.24</v>
      </c>
      <c r="I3936" s="758">
        <f t="shared" si="246"/>
        <v>1.6500000000000001</v>
      </c>
      <c r="J3936" s="760">
        <f t="shared" si="247"/>
        <v>0.84183673469387754</v>
      </c>
    </row>
    <row r="3937" spans="1:10">
      <c r="A3937" s="74" t="s">
        <v>902</v>
      </c>
      <c r="B3937" s="74" t="s">
        <v>247</v>
      </c>
      <c r="C3937" s="74" t="s">
        <v>1519</v>
      </c>
      <c r="D3937" s="74" t="s">
        <v>84</v>
      </c>
      <c r="E3937" s="74">
        <v>2</v>
      </c>
      <c r="F3937" s="74">
        <v>3.9</v>
      </c>
      <c r="G3937" s="758">
        <f t="shared" si="244"/>
        <v>0.31</v>
      </c>
      <c r="H3937" s="759">
        <f t="shared" si="245"/>
        <v>0.24</v>
      </c>
      <c r="I3937" s="758">
        <f t="shared" si="246"/>
        <v>1.64</v>
      </c>
      <c r="J3937" s="760">
        <f t="shared" si="247"/>
        <v>0.84102564102564104</v>
      </c>
    </row>
    <row r="3938" spans="1:10">
      <c r="A3938" s="74" t="s">
        <v>902</v>
      </c>
      <c r="B3938" s="74" t="s">
        <v>247</v>
      </c>
      <c r="C3938" s="74" t="s">
        <v>1540</v>
      </c>
      <c r="D3938" s="74" t="s">
        <v>84</v>
      </c>
      <c r="E3938" s="74">
        <v>3</v>
      </c>
      <c r="F3938" s="74">
        <v>5.85</v>
      </c>
      <c r="G3938" s="758">
        <f t="shared" si="244"/>
        <v>0.31</v>
      </c>
      <c r="H3938" s="759">
        <f t="shared" si="245"/>
        <v>0.24</v>
      </c>
      <c r="I3938" s="758">
        <f t="shared" si="246"/>
        <v>1.64</v>
      </c>
      <c r="J3938" s="760">
        <f t="shared" si="247"/>
        <v>0.84102564102564104</v>
      </c>
    </row>
    <row r="3939" spans="1:10">
      <c r="A3939" s="74" t="s">
        <v>902</v>
      </c>
      <c r="B3939" s="74" t="s">
        <v>247</v>
      </c>
      <c r="C3939" s="74" t="s">
        <v>1520</v>
      </c>
      <c r="D3939" s="74" t="s">
        <v>84</v>
      </c>
      <c r="E3939" s="74">
        <v>3</v>
      </c>
      <c r="F3939" s="74">
        <v>5.85</v>
      </c>
      <c r="G3939" s="758">
        <f t="shared" si="244"/>
        <v>0.31</v>
      </c>
      <c r="H3939" s="759">
        <f t="shared" si="245"/>
        <v>0.24</v>
      </c>
      <c r="I3939" s="758">
        <f t="shared" si="246"/>
        <v>1.64</v>
      </c>
      <c r="J3939" s="760">
        <f t="shared" si="247"/>
        <v>0.84102564102564104</v>
      </c>
    </row>
    <row r="3940" spans="1:10">
      <c r="A3940" s="74" t="s">
        <v>902</v>
      </c>
      <c r="B3940" s="74" t="s">
        <v>247</v>
      </c>
      <c r="C3940" s="74" t="s">
        <v>1577</v>
      </c>
      <c r="D3940" s="74" t="s">
        <v>84</v>
      </c>
      <c r="E3940" s="74">
        <v>1</v>
      </c>
      <c r="F3940" s="74">
        <v>1.95</v>
      </c>
      <c r="G3940" s="758">
        <f t="shared" si="244"/>
        <v>0.31</v>
      </c>
      <c r="H3940" s="759">
        <f t="shared" si="245"/>
        <v>0.24</v>
      </c>
      <c r="I3940" s="758">
        <f t="shared" si="246"/>
        <v>1.64</v>
      </c>
      <c r="J3940" s="760">
        <f t="shared" si="247"/>
        <v>0.84102564102564104</v>
      </c>
    </row>
    <row r="3941" spans="1:10">
      <c r="A3941" s="74" t="s">
        <v>902</v>
      </c>
      <c r="B3941" s="74" t="s">
        <v>247</v>
      </c>
      <c r="C3941" s="74" t="s">
        <v>1507</v>
      </c>
      <c r="D3941" s="74" t="s">
        <v>86</v>
      </c>
      <c r="E3941" s="74">
        <v>2</v>
      </c>
      <c r="F3941" s="74">
        <v>3.9</v>
      </c>
      <c r="G3941" s="758">
        <f t="shared" si="244"/>
        <v>0.31</v>
      </c>
      <c r="H3941" s="759">
        <f t="shared" si="245"/>
        <v>0.24</v>
      </c>
      <c r="I3941" s="758">
        <f t="shared" si="246"/>
        <v>1.64</v>
      </c>
      <c r="J3941" s="760">
        <f t="shared" si="247"/>
        <v>0.84102564102564104</v>
      </c>
    </row>
    <row r="3942" spans="1:10">
      <c r="A3942" s="74" t="s">
        <v>902</v>
      </c>
      <c r="B3942" s="74" t="s">
        <v>247</v>
      </c>
      <c r="C3942" s="74" t="s">
        <v>1578</v>
      </c>
      <c r="D3942" s="74" t="s">
        <v>86</v>
      </c>
      <c r="E3942" s="74">
        <v>2</v>
      </c>
      <c r="F3942" s="74">
        <v>3.9</v>
      </c>
      <c r="G3942" s="758">
        <f t="shared" si="244"/>
        <v>0.31</v>
      </c>
      <c r="H3942" s="759">
        <f t="shared" si="245"/>
        <v>0.24</v>
      </c>
      <c r="I3942" s="758">
        <f t="shared" si="246"/>
        <v>1.64</v>
      </c>
      <c r="J3942" s="760">
        <f t="shared" si="247"/>
        <v>0.84102564102564104</v>
      </c>
    </row>
    <row r="3943" spans="1:10">
      <c r="A3943" s="74" t="s">
        <v>902</v>
      </c>
      <c r="B3943" s="74" t="s">
        <v>247</v>
      </c>
      <c r="C3943" s="74" t="s">
        <v>1646</v>
      </c>
      <c r="D3943" s="74" t="s">
        <v>86</v>
      </c>
      <c r="E3943" s="74">
        <v>4</v>
      </c>
      <c r="F3943" s="74">
        <v>7.8</v>
      </c>
      <c r="G3943" s="758">
        <f t="shared" si="244"/>
        <v>0.31</v>
      </c>
      <c r="H3943" s="759">
        <f t="shared" si="245"/>
        <v>0.24</v>
      </c>
      <c r="I3943" s="758">
        <f t="shared" si="246"/>
        <v>1.64</v>
      </c>
      <c r="J3943" s="760">
        <f t="shared" si="247"/>
        <v>0.84102564102564104</v>
      </c>
    </row>
    <row r="3944" spans="1:10">
      <c r="A3944" s="74" t="s">
        <v>902</v>
      </c>
      <c r="B3944" s="74" t="s">
        <v>247</v>
      </c>
      <c r="C3944" s="74" t="s">
        <v>1541</v>
      </c>
      <c r="D3944" s="74" t="s">
        <v>86</v>
      </c>
      <c r="E3944" s="74">
        <v>4</v>
      </c>
      <c r="F3944" s="74">
        <v>7.8</v>
      </c>
      <c r="G3944" s="758">
        <f t="shared" si="244"/>
        <v>0.31</v>
      </c>
      <c r="H3944" s="759">
        <f t="shared" si="245"/>
        <v>0.24</v>
      </c>
      <c r="I3944" s="758">
        <f t="shared" si="246"/>
        <v>1.64</v>
      </c>
      <c r="J3944" s="760">
        <f t="shared" si="247"/>
        <v>0.84102564102564104</v>
      </c>
    </row>
    <row r="3945" spans="1:10">
      <c r="A3945" s="74" t="s">
        <v>902</v>
      </c>
      <c r="B3945" s="74" t="s">
        <v>247</v>
      </c>
      <c r="C3945" s="74" t="s">
        <v>1543</v>
      </c>
      <c r="D3945" s="74" t="s">
        <v>87</v>
      </c>
      <c r="E3945" s="74">
        <v>1</v>
      </c>
      <c r="F3945" s="74">
        <v>2</v>
      </c>
      <c r="G3945" s="758">
        <f t="shared" si="244"/>
        <v>0.31</v>
      </c>
      <c r="H3945" s="759">
        <f t="shared" si="245"/>
        <v>0.24</v>
      </c>
      <c r="I3945" s="758">
        <f t="shared" si="246"/>
        <v>1.69</v>
      </c>
      <c r="J3945" s="760">
        <f t="shared" si="247"/>
        <v>0.84499999999999997</v>
      </c>
    </row>
    <row r="3946" spans="1:10">
      <c r="A3946" s="74" t="s">
        <v>902</v>
      </c>
      <c r="B3946" s="74" t="s">
        <v>247</v>
      </c>
      <c r="C3946" s="74" t="s">
        <v>1605</v>
      </c>
      <c r="D3946" s="74" t="s">
        <v>87</v>
      </c>
      <c r="E3946" s="74">
        <v>1</v>
      </c>
      <c r="F3946" s="74">
        <v>1.95</v>
      </c>
      <c r="G3946" s="758">
        <f t="shared" si="244"/>
        <v>0.31</v>
      </c>
      <c r="H3946" s="759">
        <f t="shared" si="245"/>
        <v>0.24</v>
      </c>
      <c r="I3946" s="758">
        <f t="shared" si="246"/>
        <v>1.64</v>
      </c>
      <c r="J3946" s="760">
        <f t="shared" si="247"/>
        <v>0.84102564102564104</v>
      </c>
    </row>
    <row r="3947" spans="1:10">
      <c r="A3947" s="74" t="s">
        <v>902</v>
      </c>
      <c r="B3947" s="74" t="s">
        <v>247</v>
      </c>
      <c r="C3947" s="74" t="s">
        <v>1561</v>
      </c>
      <c r="D3947" s="74" t="s">
        <v>87</v>
      </c>
      <c r="E3947" s="74">
        <v>2</v>
      </c>
      <c r="F3947" s="74">
        <v>3.9</v>
      </c>
      <c r="G3947" s="758">
        <f t="shared" si="244"/>
        <v>0.31</v>
      </c>
      <c r="H3947" s="759">
        <f t="shared" si="245"/>
        <v>0.24</v>
      </c>
      <c r="I3947" s="758">
        <f t="shared" si="246"/>
        <v>1.64</v>
      </c>
      <c r="J3947" s="760">
        <f t="shared" si="247"/>
        <v>0.84102564102564104</v>
      </c>
    </row>
    <row r="3948" spans="1:10">
      <c r="A3948" s="74" t="s">
        <v>902</v>
      </c>
      <c r="B3948" s="74" t="s">
        <v>247</v>
      </c>
      <c r="C3948" s="74" t="s">
        <v>1608</v>
      </c>
      <c r="D3948" s="74" t="s">
        <v>89</v>
      </c>
      <c r="E3948" s="74">
        <v>4</v>
      </c>
      <c r="F3948" s="74">
        <v>7.8</v>
      </c>
      <c r="G3948" s="758">
        <f t="shared" si="244"/>
        <v>0.31</v>
      </c>
      <c r="H3948" s="759">
        <f t="shared" si="245"/>
        <v>0.24</v>
      </c>
      <c r="I3948" s="758">
        <f t="shared" si="246"/>
        <v>1.64</v>
      </c>
      <c r="J3948" s="760">
        <f t="shared" si="247"/>
        <v>0.84102564102564104</v>
      </c>
    </row>
    <row r="3949" spans="1:10">
      <c r="A3949" s="74" t="s">
        <v>902</v>
      </c>
      <c r="B3949" s="74" t="s">
        <v>247</v>
      </c>
      <c r="C3949" s="74" t="s">
        <v>1546</v>
      </c>
      <c r="D3949" s="74" t="s">
        <v>89</v>
      </c>
      <c r="E3949" s="74">
        <v>1</v>
      </c>
      <c r="F3949" s="74">
        <v>1.95</v>
      </c>
      <c r="G3949" s="758">
        <f t="shared" si="244"/>
        <v>0.31</v>
      </c>
      <c r="H3949" s="759">
        <f t="shared" si="245"/>
        <v>0.24</v>
      </c>
      <c r="I3949" s="758">
        <f t="shared" si="246"/>
        <v>1.64</v>
      </c>
      <c r="J3949" s="760">
        <f t="shared" si="247"/>
        <v>0.84102564102564104</v>
      </c>
    </row>
    <row r="3950" spans="1:10">
      <c r="A3950" s="74" t="s">
        <v>902</v>
      </c>
      <c r="B3950" s="74" t="s">
        <v>247</v>
      </c>
      <c r="C3950" s="74" t="s">
        <v>1547</v>
      </c>
      <c r="D3950" s="74" t="s">
        <v>89</v>
      </c>
      <c r="E3950" s="74">
        <v>2</v>
      </c>
      <c r="F3950" s="74">
        <v>3.9</v>
      </c>
      <c r="G3950" s="758">
        <f t="shared" si="244"/>
        <v>0.31</v>
      </c>
      <c r="H3950" s="759">
        <f t="shared" si="245"/>
        <v>0.24</v>
      </c>
      <c r="I3950" s="758">
        <f t="shared" si="246"/>
        <v>1.64</v>
      </c>
      <c r="J3950" s="760">
        <f t="shared" si="247"/>
        <v>0.84102564102564104</v>
      </c>
    </row>
    <row r="3951" spans="1:10">
      <c r="A3951" s="74" t="s">
        <v>902</v>
      </c>
      <c r="B3951" s="74" t="s">
        <v>247</v>
      </c>
      <c r="C3951" s="74" t="s">
        <v>1522</v>
      </c>
      <c r="D3951" s="74" t="s">
        <v>91</v>
      </c>
      <c r="E3951" s="74">
        <v>4</v>
      </c>
      <c r="F3951" s="74">
        <v>7.8</v>
      </c>
      <c r="G3951" s="758">
        <f t="shared" si="244"/>
        <v>0.31</v>
      </c>
      <c r="H3951" s="759">
        <f t="shared" si="245"/>
        <v>0.24</v>
      </c>
      <c r="I3951" s="758">
        <f t="shared" si="246"/>
        <v>1.64</v>
      </c>
      <c r="J3951" s="760">
        <f t="shared" si="247"/>
        <v>0.84102564102564104</v>
      </c>
    </row>
    <row r="3952" spans="1:10">
      <c r="A3952" s="74" t="s">
        <v>902</v>
      </c>
      <c r="B3952" s="74" t="s">
        <v>247</v>
      </c>
      <c r="C3952" s="74" t="s">
        <v>1550</v>
      </c>
      <c r="D3952" s="74" t="s">
        <v>91</v>
      </c>
      <c r="E3952" s="74">
        <v>1</v>
      </c>
      <c r="F3952" s="74">
        <v>1.95</v>
      </c>
      <c r="G3952" s="758">
        <f t="shared" si="244"/>
        <v>0.31</v>
      </c>
      <c r="H3952" s="759">
        <f t="shared" si="245"/>
        <v>0.24</v>
      </c>
      <c r="I3952" s="758">
        <f t="shared" si="246"/>
        <v>1.64</v>
      </c>
      <c r="J3952" s="760">
        <f t="shared" si="247"/>
        <v>0.84102564102564104</v>
      </c>
    </row>
    <row r="3953" spans="1:10">
      <c r="A3953" s="74" t="s">
        <v>902</v>
      </c>
      <c r="B3953" s="74" t="s">
        <v>247</v>
      </c>
      <c r="C3953" s="74" t="s">
        <v>1675</v>
      </c>
      <c r="D3953" s="74" t="s">
        <v>91</v>
      </c>
      <c r="E3953" s="74">
        <v>3</v>
      </c>
      <c r="F3953" s="74">
        <v>5.85</v>
      </c>
      <c r="G3953" s="758">
        <f t="shared" si="244"/>
        <v>0.31</v>
      </c>
      <c r="H3953" s="759">
        <f t="shared" si="245"/>
        <v>0.24</v>
      </c>
      <c r="I3953" s="758">
        <f t="shared" si="246"/>
        <v>1.64</v>
      </c>
      <c r="J3953" s="760">
        <f t="shared" si="247"/>
        <v>0.84102564102564104</v>
      </c>
    </row>
    <row r="3954" spans="1:10">
      <c r="A3954" s="74" t="s">
        <v>902</v>
      </c>
      <c r="B3954" s="74" t="s">
        <v>247</v>
      </c>
      <c r="C3954" s="74" t="s">
        <v>1524</v>
      </c>
      <c r="D3954" s="74" t="s">
        <v>91</v>
      </c>
      <c r="E3954" s="74">
        <v>5</v>
      </c>
      <c r="F3954" s="74">
        <v>9.75</v>
      </c>
      <c r="G3954" s="758">
        <f t="shared" si="244"/>
        <v>0.31</v>
      </c>
      <c r="H3954" s="759">
        <f t="shared" si="245"/>
        <v>0.24</v>
      </c>
      <c r="I3954" s="758">
        <f t="shared" si="246"/>
        <v>1.64</v>
      </c>
      <c r="J3954" s="760">
        <f t="shared" si="247"/>
        <v>0.84102564102564104</v>
      </c>
    </row>
    <row r="3955" spans="1:10">
      <c r="A3955" s="74" t="s">
        <v>902</v>
      </c>
      <c r="B3955" s="74" t="s">
        <v>247</v>
      </c>
      <c r="C3955" s="74" t="s">
        <v>1584</v>
      </c>
      <c r="D3955" s="74" t="s">
        <v>92</v>
      </c>
      <c r="E3955" s="74">
        <v>4</v>
      </c>
      <c r="F3955" s="74">
        <v>7.8</v>
      </c>
      <c r="G3955" s="758">
        <f t="shared" si="244"/>
        <v>0.31</v>
      </c>
      <c r="H3955" s="759">
        <f t="shared" si="245"/>
        <v>0.24</v>
      </c>
      <c r="I3955" s="758">
        <f t="shared" si="246"/>
        <v>1.64</v>
      </c>
      <c r="J3955" s="760">
        <f t="shared" si="247"/>
        <v>0.84102564102564104</v>
      </c>
    </row>
    <row r="3956" spans="1:10">
      <c r="A3956" s="74" t="s">
        <v>902</v>
      </c>
      <c r="B3956" s="74" t="s">
        <v>247</v>
      </c>
      <c r="C3956" s="74" t="s">
        <v>1614</v>
      </c>
      <c r="D3956" s="74" t="s">
        <v>92</v>
      </c>
      <c r="E3956" s="74">
        <v>1</v>
      </c>
      <c r="F3956" s="74">
        <v>1.95</v>
      </c>
      <c r="G3956" s="758">
        <f t="shared" si="244"/>
        <v>0.31</v>
      </c>
      <c r="H3956" s="759">
        <f t="shared" si="245"/>
        <v>0.24</v>
      </c>
      <c r="I3956" s="758">
        <f t="shared" si="246"/>
        <v>1.64</v>
      </c>
      <c r="J3956" s="760">
        <f t="shared" si="247"/>
        <v>0.84102564102564104</v>
      </c>
    </row>
    <row r="3957" spans="1:10">
      <c r="A3957" s="74" t="s">
        <v>902</v>
      </c>
      <c r="B3957" s="74" t="s">
        <v>247</v>
      </c>
      <c r="C3957" s="74" t="s">
        <v>1631</v>
      </c>
      <c r="D3957" s="74" t="s">
        <v>92</v>
      </c>
      <c r="E3957" s="74">
        <v>6</v>
      </c>
      <c r="F3957" s="74">
        <v>11.85</v>
      </c>
      <c r="G3957" s="758">
        <f t="shared" si="244"/>
        <v>0.31</v>
      </c>
      <c r="H3957" s="759">
        <f t="shared" si="245"/>
        <v>0.24</v>
      </c>
      <c r="I3957" s="758">
        <f t="shared" si="246"/>
        <v>1.6649999999999998</v>
      </c>
      <c r="J3957" s="760">
        <f t="shared" si="247"/>
        <v>0.84303797468354436</v>
      </c>
    </row>
    <row r="3958" spans="1:10">
      <c r="A3958" s="74" t="s">
        <v>902</v>
      </c>
      <c r="B3958" s="74" t="s">
        <v>247</v>
      </c>
      <c r="C3958" s="74" t="s">
        <v>1552</v>
      </c>
      <c r="D3958" s="74" t="s">
        <v>92</v>
      </c>
      <c r="E3958" s="74">
        <v>6</v>
      </c>
      <c r="F3958" s="74">
        <v>11.7</v>
      </c>
      <c r="G3958" s="758">
        <f t="shared" si="244"/>
        <v>0.31</v>
      </c>
      <c r="H3958" s="759">
        <f t="shared" si="245"/>
        <v>0.24</v>
      </c>
      <c r="I3958" s="758">
        <f t="shared" si="246"/>
        <v>1.64</v>
      </c>
      <c r="J3958" s="760">
        <f t="shared" si="247"/>
        <v>0.84102564102564104</v>
      </c>
    </row>
    <row r="3959" spans="1:10">
      <c r="A3959" s="74" t="s">
        <v>902</v>
      </c>
      <c r="B3959" s="74" t="s">
        <v>247</v>
      </c>
      <c r="C3959" s="74" t="s">
        <v>1617</v>
      </c>
      <c r="D3959" s="74" t="s">
        <v>94</v>
      </c>
      <c r="E3959" s="74">
        <v>2</v>
      </c>
      <c r="F3959" s="74">
        <v>3.9</v>
      </c>
      <c r="G3959" s="758">
        <f t="shared" si="244"/>
        <v>0.31</v>
      </c>
      <c r="H3959" s="759">
        <f t="shared" si="245"/>
        <v>0.24</v>
      </c>
      <c r="I3959" s="758">
        <f t="shared" si="246"/>
        <v>1.64</v>
      </c>
      <c r="J3959" s="760">
        <f t="shared" si="247"/>
        <v>0.84102564102564104</v>
      </c>
    </row>
    <row r="3960" spans="1:10">
      <c r="A3960" s="74" t="s">
        <v>902</v>
      </c>
      <c r="B3960" s="74" t="s">
        <v>247</v>
      </c>
      <c r="C3960" s="74" t="s">
        <v>1553</v>
      </c>
      <c r="D3960" s="74" t="s">
        <v>94</v>
      </c>
      <c r="E3960" s="74">
        <v>5</v>
      </c>
      <c r="F3960" s="74">
        <v>9.8000000000000007</v>
      </c>
      <c r="G3960" s="758">
        <f t="shared" si="244"/>
        <v>0.31</v>
      </c>
      <c r="H3960" s="759">
        <f t="shared" si="245"/>
        <v>0.24</v>
      </c>
      <c r="I3960" s="758">
        <f t="shared" si="246"/>
        <v>1.6500000000000001</v>
      </c>
      <c r="J3960" s="760">
        <f t="shared" si="247"/>
        <v>0.84183673469387754</v>
      </c>
    </row>
    <row r="3961" spans="1:10">
      <c r="A3961" s="74" t="s">
        <v>902</v>
      </c>
      <c r="B3961" s="74" t="s">
        <v>247</v>
      </c>
      <c r="C3961" s="74" t="s">
        <v>1555</v>
      </c>
      <c r="D3961" s="74" t="s">
        <v>94</v>
      </c>
      <c r="E3961" s="74">
        <v>6</v>
      </c>
      <c r="F3961" s="74">
        <v>11.45</v>
      </c>
      <c r="G3961" s="758">
        <f t="shared" si="244"/>
        <v>0.31</v>
      </c>
      <c r="H3961" s="759">
        <f t="shared" si="245"/>
        <v>0.24</v>
      </c>
      <c r="I3961" s="758">
        <f t="shared" si="246"/>
        <v>1.5983333333333332</v>
      </c>
      <c r="J3961" s="760">
        <f t="shared" si="247"/>
        <v>0.83755458515283843</v>
      </c>
    </row>
    <row r="3962" spans="1:10">
      <c r="A3962" s="74" t="s">
        <v>902</v>
      </c>
      <c r="B3962" s="74" t="s">
        <v>247</v>
      </c>
      <c r="C3962" s="74" t="s">
        <v>1557</v>
      </c>
      <c r="D3962" s="74" t="s">
        <v>95</v>
      </c>
      <c r="E3962" s="74">
        <v>2</v>
      </c>
      <c r="F3962" s="74">
        <v>3.9</v>
      </c>
      <c r="G3962" s="758">
        <f t="shared" si="244"/>
        <v>0.31</v>
      </c>
      <c r="H3962" s="759">
        <f t="shared" si="245"/>
        <v>0.24</v>
      </c>
      <c r="I3962" s="758">
        <f t="shared" si="246"/>
        <v>1.64</v>
      </c>
      <c r="J3962" s="760">
        <f t="shared" si="247"/>
        <v>0.84102564102564104</v>
      </c>
    </row>
    <row r="3963" spans="1:10">
      <c r="A3963" s="74" t="s">
        <v>902</v>
      </c>
      <c r="B3963" s="74" t="s">
        <v>247</v>
      </c>
      <c r="C3963" s="74" t="s">
        <v>1526</v>
      </c>
      <c r="D3963" s="74" t="s">
        <v>95</v>
      </c>
      <c r="E3963" s="74">
        <v>4</v>
      </c>
      <c r="F3963" s="74">
        <v>7.8</v>
      </c>
      <c r="G3963" s="758">
        <f t="shared" si="244"/>
        <v>0.31</v>
      </c>
      <c r="H3963" s="759">
        <f t="shared" si="245"/>
        <v>0.24</v>
      </c>
      <c r="I3963" s="758">
        <f t="shared" si="246"/>
        <v>1.64</v>
      </c>
      <c r="J3963" s="760">
        <f t="shared" si="247"/>
        <v>0.84102564102564104</v>
      </c>
    </row>
    <row r="3964" spans="1:10">
      <c r="A3964" s="74" t="s">
        <v>902</v>
      </c>
      <c r="B3964" s="74" t="s">
        <v>247</v>
      </c>
      <c r="C3964" s="74" t="s">
        <v>1930</v>
      </c>
      <c r="D3964" s="74" t="s">
        <v>95</v>
      </c>
      <c r="E3964" s="74">
        <v>4</v>
      </c>
      <c r="F3964" s="74">
        <v>7.8</v>
      </c>
      <c r="G3964" s="758">
        <f t="shared" si="244"/>
        <v>0.31</v>
      </c>
      <c r="H3964" s="759">
        <f t="shared" si="245"/>
        <v>0.24</v>
      </c>
      <c r="I3964" s="758">
        <f t="shared" si="246"/>
        <v>1.64</v>
      </c>
      <c r="J3964" s="760">
        <f t="shared" si="247"/>
        <v>0.84102564102564104</v>
      </c>
    </row>
    <row r="3965" spans="1:10">
      <c r="A3965" s="74" t="s">
        <v>677</v>
      </c>
      <c r="B3965" s="74" t="s">
        <v>249</v>
      </c>
      <c r="C3965" s="74" t="s">
        <v>1528</v>
      </c>
      <c r="D3965" s="74" t="s">
        <v>78</v>
      </c>
      <c r="E3965" s="74">
        <v>12</v>
      </c>
      <c r="F3965" s="74">
        <v>17.82</v>
      </c>
      <c r="G3965" s="758">
        <f t="shared" si="244"/>
        <v>0.31</v>
      </c>
      <c r="H3965" s="759">
        <f t="shared" si="245"/>
        <v>0.24</v>
      </c>
      <c r="I3965" s="758">
        <f t="shared" si="246"/>
        <v>1.175</v>
      </c>
      <c r="J3965" s="760">
        <f t="shared" si="247"/>
        <v>0.79124579124579131</v>
      </c>
    </row>
    <row r="3966" spans="1:10">
      <c r="A3966" s="74" t="s">
        <v>677</v>
      </c>
      <c r="B3966" s="74" t="s">
        <v>249</v>
      </c>
      <c r="C3966" s="74" t="s">
        <v>1508</v>
      </c>
      <c r="D3966" s="74" t="s">
        <v>78</v>
      </c>
      <c r="E3966" s="74">
        <v>9</v>
      </c>
      <c r="F3966" s="74">
        <v>14.18</v>
      </c>
      <c r="G3966" s="758">
        <f t="shared" si="244"/>
        <v>0.31</v>
      </c>
      <c r="H3966" s="759">
        <f t="shared" si="245"/>
        <v>0.24</v>
      </c>
      <c r="I3966" s="758">
        <f t="shared" si="246"/>
        <v>1.2655555555555555</v>
      </c>
      <c r="J3966" s="760">
        <f t="shared" si="247"/>
        <v>0.80324400564174891</v>
      </c>
    </row>
    <row r="3967" spans="1:10">
      <c r="A3967" s="74" t="s">
        <v>677</v>
      </c>
      <c r="B3967" s="74" t="s">
        <v>249</v>
      </c>
      <c r="C3967" s="74" t="s">
        <v>1509</v>
      </c>
      <c r="D3967" s="74" t="s">
        <v>78</v>
      </c>
      <c r="E3967" s="74">
        <v>5</v>
      </c>
      <c r="F3967" s="74">
        <v>8.86</v>
      </c>
      <c r="G3967" s="758">
        <f t="shared" si="244"/>
        <v>0.31</v>
      </c>
      <c r="H3967" s="759">
        <f t="shared" si="245"/>
        <v>0.24</v>
      </c>
      <c r="I3967" s="758">
        <f t="shared" si="246"/>
        <v>1.4619999999999997</v>
      </c>
      <c r="J3967" s="760">
        <f t="shared" si="247"/>
        <v>0.82505643340857793</v>
      </c>
    </row>
    <row r="3968" spans="1:10">
      <c r="A3968" s="74" t="s">
        <v>677</v>
      </c>
      <c r="B3968" s="74" t="s">
        <v>249</v>
      </c>
      <c r="C3968" s="74" t="s">
        <v>1565</v>
      </c>
      <c r="D3968" s="74" t="s">
        <v>78</v>
      </c>
      <c r="E3968" s="74">
        <v>14</v>
      </c>
      <c r="F3968" s="74">
        <v>23.05</v>
      </c>
      <c r="G3968" s="758">
        <f t="shared" si="244"/>
        <v>0.31</v>
      </c>
      <c r="H3968" s="759">
        <f t="shared" si="245"/>
        <v>0.24</v>
      </c>
      <c r="I3968" s="758">
        <f t="shared" si="246"/>
        <v>1.3364285714285715</v>
      </c>
      <c r="J3968" s="760">
        <f t="shared" si="247"/>
        <v>0.81171366594360084</v>
      </c>
    </row>
    <row r="3969" spans="1:10">
      <c r="A3969" s="74" t="s">
        <v>677</v>
      </c>
      <c r="B3969" s="74" t="s">
        <v>249</v>
      </c>
      <c r="C3969" s="74" t="s">
        <v>1530</v>
      </c>
      <c r="D3969" s="74" t="s">
        <v>80</v>
      </c>
      <c r="E3969" s="74">
        <v>7</v>
      </c>
      <c r="F3969" s="74">
        <v>12.41</v>
      </c>
      <c r="G3969" s="758">
        <f t="shared" si="244"/>
        <v>0.31</v>
      </c>
      <c r="H3969" s="759">
        <f t="shared" si="245"/>
        <v>0.24</v>
      </c>
      <c r="I3969" s="758">
        <f t="shared" si="246"/>
        <v>1.4628571428571429</v>
      </c>
      <c r="J3969" s="760">
        <f t="shared" si="247"/>
        <v>0.82514101531023365</v>
      </c>
    </row>
    <row r="3970" spans="1:10">
      <c r="A3970" s="74" t="s">
        <v>677</v>
      </c>
      <c r="B3970" s="74" t="s">
        <v>249</v>
      </c>
      <c r="C3970" s="74" t="s">
        <v>1532</v>
      </c>
      <c r="D3970" s="74" t="s">
        <v>80</v>
      </c>
      <c r="E3970" s="74">
        <v>7</v>
      </c>
      <c r="F3970" s="74">
        <v>12.41</v>
      </c>
      <c r="G3970" s="758">
        <f t="shared" ref="G3970:G4033" si="248">IFERROR(VLOOKUP(A3970,$M$1:$P$1014,2,FALSE),0)</f>
        <v>0.31</v>
      </c>
      <c r="H3970" s="759">
        <f t="shared" ref="H3970:H4033" si="249">IFERROR(VLOOKUP(A3970,$M$1:$P$1014,3,FALSE),0)</f>
        <v>0.24</v>
      </c>
      <c r="I3970" s="758">
        <f t="shared" ref="I3970:I4033" si="250">IFERROR(F3970/E3970-G3970,0)</f>
        <v>1.4628571428571429</v>
      </c>
      <c r="J3970" s="760">
        <f t="shared" ref="J3970:J4033" si="251">IFERROR(1-G3970*E3970/F3970,0)</f>
        <v>0.82514101531023365</v>
      </c>
    </row>
    <row r="3971" spans="1:10">
      <c r="A3971" s="74" t="s">
        <v>677</v>
      </c>
      <c r="B3971" s="74" t="s">
        <v>249</v>
      </c>
      <c r="C3971" s="74" t="s">
        <v>1511</v>
      </c>
      <c r="D3971" s="74" t="s">
        <v>80</v>
      </c>
      <c r="E3971" s="74">
        <v>15</v>
      </c>
      <c r="F3971" s="74">
        <v>25.09</v>
      </c>
      <c r="G3971" s="758">
        <f t="shared" si="248"/>
        <v>0.31</v>
      </c>
      <c r="H3971" s="759">
        <f t="shared" si="249"/>
        <v>0.24</v>
      </c>
      <c r="I3971" s="758">
        <f t="shared" si="250"/>
        <v>1.3626666666666667</v>
      </c>
      <c r="J3971" s="760">
        <f t="shared" si="251"/>
        <v>0.81466719808688715</v>
      </c>
    </row>
    <row r="3972" spans="1:10">
      <c r="A3972" s="74" t="s">
        <v>677</v>
      </c>
      <c r="B3972" s="74" t="s">
        <v>249</v>
      </c>
      <c r="C3972" s="74" t="s">
        <v>1512</v>
      </c>
      <c r="D3972" s="74" t="s">
        <v>80</v>
      </c>
      <c r="E3972" s="74">
        <v>5</v>
      </c>
      <c r="F3972" s="74">
        <v>8.86</v>
      </c>
      <c r="G3972" s="758">
        <f t="shared" si="248"/>
        <v>0.31</v>
      </c>
      <c r="H3972" s="759">
        <f t="shared" si="249"/>
        <v>0.24</v>
      </c>
      <c r="I3972" s="758">
        <f t="shared" si="250"/>
        <v>1.4619999999999997</v>
      </c>
      <c r="J3972" s="760">
        <f t="shared" si="251"/>
        <v>0.82505643340857793</v>
      </c>
    </row>
    <row r="3973" spans="1:10">
      <c r="A3973" s="74" t="s">
        <v>677</v>
      </c>
      <c r="B3973" s="74" t="s">
        <v>249</v>
      </c>
      <c r="C3973" s="74" t="s">
        <v>1513</v>
      </c>
      <c r="D3973" s="74" t="s">
        <v>81</v>
      </c>
      <c r="E3973" s="74">
        <v>12</v>
      </c>
      <c r="F3973" s="74">
        <v>21.27</v>
      </c>
      <c r="G3973" s="758">
        <f t="shared" si="248"/>
        <v>0.31</v>
      </c>
      <c r="H3973" s="759">
        <f t="shared" si="249"/>
        <v>0.24</v>
      </c>
      <c r="I3973" s="758">
        <f t="shared" si="250"/>
        <v>1.4624999999999999</v>
      </c>
      <c r="J3973" s="760">
        <f t="shared" si="251"/>
        <v>0.82510578279266578</v>
      </c>
    </row>
    <row r="3974" spans="1:10">
      <c r="A3974" s="74" t="s">
        <v>677</v>
      </c>
      <c r="B3974" s="74" t="s">
        <v>249</v>
      </c>
      <c r="C3974" s="74" t="s">
        <v>1514</v>
      </c>
      <c r="D3974" s="74" t="s">
        <v>81</v>
      </c>
      <c r="E3974" s="74">
        <v>5</v>
      </c>
      <c r="F3974" s="74">
        <v>8.86</v>
      </c>
      <c r="G3974" s="758">
        <f t="shared" si="248"/>
        <v>0.31</v>
      </c>
      <c r="H3974" s="759">
        <f t="shared" si="249"/>
        <v>0.24</v>
      </c>
      <c r="I3974" s="758">
        <f t="shared" si="250"/>
        <v>1.4619999999999997</v>
      </c>
      <c r="J3974" s="760">
        <f t="shared" si="251"/>
        <v>0.82505643340857793</v>
      </c>
    </row>
    <row r="3975" spans="1:10">
      <c r="A3975" s="74" t="s">
        <v>677</v>
      </c>
      <c r="B3975" s="74" t="s">
        <v>249</v>
      </c>
      <c r="C3975" s="74" t="s">
        <v>1515</v>
      </c>
      <c r="D3975" s="74" t="s">
        <v>81</v>
      </c>
      <c r="E3975" s="74">
        <v>10</v>
      </c>
      <c r="F3975" s="74">
        <v>17.82</v>
      </c>
      <c r="G3975" s="758">
        <f t="shared" si="248"/>
        <v>0.31</v>
      </c>
      <c r="H3975" s="759">
        <f t="shared" si="249"/>
        <v>0.24</v>
      </c>
      <c r="I3975" s="758">
        <f t="shared" si="250"/>
        <v>1.472</v>
      </c>
      <c r="J3975" s="760">
        <f t="shared" si="251"/>
        <v>0.82603815937149272</v>
      </c>
    </row>
    <row r="3976" spans="1:10">
      <c r="A3976" s="74" t="s">
        <v>888</v>
      </c>
      <c r="B3976" s="74" t="s">
        <v>258</v>
      </c>
      <c r="C3976" s="74" t="s">
        <v>1532</v>
      </c>
      <c r="D3976" s="74" t="s">
        <v>80</v>
      </c>
      <c r="E3976" s="74">
        <v>3</v>
      </c>
      <c r="F3976" s="74">
        <v>0</v>
      </c>
      <c r="G3976" s="758">
        <f t="shared" si="248"/>
        <v>0.09</v>
      </c>
      <c r="H3976" s="759">
        <f t="shared" si="249"/>
        <v>0</v>
      </c>
      <c r="I3976" s="758">
        <f t="shared" si="250"/>
        <v>-0.09</v>
      </c>
      <c r="J3976" s="760">
        <f t="shared" si="251"/>
        <v>0</v>
      </c>
    </row>
    <row r="3977" spans="1:10">
      <c r="A3977" s="74" t="s">
        <v>888</v>
      </c>
      <c r="B3977" s="74" t="s">
        <v>258</v>
      </c>
      <c r="C3977" s="74" t="s">
        <v>1514</v>
      </c>
      <c r="D3977" s="74" t="s">
        <v>81</v>
      </c>
      <c r="E3977" s="74">
        <v>1</v>
      </c>
      <c r="F3977" s="74">
        <v>0</v>
      </c>
      <c r="G3977" s="758">
        <f t="shared" si="248"/>
        <v>0.09</v>
      </c>
      <c r="H3977" s="759">
        <f t="shared" si="249"/>
        <v>0</v>
      </c>
      <c r="I3977" s="758">
        <f t="shared" si="250"/>
        <v>-0.09</v>
      </c>
      <c r="J3977" s="760">
        <f t="shared" si="251"/>
        <v>0</v>
      </c>
    </row>
    <row r="3978" spans="1:10">
      <c r="A3978" s="74" t="s">
        <v>888</v>
      </c>
      <c r="B3978" s="74" t="s">
        <v>258</v>
      </c>
      <c r="C3978" s="74" t="s">
        <v>1578</v>
      </c>
      <c r="D3978" s="74" t="s">
        <v>86</v>
      </c>
      <c r="E3978" s="74">
        <v>2</v>
      </c>
      <c r="F3978" s="74">
        <v>0</v>
      </c>
      <c r="G3978" s="758">
        <f t="shared" si="248"/>
        <v>0.09</v>
      </c>
      <c r="H3978" s="759">
        <f t="shared" si="249"/>
        <v>0</v>
      </c>
      <c r="I3978" s="758">
        <f t="shared" si="250"/>
        <v>-0.09</v>
      </c>
      <c r="J3978" s="760">
        <f t="shared" si="251"/>
        <v>0</v>
      </c>
    </row>
    <row r="3979" spans="1:10">
      <c r="A3979" s="74" t="s">
        <v>888</v>
      </c>
      <c r="B3979" s="74" t="s">
        <v>258</v>
      </c>
      <c r="C3979" s="74" t="s">
        <v>1584</v>
      </c>
      <c r="D3979" s="74" t="s">
        <v>92</v>
      </c>
      <c r="E3979" s="74">
        <v>4</v>
      </c>
      <c r="F3979" s="74">
        <v>0</v>
      </c>
      <c r="G3979" s="758">
        <f t="shared" si="248"/>
        <v>0.09</v>
      </c>
      <c r="H3979" s="759">
        <f t="shared" si="249"/>
        <v>0</v>
      </c>
      <c r="I3979" s="758">
        <f t="shared" si="250"/>
        <v>-0.09</v>
      </c>
      <c r="J3979" s="760">
        <f t="shared" si="251"/>
        <v>0</v>
      </c>
    </row>
    <row r="3980" spans="1:10">
      <c r="A3980" s="74" t="s">
        <v>888</v>
      </c>
      <c r="B3980" s="74" t="s">
        <v>258</v>
      </c>
      <c r="C3980" s="74" t="s">
        <v>1617</v>
      </c>
      <c r="D3980" s="74" t="s">
        <v>94</v>
      </c>
      <c r="E3980" s="74">
        <v>1</v>
      </c>
      <c r="F3980" s="74">
        <v>0</v>
      </c>
      <c r="G3980" s="758">
        <f t="shared" si="248"/>
        <v>0.09</v>
      </c>
      <c r="H3980" s="759">
        <f t="shared" si="249"/>
        <v>0</v>
      </c>
      <c r="I3980" s="758">
        <f t="shared" si="250"/>
        <v>-0.09</v>
      </c>
      <c r="J3980" s="760">
        <f t="shared" si="251"/>
        <v>0</v>
      </c>
    </row>
    <row r="3981" spans="1:10">
      <c r="A3981" s="74" t="s">
        <v>888</v>
      </c>
      <c r="B3981" s="74" t="s">
        <v>258</v>
      </c>
      <c r="C3981" s="74" t="s">
        <v>1555</v>
      </c>
      <c r="D3981" s="74" t="s">
        <v>94</v>
      </c>
      <c r="E3981" s="74">
        <v>1</v>
      </c>
      <c r="F3981" s="74">
        <v>0</v>
      </c>
      <c r="G3981" s="758">
        <f t="shared" si="248"/>
        <v>0.09</v>
      </c>
      <c r="H3981" s="759">
        <f t="shared" si="249"/>
        <v>0</v>
      </c>
      <c r="I3981" s="758">
        <f t="shared" si="250"/>
        <v>-0.09</v>
      </c>
      <c r="J3981" s="760">
        <f t="shared" si="251"/>
        <v>0</v>
      </c>
    </row>
    <row r="3982" spans="1:10">
      <c r="A3982" s="74" t="s">
        <v>888</v>
      </c>
      <c r="B3982" s="74" t="s">
        <v>258</v>
      </c>
      <c r="C3982" s="74" t="s">
        <v>1526</v>
      </c>
      <c r="D3982" s="74" t="s">
        <v>95</v>
      </c>
      <c r="E3982" s="74">
        <v>3</v>
      </c>
      <c r="F3982" s="74">
        <v>0</v>
      </c>
      <c r="G3982" s="758">
        <f t="shared" si="248"/>
        <v>0.09</v>
      </c>
      <c r="H3982" s="759">
        <f t="shared" si="249"/>
        <v>0</v>
      </c>
      <c r="I3982" s="758">
        <f t="shared" si="250"/>
        <v>-0.09</v>
      </c>
      <c r="J3982" s="760">
        <f t="shared" si="251"/>
        <v>0</v>
      </c>
    </row>
    <row r="3983" spans="1:10">
      <c r="A3983" s="74" t="s">
        <v>1929</v>
      </c>
      <c r="B3983" s="74" t="s">
        <v>725</v>
      </c>
      <c r="C3983" s="74" t="s">
        <v>1509</v>
      </c>
      <c r="D3983" s="74" t="s">
        <v>78</v>
      </c>
      <c r="E3983" s="74">
        <v>1</v>
      </c>
      <c r="F3983" s="74">
        <v>3.2</v>
      </c>
      <c r="G3983" s="758">
        <f t="shared" si="248"/>
        <v>0.28999999999999998</v>
      </c>
      <c r="H3983" s="759">
        <f t="shared" si="249"/>
        <v>0.16</v>
      </c>
      <c r="I3983" s="758">
        <f t="shared" si="250"/>
        <v>2.91</v>
      </c>
      <c r="J3983" s="760">
        <f t="shared" si="251"/>
        <v>0.90937500000000004</v>
      </c>
    </row>
    <row r="3984" spans="1:10">
      <c r="A3984" s="74" t="s">
        <v>1929</v>
      </c>
      <c r="B3984" s="74" t="s">
        <v>725</v>
      </c>
      <c r="C3984" s="74" t="s">
        <v>1532</v>
      </c>
      <c r="D3984" s="74" t="s">
        <v>80</v>
      </c>
      <c r="E3984" s="74">
        <v>1</v>
      </c>
      <c r="F3984" s="74">
        <v>3.35</v>
      </c>
      <c r="G3984" s="758">
        <f t="shared" si="248"/>
        <v>0.28999999999999998</v>
      </c>
      <c r="H3984" s="759">
        <f t="shared" si="249"/>
        <v>0.16</v>
      </c>
      <c r="I3984" s="758">
        <f t="shared" si="250"/>
        <v>3.06</v>
      </c>
      <c r="J3984" s="760">
        <f t="shared" si="251"/>
        <v>0.91343283582089552</v>
      </c>
    </row>
    <row r="3985" spans="1:10">
      <c r="A3985" s="74" t="s">
        <v>1931</v>
      </c>
      <c r="B3985" s="74" t="s">
        <v>725</v>
      </c>
      <c r="C3985" s="74" t="s">
        <v>1524</v>
      </c>
      <c r="D3985" s="74" t="s">
        <v>91</v>
      </c>
      <c r="E3985" s="74">
        <v>1</v>
      </c>
      <c r="F3985" s="74">
        <v>2.1</v>
      </c>
      <c r="G3985" s="758">
        <f t="shared" si="248"/>
        <v>0</v>
      </c>
      <c r="H3985" s="759">
        <f t="shared" si="249"/>
        <v>0</v>
      </c>
      <c r="I3985" s="758">
        <f t="shared" si="250"/>
        <v>2.1</v>
      </c>
      <c r="J3985" s="760">
        <f t="shared" si="251"/>
        <v>1</v>
      </c>
    </row>
    <row r="3986" spans="1:10">
      <c r="A3986" s="74" t="s">
        <v>1932</v>
      </c>
      <c r="B3986" s="74" t="s">
        <v>725</v>
      </c>
      <c r="C3986" s="74" t="s">
        <v>1617</v>
      </c>
      <c r="D3986" s="74" t="s">
        <v>94</v>
      </c>
      <c r="E3986" s="74">
        <v>1</v>
      </c>
      <c r="F3986" s="74">
        <v>5.05</v>
      </c>
      <c r="G3986" s="758">
        <f t="shared" si="248"/>
        <v>0</v>
      </c>
      <c r="H3986" s="759">
        <f t="shared" si="249"/>
        <v>0</v>
      </c>
      <c r="I3986" s="758">
        <f t="shared" si="250"/>
        <v>5.05</v>
      </c>
      <c r="J3986" s="760">
        <f t="shared" si="251"/>
        <v>1</v>
      </c>
    </row>
    <row r="3987" spans="1:10">
      <c r="A3987" s="74" t="s">
        <v>1933</v>
      </c>
      <c r="B3987" s="74" t="s">
        <v>725</v>
      </c>
      <c r="C3987" s="74" t="s">
        <v>1509</v>
      </c>
      <c r="D3987" s="74" t="s">
        <v>78</v>
      </c>
      <c r="E3987" s="74">
        <v>2</v>
      </c>
      <c r="F3987" s="74">
        <v>5.3</v>
      </c>
      <c r="G3987" s="758">
        <f t="shared" si="248"/>
        <v>0.46</v>
      </c>
      <c r="H3987" s="759">
        <f t="shared" si="249"/>
        <v>0.16</v>
      </c>
      <c r="I3987" s="758">
        <f t="shared" si="250"/>
        <v>2.19</v>
      </c>
      <c r="J3987" s="760">
        <f t="shared" si="251"/>
        <v>0.82641509433962268</v>
      </c>
    </row>
    <row r="3988" spans="1:10">
      <c r="A3988" s="74" t="s">
        <v>1934</v>
      </c>
      <c r="B3988" s="74" t="s">
        <v>264</v>
      </c>
      <c r="C3988" s="74" t="s">
        <v>1512</v>
      </c>
      <c r="D3988" s="74" t="s">
        <v>80</v>
      </c>
      <c r="E3988" s="74">
        <v>1</v>
      </c>
      <c r="F3988" s="74">
        <v>1</v>
      </c>
      <c r="G3988" s="758">
        <f t="shared" si="248"/>
        <v>0</v>
      </c>
      <c r="H3988" s="759">
        <f t="shared" si="249"/>
        <v>0.16</v>
      </c>
      <c r="I3988" s="758">
        <f t="shared" si="250"/>
        <v>1</v>
      </c>
      <c r="J3988" s="760">
        <f t="shared" si="251"/>
        <v>1</v>
      </c>
    </row>
    <row r="3989" spans="1:10">
      <c r="A3989" s="74" t="s">
        <v>1934</v>
      </c>
      <c r="B3989" s="74" t="s">
        <v>264</v>
      </c>
      <c r="C3989" s="74" t="s">
        <v>1541</v>
      </c>
      <c r="D3989" s="74" t="s">
        <v>86</v>
      </c>
      <c r="E3989" s="74">
        <v>1</v>
      </c>
      <c r="F3989" s="74">
        <v>1</v>
      </c>
      <c r="G3989" s="758">
        <f t="shared" si="248"/>
        <v>0</v>
      </c>
      <c r="H3989" s="759">
        <f t="shared" si="249"/>
        <v>0.16</v>
      </c>
      <c r="I3989" s="758">
        <f t="shared" si="250"/>
        <v>1</v>
      </c>
      <c r="J3989" s="760">
        <f t="shared" si="251"/>
        <v>1</v>
      </c>
    </row>
    <row r="3990" spans="1:10">
      <c r="A3990" s="74" t="s">
        <v>1935</v>
      </c>
      <c r="B3990" s="74" t="s">
        <v>258</v>
      </c>
      <c r="C3990" s="74" t="s">
        <v>1553</v>
      </c>
      <c r="D3990" s="74" t="s">
        <v>94</v>
      </c>
      <c r="E3990" s="74">
        <v>1</v>
      </c>
      <c r="F3990" s="74">
        <v>0</v>
      </c>
      <c r="G3990" s="758">
        <f t="shared" si="248"/>
        <v>0</v>
      </c>
      <c r="H3990" s="759">
        <f t="shared" si="249"/>
        <v>0</v>
      </c>
      <c r="I3990" s="758">
        <f t="shared" si="250"/>
        <v>0</v>
      </c>
      <c r="J3990" s="760">
        <f t="shared" si="251"/>
        <v>0</v>
      </c>
    </row>
    <row r="3991" spans="1:10">
      <c r="A3991" s="74" t="s">
        <v>1936</v>
      </c>
      <c r="B3991" s="74" t="s">
        <v>862</v>
      </c>
      <c r="C3991" s="74" t="s">
        <v>1565</v>
      </c>
      <c r="D3991" s="74" t="s">
        <v>78</v>
      </c>
      <c r="E3991" s="74">
        <v>1</v>
      </c>
      <c r="F3991" s="74">
        <v>0</v>
      </c>
      <c r="G3991" s="758">
        <f t="shared" si="248"/>
        <v>0</v>
      </c>
      <c r="H3991" s="759">
        <f t="shared" si="249"/>
        <v>0.16</v>
      </c>
      <c r="I3991" s="758">
        <f t="shared" si="250"/>
        <v>0</v>
      </c>
      <c r="J3991" s="760">
        <f t="shared" si="251"/>
        <v>0</v>
      </c>
    </row>
    <row r="3992" spans="1:10">
      <c r="A3992" s="74" t="s">
        <v>1937</v>
      </c>
      <c r="B3992" s="74" t="s">
        <v>862</v>
      </c>
      <c r="C3992" s="74" t="s">
        <v>1565</v>
      </c>
      <c r="D3992" s="74" t="s">
        <v>78</v>
      </c>
      <c r="E3992" s="74">
        <v>3</v>
      </c>
      <c r="F3992" s="74">
        <v>0</v>
      </c>
      <c r="G3992" s="758">
        <f t="shared" si="248"/>
        <v>0.31</v>
      </c>
      <c r="H3992" s="759">
        <f t="shared" si="249"/>
        <v>0.16</v>
      </c>
      <c r="I3992" s="758">
        <f t="shared" si="250"/>
        <v>-0.31</v>
      </c>
      <c r="J3992" s="760">
        <f t="shared" si="251"/>
        <v>0</v>
      </c>
    </row>
    <row r="3993" spans="1:10">
      <c r="A3993" s="74" t="s">
        <v>1937</v>
      </c>
      <c r="B3993" s="74" t="s">
        <v>862</v>
      </c>
      <c r="C3993" s="74" t="s">
        <v>1530</v>
      </c>
      <c r="D3993" s="74" t="s">
        <v>80</v>
      </c>
      <c r="E3993" s="74">
        <v>2</v>
      </c>
      <c r="F3993" s="74">
        <v>0</v>
      </c>
      <c r="G3993" s="758">
        <f t="shared" si="248"/>
        <v>0.31</v>
      </c>
      <c r="H3993" s="759">
        <f t="shared" si="249"/>
        <v>0.16</v>
      </c>
      <c r="I3993" s="758">
        <f t="shared" si="250"/>
        <v>-0.31</v>
      </c>
      <c r="J3993" s="760">
        <f t="shared" si="251"/>
        <v>0</v>
      </c>
    </row>
    <row r="3994" spans="1:10">
      <c r="A3994" s="74" t="s">
        <v>1938</v>
      </c>
      <c r="B3994" s="74" t="s">
        <v>862</v>
      </c>
      <c r="C3994" s="74" t="s">
        <v>1565</v>
      </c>
      <c r="D3994" s="74" t="s">
        <v>78</v>
      </c>
      <c r="E3994" s="74">
        <v>1</v>
      </c>
      <c r="F3994" s="74">
        <v>0</v>
      </c>
      <c r="G3994" s="758">
        <f t="shared" si="248"/>
        <v>0</v>
      </c>
      <c r="H3994" s="759">
        <f t="shared" si="249"/>
        <v>0.16</v>
      </c>
      <c r="I3994" s="758">
        <f t="shared" si="250"/>
        <v>0</v>
      </c>
      <c r="J3994" s="760">
        <f t="shared" si="251"/>
        <v>0</v>
      </c>
    </row>
    <row r="3995" spans="1:10">
      <c r="A3995" s="74" t="s">
        <v>1939</v>
      </c>
      <c r="B3995" s="74" t="s">
        <v>862</v>
      </c>
      <c r="C3995" s="74" t="s">
        <v>1530</v>
      </c>
      <c r="D3995" s="74" t="s">
        <v>80</v>
      </c>
      <c r="E3995" s="74">
        <v>2</v>
      </c>
      <c r="F3995" s="74">
        <v>0</v>
      </c>
      <c r="G3995" s="758">
        <f t="shared" si="248"/>
        <v>0</v>
      </c>
      <c r="H3995" s="759">
        <f t="shared" si="249"/>
        <v>0.16</v>
      </c>
      <c r="I3995" s="758">
        <f t="shared" si="250"/>
        <v>0</v>
      </c>
      <c r="J3995" s="760">
        <f t="shared" si="251"/>
        <v>0</v>
      </c>
    </row>
    <row r="3996" spans="1:10">
      <c r="A3996" s="74" t="s">
        <v>1940</v>
      </c>
      <c r="B3996" s="74" t="s">
        <v>268</v>
      </c>
      <c r="C3996" s="74" t="s">
        <v>1532</v>
      </c>
      <c r="D3996" s="74" t="s">
        <v>80</v>
      </c>
      <c r="E3996" s="74">
        <v>4</v>
      </c>
      <c r="F3996" s="74">
        <v>6</v>
      </c>
      <c r="G3996" s="758">
        <f t="shared" si="248"/>
        <v>0.17</v>
      </c>
      <c r="H3996" s="759">
        <f t="shared" si="249"/>
        <v>0.13</v>
      </c>
      <c r="I3996" s="758">
        <f t="shared" si="250"/>
        <v>1.33</v>
      </c>
      <c r="J3996" s="760">
        <f t="shared" si="251"/>
        <v>0.88666666666666671</v>
      </c>
    </row>
    <row r="3997" spans="1:10">
      <c r="A3997" s="74" t="s">
        <v>1940</v>
      </c>
      <c r="B3997" s="74" t="s">
        <v>268</v>
      </c>
      <c r="C3997" s="74" t="s">
        <v>1511</v>
      </c>
      <c r="D3997" s="74" t="s">
        <v>80</v>
      </c>
      <c r="E3997" s="74">
        <v>2</v>
      </c>
      <c r="F3997" s="74">
        <v>3.3</v>
      </c>
      <c r="G3997" s="758">
        <f t="shared" si="248"/>
        <v>0.17</v>
      </c>
      <c r="H3997" s="759">
        <f t="shared" si="249"/>
        <v>0.13</v>
      </c>
      <c r="I3997" s="758">
        <f t="shared" si="250"/>
        <v>1.48</v>
      </c>
      <c r="J3997" s="760">
        <f t="shared" si="251"/>
        <v>0.89696969696969697</v>
      </c>
    </row>
    <row r="3998" spans="1:10">
      <c r="A3998" s="74" t="s">
        <v>1940</v>
      </c>
      <c r="B3998" s="74" t="s">
        <v>268</v>
      </c>
      <c r="C3998" s="74" t="s">
        <v>1527</v>
      </c>
      <c r="D3998" s="74" t="s">
        <v>82</v>
      </c>
      <c r="E3998" s="74">
        <v>1</v>
      </c>
      <c r="F3998" s="74">
        <v>1.65</v>
      </c>
      <c r="G3998" s="758">
        <f t="shared" si="248"/>
        <v>0.17</v>
      </c>
      <c r="H3998" s="759">
        <f t="shared" si="249"/>
        <v>0.13</v>
      </c>
      <c r="I3998" s="758">
        <f t="shared" si="250"/>
        <v>1.48</v>
      </c>
      <c r="J3998" s="760">
        <f t="shared" si="251"/>
        <v>0.89696969696969697</v>
      </c>
    </row>
    <row r="3999" spans="1:10">
      <c r="A3999" s="74" t="s">
        <v>1940</v>
      </c>
      <c r="B3999" s="74" t="s">
        <v>268</v>
      </c>
      <c r="C3999" s="74" t="s">
        <v>1507</v>
      </c>
      <c r="D3999" s="74" t="s">
        <v>86</v>
      </c>
      <c r="E3999" s="74">
        <v>1</v>
      </c>
      <c r="F3999" s="74">
        <v>1.5</v>
      </c>
      <c r="G3999" s="758">
        <f t="shared" si="248"/>
        <v>0.17</v>
      </c>
      <c r="H3999" s="759">
        <f t="shared" si="249"/>
        <v>0.13</v>
      </c>
      <c r="I3999" s="758">
        <f t="shared" si="250"/>
        <v>1.33</v>
      </c>
      <c r="J3999" s="760">
        <f t="shared" si="251"/>
        <v>0.88666666666666671</v>
      </c>
    </row>
    <row r="4000" spans="1:10">
      <c r="A4000" s="74" t="s">
        <v>1102</v>
      </c>
      <c r="B4000" s="74" t="s">
        <v>862</v>
      </c>
      <c r="C4000" s="74" t="s">
        <v>1646</v>
      </c>
      <c r="D4000" s="74" t="s">
        <v>86</v>
      </c>
      <c r="E4000" s="74">
        <v>2</v>
      </c>
      <c r="F4000" s="74">
        <v>0.3</v>
      </c>
      <c r="G4000" s="758">
        <f t="shared" si="248"/>
        <v>0.04</v>
      </c>
      <c r="H4000" s="759">
        <f t="shared" si="249"/>
        <v>0.95</v>
      </c>
      <c r="I4000" s="758">
        <f t="shared" si="250"/>
        <v>0.10999999999999999</v>
      </c>
      <c r="J4000" s="760">
        <f t="shared" si="251"/>
        <v>0.73333333333333339</v>
      </c>
    </row>
    <row r="4001" spans="1:10">
      <c r="A4001" s="74" t="s">
        <v>1102</v>
      </c>
      <c r="B4001" s="74" t="s">
        <v>862</v>
      </c>
      <c r="C4001" s="74" t="s">
        <v>1550</v>
      </c>
      <c r="D4001" s="74" t="s">
        <v>91</v>
      </c>
      <c r="E4001" s="74">
        <v>2</v>
      </c>
      <c r="F4001" s="74">
        <v>0.3</v>
      </c>
      <c r="G4001" s="758">
        <f t="shared" si="248"/>
        <v>0.04</v>
      </c>
      <c r="H4001" s="759">
        <f t="shared" si="249"/>
        <v>0.95</v>
      </c>
      <c r="I4001" s="758">
        <f t="shared" si="250"/>
        <v>0.10999999999999999</v>
      </c>
      <c r="J4001" s="760">
        <f t="shared" si="251"/>
        <v>0.73333333333333339</v>
      </c>
    </row>
    <row r="4002" spans="1:10">
      <c r="A4002" s="74" t="s">
        <v>1102</v>
      </c>
      <c r="B4002" s="74" t="s">
        <v>862</v>
      </c>
      <c r="C4002" s="74" t="s">
        <v>1675</v>
      </c>
      <c r="D4002" s="74" t="s">
        <v>91</v>
      </c>
      <c r="E4002" s="74">
        <v>1</v>
      </c>
      <c r="F4002" s="74">
        <v>0.15</v>
      </c>
      <c r="G4002" s="758">
        <f t="shared" si="248"/>
        <v>0.04</v>
      </c>
      <c r="H4002" s="759">
        <f t="shared" si="249"/>
        <v>0.95</v>
      </c>
      <c r="I4002" s="758">
        <f t="shared" si="250"/>
        <v>0.10999999999999999</v>
      </c>
      <c r="J4002" s="760">
        <f t="shared" si="251"/>
        <v>0.73333333333333339</v>
      </c>
    </row>
    <row r="4003" spans="1:10">
      <c r="A4003" s="74" t="s">
        <v>1174</v>
      </c>
      <c r="B4003" s="74" t="s">
        <v>862</v>
      </c>
      <c r="C4003" s="74" t="s">
        <v>1528</v>
      </c>
      <c r="D4003" s="74" t="s">
        <v>78</v>
      </c>
      <c r="E4003" s="74">
        <v>7</v>
      </c>
      <c r="F4003" s="74">
        <v>1.05</v>
      </c>
      <c r="G4003" s="758">
        <f t="shared" si="248"/>
        <v>0.12</v>
      </c>
      <c r="H4003" s="759">
        <f t="shared" si="249"/>
        <v>0.95</v>
      </c>
      <c r="I4003" s="758">
        <f t="shared" si="250"/>
        <v>0.03</v>
      </c>
      <c r="J4003" s="760">
        <f t="shared" si="251"/>
        <v>0.20000000000000007</v>
      </c>
    </row>
    <row r="4004" spans="1:10">
      <c r="A4004" s="74" t="s">
        <v>1174</v>
      </c>
      <c r="B4004" s="74" t="s">
        <v>862</v>
      </c>
      <c r="C4004" s="74" t="s">
        <v>1508</v>
      </c>
      <c r="D4004" s="74" t="s">
        <v>78</v>
      </c>
      <c r="E4004" s="74">
        <v>4</v>
      </c>
      <c r="F4004" s="74">
        <v>0.6</v>
      </c>
      <c r="G4004" s="758">
        <f t="shared" si="248"/>
        <v>0.12</v>
      </c>
      <c r="H4004" s="759">
        <f t="shared" si="249"/>
        <v>0.95</v>
      </c>
      <c r="I4004" s="758">
        <f t="shared" si="250"/>
        <v>0.03</v>
      </c>
      <c r="J4004" s="760">
        <f t="shared" si="251"/>
        <v>0.19999999999999996</v>
      </c>
    </row>
    <row r="4005" spans="1:10">
      <c r="A4005" s="74" t="s">
        <v>1174</v>
      </c>
      <c r="B4005" s="74" t="s">
        <v>862</v>
      </c>
      <c r="C4005" s="74" t="s">
        <v>1509</v>
      </c>
      <c r="D4005" s="74" t="s">
        <v>78</v>
      </c>
      <c r="E4005" s="74">
        <v>9</v>
      </c>
      <c r="F4005" s="74">
        <v>1.35</v>
      </c>
      <c r="G4005" s="758">
        <f t="shared" si="248"/>
        <v>0.12</v>
      </c>
      <c r="H4005" s="759">
        <f t="shared" si="249"/>
        <v>0.95</v>
      </c>
      <c r="I4005" s="758">
        <f t="shared" si="250"/>
        <v>3.0000000000000027E-2</v>
      </c>
      <c r="J4005" s="760">
        <f t="shared" si="251"/>
        <v>0.19999999999999996</v>
      </c>
    </row>
    <row r="4006" spans="1:10">
      <c r="A4006" s="74" t="s">
        <v>1174</v>
      </c>
      <c r="B4006" s="74" t="s">
        <v>862</v>
      </c>
      <c r="C4006" s="74" t="s">
        <v>1565</v>
      </c>
      <c r="D4006" s="74" t="s">
        <v>78</v>
      </c>
      <c r="E4006" s="74">
        <v>12</v>
      </c>
      <c r="F4006" s="74">
        <v>1.8</v>
      </c>
      <c r="G4006" s="758">
        <f t="shared" si="248"/>
        <v>0.12</v>
      </c>
      <c r="H4006" s="759">
        <f t="shared" si="249"/>
        <v>0.95</v>
      </c>
      <c r="I4006" s="758">
        <f t="shared" si="250"/>
        <v>0.03</v>
      </c>
      <c r="J4006" s="760">
        <f t="shared" si="251"/>
        <v>0.20000000000000007</v>
      </c>
    </row>
    <row r="4007" spans="1:10">
      <c r="A4007" s="74" t="s">
        <v>1174</v>
      </c>
      <c r="B4007" s="74" t="s">
        <v>862</v>
      </c>
      <c r="C4007" s="74" t="s">
        <v>1530</v>
      </c>
      <c r="D4007" s="74" t="s">
        <v>80</v>
      </c>
      <c r="E4007" s="74">
        <v>3</v>
      </c>
      <c r="F4007" s="74">
        <v>0.45</v>
      </c>
      <c r="G4007" s="758">
        <f t="shared" si="248"/>
        <v>0.12</v>
      </c>
      <c r="H4007" s="759">
        <f t="shared" si="249"/>
        <v>0.95</v>
      </c>
      <c r="I4007" s="758">
        <f t="shared" si="250"/>
        <v>0.03</v>
      </c>
      <c r="J4007" s="760">
        <f t="shared" si="251"/>
        <v>0.20000000000000007</v>
      </c>
    </row>
    <row r="4008" spans="1:10">
      <c r="A4008" s="74" t="s">
        <v>1174</v>
      </c>
      <c r="B4008" s="74" t="s">
        <v>862</v>
      </c>
      <c r="C4008" s="74" t="s">
        <v>1532</v>
      </c>
      <c r="D4008" s="74" t="s">
        <v>80</v>
      </c>
      <c r="E4008" s="74">
        <v>9</v>
      </c>
      <c r="F4008" s="74">
        <v>1.35</v>
      </c>
      <c r="G4008" s="758">
        <f t="shared" si="248"/>
        <v>0.12</v>
      </c>
      <c r="H4008" s="759">
        <f t="shared" si="249"/>
        <v>0.95</v>
      </c>
      <c r="I4008" s="758">
        <f t="shared" si="250"/>
        <v>3.0000000000000027E-2</v>
      </c>
      <c r="J4008" s="760">
        <f t="shared" si="251"/>
        <v>0.19999999999999996</v>
      </c>
    </row>
    <row r="4009" spans="1:10">
      <c r="A4009" s="74" t="s">
        <v>1174</v>
      </c>
      <c r="B4009" s="74" t="s">
        <v>862</v>
      </c>
      <c r="C4009" s="74" t="s">
        <v>1511</v>
      </c>
      <c r="D4009" s="74" t="s">
        <v>80</v>
      </c>
      <c r="E4009" s="74">
        <v>12</v>
      </c>
      <c r="F4009" s="74">
        <v>1.8</v>
      </c>
      <c r="G4009" s="758">
        <f t="shared" si="248"/>
        <v>0.12</v>
      </c>
      <c r="H4009" s="759">
        <f t="shared" si="249"/>
        <v>0.95</v>
      </c>
      <c r="I4009" s="758">
        <f t="shared" si="250"/>
        <v>0.03</v>
      </c>
      <c r="J4009" s="760">
        <f t="shared" si="251"/>
        <v>0.20000000000000007</v>
      </c>
    </row>
    <row r="4010" spans="1:10">
      <c r="A4010" s="74" t="s">
        <v>1174</v>
      </c>
      <c r="B4010" s="74" t="s">
        <v>862</v>
      </c>
      <c r="C4010" s="74" t="s">
        <v>1512</v>
      </c>
      <c r="D4010" s="74" t="s">
        <v>80</v>
      </c>
      <c r="E4010" s="74">
        <v>3</v>
      </c>
      <c r="F4010" s="74">
        <v>0.45</v>
      </c>
      <c r="G4010" s="758">
        <f t="shared" si="248"/>
        <v>0.12</v>
      </c>
      <c r="H4010" s="759">
        <f t="shared" si="249"/>
        <v>0.95</v>
      </c>
      <c r="I4010" s="758">
        <f t="shared" si="250"/>
        <v>0.03</v>
      </c>
      <c r="J4010" s="760">
        <f t="shared" si="251"/>
        <v>0.20000000000000007</v>
      </c>
    </row>
    <row r="4011" spans="1:10">
      <c r="A4011" s="74" t="s">
        <v>1174</v>
      </c>
      <c r="B4011" s="74" t="s">
        <v>862</v>
      </c>
      <c r="C4011" s="74" t="s">
        <v>1534</v>
      </c>
      <c r="D4011" s="74" t="s">
        <v>81</v>
      </c>
      <c r="E4011" s="74">
        <v>1</v>
      </c>
      <c r="F4011" s="74">
        <v>0.15</v>
      </c>
      <c r="G4011" s="758">
        <f t="shared" si="248"/>
        <v>0.12</v>
      </c>
      <c r="H4011" s="759">
        <f t="shared" si="249"/>
        <v>0.95</v>
      </c>
      <c r="I4011" s="758">
        <f t="shared" si="250"/>
        <v>0.03</v>
      </c>
      <c r="J4011" s="760">
        <f t="shared" si="251"/>
        <v>0.19999999999999996</v>
      </c>
    </row>
    <row r="4012" spans="1:10">
      <c r="A4012" s="74" t="s">
        <v>1174</v>
      </c>
      <c r="B4012" s="74" t="s">
        <v>862</v>
      </c>
      <c r="C4012" s="74" t="s">
        <v>1514</v>
      </c>
      <c r="D4012" s="74" t="s">
        <v>81</v>
      </c>
      <c r="E4012" s="74">
        <v>1</v>
      </c>
      <c r="F4012" s="74">
        <v>0.15</v>
      </c>
      <c r="G4012" s="758">
        <f t="shared" si="248"/>
        <v>0.12</v>
      </c>
      <c r="H4012" s="759">
        <f t="shared" si="249"/>
        <v>0.95</v>
      </c>
      <c r="I4012" s="758">
        <f t="shared" si="250"/>
        <v>0.03</v>
      </c>
      <c r="J4012" s="760">
        <f t="shared" si="251"/>
        <v>0.19999999999999996</v>
      </c>
    </row>
    <row r="4013" spans="1:10">
      <c r="A4013" s="74" t="s">
        <v>1174</v>
      </c>
      <c r="B4013" s="74" t="s">
        <v>862</v>
      </c>
      <c r="C4013" s="74" t="s">
        <v>1515</v>
      </c>
      <c r="D4013" s="74" t="s">
        <v>81</v>
      </c>
      <c r="E4013" s="74">
        <v>12</v>
      </c>
      <c r="F4013" s="74">
        <v>1.8</v>
      </c>
      <c r="G4013" s="758">
        <f t="shared" si="248"/>
        <v>0.12</v>
      </c>
      <c r="H4013" s="759">
        <f t="shared" si="249"/>
        <v>0.95</v>
      </c>
      <c r="I4013" s="758">
        <f t="shared" si="250"/>
        <v>0.03</v>
      </c>
      <c r="J4013" s="760">
        <f t="shared" si="251"/>
        <v>0.20000000000000007</v>
      </c>
    </row>
    <row r="4014" spans="1:10">
      <c r="A4014" s="74" t="s">
        <v>1174</v>
      </c>
      <c r="B4014" s="74" t="s">
        <v>862</v>
      </c>
      <c r="C4014" s="74" t="s">
        <v>1516</v>
      </c>
      <c r="D4014" s="74" t="s">
        <v>82</v>
      </c>
      <c r="E4014" s="74">
        <v>2</v>
      </c>
      <c r="F4014" s="74">
        <v>0.3</v>
      </c>
      <c r="G4014" s="758">
        <f t="shared" si="248"/>
        <v>0.12</v>
      </c>
      <c r="H4014" s="759">
        <f t="shared" si="249"/>
        <v>0.95</v>
      </c>
      <c r="I4014" s="758">
        <f t="shared" si="250"/>
        <v>0.03</v>
      </c>
      <c r="J4014" s="760">
        <f t="shared" si="251"/>
        <v>0.19999999999999996</v>
      </c>
    </row>
    <row r="4015" spans="1:10">
      <c r="A4015" s="74" t="s">
        <v>1174</v>
      </c>
      <c r="B4015" s="74" t="s">
        <v>862</v>
      </c>
      <c r="C4015" s="74" t="s">
        <v>1517</v>
      </c>
      <c r="D4015" s="74" t="s">
        <v>82</v>
      </c>
      <c r="E4015" s="74">
        <v>3</v>
      </c>
      <c r="F4015" s="74">
        <v>0.45</v>
      </c>
      <c r="G4015" s="758">
        <f t="shared" si="248"/>
        <v>0.12</v>
      </c>
      <c r="H4015" s="759">
        <f t="shared" si="249"/>
        <v>0.95</v>
      </c>
      <c r="I4015" s="758">
        <f t="shared" si="250"/>
        <v>0.03</v>
      </c>
      <c r="J4015" s="760">
        <f t="shared" si="251"/>
        <v>0.20000000000000007</v>
      </c>
    </row>
    <row r="4016" spans="1:10">
      <c r="A4016" s="74" t="s">
        <v>1174</v>
      </c>
      <c r="B4016" s="74" t="s">
        <v>862</v>
      </c>
      <c r="C4016" s="74" t="s">
        <v>1527</v>
      </c>
      <c r="D4016" s="74" t="s">
        <v>82</v>
      </c>
      <c r="E4016" s="74">
        <v>2</v>
      </c>
      <c r="F4016" s="74">
        <v>0.3</v>
      </c>
      <c r="G4016" s="758">
        <f t="shared" si="248"/>
        <v>0.12</v>
      </c>
      <c r="H4016" s="759">
        <f t="shared" si="249"/>
        <v>0.95</v>
      </c>
      <c r="I4016" s="758">
        <f t="shared" si="250"/>
        <v>0.03</v>
      </c>
      <c r="J4016" s="760">
        <f t="shared" si="251"/>
        <v>0.19999999999999996</v>
      </c>
    </row>
    <row r="4017" spans="1:10">
      <c r="A4017" s="74" t="s">
        <v>1174</v>
      </c>
      <c r="B4017" s="74" t="s">
        <v>862</v>
      </c>
      <c r="C4017" s="74" t="s">
        <v>1675</v>
      </c>
      <c r="D4017" s="74" t="s">
        <v>91</v>
      </c>
      <c r="E4017" s="74">
        <v>2</v>
      </c>
      <c r="F4017" s="74">
        <v>0.3</v>
      </c>
      <c r="G4017" s="758">
        <f t="shared" si="248"/>
        <v>0.12</v>
      </c>
      <c r="H4017" s="759">
        <f t="shared" si="249"/>
        <v>0.95</v>
      </c>
      <c r="I4017" s="758">
        <f t="shared" si="250"/>
        <v>0.03</v>
      </c>
      <c r="J4017" s="760">
        <f t="shared" si="251"/>
        <v>0.19999999999999996</v>
      </c>
    </row>
    <row r="4018" spans="1:10">
      <c r="A4018" s="74" t="s">
        <v>1174</v>
      </c>
      <c r="B4018" s="74" t="s">
        <v>862</v>
      </c>
      <c r="C4018" s="74" t="s">
        <v>1552</v>
      </c>
      <c r="D4018" s="74" t="s">
        <v>92</v>
      </c>
      <c r="E4018" s="74">
        <v>1</v>
      </c>
      <c r="F4018" s="74">
        <v>0.15</v>
      </c>
      <c r="G4018" s="758">
        <f t="shared" si="248"/>
        <v>0.12</v>
      </c>
      <c r="H4018" s="759">
        <f t="shared" si="249"/>
        <v>0.95</v>
      </c>
      <c r="I4018" s="758">
        <f t="shared" si="250"/>
        <v>0.03</v>
      </c>
      <c r="J4018" s="760">
        <f t="shared" si="251"/>
        <v>0.19999999999999996</v>
      </c>
    </row>
    <row r="4019" spans="1:10">
      <c r="A4019" s="74" t="s">
        <v>1174</v>
      </c>
      <c r="B4019" s="74" t="s">
        <v>862</v>
      </c>
      <c r="C4019" s="74" t="s">
        <v>1557</v>
      </c>
      <c r="D4019" s="74" t="s">
        <v>95</v>
      </c>
      <c r="E4019" s="74">
        <v>3</v>
      </c>
      <c r="F4019" s="74">
        <v>0.45</v>
      </c>
      <c r="G4019" s="758">
        <f t="shared" si="248"/>
        <v>0.12</v>
      </c>
      <c r="H4019" s="759">
        <f t="shared" si="249"/>
        <v>0.95</v>
      </c>
      <c r="I4019" s="758">
        <f t="shared" si="250"/>
        <v>0.03</v>
      </c>
      <c r="J4019" s="760">
        <f t="shared" si="251"/>
        <v>0.20000000000000007</v>
      </c>
    </row>
    <row r="4020" spans="1:10">
      <c r="A4020" s="74" t="s">
        <v>1941</v>
      </c>
      <c r="B4020" s="74" t="s">
        <v>873</v>
      </c>
      <c r="C4020" s="74" t="s">
        <v>1516</v>
      </c>
      <c r="D4020" s="74" t="s">
        <v>82</v>
      </c>
      <c r="E4020" s="74">
        <v>5</v>
      </c>
      <c r="F4020" s="74">
        <v>0</v>
      </c>
      <c r="G4020" s="758">
        <f t="shared" si="248"/>
        <v>1.0900000000000001</v>
      </c>
      <c r="H4020" s="759">
        <f t="shared" si="249"/>
        <v>0</v>
      </c>
      <c r="I4020" s="758">
        <f t="shared" si="250"/>
        <v>-1.0900000000000001</v>
      </c>
      <c r="J4020" s="760">
        <f t="shared" si="251"/>
        <v>0</v>
      </c>
    </row>
    <row r="4021" spans="1:10">
      <c r="A4021" s="74" t="s">
        <v>1942</v>
      </c>
      <c r="B4021" s="74" t="s">
        <v>253</v>
      </c>
      <c r="C4021" s="74" t="s">
        <v>1541</v>
      </c>
      <c r="D4021" s="74" t="s">
        <v>86</v>
      </c>
      <c r="E4021" s="74">
        <v>12</v>
      </c>
      <c r="F4021" s="74">
        <v>27</v>
      </c>
      <c r="G4021" s="758">
        <f t="shared" si="248"/>
        <v>0</v>
      </c>
      <c r="H4021" s="759">
        <f t="shared" si="249"/>
        <v>0</v>
      </c>
      <c r="I4021" s="758">
        <f t="shared" si="250"/>
        <v>2.25</v>
      </c>
      <c r="J4021" s="760">
        <f t="shared" si="251"/>
        <v>1</v>
      </c>
    </row>
    <row r="4022" spans="1:10">
      <c r="A4022" s="74" t="s">
        <v>1943</v>
      </c>
      <c r="B4022" s="74" t="s">
        <v>253</v>
      </c>
      <c r="C4022" s="74" t="s">
        <v>1608</v>
      </c>
      <c r="D4022" s="74" t="s">
        <v>89</v>
      </c>
      <c r="E4022" s="74">
        <v>3</v>
      </c>
      <c r="F4022" s="74">
        <v>5.4</v>
      </c>
      <c r="G4022" s="758">
        <f t="shared" si="248"/>
        <v>0</v>
      </c>
      <c r="H4022" s="759">
        <f t="shared" si="249"/>
        <v>0</v>
      </c>
      <c r="I4022" s="758">
        <f t="shared" si="250"/>
        <v>1.8</v>
      </c>
      <c r="J4022" s="760">
        <f t="shared" si="251"/>
        <v>1</v>
      </c>
    </row>
    <row r="4023" spans="1:10">
      <c r="A4023" s="74" t="s">
        <v>681</v>
      </c>
      <c r="B4023" s="74" t="s">
        <v>282</v>
      </c>
      <c r="C4023" s="74" t="s">
        <v>1528</v>
      </c>
      <c r="D4023" s="74" t="s">
        <v>78</v>
      </c>
      <c r="E4023" s="74">
        <v>10</v>
      </c>
      <c r="F4023" s="74">
        <v>0.45</v>
      </c>
      <c r="G4023" s="758">
        <f t="shared" si="248"/>
        <v>0</v>
      </c>
      <c r="H4023" s="759">
        <f t="shared" si="249"/>
        <v>0.22</v>
      </c>
      <c r="I4023" s="758">
        <f t="shared" si="250"/>
        <v>4.4999999999999998E-2</v>
      </c>
      <c r="J4023" s="760">
        <f t="shared" si="251"/>
        <v>1</v>
      </c>
    </row>
    <row r="4024" spans="1:10">
      <c r="A4024" s="74" t="s">
        <v>681</v>
      </c>
      <c r="B4024" s="74" t="s">
        <v>282</v>
      </c>
      <c r="C4024" s="74" t="s">
        <v>1508</v>
      </c>
      <c r="D4024" s="74" t="s">
        <v>78</v>
      </c>
      <c r="E4024" s="74">
        <v>9</v>
      </c>
      <c r="F4024" s="74">
        <v>0.41</v>
      </c>
      <c r="G4024" s="758">
        <f t="shared" si="248"/>
        <v>0</v>
      </c>
      <c r="H4024" s="759">
        <f t="shared" si="249"/>
        <v>0.22</v>
      </c>
      <c r="I4024" s="758">
        <f t="shared" si="250"/>
        <v>4.5555555555555551E-2</v>
      </c>
      <c r="J4024" s="760">
        <f t="shared" si="251"/>
        <v>1</v>
      </c>
    </row>
    <row r="4025" spans="1:10">
      <c r="A4025" s="74" t="s">
        <v>681</v>
      </c>
      <c r="B4025" s="74" t="s">
        <v>282</v>
      </c>
      <c r="C4025" s="74" t="s">
        <v>1509</v>
      </c>
      <c r="D4025" s="74" t="s">
        <v>78</v>
      </c>
      <c r="E4025" s="74">
        <v>9</v>
      </c>
      <c r="F4025" s="74">
        <v>0.41</v>
      </c>
      <c r="G4025" s="758">
        <f t="shared" si="248"/>
        <v>0</v>
      </c>
      <c r="H4025" s="759">
        <f t="shared" si="249"/>
        <v>0.22</v>
      </c>
      <c r="I4025" s="758">
        <f t="shared" si="250"/>
        <v>4.5555555555555551E-2</v>
      </c>
      <c r="J4025" s="760">
        <f t="shared" si="251"/>
        <v>1</v>
      </c>
    </row>
    <row r="4026" spans="1:10">
      <c r="A4026" s="74" t="s">
        <v>681</v>
      </c>
      <c r="B4026" s="74" t="s">
        <v>282</v>
      </c>
      <c r="C4026" s="74" t="s">
        <v>1565</v>
      </c>
      <c r="D4026" s="74" t="s">
        <v>78</v>
      </c>
      <c r="E4026" s="74">
        <v>17</v>
      </c>
      <c r="F4026" s="74">
        <v>0.77</v>
      </c>
      <c r="G4026" s="758">
        <f t="shared" si="248"/>
        <v>0</v>
      </c>
      <c r="H4026" s="759">
        <f t="shared" si="249"/>
        <v>0.22</v>
      </c>
      <c r="I4026" s="758">
        <f t="shared" si="250"/>
        <v>4.5294117647058825E-2</v>
      </c>
      <c r="J4026" s="760">
        <f t="shared" si="251"/>
        <v>1</v>
      </c>
    </row>
    <row r="4027" spans="1:10">
      <c r="A4027" s="74" t="s">
        <v>681</v>
      </c>
      <c r="B4027" s="74" t="s">
        <v>282</v>
      </c>
      <c r="C4027" s="74" t="s">
        <v>1530</v>
      </c>
      <c r="D4027" s="74" t="s">
        <v>80</v>
      </c>
      <c r="E4027" s="74">
        <v>19</v>
      </c>
      <c r="F4027" s="74">
        <v>0.86</v>
      </c>
      <c r="G4027" s="758">
        <f t="shared" si="248"/>
        <v>0</v>
      </c>
      <c r="H4027" s="759">
        <f t="shared" si="249"/>
        <v>0.22</v>
      </c>
      <c r="I4027" s="758">
        <f t="shared" si="250"/>
        <v>4.5263157894736838E-2</v>
      </c>
      <c r="J4027" s="760">
        <f t="shared" si="251"/>
        <v>1</v>
      </c>
    </row>
    <row r="4028" spans="1:10">
      <c r="A4028" s="74" t="s">
        <v>681</v>
      </c>
      <c r="B4028" s="74" t="s">
        <v>282</v>
      </c>
      <c r="C4028" s="74" t="s">
        <v>1532</v>
      </c>
      <c r="D4028" s="74" t="s">
        <v>80</v>
      </c>
      <c r="E4028" s="74">
        <v>19</v>
      </c>
      <c r="F4028" s="74">
        <v>0.86</v>
      </c>
      <c r="G4028" s="758">
        <f t="shared" si="248"/>
        <v>0</v>
      </c>
      <c r="H4028" s="759">
        <f t="shared" si="249"/>
        <v>0.22</v>
      </c>
      <c r="I4028" s="758">
        <f t="shared" si="250"/>
        <v>4.5263157894736838E-2</v>
      </c>
      <c r="J4028" s="760">
        <f t="shared" si="251"/>
        <v>1</v>
      </c>
    </row>
    <row r="4029" spans="1:10">
      <c r="A4029" s="74" t="s">
        <v>681</v>
      </c>
      <c r="B4029" s="74" t="s">
        <v>282</v>
      </c>
      <c r="C4029" s="74" t="s">
        <v>1511</v>
      </c>
      <c r="D4029" s="74" t="s">
        <v>80</v>
      </c>
      <c r="E4029" s="74">
        <v>16</v>
      </c>
      <c r="F4029" s="74">
        <v>0.73</v>
      </c>
      <c r="G4029" s="758">
        <f t="shared" si="248"/>
        <v>0</v>
      </c>
      <c r="H4029" s="759">
        <f t="shared" si="249"/>
        <v>0.22</v>
      </c>
      <c r="I4029" s="758">
        <f t="shared" si="250"/>
        <v>4.5624999999999999E-2</v>
      </c>
      <c r="J4029" s="760">
        <f t="shared" si="251"/>
        <v>1</v>
      </c>
    </row>
    <row r="4030" spans="1:10">
      <c r="A4030" s="74" t="s">
        <v>681</v>
      </c>
      <c r="B4030" s="74" t="s">
        <v>282</v>
      </c>
      <c r="C4030" s="74" t="s">
        <v>1512</v>
      </c>
      <c r="D4030" s="74" t="s">
        <v>80</v>
      </c>
      <c r="E4030" s="74">
        <v>15</v>
      </c>
      <c r="F4030" s="74">
        <v>0.68</v>
      </c>
      <c r="G4030" s="758">
        <f t="shared" si="248"/>
        <v>0</v>
      </c>
      <c r="H4030" s="759">
        <f t="shared" si="249"/>
        <v>0.22</v>
      </c>
      <c r="I4030" s="758">
        <f t="shared" si="250"/>
        <v>4.5333333333333337E-2</v>
      </c>
      <c r="J4030" s="760">
        <f t="shared" si="251"/>
        <v>1</v>
      </c>
    </row>
    <row r="4031" spans="1:10">
      <c r="A4031" s="74" t="s">
        <v>681</v>
      </c>
      <c r="B4031" s="74" t="s">
        <v>282</v>
      </c>
      <c r="C4031" s="74" t="s">
        <v>1513</v>
      </c>
      <c r="D4031" s="74" t="s">
        <v>81</v>
      </c>
      <c r="E4031" s="74">
        <v>34</v>
      </c>
      <c r="F4031" s="74">
        <v>1.55</v>
      </c>
      <c r="G4031" s="758">
        <f t="shared" si="248"/>
        <v>0</v>
      </c>
      <c r="H4031" s="759">
        <f t="shared" si="249"/>
        <v>0.22</v>
      </c>
      <c r="I4031" s="758">
        <f t="shared" si="250"/>
        <v>4.5588235294117652E-2</v>
      </c>
      <c r="J4031" s="760">
        <f t="shared" si="251"/>
        <v>1</v>
      </c>
    </row>
    <row r="4032" spans="1:10">
      <c r="A4032" s="74" t="s">
        <v>681</v>
      </c>
      <c r="B4032" s="74" t="s">
        <v>282</v>
      </c>
      <c r="C4032" s="74" t="s">
        <v>1514</v>
      </c>
      <c r="D4032" s="74" t="s">
        <v>81</v>
      </c>
      <c r="E4032" s="74">
        <v>8</v>
      </c>
      <c r="F4032" s="74">
        <v>0.36</v>
      </c>
      <c r="G4032" s="758">
        <f t="shared" si="248"/>
        <v>0</v>
      </c>
      <c r="H4032" s="759">
        <f t="shared" si="249"/>
        <v>0.22</v>
      </c>
      <c r="I4032" s="758">
        <f t="shared" si="250"/>
        <v>4.4999999999999998E-2</v>
      </c>
      <c r="J4032" s="760">
        <f t="shared" si="251"/>
        <v>1</v>
      </c>
    </row>
    <row r="4033" spans="1:10">
      <c r="A4033" s="74" t="s">
        <v>681</v>
      </c>
      <c r="B4033" s="74" t="s">
        <v>282</v>
      </c>
      <c r="C4033" s="74" t="s">
        <v>1515</v>
      </c>
      <c r="D4033" s="74" t="s">
        <v>81</v>
      </c>
      <c r="E4033" s="74">
        <v>22</v>
      </c>
      <c r="F4033" s="74">
        <v>1</v>
      </c>
      <c r="G4033" s="758">
        <f t="shared" si="248"/>
        <v>0</v>
      </c>
      <c r="H4033" s="759">
        <f t="shared" si="249"/>
        <v>0.22</v>
      </c>
      <c r="I4033" s="758">
        <f t="shared" si="250"/>
        <v>4.5454545454545456E-2</v>
      </c>
      <c r="J4033" s="760">
        <f t="shared" si="251"/>
        <v>1</v>
      </c>
    </row>
    <row r="4034" spans="1:10">
      <c r="A4034" s="74" t="s">
        <v>1944</v>
      </c>
      <c r="B4034" s="74" t="s">
        <v>725</v>
      </c>
      <c r="C4034" s="74" t="s">
        <v>1519</v>
      </c>
      <c r="D4034" s="74" t="s">
        <v>84</v>
      </c>
      <c r="E4034" s="74">
        <v>3</v>
      </c>
      <c r="F4034" s="74">
        <v>7.8</v>
      </c>
      <c r="G4034" s="758">
        <f t="shared" ref="G4034:G4097" si="252">IFERROR(VLOOKUP(A4034,$M$1:$P$1014,2,FALSE),0)</f>
        <v>0</v>
      </c>
      <c r="H4034" s="759">
        <f t="shared" ref="H4034:H4097" si="253">IFERROR(VLOOKUP(A4034,$M$1:$P$1014,3,FALSE),0)</f>
        <v>0.24</v>
      </c>
      <c r="I4034" s="758">
        <f t="shared" ref="I4034:I4097" si="254">IFERROR(F4034/E4034-G4034,0)</f>
        <v>2.6</v>
      </c>
      <c r="J4034" s="760">
        <f t="shared" ref="J4034:J4097" si="255">IFERROR(1-G4034*E4034/F4034,0)</f>
        <v>1</v>
      </c>
    </row>
    <row r="4035" spans="1:10">
      <c r="A4035" s="74" t="s">
        <v>1945</v>
      </c>
      <c r="B4035" s="74" t="s">
        <v>725</v>
      </c>
      <c r="C4035" s="74" t="s">
        <v>1528</v>
      </c>
      <c r="D4035" s="74" t="s">
        <v>78</v>
      </c>
      <c r="E4035" s="74">
        <v>6</v>
      </c>
      <c r="F4035" s="74">
        <v>18.600000000000001</v>
      </c>
      <c r="G4035" s="758">
        <f t="shared" si="252"/>
        <v>3.04</v>
      </c>
      <c r="H4035" s="759">
        <f t="shared" si="253"/>
        <v>0.22</v>
      </c>
      <c r="I4035" s="758">
        <f t="shared" si="254"/>
        <v>6.0000000000000053E-2</v>
      </c>
      <c r="J4035" s="760">
        <f t="shared" si="255"/>
        <v>1.9354838709677358E-2</v>
      </c>
    </row>
    <row r="4036" spans="1:10">
      <c r="A4036" s="74" t="s">
        <v>1945</v>
      </c>
      <c r="B4036" s="74" t="s">
        <v>725</v>
      </c>
      <c r="C4036" s="74" t="s">
        <v>1509</v>
      </c>
      <c r="D4036" s="74" t="s">
        <v>78</v>
      </c>
      <c r="E4036" s="74">
        <v>2</v>
      </c>
      <c r="F4036" s="74">
        <v>6</v>
      </c>
      <c r="G4036" s="758">
        <f t="shared" si="252"/>
        <v>3.04</v>
      </c>
      <c r="H4036" s="759">
        <f t="shared" si="253"/>
        <v>0.22</v>
      </c>
      <c r="I4036" s="758">
        <f t="shared" si="254"/>
        <v>-4.0000000000000036E-2</v>
      </c>
      <c r="J4036" s="760">
        <f t="shared" si="255"/>
        <v>-1.3333333333333419E-2</v>
      </c>
    </row>
    <row r="4037" spans="1:10">
      <c r="A4037" s="74" t="s">
        <v>1946</v>
      </c>
      <c r="B4037" s="74" t="s">
        <v>725</v>
      </c>
      <c r="C4037" s="74" t="s">
        <v>1528</v>
      </c>
      <c r="D4037" s="74" t="s">
        <v>78</v>
      </c>
      <c r="E4037" s="74">
        <v>1</v>
      </c>
      <c r="F4037" s="74">
        <v>1.75</v>
      </c>
      <c r="G4037" s="758">
        <f t="shared" si="252"/>
        <v>0.56999999999999995</v>
      </c>
      <c r="H4037" s="759">
        <f t="shared" si="253"/>
        <v>0.34</v>
      </c>
      <c r="I4037" s="758">
        <f t="shared" si="254"/>
        <v>1.1800000000000002</v>
      </c>
      <c r="J4037" s="760">
        <f t="shared" si="255"/>
        <v>0.67428571428571438</v>
      </c>
    </row>
    <row r="4038" spans="1:10">
      <c r="A4038" s="74" t="s">
        <v>1946</v>
      </c>
      <c r="B4038" s="74" t="s">
        <v>725</v>
      </c>
      <c r="C4038" s="74" t="s">
        <v>1508</v>
      </c>
      <c r="D4038" s="74" t="s">
        <v>78</v>
      </c>
      <c r="E4038" s="74">
        <v>2</v>
      </c>
      <c r="F4038" s="74">
        <v>3.5</v>
      </c>
      <c r="G4038" s="758">
        <f t="shared" si="252"/>
        <v>0.56999999999999995</v>
      </c>
      <c r="H4038" s="759">
        <f t="shared" si="253"/>
        <v>0.34</v>
      </c>
      <c r="I4038" s="758">
        <f t="shared" si="254"/>
        <v>1.1800000000000002</v>
      </c>
      <c r="J4038" s="760">
        <f t="shared" si="255"/>
        <v>0.67428571428571438</v>
      </c>
    </row>
    <row r="4039" spans="1:10">
      <c r="A4039" s="74" t="s">
        <v>1946</v>
      </c>
      <c r="B4039" s="74" t="s">
        <v>725</v>
      </c>
      <c r="C4039" s="74" t="s">
        <v>1509</v>
      </c>
      <c r="D4039" s="74" t="s">
        <v>78</v>
      </c>
      <c r="E4039" s="74">
        <v>6</v>
      </c>
      <c r="F4039" s="74">
        <v>10.5</v>
      </c>
      <c r="G4039" s="758">
        <f t="shared" si="252"/>
        <v>0.56999999999999995</v>
      </c>
      <c r="H4039" s="759">
        <f t="shared" si="253"/>
        <v>0.34</v>
      </c>
      <c r="I4039" s="758">
        <f t="shared" si="254"/>
        <v>1.1800000000000002</v>
      </c>
      <c r="J4039" s="760">
        <f t="shared" si="255"/>
        <v>0.67428571428571427</v>
      </c>
    </row>
    <row r="4040" spans="1:10">
      <c r="A4040" s="74" t="s">
        <v>1946</v>
      </c>
      <c r="B4040" s="74" t="s">
        <v>725</v>
      </c>
      <c r="C4040" s="74" t="s">
        <v>1565</v>
      </c>
      <c r="D4040" s="74" t="s">
        <v>78</v>
      </c>
      <c r="E4040" s="74">
        <v>1</v>
      </c>
      <c r="F4040" s="74">
        <v>1.75</v>
      </c>
      <c r="G4040" s="758">
        <f t="shared" si="252"/>
        <v>0.56999999999999995</v>
      </c>
      <c r="H4040" s="759">
        <f t="shared" si="253"/>
        <v>0.34</v>
      </c>
      <c r="I4040" s="758">
        <f t="shared" si="254"/>
        <v>1.1800000000000002</v>
      </c>
      <c r="J4040" s="760">
        <f t="shared" si="255"/>
        <v>0.67428571428571438</v>
      </c>
    </row>
    <row r="4041" spans="1:10">
      <c r="A4041" s="74" t="s">
        <v>1946</v>
      </c>
      <c r="B4041" s="74" t="s">
        <v>725</v>
      </c>
      <c r="C4041" s="74" t="s">
        <v>1530</v>
      </c>
      <c r="D4041" s="74" t="s">
        <v>80</v>
      </c>
      <c r="E4041" s="74">
        <v>1</v>
      </c>
      <c r="F4041" s="74">
        <v>1.75</v>
      </c>
      <c r="G4041" s="758">
        <f t="shared" si="252"/>
        <v>0.56999999999999995</v>
      </c>
      <c r="H4041" s="759">
        <f t="shared" si="253"/>
        <v>0.34</v>
      </c>
      <c r="I4041" s="758">
        <f t="shared" si="254"/>
        <v>1.1800000000000002</v>
      </c>
      <c r="J4041" s="760">
        <f t="shared" si="255"/>
        <v>0.67428571428571438</v>
      </c>
    </row>
    <row r="4042" spans="1:10">
      <c r="A4042" s="74" t="s">
        <v>1946</v>
      </c>
      <c r="B4042" s="74" t="s">
        <v>725</v>
      </c>
      <c r="C4042" s="74" t="s">
        <v>1512</v>
      </c>
      <c r="D4042" s="74" t="s">
        <v>80</v>
      </c>
      <c r="E4042" s="74">
        <v>3</v>
      </c>
      <c r="F4042" s="74">
        <v>5.25</v>
      </c>
      <c r="G4042" s="758">
        <f t="shared" si="252"/>
        <v>0.56999999999999995</v>
      </c>
      <c r="H4042" s="759">
        <f t="shared" si="253"/>
        <v>0.34</v>
      </c>
      <c r="I4042" s="758">
        <f t="shared" si="254"/>
        <v>1.1800000000000002</v>
      </c>
      <c r="J4042" s="760">
        <f t="shared" si="255"/>
        <v>0.67428571428571427</v>
      </c>
    </row>
    <row r="4043" spans="1:10">
      <c r="A4043" s="74" t="s">
        <v>1946</v>
      </c>
      <c r="B4043" s="74" t="s">
        <v>725</v>
      </c>
      <c r="C4043" s="74" t="s">
        <v>1515</v>
      </c>
      <c r="D4043" s="74" t="s">
        <v>81</v>
      </c>
      <c r="E4043" s="74">
        <v>8</v>
      </c>
      <c r="F4043" s="74">
        <v>33.5</v>
      </c>
      <c r="G4043" s="758">
        <f t="shared" si="252"/>
        <v>0.56999999999999995</v>
      </c>
      <c r="H4043" s="759">
        <f t="shared" si="253"/>
        <v>0.34</v>
      </c>
      <c r="I4043" s="758">
        <f t="shared" si="254"/>
        <v>3.6175000000000002</v>
      </c>
      <c r="J4043" s="760">
        <f t="shared" si="255"/>
        <v>0.86388059701492537</v>
      </c>
    </row>
    <row r="4044" spans="1:10">
      <c r="A4044" s="74" t="s">
        <v>1946</v>
      </c>
      <c r="B4044" s="74" t="s">
        <v>725</v>
      </c>
      <c r="C4044" s="74" t="s">
        <v>1516</v>
      </c>
      <c r="D4044" s="74" t="s">
        <v>82</v>
      </c>
      <c r="E4044" s="74">
        <v>3</v>
      </c>
      <c r="F4044" s="74">
        <v>5.25</v>
      </c>
      <c r="G4044" s="758">
        <f t="shared" si="252"/>
        <v>0.56999999999999995</v>
      </c>
      <c r="H4044" s="759">
        <f t="shared" si="253"/>
        <v>0.34</v>
      </c>
      <c r="I4044" s="758">
        <f t="shared" si="254"/>
        <v>1.1800000000000002</v>
      </c>
      <c r="J4044" s="760">
        <f t="shared" si="255"/>
        <v>0.67428571428571427</v>
      </c>
    </row>
    <row r="4045" spans="1:10">
      <c r="A4045" s="74" t="s">
        <v>1946</v>
      </c>
      <c r="B4045" s="74" t="s">
        <v>725</v>
      </c>
      <c r="C4045" s="74" t="s">
        <v>1527</v>
      </c>
      <c r="D4045" s="74" t="s">
        <v>82</v>
      </c>
      <c r="E4045" s="74">
        <v>10</v>
      </c>
      <c r="F4045" s="74">
        <v>18.25</v>
      </c>
      <c r="G4045" s="758">
        <f t="shared" si="252"/>
        <v>0.56999999999999995</v>
      </c>
      <c r="H4045" s="759">
        <f t="shared" si="253"/>
        <v>0.34</v>
      </c>
      <c r="I4045" s="758">
        <f t="shared" si="254"/>
        <v>1.2549999999999999</v>
      </c>
      <c r="J4045" s="760">
        <f t="shared" si="255"/>
        <v>0.68767123287671239</v>
      </c>
    </row>
    <row r="4046" spans="1:10">
      <c r="A4046" s="74" t="s">
        <v>1946</v>
      </c>
      <c r="B4046" s="74" t="s">
        <v>725</v>
      </c>
      <c r="C4046" s="74" t="s">
        <v>1518</v>
      </c>
      <c r="D4046" s="74" t="s">
        <v>82</v>
      </c>
      <c r="E4046" s="74">
        <v>2</v>
      </c>
      <c r="F4046" s="74">
        <v>3.5</v>
      </c>
      <c r="G4046" s="758">
        <f t="shared" si="252"/>
        <v>0.56999999999999995</v>
      </c>
      <c r="H4046" s="759">
        <f t="shared" si="253"/>
        <v>0.34</v>
      </c>
      <c r="I4046" s="758">
        <f t="shared" si="254"/>
        <v>1.1800000000000002</v>
      </c>
      <c r="J4046" s="760">
        <f t="shared" si="255"/>
        <v>0.67428571428571438</v>
      </c>
    </row>
    <row r="4047" spans="1:10">
      <c r="A4047" s="74" t="s">
        <v>1946</v>
      </c>
      <c r="B4047" s="74" t="s">
        <v>725</v>
      </c>
      <c r="C4047" s="74" t="s">
        <v>1540</v>
      </c>
      <c r="D4047" s="74" t="s">
        <v>84</v>
      </c>
      <c r="E4047" s="74">
        <v>1</v>
      </c>
      <c r="F4047" s="74">
        <v>1.9</v>
      </c>
      <c r="G4047" s="758">
        <f t="shared" si="252"/>
        <v>0.56999999999999995</v>
      </c>
      <c r="H4047" s="759">
        <f t="shared" si="253"/>
        <v>0.34</v>
      </c>
      <c r="I4047" s="758">
        <f t="shared" si="254"/>
        <v>1.33</v>
      </c>
      <c r="J4047" s="760">
        <f t="shared" si="255"/>
        <v>0.7</v>
      </c>
    </row>
    <row r="4048" spans="1:10">
      <c r="A4048" s="74" t="s">
        <v>1010</v>
      </c>
      <c r="B4048" s="74" t="s">
        <v>725</v>
      </c>
      <c r="C4048" s="74" t="s">
        <v>1584</v>
      </c>
      <c r="D4048" s="74" t="s">
        <v>92</v>
      </c>
      <c r="E4048" s="74">
        <v>1</v>
      </c>
      <c r="F4048" s="74">
        <v>2.5</v>
      </c>
      <c r="G4048" s="758">
        <f t="shared" si="252"/>
        <v>0</v>
      </c>
      <c r="H4048" s="759">
        <f t="shared" si="253"/>
        <v>0</v>
      </c>
      <c r="I4048" s="758">
        <f t="shared" si="254"/>
        <v>2.5</v>
      </c>
      <c r="J4048" s="760">
        <f t="shared" si="255"/>
        <v>1</v>
      </c>
    </row>
    <row r="4049" spans="1:10">
      <c r="A4049" s="74" t="s">
        <v>1149</v>
      </c>
      <c r="B4049" s="74" t="s">
        <v>725</v>
      </c>
      <c r="C4049" s="74" t="s">
        <v>1608</v>
      </c>
      <c r="D4049" s="74" t="s">
        <v>89</v>
      </c>
      <c r="E4049" s="74">
        <v>4</v>
      </c>
      <c r="F4049" s="74">
        <v>7</v>
      </c>
      <c r="G4049" s="758">
        <f t="shared" si="252"/>
        <v>0</v>
      </c>
      <c r="H4049" s="759">
        <f t="shared" si="253"/>
        <v>0</v>
      </c>
      <c r="I4049" s="758">
        <f t="shared" si="254"/>
        <v>1.75</v>
      </c>
      <c r="J4049" s="760">
        <f t="shared" si="255"/>
        <v>1</v>
      </c>
    </row>
    <row r="4050" spans="1:10">
      <c r="A4050" s="74" t="s">
        <v>1149</v>
      </c>
      <c r="B4050" s="74" t="s">
        <v>725</v>
      </c>
      <c r="C4050" s="74" t="s">
        <v>1631</v>
      </c>
      <c r="D4050" s="74" t="s">
        <v>92</v>
      </c>
      <c r="E4050" s="74">
        <v>1</v>
      </c>
      <c r="F4050" s="74">
        <v>1.75</v>
      </c>
      <c r="G4050" s="758">
        <f t="shared" si="252"/>
        <v>0</v>
      </c>
      <c r="H4050" s="759">
        <f t="shared" si="253"/>
        <v>0</v>
      </c>
      <c r="I4050" s="758">
        <f t="shared" si="254"/>
        <v>1.75</v>
      </c>
      <c r="J4050" s="760">
        <f t="shared" si="255"/>
        <v>1</v>
      </c>
    </row>
    <row r="4051" spans="1:10">
      <c r="A4051" s="74" t="s">
        <v>1149</v>
      </c>
      <c r="B4051" s="74" t="s">
        <v>725</v>
      </c>
      <c r="C4051" s="74" t="s">
        <v>1557</v>
      </c>
      <c r="D4051" s="74" t="s">
        <v>95</v>
      </c>
      <c r="E4051" s="74">
        <v>3</v>
      </c>
      <c r="F4051" s="74">
        <v>5.25</v>
      </c>
      <c r="G4051" s="758">
        <f t="shared" si="252"/>
        <v>0</v>
      </c>
      <c r="H4051" s="759">
        <f t="shared" si="253"/>
        <v>0</v>
      </c>
      <c r="I4051" s="758">
        <f t="shared" si="254"/>
        <v>1.75</v>
      </c>
      <c r="J4051" s="760">
        <f t="shared" si="255"/>
        <v>1</v>
      </c>
    </row>
    <row r="4052" spans="1:10">
      <c r="A4052" s="74" t="s">
        <v>1947</v>
      </c>
      <c r="B4052" s="74" t="s">
        <v>725</v>
      </c>
      <c r="C4052" s="74" t="s">
        <v>1514</v>
      </c>
      <c r="D4052" s="74" t="s">
        <v>81</v>
      </c>
      <c r="E4052" s="74">
        <v>2</v>
      </c>
      <c r="F4052" s="74">
        <v>5</v>
      </c>
      <c r="G4052" s="758">
        <f t="shared" si="252"/>
        <v>0</v>
      </c>
      <c r="H4052" s="759">
        <f t="shared" si="253"/>
        <v>0.24</v>
      </c>
      <c r="I4052" s="758">
        <f t="shared" si="254"/>
        <v>2.5</v>
      </c>
      <c r="J4052" s="760">
        <f t="shared" si="255"/>
        <v>1</v>
      </c>
    </row>
    <row r="4053" spans="1:10">
      <c r="A4053" s="74" t="s">
        <v>1948</v>
      </c>
      <c r="B4053" s="74" t="s">
        <v>725</v>
      </c>
      <c r="C4053" s="74" t="s">
        <v>1517</v>
      </c>
      <c r="D4053" s="74" t="s">
        <v>82</v>
      </c>
      <c r="E4053" s="74">
        <v>1</v>
      </c>
      <c r="F4053" s="74">
        <v>1.75</v>
      </c>
      <c r="G4053" s="758">
        <f t="shared" si="252"/>
        <v>0.1</v>
      </c>
      <c r="H4053" s="759">
        <f t="shared" si="253"/>
        <v>0.25</v>
      </c>
      <c r="I4053" s="758">
        <f t="shared" si="254"/>
        <v>1.65</v>
      </c>
      <c r="J4053" s="760">
        <f t="shared" si="255"/>
        <v>0.94285714285714284</v>
      </c>
    </row>
    <row r="4054" spans="1:10">
      <c r="A4054" s="74" t="s">
        <v>1948</v>
      </c>
      <c r="B4054" s="74" t="s">
        <v>725</v>
      </c>
      <c r="C4054" s="74" t="s">
        <v>1518</v>
      </c>
      <c r="D4054" s="74" t="s">
        <v>82</v>
      </c>
      <c r="E4054" s="74">
        <v>1</v>
      </c>
      <c r="F4054" s="74">
        <v>1.75</v>
      </c>
      <c r="G4054" s="758">
        <f t="shared" si="252"/>
        <v>0.1</v>
      </c>
      <c r="H4054" s="759">
        <f t="shared" si="253"/>
        <v>0.25</v>
      </c>
      <c r="I4054" s="758">
        <f t="shared" si="254"/>
        <v>1.65</v>
      </c>
      <c r="J4054" s="760">
        <f t="shared" si="255"/>
        <v>0.94285714285714284</v>
      </c>
    </row>
    <row r="4055" spans="1:10">
      <c r="A4055" s="74" t="s">
        <v>1949</v>
      </c>
      <c r="B4055" s="74" t="s">
        <v>725</v>
      </c>
      <c r="C4055" s="74" t="s">
        <v>1543</v>
      </c>
      <c r="D4055" s="74" t="s">
        <v>87</v>
      </c>
      <c r="E4055" s="74">
        <v>1</v>
      </c>
      <c r="F4055" s="74">
        <v>3</v>
      </c>
      <c r="G4055" s="758">
        <f t="shared" si="252"/>
        <v>0</v>
      </c>
      <c r="H4055" s="759">
        <f t="shared" si="253"/>
        <v>0</v>
      </c>
      <c r="I4055" s="758">
        <f t="shared" si="254"/>
        <v>3</v>
      </c>
      <c r="J4055" s="760">
        <f t="shared" si="255"/>
        <v>1</v>
      </c>
    </row>
    <row r="4056" spans="1:10">
      <c r="A4056" s="74" t="s">
        <v>1950</v>
      </c>
      <c r="B4056" s="74" t="s">
        <v>725</v>
      </c>
      <c r="C4056" s="74" t="s">
        <v>1582</v>
      </c>
      <c r="D4056" s="74" t="s">
        <v>89</v>
      </c>
      <c r="E4056" s="74">
        <v>1</v>
      </c>
      <c r="F4056" s="74">
        <v>1.75</v>
      </c>
      <c r="G4056" s="758">
        <f t="shared" si="252"/>
        <v>0</v>
      </c>
      <c r="H4056" s="759">
        <f t="shared" si="253"/>
        <v>0</v>
      </c>
      <c r="I4056" s="758">
        <f t="shared" si="254"/>
        <v>1.75</v>
      </c>
      <c r="J4056" s="760">
        <f t="shared" si="255"/>
        <v>1</v>
      </c>
    </row>
    <row r="4057" spans="1:10">
      <c r="A4057" s="74" t="s">
        <v>2300</v>
      </c>
      <c r="B4057" s="74" t="s">
        <v>725</v>
      </c>
      <c r="C4057" s="74" t="s">
        <v>1675</v>
      </c>
      <c r="D4057" s="74" t="s">
        <v>91</v>
      </c>
      <c r="E4057" s="74">
        <v>1</v>
      </c>
      <c r="F4057" s="74">
        <v>1.75</v>
      </c>
      <c r="G4057" s="758">
        <f t="shared" si="252"/>
        <v>0</v>
      </c>
      <c r="H4057" s="759">
        <f t="shared" si="253"/>
        <v>0</v>
      </c>
      <c r="I4057" s="758">
        <f t="shared" si="254"/>
        <v>1.75</v>
      </c>
      <c r="J4057" s="760">
        <f t="shared" si="255"/>
        <v>1</v>
      </c>
    </row>
    <row r="4058" spans="1:10">
      <c r="A4058" s="74" t="s">
        <v>1951</v>
      </c>
      <c r="B4058" s="74" t="s">
        <v>725</v>
      </c>
      <c r="C4058" s="74" t="s">
        <v>1511</v>
      </c>
      <c r="D4058" s="74" t="s">
        <v>80</v>
      </c>
      <c r="E4058" s="74">
        <v>4</v>
      </c>
      <c r="F4058" s="74">
        <v>7</v>
      </c>
      <c r="G4058" s="758">
        <f t="shared" si="252"/>
        <v>0</v>
      </c>
      <c r="H4058" s="759">
        <f t="shared" si="253"/>
        <v>0.16</v>
      </c>
      <c r="I4058" s="758">
        <f t="shared" si="254"/>
        <v>1.75</v>
      </c>
      <c r="J4058" s="760">
        <f t="shared" si="255"/>
        <v>1</v>
      </c>
    </row>
    <row r="4059" spans="1:10">
      <c r="A4059" s="74" t="s">
        <v>1951</v>
      </c>
      <c r="B4059" s="74" t="s">
        <v>725</v>
      </c>
      <c r="C4059" s="74" t="s">
        <v>1512</v>
      </c>
      <c r="D4059" s="74" t="s">
        <v>80</v>
      </c>
      <c r="E4059" s="74">
        <v>4</v>
      </c>
      <c r="F4059" s="74">
        <v>7</v>
      </c>
      <c r="G4059" s="758">
        <f t="shared" si="252"/>
        <v>0</v>
      </c>
      <c r="H4059" s="759">
        <f t="shared" si="253"/>
        <v>0.16</v>
      </c>
      <c r="I4059" s="758">
        <f t="shared" si="254"/>
        <v>1.75</v>
      </c>
      <c r="J4059" s="760">
        <f t="shared" si="255"/>
        <v>1</v>
      </c>
    </row>
    <row r="4060" spans="1:10">
      <c r="A4060" s="74" t="s">
        <v>1045</v>
      </c>
      <c r="B4060" s="74" t="s">
        <v>725</v>
      </c>
      <c r="C4060" s="74" t="s">
        <v>1577</v>
      </c>
      <c r="D4060" s="74" t="s">
        <v>84</v>
      </c>
      <c r="E4060" s="74">
        <v>3</v>
      </c>
      <c r="F4060" s="74">
        <v>5.25</v>
      </c>
      <c r="G4060" s="758">
        <f t="shared" si="252"/>
        <v>0</v>
      </c>
      <c r="H4060" s="759">
        <f t="shared" si="253"/>
        <v>0</v>
      </c>
      <c r="I4060" s="758">
        <f t="shared" si="254"/>
        <v>1.75</v>
      </c>
      <c r="J4060" s="760">
        <f t="shared" si="255"/>
        <v>1</v>
      </c>
    </row>
    <row r="4061" spans="1:10">
      <c r="A4061" s="74" t="s">
        <v>1045</v>
      </c>
      <c r="B4061" s="74" t="s">
        <v>725</v>
      </c>
      <c r="C4061" s="74" t="s">
        <v>1561</v>
      </c>
      <c r="D4061" s="74" t="s">
        <v>87</v>
      </c>
      <c r="E4061" s="74">
        <v>1</v>
      </c>
      <c r="F4061" s="74">
        <v>1.75</v>
      </c>
      <c r="G4061" s="758">
        <f t="shared" si="252"/>
        <v>0</v>
      </c>
      <c r="H4061" s="759">
        <f t="shared" si="253"/>
        <v>0</v>
      </c>
      <c r="I4061" s="758">
        <f t="shared" si="254"/>
        <v>1.75</v>
      </c>
      <c r="J4061" s="760">
        <f t="shared" si="255"/>
        <v>1</v>
      </c>
    </row>
    <row r="4062" spans="1:10">
      <c r="A4062" s="74" t="s">
        <v>1045</v>
      </c>
      <c r="B4062" s="74" t="s">
        <v>725</v>
      </c>
      <c r="C4062" s="74" t="s">
        <v>1584</v>
      </c>
      <c r="D4062" s="74" t="s">
        <v>92</v>
      </c>
      <c r="E4062" s="74">
        <v>1</v>
      </c>
      <c r="F4062" s="74">
        <v>1.75</v>
      </c>
      <c r="G4062" s="758">
        <f t="shared" si="252"/>
        <v>0</v>
      </c>
      <c r="H4062" s="759">
        <f t="shared" si="253"/>
        <v>0</v>
      </c>
      <c r="I4062" s="758">
        <f t="shared" si="254"/>
        <v>1.75</v>
      </c>
      <c r="J4062" s="760">
        <f t="shared" si="255"/>
        <v>1</v>
      </c>
    </row>
    <row r="4063" spans="1:10">
      <c r="A4063" s="74" t="s">
        <v>1045</v>
      </c>
      <c r="B4063" s="74" t="s">
        <v>725</v>
      </c>
      <c r="C4063" s="74" t="s">
        <v>1555</v>
      </c>
      <c r="D4063" s="74" t="s">
        <v>94</v>
      </c>
      <c r="E4063" s="74">
        <v>1</v>
      </c>
      <c r="F4063" s="74">
        <v>1.75</v>
      </c>
      <c r="G4063" s="758">
        <f t="shared" si="252"/>
        <v>0</v>
      </c>
      <c r="H4063" s="759">
        <f t="shared" si="253"/>
        <v>0</v>
      </c>
      <c r="I4063" s="758">
        <f t="shared" si="254"/>
        <v>1.75</v>
      </c>
      <c r="J4063" s="760">
        <f t="shared" si="255"/>
        <v>1</v>
      </c>
    </row>
    <row r="4064" spans="1:10">
      <c r="A4064" s="74" t="s">
        <v>1952</v>
      </c>
      <c r="B4064" s="74" t="s">
        <v>321</v>
      </c>
      <c r="C4064" s="74" t="s">
        <v>1528</v>
      </c>
      <c r="D4064" s="74" t="s">
        <v>78</v>
      </c>
      <c r="E4064" s="74">
        <v>1</v>
      </c>
      <c r="F4064" s="74">
        <v>13.9</v>
      </c>
      <c r="G4064" s="758">
        <f t="shared" si="252"/>
        <v>3.14</v>
      </c>
      <c r="H4064" s="759">
        <f t="shared" si="253"/>
        <v>0.27</v>
      </c>
      <c r="I4064" s="758">
        <f t="shared" si="254"/>
        <v>10.76</v>
      </c>
      <c r="J4064" s="760">
        <f t="shared" si="255"/>
        <v>0.77410071942446046</v>
      </c>
    </row>
    <row r="4065" spans="1:10">
      <c r="A4065" s="74" t="s">
        <v>1952</v>
      </c>
      <c r="B4065" s="74" t="s">
        <v>321</v>
      </c>
      <c r="C4065" s="74" t="s">
        <v>1508</v>
      </c>
      <c r="D4065" s="74" t="s">
        <v>78</v>
      </c>
      <c r="E4065" s="74">
        <v>1</v>
      </c>
      <c r="F4065" s="74">
        <v>13.9</v>
      </c>
      <c r="G4065" s="758">
        <f t="shared" si="252"/>
        <v>3.14</v>
      </c>
      <c r="H4065" s="759">
        <f t="shared" si="253"/>
        <v>0.27</v>
      </c>
      <c r="I4065" s="758">
        <f t="shared" si="254"/>
        <v>10.76</v>
      </c>
      <c r="J4065" s="760">
        <f t="shared" si="255"/>
        <v>0.77410071942446046</v>
      </c>
    </row>
    <row r="4066" spans="1:10">
      <c r="A4066" s="74" t="s">
        <v>1952</v>
      </c>
      <c r="B4066" s="74" t="s">
        <v>321</v>
      </c>
      <c r="C4066" s="74" t="s">
        <v>1511</v>
      </c>
      <c r="D4066" s="74" t="s">
        <v>80</v>
      </c>
      <c r="E4066" s="74">
        <v>4</v>
      </c>
      <c r="F4066" s="74">
        <v>55.6</v>
      </c>
      <c r="G4066" s="758">
        <f t="shared" si="252"/>
        <v>3.14</v>
      </c>
      <c r="H4066" s="759">
        <f t="shared" si="253"/>
        <v>0.27</v>
      </c>
      <c r="I4066" s="758">
        <f t="shared" si="254"/>
        <v>10.76</v>
      </c>
      <c r="J4066" s="760">
        <f t="shared" si="255"/>
        <v>0.77410071942446046</v>
      </c>
    </row>
    <row r="4067" spans="1:10">
      <c r="A4067" s="74" t="s">
        <v>1952</v>
      </c>
      <c r="B4067" s="74" t="s">
        <v>321</v>
      </c>
      <c r="C4067" s="74" t="s">
        <v>1534</v>
      </c>
      <c r="D4067" s="74" t="s">
        <v>81</v>
      </c>
      <c r="E4067" s="74">
        <v>3</v>
      </c>
      <c r="F4067" s="74">
        <v>41.7</v>
      </c>
      <c r="G4067" s="758">
        <f t="shared" si="252"/>
        <v>3.14</v>
      </c>
      <c r="H4067" s="759">
        <f t="shared" si="253"/>
        <v>0.27</v>
      </c>
      <c r="I4067" s="758">
        <f t="shared" si="254"/>
        <v>10.76</v>
      </c>
      <c r="J4067" s="760">
        <f t="shared" si="255"/>
        <v>0.77410071942446046</v>
      </c>
    </row>
    <row r="4068" spans="1:10">
      <c r="A4068" s="74" t="s">
        <v>1952</v>
      </c>
      <c r="B4068" s="74" t="s">
        <v>321</v>
      </c>
      <c r="C4068" s="74" t="s">
        <v>1513</v>
      </c>
      <c r="D4068" s="74" t="s">
        <v>81</v>
      </c>
      <c r="E4068" s="74">
        <v>3</v>
      </c>
      <c r="F4068" s="74">
        <v>39.9</v>
      </c>
      <c r="G4068" s="758">
        <f t="shared" si="252"/>
        <v>3.14</v>
      </c>
      <c r="H4068" s="759">
        <f t="shared" si="253"/>
        <v>0.27</v>
      </c>
      <c r="I4068" s="758">
        <f t="shared" si="254"/>
        <v>10.159999999999998</v>
      </c>
      <c r="J4068" s="760">
        <f t="shared" si="255"/>
        <v>0.76390977443609021</v>
      </c>
    </row>
    <row r="4069" spans="1:10">
      <c r="A4069" s="74" t="s">
        <v>1952</v>
      </c>
      <c r="B4069" s="74" t="s">
        <v>321</v>
      </c>
      <c r="C4069" s="74" t="s">
        <v>1515</v>
      </c>
      <c r="D4069" s="74" t="s">
        <v>81</v>
      </c>
      <c r="E4069" s="74">
        <v>1</v>
      </c>
      <c r="F4069" s="74">
        <v>14</v>
      </c>
      <c r="G4069" s="758">
        <f t="shared" si="252"/>
        <v>3.14</v>
      </c>
      <c r="H4069" s="759">
        <f t="shared" si="253"/>
        <v>0.27</v>
      </c>
      <c r="I4069" s="758">
        <f t="shared" si="254"/>
        <v>10.86</v>
      </c>
      <c r="J4069" s="760">
        <f t="shared" si="255"/>
        <v>0.77571428571428569</v>
      </c>
    </row>
    <row r="4070" spans="1:10">
      <c r="A4070" s="74" t="s">
        <v>1952</v>
      </c>
      <c r="B4070" s="74" t="s">
        <v>321</v>
      </c>
      <c r="C4070" s="74" t="s">
        <v>1516</v>
      </c>
      <c r="D4070" s="74" t="s">
        <v>82</v>
      </c>
      <c r="E4070" s="74">
        <v>3</v>
      </c>
      <c r="F4070" s="74">
        <v>131.4</v>
      </c>
      <c r="G4070" s="758">
        <f t="shared" si="252"/>
        <v>3.14</v>
      </c>
      <c r="H4070" s="759">
        <f t="shared" si="253"/>
        <v>0.27</v>
      </c>
      <c r="I4070" s="758">
        <f t="shared" si="254"/>
        <v>40.660000000000004</v>
      </c>
      <c r="J4070" s="760">
        <f t="shared" si="255"/>
        <v>0.92831050228310508</v>
      </c>
    </row>
    <row r="4071" spans="1:10">
      <c r="A4071" s="74" t="s">
        <v>1952</v>
      </c>
      <c r="B4071" s="74" t="s">
        <v>321</v>
      </c>
      <c r="C4071" s="74" t="s">
        <v>1517</v>
      </c>
      <c r="D4071" s="74" t="s">
        <v>82</v>
      </c>
      <c r="E4071" s="74">
        <v>2</v>
      </c>
      <c r="F4071" s="74">
        <v>26</v>
      </c>
      <c r="G4071" s="758">
        <f t="shared" si="252"/>
        <v>3.14</v>
      </c>
      <c r="H4071" s="759">
        <f t="shared" si="253"/>
        <v>0.27</v>
      </c>
      <c r="I4071" s="758">
        <f t="shared" si="254"/>
        <v>9.86</v>
      </c>
      <c r="J4071" s="760">
        <f t="shared" si="255"/>
        <v>0.75846153846153852</v>
      </c>
    </row>
    <row r="4072" spans="1:10">
      <c r="A4072" s="74" t="s">
        <v>1952</v>
      </c>
      <c r="B4072" s="74" t="s">
        <v>321</v>
      </c>
      <c r="C4072" s="74" t="s">
        <v>1527</v>
      </c>
      <c r="D4072" s="74" t="s">
        <v>82</v>
      </c>
      <c r="E4072" s="74">
        <v>6</v>
      </c>
      <c r="F4072" s="74">
        <v>81.599999999999994</v>
      </c>
      <c r="G4072" s="758">
        <f t="shared" si="252"/>
        <v>3.14</v>
      </c>
      <c r="H4072" s="759">
        <f t="shared" si="253"/>
        <v>0.27</v>
      </c>
      <c r="I4072" s="758">
        <f t="shared" si="254"/>
        <v>10.459999999999999</v>
      </c>
      <c r="J4072" s="760">
        <f t="shared" si="255"/>
        <v>0.76911764705882346</v>
      </c>
    </row>
    <row r="4073" spans="1:10">
      <c r="A4073" s="74" t="s">
        <v>1952</v>
      </c>
      <c r="B4073" s="74" t="s">
        <v>321</v>
      </c>
      <c r="C4073" s="74" t="s">
        <v>1518</v>
      </c>
      <c r="D4073" s="74" t="s">
        <v>82</v>
      </c>
      <c r="E4073" s="74">
        <v>1</v>
      </c>
      <c r="F4073" s="74">
        <v>13</v>
      </c>
      <c r="G4073" s="758">
        <f t="shared" si="252"/>
        <v>3.14</v>
      </c>
      <c r="H4073" s="759">
        <f t="shared" si="253"/>
        <v>0.27</v>
      </c>
      <c r="I4073" s="758">
        <f t="shared" si="254"/>
        <v>9.86</v>
      </c>
      <c r="J4073" s="760">
        <f t="shared" si="255"/>
        <v>0.75846153846153852</v>
      </c>
    </row>
    <row r="4074" spans="1:10">
      <c r="A4074" s="74" t="s">
        <v>1952</v>
      </c>
      <c r="B4074" s="74" t="s">
        <v>321</v>
      </c>
      <c r="C4074" s="74" t="s">
        <v>1520</v>
      </c>
      <c r="D4074" s="74" t="s">
        <v>84</v>
      </c>
      <c r="E4074" s="74">
        <v>1</v>
      </c>
      <c r="F4074" s="74">
        <v>13</v>
      </c>
      <c r="G4074" s="758">
        <f t="shared" si="252"/>
        <v>3.14</v>
      </c>
      <c r="H4074" s="759">
        <f t="shared" si="253"/>
        <v>0.27</v>
      </c>
      <c r="I4074" s="758">
        <f t="shared" si="254"/>
        <v>9.86</v>
      </c>
      <c r="J4074" s="760">
        <f t="shared" si="255"/>
        <v>0.75846153846153852</v>
      </c>
    </row>
    <row r="4075" spans="1:10">
      <c r="A4075" s="74" t="s">
        <v>1952</v>
      </c>
      <c r="B4075" s="74" t="s">
        <v>321</v>
      </c>
      <c r="C4075" s="74" t="s">
        <v>1646</v>
      </c>
      <c r="D4075" s="74" t="s">
        <v>86</v>
      </c>
      <c r="E4075" s="74">
        <v>1</v>
      </c>
      <c r="F4075" s="74">
        <v>10.9</v>
      </c>
      <c r="G4075" s="758">
        <f t="shared" si="252"/>
        <v>3.14</v>
      </c>
      <c r="H4075" s="759">
        <f t="shared" si="253"/>
        <v>0.27</v>
      </c>
      <c r="I4075" s="758">
        <f t="shared" si="254"/>
        <v>7.76</v>
      </c>
      <c r="J4075" s="760">
        <f t="shared" si="255"/>
        <v>0.7119266055045872</v>
      </c>
    </row>
    <row r="4076" spans="1:10">
      <c r="A4076" s="74" t="s">
        <v>1952</v>
      </c>
      <c r="B4076" s="74" t="s">
        <v>321</v>
      </c>
      <c r="C4076" s="74" t="s">
        <v>1541</v>
      </c>
      <c r="D4076" s="74" t="s">
        <v>86</v>
      </c>
      <c r="E4076" s="74">
        <v>1</v>
      </c>
      <c r="F4076" s="74">
        <v>10.9</v>
      </c>
      <c r="G4076" s="758">
        <f t="shared" si="252"/>
        <v>3.14</v>
      </c>
      <c r="H4076" s="759">
        <f t="shared" si="253"/>
        <v>0.27</v>
      </c>
      <c r="I4076" s="758">
        <f t="shared" si="254"/>
        <v>7.76</v>
      </c>
      <c r="J4076" s="760">
        <f t="shared" si="255"/>
        <v>0.7119266055045872</v>
      </c>
    </row>
    <row r="4077" spans="1:10">
      <c r="A4077" s="74" t="s">
        <v>1068</v>
      </c>
      <c r="B4077" s="74" t="s">
        <v>873</v>
      </c>
      <c r="C4077" s="74" t="s">
        <v>1608</v>
      </c>
      <c r="D4077" s="74" t="s">
        <v>89</v>
      </c>
      <c r="E4077" s="74">
        <v>9</v>
      </c>
      <c r="F4077" s="74">
        <v>0</v>
      </c>
      <c r="G4077" s="758">
        <f t="shared" si="252"/>
        <v>0</v>
      </c>
      <c r="H4077" s="759">
        <f t="shared" si="253"/>
        <v>0</v>
      </c>
      <c r="I4077" s="758">
        <f t="shared" si="254"/>
        <v>0</v>
      </c>
      <c r="J4077" s="760">
        <f t="shared" si="255"/>
        <v>0</v>
      </c>
    </row>
    <row r="4078" spans="1:10">
      <c r="A4078" s="74" t="s">
        <v>1953</v>
      </c>
      <c r="B4078" s="74" t="s">
        <v>873</v>
      </c>
      <c r="C4078" s="74" t="s">
        <v>1555</v>
      </c>
      <c r="D4078" s="74" t="s">
        <v>94</v>
      </c>
      <c r="E4078" s="74">
        <v>9</v>
      </c>
      <c r="F4078" s="74">
        <v>0</v>
      </c>
      <c r="G4078" s="758">
        <f t="shared" si="252"/>
        <v>0</v>
      </c>
      <c r="H4078" s="759">
        <f t="shared" si="253"/>
        <v>0</v>
      </c>
      <c r="I4078" s="758">
        <f t="shared" si="254"/>
        <v>0</v>
      </c>
      <c r="J4078" s="760">
        <f t="shared" si="255"/>
        <v>0</v>
      </c>
    </row>
    <row r="4079" spans="1:10">
      <c r="A4079" s="74" t="s">
        <v>1954</v>
      </c>
      <c r="B4079" s="74" t="s">
        <v>873</v>
      </c>
      <c r="C4079" s="74" t="s">
        <v>1512</v>
      </c>
      <c r="D4079" s="74" t="s">
        <v>80</v>
      </c>
      <c r="E4079" s="74">
        <v>9</v>
      </c>
      <c r="F4079" s="74">
        <v>0</v>
      </c>
      <c r="G4079" s="758">
        <f t="shared" si="252"/>
        <v>0.87</v>
      </c>
      <c r="H4079" s="759">
        <f t="shared" si="253"/>
        <v>0</v>
      </c>
      <c r="I4079" s="758">
        <f t="shared" si="254"/>
        <v>-0.87</v>
      </c>
      <c r="J4079" s="760">
        <f t="shared" si="255"/>
        <v>0</v>
      </c>
    </row>
    <row r="4080" spans="1:10">
      <c r="A4080" s="74" t="s">
        <v>1954</v>
      </c>
      <c r="B4080" s="74" t="s">
        <v>873</v>
      </c>
      <c r="C4080" s="74" t="s">
        <v>1514</v>
      </c>
      <c r="D4080" s="74" t="s">
        <v>81</v>
      </c>
      <c r="E4080" s="74">
        <v>4</v>
      </c>
      <c r="F4080" s="74">
        <v>0</v>
      </c>
      <c r="G4080" s="758">
        <f t="shared" si="252"/>
        <v>0.87</v>
      </c>
      <c r="H4080" s="759">
        <f t="shared" si="253"/>
        <v>0</v>
      </c>
      <c r="I4080" s="758">
        <f t="shared" si="254"/>
        <v>-0.87</v>
      </c>
      <c r="J4080" s="760">
        <f t="shared" si="255"/>
        <v>0</v>
      </c>
    </row>
    <row r="4081" spans="1:10">
      <c r="A4081" s="74" t="s">
        <v>1955</v>
      </c>
      <c r="B4081" s="74" t="s">
        <v>877</v>
      </c>
      <c r="C4081" s="74" t="s">
        <v>1520</v>
      </c>
      <c r="D4081" s="74" t="s">
        <v>84</v>
      </c>
      <c r="E4081" s="74">
        <v>5</v>
      </c>
      <c r="F4081" s="74">
        <v>0</v>
      </c>
      <c r="G4081" s="758">
        <f t="shared" si="252"/>
        <v>0</v>
      </c>
      <c r="H4081" s="759">
        <f t="shared" si="253"/>
        <v>0</v>
      </c>
      <c r="I4081" s="758">
        <f t="shared" si="254"/>
        <v>0</v>
      </c>
      <c r="J4081" s="760">
        <f t="shared" si="255"/>
        <v>0</v>
      </c>
    </row>
    <row r="4082" spans="1:10">
      <c r="A4082" s="74" t="s">
        <v>1955</v>
      </c>
      <c r="B4082" s="74" t="s">
        <v>877</v>
      </c>
      <c r="C4082" s="74" t="s">
        <v>1578</v>
      </c>
      <c r="D4082" s="74" t="s">
        <v>86</v>
      </c>
      <c r="E4082" s="74">
        <v>4</v>
      </c>
      <c r="F4082" s="74">
        <v>0</v>
      </c>
      <c r="G4082" s="758">
        <f t="shared" si="252"/>
        <v>0</v>
      </c>
      <c r="H4082" s="759">
        <f t="shared" si="253"/>
        <v>0</v>
      </c>
      <c r="I4082" s="758">
        <f t="shared" si="254"/>
        <v>0</v>
      </c>
      <c r="J4082" s="760">
        <f t="shared" si="255"/>
        <v>0</v>
      </c>
    </row>
    <row r="4083" spans="1:10">
      <c r="A4083" s="74" t="s">
        <v>898</v>
      </c>
      <c r="B4083" s="74" t="s">
        <v>275</v>
      </c>
      <c r="C4083" s="74" t="s">
        <v>1550</v>
      </c>
      <c r="D4083" s="74" t="s">
        <v>91</v>
      </c>
      <c r="E4083" s="74">
        <v>2</v>
      </c>
      <c r="F4083" s="74">
        <v>3.3</v>
      </c>
      <c r="G4083" s="758">
        <f t="shared" si="252"/>
        <v>0.17</v>
      </c>
      <c r="H4083" s="759">
        <f t="shared" si="253"/>
        <v>0.13</v>
      </c>
      <c r="I4083" s="758">
        <f t="shared" si="254"/>
        <v>1.48</v>
      </c>
      <c r="J4083" s="760">
        <f t="shared" si="255"/>
        <v>0.89696969696969697</v>
      </c>
    </row>
    <row r="4084" spans="1:10">
      <c r="A4084" s="74" t="s">
        <v>898</v>
      </c>
      <c r="B4084" s="74" t="s">
        <v>275</v>
      </c>
      <c r="C4084" s="74" t="s">
        <v>1552</v>
      </c>
      <c r="D4084" s="74" t="s">
        <v>92</v>
      </c>
      <c r="E4084" s="74">
        <v>2</v>
      </c>
      <c r="F4084" s="74">
        <v>3</v>
      </c>
      <c r="G4084" s="758">
        <f t="shared" si="252"/>
        <v>0.17</v>
      </c>
      <c r="H4084" s="759">
        <f t="shared" si="253"/>
        <v>0.13</v>
      </c>
      <c r="I4084" s="758">
        <f t="shared" si="254"/>
        <v>1.33</v>
      </c>
      <c r="J4084" s="760">
        <f t="shared" si="255"/>
        <v>0.88666666666666671</v>
      </c>
    </row>
    <row r="4085" spans="1:10">
      <c r="A4085" s="74" t="s">
        <v>898</v>
      </c>
      <c r="B4085" s="74" t="s">
        <v>275</v>
      </c>
      <c r="C4085" s="74" t="s">
        <v>1930</v>
      </c>
      <c r="D4085" s="74" t="s">
        <v>95</v>
      </c>
      <c r="E4085" s="74">
        <v>1</v>
      </c>
      <c r="F4085" s="74">
        <v>1.5</v>
      </c>
      <c r="G4085" s="758">
        <f t="shared" si="252"/>
        <v>0.17</v>
      </c>
      <c r="H4085" s="759">
        <f t="shared" si="253"/>
        <v>0.13</v>
      </c>
      <c r="I4085" s="758">
        <f t="shared" si="254"/>
        <v>1.33</v>
      </c>
      <c r="J4085" s="760">
        <f t="shared" si="255"/>
        <v>0.88666666666666671</v>
      </c>
    </row>
    <row r="4086" spans="1:10">
      <c r="A4086" s="74" t="s">
        <v>1956</v>
      </c>
      <c r="B4086" s="74" t="s">
        <v>275</v>
      </c>
      <c r="C4086" s="74" t="s">
        <v>1524</v>
      </c>
      <c r="D4086" s="74" t="s">
        <v>91</v>
      </c>
      <c r="E4086" s="74">
        <v>1</v>
      </c>
      <c r="F4086" s="74">
        <v>1.5</v>
      </c>
      <c r="G4086" s="758">
        <f t="shared" si="252"/>
        <v>0</v>
      </c>
      <c r="H4086" s="759">
        <f t="shared" si="253"/>
        <v>0</v>
      </c>
      <c r="I4086" s="758">
        <f t="shared" si="254"/>
        <v>1.5</v>
      </c>
      <c r="J4086" s="760">
        <f t="shared" si="255"/>
        <v>1</v>
      </c>
    </row>
    <row r="4087" spans="1:10">
      <c r="A4087" s="74" t="s">
        <v>863</v>
      </c>
      <c r="B4087" s="74" t="s">
        <v>862</v>
      </c>
      <c r="C4087" s="74" t="s">
        <v>1528</v>
      </c>
      <c r="D4087" s="74" t="s">
        <v>78</v>
      </c>
      <c r="E4087" s="74">
        <v>1</v>
      </c>
      <c r="F4087" s="74">
        <v>0.15</v>
      </c>
      <c r="G4087" s="758">
        <f t="shared" si="252"/>
        <v>0.04</v>
      </c>
      <c r="H4087" s="759">
        <f t="shared" si="253"/>
        <v>0.95</v>
      </c>
      <c r="I4087" s="758">
        <f t="shared" si="254"/>
        <v>0.10999999999999999</v>
      </c>
      <c r="J4087" s="760">
        <f t="shared" si="255"/>
        <v>0.73333333333333339</v>
      </c>
    </row>
    <row r="4088" spans="1:10">
      <c r="A4088" s="74" t="s">
        <v>863</v>
      </c>
      <c r="B4088" s="74" t="s">
        <v>862</v>
      </c>
      <c r="C4088" s="74" t="s">
        <v>1565</v>
      </c>
      <c r="D4088" s="74" t="s">
        <v>78</v>
      </c>
      <c r="E4088" s="74">
        <v>1</v>
      </c>
      <c r="F4088" s="74">
        <v>0.15</v>
      </c>
      <c r="G4088" s="758">
        <f t="shared" si="252"/>
        <v>0.04</v>
      </c>
      <c r="H4088" s="759">
        <f t="shared" si="253"/>
        <v>0.95</v>
      </c>
      <c r="I4088" s="758">
        <f t="shared" si="254"/>
        <v>0.10999999999999999</v>
      </c>
      <c r="J4088" s="760">
        <f t="shared" si="255"/>
        <v>0.73333333333333339</v>
      </c>
    </row>
    <row r="4089" spans="1:10">
      <c r="A4089" s="74" t="s">
        <v>863</v>
      </c>
      <c r="B4089" s="74" t="s">
        <v>862</v>
      </c>
      <c r="C4089" s="74" t="s">
        <v>1530</v>
      </c>
      <c r="D4089" s="74" t="s">
        <v>80</v>
      </c>
      <c r="E4089" s="74">
        <v>1</v>
      </c>
      <c r="F4089" s="74">
        <v>0.15</v>
      </c>
      <c r="G4089" s="758">
        <f t="shared" si="252"/>
        <v>0.04</v>
      </c>
      <c r="H4089" s="759">
        <f t="shared" si="253"/>
        <v>0.95</v>
      </c>
      <c r="I4089" s="758">
        <f t="shared" si="254"/>
        <v>0.10999999999999999</v>
      </c>
      <c r="J4089" s="760">
        <f t="shared" si="255"/>
        <v>0.73333333333333339</v>
      </c>
    </row>
    <row r="4090" spans="1:10">
      <c r="A4090" s="74" t="s">
        <v>863</v>
      </c>
      <c r="B4090" s="74" t="s">
        <v>862</v>
      </c>
      <c r="C4090" s="74" t="s">
        <v>1511</v>
      </c>
      <c r="D4090" s="74" t="s">
        <v>80</v>
      </c>
      <c r="E4090" s="74">
        <v>1</v>
      </c>
      <c r="F4090" s="74">
        <v>0.15</v>
      </c>
      <c r="G4090" s="758">
        <f t="shared" si="252"/>
        <v>0.04</v>
      </c>
      <c r="H4090" s="759">
        <f t="shared" si="253"/>
        <v>0.95</v>
      </c>
      <c r="I4090" s="758">
        <f t="shared" si="254"/>
        <v>0.10999999999999999</v>
      </c>
      <c r="J4090" s="760">
        <f t="shared" si="255"/>
        <v>0.73333333333333339</v>
      </c>
    </row>
    <row r="4091" spans="1:10">
      <c r="A4091" s="74" t="s">
        <v>863</v>
      </c>
      <c r="B4091" s="74" t="s">
        <v>862</v>
      </c>
      <c r="C4091" s="74" t="s">
        <v>1512</v>
      </c>
      <c r="D4091" s="74" t="s">
        <v>80</v>
      </c>
      <c r="E4091" s="74">
        <v>2</v>
      </c>
      <c r="F4091" s="74">
        <v>0.3</v>
      </c>
      <c r="G4091" s="758">
        <f t="shared" si="252"/>
        <v>0.04</v>
      </c>
      <c r="H4091" s="759">
        <f t="shared" si="253"/>
        <v>0.95</v>
      </c>
      <c r="I4091" s="758">
        <f t="shared" si="254"/>
        <v>0.10999999999999999</v>
      </c>
      <c r="J4091" s="760">
        <f t="shared" si="255"/>
        <v>0.73333333333333339</v>
      </c>
    </row>
    <row r="4092" spans="1:10">
      <c r="A4092" s="74" t="s">
        <v>863</v>
      </c>
      <c r="B4092" s="74" t="s">
        <v>862</v>
      </c>
      <c r="C4092" s="74" t="s">
        <v>1534</v>
      </c>
      <c r="D4092" s="74" t="s">
        <v>81</v>
      </c>
      <c r="E4092" s="74">
        <v>4</v>
      </c>
      <c r="F4092" s="74">
        <v>0.6</v>
      </c>
      <c r="G4092" s="758">
        <f t="shared" si="252"/>
        <v>0.04</v>
      </c>
      <c r="H4092" s="759">
        <f t="shared" si="253"/>
        <v>0.95</v>
      </c>
      <c r="I4092" s="758">
        <f t="shared" si="254"/>
        <v>0.10999999999999999</v>
      </c>
      <c r="J4092" s="760">
        <f t="shared" si="255"/>
        <v>0.73333333333333339</v>
      </c>
    </row>
    <row r="4093" spans="1:10">
      <c r="A4093" s="74" t="s">
        <v>863</v>
      </c>
      <c r="B4093" s="74" t="s">
        <v>862</v>
      </c>
      <c r="C4093" s="74" t="s">
        <v>1513</v>
      </c>
      <c r="D4093" s="74" t="s">
        <v>81</v>
      </c>
      <c r="E4093" s="74">
        <v>1</v>
      </c>
      <c r="F4093" s="74">
        <v>0.15</v>
      </c>
      <c r="G4093" s="758">
        <f t="shared" si="252"/>
        <v>0.04</v>
      </c>
      <c r="H4093" s="759">
        <f t="shared" si="253"/>
        <v>0.95</v>
      </c>
      <c r="I4093" s="758">
        <f t="shared" si="254"/>
        <v>0.10999999999999999</v>
      </c>
      <c r="J4093" s="760">
        <f t="shared" si="255"/>
        <v>0.73333333333333339</v>
      </c>
    </row>
    <row r="4094" spans="1:10">
      <c r="A4094" s="74" t="s">
        <v>863</v>
      </c>
      <c r="B4094" s="74" t="s">
        <v>862</v>
      </c>
      <c r="C4094" s="74" t="s">
        <v>1514</v>
      </c>
      <c r="D4094" s="74" t="s">
        <v>81</v>
      </c>
      <c r="E4094" s="74">
        <v>1</v>
      </c>
      <c r="F4094" s="74">
        <v>0.15</v>
      </c>
      <c r="G4094" s="758">
        <f t="shared" si="252"/>
        <v>0.04</v>
      </c>
      <c r="H4094" s="759">
        <f t="shared" si="253"/>
        <v>0.95</v>
      </c>
      <c r="I4094" s="758">
        <f t="shared" si="254"/>
        <v>0.10999999999999999</v>
      </c>
      <c r="J4094" s="760">
        <f t="shared" si="255"/>
        <v>0.73333333333333339</v>
      </c>
    </row>
    <row r="4095" spans="1:10">
      <c r="A4095" s="74" t="s">
        <v>863</v>
      </c>
      <c r="B4095" s="74" t="s">
        <v>862</v>
      </c>
      <c r="C4095" s="74" t="s">
        <v>1515</v>
      </c>
      <c r="D4095" s="74" t="s">
        <v>81</v>
      </c>
      <c r="E4095" s="74">
        <v>3</v>
      </c>
      <c r="F4095" s="74">
        <v>0.45</v>
      </c>
      <c r="G4095" s="758">
        <f t="shared" si="252"/>
        <v>0.04</v>
      </c>
      <c r="H4095" s="759">
        <f t="shared" si="253"/>
        <v>0.95</v>
      </c>
      <c r="I4095" s="758">
        <f t="shared" si="254"/>
        <v>0.10999999999999999</v>
      </c>
      <c r="J4095" s="760">
        <f t="shared" si="255"/>
        <v>0.73333333333333339</v>
      </c>
    </row>
    <row r="4096" spans="1:10">
      <c r="A4096" s="74" t="s">
        <v>863</v>
      </c>
      <c r="B4096" s="74" t="s">
        <v>862</v>
      </c>
      <c r="C4096" s="74" t="s">
        <v>1516</v>
      </c>
      <c r="D4096" s="74" t="s">
        <v>82</v>
      </c>
      <c r="E4096" s="74">
        <v>5</v>
      </c>
      <c r="F4096" s="74">
        <v>0.75</v>
      </c>
      <c r="G4096" s="758">
        <f t="shared" si="252"/>
        <v>0.04</v>
      </c>
      <c r="H4096" s="759">
        <f t="shared" si="253"/>
        <v>0.95</v>
      </c>
      <c r="I4096" s="758">
        <f t="shared" si="254"/>
        <v>0.10999999999999999</v>
      </c>
      <c r="J4096" s="760">
        <f t="shared" si="255"/>
        <v>0.73333333333333339</v>
      </c>
    </row>
    <row r="4097" spans="1:10">
      <c r="A4097" s="74" t="s">
        <v>863</v>
      </c>
      <c r="B4097" s="74" t="s">
        <v>862</v>
      </c>
      <c r="C4097" s="74" t="s">
        <v>1517</v>
      </c>
      <c r="D4097" s="74" t="s">
        <v>82</v>
      </c>
      <c r="E4097" s="74">
        <v>3</v>
      </c>
      <c r="F4097" s="74">
        <v>0.45</v>
      </c>
      <c r="G4097" s="758">
        <f t="shared" si="252"/>
        <v>0.04</v>
      </c>
      <c r="H4097" s="759">
        <f t="shared" si="253"/>
        <v>0.95</v>
      </c>
      <c r="I4097" s="758">
        <f t="shared" si="254"/>
        <v>0.10999999999999999</v>
      </c>
      <c r="J4097" s="760">
        <f t="shared" si="255"/>
        <v>0.73333333333333339</v>
      </c>
    </row>
    <row r="4098" spans="1:10">
      <c r="A4098" s="74" t="s">
        <v>863</v>
      </c>
      <c r="B4098" s="74" t="s">
        <v>862</v>
      </c>
      <c r="C4098" s="74" t="s">
        <v>1527</v>
      </c>
      <c r="D4098" s="74" t="s">
        <v>82</v>
      </c>
      <c r="E4098" s="74">
        <v>3</v>
      </c>
      <c r="F4098" s="74">
        <v>0.45</v>
      </c>
      <c r="G4098" s="758">
        <f t="shared" ref="G4098:G4161" si="256">IFERROR(VLOOKUP(A4098,$M$1:$P$1014,2,FALSE),0)</f>
        <v>0.04</v>
      </c>
      <c r="H4098" s="759">
        <f t="shared" ref="H4098:H4161" si="257">IFERROR(VLOOKUP(A4098,$M$1:$P$1014,3,FALSE),0)</f>
        <v>0.95</v>
      </c>
      <c r="I4098" s="758">
        <f t="shared" ref="I4098:I4161" si="258">IFERROR(F4098/E4098-G4098,0)</f>
        <v>0.10999999999999999</v>
      </c>
      <c r="J4098" s="760">
        <f t="shared" ref="J4098:J4161" si="259">IFERROR(1-G4098*E4098/F4098,0)</f>
        <v>0.73333333333333339</v>
      </c>
    </row>
    <row r="4099" spans="1:10">
      <c r="A4099" s="74" t="s">
        <v>863</v>
      </c>
      <c r="B4099" s="74" t="s">
        <v>862</v>
      </c>
      <c r="C4099" s="74" t="s">
        <v>1518</v>
      </c>
      <c r="D4099" s="74" t="s">
        <v>82</v>
      </c>
      <c r="E4099" s="74">
        <v>2</v>
      </c>
      <c r="F4099" s="74">
        <v>0.3</v>
      </c>
      <c r="G4099" s="758">
        <f t="shared" si="256"/>
        <v>0.04</v>
      </c>
      <c r="H4099" s="759">
        <f t="shared" si="257"/>
        <v>0.95</v>
      </c>
      <c r="I4099" s="758">
        <f t="shared" si="258"/>
        <v>0.10999999999999999</v>
      </c>
      <c r="J4099" s="760">
        <f t="shared" si="259"/>
        <v>0.73333333333333339</v>
      </c>
    </row>
    <row r="4100" spans="1:10">
      <c r="A4100" s="74" t="s">
        <v>863</v>
      </c>
      <c r="B4100" s="74" t="s">
        <v>862</v>
      </c>
      <c r="C4100" s="74" t="s">
        <v>1519</v>
      </c>
      <c r="D4100" s="74" t="s">
        <v>84</v>
      </c>
      <c r="E4100" s="74">
        <v>1</v>
      </c>
      <c r="F4100" s="74">
        <v>0.15</v>
      </c>
      <c r="G4100" s="758">
        <f t="shared" si="256"/>
        <v>0.04</v>
      </c>
      <c r="H4100" s="759">
        <f t="shared" si="257"/>
        <v>0.95</v>
      </c>
      <c r="I4100" s="758">
        <f t="shared" si="258"/>
        <v>0.10999999999999999</v>
      </c>
      <c r="J4100" s="760">
        <f t="shared" si="259"/>
        <v>0.73333333333333339</v>
      </c>
    </row>
    <row r="4101" spans="1:10">
      <c r="A4101" s="74" t="s">
        <v>863</v>
      </c>
      <c r="B4101" s="74" t="s">
        <v>862</v>
      </c>
      <c r="C4101" s="74" t="s">
        <v>1540</v>
      </c>
      <c r="D4101" s="74" t="s">
        <v>84</v>
      </c>
      <c r="E4101" s="74">
        <v>3</v>
      </c>
      <c r="F4101" s="74">
        <v>0.45</v>
      </c>
      <c r="G4101" s="758">
        <f t="shared" si="256"/>
        <v>0.04</v>
      </c>
      <c r="H4101" s="759">
        <f t="shared" si="257"/>
        <v>0.95</v>
      </c>
      <c r="I4101" s="758">
        <f t="shared" si="258"/>
        <v>0.10999999999999999</v>
      </c>
      <c r="J4101" s="760">
        <f t="shared" si="259"/>
        <v>0.73333333333333339</v>
      </c>
    </row>
    <row r="4102" spans="1:10">
      <c r="A4102" s="74" t="s">
        <v>863</v>
      </c>
      <c r="B4102" s="74" t="s">
        <v>862</v>
      </c>
      <c r="C4102" s="74" t="s">
        <v>1520</v>
      </c>
      <c r="D4102" s="74" t="s">
        <v>84</v>
      </c>
      <c r="E4102" s="74">
        <v>1</v>
      </c>
      <c r="F4102" s="74">
        <v>0.15</v>
      </c>
      <c r="G4102" s="758">
        <f t="shared" si="256"/>
        <v>0.04</v>
      </c>
      <c r="H4102" s="759">
        <f t="shared" si="257"/>
        <v>0.95</v>
      </c>
      <c r="I4102" s="758">
        <f t="shared" si="258"/>
        <v>0.10999999999999999</v>
      </c>
      <c r="J4102" s="760">
        <f t="shared" si="259"/>
        <v>0.73333333333333339</v>
      </c>
    </row>
    <row r="4103" spans="1:10">
      <c r="A4103" s="74" t="s">
        <v>863</v>
      </c>
      <c r="B4103" s="74" t="s">
        <v>862</v>
      </c>
      <c r="C4103" s="74" t="s">
        <v>1577</v>
      </c>
      <c r="D4103" s="74" t="s">
        <v>84</v>
      </c>
      <c r="E4103" s="74">
        <v>2</v>
      </c>
      <c r="F4103" s="74">
        <v>0.3</v>
      </c>
      <c r="G4103" s="758">
        <f t="shared" si="256"/>
        <v>0.04</v>
      </c>
      <c r="H4103" s="759">
        <f t="shared" si="257"/>
        <v>0.95</v>
      </c>
      <c r="I4103" s="758">
        <f t="shared" si="258"/>
        <v>0.10999999999999999</v>
      </c>
      <c r="J4103" s="760">
        <f t="shared" si="259"/>
        <v>0.73333333333333339</v>
      </c>
    </row>
    <row r="4104" spans="1:10">
      <c r="A4104" s="74" t="s">
        <v>863</v>
      </c>
      <c r="B4104" s="74" t="s">
        <v>862</v>
      </c>
      <c r="C4104" s="74" t="s">
        <v>1507</v>
      </c>
      <c r="D4104" s="74" t="s">
        <v>86</v>
      </c>
      <c r="E4104" s="74">
        <v>4</v>
      </c>
      <c r="F4104" s="74">
        <v>0.6</v>
      </c>
      <c r="G4104" s="758">
        <f t="shared" si="256"/>
        <v>0.04</v>
      </c>
      <c r="H4104" s="759">
        <f t="shared" si="257"/>
        <v>0.95</v>
      </c>
      <c r="I4104" s="758">
        <f t="shared" si="258"/>
        <v>0.10999999999999999</v>
      </c>
      <c r="J4104" s="760">
        <f t="shared" si="259"/>
        <v>0.73333333333333339</v>
      </c>
    </row>
    <row r="4105" spans="1:10">
      <c r="A4105" s="74" t="s">
        <v>863</v>
      </c>
      <c r="B4105" s="74" t="s">
        <v>862</v>
      </c>
      <c r="C4105" s="74" t="s">
        <v>1644</v>
      </c>
      <c r="D4105" s="74" t="s">
        <v>86</v>
      </c>
      <c r="E4105" s="74">
        <v>2</v>
      </c>
      <c r="F4105" s="74">
        <v>0.3</v>
      </c>
      <c r="G4105" s="758">
        <f t="shared" si="256"/>
        <v>0.04</v>
      </c>
      <c r="H4105" s="759">
        <f t="shared" si="257"/>
        <v>0.95</v>
      </c>
      <c r="I4105" s="758">
        <f t="shared" si="258"/>
        <v>0.10999999999999999</v>
      </c>
      <c r="J4105" s="760">
        <f t="shared" si="259"/>
        <v>0.73333333333333339</v>
      </c>
    </row>
    <row r="4106" spans="1:10">
      <c r="A4106" s="74" t="s">
        <v>863</v>
      </c>
      <c r="B4106" s="74" t="s">
        <v>862</v>
      </c>
      <c r="C4106" s="74" t="s">
        <v>1578</v>
      </c>
      <c r="D4106" s="74" t="s">
        <v>86</v>
      </c>
      <c r="E4106" s="74">
        <v>3</v>
      </c>
      <c r="F4106" s="74">
        <v>1.95</v>
      </c>
      <c r="G4106" s="758">
        <f t="shared" si="256"/>
        <v>0.04</v>
      </c>
      <c r="H4106" s="759">
        <f t="shared" si="257"/>
        <v>0.95</v>
      </c>
      <c r="I4106" s="758">
        <f t="shared" si="258"/>
        <v>0.61</v>
      </c>
      <c r="J4106" s="760">
        <f t="shared" si="259"/>
        <v>0.93846153846153846</v>
      </c>
    </row>
    <row r="4107" spans="1:10">
      <c r="A4107" s="74" t="s">
        <v>863</v>
      </c>
      <c r="B4107" s="74" t="s">
        <v>862</v>
      </c>
      <c r="C4107" s="74" t="s">
        <v>1646</v>
      </c>
      <c r="D4107" s="74" t="s">
        <v>86</v>
      </c>
      <c r="E4107" s="74">
        <v>6</v>
      </c>
      <c r="F4107" s="74">
        <v>0.9</v>
      </c>
      <c r="G4107" s="758">
        <f t="shared" si="256"/>
        <v>0.04</v>
      </c>
      <c r="H4107" s="759">
        <f t="shared" si="257"/>
        <v>0.95</v>
      </c>
      <c r="I4107" s="758">
        <f t="shared" si="258"/>
        <v>0.10999999999999999</v>
      </c>
      <c r="J4107" s="760">
        <f t="shared" si="259"/>
        <v>0.73333333333333339</v>
      </c>
    </row>
    <row r="4108" spans="1:10">
      <c r="A4108" s="74" t="s">
        <v>863</v>
      </c>
      <c r="B4108" s="74" t="s">
        <v>862</v>
      </c>
      <c r="C4108" s="74" t="s">
        <v>1541</v>
      </c>
      <c r="D4108" s="74" t="s">
        <v>86</v>
      </c>
      <c r="E4108" s="74">
        <v>1</v>
      </c>
      <c r="F4108" s="74">
        <v>0.15</v>
      </c>
      <c r="G4108" s="758">
        <f t="shared" si="256"/>
        <v>0.04</v>
      </c>
      <c r="H4108" s="759">
        <f t="shared" si="257"/>
        <v>0.95</v>
      </c>
      <c r="I4108" s="758">
        <f t="shared" si="258"/>
        <v>0.10999999999999999</v>
      </c>
      <c r="J4108" s="760">
        <f t="shared" si="259"/>
        <v>0.73333333333333339</v>
      </c>
    </row>
    <row r="4109" spans="1:10">
      <c r="A4109" s="74" t="s">
        <v>863</v>
      </c>
      <c r="B4109" s="74" t="s">
        <v>862</v>
      </c>
      <c r="C4109" s="74" t="s">
        <v>1543</v>
      </c>
      <c r="D4109" s="74" t="s">
        <v>87</v>
      </c>
      <c r="E4109" s="74">
        <v>3</v>
      </c>
      <c r="F4109" s="74">
        <v>0.45</v>
      </c>
      <c r="G4109" s="758">
        <f t="shared" si="256"/>
        <v>0.04</v>
      </c>
      <c r="H4109" s="759">
        <f t="shared" si="257"/>
        <v>0.95</v>
      </c>
      <c r="I4109" s="758">
        <f t="shared" si="258"/>
        <v>0.10999999999999999</v>
      </c>
      <c r="J4109" s="760">
        <f t="shared" si="259"/>
        <v>0.73333333333333339</v>
      </c>
    </row>
    <row r="4110" spans="1:10">
      <c r="A4110" s="74" t="s">
        <v>863</v>
      </c>
      <c r="B4110" s="74" t="s">
        <v>862</v>
      </c>
      <c r="C4110" s="74" t="s">
        <v>1605</v>
      </c>
      <c r="D4110" s="74" t="s">
        <v>87</v>
      </c>
      <c r="E4110" s="74">
        <v>5</v>
      </c>
      <c r="F4110" s="74">
        <v>0.75</v>
      </c>
      <c r="G4110" s="758">
        <f t="shared" si="256"/>
        <v>0.04</v>
      </c>
      <c r="H4110" s="759">
        <f t="shared" si="257"/>
        <v>0.95</v>
      </c>
      <c r="I4110" s="758">
        <f t="shared" si="258"/>
        <v>0.10999999999999999</v>
      </c>
      <c r="J4110" s="760">
        <f t="shared" si="259"/>
        <v>0.73333333333333339</v>
      </c>
    </row>
    <row r="4111" spans="1:10">
      <c r="A4111" s="74" t="s">
        <v>863</v>
      </c>
      <c r="B4111" s="74" t="s">
        <v>862</v>
      </c>
      <c r="C4111" s="74" t="s">
        <v>1561</v>
      </c>
      <c r="D4111" s="74" t="s">
        <v>87</v>
      </c>
      <c r="E4111" s="74">
        <v>3</v>
      </c>
      <c r="F4111" s="74">
        <v>0.45</v>
      </c>
      <c r="G4111" s="758">
        <f t="shared" si="256"/>
        <v>0.04</v>
      </c>
      <c r="H4111" s="759">
        <f t="shared" si="257"/>
        <v>0.95</v>
      </c>
      <c r="I4111" s="758">
        <f t="shared" si="258"/>
        <v>0.10999999999999999</v>
      </c>
      <c r="J4111" s="760">
        <f t="shared" si="259"/>
        <v>0.73333333333333339</v>
      </c>
    </row>
    <row r="4112" spans="1:10">
      <c r="A4112" s="74" t="s">
        <v>863</v>
      </c>
      <c r="B4112" s="74" t="s">
        <v>862</v>
      </c>
      <c r="C4112" s="74" t="s">
        <v>1608</v>
      </c>
      <c r="D4112" s="74" t="s">
        <v>89</v>
      </c>
      <c r="E4112" s="74">
        <v>3</v>
      </c>
      <c r="F4112" s="74">
        <v>0.45</v>
      </c>
      <c r="G4112" s="758">
        <f t="shared" si="256"/>
        <v>0.04</v>
      </c>
      <c r="H4112" s="759">
        <f t="shared" si="257"/>
        <v>0.95</v>
      </c>
      <c r="I4112" s="758">
        <f t="shared" si="258"/>
        <v>0.10999999999999999</v>
      </c>
      <c r="J4112" s="760">
        <f t="shared" si="259"/>
        <v>0.73333333333333339</v>
      </c>
    </row>
    <row r="4113" spans="1:10">
      <c r="A4113" s="74" t="s">
        <v>863</v>
      </c>
      <c r="B4113" s="74" t="s">
        <v>862</v>
      </c>
      <c r="C4113" s="74" t="s">
        <v>1546</v>
      </c>
      <c r="D4113" s="74" t="s">
        <v>89</v>
      </c>
      <c r="E4113" s="74">
        <v>3</v>
      </c>
      <c r="F4113" s="74">
        <v>0.45</v>
      </c>
      <c r="G4113" s="758">
        <f t="shared" si="256"/>
        <v>0.04</v>
      </c>
      <c r="H4113" s="759">
        <f t="shared" si="257"/>
        <v>0.95</v>
      </c>
      <c r="I4113" s="758">
        <f t="shared" si="258"/>
        <v>0.10999999999999999</v>
      </c>
      <c r="J4113" s="760">
        <f t="shared" si="259"/>
        <v>0.73333333333333339</v>
      </c>
    </row>
    <row r="4114" spans="1:10">
      <c r="A4114" s="74" t="s">
        <v>863</v>
      </c>
      <c r="B4114" s="74" t="s">
        <v>862</v>
      </c>
      <c r="C4114" s="74" t="s">
        <v>1582</v>
      </c>
      <c r="D4114" s="74" t="s">
        <v>89</v>
      </c>
      <c r="E4114" s="74">
        <v>4</v>
      </c>
      <c r="F4114" s="74">
        <v>0.6</v>
      </c>
      <c r="G4114" s="758">
        <f t="shared" si="256"/>
        <v>0.04</v>
      </c>
      <c r="H4114" s="759">
        <f t="shared" si="257"/>
        <v>0.95</v>
      </c>
      <c r="I4114" s="758">
        <f t="shared" si="258"/>
        <v>0.10999999999999999</v>
      </c>
      <c r="J4114" s="760">
        <f t="shared" si="259"/>
        <v>0.73333333333333339</v>
      </c>
    </row>
    <row r="4115" spans="1:10">
      <c r="A4115" s="74" t="s">
        <v>863</v>
      </c>
      <c r="B4115" s="74" t="s">
        <v>862</v>
      </c>
      <c r="C4115" s="74" t="s">
        <v>1522</v>
      </c>
      <c r="D4115" s="74" t="s">
        <v>91</v>
      </c>
      <c r="E4115" s="74">
        <v>2</v>
      </c>
      <c r="F4115" s="74">
        <v>0.3</v>
      </c>
      <c r="G4115" s="758">
        <f t="shared" si="256"/>
        <v>0.04</v>
      </c>
      <c r="H4115" s="759">
        <f t="shared" si="257"/>
        <v>0.95</v>
      </c>
      <c r="I4115" s="758">
        <f t="shared" si="258"/>
        <v>0.10999999999999999</v>
      </c>
      <c r="J4115" s="760">
        <f t="shared" si="259"/>
        <v>0.73333333333333339</v>
      </c>
    </row>
    <row r="4116" spans="1:10">
      <c r="A4116" s="74" t="s">
        <v>863</v>
      </c>
      <c r="B4116" s="74" t="s">
        <v>862</v>
      </c>
      <c r="C4116" s="74" t="s">
        <v>1550</v>
      </c>
      <c r="D4116" s="74" t="s">
        <v>91</v>
      </c>
      <c r="E4116" s="74">
        <v>6</v>
      </c>
      <c r="F4116" s="74">
        <v>0.9</v>
      </c>
      <c r="G4116" s="758">
        <f t="shared" si="256"/>
        <v>0.04</v>
      </c>
      <c r="H4116" s="759">
        <f t="shared" si="257"/>
        <v>0.95</v>
      </c>
      <c r="I4116" s="758">
        <f t="shared" si="258"/>
        <v>0.10999999999999999</v>
      </c>
      <c r="J4116" s="760">
        <f t="shared" si="259"/>
        <v>0.73333333333333339</v>
      </c>
    </row>
    <row r="4117" spans="1:10">
      <c r="A4117" s="74" t="s">
        <v>863</v>
      </c>
      <c r="B4117" s="74" t="s">
        <v>862</v>
      </c>
      <c r="C4117" s="74" t="s">
        <v>1524</v>
      </c>
      <c r="D4117" s="74" t="s">
        <v>91</v>
      </c>
      <c r="E4117" s="74">
        <v>3</v>
      </c>
      <c r="F4117" s="74">
        <v>0.45</v>
      </c>
      <c r="G4117" s="758">
        <f t="shared" si="256"/>
        <v>0.04</v>
      </c>
      <c r="H4117" s="759">
        <f t="shared" si="257"/>
        <v>0.95</v>
      </c>
      <c r="I4117" s="758">
        <f t="shared" si="258"/>
        <v>0.10999999999999999</v>
      </c>
      <c r="J4117" s="760">
        <f t="shared" si="259"/>
        <v>0.73333333333333339</v>
      </c>
    </row>
    <row r="4118" spans="1:10">
      <c r="A4118" s="74" t="s">
        <v>863</v>
      </c>
      <c r="B4118" s="74" t="s">
        <v>862</v>
      </c>
      <c r="C4118" s="74" t="s">
        <v>1584</v>
      </c>
      <c r="D4118" s="74" t="s">
        <v>92</v>
      </c>
      <c r="E4118" s="74">
        <v>1</v>
      </c>
      <c r="F4118" s="74">
        <v>0.15</v>
      </c>
      <c r="G4118" s="758">
        <f t="shared" si="256"/>
        <v>0.04</v>
      </c>
      <c r="H4118" s="759">
        <f t="shared" si="257"/>
        <v>0.95</v>
      </c>
      <c r="I4118" s="758">
        <f t="shared" si="258"/>
        <v>0.10999999999999999</v>
      </c>
      <c r="J4118" s="760">
        <f t="shared" si="259"/>
        <v>0.73333333333333339</v>
      </c>
    </row>
    <row r="4119" spans="1:10">
      <c r="A4119" s="74" t="s">
        <v>863</v>
      </c>
      <c r="B4119" s="74" t="s">
        <v>862</v>
      </c>
      <c r="C4119" s="74" t="s">
        <v>1614</v>
      </c>
      <c r="D4119" s="74" t="s">
        <v>92</v>
      </c>
      <c r="E4119" s="74">
        <v>12</v>
      </c>
      <c r="F4119" s="74">
        <v>1.8</v>
      </c>
      <c r="G4119" s="758">
        <f t="shared" si="256"/>
        <v>0.04</v>
      </c>
      <c r="H4119" s="759">
        <f t="shared" si="257"/>
        <v>0.95</v>
      </c>
      <c r="I4119" s="758">
        <f t="shared" si="258"/>
        <v>0.10999999999999999</v>
      </c>
      <c r="J4119" s="760">
        <f t="shared" si="259"/>
        <v>0.73333333333333339</v>
      </c>
    </row>
    <row r="4120" spans="1:10">
      <c r="A4120" s="74" t="s">
        <v>863</v>
      </c>
      <c r="B4120" s="74" t="s">
        <v>862</v>
      </c>
      <c r="C4120" s="74" t="s">
        <v>1631</v>
      </c>
      <c r="D4120" s="74" t="s">
        <v>92</v>
      </c>
      <c r="E4120" s="74">
        <v>2</v>
      </c>
      <c r="F4120" s="74">
        <v>0.3</v>
      </c>
      <c r="G4120" s="758">
        <f t="shared" si="256"/>
        <v>0.04</v>
      </c>
      <c r="H4120" s="759">
        <f t="shared" si="257"/>
        <v>0.95</v>
      </c>
      <c r="I4120" s="758">
        <f t="shared" si="258"/>
        <v>0.10999999999999999</v>
      </c>
      <c r="J4120" s="760">
        <f t="shared" si="259"/>
        <v>0.73333333333333339</v>
      </c>
    </row>
    <row r="4121" spans="1:10">
      <c r="A4121" s="74" t="s">
        <v>863</v>
      </c>
      <c r="B4121" s="74" t="s">
        <v>862</v>
      </c>
      <c r="C4121" s="74" t="s">
        <v>1552</v>
      </c>
      <c r="D4121" s="74" t="s">
        <v>92</v>
      </c>
      <c r="E4121" s="74">
        <v>5</v>
      </c>
      <c r="F4121" s="74">
        <v>0.75</v>
      </c>
      <c r="G4121" s="758">
        <f t="shared" si="256"/>
        <v>0.04</v>
      </c>
      <c r="H4121" s="759">
        <f t="shared" si="257"/>
        <v>0.95</v>
      </c>
      <c r="I4121" s="758">
        <f t="shared" si="258"/>
        <v>0.10999999999999999</v>
      </c>
      <c r="J4121" s="760">
        <f t="shared" si="259"/>
        <v>0.73333333333333339</v>
      </c>
    </row>
    <row r="4122" spans="1:10">
      <c r="A4122" s="74" t="s">
        <v>863</v>
      </c>
      <c r="B4122" s="74" t="s">
        <v>862</v>
      </c>
      <c r="C4122" s="74" t="s">
        <v>1617</v>
      </c>
      <c r="D4122" s="74" t="s">
        <v>94</v>
      </c>
      <c r="E4122" s="74">
        <v>4</v>
      </c>
      <c r="F4122" s="74">
        <v>0.6</v>
      </c>
      <c r="G4122" s="758">
        <f t="shared" si="256"/>
        <v>0.04</v>
      </c>
      <c r="H4122" s="759">
        <f t="shared" si="257"/>
        <v>0.95</v>
      </c>
      <c r="I4122" s="758">
        <f t="shared" si="258"/>
        <v>0.10999999999999999</v>
      </c>
      <c r="J4122" s="760">
        <f t="shared" si="259"/>
        <v>0.73333333333333339</v>
      </c>
    </row>
    <row r="4123" spans="1:10">
      <c r="A4123" s="74" t="s">
        <v>863</v>
      </c>
      <c r="B4123" s="74" t="s">
        <v>862</v>
      </c>
      <c r="C4123" s="74" t="s">
        <v>1553</v>
      </c>
      <c r="D4123" s="74" t="s">
        <v>94</v>
      </c>
      <c r="E4123" s="74">
        <v>1</v>
      </c>
      <c r="F4123" s="74">
        <v>0.15</v>
      </c>
      <c r="G4123" s="758">
        <f t="shared" si="256"/>
        <v>0.04</v>
      </c>
      <c r="H4123" s="759">
        <f t="shared" si="257"/>
        <v>0.95</v>
      </c>
      <c r="I4123" s="758">
        <f t="shared" si="258"/>
        <v>0.10999999999999999</v>
      </c>
      <c r="J4123" s="760">
        <f t="shared" si="259"/>
        <v>0.73333333333333339</v>
      </c>
    </row>
    <row r="4124" spans="1:10">
      <c r="A4124" s="74" t="s">
        <v>863</v>
      </c>
      <c r="B4124" s="74" t="s">
        <v>862</v>
      </c>
      <c r="C4124" s="74" t="s">
        <v>1557</v>
      </c>
      <c r="D4124" s="74" t="s">
        <v>95</v>
      </c>
      <c r="E4124" s="74">
        <v>2</v>
      </c>
      <c r="F4124" s="74">
        <v>0.3</v>
      </c>
      <c r="G4124" s="758">
        <f t="shared" si="256"/>
        <v>0.04</v>
      </c>
      <c r="H4124" s="759">
        <f t="shared" si="257"/>
        <v>0.95</v>
      </c>
      <c r="I4124" s="758">
        <f t="shared" si="258"/>
        <v>0.10999999999999999</v>
      </c>
      <c r="J4124" s="760">
        <f t="shared" si="259"/>
        <v>0.73333333333333339</v>
      </c>
    </row>
    <row r="4125" spans="1:10">
      <c r="A4125" s="74" t="s">
        <v>863</v>
      </c>
      <c r="B4125" s="74" t="s">
        <v>862</v>
      </c>
      <c r="C4125" s="74" t="s">
        <v>1526</v>
      </c>
      <c r="D4125" s="74" t="s">
        <v>95</v>
      </c>
      <c r="E4125" s="74">
        <v>3</v>
      </c>
      <c r="F4125" s="74">
        <v>0.45</v>
      </c>
      <c r="G4125" s="758">
        <f t="shared" si="256"/>
        <v>0.04</v>
      </c>
      <c r="H4125" s="759">
        <f t="shared" si="257"/>
        <v>0.95</v>
      </c>
      <c r="I4125" s="758">
        <f t="shared" si="258"/>
        <v>0.10999999999999999</v>
      </c>
      <c r="J4125" s="760">
        <f t="shared" si="259"/>
        <v>0.73333333333333339</v>
      </c>
    </row>
    <row r="4126" spans="1:10">
      <c r="A4126" s="74" t="s">
        <v>907</v>
      </c>
      <c r="B4126" s="74" t="s">
        <v>862</v>
      </c>
      <c r="C4126" s="74" t="s">
        <v>1527</v>
      </c>
      <c r="D4126" s="74" t="s">
        <v>82</v>
      </c>
      <c r="E4126" s="74">
        <v>2</v>
      </c>
      <c r="F4126" s="74">
        <v>0.3</v>
      </c>
      <c r="G4126" s="758">
        <f t="shared" si="256"/>
        <v>0.12</v>
      </c>
      <c r="H4126" s="759">
        <f t="shared" si="257"/>
        <v>0.95</v>
      </c>
      <c r="I4126" s="758">
        <f t="shared" si="258"/>
        <v>0.03</v>
      </c>
      <c r="J4126" s="760">
        <f t="shared" si="259"/>
        <v>0.19999999999999996</v>
      </c>
    </row>
    <row r="4127" spans="1:10">
      <c r="A4127" s="74" t="s">
        <v>907</v>
      </c>
      <c r="B4127" s="74" t="s">
        <v>862</v>
      </c>
      <c r="C4127" s="74" t="s">
        <v>1518</v>
      </c>
      <c r="D4127" s="74" t="s">
        <v>82</v>
      </c>
      <c r="E4127" s="74">
        <v>5</v>
      </c>
      <c r="F4127" s="74">
        <v>0.75</v>
      </c>
      <c r="G4127" s="758">
        <f t="shared" si="256"/>
        <v>0.12</v>
      </c>
      <c r="H4127" s="759">
        <f t="shared" si="257"/>
        <v>0.95</v>
      </c>
      <c r="I4127" s="758">
        <f t="shared" si="258"/>
        <v>0.03</v>
      </c>
      <c r="J4127" s="760">
        <f t="shared" si="259"/>
        <v>0.20000000000000007</v>
      </c>
    </row>
    <row r="4128" spans="1:10">
      <c r="A4128" s="74" t="s">
        <v>907</v>
      </c>
      <c r="B4128" s="74" t="s">
        <v>862</v>
      </c>
      <c r="C4128" s="74" t="s">
        <v>1519</v>
      </c>
      <c r="D4128" s="74" t="s">
        <v>84</v>
      </c>
      <c r="E4128" s="74">
        <v>6</v>
      </c>
      <c r="F4128" s="74">
        <v>0.9</v>
      </c>
      <c r="G4128" s="758">
        <f t="shared" si="256"/>
        <v>0.12</v>
      </c>
      <c r="H4128" s="759">
        <f t="shared" si="257"/>
        <v>0.95</v>
      </c>
      <c r="I4128" s="758">
        <f t="shared" si="258"/>
        <v>0.03</v>
      </c>
      <c r="J4128" s="760">
        <f t="shared" si="259"/>
        <v>0.20000000000000007</v>
      </c>
    </row>
    <row r="4129" spans="1:10">
      <c r="A4129" s="74" t="s">
        <v>907</v>
      </c>
      <c r="B4129" s="74" t="s">
        <v>862</v>
      </c>
      <c r="C4129" s="74" t="s">
        <v>1540</v>
      </c>
      <c r="D4129" s="74" t="s">
        <v>84</v>
      </c>
      <c r="E4129" s="74">
        <v>2</v>
      </c>
      <c r="F4129" s="74">
        <v>0.3</v>
      </c>
      <c r="G4129" s="758">
        <f t="shared" si="256"/>
        <v>0.12</v>
      </c>
      <c r="H4129" s="759">
        <f t="shared" si="257"/>
        <v>0.95</v>
      </c>
      <c r="I4129" s="758">
        <f t="shared" si="258"/>
        <v>0.03</v>
      </c>
      <c r="J4129" s="760">
        <f t="shared" si="259"/>
        <v>0.19999999999999996</v>
      </c>
    </row>
    <row r="4130" spans="1:10">
      <c r="A4130" s="74" t="s">
        <v>907</v>
      </c>
      <c r="B4130" s="74" t="s">
        <v>862</v>
      </c>
      <c r="C4130" s="74" t="s">
        <v>1520</v>
      </c>
      <c r="D4130" s="74" t="s">
        <v>84</v>
      </c>
      <c r="E4130" s="74">
        <v>1</v>
      </c>
      <c r="F4130" s="74">
        <v>0.15</v>
      </c>
      <c r="G4130" s="758">
        <f t="shared" si="256"/>
        <v>0.12</v>
      </c>
      <c r="H4130" s="759">
        <f t="shared" si="257"/>
        <v>0.95</v>
      </c>
      <c r="I4130" s="758">
        <f t="shared" si="258"/>
        <v>0.03</v>
      </c>
      <c r="J4130" s="760">
        <f t="shared" si="259"/>
        <v>0.19999999999999996</v>
      </c>
    </row>
    <row r="4131" spans="1:10">
      <c r="A4131" s="74" t="s">
        <v>907</v>
      </c>
      <c r="B4131" s="74" t="s">
        <v>862</v>
      </c>
      <c r="C4131" s="74" t="s">
        <v>1507</v>
      </c>
      <c r="D4131" s="74" t="s">
        <v>86</v>
      </c>
      <c r="E4131" s="74">
        <v>4</v>
      </c>
      <c r="F4131" s="74">
        <v>0.6</v>
      </c>
      <c r="G4131" s="758">
        <f t="shared" si="256"/>
        <v>0.12</v>
      </c>
      <c r="H4131" s="759">
        <f t="shared" si="257"/>
        <v>0.95</v>
      </c>
      <c r="I4131" s="758">
        <f t="shared" si="258"/>
        <v>0.03</v>
      </c>
      <c r="J4131" s="760">
        <f t="shared" si="259"/>
        <v>0.19999999999999996</v>
      </c>
    </row>
    <row r="4132" spans="1:10">
      <c r="A4132" s="74" t="s">
        <v>907</v>
      </c>
      <c r="B4132" s="74" t="s">
        <v>862</v>
      </c>
      <c r="C4132" s="74" t="s">
        <v>1644</v>
      </c>
      <c r="D4132" s="74" t="s">
        <v>86</v>
      </c>
      <c r="E4132" s="74">
        <v>4</v>
      </c>
      <c r="F4132" s="74">
        <v>0.6</v>
      </c>
      <c r="G4132" s="758">
        <f t="shared" si="256"/>
        <v>0.12</v>
      </c>
      <c r="H4132" s="759">
        <f t="shared" si="257"/>
        <v>0.95</v>
      </c>
      <c r="I4132" s="758">
        <f t="shared" si="258"/>
        <v>0.03</v>
      </c>
      <c r="J4132" s="760">
        <f t="shared" si="259"/>
        <v>0.19999999999999996</v>
      </c>
    </row>
    <row r="4133" spans="1:10">
      <c r="A4133" s="74" t="s">
        <v>907</v>
      </c>
      <c r="B4133" s="74" t="s">
        <v>862</v>
      </c>
      <c r="C4133" s="74" t="s">
        <v>1578</v>
      </c>
      <c r="D4133" s="74" t="s">
        <v>86</v>
      </c>
      <c r="E4133" s="74">
        <v>4</v>
      </c>
      <c r="F4133" s="74">
        <v>0.6</v>
      </c>
      <c r="G4133" s="758">
        <f t="shared" si="256"/>
        <v>0.12</v>
      </c>
      <c r="H4133" s="759">
        <f t="shared" si="257"/>
        <v>0.95</v>
      </c>
      <c r="I4133" s="758">
        <f t="shared" si="258"/>
        <v>0.03</v>
      </c>
      <c r="J4133" s="760">
        <f t="shared" si="259"/>
        <v>0.19999999999999996</v>
      </c>
    </row>
    <row r="4134" spans="1:10">
      <c r="A4134" s="74" t="s">
        <v>907</v>
      </c>
      <c r="B4134" s="74" t="s">
        <v>862</v>
      </c>
      <c r="C4134" s="74" t="s">
        <v>1543</v>
      </c>
      <c r="D4134" s="74" t="s">
        <v>87</v>
      </c>
      <c r="E4134" s="74">
        <v>2</v>
      </c>
      <c r="F4134" s="74">
        <v>0.3</v>
      </c>
      <c r="G4134" s="758">
        <f t="shared" si="256"/>
        <v>0.12</v>
      </c>
      <c r="H4134" s="759">
        <f t="shared" si="257"/>
        <v>0.95</v>
      </c>
      <c r="I4134" s="758">
        <f t="shared" si="258"/>
        <v>0.03</v>
      </c>
      <c r="J4134" s="760">
        <f t="shared" si="259"/>
        <v>0.19999999999999996</v>
      </c>
    </row>
    <row r="4135" spans="1:10">
      <c r="A4135" s="74" t="s">
        <v>907</v>
      </c>
      <c r="B4135" s="74" t="s">
        <v>862</v>
      </c>
      <c r="C4135" s="74" t="s">
        <v>1544</v>
      </c>
      <c r="D4135" s="74" t="s">
        <v>87</v>
      </c>
      <c r="E4135" s="74">
        <v>6</v>
      </c>
      <c r="F4135" s="74">
        <v>0.9</v>
      </c>
      <c r="G4135" s="758">
        <f t="shared" si="256"/>
        <v>0.12</v>
      </c>
      <c r="H4135" s="759">
        <f t="shared" si="257"/>
        <v>0.95</v>
      </c>
      <c r="I4135" s="758">
        <f t="shared" si="258"/>
        <v>0.03</v>
      </c>
      <c r="J4135" s="760">
        <f t="shared" si="259"/>
        <v>0.20000000000000007</v>
      </c>
    </row>
    <row r="4136" spans="1:10">
      <c r="A4136" s="74" t="s">
        <v>907</v>
      </c>
      <c r="B4136" s="74" t="s">
        <v>862</v>
      </c>
      <c r="C4136" s="74" t="s">
        <v>1561</v>
      </c>
      <c r="D4136" s="74" t="s">
        <v>87</v>
      </c>
      <c r="E4136" s="74">
        <v>2</v>
      </c>
      <c r="F4136" s="74">
        <v>0.3</v>
      </c>
      <c r="G4136" s="758">
        <f t="shared" si="256"/>
        <v>0.12</v>
      </c>
      <c r="H4136" s="759">
        <f t="shared" si="257"/>
        <v>0.95</v>
      </c>
      <c r="I4136" s="758">
        <f t="shared" si="258"/>
        <v>0.03</v>
      </c>
      <c r="J4136" s="760">
        <f t="shared" si="259"/>
        <v>0.19999999999999996</v>
      </c>
    </row>
    <row r="4137" spans="1:10">
      <c r="A4137" s="74" t="s">
        <v>907</v>
      </c>
      <c r="B4137" s="74" t="s">
        <v>862</v>
      </c>
      <c r="C4137" s="74" t="s">
        <v>1547</v>
      </c>
      <c r="D4137" s="74" t="s">
        <v>89</v>
      </c>
      <c r="E4137" s="74">
        <v>4</v>
      </c>
      <c r="F4137" s="74">
        <v>0.6</v>
      </c>
      <c r="G4137" s="758">
        <f t="shared" si="256"/>
        <v>0.12</v>
      </c>
      <c r="H4137" s="759">
        <f t="shared" si="257"/>
        <v>0.95</v>
      </c>
      <c r="I4137" s="758">
        <f t="shared" si="258"/>
        <v>0.03</v>
      </c>
      <c r="J4137" s="760">
        <f t="shared" si="259"/>
        <v>0.19999999999999996</v>
      </c>
    </row>
    <row r="4138" spans="1:10">
      <c r="A4138" s="74" t="s">
        <v>907</v>
      </c>
      <c r="B4138" s="74" t="s">
        <v>862</v>
      </c>
      <c r="C4138" s="74" t="s">
        <v>1582</v>
      </c>
      <c r="D4138" s="74" t="s">
        <v>89</v>
      </c>
      <c r="E4138" s="74">
        <v>2</v>
      </c>
      <c r="F4138" s="74">
        <v>0.3</v>
      </c>
      <c r="G4138" s="758">
        <f t="shared" si="256"/>
        <v>0.12</v>
      </c>
      <c r="H4138" s="759">
        <f t="shared" si="257"/>
        <v>0.95</v>
      </c>
      <c r="I4138" s="758">
        <f t="shared" si="258"/>
        <v>0.03</v>
      </c>
      <c r="J4138" s="760">
        <f t="shared" si="259"/>
        <v>0.19999999999999996</v>
      </c>
    </row>
    <row r="4139" spans="1:10">
      <c r="A4139" s="74" t="s">
        <v>907</v>
      </c>
      <c r="B4139" s="74" t="s">
        <v>862</v>
      </c>
      <c r="C4139" s="74" t="s">
        <v>1522</v>
      </c>
      <c r="D4139" s="74" t="s">
        <v>91</v>
      </c>
      <c r="E4139" s="74">
        <v>3</v>
      </c>
      <c r="F4139" s="74">
        <v>0.45</v>
      </c>
      <c r="G4139" s="758">
        <f t="shared" si="256"/>
        <v>0.12</v>
      </c>
      <c r="H4139" s="759">
        <f t="shared" si="257"/>
        <v>0.95</v>
      </c>
      <c r="I4139" s="758">
        <f t="shared" si="258"/>
        <v>0.03</v>
      </c>
      <c r="J4139" s="760">
        <f t="shared" si="259"/>
        <v>0.20000000000000007</v>
      </c>
    </row>
    <row r="4140" spans="1:10">
      <c r="A4140" s="74" t="s">
        <v>907</v>
      </c>
      <c r="B4140" s="74" t="s">
        <v>862</v>
      </c>
      <c r="C4140" s="74" t="s">
        <v>1550</v>
      </c>
      <c r="D4140" s="74" t="s">
        <v>91</v>
      </c>
      <c r="E4140" s="74">
        <v>1</v>
      </c>
      <c r="F4140" s="74">
        <v>0.15</v>
      </c>
      <c r="G4140" s="758">
        <f t="shared" si="256"/>
        <v>0.12</v>
      </c>
      <c r="H4140" s="759">
        <f t="shared" si="257"/>
        <v>0.95</v>
      </c>
      <c r="I4140" s="758">
        <f t="shared" si="258"/>
        <v>0.03</v>
      </c>
      <c r="J4140" s="760">
        <f t="shared" si="259"/>
        <v>0.19999999999999996</v>
      </c>
    </row>
    <row r="4141" spans="1:10">
      <c r="A4141" s="74" t="s">
        <v>907</v>
      </c>
      <c r="B4141" s="74" t="s">
        <v>862</v>
      </c>
      <c r="C4141" s="74" t="s">
        <v>1675</v>
      </c>
      <c r="D4141" s="74" t="s">
        <v>91</v>
      </c>
      <c r="E4141" s="74">
        <v>6</v>
      </c>
      <c r="F4141" s="74">
        <v>0.9</v>
      </c>
      <c r="G4141" s="758">
        <f t="shared" si="256"/>
        <v>0.12</v>
      </c>
      <c r="H4141" s="759">
        <f t="shared" si="257"/>
        <v>0.95</v>
      </c>
      <c r="I4141" s="758">
        <f t="shared" si="258"/>
        <v>0.03</v>
      </c>
      <c r="J4141" s="760">
        <f t="shared" si="259"/>
        <v>0.20000000000000007</v>
      </c>
    </row>
    <row r="4142" spans="1:10">
      <c r="A4142" s="74" t="s">
        <v>907</v>
      </c>
      <c r="B4142" s="74" t="s">
        <v>862</v>
      </c>
      <c r="C4142" s="74" t="s">
        <v>1524</v>
      </c>
      <c r="D4142" s="74" t="s">
        <v>91</v>
      </c>
      <c r="E4142" s="74">
        <v>1</v>
      </c>
      <c r="F4142" s="74">
        <v>0.15</v>
      </c>
      <c r="G4142" s="758">
        <f t="shared" si="256"/>
        <v>0.12</v>
      </c>
      <c r="H4142" s="759">
        <f t="shared" si="257"/>
        <v>0.95</v>
      </c>
      <c r="I4142" s="758">
        <f t="shared" si="258"/>
        <v>0.03</v>
      </c>
      <c r="J4142" s="760">
        <f t="shared" si="259"/>
        <v>0.19999999999999996</v>
      </c>
    </row>
    <row r="4143" spans="1:10">
      <c r="A4143" s="74" t="s">
        <v>907</v>
      </c>
      <c r="B4143" s="74" t="s">
        <v>862</v>
      </c>
      <c r="C4143" s="74" t="s">
        <v>1584</v>
      </c>
      <c r="D4143" s="74" t="s">
        <v>92</v>
      </c>
      <c r="E4143" s="74">
        <v>4</v>
      </c>
      <c r="F4143" s="74">
        <v>0.6</v>
      </c>
      <c r="G4143" s="758">
        <f t="shared" si="256"/>
        <v>0.12</v>
      </c>
      <c r="H4143" s="759">
        <f t="shared" si="257"/>
        <v>0.95</v>
      </c>
      <c r="I4143" s="758">
        <f t="shared" si="258"/>
        <v>0.03</v>
      </c>
      <c r="J4143" s="760">
        <f t="shared" si="259"/>
        <v>0.19999999999999996</v>
      </c>
    </row>
    <row r="4144" spans="1:10">
      <c r="A4144" s="74" t="s">
        <v>907</v>
      </c>
      <c r="B4144" s="74" t="s">
        <v>862</v>
      </c>
      <c r="C4144" s="74" t="s">
        <v>1614</v>
      </c>
      <c r="D4144" s="74" t="s">
        <v>92</v>
      </c>
      <c r="E4144" s="74">
        <v>4</v>
      </c>
      <c r="F4144" s="74">
        <v>0.6</v>
      </c>
      <c r="G4144" s="758">
        <f t="shared" si="256"/>
        <v>0.12</v>
      </c>
      <c r="H4144" s="759">
        <f t="shared" si="257"/>
        <v>0.95</v>
      </c>
      <c r="I4144" s="758">
        <f t="shared" si="258"/>
        <v>0.03</v>
      </c>
      <c r="J4144" s="760">
        <f t="shared" si="259"/>
        <v>0.19999999999999996</v>
      </c>
    </row>
    <row r="4145" spans="1:10">
      <c r="A4145" s="74" t="s">
        <v>907</v>
      </c>
      <c r="B4145" s="74" t="s">
        <v>862</v>
      </c>
      <c r="C4145" s="74" t="s">
        <v>1631</v>
      </c>
      <c r="D4145" s="74" t="s">
        <v>92</v>
      </c>
      <c r="E4145" s="74">
        <v>12</v>
      </c>
      <c r="F4145" s="74">
        <v>1.8</v>
      </c>
      <c r="G4145" s="758">
        <f t="shared" si="256"/>
        <v>0.12</v>
      </c>
      <c r="H4145" s="759">
        <f t="shared" si="257"/>
        <v>0.95</v>
      </c>
      <c r="I4145" s="758">
        <f t="shared" si="258"/>
        <v>0.03</v>
      </c>
      <c r="J4145" s="760">
        <f t="shared" si="259"/>
        <v>0.20000000000000007</v>
      </c>
    </row>
    <row r="4146" spans="1:10">
      <c r="A4146" s="74" t="s">
        <v>907</v>
      </c>
      <c r="B4146" s="74" t="s">
        <v>862</v>
      </c>
      <c r="C4146" s="74" t="s">
        <v>1552</v>
      </c>
      <c r="D4146" s="74" t="s">
        <v>92</v>
      </c>
      <c r="E4146" s="74">
        <v>4</v>
      </c>
      <c r="F4146" s="74">
        <v>0.6</v>
      </c>
      <c r="G4146" s="758">
        <f t="shared" si="256"/>
        <v>0.12</v>
      </c>
      <c r="H4146" s="759">
        <f t="shared" si="257"/>
        <v>0.95</v>
      </c>
      <c r="I4146" s="758">
        <f t="shared" si="258"/>
        <v>0.03</v>
      </c>
      <c r="J4146" s="760">
        <f t="shared" si="259"/>
        <v>0.19999999999999996</v>
      </c>
    </row>
    <row r="4147" spans="1:10">
      <c r="A4147" s="74" t="s">
        <v>907</v>
      </c>
      <c r="B4147" s="74" t="s">
        <v>862</v>
      </c>
      <c r="C4147" s="74" t="s">
        <v>1617</v>
      </c>
      <c r="D4147" s="74" t="s">
        <v>94</v>
      </c>
      <c r="E4147" s="74">
        <v>3</v>
      </c>
      <c r="F4147" s="74">
        <v>0.45</v>
      </c>
      <c r="G4147" s="758">
        <f t="shared" si="256"/>
        <v>0.12</v>
      </c>
      <c r="H4147" s="759">
        <f t="shared" si="257"/>
        <v>0.95</v>
      </c>
      <c r="I4147" s="758">
        <f t="shared" si="258"/>
        <v>0.03</v>
      </c>
      <c r="J4147" s="760">
        <f t="shared" si="259"/>
        <v>0.20000000000000007</v>
      </c>
    </row>
    <row r="4148" spans="1:10">
      <c r="A4148" s="74" t="s">
        <v>907</v>
      </c>
      <c r="B4148" s="74" t="s">
        <v>862</v>
      </c>
      <c r="C4148" s="74" t="s">
        <v>1553</v>
      </c>
      <c r="D4148" s="74" t="s">
        <v>94</v>
      </c>
      <c r="E4148" s="74">
        <v>3</v>
      </c>
      <c r="F4148" s="74">
        <v>0.45</v>
      </c>
      <c r="G4148" s="758">
        <f t="shared" si="256"/>
        <v>0.12</v>
      </c>
      <c r="H4148" s="759">
        <f t="shared" si="257"/>
        <v>0.95</v>
      </c>
      <c r="I4148" s="758">
        <f t="shared" si="258"/>
        <v>0.03</v>
      </c>
      <c r="J4148" s="760">
        <f t="shared" si="259"/>
        <v>0.20000000000000007</v>
      </c>
    </row>
    <row r="4149" spans="1:10">
      <c r="A4149" s="74" t="s">
        <v>907</v>
      </c>
      <c r="B4149" s="74" t="s">
        <v>862</v>
      </c>
      <c r="C4149" s="74" t="s">
        <v>1555</v>
      </c>
      <c r="D4149" s="74" t="s">
        <v>94</v>
      </c>
      <c r="E4149" s="74">
        <v>3</v>
      </c>
      <c r="F4149" s="74">
        <v>0.45</v>
      </c>
      <c r="G4149" s="758">
        <f t="shared" si="256"/>
        <v>0.12</v>
      </c>
      <c r="H4149" s="759">
        <f t="shared" si="257"/>
        <v>0.95</v>
      </c>
      <c r="I4149" s="758">
        <f t="shared" si="258"/>
        <v>0.03</v>
      </c>
      <c r="J4149" s="760">
        <f t="shared" si="259"/>
        <v>0.20000000000000007</v>
      </c>
    </row>
    <row r="4150" spans="1:10">
      <c r="A4150" s="74" t="s">
        <v>907</v>
      </c>
      <c r="B4150" s="74" t="s">
        <v>862</v>
      </c>
      <c r="C4150" s="74" t="s">
        <v>1557</v>
      </c>
      <c r="D4150" s="74" t="s">
        <v>95</v>
      </c>
      <c r="E4150" s="74">
        <v>1</v>
      </c>
      <c r="F4150" s="74">
        <v>0.15</v>
      </c>
      <c r="G4150" s="758">
        <f t="shared" si="256"/>
        <v>0.12</v>
      </c>
      <c r="H4150" s="759">
        <f t="shared" si="257"/>
        <v>0.95</v>
      </c>
      <c r="I4150" s="758">
        <f t="shared" si="258"/>
        <v>0.03</v>
      </c>
      <c r="J4150" s="760">
        <f t="shared" si="259"/>
        <v>0.19999999999999996</v>
      </c>
    </row>
    <row r="4151" spans="1:10">
      <c r="A4151" s="74" t="s">
        <v>907</v>
      </c>
      <c r="B4151" s="74" t="s">
        <v>862</v>
      </c>
      <c r="C4151" s="74" t="s">
        <v>1526</v>
      </c>
      <c r="D4151" s="74" t="s">
        <v>95</v>
      </c>
      <c r="E4151" s="74">
        <v>3</v>
      </c>
      <c r="F4151" s="74">
        <v>0.45</v>
      </c>
      <c r="G4151" s="758">
        <f t="shared" si="256"/>
        <v>0.12</v>
      </c>
      <c r="H4151" s="759">
        <f t="shared" si="257"/>
        <v>0.95</v>
      </c>
      <c r="I4151" s="758">
        <f t="shared" si="258"/>
        <v>0.03</v>
      </c>
      <c r="J4151" s="760">
        <f t="shared" si="259"/>
        <v>0.20000000000000007</v>
      </c>
    </row>
    <row r="4152" spans="1:10">
      <c r="A4152" s="74" t="s">
        <v>982</v>
      </c>
      <c r="B4152" s="74" t="s">
        <v>862</v>
      </c>
      <c r="C4152" s="74" t="s">
        <v>1528</v>
      </c>
      <c r="D4152" s="74" t="s">
        <v>78</v>
      </c>
      <c r="E4152" s="74">
        <v>2</v>
      </c>
      <c r="F4152" s="74">
        <v>0.3</v>
      </c>
      <c r="G4152" s="758">
        <f t="shared" si="256"/>
        <v>0.13</v>
      </c>
      <c r="H4152" s="759">
        <f t="shared" si="257"/>
        <v>0.95</v>
      </c>
      <c r="I4152" s="758">
        <f t="shared" si="258"/>
        <v>1.999999999999999E-2</v>
      </c>
      <c r="J4152" s="760">
        <f t="shared" si="259"/>
        <v>0.1333333333333333</v>
      </c>
    </row>
    <row r="4153" spans="1:10">
      <c r="A4153" s="74" t="s">
        <v>982</v>
      </c>
      <c r="B4153" s="74" t="s">
        <v>862</v>
      </c>
      <c r="C4153" s="74" t="s">
        <v>1508</v>
      </c>
      <c r="D4153" s="74" t="s">
        <v>78</v>
      </c>
      <c r="E4153" s="74">
        <v>2</v>
      </c>
      <c r="F4153" s="74">
        <v>0.3</v>
      </c>
      <c r="G4153" s="758">
        <f t="shared" si="256"/>
        <v>0.13</v>
      </c>
      <c r="H4153" s="759">
        <f t="shared" si="257"/>
        <v>0.95</v>
      </c>
      <c r="I4153" s="758">
        <f t="shared" si="258"/>
        <v>1.999999999999999E-2</v>
      </c>
      <c r="J4153" s="760">
        <f t="shared" si="259"/>
        <v>0.1333333333333333</v>
      </c>
    </row>
    <row r="4154" spans="1:10">
      <c r="A4154" s="74" t="s">
        <v>982</v>
      </c>
      <c r="B4154" s="74" t="s">
        <v>862</v>
      </c>
      <c r="C4154" s="74" t="s">
        <v>1565</v>
      </c>
      <c r="D4154" s="74" t="s">
        <v>78</v>
      </c>
      <c r="E4154" s="74">
        <v>2</v>
      </c>
      <c r="F4154" s="74">
        <v>0.3</v>
      </c>
      <c r="G4154" s="758">
        <f t="shared" si="256"/>
        <v>0.13</v>
      </c>
      <c r="H4154" s="759">
        <f t="shared" si="257"/>
        <v>0.95</v>
      </c>
      <c r="I4154" s="758">
        <f t="shared" si="258"/>
        <v>1.999999999999999E-2</v>
      </c>
      <c r="J4154" s="760">
        <f t="shared" si="259"/>
        <v>0.1333333333333333</v>
      </c>
    </row>
    <row r="4155" spans="1:10">
      <c r="A4155" s="74" t="s">
        <v>982</v>
      </c>
      <c r="B4155" s="74" t="s">
        <v>862</v>
      </c>
      <c r="C4155" s="74" t="s">
        <v>1517</v>
      </c>
      <c r="D4155" s="74" t="s">
        <v>82</v>
      </c>
      <c r="E4155" s="74">
        <v>2</v>
      </c>
      <c r="F4155" s="74">
        <v>0.3</v>
      </c>
      <c r="G4155" s="758">
        <f t="shared" si="256"/>
        <v>0.13</v>
      </c>
      <c r="H4155" s="759">
        <f t="shared" si="257"/>
        <v>0.95</v>
      </c>
      <c r="I4155" s="758">
        <f t="shared" si="258"/>
        <v>1.999999999999999E-2</v>
      </c>
      <c r="J4155" s="760">
        <f t="shared" si="259"/>
        <v>0.1333333333333333</v>
      </c>
    </row>
    <row r="4156" spans="1:10">
      <c r="A4156" s="74" t="s">
        <v>1957</v>
      </c>
      <c r="B4156" s="74" t="s">
        <v>862</v>
      </c>
      <c r="C4156" s="74" t="s">
        <v>1610</v>
      </c>
      <c r="D4156" s="74" t="s">
        <v>89</v>
      </c>
      <c r="E4156" s="74">
        <v>1</v>
      </c>
      <c r="F4156" s="74">
        <v>0.15</v>
      </c>
      <c r="G4156" s="758">
        <f t="shared" si="256"/>
        <v>0</v>
      </c>
      <c r="H4156" s="759">
        <f t="shared" si="257"/>
        <v>0</v>
      </c>
      <c r="I4156" s="758">
        <f t="shared" si="258"/>
        <v>0.15</v>
      </c>
      <c r="J4156" s="760">
        <f t="shared" si="259"/>
        <v>1</v>
      </c>
    </row>
    <row r="4157" spans="1:10">
      <c r="A4157" s="74" t="s">
        <v>1958</v>
      </c>
      <c r="B4157" s="74" t="s">
        <v>877</v>
      </c>
      <c r="C4157" s="74" t="s">
        <v>1526</v>
      </c>
      <c r="D4157" s="74" t="s">
        <v>95</v>
      </c>
      <c r="E4157" s="74">
        <v>10</v>
      </c>
      <c r="F4157" s="74">
        <v>0</v>
      </c>
      <c r="G4157" s="758">
        <f t="shared" si="256"/>
        <v>0</v>
      </c>
      <c r="H4157" s="759">
        <f t="shared" si="257"/>
        <v>0</v>
      </c>
      <c r="I4157" s="758">
        <f t="shared" si="258"/>
        <v>0</v>
      </c>
      <c r="J4157" s="760">
        <f t="shared" si="259"/>
        <v>0</v>
      </c>
    </row>
    <row r="4158" spans="1:10">
      <c r="A4158" s="74" t="s">
        <v>1959</v>
      </c>
      <c r="B4158" s="74" t="s">
        <v>877</v>
      </c>
      <c r="C4158" s="74" t="s">
        <v>1631</v>
      </c>
      <c r="D4158" s="74" t="s">
        <v>92</v>
      </c>
      <c r="E4158" s="74">
        <v>10</v>
      </c>
      <c r="F4158" s="74">
        <v>0</v>
      </c>
      <c r="G4158" s="758">
        <f t="shared" si="256"/>
        <v>0</v>
      </c>
      <c r="H4158" s="759">
        <f t="shared" si="257"/>
        <v>0</v>
      </c>
      <c r="I4158" s="758">
        <f t="shared" si="258"/>
        <v>0</v>
      </c>
      <c r="J4158" s="760">
        <f t="shared" si="259"/>
        <v>0</v>
      </c>
    </row>
    <row r="4159" spans="1:10">
      <c r="A4159" s="74" t="s">
        <v>1960</v>
      </c>
      <c r="B4159" s="74" t="s">
        <v>877</v>
      </c>
      <c r="C4159" s="74" t="s">
        <v>1524</v>
      </c>
      <c r="D4159" s="74" t="s">
        <v>91</v>
      </c>
      <c r="E4159" s="74">
        <v>12</v>
      </c>
      <c r="F4159" s="74">
        <v>0</v>
      </c>
      <c r="G4159" s="758">
        <f t="shared" si="256"/>
        <v>0</v>
      </c>
      <c r="H4159" s="759">
        <f t="shared" si="257"/>
        <v>0</v>
      </c>
      <c r="I4159" s="758">
        <f t="shared" si="258"/>
        <v>0</v>
      </c>
      <c r="J4159" s="760">
        <f t="shared" si="259"/>
        <v>0</v>
      </c>
    </row>
    <row r="4160" spans="1:10">
      <c r="A4160" s="74" t="s">
        <v>1961</v>
      </c>
      <c r="B4160" s="74" t="s">
        <v>877</v>
      </c>
      <c r="C4160" s="74" t="s">
        <v>1540</v>
      </c>
      <c r="D4160" s="74" t="s">
        <v>84</v>
      </c>
      <c r="E4160" s="74">
        <v>6</v>
      </c>
      <c r="F4160" s="74">
        <v>0</v>
      </c>
      <c r="G4160" s="758">
        <f t="shared" si="256"/>
        <v>0</v>
      </c>
      <c r="H4160" s="759">
        <f t="shared" si="257"/>
        <v>0</v>
      </c>
      <c r="I4160" s="758">
        <f t="shared" si="258"/>
        <v>0</v>
      </c>
      <c r="J4160" s="760">
        <f t="shared" si="259"/>
        <v>0</v>
      </c>
    </row>
    <row r="4161" spans="1:10">
      <c r="A4161" s="74" t="s">
        <v>1962</v>
      </c>
      <c r="B4161" s="74" t="s">
        <v>877</v>
      </c>
      <c r="C4161" s="74" t="s">
        <v>1519</v>
      </c>
      <c r="D4161" s="74" t="s">
        <v>84</v>
      </c>
      <c r="E4161" s="74">
        <v>7</v>
      </c>
      <c r="F4161" s="74">
        <v>0</v>
      </c>
      <c r="G4161" s="758">
        <f t="shared" si="256"/>
        <v>0</v>
      </c>
      <c r="H4161" s="759">
        <f t="shared" si="257"/>
        <v>0</v>
      </c>
      <c r="I4161" s="758">
        <f t="shared" si="258"/>
        <v>0</v>
      </c>
      <c r="J4161" s="760">
        <f t="shared" si="259"/>
        <v>0</v>
      </c>
    </row>
    <row r="4162" spans="1:10">
      <c r="A4162" s="74" t="s">
        <v>1963</v>
      </c>
      <c r="B4162" s="74" t="s">
        <v>877</v>
      </c>
      <c r="C4162" s="74" t="s">
        <v>1508</v>
      </c>
      <c r="D4162" s="74" t="s">
        <v>78</v>
      </c>
      <c r="E4162" s="74">
        <v>3</v>
      </c>
      <c r="F4162" s="74">
        <v>0</v>
      </c>
      <c r="G4162" s="758">
        <f t="shared" ref="G4162:G4225" si="260">IFERROR(VLOOKUP(A4162,$M$1:$P$1014,2,FALSE),0)</f>
        <v>1.38</v>
      </c>
      <c r="H4162" s="759">
        <f t="shared" ref="H4162:H4225" si="261">IFERROR(VLOOKUP(A4162,$M$1:$P$1014,3,FALSE),0)</f>
        <v>0</v>
      </c>
      <c r="I4162" s="758">
        <f t="shared" ref="I4162:I4225" si="262">IFERROR(F4162/E4162-G4162,0)</f>
        <v>-1.38</v>
      </c>
      <c r="J4162" s="760">
        <f t="shared" ref="J4162:J4225" si="263">IFERROR(1-G4162*E4162/F4162,0)</f>
        <v>0</v>
      </c>
    </row>
    <row r="4163" spans="1:10">
      <c r="A4163" s="74" t="s">
        <v>1964</v>
      </c>
      <c r="B4163" s="74" t="s">
        <v>725</v>
      </c>
      <c r="C4163" s="74" t="s">
        <v>1507</v>
      </c>
      <c r="D4163" s="74" t="s">
        <v>86</v>
      </c>
      <c r="E4163" s="74">
        <v>2</v>
      </c>
      <c r="F4163" s="74">
        <v>3.8</v>
      </c>
      <c r="G4163" s="758">
        <f t="shared" si="260"/>
        <v>0</v>
      </c>
      <c r="H4163" s="759">
        <f t="shared" si="261"/>
        <v>0</v>
      </c>
      <c r="I4163" s="758">
        <f t="shared" si="262"/>
        <v>1.9</v>
      </c>
      <c r="J4163" s="760">
        <f t="shared" si="263"/>
        <v>1</v>
      </c>
    </row>
    <row r="4164" spans="1:10">
      <c r="A4164" s="74" t="s">
        <v>826</v>
      </c>
      <c r="B4164" s="74" t="s">
        <v>253</v>
      </c>
      <c r="C4164" s="74" t="s">
        <v>1514</v>
      </c>
      <c r="D4164" s="74" t="s">
        <v>81</v>
      </c>
      <c r="E4164" s="74">
        <v>2</v>
      </c>
      <c r="F4164" s="74">
        <v>4.09</v>
      </c>
      <c r="G4164" s="758">
        <f t="shared" si="260"/>
        <v>0</v>
      </c>
      <c r="H4164" s="759">
        <f t="shared" si="261"/>
        <v>0</v>
      </c>
      <c r="I4164" s="758">
        <f t="shared" si="262"/>
        <v>2.0449999999999999</v>
      </c>
      <c r="J4164" s="760">
        <f t="shared" si="263"/>
        <v>1</v>
      </c>
    </row>
    <row r="4165" spans="1:10">
      <c r="A4165" s="74" t="s">
        <v>826</v>
      </c>
      <c r="B4165" s="74" t="s">
        <v>253</v>
      </c>
      <c r="C4165" s="74" t="s">
        <v>1515</v>
      </c>
      <c r="D4165" s="74" t="s">
        <v>81</v>
      </c>
      <c r="E4165" s="74">
        <v>1</v>
      </c>
      <c r="F4165" s="74">
        <v>2.0499999999999998</v>
      </c>
      <c r="G4165" s="758">
        <f t="shared" si="260"/>
        <v>0</v>
      </c>
      <c r="H4165" s="759">
        <f t="shared" si="261"/>
        <v>0</v>
      </c>
      <c r="I4165" s="758">
        <f t="shared" si="262"/>
        <v>2.0499999999999998</v>
      </c>
      <c r="J4165" s="760">
        <f t="shared" si="263"/>
        <v>1</v>
      </c>
    </row>
    <row r="4166" spans="1:10">
      <c r="A4166" s="74" t="s">
        <v>1965</v>
      </c>
      <c r="B4166" s="74" t="s">
        <v>254</v>
      </c>
      <c r="C4166" s="74" t="s">
        <v>1517</v>
      </c>
      <c r="D4166" s="74" t="s">
        <v>82</v>
      </c>
      <c r="E4166" s="74">
        <v>4</v>
      </c>
      <c r="F4166" s="74">
        <v>59.6</v>
      </c>
      <c r="G4166" s="758">
        <f t="shared" si="260"/>
        <v>0</v>
      </c>
      <c r="H4166" s="759">
        <f t="shared" si="261"/>
        <v>0</v>
      </c>
      <c r="I4166" s="758">
        <f t="shared" si="262"/>
        <v>14.9</v>
      </c>
      <c r="J4166" s="760">
        <f t="shared" si="263"/>
        <v>1</v>
      </c>
    </row>
    <row r="4167" spans="1:10">
      <c r="A4167" s="74" t="s">
        <v>1966</v>
      </c>
      <c r="B4167" s="74" t="s">
        <v>2301</v>
      </c>
      <c r="C4167" s="74" t="s">
        <v>1516</v>
      </c>
      <c r="D4167" s="74" t="s">
        <v>82</v>
      </c>
      <c r="E4167" s="74">
        <v>3</v>
      </c>
      <c r="F4167" s="74">
        <v>0</v>
      </c>
      <c r="G4167" s="758">
        <f t="shared" si="260"/>
        <v>1.66</v>
      </c>
      <c r="H4167" s="759">
        <f t="shared" si="261"/>
        <v>0</v>
      </c>
      <c r="I4167" s="758">
        <f t="shared" si="262"/>
        <v>-1.66</v>
      </c>
      <c r="J4167" s="760">
        <f t="shared" si="263"/>
        <v>0</v>
      </c>
    </row>
    <row r="4168" spans="1:10">
      <c r="A4168" s="74" t="s">
        <v>1053</v>
      </c>
      <c r="B4168" s="74" t="s">
        <v>873</v>
      </c>
      <c r="C4168" s="74" t="s">
        <v>1534</v>
      </c>
      <c r="D4168" s="74" t="s">
        <v>81</v>
      </c>
      <c r="E4168" s="74">
        <v>5</v>
      </c>
      <c r="F4168" s="74">
        <v>0</v>
      </c>
      <c r="G4168" s="758">
        <f t="shared" si="260"/>
        <v>0.75</v>
      </c>
      <c r="H4168" s="759">
        <f t="shared" si="261"/>
        <v>0</v>
      </c>
      <c r="I4168" s="758">
        <f t="shared" si="262"/>
        <v>-0.75</v>
      </c>
      <c r="J4168" s="760">
        <f t="shared" si="263"/>
        <v>0</v>
      </c>
    </row>
    <row r="4169" spans="1:10">
      <c r="A4169" s="74" t="s">
        <v>1053</v>
      </c>
      <c r="B4169" s="74" t="s">
        <v>873</v>
      </c>
      <c r="C4169" s="74" t="s">
        <v>1555</v>
      </c>
      <c r="D4169" s="74" t="s">
        <v>94</v>
      </c>
      <c r="E4169" s="74">
        <v>6</v>
      </c>
      <c r="F4169" s="74">
        <v>0</v>
      </c>
      <c r="G4169" s="758">
        <f t="shared" si="260"/>
        <v>0.75</v>
      </c>
      <c r="H4169" s="759">
        <f t="shared" si="261"/>
        <v>0</v>
      </c>
      <c r="I4169" s="758">
        <f t="shared" si="262"/>
        <v>-0.75</v>
      </c>
      <c r="J4169" s="760">
        <f t="shared" si="263"/>
        <v>0</v>
      </c>
    </row>
    <row r="4170" spans="1:10">
      <c r="A4170" s="74" t="s">
        <v>1967</v>
      </c>
      <c r="B4170" s="74" t="s">
        <v>873</v>
      </c>
      <c r="C4170" s="74" t="s">
        <v>1518</v>
      </c>
      <c r="D4170" s="74" t="s">
        <v>82</v>
      </c>
      <c r="E4170" s="74">
        <v>10</v>
      </c>
      <c r="F4170" s="74">
        <v>0</v>
      </c>
      <c r="G4170" s="758">
        <f t="shared" si="260"/>
        <v>1.66</v>
      </c>
      <c r="H4170" s="759">
        <f t="shared" si="261"/>
        <v>0</v>
      </c>
      <c r="I4170" s="758">
        <f t="shared" si="262"/>
        <v>-1.66</v>
      </c>
      <c r="J4170" s="760">
        <f t="shared" si="263"/>
        <v>0</v>
      </c>
    </row>
    <row r="4171" spans="1:10">
      <c r="A4171" s="74" t="s">
        <v>1370</v>
      </c>
      <c r="B4171" s="74" t="s">
        <v>873</v>
      </c>
      <c r="C4171" s="74" t="s">
        <v>1605</v>
      </c>
      <c r="D4171" s="74" t="s">
        <v>87</v>
      </c>
      <c r="E4171" s="74">
        <v>6</v>
      </c>
      <c r="F4171" s="74">
        <v>0</v>
      </c>
      <c r="G4171" s="758">
        <f t="shared" si="260"/>
        <v>0</v>
      </c>
      <c r="H4171" s="759">
        <f t="shared" si="261"/>
        <v>0</v>
      </c>
      <c r="I4171" s="758">
        <f t="shared" si="262"/>
        <v>0</v>
      </c>
      <c r="J4171" s="760">
        <f t="shared" si="263"/>
        <v>0</v>
      </c>
    </row>
    <row r="4172" spans="1:10">
      <c r="A4172" s="74" t="s">
        <v>1370</v>
      </c>
      <c r="B4172" s="74" t="s">
        <v>873</v>
      </c>
      <c r="C4172" s="74" t="s">
        <v>1550</v>
      </c>
      <c r="D4172" s="74" t="s">
        <v>91</v>
      </c>
      <c r="E4172" s="74">
        <v>13</v>
      </c>
      <c r="F4172" s="74">
        <v>0</v>
      </c>
      <c r="G4172" s="758">
        <f t="shared" si="260"/>
        <v>0</v>
      </c>
      <c r="H4172" s="759">
        <f t="shared" si="261"/>
        <v>0</v>
      </c>
      <c r="I4172" s="758">
        <f t="shared" si="262"/>
        <v>0</v>
      </c>
      <c r="J4172" s="760">
        <f t="shared" si="263"/>
        <v>0</v>
      </c>
    </row>
    <row r="4173" spans="1:10">
      <c r="A4173" s="74" t="s">
        <v>1370</v>
      </c>
      <c r="B4173" s="74" t="s">
        <v>873</v>
      </c>
      <c r="C4173" s="74" t="s">
        <v>1584</v>
      </c>
      <c r="D4173" s="74" t="s">
        <v>92</v>
      </c>
      <c r="E4173" s="74">
        <v>8</v>
      </c>
      <c r="F4173" s="74">
        <v>0</v>
      </c>
      <c r="G4173" s="758">
        <f t="shared" si="260"/>
        <v>0</v>
      </c>
      <c r="H4173" s="759">
        <f t="shared" si="261"/>
        <v>0</v>
      </c>
      <c r="I4173" s="758">
        <f t="shared" si="262"/>
        <v>0</v>
      </c>
      <c r="J4173" s="760">
        <f t="shared" si="263"/>
        <v>0</v>
      </c>
    </row>
    <row r="4174" spans="1:10">
      <c r="A4174" s="74" t="s">
        <v>1968</v>
      </c>
      <c r="B4174" s="74" t="s">
        <v>873</v>
      </c>
      <c r="C4174" s="74" t="s">
        <v>1516</v>
      </c>
      <c r="D4174" s="74" t="s">
        <v>82</v>
      </c>
      <c r="E4174" s="74">
        <v>3</v>
      </c>
      <c r="F4174" s="74">
        <v>0</v>
      </c>
      <c r="G4174" s="758">
        <f t="shared" si="260"/>
        <v>1.66</v>
      </c>
      <c r="H4174" s="759">
        <f t="shared" si="261"/>
        <v>0</v>
      </c>
      <c r="I4174" s="758">
        <f t="shared" si="262"/>
        <v>-1.66</v>
      </c>
      <c r="J4174" s="760">
        <f t="shared" si="263"/>
        <v>0</v>
      </c>
    </row>
    <row r="4175" spans="1:10">
      <c r="A4175" s="74" t="s">
        <v>1969</v>
      </c>
      <c r="B4175" s="74" t="s">
        <v>873</v>
      </c>
      <c r="C4175" s="74" t="s">
        <v>1512</v>
      </c>
      <c r="D4175" s="74" t="s">
        <v>80</v>
      </c>
      <c r="E4175" s="74">
        <v>2</v>
      </c>
      <c r="F4175" s="74">
        <v>0</v>
      </c>
      <c r="G4175" s="758">
        <f t="shared" si="260"/>
        <v>1.66</v>
      </c>
      <c r="H4175" s="759">
        <f t="shared" si="261"/>
        <v>0</v>
      </c>
      <c r="I4175" s="758">
        <f t="shared" si="262"/>
        <v>-1.66</v>
      </c>
      <c r="J4175" s="760">
        <f t="shared" si="263"/>
        <v>0</v>
      </c>
    </row>
    <row r="4176" spans="1:10">
      <c r="A4176" s="74" t="s">
        <v>1970</v>
      </c>
      <c r="B4176" s="74" t="s">
        <v>873</v>
      </c>
      <c r="C4176" s="74" t="s">
        <v>1565</v>
      </c>
      <c r="D4176" s="74" t="s">
        <v>78</v>
      </c>
      <c r="E4176" s="74">
        <v>11</v>
      </c>
      <c r="F4176" s="74">
        <v>0</v>
      </c>
      <c r="G4176" s="758">
        <f t="shared" si="260"/>
        <v>1.66</v>
      </c>
      <c r="H4176" s="759">
        <f t="shared" si="261"/>
        <v>0</v>
      </c>
      <c r="I4176" s="758">
        <f t="shared" si="262"/>
        <v>-1.66</v>
      </c>
      <c r="J4176" s="760">
        <f t="shared" si="263"/>
        <v>0</v>
      </c>
    </row>
    <row r="4177" spans="1:10">
      <c r="A4177" s="74" t="s">
        <v>1971</v>
      </c>
      <c r="B4177" s="74" t="s">
        <v>873</v>
      </c>
      <c r="C4177" s="74" t="s">
        <v>1631</v>
      </c>
      <c r="D4177" s="74" t="s">
        <v>92</v>
      </c>
      <c r="E4177" s="74">
        <v>4</v>
      </c>
      <c r="F4177" s="74">
        <v>0</v>
      </c>
      <c r="G4177" s="758">
        <f t="shared" si="260"/>
        <v>0</v>
      </c>
      <c r="H4177" s="759">
        <f t="shared" si="261"/>
        <v>0</v>
      </c>
      <c r="I4177" s="758">
        <f t="shared" si="262"/>
        <v>0</v>
      </c>
      <c r="J4177" s="760">
        <f t="shared" si="263"/>
        <v>0</v>
      </c>
    </row>
    <row r="4178" spans="1:10">
      <c r="A4178" s="74" t="s">
        <v>1305</v>
      </c>
      <c r="B4178" s="74" t="s">
        <v>258</v>
      </c>
      <c r="C4178" s="74" t="s">
        <v>1512</v>
      </c>
      <c r="D4178" s="74" t="s">
        <v>80</v>
      </c>
      <c r="E4178" s="74">
        <v>4</v>
      </c>
      <c r="F4178" s="74">
        <v>0</v>
      </c>
      <c r="G4178" s="758">
        <f t="shared" si="260"/>
        <v>0.47</v>
      </c>
      <c r="H4178" s="759">
        <f t="shared" si="261"/>
        <v>0</v>
      </c>
      <c r="I4178" s="758">
        <f t="shared" si="262"/>
        <v>-0.47</v>
      </c>
      <c r="J4178" s="760">
        <f t="shared" si="263"/>
        <v>0</v>
      </c>
    </row>
    <row r="4179" spans="1:10">
      <c r="A4179" s="74" t="s">
        <v>1305</v>
      </c>
      <c r="B4179" s="74" t="s">
        <v>258</v>
      </c>
      <c r="C4179" s="74" t="s">
        <v>1514</v>
      </c>
      <c r="D4179" s="74" t="s">
        <v>81</v>
      </c>
      <c r="E4179" s="74">
        <v>2</v>
      </c>
      <c r="F4179" s="74">
        <v>0</v>
      </c>
      <c r="G4179" s="758">
        <f t="shared" si="260"/>
        <v>0.47</v>
      </c>
      <c r="H4179" s="759">
        <f t="shared" si="261"/>
        <v>0</v>
      </c>
      <c r="I4179" s="758">
        <f t="shared" si="262"/>
        <v>-0.47</v>
      </c>
      <c r="J4179" s="760">
        <f t="shared" si="263"/>
        <v>0</v>
      </c>
    </row>
    <row r="4180" spans="1:10">
      <c r="A4180" s="74" t="s">
        <v>1305</v>
      </c>
      <c r="B4180" s="74" t="s">
        <v>258</v>
      </c>
      <c r="C4180" s="74" t="s">
        <v>1517</v>
      </c>
      <c r="D4180" s="74" t="s">
        <v>82</v>
      </c>
      <c r="E4180" s="74">
        <v>6</v>
      </c>
      <c r="F4180" s="74">
        <v>0</v>
      </c>
      <c r="G4180" s="758">
        <f t="shared" si="260"/>
        <v>0.47</v>
      </c>
      <c r="H4180" s="759">
        <f t="shared" si="261"/>
        <v>0</v>
      </c>
      <c r="I4180" s="758">
        <f t="shared" si="262"/>
        <v>-0.47</v>
      </c>
      <c r="J4180" s="760">
        <f t="shared" si="263"/>
        <v>0</v>
      </c>
    </row>
    <row r="4181" spans="1:10">
      <c r="A4181" s="74" t="s">
        <v>1305</v>
      </c>
      <c r="B4181" s="74" t="s">
        <v>258</v>
      </c>
      <c r="C4181" s="74" t="s">
        <v>1540</v>
      </c>
      <c r="D4181" s="74" t="s">
        <v>84</v>
      </c>
      <c r="E4181" s="74">
        <v>1</v>
      </c>
      <c r="F4181" s="74">
        <v>0</v>
      </c>
      <c r="G4181" s="758">
        <f t="shared" si="260"/>
        <v>0.47</v>
      </c>
      <c r="H4181" s="759">
        <f t="shared" si="261"/>
        <v>0</v>
      </c>
      <c r="I4181" s="758">
        <f t="shared" si="262"/>
        <v>-0.47</v>
      </c>
      <c r="J4181" s="760">
        <f t="shared" si="263"/>
        <v>0</v>
      </c>
    </row>
    <row r="4182" spans="1:10">
      <c r="A4182" s="74" t="s">
        <v>1305</v>
      </c>
      <c r="B4182" s="74" t="s">
        <v>258</v>
      </c>
      <c r="C4182" s="74" t="s">
        <v>1547</v>
      </c>
      <c r="D4182" s="74" t="s">
        <v>89</v>
      </c>
      <c r="E4182" s="74">
        <v>10</v>
      </c>
      <c r="F4182" s="74">
        <v>0</v>
      </c>
      <c r="G4182" s="758">
        <f t="shared" si="260"/>
        <v>0.47</v>
      </c>
      <c r="H4182" s="759">
        <f t="shared" si="261"/>
        <v>0</v>
      </c>
      <c r="I4182" s="758">
        <f t="shared" si="262"/>
        <v>-0.47</v>
      </c>
      <c r="J4182" s="760">
        <f t="shared" si="263"/>
        <v>0</v>
      </c>
    </row>
    <row r="4183" spans="1:10">
      <c r="A4183" s="74" t="s">
        <v>819</v>
      </c>
      <c r="B4183" s="74" t="s">
        <v>820</v>
      </c>
      <c r="C4183" s="74" t="s">
        <v>1508</v>
      </c>
      <c r="D4183" s="74" t="s">
        <v>78</v>
      </c>
      <c r="E4183" s="74">
        <v>3</v>
      </c>
      <c r="F4183" s="74">
        <v>29.1</v>
      </c>
      <c r="G4183" s="758">
        <f t="shared" si="260"/>
        <v>2.5499999999999998</v>
      </c>
      <c r="H4183" s="759">
        <f t="shared" si="261"/>
        <v>0.37</v>
      </c>
      <c r="I4183" s="758">
        <f t="shared" si="262"/>
        <v>7.1500000000000012</v>
      </c>
      <c r="J4183" s="760">
        <f t="shared" si="263"/>
        <v>0.73711340206185572</v>
      </c>
    </row>
    <row r="4184" spans="1:10">
      <c r="A4184" s="74" t="s">
        <v>819</v>
      </c>
      <c r="B4184" s="74" t="s">
        <v>820</v>
      </c>
      <c r="C4184" s="74" t="s">
        <v>1509</v>
      </c>
      <c r="D4184" s="74" t="s">
        <v>78</v>
      </c>
      <c r="E4184" s="74">
        <v>1</v>
      </c>
      <c r="F4184" s="74">
        <v>9.6999999999999993</v>
      </c>
      <c r="G4184" s="758">
        <f t="shared" si="260"/>
        <v>2.5499999999999998</v>
      </c>
      <c r="H4184" s="759">
        <f t="shared" si="261"/>
        <v>0.37</v>
      </c>
      <c r="I4184" s="758">
        <f t="shared" si="262"/>
        <v>7.1499999999999995</v>
      </c>
      <c r="J4184" s="760">
        <f t="shared" si="263"/>
        <v>0.73711340206185572</v>
      </c>
    </row>
    <row r="4185" spans="1:10">
      <c r="A4185" s="74" t="s">
        <v>819</v>
      </c>
      <c r="B4185" s="74" t="s">
        <v>820</v>
      </c>
      <c r="C4185" s="74" t="s">
        <v>1565</v>
      </c>
      <c r="D4185" s="74" t="s">
        <v>78</v>
      </c>
      <c r="E4185" s="74">
        <v>3</v>
      </c>
      <c r="F4185" s="74">
        <v>26.1</v>
      </c>
      <c r="G4185" s="758">
        <f t="shared" si="260"/>
        <v>2.5499999999999998</v>
      </c>
      <c r="H4185" s="759">
        <f t="shared" si="261"/>
        <v>0.37</v>
      </c>
      <c r="I4185" s="758">
        <f t="shared" si="262"/>
        <v>6.1500000000000012</v>
      </c>
      <c r="J4185" s="760">
        <f t="shared" si="263"/>
        <v>0.7068965517241379</v>
      </c>
    </row>
    <row r="4186" spans="1:10">
      <c r="A4186" s="74" t="s">
        <v>819</v>
      </c>
      <c r="B4186" s="74" t="s">
        <v>820</v>
      </c>
      <c r="C4186" s="74" t="s">
        <v>1530</v>
      </c>
      <c r="D4186" s="74" t="s">
        <v>80</v>
      </c>
      <c r="E4186" s="74">
        <v>2</v>
      </c>
      <c r="F4186" s="74">
        <v>17.399999999999999</v>
      </c>
      <c r="G4186" s="758">
        <f t="shared" si="260"/>
        <v>2.5499999999999998</v>
      </c>
      <c r="H4186" s="759">
        <f t="shared" si="261"/>
        <v>0.37</v>
      </c>
      <c r="I4186" s="758">
        <f t="shared" si="262"/>
        <v>6.1499999999999995</v>
      </c>
      <c r="J4186" s="760">
        <f t="shared" si="263"/>
        <v>0.7068965517241379</v>
      </c>
    </row>
    <row r="4187" spans="1:10">
      <c r="A4187" s="74" t="s">
        <v>819</v>
      </c>
      <c r="B4187" s="74" t="s">
        <v>820</v>
      </c>
      <c r="C4187" s="74" t="s">
        <v>1511</v>
      </c>
      <c r="D4187" s="74" t="s">
        <v>80</v>
      </c>
      <c r="E4187" s="74">
        <v>1</v>
      </c>
      <c r="F4187" s="74">
        <v>8.6999999999999993</v>
      </c>
      <c r="G4187" s="758">
        <f t="shared" si="260"/>
        <v>2.5499999999999998</v>
      </c>
      <c r="H4187" s="759">
        <f t="shared" si="261"/>
        <v>0.37</v>
      </c>
      <c r="I4187" s="758">
        <f t="shared" si="262"/>
        <v>6.1499999999999995</v>
      </c>
      <c r="J4187" s="760">
        <f t="shared" si="263"/>
        <v>0.7068965517241379</v>
      </c>
    </row>
    <row r="4188" spans="1:10">
      <c r="A4188" s="74" t="s">
        <v>819</v>
      </c>
      <c r="B4188" s="74" t="s">
        <v>820</v>
      </c>
      <c r="C4188" s="74" t="s">
        <v>1512</v>
      </c>
      <c r="D4188" s="74" t="s">
        <v>80</v>
      </c>
      <c r="E4188" s="74">
        <v>2</v>
      </c>
      <c r="F4188" s="74">
        <v>17.399999999999999</v>
      </c>
      <c r="G4188" s="758">
        <f t="shared" si="260"/>
        <v>2.5499999999999998</v>
      </c>
      <c r="H4188" s="759">
        <f t="shared" si="261"/>
        <v>0.37</v>
      </c>
      <c r="I4188" s="758">
        <f t="shared" si="262"/>
        <v>6.1499999999999995</v>
      </c>
      <c r="J4188" s="760">
        <f t="shared" si="263"/>
        <v>0.7068965517241379</v>
      </c>
    </row>
    <row r="4189" spans="1:10">
      <c r="A4189" s="74" t="s">
        <v>819</v>
      </c>
      <c r="B4189" s="74" t="s">
        <v>820</v>
      </c>
      <c r="C4189" s="74" t="s">
        <v>1534</v>
      </c>
      <c r="D4189" s="74" t="s">
        <v>81</v>
      </c>
      <c r="E4189" s="74">
        <v>2</v>
      </c>
      <c r="F4189" s="74">
        <v>17.399999999999999</v>
      </c>
      <c r="G4189" s="758">
        <f t="shared" si="260"/>
        <v>2.5499999999999998</v>
      </c>
      <c r="H4189" s="759">
        <f t="shared" si="261"/>
        <v>0.37</v>
      </c>
      <c r="I4189" s="758">
        <f t="shared" si="262"/>
        <v>6.1499999999999995</v>
      </c>
      <c r="J4189" s="760">
        <f t="shared" si="263"/>
        <v>0.7068965517241379</v>
      </c>
    </row>
    <row r="4190" spans="1:10">
      <c r="A4190" s="74" t="s">
        <v>819</v>
      </c>
      <c r="B4190" s="74" t="s">
        <v>820</v>
      </c>
      <c r="C4190" s="74" t="s">
        <v>1513</v>
      </c>
      <c r="D4190" s="74" t="s">
        <v>81</v>
      </c>
      <c r="E4190" s="74">
        <v>2</v>
      </c>
      <c r="F4190" s="74">
        <v>15.82</v>
      </c>
      <c r="G4190" s="758">
        <f t="shared" si="260"/>
        <v>2.5499999999999998</v>
      </c>
      <c r="H4190" s="759">
        <f t="shared" si="261"/>
        <v>0.37</v>
      </c>
      <c r="I4190" s="758">
        <f t="shared" si="262"/>
        <v>5.36</v>
      </c>
      <c r="J4190" s="760">
        <f t="shared" si="263"/>
        <v>0.67762326169405818</v>
      </c>
    </row>
    <row r="4191" spans="1:10">
      <c r="A4191" s="74" t="s">
        <v>819</v>
      </c>
      <c r="B4191" s="74" t="s">
        <v>820</v>
      </c>
      <c r="C4191" s="74" t="s">
        <v>1515</v>
      </c>
      <c r="D4191" s="74" t="s">
        <v>81</v>
      </c>
      <c r="E4191" s="74">
        <v>1</v>
      </c>
      <c r="F4191" s="74">
        <v>7.91</v>
      </c>
      <c r="G4191" s="758">
        <f t="shared" si="260"/>
        <v>2.5499999999999998</v>
      </c>
      <c r="H4191" s="759">
        <f t="shared" si="261"/>
        <v>0.37</v>
      </c>
      <c r="I4191" s="758">
        <f t="shared" si="262"/>
        <v>5.36</v>
      </c>
      <c r="J4191" s="760">
        <f t="shared" si="263"/>
        <v>0.67762326169405818</v>
      </c>
    </row>
    <row r="4192" spans="1:10">
      <c r="A4192" s="74" t="s">
        <v>819</v>
      </c>
      <c r="B4192" s="74" t="s">
        <v>820</v>
      </c>
      <c r="C4192" s="74" t="s">
        <v>1516</v>
      </c>
      <c r="D4192" s="74" t="s">
        <v>82</v>
      </c>
      <c r="E4192" s="74">
        <v>1</v>
      </c>
      <c r="F4192" s="74">
        <v>8.6999999999999993</v>
      </c>
      <c r="G4192" s="758">
        <f t="shared" si="260"/>
        <v>2.5499999999999998</v>
      </c>
      <c r="H4192" s="759">
        <f t="shared" si="261"/>
        <v>0.37</v>
      </c>
      <c r="I4192" s="758">
        <f t="shared" si="262"/>
        <v>6.1499999999999995</v>
      </c>
      <c r="J4192" s="760">
        <f t="shared" si="263"/>
        <v>0.7068965517241379</v>
      </c>
    </row>
    <row r="4193" spans="1:10">
      <c r="A4193" s="74" t="s">
        <v>819</v>
      </c>
      <c r="B4193" s="74" t="s">
        <v>820</v>
      </c>
      <c r="C4193" s="74" t="s">
        <v>1517</v>
      </c>
      <c r="D4193" s="74" t="s">
        <v>82</v>
      </c>
      <c r="E4193" s="74">
        <v>2</v>
      </c>
      <c r="F4193" s="74">
        <v>17.399999999999999</v>
      </c>
      <c r="G4193" s="758">
        <f t="shared" si="260"/>
        <v>2.5499999999999998</v>
      </c>
      <c r="H4193" s="759">
        <f t="shared" si="261"/>
        <v>0.37</v>
      </c>
      <c r="I4193" s="758">
        <f t="shared" si="262"/>
        <v>6.1499999999999995</v>
      </c>
      <c r="J4193" s="760">
        <f t="shared" si="263"/>
        <v>0.7068965517241379</v>
      </c>
    </row>
    <row r="4194" spans="1:10">
      <c r="A4194" s="74" t="s">
        <v>819</v>
      </c>
      <c r="B4194" s="74" t="s">
        <v>820</v>
      </c>
      <c r="C4194" s="74" t="s">
        <v>1527</v>
      </c>
      <c r="D4194" s="74" t="s">
        <v>82</v>
      </c>
      <c r="E4194" s="74">
        <v>2</v>
      </c>
      <c r="F4194" s="74">
        <v>17.399999999999999</v>
      </c>
      <c r="G4194" s="758">
        <f t="shared" si="260"/>
        <v>2.5499999999999998</v>
      </c>
      <c r="H4194" s="759">
        <f t="shared" si="261"/>
        <v>0.37</v>
      </c>
      <c r="I4194" s="758">
        <f t="shared" si="262"/>
        <v>6.1499999999999995</v>
      </c>
      <c r="J4194" s="760">
        <f t="shared" si="263"/>
        <v>0.7068965517241379</v>
      </c>
    </row>
    <row r="4195" spans="1:10">
      <c r="A4195" s="74" t="s">
        <v>819</v>
      </c>
      <c r="B4195" s="74" t="s">
        <v>820</v>
      </c>
      <c r="C4195" s="74" t="s">
        <v>1644</v>
      </c>
      <c r="D4195" s="74" t="s">
        <v>86</v>
      </c>
      <c r="E4195" s="74">
        <v>1</v>
      </c>
      <c r="F4195" s="74">
        <v>8.6999999999999993</v>
      </c>
      <c r="G4195" s="758">
        <f t="shared" si="260"/>
        <v>2.5499999999999998</v>
      </c>
      <c r="H4195" s="759">
        <f t="shared" si="261"/>
        <v>0.37</v>
      </c>
      <c r="I4195" s="758">
        <f t="shared" si="262"/>
        <v>6.1499999999999995</v>
      </c>
      <c r="J4195" s="760">
        <f t="shared" si="263"/>
        <v>0.7068965517241379</v>
      </c>
    </row>
    <row r="4196" spans="1:10">
      <c r="A4196" s="74" t="s">
        <v>819</v>
      </c>
      <c r="B4196" s="74" t="s">
        <v>820</v>
      </c>
      <c r="C4196" s="74" t="s">
        <v>1675</v>
      </c>
      <c r="D4196" s="74" t="s">
        <v>91</v>
      </c>
      <c r="E4196" s="74">
        <v>1</v>
      </c>
      <c r="F4196" s="74">
        <v>8.6999999999999993</v>
      </c>
      <c r="G4196" s="758">
        <f t="shared" si="260"/>
        <v>2.5499999999999998</v>
      </c>
      <c r="H4196" s="759">
        <f t="shared" si="261"/>
        <v>0.37</v>
      </c>
      <c r="I4196" s="758">
        <f t="shared" si="262"/>
        <v>6.1499999999999995</v>
      </c>
      <c r="J4196" s="760">
        <f t="shared" si="263"/>
        <v>0.7068965517241379</v>
      </c>
    </row>
    <row r="4197" spans="1:10">
      <c r="A4197" s="74" t="s">
        <v>819</v>
      </c>
      <c r="B4197" s="74" t="s">
        <v>820</v>
      </c>
      <c r="C4197" s="74" t="s">
        <v>1552</v>
      </c>
      <c r="D4197" s="74" t="s">
        <v>92</v>
      </c>
      <c r="E4197" s="74">
        <v>1</v>
      </c>
      <c r="F4197" s="74">
        <v>8.6999999999999993</v>
      </c>
      <c r="G4197" s="758">
        <f t="shared" si="260"/>
        <v>2.5499999999999998</v>
      </c>
      <c r="H4197" s="759">
        <f t="shared" si="261"/>
        <v>0.37</v>
      </c>
      <c r="I4197" s="758">
        <f t="shared" si="262"/>
        <v>6.1499999999999995</v>
      </c>
      <c r="J4197" s="760">
        <f t="shared" si="263"/>
        <v>0.7068965517241379</v>
      </c>
    </row>
    <row r="4198" spans="1:10">
      <c r="A4198" s="74" t="s">
        <v>1972</v>
      </c>
      <c r="B4198" s="74" t="s">
        <v>275</v>
      </c>
      <c r="C4198" s="74" t="s">
        <v>1517</v>
      </c>
      <c r="D4198" s="74" t="s">
        <v>82</v>
      </c>
      <c r="E4198" s="74">
        <v>2</v>
      </c>
      <c r="F4198" s="74">
        <v>11.9</v>
      </c>
      <c r="G4198" s="758">
        <f t="shared" si="260"/>
        <v>1.1499999999999999</v>
      </c>
      <c r="H4198" s="759">
        <f t="shared" si="261"/>
        <v>0.21</v>
      </c>
      <c r="I4198" s="758">
        <f t="shared" si="262"/>
        <v>4.8000000000000007</v>
      </c>
      <c r="J4198" s="760">
        <f t="shared" si="263"/>
        <v>0.80672268907563027</v>
      </c>
    </row>
    <row r="4199" spans="1:10">
      <c r="A4199" s="74" t="s">
        <v>1973</v>
      </c>
      <c r="B4199" s="74" t="s">
        <v>725</v>
      </c>
      <c r="C4199" s="74" t="s">
        <v>1530</v>
      </c>
      <c r="D4199" s="74" t="s">
        <v>80</v>
      </c>
      <c r="E4199" s="74">
        <v>1</v>
      </c>
      <c r="F4199" s="74">
        <v>3.5</v>
      </c>
      <c r="G4199" s="758">
        <f t="shared" si="260"/>
        <v>0</v>
      </c>
      <c r="H4199" s="759">
        <f t="shared" si="261"/>
        <v>0</v>
      </c>
      <c r="I4199" s="758">
        <f t="shared" si="262"/>
        <v>3.5</v>
      </c>
      <c r="J4199" s="760">
        <f t="shared" si="263"/>
        <v>1</v>
      </c>
    </row>
    <row r="4200" spans="1:10">
      <c r="A4200" s="74" t="s">
        <v>1973</v>
      </c>
      <c r="B4200" s="74" t="s">
        <v>725</v>
      </c>
      <c r="C4200" s="74" t="s">
        <v>1532</v>
      </c>
      <c r="D4200" s="74" t="s">
        <v>80</v>
      </c>
      <c r="E4200" s="74">
        <v>1</v>
      </c>
      <c r="F4200" s="74">
        <v>3.5</v>
      </c>
      <c r="G4200" s="758">
        <f t="shared" si="260"/>
        <v>0</v>
      </c>
      <c r="H4200" s="759">
        <f t="shared" si="261"/>
        <v>0</v>
      </c>
      <c r="I4200" s="758">
        <f t="shared" si="262"/>
        <v>3.5</v>
      </c>
      <c r="J4200" s="760">
        <f t="shared" si="263"/>
        <v>1</v>
      </c>
    </row>
    <row r="4201" spans="1:10">
      <c r="A4201" s="74" t="s">
        <v>1973</v>
      </c>
      <c r="B4201" s="74" t="s">
        <v>725</v>
      </c>
      <c r="C4201" s="74" t="s">
        <v>1517</v>
      </c>
      <c r="D4201" s="74" t="s">
        <v>82</v>
      </c>
      <c r="E4201" s="74">
        <v>1</v>
      </c>
      <c r="F4201" s="74">
        <v>3.5</v>
      </c>
      <c r="G4201" s="758">
        <f t="shared" si="260"/>
        <v>0</v>
      </c>
      <c r="H4201" s="759">
        <f t="shared" si="261"/>
        <v>0</v>
      </c>
      <c r="I4201" s="758">
        <f t="shared" si="262"/>
        <v>3.5</v>
      </c>
      <c r="J4201" s="760">
        <f t="shared" si="263"/>
        <v>1</v>
      </c>
    </row>
    <row r="4202" spans="1:10">
      <c r="A4202" s="74" t="s">
        <v>1973</v>
      </c>
      <c r="B4202" s="74" t="s">
        <v>725</v>
      </c>
      <c r="C4202" s="74" t="s">
        <v>1518</v>
      </c>
      <c r="D4202" s="74" t="s">
        <v>82</v>
      </c>
      <c r="E4202" s="74">
        <v>1</v>
      </c>
      <c r="F4202" s="74">
        <v>3.5</v>
      </c>
      <c r="G4202" s="758">
        <f t="shared" si="260"/>
        <v>0</v>
      </c>
      <c r="H4202" s="759">
        <f t="shared" si="261"/>
        <v>0</v>
      </c>
      <c r="I4202" s="758">
        <f t="shared" si="262"/>
        <v>3.5</v>
      </c>
      <c r="J4202" s="760">
        <f t="shared" si="263"/>
        <v>1</v>
      </c>
    </row>
    <row r="4203" spans="1:10">
      <c r="A4203" s="74" t="s">
        <v>1974</v>
      </c>
      <c r="B4203" s="74" t="s">
        <v>725</v>
      </c>
      <c r="C4203" s="74" t="s">
        <v>1515</v>
      </c>
      <c r="D4203" s="74" t="s">
        <v>81</v>
      </c>
      <c r="E4203" s="74">
        <v>1</v>
      </c>
      <c r="F4203" s="74">
        <v>2.25</v>
      </c>
      <c r="G4203" s="758">
        <f t="shared" si="260"/>
        <v>0</v>
      </c>
      <c r="H4203" s="759">
        <f t="shared" si="261"/>
        <v>0</v>
      </c>
      <c r="I4203" s="758">
        <f t="shared" si="262"/>
        <v>2.25</v>
      </c>
      <c r="J4203" s="760">
        <f t="shared" si="263"/>
        <v>1</v>
      </c>
    </row>
    <row r="4204" spans="1:10">
      <c r="A4204" s="74" t="s">
        <v>1062</v>
      </c>
      <c r="B4204" s="74" t="s">
        <v>725</v>
      </c>
      <c r="C4204" s="74" t="s">
        <v>1552</v>
      </c>
      <c r="D4204" s="74" t="s">
        <v>92</v>
      </c>
      <c r="E4204" s="74">
        <v>1</v>
      </c>
      <c r="F4204" s="74">
        <v>3.5</v>
      </c>
      <c r="G4204" s="758">
        <f t="shared" si="260"/>
        <v>0</v>
      </c>
      <c r="H4204" s="759">
        <f t="shared" si="261"/>
        <v>0</v>
      </c>
      <c r="I4204" s="758">
        <f t="shared" si="262"/>
        <v>3.5</v>
      </c>
      <c r="J4204" s="760">
        <f t="shared" si="263"/>
        <v>1</v>
      </c>
    </row>
    <row r="4205" spans="1:10">
      <c r="A4205" s="74" t="s">
        <v>676</v>
      </c>
      <c r="B4205" s="74" t="s">
        <v>253</v>
      </c>
      <c r="C4205" s="74" t="s">
        <v>1528</v>
      </c>
      <c r="D4205" s="74" t="s">
        <v>78</v>
      </c>
      <c r="E4205" s="74">
        <v>25</v>
      </c>
      <c r="F4205" s="74">
        <v>70.53</v>
      </c>
      <c r="G4205" s="758">
        <f t="shared" si="260"/>
        <v>0.92</v>
      </c>
      <c r="H4205" s="759">
        <f t="shared" si="261"/>
        <v>0.41</v>
      </c>
      <c r="I4205" s="758">
        <f t="shared" si="262"/>
        <v>1.9012000000000002</v>
      </c>
      <c r="J4205" s="760">
        <f t="shared" si="263"/>
        <v>0.67389763221324261</v>
      </c>
    </row>
    <row r="4206" spans="1:10">
      <c r="A4206" s="74" t="s">
        <v>676</v>
      </c>
      <c r="B4206" s="74" t="s">
        <v>253</v>
      </c>
      <c r="C4206" s="74" t="s">
        <v>1508</v>
      </c>
      <c r="D4206" s="74" t="s">
        <v>78</v>
      </c>
      <c r="E4206" s="74">
        <v>18</v>
      </c>
      <c r="F4206" s="74">
        <v>51.17</v>
      </c>
      <c r="G4206" s="758">
        <f t="shared" si="260"/>
        <v>0.92</v>
      </c>
      <c r="H4206" s="759">
        <f t="shared" si="261"/>
        <v>0.41</v>
      </c>
      <c r="I4206" s="758">
        <f t="shared" si="262"/>
        <v>1.9227777777777781</v>
      </c>
      <c r="J4206" s="760">
        <f t="shared" si="263"/>
        <v>0.67637287473128782</v>
      </c>
    </row>
    <row r="4207" spans="1:10">
      <c r="A4207" s="74" t="s">
        <v>676</v>
      </c>
      <c r="B4207" s="74" t="s">
        <v>253</v>
      </c>
      <c r="C4207" s="74" t="s">
        <v>1509</v>
      </c>
      <c r="D4207" s="74" t="s">
        <v>78</v>
      </c>
      <c r="E4207" s="74">
        <v>19</v>
      </c>
      <c r="F4207" s="74">
        <v>55.13</v>
      </c>
      <c r="G4207" s="758">
        <f t="shared" si="260"/>
        <v>0.92</v>
      </c>
      <c r="H4207" s="759">
        <f t="shared" si="261"/>
        <v>0.41</v>
      </c>
      <c r="I4207" s="758">
        <f t="shared" si="262"/>
        <v>1.9815789473684213</v>
      </c>
      <c r="J4207" s="760">
        <f t="shared" si="263"/>
        <v>0.6829312534010521</v>
      </c>
    </row>
    <row r="4208" spans="1:10">
      <c r="A4208" s="74" t="s">
        <v>676</v>
      </c>
      <c r="B4208" s="74" t="s">
        <v>253</v>
      </c>
      <c r="C4208" s="74" t="s">
        <v>1565</v>
      </c>
      <c r="D4208" s="74" t="s">
        <v>78</v>
      </c>
      <c r="E4208" s="74">
        <v>37</v>
      </c>
      <c r="F4208" s="74">
        <v>103.97</v>
      </c>
      <c r="G4208" s="758">
        <f t="shared" si="260"/>
        <v>0.92</v>
      </c>
      <c r="H4208" s="759">
        <f t="shared" si="261"/>
        <v>0.41</v>
      </c>
      <c r="I4208" s="758">
        <f t="shared" si="262"/>
        <v>1.8900000000000001</v>
      </c>
      <c r="J4208" s="760">
        <f t="shared" si="263"/>
        <v>0.67259786476868322</v>
      </c>
    </row>
    <row r="4209" spans="1:10">
      <c r="A4209" s="74" t="s">
        <v>676</v>
      </c>
      <c r="B4209" s="74" t="s">
        <v>253</v>
      </c>
      <c r="C4209" s="74" t="s">
        <v>1530</v>
      </c>
      <c r="D4209" s="74" t="s">
        <v>80</v>
      </c>
      <c r="E4209" s="74">
        <v>13</v>
      </c>
      <c r="F4209" s="74">
        <v>35.69</v>
      </c>
      <c r="G4209" s="758">
        <f t="shared" si="260"/>
        <v>0.92</v>
      </c>
      <c r="H4209" s="759">
        <f t="shared" si="261"/>
        <v>0.41</v>
      </c>
      <c r="I4209" s="758">
        <f t="shared" si="262"/>
        <v>1.8253846153846154</v>
      </c>
      <c r="J4209" s="760">
        <f t="shared" si="263"/>
        <v>0.6648921266461193</v>
      </c>
    </row>
    <row r="4210" spans="1:10">
      <c r="A4210" s="74" t="s">
        <v>676</v>
      </c>
      <c r="B4210" s="74" t="s">
        <v>253</v>
      </c>
      <c r="C4210" s="74" t="s">
        <v>1532</v>
      </c>
      <c r="D4210" s="74" t="s">
        <v>80</v>
      </c>
      <c r="E4210" s="74">
        <v>26</v>
      </c>
      <c r="F4210" s="74">
        <v>74.34</v>
      </c>
      <c r="G4210" s="758">
        <f t="shared" si="260"/>
        <v>0.92</v>
      </c>
      <c r="H4210" s="759">
        <f t="shared" si="261"/>
        <v>0.41</v>
      </c>
      <c r="I4210" s="758">
        <f t="shared" si="262"/>
        <v>1.9392307692307695</v>
      </c>
      <c r="J4210" s="760">
        <f t="shared" si="263"/>
        <v>0.67823513586225448</v>
      </c>
    </row>
    <row r="4211" spans="1:10">
      <c r="A4211" s="74" t="s">
        <v>676</v>
      </c>
      <c r="B4211" s="74" t="s">
        <v>253</v>
      </c>
      <c r="C4211" s="74" t="s">
        <v>1511</v>
      </c>
      <c r="D4211" s="74" t="s">
        <v>80</v>
      </c>
      <c r="E4211" s="74">
        <v>35</v>
      </c>
      <c r="F4211" s="74">
        <v>99.93</v>
      </c>
      <c r="G4211" s="758">
        <f t="shared" si="260"/>
        <v>0.92</v>
      </c>
      <c r="H4211" s="759">
        <f t="shared" si="261"/>
        <v>0.41</v>
      </c>
      <c r="I4211" s="758">
        <f t="shared" si="262"/>
        <v>1.9351428571428575</v>
      </c>
      <c r="J4211" s="760">
        <f t="shared" si="263"/>
        <v>0.67777444210947668</v>
      </c>
    </row>
    <row r="4212" spans="1:10">
      <c r="A4212" s="74" t="s">
        <v>676</v>
      </c>
      <c r="B4212" s="74" t="s">
        <v>253</v>
      </c>
      <c r="C4212" s="74" t="s">
        <v>1512</v>
      </c>
      <c r="D4212" s="74" t="s">
        <v>80</v>
      </c>
      <c r="E4212" s="74">
        <v>31</v>
      </c>
      <c r="F4212" s="74">
        <v>89.46</v>
      </c>
      <c r="G4212" s="758">
        <f t="shared" si="260"/>
        <v>0.92</v>
      </c>
      <c r="H4212" s="759">
        <f t="shared" si="261"/>
        <v>0.41</v>
      </c>
      <c r="I4212" s="758">
        <f t="shared" si="262"/>
        <v>1.9658064516129032</v>
      </c>
      <c r="J4212" s="760">
        <f t="shared" si="263"/>
        <v>0.68119830091661071</v>
      </c>
    </row>
    <row r="4213" spans="1:10">
      <c r="A4213" s="74" t="s">
        <v>676</v>
      </c>
      <c r="B4213" s="74" t="s">
        <v>253</v>
      </c>
      <c r="C4213" s="74" t="s">
        <v>1534</v>
      </c>
      <c r="D4213" s="74" t="s">
        <v>81</v>
      </c>
      <c r="E4213" s="74">
        <v>19</v>
      </c>
      <c r="F4213" s="74">
        <v>56.65</v>
      </c>
      <c r="G4213" s="758">
        <f t="shared" si="260"/>
        <v>0.92</v>
      </c>
      <c r="H4213" s="759">
        <f t="shared" si="261"/>
        <v>0.41</v>
      </c>
      <c r="I4213" s="758">
        <f t="shared" si="262"/>
        <v>2.061578947368421</v>
      </c>
      <c r="J4213" s="760">
        <f t="shared" si="263"/>
        <v>0.69143865842894969</v>
      </c>
    </row>
    <row r="4214" spans="1:10">
      <c r="A4214" s="74" t="s">
        <v>676</v>
      </c>
      <c r="B4214" s="74" t="s">
        <v>253</v>
      </c>
      <c r="C4214" s="74" t="s">
        <v>1513</v>
      </c>
      <c r="D4214" s="74" t="s">
        <v>81</v>
      </c>
      <c r="E4214" s="74">
        <v>26</v>
      </c>
      <c r="F4214" s="74">
        <v>74.72</v>
      </c>
      <c r="G4214" s="758">
        <f t="shared" si="260"/>
        <v>0.92</v>
      </c>
      <c r="H4214" s="759">
        <f t="shared" si="261"/>
        <v>0.41</v>
      </c>
      <c r="I4214" s="758">
        <f t="shared" si="262"/>
        <v>1.953846153846154</v>
      </c>
      <c r="J4214" s="760">
        <f t="shared" si="263"/>
        <v>0.67987152034261245</v>
      </c>
    </row>
    <row r="4215" spans="1:10">
      <c r="A4215" s="74" t="s">
        <v>676</v>
      </c>
      <c r="B4215" s="74" t="s">
        <v>253</v>
      </c>
      <c r="C4215" s="74" t="s">
        <v>1514</v>
      </c>
      <c r="D4215" s="74" t="s">
        <v>81</v>
      </c>
      <c r="E4215" s="74">
        <v>19</v>
      </c>
      <c r="F4215" s="74">
        <v>54.8</v>
      </c>
      <c r="G4215" s="758">
        <f t="shared" si="260"/>
        <v>0.92</v>
      </c>
      <c r="H4215" s="759">
        <f t="shared" si="261"/>
        <v>0.41</v>
      </c>
      <c r="I4215" s="758">
        <f t="shared" si="262"/>
        <v>1.9642105263157892</v>
      </c>
      <c r="J4215" s="760">
        <f t="shared" si="263"/>
        <v>0.68102189781021893</v>
      </c>
    </row>
    <row r="4216" spans="1:10">
      <c r="A4216" s="74" t="s">
        <v>676</v>
      </c>
      <c r="B4216" s="74" t="s">
        <v>253</v>
      </c>
      <c r="C4216" s="74" t="s">
        <v>1515</v>
      </c>
      <c r="D4216" s="74" t="s">
        <v>81</v>
      </c>
      <c r="E4216" s="74">
        <v>37</v>
      </c>
      <c r="F4216" s="74">
        <v>105.91</v>
      </c>
      <c r="G4216" s="758">
        <f t="shared" si="260"/>
        <v>0.92</v>
      </c>
      <c r="H4216" s="759">
        <f t="shared" si="261"/>
        <v>0.41</v>
      </c>
      <c r="I4216" s="758">
        <f t="shared" si="262"/>
        <v>1.9424324324324322</v>
      </c>
      <c r="J4216" s="760">
        <f t="shared" si="263"/>
        <v>0.67859503351902561</v>
      </c>
    </row>
    <row r="4217" spans="1:10">
      <c r="A4217" s="74" t="s">
        <v>676</v>
      </c>
      <c r="B4217" s="74" t="s">
        <v>253</v>
      </c>
      <c r="C4217" s="74" t="s">
        <v>1516</v>
      </c>
      <c r="D4217" s="74" t="s">
        <v>82</v>
      </c>
      <c r="E4217" s="74">
        <v>18</v>
      </c>
      <c r="F4217" s="74">
        <v>56.25</v>
      </c>
      <c r="G4217" s="758">
        <f t="shared" si="260"/>
        <v>0.92</v>
      </c>
      <c r="H4217" s="759">
        <f t="shared" si="261"/>
        <v>0.41</v>
      </c>
      <c r="I4217" s="758">
        <f t="shared" si="262"/>
        <v>2.2050000000000001</v>
      </c>
      <c r="J4217" s="760">
        <f t="shared" si="263"/>
        <v>0.7056</v>
      </c>
    </row>
    <row r="4218" spans="1:10">
      <c r="A4218" s="74" t="s">
        <v>676</v>
      </c>
      <c r="B4218" s="74" t="s">
        <v>253</v>
      </c>
      <c r="C4218" s="74" t="s">
        <v>1517</v>
      </c>
      <c r="D4218" s="74" t="s">
        <v>82</v>
      </c>
      <c r="E4218" s="74">
        <v>28</v>
      </c>
      <c r="F4218" s="74">
        <v>83.5</v>
      </c>
      <c r="G4218" s="758">
        <f t="shared" si="260"/>
        <v>0.92</v>
      </c>
      <c r="H4218" s="759">
        <f t="shared" si="261"/>
        <v>0.41</v>
      </c>
      <c r="I4218" s="758">
        <f t="shared" si="262"/>
        <v>2.0621428571428573</v>
      </c>
      <c r="J4218" s="760">
        <f t="shared" si="263"/>
        <v>0.69149700598802388</v>
      </c>
    </row>
    <row r="4219" spans="1:10">
      <c r="A4219" s="74" t="s">
        <v>676</v>
      </c>
      <c r="B4219" s="74" t="s">
        <v>253</v>
      </c>
      <c r="C4219" s="74" t="s">
        <v>1527</v>
      </c>
      <c r="D4219" s="74" t="s">
        <v>82</v>
      </c>
      <c r="E4219" s="74">
        <v>27</v>
      </c>
      <c r="F4219" s="74">
        <v>81.900000000000006</v>
      </c>
      <c r="G4219" s="758">
        <f t="shared" si="260"/>
        <v>0.92</v>
      </c>
      <c r="H4219" s="759">
        <f t="shared" si="261"/>
        <v>0.41</v>
      </c>
      <c r="I4219" s="758">
        <f t="shared" si="262"/>
        <v>2.1133333333333337</v>
      </c>
      <c r="J4219" s="760">
        <f t="shared" si="263"/>
        <v>0.69670329670329667</v>
      </c>
    </row>
    <row r="4220" spans="1:10">
      <c r="A4220" s="74" t="s">
        <v>676</v>
      </c>
      <c r="B4220" s="74" t="s">
        <v>253</v>
      </c>
      <c r="C4220" s="74" t="s">
        <v>1518</v>
      </c>
      <c r="D4220" s="74" t="s">
        <v>82</v>
      </c>
      <c r="E4220" s="74">
        <v>20</v>
      </c>
      <c r="F4220" s="74">
        <v>65.2</v>
      </c>
      <c r="G4220" s="758">
        <f t="shared" si="260"/>
        <v>0.92</v>
      </c>
      <c r="H4220" s="759">
        <f t="shared" si="261"/>
        <v>0.41</v>
      </c>
      <c r="I4220" s="758">
        <f t="shared" si="262"/>
        <v>2.3400000000000003</v>
      </c>
      <c r="J4220" s="760">
        <f t="shared" si="263"/>
        <v>0.71779141104294475</v>
      </c>
    </row>
    <row r="4221" spans="1:10">
      <c r="A4221" s="74" t="s">
        <v>676</v>
      </c>
      <c r="B4221" s="74" t="s">
        <v>253</v>
      </c>
      <c r="C4221" s="74" t="s">
        <v>1519</v>
      </c>
      <c r="D4221" s="74" t="s">
        <v>84</v>
      </c>
      <c r="E4221" s="74">
        <v>5</v>
      </c>
      <c r="F4221" s="74">
        <v>14.61</v>
      </c>
      <c r="G4221" s="758">
        <f t="shared" si="260"/>
        <v>0.92</v>
      </c>
      <c r="H4221" s="759">
        <f t="shared" si="261"/>
        <v>0.41</v>
      </c>
      <c r="I4221" s="758">
        <f t="shared" si="262"/>
        <v>2.0019999999999998</v>
      </c>
      <c r="J4221" s="760">
        <f t="shared" si="263"/>
        <v>0.68514715947980831</v>
      </c>
    </row>
    <row r="4222" spans="1:10">
      <c r="A4222" s="74" t="s">
        <v>676</v>
      </c>
      <c r="B4222" s="74" t="s">
        <v>253</v>
      </c>
      <c r="C4222" s="74" t="s">
        <v>1540</v>
      </c>
      <c r="D4222" s="74" t="s">
        <v>84</v>
      </c>
      <c r="E4222" s="74">
        <v>6</v>
      </c>
      <c r="F4222" s="74">
        <v>17.7</v>
      </c>
      <c r="G4222" s="758">
        <f t="shared" si="260"/>
        <v>0.92</v>
      </c>
      <c r="H4222" s="759">
        <f t="shared" si="261"/>
        <v>0.41</v>
      </c>
      <c r="I4222" s="758">
        <f t="shared" si="262"/>
        <v>2.0299999999999998</v>
      </c>
      <c r="J4222" s="760">
        <f t="shared" si="263"/>
        <v>0.68813559322033901</v>
      </c>
    </row>
    <row r="4223" spans="1:10">
      <c r="A4223" s="74" t="s">
        <v>676</v>
      </c>
      <c r="B4223" s="74" t="s">
        <v>253</v>
      </c>
      <c r="C4223" s="74" t="s">
        <v>1507</v>
      </c>
      <c r="D4223" s="74" t="s">
        <v>86</v>
      </c>
      <c r="E4223" s="74">
        <v>1</v>
      </c>
      <c r="F4223" s="74">
        <v>3.1</v>
      </c>
      <c r="G4223" s="758">
        <f t="shared" si="260"/>
        <v>0.92</v>
      </c>
      <c r="H4223" s="759">
        <f t="shared" si="261"/>
        <v>0.41</v>
      </c>
      <c r="I4223" s="758">
        <f t="shared" si="262"/>
        <v>2.1800000000000002</v>
      </c>
      <c r="J4223" s="760">
        <f t="shared" si="263"/>
        <v>0.70322580645161292</v>
      </c>
    </row>
    <row r="4224" spans="1:10">
      <c r="A4224" s="74" t="s">
        <v>676</v>
      </c>
      <c r="B4224" s="74" t="s">
        <v>253</v>
      </c>
      <c r="C4224" s="74" t="s">
        <v>1578</v>
      </c>
      <c r="D4224" s="74" t="s">
        <v>86</v>
      </c>
      <c r="E4224" s="74">
        <v>4</v>
      </c>
      <c r="F4224" s="74">
        <v>11.8</v>
      </c>
      <c r="G4224" s="758">
        <f t="shared" si="260"/>
        <v>0.92</v>
      </c>
      <c r="H4224" s="759">
        <f t="shared" si="261"/>
        <v>0.41</v>
      </c>
      <c r="I4224" s="758">
        <f t="shared" si="262"/>
        <v>2.0300000000000002</v>
      </c>
      <c r="J4224" s="760">
        <f t="shared" si="263"/>
        <v>0.68813559322033901</v>
      </c>
    </row>
    <row r="4225" spans="1:10">
      <c r="A4225" s="74" t="s">
        <v>676</v>
      </c>
      <c r="B4225" s="74" t="s">
        <v>253</v>
      </c>
      <c r="C4225" s="74" t="s">
        <v>1646</v>
      </c>
      <c r="D4225" s="74" t="s">
        <v>86</v>
      </c>
      <c r="E4225" s="74">
        <v>5</v>
      </c>
      <c r="F4225" s="74">
        <v>14.75</v>
      </c>
      <c r="G4225" s="758">
        <f t="shared" si="260"/>
        <v>0.92</v>
      </c>
      <c r="H4225" s="759">
        <f t="shared" si="261"/>
        <v>0.41</v>
      </c>
      <c r="I4225" s="758">
        <f t="shared" si="262"/>
        <v>2.0300000000000002</v>
      </c>
      <c r="J4225" s="760">
        <f t="shared" si="263"/>
        <v>0.68813559322033901</v>
      </c>
    </row>
    <row r="4226" spans="1:10">
      <c r="A4226" s="74" t="s">
        <v>676</v>
      </c>
      <c r="B4226" s="74" t="s">
        <v>253</v>
      </c>
      <c r="C4226" s="74" t="s">
        <v>1541</v>
      </c>
      <c r="D4226" s="74" t="s">
        <v>86</v>
      </c>
      <c r="E4226" s="74">
        <v>3</v>
      </c>
      <c r="F4226" s="74">
        <v>9.15</v>
      </c>
      <c r="G4226" s="758">
        <f t="shared" ref="G4226:G4289" si="264">IFERROR(VLOOKUP(A4226,$M$1:$P$1014,2,FALSE),0)</f>
        <v>0.92</v>
      </c>
      <c r="H4226" s="759">
        <f t="shared" ref="H4226:H4289" si="265">IFERROR(VLOOKUP(A4226,$M$1:$P$1014,3,FALSE),0)</f>
        <v>0.41</v>
      </c>
      <c r="I4226" s="758">
        <f t="shared" ref="I4226:I4289" si="266">IFERROR(F4226/E4226-G4226,0)</f>
        <v>2.1300000000000003</v>
      </c>
      <c r="J4226" s="760">
        <f t="shared" ref="J4226:J4289" si="267">IFERROR(1-G4226*E4226/F4226,0)</f>
        <v>0.69836065573770489</v>
      </c>
    </row>
    <row r="4227" spans="1:10">
      <c r="A4227" s="74" t="s">
        <v>676</v>
      </c>
      <c r="B4227" s="74" t="s">
        <v>253</v>
      </c>
      <c r="C4227" s="74" t="s">
        <v>1544</v>
      </c>
      <c r="D4227" s="74" t="s">
        <v>87</v>
      </c>
      <c r="E4227" s="74">
        <v>4</v>
      </c>
      <c r="F4227" s="74">
        <v>8.85</v>
      </c>
      <c r="G4227" s="758">
        <f t="shared" si="264"/>
        <v>0.92</v>
      </c>
      <c r="H4227" s="759">
        <f t="shared" si="265"/>
        <v>0.41</v>
      </c>
      <c r="I4227" s="758">
        <f t="shared" si="266"/>
        <v>1.2925</v>
      </c>
      <c r="J4227" s="760">
        <f t="shared" si="267"/>
        <v>0.58418079096045195</v>
      </c>
    </row>
    <row r="4228" spans="1:10">
      <c r="A4228" s="74" t="s">
        <v>676</v>
      </c>
      <c r="B4228" s="74" t="s">
        <v>253</v>
      </c>
      <c r="C4228" s="74" t="s">
        <v>1561</v>
      </c>
      <c r="D4228" s="74" t="s">
        <v>87</v>
      </c>
      <c r="E4228" s="74">
        <v>2</v>
      </c>
      <c r="F4228" s="74">
        <v>6.05</v>
      </c>
      <c r="G4228" s="758">
        <f t="shared" si="264"/>
        <v>0.92</v>
      </c>
      <c r="H4228" s="759">
        <f t="shared" si="265"/>
        <v>0.41</v>
      </c>
      <c r="I4228" s="758">
        <f t="shared" si="266"/>
        <v>2.105</v>
      </c>
      <c r="J4228" s="760">
        <f t="shared" si="267"/>
        <v>0.69586776859504129</v>
      </c>
    </row>
    <row r="4229" spans="1:10">
      <c r="A4229" s="74" t="s">
        <v>676</v>
      </c>
      <c r="B4229" s="74" t="s">
        <v>253</v>
      </c>
      <c r="C4229" s="74" t="s">
        <v>1608</v>
      </c>
      <c r="D4229" s="74" t="s">
        <v>89</v>
      </c>
      <c r="E4229" s="74">
        <v>4</v>
      </c>
      <c r="F4229" s="74">
        <v>9.3000000000000007</v>
      </c>
      <c r="G4229" s="758">
        <f t="shared" si="264"/>
        <v>0.92</v>
      </c>
      <c r="H4229" s="759">
        <f t="shared" si="265"/>
        <v>0.41</v>
      </c>
      <c r="I4229" s="758">
        <f t="shared" si="266"/>
        <v>1.4050000000000002</v>
      </c>
      <c r="J4229" s="760">
        <f t="shared" si="267"/>
        <v>0.60430107526881716</v>
      </c>
    </row>
    <row r="4230" spans="1:10">
      <c r="A4230" s="74" t="s">
        <v>676</v>
      </c>
      <c r="B4230" s="74" t="s">
        <v>253</v>
      </c>
      <c r="C4230" s="74" t="s">
        <v>1610</v>
      </c>
      <c r="D4230" s="74" t="s">
        <v>89</v>
      </c>
      <c r="E4230" s="74">
        <v>2</v>
      </c>
      <c r="F4230" s="74">
        <v>6.2</v>
      </c>
      <c r="G4230" s="758">
        <f t="shared" si="264"/>
        <v>0.92</v>
      </c>
      <c r="H4230" s="759">
        <f t="shared" si="265"/>
        <v>0.41</v>
      </c>
      <c r="I4230" s="758">
        <f t="shared" si="266"/>
        <v>2.1800000000000002</v>
      </c>
      <c r="J4230" s="760">
        <f t="shared" si="267"/>
        <v>0.70322580645161292</v>
      </c>
    </row>
    <row r="4231" spans="1:10">
      <c r="A4231" s="74" t="s">
        <v>676</v>
      </c>
      <c r="B4231" s="74" t="s">
        <v>253</v>
      </c>
      <c r="C4231" s="74" t="s">
        <v>1546</v>
      </c>
      <c r="D4231" s="74" t="s">
        <v>89</v>
      </c>
      <c r="E4231" s="74">
        <v>1</v>
      </c>
      <c r="F4231" s="74">
        <v>2.95</v>
      </c>
      <c r="G4231" s="758">
        <f t="shared" si="264"/>
        <v>0.92</v>
      </c>
      <c r="H4231" s="759">
        <f t="shared" si="265"/>
        <v>0.41</v>
      </c>
      <c r="I4231" s="758">
        <f t="shared" si="266"/>
        <v>2.0300000000000002</v>
      </c>
      <c r="J4231" s="760">
        <f t="shared" si="267"/>
        <v>0.68813559322033901</v>
      </c>
    </row>
    <row r="4232" spans="1:10">
      <c r="A4232" s="74" t="s">
        <v>676</v>
      </c>
      <c r="B4232" s="74" t="s">
        <v>253</v>
      </c>
      <c r="C4232" s="74" t="s">
        <v>1547</v>
      </c>
      <c r="D4232" s="74" t="s">
        <v>89</v>
      </c>
      <c r="E4232" s="74">
        <v>4</v>
      </c>
      <c r="F4232" s="74">
        <v>11.95</v>
      </c>
      <c r="G4232" s="758">
        <f t="shared" si="264"/>
        <v>0.92</v>
      </c>
      <c r="H4232" s="759">
        <f t="shared" si="265"/>
        <v>0.41</v>
      </c>
      <c r="I4232" s="758">
        <f t="shared" si="266"/>
        <v>2.0674999999999999</v>
      </c>
      <c r="J4232" s="760">
        <f t="shared" si="267"/>
        <v>0.69205020920502092</v>
      </c>
    </row>
    <row r="4233" spans="1:10">
      <c r="A4233" s="74" t="s">
        <v>676</v>
      </c>
      <c r="B4233" s="74" t="s">
        <v>253</v>
      </c>
      <c r="C4233" s="74" t="s">
        <v>1582</v>
      </c>
      <c r="D4233" s="74" t="s">
        <v>89</v>
      </c>
      <c r="E4233" s="74">
        <v>2</v>
      </c>
      <c r="F4233" s="74">
        <v>5.9</v>
      </c>
      <c r="G4233" s="758">
        <f t="shared" si="264"/>
        <v>0.92</v>
      </c>
      <c r="H4233" s="759">
        <f t="shared" si="265"/>
        <v>0.41</v>
      </c>
      <c r="I4233" s="758">
        <f t="shared" si="266"/>
        <v>2.0300000000000002</v>
      </c>
      <c r="J4233" s="760">
        <f t="shared" si="267"/>
        <v>0.68813559322033901</v>
      </c>
    </row>
    <row r="4234" spans="1:10">
      <c r="A4234" s="74" t="s">
        <v>676</v>
      </c>
      <c r="B4234" s="74" t="s">
        <v>253</v>
      </c>
      <c r="C4234" s="74" t="s">
        <v>1522</v>
      </c>
      <c r="D4234" s="74" t="s">
        <v>91</v>
      </c>
      <c r="E4234" s="74">
        <v>2</v>
      </c>
      <c r="F4234" s="74">
        <v>6.2</v>
      </c>
      <c r="G4234" s="758">
        <f t="shared" si="264"/>
        <v>0.92</v>
      </c>
      <c r="H4234" s="759">
        <f t="shared" si="265"/>
        <v>0.41</v>
      </c>
      <c r="I4234" s="758">
        <f t="shared" si="266"/>
        <v>2.1800000000000002</v>
      </c>
      <c r="J4234" s="760">
        <f t="shared" si="267"/>
        <v>0.70322580645161292</v>
      </c>
    </row>
    <row r="4235" spans="1:10">
      <c r="A4235" s="74" t="s">
        <v>676</v>
      </c>
      <c r="B4235" s="74" t="s">
        <v>253</v>
      </c>
      <c r="C4235" s="74" t="s">
        <v>1675</v>
      </c>
      <c r="D4235" s="74" t="s">
        <v>91</v>
      </c>
      <c r="E4235" s="74">
        <v>8</v>
      </c>
      <c r="F4235" s="74">
        <v>23.75</v>
      </c>
      <c r="G4235" s="758">
        <f t="shared" si="264"/>
        <v>0.92</v>
      </c>
      <c r="H4235" s="759">
        <f t="shared" si="265"/>
        <v>0.41</v>
      </c>
      <c r="I4235" s="758">
        <f t="shared" si="266"/>
        <v>2.0487500000000001</v>
      </c>
      <c r="J4235" s="760">
        <f t="shared" si="267"/>
        <v>0.69010526315789478</v>
      </c>
    </row>
    <row r="4236" spans="1:10">
      <c r="A4236" s="74" t="s">
        <v>676</v>
      </c>
      <c r="B4236" s="74" t="s">
        <v>253</v>
      </c>
      <c r="C4236" s="74" t="s">
        <v>1524</v>
      </c>
      <c r="D4236" s="74" t="s">
        <v>91</v>
      </c>
      <c r="E4236" s="74">
        <v>2</v>
      </c>
      <c r="F4236" s="74">
        <v>5.9</v>
      </c>
      <c r="G4236" s="758">
        <f t="shared" si="264"/>
        <v>0.92</v>
      </c>
      <c r="H4236" s="759">
        <f t="shared" si="265"/>
        <v>0.41</v>
      </c>
      <c r="I4236" s="758">
        <f t="shared" si="266"/>
        <v>2.0300000000000002</v>
      </c>
      <c r="J4236" s="760">
        <f t="shared" si="267"/>
        <v>0.68813559322033901</v>
      </c>
    </row>
    <row r="4237" spans="1:10">
      <c r="A4237" s="74" t="s">
        <v>676</v>
      </c>
      <c r="B4237" s="74" t="s">
        <v>253</v>
      </c>
      <c r="C4237" s="74" t="s">
        <v>1584</v>
      </c>
      <c r="D4237" s="74" t="s">
        <v>92</v>
      </c>
      <c r="E4237" s="74">
        <v>2</v>
      </c>
      <c r="F4237" s="74">
        <v>6.05</v>
      </c>
      <c r="G4237" s="758">
        <f t="shared" si="264"/>
        <v>0.92</v>
      </c>
      <c r="H4237" s="759">
        <f t="shared" si="265"/>
        <v>0.41</v>
      </c>
      <c r="I4237" s="758">
        <f t="shared" si="266"/>
        <v>2.105</v>
      </c>
      <c r="J4237" s="760">
        <f t="shared" si="267"/>
        <v>0.69586776859504129</v>
      </c>
    </row>
    <row r="4238" spans="1:10">
      <c r="A4238" s="74" t="s">
        <v>676</v>
      </c>
      <c r="B4238" s="74" t="s">
        <v>253</v>
      </c>
      <c r="C4238" s="74" t="s">
        <v>1631</v>
      </c>
      <c r="D4238" s="74" t="s">
        <v>92</v>
      </c>
      <c r="E4238" s="74">
        <v>1</v>
      </c>
      <c r="F4238" s="74">
        <v>2.95</v>
      </c>
      <c r="G4238" s="758">
        <f t="shared" si="264"/>
        <v>0.92</v>
      </c>
      <c r="H4238" s="759">
        <f t="shared" si="265"/>
        <v>0.41</v>
      </c>
      <c r="I4238" s="758">
        <f t="shared" si="266"/>
        <v>2.0300000000000002</v>
      </c>
      <c r="J4238" s="760">
        <f t="shared" si="267"/>
        <v>0.68813559322033901</v>
      </c>
    </row>
    <row r="4239" spans="1:10">
      <c r="A4239" s="74" t="s">
        <v>676</v>
      </c>
      <c r="B4239" s="74" t="s">
        <v>253</v>
      </c>
      <c r="C4239" s="74" t="s">
        <v>1617</v>
      </c>
      <c r="D4239" s="74" t="s">
        <v>94</v>
      </c>
      <c r="E4239" s="74">
        <v>1</v>
      </c>
      <c r="F4239" s="74">
        <v>2.95</v>
      </c>
      <c r="G4239" s="758">
        <f t="shared" si="264"/>
        <v>0.92</v>
      </c>
      <c r="H4239" s="759">
        <f t="shared" si="265"/>
        <v>0.41</v>
      </c>
      <c r="I4239" s="758">
        <f t="shared" si="266"/>
        <v>2.0300000000000002</v>
      </c>
      <c r="J4239" s="760">
        <f t="shared" si="267"/>
        <v>0.68813559322033901</v>
      </c>
    </row>
    <row r="4240" spans="1:10">
      <c r="A4240" s="74" t="s">
        <v>676</v>
      </c>
      <c r="B4240" s="74" t="s">
        <v>253</v>
      </c>
      <c r="C4240" s="74" t="s">
        <v>1553</v>
      </c>
      <c r="D4240" s="74" t="s">
        <v>94</v>
      </c>
      <c r="E4240" s="74">
        <v>3</v>
      </c>
      <c r="F4240" s="74">
        <v>9.15</v>
      </c>
      <c r="G4240" s="758">
        <f t="shared" si="264"/>
        <v>0.92</v>
      </c>
      <c r="H4240" s="759">
        <f t="shared" si="265"/>
        <v>0.41</v>
      </c>
      <c r="I4240" s="758">
        <f t="shared" si="266"/>
        <v>2.1300000000000003</v>
      </c>
      <c r="J4240" s="760">
        <f t="shared" si="267"/>
        <v>0.69836065573770489</v>
      </c>
    </row>
    <row r="4241" spans="1:10">
      <c r="A4241" s="74" t="s">
        <v>676</v>
      </c>
      <c r="B4241" s="74" t="s">
        <v>253</v>
      </c>
      <c r="C4241" s="74" t="s">
        <v>1555</v>
      </c>
      <c r="D4241" s="74" t="s">
        <v>94</v>
      </c>
      <c r="E4241" s="74">
        <v>2</v>
      </c>
      <c r="F4241" s="74">
        <v>5.9</v>
      </c>
      <c r="G4241" s="758">
        <f t="shared" si="264"/>
        <v>0.92</v>
      </c>
      <c r="H4241" s="759">
        <f t="shared" si="265"/>
        <v>0.41</v>
      </c>
      <c r="I4241" s="758">
        <f t="shared" si="266"/>
        <v>2.0300000000000002</v>
      </c>
      <c r="J4241" s="760">
        <f t="shared" si="267"/>
        <v>0.68813559322033901</v>
      </c>
    </row>
    <row r="4242" spans="1:10">
      <c r="A4242" s="74" t="s">
        <v>676</v>
      </c>
      <c r="B4242" s="74" t="s">
        <v>253</v>
      </c>
      <c r="C4242" s="74" t="s">
        <v>1557</v>
      </c>
      <c r="D4242" s="74" t="s">
        <v>95</v>
      </c>
      <c r="E4242" s="74">
        <v>2</v>
      </c>
      <c r="F4242" s="74">
        <v>5.9</v>
      </c>
      <c r="G4242" s="758">
        <f t="shared" si="264"/>
        <v>0.92</v>
      </c>
      <c r="H4242" s="759">
        <f t="shared" si="265"/>
        <v>0.41</v>
      </c>
      <c r="I4242" s="758">
        <f t="shared" si="266"/>
        <v>2.0300000000000002</v>
      </c>
      <c r="J4242" s="760">
        <f t="shared" si="267"/>
        <v>0.68813559322033901</v>
      </c>
    </row>
    <row r="4243" spans="1:10">
      <c r="A4243" s="74" t="s">
        <v>676</v>
      </c>
      <c r="B4243" s="74" t="s">
        <v>253</v>
      </c>
      <c r="C4243" s="74" t="s">
        <v>1526</v>
      </c>
      <c r="D4243" s="74" t="s">
        <v>95</v>
      </c>
      <c r="E4243" s="74">
        <v>3</v>
      </c>
      <c r="F4243" s="74">
        <v>8.85</v>
      </c>
      <c r="G4243" s="758">
        <f t="shared" si="264"/>
        <v>0.92</v>
      </c>
      <c r="H4243" s="759">
        <f t="shared" si="265"/>
        <v>0.41</v>
      </c>
      <c r="I4243" s="758">
        <f t="shared" si="266"/>
        <v>2.0299999999999998</v>
      </c>
      <c r="J4243" s="760">
        <f t="shared" si="267"/>
        <v>0.68813559322033901</v>
      </c>
    </row>
    <row r="4244" spans="1:10">
      <c r="A4244" s="74" t="s">
        <v>676</v>
      </c>
      <c r="B4244" s="74" t="s">
        <v>253</v>
      </c>
      <c r="C4244" s="74" t="s">
        <v>1930</v>
      </c>
      <c r="D4244" s="74" t="s">
        <v>95</v>
      </c>
      <c r="E4244" s="74">
        <v>2</v>
      </c>
      <c r="F4244" s="74">
        <v>5.9</v>
      </c>
      <c r="G4244" s="758">
        <f t="shared" si="264"/>
        <v>0.92</v>
      </c>
      <c r="H4244" s="759">
        <f t="shared" si="265"/>
        <v>0.41</v>
      </c>
      <c r="I4244" s="758">
        <f t="shared" si="266"/>
        <v>2.0300000000000002</v>
      </c>
      <c r="J4244" s="760">
        <f t="shared" si="267"/>
        <v>0.68813559322033901</v>
      </c>
    </row>
    <row r="4245" spans="1:10">
      <c r="A4245" s="74" t="s">
        <v>1975</v>
      </c>
      <c r="B4245" s="74" t="s">
        <v>253</v>
      </c>
      <c r="C4245" s="74" t="s">
        <v>1528</v>
      </c>
      <c r="D4245" s="74" t="s">
        <v>78</v>
      </c>
      <c r="E4245" s="74">
        <v>1</v>
      </c>
      <c r="F4245" s="74">
        <v>2.95</v>
      </c>
      <c r="G4245" s="758">
        <f t="shared" si="264"/>
        <v>1.43</v>
      </c>
      <c r="H4245" s="759">
        <f t="shared" si="265"/>
        <v>0.53</v>
      </c>
      <c r="I4245" s="758">
        <f t="shared" si="266"/>
        <v>1.5200000000000002</v>
      </c>
      <c r="J4245" s="760">
        <f t="shared" si="267"/>
        <v>0.51525423728813569</v>
      </c>
    </row>
    <row r="4246" spans="1:10">
      <c r="A4246" s="74" t="s">
        <v>1975</v>
      </c>
      <c r="B4246" s="74" t="s">
        <v>253</v>
      </c>
      <c r="C4246" s="74" t="s">
        <v>1532</v>
      </c>
      <c r="D4246" s="74" t="s">
        <v>80</v>
      </c>
      <c r="E4246" s="74">
        <v>2</v>
      </c>
      <c r="F4246" s="74">
        <v>5.9</v>
      </c>
      <c r="G4246" s="758">
        <f t="shared" si="264"/>
        <v>1.43</v>
      </c>
      <c r="H4246" s="759">
        <f t="shared" si="265"/>
        <v>0.53</v>
      </c>
      <c r="I4246" s="758">
        <f t="shared" si="266"/>
        <v>1.5200000000000002</v>
      </c>
      <c r="J4246" s="760">
        <f t="shared" si="267"/>
        <v>0.51525423728813569</v>
      </c>
    </row>
    <row r="4247" spans="1:10">
      <c r="A4247" s="74" t="s">
        <v>1975</v>
      </c>
      <c r="B4247" s="74" t="s">
        <v>253</v>
      </c>
      <c r="C4247" s="74" t="s">
        <v>1515</v>
      </c>
      <c r="D4247" s="74" t="s">
        <v>81</v>
      </c>
      <c r="E4247" s="74">
        <v>1</v>
      </c>
      <c r="F4247" s="74">
        <v>3.1</v>
      </c>
      <c r="G4247" s="758">
        <f t="shared" si="264"/>
        <v>1.43</v>
      </c>
      <c r="H4247" s="759">
        <f t="shared" si="265"/>
        <v>0.53</v>
      </c>
      <c r="I4247" s="758">
        <f t="shared" si="266"/>
        <v>1.6700000000000002</v>
      </c>
      <c r="J4247" s="760">
        <f t="shared" si="267"/>
        <v>0.53870967741935494</v>
      </c>
    </row>
    <row r="4248" spans="1:10">
      <c r="A4248" s="74" t="s">
        <v>1975</v>
      </c>
      <c r="B4248" s="74" t="s">
        <v>253</v>
      </c>
      <c r="C4248" s="74" t="s">
        <v>1527</v>
      </c>
      <c r="D4248" s="74" t="s">
        <v>82</v>
      </c>
      <c r="E4248" s="74">
        <v>2</v>
      </c>
      <c r="F4248" s="74">
        <v>5.9</v>
      </c>
      <c r="G4248" s="758">
        <f t="shared" si="264"/>
        <v>1.43</v>
      </c>
      <c r="H4248" s="759">
        <f t="shared" si="265"/>
        <v>0.53</v>
      </c>
      <c r="I4248" s="758">
        <f t="shared" si="266"/>
        <v>1.5200000000000002</v>
      </c>
      <c r="J4248" s="760">
        <f t="shared" si="267"/>
        <v>0.51525423728813569</v>
      </c>
    </row>
    <row r="4249" spans="1:10">
      <c r="A4249" s="74" t="s">
        <v>964</v>
      </c>
      <c r="B4249" s="74" t="s">
        <v>253</v>
      </c>
      <c r="C4249" s="74" t="s">
        <v>1516</v>
      </c>
      <c r="D4249" s="74" t="s">
        <v>82</v>
      </c>
      <c r="E4249" s="74">
        <v>2</v>
      </c>
      <c r="F4249" s="74">
        <v>15.8</v>
      </c>
      <c r="G4249" s="758">
        <f t="shared" si="264"/>
        <v>1.43</v>
      </c>
      <c r="H4249" s="759">
        <f t="shared" si="265"/>
        <v>0.52</v>
      </c>
      <c r="I4249" s="758">
        <f t="shared" si="266"/>
        <v>6.4700000000000006</v>
      </c>
      <c r="J4249" s="760">
        <f t="shared" si="267"/>
        <v>0.81898734177215193</v>
      </c>
    </row>
    <row r="4250" spans="1:10">
      <c r="A4250" s="74" t="s">
        <v>964</v>
      </c>
      <c r="B4250" s="74" t="s">
        <v>253</v>
      </c>
      <c r="C4250" s="74" t="s">
        <v>1517</v>
      </c>
      <c r="D4250" s="74" t="s">
        <v>82</v>
      </c>
      <c r="E4250" s="74">
        <v>2</v>
      </c>
      <c r="F4250" s="74">
        <v>6.2</v>
      </c>
      <c r="G4250" s="758">
        <f t="shared" si="264"/>
        <v>1.43</v>
      </c>
      <c r="H4250" s="759">
        <f t="shared" si="265"/>
        <v>0.52</v>
      </c>
      <c r="I4250" s="758">
        <f t="shared" si="266"/>
        <v>1.6700000000000002</v>
      </c>
      <c r="J4250" s="760">
        <f t="shared" si="267"/>
        <v>0.53870967741935494</v>
      </c>
    </row>
    <row r="4251" spans="1:10">
      <c r="A4251" s="74" t="s">
        <v>964</v>
      </c>
      <c r="B4251" s="74" t="s">
        <v>253</v>
      </c>
      <c r="C4251" s="74" t="s">
        <v>1527</v>
      </c>
      <c r="D4251" s="74" t="s">
        <v>82</v>
      </c>
      <c r="E4251" s="74">
        <v>1</v>
      </c>
      <c r="F4251" s="74">
        <v>2.95</v>
      </c>
      <c r="G4251" s="758">
        <f t="shared" si="264"/>
        <v>1.43</v>
      </c>
      <c r="H4251" s="759">
        <f t="shared" si="265"/>
        <v>0.52</v>
      </c>
      <c r="I4251" s="758">
        <f t="shared" si="266"/>
        <v>1.5200000000000002</v>
      </c>
      <c r="J4251" s="760">
        <f t="shared" si="267"/>
        <v>0.51525423728813569</v>
      </c>
    </row>
    <row r="4252" spans="1:10">
      <c r="A4252" s="74" t="s">
        <v>964</v>
      </c>
      <c r="B4252" s="74" t="s">
        <v>253</v>
      </c>
      <c r="C4252" s="74" t="s">
        <v>1518</v>
      </c>
      <c r="D4252" s="74" t="s">
        <v>82</v>
      </c>
      <c r="E4252" s="74">
        <v>2</v>
      </c>
      <c r="F4252" s="74">
        <v>6.2</v>
      </c>
      <c r="G4252" s="758">
        <f t="shared" si="264"/>
        <v>1.43</v>
      </c>
      <c r="H4252" s="759">
        <f t="shared" si="265"/>
        <v>0.52</v>
      </c>
      <c r="I4252" s="758">
        <f t="shared" si="266"/>
        <v>1.6700000000000002</v>
      </c>
      <c r="J4252" s="760">
        <f t="shared" si="267"/>
        <v>0.53870967741935494</v>
      </c>
    </row>
    <row r="4253" spans="1:10">
      <c r="A4253" s="74" t="s">
        <v>964</v>
      </c>
      <c r="B4253" s="74" t="s">
        <v>253</v>
      </c>
      <c r="C4253" s="74" t="s">
        <v>1546</v>
      </c>
      <c r="D4253" s="74" t="s">
        <v>89</v>
      </c>
      <c r="E4253" s="74">
        <v>1</v>
      </c>
      <c r="F4253" s="74">
        <v>2.95</v>
      </c>
      <c r="G4253" s="758">
        <f t="shared" si="264"/>
        <v>1.43</v>
      </c>
      <c r="H4253" s="759">
        <f t="shared" si="265"/>
        <v>0.52</v>
      </c>
      <c r="I4253" s="758">
        <f t="shared" si="266"/>
        <v>1.5200000000000002</v>
      </c>
      <c r="J4253" s="760">
        <f t="shared" si="267"/>
        <v>0.51525423728813569</v>
      </c>
    </row>
    <row r="4254" spans="1:10">
      <c r="A4254" s="74" t="s">
        <v>964</v>
      </c>
      <c r="B4254" s="74" t="s">
        <v>253</v>
      </c>
      <c r="C4254" s="74" t="s">
        <v>1553</v>
      </c>
      <c r="D4254" s="74" t="s">
        <v>94</v>
      </c>
      <c r="E4254" s="74">
        <v>1</v>
      </c>
      <c r="F4254" s="74">
        <v>3.1</v>
      </c>
      <c r="G4254" s="758">
        <f t="shared" si="264"/>
        <v>1.43</v>
      </c>
      <c r="H4254" s="759">
        <f t="shared" si="265"/>
        <v>0.52</v>
      </c>
      <c r="I4254" s="758">
        <f t="shared" si="266"/>
        <v>1.6700000000000002</v>
      </c>
      <c r="J4254" s="760">
        <f t="shared" si="267"/>
        <v>0.53870967741935494</v>
      </c>
    </row>
    <row r="4255" spans="1:10">
      <c r="A4255" s="74" t="s">
        <v>1976</v>
      </c>
      <c r="B4255" s="74" t="s">
        <v>253</v>
      </c>
      <c r="C4255" s="74" t="s">
        <v>1528</v>
      </c>
      <c r="D4255" s="74" t="s">
        <v>78</v>
      </c>
      <c r="E4255" s="74">
        <v>1</v>
      </c>
      <c r="F4255" s="74">
        <v>3.1</v>
      </c>
      <c r="G4255" s="758">
        <f t="shared" si="264"/>
        <v>1.43</v>
      </c>
      <c r="H4255" s="759">
        <f t="shared" si="265"/>
        <v>0.52</v>
      </c>
      <c r="I4255" s="758">
        <f t="shared" si="266"/>
        <v>1.6700000000000002</v>
      </c>
      <c r="J4255" s="760">
        <f t="shared" si="267"/>
        <v>0.53870967741935494</v>
      </c>
    </row>
    <row r="4256" spans="1:10">
      <c r="A4256" s="74" t="s">
        <v>1976</v>
      </c>
      <c r="B4256" s="74" t="s">
        <v>253</v>
      </c>
      <c r="C4256" s="74" t="s">
        <v>1508</v>
      </c>
      <c r="D4256" s="74" t="s">
        <v>78</v>
      </c>
      <c r="E4256" s="74">
        <v>2</v>
      </c>
      <c r="F4256" s="74">
        <v>5.9</v>
      </c>
      <c r="G4256" s="758">
        <f t="shared" si="264"/>
        <v>1.43</v>
      </c>
      <c r="H4256" s="759">
        <f t="shared" si="265"/>
        <v>0.52</v>
      </c>
      <c r="I4256" s="758">
        <f t="shared" si="266"/>
        <v>1.5200000000000002</v>
      </c>
      <c r="J4256" s="760">
        <f t="shared" si="267"/>
        <v>0.51525423728813569</v>
      </c>
    </row>
    <row r="4257" spans="1:10">
      <c r="A4257" s="74" t="s">
        <v>1976</v>
      </c>
      <c r="B4257" s="74" t="s">
        <v>253</v>
      </c>
      <c r="C4257" s="74" t="s">
        <v>1509</v>
      </c>
      <c r="D4257" s="74" t="s">
        <v>78</v>
      </c>
      <c r="E4257" s="74">
        <v>2</v>
      </c>
      <c r="F4257" s="74">
        <v>5.9</v>
      </c>
      <c r="G4257" s="758">
        <f t="shared" si="264"/>
        <v>1.43</v>
      </c>
      <c r="H4257" s="759">
        <f t="shared" si="265"/>
        <v>0.52</v>
      </c>
      <c r="I4257" s="758">
        <f t="shared" si="266"/>
        <v>1.5200000000000002</v>
      </c>
      <c r="J4257" s="760">
        <f t="shared" si="267"/>
        <v>0.51525423728813569</v>
      </c>
    </row>
    <row r="4258" spans="1:10">
      <c r="A4258" s="74" t="s">
        <v>1976</v>
      </c>
      <c r="B4258" s="74" t="s">
        <v>253</v>
      </c>
      <c r="C4258" s="74" t="s">
        <v>1565</v>
      </c>
      <c r="D4258" s="74" t="s">
        <v>78</v>
      </c>
      <c r="E4258" s="74">
        <v>5</v>
      </c>
      <c r="F4258" s="74">
        <v>14.75</v>
      </c>
      <c r="G4258" s="758">
        <f t="shared" si="264"/>
        <v>1.43</v>
      </c>
      <c r="H4258" s="759">
        <f t="shared" si="265"/>
        <v>0.52</v>
      </c>
      <c r="I4258" s="758">
        <f t="shared" si="266"/>
        <v>1.5200000000000002</v>
      </c>
      <c r="J4258" s="760">
        <f t="shared" si="267"/>
        <v>0.51525423728813569</v>
      </c>
    </row>
    <row r="4259" spans="1:10">
      <c r="A4259" s="74" t="s">
        <v>1976</v>
      </c>
      <c r="B4259" s="74" t="s">
        <v>253</v>
      </c>
      <c r="C4259" s="74" t="s">
        <v>1530</v>
      </c>
      <c r="D4259" s="74" t="s">
        <v>80</v>
      </c>
      <c r="E4259" s="74">
        <v>1</v>
      </c>
      <c r="F4259" s="74">
        <v>3.1</v>
      </c>
      <c r="G4259" s="758">
        <f t="shared" si="264"/>
        <v>1.43</v>
      </c>
      <c r="H4259" s="759">
        <f t="shared" si="265"/>
        <v>0.52</v>
      </c>
      <c r="I4259" s="758">
        <f t="shared" si="266"/>
        <v>1.6700000000000002</v>
      </c>
      <c r="J4259" s="760">
        <f t="shared" si="267"/>
        <v>0.53870967741935494</v>
      </c>
    </row>
    <row r="4260" spans="1:10">
      <c r="A4260" s="74" t="s">
        <v>1976</v>
      </c>
      <c r="B4260" s="74" t="s">
        <v>253</v>
      </c>
      <c r="C4260" s="74" t="s">
        <v>1532</v>
      </c>
      <c r="D4260" s="74" t="s">
        <v>80</v>
      </c>
      <c r="E4260" s="74">
        <v>2</v>
      </c>
      <c r="F4260" s="74">
        <v>5.9</v>
      </c>
      <c r="G4260" s="758">
        <f t="shared" si="264"/>
        <v>1.43</v>
      </c>
      <c r="H4260" s="759">
        <f t="shared" si="265"/>
        <v>0.52</v>
      </c>
      <c r="I4260" s="758">
        <f t="shared" si="266"/>
        <v>1.5200000000000002</v>
      </c>
      <c r="J4260" s="760">
        <f t="shared" si="267"/>
        <v>0.51525423728813569</v>
      </c>
    </row>
    <row r="4261" spans="1:10">
      <c r="A4261" s="74" t="s">
        <v>1976</v>
      </c>
      <c r="B4261" s="74" t="s">
        <v>253</v>
      </c>
      <c r="C4261" s="74" t="s">
        <v>1511</v>
      </c>
      <c r="D4261" s="74" t="s">
        <v>80</v>
      </c>
      <c r="E4261" s="74">
        <v>2</v>
      </c>
      <c r="F4261" s="74">
        <v>5.9</v>
      </c>
      <c r="G4261" s="758">
        <f t="shared" si="264"/>
        <v>1.43</v>
      </c>
      <c r="H4261" s="759">
        <f t="shared" si="265"/>
        <v>0.52</v>
      </c>
      <c r="I4261" s="758">
        <f t="shared" si="266"/>
        <v>1.5200000000000002</v>
      </c>
      <c r="J4261" s="760">
        <f t="shared" si="267"/>
        <v>0.51525423728813569</v>
      </c>
    </row>
    <row r="4262" spans="1:10">
      <c r="A4262" s="74" t="s">
        <v>1976</v>
      </c>
      <c r="B4262" s="74" t="s">
        <v>253</v>
      </c>
      <c r="C4262" s="74" t="s">
        <v>1512</v>
      </c>
      <c r="D4262" s="74" t="s">
        <v>80</v>
      </c>
      <c r="E4262" s="74">
        <v>1</v>
      </c>
      <c r="F4262" s="74">
        <v>3.1</v>
      </c>
      <c r="G4262" s="758">
        <f t="shared" si="264"/>
        <v>1.43</v>
      </c>
      <c r="H4262" s="759">
        <f t="shared" si="265"/>
        <v>0.52</v>
      </c>
      <c r="I4262" s="758">
        <f t="shared" si="266"/>
        <v>1.6700000000000002</v>
      </c>
      <c r="J4262" s="760">
        <f t="shared" si="267"/>
        <v>0.53870967741935494</v>
      </c>
    </row>
    <row r="4263" spans="1:10">
      <c r="A4263" s="74" t="s">
        <v>1976</v>
      </c>
      <c r="B4263" s="74" t="s">
        <v>253</v>
      </c>
      <c r="C4263" s="74" t="s">
        <v>1534</v>
      </c>
      <c r="D4263" s="74" t="s">
        <v>81</v>
      </c>
      <c r="E4263" s="74">
        <v>5</v>
      </c>
      <c r="F4263" s="74">
        <v>14.9</v>
      </c>
      <c r="G4263" s="758">
        <f t="shared" si="264"/>
        <v>1.43</v>
      </c>
      <c r="H4263" s="759">
        <f t="shared" si="265"/>
        <v>0.52</v>
      </c>
      <c r="I4263" s="758">
        <f t="shared" si="266"/>
        <v>1.55</v>
      </c>
      <c r="J4263" s="760">
        <f t="shared" si="267"/>
        <v>0.52013422818791955</v>
      </c>
    </row>
    <row r="4264" spans="1:10">
      <c r="A4264" s="74" t="s">
        <v>1976</v>
      </c>
      <c r="B4264" s="74" t="s">
        <v>253</v>
      </c>
      <c r="C4264" s="74" t="s">
        <v>1513</v>
      </c>
      <c r="D4264" s="74" t="s">
        <v>81</v>
      </c>
      <c r="E4264" s="74">
        <v>2</v>
      </c>
      <c r="F4264" s="74">
        <v>6.2</v>
      </c>
      <c r="G4264" s="758">
        <f t="shared" si="264"/>
        <v>1.43</v>
      </c>
      <c r="H4264" s="759">
        <f t="shared" si="265"/>
        <v>0.52</v>
      </c>
      <c r="I4264" s="758">
        <f t="shared" si="266"/>
        <v>1.6700000000000002</v>
      </c>
      <c r="J4264" s="760">
        <f t="shared" si="267"/>
        <v>0.53870967741935494</v>
      </c>
    </row>
    <row r="4265" spans="1:10">
      <c r="A4265" s="74" t="s">
        <v>1976</v>
      </c>
      <c r="B4265" s="74" t="s">
        <v>253</v>
      </c>
      <c r="C4265" s="74" t="s">
        <v>1515</v>
      </c>
      <c r="D4265" s="74" t="s">
        <v>81</v>
      </c>
      <c r="E4265" s="74">
        <v>1</v>
      </c>
      <c r="F4265" s="74">
        <v>3.1</v>
      </c>
      <c r="G4265" s="758">
        <f t="shared" si="264"/>
        <v>1.43</v>
      </c>
      <c r="H4265" s="759">
        <f t="shared" si="265"/>
        <v>0.52</v>
      </c>
      <c r="I4265" s="758">
        <f t="shared" si="266"/>
        <v>1.6700000000000002</v>
      </c>
      <c r="J4265" s="760">
        <f t="shared" si="267"/>
        <v>0.53870967741935494</v>
      </c>
    </row>
    <row r="4266" spans="1:10">
      <c r="A4266" s="74" t="s">
        <v>1067</v>
      </c>
      <c r="B4266" s="74" t="s">
        <v>258</v>
      </c>
      <c r="C4266" s="74" t="s">
        <v>1526</v>
      </c>
      <c r="D4266" s="74" t="s">
        <v>95</v>
      </c>
      <c r="E4266" s="74">
        <v>2</v>
      </c>
      <c r="F4266" s="74">
        <v>0</v>
      </c>
      <c r="G4266" s="758">
        <f t="shared" si="264"/>
        <v>0</v>
      </c>
      <c r="H4266" s="759">
        <f t="shared" si="265"/>
        <v>0</v>
      </c>
      <c r="I4266" s="758">
        <f t="shared" si="266"/>
        <v>0</v>
      </c>
      <c r="J4266" s="760">
        <f t="shared" si="267"/>
        <v>0</v>
      </c>
    </row>
    <row r="4267" spans="1:10">
      <c r="A4267" s="74" t="s">
        <v>778</v>
      </c>
      <c r="B4267" s="74" t="s">
        <v>256</v>
      </c>
      <c r="C4267" s="74" t="s">
        <v>1565</v>
      </c>
      <c r="D4267" s="74" t="s">
        <v>78</v>
      </c>
      <c r="E4267" s="74">
        <v>1</v>
      </c>
      <c r="F4267" s="74">
        <v>6.82</v>
      </c>
      <c r="G4267" s="758">
        <f t="shared" si="264"/>
        <v>0</v>
      </c>
      <c r="H4267" s="759">
        <f t="shared" si="265"/>
        <v>0</v>
      </c>
      <c r="I4267" s="758">
        <f t="shared" si="266"/>
        <v>6.82</v>
      </c>
      <c r="J4267" s="760">
        <f t="shared" si="267"/>
        <v>1</v>
      </c>
    </row>
    <row r="4268" spans="1:10">
      <c r="A4268" s="74" t="s">
        <v>778</v>
      </c>
      <c r="B4268" s="74" t="s">
        <v>256</v>
      </c>
      <c r="C4268" s="74" t="s">
        <v>1530</v>
      </c>
      <c r="D4268" s="74" t="s">
        <v>80</v>
      </c>
      <c r="E4268" s="74">
        <v>9</v>
      </c>
      <c r="F4268" s="74">
        <v>61.59</v>
      </c>
      <c r="G4268" s="758">
        <f t="shared" si="264"/>
        <v>0</v>
      </c>
      <c r="H4268" s="759">
        <f t="shared" si="265"/>
        <v>0</v>
      </c>
      <c r="I4268" s="758">
        <f t="shared" si="266"/>
        <v>6.8433333333333337</v>
      </c>
      <c r="J4268" s="760">
        <f t="shared" si="267"/>
        <v>1</v>
      </c>
    </row>
    <row r="4269" spans="1:10">
      <c r="A4269" s="74" t="s">
        <v>778</v>
      </c>
      <c r="B4269" s="74" t="s">
        <v>256</v>
      </c>
      <c r="C4269" s="74" t="s">
        <v>1532</v>
      </c>
      <c r="D4269" s="74" t="s">
        <v>80</v>
      </c>
      <c r="E4269" s="74">
        <v>9</v>
      </c>
      <c r="F4269" s="74">
        <v>61.59</v>
      </c>
      <c r="G4269" s="758">
        <f t="shared" si="264"/>
        <v>0</v>
      </c>
      <c r="H4269" s="759">
        <f t="shared" si="265"/>
        <v>0</v>
      </c>
      <c r="I4269" s="758">
        <f t="shared" si="266"/>
        <v>6.8433333333333337</v>
      </c>
      <c r="J4269" s="760">
        <f t="shared" si="267"/>
        <v>1</v>
      </c>
    </row>
    <row r="4270" spans="1:10">
      <c r="A4270" s="74" t="s">
        <v>1977</v>
      </c>
      <c r="B4270" s="74" t="s">
        <v>256</v>
      </c>
      <c r="C4270" s="74" t="s">
        <v>1515</v>
      </c>
      <c r="D4270" s="74" t="s">
        <v>81</v>
      </c>
      <c r="E4270" s="74">
        <v>5</v>
      </c>
      <c r="F4270" s="74">
        <v>0</v>
      </c>
      <c r="G4270" s="758">
        <f t="shared" si="264"/>
        <v>2.38</v>
      </c>
      <c r="H4270" s="759">
        <f t="shared" si="265"/>
        <v>0</v>
      </c>
      <c r="I4270" s="758">
        <f t="shared" si="266"/>
        <v>-2.38</v>
      </c>
      <c r="J4270" s="760">
        <f t="shared" si="267"/>
        <v>0</v>
      </c>
    </row>
    <row r="4271" spans="1:10">
      <c r="A4271" s="74" t="s">
        <v>1978</v>
      </c>
      <c r="B4271" s="74" t="s">
        <v>877</v>
      </c>
      <c r="C4271" s="74" t="s">
        <v>1507</v>
      </c>
      <c r="D4271" s="74" t="s">
        <v>86</v>
      </c>
      <c r="E4271" s="74">
        <v>7</v>
      </c>
      <c r="F4271" s="74">
        <v>0</v>
      </c>
      <c r="G4271" s="758">
        <f t="shared" si="264"/>
        <v>0</v>
      </c>
      <c r="H4271" s="759">
        <f t="shared" si="265"/>
        <v>0</v>
      </c>
      <c r="I4271" s="758">
        <f t="shared" si="266"/>
        <v>0</v>
      </c>
      <c r="J4271" s="760">
        <f t="shared" si="267"/>
        <v>0</v>
      </c>
    </row>
    <row r="4272" spans="1:10">
      <c r="A4272" s="74" t="s">
        <v>1979</v>
      </c>
      <c r="B4272" s="74" t="s">
        <v>256</v>
      </c>
      <c r="C4272" s="74" t="s">
        <v>1530</v>
      </c>
      <c r="D4272" s="74" t="s">
        <v>80</v>
      </c>
      <c r="E4272" s="74">
        <v>20</v>
      </c>
      <c r="F4272" s="74">
        <v>0</v>
      </c>
      <c r="G4272" s="758">
        <f t="shared" si="264"/>
        <v>2.38</v>
      </c>
      <c r="H4272" s="759">
        <f t="shared" si="265"/>
        <v>0.36</v>
      </c>
      <c r="I4272" s="758">
        <f t="shared" si="266"/>
        <v>-2.38</v>
      </c>
      <c r="J4272" s="760">
        <f t="shared" si="267"/>
        <v>0</v>
      </c>
    </row>
    <row r="4273" spans="1:10">
      <c r="A4273" s="74" t="s">
        <v>1979</v>
      </c>
      <c r="B4273" s="74" t="s">
        <v>256</v>
      </c>
      <c r="C4273" s="74" t="s">
        <v>1534</v>
      </c>
      <c r="D4273" s="74" t="s">
        <v>81</v>
      </c>
      <c r="E4273" s="74">
        <v>7</v>
      </c>
      <c r="F4273" s="74">
        <v>21.75</v>
      </c>
      <c r="G4273" s="758">
        <f t="shared" si="264"/>
        <v>2.38</v>
      </c>
      <c r="H4273" s="759">
        <f t="shared" si="265"/>
        <v>0.36</v>
      </c>
      <c r="I4273" s="758">
        <f t="shared" si="266"/>
        <v>0.72714285714285731</v>
      </c>
      <c r="J4273" s="760">
        <f t="shared" si="267"/>
        <v>0.2340229885057471</v>
      </c>
    </row>
    <row r="4274" spans="1:10">
      <c r="A4274" s="74" t="s">
        <v>1979</v>
      </c>
      <c r="B4274" s="74" t="s">
        <v>256</v>
      </c>
      <c r="C4274" s="74" t="s">
        <v>1515</v>
      </c>
      <c r="D4274" s="74" t="s">
        <v>81</v>
      </c>
      <c r="E4274" s="74">
        <v>2</v>
      </c>
      <c r="F4274" s="74">
        <v>14.5</v>
      </c>
      <c r="G4274" s="758">
        <f t="shared" si="264"/>
        <v>2.38</v>
      </c>
      <c r="H4274" s="759">
        <f t="shared" si="265"/>
        <v>0.36</v>
      </c>
      <c r="I4274" s="758">
        <f t="shared" si="266"/>
        <v>4.87</v>
      </c>
      <c r="J4274" s="760">
        <f t="shared" si="267"/>
        <v>0.67172413793103447</v>
      </c>
    </row>
    <row r="4275" spans="1:10">
      <c r="A4275" s="74" t="s">
        <v>1980</v>
      </c>
      <c r="B4275" s="74" t="s">
        <v>877</v>
      </c>
      <c r="C4275" s="74" t="s">
        <v>1515</v>
      </c>
      <c r="D4275" s="74" t="s">
        <v>81</v>
      </c>
      <c r="E4275" s="74">
        <v>6</v>
      </c>
      <c r="F4275" s="74">
        <v>0</v>
      </c>
      <c r="G4275" s="758">
        <f t="shared" si="264"/>
        <v>2.38</v>
      </c>
      <c r="H4275" s="759">
        <f t="shared" si="265"/>
        <v>0</v>
      </c>
      <c r="I4275" s="758">
        <f t="shared" si="266"/>
        <v>-2.38</v>
      </c>
      <c r="J4275" s="760">
        <f t="shared" si="267"/>
        <v>0</v>
      </c>
    </row>
    <row r="4276" spans="1:10">
      <c r="A4276" s="74" t="s">
        <v>1981</v>
      </c>
      <c r="B4276" s="74" t="s">
        <v>877</v>
      </c>
      <c r="C4276" s="74" t="s">
        <v>1608</v>
      </c>
      <c r="D4276" s="74" t="s">
        <v>89</v>
      </c>
      <c r="E4276" s="74">
        <v>12</v>
      </c>
      <c r="F4276" s="74">
        <v>0</v>
      </c>
      <c r="G4276" s="758">
        <f t="shared" si="264"/>
        <v>0</v>
      </c>
      <c r="H4276" s="759">
        <f t="shared" si="265"/>
        <v>0</v>
      </c>
      <c r="I4276" s="758">
        <f t="shared" si="266"/>
        <v>0</v>
      </c>
      <c r="J4276" s="760">
        <f t="shared" si="267"/>
        <v>0</v>
      </c>
    </row>
    <row r="4277" spans="1:10">
      <c r="A4277" s="74" t="s">
        <v>1028</v>
      </c>
      <c r="B4277" s="74" t="s">
        <v>258</v>
      </c>
      <c r="C4277" s="74" t="s">
        <v>1546</v>
      </c>
      <c r="D4277" s="74" t="s">
        <v>89</v>
      </c>
      <c r="E4277" s="74">
        <v>1</v>
      </c>
      <c r="F4277" s="74">
        <v>0</v>
      </c>
      <c r="G4277" s="758">
        <f t="shared" si="264"/>
        <v>0</v>
      </c>
      <c r="H4277" s="759">
        <f t="shared" si="265"/>
        <v>0</v>
      </c>
      <c r="I4277" s="758">
        <f t="shared" si="266"/>
        <v>0</v>
      </c>
      <c r="J4277" s="760">
        <f t="shared" si="267"/>
        <v>0</v>
      </c>
    </row>
    <row r="4278" spans="1:10">
      <c r="A4278" s="74" t="s">
        <v>1028</v>
      </c>
      <c r="B4278" s="74" t="s">
        <v>258</v>
      </c>
      <c r="C4278" s="74" t="s">
        <v>1582</v>
      </c>
      <c r="D4278" s="74" t="s">
        <v>89</v>
      </c>
      <c r="E4278" s="74">
        <v>1</v>
      </c>
      <c r="F4278" s="74">
        <v>0</v>
      </c>
      <c r="G4278" s="758">
        <f t="shared" si="264"/>
        <v>0</v>
      </c>
      <c r="H4278" s="759">
        <f t="shared" si="265"/>
        <v>0</v>
      </c>
      <c r="I4278" s="758">
        <f t="shared" si="266"/>
        <v>0</v>
      </c>
      <c r="J4278" s="760">
        <f t="shared" si="267"/>
        <v>0</v>
      </c>
    </row>
    <row r="4279" spans="1:10">
      <c r="A4279" s="74" t="s">
        <v>1028</v>
      </c>
      <c r="B4279" s="74" t="s">
        <v>258</v>
      </c>
      <c r="C4279" s="74" t="s">
        <v>1557</v>
      </c>
      <c r="D4279" s="74" t="s">
        <v>95</v>
      </c>
      <c r="E4279" s="74">
        <v>1</v>
      </c>
      <c r="F4279" s="74">
        <v>0</v>
      </c>
      <c r="G4279" s="758">
        <f t="shared" si="264"/>
        <v>0</v>
      </c>
      <c r="H4279" s="759">
        <f t="shared" si="265"/>
        <v>0</v>
      </c>
      <c r="I4279" s="758">
        <f t="shared" si="266"/>
        <v>0</v>
      </c>
      <c r="J4279" s="760">
        <f t="shared" si="267"/>
        <v>0</v>
      </c>
    </row>
    <row r="4280" spans="1:10">
      <c r="A4280" s="74" t="s">
        <v>692</v>
      </c>
      <c r="B4280" s="74" t="s">
        <v>693</v>
      </c>
      <c r="C4280" s="74" t="s">
        <v>1528</v>
      </c>
      <c r="D4280" s="74" t="s">
        <v>78</v>
      </c>
      <c r="E4280" s="74">
        <v>5</v>
      </c>
      <c r="F4280" s="74">
        <v>0</v>
      </c>
      <c r="G4280" s="758">
        <f t="shared" si="264"/>
        <v>0</v>
      </c>
      <c r="H4280" s="759">
        <f t="shared" si="265"/>
        <v>0</v>
      </c>
      <c r="I4280" s="758">
        <f t="shared" si="266"/>
        <v>0</v>
      </c>
      <c r="J4280" s="760">
        <f t="shared" si="267"/>
        <v>0</v>
      </c>
    </row>
    <row r="4281" spans="1:10">
      <c r="A4281" s="74" t="s">
        <v>692</v>
      </c>
      <c r="B4281" s="74" t="s">
        <v>693</v>
      </c>
      <c r="C4281" s="74" t="s">
        <v>1508</v>
      </c>
      <c r="D4281" s="74" t="s">
        <v>78</v>
      </c>
      <c r="E4281" s="74">
        <v>3</v>
      </c>
      <c r="F4281" s="74">
        <v>0</v>
      </c>
      <c r="G4281" s="758">
        <f t="shared" si="264"/>
        <v>0</v>
      </c>
      <c r="H4281" s="759">
        <f t="shared" si="265"/>
        <v>0</v>
      </c>
      <c r="I4281" s="758">
        <f t="shared" si="266"/>
        <v>0</v>
      </c>
      <c r="J4281" s="760">
        <f t="shared" si="267"/>
        <v>0</v>
      </c>
    </row>
    <row r="4282" spans="1:10">
      <c r="A4282" s="74" t="s">
        <v>692</v>
      </c>
      <c r="B4282" s="74" t="s">
        <v>693</v>
      </c>
      <c r="C4282" s="74" t="s">
        <v>1509</v>
      </c>
      <c r="D4282" s="74" t="s">
        <v>78</v>
      </c>
      <c r="E4282" s="74">
        <v>1</v>
      </c>
      <c r="F4282" s="74">
        <v>0</v>
      </c>
      <c r="G4282" s="758">
        <f t="shared" si="264"/>
        <v>0</v>
      </c>
      <c r="H4282" s="759">
        <f t="shared" si="265"/>
        <v>0</v>
      </c>
      <c r="I4282" s="758">
        <f t="shared" si="266"/>
        <v>0</v>
      </c>
      <c r="J4282" s="760">
        <f t="shared" si="267"/>
        <v>0</v>
      </c>
    </row>
    <row r="4283" spans="1:10">
      <c r="A4283" s="74" t="s">
        <v>692</v>
      </c>
      <c r="B4283" s="74" t="s">
        <v>693</v>
      </c>
      <c r="C4283" s="74" t="s">
        <v>1565</v>
      </c>
      <c r="D4283" s="74" t="s">
        <v>78</v>
      </c>
      <c r="E4283" s="74">
        <v>4</v>
      </c>
      <c r="F4283" s="74">
        <v>0</v>
      </c>
      <c r="G4283" s="758">
        <f t="shared" si="264"/>
        <v>0</v>
      </c>
      <c r="H4283" s="759">
        <f t="shared" si="265"/>
        <v>0</v>
      </c>
      <c r="I4283" s="758">
        <f t="shared" si="266"/>
        <v>0</v>
      </c>
      <c r="J4283" s="760">
        <f t="shared" si="267"/>
        <v>0</v>
      </c>
    </row>
    <row r="4284" spans="1:10">
      <c r="A4284" s="74" t="s">
        <v>692</v>
      </c>
      <c r="B4284" s="74" t="s">
        <v>693</v>
      </c>
      <c r="C4284" s="74" t="s">
        <v>1530</v>
      </c>
      <c r="D4284" s="74" t="s">
        <v>80</v>
      </c>
      <c r="E4284" s="74">
        <v>4</v>
      </c>
      <c r="F4284" s="74">
        <v>0</v>
      </c>
      <c r="G4284" s="758">
        <f t="shared" si="264"/>
        <v>0</v>
      </c>
      <c r="H4284" s="759">
        <f t="shared" si="265"/>
        <v>0</v>
      </c>
      <c r="I4284" s="758">
        <f t="shared" si="266"/>
        <v>0</v>
      </c>
      <c r="J4284" s="760">
        <f t="shared" si="267"/>
        <v>0</v>
      </c>
    </row>
    <row r="4285" spans="1:10">
      <c r="A4285" s="74" t="s">
        <v>692</v>
      </c>
      <c r="B4285" s="74" t="s">
        <v>693</v>
      </c>
      <c r="C4285" s="74" t="s">
        <v>1532</v>
      </c>
      <c r="D4285" s="74" t="s">
        <v>80</v>
      </c>
      <c r="E4285" s="74">
        <v>4</v>
      </c>
      <c r="F4285" s="74">
        <v>0</v>
      </c>
      <c r="G4285" s="758">
        <f t="shared" si="264"/>
        <v>0</v>
      </c>
      <c r="H4285" s="759">
        <f t="shared" si="265"/>
        <v>0</v>
      </c>
      <c r="I4285" s="758">
        <f t="shared" si="266"/>
        <v>0</v>
      </c>
      <c r="J4285" s="760">
        <f t="shared" si="267"/>
        <v>0</v>
      </c>
    </row>
    <row r="4286" spans="1:10">
      <c r="A4286" s="74" t="s">
        <v>692</v>
      </c>
      <c r="B4286" s="74" t="s">
        <v>693</v>
      </c>
      <c r="C4286" s="74" t="s">
        <v>1511</v>
      </c>
      <c r="D4286" s="74" t="s">
        <v>80</v>
      </c>
      <c r="E4286" s="74">
        <v>2</v>
      </c>
      <c r="F4286" s="74">
        <v>0</v>
      </c>
      <c r="G4286" s="758">
        <f t="shared" si="264"/>
        <v>0</v>
      </c>
      <c r="H4286" s="759">
        <f t="shared" si="265"/>
        <v>0</v>
      </c>
      <c r="I4286" s="758">
        <f t="shared" si="266"/>
        <v>0</v>
      </c>
      <c r="J4286" s="760">
        <f t="shared" si="267"/>
        <v>0</v>
      </c>
    </row>
    <row r="4287" spans="1:10">
      <c r="A4287" s="74" t="s">
        <v>692</v>
      </c>
      <c r="B4287" s="74" t="s">
        <v>693</v>
      </c>
      <c r="C4287" s="74" t="s">
        <v>1512</v>
      </c>
      <c r="D4287" s="74" t="s">
        <v>80</v>
      </c>
      <c r="E4287" s="74">
        <v>1</v>
      </c>
      <c r="F4287" s="74">
        <v>0</v>
      </c>
      <c r="G4287" s="758">
        <f t="shared" si="264"/>
        <v>0</v>
      </c>
      <c r="H4287" s="759">
        <f t="shared" si="265"/>
        <v>0</v>
      </c>
      <c r="I4287" s="758">
        <f t="shared" si="266"/>
        <v>0</v>
      </c>
      <c r="J4287" s="760">
        <f t="shared" si="267"/>
        <v>0</v>
      </c>
    </row>
    <row r="4288" spans="1:10">
      <c r="A4288" s="74" t="s">
        <v>692</v>
      </c>
      <c r="B4288" s="74" t="s">
        <v>693</v>
      </c>
      <c r="C4288" s="74" t="s">
        <v>1513</v>
      </c>
      <c r="D4288" s="74" t="s">
        <v>81</v>
      </c>
      <c r="E4288" s="74">
        <v>2</v>
      </c>
      <c r="F4288" s="74">
        <v>0</v>
      </c>
      <c r="G4288" s="758">
        <f t="shared" si="264"/>
        <v>0</v>
      </c>
      <c r="H4288" s="759">
        <f t="shared" si="265"/>
        <v>0</v>
      </c>
      <c r="I4288" s="758">
        <f t="shared" si="266"/>
        <v>0</v>
      </c>
      <c r="J4288" s="760">
        <f t="shared" si="267"/>
        <v>0</v>
      </c>
    </row>
    <row r="4289" spans="1:10">
      <c r="A4289" s="74" t="s">
        <v>692</v>
      </c>
      <c r="B4289" s="74" t="s">
        <v>693</v>
      </c>
      <c r="C4289" s="74" t="s">
        <v>1515</v>
      </c>
      <c r="D4289" s="74" t="s">
        <v>81</v>
      </c>
      <c r="E4289" s="74">
        <v>3</v>
      </c>
      <c r="F4289" s="74">
        <v>0</v>
      </c>
      <c r="G4289" s="758">
        <f t="shared" si="264"/>
        <v>0</v>
      </c>
      <c r="H4289" s="759">
        <f t="shared" si="265"/>
        <v>0</v>
      </c>
      <c r="I4289" s="758">
        <f t="shared" si="266"/>
        <v>0</v>
      </c>
      <c r="J4289" s="760">
        <f t="shared" si="267"/>
        <v>0</v>
      </c>
    </row>
    <row r="4290" spans="1:10">
      <c r="A4290" s="74" t="s">
        <v>692</v>
      </c>
      <c r="B4290" s="74" t="s">
        <v>693</v>
      </c>
      <c r="C4290" s="74" t="s">
        <v>1522</v>
      </c>
      <c r="D4290" s="74" t="s">
        <v>91</v>
      </c>
      <c r="E4290" s="74">
        <v>1</v>
      </c>
      <c r="F4290" s="74">
        <v>0</v>
      </c>
      <c r="G4290" s="758">
        <f t="shared" ref="G4290:G4353" si="268">IFERROR(VLOOKUP(A4290,$M$1:$P$1014,2,FALSE),0)</f>
        <v>0</v>
      </c>
      <c r="H4290" s="759">
        <f t="shared" ref="H4290:H4353" si="269">IFERROR(VLOOKUP(A4290,$M$1:$P$1014,3,FALSE),0)</f>
        <v>0</v>
      </c>
      <c r="I4290" s="758">
        <f t="shared" ref="I4290:I4353" si="270">IFERROR(F4290/E4290-G4290,0)</f>
        <v>0</v>
      </c>
      <c r="J4290" s="760">
        <f t="shared" ref="J4290:J4353" si="271">IFERROR(1-G4290*E4290/F4290,0)</f>
        <v>0</v>
      </c>
    </row>
    <row r="4291" spans="1:10">
      <c r="A4291" s="74" t="s">
        <v>1982</v>
      </c>
      <c r="B4291" s="74" t="s">
        <v>725</v>
      </c>
      <c r="C4291" s="74" t="s">
        <v>1582</v>
      </c>
      <c r="D4291" s="74" t="s">
        <v>89</v>
      </c>
      <c r="E4291" s="74">
        <v>1</v>
      </c>
      <c r="F4291" s="74">
        <v>2.35</v>
      </c>
      <c r="G4291" s="758">
        <f t="shared" si="268"/>
        <v>0</v>
      </c>
      <c r="H4291" s="759">
        <f t="shared" si="269"/>
        <v>0</v>
      </c>
      <c r="I4291" s="758">
        <f t="shared" si="270"/>
        <v>2.35</v>
      </c>
      <c r="J4291" s="760">
        <f t="shared" si="271"/>
        <v>1</v>
      </c>
    </row>
    <row r="4292" spans="1:10">
      <c r="A4292" s="74" t="s">
        <v>1983</v>
      </c>
      <c r="B4292" s="74" t="s">
        <v>276</v>
      </c>
      <c r="C4292" s="74" t="s">
        <v>1517</v>
      </c>
      <c r="D4292" s="74" t="s">
        <v>82</v>
      </c>
      <c r="E4292" s="74">
        <v>1</v>
      </c>
      <c r="F4292" s="74">
        <v>23.45</v>
      </c>
      <c r="G4292" s="758">
        <f t="shared" si="268"/>
        <v>0</v>
      </c>
      <c r="H4292" s="759">
        <f t="shared" si="269"/>
        <v>0.24</v>
      </c>
      <c r="I4292" s="758">
        <f t="shared" si="270"/>
        <v>23.45</v>
      </c>
      <c r="J4292" s="760">
        <f t="shared" si="271"/>
        <v>1</v>
      </c>
    </row>
    <row r="4293" spans="1:10">
      <c r="A4293" s="74" t="s">
        <v>1984</v>
      </c>
      <c r="B4293" s="74" t="s">
        <v>276</v>
      </c>
      <c r="C4293" s="74" t="s">
        <v>1512</v>
      </c>
      <c r="D4293" s="74" t="s">
        <v>80</v>
      </c>
      <c r="E4293" s="74">
        <v>1</v>
      </c>
      <c r="F4293" s="74">
        <v>4.05</v>
      </c>
      <c r="G4293" s="758">
        <f t="shared" si="268"/>
        <v>0</v>
      </c>
      <c r="H4293" s="759">
        <f t="shared" si="269"/>
        <v>0.2</v>
      </c>
      <c r="I4293" s="758">
        <f t="shared" si="270"/>
        <v>4.05</v>
      </c>
      <c r="J4293" s="760">
        <f t="shared" si="271"/>
        <v>1</v>
      </c>
    </row>
    <row r="4294" spans="1:10">
      <c r="A4294" s="74" t="s">
        <v>1984</v>
      </c>
      <c r="B4294" s="74" t="s">
        <v>276</v>
      </c>
      <c r="C4294" s="74" t="s">
        <v>1515</v>
      </c>
      <c r="D4294" s="74" t="s">
        <v>81</v>
      </c>
      <c r="E4294" s="74">
        <v>2</v>
      </c>
      <c r="F4294" s="74">
        <v>8.1</v>
      </c>
      <c r="G4294" s="758">
        <f t="shared" si="268"/>
        <v>0</v>
      </c>
      <c r="H4294" s="759">
        <f t="shared" si="269"/>
        <v>0.2</v>
      </c>
      <c r="I4294" s="758">
        <f t="shared" si="270"/>
        <v>4.05</v>
      </c>
      <c r="J4294" s="760">
        <f t="shared" si="271"/>
        <v>1</v>
      </c>
    </row>
    <row r="4295" spans="1:10">
      <c r="A4295" s="74" t="s">
        <v>1985</v>
      </c>
      <c r="B4295" s="74" t="s">
        <v>276</v>
      </c>
      <c r="C4295" s="74" t="s">
        <v>1608</v>
      </c>
      <c r="D4295" s="74" t="s">
        <v>89</v>
      </c>
      <c r="E4295" s="74">
        <v>1</v>
      </c>
      <c r="F4295" s="74">
        <v>23.3</v>
      </c>
      <c r="G4295" s="758">
        <f t="shared" si="268"/>
        <v>0</v>
      </c>
      <c r="H4295" s="759">
        <f t="shared" si="269"/>
        <v>0</v>
      </c>
      <c r="I4295" s="758">
        <f t="shared" si="270"/>
        <v>23.3</v>
      </c>
      <c r="J4295" s="760">
        <f t="shared" si="271"/>
        <v>1</v>
      </c>
    </row>
    <row r="4296" spans="1:10">
      <c r="A4296" s="74" t="s">
        <v>1986</v>
      </c>
      <c r="B4296" s="74" t="s">
        <v>276</v>
      </c>
      <c r="C4296" s="74" t="s">
        <v>1543</v>
      </c>
      <c r="D4296" s="74" t="s">
        <v>87</v>
      </c>
      <c r="E4296" s="74">
        <v>1</v>
      </c>
      <c r="F4296" s="74">
        <v>4.05</v>
      </c>
      <c r="G4296" s="758">
        <f t="shared" si="268"/>
        <v>0</v>
      </c>
      <c r="H4296" s="759">
        <f t="shared" si="269"/>
        <v>0</v>
      </c>
      <c r="I4296" s="758">
        <f t="shared" si="270"/>
        <v>4.05</v>
      </c>
      <c r="J4296" s="760">
        <f t="shared" si="271"/>
        <v>1</v>
      </c>
    </row>
    <row r="4297" spans="1:10">
      <c r="A4297" s="74" t="s">
        <v>1987</v>
      </c>
      <c r="B4297" s="74" t="s">
        <v>276</v>
      </c>
      <c r="C4297" s="74" t="s">
        <v>1509</v>
      </c>
      <c r="D4297" s="74" t="s">
        <v>78</v>
      </c>
      <c r="E4297" s="74">
        <v>2</v>
      </c>
      <c r="F4297" s="74">
        <v>8.1</v>
      </c>
      <c r="G4297" s="758">
        <f t="shared" si="268"/>
        <v>0.84</v>
      </c>
      <c r="H4297" s="759">
        <f t="shared" si="269"/>
        <v>0.16</v>
      </c>
      <c r="I4297" s="758">
        <f t="shared" si="270"/>
        <v>3.21</v>
      </c>
      <c r="J4297" s="760">
        <f t="shared" si="271"/>
        <v>0.79259259259259263</v>
      </c>
    </row>
    <row r="4298" spans="1:10">
      <c r="A4298" s="74" t="s">
        <v>2302</v>
      </c>
      <c r="B4298" s="74" t="s">
        <v>276</v>
      </c>
      <c r="C4298" s="74" t="s">
        <v>1610</v>
      </c>
      <c r="D4298" s="74" t="s">
        <v>89</v>
      </c>
      <c r="E4298" s="74">
        <v>1</v>
      </c>
      <c r="F4298" s="74">
        <v>4.05</v>
      </c>
      <c r="G4298" s="758">
        <f t="shared" si="268"/>
        <v>0</v>
      </c>
      <c r="H4298" s="759">
        <f t="shared" si="269"/>
        <v>0</v>
      </c>
      <c r="I4298" s="758">
        <f t="shared" si="270"/>
        <v>4.05</v>
      </c>
      <c r="J4298" s="760">
        <f t="shared" si="271"/>
        <v>1</v>
      </c>
    </row>
    <row r="4299" spans="1:10">
      <c r="A4299" s="74" t="s">
        <v>1988</v>
      </c>
      <c r="B4299" s="74" t="s">
        <v>276</v>
      </c>
      <c r="C4299" s="74" t="s">
        <v>1532</v>
      </c>
      <c r="D4299" s="74" t="s">
        <v>80</v>
      </c>
      <c r="E4299" s="74">
        <v>1</v>
      </c>
      <c r="F4299" s="74">
        <v>23.3</v>
      </c>
      <c r="G4299" s="758">
        <f t="shared" si="268"/>
        <v>0</v>
      </c>
      <c r="H4299" s="759">
        <f t="shared" si="269"/>
        <v>0.16</v>
      </c>
      <c r="I4299" s="758">
        <f t="shared" si="270"/>
        <v>23.3</v>
      </c>
      <c r="J4299" s="760">
        <f t="shared" si="271"/>
        <v>1</v>
      </c>
    </row>
    <row r="4300" spans="1:10">
      <c r="A4300" s="74" t="s">
        <v>1989</v>
      </c>
      <c r="B4300" s="74" t="s">
        <v>258</v>
      </c>
      <c r="C4300" s="74" t="s">
        <v>1507</v>
      </c>
      <c r="D4300" s="74" t="s">
        <v>86</v>
      </c>
      <c r="E4300" s="74">
        <v>1</v>
      </c>
      <c r="F4300" s="74">
        <v>0</v>
      </c>
      <c r="G4300" s="758">
        <f t="shared" si="268"/>
        <v>0</v>
      </c>
      <c r="H4300" s="759">
        <f t="shared" si="269"/>
        <v>0</v>
      </c>
      <c r="I4300" s="758">
        <f t="shared" si="270"/>
        <v>0</v>
      </c>
      <c r="J4300" s="760">
        <f t="shared" si="271"/>
        <v>0</v>
      </c>
    </row>
    <row r="4301" spans="1:10">
      <c r="A4301" s="74" t="s">
        <v>1989</v>
      </c>
      <c r="B4301" s="74" t="s">
        <v>258</v>
      </c>
      <c r="C4301" s="74" t="s">
        <v>1541</v>
      </c>
      <c r="D4301" s="74" t="s">
        <v>86</v>
      </c>
      <c r="E4301" s="74">
        <v>2</v>
      </c>
      <c r="F4301" s="74">
        <v>0</v>
      </c>
      <c r="G4301" s="758">
        <f t="shared" si="268"/>
        <v>0</v>
      </c>
      <c r="H4301" s="759">
        <f t="shared" si="269"/>
        <v>0</v>
      </c>
      <c r="I4301" s="758">
        <f t="shared" si="270"/>
        <v>0</v>
      </c>
      <c r="J4301" s="760">
        <f t="shared" si="271"/>
        <v>0</v>
      </c>
    </row>
    <row r="4302" spans="1:10">
      <c r="A4302" s="74" t="s">
        <v>1989</v>
      </c>
      <c r="B4302" s="74" t="s">
        <v>258</v>
      </c>
      <c r="C4302" s="74" t="s">
        <v>1522</v>
      </c>
      <c r="D4302" s="74" t="s">
        <v>91</v>
      </c>
      <c r="E4302" s="74">
        <v>1</v>
      </c>
      <c r="F4302" s="74">
        <v>0</v>
      </c>
      <c r="G4302" s="758">
        <f t="shared" si="268"/>
        <v>0</v>
      </c>
      <c r="H4302" s="759">
        <f t="shared" si="269"/>
        <v>0</v>
      </c>
      <c r="I4302" s="758">
        <f t="shared" si="270"/>
        <v>0</v>
      </c>
      <c r="J4302" s="760">
        <f t="shared" si="271"/>
        <v>0</v>
      </c>
    </row>
    <row r="4303" spans="1:10">
      <c r="A4303" s="74" t="s">
        <v>1989</v>
      </c>
      <c r="B4303" s="74" t="s">
        <v>258</v>
      </c>
      <c r="C4303" s="74" t="s">
        <v>1617</v>
      </c>
      <c r="D4303" s="74" t="s">
        <v>94</v>
      </c>
      <c r="E4303" s="74">
        <v>2</v>
      </c>
      <c r="F4303" s="74">
        <v>0</v>
      </c>
      <c r="G4303" s="758">
        <f t="shared" si="268"/>
        <v>0</v>
      </c>
      <c r="H4303" s="759">
        <f t="shared" si="269"/>
        <v>0</v>
      </c>
      <c r="I4303" s="758">
        <f t="shared" si="270"/>
        <v>0</v>
      </c>
      <c r="J4303" s="760">
        <f t="shared" si="271"/>
        <v>0</v>
      </c>
    </row>
    <row r="4304" spans="1:10">
      <c r="A4304" s="74" t="s">
        <v>1989</v>
      </c>
      <c r="B4304" s="74" t="s">
        <v>258</v>
      </c>
      <c r="C4304" s="74" t="s">
        <v>1526</v>
      </c>
      <c r="D4304" s="74" t="s">
        <v>95</v>
      </c>
      <c r="E4304" s="74">
        <v>1</v>
      </c>
      <c r="F4304" s="74">
        <v>0</v>
      </c>
      <c r="G4304" s="758">
        <f t="shared" si="268"/>
        <v>0</v>
      </c>
      <c r="H4304" s="759">
        <f t="shared" si="269"/>
        <v>0</v>
      </c>
      <c r="I4304" s="758">
        <f t="shared" si="270"/>
        <v>0</v>
      </c>
      <c r="J4304" s="760">
        <f t="shared" si="271"/>
        <v>0</v>
      </c>
    </row>
    <row r="4305" spans="1:10">
      <c r="A4305" s="74" t="s">
        <v>953</v>
      </c>
      <c r="B4305" s="74" t="s">
        <v>321</v>
      </c>
      <c r="C4305" s="74" t="s">
        <v>1528</v>
      </c>
      <c r="D4305" s="74" t="s">
        <v>78</v>
      </c>
      <c r="E4305" s="74">
        <v>4</v>
      </c>
      <c r="F4305" s="74">
        <v>39.6</v>
      </c>
      <c r="G4305" s="758">
        <f t="shared" si="268"/>
        <v>3</v>
      </c>
      <c r="H4305" s="759">
        <f t="shared" si="269"/>
        <v>0.38</v>
      </c>
      <c r="I4305" s="758">
        <f t="shared" si="270"/>
        <v>6.9</v>
      </c>
      <c r="J4305" s="760">
        <f t="shared" si="271"/>
        <v>0.69696969696969702</v>
      </c>
    </row>
    <row r="4306" spans="1:10">
      <c r="A4306" s="74" t="s">
        <v>953</v>
      </c>
      <c r="B4306" s="74" t="s">
        <v>321</v>
      </c>
      <c r="C4306" s="74" t="s">
        <v>1508</v>
      </c>
      <c r="D4306" s="74" t="s">
        <v>78</v>
      </c>
      <c r="E4306" s="74">
        <v>2</v>
      </c>
      <c r="F4306" s="74">
        <v>19.8</v>
      </c>
      <c r="G4306" s="758">
        <f t="shared" si="268"/>
        <v>3</v>
      </c>
      <c r="H4306" s="759">
        <f t="shared" si="269"/>
        <v>0.38</v>
      </c>
      <c r="I4306" s="758">
        <f t="shared" si="270"/>
        <v>6.9</v>
      </c>
      <c r="J4306" s="760">
        <f t="shared" si="271"/>
        <v>0.69696969696969702</v>
      </c>
    </row>
    <row r="4307" spans="1:10">
      <c r="A4307" s="74" t="s">
        <v>953</v>
      </c>
      <c r="B4307" s="74" t="s">
        <v>321</v>
      </c>
      <c r="C4307" s="74" t="s">
        <v>1509</v>
      </c>
      <c r="D4307" s="74" t="s">
        <v>78</v>
      </c>
      <c r="E4307" s="74">
        <v>5</v>
      </c>
      <c r="F4307" s="74">
        <v>49.6</v>
      </c>
      <c r="G4307" s="758">
        <f t="shared" si="268"/>
        <v>3</v>
      </c>
      <c r="H4307" s="759">
        <f t="shared" si="269"/>
        <v>0.38</v>
      </c>
      <c r="I4307" s="758">
        <f t="shared" si="270"/>
        <v>6.92</v>
      </c>
      <c r="J4307" s="760">
        <f t="shared" si="271"/>
        <v>0.69758064516129026</v>
      </c>
    </row>
    <row r="4308" spans="1:10">
      <c r="A4308" s="74" t="s">
        <v>953</v>
      </c>
      <c r="B4308" s="74" t="s">
        <v>321</v>
      </c>
      <c r="C4308" s="74" t="s">
        <v>1565</v>
      </c>
      <c r="D4308" s="74" t="s">
        <v>78</v>
      </c>
      <c r="E4308" s="74">
        <v>4</v>
      </c>
      <c r="F4308" s="74">
        <v>39.6</v>
      </c>
      <c r="G4308" s="758">
        <f t="shared" si="268"/>
        <v>3</v>
      </c>
      <c r="H4308" s="759">
        <f t="shared" si="269"/>
        <v>0.38</v>
      </c>
      <c r="I4308" s="758">
        <f t="shared" si="270"/>
        <v>6.9</v>
      </c>
      <c r="J4308" s="760">
        <f t="shared" si="271"/>
        <v>0.69696969696969702</v>
      </c>
    </row>
    <row r="4309" spans="1:10">
      <c r="A4309" s="74" t="s">
        <v>953</v>
      </c>
      <c r="B4309" s="74" t="s">
        <v>321</v>
      </c>
      <c r="C4309" s="74" t="s">
        <v>1532</v>
      </c>
      <c r="D4309" s="74" t="s">
        <v>80</v>
      </c>
      <c r="E4309" s="74">
        <v>3</v>
      </c>
      <c r="F4309" s="74">
        <v>29.9</v>
      </c>
      <c r="G4309" s="758">
        <f t="shared" si="268"/>
        <v>3</v>
      </c>
      <c r="H4309" s="759">
        <f t="shared" si="269"/>
        <v>0.38</v>
      </c>
      <c r="I4309" s="758">
        <f t="shared" si="270"/>
        <v>6.9666666666666668</v>
      </c>
      <c r="J4309" s="760">
        <f t="shared" si="271"/>
        <v>0.69899665551839463</v>
      </c>
    </row>
    <row r="4310" spans="1:10">
      <c r="A4310" s="74" t="s">
        <v>953</v>
      </c>
      <c r="B4310" s="74" t="s">
        <v>321</v>
      </c>
      <c r="C4310" s="74" t="s">
        <v>1511</v>
      </c>
      <c r="D4310" s="74" t="s">
        <v>80</v>
      </c>
      <c r="E4310" s="74">
        <v>4</v>
      </c>
      <c r="F4310" s="74">
        <v>39.700000000000003</v>
      </c>
      <c r="G4310" s="758">
        <f t="shared" si="268"/>
        <v>3</v>
      </c>
      <c r="H4310" s="759">
        <f t="shared" si="269"/>
        <v>0.38</v>
      </c>
      <c r="I4310" s="758">
        <f t="shared" si="270"/>
        <v>6.9250000000000007</v>
      </c>
      <c r="J4310" s="760">
        <f t="shared" si="271"/>
        <v>0.6977329974811084</v>
      </c>
    </row>
    <row r="4311" spans="1:10">
      <c r="A4311" s="74" t="s">
        <v>953</v>
      </c>
      <c r="B4311" s="74" t="s">
        <v>321</v>
      </c>
      <c r="C4311" s="74" t="s">
        <v>1512</v>
      </c>
      <c r="D4311" s="74" t="s">
        <v>80</v>
      </c>
      <c r="E4311" s="74">
        <v>5</v>
      </c>
      <c r="F4311" s="74">
        <v>49.59</v>
      </c>
      <c r="G4311" s="758">
        <f t="shared" si="268"/>
        <v>3</v>
      </c>
      <c r="H4311" s="759">
        <f t="shared" si="269"/>
        <v>0.38</v>
      </c>
      <c r="I4311" s="758">
        <f t="shared" si="270"/>
        <v>6.918000000000001</v>
      </c>
      <c r="J4311" s="760">
        <f t="shared" si="271"/>
        <v>0.69751966122202058</v>
      </c>
    </row>
    <row r="4312" spans="1:10">
      <c r="A4312" s="74" t="s">
        <v>953</v>
      </c>
      <c r="B4312" s="74" t="s">
        <v>321</v>
      </c>
      <c r="C4312" s="74" t="s">
        <v>1534</v>
      </c>
      <c r="D4312" s="74" t="s">
        <v>81</v>
      </c>
      <c r="E4312" s="74">
        <v>5</v>
      </c>
      <c r="F4312" s="74">
        <v>49.5</v>
      </c>
      <c r="G4312" s="758">
        <f t="shared" si="268"/>
        <v>3</v>
      </c>
      <c r="H4312" s="759">
        <f t="shared" si="269"/>
        <v>0.38</v>
      </c>
      <c r="I4312" s="758">
        <f t="shared" si="270"/>
        <v>6.9</v>
      </c>
      <c r="J4312" s="760">
        <f t="shared" si="271"/>
        <v>0.69696969696969702</v>
      </c>
    </row>
    <row r="4313" spans="1:10">
      <c r="A4313" s="74" t="s">
        <v>953</v>
      </c>
      <c r="B4313" s="74" t="s">
        <v>321</v>
      </c>
      <c r="C4313" s="74" t="s">
        <v>1513</v>
      </c>
      <c r="D4313" s="74" t="s">
        <v>81</v>
      </c>
      <c r="E4313" s="74">
        <v>3</v>
      </c>
      <c r="F4313" s="74">
        <v>30.15</v>
      </c>
      <c r="G4313" s="758">
        <f t="shared" si="268"/>
        <v>3</v>
      </c>
      <c r="H4313" s="759">
        <f t="shared" si="269"/>
        <v>0.38</v>
      </c>
      <c r="I4313" s="758">
        <f t="shared" si="270"/>
        <v>7.0499999999999989</v>
      </c>
      <c r="J4313" s="760">
        <f t="shared" si="271"/>
        <v>0.70149253731343286</v>
      </c>
    </row>
    <row r="4314" spans="1:10">
      <c r="A4314" s="74" t="s">
        <v>953</v>
      </c>
      <c r="B4314" s="74" t="s">
        <v>321</v>
      </c>
      <c r="C4314" s="74" t="s">
        <v>1514</v>
      </c>
      <c r="D4314" s="74" t="s">
        <v>81</v>
      </c>
      <c r="E4314" s="74">
        <v>2</v>
      </c>
      <c r="F4314" s="74">
        <v>19.8</v>
      </c>
      <c r="G4314" s="758">
        <f t="shared" si="268"/>
        <v>3</v>
      </c>
      <c r="H4314" s="759">
        <f t="shared" si="269"/>
        <v>0.38</v>
      </c>
      <c r="I4314" s="758">
        <f t="shared" si="270"/>
        <v>6.9</v>
      </c>
      <c r="J4314" s="760">
        <f t="shared" si="271"/>
        <v>0.69696969696969702</v>
      </c>
    </row>
    <row r="4315" spans="1:10">
      <c r="A4315" s="74" t="s">
        <v>953</v>
      </c>
      <c r="B4315" s="74" t="s">
        <v>321</v>
      </c>
      <c r="C4315" s="74" t="s">
        <v>1515</v>
      </c>
      <c r="D4315" s="74" t="s">
        <v>81</v>
      </c>
      <c r="E4315" s="74">
        <v>4</v>
      </c>
      <c r="F4315" s="74">
        <v>40.75</v>
      </c>
      <c r="G4315" s="758">
        <f t="shared" si="268"/>
        <v>3</v>
      </c>
      <c r="H4315" s="759">
        <f t="shared" si="269"/>
        <v>0.38</v>
      </c>
      <c r="I4315" s="758">
        <f t="shared" si="270"/>
        <v>7.1875</v>
      </c>
      <c r="J4315" s="760">
        <f t="shared" si="271"/>
        <v>0.70552147239263796</v>
      </c>
    </row>
    <row r="4316" spans="1:10">
      <c r="A4316" s="74" t="s">
        <v>953</v>
      </c>
      <c r="B4316" s="74" t="s">
        <v>321</v>
      </c>
      <c r="C4316" s="74" t="s">
        <v>1516</v>
      </c>
      <c r="D4316" s="74" t="s">
        <v>82</v>
      </c>
      <c r="E4316" s="74">
        <v>3</v>
      </c>
      <c r="F4316" s="74">
        <v>29.7</v>
      </c>
      <c r="G4316" s="758">
        <f t="shared" si="268"/>
        <v>3</v>
      </c>
      <c r="H4316" s="759">
        <f t="shared" si="269"/>
        <v>0.38</v>
      </c>
      <c r="I4316" s="758">
        <f t="shared" si="270"/>
        <v>6.9</v>
      </c>
      <c r="J4316" s="760">
        <f t="shared" si="271"/>
        <v>0.69696969696969702</v>
      </c>
    </row>
    <row r="4317" spans="1:10">
      <c r="A4317" s="74" t="s">
        <v>953</v>
      </c>
      <c r="B4317" s="74" t="s">
        <v>321</v>
      </c>
      <c r="C4317" s="74" t="s">
        <v>1517</v>
      </c>
      <c r="D4317" s="74" t="s">
        <v>82</v>
      </c>
      <c r="E4317" s="74">
        <v>4</v>
      </c>
      <c r="F4317" s="74">
        <v>39.6</v>
      </c>
      <c r="G4317" s="758">
        <f t="shared" si="268"/>
        <v>3</v>
      </c>
      <c r="H4317" s="759">
        <f t="shared" si="269"/>
        <v>0.38</v>
      </c>
      <c r="I4317" s="758">
        <f t="shared" si="270"/>
        <v>6.9</v>
      </c>
      <c r="J4317" s="760">
        <f t="shared" si="271"/>
        <v>0.69696969696969702</v>
      </c>
    </row>
    <row r="4318" spans="1:10">
      <c r="A4318" s="74" t="s">
        <v>953</v>
      </c>
      <c r="B4318" s="74" t="s">
        <v>321</v>
      </c>
      <c r="C4318" s="74" t="s">
        <v>1527</v>
      </c>
      <c r="D4318" s="74" t="s">
        <v>82</v>
      </c>
      <c r="E4318" s="74">
        <v>7</v>
      </c>
      <c r="F4318" s="74">
        <v>69.75</v>
      </c>
      <c r="G4318" s="758">
        <f t="shared" si="268"/>
        <v>3</v>
      </c>
      <c r="H4318" s="759">
        <f t="shared" si="269"/>
        <v>0.38</v>
      </c>
      <c r="I4318" s="758">
        <f t="shared" si="270"/>
        <v>6.9642857142857135</v>
      </c>
      <c r="J4318" s="760">
        <f t="shared" si="271"/>
        <v>0.69892473118279574</v>
      </c>
    </row>
    <row r="4319" spans="1:10">
      <c r="A4319" s="74" t="s">
        <v>953</v>
      </c>
      <c r="B4319" s="74" t="s">
        <v>321</v>
      </c>
      <c r="C4319" s="74" t="s">
        <v>1518</v>
      </c>
      <c r="D4319" s="74" t="s">
        <v>82</v>
      </c>
      <c r="E4319" s="74">
        <v>3</v>
      </c>
      <c r="F4319" s="74">
        <v>29.85</v>
      </c>
      <c r="G4319" s="758">
        <f t="shared" si="268"/>
        <v>3</v>
      </c>
      <c r="H4319" s="759">
        <f t="shared" si="269"/>
        <v>0.38</v>
      </c>
      <c r="I4319" s="758">
        <f t="shared" si="270"/>
        <v>6.9500000000000011</v>
      </c>
      <c r="J4319" s="760">
        <f t="shared" si="271"/>
        <v>0.69849246231155782</v>
      </c>
    </row>
    <row r="4320" spans="1:10">
      <c r="A4320" s="74" t="s">
        <v>953</v>
      </c>
      <c r="B4320" s="74" t="s">
        <v>321</v>
      </c>
      <c r="C4320" s="74" t="s">
        <v>1578</v>
      </c>
      <c r="D4320" s="74" t="s">
        <v>86</v>
      </c>
      <c r="E4320" s="74">
        <v>1</v>
      </c>
      <c r="F4320" s="74">
        <v>10.050000000000001</v>
      </c>
      <c r="G4320" s="758">
        <f t="shared" si="268"/>
        <v>3</v>
      </c>
      <c r="H4320" s="759">
        <f t="shared" si="269"/>
        <v>0.38</v>
      </c>
      <c r="I4320" s="758">
        <f t="shared" si="270"/>
        <v>7.0500000000000007</v>
      </c>
      <c r="J4320" s="760">
        <f t="shared" si="271"/>
        <v>0.70149253731343286</v>
      </c>
    </row>
    <row r="4321" spans="1:10">
      <c r="A4321" s="74" t="s">
        <v>953</v>
      </c>
      <c r="B4321" s="74" t="s">
        <v>321</v>
      </c>
      <c r="C4321" s="74" t="s">
        <v>1541</v>
      </c>
      <c r="D4321" s="74" t="s">
        <v>86</v>
      </c>
      <c r="E4321" s="74">
        <v>1</v>
      </c>
      <c r="F4321" s="74">
        <v>9.9</v>
      </c>
      <c r="G4321" s="758">
        <f t="shared" si="268"/>
        <v>3</v>
      </c>
      <c r="H4321" s="759">
        <f t="shared" si="269"/>
        <v>0.38</v>
      </c>
      <c r="I4321" s="758">
        <f t="shared" si="270"/>
        <v>6.9</v>
      </c>
      <c r="J4321" s="760">
        <f t="shared" si="271"/>
        <v>0.69696969696969702</v>
      </c>
    </row>
    <row r="4322" spans="1:10">
      <c r="A4322" s="74" t="s">
        <v>953</v>
      </c>
      <c r="B4322" s="74" t="s">
        <v>321</v>
      </c>
      <c r="C4322" s="74" t="s">
        <v>1608</v>
      </c>
      <c r="D4322" s="74" t="s">
        <v>89</v>
      </c>
      <c r="E4322" s="74">
        <v>1</v>
      </c>
      <c r="F4322" s="74">
        <v>10.050000000000001</v>
      </c>
      <c r="G4322" s="758">
        <f t="shared" si="268"/>
        <v>3</v>
      </c>
      <c r="H4322" s="759">
        <f t="shared" si="269"/>
        <v>0.38</v>
      </c>
      <c r="I4322" s="758">
        <f t="shared" si="270"/>
        <v>7.0500000000000007</v>
      </c>
      <c r="J4322" s="760">
        <f t="shared" si="271"/>
        <v>0.70149253731343286</v>
      </c>
    </row>
    <row r="4323" spans="1:10">
      <c r="A4323" s="74" t="s">
        <v>953</v>
      </c>
      <c r="B4323" s="74" t="s">
        <v>321</v>
      </c>
      <c r="C4323" s="74" t="s">
        <v>1547</v>
      </c>
      <c r="D4323" s="74" t="s">
        <v>89</v>
      </c>
      <c r="E4323" s="74">
        <v>2</v>
      </c>
      <c r="F4323" s="74">
        <v>19.95</v>
      </c>
      <c r="G4323" s="758">
        <f t="shared" si="268"/>
        <v>3</v>
      </c>
      <c r="H4323" s="759">
        <f t="shared" si="269"/>
        <v>0.38</v>
      </c>
      <c r="I4323" s="758">
        <f t="shared" si="270"/>
        <v>6.9749999999999996</v>
      </c>
      <c r="J4323" s="760">
        <f t="shared" si="271"/>
        <v>0.6992481203007519</v>
      </c>
    </row>
    <row r="4324" spans="1:10">
      <c r="A4324" s="74" t="s">
        <v>953</v>
      </c>
      <c r="B4324" s="74" t="s">
        <v>321</v>
      </c>
      <c r="C4324" s="74" t="s">
        <v>1555</v>
      </c>
      <c r="D4324" s="74" t="s">
        <v>94</v>
      </c>
      <c r="E4324" s="74">
        <v>1</v>
      </c>
      <c r="F4324" s="74">
        <v>9.9</v>
      </c>
      <c r="G4324" s="758">
        <f t="shared" si="268"/>
        <v>3</v>
      </c>
      <c r="H4324" s="759">
        <f t="shared" si="269"/>
        <v>0.38</v>
      </c>
      <c r="I4324" s="758">
        <f t="shared" si="270"/>
        <v>6.9</v>
      </c>
      <c r="J4324" s="760">
        <f t="shared" si="271"/>
        <v>0.69696969696969702</v>
      </c>
    </row>
    <row r="4325" spans="1:10">
      <c r="A4325" s="74" t="s">
        <v>1135</v>
      </c>
      <c r="B4325" s="74" t="s">
        <v>264</v>
      </c>
      <c r="C4325" s="74" t="s">
        <v>1541</v>
      </c>
      <c r="D4325" s="74" t="s">
        <v>86</v>
      </c>
      <c r="E4325" s="74">
        <v>1</v>
      </c>
      <c r="F4325" s="74">
        <v>1</v>
      </c>
      <c r="G4325" s="758">
        <f t="shared" si="268"/>
        <v>0</v>
      </c>
      <c r="H4325" s="759">
        <f t="shared" si="269"/>
        <v>0</v>
      </c>
      <c r="I4325" s="758">
        <f t="shared" si="270"/>
        <v>1</v>
      </c>
      <c r="J4325" s="760">
        <f t="shared" si="271"/>
        <v>1</v>
      </c>
    </row>
    <row r="4326" spans="1:10">
      <c r="A4326" s="74" t="s">
        <v>1990</v>
      </c>
      <c r="B4326" s="74" t="s">
        <v>268</v>
      </c>
      <c r="C4326" s="74" t="s">
        <v>1527</v>
      </c>
      <c r="D4326" s="74" t="s">
        <v>82</v>
      </c>
      <c r="E4326" s="74">
        <v>1</v>
      </c>
      <c r="F4326" s="74">
        <v>3.5</v>
      </c>
      <c r="G4326" s="758">
        <f t="shared" si="268"/>
        <v>1.32</v>
      </c>
      <c r="H4326" s="759">
        <f t="shared" si="269"/>
        <v>0.52</v>
      </c>
      <c r="I4326" s="758">
        <f t="shared" si="270"/>
        <v>2.1799999999999997</v>
      </c>
      <c r="J4326" s="760">
        <f t="shared" si="271"/>
        <v>0.62285714285714278</v>
      </c>
    </row>
    <row r="4327" spans="1:10">
      <c r="A4327" s="74" t="s">
        <v>1990</v>
      </c>
      <c r="B4327" s="74" t="s">
        <v>268</v>
      </c>
      <c r="C4327" s="74" t="s">
        <v>1518</v>
      </c>
      <c r="D4327" s="74" t="s">
        <v>82</v>
      </c>
      <c r="E4327" s="74">
        <v>2</v>
      </c>
      <c r="F4327" s="74">
        <v>7</v>
      </c>
      <c r="G4327" s="758">
        <f t="shared" si="268"/>
        <v>1.32</v>
      </c>
      <c r="H4327" s="759">
        <f t="shared" si="269"/>
        <v>0.52</v>
      </c>
      <c r="I4327" s="758">
        <f t="shared" si="270"/>
        <v>2.1799999999999997</v>
      </c>
      <c r="J4327" s="760">
        <f t="shared" si="271"/>
        <v>0.62285714285714278</v>
      </c>
    </row>
    <row r="4328" spans="1:10">
      <c r="A4328" s="74" t="s">
        <v>1990</v>
      </c>
      <c r="B4328" s="74" t="s">
        <v>268</v>
      </c>
      <c r="C4328" s="74" t="s">
        <v>1519</v>
      </c>
      <c r="D4328" s="74" t="s">
        <v>84</v>
      </c>
      <c r="E4328" s="74">
        <v>1</v>
      </c>
      <c r="F4328" s="74">
        <v>3.5</v>
      </c>
      <c r="G4328" s="758">
        <f t="shared" si="268"/>
        <v>1.32</v>
      </c>
      <c r="H4328" s="759">
        <f t="shared" si="269"/>
        <v>0.52</v>
      </c>
      <c r="I4328" s="758">
        <f t="shared" si="270"/>
        <v>2.1799999999999997</v>
      </c>
      <c r="J4328" s="760">
        <f t="shared" si="271"/>
        <v>0.62285714285714278</v>
      </c>
    </row>
    <row r="4329" spans="1:10">
      <c r="A4329" s="74" t="s">
        <v>1990</v>
      </c>
      <c r="B4329" s="74" t="s">
        <v>268</v>
      </c>
      <c r="C4329" s="74" t="s">
        <v>1543</v>
      </c>
      <c r="D4329" s="74" t="s">
        <v>87</v>
      </c>
      <c r="E4329" s="74">
        <v>1</v>
      </c>
      <c r="F4329" s="74">
        <v>3</v>
      </c>
      <c r="G4329" s="758">
        <f t="shared" si="268"/>
        <v>1.32</v>
      </c>
      <c r="H4329" s="759">
        <f t="shared" si="269"/>
        <v>0.52</v>
      </c>
      <c r="I4329" s="758">
        <f t="shared" si="270"/>
        <v>1.68</v>
      </c>
      <c r="J4329" s="760">
        <f t="shared" si="271"/>
        <v>0.56000000000000005</v>
      </c>
    </row>
    <row r="4330" spans="1:10">
      <c r="A4330" s="74" t="s">
        <v>1991</v>
      </c>
      <c r="B4330" s="74" t="s">
        <v>258</v>
      </c>
      <c r="C4330" s="74" t="s">
        <v>1544</v>
      </c>
      <c r="D4330" s="74" t="s">
        <v>87</v>
      </c>
      <c r="E4330" s="74">
        <v>1</v>
      </c>
      <c r="F4330" s="74">
        <v>0</v>
      </c>
      <c r="G4330" s="758">
        <f t="shared" si="268"/>
        <v>0</v>
      </c>
      <c r="H4330" s="759">
        <f t="shared" si="269"/>
        <v>0</v>
      </c>
      <c r="I4330" s="758">
        <f t="shared" si="270"/>
        <v>0</v>
      </c>
      <c r="J4330" s="760">
        <f t="shared" si="271"/>
        <v>0</v>
      </c>
    </row>
    <row r="4331" spans="1:10">
      <c r="A4331" s="74" t="s">
        <v>1991</v>
      </c>
      <c r="B4331" s="74" t="s">
        <v>258</v>
      </c>
      <c r="C4331" s="74" t="s">
        <v>1550</v>
      </c>
      <c r="D4331" s="74" t="s">
        <v>91</v>
      </c>
      <c r="E4331" s="74">
        <v>8</v>
      </c>
      <c r="F4331" s="74">
        <v>0</v>
      </c>
      <c r="G4331" s="758">
        <f t="shared" si="268"/>
        <v>0</v>
      </c>
      <c r="H4331" s="759">
        <f t="shared" si="269"/>
        <v>0</v>
      </c>
      <c r="I4331" s="758">
        <f t="shared" si="270"/>
        <v>0</v>
      </c>
      <c r="J4331" s="760">
        <f t="shared" si="271"/>
        <v>0</v>
      </c>
    </row>
    <row r="4332" spans="1:10">
      <c r="A4332" s="74" t="s">
        <v>836</v>
      </c>
      <c r="B4332" s="74" t="s">
        <v>713</v>
      </c>
      <c r="C4332" s="74" t="s">
        <v>1508</v>
      </c>
      <c r="D4332" s="74" t="s">
        <v>78</v>
      </c>
      <c r="E4332" s="74">
        <v>1</v>
      </c>
      <c r="F4332" s="74">
        <v>8.6999999999999993</v>
      </c>
      <c r="G4332" s="758">
        <f t="shared" si="268"/>
        <v>1.66</v>
      </c>
      <c r="H4332" s="759">
        <f t="shared" si="269"/>
        <v>0.31</v>
      </c>
      <c r="I4332" s="758">
        <f t="shared" si="270"/>
        <v>7.0399999999999991</v>
      </c>
      <c r="J4332" s="760">
        <f t="shared" si="271"/>
        <v>0.80919540229885056</v>
      </c>
    </row>
    <row r="4333" spans="1:10">
      <c r="A4333" s="74" t="s">
        <v>836</v>
      </c>
      <c r="B4333" s="74" t="s">
        <v>713</v>
      </c>
      <c r="C4333" s="74" t="s">
        <v>1509</v>
      </c>
      <c r="D4333" s="74" t="s">
        <v>78</v>
      </c>
      <c r="E4333" s="74">
        <v>1</v>
      </c>
      <c r="F4333" s="74">
        <v>8.6999999999999993</v>
      </c>
      <c r="G4333" s="758">
        <f t="shared" si="268"/>
        <v>1.66</v>
      </c>
      <c r="H4333" s="759">
        <f t="shared" si="269"/>
        <v>0.31</v>
      </c>
      <c r="I4333" s="758">
        <f t="shared" si="270"/>
        <v>7.0399999999999991</v>
      </c>
      <c r="J4333" s="760">
        <f t="shared" si="271"/>
        <v>0.80919540229885056</v>
      </c>
    </row>
    <row r="4334" spans="1:10">
      <c r="A4334" s="74" t="s">
        <v>836</v>
      </c>
      <c r="B4334" s="74" t="s">
        <v>713</v>
      </c>
      <c r="C4334" s="74" t="s">
        <v>1532</v>
      </c>
      <c r="D4334" s="74" t="s">
        <v>80</v>
      </c>
      <c r="E4334" s="74">
        <v>2</v>
      </c>
      <c r="F4334" s="74">
        <v>17.399999999999999</v>
      </c>
      <c r="G4334" s="758">
        <f t="shared" si="268"/>
        <v>1.66</v>
      </c>
      <c r="H4334" s="759">
        <f t="shared" si="269"/>
        <v>0.31</v>
      </c>
      <c r="I4334" s="758">
        <f t="shared" si="270"/>
        <v>7.0399999999999991</v>
      </c>
      <c r="J4334" s="760">
        <f t="shared" si="271"/>
        <v>0.80919540229885056</v>
      </c>
    </row>
    <row r="4335" spans="1:10">
      <c r="A4335" s="74" t="s">
        <v>836</v>
      </c>
      <c r="B4335" s="74" t="s">
        <v>713</v>
      </c>
      <c r="C4335" s="74" t="s">
        <v>1534</v>
      </c>
      <c r="D4335" s="74" t="s">
        <v>81</v>
      </c>
      <c r="E4335" s="74">
        <v>1</v>
      </c>
      <c r="F4335" s="74">
        <v>8.6999999999999993</v>
      </c>
      <c r="G4335" s="758">
        <f t="shared" si="268"/>
        <v>1.66</v>
      </c>
      <c r="H4335" s="759">
        <f t="shared" si="269"/>
        <v>0.31</v>
      </c>
      <c r="I4335" s="758">
        <f t="shared" si="270"/>
        <v>7.0399999999999991</v>
      </c>
      <c r="J4335" s="760">
        <f t="shared" si="271"/>
        <v>0.80919540229885056</v>
      </c>
    </row>
    <row r="4336" spans="1:10">
      <c r="A4336" s="74" t="s">
        <v>836</v>
      </c>
      <c r="B4336" s="74" t="s">
        <v>713</v>
      </c>
      <c r="C4336" s="74" t="s">
        <v>1513</v>
      </c>
      <c r="D4336" s="74" t="s">
        <v>81</v>
      </c>
      <c r="E4336" s="74">
        <v>1</v>
      </c>
      <c r="F4336" s="74">
        <v>8.6999999999999993</v>
      </c>
      <c r="G4336" s="758">
        <f t="shared" si="268"/>
        <v>1.66</v>
      </c>
      <c r="H4336" s="759">
        <f t="shared" si="269"/>
        <v>0.31</v>
      </c>
      <c r="I4336" s="758">
        <f t="shared" si="270"/>
        <v>7.0399999999999991</v>
      </c>
      <c r="J4336" s="760">
        <f t="shared" si="271"/>
        <v>0.80919540229885056</v>
      </c>
    </row>
    <row r="4337" spans="1:10">
      <c r="A4337" s="74" t="s">
        <v>836</v>
      </c>
      <c r="B4337" s="74" t="s">
        <v>713</v>
      </c>
      <c r="C4337" s="74" t="s">
        <v>1515</v>
      </c>
      <c r="D4337" s="74" t="s">
        <v>81</v>
      </c>
      <c r="E4337" s="74">
        <v>1</v>
      </c>
      <c r="F4337" s="74">
        <v>7.91</v>
      </c>
      <c r="G4337" s="758">
        <f t="shared" si="268"/>
        <v>1.66</v>
      </c>
      <c r="H4337" s="759">
        <f t="shared" si="269"/>
        <v>0.31</v>
      </c>
      <c r="I4337" s="758">
        <f t="shared" si="270"/>
        <v>6.25</v>
      </c>
      <c r="J4337" s="760">
        <f t="shared" si="271"/>
        <v>0.79013906447534765</v>
      </c>
    </row>
    <row r="4338" spans="1:10">
      <c r="A4338" s="74" t="s">
        <v>836</v>
      </c>
      <c r="B4338" s="74" t="s">
        <v>713</v>
      </c>
      <c r="C4338" s="74" t="s">
        <v>1520</v>
      </c>
      <c r="D4338" s="74" t="s">
        <v>84</v>
      </c>
      <c r="E4338" s="74">
        <v>1</v>
      </c>
      <c r="F4338" s="74">
        <v>8.6999999999999993</v>
      </c>
      <c r="G4338" s="758">
        <f t="shared" si="268"/>
        <v>1.66</v>
      </c>
      <c r="H4338" s="759">
        <f t="shared" si="269"/>
        <v>0.31</v>
      </c>
      <c r="I4338" s="758">
        <f t="shared" si="270"/>
        <v>7.0399999999999991</v>
      </c>
      <c r="J4338" s="760">
        <f t="shared" si="271"/>
        <v>0.80919540229885056</v>
      </c>
    </row>
    <row r="4339" spans="1:10">
      <c r="A4339" s="74" t="s">
        <v>836</v>
      </c>
      <c r="B4339" s="74" t="s">
        <v>713</v>
      </c>
      <c r="C4339" s="74" t="s">
        <v>1541</v>
      </c>
      <c r="D4339" s="74" t="s">
        <v>86</v>
      </c>
      <c r="E4339" s="74">
        <v>1</v>
      </c>
      <c r="F4339" s="74">
        <v>8.6999999999999993</v>
      </c>
      <c r="G4339" s="758">
        <f t="shared" si="268"/>
        <v>1.66</v>
      </c>
      <c r="H4339" s="759">
        <f t="shared" si="269"/>
        <v>0.31</v>
      </c>
      <c r="I4339" s="758">
        <f t="shared" si="270"/>
        <v>7.0399999999999991</v>
      </c>
      <c r="J4339" s="760">
        <f t="shared" si="271"/>
        <v>0.80919540229885056</v>
      </c>
    </row>
    <row r="4340" spans="1:10">
      <c r="A4340" s="74" t="s">
        <v>836</v>
      </c>
      <c r="B4340" s="74" t="s">
        <v>713</v>
      </c>
      <c r="C4340" s="74" t="s">
        <v>1675</v>
      </c>
      <c r="D4340" s="74" t="s">
        <v>91</v>
      </c>
      <c r="E4340" s="74">
        <v>1</v>
      </c>
      <c r="F4340" s="74">
        <v>8.6999999999999993</v>
      </c>
      <c r="G4340" s="758">
        <f t="shared" si="268"/>
        <v>1.66</v>
      </c>
      <c r="H4340" s="759">
        <f t="shared" si="269"/>
        <v>0.31</v>
      </c>
      <c r="I4340" s="758">
        <f t="shared" si="270"/>
        <v>7.0399999999999991</v>
      </c>
      <c r="J4340" s="760">
        <f t="shared" si="271"/>
        <v>0.80919540229885056</v>
      </c>
    </row>
    <row r="4341" spans="1:10">
      <c r="A4341" s="74" t="s">
        <v>1992</v>
      </c>
      <c r="B4341" s="74" t="s">
        <v>873</v>
      </c>
      <c r="C4341" s="74" t="s">
        <v>1553</v>
      </c>
      <c r="D4341" s="74" t="s">
        <v>94</v>
      </c>
      <c r="E4341" s="74">
        <v>9</v>
      </c>
      <c r="F4341" s="74">
        <v>0</v>
      </c>
      <c r="G4341" s="758">
        <f t="shared" si="268"/>
        <v>0</v>
      </c>
      <c r="H4341" s="759">
        <f t="shared" si="269"/>
        <v>0</v>
      </c>
      <c r="I4341" s="758">
        <f t="shared" si="270"/>
        <v>0</v>
      </c>
      <c r="J4341" s="760">
        <f t="shared" si="271"/>
        <v>0</v>
      </c>
    </row>
    <row r="4342" spans="1:10">
      <c r="A4342" s="74" t="s">
        <v>254</v>
      </c>
      <c r="B4342" s="74" t="s">
        <v>254</v>
      </c>
      <c r="C4342" s="74" t="s">
        <v>1528</v>
      </c>
      <c r="D4342" s="74" t="s">
        <v>78</v>
      </c>
      <c r="E4342" s="74">
        <v>6</v>
      </c>
      <c r="F4342" s="74">
        <v>83.98</v>
      </c>
      <c r="G4342" s="758">
        <f t="shared" si="268"/>
        <v>0</v>
      </c>
      <c r="H4342" s="759">
        <f t="shared" si="269"/>
        <v>0</v>
      </c>
      <c r="I4342" s="758">
        <f t="shared" si="270"/>
        <v>13.996666666666668</v>
      </c>
      <c r="J4342" s="760">
        <f t="shared" si="271"/>
        <v>1</v>
      </c>
    </row>
    <row r="4343" spans="1:10">
      <c r="A4343" s="74" t="s">
        <v>254</v>
      </c>
      <c r="B4343" s="74" t="s">
        <v>254</v>
      </c>
      <c r="C4343" s="74" t="s">
        <v>1508</v>
      </c>
      <c r="D4343" s="74" t="s">
        <v>78</v>
      </c>
      <c r="E4343" s="74">
        <v>37</v>
      </c>
      <c r="F4343" s="74">
        <v>521.5</v>
      </c>
      <c r="G4343" s="758">
        <f t="shared" si="268"/>
        <v>0</v>
      </c>
      <c r="H4343" s="759">
        <f t="shared" si="269"/>
        <v>0</v>
      </c>
      <c r="I4343" s="758">
        <f t="shared" si="270"/>
        <v>14.094594594594595</v>
      </c>
      <c r="J4343" s="760">
        <f t="shared" si="271"/>
        <v>1</v>
      </c>
    </row>
    <row r="4344" spans="1:10">
      <c r="A4344" s="74" t="s">
        <v>254</v>
      </c>
      <c r="B4344" s="74" t="s">
        <v>254</v>
      </c>
      <c r="C4344" s="74" t="s">
        <v>1509</v>
      </c>
      <c r="D4344" s="74" t="s">
        <v>78</v>
      </c>
      <c r="E4344" s="74">
        <v>58</v>
      </c>
      <c r="F4344" s="74">
        <v>824.92</v>
      </c>
      <c r="G4344" s="758">
        <f t="shared" si="268"/>
        <v>0</v>
      </c>
      <c r="H4344" s="759">
        <f t="shared" si="269"/>
        <v>0</v>
      </c>
      <c r="I4344" s="758">
        <f t="shared" si="270"/>
        <v>14.222758620689655</v>
      </c>
      <c r="J4344" s="760">
        <f t="shared" si="271"/>
        <v>1</v>
      </c>
    </row>
    <row r="4345" spans="1:10">
      <c r="A4345" s="74" t="s">
        <v>254</v>
      </c>
      <c r="B4345" s="74" t="s">
        <v>254</v>
      </c>
      <c r="C4345" s="74" t="s">
        <v>1565</v>
      </c>
      <c r="D4345" s="74" t="s">
        <v>78</v>
      </c>
      <c r="E4345" s="74">
        <v>64</v>
      </c>
      <c r="F4345" s="74">
        <v>923.8</v>
      </c>
      <c r="G4345" s="758">
        <f t="shared" si="268"/>
        <v>0</v>
      </c>
      <c r="H4345" s="759">
        <f t="shared" si="269"/>
        <v>0</v>
      </c>
      <c r="I4345" s="758">
        <f t="shared" si="270"/>
        <v>14.434374999999999</v>
      </c>
      <c r="J4345" s="760">
        <f t="shared" si="271"/>
        <v>1</v>
      </c>
    </row>
    <row r="4346" spans="1:10">
      <c r="A4346" s="74" t="s">
        <v>254</v>
      </c>
      <c r="B4346" s="74" t="s">
        <v>254</v>
      </c>
      <c r="C4346" s="74" t="s">
        <v>1530</v>
      </c>
      <c r="D4346" s="74" t="s">
        <v>80</v>
      </c>
      <c r="E4346" s="74">
        <v>56</v>
      </c>
      <c r="F4346" s="74">
        <v>792.41</v>
      </c>
      <c r="G4346" s="758">
        <f t="shared" si="268"/>
        <v>0</v>
      </c>
      <c r="H4346" s="759">
        <f t="shared" si="269"/>
        <v>0</v>
      </c>
      <c r="I4346" s="758">
        <f t="shared" si="270"/>
        <v>14.150178571428571</v>
      </c>
      <c r="J4346" s="760">
        <f t="shared" si="271"/>
        <v>1</v>
      </c>
    </row>
    <row r="4347" spans="1:10">
      <c r="A4347" s="74" t="s">
        <v>254</v>
      </c>
      <c r="B4347" s="74" t="s">
        <v>254</v>
      </c>
      <c r="C4347" s="74" t="s">
        <v>1532</v>
      </c>
      <c r="D4347" s="74" t="s">
        <v>80</v>
      </c>
      <c r="E4347" s="74">
        <v>62</v>
      </c>
      <c r="F4347" s="74">
        <v>881.81</v>
      </c>
      <c r="G4347" s="758">
        <f t="shared" si="268"/>
        <v>0</v>
      </c>
      <c r="H4347" s="759">
        <f t="shared" si="269"/>
        <v>0</v>
      </c>
      <c r="I4347" s="758">
        <f t="shared" si="270"/>
        <v>14.222741935483871</v>
      </c>
      <c r="J4347" s="760">
        <f t="shared" si="271"/>
        <v>1</v>
      </c>
    </row>
    <row r="4348" spans="1:10">
      <c r="A4348" s="74" t="s">
        <v>254</v>
      </c>
      <c r="B4348" s="74" t="s">
        <v>254</v>
      </c>
      <c r="C4348" s="74" t="s">
        <v>1511</v>
      </c>
      <c r="D4348" s="74" t="s">
        <v>80</v>
      </c>
      <c r="E4348" s="74">
        <v>29</v>
      </c>
      <c r="F4348" s="74">
        <v>428.43</v>
      </c>
      <c r="G4348" s="758">
        <f t="shared" si="268"/>
        <v>0</v>
      </c>
      <c r="H4348" s="759">
        <f t="shared" si="269"/>
        <v>0</v>
      </c>
      <c r="I4348" s="758">
        <f t="shared" si="270"/>
        <v>14.773448275862069</v>
      </c>
      <c r="J4348" s="760">
        <f t="shared" si="271"/>
        <v>1</v>
      </c>
    </row>
    <row r="4349" spans="1:10">
      <c r="A4349" s="74" t="s">
        <v>254</v>
      </c>
      <c r="B4349" s="74" t="s">
        <v>254</v>
      </c>
      <c r="C4349" s="74" t="s">
        <v>1512</v>
      </c>
      <c r="D4349" s="74" t="s">
        <v>80</v>
      </c>
      <c r="E4349" s="74">
        <v>39</v>
      </c>
      <c r="F4349" s="74">
        <v>495.33</v>
      </c>
      <c r="G4349" s="758">
        <f t="shared" si="268"/>
        <v>0</v>
      </c>
      <c r="H4349" s="759">
        <f t="shared" si="269"/>
        <v>0</v>
      </c>
      <c r="I4349" s="758">
        <f t="shared" si="270"/>
        <v>12.700769230769231</v>
      </c>
      <c r="J4349" s="760">
        <f t="shared" si="271"/>
        <v>1</v>
      </c>
    </row>
    <row r="4350" spans="1:10">
      <c r="A4350" s="74" t="s">
        <v>254</v>
      </c>
      <c r="B4350" s="74" t="s">
        <v>254</v>
      </c>
      <c r="C4350" s="74" t="s">
        <v>1534</v>
      </c>
      <c r="D4350" s="74" t="s">
        <v>81</v>
      </c>
      <c r="E4350" s="74">
        <v>13</v>
      </c>
      <c r="F4350" s="74">
        <v>193.7</v>
      </c>
      <c r="G4350" s="758">
        <f t="shared" si="268"/>
        <v>0</v>
      </c>
      <c r="H4350" s="759">
        <f t="shared" si="269"/>
        <v>0</v>
      </c>
      <c r="I4350" s="758">
        <f t="shared" si="270"/>
        <v>14.899999999999999</v>
      </c>
      <c r="J4350" s="760">
        <f t="shared" si="271"/>
        <v>1</v>
      </c>
    </row>
    <row r="4351" spans="1:10">
      <c r="A4351" s="74" t="s">
        <v>254</v>
      </c>
      <c r="B4351" s="74" t="s">
        <v>254</v>
      </c>
      <c r="C4351" s="74" t="s">
        <v>1513</v>
      </c>
      <c r="D4351" s="74" t="s">
        <v>81</v>
      </c>
      <c r="E4351" s="74">
        <v>51</v>
      </c>
      <c r="F4351" s="74">
        <v>694.88</v>
      </c>
      <c r="G4351" s="758">
        <f t="shared" si="268"/>
        <v>0</v>
      </c>
      <c r="H4351" s="759">
        <f t="shared" si="269"/>
        <v>0</v>
      </c>
      <c r="I4351" s="758">
        <f t="shared" si="270"/>
        <v>13.625098039215686</v>
      </c>
      <c r="J4351" s="760">
        <f t="shared" si="271"/>
        <v>1</v>
      </c>
    </row>
    <row r="4352" spans="1:10">
      <c r="A4352" s="74" t="s">
        <v>254</v>
      </c>
      <c r="B4352" s="74" t="s">
        <v>254</v>
      </c>
      <c r="C4352" s="74" t="s">
        <v>1514</v>
      </c>
      <c r="D4352" s="74" t="s">
        <v>81</v>
      </c>
      <c r="E4352" s="74">
        <v>51</v>
      </c>
      <c r="F4352" s="74">
        <v>724.68</v>
      </c>
      <c r="G4352" s="758">
        <f t="shared" si="268"/>
        <v>0</v>
      </c>
      <c r="H4352" s="759">
        <f t="shared" si="269"/>
        <v>0</v>
      </c>
      <c r="I4352" s="758">
        <f t="shared" si="270"/>
        <v>14.209411764705882</v>
      </c>
      <c r="J4352" s="760">
        <f t="shared" si="271"/>
        <v>1</v>
      </c>
    </row>
    <row r="4353" spans="1:10">
      <c r="A4353" s="74" t="s">
        <v>254</v>
      </c>
      <c r="B4353" s="74" t="s">
        <v>254</v>
      </c>
      <c r="C4353" s="74" t="s">
        <v>1515</v>
      </c>
      <c r="D4353" s="74" t="s">
        <v>81</v>
      </c>
      <c r="E4353" s="74">
        <v>26</v>
      </c>
      <c r="F4353" s="74">
        <v>365.73</v>
      </c>
      <c r="G4353" s="758">
        <f t="shared" si="268"/>
        <v>0</v>
      </c>
      <c r="H4353" s="759">
        <f t="shared" si="269"/>
        <v>0</v>
      </c>
      <c r="I4353" s="758">
        <f t="shared" si="270"/>
        <v>14.066538461538462</v>
      </c>
      <c r="J4353" s="760">
        <f t="shared" si="271"/>
        <v>1</v>
      </c>
    </row>
    <row r="4354" spans="1:10">
      <c r="A4354" s="74" t="s">
        <v>254</v>
      </c>
      <c r="B4354" s="74" t="s">
        <v>254</v>
      </c>
      <c r="C4354" s="74" t="s">
        <v>1516</v>
      </c>
      <c r="D4354" s="74" t="s">
        <v>82</v>
      </c>
      <c r="E4354" s="74">
        <v>14</v>
      </c>
      <c r="F4354" s="74">
        <v>208.6</v>
      </c>
      <c r="G4354" s="758">
        <f t="shared" ref="G4354:G4417" si="272">IFERROR(VLOOKUP(A4354,$M$1:$P$1014,2,FALSE),0)</f>
        <v>0</v>
      </c>
      <c r="H4354" s="759">
        <f t="shared" ref="H4354:H4417" si="273">IFERROR(VLOOKUP(A4354,$M$1:$P$1014,3,FALSE),0)</f>
        <v>0</v>
      </c>
      <c r="I4354" s="758">
        <f t="shared" ref="I4354:I4417" si="274">IFERROR(F4354/E4354-G4354,0)</f>
        <v>14.9</v>
      </c>
      <c r="J4354" s="760">
        <f t="shared" ref="J4354:J4417" si="275">IFERROR(1-G4354*E4354/F4354,0)</f>
        <v>1</v>
      </c>
    </row>
    <row r="4355" spans="1:10">
      <c r="A4355" s="74" t="s">
        <v>254</v>
      </c>
      <c r="B4355" s="74" t="s">
        <v>254</v>
      </c>
      <c r="C4355" s="74" t="s">
        <v>1517</v>
      </c>
      <c r="D4355" s="74" t="s">
        <v>82</v>
      </c>
      <c r="E4355" s="74">
        <v>18</v>
      </c>
      <c r="F4355" s="74">
        <v>268.2</v>
      </c>
      <c r="G4355" s="758">
        <f t="shared" si="272"/>
        <v>0</v>
      </c>
      <c r="H4355" s="759">
        <f t="shared" si="273"/>
        <v>0</v>
      </c>
      <c r="I4355" s="758">
        <f t="shared" si="274"/>
        <v>14.899999999999999</v>
      </c>
      <c r="J4355" s="760">
        <f t="shared" si="275"/>
        <v>1</v>
      </c>
    </row>
    <row r="4356" spans="1:10">
      <c r="A4356" s="74" t="s">
        <v>254</v>
      </c>
      <c r="B4356" s="74" t="s">
        <v>254</v>
      </c>
      <c r="C4356" s="74" t="s">
        <v>1527</v>
      </c>
      <c r="D4356" s="74" t="s">
        <v>82</v>
      </c>
      <c r="E4356" s="74">
        <v>11</v>
      </c>
      <c r="F4356" s="74">
        <v>163.9</v>
      </c>
      <c r="G4356" s="758">
        <f t="shared" si="272"/>
        <v>0</v>
      </c>
      <c r="H4356" s="759">
        <f t="shared" si="273"/>
        <v>0</v>
      </c>
      <c r="I4356" s="758">
        <f t="shared" si="274"/>
        <v>14.9</v>
      </c>
      <c r="J4356" s="760">
        <f t="shared" si="275"/>
        <v>1</v>
      </c>
    </row>
    <row r="4357" spans="1:10">
      <c r="A4357" s="74" t="s">
        <v>254</v>
      </c>
      <c r="B4357" s="74" t="s">
        <v>254</v>
      </c>
      <c r="C4357" s="74" t="s">
        <v>1518</v>
      </c>
      <c r="D4357" s="74" t="s">
        <v>82</v>
      </c>
      <c r="E4357" s="74">
        <v>30</v>
      </c>
      <c r="F4357" s="74">
        <v>447</v>
      </c>
      <c r="G4357" s="758">
        <f t="shared" si="272"/>
        <v>0</v>
      </c>
      <c r="H4357" s="759">
        <f t="shared" si="273"/>
        <v>0</v>
      </c>
      <c r="I4357" s="758">
        <f t="shared" si="274"/>
        <v>14.9</v>
      </c>
      <c r="J4357" s="760">
        <f t="shared" si="275"/>
        <v>1</v>
      </c>
    </row>
    <row r="4358" spans="1:10">
      <c r="A4358" s="74" t="s">
        <v>254</v>
      </c>
      <c r="B4358" s="74" t="s">
        <v>254</v>
      </c>
      <c r="C4358" s="74" t="s">
        <v>1519</v>
      </c>
      <c r="D4358" s="74" t="s">
        <v>84</v>
      </c>
      <c r="E4358" s="74">
        <v>11</v>
      </c>
      <c r="F4358" s="74">
        <v>163.9</v>
      </c>
      <c r="G4358" s="758">
        <f t="shared" si="272"/>
        <v>0</v>
      </c>
      <c r="H4358" s="759">
        <f t="shared" si="273"/>
        <v>0</v>
      </c>
      <c r="I4358" s="758">
        <f t="shared" si="274"/>
        <v>14.9</v>
      </c>
      <c r="J4358" s="760">
        <f t="shared" si="275"/>
        <v>1</v>
      </c>
    </row>
    <row r="4359" spans="1:10">
      <c r="A4359" s="74" t="s">
        <v>254</v>
      </c>
      <c r="B4359" s="74" t="s">
        <v>254</v>
      </c>
      <c r="C4359" s="74" t="s">
        <v>1540</v>
      </c>
      <c r="D4359" s="74" t="s">
        <v>84</v>
      </c>
      <c r="E4359" s="74">
        <v>14</v>
      </c>
      <c r="F4359" s="74">
        <v>208.6</v>
      </c>
      <c r="G4359" s="758">
        <f t="shared" si="272"/>
        <v>0</v>
      </c>
      <c r="H4359" s="759">
        <f t="shared" si="273"/>
        <v>0</v>
      </c>
      <c r="I4359" s="758">
        <f t="shared" si="274"/>
        <v>14.9</v>
      </c>
      <c r="J4359" s="760">
        <f t="shared" si="275"/>
        <v>1</v>
      </c>
    </row>
    <row r="4360" spans="1:10">
      <c r="A4360" s="74" t="s">
        <v>254</v>
      </c>
      <c r="B4360" s="74" t="s">
        <v>254</v>
      </c>
      <c r="C4360" s="74" t="s">
        <v>1520</v>
      </c>
      <c r="D4360" s="74" t="s">
        <v>84</v>
      </c>
      <c r="E4360" s="74">
        <v>22</v>
      </c>
      <c r="F4360" s="74">
        <v>327.8</v>
      </c>
      <c r="G4360" s="758">
        <f t="shared" si="272"/>
        <v>0</v>
      </c>
      <c r="H4360" s="759">
        <f t="shared" si="273"/>
        <v>0</v>
      </c>
      <c r="I4360" s="758">
        <f t="shared" si="274"/>
        <v>14.9</v>
      </c>
      <c r="J4360" s="760">
        <f t="shared" si="275"/>
        <v>1</v>
      </c>
    </row>
    <row r="4361" spans="1:10">
      <c r="A4361" s="74" t="s">
        <v>254</v>
      </c>
      <c r="B4361" s="74" t="s">
        <v>254</v>
      </c>
      <c r="C4361" s="74" t="s">
        <v>1577</v>
      </c>
      <c r="D4361" s="74" t="s">
        <v>84</v>
      </c>
      <c r="E4361" s="74">
        <v>21</v>
      </c>
      <c r="F4361" s="74">
        <v>312.89999999999998</v>
      </c>
      <c r="G4361" s="758">
        <f t="shared" si="272"/>
        <v>0</v>
      </c>
      <c r="H4361" s="759">
        <f t="shared" si="273"/>
        <v>0</v>
      </c>
      <c r="I4361" s="758">
        <f t="shared" si="274"/>
        <v>14.899999999999999</v>
      </c>
      <c r="J4361" s="760">
        <f t="shared" si="275"/>
        <v>1</v>
      </c>
    </row>
    <row r="4362" spans="1:10">
      <c r="A4362" s="74" t="s">
        <v>254</v>
      </c>
      <c r="B4362" s="74" t="s">
        <v>254</v>
      </c>
      <c r="C4362" s="74" t="s">
        <v>1507</v>
      </c>
      <c r="D4362" s="74" t="s">
        <v>86</v>
      </c>
      <c r="E4362" s="74">
        <v>28</v>
      </c>
      <c r="F4362" s="74">
        <v>417.2</v>
      </c>
      <c r="G4362" s="758">
        <f t="shared" si="272"/>
        <v>0</v>
      </c>
      <c r="H4362" s="759">
        <f t="shared" si="273"/>
        <v>0</v>
      </c>
      <c r="I4362" s="758">
        <f t="shared" si="274"/>
        <v>14.9</v>
      </c>
      <c r="J4362" s="760">
        <f t="shared" si="275"/>
        <v>1</v>
      </c>
    </row>
    <row r="4363" spans="1:10">
      <c r="A4363" s="74" t="s">
        <v>254</v>
      </c>
      <c r="B4363" s="74" t="s">
        <v>254</v>
      </c>
      <c r="C4363" s="74" t="s">
        <v>1644</v>
      </c>
      <c r="D4363" s="74" t="s">
        <v>86</v>
      </c>
      <c r="E4363" s="74">
        <v>30</v>
      </c>
      <c r="F4363" s="74">
        <v>447</v>
      </c>
      <c r="G4363" s="758">
        <f t="shared" si="272"/>
        <v>0</v>
      </c>
      <c r="H4363" s="759">
        <f t="shared" si="273"/>
        <v>0</v>
      </c>
      <c r="I4363" s="758">
        <f t="shared" si="274"/>
        <v>14.9</v>
      </c>
      <c r="J4363" s="760">
        <f t="shared" si="275"/>
        <v>1</v>
      </c>
    </row>
    <row r="4364" spans="1:10">
      <c r="A4364" s="74" t="s">
        <v>254</v>
      </c>
      <c r="B4364" s="74" t="s">
        <v>254</v>
      </c>
      <c r="C4364" s="74" t="s">
        <v>1578</v>
      </c>
      <c r="D4364" s="74" t="s">
        <v>86</v>
      </c>
      <c r="E4364" s="74">
        <v>39</v>
      </c>
      <c r="F4364" s="74">
        <v>581.1</v>
      </c>
      <c r="G4364" s="758">
        <f t="shared" si="272"/>
        <v>0</v>
      </c>
      <c r="H4364" s="759">
        <f t="shared" si="273"/>
        <v>0</v>
      </c>
      <c r="I4364" s="758">
        <f t="shared" si="274"/>
        <v>14.9</v>
      </c>
      <c r="J4364" s="760">
        <f t="shared" si="275"/>
        <v>1</v>
      </c>
    </row>
    <row r="4365" spans="1:10">
      <c r="A4365" s="74" t="s">
        <v>254</v>
      </c>
      <c r="B4365" s="74" t="s">
        <v>254</v>
      </c>
      <c r="C4365" s="74" t="s">
        <v>1646</v>
      </c>
      <c r="D4365" s="74" t="s">
        <v>86</v>
      </c>
      <c r="E4365" s="74">
        <v>15</v>
      </c>
      <c r="F4365" s="74">
        <v>223.5</v>
      </c>
      <c r="G4365" s="758">
        <f t="shared" si="272"/>
        <v>0</v>
      </c>
      <c r="H4365" s="759">
        <f t="shared" si="273"/>
        <v>0</v>
      </c>
      <c r="I4365" s="758">
        <f t="shared" si="274"/>
        <v>14.9</v>
      </c>
      <c r="J4365" s="760">
        <f t="shared" si="275"/>
        <v>1</v>
      </c>
    </row>
    <row r="4366" spans="1:10">
      <c r="A4366" s="74" t="s">
        <v>254</v>
      </c>
      <c r="B4366" s="74" t="s">
        <v>254</v>
      </c>
      <c r="C4366" s="74" t="s">
        <v>1541</v>
      </c>
      <c r="D4366" s="74" t="s">
        <v>86</v>
      </c>
      <c r="E4366" s="74">
        <v>33</v>
      </c>
      <c r="F4366" s="74">
        <v>491.7</v>
      </c>
      <c r="G4366" s="758">
        <f t="shared" si="272"/>
        <v>0</v>
      </c>
      <c r="H4366" s="759">
        <f t="shared" si="273"/>
        <v>0</v>
      </c>
      <c r="I4366" s="758">
        <f t="shared" si="274"/>
        <v>14.9</v>
      </c>
      <c r="J4366" s="760">
        <f t="shared" si="275"/>
        <v>1</v>
      </c>
    </row>
    <row r="4367" spans="1:10">
      <c r="A4367" s="74" t="s">
        <v>254</v>
      </c>
      <c r="B4367" s="74" t="s">
        <v>254</v>
      </c>
      <c r="C4367" s="74" t="s">
        <v>1543</v>
      </c>
      <c r="D4367" s="74" t="s">
        <v>87</v>
      </c>
      <c r="E4367" s="74">
        <v>46</v>
      </c>
      <c r="F4367" s="74">
        <v>685.4</v>
      </c>
      <c r="G4367" s="758">
        <f t="shared" si="272"/>
        <v>0</v>
      </c>
      <c r="H4367" s="759">
        <f t="shared" si="273"/>
        <v>0</v>
      </c>
      <c r="I4367" s="758">
        <f t="shared" si="274"/>
        <v>14.9</v>
      </c>
      <c r="J4367" s="760">
        <f t="shared" si="275"/>
        <v>1</v>
      </c>
    </row>
    <row r="4368" spans="1:10">
      <c r="A4368" s="74" t="s">
        <v>254</v>
      </c>
      <c r="B4368" s="74" t="s">
        <v>254</v>
      </c>
      <c r="C4368" s="74" t="s">
        <v>1544</v>
      </c>
      <c r="D4368" s="74" t="s">
        <v>87</v>
      </c>
      <c r="E4368" s="74">
        <v>27</v>
      </c>
      <c r="F4368" s="74">
        <v>402.3</v>
      </c>
      <c r="G4368" s="758">
        <f t="shared" si="272"/>
        <v>0</v>
      </c>
      <c r="H4368" s="759">
        <f t="shared" si="273"/>
        <v>0</v>
      </c>
      <c r="I4368" s="758">
        <f t="shared" si="274"/>
        <v>14.9</v>
      </c>
      <c r="J4368" s="760">
        <f t="shared" si="275"/>
        <v>1</v>
      </c>
    </row>
    <row r="4369" spans="1:10">
      <c r="A4369" s="74" t="s">
        <v>254</v>
      </c>
      <c r="B4369" s="74" t="s">
        <v>254</v>
      </c>
      <c r="C4369" s="74" t="s">
        <v>1605</v>
      </c>
      <c r="D4369" s="74" t="s">
        <v>87</v>
      </c>
      <c r="E4369" s="74">
        <v>17</v>
      </c>
      <c r="F4369" s="74">
        <v>253.3</v>
      </c>
      <c r="G4369" s="758">
        <f t="shared" si="272"/>
        <v>0</v>
      </c>
      <c r="H4369" s="759">
        <f t="shared" si="273"/>
        <v>0</v>
      </c>
      <c r="I4369" s="758">
        <f t="shared" si="274"/>
        <v>14.9</v>
      </c>
      <c r="J4369" s="760">
        <f t="shared" si="275"/>
        <v>1</v>
      </c>
    </row>
    <row r="4370" spans="1:10">
      <c r="A4370" s="74" t="s">
        <v>254</v>
      </c>
      <c r="B4370" s="74" t="s">
        <v>254</v>
      </c>
      <c r="C4370" s="74" t="s">
        <v>1561</v>
      </c>
      <c r="D4370" s="74" t="s">
        <v>87</v>
      </c>
      <c r="E4370" s="74">
        <v>24</v>
      </c>
      <c r="F4370" s="74">
        <v>357.6</v>
      </c>
      <c r="G4370" s="758">
        <f t="shared" si="272"/>
        <v>0</v>
      </c>
      <c r="H4370" s="759">
        <f t="shared" si="273"/>
        <v>0</v>
      </c>
      <c r="I4370" s="758">
        <f t="shared" si="274"/>
        <v>14.9</v>
      </c>
      <c r="J4370" s="760">
        <f t="shared" si="275"/>
        <v>1</v>
      </c>
    </row>
    <row r="4371" spans="1:10">
      <c r="A4371" s="74" t="s">
        <v>254</v>
      </c>
      <c r="B4371" s="74" t="s">
        <v>254</v>
      </c>
      <c r="C4371" s="74" t="s">
        <v>1608</v>
      </c>
      <c r="D4371" s="74" t="s">
        <v>89</v>
      </c>
      <c r="E4371" s="74">
        <v>30</v>
      </c>
      <c r="F4371" s="74">
        <v>447</v>
      </c>
      <c r="G4371" s="758">
        <f t="shared" si="272"/>
        <v>0</v>
      </c>
      <c r="H4371" s="759">
        <f t="shared" si="273"/>
        <v>0</v>
      </c>
      <c r="I4371" s="758">
        <f t="shared" si="274"/>
        <v>14.9</v>
      </c>
      <c r="J4371" s="760">
        <f t="shared" si="275"/>
        <v>1</v>
      </c>
    </row>
    <row r="4372" spans="1:10">
      <c r="A4372" s="74" t="s">
        <v>254</v>
      </c>
      <c r="B4372" s="74" t="s">
        <v>254</v>
      </c>
      <c r="C4372" s="74" t="s">
        <v>1610</v>
      </c>
      <c r="D4372" s="74" t="s">
        <v>89</v>
      </c>
      <c r="E4372" s="74">
        <v>47</v>
      </c>
      <c r="F4372" s="74">
        <v>700.3</v>
      </c>
      <c r="G4372" s="758">
        <f t="shared" si="272"/>
        <v>0</v>
      </c>
      <c r="H4372" s="759">
        <f t="shared" si="273"/>
        <v>0</v>
      </c>
      <c r="I4372" s="758">
        <f t="shared" si="274"/>
        <v>14.899999999999999</v>
      </c>
      <c r="J4372" s="760">
        <f t="shared" si="275"/>
        <v>1</v>
      </c>
    </row>
    <row r="4373" spans="1:10">
      <c r="A4373" s="74" t="s">
        <v>254</v>
      </c>
      <c r="B4373" s="74" t="s">
        <v>254</v>
      </c>
      <c r="C4373" s="74" t="s">
        <v>1546</v>
      </c>
      <c r="D4373" s="74" t="s">
        <v>89</v>
      </c>
      <c r="E4373" s="74">
        <v>31</v>
      </c>
      <c r="F4373" s="74">
        <v>461.9</v>
      </c>
      <c r="G4373" s="758">
        <f t="shared" si="272"/>
        <v>0</v>
      </c>
      <c r="H4373" s="759">
        <f t="shared" si="273"/>
        <v>0</v>
      </c>
      <c r="I4373" s="758">
        <f t="shared" si="274"/>
        <v>14.899999999999999</v>
      </c>
      <c r="J4373" s="760">
        <f t="shared" si="275"/>
        <v>1</v>
      </c>
    </row>
    <row r="4374" spans="1:10">
      <c r="A4374" s="74" t="s">
        <v>254</v>
      </c>
      <c r="B4374" s="74" t="s">
        <v>254</v>
      </c>
      <c r="C4374" s="74" t="s">
        <v>1547</v>
      </c>
      <c r="D4374" s="74" t="s">
        <v>89</v>
      </c>
      <c r="E4374" s="74">
        <v>27</v>
      </c>
      <c r="F4374" s="74">
        <v>402.3</v>
      </c>
      <c r="G4374" s="758">
        <f t="shared" si="272"/>
        <v>0</v>
      </c>
      <c r="H4374" s="759">
        <f t="shared" si="273"/>
        <v>0</v>
      </c>
      <c r="I4374" s="758">
        <f t="shared" si="274"/>
        <v>14.9</v>
      </c>
      <c r="J4374" s="760">
        <f t="shared" si="275"/>
        <v>1</v>
      </c>
    </row>
    <row r="4375" spans="1:10">
      <c r="A4375" s="74" t="s">
        <v>254</v>
      </c>
      <c r="B4375" s="74" t="s">
        <v>254</v>
      </c>
      <c r="C4375" s="74" t="s">
        <v>1582</v>
      </c>
      <c r="D4375" s="74" t="s">
        <v>89</v>
      </c>
      <c r="E4375" s="74">
        <v>21</v>
      </c>
      <c r="F4375" s="74">
        <v>312.89999999999998</v>
      </c>
      <c r="G4375" s="758">
        <f t="shared" si="272"/>
        <v>0</v>
      </c>
      <c r="H4375" s="759">
        <f t="shared" si="273"/>
        <v>0</v>
      </c>
      <c r="I4375" s="758">
        <f t="shared" si="274"/>
        <v>14.899999999999999</v>
      </c>
      <c r="J4375" s="760">
        <f t="shared" si="275"/>
        <v>1</v>
      </c>
    </row>
    <row r="4376" spans="1:10">
      <c r="A4376" s="74" t="s">
        <v>254</v>
      </c>
      <c r="B4376" s="74" t="s">
        <v>254</v>
      </c>
      <c r="C4376" s="74" t="s">
        <v>1522</v>
      </c>
      <c r="D4376" s="74" t="s">
        <v>91</v>
      </c>
      <c r="E4376" s="74">
        <v>39</v>
      </c>
      <c r="F4376" s="74">
        <v>581.1</v>
      </c>
      <c r="G4376" s="758">
        <f t="shared" si="272"/>
        <v>0</v>
      </c>
      <c r="H4376" s="759">
        <f t="shared" si="273"/>
        <v>0</v>
      </c>
      <c r="I4376" s="758">
        <f t="shared" si="274"/>
        <v>14.9</v>
      </c>
      <c r="J4376" s="760">
        <f t="shared" si="275"/>
        <v>1</v>
      </c>
    </row>
    <row r="4377" spans="1:10">
      <c r="A4377" s="74" t="s">
        <v>254</v>
      </c>
      <c r="B4377" s="74" t="s">
        <v>254</v>
      </c>
      <c r="C4377" s="74" t="s">
        <v>1550</v>
      </c>
      <c r="D4377" s="74" t="s">
        <v>91</v>
      </c>
      <c r="E4377" s="74">
        <v>31</v>
      </c>
      <c r="F4377" s="74">
        <v>461.9</v>
      </c>
      <c r="G4377" s="758">
        <f t="shared" si="272"/>
        <v>0</v>
      </c>
      <c r="H4377" s="759">
        <f t="shared" si="273"/>
        <v>0</v>
      </c>
      <c r="I4377" s="758">
        <f t="shared" si="274"/>
        <v>14.899999999999999</v>
      </c>
      <c r="J4377" s="760">
        <f t="shared" si="275"/>
        <v>1</v>
      </c>
    </row>
    <row r="4378" spans="1:10">
      <c r="A4378" s="74" t="s">
        <v>254</v>
      </c>
      <c r="B4378" s="74" t="s">
        <v>254</v>
      </c>
      <c r="C4378" s="74" t="s">
        <v>1675</v>
      </c>
      <c r="D4378" s="74" t="s">
        <v>91</v>
      </c>
      <c r="E4378" s="74">
        <v>27</v>
      </c>
      <c r="F4378" s="74">
        <v>402.3</v>
      </c>
      <c r="G4378" s="758">
        <f t="shared" si="272"/>
        <v>0</v>
      </c>
      <c r="H4378" s="759">
        <f t="shared" si="273"/>
        <v>0</v>
      </c>
      <c r="I4378" s="758">
        <f t="shared" si="274"/>
        <v>14.9</v>
      </c>
      <c r="J4378" s="760">
        <f t="shared" si="275"/>
        <v>1</v>
      </c>
    </row>
    <row r="4379" spans="1:10">
      <c r="A4379" s="74" t="s">
        <v>254</v>
      </c>
      <c r="B4379" s="74" t="s">
        <v>254</v>
      </c>
      <c r="C4379" s="74" t="s">
        <v>1524</v>
      </c>
      <c r="D4379" s="74" t="s">
        <v>91</v>
      </c>
      <c r="E4379" s="74">
        <v>31</v>
      </c>
      <c r="F4379" s="74">
        <v>432.1</v>
      </c>
      <c r="G4379" s="758">
        <f t="shared" si="272"/>
        <v>0</v>
      </c>
      <c r="H4379" s="759">
        <f t="shared" si="273"/>
        <v>0</v>
      </c>
      <c r="I4379" s="758">
        <f t="shared" si="274"/>
        <v>13.938709677419356</v>
      </c>
      <c r="J4379" s="760">
        <f t="shared" si="275"/>
        <v>1</v>
      </c>
    </row>
    <row r="4380" spans="1:10">
      <c r="A4380" s="74" t="s">
        <v>254</v>
      </c>
      <c r="B4380" s="74" t="s">
        <v>254</v>
      </c>
      <c r="C4380" s="74" t="s">
        <v>1584</v>
      </c>
      <c r="D4380" s="74" t="s">
        <v>92</v>
      </c>
      <c r="E4380" s="74">
        <v>27</v>
      </c>
      <c r="F4380" s="74">
        <v>402.3</v>
      </c>
      <c r="G4380" s="758">
        <f t="shared" si="272"/>
        <v>0</v>
      </c>
      <c r="H4380" s="759">
        <f t="shared" si="273"/>
        <v>0</v>
      </c>
      <c r="I4380" s="758">
        <f t="shared" si="274"/>
        <v>14.9</v>
      </c>
      <c r="J4380" s="760">
        <f t="shared" si="275"/>
        <v>1</v>
      </c>
    </row>
    <row r="4381" spans="1:10">
      <c r="A4381" s="74" t="s">
        <v>254</v>
      </c>
      <c r="B4381" s="74" t="s">
        <v>254</v>
      </c>
      <c r="C4381" s="74" t="s">
        <v>1614</v>
      </c>
      <c r="D4381" s="74" t="s">
        <v>92</v>
      </c>
      <c r="E4381" s="74">
        <v>24</v>
      </c>
      <c r="F4381" s="74">
        <v>327.8</v>
      </c>
      <c r="G4381" s="758">
        <f t="shared" si="272"/>
        <v>0</v>
      </c>
      <c r="H4381" s="759">
        <f t="shared" si="273"/>
        <v>0</v>
      </c>
      <c r="I4381" s="758">
        <f t="shared" si="274"/>
        <v>13.658333333333333</v>
      </c>
      <c r="J4381" s="760">
        <f t="shared" si="275"/>
        <v>1</v>
      </c>
    </row>
    <row r="4382" spans="1:10">
      <c r="A4382" s="74" t="s">
        <v>254</v>
      </c>
      <c r="B4382" s="74" t="s">
        <v>254</v>
      </c>
      <c r="C4382" s="74" t="s">
        <v>1631</v>
      </c>
      <c r="D4382" s="74" t="s">
        <v>92</v>
      </c>
      <c r="E4382" s="74">
        <v>28</v>
      </c>
      <c r="F4382" s="74">
        <v>387.19</v>
      </c>
      <c r="G4382" s="758">
        <f t="shared" si="272"/>
        <v>0</v>
      </c>
      <c r="H4382" s="759">
        <f t="shared" si="273"/>
        <v>0</v>
      </c>
      <c r="I4382" s="758">
        <f t="shared" si="274"/>
        <v>13.828214285714285</v>
      </c>
      <c r="J4382" s="760">
        <f t="shared" si="275"/>
        <v>1</v>
      </c>
    </row>
    <row r="4383" spans="1:10">
      <c r="A4383" s="74" t="s">
        <v>254</v>
      </c>
      <c r="B4383" s="74" t="s">
        <v>254</v>
      </c>
      <c r="C4383" s="74" t="s">
        <v>1552</v>
      </c>
      <c r="D4383" s="74" t="s">
        <v>92</v>
      </c>
      <c r="E4383" s="74">
        <v>17</v>
      </c>
      <c r="F4383" s="74">
        <v>193.7</v>
      </c>
      <c r="G4383" s="758">
        <f t="shared" si="272"/>
        <v>0</v>
      </c>
      <c r="H4383" s="759">
        <f t="shared" si="273"/>
        <v>0</v>
      </c>
      <c r="I4383" s="758">
        <f t="shared" si="274"/>
        <v>11.394117647058822</v>
      </c>
      <c r="J4383" s="760">
        <f t="shared" si="275"/>
        <v>1</v>
      </c>
    </row>
    <row r="4384" spans="1:10">
      <c r="A4384" s="74" t="s">
        <v>254</v>
      </c>
      <c r="B4384" s="74" t="s">
        <v>254</v>
      </c>
      <c r="C4384" s="74" t="s">
        <v>1617</v>
      </c>
      <c r="D4384" s="74" t="s">
        <v>94</v>
      </c>
      <c r="E4384" s="74">
        <v>37</v>
      </c>
      <c r="F4384" s="74">
        <v>538.29999999999995</v>
      </c>
      <c r="G4384" s="758">
        <f t="shared" si="272"/>
        <v>0</v>
      </c>
      <c r="H4384" s="759">
        <f t="shared" si="273"/>
        <v>0</v>
      </c>
      <c r="I4384" s="758">
        <f t="shared" si="274"/>
        <v>14.548648648648648</v>
      </c>
      <c r="J4384" s="760">
        <f t="shared" si="275"/>
        <v>1</v>
      </c>
    </row>
    <row r="4385" spans="1:10">
      <c r="A4385" s="74" t="s">
        <v>254</v>
      </c>
      <c r="B4385" s="74" t="s">
        <v>254</v>
      </c>
      <c r="C4385" s="74" t="s">
        <v>1553</v>
      </c>
      <c r="D4385" s="74" t="s">
        <v>94</v>
      </c>
      <c r="E4385" s="74">
        <v>27</v>
      </c>
      <c r="F4385" s="74">
        <v>402.3</v>
      </c>
      <c r="G4385" s="758">
        <f t="shared" si="272"/>
        <v>0</v>
      </c>
      <c r="H4385" s="759">
        <f t="shared" si="273"/>
        <v>0</v>
      </c>
      <c r="I4385" s="758">
        <f t="shared" si="274"/>
        <v>14.9</v>
      </c>
      <c r="J4385" s="760">
        <f t="shared" si="275"/>
        <v>1</v>
      </c>
    </row>
    <row r="4386" spans="1:10">
      <c r="A4386" s="74" t="s">
        <v>254</v>
      </c>
      <c r="B4386" s="74" t="s">
        <v>254</v>
      </c>
      <c r="C4386" s="74" t="s">
        <v>1555</v>
      </c>
      <c r="D4386" s="74" t="s">
        <v>94</v>
      </c>
      <c r="E4386" s="74">
        <v>33</v>
      </c>
      <c r="F4386" s="74">
        <v>491.7</v>
      </c>
      <c r="G4386" s="758">
        <f t="shared" si="272"/>
        <v>0</v>
      </c>
      <c r="H4386" s="759">
        <f t="shared" si="273"/>
        <v>0</v>
      </c>
      <c r="I4386" s="758">
        <f t="shared" si="274"/>
        <v>14.9</v>
      </c>
      <c r="J4386" s="760">
        <f t="shared" si="275"/>
        <v>1</v>
      </c>
    </row>
    <row r="4387" spans="1:10">
      <c r="A4387" s="74" t="s">
        <v>254</v>
      </c>
      <c r="B4387" s="74" t="s">
        <v>254</v>
      </c>
      <c r="C4387" s="74" t="s">
        <v>1557</v>
      </c>
      <c r="D4387" s="74" t="s">
        <v>95</v>
      </c>
      <c r="E4387" s="74">
        <v>25</v>
      </c>
      <c r="F4387" s="74">
        <v>372.5</v>
      </c>
      <c r="G4387" s="758">
        <f t="shared" si="272"/>
        <v>0</v>
      </c>
      <c r="H4387" s="759">
        <f t="shared" si="273"/>
        <v>0</v>
      </c>
      <c r="I4387" s="758">
        <f t="shared" si="274"/>
        <v>14.9</v>
      </c>
      <c r="J4387" s="760">
        <f t="shared" si="275"/>
        <v>1</v>
      </c>
    </row>
    <row r="4388" spans="1:10">
      <c r="A4388" s="74" t="s">
        <v>254</v>
      </c>
      <c r="B4388" s="74" t="s">
        <v>254</v>
      </c>
      <c r="C4388" s="74" t="s">
        <v>1526</v>
      </c>
      <c r="D4388" s="74" t="s">
        <v>95</v>
      </c>
      <c r="E4388" s="74">
        <v>24</v>
      </c>
      <c r="F4388" s="74">
        <v>342.7</v>
      </c>
      <c r="G4388" s="758">
        <f t="shared" si="272"/>
        <v>0</v>
      </c>
      <c r="H4388" s="759">
        <f t="shared" si="273"/>
        <v>0</v>
      </c>
      <c r="I4388" s="758">
        <f t="shared" si="274"/>
        <v>14.279166666666667</v>
      </c>
      <c r="J4388" s="760">
        <f t="shared" si="275"/>
        <v>1</v>
      </c>
    </row>
    <row r="4389" spans="1:10">
      <c r="A4389" s="74" t="s">
        <v>254</v>
      </c>
      <c r="B4389" s="74" t="s">
        <v>254</v>
      </c>
      <c r="C4389" s="74" t="s">
        <v>1930</v>
      </c>
      <c r="D4389" s="74" t="s">
        <v>95</v>
      </c>
      <c r="E4389" s="74">
        <v>22</v>
      </c>
      <c r="F4389" s="74">
        <v>327.8</v>
      </c>
      <c r="G4389" s="758">
        <f t="shared" si="272"/>
        <v>0</v>
      </c>
      <c r="H4389" s="759">
        <f t="shared" si="273"/>
        <v>0</v>
      </c>
      <c r="I4389" s="758">
        <f t="shared" si="274"/>
        <v>14.9</v>
      </c>
      <c r="J4389" s="760">
        <f t="shared" si="275"/>
        <v>1</v>
      </c>
    </row>
    <row r="4390" spans="1:10">
      <c r="A4390" s="74" t="s">
        <v>1993</v>
      </c>
      <c r="B4390" s="74" t="s">
        <v>894</v>
      </c>
      <c r="C4390" s="74" t="s">
        <v>1561</v>
      </c>
      <c r="D4390" s="74" t="s">
        <v>87</v>
      </c>
      <c r="E4390" s="74">
        <v>1</v>
      </c>
      <c r="F4390" s="74">
        <v>6.5</v>
      </c>
      <c r="G4390" s="758">
        <f t="shared" si="272"/>
        <v>0</v>
      </c>
      <c r="H4390" s="759">
        <f t="shared" si="273"/>
        <v>0</v>
      </c>
      <c r="I4390" s="758">
        <f t="shared" si="274"/>
        <v>6.5</v>
      </c>
      <c r="J4390" s="760">
        <f t="shared" si="275"/>
        <v>1</v>
      </c>
    </row>
    <row r="4391" spans="1:10">
      <c r="A4391" s="74" t="s">
        <v>1994</v>
      </c>
      <c r="B4391" s="74" t="s">
        <v>894</v>
      </c>
      <c r="C4391" s="74" t="s">
        <v>1543</v>
      </c>
      <c r="D4391" s="74" t="s">
        <v>87</v>
      </c>
      <c r="E4391" s="74">
        <v>1</v>
      </c>
      <c r="F4391" s="74">
        <v>6.5</v>
      </c>
      <c r="G4391" s="758">
        <f t="shared" si="272"/>
        <v>0</v>
      </c>
      <c r="H4391" s="759">
        <f t="shared" si="273"/>
        <v>0</v>
      </c>
      <c r="I4391" s="758">
        <f t="shared" si="274"/>
        <v>6.5</v>
      </c>
      <c r="J4391" s="760">
        <f t="shared" si="275"/>
        <v>1</v>
      </c>
    </row>
    <row r="4392" spans="1:10">
      <c r="A4392" s="74" t="s">
        <v>814</v>
      </c>
      <c r="B4392" s="74" t="s">
        <v>815</v>
      </c>
      <c r="C4392" s="74" t="s">
        <v>1528</v>
      </c>
      <c r="D4392" s="74" t="s">
        <v>78</v>
      </c>
      <c r="E4392" s="74">
        <v>5</v>
      </c>
      <c r="F4392" s="74">
        <v>26.7</v>
      </c>
      <c r="G4392" s="758">
        <f t="shared" si="272"/>
        <v>0.6</v>
      </c>
      <c r="H4392" s="759">
        <f t="shared" si="273"/>
        <v>0.26</v>
      </c>
      <c r="I4392" s="758">
        <f t="shared" si="274"/>
        <v>4.74</v>
      </c>
      <c r="J4392" s="760">
        <f t="shared" si="275"/>
        <v>0.88764044943820219</v>
      </c>
    </row>
    <row r="4393" spans="1:10">
      <c r="A4393" s="74" t="s">
        <v>814</v>
      </c>
      <c r="B4393" s="74" t="s">
        <v>815</v>
      </c>
      <c r="C4393" s="74" t="s">
        <v>1508</v>
      </c>
      <c r="D4393" s="74" t="s">
        <v>78</v>
      </c>
      <c r="E4393" s="74">
        <v>5</v>
      </c>
      <c r="F4393" s="74">
        <v>26.85</v>
      </c>
      <c r="G4393" s="758">
        <f t="shared" si="272"/>
        <v>0.6</v>
      </c>
      <c r="H4393" s="759">
        <f t="shared" si="273"/>
        <v>0.26</v>
      </c>
      <c r="I4393" s="758">
        <f t="shared" si="274"/>
        <v>4.7700000000000005</v>
      </c>
      <c r="J4393" s="760">
        <f t="shared" si="275"/>
        <v>0.88826815642458101</v>
      </c>
    </row>
    <row r="4394" spans="1:10">
      <c r="A4394" s="74" t="s">
        <v>814</v>
      </c>
      <c r="B4394" s="74" t="s">
        <v>815</v>
      </c>
      <c r="C4394" s="74" t="s">
        <v>1509</v>
      </c>
      <c r="D4394" s="74" t="s">
        <v>78</v>
      </c>
      <c r="E4394" s="74">
        <v>7</v>
      </c>
      <c r="F4394" s="74">
        <v>36.700000000000003</v>
      </c>
      <c r="G4394" s="758">
        <f t="shared" si="272"/>
        <v>0.6</v>
      </c>
      <c r="H4394" s="759">
        <f t="shared" si="273"/>
        <v>0.26</v>
      </c>
      <c r="I4394" s="758">
        <f t="shared" si="274"/>
        <v>4.6428571428571432</v>
      </c>
      <c r="J4394" s="760">
        <f t="shared" si="275"/>
        <v>0.88555858310626701</v>
      </c>
    </row>
    <row r="4395" spans="1:10">
      <c r="A4395" s="74" t="s">
        <v>814</v>
      </c>
      <c r="B4395" s="74" t="s">
        <v>815</v>
      </c>
      <c r="C4395" s="74" t="s">
        <v>1565</v>
      </c>
      <c r="D4395" s="74" t="s">
        <v>78</v>
      </c>
      <c r="E4395" s="74">
        <v>8</v>
      </c>
      <c r="F4395" s="74">
        <v>43.2</v>
      </c>
      <c r="G4395" s="758">
        <f t="shared" si="272"/>
        <v>0.6</v>
      </c>
      <c r="H4395" s="759">
        <f t="shared" si="273"/>
        <v>0.26</v>
      </c>
      <c r="I4395" s="758">
        <f t="shared" si="274"/>
        <v>4.8000000000000007</v>
      </c>
      <c r="J4395" s="760">
        <f t="shared" si="275"/>
        <v>0.88888888888888884</v>
      </c>
    </row>
    <row r="4396" spans="1:10">
      <c r="A4396" s="74" t="s">
        <v>814</v>
      </c>
      <c r="B4396" s="74" t="s">
        <v>815</v>
      </c>
      <c r="C4396" s="74" t="s">
        <v>1530</v>
      </c>
      <c r="D4396" s="74" t="s">
        <v>80</v>
      </c>
      <c r="E4396" s="74">
        <v>1</v>
      </c>
      <c r="F4396" s="74">
        <v>5.4</v>
      </c>
      <c r="G4396" s="758">
        <f t="shared" si="272"/>
        <v>0.6</v>
      </c>
      <c r="H4396" s="759">
        <f t="shared" si="273"/>
        <v>0.26</v>
      </c>
      <c r="I4396" s="758">
        <f t="shared" si="274"/>
        <v>4.8000000000000007</v>
      </c>
      <c r="J4396" s="760">
        <f t="shared" si="275"/>
        <v>0.88888888888888884</v>
      </c>
    </row>
    <row r="4397" spans="1:10">
      <c r="A4397" s="74" t="s">
        <v>814</v>
      </c>
      <c r="B4397" s="74" t="s">
        <v>815</v>
      </c>
      <c r="C4397" s="74" t="s">
        <v>1532</v>
      </c>
      <c r="D4397" s="74" t="s">
        <v>80</v>
      </c>
      <c r="E4397" s="74">
        <v>3</v>
      </c>
      <c r="F4397" s="74">
        <v>16.2</v>
      </c>
      <c r="G4397" s="758">
        <f t="shared" si="272"/>
        <v>0.6</v>
      </c>
      <c r="H4397" s="759">
        <f t="shared" si="273"/>
        <v>0.26</v>
      </c>
      <c r="I4397" s="758">
        <f t="shared" si="274"/>
        <v>4.8</v>
      </c>
      <c r="J4397" s="760">
        <f t="shared" si="275"/>
        <v>0.88888888888888884</v>
      </c>
    </row>
    <row r="4398" spans="1:10">
      <c r="A4398" s="74" t="s">
        <v>814</v>
      </c>
      <c r="B4398" s="74" t="s">
        <v>815</v>
      </c>
      <c r="C4398" s="74" t="s">
        <v>1511</v>
      </c>
      <c r="D4398" s="74" t="s">
        <v>80</v>
      </c>
      <c r="E4398" s="74">
        <v>4</v>
      </c>
      <c r="F4398" s="74">
        <v>21.6</v>
      </c>
      <c r="G4398" s="758">
        <f t="shared" si="272"/>
        <v>0.6</v>
      </c>
      <c r="H4398" s="759">
        <f t="shared" si="273"/>
        <v>0.26</v>
      </c>
      <c r="I4398" s="758">
        <f t="shared" si="274"/>
        <v>4.8000000000000007</v>
      </c>
      <c r="J4398" s="760">
        <f t="shared" si="275"/>
        <v>0.88888888888888884</v>
      </c>
    </row>
    <row r="4399" spans="1:10">
      <c r="A4399" s="74" t="s">
        <v>814</v>
      </c>
      <c r="B4399" s="74" t="s">
        <v>815</v>
      </c>
      <c r="C4399" s="74" t="s">
        <v>1512</v>
      </c>
      <c r="D4399" s="74" t="s">
        <v>80</v>
      </c>
      <c r="E4399" s="74">
        <v>3</v>
      </c>
      <c r="F4399" s="74">
        <v>16.2</v>
      </c>
      <c r="G4399" s="758">
        <f t="shared" si="272"/>
        <v>0.6</v>
      </c>
      <c r="H4399" s="759">
        <f t="shared" si="273"/>
        <v>0.26</v>
      </c>
      <c r="I4399" s="758">
        <f t="shared" si="274"/>
        <v>4.8</v>
      </c>
      <c r="J4399" s="760">
        <f t="shared" si="275"/>
        <v>0.88888888888888884</v>
      </c>
    </row>
    <row r="4400" spans="1:10">
      <c r="A4400" s="74" t="s">
        <v>814</v>
      </c>
      <c r="B4400" s="74" t="s">
        <v>815</v>
      </c>
      <c r="C4400" s="74" t="s">
        <v>1513</v>
      </c>
      <c r="D4400" s="74" t="s">
        <v>81</v>
      </c>
      <c r="E4400" s="74">
        <v>11</v>
      </c>
      <c r="F4400" s="74">
        <v>54.49</v>
      </c>
      <c r="G4400" s="758">
        <f t="shared" si="272"/>
        <v>0.6</v>
      </c>
      <c r="H4400" s="759">
        <f t="shared" si="273"/>
        <v>0.26</v>
      </c>
      <c r="I4400" s="758">
        <f t="shared" si="274"/>
        <v>4.3536363636363644</v>
      </c>
      <c r="J4400" s="760">
        <f t="shared" si="275"/>
        <v>0.8788768581391081</v>
      </c>
    </row>
    <row r="4401" spans="1:10">
      <c r="A4401" s="74" t="s">
        <v>814</v>
      </c>
      <c r="B4401" s="74" t="s">
        <v>815</v>
      </c>
      <c r="C4401" s="74" t="s">
        <v>1514</v>
      </c>
      <c r="D4401" s="74" t="s">
        <v>81</v>
      </c>
      <c r="E4401" s="74">
        <v>3</v>
      </c>
      <c r="F4401" s="74">
        <v>15.71</v>
      </c>
      <c r="G4401" s="758">
        <f t="shared" si="272"/>
        <v>0.6</v>
      </c>
      <c r="H4401" s="759">
        <f t="shared" si="273"/>
        <v>0.26</v>
      </c>
      <c r="I4401" s="758">
        <f t="shared" si="274"/>
        <v>4.6366666666666676</v>
      </c>
      <c r="J4401" s="760">
        <f t="shared" si="275"/>
        <v>0.88542329726288993</v>
      </c>
    </row>
    <row r="4402" spans="1:10">
      <c r="A4402" s="74" t="s">
        <v>814</v>
      </c>
      <c r="B4402" s="74" t="s">
        <v>815</v>
      </c>
      <c r="C4402" s="74" t="s">
        <v>1515</v>
      </c>
      <c r="D4402" s="74" t="s">
        <v>81</v>
      </c>
      <c r="E4402" s="74">
        <v>12</v>
      </c>
      <c r="F4402" s="74">
        <v>63.84</v>
      </c>
      <c r="G4402" s="758">
        <f t="shared" si="272"/>
        <v>0.6</v>
      </c>
      <c r="H4402" s="759">
        <f t="shared" si="273"/>
        <v>0.26</v>
      </c>
      <c r="I4402" s="758">
        <f t="shared" si="274"/>
        <v>4.7200000000000006</v>
      </c>
      <c r="J4402" s="760">
        <f t="shared" si="275"/>
        <v>0.88721804511278202</v>
      </c>
    </row>
    <row r="4403" spans="1:10">
      <c r="A4403" s="74" t="s">
        <v>814</v>
      </c>
      <c r="B4403" s="74" t="s">
        <v>815</v>
      </c>
      <c r="C4403" s="74" t="s">
        <v>1516</v>
      </c>
      <c r="D4403" s="74" t="s">
        <v>82</v>
      </c>
      <c r="E4403" s="74">
        <v>4</v>
      </c>
      <c r="F4403" s="74">
        <v>22.6</v>
      </c>
      <c r="G4403" s="758">
        <f t="shared" si="272"/>
        <v>0.6</v>
      </c>
      <c r="H4403" s="759">
        <f t="shared" si="273"/>
        <v>0.26</v>
      </c>
      <c r="I4403" s="758">
        <f t="shared" si="274"/>
        <v>5.0500000000000007</v>
      </c>
      <c r="J4403" s="760">
        <f t="shared" si="275"/>
        <v>0.89380530973451333</v>
      </c>
    </row>
    <row r="4404" spans="1:10">
      <c r="A4404" s="74" t="s">
        <v>814</v>
      </c>
      <c r="B4404" s="74" t="s">
        <v>815</v>
      </c>
      <c r="C4404" s="74" t="s">
        <v>1517</v>
      </c>
      <c r="D4404" s="74" t="s">
        <v>82</v>
      </c>
      <c r="E4404" s="74">
        <v>6</v>
      </c>
      <c r="F4404" s="74">
        <v>32.4</v>
      </c>
      <c r="G4404" s="758">
        <f t="shared" si="272"/>
        <v>0.6</v>
      </c>
      <c r="H4404" s="759">
        <f t="shared" si="273"/>
        <v>0.26</v>
      </c>
      <c r="I4404" s="758">
        <f t="shared" si="274"/>
        <v>4.8</v>
      </c>
      <c r="J4404" s="760">
        <f t="shared" si="275"/>
        <v>0.88888888888888884</v>
      </c>
    </row>
    <row r="4405" spans="1:10">
      <c r="A4405" s="74" t="s">
        <v>814</v>
      </c>
      <c r="B4405" s="74" t="s">
        <v>815</v>
      </c>
      <c r="C4405" s="74" t="s">
        <v>1527</v>
      </c>
      <c r="D4405" s="74" t="s">
        <v>82</v>
      </c>
      <c r="E4405" s="74">
        <v>4</v>
      </c>
      <c r="F4405" s="74">
        <v>21.6</v>
      </c>
      <c r="G4405" s="758">
        <f t="shared" si="272"/>
        <v>0.6</v>
      </c>
      <c r="H4405" s="759">
        <f t="shared" si="273"/>
        <v>0.26</v>
      </c>
      <c r="I4405" s="758">
        <f t="shared" si="274"/>
        <v>4.8000000000000007</v>
      </c>
      <c r="J4405" s="760">
        <f t="shared" si="275"/>
        <v>0.88888888888888884</v>
      </c>
    </row>
    <row r="4406" spans="1:10">
      <c r="A4406" s="74" t="s">
        <v>814</v>
      </c>
      <c r="B4406" s="74" t="s">
        <v>815</v>
      </c>
      <c r="C4406" s="74" t="s">
        <v>1518</v>
      </c>
      <c r="D4406" s="74" t="s">
        <v>82</v>
      </c>
      <c r="E4406" s="74">
        <v>5</v>
      </c>
      <c r="F4406" s="74">
        <v>27</v>
      </c>
      <c r="G4406" s="758">
        <f t="shared" si="272"/>
        <v>0.6</v>
      </c>
      <c r="H4406" s="759">
        <f t="shared" si="273"/>
        <v>0.26</v>
      </c>
      <c r="I4406" s="758">
        <f t="shared" si="274"/>
        <v>4.8000000000000007</v>
      </c>
      <c r="J4406" s="760">
        <f t="shared" si="275"/>
        <v>0.88888888888888884</v>
      </c>
    </row>
    <row r="4407" spans="1:10">
      <c r="A4407" s="74" t="s">
        <v>814</v>
      </c>
      <c r="B4407" s="74" t="s">
        <v>815</v>
      </c>
      <c r="C4407" s="74" t="s">
        <v>1519</v>
      </c>
      <c r="D4407" s="74" t="s">
        <v>84</v>
      </c>
      <c r="E4407" s="74">
        <v>3</v>
      </c>
      <c r="F4407" s="74">
        <v>16.2</v>
      </c>
      <c r="G4407" s="758">
        <f t="shared" si="272"/>
        <v>0.6</v>
      </c>
      <c r="H4407" s="759">
        <f t="shared" si="273"/>
        <v>0.26</v>
      </c>
      <c r="I4407" s="758">
        <f t="shared" si="274"/>
        <v>4.8</v>
      </c>
      <c r="J4407" s="760">
        <f t="shared" si="275"/>
        <v>0.88888888888888884</v>
      </c>
    </row>
    <row r="4408" spans="1:10">
      <c r="A4408" s="74" t="s">
        <v>814</v>
      </c>
      <c r="B4408" s="74" t="s">
        <v>815</v>
      </c>
      <c r="C4408" s="74" t="s">
        <v>1540</v>
      </c>
      <c r="D4408" s="74" t="s">
        <v>84</v>
      </c>
      <c r="E4408" s="74">
        <v>1</v>
      </c>
      <c r="F4408" s="74">
        <v>5.4</v>
      </c>
      <c r="G4408" s="758">
        <f t="shared" si="272"/>
        <v>0.6</v>
      </c>
      <c r="H4408" s="759">
        <f t="shared" si="273"/>
        <v>0.26</v>
      </c>
      <c r="I4408" s="758">
        <f t="shared" si="274"/>
        <v>4.8000000000000007</v>
      </c>
      <c r="J4408" s="760">
        <f t="shared" si="275"/>
        <v>0.88888888888888884</v>
      </c>
    </row>
    <row r="4409" spans="1:10">
      <c r="A4409" s="74" t="s">
        <v>814</v>
      </c>
      <c r="B4409" s="74" t="s">
        <v>815</v>
      </c>
      <c r="C4409" s="74" t="s">
        <v>1577</v>
      </c>
      <c r="D4409" s="74" t="s">
        <v>84</v>
      </c>
      <c r="E4409" s="74">
        <v>1</v>
      </c>
      <c r="F4409" s="74">
        <v>5.4</v>
      </c>
      <c r="G4409" s="758">
        <f t="shared" si="272"/>
        <v>0.6</v>
      </c>
      <c r="H4409" s="759">
        <f t="shared" si="273"/>
        <v>0.26</v>
      </c>
      <c r="I4409" s="758">
        <f t="shared" si="274"/>
        <v>4.8000000000000007</v>
      </c>
      <c r="J4409" s="760">
        <f t="shared" si="275"/>
        <v>0.88888888888888884</v>
      </c>
    </row>
    <row r="4410" spans="1:10">
      <c r="A4410" s="74" t="s">
        <v>814</v>
      </c>
      <c r="B4410" s="74" t="s">
        <v>815</v>
      </c>
      <c r="C4410" s="74" t="s">
        <v>1507</v>
      </c>
      <c r="D4410" s="74" t="s">
        <v>86</v>
      </c>
      <c r="E4410" s="74">
        <v>4</v>
      </c>
      <c r="F4410" s="74">
        <v>21.6</v>
      </c>
      <c r="G4410" s="758">
        <f t="shared" si="272"/>
        <v>0.6</v>
      </c>
      <c r="H4410" s="759">
        <f t="shared" si="273"/>
        <v>0.26</v>
      </c>
      <c r="I4410" s="758">
        <f t="shared" si="274"/>
        <v>4.8000000000000007</v>
      </c>
      <c r="J4410" s="760">
        <f t="shared" si="275"/>
        <v>0.88888888888888884</v>
      </c>
    </row>
    <row r="4411" spans="1:10">
      <c r="A4411" s="74" t="s">
        <v>814</v>
      </c>
      <c r="B4411" s="74" t="s">
        <v>815</v>
      </c>
      <c r="C4411" s="74" t="s">
        <v>1578</v>
      </c>
      <c r="D4411" s="74" t="s">
        <v>86</v>
      </c>
      <c r="E4411" s="74">
        <v>3</v>
      </c>
      <c r="F4411" s="74">
        <v>16.2</v>
      </c>
      <c r="G4411" s="758">
        <f t="shared" si="272"/>
        <v>0.6</v>
      </c>
      <c r="H4411" s="759">
        <f t="shared" si="273"/>
        <v>0.26</v>
      </c>
      <c r="I4411" s="758">
        <f t="shared" si="274"/>
        <v>4.8</v>
      </c>
      <c r="J4411" s="760">
        <f t="shared" si="275"/>
        <v>0.88888888888888884</v>
      </c>
    </row>
    <row r="4412" spans="1:10">
      <c r="A4412" s="74" t="s">
        <v>814</v>
      </c>
      <c r="B4412" s="74" t="s">
        <v>815</v>
      </c>
      <c r="C4412" s="74" t="s">
        <v>1646</v>
      </c>
      <c r="D4412" s="74" t="s">
        <v>86</v>
      </c>
      <c r="E4412" s="74">
        <v>2</v>
      </c>
      <c r="F4412" s="74">
        <v>10.8</v>
      </c>
      <c r="G4412" s="758">
        <f t="shared" si="272"/>
        <v>0.6</v>
      </c>
      <c r="H4412" s="759">
        <f t="shared" si="273"/>
        <v>0.26</v>
      </c>
      <c r="I4412" s="758">
        <f t="shared" si="274"/>
        <v>4.8000000000000007</v>
      </c>
      <c r="J4412" s="760">
        <f t="shared" si="275"/>
        <v>0.88888888888888884</v>
      </c>
    </row>
    <row r="4413" spans="1:10">
      <c r="A4413" s="74" t="s">
        <v>814</v>
      </c>
      <c r="B4413" s="74" t="s">
        <v>815</v>
      </c>
      <c r="C4413" s="74" t="s">
        <v>1541</v>
      </c>
      <c r="D4413" s="74" t="s">
        <v>86</v>
      </c>
      <c r="E4413" s="74">
        <v>2</v>
      </c>
      <c r="F4413" s="74">
        <v>10.8</v>
      </c>
      <c r="G4413" s="758">
        <f t="shared" si="272"/>
        <v>0.6</v>
      </c>
      <c r="H4413" s="759">
        <f t="shared" si="273"/>
        <v>0.26</v>
      </c>
      <c r="I4413" s="758">
        <f t="shared" si="274"/>
        <v>4.8000000000000007</v>
      </c>
      <c r="J4413" s="760">
        <f t="shared" si="275"/>
        <v>0.88888888888888884</v>
      </c>
    </row>
    <row r="4414" spans="1:10">
      <c r="A4414" s="74" t="s">
        <v>814</v>
      </c>
      <c r="B4414" s="74" t="s">
        <v>815</v>
      </c>
      <c r="C4414" s="74" t="s">
        <v>1543</v>
      </c>
      <c r="D4414" s="74" t="s">
        <v>87</v>
      </c>
      <c r="E4414" s="74">
        <v>1</v>
      </c>
      <c r="F4414" s="74">
        <v>5.4</v>
      </c>
      <c r="G4414" s="758">
        <f t="shared" si="272"/>
        <v>0.6</v>
      </c>
      <c r="H4414" s="759">
        <f t="shared" si="273"/>
        <v>0.26</v>
      </c>
      <c r="I4414" s="758">
        <f t="shared" si="274"/>
        <v>4.8000000000000007</v>
      </c>
      <c r="J4414" s="760">
        <f t="shared" si="275"/>
        <v>0.88888888888888884</v>
      </c>
    </row>
    <row r="4415" spans="1:10">
      <c r="A4415" s="74" t="s">
        <v>814</v>
      </c>
      <c r="B4415" s="74" t="s">
        <v>815</v>
      </c>
      <c r="C4415" s="74" t="s">
        <v>1544</v>
      </c>
      <c r="D4415" s="74" t="s">
        <v>87</v>
      </c>
      <c r="E4415" s="74">
        <v>3</v>
      </c>
      <c r="F4415" s="74">
        <v>16.2</v>
      </c>
      <c r="G4415" s="758">
        <f t="shared" si="272"/>
        <v>0.6</v>
      </c>
      <c r="H4415" s="759">
        <f t="shared" si="273"/>
        <v>0.26</v>
      </c>
      <c r="I4415" s="758">
        <f t="shared" si="274"/>
        <v>4.8</v>
      </c>
      <c r="J4415" s="760">
        <f t="shared" si="275"/>
        <v>0.88888888888888884</v>
      </c>
    </row>
    <row r="4416" spans="1:10">
      <c r="A4416" s="74" t="s">
        <v>814</v>
      </c>
      <c r="B4416" s="74" t="s">
        <v>815</v>
      </c>
      <c r="C4416" s="74" t="s">
        <v>1605</v>
      </c>
      <c r="D4416" s="74" t="s">
        <v>87</v>
      </c>
      <c r="E4416" s="74">
        <v>2</v>
      </c>
      <c r="F4416" s="74">
        <v>10.8</v>
      </c>
      <c r="G4416" s="758">
        <f t="shared" si="272"/>
        <v>0.6</v>
      </c>
      <c r="H4416" s="759">
        <f t="shared" si="273"/>
        <v>0.26</v>
      </c>
      <c r="I4416" s="758">
        <f t="shared" si="274"/>
        <v>4.8000000000000007</v>
      </c>
      <c r="J4416" s="760">
        <f t="shared" si="275"/>
        <v>0.88888888888888884</v>
      </c>
    </row>
    <row r="4417" spans="1:10">
      <c r="A4417" s="74" t="s">
        <v>814</v>
      </c>
      <c r="B4417" s="74" t="s">
        <v>815</v>
      </c>
      <c r="C4417" s="74" t="s">
        <v>1561</v>
      </c>
      <c r="D4417" s="74" t="s">
        <v>87</v>
      </c>
      <c r="E4417" s="74">
        <v>1</v>
      </c>
      <c r="F4417" s="74">
        <v>5.4</v>
      </c>
      <c r="G4417" s="758">
        <f t="shared" si="272"/>
        <v>0.6</v>
      </c>
      <c r="H4417" s="759">
        <f t="shared" si="273"/>
        <v>0.26</v>
      </c>
      <c r="I4417" s="758">
        <f t="shared" si="274"/>
        <v>4.8000000000000007</v>
      </c>
      <c r="J4417" s="760">
        <f t="shared" si="275"/>
        <v>0.88888888888888884</v>
      </c>
    </row>
    <row r="4418" spans="1:10">
      <c r="A4418" s="74" t="s">
        <v>814</v>
      </c>
      <c r="B4418" s="74" t="s">
        <v>815</v>
      </c>
      <c r="C4418" s="74" t="s">
        <v>1608</v>
      </c>
      <c r="D4418" s="74" t="s">
        <v>89</v>
      </c>
      <c r="E4418" s="74">
        <v>2</v>
      </c>
      <c r="F4418" s="74">
        <v>10.8</v>
      </c>
      <c r="G4418" s="758">
        <f t="shared" ref="G4418:G4481" si="276">IFERROR(VLOOKUP(A4418,$M$1:$P$1014,2,FALSE),0)</f>
        <v>0.6</v>
      </c>
      <c r="H4418" s="759">
        <f t="shared" ref="H4418:H4481" si="277">IFERROR(VLOOKUP(A4418,$M$1:$P$1014,3,FALSE),0)</f>
        <v>0.26</v>
      </c>
      <c r="I4418" s="758">
        <f t="shared" ref="I4418:I4481" si="278">IFERROR(F4418/E4418-G4418,0)</f>
        <v>4.8000000000000007</v>
      </c>
      <c r="J4418" s="760">
        <f t="shared" ref="J4418:J4481" si="279">IFERROR(1-G4418*E4418/F4418,0)</f>
        <v>0.88888888888888884</v>
      </c>
    </row>
    <row r="4419" spans="1:10">
      <c r="A4419" s="74" t="s">
        <v>814</v>
      </c>
      <c r="B4419" s="74" t="s">
        <v>815</v>
      </c>
      <c r="C4419" s="74" t="s">
        <v>1610</v>
      </c>
      <c r="D4419" s="74" t="s">
        <v>89</v>
      </c>
      <c r="E4419" s="74">
        <v>2</v>
      </c>
      <c r="F4419" s="74">
        <v>10.8</v>
      </c>
      <c r="G4419" s="758">
        <f t="shared" si="276"/>
        <v>0.6</v>
      </c>
      <c r="H4419" s="759">
        <f t="shared" si="277"/>
        <v>0.26</v>
      </c>
      <c r="I4419" s="758">
        <f t="shared" si="278"/>
        <v>4.8000000000000007</v>
      </c>
      <c r="J4419" s="760">
        <f t="shared" si="279"/>
        <v>0.88888888888888884</v>
      </c>
    </row>
    <row r="4420" spans="1:10">
      <c r="A4420" s="74" t="s">
        <v>814</v>
      </c>
      <c r="B4420" s="74" t="s">
        <v>815</v>
      </c>
      <c r="C4420" s="74" t="s">
        <v>1546</v>
      </c>
      <c r="D4420" s="74" t="s">
        <v>89</v>
      </c>
      <c r="E4420" s="74">
        <v>7</v>
      </c>
      <c r="F4420" s="74">
        <v>37.799999999999997</v>
      </c>
      <c r="G4420" s="758">
        <f t="shared" si="276"/>
        <v>0.6</v>
      </c>
      <c r="H4420" s="759">
        <f t="shared" si="277"/>
        <v>0.26</v>
      </c>
      <c r="I4420" s="758">
        <f t="shared" si="278"/>
        <v>4.8</v>
      </c>
      <c r="J4420" s="760">
        <f t="shared" si="279"/>
        <v>0.88888888888888884</v>
      </c>
    </row>
    <row r="4421" spans="1:10">
      <c r="A4421" s="74" t="s">
        <v>814</v>
      </c>
      <c r="B4421" s="74" t="s">
        <v>815</v>
      </c>
      <c r="C4421" s="74" t="s">
        <v>1547</v>
      </c>
      <c r="D4421" s="74" t="s">
        <v>89</v>
      </c>
      <c r="E4421" s="74">
        <v>1</v>
      </c>
      <c r="F4421" s="74">
        <v>5.4</v>
      </c>
      <c r="G4421" s="758">
        <f t="shared" si="276"/>
        <v>0.6</v>
      </c>
      <c r="H4421" s="759">
        <f t="shared" si="277"/>
        <v>0.26</v>
      </c>
      <c r="I4421" s="758">
        <f t="shared" si="278"/>
        <v>4.8000000000000007</v>
      </c>
      <c r="J4421" s="760">
        <f t="shared" si="279"/>
        <v>0.88888888888888884</v>
      </c>
    </row>
    <row r="4422" spans="1:10">
      <c r="A4422" s="74" t="s">
        <v>814</v>
      </c>
      <c r="B4422" s="74" t="s">
        <v>815</v>
      </c>
      <c r="C4422" s="74" t="s">
        <v>1582</v>
      </c>
      <c r="D4422" s="74" t="s">
        <v>89</v>
      </c>
      <c r="E4422" s="74">
        <v>6</v>
      </c>
      <c r="F4422" s="74">
        <v>32.4</v>
      </c>
      <c r="G4422" s="758">
        <f t="shared" si="276"/>
        <v>0.6</v>
      </c>
      <c r="H4422" s="759">
        <f t="shared" si="277"/>
        <v>0.26</v>
      </c>
      <c r="I4422" s="758">
        <f t="shared" si="278"/>
        <v>4.8</v>
      </c>
      <c r="J4422" s="760">
        <f t="shared" si="279"/>
        <v>0.88888888888888884</v>
      </c>
    </row>
    <row r="4423" spans="1:10">
      <c r="A4423" s="74" t="s">
        <v>814</v>
      </c>
      <c r="B4423" s="74" t="s">
        <v>815</v>
      </c>
      <c r="C4423" s="74" t="s">
        <v>1522</v>
      </c>
      <c r="D4423" s="74" t="s">
        <v>91</v>
      </c>
      <c r="E4423" s="74">
        <v>5</v>
      </c>
      <c r="F4423" s="74">
        <v>28.2</v>
      </c>
      <c r="G4423" s="758">
        <f t="shared" si="276"/>
        <v>0.6</v>
      </c>
      <c r="H4423" s="759">
        <f t="shared" si="277"/>
        <v>0.26</v>
      </c>
      <c r="I4423" s="758">
        <f t="shared" si="278"/>
        <v>5.04</v>
      </c>
      <c r="J4423" s="760">
        <f t="shared" si="279"/>
        <v>0.8936170212765957</v>
      </c>
    </row>
    <row r="4424" spans="1:10">
      <c r="A4424" s="74" t="s">
        <v>814</v>
      </c>
      <c r="B4424" s="74" t="s">
        <v>815</v>
      </c>
      <c r="C4424" s="74" t="s">
        <v>1550</v>
      </c>
      <c r="D4424" s="74" t="s">
        <v>91</v>
      </c>
      <c r="E4424" s="74">
        <v>4</v>
      </c>
      <c r="F4424" s="74">
        <v>21.6</v>
      </c>
      <c r="G4424" s="758">
        <f t="shared" si="276"/>
        <v>0.6</v>
      </c>
      <c r="H4424" s="759">
        <f t="shared" si="277"/>
        <v>0.26</v>
      </c>
      <c r="I4424" s="758">
        <f t="shared" si="278"/>
        <v>4.8000000000000007</v>
      </c>
      <c r="J4424" s="760">
        <f t="shared" si="279"/>
        <v>0.88888888888888884</v>
      </c>
    </row>
    <row r="4425" spans="1:10">
      <c r="A4425" s="74" t="s">
        <v>814</v>
      </c>
      <c r="B4425" s="74" t="s">
        <v>815</v>
      </c>
      <c r="C4425" s="74" t="s">
        <v>1675</v>
      </c>
      <c r="D4425" s="74" t="s">
        <v>91</v>
      </c>
      <c r="E4425" s="74">
        <v>3</v>
      </c>
      <c r="F4425" s="74">
        <v>16.2</v>
      </c>
      <c r="G4425" s="758">
        <f t="shared" si="276"/>
        <v>0.6</v>
      </c>
      <c r="H4425" s="759">
        <f t="shared" si="277"/>
        <v>0.26</v>
      </c>
      <c r="I4425" s="758">
        <f t="shared" si="278"/>
        <v>4.8</v>
      </c>
      <c r="J4425" s="760">
        <f t="shared" si="279"/>
        <v>0.88888888888888884</v>
      </c>
    </row>
    <row r="4426" spans="1:10">
      <c r="A4426" s="74" t="s">
        <v>814</v>
      </c>
      <c r="B4426" s="74" t="s">
        <v>815</v>
      </c>
      <c r="C4426" s="74" t="s">
        <v>1524</v>
      </c>
      <c r="D4426" s="74" t="s">
        <v>91</v>
      </c>
      <c r="E4426" s="74">
        <v>1</v>
      </c>
      <c r="F4426" s="74">
        <v>5.4</v>
      </c>
      <c r="G4426" s="758">
        <f t="shared" si="276"/>
        <v>0.6</v>
      </c>
      <c r="H4426" s="759">
        <f t="shared" si="277"/>
        <v>0.26</v>
      </c>
      <c r="I4426" s="758">
        <f t="shared" si="278"/>
        <v>4.8000000000000007</v>
      </c>
      <c r="J4426" s="760">
        <f t="shared" si="279"/>
        <v>0.88888888888888884</v>
      </c>
    </row>
    <row r="4427" spans="1:10">
      <c r="A4427" s="74" t="s">
        <v>814</v>
      </c>
      <c r="B4427" s="74" t="s">
        <v>815</v>
      </c>
      <c r="C4427" s="74" t="s">
        <v>1584</v>
      </c>
      <c r="D4427" s="74" t="s">
        <v>92</v>
      </c>
      <c r="E4427" s="74">
        <v>2</v>
      </c>
      <c r="F4427" s="74">
        <v>10.8</v>
      </c>
      <c r="G4427" s="758">
        <f t="shared" si="276"/>
        <v>0.6</v>
      </c>
      <c r="H4427" s="759">
        <f t="shared" si="277"/>
        <v>0.26</v>
      </c>
      <c r="I4427" s="758">
        <f t="shared" si="278"/>
        <v>4.8000000000000007</v>
      </c>
      <c r="J4427" s="760">
        <f t="shared" si="279"/>
        <v>0.88888888888888884</v>
      </c>
    </row>
    <row r="4428" spans="1:10">
      <c r="A4428" s="74" t="s">
        <v>814</v>
      </c>
      <c r="B4428" s="74" t="s">
        <v>815</v>
      </c>
      <c r="C4428" s="74" t="s">
        <v>1614</v>
      </c>
      <c r="D4428" s="74" t="s">
        <v>92</v>
      </c>
      <c r="E4428" s="74">
        <v>2</v>
      </c>
      <c r="F4428" s="74">
        <v>10.8</v>
      </c>
      <c r="G4428" s="758">
        <f t="shared" si="276"/>
        <v>0.6</v>
      </c>
      <c r="H4428" s="759">
        <f t="shared" si="277"/>
        <v>0.26</v>
      </c>
      <c r="I4428" s="758">
        <f t="shared" si="278"/>
        <v>4.8000000000000007</v>
      </c>
      <c r="J4428" s="760">
        <f t="shared" si="279"/>
        <v>0.88888888888888884</v>
      </c>
    </row>
    <row r="4429" spans="1:10">
      <c r="A4429" s="74" t="s">
        <v>814</v>
      </c>
      <c r="B4429" s="74" t="s">
        <v>815</v>
      </c>
      <c r="C4429" s="74" t="s">
        <v>1631</v>
      </c>
      <c r="D4429" s="74" t="s">
        <v>92</v>
      </c>
      <c r="E4429" s="74">
        <v>4</v>
      </c>
      <c r="F4429" s="74">
        <v>21.6</v>
      </c>
      <c r="G4429" s="758">
        <f t="shared" si="276"/>
        <v>0.6</v>
      </c>
      <c r="H4429" s="759">
        <f t="shared" si="277"/>
        <v>0.26</v>
      </c>
      <c r="I4429" s="758">
        <f t="shared" si="278"/>
        <v>4.8000000000000007</v>
      </c>
      <c r="J4429" s="760">
        <f t="shared" si="279"/>
        <v>0.88888888888888884</v>
      </c>
    </row>
    <row r="4430" spans="1:10">
      <c r="A4430" s="74" t="s">
        <v>814</v>
      </c>
      <c r="B4430" s="74" t="s">
        <v>815</v>
      </c>
      <c r="C4430" s="74" t="s">
        <v>1552</v>
      </c>
      <c r="D4430" s="74" t="s">
        <v>92</v>
      </c>
      <c r="E4430" s="74">
        <v>4</v>
      </c>
      <c r="F4430" s="74">
        <v>21.6</v>
      </c>
      <c r="G4430" s="758">
        <f t="shared" si="276"/>
        <v>0.6</v>
      </c>
      <c r="H4430" s="759">
        <f t="shared" si="277"/>
        <v>0.26</v>
      </c>
      <c r="I4430" s="758">
        <f t="shared" si="278"/>
        <v>4.8000000000000007</v>
      </c>
      <c r="J4430" s="760">
        <f t="shared" si="279"/>
        <v>0.88888888888888884</v>
      </c>
    </row>
    <row r="4431" spans="1:10">
      <c r="A4431" s="74" t="s">
        <v>814</v>
      </c>
      <c r="B4431" s="74" t="s">
        <v>815</v>
      </c>
      <c r="C4431" s="74" t="s">
        <v>1617</v>
      </c>
      <c r="D4431" s="74" t="s">
        <v>94</v>
      </c>
      <c r="E4431" s="74">
        <v>2</v>
      </c>
      <c r="F4431" s="74">
        <v>10.8</v>
      </c>
      <c r="G4431" s="758">
        <f t="shared" si="276"/>
        <v>0.6</v>
      </c>
      <c r="H4431" s="759">
        <f t="shared" si="277"/>
        <v>0.26</v>
      </c>
      <c r="I4431" s="758">
        <f t="shared" si="278"/>
        <v>4.8000000000000007</v>
      </c>
      <c r="J4431" s="760">
        <f t="shared" si="279"/>
        <v>0.88888888888888884</v>
      </c>
    </row>
    <row r="4432" spans="1:10">
      <c r="A4432" s="74" t="s">
        <v>814</v>
      </c>
      <c r="B4432" s="74" t="s">
        <v>815</v>
      </c>
      <c r="C4432" s="74" t="s">
        <v>1555</v>
      </c>
      <c r="D4432" s="74" t="s">
        <v>94</v>
      </c>
      <c r="E4432" s="74">
        <v>1</v>
      </c>
      <c r="F4432" s="74">
        <v>5.4</v>
      </c>
      <c r="G4432" s="758">
        <f t="shared" si="276"/>
        <v>0.6</v>
      </c>
      <c r="H4432" s="759">
        <f t="shared" si="277"/>
        <v>0.26</v>
      </c>
      <c r="I4432" s="758">
        <f t="shared" si="278"/>
        <v>4.8000000000000007</v>
      </c>
      <c r="J4432" s="760">
        <f t="shared" si="279"/>
        <v>0.88888888888888884</v>
      </c>
    </row>
    <row r="4433" spans="1:10">
      <c r="A4433" s="74" t="s">
        <v>814</v>
      </c>
      <c r="B4433" s="74" t="s">
        <v>815</v>
      </c>
      <c r="C4433" s="74" t="s">
        <v>1557</v>
      </c>
      <c r="D4433" s="74" t="s">
        <v>95</v>
      </c>
      <c r="E4433" s="74">
        <v>3</v>
      </c>
      <c r="F4433" s="74">
        <v>16.2</v>
      </c>
      <c r="G4433" s="758">
        <f t="shared" si="276"/>
        <v>0.6</v>
      </c>
      <c r="H4433" s="759">
        <f t="shared" si="277"/>
        <v>0.26</v>
      </c>
      <c r="I4433" s="758">
        <f t="shared" si="278"/>
        <v>4.8</v>
      </c>
      <c r="J4433" s="760">
        <f t="shared" si="279"/>
        <v>0.88888888888888884</v>
      </c>
    </row>
    <row r="4434" spans="1:10">
      <c r="A4434" s="74" t="s">
        <v>814</v>
      </c>
      <c r="B4434" s="74" t="s">
        <v>815</v>
      </c>
      <c r="C4434" s="74" t="s">
        <v>1526</v>
      </c>
      <c r="D4434" s="74" t="s">
        <v>95</v>
      </c>
      <c r="E4434" s="74">
        <v>3</v>
      </c>
      <c r="F4434" s="74">
        <v>16.2</v>
      </c>
      <c r="G4434" s="758">
        <f t="shared" si="276"/>
        <v>0.6</v>
      </c>
      <c r="H4434" s="759">
        <f t="shared" si="277"/>
        <v>0.26</v>
      </c>
      <c r="I4434" s="758">
        <f t="shared" si="278"/>
        <v>4.8</v>
      </c>
      <c r="J4434" s="760">
        <f t="shared" si="279"/>
        <v>0.88888888888888884</v>
      </c>
    </row>
    <row r="4435" spans="1:10">
      <c r="A4435" s="74" t="s">
        <v>1085</v>
      </c>
      <c r="B4435" s="74" t="s">
        <v>894</v>
      </c>
      <c r="C4435" s="74" t="s">
        <v>1608</v>
      </c>
      <c r="D4435" s="74" t="s">
        <v>89</v>
      </c>
      <c r="E4435" s="74">
        <v>3</v>
      </c>
      <c r="F4435" s="74">
        <v>16.2</v>
      </c>
      <c r="G4435" s="758">
        <f t="shared" si="276"/>
        <v>0.6</v>
      </c>
      <c r="H4435" s="759">
        <f t="shared" si="277"/>
        <v>0.26</v>
      </c>
      <c r="I4435" s="758">
        <f t="shared" si="278"/>
        <v>4.8</v>
      </c>
      <c r="J4435" s="760">
        <f t="shared" si="279"/>
        <v>0.88888888888888884</v>
      </c>
    </row>
    <row r="4436" spans="1:10">
      <c r="A4436" s="74" t="s">
        <v>1091</v>
      </c>
      <c r="B4436" s="74" t="s">
        <v>894</v>
      </c>
      <c r="C4436" s="74" t="s">
        <v>1508</v>
      </c>
      <c r="D4436" s="74" t="s">
        <v>78</v>
      </c>
      <c r="E4436" s="74">
        <v>4</v>
      </c>
      <c r="F4436" s="74">
        <v>26.4</v>
      </c>
      <c r="G4436" s="758">
        <f t="shared" si="276"/>
        <v>1.31</v>
      </c>
      <c r="H4436" s="759">
        <f t="shared" si="277"/>
        <v>0.23</v>
      </c>
      <c r="I4436" s="758">
        <f t="shared" si="278"/>
        <v>5.2899999999999991</v>
      </c>
      <c r="J4436" s="760">
        <f t="shared" si="279"/>
        <v>0.80151515151515151</v>
      </c>
    </row>
    <row r="4437" spans="1:10">
      <c r="A4437" s="74" t="s">
        <v>1091</v>
      </c>
      <c r="B4437" s="74" t="s">
        <v>894</v>
      </c>
      <c r="C4437" s="74" t="s">
        <v>1565</v>
      </c>
      <c r="D4437" s="74" t="s">
        <v>78</v>
      </c>
      <c r="E4437" s="74">
        <v>1</v>
      </c>
      <c r="F4437" s="74">
        <v>7.1</v>
      </c>
      <c r="G4437" s="758">
        <f t="shared" si="276"/>
        <v>1.31</v>
      </c>
      <c r="H4437" s="759">
        <f t="shared" si="277"/>
        <v>0.23</v>
      </c>
      <c r="I4437" s="758">
        <f t="shared" si="278"/>
        <v>5.7899999999999991</v>
      </c>
      <c r="J4437" s="760">
        <f t="shared" si="279"/>
        <v>0.8154929577464789</v>
      </c>
    </row>
    <row r="4438" spans="1:10">
      <c r="A4438" s="74" t="s">
        <v>1091</v>
      </c>
      <c r="B4438" s="74" t="s">
        <v>894</v>
      </c>
      <c r="C4438" s="74" t="s">
        <v>1534</v>
      </c>
      <c r="D4438" s="74" t="s">
        <v>81</v>
      </c>
      <c r="E4438" s="74">
        <v>1</v>
      </c>
      <c r="F4438" s="74">
        <v>6.1</v>
      </c>
      <c r="G4438" s="758">
        <f t="shared" si="276"/>
        <v>1.31</v>
      </c>
      <c r="H4438" s="759">
        <f t="shared" si="277"/>
        <v>0.23</v>
      </c>
      <c r="I4438" s="758">
        <f t="shared" si="278"/>
        <v>4.7899999999999991</v>
      </c>
      <c r="J4438" s="760">
        <f t="shared" si="279"/>
        <v>0.78524590163934427</v>
      </c>
    </row>
    <row r="4439" spans="1:10">
      <c r="A4439" s="74" t="s">
        <v>1091</v>
      </c>
      <c r="B4439" s="74" t="s">
        <v>894</v>
      </c>
      <c r="C4439" s="74" t="s">
        <v>1516</v>
      </c>
      <c r="D4439" s="74" t="s">
        <v>82</v>
      </c>
      <c r="E4439" s="74">
        <v>2</v>
      </c>
      <c r="F4439" s="74">
        <v>12.2</v>
      </c>
      <c r="G4439" s="758">
        <f t="shared" si="276"/>
        <v>1.31</v>
      </c>
      <c r="H4439" s="759">
        <f t="shared" si="277"/>
        <v>0.23</v>
      </c>
      <c r="I4439" s="758">
        <f t="shared" si="278"/>
        <v>4.7899999999999991</v>
      </c>
      <c r="J4439" s="760">
        <f t="shared" si="279"/>
        <v>0.78524590163934427</v>
      </c>
    </row>
    <row r="4440" spans="1:10">
      <c r="A4440" s="74" t="s">
        <v>1091</v>
      </c>
      <c r="B4440" s="74" t="s">
        <v>894</v>
      </c>
      <c r="C4440" s="74" t="s">
        <v>1518</v>
      </c>
      <c r="D4440" s="74" t="s">
        <v>82</v>
      </c>
      <c r="E4440" s="74">
        <v>1</v>
      </c>
      <c r="F4440" s="74">
        <v>6.1</v>
      </c>
      <c r="G4440" s="758">
        <f t="shared" si="276"/>
        <v>1.31</v>
      </c>
      <c r="H4440" s="759">
        <f t="shared" si="277"/>
        <v>0.23</v>
      </c>
      <c r="I4440" s="758">
        <f t="shared" si="278"/>
        <v>4.7899999999999991</v>
      </c>
      <c r="J4440" s="760">
        <f t="shared" si="279"/>
        <v>0.78524590163934427</v>
      </c>
    </row>
    <row r="4441" spans="1:10">
      <c r="A4441" s="74" t="s">
        <v>1091</v>
      </c>
      <c r="B4441" s="74" t="s">
        <v>894</v>
      </c>
      <c r="C4441" s="74" t="s">
        <v>1519</v>
      </c>
      <c r="D4441" s="74" t="s">
        <v>84</v>
      </c>
      <c r="E4441" s="74">
        <v>1</v>
      </c>
      <c r="F4441" s="74">
        <v>6.1</v>
      </c>
      <c r="G4441" s="758">
        <f t="shared" si="276"/>
        <v>1.31</v>
      </c>
      <c r="H4441" s="759">
        <f t="shared" si="277"/>
        <v>0.23</v>
      </c>
      <c r="I4441" s="758">
        <f t="shared" si="278"/>
        <v>4.7899999999999991</v>
      </c>
      <c r="J4441" s="760">
        <f t="shared" si="279"/>
        <v>0.78524590163934427</v>
      </c>
    </row>
    <row r="4442" spans="1:10">
      <c r="A4442" s="74" t="s">
        <v>896</v>
      </c>
      <c r="B4442" s="74" t="s">
        <v>894</v>
      </c>
      <c r="C4442" s="74" t="s">
        <v>1543</v>
      </c>
      <c r="D4442" s="74" t="s">
        <v>87</v>
      </c>
      <c r="E4442" s="74">
        <v>1</v>
      </c>
      <c r="F4442" s="74">
        <v>5.75</v>
      </c>
      <c r="G4442" s="758">
        <f t="shared" si="276"/>
        <v>0</v>
      </c>
      <c r="H4442" s="759">
        <f t="shared" si="277"/>
        <v>0</v>
      </c>
      <c r="I4442" s="758">
        <f t="shared" si="278"/>
        <v>5.75</v>
      </c>
      <c r="J4442" s="760">
        <f t="shared" si="279"/>
        <v>1</v>
      </c>
    </row>
    <row r="4443" spans="1:10">
      <c r="A4443" s="74" t="s">
        <v>896</v>
      </c>
      <c r="B4443" s="74" t="s">
        <v>894</v>
      </c>
      <c r="C4443" s="74" t="s">
        <v>1582</v>
      </c>
      <c r="D4443" s="74" t="s">
        <v>89</v>
      </c>
      <c r="E4443" s="74">
        <v>1</v>
      </c>
      <c r="F4443" s="74">
        <v>4.5</v>
      </c>
      <c r="G4443" s="758">
        <f t="shared" si="276"/>
        <v>0</v>
      </c>
      <c r="H4443" s="759">
        <f t="shared" si="277"/>
        <v>0</v>
      </c>
      <c r="I4443" s="758">
        <f t="shared" si="278"/>
        <v>4.5</v>
      </c>
      <c r="J4443" s="760">
        <f t="shared" si="279"/>
        <v>1</v>
      </c>
    </row>
    <row r="4444" spans="1:10">
      <c r="A4444" s="74" t="s">
        <v>896</v>
      </c>
      <c r="B4444" s="74" t="s">
        <v>894</v>
      </c>
      <c r="C4444" s="74" t="s">
        <v>1552</v>
      </c>
      <c r="D4444" s="74" t="s">
        <v>92</v>
      </c>
      <c r="E4444" s="74">
        <v>1</v>
      </c>
      <c r="F4444" s="74">
        <v>5.75</v>
      </c>
      <c r="G4444" s="758">
        <f t="shared" si="276"/>
        <v>0</v>
      </c>
      <c r="H4444" s="759">
        <f t="shared" si="277"/>
        <v>0</v>
      </c>
      <c r="I4444" s="758">
        <f t="shared" si="278"/>
        <v>5.75</v>
      </c>
      <c r="J4444" s="760">
        <f t="shared" si="279"/>
        <v>1</v>
      </c>
    </row>
    <row r="4445" spans="1:10">
      <c r="A4445" s="74" t="s">
        <v>896</v>
      </c>
      <c r="B4445" s="74" t="s">
        <v>894</v>
      </c>
      <c r="C4445" s="74" t="s">
        <v>1617</v>
      </c>
      <c r="D4445" s="74" t="s">
        <v>94</v>
      </c>
      <c r="E4445" s="74">
        <v>4</v>
      </c>
      <c r="F4445" s="74">
        <v>23.5</v>
      </c>
      <c r="G4445" s="758">
        <f t="shared" si="276"/>
        <v>0</v>
      </c>
      <c r="H4445" s="759">
        <f t="shared" si="277"/>
        <v>0</v>
      </c>
      <c r="I4445" s="758">
        <f t="shared" si="278"/>
        <v>5.875</v>
      </c>
      <c r="J4445" s="760">
        <f t="shared" si="279"/>
        <v>1</v>
      </c>
    </row>
    <row r="4446" spans="1:10">
      <c r="A4446" s="74" t="s">
        <v>896</v>
      </c>
      <c r="B4446" s="74" t="s">
        <v>894</v>
      </c>
      <c r="C4446" s="74" t="s">
        <v>1553</v>
      </c>
      <c r="D4446" s="74" t="s">
        <v>94</v>
      </c>
      <c r="E4446" s="74">
        <v>3</v>
      </c>
      <c r="F4446" s="74">
        <v>17.25</v>
      </c>
      <c r="G4446" s="758">
        <f t="shared" si="276"/>
        <v>0</v>
      </c>
      <c r="H4446" s="759">
        <f t="shared" si="277"/>
        <v>0</v>
      </c>
      <c r="I4446" s="758">
        <f t="shared" si="278"/>
        <v>5.75</v>
      </c>
      <c r="J4446" s="760">
        <f t="shared" si="279"/>
        <v>1</v>
      </c>
    </row>
    <row r="4447" spans="1:10">
      <c r="A4447" s="74" t="s">
        <v>896</v>
      </c>
      <c r="B4447" s="74" t="s">
        <v>894</v>
      </c>
      <c r="C4447" s="74" t="s">
        <v>1555</v>
      </c>
      <c r="D4447" s="74" t="s">
        <v>94</v>
      </c>
      <c r="E4447" s="74">
        <v>1</v>
      </c>
      <c r="F4447" s="74">
        <v>5.75</v>
      </c>
      <c r="G4447" s="758">
        <f t="shared" si="276"/>
        <v>0</v>
      </c>
      <c r="H4447" s="759">
        <f t="shared" si="277"/>
        <v>0</v>
      </c>
      <c r="I4447" s="758">
        <f t="shared" si="278"/>
        <v>5.75</v>
      </c>
      <c r="J4447" s="760">
        <f t="shared" si="279"/>
        <v>1</v>
      </c>
    </row>
    <row r="4448" spans="1:10">
      <c r="A4448" s="74" t="s">
        <v>896</v>
      </c>
      <c r="B4448" s="74" t="s">
        <v>894</v>
      </c>
      <c r="C4448" s="74" t="s">
        <v>1557</v>
      </c>
      <c r="D4448" s="74" t="s">
        <v>95</v>
      </c>
      <c r="E4448" s="74">
        <v>2</v>
      </c>
      <c r="F4448" s="74">
        <v>11.5</v>
      </c>
      <c r="G4448" s="758">
        <f t="shared" si="276"/>
        <v>0</v>
      </c>
      <c r="H4448" s="759">
        <f t="shared" si="277"/>
        <v>0</v>
      </c>
      <c r="I4448" s="758">
        <f t="shared" si="278"/>
        <v>5.75</v>
      </c>
      <c r="J4448" s="760">
        <f t="shared" si="279"/>
        <v>1</v>
      </c>
    </row>
    <row r="4449" spans="1:10">
      <c r="A4449" s="74" t="s">
        <v>896</v>
      </c>
      <c r="B4449" s="74" t="s">
        <v>894</v>
      </c>
      <c r="C4449" s="74" t="s">
        <v>1526</v>
      </c>
      <c r="D4449" s="74" t="s">
        <v>95</v>
      </c>
      <c r="E4449" s="74">
        <v>2</v>
      </c>
      <c r="F4449" s="74">
        <v>17.5</v>
      </c>
      <c r="G4449" s="758">
        <f t="shared" si="276"/>
        <v>0</v>
      </c>
      <c r="H4449" s="759">
        <f t="shared" si="277"/>
        <v>0</v>
      </c>
      <c r="I4449" s="758">
        <f t="shared" si="278"/>
        <v>8.75</v>
      </c>
      <c r="J4449" s="760">
        <f t="shared" si="279"/>
        <v>1</v>
      </c>
    </row>
    <row r="4450" spans="1:10">
      <c r="A4450" s="74" t="s">
        <v>896</v>
      </c>
      <c r="B4450" s="74" t="s">
        <v>894</v>
      </c>
      <c r="C4450" s="74" t="s">
        <v>1930</v>
      </c>
      <c r="D4450" s="74" t="s">
        <v>95</v>
      </c>
      <c r="E4450" s="74">
        <v>1</v>
      </c>
      <c r="F4450" s="74">
        <v>5.75</v>
      </c>
      <c r="G4450" s="758">
        <f t="shared" si="276"/>
        <v>0</v>
      </c>
      <c r="H4450" s="759">
        <f t="shared" si="277"/>
        <v>0</v>
      </c>
      <c r="I4450" s="758">
        <f t="shared" si="278"/>
        <v>5.75</v>
      </c>
      <c r="J4450" s="760">
        <f t="shared" si="279"/>
        <v>1</v>
      </c>
    </row>
    <row r="4451" spans="1:10">
      <c r="A4451" s="74" t="s">
        <v>1995</v>
      </c>
      <c r="B4451" s="74" t="s">
        <v>894</v>
      </c>
      <c r="C4451" s="74" t="s">
        <v>1605</v>
      </c>
      <c r="D4451" s="74" t="s">
        <v>87</v>
      </c>
      <c r="E4451" s="74">
        <v>1</v>
      </c>
      <c r="F4451" s="74">
        <v>6.5</v>
      </c>
      <c r="G4451" s="758">
        <f t="shared" si="276"/>
        <v>0</v>
      </c>
      <c r="H4451" s="759">
        <f t="shared" si="277"/>
        <v>0</v>
      </c>
      <c r="I4451" s="758">
        <f t="shared" si="278"/>
        <v>6.5</v>
      </c>
      <c r="J4451" s="760">
        <f t="shared" si="279"/>
        <v>1</v>
      </c>
    </row>
    <row r="4452" spans="1:10">
      <c r="A4452" s="74" t="s">
        <v>1996</v>
      </c>
      <c r="B4452" s="74" t="s">
        <v>894</v>
      </c>
      <c r="C4452" s="74" t="s">
        <v>1608</v>
      </c>
      <c r="D4452" s="74" t="s">
        <v>89</v>
      </c>
      <c r="E4452" s="74">
        <v>1</v>
      </c>
      <c r="F4452" s="74">
        <v>6.5</v>
      </c>
      <c r="G4452" s="758">
        <f t="shared" si="276"/>
        <v>0</v>
      </c>
      <c r="H4452" s="759">
        <f t="shared" si="277"/>
        <v>0</v>
      </c>
      <c r="I4452" s="758">
        <f t="shared" si="278"/>
        <v>6.5</v>
      </c>
      <c r="J4452" s="760">
        <f t="shared" si="279"/>
        <v>1</v>
      </c>
    </row>
    <row r="4453" spans="1:10">
      <c r="A4453" s="74" t="s">
        <v>1997</v>
      </c>
      <c r="B4453" s="74" t="s">
        <v>894</v>
      </c>
      <c r="C4453" s="74" t="s">
        <v>1582</v>
      </c>
      <c r="D4453" s="74" t="s">
        <v>89</v>
      </c>
      <c r="E4453" s="74">
        <v>2</v>
      </c>
      <c r="F4453" s="74">
        <v>13</v>
      </c>
      <c r="G4453" s="758">
        <f t="shared" si="276"/>
        <v>0</v>
      </c>
      <c r="H4453" s="759">
        <f t="shared" si="277"/>
        <v>0</v>
      </c>
      <c r="I4453" s="758">
        <f t="shared" si="278"/>
        <v>6.5</v>
      </c>
      <c r="J4453" s="760">
        <f t="shared" si="279"/>
        <v>1</v>
      </c>
    </row>
    <row r="4454" spans="1:10">
      <c r="A4454" s="74" t="s">
        <v>2303</v>
      </c>
      <c r="B4454" s="74" t="s">
        <v>894</v>
      </c>
      <c r="C4454" s="74" t="s">
        <v>1546</v>
      </c>
      <c r="D4454" s="74" t="s">
        <v>89</v>
      </c>
      <c r="E4454" s="74">
        <v>1</v>
      </c>
      <c r="F4454" s="74">
        <v>6.5</v>
      </c>
      <c r="G4454" s="758">
        <f t="shared" si="276"/>
        <v>0</v>
      </c>
      <c r="H4454" s="759">
        <f t="shared" si="277"/>
        <v>0</v>
      </c>
      <c r="I4454" s="758">
        <f t="shared" si="278"/>
        <v>6.5</v>
      </c>
      <c r="J4454" s="760">
        <f t="shared" si="279"/>
        <v>1</v>
      </c>
    </row>
    <row r="4455" spans="1:10">
      <c r="A4455" s="74" t="s">
        <v>2303</v>
      </c>
      <c r="B4455" s="74" t="s">
        <v>894</v>
      </c>
      <c r="C4455" s="74" t="s">
        <v>1547</v>
      </c>
      <c r="D4455" s="74" t="s">
        <v>89</v>
      </c>
      <c r="E4455" s="74">
        <v>1</v>
      </c>
      <c r="F4455" s="74">
        <v>6.5</v>
      </c>
      <c r="G4455" s="758">
        <f t="shared" si="276"/>
        <v>0</v>
      </c>
      <c r="H4455" s="759">
        <f t="shared" si="277"/>
        <v>0</v>
      </c>
      <c r="I4455" s="758">
        <f t="shared" si="278"/>
        <v>6.5</v>
      </c>
      <c r="J4455" s="760">
        <f t="shared" si="279"/>
        <v>1</v>
      </c>
    </row>
    <row r="4456" spans="1:10">
      <c r="A4456" s="74" t="s">
        <v>2303</v>
      </c>
      <c r="B4456" s="74" t="s">
        <v>894</v>
      </c>
      <c r="C4456" s="74" t="s">
        <v>1522</v>
      </c>
      <c r="D4456" s="74" t="s">
        <v>91</v>
      </c>
      <c r="E4456" s="74">
        <v>1</v>
      </c>
      <c r="F4456" s="74">
        <v>6.5</v>
      </c>
      <c r="G4456" s="758">
        <f t="shared" si="276"/>
        <v>0</v>
      </c>
      <c r="H4456" s="759">
        <f t="shared" si="277"/>
        <v>0</v>
      </c>
      <c r="I4456" s="758">
        <f t="shared" si="278"/>
        <v>6.5</v>
      </c>
      <c r="J4456" s="760">
        <f t="shared" si="279"/>
        <v>1</v>
      </c>
    </row>
    <row r="4457" spans="1:10">
      <c r="A4457" s="74" t="s">
        <v>2303</v>
      </c>
      <c r="B4457" s="74" t="s">
        <v>894</v>
      </c>
      <c r="C4457" s="74" t="s">
        <v>1550</v>
      </c>
      <c r="D4457" s="74" t="s">
        <v>91</v>
      </c>
      <c r="E4457" s="74">
        <v>1</v>
      </c>
      <c r="F4457" s="74">
        <v>6.75</v>
      </c>
      <c r="G4457" s="758">
        <f t="shared" si="276"/>
        <v>0</v>
      </c>
      <c r="H4457" s="759">
        <f t="shared" si="277"/>
        <v>0</v>
      </c>
      <c r="I4457" s="758">
        <f t="shared" si="278"/>
        <v>6.75</v>
      </c>
      <c r="J4457" s="760">
        <f t="shared" si="279"/>
        <v>1</v>
      </c>
    </row>
    <row r="4458" spans="1:10">
      <c r="A4458" s="74" t="s">
        <v>2303</v>
      </c>
      <c r="B4458" s="74" t="s">
        <v>894</v>
      </c>
      <c r="C4458" s="74" t="s">
        <v>1675</v>
      </c>
      <c r="D4458" s="74" t="s">
        <v>91</v>
      </c>
      <c r="E4458" s="74">
        <v>1</v>
      </c>
      <c r="F4458" s="74">
        <v>6.5</v>
      </c>
      <c r="G4458" s="758">
        <f t="shared" si="276"/>
        <v>0</v>
      </c>
      <c r="H4458" s="759">
        <f t="shared" si="277"/>
        <v>0</v>
      </c>
      <c r="I4458" s="758">
        <f t="shared" si="278"/>
        <v>6.5</v>
      </c>
      <c r="J4458" s="760">
        <f t="shared" si="279"/>
        <v>1</v>
      </c>
    </row>
    <row r="4459" spans="1:10">
      <c r="A4459" s="74" t="s">
        <v>1998</v>
      </c>
      <c r="B4459" s="74" t="s">
        <v>894</v>
      </c>
      <c r="C4459" s="74" t="s">
        <v>1608</v>
      </c>
      <c r="D4459" s="74" t="s">
        <v>89</v>
      </c>
      <c r="E4459" s="74">
        <v>1</v>
      </c>
      <c r="F4459" s="74">
        <v>6.5</v>
      </c>
      <c r="G4459" s="758">
        <f t="shared" si="276"/>
        <v>0</v>
      </c>
      <c r="H4459" s="759">
        <f t="shared" si="277"/>
        <v>0</v>
      </c>
      <c r="I4459" s="758">
        <f t="shared" si="278"/>
        <v>6.5</v>
      </c>
      <c r="J4459" s="760">
        <f t="shared" si="279"/>
        <v>1</v>
      </c>
    </row>
    <row r="4460" spans="1:10">
      <c r="A4460" s="74" t="s">
        <v>1998</v>
      </c>
      <c r="B4460" s="74" t="s">
        <v>894</v>
      </c>
      <c r="C4460" s="74" t="s">
        <v>1547</v>
      </c>
      <c r="D4460" s="74" t="s">
        <v>89</v>
      </c>
      <c r="E4460" s="74">
        <v>1</v>
      </c>
      <c r="F4460" s="74">
        <v>6.5</v>
      </c>
      <c r="G4460" s="758">
        <f t="shared" si="276"/>
        <v>0</v>
      </c>
      <c r="H4460" s="759">
        <f t="shared" si="277"/>
        <v>0</v>
      </c>
      <c r="I4460" s="758">
        <f t="shared" si="278"/>
        <v>6.5</v>
      </c>
      <c r="J4460" s="760">
        <f t="shared" si="279"/>
        <v>1</v>
      </c>
    </row>
    <row r="4461" spans="1:10">
      <c r="A4461" s="74" t="s">
        <v>1999</v>
      </c>
      <c r="B4461" s="74" t="s">
        <v>894</v>
      </c>
      <c r="C4461" s="74" t="s">
        <v>1675</v>
      </c>
      <c r="D4461" s="74" t="s">
        <v>91</v>
      </c>
      <c r="E4461" s="74">
        <v>1</v>
      </c>
      <c r="F4461" s="74">
        <v>6.5</v>
      </c>
      <c r="G4461" s="758">
        <f t="shared" si="276"/>
        <v>0</v>
      </c>
      <c r="H4461" s="759">
        <f t="shared" si="277"/>
        <v>0</v>
      </c>
      <c r="I4461" s="758">
        <f t="shared" si="278"/>
        <v>6.5</v>
      </c>
      <c r="J4461" s="760">
        <f t="shared" si="279"/>
        <v>1</v>
      </c>
    </row>
    <row r="4462" spans="1:10">
      <c r="A4462" s="74" t="s">
        <v>1999</v>
      </c>
      <c r="B4462" s="74" t="s">
        <v>894</v>
      </c>
      <c r="C4462" s="74" t="s">
        <v>1524</v>
      </c>
      <c r="D4462" s="74" t="s">
        <v>91</v>
      </c>
      <c r="E4462" s="74">
        <v>1</v>
      </c>
      <c r="F4462" s="74">
        <v>6.5</v>
      </c>
      <c r="G4462" s="758">
        <f t="shared" si="276"/>
        <v>0</v>
      </c>
      <c r="H4462" s="759">
        <f t="shared" si="277"/>
        <v>0</v>
      </c>
      <c r="I4462" s="758">
        <f t="shared" si="278"/>
        <v>6.5</v>
      </c>
      <c r="J4462" s="760">
        <f t="shared" si="279"/>
        <v>1</v>
      </c>
    </row>
    <row r="4463" spans="1:10">
      <c r="A4463" s="74" t="s">
        <v>2304</v>
      </c>
      <c r="B4463" s="74" t="s">
        <v>894</v>
      </c>
      <c r="C4463" s="74" t="s">
        <v>1610</v>
      </c>
      <c r="D4463" s="74" t="s">
        <v>89</v>
      </c>
      <c r="E4463" s="74">
        <v>2</v>
      </c>
      <c r="F4463" s="74">
        <v>13</v>
      </c>
      <c r="G4463" s="758">
        <f t="shared" si="276"/>
        <v>0</v>
      </c>
      <c r="H4463" s="759">
        <f t="shared" si="277"/>
        <v>0</v>
      </c>
      <c r="I4463" s="758">
        <f t="shared" si="278"/>
        <v>6.5</v>
      </c>
      <c r="J4463" s="760">
        <f t="shared" si="279"/>
        <v>1</v>
      </c>
    </row>
    <row r="4464" spans="1:10">
      <c r="A4464" s="74" t="s">
        <v>2304</v>
      </c>
      <c r="B4464" s="74" t="s">
        <v>894</v>
      </c>
      <c r="C4464" s="74" t="s">
        <v>1546</v>
      </c>
      <c r="D4464" s="74" t="s">
        <v>89</v>
      </c>
      <c r="E4464" s="74">
        <v>2</v>
      </c>
      <c r="F4464" s="74">
        <v>13</v>
      </c>
      <c r="G4464" s="758">
        <f t="shared" si="276"/>
        <v>0</v>
      </c>
      <c r="H4464" s="759">
        <f t="shared" si="277"/>
        <v>0</v>
      </c>
      <c r="I4464" s="758">
        <f t="shared" si="278"/>
        <v>6.5</v>
      </c>
      <c r="J4464" s="760">
        <f t="shared" si="279"/>
        <v>1</v>
      </c>
    </row>
    <row r="4465" spans="1:10">
      <c r="A4465" s="74" t="s">
        <v>2000</v>
      </c>
      <c r="B4465" s="74" t="s">
        <v>894</v>
      </c>
      <c r="C4465" s="74" t="s">
        <v>1608</v>
      </c>
      <c r="D4465" s="74" t="s">
        <v>89</v>
      </c>
      <c r="E4465" s="74">
        <v>2</v>
      </c>
      <c r="F4465" s="74">
        <v>13</v>
      </c>
      <c r="G4465" s="758">
        <f t="shared" si="276"/>
        <v>0</v>
      </c>
      <c r="H4465" s="759">
        <f t="shared" si="277"/>
        <v>0</v>
      </c>
      <c r="I4465" s="758">
        <f t="shared" si="278"/>
        <v>6.5</v>
      </c>
      <c r="J4465" s="760">
        <f t="shared" si="279"/>
        <v>1</v>
      </c>
    </row>
    <row r="4466" spans="1:10">
      <c r="A4466" s="74" t="s">
        <v>2001</v>
      </c>
      <c r="B4466" s="74" t="s">
        <v>894</v>
      </c>
      <c r="C4466" s="74" t="s">
        <v>1543</v>
      </c>
      <c r="D4466" s="74" t="s">
        <v>87</v>
      </c>
      <c r="E4466" s="74">
        <v>1</v>
      </c>
      <c r="F4466" s="74">
        <v>6.5</v>
      </c>
      <c r="G4466" s="758">
        <f t="shared" si="276"/>
        <v>0</v>
      </c>
      <c r="H4466" s="759">
        <f t="shared" si="277"/>
        <v>0</v>
      </c>
      <c r="I4466" s="758">
        <f t="shared" si="278"/>
        <v>6.5</v>
      </c>
      <c r="J4466" s="760">
        <f t="shared" si="279"/>
        <v>1</v>
      </c>
    </row>
    <row r="4467" spans="1:10">
      <c r="A4467" s="74" t="s">
        <v>2002</v>
      </c>
      <c r="B4467" s="74" t="s">
        <v>894</v>
      </c>
      <c r="C4467" s="74" t="s">
        <v>1608</v>
      </c>
      <c r="D4467" s="74" t="s">
        <v>89</v>
      </c>
      <c r="E4467" s="74">
        <v>1</v>
      </c>
      <c r="F4467" s="74">
        <v>6.5</v>
      </c>
      <c r="G4467" s="758">
        <f t="shared" si="276"/>
        <v>0</v>
      </c>
      <c r="H4467" s="759">
        <f t="shared" si="277"/>
        <v>0</v>
      </c>
      <c r="I4467" s="758">
        <f t="shared" si="278"/>
        <v>6.5</v>
      </c>
      <c r="J4467" s="760">
        <f t="shared" si="279"/>
        <v>1</v>
      </c>
    </row>
    <row r="4468" spans="1:10">
      <c r="A4468" s="74" t="s">
        <v>2003</v>
      </c>
      <c r="B4468" s="74" t="s">
        <v>2003</v>
      </c>
      <c r="C4468" s="74" t="s">
        <v>1534</v>
      </c>
      <c r="D4468" s="74" t="s">
        <v>81</v>
      </c>
      <c r="E4468" s="74">
        <v>10</v>
      </c>
      <c r="F4468" s="74">
        <v>319</v>
      </c>
      <c r="G4468" s="758">
        <f t="shared" si="276"/>
        <v>0</v>
      </c>
      <c r="H4468" s="759">
        <f t="shared" si="277"/>
        <v>0</v>
      </c>
      <c r="I4468" s="758">
        <f t="shared" si="278"/>
        <v>31.9</v>
      </c>
      <c r="J4468" s="760">
        <f t="shared" si="279"/>
        <v>1</v>
      </c>
    </row>
    <row r="4469" spans="1:10">
      <c r="A4469" s="74" t="s">
        <v>2004</v>
      </c>
      <c r="B4469" s="74" t="s">
        <v>2004</v>
      </c>
      <c r="C4469" s="74" t="s">
        <v>1517</v>
      </c>
      <c r="D4469" s="74" t="s">
        <v>82</v>
      </c>
      <c r="E4469" s="74">
        <v>24</v>
      </c>
      <c r="F4469" s="74">
        <v>646.79999999999995</v>
      </c>
      <c r="G4469" s="758">
        <f t="shared" si="276"/>
        <v>0</v>
      </c>
      <c r="H4469" s="759">
        <f t="shared" si="277"/>
        <v>0.24</v>
      </c>
      <c r="I4469" s="758">
        <f t="shared" si="278"/>
        <v>26.95</v>
      </c>
      <c r="J4469" s="760">
        <f t="shared" si="279"/>
        <v>1</v>
      </c>
    </row>
    <row r="4470" spans="1:10">
      <c r="A4470" s="74" t="s">
        <v>1114</v>
      </c>
      <c r="B4470" s="74" t="s">
        <v>256</v>
      </c>
      <c r="C4470" s="74" t="s">
        <v>1565</v>
      </c>
      <c r="D4470" s="74" t="s">
        <v>78</v>
      </c>
      <c r="E4470" s="74">
        <v>7</v>
      </c>
      <c r="F4470" s="74">
        <v>68.400000000000006</v>
      </c>
      <c r="G4470" s="758">
        <f t="shared" si="276"/>
        <v>1.71</v>
      </c>
      <c r="H4470" s="759">
        <f t="shared" si="277"/>
        <v>0.22</v>
      </c>
      <c r="I4470" s="758">
        <f t="shared" si="278"/>
        <v>8.0614285714285714</v>
      </c>
      <c r="J4470" s="760">
        <f t="shared" si="279"/>
        <v>0.82500000000000007</v>
      </c>
    </row>
    <row r="4471" spans="1:10">
      <c r="A4471" s="74" t="s">
        <v>1114</v>
      </c>
      <c r="B4471" s="74" t="s">
        <v>256</v>
      </c>
      <c r="C4471" s="74" t="s">
        <v>1530</v>
      </c>
      <c r="D4471" s="74" t="s">
        <v>80</v>
      </c>
      <c r="E4471" s="74">
        <v>1</v>
      </c>
      <c r="F4471" s="74">
        <v>9.6</v>
      </c>
      <c r="G4471" s="758">
        <f t="shared" si="276"/>
        <v>1.71</v>
      </c>
      <c r="H4471" s="759">
        <f t="shared" si="277"/>
        <v>0.22</v>
      </c>
      <c r="I4471" s="758">
        <f t="shared" si="278"/>
        <v>7.89</v>
      </c>
      <c r="J4471" s="760">
        <f t="shared" si="279"/>
        <v>0.82187500000000002</v>
      </c>
    </row>
    <row r="4472" spans="1:10">
      <c r="A4472" s="74" t="s">
        <v>1114</v>
      </c>
      <c r="B4472" s="74" t="s">
        <v>256</v>
      </c>
      <c r="C4472" s="74" t="s">
        <v>1532</v>
      </c>
      <c r="D4472" s="74" t="s">
        <v>80</v>
      </c>
      <c r="E4472" s="74">
        <v>8</v>
      </c>
      <c r="F4472" s="74">
        <v>80</v>
      </c>
      <c r="G4472" s="758">
        <f t="shared" si="276"/>
        <v>1.71</v>
      </c>
      <c r="H4472" s="759">
        <f t="shared" si="277"/>
        <v>0.22</v>
      </c>
      <c r="I4472" s="758">
        <f t="shared" si="278"/>
        <v>8.2899999999999991</v>
      </c>
      <c r="J4472" s="760">
        <f t="shared" si="279"/>
        <v>0.82899999999999996</v>
      </c>
    </row>
    <row r="4473" spans="1:10">
      <c r="A4473" s="74" t="s">
        <v>1114</v>
      </c>
      <c r="B4473" s="74" t="s">
        <v>256</v>
      </c>
      <c r="C4473" s="74" t="s">
        <v>1511</v>
      </c>
      <c r="D4473" s="74" t="s">
        <v>80</v>
      </c>
      <c r="E4473" s="74">
        <v>12</v>
      </c>
      <c r="F4473" s="74">
        <v>127.3</v>
      </c>
      <c r="G4473" s="758">
        <f t="shared" si="276"/>
        <v>1.71</v>
      </c>
      <c r="H4473" s="759">
        <f t="shared" si="277"/>
        <v>0.22</v>
      </c>
      <c r="I4473" s="758">
        <f t="shared" si="278"/>
        <v>8.8983333333333334</v>
      </c>
      <c r="J4473" s="760">
        <f t="shared" si="279"/>
        <v>0.83880597014925373</v>
      </c>
    </row>
    <row r="4474" spans="1:10">
      <c r="A4474" s="74" t="s">
        <v>1114</v>
      </c>
      <c r="B4474" s="74" t="s">
        <v>256</v>
      </c>
      <c r="C4474" s="74" t="s">
        <v>1512</v>
      </c>
      <c r="D4474" s="74" t="s">
        <v>80</v>
      </c>
      <c r="E4474" s="74">
        <v>6</v>
      </c>
      <c r="F4474" s="74">
        <v>57.9</v>
      </c>
      <c r="G4474" s="758">
        <f t="shared" si="276"/>
        <v>1.71</v>
      </c>
      <c r="H4474" s="759">
        <f t="shared" si="277"/>
        <v>0.22</v>
      </c>
      <c r="I4474" s="758">
        <f t="shared" si="278"/>
        <v>7.94</v>
      </c>
      <c r="J4474" s="760">
        <f t="shared" si="279"/>
        <v>0.82279792746113989</v>
      </c>
    </row>
    <row r="4475" spans="1:10">
      <c r="A4475" s="74" t="s">
        <v>1114</v>
      </c>
      <c r="B4475" s="74" t="s">
        <v>256</v>
      </c>
      <c r="C4475" s="74" t="s">
        <v>1534</v>
      </c>
      <c r="D4475" s="74" t="s">
        <v>81</v>
      </c>
      <c r="E4475" s="74">
        <v>7</v>
      </c>
      <c r="F4475" s="74">
        <v>71.45</v>
      </c>
      <c r="G4475" s="758">
        <f t="shared" si="276"/>
        <v>1.71</v>
      </c>
      <c r="H4475" s="759">
        <f t="shared" si="277"/>
        <v>0.22</v>
      </c>
      <c r="I4475" s="758">
        <f t="shared" si="278"/>
        <v>8.4971428571428582</v>
      </c>
      <c r="J4475" s="760">
        <f t="shared" si="279"/>
        <v>0.83247025892232329</v>
      </c>
    </row>
    <row r="4476" spans="1:10">
      <c r="A4476" s="74" t="s">
        <v>1114</v>
      </c>
      <c r="B4476" s="74" t="s">
        <v>256</v>
      </c>
      <c r="C4476" s="74" t="s">
        <v>1513</v>
      </c>
      <c r="D4476" s="74" t="s">
        <v>81</v>
      </c>
      <c r="E4476" s="74">
        <v>11</v>
      </c>
      <c r="F4476" s="74">
        <v>98.75</v>
      </c>
      <c r="G4476" s="758">
        <f t="shared" si="276"/>
        <v>1.71</v>
      </c>
      <c r="H4476" s="759">
        <f t="shared" si="277"/>
        <v>0.22</v>
      </c>
      <c r="I4476" s="758">
        <f t="shared" si="278"/>
        <v>7.2672727272727267</v>
      </c>
      <c r="J4476" s="760">
        <f t="shared" si="279"/>
        <v>0.80951898734177219</v>
      </c>
    </row>
    <row r="4477" spans="1:10">
      <c r="A4477" s="74" t="s">
        <v>1114</v>
      </c>
      <c r="B4477" s="74" t="s">
        <v>256</v>
      </c>
      <c r="C4477" s="74" t="s">
        <v>1514</v>
      </c>
      <c r="D4477" s="74" t="s">
        <v>81</v>
      </c>
      <c r="E4477" s="74">
        <v>7</v>
      </c>
      <c r="F4477" s="74">
        <v>67.45</v>
      </c>
      <c r="G4477" s="758">
        <f t="shared" si="276"/>
        <v>1.71</v>
      </c>
      <c r="H4477" s="759">
        <f t="shared" si="277"/>
        <v>0.22</v>
      </c>
      <c r="I4477" s="758">
        <f t="shared" si="278"/>
        <v>7.9257142857142862</v>
      </c>
      <c r="J4477" s="760">
        <f t="shared" si="279"/>
        <v>0.82253521126760565</v>
      </c>
    </row>
    <row r="4478" spans="1:10">
      <c r="A4478" s="74" t="s">
        <v>1114</v>
      </c>
      <c r="B4478" s="74" t="s">
        <v>256</v>
      </c>
      <c r="C4478" s="74" t="s">
        <v>1515</v>
      </c>
      <c r="D4478" s="74" t="s">
        <v>81</v>
      </c>
      <c r="E4478" s="74">
        <v>10</v>
      </c>
      <c r="F4478" s="74">
        <v>100.45</v>
      </c>
      <c r="G4478" s="758">
        <f t="shared" si="276"/>
        <v>1.71</v>
      </c>
      <c r="H4478" s="759">
        <f t="shared" si="277"/>
        <v>0.22</v>
      </c>
      <c r="I4478" s="758">
        <f t="shared" si="278"/>
        <v>8.3350000000000009</v>
      </c>
      <c r="J4478" s="760">
        <f t="shared" si="279"/>
        <v>0.82976605276256843</v>
      </c>
    </row>
    <row r="4479" spans="1:10">
      <c r="A4479" s="74" t="s">
        <v>1114</v>
      </c>
      <c r="B4479" s="74" t="s">
        <v>256</v>
      </c>
      <c r="C4479" s="74" t="s">
        <v>1516</v>
      </c>
      <c r="D4479" s="74" t="s">
        <v>82</v>
      </c>
      <c r="E4479" s="74">
        <v>11</v>
      </c>
      <c r="F4479" s="74">
        <v>111.7</v>
      </c>
      <c r="G4479" s="758">
        <f t="shared" si="276"/>
        <v>1.71</v>
      </c>
      <c r="H4479" s="759">
        <f t="shared" si="277"/>
        <v>0.22</v>
      </c>
      <c r="I4479" s="758">
        <f t="shared" si="278"/>
        <v>8.4445454545454552</v>
      </c>
      <c r="J4479" s="760">
        <f t="shared" si="279"/>
        <v>0.8316025067144136</v>
      </c>
    </row>
    <row r="4480" spans="1:10">
      <c r="A4480" s="74" t="s">
        <v>1114</v>
      </c>
      <c r="B4480" s="74" t="s">
        <v>256</v>
      </c>
      <c r="C4480" s="74" t="s">
        <v>1517</v>
      </c>
      <c r="D4480" s="74" t="s">
        <v>82</v>
      </c>
      <c r="E4480" s="74">
        <v>15</v>
      </c>
      <c r="F4480" s="74">
        <v>145.35</v>
      </c>
      <c r="G4480" s="758">
        <f t="shared" si="276"/>
        <v>1.71</v>
      </c>
      <c r="H4480" s="759">
        <f t="shared" si="277"/>
        <v>0.22</v>
      </c>
      <c r="I4480" s="758">
        <f t="shared" si="278"/>
        <v>7.9799999999999995</v>
      </c>
      <c r="J4480" s="760">
        <f t="shared" si="279"/>
        <v>0.82352941176470584</v>
      </c>
    </row>
    <row r="4481" spans="1:10">
      <c r="A4481" s="74" t="s">
        <v>1114</v>
      </c>
      <c r="B4481" s="74" t="s">
        <v>256</v>
      </c>
      <c r="C4481" s="74" t="s">
        <v>1527</v>
      </c>
      <c r="D4481" s="74" t="s">
        <v>82</v>
      </c>
      <c r="E4481" s="74">
        <v>15</v>
      </c>
      <c r="F4481" s="74">
        <v>139.69999999999999</v>
      </c>
      <c r="G4481" s="758">
        <f t="shared" si="276"/>
        <v>1.71</v>
      </c>
      <c r="H4481" s="759">
        <f t="shared" si="277"/>
        <v>0.22</v>
      </c>
      <c r="I4481" s="758">
        <f t="shared" si="278"/>
        <v>7.6033333333333326</v>
      </c>
      <c r="J4481" s="760">
        <f t="shared" si="279"/>
        <v>0.81639226914817464</v>
      </c>
    </row>
    <row r="4482" spans="1:10">
      <c r="A4482" s="74" t="s">
        <v>1114</v>
      </c>
      <c r="B4482" s="74" t="s">
        <v>256</v>
      </c>
      <c r="C4482" s="74" t="s">
        <v>1518</v>
      </c>
      <c r="D4482" s="74" t="s">
        <v>82</v>
      </c>
      <c r="E4482" s="74">
        <v>17</v>
      </c>
      <c r="F4482" s="74">
        <v>163.69999999999999</v>
      </c>
      <c r="G4482" s="758">
        <f t="shared" ref="G4482:G4545" si="280">IFERROR(VLOOKUP(A4482,$M$1:$P$1014,2,FALSE),0)</f>
        <v>1.71</v>
      </c>
      <c r="H4482" s="759">
        <f t="shared" ref="H4482:H4545" si="281">IFERROR(VLOOKUP(A4482,$M$1:$P$1014,3,FALSE),0)</f>
        <v>0.22</v>
      </c>
      <c r="I4482" s="758">
        <f t="shared" ref="I4482:I4545" si="282">IFERROR(F4482/E4482-G4482,0)</f>
        <v>7.9194117647058819</v>
      </c>
      <c r="J4482" s="760">
        <f t="shared" ref="J4482:J4545" si="283">IFERROR(1-G4482*E4482/F4482,0)</f>
        <v>0.82241905925473424</v>
      </c>
    </row>
    <row r="4483" spans="1:10">
      <c r="A4483" s="74" t="s">
        <v>1114</v>
      </c>
      <c r="B4483" s="74" t="s">
        <v>256</v>
      </c>
      <c r="C4483" s="74" t="s">
        <v>1519</v>
      </c>
      <c r="D4483" s="74" t="s">
        <v>84</v>
      </c>
      <c r="E4483" s="74">
        <v>3</v>
      </c>
      <c r="F4483" s="74">
        <v>32.5</v>
      </c>
      <c r="G4483" s="758">
        <f t="shared" si="280"/>
        <v>1.71</v>
      </c>
      <c r="H4483" s="759">
        <f t="shared" si="281"/>
        <v>0.22</v>
      </c>
      <c r="I4483" s="758">
        <f t="shared" si="282"/>
        <v>9.1233333333333348</v>
      </c>
      <c r="J4483" s="760">
        <f t="shared" si="283"/>
        <v>0.84215384615384614</v>
      </c>
    </row>
    <row r="4484" spans="1:10">
      <c r="A4484" s="74" t="s">
        <v>1114</v>
      </c>
      <c r="B4484" s="74" t="s">
        <v>256</v>
      </c>
      <c r="C4484" s="74" t="s">
        <v>1520</v>
      </c>
      <c r="D4484" s="74" t="s">
        <v>84</v>
      </c>
      <c r="E4484" s="74">
        <v>1</v>
      </c>
      <c r="F4484" s="74">
        <v>0</v>
      </c>
      <c r="G4484" s="758">
        <f t="shared" si="280"/>
        <v>1.71</v>
      </c>
      <c r="H4484" s="759">
        <f t="shared" si="281"/>
        <v>0.22</v>
      </c>
      <c r="I4484" s="758">
        <f t="shared" si="282"/>
        <v>-1.71</v>
      </c>
      <c r="J4484" s="760">
        <f t="shared" si="283"/>
        <v>0</v>
      </c>
    </row>
    <row r="4485" spans="1:10">
      <c r="A4485" s="74" t="s">
        <v>1114</v>
      </c>
      <c r="B4485" s="74" t="s">
        <v>256</v>
      </c>
      <c r="C4485" s="74" t="s">
        <v>1577</v>
      </c>
      <c r="D4485" s="74" t="s">
        <v>84</v>
      </c>
      <c r="E4485" s="74">
        <v>1</v>
      </c>
      <c r="F4485" s="74">
        <v>0.25</v>
      </c>
      <c r="G4485" s="758">
        <f t="shared" si="280"/>
        <v>1.71</v>
      </c>
      <c r="H4485" s="759">
        <f t="shared" si="281"/>
        <v>0.22</v>
      </c>
      <c r="I4485" s="758">
        <f t="shared" si="282"/>
        <v>-1.46</v>
      </c>
      <c r="J4485" s="760">
        <f t="shared" si="283"/>
        <v>-5.84</v>
      </c>
    </row>
    <row r="4486" spans="1:10">
      <c r="A4486" s="74" t="s">
        <v>1114</v>
      </c>
      <c r="B4486" s="74" t="s">
        <v>256</v>
      </c>
      <c r="C4486" s="74" t="s">
        <v>1541</v>
      </c>
      <c r="D4486" s="74" t="s">
        <v>86</v>
      </c>
      <c r="E4486" s="74">
        <v>2</v>
      </c>
      <c r="F4486" s="74">
        <v>0.25</v>
      </c>
      <c r="G4486" s="758">
        <f t="shared" si="280"/>
        <v>1.71</v>
      </c>
      <c r="H4486" s="759">
        <f t="shared" si="281"/>
        <v>0.22</v>
      </c>
      <c r="I4486" s="758">
        <f t="shared" si="282"/>
        <v>-1.585</v>
      </c>
      <c r="J4486" s="760">
        <f t="shared" si="283"/>
        <v>-12.68</v>
      </c>
    </row>
    <row r="4487" spans="1:10">
      <c r="A4487" s="74" t="s">
        <v>1114</v>
      </c>
      <c r="B4487" s="74" t="s">
        <v>256</v>
      </c>
      <c r="C4487" s="74" t="s">
        <v>1543</v>
      </c>
      <c r="D4487" s="74" t="s">
        <v>87</v>
      </c>
      <c r="E4487" s="74">
        <v>4</v>
      </c>
      <c r="F4487" s="74">
        <v>0.5</v>
      </c>
      <c r="G4487" s="758">
        <f t="shared" si="280"/>
        <v>1.71</v>
      </c>
      <c r="H4487" s="759">
        <f t="shared" si="281"/>
        <v>0.22</v>
      </c>
      <c r="I4487" s="758">
        <f t="shared" si="282"/>
        <v>-1.585</v>
      </c>
      <c r="J4487" s="760">
        <f t="shared" si="283"/>
        <v>-12.68</v>
      </c>
    </row>
    <row r="4488" spans="1:10">
      <c r="A4488" s="74" t="s">
        <v>1114</v>
      </c>
      <c r="B4488" s="74" t="s">
        <v>256</v>
      </c>
      <c r="C4488" s="74" t="s">
        <v>1608</v>
      </c>
      <c r="D4488" s="74" t="s">
        <v>89</v>
      </c>
      <c r="E4488" s="74">
        <v>1</v>
      </c>
      <c r="F4488" s="74">
        <v>0.25</v>
      </c>
      <c r="G4488" s="758">
        <f t="shared" si="280"/>
        <v>1.71</v>
      </c>
      <c r="H4488" s="759">
        <f t="shared" si="281"/>
        <v>0.22</v>
      </c>
      <c r="I4488" s="758">
        <f t="shared" si="282"/>
        <v>-1.46</v>
      </c>
      <c r="J4488" s="760">
        <f t="shared" si="283"/>
        <v>-5.84</v>
      </c>
    </row>
    <row r="4489" spans="1:10">
      <c r="A4489" s="74" t="s">
        <v>1114</v>
      </c>
      <c r="B4489" s="74" t="s">
        <v>256</v>
      </c>
      <c r="C4489" s="74" t="s">
        <v>1610</v>
      </c>
      <c r="D4489" s="74" t="s">
        <v>89</v>
      </c>
      <c r="E4489" s="74">
        <v>1</v>
      </c>
      <c r="F4489" s="74">
        <v>0.25</v>
      </c>
      <c r="G4489" s="758">
        <f t="shared" si="280"/>
        <v>1.71</v>
      </c>
      <c r="H4489" s="759">
        <f t="shared" si="281"/>
        <v>0.22</v>
      </c>
      <c r="I4489" s="758">
        <f t="shared" si="282"/>
        <v>-1.46</v>
      </c>
      <c r="J4489" s="760">
        <f t="shared" si="283"/>
        <v>-5.84</v>
      </c>
    </row>
    <row r="4490" spans="1:10">
      <c r="A4490" s="74" t="s">
        <v>1114</v>
      </c>
      <c r="B4490" s="74" t="s">
        <v>256</v>
      </c>
      <c r="C4490" s="74" t="s">
        <v>1547</v>
      </c>
      <c r="D4490" s="74" t="s">
        <v>89</v>
      </c>
      <c r="E4490" s="74">
        <v>2</v>
      </c>
      <c r="F4490" s="74">
        <v>0.5</v>
      </c>
      <c r="G4490" s="758">
        <f t="shared" si="280"/>
        <v>1.71</v>
      </c>
      <c r="H4490" s="759">
        <f t="shared" si="281"/>
        <v>0.22</v>
      </c>
      <c r="I4490" s="758">
        <f t="shared" si="282"/>
        <v>-1.46</v>
      </c>
      <c r="J4490" s="760">
        <f t="shared" si="283"/>
        <v>-5.84</v>
      </c>
    </row>
    <row r="4491" spans="1:10">
      <c r="A4491" s="74" t="s">
        <v>1114</v>
      </c>
      <c r="B4491" s="74" t="s">
        <v>256</v>
      </c>
      <c r="C4491" s="74" t="s">
        <v>1582</v>
      </c>
      <c r="D4491" s="74" t="s">
        <v>89</v>
      </c>
      <c r="E4491" s="74">
        <v>1</v>
      </c>
      <c r="F4491" s="74">
        <v>0.25</v>
      </c>
      <c r="G4491" s="758">
        <f t="shared" si="280"/>
        <v>1.71</v>
      </c>
      <c r="H4491" s="759">
        <f t="shared" si="281"/>
        <v>0.22</v>
      </c>
      <c r="I4491" s="758">
        <f t="shared" si="282"/>
        <v>-1.46</v>
      </c>
      <c r="J4491" s="760">
        <f t="shared" si="283"/>
        <v>-5.84</v>
      </c>
    </row>
    <row r="4492" spans="1:10">
      <c r="A4492" s="74" t="s">
        <v>1114</v>
      </c>
      <c r="B4492" s="74" t="s">
        <v>256</v>
      </c>
      <c r="C4492" s="74" t="s">
        <v>1522</v>
      </c>
      <c r="D4492" s="74" t="s">
        <v>91</v>
      </c>
      <c r="E4492" s="74">
        <v>2</v>
      </c>
      <c r="F4492" s="74">
        <v>0.5</v>
      </c>
      <c r="G4492" s="758">
        <f t="shared" si="280"/>
        <v>1.71</v>
      </c>
      <c r="H4492" s="759">
        <f t="shared" si="281"/>
        <v>0.22</v>
      </c>
      <c r="I4492" s="758">
        <f t="shared" si="282"/>
        <v>-1.46</v>
      </c>
      <c r="J4492" s="760">
        <f t="shared" si="283"/>
        <v>-5.84</v>
      </c>
    </row>
    <row r="4493" spans="1:10">
      <c r="A4493" s="74" t="s">
        <v>1114</v>
      </c>
      <c r="B4493" s="74" t="s">
        <v>256</v>
      </c>
      <c r="C4493" s="74" t="s">
        <v>1675</v>
      </c>
      <c r="D4493" s="74" t="s">
        <v>91</v>
      </c>
      <c r="E4493" s="74">
        <v>2</v>
      </c>
      <c r="F4493" s="74">
        <v>0.5</v>
      </c>
      <c r="G4493" s="758">
        <f t="shared" si="280"/>
        <v>1.71</v>
      </c>
      <c r="H4493" s="759">
        <f t="shared" si="281"/>
        <v>0.22</v>
      </c>
      <c r="I4493" s="758">
        <f t="shared" si="282"/>
        <v>-1.46</v>
      </c>
      <c r="J4493" s="760">
        <f t="shared" si="283"/>
        <v>-5.84</v>
      </c>
    </row>
    <row r="4494" spans="1:10">
      <c r="A4494" s="74" t="s">
        <v>1114</v>
      </c>
      <c r="B4494" s="74" t="s">
        <v>256</v>
      </c>
      <c r="C4494" s="74" t="s">
        <v>1584</v>
      </c>
      <c r="D4494" s="74" t="s">
        <v>92</v>
      </c>
      <c r="E4494" s="74">
        <v>1</v>
      </c>
      <c r="F4494" s="74">
        <v>0.25</v>
      </c>
      <c r="G4494" s="758">
        <f t="shared" si="280"/>
        <v>1.71</v>
      </c>
      <c r="H4494" s="759">
        <f t="shared" si="281"/>
        <v>0.22</v>
      </c>
      <c r="I4494" s="758">
        <f t="shared" si="282"/>
        <v>-1.46</v>
      </c>
      <c r="J4494" s="760">
        <f t="shared" si="283"/>
        <v>-5.84</v>
      </c>
    </row>
    <row r="4495" spans="1:10">
      <c r="A4495" s="74" t="s">
        <v>1114</v>
      </c>
      <c r="B4495" s="74" t="s">
        <v>256</v>
      </c>
      <c r="C4495" s="74" t="s">
        <v>1614</v>
      </c>
      <c r="D4495" s="74" t="s">
        <v>92</v>
      </c>
      <c r="E4495" s="74">
        <v>1</v>
      </c>
      <c r="F4495" s="74">
        <v>0.25</v>
      </c>
      <c r="G4495" s="758">
        <f t="shared" si="280"/>
        <v>1.71</v>
      </c>
      <c r="H4495" s="759">
        <f t="shared" si="281"/>
        <v>0.22</v>
      </c>
      <c r="I4495" s="758">
        <f t="shared" si="282"/>
        <v>-1.46</v>
      </c>
      <c r="J4495" s="760">
        <f t="shared" si="283"/>
        <v>-5.84</v>
      </c>
    </row>
    <row r="4496" spans="1:10">
      <c r="A4496" s="74" t="s">
        <v>2005</v>
      </c>
      <c r="B4496" s="74" t="s">
        <v>877</v>
      </c>
      <c r="C4496" s="74" t="s">
        <v>1544</v>
      </c>
      <c r="D4496" s="74" t="s">
        <v>87</v>
      </c>
      <c r="E4496" s="74">
        <v>2</v>
      </c>
      <c r="F4496" s="74">
        <v>2</v>
      </c>
      <c r="G4496" s="758">
        <f t="shared" si="280"/>
        <v>0</v>
      </c>
      <c r="H4496" s="759">
        <f t="shared" si="281"/>
        <v>0</v>
      </c>
      <c r="I4496" s="758">
        <f t="shared" si="282"/>
        <v>1</v>
      </c>
      <c r="J4496" s="760">
        <f t="shared" si="283"/>
        <v>1</v>
      </c>
    </row>
    <row r="4497" spans="1:10">
      <c r="A4497" s="74" t="s">
        <v>2006</v>
      </c>
      <c r="B4497" s="74" t="s">
        <v>877</v>
      </c>
      <c r="C4497" s="74" t="s">
        <v>1526</v>
      </c>
      <c r="D4497" s="74" t="s">
        <v>95</v>
      </c>
      <c r="E4497" s="74">
        <v>3</v>
      </c>
      <c r="F4497" s="74">
        <v>0</v>
      </c>
      <c r="G4497" s="758">
        <f t="shared" si="280"/>
        <v>0</v>
      </c>
      <c r="H4497" s="759">
        <f t="shared" si="281"/>
        <v>0</v>
      </c>
      <c r="I4497" s="758">
        <f t="shared" si="282"/>
        <v>0</v>
      </c>
      <c r="J4497" s="760">
        <f t="shared" si="283"/>
        <v>0</v>
      </c>
    </row>
    <row r="4498" spans="1:10">
      <c r="A4498" s="74" t="s">
        <v>2007</v>
      </c>
      <c r="B4498" s="74" t="s">
        <v>873</v>
      </c>
      <c r="C4498" s="74" t="s">
        <v>1930</v>
      </c>
      <c r="D4498" s="74" t="s">
        <v>95</v>
      </c>
      <c r="E4498" s="74">
        <v>2</v>
      </c>
      <c r="F4498" s="74">
        <v>6</v>
      </c>
      <c r="G4498" s="758">
        <f t="shared" si="280"/>
        <v>0</v>
      </c>
      <c r="H4498" s="759">
        <f t="shared" si="281"/>
        <v>0</v>
      </c>
      <c r="I4498" s="758">
        <f t="shared" si="282"/>
        <v>3</v>
      </c>
      <c r="J4498" s="760">
        <f t="shared" si="283"/>
        <v>1</v>
      </c>
    </row>
    <row r="4499" spans="1:10">
      <c r="A4499" s="74" t="s">
        <v>2305</v>
      </c>
      <c r="B4499" s="74" t="s">
        <v>873</v>
      </c>
      <c r="C4499" s="74" t="s">
        <v>1522</v>
      </c>
      <c r="D4499" s="74" t="s">
        <v>91</v>
      </c>
      <c r="E4499" s="74">
        <v>1</v>
      </c>
      <c r="F4499" s="74">
        <v>3</v>
      </c>
      <c r="G4499" s="758">
        <f t="shared" si="280"/>
        <v>0</v>
      </c>
      <c r="H4499" s="759">
        <f t="shared" si="281"/>
        <v>0</v>
      </c>
      <c r="I4499" s="758">
        <f t="shared" si="282"/>
        <v>3</v>
      </c>
      <c r="J4499" s="760">
        <f t="shared" si="283"/>
        <v>1</v>
      </c>
    </row>
    <row r="4500" spans="1:10">
      <c r="A4500" s="74" t="s">
        <v>828</v>
      </c>
      <c r="B4500" s="74" t="s">
        <v>820</v>
      </c>
      <c r="C4500" s="74" t="s">
        <v>1528</v>
      </c>
      <c r="D4500" s="74" t="s">
        <v>78</v>
      </c>
      <c r="E4500" s="74">
        <v>1</v>
      </c>
      <c r="F4500" s="74">
        <v>7.95</v>
      </c>
      <c r="G4500" s="758">
        <f t="shared" si="280"/>
        <v>1.65</v>
      </c>
      <c r="H4500" s="759">
        <f t="shared" si="281"/>
        <v>0.36</v>
      </c>
      <c r="I4500" s="758">
        <f t="shared" si="282"/>
        <v>6.3000000000000007</v>
      </c>
      <c r="J4500" s="760">
        <f t="shared" si="283"/>
        <v>0.79245283018867929</v>
      </c>
    </row>
    <row r="4501" spans="1:10">
      <c r="A4501" s="74" t="s">
        <v>828</v>
      </c>
      <c r="B4501" s="74" t="s">
        <v>820</v>
      </c>
      <c r="C4501" s="74" t="s">
        <v>1532</v>
      </c>
      <c r="D4501" s="74" t="s">
        <v>80</v>
      </c>
      <c r="E4501" s="74">
        <v>1</v>
      </c>
      <c r="F4501" s="74">
        <v>7.5</v>
      </c>
      <c r="G4501" s="758">
        <f t="shared" si="280"/>
        <v>1.65</v>
      </c>
      <c r="H4501" s="759">
        <f t="shared" si="281"/>
        <v>0.36</v>
      </c>
      <c r="I4501" s="758">
        <f t="shared" si="282"/>
        <v>5.85</v>
      </c>
      <c r="J4501" s="760">
        <f t="shared" si="283"/>
        <v>0.78</v>
      </c>
    </row>
    <row r="4502" spans="1:10">
      <c r="A4502" s="74" t="s">
        <v>828</v>
      </c>
      <c r="B4502" s="74" t="s">
        <v>820</v>
      </c>
      <c r="C4502" s="74" t="s">
        <v>1512</v>
      </c>
      <c r="D4502" s="74" t="s">
        <v>80</v>
      </c>
      <c r="E4502" s="74">
        <v>4</v>
      </c>
      <c r="F4502" s="74">
        <v>30.65</v>
      </c>
      <c r="G4502" s="758">
        <f t="shared" si="280"/>
        <v>1.65</v>
      </c>
      <c r="H4502" s="759">
        <f t="shared" si="281"/>
        <v>0.36</v>
      </c>
      <c r="I4502" s="758">
        <f t="shared" si="282"/>
        <v>6.0124999999999993</v>
      </c>
      <c r="J4502" s="760">
        <f t="shared" si="283"/>
        <v>0.78466557911908641</v>
      </c>
    </row>
    <row r="4503" spans="1:10">
      <c r="A4503" s="74" t="s">
        <v>828</v>
      </c>
      <c r="B4503" s="74" t="s">
        <v>820</v>
      </c>
      <c r="C4503" s="74" t="s">
        <v>1534</v>
      </c>
      <c r="D4503" s="74" t="s">
        <v>81</v>
      </c>
      <c r="E4503" s="74">
        <v>1</v>
      </c>
      <c r="F4503" s="74">
        <v>8.15</v>
      </c>
      <c r="G4503" s="758">
        <f t="shared" si="280"/>
        <v>1.65</v>
      </c>
      <c r="H4503" s="759">
        <f t="shared" si="281"/>
        <v>0.36</v>
      </c>
      <c r="I4503" s="758">
        <f t="shared" si="282"/>
        <v>6.5</v>
      </c>
      <c r="J4503" s="760">
        <f t="shared" si="283"/>
        <v>0.79754601226993871</v>
      </c>
    </row>
    <row r="4504" spans="1:10">
      <c r="A4504" s="74" t="s">
        <v>828</v>
      </c>
      <c r="B4504" s="74" t="s">
        <v>820</v>
      </c>
      <c r="C4504" s="74" t="s">
        <v>1514</v>
      </c>
      <c r="D4504" s="74" t="s">
        <v>81</v>
      </c>
      <c r="E4504" s="74">
        <v>2</v>
      </c>
      <c r="F4504" s="74">
        <v>15.56</v>
      </c>
      <c r="G4504" s="758">
        <f t="shared" si="280"/>
        <v>1.65</v>
      </c>
      <c r="H4504" s="759">
        <f t="shared" si="281"/>
        <v>0.36</v>
      </c>
      <c r="I4504" s="758">
        <f t="shared" si="282"/>
        <v>6.1300000000000008</v>
      </c>
      <c r="J4504" s="760">
        <f t="shared" si="283"/>
        <v>0.78791773778920304</v>
      </c>
    </row>
    <row r="4505" spans="1:10">
      <c r="A4505" s="74" t="s">
        <v>828</v>
      </c>
      <c r="B4505" s="74" t="s">
        <v>820</v>
      </c>
      <c r="C4505" s="74" t="s">
        <v>1517</v>
      </c>
      <c r="D4505" s="74" t="s">
        <v>82</v>
      </c>
      <c r="E4505" s="74">
        <v>1</v>
      </c>
      <c r="F4505" s="74">
        <v>8.15</v>
      </c>
      <c r="G4505" s="758">
        <f t="shared" si="280"/>
        <v>1.65</v>
      </c>
      <c r="H4505" s="759">
        <f t="shared" si="281"/>
        <v>0.36</v>
      </c>
      <c r="I4505" s="758">
        <f t="shared" si="282"/>
        <v>6.5</v>
      </c>
      <c r="J4505" s="760">
        <f t="shared" si="283"/>
        <v>0.79754601226993871</v>
      </c>
    </row>
    <row r="4506" spans="1:10">
      <c r="A4506" s="74" t="s">
        <v>828</v>
      </c>
      <c r="B4506" s="74" t="s">
        <v>820</v>
      </c>
      <c r="C4506" s="74" t="s">
        <v>1527</v>
      </c>
      <c r="D4506" s="74" t="s">
        <v>82</v>
      </c>
      <c r="E4506" s="74">
        <v>4</v>
      </c>
      <c r="F4506" s="74">
        <v>32.6</v>
      </c>
      <c r="G4506" s="758">
        <f t="shared" si="280"/>
        <v>1.65</v>
      </c>
      <c r="H4506" s="759">
        <f t="shared" si="281"/>
        <v>0.36</v>
      </c>
      <c r="I4506" s="758">
        <f t="shared" si="282"/>
        <v>6.5</v>
      </c>
      <c r="J4506" s="760">
        <f t="shared" si="283"/>
        <v>0.79754601226993871</v>
      </c>
    </row>
    <row r="4507" spans="1:10">
      <c r="A4507" s="74" t="s">
        <v>828</v>
      </c>
      <c r="B4507" s="74" t="s">
        <v>820</v>
      </c>
      <c r="C4507" s="74" t="s">
        <v>1518</v>
      </c>
      <c r="D4507" s="74" t="s">
        <v>82</v>
      </c>
      <c r="E4507" s="74">
        <v>1</v>
      </c>
      <c r="F4507" s="74">
        <v>8.15</v>
      </c>
      <c r="G4507" s="758">
        <f t="shared" si="280"/>
        <v>1.65</v>
      </c>
      <c r="H4507" s="759">
        <f t="shared" si="281"/>
        <v>0.36</v>
      </c>
      <c r="I4507" s="758">
        <f t="shared" si="282"/>
        <v>6.5</v>
      </c>
      <c r="J4507" s="760">
        <f t="shared" si="283"/>
        <v>0.79754601226993871</v>
      </c>
    </row>
    <row r="4508" spans="1:10">
      <c r="A4508" s="74" t="s">
        <v>828</v>
      </c>
      <c r="B4508" s="74" t="s">
        <v>820</v>
      </c>
      <c r="C4508" s="74" t="s">
        <v>1578</v>
      </c>
      <c r="D4508" s="74" t="s">
        <v>86</v>
      </c>
      <c r="E4508" s="74">
        <v>1</v>
      </c>
      <c r="F4508" s="74">
        <v>8.15</v>
      </c>
      <c r="G4508" s="758">
        <f t="shared" si="280"/>
        <v>1.65</v>
      </c>
      <c r="H4508" s="759">
        <f t="shared" si="281"/>
        <v>0.36</v>
      </c>
      <c r="I4508" s="758">
        <f t="shared" si="282"/>
        <v>6.5</v>
      </c>
      <c r="J4508" s="760">
        <f t="shared" si="283"/>
        <v>0.79754601226993871</v>
      </c>
    </row>
    <row r="4509" spans="1:10">
      <c r="A4509" s="74" t="s">
        <v>828</v>
      </c>
      <c r="B4509" s="74" t="s">
        <v>820</v>
      </c>
      <c r="C4509" s="74" t="s">
        <v>1646</v>
      </c>
      <c r="D4509" s="74" t="s">
        <v>86</v>
      </c>
      <c r="E4509" s="74">
        <v>1</v>
      </c>
      <c r="F4509" s="74">
        <v>8.15</v>
      </c>
      <c r="G4509" s="758">
        <f t="shared" si="280"/>
        <v>1.65</v>
      </c>
      <c r="H4509" s="759">
        <f t="shared" si="281"/>
        <v>0.36</v>
      </c>
      <c r="I4509" s="758">
        <f t="shared" si="282"/>
        <v>6.5</v>
      </c>
      <c r="J4509" s="760">
        <f t="shared" si="283"/>
        <v>0.79754601226993871</v>
      </c>
    </row>
    <row r="4510" spans="1:10">
      <c r="A4510" s="74" t="s">
        <v>828</v>
      </c>
      <c r="B4510" s="74" t="s">
        <v>820</v>
      </c>
      <c r="C4510" s="74" t="s">
        <v>1541</v>
      </c>
      <c r="D4510" s="74" t="s">
        <v>86</v>
      </c>
      <c r="E4510" s="74">
        <v>1</v>
      </c>
      <c r="F4510" s="74">
        <v>8.15</v>
      </c>
      <c r="G4510" s="758">
        <f t="shared" si="280"/>
        <v>1.65</v>
      </c>
      <c r="H4510" s="759">
        <f t="shared" si="281"/>
        <v>0.36</v>
      </c>
      <c r="I4510" s="758">
        <f t="shared" si="282"/>
        <v>6.5</v>
      </c>
      <c r="J4510" s="760">
        <f t="shared" si="283"/>
        <v>0.79754601226993871</v>
      </c>
    </row>
    <row r="4511" spans="1:10">
      <c r="A4511" s="74" t="s">
        <v>828</v>
      </c>
      <c r="B4511" s="74" t="s">
        <v>820</v>
      </c>
      <c r="C4511" s="74" t="s">
        <v>1543</v>
      </c>
      <c r="D4511" s="74" t="s">
        <v>87</v>
      </c>
      <c r="E4511" s="74">
        <v>1</v>
      </c>
      <c r="F4511" s="74">
        <v>8.15</v>
      </c>
      <c r="G4511" s="758">
        <f t="shared" si="280"/>
        <v>1.65</v>
      </c>
      <c r="H4511" s="759">
        <f t="shared" si="281"/>
        <v>0.36</v>
      </c>
      <c r="I4511" s="758">
        <f t="shared" si="282"/>
        <v>6.5</v>
      </c>
      <c r="J4511" s="760">
        <f t="shared" si="283"/>
        <v>0.79754601226993871</v>
      </c>
    </row>
    <row r="4512" spans="1:10">
      <c r="A4512" s="74" t="s">
        <v>828</v>
      </c>
      <c r="B4512" s="74" t="s">
        <v>820</v>
      </c>
      <c r="C4512" s="74" t="s">
        <v>1610</v>
      </c>
      <c r="D4512" s="74" t="s">
        <v>89</v>
      </c>
      <c r="E4512" s="74">
        <v>1</v>
      </c>
      <c r="F4512" s="74">
        <v>1.4</v>
      </c>
      <c r="G4512" s="758">
        <f t="shared" si="280"/>
        <v>1.65</v>
      </c>
      <c r="H4512" s="759">
        <f t="shared" si="281"/>
        <v>0.36</v>
      </c>
      <c r="I4512" s="758">
        <f t="shared" si="282"/>
        <v>-0.25</v>
      </c>
      <c r="J4512" s="760">
        <f t="shared" si="283"/>
        <v>-0.1785714285714286</v>
      </c>
    </row>
    <row r="4513" spans="1:10">
      <c r="A4513" s="74" t="s">
        <v>828</v>
      </c>
      <c r="B4513" s="74" t="s">
        <v>820</v>
      </c>
      <c r="C4513" s="74" t="s">
        <v>1524</v>
      </c>
      <c r="D4513" s="74" t="s">
        <v>91</v>
      </c>
      <c r="E4513" s="74">
        <v>1</v>
      </c>
      <c r="F4513" s="74">
        <v>8.15</v>
      </c>
      <c r="G4513" s="758">
        <f t="shared" si="280"/>
        <v>1.65</v>
      </c>
      <c r="H4513" s="759">
        <f t="shared" si="281"/>
        <v>0.36</v>
      </c>
      <c r="I4513" s="758">
        <f t="shared" si="282"/>
        <v>6.5</v>
      </c>
      <c r="J4513" s="760">
        <f t="shared" si="283"/>
        <v>0.79754601226993871</v>
      </c>
    </row>
    <row r="4514" spans="1:10">
      <c r="A4514" s="74" t="s">
        <v>828</v>
      </c>
      <c r="B4514" s="74" t="s">
        <v>820</v>
      </c>
      <c r="C4514" s="74" t="s">
        <v>1631</v>
      </c>
      <c r="D4514" s="74" t="s">
        <v>92</v>
      </c>
      <c r="E4514" s="74">
        <v>1</v>
      </c>
      <c r="F4514" s="74">
        <v>8.15</v>
      </c>
      <c r="G4514" s="758">
        <f t="shared" si="280"/>
        <v>1.65</v>
      </c>
      <c r="H4514" s="759">
        <f t="shared" si="281"/>
        <v>0.36</v>
      </c>
      <c r="I4514" s="758">
        <f t="shared" si="282"/>
        <v>6.5</v>
      </c>
      <c r="J4514" s="760">
        <f t="shared" si="283"/>
        <v>0.79754601226993871</v>
      </c>
    </row>
    <row r="4515" spans="1:10">
      <c r="A4515" s="74" t="s">
        <v>828</v>
      </c>
      <c r="B4515" s="74" t="s">
        <v>820</v>
      </c>
      <c r="C4515" s="74" t="s">
        <v>1526</v>
      </c>
      <c r="D4515" s="74" t="s">
        <v>95</v>
      </c>
      <c r="E4515" s="74">
        <v>1</v>
      </c>
      <c r="F4515" s="74">
        <v>8.15</v>
      </c>
      <c r="G4515" s="758">
        <f t="shared" si="280"/>
        <v>1.65</v>
      </c>
      <c r="H4515" s="759">
        <f t="shared" si="281"/>
        <v>0.36</v>
      </c>
      <c r="I4515" s="758">
        <f t="shared" si="282"/>
        <v>6.5</v>
      </c>
      <c r="J4515" s="760">
        <f t="shared" si="283"/>
        <v>0.79754601226993871</v>
      </c>
    </row>
    <row r="4516" spans="1:10">
      <c r="A4516" s="74" t="s">
        <v>2009</v>
      </c>
      <c r="B4516" s="74" t="s">
        <v>276</v>
      </c>
      <c r="C4516" s="74" t="s">
        <v>1528</v>
      </c>
      <c r="D4516" s="74" t="s">
        <v>78</v>
      </c>
      <c r="E4516" s="74">
        <v>13</v>
      </c>
      <c r="F4516" s="74">
        <v>54.7</v>
      </c>
      <c r="G4516" s="758">
        <f t="shared" si="280"/>
        <v>1.1200000000000001</v>
      </c>
      <c r="H4516" s="759">
        <f t="shared" si="281"/>
        <v>0.3</v>
      </c>
      <c r="I4516" s="758">
        <f t="shared" si="282"/>
        <v>3.0876923076923077</v>
      </c>
      <c r="J4516" s="760">
        <f t="shared" si="283"/>
        <v>0.73382084095063982</v>
      </c>
    </row>
    <row r="4517" spans="1:10">
      <c r="A4517" s="74" t="s">
        <v>2009</v>
      </c>
      <c r="B4517" s="74" t="s">
        <v>276</v>
      </c>
      <c r="C4517" s="74" t="s">
        <v>1508</v>
      </c>
      <c r="D4517" s="74" t="s">
        <v>78</v>
      </c>
      <c r="E4517" s="74">
        <v>18</v>
      </c>
      <c r="F4517" s="74">
        <v>37.35</v>
      </c>
      <c r="G4517" s="758">
        <f t="shared" si="280"/>
        <v>1.1200000000000001</v>
      </c>
      <c r="H4517" s="759">
        <f t="shared" si="281"/>
        <v>0.3</v>
      </c>
      <c r="I4517" s="758">
        <f t="shared" si="282"/>
        <v>0.95500000000000007</v>
      </c>
      <c r="J4517" s="760">
        <f t="shared" si="283"/>
        <v>0.46024096385542157</v>
      </c>
    </row>
    <row r="4518" spans="1:10">
      <c r="A4518" s="74" t="s">
        <v>2009</v>
      </c>
      <c r="B4518" s="74" t="s">
        <v>276</v>
      </c>
      <c r="C4518" s="74" t="s">
        <v>1509</v>
      </c>
      <c r="D4518" s="74" t="s">
        <v>78</v>
      </c>
      <c r="E4518" s="74">
        <v>20</v>
      </c>
      <c r="F4518" s="74">
        <v>49.8</v>
      </c>
      <c r="G4518" s="758">
        <f t="shared" si="280"/>
        <v>1.1200000000000001</v>
      </c>
      <c r="H4518" s="759">
        <f t="shared" si="281"/>
        <v>0.3</v>
      </c>
      <c r="I4518" s="758">
        <f t="shared" si="282"/>
        <v>1.3699999999999997</v>
      </c>
      <c r="J4518" s="760">
        <f t="shared" si="283"/>
        <v>0.55020080321285136</v>
      </c>
    </row>
    <row r="4519" spans="1:10">
      <c r="A4519" s="74" t="s">
        <v>2009</v>
      </c>
      <c r="B4519" s="74" t="s">
        <v>276</v>
      </c>
      <c r="C4519" s="74" t="s">
        <v>1565</v>
      </c>
      <c r="D4519" s="74" t="s">
        <v>78</v>
      </c>
      <c r="E4519" s="74">
        <v>14</v>
      </c>
      <c r="F4519" s="74">
        <v>20.75</v>
      </c>
      <c r="G4519" s="758">
        <f t="shared" si="280"/>
        <v>1.1200000000000001</v>
      </c>
      <c r="H4519" s="759">
        <f t="shared" si="281"/>
        <v>0.3</v>
      </c>
      <c r="I4519" s="758">
        <f t="shared" si="282"/>
        <v>0.3621428571428571</v>
      </c>
      <c r="J4519" s="760">
        <f t="shared" si="283"/>
        <v>0.24433734939759033</v>
      </c>
    </row>
    <row r="4520" spans="1:10">
      <c r="A4520" s="74" t="s">
        <v>2009</v>
      </c>
      <c r="B4520" s="74" t="s">
        <v>276</v>
      </c>
      <c r="C4520" s="74" t="s">
        <v>1530</v>
      </c>
      <c r="D4520" s="74" t="s">
        <v>80</v>
      </c>
      <c r="E4520" s="74">
        <v>4</v>
      </c>
      <c r="F4520" s="74">
        <v>16.600000000000001</v>
      </c>
      <c r="G4520" s="758">
        <f t="shared" si="280"/>
        <v>1.1200000000000001</v>
      </c>
      <c r="H4520" s="759">
        <f t="shared" si="281"/>
        <v>0.3</v>
      </c>
      <c r="I4520" s="758">
        <f t="shared" si="282"/>
        <v>3.0300000000000002</v>
      </c>
      <c r="J4520" s="760">
        <f t="shared" si="283"/>
        <v>0.73012048192771084</v>
      </c>
    </row>
    <row r="4521" spans="1:10">
      <c r="A4521" s="74" t="s">
        <v>2009</v>
      </c>
      <c r="B4521" s="74" t="s">
        <v>276</v>
      </c>
      <c r="C4521" s="74" t="s">
        <v>1532</v>
      </c>
      <c r="D4521" s="74" t="s">
        <v>80</v>
      </c>
      <c r="E4521" s="74">
        <v>2</v>
      </c>
      <c r="F4521" s="74">
        <v>8.3000000000000007</v>
      </c>
      <c r="G4521" s="758">
        <f t="shared" si="280"/>
        <v>1.1200000000000001</v>
      </c>
      <c r="H4521" s="759">
        <f t="shared" si="281"/>
        <v>0.3</v>
      </c>
      <c r="I4521" s="758">
        <f t="shared" si="282"/>
        <v>3.0300000000000002</v>
      </c>
      <c r="J4521" s="760">
        <f t="shared" si="283"/>
        <v>0.73012048192771084</v>
      </c>
    </row>
    <row r="4522" spans="1:10">
      <c r="A4522" s="74" t="s">
        <v>2009</v>
      </c>
      <c r="B4522" s="74" t="s">
        <v>276</v>
      </c>
      <c r="C4522" s="74" t="s">
        <v>1511</v>
      </c>
      <c r="D4522" s="74" t="s">
        <v>80</v>
      </c>
      <c r="E4522" s="74">
        <v>1</v>
      </c>
      <c r="F4522" s="74">
        <v>4.1500000000000004</v>
      </c>
      <c r="G4522" s="758">
        <f t="shared" si="280"/>
        <v>1.1200000000000001</v>
      </c>
      <c r="H4522" s="759">
        <f t="shared" si="281"/>
        <v>0.3</v>
      </c>
      <c r="I4522" s="758">
        <f t="shared" si="282"/>
        <v>3.0300000000000002</v>
      </c>
      <c r="J4522" s="760">
        <f t="shared" si="283"/>
        <v>0.73012048192771084</v>
      </c>
    </row>
    <row r="4523" spans="1:10">
      <c r="A4523" s="74" t="s">
        <v>2009</v>
      </c>
      <c r="B4523" s="74" t="s">
        <v>276</v>
      </c>
      <c r="C4523" s="74" t="s">
        <v>1534</v>
      </c>
      <c r="D4523" s="74" t="s">
        <v>81</v>
      </c>
      <c r="E4523" s="74">
        <v>3</v>
      </c>
      <c r="F4523" s="74">
        <v>4.1500000000000004</v>
      </c>
      <c r="G4523" s="758">
        <f t="shared" si="280"/>
        <v>1.1200000000000001</v>
      </c>
      <c r="H4523" s="759">
        <f t="shared" si="281"/>
        <v>0.3</v>
      </c>
      <c r="I4523" s="758">
        <f t="shared" si="282"/>
        <v>0.26333333333333342</v>
      </c>
      <c r="J4523" s="760">
        <f t="shared" si="283"/>
        <v>0.19036144578313252</v>
      </c>
    </row>
    <row r="4524" spans="1:10">
      <c r="A4524" s="74" t="s">
        <v>2009</v>
      </c>
      <c r="B4524" s="74" t="s">
        <v>276</v>
      </c>
      <c r="C4524" s="74" t="s">
        <v>1516</v>
      </c>
      <c r="D4524" s="74" t="s">
        <v>82</v>
      </c>
      <c r="E4524" s="74">
        <v>3</v>
      </c>
      <c r="F4524" s="74">
        <v>12.9</v>
      </c>
      <c r="G4524" s="758">
        <f t="shared" si="280"/>
        <v>1.1200000000000001</v>
      </c>
      <c r="H4524" s="759">
        <f t="shared" si="281"/>
        <v>0.3</v>
      </c>
      <c r="I4524" s="758">
        <f t="shared" si="282"/>
        <v>3.1799999999999997</v>
      </c>
      <c r="J4524" s="760">
        <f t="shared" si="283"/>
        <v>0.73953488372093024</v>
      </c>
    </row>
    <row r="4525" spans="1:10">
      <c r="A4525" s="74" t="s">
        <v>2009</v>
      </c>
      <c r="B4525" s="74" t="s">
        <v>276</v>
      </c>
      <c r="C4525" s="74" t="s">
        <v>1527</v>
      </c>
      <c r="D4525" s="74" t="s">
        <v>82</v>
      </c>
      <c r="E4525" s="74">
        <v>1</v>
      </c>
      <c r="F4525" s="74">
        <v>4.1500000000000004</v>
      </c>
      <c r="G4525" s="758">
        <f t="shared" si="280"/>
        <v>1.1200000000000001</v>
      </c>
      <c r="H4525" s="759">
        <f t="shared" si="281"/>
        <v>0.3</v>
      </c>
      <c r="I4525" s="758">
        <f t="shared" si="282"/>
        <v>3.0300000000000002</v>
      </c>
      <c r="J4525" s="760">
        <f t="shared" si="283"/>
        <v>0.73012048192771084</v>
      </c>
    </row>
    <row r="4526" spans="1:10">
      <c r="A4526" s="74" t="s">
        <v>1019</v>
      </c>
      <c r="B4526" s="74" t="s">
        <v>276</v>
      </c>
      <c r="C4526" s="74" t="s">
        <v>1610</v>
      </c>
      <c r="D4526" s="74" t="s">
        <v>89</v>
      </c>
      <c r="E4526" s="74">
        <v>1</v>
      </c>
      <c r="F4526" s="74">
        <v>4.1500000000000004</v>
      </c>
      <c r="G4526" s="758">
        <f t="shared" si="280"/>
        <v>0</v>
      </c>
      <c r="H4526" s="759">
        <f t="shared" si="281"/>
        <v>0</v>
      </c>
      <c r="I4526" s="758">
        <f t="shared" si="282"/>
        <v>4.1500000000000004</v>
      </c>
      <c r="J4526" s="760">
        <f t="shared" si="283"/>
        <v>1</v>
      </c>
    </row>
    <row r="4527" spans="1:10">
      <c r="A4527" s="74" t="s">
        <v>1229</v>
      </c>
      <c r="B4527" s="74" t="s">
        <v>266</v>
      </c>
      <c r="C4527" s="74" t="s">
        <v>1557</v>
      </c>
      <c r="D4527" s="74" t="s">
        <v>95</v>
      </c>
      <c r="E4527" s="74">
        <v>1</v>
      </c>
      <c r="F4527" s="74">
        <v>0</v>
      </c>
      <c r="G4527" s="758">
        <f t="shared" si="280"/>
        <v>0</v>
      </c>
      <c r="H4527" s="759">
        <f t="shared" si="281"/>
        <v>0</v>
      </c>
      <c r="I4527" s="758">
        <f t="shared" si="282"/>
        <v>0</v>
      </c>
      <c r="J4527" s="760">
        <f t="shared" si="283"/>
        <v>0</v>
      </c>
    </row>
    <row r="4528" spans="1:10">
      <c r="A4528" s="74" t="s">
        <v>1229</v>
      </c>
      <c r="B4528" s="74" t="s">
        <v>266</v>
      </c>
      <c r="C4528" s="74" t="s">
        <v>1526</v>
      </c>
      <c r="D4528" s="74" t="s">
        <v>95</v>
      </c>
      <c r="E4528" s="74">
        <v>1</v>
      </c>
      <c r="F4528" s="74">
        <v>0</v>
      </c>
      <c r="G4528" s="758">
        <f t="shared" si="280"/>
        <v>0</v>
      </c>
      <c r="H4528" s="759">
        <f t="shared" si="281"/>
        <v>0</v>
      </c>
      <c r="I4528" s="758">
        <f t="shared" si="282"/>
        <v>0</v>
      </c>
      <c r="J4528" s="760">
        <f t="shared" si="283"/>
        <v>0</v>
      </c>
    </row>
    <row r="4529" spans="1:10">
      <c r="A4529" s="74" t="s">
        <v>2010</v>
      </c>
      <c r="B4529" s="74" t="s">
        <v>276</v>
      </c>
      <c r="C4529" s="74" t="s">
        <v>1565</v>
      </c>
      <c r="D4529" s="74" t="s">
        <v>78</v>
      </c>
      <c r="E4529" s="74">
        <v>2</v>
      </c>
      <c r="F4529" s="74">
        <v>40.299999999999997</v>
      </c>
      <c r="G4529" s="758">
        <f t="shared" si="280"/>
        <v>5.6</v>
      </c>
      <c r="H4529" s="759">
        <f t="shared" si="281"/>
        <v>0.31</v>
      </c>
      <c r="I4529" s="758">
        <f t="shared" si="282"/>
        <v>14.549999999999999</v>
      </c>
      <c r="J4529" s="760">
        <f t="shared" si="283"/>
        <v>0.72208436724565761</v>
      </c>
    </row>
    <row r="4530" spans="1:10">
      <c r="A4530" s="74" t="s">
        <v>1017</v>
      </c>
      <c r="B4530" s="74" t="s">
        <v>276</v>
      </c>
      <c r="C4530" s="74" t="s">
        <v>1565</v>
      </c>
      <c r="D4530" s="74" t="s">
        <v>78</v>
      </c>
      <c r="E4530" s="74">
        <v>1</v>
      </c>
      <c r="F4530" s="74">
        <v>0</v>
      </c>
      <c r="G4530" s="758">
        <f t="shared" si="280"/>
        <v>0.14000000000000001</v>
      </c>
      <c r="H4530" s="759">
        <f t="shared" si="281"/>
        <v>0</v>
      </c>
      <c r="I4530" s="758">
        <f t="shared" si="282"/>
        <v>-0.14000000000000001</v>
      </c>
      <c r="J4530" s="760">
        <f t="shared" si="283"/>
        <v>0</v>
      </c>
    </row>
    <row r="4531" spans="1:10">
      <c r="A4531" s="74" t="s">
        <v>1017</v>
      </c>
      <c r="B4531" s="74" t="s">
        <v>276</v>
      </c>
      <c r="C4531" s="74" t="s">
        <v>1520</v>
      </c>
      <c r="D4531" s="74" t="s">
        <v>84</v>
      </c>
      <c r="E4531" s="74">
        <v>1</v>
      </c>
      <c r="F4531" s="74">
        <v>4.1500000000000004</v>
      </c>
      <c r="G4531" s="758">
        <f t="shared" si="280"/>
        <v>0.14000000000000001</v>
      </c>
      <c r="H4531" s="759">
        <f t="shared" si="281"/>
        <v>0</v>
      </c>
      <c r="I4531" s="758">
        <f t="shared" si="282"/>
        <v>4.0100000000000007</v>
      </c>
      <c r="J4531" s="760">
        <f t="shared" si="283"/>
        <v>0.96626506024096381</v>
      </c>
    </row>
    <row r="4532" spans="1:10">
      <c r="A4532" s="74" t="s">
        <v>1017</v>
      </c>
      <c r="B4532" s="74" t="s">
        <v>276</v>
      </c>
      <c r="C4532" s="74" t="s">
        <v>1541</v>
      </c>
      <c r="D4532" s="74" t="s">
        <v>86</v>
      </c>
      <c r="E4532" s="74">
        <v>2</v>
      </c>
      <c r="F4532" s="74">
        <v>8.3000000000000007</v>
      </c>
      <c r="G4532" s="758">
        <f t="shared" si="280"/>
        <v>0.14000000000000001</v>
      </c>
      <c r="H4532" s="759">
        <f t="shared" si="281"/>
        <v>0</v>
      </c>
      <c r="I4532" s="758">
        <f t="shared" si="282"/>
        <v>4.0100000000000007</v>
      </c>
      <c r="J4532" s="760">
        <f t="shared" si="283"/>
        <v>0.96626506024096381</v>
      </c>
    </row>
    <row r="4533" spans="1:10">
      <c r="A4533" s="74" t="s">
        <v>1017</v>
      </c>
      <c r="B4533" s="74" t="s">
        <v>276</v>
      </c>
      <c r="C4533" s="74" t="s">
        <v>1543</v>
      </c>
      <c r="D4533" s="74" t="s">
        <v>87</v>
      </c>
      <c r="E4533" s="74">
        <v>2</v>
      </c>
      <c r="F4533" s="74">
        <v>8.3000000000000007</v>
      </c>
      <c r="G4533" s="758">
        <f t="shared" si="280"/>
        <v>0.14000000000000001</v>
      </c>
      <c r="H4533" s="759">
        <f t="shared" si="281"/>
        <v>0</v>
      </c>
      <c r="I4533" s="758">
        <f t="shared" si="282"/>
        <v>4.0100000000000007</v>
      </c>
      <c r="J4533" s="760">
        <f t="shared" si="283"/>
        <v>0.96626506024096381</v>
      </c>
    </row>
    <row r="4534" spans="1:10">
      <c r="A4534" s="74" t="s">
        <v>1017</v>
      </c>
      <c r="B4534" s="74" t="s">
        <v>276</v>
      </c>
      <c r="C4534" s="74" t="s">
        <v>1561</v>
      </c>
      <c r="D4534" s="74" t="s">
        <v>87</v>
      </c>
      <c r="E4534" s="74">
        <v>1</v>
      </c>
      <c r="F4534" s="74">
        <v>4.3</v>
      </c>
      <c r="G4534" s="758">
        <f t="shared" si="280"/>
        <v>0.14000000000000001</v>
      </c>
      <c r="H4534" s="759">
        <f t="shared" si="281"/>
        <v>0</v>
      </c>
      <c r="I4534" s="758">
        <f t="shared" si="282"/>
        <v>4.16</v>
      </c>
      <c r="J4534" s="760">
        <f t="shared" si="283"/>
        <v>0.96744186046511627</v>
      </c>
    </row>
    <row r="4535" spans="1:10">
      <c r="A4535" s="74" t="s">
        <v>1017</v>
      </c>
      <c r="B4535" s="74" t="s">
        <v>276</v>
      </c>
      <c r="C4535" s="74" t="s">
        <v>1631</v>
      </c>
      <c r="D4535" s="74" t="s">
        <v>92</v>
      </c>
      <c r="E4535" s="74">
        <v>1</v>
      </c>
      <c r="F4535" s="74">
        <v>4.1500000000000004</v>
      </c>
      <c r="G4535" s="758">
        <f t="shared" si="280"/>
        <v>0.14000000000000001</v>
      </c>
      <c r="H4535" s="759">
        <f t="shared" si="281"/>
        <v>0</v>
      </c>
      <c r="I4535" s="758">
        <f t="shared" si="282"/>
        <v>4.0100000000000007</v>
      </c>
      <c r="J4535" s="760">
        <f t="shared" si="283"/>
        <v>0.96626506024096381</v>
      </c>
    </row>
    <row r="4536" spans="1:10">
      <c r="A4536" s="74" t="s">
        <v>2011</v>
      </c>
      <c r="B4536" s="74" t="s">
        <v>276</v>
      </c>
      <c r="C4536" s="74" t="s">
        <v>1540</v>
      </c>
      <c r="D4536" s="74" t="s">
        <v>84</v>
      </c>
      <c r="E4536" s="74">
        <v>1</v>
      </c>
      <c r="F4536" s="74">
        <v>4.3</v>
      </c>
      <c r="G4536" s="758">
        <f t="shared" si="280"/>
        <v>1.1200000000000001</v>
      </c>
      <c r="H4536" s="759">
        <f t="shared" si="281"/>
        <v>0.28999999999999998</v>
      </c>
      <c r="I4536" s="758">
        <f t="shared" si="282"/>
        <v>3.1799999999999997</v>
      </c>
      <c r="J4536" s="760">
        <f t="shared" si="283"/>
        <v>0.73953488372093013</v>
      </c>
    </row>
    <row r="4537" spans="1:10">
      <c r="A4537" s="74" t="s">
        <v>2012</v>
      </c>
      <c r="B4537" s="74" t="s">
        <v>276</v>
      </c>
      <c r="C4537" s="74" t="s">
        <v>1561</v>
      </c>
      <c r="D4537" s="74" t="s">
        <v>87</v>
      </c>
      <c r="E4537" s="74">
        <v>1</v>
      </c>
      <c r="F4537" s="74">
        <v>6.8</v>
      </c>
      <c r="G4537" s="758">
        <f t="shared" si="280"/>
        <v>0</v>
      </c>
      <c r="H4537" s="759">
        <f t="shared" si="281"/>
        <v>0</v>
      </c>
      <c r="I4537" s="758">
        <f t="shared" si="282"/>
        <v>6.8</v>
      </c>
      <c r="J4537" s="760">
        <f t="shared" si="283"/>
        <v>1</v>
      </c>
    </row>
    <row r="4538" spans="1:10">
      <c r="A4538" s="74" t="s">
        <v>1357</v>
      </c>
      <c r="B4538" s="74" t="s">
        <v>276</v>
      </c>
      <c r="C4538" s="74" t="s">
        <v>1519</v>
      </c>
      <c r="D4538" s="74" t="s">
        <v>84</v>
      </c>
      <c r="E4538" s="74">
        <v>1</v>
      </c>
      <c r="F4538" s="74">
        <v>4.3</v>
      </c>
      <c r="G4538" s="758">
        <f t="shared" si="280"/>
        <v>1.1200000000000001</v>
      </c>
      <c r="H4538" s="759">
        <f t="shared" si="281"/>
        <v>0.28999999999999998</v>
      </c>
      <c r="I4538" s="758">
        <f t="shared" si="282"/>
        <v>3.1799999999999997</v>
      </c>
      <c r="J4538" s="760">
        <f t="shared" si="283"/>
        <v>0.73953488372093013</v>
      </c>
    </row>
    <row r="4539" spans="1:10">
      <c r="A4539" s="74" t="s">
        <v>2013</v>
      </c>
      <c r="B4539" s="74" t="s">
        <v>276</v>
      </c>
      <c r="C4539" s="74" t="s">
        <v>1511</v>
      </c>
      <c r="D4539" s="74" t="s">
        <v>80</v>
      </c>
      <c r="E4539" s="74">
        <v>1</v>
      </c>
      <c r="F4539" s="74">
        <v>20.149999999999999</v>
      </c>
      <c r="G4539" s="758">
        <f t="shared" si="280"/>
        <v>5.6</v>
      </c>
      <c r="H4539" s="759">
        <f t="shared" si="281"/>
        <v>0.28000000000000003</v>
      </c>
      <c r="I4539" s="758">
        <f t="shared" si="282"/>
        <v>14.549999999999999</v>
      </c>
      <c r="J4539" s="760">
        <f t="shared" si="283"/>
        <v>0.72208436724565761</v>
      </c>
    </row>
    <row r="4540" spans="1:10">
      <c r="A4540" s="74" t="s">
        <v>2013</v>
      </c>
      <c r="B4540" s="74" t="s">
        <v>276</v>
      </c>
      <c r="C4540" s="74" t="s">
        <v>1515</v>
      </c>
      <c r="D4540" s="74" t="s">
        <v>81</v>
      </c>
      <c r="E4540" s="74">
        <v>3</v>
      </c>
      <c r="F4540" s="74">
        <v>105.75</v>
      </c>
      <c r="G4540" s="758">
        <f t="shared" si="280"/>
        <v>5.6</v>
      </c>
      <c r="H4540" s="759">
        <f t="shared" si="281"/>
        <v>0.28000000000000003</v>
      </c>
      <c r="I4540" s="758">
        <f t="shared" si="282"/>
        <v>29.65</v>
      </c>
      <c r="J4540" s="760">
        <f t="shared" si="283"/>
        <v>0.84113475177304964</v>
      </c>
    </row>
    <row r="4541" spans="1:10">
      <c r="A4541" s="74" t="s">
        <v>2013</v>
      </c>
      <c r="B4541" s="74" t="s">
        <v>276</v>
      </c>
      <c r="C4541" s="74" t="s">
        <v>1517</v>
      </c>
      <c r="D4541" s="74" t="s">
        <v>82</v>
      </c>
      <c r="E4541" s="74">
        <v>2</v>
      </c>
      <c r="F4541" s="74">
        <v>40.299999999999997</v>
      </c>
      <c r="G4541" s="758">
        <f t="shared" si="280"/>
        <v>5.6</v>
      </c>
      <c r="H4541" s="759">
        <f t="shared" si="281"/>
        <v>0.28000000000000003</v>
      </c>
      <c r="I4541" s="758">
        <f t="shared" si="282"/>
        <v>14.549999999999999</v>
      </c>
      <c r="J4541" s="760">
        <f t="shared" si="283"/>
        <v>0.72208436724565761</v>
      </c>
    </row>
    <row r="4542" spans="1:10">
      <c r="A4542" s="74" t="s">
        <v>2013</v>
      </c>
      <c r="B4542" s="74" t="s">
        <v>276</v>
      </c>
      <c r="C4542" s="74" t="s">
        <v>1527</v>
      </c>
      <c r="D4542" s="74" t="s">
        <v>82</v>
      </c>
      <c r="E4542" s="74">
        <v>1</v>
      </c>
      <c r="F4542" s="74">
        <v>20.149999999999999</v>
      </c>
      <c r="G4542" s="758">
        <f t="shared" si="280"/>
        <v>5.6</v>
      </c>
      <c r="H4542" s="759">
        <f t="shared" si="281"/>
        <v>0.28000000000000003</v>
      </c>
      <c r="I4542" s="758">
        <f t="shared" si="282"/>
        <v>14.549999999999999</v>
      </c>
      <c r="J4542" s="760">
        <f t="shared" si="283"/>
        <v>0.72208436724565761</v>
      </c>
    </row>
    <row r="4543" spans="1:10">
      <c r="A4543" s="74" t="s">
        <v>2014</v>
      </c>
      <c r="B4543" s="74" t="s">
        <v>276</v>
      </c>
      <c r="C4543" s="74" t="s">
        <v>1511</v>
      </c>
      <c r="D4543" s="74" t="s">
        <v>80</v>
      </c>
      <c r="E4543" s="74">
        <v>2</v>
      </c>
      <c r="F4543" s="74">
        <v>8.3000000000000007</v>
      </c>
      <c r="G4543" s="758">
        <f t="shared" si="280"/>
        <v>1.1200000000000001</v>
      </c>
      <c r="H4543" s="759">
        <f t="shared" si="281"/>
        <v>0.26</v>
      </c>
      <c r="I4543" s="758">
        <f t="shared" si="282"/>
        <v>3.0300000000000002</v>
      </c>
      <c r="J4543" s="760">
        <f t="shared" si="283"/>
        <v>0.73012048192771084</v>
      </c>
    </row>
    <row r="4544" spans="1:10">
      <c r="A4544" s="74" t="s">
        <v>2014</v>
      </c>
      <c r="B4544" s="74" t="s">
        <v>276</v>
      </c>
      <c r="C4544" s="74" t="s">
        <v>1512</v>
      </c>
      <c r="D4544" s="74" t="s">
        <v>80</v>
      </c>
      <c r="E4544" s="74">
        <v>5</v>
      </c>
      <c r="F4544" s="74">
        <v>20.75</v>
      </c>
      <c r="G4544" s="758">
        <f t="shared" si="280"/>
        <v>1.1200000000000001</v>
      </c>
      <c r="H4544" s="759">
        <f t="shared" si="281"/>
        <v>0.26</v>
      </c>
      <c r="I4544" s="758">
        <f t="shared" si="282"/>
        <v>3.0300000000000002</v>
      </c>
      <c r="J4544" s="760">
        <f t="shared" si="283"/>
        <v>0.73012048192771084</v>
      </c>
    </row>
    <row r="4545" spans="1:10">
      <c r="A4545" s="74" t="s">
        <v>2014</v>
      </c>
      <c r="B4545" s="74" t="s">
        <v>276</v>
      </c>
      <c r="C4545" s="74" t="s">
        <v>1534</v>
      </c>
      <c r="D4545" s="74" t="s">
        <v>81</v>
      </c>
      <c r="E4545" s="74">
        <v>12</v>
      </c>
      <c r="F4545" s="74">
        <v>50.1</v>
      </c>
      <c r="G4545" s="758">
        <f t="shared" si="280"/>
        <v>1.1200000000000001</v>
      </c>
      <c r="H4545" s="759">
        <f t="shared" si="281"/>
        <v>0.26</v>
      </c>
      <c r="I4545" s="758">
        <f t="shared" si="282"/>
        <v>3.0549999999999997</v>
      </c>
      <c r="J4545" s="760">
        <f t="shared" si="283"/>
        <v>0.7317365269461078</v>
      </c>
    </row>
    <row r="4546" spans="1:10">
      <c r="A4546" s="74" t="s">
        <v>2014</v>
      </c>
      <c r="B4546" s="74" t="s">
        <v>276</v>
      </c>
      <c r="C4546" s="74" t="s">
        <v>1513</v>
      </c>
      <c r="D4546" s="74" t="s">
        <v>81</v>
      </c>
      <c r="E4546" s="74">
        <v>5</v>
      </c>
      <c r="F4546" s="74">
        <v>29.8</v>
      </c>
      <c r="G4546" s="758">
        <f t="shared" ref="G4546:G4609" si="284">IFERROR(VLOOKUP(A4546,$M$1:$P$1014,2,FALSE),0)</f>
        <v>1.1200000000000001</v>
      </c>
      <c r="H4546" s="759">
        <f t="shared" ref="H4546:H4609" si="285">IFERROR(VLOOKUP(A4546,$M$1:$P$1014,3,FALSE),0)</f>
        <v>0.26</v>
      </c>
      <c r="I4546" s="758">
        <f t="shared" ref="I4546:I4609" si="286">IFERROR(F4546/E4546-G4546,0)</f>
        <v>4.84</v>
      </c>
      <c r="J4546" s="760">
        <f t="shared" ref="J4546:J4609" si="287">IFERROR(1-G4546*E4546/F4546,0)</f>
        <v>0.81208053691275173</v>
      </c>
    </row>
    <row r="4547" spans="1:10">
      <c r="A4547" s="74" t="s">
        <v>2014</v>
      </c>
      <c r="B4547" s="74" t="s">
        <v>276</v>
      </c>
      <c r="C4547" s="74" t="s">
        <v>1514</v>
      </c>
      <c r="D4547" s="74" t="s">
        <v>81</v>
      </c>
      <c r="E4547" s="74">
        <v>4</v>
      </c>
      <c r="F4547" s="74">
        <v>16.75</v>
      </c>
      <c r="G4547" s="758">
        <f t="shared" si="284"/>
        <v>1.1200000000000001</v>
      </c>
      <c r="H4547" s="759">
        <f t="shared" si="285"/>
        <v>0.26</v>
      </c>
      <c r="I4547" s="758">
        <f t="shared" si="286"/>
        <v>3.0674999999999999</v>
      </c>
      <c r="J4547" s="760">
        <f t="shared" si="287"/>
        <v>0.73253731343283579</v>
      </c>
    </row>
    <row r="4548" spans="1:10">
      <c r="A4548" s="74" t="s">
        <v>2014</v>
      </c>
      <c r="B4548" s="74" t="s">
        <v>276</v>
      </c>
      <c r="C4548" s="74" t="s">
        <v>1515</v>
      </c>
      <c r="D4548" s="74" t="s">
        <v>81</v>
      </c>
      <c r="E4548" s="74">
        <v>4</v>
      </c>
      <c r="F4548" s="74">
        <v>29.35</v>
      </c>
      <c r="G4548" s="758">
        <f t="shared" si="284"/>
        <v>1.1200000000000001</v>
      </c>
      <c r="H4548" s="759">
        <f t="shared" si="285"/>
        <v>0.26</v>
      </c>
      <c r="I4548" s="758">
        <f t="shared" si="286"/>
        <v>6.2175000000000002</v>
      </c>
      <c r="J4548" s="760">
        <f t="shared" si="287"/>
        <v>0.84735945485519593</v>
      </c>
    </row>
    <row r="4549" spans="1:10">
      <c r="A4549" s="74" t="s">
        <v>2014</v>
      </c>
      <c r="B4549" s="74" t="s">
        <v>276</v>
      </c>
      <c r="C4549" s="74" t="s">
        <v>1516</v>
      </c>
      <c r="D4549" s="74" t="s">
        <v>82</v>
      </c>
      <c r="E4549" s="74">
        <v>5</v>
      </c>
      <c r="F4549" s="74">
        <v>33.200000000000003</v>
      </c>
      <c r="G4549" s="758">
        <f t="shared" si="284"/>
        <v>1.1200000000000001</v>
      </c>
      <c r="H4549" s="759">
        <f t="shared" si="285"/>
        <v>0.26</v>
      </c>
      <c r="I4549" s="758">
        <f t="shared" si="286"/>
        <v>5.5200000000000005</v>
      </c>
      <c r="J4549" s="760">
        <f t="shared" si="287"/>
        <v>0.83132530120481929</v>
      </c>
    </row>
    <row r="4550" spans="1:10">
      <c r="A4550" s="74" t="s">
        <v>2014</v>
      </c>
      <c r="B4550" s="74" t="s">
        <v>276</v>
      </c>
      <c r="C4550" s="74" t="s">
        <v>1517</v>
      </c>
      <c r="D4550" s="74" t="s">
        <v>82</v>
      </c>
      <c r="E4550" s="74">
        <v>11</v>
      </c>
      <c r="F4550" s="74">
        <v>45.95</v>
      </c>
      <c r="G4550" s="758">
        <f t="shared" si="284"/>
        <v>1.1200000000000001</v>
      </c>
      <c r="H4550" s="759">
        <f t="shared" si="285"/>
        <v>0.26</v>
      </c>
      <c r="I4550" s="758">
        <f t="shared" si="286"/>
        <v>3.0572727272727276</v>
      </c>
      <c r="J4550" s="760">
        <f t="shared" si="287"/>
        <v>0.73188248095756259</v>
      </c>
    </row>
    <row r="4551" spans="1:10">
      <c r="A4551" s="74" t="s">
        <v>2014</v>
      </c>
      <c r="B4551" s="74" t="s">
        <v>276</v>
      </c>
      <c r="C4551" s="74" t="s">
        <v>1527</v>
      </c>
      <c r="D4551" s="74" t="s">
        <v>82</v>
      </c>
      <c r="E4551" s="74">
        <v>12</v>
      </c>
      <c r="F4551" s="74">
        <v>50.85</v>
      </c>
      <c r="G4551" s="758">
        <f t="shared" si="284"/>
        <v>1.1200000000000001</v>
      </c>
      <c r="H4551" s="759">
        <f t="shared" si="285"/>
        <v>0.26</v>
      </c>
      <c r="I4551" s="758">
        <f t="shared" si="286"/>
        <v>3.1174999999999997</v>
      </c>
      <c r="J4551" s="760">
        <f t="shared" si="287"/>
        <v>0.73569321533923304</v>
      </c>
    </row>
    <row r="4552" spans="1:10">
      <c r="A4552" s="74" t="s">
        <v>2014</v>
      </c>
      <c r="B4552" s="74" t="s">
        <v>276</v>
      </c>
      <c r="C4552" s="74" t="s">
        <v>1518</v>
      </c>
      <c r="D4552" s="74" t="s">
        <v>82</v>
      </c>
      <c r="E4552" s="74">
        <v>5</v>
      </c>
      <c r="F4552" s="74">
        <v>70.55</v>
      </c>
      <c r="G4552" s="758">
        <f t="shared" si="284"/>
        <v>1.1200000000000001</v>
      </c>
      <c r="H4552" s="759">
        <f t="shared" si="285"/>
        <v>0.26</v>
      </c>
      <c r="I4552" s="758">
        <f t="shared" si="286"/>
        <v>12.989999999999998</v>
      </c>
      <c r="J4552" s="760">
        <f t="shared" si="287"/>
        <v>0.92062367115520904</v>
      </c>
    </row>
    <row r="4553" spans="1:10">
      <c r="A4553" s="74" t="s">
        <v>2015</v>
      </c>
      <c r="B4553" s="74" t="s">
        <v>276</v>
      </c>
      <c r="C4553" s="74" t="s">
        <v>1511</v>
      </c>
      <c r="D4553" s="74" t="s">
        <v>80</v>
      </c>
      <c r="E4553" s="74">
        <v>1</v>
      </c>
      <c r="F4553" s="74">
        <v>20.149999999999999</v>
      </c>
      <c r="G4553" s="758">
        <f t="shared" si="284"/>
        <v>5.6</v>
      </c>
      <c r="H4553" s="759">
        <f t="shared" si="285"/>
        <v>0.31</v>
      </c>
      <c r="I4553" s="758">
        <f t="shared" si="286"/>
        <v>14.549999999999999</v>
      </c>
      <c r="J4553" s="760">
        <f t="shared" si="287"/>
        <v>0.72208436724565761</v>
      </c>
    </row>
    <row r="4554" spans="1:10">
      <c r="A4554" s="74" t="s">
        <v>2016</v>
      </c>
      <c r="B4554" s="74" t="s">
        <v>276</v>
      </c>
      <c r="C4554" s="74" t="s">
        <v>1530</v>
      </c>
      <c r="D4554" s="74" t="s">
        <v>80</v>
      </c>
      <c r="E4554" s="74">
        <v>1</v>
      </c>
      <c r="F4554" s="74">
        <v>4.1500000000000004</v>
      </c>
      <c r="G4554" s="758">
        <f t="shared" si="284"/>
        <v>5.6</v>
      </c>
      <c r="H4554" s="759">
        <f t="shared" si="285"/>
        <v>1.48</v>
      </c>
      <c r="I4554" s="758">
        <f t="shared" si="286"/>
        <v>-1.4499999999999993</v>
      </c>
      <c r="J4554" s="760">
        <f t="shared" si="287"/>
        <v>-0.34939759036144569</v>
      </c>
    </row>
    <row r="4555" spans="1:10">
      <c r="A4555" s="74" t="s">
        <v>2016</v>
      </c>
      <c r="B4555" s="74" t="s">
        <v>276</v>
      </c>
      <c r="C4555" s="74" t="s">
        <v>1511</v>
      </c>
      <c r="D4555" s="74" t="s">
        <v>80</v>
      </c>
      <c r="E4555" s="74">
        <v>20</v>
      </c>
      <c r="F4555" s="74">
        <v>83.15</v>
      </c>
      <c r="G4555" s="758">
        <f t="shared" si="284"/>
        <v>5.6</v>
      </c>
      <c r="H4555" s="759">
        <f t="shared" si="285"/>
        <v>1.48</v>
      </c>
      <c r="I4555" s="758">
        <f t="shared" si="286"/>
        <v>-1.442499999999999</v>
      </c>
      <c r="J4555" s="760">
        <f t="shared" si="287"/>
        <v>-0.34696331930246527</v>
      </c>
    </row>
    <row r="4556" spans="1:10">
      <c r="A4556" s="74" t="s">
        <v>867</v>
      </c>
      <c r="B4556" s="74" t="s">
        <v>276</v>
      </c>
      <c r="C4556" s="74" t="s">
        <v>1584</v>
      </c>
      <c r="D4556" s="74" t="s">
        <v>92</v>
      </c>
      <c r="E4556" s="74">
        <v>1</v>
      </c>
      <c r="F4556" s="74">
        <v>6.8</v>
      </c>
      <c r="G4556" s="758">
        <f t="shared" si="284"/>
        <v>0</v>
      </c>
      <c r="H4556" s="759">
        <f t="shared" si="285"/>
        <v>0</v>
      </c>
      <c r="I4556" s="758">
        <f t="shared" si="286"/>
        <v>6.8</v>
      </c>
      <c r="J4556" s="760">
        <f t="shared" si="287"/>
        <v>1</v>
      </c>
    </row>
    <row r="4557" spans="1:10">
      <c r="A4557" s="74" t="s">
        <v>1378</v>
      </c>
      <c r="B4557" s="74" t="s">
        <v>256</v>
      </c>
      <c r="C4557" s="74" t="s">
        <v>1507</v>
      </c>
      <c r="D4557" s="74" t="s">
        <v>86</v>
      </c>
      <c r="E4557" s="74">
        <v>1</v>
      </c>
      <c r="F4557" s="74">
        <v>6.5</v>
      </c>
      <c r="G4557" s="758">
        <f t="shared" si="284"/>
        <v>1.56</v>
      </c>
      <c r="H4557" s="759">
        <f t="shared" si="285"/>
        <v>0.28000000000000003</v>
      </c>
      <c r="I4557" s="758">
        <f t="shared" si="286"/>
        <v>4.9399999999999995</v>
      </c>
      <c r="J4557" s="760">
        <f t="shared" si="287"/>
        <v>0.76</v>
      </c>
    </row>
    <row r="4558" spans="1:10">
      <c r="A4558" s="74" t="s">
        <v>2017</v>
      </c>
      <c r="B4558" s="74" t="s">
        <v>256</v>
      </c>
      <c r="C4558" s="74" t="s">
        <v>1646</v>
      </c>
      <c r="D4558" s="74" t="s">
        <v>86</v>
      </c>
      <c r="E4558" s="74">
        <v>1</v>
      </c>
      <c r="F4558" s="74">
        <v>7.5</v>
      </c>
      <c r="G4558" s="758">
        <f t="shared" si="284"/>
        <v>0</v>
      </c>
      <c r="H4558" s="759">
        <f t="shared" si="285"/>
        <v>0</v>
      </c>
      <c r="I4558" s="758">
        <f t="shared" si="286"/>
        <v>7.5</v>
      </c>
      <c r="J4558" s="760">
        <f t="shared" si="287"/>
        <v>1</v>
      </c>
    </row>
    <row r="4559" spans="1:10">
      <c r="A4559" s="74" t="s">
        <v>678</v>
      </c>
      <c r="B4559" s="74" t="s">
        <v>256</v>
      </c>
      <c r="C4559" s="74" t="s">
        <v>1528</v>
      </c>
      <c r="D4559" s="74" t="s">
        <v>78</v>
      </c>
      <c r="E4559" s="74">
        <v>24</v>
      </c>
      <c r="F4559" s="74">
        <v>149.66</v>
      </c>
      <c r="G4559" s="758">
        <f t="shared" si="284"/>
        <v>1.56</v>
      </c>
      <c r="H4559" s="759">
        <f t="shared" si="285"/>
        <v>0.28000000000000003</v>
      </c>
      <c r="I4559" s="758">
        <f t="shared" si="286"/>
        <v>4.6758333333333333</v>
      </c>
      <c r="J4559" s="760">
        <f t="shared" si="287"/>
        <v>0.74983295469731392</v>
      </c>
    </row>
    <row r="4560" spans="1:10">
      <c r="A4560" s="74" t="s">
        <v>678</v>
      </c>
      <c r="B4560" s="74" t="s">
        <v>256</v>
      </c>
      <c r="C4560" s="74" t="s">
        <v>1508</v>
      </c>
      <c r="D4560" s="74" t="s">
        <v>78</v>
      </c>
      <c r="E4560" s="74">
        <v>17</v>
      </c>
      <c r="F4560" s="74">
        <v>104.41</v>
      </c>
      <c r="G4560" s="758">
        <f t="shared" si="284"/>
        <v>1.56</v>
      </c>
      <c r="H4560" s="759">
        <f t="shared" si="285"/>
        <v>0.28000000000000003</v>
      </c>
      <c r="I4560" s="758">
        <f t="shared" si="286"/>
        <v>4.5817647058823532</v>
      </c>
      <c r="J4560" s="760">
        <f t="shared" si="287"/>
        <v>0.74600134086773295</v>
      </c>
    </row>
    <row r="4561" spans="1:10">
      <c r="A4561" s="74" t="s">
        <v>678</v>
      </c>
      <c r="B4561" s="74" t="s">
        <v>256</v>
      </c>
      <c r="C4561" s="74" t="s">
        <v>1509</v>
      </c>
      <c r="D4561" s="74" t="s">
        <v>78</v>
      </c>
      <c r="E4561" s="74">
        <v>25</v>
      </c>
      <c r="F4561" s="74">
        <v>153</v>
      </c>
      <c r="G4561" s="758">
        <f t="shared" si="284"/>
        <v>1.56</v>
      </c>
      <c r="H4561" s="759">
        <f t="shared" si="285"/>
        <v>0.28000000000000003</v>
      </c>
      <c r="I4561" s="758">
        <f t="shared" si="286"/>
        <v>4.5600000000000005</v>
      </c>
      <c r="J4561" s="760">
        <f t="shared" si="287"/>
        <v>0.74509803921568629</v>
      </c>
    </row>
    <row r="4562" spans="1:10">
      <c r="A4562" s="74" t="s">
        <v>678</v>
      </c>
      <c r="B4562" s="74" t="s">
        <v>256</v>
      </c>
      <c r="C4562" s="74" t="s">
        <v>1565</v>
      </c>
      <c r="D4562" s="74" t="s">
        <v>78</v>
      </c>
      <c r="E4562" s="74">
        <v>23</v>
      </c>
      <c r="F4562" s="74">
        <v>144.72999999999999</v>
      </c>
      <c r="G4562" s="758">
        <f t="shared" si="284"/>
        <v>1.56</v>
      </c>
      <c r="H4562" s="759">
        <f t="shared" si="285"/>
        <v>0.28000000000000003</v>
      </c>
      <c r="I4562" s="758">
        <f t="shared" si="286"/>
        <v>4.7326086956521731</v>
      </c>
      <c r="J4562" s="760">
        <f t="shared" si="287"/>
        <v>0.7520900988046707</v>
      </c>
    </row>
    <row r="4563" spans="1:10">
      <c r="A4563" s="74" t="s">
        <v>678</v>
      </c>
      <c r="B4563" s="74" t="s">
        <v>256</v>
      </c>
      <c r="C4563" s="74" t="s">
        <v>1530</v>
      </c>
      <c r="D4563" s="74" t="s">
        <v>80</v>
      </c>
      <c r="E4563" s="74">
        <v>20</v>
      </c>
      <c r="F4563" s="74">
        <v>126.59</v>
      </c>
      <c r="G4563" s="758">
        <f t="shared" si="284"/>
        <v>1.56</v>
      </c>
      <c r="H4563" s="759">
        <f t="shared" si="285"/>
        <v>0.28000000000000003</v>
      </c>
      <c r="I4563" s="758">
        <f t="shared" si="286"/>
        <v>4.7695000000000007</v>
      </c>
      <c r="J4563" s="760">
        <f t="shared" si="287"/>
        <v>0.75353503436290381</v>
      </c>
    </row>
    <row r="4564" spans="1:10">
      <c r="A4564" s="74" t="s">
        <v>678</v>
      </c>
      <c r="B4564" s="74" t="s">
        <v>256</v>
      </c>
      <c r="C4564" s="74" t="s">
        <v>1532</v>
      </c>
      <c r="D4564" s="74" t="s">
        <v>80</v>
      </c>
      <c r="E4564" s="74">
        <v>33</v>
      </c>
      <c r="F4564" s="74">
        <v>212.09</v>
      </c>
      <c r="G4564" s="758">
        <f t="shared" si="284"/>
        <v>1.56</v>
      </c>
      <c r="H4564" s="759">
        <f t="shared" si="285"/>
        <v>0.28000000000000003</v>
      </c>
      <c r="I4564" s="758">
        <f t="shared" si="286"/>
        <v>4.8669696969696972</v>
      </c>
      <c r="J4564" s="760">
        <f t="shared" si="287"/>
        <v>0.75727285586307702</v>
      </c>
    </row>
    <row r="4565" spans="1:10">
      <c r="A4565" s="74" t="s">
        <v>678</v>
      </c>
      <c r="B4565" s="74" t="s">
        <v>256</v>
      </c>
      <c r="C4565" s="74" t="s">
        <v>1511</v>
      </c>
      <c r="D4565" s="74" t="s">
        <v>80</v>
      </c>
      <c r="E4565" s="74">
        <v>25</v>
      </c>
      <c r="F4565" s="74">
        <v>159.81</v>
      </c>
      <c r="G4565" s="758">
        <f t="shared" si="284"/>
        <v>1.56</v>
      </c>
      <c r="H4565" s="759">
        <f t="shared" si="285"/>
        <v>0.28000000000000003</v>
      </c>
      <c r="I4565" s="758">
        <f t="shared" si="286"/>
        <v>4.8323999999999998</v>
      </c>
      <c r="J4565" s="760">
        <f t="shared" si="287"/>
        <v>0.75596020274075459</v>
      </c>
    </row>
    <row r="4566" spans="1:10">
      <c r="A4566" s="74" t="s">
        <v>678</v>
      </c>
      <c r="B4566" s="74" t="s">
        <v>256</v>
      </c>
      <c r="C4566" s="74" t="s">
        <v>1512</v>
      </c>
      <c r="D4566" s="74" t="s">
        <v>80</v>
      </c>
      <c r="E4566" s="74">
        <v>35</v>
      </c>
      <c r="F4566" s="74">
        <v>225.48</v>
      </c>
      <c r="G4566" s="758">
        <f t="shared" si="284"/>
        <v>1.56</v>
      </c>
      <c r="H4566" s="759">
        <f t="shared" si="285"/>
        <v>0.28000000000000003</v>
      </c>
      <c r="I4566" s="758">
        <f t="shared" si="286"/>
        <v>4.8822857142857146</v>
      </c>
      <c r="J4566" s="760">
        <f t="shared" si="287"/>
        <v>0.75784992017030328</v>
      </c>
    </row>
    <row r="4567" spans="1:10">
      <c r="A4567" s="74" t="s">
        <v>678</v>
      </c>
      <c r="B4567" s="74" t="s">
        <v>256</v>
      </c>
      <c r="C4567" s="74" t="s">
        <v>1534</v>
      </c>
      <c r="D4567" s="74" t="s">
        <v>81</v>
      </c>
      <c r="E4567" s="74">
        <v>16</v>
      </c>
      <c r="F4567" s="74">
        <v>105.45</v>
      </c>
      <c r="G4567" s="758">
        <f t="shared" si="284"/>
        <v>1.56</v>
      </c>
      <c r="H4567" s="759">
        <f t="shared" si="285"/>
        <v>0.28000000000000003</v>
      </c>
      <c r="I4567" s="758">
        <f t="shared" si="286"/>
        <v>5.0306250000000006</v>
      </c>
      <c r="J4567" s="760">
        <f t="shared" si="287"/>
        <v>0.76330014224751064</v>
      </c>
    </row>
    <row r="4568" spans="1:10">
      <c r="A4568" s="74" t="s">
        <v>678</v>
      </c>
      <c r="B4568" s="74" t="s">
        <v>256</v>
      </c>
      <c r="C4568" s="74" t="s">
        <v>1513</v>
      </c>
      <c r="D4568" s="74" t="s">
        <v>81</v>
      </c>
      <c r="E4568" s="74">
        <v>43</v>
      </c>
      <c r="F4568" s="74">
        <v>276.3</v>
      </c>
      <c r="G4568" s="758">
        <f t="shared" si="284"/>
        <v>1.56</v>
      </c>
      <c r="H4568" s="759">
        <f t="shared" si="285"/>
        <v>0.28000000000000003</v>
      </c>
      <c r="I4568" s="758">
        <f t="shared" si="286"/>
        <v>4.8655813953488369</v>
      </c>
      <c r="J4568" s="760">
        <f t="shared" si="287"/>
        <v>0.7572204125950055</v>
      </c>
    </row>
    <row r="4569" spans="1:10">
      <c r="A4569" s="74" t="s">
        <v>678</v>
      </c>
      <c r="B4569" s="74" t="s">
        <v>256</v>
      </c>
      <c r="C4569" s="74" t="s">
        <v>1514</v>
      </c>
      <c r="D4569" s="74" t="s">
        <v>81</v>
      </c>
      <c r="E4569" s="74">
        <v>32</v>
      </c>
      <c r="F4569" s="74">
        <v>205.8</v>
      </c>
      <c r="G4569" s="758">
        <f t="shared" si="284"/>
        <v>1.56</v>
      </c>
      <c r="H4569" s="759">
        <f t="shared" si="285"/>
        <v>0.28000000000000003</v>
      </c>
      <c r="I4569" s="758">
        <f t="shared" si="286"/>
        <v>4.8712499999999999</v>
      </c>
      <c r="J4569" s="760">
        <f t="shared" si="287"/>
        <v>0.75743440233236159</v>
      </c>
    </row>
    <row r="4570" spans="1:10">
      <c r="A4570" s="74" t="s">
        <v>678</v>
      </c>
      <c r="B4570" s="74" t="s">
        <v>256</v>
      </c>
      <c r="C4570" s="74" t="s">
        <v>1515</v>
      </c>
      <c r="D4570" s="74" t="s">
        <v>81</v>
      </c>
      <c r="E4570" s="74">
        <v>22</v>
      </c>
      <c r="F4570" s="74">
        <v>145.54</v>
      </c>
      <c r="G4570" s="758">
        <f t="shared" si="284"/>
        <v>1.56</v>
      </c>
      <c r="H4570" s="759">
        <f t="shared" si="285"/>
        <v>0.28000000000000003</v>
      </c>
      <c r="I4570" s="758">
        <f t="shared" si="286"/>
        <v>5.0554545454545448</v>
      </c>
      <c r="J4570" s="760">
        <f t="shared" si="287"/>
        <v>0.76418853923320051</v>
      </c>
    </row>
    <row r="4571" spans="1:10">
      <c r="A4571" s="74" t="s">
        <v>678</v>
      </c>
      <c r="B4571" s="74" t="s">
        <v>256</v>
      </c>
      <c r="C4571" s="74" t="s">
        <v>1516</v>
      </c>
      <c r="D4571" s="74" t="s">
        <v>82</v>
      </c>
      <c r="E4571" s="74">
        <v>19</v>
      </c>
      <c r="F4571" s="74">
        <v>130.55000000000001</v>
      </c>
      <c r="G4571" s="758">
        <f t="shared" si="284"/>
        <v>1.56</v>
      </c>
      <c r="H4571" s="759">
        <f t="shared" si="285"/>
        <v>0.28000000000000003</v>
      </c>
      <c r="I4571" s="758">
        <f t="shared" si="286"/>
        <v>5.3110526315789475</v>
      </c>
      <c r="J4571" s="760">
        <f t="shared" si="287"/>
        <v>0.77296055151283038</v>
      </c>
    </row>
    <row r="4572" spans="1:10">
      <c r="A4572" s="74" t="s">
        <v>678</v>
      </c>
      <c r="B4572" s="74" t="s">
        <v>256</v>
      </c>
      <c r="C4572" s="74" t="s">
        <v>1517</v>
      </c>
      <c r="D4572" s="74" t="s">
        <v>82</v>
      </c>
      <c r="E4572" s="74">
        <v>18</v>
      </c>
      <c r="F4572" s="74">
        <v>118.2</v>
      </c>
      <c r="G4572" s="758">
        <f t="shared" si="284"/>
        <v>1.56</v>
      </c>
      <c r="H4572" s="759">
        <f t="shared" si="285"/>
        <v>0.28000000000000003</v>
      </c>
      <c r="I4572" s="758">
        <f t="shared" si="286"/>
        <v>5.0066666666666659</v>
      </c>
      <c r="J4572" s="760">
        <f t="shared" si="287"/>
        <v>0.76243654822335027</v>
      </c>
    </row>
    <row r="4573" spans="1:10">
      <c r="A4573" s="74" t="s">
        <v>678</v>
      </c>
      <c r="B4573" s="74" t="s">
        <v>256</v>
      </c>
      <c r="C4573" s="74" t="s">
        <v>1527</v>
      </c>
      <c r="D4573" s="74" t="s">
        <v>82</v>
      </c>
      <c r="E4573" s="74">
        <v>15</v>
      </c>
      <c r="F4573" s="74">
        <v>98.4</v>
      </c>
      <c r="G4573" s="758">
        <f t="shared" si="284"/>
        <v>1.56</v>
      </c>
      <c r="H4573" s="759">
        <f t="shared" si="285"/>
        <v>0.28000000000000003</v>
      </c>
      <c r="I4573" s="758">
        <f t="shared" si="286"/>
        <v>5</v>
      </c>
      <c r="J4573" s="760">
        <f t="shared" si="287"/>
        <v>0.76219512195121952</v>
      </c>
    </row>
    <row r="4574" spans="1:10">
      <c r="A4574" s="74" t="s">
        <v>678</v>
      </c>
      <c r="B4574" s="74" t="s">
        <v>256</v>
      </c>
      <c r="C4574" s="74" t="s">
        <v>1518</v>
      </c>
      <c r="D4574" s="74" t="s">
        <v>82</v>
      </c>
      <c r="E4574" s="74">
        <v>20</v>
      </c>
      <c r="F4574" s="74">
        <v>131.19999999999999</v>
      </c>
      <c r="G4574" s="758">
        <f t="shared" si="284"/>
        <v>1.56</v>
      </c>
      <c r="H4574" s="759">
        <f t="shared" si="285"/>
        <v>0.28000000000000003</v>
      </c>
      <c r="I4574" s="758">
        <f t="shared" si="286"/>
        <v>5</v>
      </c>
      <c r="J4574" s="760">
        <f t="shared" si="287"/>
        <v>0.76219512195121952</v>
      </c>
    </row>
    <row r="4575" spans="1:10">
      <c r="A4575" s="74" t="s">
        <v>678</v>
      </c>
      <c r="B4575" s="74" t="s">
        <v>256</v>
      </c>
      <c r="C4575" s="74" t="s">
        <v>1519</v>
      </c>
      <c r="D4575" s="74" t="s">
        <v>84</v>
      </c>
      <c r="E4575" s="74">
        <v>1</v>
      </c>
      <c r="F4575" s="74">
        <v>6.5</v>
      </c>
      <c r="G4575" s="758">
        <f t="shared" si="284"/>
        <v>1.56</v>
      </c>
      <c r="H4575" s="759">
        <f t="shared" si="285"/>
        <v>0.28000000000000003</v>
      </c>
      <c r="I4575" s="758">
        <f t="shared" si="286"/>
        <v>4.9399999999999995</v>
      </c>
      <c r="J4575" s="760">
        <f t="shared" si="287"/>
        <v>0.76</v>
      </c>
    </row>
    <row r="4576" spans="1:10">
      <c r="A4576" s="74" t="s">
        <v>678</v>
      </c>
      <c r="B4576" s="74" t="s">
        <v>256</v>
      </c>
      <c r="C4576" s="74" t="s">
        <v>1578</v>
      </c>
      <c r="D4576" s="74" t="s">
        <v>86</v>
      </c>
      <c r="E4576" s="74">
        <v>2</v>
      </c>
      <c r="F4576" s="74">
        <v>13</v>
      </c>
      <c r="G4576" s="758">
        <f t="shared" si="284"/>
        <v>1.56</v>
      </c>
      <c r="H4576" s="759">
        <f t="shared" si="285"/>
        <v>0.28000000000000003</v>
      </c>
      <c r="I4576" s="758">
        <f t="shared" si="286"/>
        <v>4.9399999999999995</v>
      </c>
      <c r="J4576" s="760">
        <f t="shared" si="287"/>
        <v>0.76</v>
      </c>
    </row>
    <row r="4577" spans="1:10">
      <c r="A4577" s="74" t="s">
        <v>678</v>
      </c>
      <c r="B4577" s="74" t="s">
        <v>256</v>
      </c>
      <c r="C4577" s="74" t="s">
        <v>1646</v>
      </c>
      <c r="D4577" s="74" t="s">
        <v>86</v>
      </c>
      <c r="E4577" s="74">
        <v>2</v>
      </c>
      <c r="F4577" s="74">
        <v>13.15</v>
      </c>
      <c r="G4577" s="758">
        <f t="shared" si="284"/>
        <v>1.56</v>
      </c>
      <c r="H4577" s="759">
        <f t="shared" si="285"/>
        <v>0.28000000000000003</v>
      </c>
      <c r="I4577" s="758">
        <f t="shared" si="286"/>
        <v>5.0150000000000006</v>
      </c>
      <c r="J4577" s="760">
        <f t="shared" si="287"/>
        <v>0.76273764258555132</v>
      </c>
    </row>
    <row r="4578" spans="1:10">
      <c r="A4578" s="74" t="s">
        <v>678</v>
      </c>
      <c r="B4578" s="74" t="s">
        <v>256</v>
      </c>
      <c r="C4578" s="74" t="s">
        <v>1541</v>
      </c>
      <c r="D4578" s="74" t="s">
        <v>86</v>
      </c>
      <c r="E4578" s="74">
        <v>3</v>
      </c>
      <c r="F4578" s="74">
        <v>19.8</v>
      </c>
      <c r="G4578" s="758">
        <f t="shared" si="284"/>
        <v>1.56</v>
      </c>
      <c r="H4578" s="759">
        <f t="shared" si="285"/>
        <v>0.28000000000000003</v>
      </c>
      <c r="I4578" s="758">
        <f t="shared" si="286"/>
        <v>5.0400000000000009</v>
      </c>
      <c r="J4578" s="760">
        <f t="shared" si="287"/>
        <v>0.76363636363636367</v>
      </c>
    </row>
    <row r="4579" spans="1:10">
      <c r="A4579" s="74" t="s">
        <v>678</v>
      </c>
      <c r="B4579" s="74" t="s">
        <v>256</v>
      </c>
      <c r="C4579" s="74" t="s">
        <v>1543</v>
      </c>
      <c r="D4579" s="74" t="s">
        <v>87</v>
      </c>
      <c r="E4579" s="74">
        <v>3</v>
      </c>
      <c r="F4579" s="74">
        <v>19.8</v>
      </c>
      <c r="G4579" s="758">
        <f t="shared" si="284"/>
        <v>1.56</v>
      </c>
      <c r="H4579" s="759">
        <f t="shared" si="285"/>
        <v>0.28000000000000003</v>
      </c>
      <c r="I4579" s="758">
        <f t="shared" si="286"/>
        <v>5.0400000000000009</v>
      </c>
      <c r="J4579" s="760">
        <f t="shared" si="287"/>
        <v>0.76363636363636367</v>
      </c>
    </row>
    <row r="4580" spans="1:10">
      <c r="A4580" s="74" t="s">
        <v>678</v>
      </c>
      <c r="B4580" s="74" t="s">
        <v>256</v>
      </c>
      <c r="C4580" s="74" t="s">
        <v>1608</v>
      </c>
      <c r="D4580" s="74" t="s">
        <v>89</v>
      </c>
      <c r="E4580" s="74">
        <v>2</v>
      </c>
      <c r="F4580" s="74">
        <v>13.3</v>
      </c>
      <c r="G4580" s="758">
        <f t="shared" si="284"/>
        <v>1.56</v>
      </c>
      <c r="H4580" s="759">
        <f t="shared" si="285"/>
        <v>0.28000000000000003</v>
      </c>
      <c r="I4580" s="758">
        <f t="shared" si="286"/>
        <v>5.09</v>
      </c>
      <c r="J4580" s="760">
        <f t="shared" si="287"/>
        <v>0.76541353383458643</v>
      </c>
    </row>
    <row r="4581" spans="1:10">
      <c r="A4581" s="74" t="s">
        <v>678</v>
      </c>
      <c r="B4581" s="74" t="s">
        <v>256</v>
      </c>
      <c r="C4581" s="74" t="s">
        <v>1546</v>
      </c>
      <c r="D4581" s="74" t="s">
        <v>89</v>
      </c>
      <c r="E4581" s="74">
        <v>1</v>
      </c>
      <c r="F4581" s="74">
        <v>6.5</v>
      </c>
      <c r="G4581" s="758">
        <f t="shared" si="284"/>
        <v>1.56</v>
      </c>
      <c r="H4581" s="759">
        <f t="shared" si="285"/>
        <v>0.28000000000000003</v>
      </c>
      <c r="I4581" s="758">
        <f t="shared" si="286"/>
        <v>4.9399999999999995</v>
      </c>
      <c r="J4581" s="760">
        <f t="shared" si="287"/>
        <v>0.76</v>
      </c>
    </row>
    <row r="4582" spans="1:10">
      <c r="A4582" s="74" t="s">
        <v>678</v>
      </c>
      <c r="B4582" s="74" t="s">
        <v>256</v>
      </c>
      <c r="C4582" s="74" t="s">
        <v>1547</v>
      </c>
      <c r="D4582" s="74" t="s">
        <v>89</v>
      </c>
      <c r="E4582" s="74">
        <v>3</v>
      </c>
      <c r="F4582" s="74">
        <v>19.649999999999999</v>
      </c>
      <c r="G4582" s="758">
        <f t="shared" si="284"/>
        <v>1.56</v>
      </c>
      <c r="H4582" s="759">
        <f t="shared" si="285"/>
        <v>0.28000000000000003</v>
      </c>
      <c r="I4582" s="758">
        <f t="shared" si="286"/>
        <v>4.99</v>
      </c>
      <c r="J4582" s="760">
        <f t="shared" si="287"/>
        <v>0.76183206106870227</v>
      </c>
    </row>
    <row r="4583" spans="1:10">
      <c r="A4583" s="74" t="s">
        <v>678</v>
      </c>
      <c r="B4583" s="74" t="s">
        <v>256</v>
      </c>
      <c r="C4583" s="74" t="s">
        <v>1582</v>
      </c>
      <c r="D4583" s="74" t="s">
        <v>89</v>
      </c>
      <c r="E4583" s="74">
        <v>1</v>
      </c>
      <c r="F4583" s="74">
        <v>6.65</v>
      </c>
      <c r="G4583" s="758">
        <f t="shared" si="284"/>
        <v>1.56</v>
      </c>
      <c r="H4583" s="759">
        <f t="shared" si="285"/>
        <v>0.28000000000000003</v>
      </c>
      <c r="I4583" s="758">
        <f t="shared" si="286"/>
        <v>5.09</v>
      </c>
      <c r="J4583" s="760">
        <f t="shared" si="287"/>
        <v>0.76541353383458643</v>
      </c>
    </row>
    <row r="4584" spans="1:10">
      <c r="A4584" s="74" t="s">
        <v>678</v>
      </c>
      <c r="B4584" s="74" t="s">
        <v>256</v>
      </c>
      <c r="C4584" s="74" t="s">
        <v>1675</v>
      </c>
      <c r="D4584" s="74" t="s">
        <v>91</v>
      </c>
      <c r="E4584" s="74">
        <v>1</v>
      </c>
      <c r="F4584" s="74">
        <v>6.5</v>
      </c>
      <c r="G4584" s="758">
        <f t="shared" si="284"/>
        <v>1.56</v>
      </c>
      <c r="H4584" s="759">
        <f t="shared" si="285"/>
        <v>0.28000000000000003</v>
      </c>
      <c r="I4584" s="758">
        <f t="shared" si="286"/>
        <v>4.9399999999999995</v>
      </c>
      <c r="J4584" s="760">
        <f t="shared" si="287"/>
        <v>0.76</v>
      </c>
    </row>
    <row r="4585" spans="1:10">
      <c r="A4585" s="74" t="s">
        <v>678</v>
      </c>
      <c r="B4585" s="74" t="s">
        <v>256</v>
      </c>
      <c r="C4585" s="74" t="s">
        <v>1631</v>
      </c>
      <c r="D4585" s="74" t="s">
        <v>92</v>
      </c>
      <c r="E4585" s="74">
        <v>1</v>
      </c>
      <c r="F4585" s="74">
        <v>6.5</v>
      </c>
      <c r="G4585" s="758">
        <f t="shared" si="284"/>
        <v>1.56</v>
      </c>
      <c r="H4585" s="759">
        <f t="shared" si="285"/>
        <v>0.28000000000000003</v>
      </c>
      <c r="I4585" s="758">
        <f t="shared" si="286"/>
        <v>4.9399999999999995</v>
      </c>
      <c r="J4585" s="760">
        <f t="shared" si="287"/>
        <v>0.76</v>
      </c>
    </row>
    <row r="4586" spans="1:10">
      <c r="A4586" s="74" t="s">
        <v>738</v>
      </c>
      <c r="B4586" s="74" t="s">
        <v>256</v>
      </c>
      <c r="C4586" s="74" t="s">
        <v>1528</v>
      </c>
      <c r="D4586" s="74" t="s">
        <v>78</v>
      </c>
      <c r="E4586" s="74">
        <v>8</v>
      </c>
      <c r="F4586" s="74">
        <v>54.32</v>
      </c>
      <c r="G4586" s="758">
        <f t="shared" si="284"/>
        <v>1.81</v>
      </c>
      <c r="H4586" s="759">
        <f t="shared" si="285"/>
        <v>0.27</v>
      </c>
      <c r="I4586" s="758">
        <f t="shared" si="286"/>
        <v>4.9800000000000004</v>
      </c>
      <c r="J4586" s="760">
        <f t="shared" si="287"/>
        <v>0.73343151693667163</v>
      </c>
    </row>
    <row r="4587" spans="1:10">
      <c r="A4587" s="74" t="s">
        <v>738</v>
      </c>
      <c r="B4587" s="74" t="s">
        <v>256</v>
      </c>
      <c r="C4587" s="74" t="s">
        <v>1508</v>
      </c>
      <c r="D4587" s="74" t="s">
        <v>78</v>
      </c>
      <c r="E4587" s="74">
        <v>10</v>
      </c>
      <c r="F4587" s="74">
        <v>69.11</v>
      </c>
      <c r="G4587" s="758">
        <f t="shared" si="284"/>
        <v>1.81</v>
      </c>
      <c r="H4587" s="759">
        <f t="shared" si="285"/>
        <v>0.27</v>
      </c>
      <c r="I4587" s="758">
        <f t="shared" si="286"/>
        <v>5.1009999999999991</v>
      </c>
      <c r="J4587" s="760">
        <f t="shared" si="287"/>
        <v>0.7380986832585732</v>
      </c>
    </row>
    <row r="4588" spans="1:10">
      <c r="A4588" s="74" t="s">
        <v>738</v>
      </c>
      <c r="B4588" s="74" t="s">
        <v>256</v>
      </c>
      <c r="C4588" s="74" t="s">
        <v>1509</v>
      </c>
      <c r="D4588" s="74" t="s">
        <v>78</v>
      </c>
      <c r="E4588" s="74">
        <v>11</v>
      </c>
      <c r="F4588" s="74">
        <v>76.55</v>
      </c>
      <c r="G4588" s="758">
        <f t="shared" si="284"/>
        <v>1.81</v>
      </c>
      <c r="H4588" s="759">
        <f t="shared" si="285"/>
        <v>0.27</v>
      </c>
      <c r="I4588" s="758">
        <f t="shared" si="286"/>
        <v>5.1490909090909085</v>
      </c>
      <c r="J4588" s="760">
        <f t="shared" si="287"/>
        <v>0.73990855649902021</v>
      </c>
    </row>
    <row r="4589" spans="1:10">
      <c r="A4589" s="74" t="s">
        <v>738</v>
      </c>
      <c r="B4589" s="74" t="s">
        <v>256</v>
      </c>
      <c r="C4589" s="74" t="s">
        <v>1565</v>
      </c>
      <c r="D4589" s="74" t="s">
        <v>78</v>
      </c>
      <c r="E4589" s="74">
        <v>20</v>
      </c>
      <c r="F4589" s="74">
        <v>143.32</v>
      </c>
      <c r="G4589" s="758">
        <f t="shared" si="284"/>
        <v>1.81</v>
      </c>
      <c r="H4589" s="759">
        <f t="shared" si="285"/>
        <v>0.27</v>
      </c>
      <c r="I4589" s="758">
        <f t="shared" si="286"/>
        <v>5.3559999999999999</v>
      </c>
      <c r="J4589" s="760">
        <f t="shared" si="287"/>
        <v>0.7474183644990231</v>
      </c>
    </row>
    <row r="4590" spans="1:10">
      <c r="A4590" s="74" t="s">
        <v>738</v>
      </c>
      <c r="B4590" s="74" t="s">
        <v>256</v>
      </c>
      <c r="C4590" s="74" t="s">
        <v>1530</v>
      </c>
      <c r="D4590" s="74" t="s">
        <v>80</v>
      </c>
      <c r="E4590" s="74">
        <v>14</v>
      </c>
      <c r="F4590" s="74">
        <v>100.77</v>
      </c>
      <c r="G4590" s="758">
        <f t="shared" si="284"/>
        <v>1.81</v>
      </c>
      <c r="H4590" s="759">
        <f t="shared" si="285"/>
        <v>0.27</v>
      </c>
      <c r="I4590" s="758">
        <f t="shared" si="286"/>
        <v>5.3878571428571433</v>
      </c>
      <c r="J4590" s="760">
        <f t="shared" si="287"/>
        <v>0.74853627071549078</v>
      </c>
    </row>
    <row r="4591" spans="1:10">
      <c r="A4591" s="74" t="s">
        <v>738</v>
      </c>
      <c r="B4591" s="74" t="s">
        <v>256</v>
      </c>
      <c r="C4591" s="74" t="s">
        <v>1532</v>
      </c>
      <c r="D4591" s="74" t="s">
        <v>80</v>
      </c>
      <c r="E4591" s="74">
        <v>22</v>
      </c>
      <c r="F4591" s="74">
        <v>161.27000000000001</v>
      </c>
      <c r="G4591" s="758">
        <f t="shared" si="284"/>
        <v>1.81</v>
      </c>
      <c r="H4591" s="759">
        <f t="shared" si="285"/>
        <v>0.27</v>
      </c>
      <c r="I4591" s="758">
        <f t="shared" si="286"/>
        <v>5.5204545454545464</v>
      </c>
      <c r="J4591" s="760">
        <f t="shared" si="287"/>
        <v>0.75308488869597567</v>
      </c>
    </row>
    <row r="4592" spans="1:10">
      <c r="A4592" s="74" t="s">
        <v>738</v>
      </c>
      <c r="B4592" s="74" t="s">
        <v>256</v>
      </c>
      <c r="C4592" s="74" t="s">
        <v>1511</v>
      </c>
      <c r="D4592" s="74" t="s">
        <v>80</v>
      </c>
      <c r="E4592" s="74">
        <v>16</v>
      </c>
      <c r="F4592" s="74">
        <v>117.01</v>
      </c>
      <c r="G4592" s="758">
        <f t="shared" si="284"/>
        <v>1.81</v>
      </c>
      <c r="H4592" s="759">
        <f t="shared" si="285"/>
        <v>0.27</v>
      </c>
      <c r="I4592" s="758">
        <f t="shared" si="286"/>
        <v>5.5031250000000007</v>
      </c>
      <c r="J4592" s="760">
        <f t="shared" si="287"/>
        <v>0.75249978634304759</v>
      </c>
    </row>
    <row r="4593" spans="1:10">
      <c r="A4593" s="74" t="s">
        <v>738</v>
      </c>
      <c r="B4593" s="74" t="s">
        <v>256</v>
      </c>
      <c r="C4593" s="74" t="s">
        <v>1512</v>
      </c>
      <c r="D4593" s="74" t="s">
        <v>80</v>
      </c>
      <c r="E4593" s="74">
        <v>19</v>
      </c>
      <c r="F4593" s="74">
        <v>139.72</v>
      </c>
      <c r="G4593" s="758">
        <f t="shared" si="284"/>
        <v>1.81</v>
      </c>
      <c r="H4593" s="759">
        <f t="shared" si="285"/>
        <v>0.27</v>
      </c>
      <c r="I4593" s="758">
        <f t="shared" si="286"/>
        <v>5.5436842105263153</v>
      </c>
      <c r="J4593" s="760">
        <f t="shared" si="287"/>
        <v>0.75386487260234758</v>
      </c>
    </row>
    <row r="4594" spans="1:10">
      <c r="A4594" s="74" t="s">
        <v>738</v>
      </c>
      <c r="B4594" s="74" t="s">
        <v>256</v>
      </c>
      <c r="C4594" s="74" t="s">
        <v>1534</v>
      </c>
      <c r="D4594" s="74" t="s">
        <v>81</v>
      </c>
      <c r="E4594" s="74">
        <v>9</v>
      </c>
      <c r="F4594" s="74">
        <v>67.900000000000006</v>
      </c>
      <c r="G4594" s="758">
        <f t="shared" si="284"/>
        <v>1.81</v>
      </c>
      <c r="H4594" s="759">
        <f t="shared" si="285"/>
        <v>0.27</v>
      </c>
      <c r="I4594" s="758">
        <f t="shared" si="286"/>
        <v>5.7344444444444456</v>
      </c>
      <c r="J4594" s="760">
        <f t="shared" si="287"/>
        <v>0.76008836524300438</v>
      </c>
    </row>
    <row r="4595" spans="1:10">
      <c r="A4595" s="74" t="s">
        <v>738</v>
      </c>
      <c r="B4595" s="74" t="s">
        <v>256</v>
      </c>
      <c r="C4595" s="74" t="s">
        <v>1513</v>
      </c>
      <c r="D4595" s="74" t="s">
        <v>81</v>
      </c>
      <c r="E4595" s="74">
        <v>22</v>
      </c>
      <c r="F4595" s="74">
        <v>163.11000000000001</v>
      </c>
      <c r="G4595" s="758">
        <f t="shared" si="284"/>
        <v>1.81</v>
      </c>
      <c r="H4595" s="759">
        <f t="shared" si="285"/>
        <v>0.27</v>
      </c>
      <c r="I4595" s="758">
        <f t="shared" si="286"/>
        <v>5.6040909090909103</v>
      </c>
      <c r="J4595" s="760">
        <f t="shared" si="287"/>
        <v>0.75587027159585563</v>
      </c>
    </row>
    <row r="4596" spans="1:10">
      <c r="A4596" s="74" t="s">
        <v>738</v>
      </c>
      <c r="B4596" s="74" t="s">
        <v>256</v>
      </c>
      <c r="C4596" s="74" t="s">
        <v>1514</v>
      </c>
      <c r="D4596" s="74" t="s">
        <v>81</v>
      </c>
      <c r="E4596" s="74">
        <v>16</v>
      </c>
      <c r="F4596" s="74">
        <v>117.24</v>
      </c>
      <c r="G4596" s="758">
        <f t="shared" si="284"/>
        <v>1.81</v>
      </c>
      <c r="H4596" s="759">
        <f t="shared" si="285"/>
        <v>0.27</v>
      </c>
      <c r="I4596" s="758">
        <f t="shared" si="286"/>
        <v>5.5175000000000001</v>
      </c>
      <c r="J4596" s="760">
        <f t="shared" si="287"/>
        <v>0.7529853292391675</v>
      </c>
    </row>
    <row r="4597" spans="1:10">
      <c r="A4597" s="74" t="s">
        <v>738</v>
      </c>
      <c r="B4597" s="74" t="s">
        <v>256</v>
      </c>
      <c r="C4597" s="74" t="s">
        <v>1515</v>
      </c>
      <c r="D4597" s="74" t="s">
        <v>81</v>
      </c>
      <c r="E4597" s="74">
        <v>22</v>
      </c>
      <c r="F4597" s="74">
        <v>216.55</v>
      </c>
      <c r="G4597" s="758">
        <f t="shared" si="284"/>
        <v>1.81</v>
      </c>
      <c r="H4597" s="759">
        <f t="shared" si="285"/>
        <v>0.27</v>
      </c>
      <c r="I4597" s="758">
        <f t="shared" si="286"/>
        <v>8.0331818181818182</v>
      </c>
      <c r="J4597" s="760">
        <f t="shared" si="287"/>
        <v>0.81611637035326712</v>
      </c>
    </row>
    <row r="4598" spans="1:10">
      <c r="A4598" s="74" t="s">
        <v>738</v>
      </c>
      <c r="B4598" s="74" t="s">
        <v>256</v>
      </c>
      <c r="C4598" s="74" t="s">
        <v>1516</v>
      </c>
      <c r="D4598" s="74" t="s">
        <v>82</v>
      </c>
      <c r="E4598" s="74">
        <v>11</v>
      </c>
      <c r="F4598" s="74">
        <v>83.95</v>
      </c>
      <c r="G4598" s="758">
        <f t="shared" si="284"/>
        <v>1.81</v>
      </c>
      <c r="H4598" s="759">
        <f t="shared" si="285"/>
        <v>0.27</v>
      </c>
      <c r="I4598" s="758">
        <f t="shared" si="286"/>
        <v>5.8218181818181822</v>
      </c>
      <c r="J4598" s="760">
        <f t="shared" si="287"/>
        <v>0.76283502084574151</v>
      </c>
    </row>
    <row r="4599" spans="1:10">
      <c r="A4599" s="74" t="s">
        <v>738</v>
      </c>
      <c r="B4599" s="74" t="s">
        <v>256</v>
      </c>
      <c r="C4599" s="74" t="s">
        <v>1517</v>
      </c>
      <c r="D4599" s="74" t="s">
        <v>82</v>
      </c>
      <c r="E4599" s="74">
        <v>6</v>
      </c>
      <c r="F4599" s="74">
        <v>45</v>
      </c>
      <c r="G4599" s="758">
        <f t="shared" si="284"/>
        <v>1.81</v>
      </c>
      <c r="H4599" s="759">
        <f t="shared" si="285"/>
        <v>0.27</v>
      </c>
      <c r="I4599" s="758">
        <f t="shared" si="286"/>
        <v>5.6899999999999995</v>
      </c>
      <c r="J4599" s="760">
        <f t="shared" si="287"/>
        <v>0.75866666666666671</v>
      </c>
    </row>
    <row r="4600" spans="1:10">
      <c r="A4600" s="74" t="s">
        <v>738</v>
      </c>
      <c r="B4600" s="74" t="s">
        <v>256</v>
      </c>
      <c r="C4600" s="74" t="s">
        <v>1527</v>
      </c>
      <c r="D4600" s="74" t="s">
        <v>82</v>
      </c>
      <c r="E4600" s="74">
        <v>12</v>
      </c>
      <c r="F4600" s="74">
        <v>90.75</v>
      </c>
      <c r="G4600" s="758">
        <f t="shared" si="284"/>
        <v>1.81</v>
      </c>
      <c r="H4600" s="759">
        <f t="shared" si="285"/>
        <v>0.27</v>
      </c>
      <c r="I4600" s="758">
        <f t="shared" si="286"/>
        <v>5.7524999999999995</v>
      </c>
      <c r="J4600" s="760">
        <f t="shared" si="287"/>
        <v>0.76066115702479342</v>
      </c>
    </row>
    <row r="4601" spans="1:10">
      <c r="A4601" s="74" t="s">
        <v>738</v>
      </c>
      <c r="B4601" s="74" t="s">
        <v>256</v>
      </c>
      <c r="C4601" s="74" t="s">
        <v>1518</v>
      </c>
      <c r="D4601" s="74" t="s">
        <v>82</v>
      </c>
      <c r="E4601" s="74">
        <v>6</v>
      </c>
      <c r="F4601" s="74">
        <v>60.9</v>
      </c>
      <c r="G4601" s="758">
        <f t="shared" si="284"/>
        <v>1.81</v>
      </c>
      <c r="H4601" s="759">
        <f t="shared" si="285"/>
        <v>0.27</v>
      </c>
      <c r="I4601" s="758">
        <f t="shared" si="286"/>
        <v>8.34</v>
      </c>
      <c r="J4601" s="760">
        <f t="shared" si="287"/>
        <v>0.82167487684729068</v>
      </c>
    </row>
    <row r="4602" spans="1:10">
      <c r="A4602" s="74" t="s">
        <v>738</v>
      </c>
      <c r="B4602" s="74" t="s">
        <v>256</v>
      </c>
      <c r="C4602" s="74" t="s">
        <v>1519</v>
      </c>
      <c r="D4602" s="74" t="s">
        <v>84</v>
      </c>
      <c r="E4602" s="74">
        <v>4</v>
      </c>
      <c r="F4602" s="74">
        <v>28.8</v>
      </c>
      <c r="G4602" s="758">
        <f t="shared" si="284"/>
        <v>1.81</v>
      </c>
      <c r="H4602" s="759">
        <f t="shared" si="285"/>
        <v>0.27</v>
      </c>
      <c r="I4602" s="758">
        <f t="shared" si="286"/>
        <v>5.3900000000000006</v>
      </c>
      <c r="J4602" s="760">
        <f t="shared" si="287"/>
        <v>0.74861111111111112</v>
      </c>
    </row>
    <row r="4603" spans="1:10">
      <c r="A4603" s="74" t="s">
        <v>738</v>
      </c>
      <c r="B4603" s="74" t="s">
        <v>256</v>
      </c>
      <c r="C4603" s="74" t="s">
        <v>1507</v>
      </c>
      <c r="D4603" s="74" t="s">
        <v>86</v>
      </c>
      <c r="E4603" s="74">
        <v>1</v>
      </c>
      <c r="F4603" s="74">
        <v>7.65</v>
      </c>
      <c r="G4603" s="758">
        <f t="shared" si="284"/>
        <v>1.81</v>
      </c>
      <c r="H4603" s="759">
        <f t="shared" si="285"/>
        <v>0.27</v>
      </c>
      <c r="I4603" s="758">
        <f t="shared" si="286"/>
        <v>5.84</v>
      </c>
      <c r="J4603" s="760">
        <f t="shared" si="287"/>
        <v>0.76339869281045747</v>
      </c>
    </row>
    <row r="4604" spans="1:10">
      <c r="A4604" s="74" t="s">
        <v>738</v>
      </c>
      <c r="B4604" s="74" t="s">
        <v>256</v>
      </c>
      <c r="C4604" s="74" t="s">
        <v>1608</v>
      </c>
      <c r="D4604" s="74" t="s">
        <v>89</v>
      </c>
      <c r="E4604" s="74">
        <v>1</v>
      </c>
      <c r="F4604" s="74">
        <v>7.65</v>
      </c>
      <c r="G4604" s="758">
        <f t="shared" si="284"/>
        <v>1.81</v>
      </c>
      <c r="H4604" s="759">
        <f t="shared" si="285"/>
        <v>0.27</v>
      </c>
      <c r="I4604" s="758">
        <f t="shared" si="286"/>
        <v>5.84</v>
      </c>
      <c r="J4604" s="760">
        <f t="shared" si="287"/>
        <v>0.76339869281045747</v>
      </c>
    </row>
    <row r="4605" spans="1:10">
      <c r="A4605" s="74" t="s">
        <v>738</v>
      </c>
      <c r="B4605" s="74" t="s">
        <v>256</v>
      </c>
      <c r="C4605" s="74" t="s">
        <v>1930</v>
      </c>
      <c r="D4605" s="74" t="s">
        <v>95</v>
      </c>
      <c r="E4605" s="74">
        <v>1</v>
      </c>
      <c r="F4605" s="74">
        <v>7.5</v>
      </c>
      <c r="G4605" s="758">
        <f t="shared" si="284"/>
        <v>1.81</v>
      </c>
      <c r="H4605" s="759">
        <f t="shared" si="285"/>
        <v>0.27</v>
      </c>
      <c r="I4605" s="758">
        <f t="shared" si="286"/>
        <v>5.6899999999999995</v>
      </c>
      <c r="J4605" s="760">
        <f t="shared" si="287"/>
        <v>0.7586666666666666</v>
      </c>
    </row>
    <row r="4606" spans="1:10">
      <c r="A4606" s="74" t="s">
        <v>2018</v>
      </c>
      <c r="B4606" s="74" t="s">
        <v>256</v>
      </c>
      <c r="C4606" s="74" t="s">
        <v>1543</v>
      </c>
      <c r="D4606" s="74" t="s">
        <v>87</v>
      </c>
      <c r="E4606" s="74">
        <v>1</v>
      </c>
      <c r="F4606" s="74">
        <v>6.65</v>
      </c>
      <c r="G4606" s="758">
        <f t="shared" si="284"/>
        <v>0</v>
      </c>
      <c r="H4606" s="759">
        <f t="shared" si="285"/>
        <v>0</v>
      </c>
      <c r="I4606" s="758">
        <f t="shared" si="286"/>
        <v>6.65</v>
      </c>
      <c r="J4606" s="760">
        <f t="shared" si="287"/>
        <v>1</v>
      </c>
    </row>
    <row r="4607" spans="1:10">
      <c r="A4607" s="74" t="s">
        <v>2019</v>
      </c>
      <c r="B4607" s="74" t="s">
        <v>275</v>
      </c>
      <c r="C4607" s="74" t="s">
        <v>1508</v>
      </c>
      <c r="D4607" s="74" t="s">
        <v>78</v>
      </c>
      <c r="E4607" s="74">
        <v>2</v>
      </c>
      <c r="F4607" s="74">
        <v>10</v>
      </c>
      <c r="G4607" s="758">
        <f t="shared" si="284"/>
        <v>2.09</v>
      </c>
      <c r="H4607" s="759">
        <f t="shared" si="285"/>
        <v>0.42</v>
      </c>
      <c r="I4607" s="758">
        <f t="shared" si="286"/>
        <v>2.91</v>
      </c>
      <c r="J4607" s="760">
        <f t="shared" si="287"/>
        <v>0.58200000000000007</v>
      </c>
    </row>
    <row r="4608" spans="1:10">
      <c r="A4608" s="74" t="s">
        <v>2019</v>
      </c>
      <c r="B4608" s="74" t="s">
        <v>275</v>
      </c>
      <c r="C4608" s="74" t="s">
        <v>1534</v>
      </c>
      <c r="D4608" s="74" t="s">
        <v>81</v>
      </c>
      <c r="E4608" s="74">
        <v>4</v>
      </c>
      <c r="F4608" s="74">
        <v>20</v>
      </c>
      <c r="G4608" s="758">
        <f t="shared" si="284"/>
        <v>2.09</v>
      </c>
      <c r="H4608" s="759">
        <f t="shared" si="285"/>
        <v>0.42</v>
      </c>
      <c r="I4608" s="758">
        <f t="shared" si="286"/>
        <v>2.91</v>
      </c>
      <c r="J4608" s="760">
        <f t="shared" si="287"/>
        <v>0.58200000000000007</v>
      </c>
    </row>
    <row r="4609" spans="1:10">
      <c r="A4609" s="74" t="s">
        <v>2019</v>
      </c>
      <c r="B4609" s="74" t="s">
        <v>275</v>
      </c>
      <c r="C4609" s="74" t="s">
        <v>1513</v>
      </c>
      <c r="D4609" s="74" t="s">
        <v>81</v>
      </c>
      <c r="E4609" s="74">
        <v>1</v>
      </c>
      <c r="F4609" s="74">
        <v>5.65</v>
      </c>
      <c r="G4609" s="758">
        <f t="shared" si="284"/>
        <v>2.09</v>
      </c>
      <c r="H4609" s="759">
        <f t="shared" si="285"/>
        <v>0.42</v>
      </c>
      <c r="I4609" s="758">
        <f t="shared" si="286"/>
        <v>3.5600000000000005</v>
      </c>
      <c r="J4609" s="760">
        <f t="shared" si="287"/>
        <v>0.63008849557522129</v>
      </c>
    </row>
    <row r="4610" spans="1:10">
      <c r="A4610" s="74" t="s">
        <v>2019</v>
      </c>
      <c r="B4610" s="74" t="s">
        <v>275</v>
      </c>
      <c r="C4610" s="74" t="s">
        <v>1515</v>
      </c>
      <c r="D4610" s="74" t="s">
        <v>81</v>
      </c>
      <c r="E4610" s="74">
        <v>1</v>
      </c>
      <c r="F4610" s="74">
        <v>7.25</v>
      </c>
      <c r="G4610" s="758">
        <f t="shared" ref="G4610:G4673" si="288">IFERROR(VLOOKUP(A4610,$M$1:$P$1014,2,FALSE),0)</f>
        <v>2.09</v>
      </c>
      <c r="H4610" s="759">
        <f t="shared" ref="H4610:H4673" si="289">IFERROR(VLOOKUP(A4610,$M$1:$P$1014,3,FALSE),0)</f>
        <v>0.42</v>
      </c>
      <c r="I4610" s="758">
        <f t="shared" ref="I4610:I4673" si="290">IFERROR(F4610/E4610-G4610,0)</f>
        <v>5.16</v>
      </c>
      <c r="J4610" s="760">
        <f t="shared" ref="J4610:J4673" si="291">IFERROR(1-G4610*E4610/F4610,0)</f>
        <v>0.71172413793103451</v>
      </c>
    </row>
    <row r="4611" spans="1:10">
      <c r="A4611" s="74" t="s">
        <v>685</v>
      </c>
      <c r="B4611" s="74" t="s">
        <v>256</v>
      </c>
      <c r="C4611" s="74" t="s">
        <v>1528</v>
      </c>
      <c r="D4611" s="74" t="s">
        <v>78</v>
      </c>
      <c r="E4611" s="74">
        <v>17</v>
      </c>
      <c r="F4611" s="74">
        <v>145.63999999999999</v>
      </c>
      <c r="G4611" s="758">
        <f t="shared" si="288"/>
        <v>1.84</v>
      </c>
      <c r="H4611" s="759">
        <f t="shared" si="289"/>
        <v>0.24</v>
      </c>
      <c r="I4611" s="758">
        <f t="shared" si="290"/>
        <v>6.7270588235294113</v>
      </c>
      <c r="J4611" s="760">
        <f t="shared" si="291"/>
        <v>0.78522383960450426</v>
      </c>
    </row>
    <row r="4612" spans="1:10">
      <c r="A4612" s="74" t="s">
        <v>685</v>
      </c>
      <c r="B4612" s="74" t="s">
        <v>256</v>
      </c>
      <c r="C4612" s="74" t="s">
        <v>1508</v>
      </c>
      <c r="D4612" s="74" t="s">
        <v>78</v>
      </c>
      <c r="E4612" s="74">
        <v>12</v>
      </c>
      <c r="F4612" s="74">
        <v>102.39</v>
      </c>
      <c r="G4612" s="758">
        <f t="shared" si="288"/>
        <v>1.84</v>
      </c>
      <c r="H4612" s="759">
        <f t="shared" si="289"/>
        <v>0.24</v>
      </c>
      <c r="I4612" s="758">
        <f t="shared" si="290"/>
        <v>6.6925000000000008</v>
      </c>
      <c r="J4612" s="760">
        <f t="shared" si="291"/>
        <v>0.78435394081453269</v>
      </c>
    </row>
    <row r="4613" spans="1:10">
      <c r="A4613" s="74" t="s">
        <v>685</v>
      </c>
      <c r="B4613" s="74" t="s">
        <v>256</v>
      </c>
      <c r="C4613" s="74" t="s">
        <v>1509</v>
      </c>
      <c r="D4613" s="74" t="s">
        <v>78</v>
      </c>
      <c r="E4613" s="74">
        <v>14</v>
      </c>
      <c r="F4613" s="74">
        <v>116.71</v>
      </c>
      <c r="G4613" s="758">
        <f t="shared" si="288"/>
        <v>1.84</v>
      </c>
      <c r="H4613" s="759">
        <f t="shared" si="289"/>
        <v>0.24</v>
      </c>
      <c r="I4613" s="758">
        <f t="shared" si="290"/>
        <v>6.4964285714285719</v>
      </c>
      <c r="J4613" s="760">
        <f t="shared" si="291"/>
        <v>0.77928198097849366</v>
      </c>
    </row>
    <row r="4614" spans="1:10">
      <c r="A4614" s="74" t="s">
        <v>685</v>
      </c>
      <c r="B4614" s="74" t="s">
        <v>256</v>
      </c>
      <c r="C4614" s="74" t="s">
        <v>1565</v>
      </c>
      <c r="D4614" s="74" t="s">
        <v>78</v>
      </c>
      <c r="E4614" s="74">
        <v>15</v>
      </c>
      <c r="F4614" s="74">
        <v>126.88</v>
      </c>
      <c r="G4614" s="758">
        <f t="shared" si="288"/>
        <v>1.84</v>
      </c>
      <c r="H4614" s="759">
        <f t="shared" si="289"/>
        <v>0.24</v>
      </c>
      <c r="I4614" s="758">
        <f t="shared" si="290"/>
        <v>6.618666666666666</v>
      </c>
      <c r="J4614" s="760">
        <f t="shared" si="291"/>
        <v>0.78247162673392179</v>
      </c>
    </row>
    <row r="4615" spans="1:10">
      <c r="A4615" s="74" t="s">
        <v>685</v>
      </c>
      <c r="B4615" s="74" t="s">
        <v>256</v>
      </c>
      <c r="C4615" s="74" t="s">
        <v>1530</v>
      </c>
      <c r="D4615" s="74" t="s">
        <v>80</v>
      </c>
      <c r="E4615" s="74">
        <v>6</v>
      </c>
      <c r="F4615" s="74">
        <v>49.32</v>
      </c>
      <c r="G4615" s="758">
        <f t="shared" si="288"/>
        <v>1.84</v>
      </c>
      <c r="H4615" s="759">
        <f t="shared" si="289"/>
        <v>0.24</v>
      </c>
      <c r="I4615" s="758">
        <f t="shared" si="290"/>
        <v>6.3800000000000008</v>
      </c>
      <c r="J4615" s="760">
        <f t="shared" si="291"/>
        <v>0.77615571776155723</v>
      </c>
    </row>
    <row r="4616" spans="1:10">
      <c r="A4616" s="74" t="s">
        <v>685</v>
      </c>
      <c r="B4616" s="74" t="s">
        <v>256</v>
      </c>
      <c r="C4616" s="74" t="s">
        <v>1532</v>
      </c>
      <c r="D4616" s="74" t="s">
        <v>80</v>
      </c>
      <c r="E4616" s="74">
        <v>14</v>
      </c>
      <c r="F4616" s="74">
        <v>121.37</v>
      </c>
      <c r="G4616" s="758">
        <f t="shared" si="288"/>
        <v>1.84</v>
      </c>
      <c r="H4616" s="759">
        <f t="shared" si="289"/>
        <v>0.24</v>
      </c>
      <c r="I4616" s="758">
        <f t="shared" si="290"/>
        <v>6.8292857142857155</v>
      </c>
      <c r="J4616" s="760">
        <f t="shared" si="291"/>
        <v>0.78775644722748617</v>
      </c>
    </row>
    <row r="4617" spans="1:10">
      <c r="A4617" s="74" t="s">
        <v>685</v>
      </c>
      <c r="B4617" s="74" t="s">
        <v>256</v>
      </c>
      <c r="C4617" s="74" t="s">
        <v>1511</v>
      </c>
      <c r="D4617" s="74" t="s">
        <v>80</v>
      </c>
      <c r="E4617" s="74">
        <v>18</v>
      </c>
      <c r="F4617" s="74">
        <v>149.34</v>
      </c>
      <c r="G4617" s="758">
        <f t="shared" si="288"/>
        <v>1.84</v>
      </c>
      <c r="H4617" s="759">
        <f t="shared" si="289"/>
        <v>0.24</v>
      </c>
      <c r="I4617" s="758">
        <f t="shared" si="290"/>
        <v>6.456666666666667</v>
      </c>
      <c r="J4617" s="760">
        <f t="shared" si="291"/>
        <v>0.77822418642024904</v>
      </c>
    </row>
    <row r="4618" spans="1:10">
      <c r="A4618" s="74" t="s">
        <v>685</v>
      </c>
      <c r="B4618" s="74" t="s">
        <v>256</v>
      </c>
      <c r="C4618" s="74" t="s">
        <v>1512</v>
      </c>
      <c r="D4618" s="74" t="s">
        <v>80</v>
      </c>
      <c r="E4618" s="74">
        <v>15</v>
      </c>
      <c r="F4618" s="74">
        <v>119.23</v>
      </c>
      <c r="G4618" s="758">
        <f t="shared" si="288"/>
        <v>1.84</v>
      </c>
      <c r="H4618" s="759">
        <f t="shared" si="289"/>
        <v>0.24</v>
      </c>
      <c r="I4618" s="758">
        <f t="shared" si="290"/>
        <v>6.1086666666666671</v>
      </c>
      <c r="J4618" s="760">
        <f t="shared" si="291"/>
        <v>0.76851463557829403</v>
      </c>
    </row>
    <row r="4619" spans="1:10">
      <c r="A4619" s="74" t="s">
        <v>685</v>
      </c>
      <c r="B4619" s="74" t="s">
        <v>256</v>
      </c>
      <c r="C4619" s="74" t="s">
        <v>1534</v>
      </c>
      <c r="D4619" s="74" t="s">
        <v>81</v>
      </c>
      <c r="E4619" s="74">
        <v>7</v>
      </c>
      <c r="F4619" s="74">
        <v>62.8</v>
      </c>
      <c r="G4619" s="758">
        <f t="shared" si="288"/>
        <v>1.84</v>
      </c>
      <c r="H4619" s="759">
        <f t="shared" si="289"/>
        <v>0.24</v>
      </c>
      <c r="I4619" s="758">
        <f t="shared" si="290"/>
        <v>7.1314285714285717</v>
      </c>
      <c r="J4619" s="760">
        <f t="shared" si="291"/>
        <v>0.79490445859872616</v>
      </c>
    </row>
    <row r="4620" spans="1:10">
      <c r="A4620" s="74" t="s">
        <v>685</v>
      </c>
      <c r="B4620" s="74" t="s">
        <v>256</v>
      </c>
      <c r="C4620" s="74" t="s">
        <v>1513</v>
      </c>
      <c r="D4620" s="74" t="s">
        <v>81</v>
      </c>
      <c r="E4620" s="74">
        <v>21</v>
      </c>
      <c r="F4620" s="74">
        <v>182.07</v>
      </c>
      <c r="G4620" s="758">
        <f t="shared" si="288"/>
        <v>1.84</v>
      </c>
      <c r="H4620" s="759">
        <f t="shared" si="289"/>
        <v>0.24</v>
      </c>
      <c r="I4620" s="758">
        <f t="shared" si="290"/>
        <v>6.83</v>
      </c>
      <c r="J4620" s="760">
        <f t="shared" si="291"/>
        <v>0.78777393310265276</v>
      </c>
    </row>
    <row r="4621" spans="1:10">
      <c r="A4621" s="74" t="s">
        <v>685</v>
      </c>
      <c r="B4621" s="74" t="s">
        <v>256</v>
      </c>
      <c r="C4621" s="74" t="s">
        <v>1514</v>
      </c>
      <c r="D4621" s="74" t="s">
        <v>81</v>
      </c>
      <c r="E4621" s="74">
        <v>13</v>
      </c>
      <c r="F4621" s="74">
        <v>111.2</v>
      </c>
      <c r="G4621" s="758">
        <f t="shared" si="288"/>
        <v>1.84</v>
      </c>
      <c r="H4621" s="759">
        <f t="shared" si="289"/>
        <v>0.24</v>
      </c>
      <c r="I4621" s="758">
        <f t="shared" si="290"/>
        <v>6.7138461538461538</v>
      </c>
      <c r="J4621" s="760">
        <f t="shared" si="291"/>
        <v>0.78489208633093521</v>
      </c>
    </row>
    <row r="4622" spans="1:10">
      <c r="A4622" s="74" t="s">
        <v>685</v>
      </c>
      <c r="B4622" s="74" t="s">
        <v>256</v>
      </c>
      <c r="C4622" s="74" t="s">
        <v>1515</v>
      </c>
      <c r="D4622" s="74" t="s">
        <v>81</v>
      </c>
      <c r="E4622" s="74">
        <v>15</v>
      </c>
      <c r="F4622" s="74">
        <v>135.08000000000001</v>
      </c>
      <c r="G4622" s="758">
        <f t="shared" si="288"/>
        <v>1.84</v>
      </c>
      <c r="H4622" s="759">
        <f t="shared" si="289"/>
        <v>0.24</v>
      </c>
      <c r="I4622" s="758">
        <f t="shared" si="290"/>
        <v>7.1653333333333347</v>
      </c>
      <c r="J4622" s="760">
        <f t="shared" si="291"/>
        <v>0.7956766360675156</v>
      </c>
    </row>
    <row r="4623" spans="1:10">
      <c r="A4623" s="74" t="s">
        <v>685</v>
      </c>
      <c r="B4623" s="74" t="s">
        <v>256</v>
      </c>
      <c r="C4623" s="74" t="s">
        <v>1516</v>
      </c>
      <c r="D4623" s="74" t="s">
        <v>82</v>
      </c>
      <c r="E4623" s="74">
        <v>9</v>
      </c>
      <c r="F4623" s="74">
        <v>83.31</v>
      </c>
      <c r="G4623" s="758">
        <f t="shared" si="288"/>
        <v>1.84</v>
      </c>
      <c r="H4623" s="759">
        <f t="shared" si="289"/>
        <v>0.24</v>
      </c>
      <c r="I4623" s="758">
        <f t="shared" si="290"/>
        <v>7.4166666666666679</v>
      </c>
      <c r="J4623" s="760">
        <f t="shared" si="291"/>
        <v>0.80122434281598842</v>
      </c>
    </row>
    <row r="4624" spans="1:10">
      <c r="A4624" s="74" t="s">
        <v>685</v>
      </c>
      <c r="B4624" s="74" t="s">
        <v>256</v>
      </c>
      <c r="C4624" s="74" t="s">
        <v>1517</v>
      </c>
      <c r="D4624" s="74" t="s">
        <v>82</v>
      </c>
      <c r="E4624" s="74">
        <v>9</v>
      </c>
      <c r="F4624" s="74">
        <v>81.150000000000006</v>
      </c>
      <c r="G4624" s="758">
        <f t="shared" si="288"/>
        <v>1.84</v>
      </c>
      <c r="H4624" s="759">
        <f t="shared" si="289"/>
        <v>0.24</v>
      </c>
      <c r="I4624" s="758">
        <f t="shared" si="290"/>
        <v>7.1766666666666676</v>
      </c>
      <c r="J4624" s="760">
        <f t="shared" si="291"/>
        <v>0.79593345656192238</v>
      </c>
    </row>
    <row r="4625" spans="1:10">
      <c r="A4625" s="74" t="s">
        <v>685</v>
      </c>
      <c r="B4625" s="74" t="s">
        <v>256</v>
      </c>
      <c r="C4625" s="74" t="s">
        <v>1527</v>
      </c>
      <c r="D4625" s="74" t="s">
        <v>82</v>
      </c>
      <c r="E4625" s="74">
        <v>11</v>
      </c>
      <c r="F4625" s="74">
        <v>98.9</v>
      </c>
      <c r="G4625" s="758">
        <f t="shared" si="288"/>
        <v>1.84</v>
      </c>
      <c r="H4625" s="759">
        <f t="shared" si="289"/>
        <v>0.24</v>
      </c>
      <c r="I4625" s="758">
        <f t="shared" si="290"/>
        <v>7.1509090909090922</v>
      </c>
      <c r="J4625" s="760">
        <f t="shared" si="291"/>
        <v>0.79534883720930227</v>
      </c>
    </row>
    <row r="4626" spans="1:10">
      <c r="A4626" s="74" t="s">
        <v>685</v>
      </c>
      <c r="B4626" s="74" t="s">
        <v>256</v>
      </c>
      <c r="C4626" s="74" t="s">
        <v>1518</v>
      </c>
      <c r="D4626" s="74" t="s">
        <v>82</v>
      </c>
      <c r="E4626" s="74">
        <v>7</v>
      </c>
      <c r="F4626" s="74">
        <v>62.81</v>
      </c>
      <c r="G4626" s="758">
        <f t="shared" si="288"/>
        <v>1.84</v>
      </c>
      <c r="H4626" s="759">
        <f t="shared" si="289"/>
        <v>0.24</v>
      </c>
      <c r="I4626" s="758">
        <f t="shared" si="290"/>
        <v>7.1328571428571426</v>
      </c>
      <c r="J4626" s="760">
        <f t="shared" si="291"/>
        <v>0.79493711192485272</v>
      </c>
    </row>
    <row r="4627" spans="1:10">
      <c r="A4627" s="74" t="s">
        <v>685</v>
      </c>
      <c r="B4627" s="74" t="s">
        <v>256</v>
      </c>
      <c r="C4627" s="74" t="s">
        <v>1519</v>
      </c>
      <c r="D4627" s="74" t="s">
        <v>84</v>
      </c>
      <c r="E4627" s="74">
        <v>2</v>
      </c>
      <c r="F4627" s="74">
        <v>16.260000000000002</v>
      </c>
      <c r="G4627" s="758">
        <f t="shared" si="288"/>
        <v>1.84</v>
      </c>
      <c r="H4627" s="759">
        <f t="shared" si="289"/>
        <v>0.24</v>
      </c>
      <c r="I4627" s="758">
        <f t="shared" si="290"/>
        <v>6.2900000000000009</v>
      </c>
      <c r="J4627" s="760">
        <f t="shared" si="291"/>
        <v>0.77367773677736773</v>
      </c>
    </row>
    <row r="4628" spans="1:10">
      <c r="A4628" s="74" t="s">
        <v>685</v>
      </c>
      <c r="B4628" s="74" t="s">
        <v>256</v>
      </c>
      <c r="C4628" s="74" t="s">
        <v>1520</v>
      </c>
      <c r="D4628" s="74" t="s">
        <v>84</v>
      </c>
      <c r="E4628" s="74">
        <v>1</v>
      </c>
      <c r="F4628" s="74">
        <v>8.9499999999999993</v>
      </c>
      <c r="G4628" s="758">
        <f t="shared" si="288"/>
        <v>1.84</v>
      </c>
      <c r="H4628" s="759">
        <f t="shared" si="289"/>
        <v>0.24</v>
      </c>
      <c r="I4628" s="758">
        <f t="shared" si="290"/>
        <v>7.1099999999999994</v>
      </c>
      <c r="J4628" s="760">
        <f t="shared" si="291"/>
        <v>0.79441340782122905</v>
      </c>
    </row>
    <row r="4629" spans="1:10">
      <c r="A4629" s="74" t="s">
        <v>685</v>
      </c>
      <c r="B4629" s="74" t="s">
        <v>256</v>
      </c>
      <c r="C4629" s="74" t="s">
        <v>1543</v>
      </c>
      <c r="D4629" s="74" t="s">
        <v>87</v>
      </c>
      <c r="E4629" s="74">
        <v>1</v>
      </c>
      <c r="F4629" s="74">
        <v>8.9</v>
      </c>
      <c r="G4629" s="758">
        <f t="shared" si="288"/>
        <v>1.84</v>
      </c>
      <c r="H4629" s="759">
        <f t="shared" si="289"/>
        <v>0.24</v>
      </c>
      <c r="I4629" s="758">
        <f t="shared" si="290"/>
        <v>7.0600000000000005</v>
      </c>
      <c r="J4629" s="760">
        <f t="shared" si="291"/>
        <v>0.79325842696629212</v>
      </c>
    </row>
    <row r="4630" spans="1:10">
      <c r="A4630" s="74" t="s">
        <v>685</v>
      </c>
      <c r="B4630" s="74" t="s">
        <v>256</v>
      </c>
      <c r="C4630" s="74" t="s">
        <v>1547</v>
      </c>
      <c r="D4630" s="74" t="s">
        <v>89</v>
      </c>
      <c r="E4630" s="74">
        <v>2</v>
      </c>
      <c r="F4630" s="74">
        <v>18.2</v>
      </c>
      <c r="G4630" s="758">
        <f t="shared" si="288"/>
        <v>1.84</v>
      </c>
      <c r="H4630" s="759">
        <f t="shared" si="289"/>
        <v>0.24</v>
      </c>
      <c r="I4630" s="758">
        <f t="shared" si="290"/>
        <v>7.26</v>
      </c>
      <c r="J4630" s="760">
        <f t="shared" si="291"/>
        <v>0.79780219780219785</v>
      </c>
    </row>
    <row r="4631" spans="1:10">
      <c r="A4631" s="74" t="s">
        <v>685</v>
      </c>
      <c r="B4631" s="74" t="s">
        <v>256</v>
      </c>
      <c r="C4631" s="74" t="s">
        <v>1522</v>
      </c>
      <c r="D4631" s="74" t="s">
        <v>91</v>
      </c>
      <c r="E4631" s="74">
        <v>1</v>
      </c>
      <c r="F4631" s="74">
        <v>9.1</v>
      </c>
      <c r="G4631" s="758">
        <f t="shared" si="288"/>
        <v>1.84</v>
      </c>
      <c r="H4631" s="759">
        <f t="shared" si="289"/>
        <v>0.24</v>
      </c>
      <c r="I4631" s="758">
        <f t="shared" si="290"/>
        <v>7.26</v>
      </c>
      <c r="J4631" s="760">
        <f t="shared" si="291"/>
        <v>0.79780219780219785</v>
      </c>
    </row>
    <row r="4632" spans="1:10">
      <c r="A4632" s="74" t="s">
        <v>685</v>
      </c>
      <c r="B4632" s="74" t="s">
        <v>256</v>
      </c>
      <c r="C4632" s="74" t="s">
        <v>1675</v>
      </c>
      <c r="D4632" s="74" t="s">
        <v>91</v>
      </c>
      <c r="E4632" s="74">
        <v>1</v>
      </c>
      <c r="F4632" s="74">
        <v>9.1</v>
      </c>
      <c r="G4632" s="758">
        <f t="shared" si="288"/>
        <v>1.84</v>
      </c>
      <c r="H4632" s="759">
        <f t="shared" si="289"/>
        <v>0.24</v>
      </c>
      <c r="I4632" s="758">
        <f t="shared" si="290"/>
        <v>7.26</v>
      </c>
      <c r="J4632" s="760">
        <f t="shared" si="291"/>
        <v>0.79780219780219785</v>
      </c>
    </row>
    <row r="4633" spans="1:10">
      <c r="A4633" s="74" t="s">
        <v>2306</v>
      </c>
      <c r="B4633" s="74" t="s">
        <v>258</v>
      </c>
      <c r="C4633" s="74" t="s">
        <v>1514</v>
      </c>
      <c r="D4633" s="74" t="s">
        <v>81</v>
      </c>
      <c r="E4633" s="74">
        <v>5</v>
      </c>
      <c r="F4633" s="74">
        <v>0</v>
      </c>
      <c r="G4633" s="758">
        <f t="shared" si="288"/>
        <v>0</v>
      </c>
      <c r="H4633" s="759">
        <f t="shared" si="289"/>
        <v>0</v>
      </c>
      <c r="I4633" s="758">
        <f t="shared" si="290"/>
        <v>0</v>
      </c>
      <c r="J4633" s="760">
        <f t="shared" si="291"/>
        <v>0</v>
      </c>
    </row>
    <row r="4634" spans="1:10">
      <c r="A4634" s="74" t="s">
        <v>2306</v>
      </c>
      <c r="B4634" s="74" t="s">
        <v>258</v>
      </c>
      <c r="C4634" s="74" t="s">
        <v>1518</v>
      </c>
      <c r="D4634" s="74" t="s">
        <v>82</v>
      </c>
      <c r="E4634" s="74">
        <v>4</v>
      </c>
      <c r="F4634" s="74">
        <v>0</v>
      </c>
      <c r="G4634" s="758">
        <f t="shared" si="288"/>
        <v>0</v>
      </c>
      <c r="H4634" s="759">
        <f t="shared" si="289"/>
        <v>0</v>
      </c>
      <c r="I4634" s="758">
        <f t="shared" si="290"/>
        <v>0</v>
      </c>
      <c r="J4634" s="760">
        <f t="shared" si="291"/>
        <v>0</v>
      </c>
    </row>
    <row r="4635" spans="1:10">
      <c r="A4635" s="74" t="s">
        <v>2306</v>
      </c>
      <c r="B4635" s="74" t="s">
        <v>258</v>
      </c>
      <c r="C4635" s="74" t="s">
        <v>1519</v>
      </c>
      <c r="D4635" s="74" t="s">
        <v>84</v>
      </c>
      <c r="E4635" s="74">
        <v>1</v>
      </c>
      <c r="F4635" s="74">
        <v>0</v>
      </c>
      <c r="G4635" s="758">
        <f t="shared" si="288"/>
        <v>0</v>
      </c>
      <c r="H4635" s="759">
        <f t="shared" si="289"/>
        <v>0</v>
      </c>
      <c r="I4635" s="758">
        <f t="shared" si="290"/>
        <v>0</v>
      </c>
      <c r="J4635" s="760">
        <f t="shared" si="291"/>
        <v>0</v>
      </c>
    </row>
    <row r="4636" spans="1:10">
      <c r="A4636" s="74" t="s">
        <v>2306</v>
      </c>
      <c r="B4636" s="74" t="s">
        <v>258</v>
      </c>
      <c r="C4636" s="74" t="s">
        <v>1540</v>
      </c>
      <c r="D4636" s="74" t="s">
        <v>84</v>
      </c>
      <c r="E4636" s="74">
        <v>2</v>
      </c>
      <c r="F4636" s="74">
        <v>0</v>
      </c>
      <c r="G4636" s="758">
        <f t="shared" si="288"/>
        <v>0</v>
      </c>
      <c r="H4636" s="759">
        <f t="shared" si="289"/>
        <v>0</v>
      </c>
      <c r="I4636" s="758">
        <f t="shared" si="290"/>
        <v>0</v>
      </c>
      <c r="J4636" s="760">
        <f t="shared" si="291"/>
        <v>0</v>
      </c>
    </row>
    <row r="4637" spans="1:10">
      <c r="A4637" s="74" t="s">
        <v>2306</v>
      </c>
      <c r="B4637" s="74" t="s">
        <v>258</v>
      </c>
      <c r="C4637" s="74" t="s">
        <v>1520</v>
      </c>
      <c r="D4637" s="74" t="s">
        <v>84</v>
      </c>
      <c r="E4637" s="74">
        <v>2</v>
      </c>
      <c r="F4637" s="74">
        <v>0</v>
      </c>
      <c r="G4637" s="758">
        <f t="shared" si="288"/>
        <v>0</v>
      </c>
      <c r="H4637" s="759">
        <f t="shared" si="289"/>
        <v>0</v>
      </c>
      <c r="I4637" s="758">
        <f t="shared" si="290"/>
        <v>0</v>
      </c>
      <c r="J4637" s="760">
        <f t="shared" si="291"/>
        <v>0</v>
      </c>
    </row>
    <row r="4638" spans="1:10">
      <c r="A4638" s="74" t="s">
        <v>2306</v>
      </c>
      <c r="B4638" s="74" t="s">
        <v>258</v>
      </c>
      <c r="C4638" s="74" t="s">
        <v>1577</v>
      </c>
      <c r="D4638" s="74" t="s">
        <v>84</v>
      </c>
      <c r="E4638" s="74">
        <v>3</v>
      </c>
      <c r="F4638" s="74">
        <v>0</v>
      </c>
      <c r="G4638" s="758">
        <f t="shared" si="288"/>
        <v>0</v>
      </c>
      <c r="H4638" s="759">
        <f t="shared" si="289"/>
        <v>0</v>
      </c>
      <c r="I4638" s="758">
        <f t="shared" si="290"/>
        <v>0</v>
      </c>
      <c r="J4638" s="760">
        <f t="shared" si="291"/>
        <v>0</v>
      </c>
    </row>
    <row r="4639" spans="1:10">
      <c r="A4639" s="74" t="s">
        <v>2306</v>
      </c>
      <c r="B4639" s="74" t="s">
        <v>258</v>
      </c>
      <c r="C4639" s="74" t="s">
        <v>1644</v>
      </c>
      <c r="D4639" s="74" t="s">
        <v>86</v>
      </c>
      <c r="E4639" s="74">
        <v>2</v>
      </c>
      <c r="F4639" s="74">
        <v>0</v>
      </c>
      <c r="G4639" s="758">
        <f t="shared" si="288"/>
        <v>0</v>
      </c>
      <c r="H4639" s="759">
        <f t="shared" si="289"/>
        <v>0</v>
      </c>
      <c r="I4639" s="758">
        <f t="shared" si="290"/>
        <v>0</v>
      </c>
      <c r="J4639" s="760">
        <f t="shared" si="291"/>
        <v>0</v>
      </c>
    </row>
    <row r="4640" spans="1:10">
      <c r="A4640" s="74" t="s">
        <v>2306</v>
      </c>
      <c r="B4640" s="74" t="s">
        <v>258</v>
      </c>
      <c r="C4640" s="74" t="s">
        <v>1541</v>
      </c>
      <c r="D4640" s="74" t="s">
        <v>86</v>
      </c>
      <c r="E4640" s="74">
        <v>1</v>
      </c>
      <c r="F4640" s="74">
        <v>0</v>
      </c>
      <c r="G4640" s="758">
        <f t="shared" si="288"/>
        <v>0</v>
      </c>
      <c r="H4640" s="759">
        <f t="shared" si="289"/>
        <v>0</v>
      </c>
      <c r="I4640" s="758">
        <f t="shared" si="290"/>
        <v>0</v>
      </c>
      <c r="J4640" s="760">
        <f t="shared" si="291"/>
        <v>0</v>
      </c>
    </row>
    <row r="4641" spans="1:10">
      <c r="A4641" s="74" t="s">
        <v>2306</v>
      </c>
      <c r="B4641" s="74" t="s">
        <v>258</v>
      </c>
      <c r="C4641" s="74" t="s">
        <v>1543</v>
      </c>
      <c r="D4641" s="74" t="s">
        <v>87</v>
      </c>
      <c r="E4641" s="74">
        <v>4</v>
      </c>
      <c r="F4641" s="74">
        <v>0</v>
      </c>
      <c r="G4641" s="758">
        <f t="shared" si="288"/>
        <v>0</v>
      </c>
      <c r="H4641" s="759">
        <f t="shared" si="289"/>
        <v>0</v>
      </c>
      <c r="I4641" s="758">
        <f t="shared" si="290"/>
        <v>0</v>
      </c>
      <c r="J4641" s="760">
        <f t="shared" si="291"/>
        <v>0</v>
      </c>
    </row>
    <row r="4642" spans="1:10">
      <c r="A4642" s="74" t="s">
        <v>2306</v>
      </c>
      <c r="B4642" s="74" t="s">
        <v>258</v>
      </c>
      <c r="C4642" s="74" t="s">
        <v>1610</v>
      </c>
      <c r="D4642" s="74" t="s">
        <v>89</v>
      </c>
      <c r="E4642" s="74">
        <v>1</v>
      </c>
      <c r="F4642" s="74">
        <v>0</v>
      </c>
      <c r="G4642" s="758">
        <f t="shared" si="288"/>
        <v>0</v>
      </c>
      <c r="H4642" s="759">
        <f t="shared" si="289"/>
        <v>0</v>
      </c>
      <c r="I4642" s="758">
        <f t="shared" si="290"/>
        <v>0</v>
      </c>
      <c r="J4642" s="760">
        <f t="shared" si="291"/>
        <v>0</v>
      </c>
    </row>
    <row r="4643" spans="1:10">
      <c r="A4643" s="74" t="s">
        <v>2021</v>
      </c>
      <c r="B4643" s="74" t="s">
        <v>258</v>
      </c>
      <c r="C4643" s="74" t="s">
        <v>1543</v>
      </c>
      <c r="D4643" s="74" t="s">
        <v>87</v>
      </c>
      <c r="E4643" s="74">
        <v>1</v>
      </c>
      <c r="F4643" s="74">
        <v>0</v>
      </c>
      <c r="G4643" s="758">
        <f t="shared" si="288"/>
        <v>0</v>
      </c>
      <c r="H4643" s="759">
        <f t="shared" si="289"/>
        <v>0</v>
      </c>
      <c r="I4643" s="758">
        <f t="shared" si="290"/>
        <v>0</v>
      </c>
      <c r="J4643" s="760">
        <f t="shared" si="291"/>
        <v>0</v>
      </c>
    </row>
    <row r="4644" spans="1:10">
      <c r="A4644" s="74" t="s">
        <v>2021</v>
      </c>
      <c r="B4644" s="74" t="s">
        <v>258</v>
      </c>
      <c r="C4644" s="74" t="s">
        <v>1617</v>
      </c>
      <c r="D4644" s="74" t="s">
        <v>94</v>
      </c>
      <c r="E4644" s="74">
        <v>3</v>
      </c>
      <c r="F4644" s="74">
        <v>0</v>
      </c>
      <c r="G4644" s="758">
        <f t="shared" si="288"/>
        <v>0</v>
      </c>
      <c r="H4644" s="759">
        <f t="shared" si="289"/>
        <v>0</v>
      </c>
      <c r="I4644" s="758">
        <f t="shared" si="290"/>
        <v>0</v>
      </c>
      <c r="J4644" s="760">
        <f t="shared" si="291"/>
        <v>0</v>
      </c>
    </row>
    <row r="4645" spans="1:10">
      <c r="A4645" s="74" t="s">
        <v>2022</v>
      </c>
      <c r="B4645" s="74" t="s">
        <v>258</v>
      </c>
      <c r="C4645" s="74" t="s">
        <v>1577</v>
      </c>
      <c r="D4645" s="74" t="s">
        <v>84</v>
      </c>
      <c r="E4645" s="74">
        <v>2</v>
      </c>
      <c r="F4645" s="74">
        <v>0</v>
      </c>
      <c r="G4645" s="758">
        <f t="shared" si="288"/>
        <v>0</v>
      </c>
      <c r="H4645" s="759">
        <f t="shared" si="289"/>
        <v>0</v>
      </c>
      <c r="I4645" s="758">
        <f t="shared" si="290"/>
        <v>0</v>
      </c>
      <c r="J4645" s="760">
        <f t="shared" si="291"/>
        <v>0</v>
      </c>
    </row>
    <row r="4646" spans="1:10">
      <c r="A4646" s="74" t="s">
        <v>2023</v>
      </c>
      <c r="B4646" s="74" t="s">
        <v>258</v>
      </c>
      <c r="C4646" s="74" t="s">
        <v>1550</v>
      </c>
      <c r="D4646" s="74" t="s">
        <v>91</v>
      </c>
      <c r="E4646" s="74">
        <v>2</v>
      </c>
      <c r="F4646" s="74">
        <v>0</v>
      </c>
      <c r="G4646" s="758">
        <f t="shared" si="288"/>
        <v>0</v>
      </c>
      <c r="H4646" s="759">
        <f t="shared" si="289"/>
        <v>0</v>
      </c>
      <c r="I4646" s="758">
        <f t="shared" si="290"/>
        <v>0</v>
      </c>
      <c r="J4646" s="760">
        <f t="shared" si="291"/>
        <v>0</v>
      </c>
    </row>
    <row r="4647" spans="1:10">
      <c r="A4647" s="74" t="s">
        <v>2023</v>
      </c>
      <c r="B4647" s="74" t="s">
        <v>258</v>
      </c>
      <c r="C4647" s="74" t="s">
        <v>1675</v>
      </c>
      <c r="D4647" s="74" t="s">
        <v>91</v>
      </c>
      <c r="E4647" s="74">
        <v>2</v>
      </c>
      <c r="F4647" s="74">
        <v>0</v>
      </c>
      <c r="G4647" s="758">
        <f t="shared" si="288"/>
        <v>0</v>
      </c>
      <c r="H4647" s="759">
        <f t="shared" si="289"/>
        <v>0</v>
      </c>
      <c r="I4647" s="758">
        <f t="shared" si="290"/>
        <v>0</v>
      </c>
      <c r="J4647" s="760">
        <f t="shared" si="291"/>
        <v>0</v>
      </c>
    </row>
    <row r="4648" spans="1:10">
      <c r="A4648" s="74" t="s">
        <v>2024</v>
      </c>
      <c r="B4648" s="74" t="s">
        <v>258</v>
      </c>
      <c r="C4648" s="74" t="s">
        <v>1550</v>
      </c>
      <c r="D4648" s="74" t="s">
        <v>91</v>
      </c>
      <c r="E4648" s="74">
        <v>1</v>
      </c>
      <c r="F4648" s="74">
        <v>0</v>
      </c>
      <c r="G4648" s="758">
        <f t="shared" si="288"/>
        <v>0</v>
      </c>
      <c r="H4648" s="759">
        <f t="shared" si="289"/>
        <v>0</v>
      </c>
      <c r="I4648" s="758">
        <f t="shared" si="290"/>
        <v>0</v>
      </c>
      <c r="J4648" s="760">
        <f t="shared" si="291"/>
        <v>0</v>
      </c>
    </row>
    <row r="4649" spans="1:10">
      <c r="A4649" s="74" t="s">
        <v>2024</v>
      </c>
      <c r="B4649" s="74" t="s">
        <v>258</v>
      </c>
      <c r="C4649" s="74" t="s">
        <v>1555</v>
      </c>
      <c r="D4649" s="74" t="s">
        <v>94</v>
      </c>
      <c r="E4649" s="74">
        <v>1</v>
      </c>
      <c r="F4649" s="74">
        <v>0</v>
      </c>
      <c r="G4649" s="758">
        <f t="shared" si="288"/>
        <v>0</v>
      </c>
      <c r="H4649" s="759">
        <f t="shared" si="289"/>
        <v>0</v>
      </c>
      <c r="I4649" s="758">
        <f t="shared" si="290"/>
        <v>0</v>
      </c>
      <c r="J4649" s="760">
        <f t="shared" si="291"/>
        <v>0</v>
      </c>
    </row>
    <row r="4650" spans="1:10">
      <c r="A4650" s="74" t="s">
        <v>2025</v>
      </c>
      <c r="B4650" s="74" t="s">
        <v>258</v>
      </c>
      <c r="C4650" s="74" t="s">
        <v>1541</v>
      </c>
      <c r="D4650" s="74" t="s">
        <v>86</v>
      </c>
      <c r="E4650" s="74">
        <v>1</v>
      </c>
      <c r="F4650" s="74">
        <v>0</v>
      </c>
      <c r="G4650" s="758">
        <f t="shared" si="288"/>
        <v>0</v>
      </c>
      <c r="H4650" s="759">
        <f t="shared" si="289"/>
        <v>0</v>
      </c>
      <c r="I4650" s="758">
        <f t="shared" si="290"/>
        <v>0</v>
      </c>
      <c r="J4650" s="760">
        <f t="shared" si="291"/>
        <v>0</v>
      </c>
    </row>
    <row r="4651" spans="1:10">
      <c r="A4651" s="74" t="s">
        <v>2025</v>
      </c>
      <c r="B4651" s="74" t="s">
        <v>258</v>
      </c>
      <c r="C4651" s="74" t="s">
        <v>1550</v>
      </c>
      <c r="D4651" s="74" t="s">
        <v>91</v>
      </c>
      <c r="E4651" s="74">
        <v>2</v>
      </c>
      <c r="F4651" s="74">
        <v>0</v>
      </c>
      <c r="G4651" s="758">
        <f t="shared" si="288"/>
        <v>0</v>
      </c>
      <c r="H4651" s="759">
        <f t="shared" si="289"/>
        <v>0</v>
      </c>
      <c r="I4651" s="758">
        <f t="shared" si="290"/>
        <v>0</v>
      </c>
      <c r="J4651" s="760">
        <f t="shared" si="291"/>
        <v>0</v>
      </c>
    </row>
    <row r="4652" spans="1:10">
      <c r="A4652" s="74" t="s">
        <v>2025</v>
      </c>
      <c r="B4652" s="74" t="s">
        <v>258</v>
      </c>
      <c r="C4652" s="74" t="s">
        <v>1675</v>
      </c>
      <c r="D4652" s="74" t="s">
        <v>91</v>
      </c>
      <c r="E4652" s="74">
        <v>3</v>
      </c>
      <c r="F4652" s="74">
        <v>0</v>
      </c>
      <c r="G4652" s="758">
        <f t="shared" si="288"/>
        <v>0</v>
      </c>
      <c r="H4652" s="759">
        <f t="shared" si="289"/>
        <v>0</v>
      </c>
      <c r="I4652" s="758">
        <f t="shared" si="290"/>
        <v>0</v>
      </c>
      <c r="J4652" s="760">
        <f t="shared" si="291"/>
        <v>0</v>
      </c>
    </row>
    <row r="4653" spans="1:10">
      <c r="A4653" s="74" t="s">
        <v>2026</v>
      </c>
      <c r="B4653" s="74" t="s">
        <v>258</v>
      </c>
      <c r="C4653" s="74" t="s">
        <v>1518</v>
      </c>
      <c r="D4653" s="74" t="s">
        <v>82</v>
      </c>
      <c r="E4653" s="74">
        <v>2</v>
      </c>
      <c r="F4653" s="74">
        <v>0</v>
      </c>
      <c r="G4653" s="758">
        <f t="shared" si="288"/>
        <v>0.21</v>
      </c>
      <c r="H4653" s="759">
        <f t="shared" si="289"/>
        <v>0</v>
      </c>
      <c r="I4653" s="758">
        <f t="shared" si="290"/>
        <v>-0.21</v>
      </c>
      <c r="J4653" s="760">
        <f t="shared" si="291"/>
        <v>0</v>
      </c>
    </row>
    <row r="4654" spans="1:10">
      <c r="A4654" s="74" t="s">
        <v>2026</v>
      </c>
      <c r="B4654" s="74" t="s">
        <v>258</v>
      </c>
      <c r="C4654" s="74" t="s">
        <v>1507</v>
      </c>
      <c r="D4654" s="74" t="s">
        <v>86</v>
      </c>
      <c r="E4654" s="74">
        <v>2</v>
      </c>
      <c r="F4654" s="74">
        <v>0</v>
      </c>
      <c r="G4654" s="758">
        <f t="shared" si="288"/>
        <v>0.21</v>
      </c>
      <c r="H4654" s="759">
        <f t="shared" si="289"/>
        <v>0</v>
      </c>
      <c r="I4654" s="758">
        <f t="shared" si="290"/>
        <v>-0.21</v>
      </c>
      <c r="J4654" s="760">
        <f t="shared" si="291"/>
        <v>0</v>
      </c>
    </row>
    <row r="4655" spans="1:10">
      <c r="A4655" s="74" t="s">
        <v>2027</v>
      </c>
      <c r="B4655" s="74" t="s">
        <v>258</v>
      </c>
      <c r="C4655" s="74" t="s">
        <v>1644</v>
      </c>
      <c r="D4655" s="74" t="s">
        <v>86</v>
      </c>
      <c r="E4655" s="74">
        <v>2</v>
      </c>
      <c r="F4655" s="74">
        <v>0</v>
      </c>
      <c r="G4655" s="758">
        <f t="shared" si="288"/>
        <v>0</v>
      </c>
      <c r="H4655" s="759">
        <f t="shared" si="289"/>
        <v>0</v>
      </c>
      <c r="I4655" s="758">
        <f t="shared" si="290"/>
        <v>0</v>
      </c>
      <c r="J4655" s="760">
        <f t="shared" si="291"/>
        <v>0</v>
      </c>
    </row>
    <row r="4656" spans="1:10">
      <c r="A4656" s="74" t="s">
        <v>2028</v>
      </c>
      <c r="B4656" s="74" t="s">
        <v>258</v>
      </c>
      <c r="C4656" s="74" t="s">
        <v>1517</v>
      </c>
      <c r="D4656" s="74" t="s">
        <v>82</v>
      </c>
      <c r="E4656" s="74">
        <v>2</v>
      </c>
      <c r="F4656" s="74">
        <v>0</v>
      </c>
      <c r="G4656" s="758">
        <f t="shared" si="288"/>
        <v>0.42</v>
      </c>
      <c r="H4656" s="759">
        <f t="shared" si="289"/>
        <v>0</v>
      </c>
      <c r="I4656" s="758">
        <f t="shared" si="290"/>
        <v>-0.42</v>
      </c>
      <c r="J4656" s="760">
        <f t="shared" si="291"/>
        <v>0</v>
      </c>
    </row>
    <row r="4657" spans="1:10">
      <c r="A4657" s="74" t="s">
        <v>2029</v>
      </c>
      <c r="B4657" s="74" t="s">
        <v>258</v>
      </c>
      <c r="C4657" s="74" t="s">
        <v>1516</v>
      </c>
      <c r="D4657" s="74" t="s">
        <v>82</v>
      </c>
      <c r="E4657" s="74">
        <v>1</v>
      </c>
      <c r="F4657" s="74">
        <v>0</v>
      </c>
      <c r="G4657" s="758">
        <f t="shared" si="288"/>
        <v>0.42</v>
      </c>
      <c r="H4657" s="759">
        <f t="shared" si="289"/>
        <v>0</v>
      </c>
      <c r="I4657" s="758">
        <f t="shared" si="290"/>
        <v>-0.42</v>
      </c>
      <c r="J4657" s="760">
        <f t="shared" si="291"/>
        <v>0</v>
      </c>
    </row>
    <row r="4658" spans="1:10">
      <c r="A4658" s="74" t="s">
        <v>2030</v>
      </c>
      <c r="B4658" s="74" t="s">
        <v>862</v>
      </c>
      <c r="C4658" s="74" t="s">
        <v>1565</v>
      </c>
      <c r="D4658" s="74" t="s">
        <v>78</v>
      </c>
      <c r="E4658" s="74">
        <v>1</v>
      </c>
      <c r="F4658" s="74">
        <v>0</v>
      </c>
      <c r="G4658" s="758">
        <f t="shared" si="288"/>
        <v>0.42</v>
      </c>
      <c r="H4658" s="759">
        <f t="shared" si="289"/>
        <v>0</v>
      </c>
      <c r="I4658" s="758">
        <f t="shared" si="290"/>
        <v>-0.42</v>
      </c>
      <c r="J4658" s="760">
        <f t="shared" si="291"/>
        <v>0</v>
      </c>
    </row>
    <row r="4659" spans="1:10">
      <c r="A4659" s="74" t="s">
        <v>2031</v>
      </c>
      <c r="B4659" s="74" t="s">
        <v>862</v>
      </c>
      <c r="C4659" s="74" t="s">
        <v>1565</v>
      </c>
      <c r="D4659" s="74" t="s">
        <v>78</v>
      </c>
      <c r="E4659" s="74">
        <v>8</v>
      </c>
      <c r="F4659" s="74">
        <v>0</v>
      </c>
      <c r="G4659" s="758">
        <f t="shared" si="288"/>
        <v>0.42</v>
      </c>
      <c r="H4659" s="759">
        <f t="shared" si="289"/>
        <v>0.92</v>
      </c>
      <c r="I4659" s="758">
        <f t="shared" si="290"/>
        <v>-0.42</v>
      </c>
      <c r="J4659" s="760">
        <f t="shared" si="291"/>
        <v>0</v>
      </c>
    </row>
    <row r="4660" spans="1:10">
      <c r="A4660" s="74" t="s">
        <v>2031</v>
      </c>
      <c r="B4660" s="74" t="s">
        <v>862</v>
      </c>
      <c r="C4660" s="74" t="s">
        <v>1530</v>
      </c>
      <c r="D4660" s="74" t="s">
        <v>80</v>
      </c>
      <c r="E4660" s="74">
        <v>2</v>
      </c>
      <c r="F4660" s="74">
        <v>1</v>
      </c>
      <c r="G4660" s="758">
        <f t="shared" si="288"/>
        <v>0.42</v>
      </c>
      <c r="H4660" s="759">
        <f t="shared" si="289"/>
        <v>0.92</v>
      </c>
      <c r="I4660" s="758">
        <f t="shared" si="290"/>
        <v>8.0000000000000016E-2</v>
      </c>
      <c r="J4660" s="760">
        <f t="shared" si="291"/>
        <v>0.16000000000000003</v>
      </c>
    </row>
    <row r="4661" spans="1:10">
      <c r="A4661" s="74" t="s">
        <v>917</v>
      </c>
      <c r="B4661" s="74" t="s">
        <v>258</v>
      </c>
      <c r="C4661" s="74" t="s">
        <v>1519</v>
      </c>
      <c r="D4661" s="74" t="s">
        <v>84</v>
      </c>
      <c r="E4661" s="74">
        <v>3</v>
      </c>
      <c r="F4661" s="74">
        <v>0</v>
      </c>
      <c r="G4661" s="758">
        <f t="shared" si="288"/>
        <v>0.04</v>
      </c>
      <c r="H4661" s="759">
        <f t="shared" si="289"/>
        <v>0</v>
      </c>
      <c r="I4661" s="758">
        <f t="shared" si="290"/>
        <v>-0.04</v>
      </c>
      <c r="J4661" s="760">
        <f t="shared" si="291"/>
        <v>0</v>
      </c>
    </row>
    <row r="4662" spans="1:10">
      <c r="A4662" s="74" t="s">
        <v>917</v>
      </c>
      <c r="B4662" s="74" t="s">
        <v>258</v>
      </c>
      <c r="C4662" s="74" t="s">
        <v>1540</v>
      </c>
      <c r="D4662" s="74" t="s">
        <v>84</v>
      </c>
      <c r="E4662" s="74">
        <v>2</v>
      </c>
      <c r="F4662" s="74">
        <v>0</v>
      </c>
      <c r="G4662" s="758">
        <f t="shared" si="288"/>
        <v>0.04</v>
      </c>
      <c r="H4662" s="759">
        <f t="shared" si="289"/>
        <v>0</v>
      </c>
      <c r="I4662" s="758">
        <f t="shared" si="290"/>
        <v>-0.04</v>
      </c>
      <c r="J4662" s="760">
        <f t="shared" si="291"/>
        <v>0</v>
      </c>
    </row>
    <row r="4663" spans="1:10">
      <c r="A4663" s="74" t="s">
        <v>917</v>
      </c>
      <c r="B4663" s="74" t="s">
        <v>258</v>
      </c>
      <c r="C4663" s="74" t="s">
        <v>1507</v>
      </c>
      <c r="D4663" s="74" t="s">
        <v>86</v>
      </c>
      <c r="E4663" s="74">
        <v>2</v>
      </c>
      <c r="F4663" s="74">
        <v>0</v>
      </c>
      <c r="G4663" s="758">
        <f t="shared" si="288"/>
        <v>0.04</v>
      </c>
      <c r="H4663" s="759">
        <f t="shared" si="289"/>
        <v>0</v>
      </c>
      <c r="I4663" s="758">
        <f t="shared" si="290"/>
        <v>-0.04</v>
      </c>
      <c r="J4663" s="760">
        <f t="shared" si="291"/>
        <v>0</v>
      </c>
    </row>
    <row r="4664" spans="1:10">
      <c r="A4664" s="74" t="s">
        <v>917</v>
      </c>
      <c r="B4664" s="74" t="s">
        <v>258</v>
      </c>
      <c r="C4664" s="74" t="s">
        <v>1644</v>
      </c>
      <c r="D4664" s="74" t="s">
        <v>86</v>
      </c>
      <c r="E4664" s="74">
        <v>1</v>
      </c>
      <c r="F4664" s="74">
        <v>0</v>
      </c>
      <c r="G4664" s="758">
        <f t="shared" si="288"/>
        <v>0.04</v>
      </c>
      <c r="H4664" s="759">
        <f t="shared" si="289"/>
        <v>0</v>
      </c>
      <c r="I4664" s="758">
        <f t="shared" si="290"/>
        <v>-0.04</v>
      </c>
      <c r="J4664" s="760">
        <f t="shared" si="291"/>
        <v>0</v>
      </c>
    </row>
    <row r="4665" spans="1:10">
      <c r="A4665" s="74" t="s">
        <v>917</v>
      </c>
      <c r="B4665" s="74" t="s">
        <v>258</v>
      </c>
      <c r="C4665" s="74" t="s">
        <v>1578</v>
      </c>
      <c r="D4665" s="74" t="s">
        <v>86</v>
      </c>
      <c r="E4665" s="74">
        <v>1</v>
      </c>
      <c r="F4665" s="74">
        <v>0</v>
      </c>
      <c r="G4665" s="758">
        <f t="shared" si="288"/>
        <v>0.04</v>
      </c>
      <c r="H4665" s="759">
        <f t="shared" si="289"/>
        <v>0</v>
      </c>
      <c r="I4665" s="758">
        <f t="shared" si="290"/>
        <v>-0.04</v>
      </c>
      <c r="J4665" s="760">
        <f t="shared" si="291"/>
        <v>0</v>
      </c>
    </row>
    <row r="4666" spans="1:10">
      <c r="A4666" s="74" t="s">
        <v>917</v>
      </c>
      <c r="B4666" s="74" t="s">
        <v>258</v>
      </c>
      <c r="C4666" s="74" t="s">
        <v>1544</v>
      </c>
      <c r="D4666" s="74" t="s">
        <v>87</v>
      </c>
      <c r="E4666" s="74">
        <v>9</v>
      </c>
      <c r="F4666" s="74">
        <v>0</v>
      </c>
      <c r="G4666" s="758">
        <f t="shared" si="288"/>
        <v>0.04</v>
      </c>
      <c r="H4666" s="759">
        <f t="shared" si="289"/>
        <v>0</v>
      </c>
      <c r="I4666" s="758">
        <f t="shared" si="290"/>
        <v>-0.04</v>
      </c>
      <c r="J4666" s="760">
        <f t="shared" si="291"/>
        <v>0</v>
      </c>
    </row>
    <row r="4667" spans="1:10">
      <c r="A4667" s="74" t="s">
        <v>917</v>
      </c>
      <c r="B4667" s="74" t="s">
        <v>258</v>
      </c>
      <c r="C4667" s="74" t="s">
        <v>1561</v>
      </c>
      <c r="D4667" s="74" t="s">
        <v>87</v>
      </c>
      <c r="E4667" s="74">
        <v>4</v>
      </c>
      <c r="F4667" s="74">
        <v>0</v>
      </c>
      <c r="G4667" s="758">
        <f t="shared" si="288"/>
        <v>0.04</v>
      </c>
      <c r="H4667" s="759">
        <f t="shared" si="289"/>
        <v>0</v>
      </c>
      <c r="I4667" s="758">
        <f t="shared" si="290"/>
        <v>-0.04</v>
      </c>
      <c r="J4667" s="760">
        <f t="shared" si="291"/>
        <v>0</v>
      </c>
    </row>
    <row r="4668" spans="1:10">
      <c r="A4668" s="74" t="s">
        <v>917</v>
      </c>
      <c r="B4668" s="74" t="s">
        <v>258</v>
      </c>
      <c r="C4668" s="74" t="s">
        <v>1608</v>
      </c>
      <c r="D4668" s="74" t="s">
        <v>89</v>
      </c>
      <c r="E4668" s="74">
        <v>1</v>
      </c>
      <c r="F4668" s="74">
        <v>0</v>
      </c>
      <c r="G4668" s="758">
        <f t="shared" si="288"/>
        <v>0.04</v>
      </c>
      <c r="H4668" s="759">
        <f t="shared" si="289"/>
        <v>0</v>
      </c>
      <c r="I4668" s="758">
        <f t="shared" si="290"/>
        <v>-0.04</v>
      </c>
      <c r="J4668" s="760">
        <f t="shared" si="291"/>
        <v>0</v>
      </c>
    </row>
    <row r="4669" spans="1:10">
      <c r="A4669" s="74" t="s">
        <v>917</v>
      </c>
      <c r="B4669" s="74" t="s">
        <v>258</v>
      </c>
      <c r="C4669" s="74" t="s">
        <v>1610</v>
      </c>
      <c r="D4669" s="74" t="s">
        <v>89</v>
      </c>
      <c r="E4669" s="74">
        <v>2</v>
      </c>
      <c r="F4669" s="74">
        <v>0</v>
      </c>
      <c r="G4669" s="758">
        <f t="shared" si="288"/>
        <v>0.04</v>
      </c>
      <c r="H4669" s="759">
        <f t="shared" si="289"/>
        <v>0</v>
      </c>
      <c r="I4669" s="758">
        <f t="shared" si="290"/>
        <v>-0.04</v>
      </c>
      <c r="J4669" s="760">
        <f t="shared" si="291"/>
        <v>0</v>
      </c>
    </row>
    <row r="4670" spans="1:10">
      <c r="A4670" s="74" t="s">
        <v>917</v>
      </c>
      <c r="B4670" s="74" t="s">
        <v>258</v>
      </c>
      <c r="C4670" s="74" t="s">
        <v>1546</v>
      </c>
      <c r="D4670" s="74" t="s">
        <v>89</v>
      </c>
      <c r="E4670" s="74">
        <v>8</v>
      </c>
      <c r="F4670" s="74">
        <v>0</v>
      </c>
      <c r="G4670" s="758">
        <f t="shared" si="288"/>
        <v>0.04</v>
      </c>
      <c r="H4670" s="759">
        <f t="shared" si="289"/>
        <v>0</v>
      </c>
      <c r="I4670" s="758">
        <f t="shared" si="290"/>
        <v>-0.04</v>
      </c>
      <c r="J4670" s="760">
        <f t="shared" si="291"/>
        <v>0</v>
      </c>
    </row>
    <row r="4671" spans="1:10">
      <c r="A4671" s="74" t="s">
        <v>917</v>
      </c>
      <c r="B4671" s="74" t="s">
        <v>258</v>
      </c>
      <c r="C4671" s="74" t="s">
        <v>1675</v>
      </c>
      <c r="D4671" s="74" t="s">
        <v>91</v>
      </c>
      <c r="E4671" s="74">
        <v>2</v>
      </c>
      <c r="F4671" s="74">
        <v>0</v>
      </c>
      <c r="G4671" s="758">
        <f t="shared" si="288"/>
        <v>0.04</v>
      </c>
      <c r="H4671" s="759">
        <f t="shared" si="289"/>
        <v>0</v>
      </c>
      <c r="I4671" s="758">
        <f t="shared" si="290"/>
        <v>-0.04</v>
      </c>
      <c r="J4671" s="760">
        <f t="shared" si="291"/>
        <v>0</v>
      </c>
    </row>
    <row r="4672" spans="1:10">
      <c r="A4672" s="74" t="s">
        <v>917</v>
      </c>
      <c r="B4672" s="74" t="s">
        <v>258</v>
      </c>
      <c r="C4672" s="74" t="s">
        <v>1584</v>
      </c>
      <c r="D4672" s="74" t="s">
        <v>92</v>
      </c>
      <c r="E4672" s="74">
        <v>2</v>
      </c>
      <c r="F4672" s="74">
        <v>0</v>
      </c>
      <c r="G4672" s="758">
        <f t="shared" si="288"/>
        <v>0.04</v>
      </c>
      <c r="H4672" s="759">
        <f t="shared" si="289"/>
        <v>0</v>
      </c>
      <c r="I4672" s="758">
        <f t="shared" si="290"/>
        <v>-0.04</v>
      </c>
      <c r="J4672" s="760">
        <f t="shared" si="291"/>
        <v>0</v>
      </c>
    </row>
    <row r="4673" spans="1:10">
      <c r="A4673" s="74" t="s">
        <v>917</v>
      </c>
      <c r="B4673" s="74" t="s">
        <v>258</v>
      </c>
      <c r="C4673" s="74" t="s">
        <v>1614</v>
      </c>
      <c r="D4673" s="74" t="s">
        <v>92</v>
      </c>
      <c r="E4673" s="74">
        <v>3</v>
      </c>
      <c r="F4673" s="74">
        <v>0</v>
      </c>
      <c r="G4673" s="758">
        <f t="shared" si="288"/>
        <v>0.04</v>
      </c>
      <c r="H4673" s="759">
        <f t="shared" si="289"/>
        <v>0</v>
      </c>
      <c r="I4673" s="758">
        <f t="shared" si="290"/>
        <v>-0.04</v>
      </c>
      <c r="J4673" s="760">
        <f t="shared" si="291"/>
        <v>0</v>
      </c>
    </row>
    <row r="4674" spans="1:10">
      <c r="A4674" s="74" t="s">
        <v>917</v>
      </c>
      <c r="B4674" s="74" t="s">
        <v>258</v>
      </c>
      <c r="C4674" s="74" t="s">
        <v>1631</v>
      </c>
      <c r="D4674" s="74" t="s">
        <v>92</v>
      </c>
      <c r="E4674" s="74">
        <v>4</v>
      </c>
      <c r="F4674" s="74">
        <v>0</v>
      </c>
      <c r="G4674" s="758">
        <f t="shared" ref="G4674:G4737" si="292">IFERROR(VLOOKUP(A4674,$M$1:$P$1014,2,FALSE),0)</f>
        <v>0.04</v>
      </c>
      <c r="H4674" s="759">
        <f t="shared" ref="H4674:H4737" si="293">IFERROR(VLOOKUP(A4674,$M$1:$P$1014,3,FALSE),0)</f>
        <v>0</v>
      </c>
      <c r="I4674" s="758">
        <f t="shared" ref="I4674:I4737" si="294">IFERROR(F4674/E4674-G4674,0)</f>
        <v>-0.04</v>
      </c>
      <c r="J4674" s="760">
        <f t="shared" ref="J4674:J4737" si="295">IFERROR(1-G4674*E4674/F4674,0)</f>
        <v>0</v>
      </c>
    </row>
    <row r="4675" spans="1:10">
      <c r="A4675" s="74" t="s">
        <v>917</v>
      </c>
      <c r="B4675" s="74" t="s">
        <v>258</v>
      </c>
      <c r="C4675" s="74" t="s">
        <v>1552</v>
      </c>
      <c r="D4675" s="74" t="s">
        <v>92</v>
      </c>
      <c r="E4675" s="74">
        <v>2</v>
      </c>
      <c r="F4675" s="74">
        <v>0</v>
      </c>
      <c r="G4675" s="758">
        <f t="shared" si="292"/>
        <v>0.04</v>
      </c>
      <c r="H4675" s="759">
        <f t="shared" si="293"/>
        <v>0</v>
      </c>
      <c r="I4675" s="758">
        <f t="shared" si="294"/>
        <v>-0.04</v>
      </c>
      <c r="J4675" s="760">
        <f t="shared" si="295"/>
        <v>0</v>
      </c>
    </row>
    <row r="4676" spans="1:10">
      <c r="A4676" s="74" t="s">
        <v>917</v>
      </c>
      <c r="B4676" s="74" t="s">
        <v>258</v>
      </c>
      <c r="C4676" s="74" t="s">
        <v>1617</v>
      </c>
      <c r="D4676" s="74" t="s">
        <v>94</v>
      </c>
      <c r="E4676" s="74">
        <v>3</v>
      </c>
      <c r="F4676" s="74">
        <v>0</v>
      </c>
      <c r="G4676" s="758">
        <f t="shared" si="292"/>
        <v>0.04</v>
      </c>
      <c r="H4676" s="759">
        <f t="shared" si="293"/>
        <v>0</v>
      </c>
      <c r="I4676" s="758">
        <f t="shared" si="294"/>
        <v>-0.04</v>
      </c>
      <c r="J4676" s="760">
        <f t="shared" si="295"/>
        <v>0</v>
      </c>
    </row>
    <row r="4677" spans="1:10">
      <c r="A4677" s="74" t="s">
        <v>917</v>
      </c>
      <c r="B4677" s="74" t="s">
        <v>258</v>
      </c>
      <c r="C4677" s="74" t="s">
        <v>1553</v>
      </c>
      <c r="D4677" s="74" t="s">
        <v>94</v>
      </c>
      <c r="E4677" s="74">
        <v>3</v>
      </c>
      <c r="F4677" s="74">
        <v>0</v>
      </c>
      <c r="G4677" s="758">
        <f t="shared" si="292"/>
        <v>0.04</v>
      </c>
      <c r="H4677" s="759">
        <f t="shared" si="293"/>
        <v>0</v>
      </c>
      <c r="I4677" s="758">
        <f t="shared" si="294"/>
        <v>-0.04</v>
      </c>
      <c r="J4677" s="760">
        <f t="shared" si="295"/>
        <v>0</v>
      </c>
    </row>
    <row r="4678" spans="1:10">
      <c r="A4678" s="74" t="s">
        <v>917</v>
      </c>
      <c r="B4678" s="74" t="s">
        <v>258</v>
      </c>
      <c r="C4678" s="74" t="s">
        <v>1555</v>
      </c>
      <c r="D4678" s="74" t="s">
        <v>94</v>
      </c>
      <c r="E4678" s="74">
        <v>1</v>
      </c>
      <c r="F4678" s="74">
        <v>0</v>
      </c>
      <c r="G4678" s="758">
        <f t="shared" si="292"/>
        <v>0.04</v>
      </c>
      <c r="H4678" s="759">
        <f t="shared" si="293"/>
        <v>0</v>
      </c>
      <c r="I4678" s="758">
        <f t="shared" si="294"/>
        <v>-0.04</v>
      </c>
      <c r="J4678" s="760">
        <f t="shared" si="295"/>
        <v>0</v>
      </c>
    </row>
    <row r="4679" spans="1:10">
      <c r="A4679" s="74" t="s">
        <v>917</v>
      </c>
      <c r="B4679" s="74" t="s">
        <v>258</v>
      </c>
      <c r="C4679" s="74" t="s">
        <v>1557</v>
      </c>
      <c r="D4679" s="74" t="s">
        <v>95</v>
      </c>
      <c r="E4679" s="74">
        <v>2</v>
      </c>
      <c r="F4679" s="74">
        <v>0</v>
      </c>
      <c r="G4679" s="758">
        <f t="shared" si="292"/>
        <v>0.04</v>
      </c>
      <c r="H4679" s="759">
        <f t="shared" si="293"/>
        <v>0</v>
      </c>
      <c r="I4679" s="758">
        <f t="shared" si="294"/>
        <v>-0.04</v>
      </c>
      <c r="J4679" s="760">
        <f t="shared" si="295"/>
        <v>0</v>
      </c>
    </row>
    <row r="4680" spans="1:10">
      <c r="A4680" s="74" t="s">
        <v>1094</v>
      </c>
      <c r="B4680" s="74" t="s">
        <v>258</v>
      </c>
      <c r="C4680" s="74" t="s">
        <v>1610</v>
      </c>
      <c r="D4680" s="74" t="s">
        <v>89</v>
      </c>
      <c r="E4680" s="74">
        <v>4</v>
      </c>
      <c r="F4680" s="74">
        <v>0</v>
      </c>
      <c r="G4680" s="758">
        <f t="shared" si="292"/>
        <v>0</v>
      </c>
      <c r="H4680" s="759">
        <f t="shared" si="293"/>
        <v>0</v>
      </c>
      <c r="I4680" s="758">
        <f t="shared" si="294"/>
        <v>0</v>
      </c>
      <c r="J4680" s="760">
        <f t="shared" si="295"/>
        <v>0</v>
      </c>
    </row>
    <row r="4681" spans="1:10">
      <c r="A4681" s="74" t="s">
        <v>1094</v>
      </c>
      <c r="B4681" s="74" t="s">
        <v>258</v>
      </c>
      <c r="C4681" s="74" t="s">
        <v>1524</v>
      </c>
      <c r="D4681" s="74" t="s">
        <v>91</v>
      </c>
      <c r="E4681" s="74">
        <v>1</v>
      </c>
      <c r="F4681" s="74">
        <v>0</v>
      </c>
      <c r="G4681" s="758">
        <f t="shared" si="292"/>
        <v>0</v>
      </c>
      <c r="H4681" s="759">
        <f t="shared" si="293"/>
        <v>0</v>
      </c>
      <c r="I4681" s="758">
        <f t="shared" si="294"/>
        <v>0</v>
      </c>
      <c r="J4681" s="760">
        <f t="shared" si="295"/>
        <v>0</v>
      </c>
    </row>
    <row r="4682" spans="1:10">
      <c r="A4682" s="74" t="s">
        <v>1094</v>
      </c>
      <c r="B4682" s="74" t="s">
        <v>258</v>
      </c>
      <c r="C4682" s="74" t="s">
        <v>1557</v>
      </c>
      <c r="D4682" s="74" t="s">
        <v>95</v>
      </c>
      <c r="E4682" s="74">
        <v>1</v>
      </c>
      <c r="F4682" s="74">
        <v>0</v>
      </c>
      <c r="G4682" s="758">
        <f t="shared" si="292"/>
        <v>0</v>
      </c>
      <c r="H4682" s="759">
        <f t="shared" si="293"/>
        <v>0</v>
      </c>
      <c r="I4682" s="758">
        <f t="shared" si="294"/>
        <v>0</v>
      </c>
      <c r="J4682" s="760">
        <f t="shared" si="295"/>
        <v>0</v>
      </c>
    </row>
    <row r="4683" spans="1:10">
      <c r="A4683" s="74" t="s">
        <v>2032</v>
      </c>
      <c r="B4683" s="74" t="s">
        <v>258</v>
      </c>
      <c r="C4683" s="74" t="s">
        <v>1614</v>
      </c>
      <c r="D4683" s="74" t="s">
        <v>92</v>
      </c>
      <c r="E4683" s="74">
        <v>1</v>
      </c>
      <c r="F4683" s="74">
        <v>0</v>
      </c>
      <c r="G4683" s="758">
        <f t="shared" si="292"/>
        <v>0</v>
      </c>
      <c r="H4683" s="759">
        <f t="shared" si="293"/>
        <v>0</v>
      </c>
      <c r="I4683" s="758">
        <f t="shared" si="294"/>
        <v>0</v>
      </c>
      <c r="J4683" s="760">
        <f t="shared" si="295"/>
        <v>0</v>
      </c>
    </row>
    <row r="4684" spans="1:10">
      <c r="A4684" s="74" t="s">
        <v>2033</v>
      </c>
      <c r="B4684" s="74" t="s">
        <v>258</v>
      </c>
      <c r="C4684" s="74" t="s">
        <v>1614</v>
      </c>
      <c r="D4684" s="74" t="s">
        <v>92</v>
      </c>
      <c r="E4684" s="74">
        <v>1</v>
      </c>
      <c r="F4684" s="74">
        <v>0</v>
      </c>
      <c r="G4684" s="758">
        <f t="shared" si="292"/>
        <v>0</v>
      </c>
      <c r="H4684" s="759">
        <f t="shared" si="293"/>
        <v>0</v>
      </c>
      <c r="I4684" s="758">
        <f t="shared" si="294"/>
        <v>0</v>
      </c>
      <c r="J4684" s="760">
        <f t="shared" si="295"/>
        <v>0</v>
      </c>
    </row>
    <row r="4685" spans="1:10">
      <c r="A4685" s="74" t="s">
        <v>2034</v>
      </c>
      <c r="B4685" s="74" t="s">
        <v>258</v>
      </c>
      <c r="C4685" s="74" t="s">
        <v>1610</v>
      </c>
      <c r="D4685" s="74" t="s">
        <v>89</v>
      </c>
      <c r="E4685" s="74">
        <v>1</v>
      </c>
      <c r="F4685" s="74">
        <v>0</v>
      </c>
      <c r="G4685" s="758">
        <f t="shared" si="292"/>
        <v>0</v>
      </c>
      <c r="H4685" s="759">
        <f t="shared" si="293"/>
        <v>0</v>
      </c>
      <c r="I4685" s="758">
        <f t="shared" si="294"/>
        <v>0</v>
      </c>
      <c r="J4685" s="760">
        <f t="shared" si="295"/>
        <v>0</v>
      </c>
    </row>
    <row r="4686" spans="1:10">
      <c r="A4686" s="74" t="s">
        <v>2035</v>
      </c>
      <c r="B4686" s="74" t="s">
        <v>258</v>
      </c>
      <c r="C4686" s="74" t="s">
        <v>1565</v>
      </c>
      <c r="D4686" s="74" t="s">
        <v>78</v>
      </c>
      <c r="E4686" s="74">
        <v>7</v>
      </c>
      <c r="F4686" s="74">
        <v>0</v>
      </c>
      <c r="G4686" s="758">
        <f t="shared" si="292"/>
        <v>0.42</v>
      </c>
      <c r="H4686" s="759">
        <f t="shared" si="293"/>
        <v>0</v>
      </c>
      <c r="I4686" s="758">
        <f t="shared" si="294"/>
        <v>-0.42</v>
      </c>
      <c r="J4686" s="760">
        <f t="shared" si="295"/>
        <v>0</v>
      </c>
    </row>
    <row r="4687" spans="1:10">
      <c r="A4687" s="74" t="s">
        <v>2036</v>
      </c>
      <c r="B4687" s="74" t="s">
        <v>2307</v>
      </c>
      <c r="C4687" s="74" t="s">
        <v>1534</v>
      </c>
      <c r="D4687" s="74" t="s">
        <v>81</v>
      </c>
      <c r="E4687" s="74">
        <v>4</v>
      </c>
      <c r="F4687" s="74">
        <v>0</v>
      </c>
      <c r="G4687" s="758">
        <f t="shared" si="292"/>
        <v>0.42</v>
      </c>
      <c r="H4687" s="759">
        <f t="shared" si="293"/>
        <v>0</v>
      </c>
      <c r="I4687" s="758">
        <f t="shared" si="294"/>
        <v>-0.42</v>
      </c>
      <c r="J4687" s="760">
        <f t="shared" si="295"/>
        <v>0</v>
      </c>
    </row>
    <row r="4688" spans="1:10">
      <c r="A4688" s="74" t="s">
        <v>933</v>
      </c>
      <c r="B4688" s="74" t="s">
        <v>275</v>
      </c>
      <c r="C4688" s="74" t="s">
        <v>1528</v>
      </c>
      <c r="D4688" s="74" t="s">
        <v>78</v>
      </c>
      <c r="E4688" s="74">
        <v>16</v>
      </c>
      <c r="F4688" s="74">
        <v>76.25</v>
      </c>
      <c r="G4688" s="758">
        <f t="shared" si="292"/>
        <v>0.41</v>
      </c>
      <c r="H4688" s="759">
        <f t="shared" si="293"/>
        <v>0.09</v>
      </c>
      <c r="I4688" s="758">
        <f t="shared" si="294"/>
        <v>4.3556249999999999</v>
      </c>
      <c r="J4688" s="760">
        <f t="shared" si="295"/>
        <v>0.91396721311475415</v>
      </c>
    </row>
    <row r="4689" spans="1:10">
      <c r="A4689" s="74" t="s">
        <v>933</v>
      </c>
      <c r="B4689" s="74" t="s">
        <v>275</v>
      </c>
      <c r="C4689" s="74" t="s">
        <v>1508</v>
      </c>
      <c r="D4689" s="74" t="s">
        <v>78</v>
      </c>
      <c r="E4689" s="74">
        <v>5</v>
      </c>
      <c r="F4689" s="74">
        <v>23.75</v>
      </c>
      <c r="G4689" s="758">
        <f t="shared" si="292"/>
        <v>0.41</v>
      </c>
      <c r="H4689" s="759">
        <f t="shared" si="293"/>
        <v>0.09</v>
      </c>
      <c r="I4689" s="758">
        <f t="shared" si="294"/>
        <v>4.34</v>
      </c>
      <c r="J4689" s="760">
        <f t="shared" si="295"/>
        <v>0.91368421052631577</v>
      </c>
    </row>
    <row r="4690" spans="1:10">
      <c r="A4690" s="74" t="s">
        <v>933</v>
      </c>
      <c r="B4690" s="74" t="s">
        <v>275</v>
      </c>
      <c r="C4690" s="74" t="s">
        <v>1565</v>
      </c>
      <c r="D4690" s="74" t="s">
        <v>78</v>
      </c>
      <c r="E4690" s="74">
        <v>9</v>
      </c>
      <c r="F4690" s="74">
        <v>42.75</v>
      </c>
      <c r="G4690" s="758">
        <f t="shared" si="292"/>
        <v>0.41</v>
      </c>
      <c r="H4690" s="759">
        <f t="shared" si="293"/>
        <v>0.09</v>
      </c>
      <c r="I4690" s="758">
        <f t="shared" si="294"/>
        <v>4.34</v>
      </c>
      <c r="J4690" s="760">
        <f t="shared" si="295"/>
        <v>0.91368421052631577</v>
      </c>
    </row>
    <row r="4691" spans="1:10">
      <c r="A4691" s="74" t="s">
        <v>933</v>
      </c>
      <c r="B4691" s="74" t="s">
        <v>275</v>
      </c>
      <c r="C4691" s="74" t="s">
        <v>1530</v>
      </c>
      <c r="D4691" s="74" t="s">
        <v>80</v>
      </c>
      <c r="E4691" s="74">
        <v>2</v>
      </c>
      <c r="F4691" s="74">
        <v>0</v>
      </c>
      <c r="G4691" s="758">
        <f t="shared" si="292"/>
        <v>0.41</v>
      </c>
      <c r="H4691" s="759">
        <f t="shared" si="293"/>
        <v>0.09</v>
      </c>
      <c r="I4691" s="758">
        <f t="shared" si="294"/>
        <v>-0.41</v>
      </c>
      <c r="J4691" s="760">
        <f t="shared" si="295"/>
        <v>0</v>
      </c>
    </row>
    <row r="4692" spans="1:10">
      <c r="A4692" s="74" t="s">
        <v>933</v>
      </c>
      <c r="B4692" s="74" t="s">
        <v>275</v>
      </c>
      <c r="C4692" s="74" t="s">
        <v>1511</v>
      </c>
      <c r="D4692" s="74" t="s">
        <v>80</v>
      </c>
      <c r="E4692" s="74">
        <v>15</v>
      </c>
      <c r="F4692" s="74">
        <v>71.25</v>
      </c>
      <c r="G4692" s="758">
        <f t="shared" si="292"/>
        <v>0.41</v>
      </c>
      <c r="H4692" s="759">
        <f t="shared" si="293"/>
        <v>0.09</v>
      </c>
      <c r="I4692" s="758">
        <f t="shared" si="294"/>
        <v>4.34</v>
      </c>
      <c r="J4692" s="760">
        <f t="shared" si="295"/>
        <v>0.91368421052631577</v>
      </c>
    </row>
    <row r="4693" spans="1:10">
      <c r="A4693" s="74" t="s">
        <v>933</v>
      </c>
      <c r="B4693" s="74" t="s">
        <v>275</v>
      </c>
      <c r="C4693" s="74" t="s">
        <v>1512</v>
      </c>
      <c r="D4693" s="74" t="s">
        <v>80</v>
      </c>
      <c r="E4693" s="74">
        <v>8</v>
      </c>
      <c r="F4693" s="74">
        <v>38.25</v>
      </c>
      <c r="G4693" s="758">
        <f t="shared" si="292"/>
        <v>0.41</v>
      </c>
      <c r="H4693" s="759">
        <f t="shared" si="293"/>
        <v>0.09</v>
      </c>
      <c r="I4693" s="758">
        <f t="shared" si="294"/>
        <v>4.3712499999999999</v>
      </c>
      <c r="J4693" s="760">
        <f t="shared" si="295"/>
        <v>0.91424836601307191</v>
      </c>
    </row>
    <row r="4694" spans="1:10">
      <c r="A4694" s="74" t="s">
        <v>933</v>
      </c>
      <c r="B4694" s="74" t="s">
        <v>275</v>
      </c>
      <c r="C4694" s="74" t="s">
        <v>1534</v>
      </c>
      <c r="D4694" s="74" t="s">
        <v>81</v>
      </c>
      <c r="E4694" s="74">
        <v>3</v>
      </c>
      <c r="F4694" s="74">
        <v>14.5</v>
      </c>
      <c r="G4694" s="758">
        <f t="shared" si="292"/>
        <v>0.41</v>
      </c>
      <c r="H4694" s="759">
        <f t="shared" si="293"/>
        <v>0.09</v>
      </c>
      <c r="I4694" s="758">
        <f t="shared" si="294"/>
        <v>4.4233333333333329</v>
      </c>
      <c r="J4694" s="760">
        <f t="shared" si="295"/>
        <v>0.91517241379310343</v>
      </c>
    </row>
    <row r="4695" spans="1:10">
      <c r="A4695" s="74" t="s">
        <v>933</v>
      </c>
      <c r="B4695" s="74" t="s">
        <v>275</v>
      </c>
      <c r="C4695" s="74" t="s">
        <v>1513</v>
      </c>
      <c r="D4695" s="74" t="s">
        <v>81</v>
      </c>
      <c r="E4695" s="74">
        <v>4</v>
      </c>
      <c r="F4695" s="74">
        <v>20</v>
      </c>
      <c r="G4695" s="758">
        <f t="shared" si="292"/>
        <v>0.41</v>
      </c>
      <c r="H4695" s="759">
        <f t="shared" si="293"/>
        <v>0.09</v>
      </c>
      <c r="I4695" s="758">
        <f t="shared" si="294"/>
        <v>4.59</v>
      </c>
      <c r="J4695" s="760">
        <f t="shared" si="295"/>
        <v>0.91800000000000004</v>
      </c>
    </row>
    <row r="4696" spans="1:10">
      <c r="A4696" s="74" t="s">
        <v>933</v>
      </c>
      <c r="B4696" s="74" t="s">
        <v>275</v>
      </c>
      <c r="C4696" s="74" t="s">
        <v>1514</v>
      </c>
      <c r="D4696" s="74" t="s">
        <v>81</v>
      </c>
      <c r="E4696" s="74">
        <v>15</v>
      </c>
      <c r="F4696" s="74">
        <v>72.25</v>
      </c>
      <c r="G4696" s="758">
        <f t="shared" si="292"/>
        <v>0.41</v>
      </c>
      <c r="H4696" s="759">
        <f t="shared" si="293"/>
        <v>0.09</v>
      </c>
      <c r="I4696" s="758">
        <f t="shared" si="294"/>
        <v>4.4066666666666663</v>
      </c>
      <c r="J4696" s="760">
        <f t="shared" si="295"/>
        <v>0.91487889273356404</v>
      </c>
    </row>
    <row r="4697" spans="1:10">
      <c r="A4697" s="74" t="s">
        <v>933</v>
      </c>
      <c r="B4697" s="74" t="s">
        <v>275</v>
      </c>
      <c r="C4697" s="74" t="s">
        <v>1515</v>
      </c>
      <c r="D4697" s="74" t="s">
        <v>81</v>
      </c>
      <c r="E4697" s="74">
        <v>9</v>
      </c>
      <c r="F4697" s="74">
        <v>126.25</v>
      </c>
      <c r="G4697" s="758">
        <f t="shared" si="292"/>
        <v>0.41</v>
      </c>
      <c r="H4697" s="759">
        <f t="shared" si="293"/>
        <v>0.09</v>
      </c>
      <c r="I4697" s="758">
        <f t="shared" si="294"/>
        <v>13.617777777777778</v>
      </c>
      <c r="J4697" s="760">
        <f t="shared" si="295"/>
        <v>0.97077227722772275</v>
      </c>
    </row>
    <row r="4698" spans="1:10">
      <c r="A4698" s="74" t="s">
        <v>933</v>
      </c>
      <c r="B4698" s="74" t="s">
        <v>275</v>
      </c>
      <c r="C4698" s="74" t="s">
        <v>1516</v>
      </c>
      <c r="D4698" s="74" t="s">
        <v>82</v>
      </c>
      <c r="E4698" s="74">
        <v>13</v>
      </c>
      <c r="F4698" s="74">
        <v>161.75</v>
      </c>
      <c r="G4698" s="758">
        <f t="shared" si="292"/>
        <v>0.41</v>
      </c>
      <c r="H4698" s="759">
        <f t="shared" si="293"/>
        <v>0.09</v>
      </c>
      <c r="I4698" s="758">
        <f t="shared" si="294"/>
        <v>12.032307692307691</v>
      </c>
      <c r="J4698" s="760">
        <f t="shared" si="295"/>
        <v>0.96704791344667695</v>
      </c>
    </row>
    <row r="4699" spans="1:10">
      <c r="A4699" s="74" t="s">
        <v>933</v>
      </c>
      <c r="B4699" s="74" t="s">
        <v>275</v>
      </c>
      <c r="C4699" s="74" t="s">
        <v>1517</v>
      </c>
      <c r="D4699" s="74" t="s">
        <v>82</v>
      </c>
      <c r="E4699" s="74">
        <v>11</v>
      </c>
      <c r="F4699" s="74">
        <v>57.75</v>
      </c>
      <c r="G4699" s="758">
        <f t="shared" si="292"/>
        <v>0.41</v>
      </c>
      <c r="H4699" s="759">
        <f t="shared" si="293"/>
        <v>0.09</v>
      </c>
      <c r="I4699" s="758">
        <f t="shared" si="294"/>
        <v>4.84</v>
      </c>
      <c r="J4699" s="760">
        <f t="shared" si="295"/>
        <v>0.92190476190476189</v>
      </c>
    </row>
    <row r="4700" spans="1:10">
      <c r="A4700" s="74" t="s">
        <v>933</v>
      </c>
      <c r="B4700" s="74" t="s">
        <v>275</v>
      </c>
      <c r="C4700" s="74" t="s">
        <v>1527</v>
      </c>
      <c r="D4700" s="74" t="s">
        <v>82</v>
      </c>
      <c r="E4700" s="74">
        <v>8</v>
      </c>
      <c r="F4700" s="74">
        <v>42</v>
      </c>
      <c r="G4700" s="758">
        <f t="shared" si="292"/>
        <v>0.41</v>
      </c>
      <c r="H4700" s="759">
        <f t="shared" si="293"/>
        <v>0.09</v>
      </c>
      <c r="I4700" s="758">
        <f t="shared" si="294"/>
        <v>4.84</v>
      </c>
      <c r="J4700" s="760">
        <f t="shared" si="295"/>
        <v>0.92190476190476189</v>
      </c>
    </row>
    <row r="4701" spans="1:10">
      <c r="A4701" s="74" t="s">
        <v>933</v>
      </c>
      <c r="B4701" s="74" t="s">
        <v>275</v>
      </c>
      <c r="C4701" s="74" t="s">
        <v>1518</v>
      </c>
      <c r="D4701" s="74" t="s">
        <v>82</v>
      </c>
      <c r="E4701" s="74">
        <v>8</v>
      </c>
      <c r="F4701" s="74">
        <v>42</v>
      </c>
      <c r="G4701" s="758">
        <f t="shared" si="292"/>
        <v>0.41</v>
      </c>
      <c r="H4701" s="759">
        <f t="shared" si="293"/>
        <v>0.09</v>
      </c>
      <c r="I4701" s="758">
        <f t="shared" si="294"/>
        <v>4.84</v>
      </c>
      <c r="J4701" s="760">
        <f t="shared" si="295"/>
        <v>0.92190476190476189</v>
      </c>
    </row>
    <row r="4702" spans="1:10">
      <c r="A4702" s="74" t="s">
        <v>933</v>
      </c>
      <c r="B4702" s="74" t="s">
        <v>275</v>
      </c>
      <c r="C4702" s="74" t="s">
        <v>1519</v>
      </c>
      <c r="D4702" s="74" t="s">
        <v>84</v>
      </c>
      <c r="E4702" s="74">
        <v>1</v>
      </c>
      <c r="F4702" s="74">
        <v>5.5</v>
      </c>
      <c r="G4702" s="758">
        <f t="shared" si="292"/>
        <v>0.41</v>
      </c>
      <c r="H4702" s="759">
        <f t="shared" si="293"/>
        <v>0.09</v>
      </c>
      <c r="I4702" s="758">
        <f t="shared" si="294"/>
        <v>5.09</v>
      </c>
      <c r="J4702" s="760">
        <f t="shared" si="295"/>
        <v>0.92545454545454542</v>
      </c>
    </row>
    <row r="4703" spans="1:10">
      <c r="A4703" s="74" t="s">
        <v>933</v>
      </c>
      <c r="B4703" s="74" t="s">
        <v>275</v>
      </c>
      <c r="C4703" s="74" t="s">
        <v>1578</v>
      </c>
      <c r="D4703" s="74" t="s">
        <v>86</v>
      </c>
      <c r="E4703" s="74">
        <v>1</v>
      </c>
      <c r="F4703" s="74">
        <v>5.25</v>
      </c>
      <c r="G4703" s="758">
        <f t="shared" si="292"/>
        <v>0.41</v>
      </c>
      <c r="H4703" s="759">
        <f t="shared" si="293"/>
        <v>0.09</v>
      </c>
      <c r="I4703" s="758">
        <f t="shared" si="294"/>
        <v>4.84</v>
      </c>
      <c r="J4703" s="760">
        <f t="shared" si="295"/>
        <v>0.92190476190476189</v>
      </c>
    </row>
    <row r="4704" spans="1:10">
      <c r="A4704" s="74" t="s">
        <v>933</v>
      </c>
      <c r="B4704" s="74" t="s">
        <v>275</v>
      </c>
      <c r="C4704" s="74" t="s">
        <v>1543</v>
      </c>
      <c r="D4704" s="74" t="s">
        <v>87</v>
      </c>
      <c r="E4704" s="74">
        <v>1</v>
      </c>
      <c r="F4704" s="74">
        <v>5.25</v>
      </c>
      <c r="G4704" s="758">
        <f t="shared" si="292"/>
        <v>0.41</v>
      </c>
      <c r="H4704" s="759">
        <f t="shared" si="293"/>
        <v>0.09</v>
      </c>
      <c r="I4704" s="758">
        <f t="shared" si="294"/>
        <v>4.84</v>
      </c>
      <c r="J4704" s="760">
        <f t="shared" si="295"/>
        <v>0.92190476190476189</v>
      </c>
    </row>
    <row r="4705" spans="1:10">
      <c r="A4705" s="74" t="s">
        <v>933</v>
      </c>
      <c r="B4705" s="74" t="s">
        <v>275</v>
      </c>
      <c r="C4705" s="74" t="s">
        <v>1610</v>
      </c>
      <c r="D4705" s="74" t="s">
        <v>89</v>
      </c>
      <c r="E4705" s="74">
        <v>1</v>
      </c>
      <c r="F4705" s="74">
        <v>5.25</v>
      </c>
      <c r="G4705" s="758">
        <f t="shared" si="292"/>
        <v>0.41</v>
      </c>
      <c r="H4705" s="759">
        <f t="shared" si="293"/>
        <v>0.09</v>
      </c>
      <c r="I4705" s="758">
        <f t="shared" si="294"/>
        <v>4.84</v>
      </c>
      <c r="J4705" s="760">
        <f t="shared" si="295"/>
        <v>0.92190476190476189</v>
      </c>
    </row>
    <row r="4706" spans="1:10">
      <c r="A4706" s="74" t="s">
        <v>933</v>
      </c>
      <c r="B4706" s="74" t="s">
        <v>275</v>
      </c>
      <c r="C4706" s="74" t="s">
        <v>1582</v>
      </c>
      <c r="D4706" s="74" t="s">
        <v>89</v>
      </c>
      <c r="E4706" s="74">
        <v>1</v>
      </c>
      <c r="F4706" s="74">
        <v>5.25</v>
      </c>
      <c r="G4706" s="758">
        <f t="shared" si="292"/>
        <v>0.41</v>
      </c>
      <c r="H4706" s="759">
        <f t="shared" si="293"/>
        <v>0.09</v>
      </c>
      <c r="I4706" s="758">
        <f t="shared" si="294"/>
        <v>4.84</v>
      </c>
      <c r="J4706" s="760">
        <f t="shared" si="295"/>
        <v>0.92190476190476189</v>
      </c>
    </row>
    <row r="4707" spans="1:10">
      <c r="A4707" s="74" t="s">
        <v>2037</v>
      </c>
      <c r="B4707" s="74" t="s">
        <v>275</v>
      </c>
      <c r="C4707" s="74" t="s">
        <v>1512</v>
      </c>
      <c r="D4707" s="74" t="s">
        <v>80</v>
      </c>
      <c r="E4707" s="74">
        <v>1</v>
      </c>
      <c r="F4707" s="74">
        <v>5.5</v>
      </c>
      <c r="G4707" s="758">
        <f t="shared" si="292"/>
        <v>0.42</v>
      </c>
      <c r="H4707" s="759">
        <f t="shared" si="293"/>
        <v>0.08</v>
      </c>
      <c r="I4707" s="758">
        <f t="shared" si="294"/>
        <v>5.08</v>
      </c>
      <c r="J4707" s="760">
        <f t="shared" si="295"/>
        <v>0.92363636363636359</v>
      </c>
    </row>
    <row r="4708" spans="1:10">
      <c r="A4708" s="74" t="s">
        <v>2037</v>
      </c>
      <c r="B4708" s="74" t="s">
        <v>275</v>
      </c>
      <c r="C4708" s="74" t="s">
        <v>1517</v>
      </c>
      <c r="D4708" s="74" t="s">
        <v>82</v>
      </c>
      <c r="E4708" s="74">
        <v>4</v>
      </c>
      <c r="F4708" s="74">
        <v>22</v>
      </c>
      <c r="G4708" s="758">
        <f t="shared" si="292"/>
        <v>0.42</v>
      </c>
      <c r="H4708" s="759">
        <f t="shared" si="293"/>
        <v>0.08</v>
      </c>
      <c r="I4708" s="758">
        <f t="shared" si="294"/>
        <v>5.08</v>
      </c>
      <c r="J4708" s="760">
        <f t="shared" si="295"/>
        <v>0.92363636363636359</v>
      </c>
    </row>
    <row r="4709" spans="1:10">
      <c r="A4709" s="74" t="s">
        <v>2038</v>
      </c>
      <c r="B4709" s="74" t="s">
        <v>258</v>
      </c>
      <c r="C4709" s="74" t="s">
        <v>1540</v>
      </c>
      <c r="D4709" s="74" t="s">
        <v>84</v>
      </c>
      <c r="E4709" s="74">
        <v>3</v>
      </c>
      <c r="F4709" s="74">
        <v>0</v>
      </c>
      <c r="G4709" s="758">
        <f t="shared" si="292"/>
        <v>0.32</v>
      </c>
      <c r="H4709" s="759">
        <f t="shared" si="293"/>
        <v>0</v>
      </c>
      <c r="I4709" s="758">
        <f t="shared" si="294"/>
        <v>-0.32</v>
      </c>
      <c r="J4709" s="760">
        <f t="shared" si="295"/>
        <v>0</v>
      </c>
    </row>
    <row r="4710" spans="1:10">
      <c r="A4710" s="74" t="s">
        <v>2038</v>
      </c>
      <c r="B4710" s="74" t="s">
        <v>258</v>
      </c>
      <c r="C4710" s="74" t="s">
        <v>1552</v>
      </c>
      <c r="D4710" s="74" t="s">
        <v>92</v>
      </c>
      <c r="E4710" s="74">
        <v>1</v>
      </c>
      <c r="F4710" s="74">
        <v>0</v>
      </c>
      <c r="G4710" s="758">
        <f t="shared" si="292"/>
        <v>0.32</v>
      </c>
      <c r="H4710" s="759">
        <f t="shared" si="293"/>
        <v>0</v>
      </c>
      <c r="I4710" s="758">
        <f t="shared" si="294"/>
        <v>-0.32</v>
      </c>
      <c r="J4710" s="760">
        <f t="shared" si="295"/>
        <v>0</v>
      </c>
    </row>
    <row r="4711" spans="1:10">
      <c r="A4711" s="74" t="s">
        <v>2039</v>
      </c>
      <c r="B4711" s="74" t="s">
        <v>258</v>
      </c>
      <c r="C4711" s="74" t="s">
        <v>1530</v>
      </c>
      <c r="D4711" s="74" t="s">
        <v>80</v>
      </c>
      <c r="E4711" s="74">
        <v>4</v>
      </c>
      <c r="F4711" s="74">
        <v>0</v>
      </c>
      <c r="G4711" s="758">
        <f t="shared" si="292"/>
        <v>0.42</v>
      </c>
      <c r="H4711" s="759">
        <f t="shared" si="293"/>
        <v>0</v>
      </c>
      <c r="I4711" s="758">
        <f t="shared" si="294"/>
        <v>-0.42</v>
      </c>
      <c r="J4711" s="760">
        <f t="shared" si="295"/>
        <v>0</v>
      </c>
    </row>
    <row r="4712" spans="1:10">
      <c r="A4712" s="74" t="s">
        <v>2040</v>
      </c>
      <c r="B4712" s="74" t="s">
        <v>256</v>
      </c>
      <c r="C4712" s="74" t="s">
        <v>1527</v>
      </c>
      <c r="D4712" s="74" t="s">
        <v>82</v>
      </c>
      <c r="E4712" s="74">
        <v>3</v>
      </c>
      <c r="F4712" s="74">
        <v>23.3</v>
      </c>
      <c r="G4712" s="758">
        <f t="shared" si="292"/>
        <v>2.44</v>
      </c>
      <c r="H4712" s="759">
        <f t="shared" si="293"/>
        <v>0.34</v>
      </c>
      <c r="I4712" s="758">
        <f t="shared" si="294"/>
        <v>5.3266666666666662</v>
      </c>
      <c r="J4712" s="760">
        <f t="shared" si="295"/>
        <v>0.68583690987124468</v>
      </c>
    </row>
    <row r="4713" spans="1:10">
      <c r="A4713" s="74" t="s">
        <v>2041</v>
      </c>
      <c r="B4713" s="74" t="s">
        <v>873</v>
      </c>
      <c r="C4713" s="74" t="s">
        <v>1520</v>
      </c>
      <c r="D4713" s="74" t="s">
        <v>84</v>
      </c>
      <c r="E4713" s="74">
        <v>1</v>
      </c>
      <c r="F4713" s="74">
        <v>3</v>
      </c>
      <c r="G4713" s="758">
        <f t="shared" si="292"/>
        <v>0</v>
      </c>
      <c r="H4713" s="759">
        <f t="shared" si="293"/>
        <v>0</v>
      </c>
      <c r="I4713" s="758">
        <f t="shared" si="294"/>
        <v>3</v>
      </c>
      <c r="J4713" s="760">
        <f t="shared" si="295"/>
        <v>1</v>
      </c>
    </row>
    <row r="4714" spans="1:10">
      <c r="A4714" s="74" t="s">
        <v>2042</v>
      </c>
      <c r="B4714" s="74" t="s">
        <v>321</v>
      </c>
      <c r="C4714" s="74" t="s">
        <v>1527</v>
      </c>
      <c r="D4714" s="74" t="s">
        <v>82</v>
      </c>
      <c r="E4714" s="74">
        <v>1</v>
      </c>
      <c r="F4714" s="74">
        <v>8.8000000000000007</v>
      </c>
      <c r="G4714" s="758">
        <f t="shared" si="292"/>
        <v>2.36</v>
      </c>
      <c r="H4714" s="759">
        <f t="shared" si="293"/>
        <v>0.3</v>
      </c>
      <c r="I4714" s="758">
        <f t="shared" si="294"/>
        <v>6.4400000000000013</v>
      </c>
      <c r="J4714" s="760">
        <f t="shared" si="295"/>
        <v>0.73181818181818192</v>
      </c>
    </row>
    <row r="4715" spans="1:10">
      <c r="A4715" s="74" t="s">
        <v>697</v>
      </c>
      <c r="B4715" s="74" t="s">
        <v>256</v>
      </c>
      <c r="C4715" s="74" t="s">
        <v>1528</v>
      </c>
      <c r="D4715" s="74" t="s">
        <v>78</v>
      </c>
      <c r="E4715" s="74">
        <v>11</v>
      </c>
      <c r="F4715" s="74">
        <v>114.87</v>
      </c>
      <c r="G4715" s="758">
        <f t="shared" si="292"/>
        <v>2.57</v>
      </c>
      <c r="H4715" s="759">
        <f t="shared" si="293"/>
        <v>0.27</v>
      </c>
      <c r="I4715" s="758">
        <f t="shared" si="294"/>
        <v>7.872727272727273</v>
      </c>
      <c r="J4715" s="760">
        <f t="shared" si="295"/>
        <v>0.75389570819186913</v>
      </c>
    </row>
    <row r="4716" spans="1:10">
      <c r="A4716" s="74" t="s">
        <v>697</v>
      </c>
      <c r="B4716" s="74" t="s">
        <v>256</v>
      </c>
      <c r="C4716" s="74" t="s">
        <v>1508</v>
      </c>
      <c r="D4716" s="74" t="s">
        <v>78</v>
      </c>
      <c r="E4716" s="74">
        <v>16</v>
      </c>
      <c r="F4716" s="74">
        <v>162</v>
      </c>
      <c r="G4716" s="758">
        <f t="shared" si="292"/>
        <v>2.57</v>
      </c>
      <c r="H4716" s="759">
        <f t="shared" si="293"/>
        <v>0.27</v>
      </c>
      <c r="I4716" s="758">
        <f t="shared" si="294"/>
        <v>7.5549999999999997</v>
      </c>
      <c r="J4716" s="760">
        <f t="shared" si="295"/>
        <v>0.74617283950617286</v>
      </c>
    </row>
    <row r="4717" spans="1:10">
      <c r="A4717" s="74" t="s">
        <v>697</v>
      </c>
      <c r="B4717" s="74" t="s">
        <v>256</v>
      </c>
      <c r="C4717" s="74" t="s">
        <v>1509</v>
      </c>
      <c r="D4717" s="74" t="s">
        <v>78</v>
      </c>
      <c r="E4717" s="74">
        <v>14</v>
      </c>
      <c r="F4717" s="74">
        <v>144.58000000000001</v>
      </c>
      <c r="G4717" s="758">
        <f t="shared" si="292"/>
        <v>2.57</v>
      </c>
      <c r="H4717" s="759">
        <f t="shared" si="293"/>
        <v>0.27</v>
      </c>
      <c r="I4717" s="758">
        <f t="shared" si="294"/>
        <v>7.757142857142858</v>
      </c>
      <c r="J4717" s="760">
        <f t="shared" si="295"/>
        <v>0.75114123668557209</v>
      </c>
    </row>
    <row r="4718" spans="1:10">
      <c r="A4718" s="74" t="s">
        <v>697</v>
      </c>
      <c r="B4718" s="74" t="s">
        <v>256</v>
      </c>
      <c r="C4718" s="74" t="s">
        <v>1565</v>
      </c>
      <c r="D4718" s="74" t="s">
        <v>78</v>
      </c>
      <c r="E4718" s="74">
        <v>18</v>
      </c>
      <c r="F4718" s="74">
        <v>185.81</v>
      </c>
      <c r="G4718" s="758">
        <f t="shared" si="292"/>
        <v>2.57</v>
      </c>
      <c r="H4718" s="759">
        <f t="shared" si="293"/>
        <v>0.27</v>
      </c>
      <c r="I4718" s="758">
        <f t="shared" si="294"/>
        <v>7.7527777777777782</v>
      </c>
      <c r="J4718" s="760">
        <f t="shared" si="295"/>
        <v>0.75103600452074704</v>
      </c>
    </row>
    <row r="4719" spans="1:10">
      <c r="A4719" s="74" t="s">
        <v>697</v>
      </c>
      <c r="B4719" s="74" t="s">
        <v>256</v>
      </c>
      <c r="C4719" s="74" t="s">
        <v>1530</v>
      </c>
      <c r="D4719" s="74" t="s">
        <v>80</v>
      </c>
      <c r="E4719" s="74">
        <v>9</v>
      </c>
      <c r="F4719" s="74">
        <v>89.18</v>
      </c>
      <c r="G4719" s="758">
        <f t="shared" si="292"/>
        <v>2.57</v>
      </c>
      <c r="H4719" s="759">
        <f t="shared" si="293"/>
        <v>0.27</v>
      </c>
      <c r="I4719" s="758">
        <f t="shared" si="294"/>
        <v>7.3388888888888886</v>
      </c>
      <c r="J4719" s="760">
        <f t="shared" si="295"/>
        <v>0.74063691410630184</v>
      </c>
    </row>
    <row r="4720" spans="1:10">
      <c r="A4720" s="74" t="s">
        <v>697</v>
      </c>
      <c r="B4720" s="74" t="s">
        <v>256</v>
      </c>
      <c r="C4720" s="74" t="s">
        <v>1532</v>
      </c>
      <c r="D4720" s="74" t="s">
        <v>80</v>
      </c>
      <c r="E4720" s="74">
        <v>14</v>
      </c>
      <c r="F4720" s="74">
        <v>143.18</v>
      </c>
      <c r="G4720" s="758">
        <f t="shared" si="292"/>
        <v>2.57</v>
      </c>
      <c r="H4720" s="759">
        <f t="shared" si="293"/>
        <v>0.27</v>
      </c>
      <c r="I4720" s="758">
        <f t="shared" si="294"/>
        <v>7.6571428571428566</v>
      </c>
      <c r="J4720" s="760">
        <f t="shared" si="295"/>
        <v>0.74870792010057274</v>
      </c>
    </row>
    <row r="4721" spans="1:10">
      <c r="A4721" s="74" t="s">
        <v>697</v>
      </c>
      <c r="B4721" s="74" t="s">
        <v>256</v>
      </c>
      <c r="C4721" s="74" t="s">
        <v>1511</v>
      </c>
      <c r="D4721" s="74" t="s">
        <v>80</v>
      </c>
      <c r="E4721" s="74">
        <v>16</v>
      </c>
      <c r="F4721" s="74">
        <v>163.25</v>
      </c>
      <c r="G4721" s="758">
        <f t="shared" si="292"/>
        <v>2.57</v>
      </c>
      <c r="H4721" s="759">
        <f t="shared" si="293"/>
        <v>0.27</v>
      </c>
      <c r="I4721" s="758">
        <f t="shared" si="294"/>
        <v>7.6331249999999997</v>
      </c>
      <c r="J4721" s="760">
        <f t="shared" si="295"/>
        <v>0.74811638591117924</v>
      </c>
    </row>
    <row r="4722" spans="1:10">
      <c r="A4722" s="74" t="s">
        <v>697</v>
      </c>
      <c r="B4722" s="74" t="s">
        <v>256</v>
      </c>
      <c r="C4722" s="74" t="s">
        <v>1512</v>
      </c>
      <c r="D4722" s="74" t="s">
        <v>80</v>
      </c>
      <c r="E4722" s="74">
        <v>14</v>
      </c>
      <c r="F4722" s="74">
        <v>142.29</v>
      </c>
      <c r="G4722" s="758">
        <f t="shared" si="292"/>
        <v>2.57</v>
      </c>
      <c r="H4722" s="759">
        <f t="shared" si="293"/>
        <v>0.27</v>
      </c>
      <c r="I4722" s="758">
        <f t="shared" si="294"/>
        <v>7.593571428571428</v>
      </c>
      <c r="J4722" s="760">
        <f t="shared" si="295"/>
        <v>0.74713613043783822</v>
      </c>
    </row>
    <row r="4723" spans="1:10">
      <c r="A4723" s="74" t="s">
        <v>697</v>
      </c>
      <c r="B4723" s="74" t="s">
        <v>256</v>
      </c>
      <c r="C4723" s="74" t="s">
        <v>1534</v>
      </c>
      <c r="D4723" s="74" t="s">
        <v>81</v>
      </c>
      <c r="E4723" s="74">
        <v>9</v>
      </c>
      <c r="F4723" s="74">
        <v>95.6</v>
      </c>
      <c r="G4723" s="758">
        <f t="shared" si="292"/>
        <v>2.57</v>
      </c>
      <c r="H4723" s="759">
        <f t="shared" si="293"/>
        <v>0.27</v>
      </c>
      <c r="I4723" s="758">
        <f t="shared" si="294"/>
        <v>8.0522222222222215</v>
      </c>
      <c r="J4723" s="760">
        <f t="shared" si="295"/>
        <v>0.75805439330543933</v>
      </c>
    </row>
    <row r="4724" spans="1:10">
      <c r="A4724" s="74" t="s">
        <v>697</v>
      </c>
      <c r="B4724" s="74" t="s">
        <v>256</v>
      </c>
      <c r="C4724" s="74" t="s">
        <v>1513</v>
      </c>
      <c r="D4724" s="74" t="s">
        <v>81</v>
      </c>
      <c r="E4724" s="74">
        <v>19</v>
      </c>
      <c r="F4724" s="74">
        <v>190.87</v>
      </c>
      <c r="G4724" s="758">
        <f t="shared" si="292"/>
        <v>2.57</v>
      </c>
      <c r="H4724" s="759">
        <f t="shared" si="293"/>
        <v>0.27</v>
      </c>
      <c r="I4724" s="758">
        <f t="shared" si="294"/>
        <v>7.4757894736842108</v>
      </c>
      <c r="J4724" s="760">
        <f t="shared" si="295"/>
        <v>0.74417142557761828</v>
      </c>
    </row>
    <row r="4725" spans="1:10">
      <c r="A4725" s="74" t="s">
        <v>697</v>
      </c>
      <c r="B4725" s="74" t="s">
        <v>256</v>
      </c>
      <c r="C4725" s="74" t="s">
        <v>1514</v>
      </c>
      <c r="D4725" s="74" t="s">
        <v>81</v>
      </c>
      <c r="E4725" s="74">
        <v>13</v>
      </c>
      <c r="F4725" s="74">
        <v>135.47</v>
      </c>
      <c r="G4725" s="758">
        <f t="shared" si="292"/>
        <v>2.57</v>
      </c>
      <c r="H4725" s="759">
        <f t="shared" si="293"/>
        <v>0.27</v>
      </c>
      <c r="I4725" s="758">
        <f t="shared" si="294"/>
        <v>7.8507692307692309</v>
      </c>
      <c r="J4725" s="760">
        <f t="shared" si="295"/>
        <v>0.75337713146822183</v>
      </c>
    </row>
    <row r="4726" spans="1:10">
      <c r="A4726" s="74" t="s">
        <v>697</v>
      </c>
      <c r="B4726" s="74" t="s">
        <v>256</v>
      </c>
      <c r="C4726" s="74" t="s">
        <v>1515</v>
      </c>
      <c r="D4726" s="74" t="s">
        <v>81</v>
      </c>
      <c r="E4726" s="74">
        <v>15</v>
      </c>
      <c r="F4726" s="74">
        <v>154.59</v>
      </c>
      <c r="G4726" s="758">
        <f t="shared" si="292"/>
        <v>2.57</v>
      </c>
      <c r="H4726" s="759">
        <f t="shared" si="293"/>
        <v>0.27</v>
      </c>
      <c r="I4726" s="758">
        <f t="shared" si="294"/>
        <v>7.7360000000000007</v>
      </c>
      <c r="J4726" s="760">
        <f t="shared" si="295"/>
        <v>0.75063070056277903</v>
      </c>
    </row>
    <row r="4727" spans="1:10">
      <c r="A4727" s="74" t="s">
        <v>697</v>
      </c>
      <c r="B4727" s="74" t="s">
        <v>256</v>
      </c>
      <c r="C4727" s="74" t="s">
        <v>1516</v>
      </c>
      <c r="D4727" s="74" t="s">
        <v>82</v>
      </c>
      <c r="E4727" s="74">
        <v>12</v>
      </c>
      <c r="F4727" s="74">
        <v>131</v>
      </c>
      <c r="G4727" s="758">
        <f t="shared" si="292"/>
        <v>2.57</v>
      </c>
      <c r="H4727" s="759">
        <f t="shared" si="293"/>
        <v>0.27</v>
      </c>
      <c r="I4727" s="758">
        <f t="shared" si="294"/>
        <v>8.3466666666666658</v>
      </c>
      <c r="J4727" s="760">
        <f t="shared" si="295"/>
        <v>0.76458015267175572</v>
      </c>
    </row>
    <row r="4728" spans="1:10">
      <c r="A4728" s="74" t="s">
        <v>697</v>
      </c>
      <c r="B4728" s="74" t="s">
        <v>256</v>
      </c>
      <c r="C4728" s="74" t="s">
        <v>1517</v>
      </c>
      <c r="D4728" s="74" t="s">
        <v>82</v>
      </c>
      <c r="E4728" s="74">
        <v>13</v>
      </c>
      <c r="F4728" s="74">
        <v>138.80000000000001</v>
      </c>
      <c r="G4728" s="758">
        <f t="shared" si="292"/>
        <v>2.57</v>
      </c>
      <c r="H4728" s="759">
        <f t="shared" si="293"/>
        <v>0.27</v>
      </c>
      <c r="I4728" s="758">
        <f t="shared" si="294"/>
        <v>8.1069230769230778</v>
      </c>
      <c r="J4728" s="760">
        <f t="shared" si="295"/>
        <v>0.75929394812680118</v>
      </c>
    </row>
    <row r="4729" spans="1:10">
      <c r="A4729" s="74" t="s">
        <v>697</v>
      </c>
      <c r="B4729" s="74" t="s">
        <v>256</v>
      </c>
      <c r="C4729" s="74" t="s">
        <v>1527</v>
      </c>
      <c r="D4729" s="74" t="s">
        <v>82</v>
      </c>
      <c r="E4729" s="74">
        <v>14</v>
      </c>
      <c r="F4729" s="74">
        <v>144.80000000000001</v>
      </c>
      <c r="G4729" s="758">
        <f t="shared" si="292"/>
        <v>2.57</v>
      </c>
      <c r="H4729" s="759">
        <f t="shared" si="293"/>
        <v>0.27</v>
      </c>
      <c r="I4729" s="758">
        <f t="shared" si="294"/>
        <v>7.7728571428571431</v>
      </c>
      <c r="J4729" s="760">
        <f t="shared" si="295"/>
        <v>0.7515193370165747</v>
      </c>
    </row>
    <row r="4730" spans="1:10">
      <c r="A4730" s="74" t="s">
        <v>697</v>
      </c>
      <c r="B4730" s="74" t="s">
        <v>256</v>
      </c>
      <c r="C4730" s="74" t="s">
        <v>1518</v>
      </c>
      <c r="D4730" s="74" t="s">
        <v>82</v>
      </c>
      <c r="E4730" s="74">
        <v>10</v>
      </c>
      <c r="F4730" s="74">
        <v>107.2</v>
      </c>
      <c r="G4730" s="758">
        <f t="shared" si="292"/>
        <v>2.57</v>
      </c>
      <c r="H4730" s="759">
        <f t="shared" si="293"/>
        <v>0.27</v>
      </c>
      <c r="I4730" s="758">
        <f t="shared" si="294"/>
        <v>8.15</v>
      </c>
      <c r="J4730" s="760">
        <f t="shared" si="295"/>
        <v>0.76026119402985071</v>
      </c>
    </row>
    <row r="4731" spans="1:10">
      <c r="A4731" s="74" t="s">
        <v>697</v>
      </c>
      <c r="B4731" s="74" t="s">
        <v>256</v>
      </c>
      <c r="C4731" s="74" t="s">
        <v>1519</v>
      </c>
      <c r="D4731" s="74" t="s">
        <v>84</v>
      </c>
      <c r="E4731" s="74">
        <v>1</v>
      </c>
      <c r="F4731" s="74">
        <v>8.64</v>
      </c>
      <c r="G4731" s="758">
        <f t="shared" si="292"/>
        <v>2.57</v>
      </c>
      <c r="H4731" s="759">
        <f t="shared" si="293"/>
        <v>0.27</v>
      </c>
      <c r="I4731" s="758">
        <f t="shared" si="294"/>
        <v>6.07</v>
      </c>
      <c r="J4731" s="760">
        <f t="shared" si="295"/>
        <v>0.70254629629629628</v>
      </c>
    </row>
    <row r="4732" spans="1:10">
      <c r="A4732" s="74" t="s">
        <v>697</v>
      </c>
      <c r="B4732" s="74" t="s">
        <v>256</v>
      </c>
      <c r="C4732" s="74" t="s">
        <v>1541</v>
      </c>
      <c r="D4732" s="74" t="s">
        <v>86</v>
      </c>
      <c r="E4732" s="74">
        <v>1</v>
      </c>
      <c r="F4732" s="74">
        <v>10.8</v>
      </c>
      <c r="G4732" s="758">
        <f t="shared" si="292"/>
        <v>2.57</v>
      </c>
      <c r="H4732" s="759">
        <f t="shared" si="293"/>
        <v>0.27</v>
      </c>
      <c r="I4732" s="758">
        <f t="shared" si="294"/>
        <v>8.23</v>
      </c>
      <c r="J4732" s="760">
        <f t="shared" si="295"/>
        <v>0.76203703703703707</v>
      </c>
    </row>
    <row r="4733" spans="1:10">
      <c r="A4733" s="74" t="s">
        <v>697</v>
      </c>
      <c r="B4733" s="74" t="s">
        <v>256</v>
      </c>
      <c r="C4733" s="74" t="s">
        <v>1582</v>
      </c>
      <c r="D4733" s="74" t="s">
        <v>89</v>
      </c>
      <c r="E4733" s="74">
        <v>1</v>
      </c>
      <c r="F4733" s="74">
        <v>10</v>
      </c>
      <c r="G4733" s="758">
        <f t="shared" si="292"/>
        <v>2.57</v>
      </c>
      <c r="H4733" s="759">
        <f t="shared" si="293"/>
        <v>0.27</v>
      </c>
      <c r="I4733" s="758">
        <f t="shared" si="294"/>
        <v>7.43</v>
      </c>
      <c r="J4733" s="760">
        <f t="shared" si="295"/>
        <v>0.74299999999999999</v>
      </c>
    </row>
    <row r="4734" spans="1:10">
      <c r="A4734" s="74" t="s">
        <v>697</v>
      </c>
      <c r="B4734" s="74" t="s">
        <v>256</v>
      </c>
      <c r="C4734" s="74" t="s">
        <v>1631</v>
      </c>
      <c r="D4734" s="74" t="s">
        <v>92</v>
      </c>
      <c r="E4734" s="74">
        <v>1</v>
      </c>
      <c r="F4734" s="74">
        <v>10</v>
      </c>
      <c r="G4734" s="758">
        <f t="shared" si="292"/>
        <v>2.57</v>
      </c>
      <c r="H4734" s="759">
        <f t="shared" si="293"/>
        <v>0.27</v>
      </c>
      <c r="I4734" s="758">
        <f t="shared" si="294"/>
        <v>7.43</v>
      </c>
      <c r="J4734" s="760">
        <f t="shared" si="295"/>
        <v>0.74299999999999999</v>
      </c>
    </row>
    <row r="4735" spans="1:10">
      <c r="A4735" s="74" t="s">
        <v>2043</v>
      </c>
      <c r="B4735" s="74" t="s">
        <v>256</v>
      </c>
      <c r="C4735" s="74" t="s">
        <v>1543</v>
      </c>
      <c r="D4735" s="74" t="s">
        <v>87</v>
      </c>
      <c r="E4735" s="74">
        <v>1</v>
      </c>
      <c r="F4735" s="74">
        <v>10.8</v>
      </c>
      <c r="G4735" s="758">
        <f t="shared" si="292"/>
        <v>0</v>
      </c>
      <c r="H4735" s="759">
        <f t="shared" si="293"/>
        <v>0</v>
      </c>
      <c r="I4735" s="758">
        <f t="shared" si="294"/>
        <v>10.8</v>
      </c>
      <c r="J4735" s="760">
        <f t="shared" si="295"/>
        <v>1</v>
      </c>
    </row>
    <row r="4736" spans="1:10">
      <c r="A4736" s="74" t="s">
        <v>2044</v>
      </c>
      <c r="B4736" s="74" t="s">
        <v>277</v>
      </c>
      <c r="C4736" s="74" t="s">
        <v>1543</v>
      </c>
      <c r="D4736" s="74" t="s">
        <v>87</v>
      </c>
      <c r="E4736" s="74">
        <v>1</v>
      </c>
      <c r="F4736" s="74">
        <v>12.9</v>
      </c>
      <c r="G4736" s="758">
        <f t="shared" si="292"/>
        <v>0</v>
      </c>
      <c r="H4736" s="759">
        <f t="shared" si="293"/>
        <v>0</v>
      </c>
      <c r="I4736" s="758">
        <f t="shared" si="294"/>
        <v>12.9</v>
      </c>
      <c r="J4736" s="760">
        <f t="shared" si="295"/>
        <v>1</v>
      </c>
    </row>
    <row r="4737" spans="1:10">
      <c r="A4737" s="74" t="s">
        <v>954</v>
      </c>
      <c r="B4737" s="74" t="s">
        <v>277</v>
      </c>
      <c r="C4737" s="74" t="s">
        <v>1528</v>
      </c>
      <c r="D4737" s="74" t="s">
        <v>78</v>
      </c>
      <c r="E4737" s="74">
        <v>15</v>
      </c>
      <c r="F4737" s="74">
        <v>193.5</v>
      </c>
      <c r="G4737" s="758">
        <f t="shared" si="292"/>
        <v>2.39</v>
      </c>
      <c r="H4737" s="759">
        <f t="shared" si="293"/>
        <v>0.24</v>
      </c>
      <c r="I4737" s="758">
        <f t="shared" si="294"/>
        <v>10.51</v>
      </c>
      <c r="J4737" s="760">
        <f t="shared" si="295"/>
        <v>0.81472868217054262</v>
      </c>
    </row>
    <row r="4738" spans="1:10">
      <c r="A4738" s="74" t="s">
        <v>954</v>
      </c>
      <c r="B4738" s="74" t="s">
        <v>277</v>
      </c>
      <c r="C4738" s="74" t="s">
        <v>1508</v>
      </c>
      <c r="D4738" s="74" t="s">
        <v>78</v>
      </c>
      <c r="E4738" s="74">
        <v>5</v>
      </c>
      <c r="F4738" s="74">
        <v>64.5</v>
      </c>
      <c r="G4738" s="758">
        <f t="shared" ref="G4738:G4801" si="296">IFERROR(VLOOKUP(A4738,$M$1:$P$1014,2,FALSE),0)</f>
        <v>2.39</v>
      </c>
      <c r="H4738" s="759">
        <f t="shared" ref="H4738:H4801" si="297">IFERROR(VLOOKUP(A4738,$M$1:$P$1014,3,FALSE),0)</f>
        <v>0.24</v>
      </c>
      <c r="I4738" s="758">
        <f t="shared" ref="I4738:I4801" si="298">IFERROR(F4738/E4738-G4738,0)</f>
        <v>10.51</v>
      </c>
      <c r="J4738" s="760">
        <f t="shared" ref="J4738:J4801" si="299">IFERROR(1-G4738*E4738/F4738,0)</f>
        <v>0.81472868217054262</v>
      </c>
    </row>
    <row r="4739" spans="1:10">
      <c r="A4739" s="74" t="s">
        <v>954</v>
      </c>
      <c r="B4739" s="74" t="s">
        <v>277</v>
      </c>
      <c r="C4739" s="74" t="s">
        <v>1509</v>
      </c>
      <c r="D4739" s="74" t="s">
        <v>78</v>
      </c>
      <c r="E4739" s="74">
        <v>9</v>
      </c>
      <c r="F4739" s="74">
        <v>116.1</v>
      </c>
      <c r="G4739" s="758">
        <f t="shared" si="296"/>
        <v>2.39</v>
      </c>
      <c r="H4739" s="759">
        <f t="shared" si="297"/>
        <v>0.24</v>
      </c>
      <c r="I4739" s="758">
        <f t="shared" si="298"/>
        <v>10.509999999999998</v>
      </c>
      <c r="J4739" s="760">
        <f t="shared" si="299"/>
        <v>0.81472868217054262</v>
      </c>
    </row>
    <row r="4740" spans="1:10">
      <c r="A4740" s="74" t="s">
        <v>954</v>
      </c>
      <c r="B4740" s="74" t="s">
        <v>277</v>
      </c>
      <c r="C4740" s="74" t="s">
        <v>1565</v>
      </c>
      <c r="D4740" s="74" t="s">
        <v>78</v>
      </c>
      <c r="E4740" s="74">
        <v>5</v>
      </c>
      <c r="F4740" s="74">
        <v>64.75</v>
      </c>
      <c r="G4740" s="758">
        <f t="shared" si="296"/>
        <v>2.39</v>
      </c>
      <c r="H4740" s="759">
        <f t="shared" si="297"/>
        <v>0.24</v>
      </c>
      <c r="I4740" s="758">
        <f t="shared" si="298"/>
        <v>10.559999999999999</v>
      </c>
      <c r="J4740" s="760">
        <f t="shared" si="299"/>
        <v>0.81544401544401546</v>
      </c>
    </row>
    <row r="4741" spans="1:10">
      <c r="A4741" s="74" t="s">
        <v>954</v>
      </c>
      <c r="B4741" s="74" t="s">
        <v>277</v>
      </c>
      <c r="C4741" s="74" t="s">
        <v>1530</v>
      </c>
      <c r="D4741" s="74" t="s">
        <v>80</v>
      </c>
      <c r="E4741" s="74">
        <v>1</v>
      </c>
      <c r="F4741" s="74">
        <v>12.9</v>
      </c>
      <c r="G4741" s="758">
        <f t="shared" si="296"/>
        <v>2.39</v>
      </c>
      <c r="H4741" s="759">
        <f t="shared" si="297"/>
        <v>0.24</v>
      </c>
      <c r="I4741" s="758">
        <f t="shared" si="298"/>
        <v>10.51</v>
      </c>
      <c r="J4741" s="760">
        <f t="shared" si="299"/>
        <v>0.81472868217054262</v>
      </c>
    </row>
    <row r="4742" spans="1:10">
      <c r="A4742" s="74" t="s">
        <v>954</v>
      </c>
      <c r="B4742" s="74" t="s">
        <v>277</v>
      </c>
      <c r="C4742" s="74" t="s">
        <v>1512</v>
      </c>
      <c r="D4742" s="74" t="s">
        <v>80</v>
      </c>
      <c r="E4742" s="74">
        <v>5</v>
      </c>
      <c r="F4742" s="74">
        <v>64.5</v>
      </c>
      <c r="G4742" s="758">
        <f t="shared" si="296"/>
        <v>2.39</v>
      </c>
      <c r="H4742" s="759">
        <f t="shared" si="297"/>
        <v>0.24</v>
      </c>
      <c r="I4742" s="758">
        <f t="shared" si="298"/>
        <v>10.51</v>
      </c>
      <c r="J4742" s="760">
        <f t="shared" si="299"/>
        <v>0.81472868217054262</v>
      </c>
    </row>
    <row r="4743" spans="1:10">
      <c r="A4743" s="74" t="s">
        <v>954</v>
      </c>
      <c r="B4743" s="74" t="s">
        <v>277</v>
      </c>
      <c r="C4743" s="74" t="s">
        <v>1514</v>
      </c>
      <c r="D4743" s="74" t="s">
        <v>81</v>
      </c>
      <c r="E4743" s="74">
        <v>1</v>
      </c>
      <c r="F4743" s="74">
        <v>12.9</v>
      </c>
      <c r="G4743" s="758">
        <f t="shared" si="296"/>
        <v>2.39</v>
      </c>
      <c r="H4743" s="759">
        <f t="shared" si="297"/>
        <v>0.24</v>
      </c>
      <c r="I4743" s="758">
        <f t="shared" si="298"/>
        <v>10.51</v>
      </c>
      <c r="J4743" s="760">
        <f t="shared" si="299"/>
        <v>0.81472868217054262</v>
      </c>
    </row>
    <row r="4744" spans="1:10">
      <c r="A4744" s="74" t="s">
        <v>954</v>
      </c>
      <c r="B4744" s="74" t="s">
        <v>277</v>
      </c>
      <c r="C4744" s="74" t="s">
        <v>1527</v>
      </c>
      <c r="D4744" s="74" t="s">
        <v>82</v>
      </c>
      <c r="E4744" s="74">
        <v>2</v>
      </c>
      <c r="F4744" s="74">
        <v>26</v>
      </c>
      <c r="G4744" s="758">
        <f t="shared" si="296"/>
        <v>2.39</v>
      </c>
      <c r="H4744" s="759">
        <f t="shared" si="297"/>
        <v>0.24</v>
      </c>
      <c r="I4744" s="758">
        <f t="shared" si="298"/>
        <v>10.61</v>
      </c>
      <c r="J4744" s="760">
        <f t="shared" si="299"/>
        <v>0.81615384615384612</v>
      </c>
    </row>
    <row r="4745" spans="1:10">
      <c r="A4745" s="74" t="s">
        <v>954</v>
      </c>
      <c r="B4745" s="74" t="s">
        <v>277</v>
      </c>
      <c r="C4745" s="74" t="s">
        <v>1519</v>
      </c>
      <c r="D4745" s="74" t="s">
        <v>84</v>
      </c>
      <c r="E4745" s="74">
        <v>1</v>
      </c>
      <c r="F4745" s="74">
        <v>12.9</v>
      </c>
      <c r="G4745" s="758">
        <f t="shared" si="296"/>
        <v>2.39</v>
      </c>
      <c r="H4745" s="759">
        <f t="shared" si="297"/>
        <v>0.24</v>
      </c>
      <c r="I4745" s="758">
        <f t="shared" si="298"/>
        <v>10.51</v>
      </c>
      <c r="J4745" s="760">
        <f t="shared" si="299"/>
        <v>0.81472868217054262</v>
      </c>
    </row>
    <row r="4746" spans="1:10">
      <c r="A4746" s="74" t="s">
        <v>954</v>
      </c>
      <c r="B4746" s="74" t="s">
        <v>277</v>
      </c>
      <c r="C4746" s="74" t="s">
        <v>1541</v>
      </c>
      <c r="D4746" s="74" t="s">
        <v>86</v>
      </c>
      <c r="E4746" s="74">
        <v>1</v>
      </c>
      <c r="F4746" s="74">
        <v>12.9</v>
      </c>
      <c r="G4746" s="758">
        <f t="shared" si="296"/>
        <v>2.39</v>
      </c>
      <c r="H4746" s="759">
        <f t="shared" si="297"/>
        <v>0.24</v>
      </c>
      <c r="I4746" s="758">
        <f t="shared" si="298"/>
        <v>10.51</v>
      </c>
      <c r="J4746" s="760">
        <f t="shared" si="299"/>
        <v>0.81472868217054262</v>
      </c>
    </row>
    <row r="4747" spans="1:10">
      <c r="A4747" s="74" t="s">
        <v>954</v>
      </c>
      <c r="B4747" s="74" t="s">
        <v>277</v>
      </c>
      <c r="C4747" s="74" t="s">
        <v>1544</v>
      </c>
      <c r="D4747" s="74" t="s">
        <v>87</v>
      </c>
      <c r="E4747" s="74">
        <v>1</v>
      </c>
      <c r="F4747" s="74">
        <v>12.9</v>
      </c>
      <c r="G4747" s="758">
        <f t="shared" si="296"/>
        <v>2.39</v>
      </c>
      <c r="H4747" s="759">
        <f t="shared" si="297"/>
        <v>0.24</v>
      </c>
      <c r="I4747" s="758">
        <f t="shared" si="298"/>
        <v>10.51</v>
      </c>
      <c r="J4747" s="760">
        <f t="shared" si="299"/>
        <v>0.81472868217054262</v>
      </c>
    </row>
    <row r="4748" spans="1:10">
      <c r="A4748" s="74" t="s">
        <v>954</v>
      </c>
      <c r="B4748" s="74" t="s">
        <v>277</v>
      </c>
      <c r="C4748" s="74" t="s">
        <v>1608</v>
      </c>
      <c r="D4748" s="74" t="s">
        <v>89</v>
      </c>
      <c r="E4748" s="74">
        <v>1</v>
      </c>
      <c r="F4748" s="74">
        <v>13</v>
      </c>
      <c r="G4748" s="758">
        <f t="shared" si="296"/>
        <v>2.39</v>
      </c>
      <c r="H4748" s="759">
        <f t="shared" si="297"/>
        <v>0.24</v>
      </c>
      <c r="I4748" s="758">
        <f t="shared" si="298"/>
        <v>10.61</v>
      </c>
      <c r="J4748" s="760">
        <f t="shared" si="299"/>
        <v>0.81615384615384612</v>
      </c>
    </row>
    <row r="4749" spans="1:10">
      <c r="A4749" s="74" t="s">
        <v>954</v>
      </c>
      <c r="B4749" s="74" t="s">
        <v>277</v>
      </c>
      <c r="C4749" s="74" t="s">
        <v>1610</v>
      </c>
      <c r="D4749" s="74" t="s">
        <v>89</v>
      </c>
      <c r="E4749" s="74">
        <v>1</v>
      </c>
      <c r="F4749" s="74">
        <v>13</v>
      </c>
      <c r="G4749" s="758">
        <f t="shared" si="296"/>
        <v>2.39</v>
      </c>
      <c r="H4749" s="759">
        <f t="shared" si="297"/>
        <v>0.24</v>
      </c>
      <c r="I4749" s="758">
        <f t="shared" si="298"/>
        <v>10.61</v>
      </c>
      <c r="J4749" s="760">
        <f t="shared" si="299"/>
        <v>0.81615384615384612</v>
      </c>
    </row>
    <row r="4750" spans="1:10">
      <c r="A4750" s="74" t="s">
        <v>954</v>
      </c>
      <c r="B4750" s="74" t="s">
        <v>277</v>
      </c>
      <c r="C4750" s="74" t="s">
        <v>1547</v>
      </c>
      <c r="D4750" s="74" t="s">
        <v>89</v>
      </c>
      <c r="E4750" s="74">
        <v>1</v>
      </c>
      <c r="F4750" s="74">
        <v>13</v>
      </c>
      <c r="G4750" s="758">
        <f t="shared" si="296"/>
        <v>2.39</v>
      </c>
      <c r="H4750" s="759">
        <f t="shared" si="297"/>
        <v>0.24</v>
      </c>
      <c r="I4750" s="758">
        <f t="shared" si="298"/>
        <v>10.61</v>
      </c>
      <c r="J4750" s="760">
        <f t="shared" si="299"/>
        <v>0.81615384615384612</v>
      </c>
    </row>
    <row r="4751" spans="1:10">
      <c r="A4751" s="74" t="s">
        <v>954</v>
      </c>
      <c r="B4751" s="74" t="s">
        <v>277</v>
      </c>
      <c r="C4751" s="74" t="s">
        <v>1582</v>
      </c>
      <c r="D4751" s="74" t="s">
        <v>89</v>
      </c>
      <c r="E4751" s="74">
        <v>1</v>
      </c>
      <c r="F4751" s="74">
        <v>13</v>
      </c>
      <c r="G4751" s="758">
        <f t="shared" si="296"/>
        <v>2.39</v>
      </c>
      <c r="H4751" s="759">
        <f t="shared" si="297"/>
        <v>0.24</v>
      </c>
      <c r="I4751" s="758">
        <f t="shared" si="298"/>
        <v>10.61</v>
      </c>
      <c r="J4751" s="760">
        <f t="shared" si="299"/>
        <v>0.81615384615384612</v>
      </c>
    </row>
    <row r="4752" spans="1:10">
      <c r="A4752" s="74" t="s">
        <v>954</v>
      </c>
      <c r="B4752" s="74" t="s">
        <v>277</v>
      </c>
      <c r="C4752" s="74" t="s">
        <v>1675</v>
      </c>
      <c r="D4752" s="74" t="s">
        <v>91</v>
      </c>
      <c r="E4752" s="74">
        <v>1</v>
      </c>
      <c r="F4752" s="74">
        <v>12.9</v>
      </c>
      <c r="G4752" s="758">
        <f t="shared" si="296"/>
        <v>2.39</v>
      </c>
      <c r="H4752" s="759">
        <f t="shared" si="297"/>
        <v>0.24</v>
      </c>
      <c r="I4752" s="758">
        <f t="shared" si="298"/>
        <v>10.51</v>
      </c>
      <c r="J4752" s="760">
        <f t="shared" si="299"/>
        <v>0.81472868217054262</v>
      </c>
    </row>
    <row r="4753" spans="1:10">
      <c r="A4753" s="74" t="s">
        <v>954</v>
      </c>
      <c r="B4753" s="74" t="s">
        <v>277</v>
      </c>
      <c r="C4753" s="74" t="s">
        <v>1524</v>
      </c>
      <c r="D4753" s="74" t="s">
        <v>91</v>
      </c>
      <c r="E4753" s="74">
        <v>1</v>
      </c>
      <c r="F4753" s="74">
        <v>12.9</v>
      </c>
      <c r="G4753" s="758">
        <f t="shared" si="296"/>
        <v>2.39</v>
      </c>
      <c r="H4753" s="759">
        <f t="shared" si="297"/>
        <v>0.24</v>
      </c>
      <c r="I4753" s="758">
        <f t="shared" si="298"/>
        <v>10.51</v>
      </c>
      <c r="J4753" s="760">
        <f t="shared" si="299"/>
        <v>0.81472868217054262</v>
      </c>
    </row>
    <row r="4754" spans="1:10">
      <c r="A4754" s="74" t="s">
        <v>2045</v>
      </c>
      <c r="B4754" s="74" t="s">
        <v>251</v>
      </c>
      <c r="C4754" s="74" t="s">
        <v>1547</v>
      </c>
      <c r="D4754" s="74" t="s">
        <v>89</v>
      </c>
      <c r="E4754" s="74">
        <v>1</v>
      </c>
      <c r="F4754" s="74">
        <v>2.65</v>
      </c>
      <c r="G4754" s="758">
        <f t="shared" si="296"/>
        <v>0</v>
      </c>
      <c r="H4754" s="759">
        <f t="shared" si="297"/>
        <v>0</v>
      </c>
      <c r="I4754" s="758">
        <f t="shared" si="298"/>
        <v>2.65</v>
      </c>
      <c r="J4754" s="760">
        <f t="shared" si="299"/>
        <v>1</v>
      </c>
    </row>
    <row r="4755" spans="1:10">
      <c r="A4755" s="74" t="s">
        <v>1033</v>
      </c>
      <c r="B4755" s="74" t="s">
        <v>266</v>
      </c>
      <c r="C4755" s="74" t="s">
        <v>1644</v>
      </c>
      <c r="D4755" s="74" t="s">
        <v>86</v>
      </c>
      <c r="E4755" s="74">
        <v>2</v>
      </c>
      <c r="F4755" s="74">
        <v>0</v>
      </c>
      <c r="G4755" s="758">
        <f t="shared" si="296"/>
        <v>0</v>
      </c>
      <c r="H4755" s="759">
        <f t="shared" si="297"/>
        <v>0</v>
      </c>
      <c r="I4755" s="758">
        <f t="shared" si="298"/>
        <v>0</v>
      </c>
      <c r="J4755" s="760">
        <f t="shared" si="299"/>
        <v>0</v>
      </c>
    </row>
    <row r="4756" spans="1:10">
      <c r="A4756" s="74" t="s">
        <v>1033</v>
      </c>
      <c r="B4756" s="74" t="s">
        <v>266</v>
      </c>
      <c r="C4756" s="74" t="s">
        <v>1578</v>
      </c>
      <c r="D4756" s="74" t="s">
        <v>86</v>
      </c>
      <c r="E4756" s="74">
        <v>1</v>
      </c>
      <c r="F4756" s="74">
        <v>0</v>
      </c>
      <c r="G4756" s="758">
        <f t="shared" si="296"/>
        <v>0</v>
      </c>
      <c r="H4756" s="759">
        <f t="shared" si="297"/>
        <v>0</v>
      </c>
      <c r="I4756" s="758">
        <f t="shared" si="298"/>
        <v>0</v>
      </c>
      <c r="J4756" s="760">
        <f t="shared" si="299"/>
        <v>0</v>
      </c>
    </row>
    <row r="4757" spans="1:10">
      <c r="A4757" s="74" t="s">
        <v>1033</v>
      </c>
      <c r="B4757" s="74" t="s">
        <v>266</v>
      </c>
      <c r="C4757" s="74" t="s">
        <v>1608</v>
      </c>
      <c r="D4757" s="74" t="s">
        <v>89</v>
      </c>
      <c r="E4757" s="74">
        <v>1</v>
      </c>
      <c r="F4757" s="74">
        <v>0</v>
      </c>
      <c r="G4757" s="758">
        <f t="shared" si="296"/>
        <v>0</v>
      </c>
      <c r="H4757" s="759">
        <f t="shared" si="297"/>
        <v>0</v>
      </c>
      <c r="I4757" s="758">
        <f t="shared" si="298"/>
        <v>0</v>
      </c>
      <c r="J4757" s="760">
        <f t="shared" si="299"/>
        <v>0</v>
      </c>
    </row>
    <row r="4758" spans="1:10">
      <c r="A4758" s="74" t="s">
        <v>1033</v>
      </c>
      <c r="B4758" s="74" t="s">
        <v>266</v>
      </c>
      <c r="C4758" s="74" t="s">
        <v>1522</v>
      </c>
      <c r="D4758" s="74" t="s">
        <v>91</v>
      </c>
      <c r="E4758" s="74">
        <v>3</v>
      </c>
      <c r="F4758" s="74">
        <v>0</v>
      </c>
      <c r="G4758" s="758">
        <f t="shared" si="296"/>
        <v>0</v>
      </c>
      <c r="H4758" s="759">
        <f t="shared" si="297"/>
        <v>0</v>
      </c>
      <c r="I4758" s="758">
        <f t="shared" si="298"/>
        <v>0</v>
      </c>
      <c r="J4758" s="760">
        <f t="shared" si="299"/>
        <v>0</v>
      </c>
    </row>
    <row r="4759" spans="1:10">
      <c r="A4759" s="74" t="s">
        <v>1033</v>
      </c>
      <c r="B4759" s="74" t="s">
        <v>266</v>
      </c>
      <c r="C4759" s="74" t="s">
        <v>1675</v>
      </c>
      <c r="D4759" s="74" t="s">
        <v>91</v>
      </c>
      <c r="E4759" s="74">
        <v>2</v>
      </c>
      <c r="F4759" s="74">
        <v>0</v>
      </c>
      <c r="G4759" s="758">
        <f t="shared" si="296"/>
        <v>0</v>
      </c>
      <c r="H4759" s="759">
        <f t="shared" si="297"/>
        <v>0</v>
      </c>
      <c r="I4759" s="758">
        <f t="shared" si="298"/>
        <v>0</v>
      </c>
      <c r="J4759" s="760">
        <f t="shared" si="299"/>
        <v>0</v>
      </c>
    </row>
    <row r="4760" spans="1:10">
      <c r="A4760" s="74" t="s">
        <v>1033</v>
      </c>
      <c r="B4760" s="74" t="s">
        <v>266</v>
      </c>
      <c r="C4760" s="74" t="s">
        <v>1631</v>
      </c>
      <c r="D4760" s="74" t="s">
        <v>92</v>
      </c>
      <c r="E4760" s="74">
        <v>1</v>
      </c>
      <c r="F4760" s="74">
        <v>2.65</v>
      </c>
      <c r="G4760" s="758">
        <f t="shared" si="296"/>
        <v>0</v>
      </c>
      <c r="H4760" s="759">
        <f t="shared" si="297"/>
        <v>0</v>
      </c>
      <c r="I4760" s="758">
        <f t="shared" si="298"/>
        <v>2.65</v>
      </c>
      <c r="J4760" s="760">
        <f t="shared" si="299"/>
        <v>1</v>
      </c>
    </row>
    <row r="4761" spans="1:10">
      <c r="A4761" s="74" t="s">
        <v>1033</v>
      </c>
      <c r="B4761" s="74" t="s">
        <v>266</v>
      </c>
      <c r="C4761" s="74" t="s">
        <v>1552</v>
      </c>
      <c r="D4761" s="74" t="s">
        <v>92</v>
      </c>
      <c r="E4761" s="74">
        <v>1</v>
      </c>
      <c r="F4761" s="74">
        <v>0</v>
      </c>
      <c r="G4761" s="758">
        <f t="shared" si="296"/>
        <v>0</v>
      </c>
      <c r="H4761" s="759">
        <f t="shared" si="297"/>
        <v>0</v>
      </c>
      <c r="I4761" s="758">
        <f t="shared" si="298"/>
        <v>0</v>
      </c>
      <c r="J4761" s="760">
        <f t="shared" si="299"/>
        <v>0</v>
      </c>
    </row>
    <row r="4762" spans="1:10">
      <c r="A4762" s="74" t="s">
        <v>2308</v>
      </c>
      <c r="B4762" s="74" t="s">
        <v>251</v>
      </c>
      <c r="C4762" s="74" t="s">
        <v>1522</v>
      </c>
      <c r="D4762" s="74" t="s">
        <v>91</v>
      </c>
      <c r="E4762" s="74">
        <v>1</v>
      </c>
      <c r="F4762" s="74">
        <v>2.65</v>
      </c>
      <c r="G4762" s="758">
        <f t="shared" si="296"/>
        <v>0.56000000000000005</v>
      </c>
      <c r="H4762" s="759">
        <f t="shared" si="297"/>
        <v>0.27</v>
      </c>
      <c r="I4762" s="758">
        <f t="shared" si="298"/>
        <v>2.09</v>
      </c>
      <c r="J4762" s="760">
        <f t="shared" si="299"/>
        <v>0.7886792452830188</v>
      </c>
    </row>
    <row r="4763" spans="1:10">
      <c r="A4763" s="74" t="s">
        <v>2046</v>
      </c>
      <c r="B4763" s="74" t="s">
        <v>266</v>
      </c>
      <c r="C4763" s="74" t="s">
        <v>1543</v>
      </c>
      <c r="D4763" s="74" t="s">
        <v>87</v>
      </c>
      <c r="E4763" s="74">
        <v>1</v>
      </c>
      <c r="F4763" s="74">
        <v>0</v>
      </c>
      <c r="G4763" s="758">
        <f t="shared" si="296"/>
        <v>0</v>
      </c>
      <c r="H4763" s="759">
        <f t="shared" si="297"/>
        <v>0</v>
      </c>
      <c r="I4763" s="758">
        <f t="shared" si="298"/>
        <v>0</v>
      </c>
      <c r="J4763" s="760">
        <f t="shared" si="299"/>
        <v>0</v>
      </c>
    </row>
    <row r="4764" spans="1:10">
      <c r="A4764" s="74" t="s">
        <v>2047</v>
      </c>
      <c r="B4764" s="74" t="s">
        <v>251</v>
      </c>
      <c r="C4764" s="74" t="s">
        <v>1528</v>
      </c>
      <c r="D4764" s="74" t="s">
        <v>78</v>
      </c>
      <c r="E4764" s="74">
        <v>9</v>
      </c>
      <c r="F4764" s="74">
        <v>23.55</v>
      </c>
      <c r="G4764" s="758">
        <f t="shared" si="296"/>
        <v>0.56000000000000005</v>
      </c>
      <c r="H4764" s="759">
        <f t="shared" si="297"/>
        <v>0.27</v>
      </c>
      <c r="I4764" s="758">
        <f t="shared" si="298"/>
        <v>2.0566666666666666</v>
      </c>
      <c r="J4764" s="760">
        <f t="shared" si="299"/>
        <v>0.78598726114649675</v>
      </c>
    </row>
    <row r="4765" spans="1:10">
      <c r="A4765" s="74" t="s">
        <v>2047</v>
      </c>
      <c r="B4765" s="74" t="s">
        <v>251</v>
      </c>
      <c r="C4765" s="74" t="s">
        <v>1508</v>
      </c>
      <c r="D4765" s="74" t="s">
        <v>78</v>
      </c>
      <c r="E4765" s="74">
        <v>19</v>
      </c>
      <c r="F4765" s="74">
        <v>47.4</v>
      </c>
      <c r="G4765" s="758">
        <f t="shared" si="296"/>
        <v>0.56000000000000005</v>
      </c>
      <c r="H4765" s="759">
        <f t="shared" si="297"/>
        <v>0.27</v>
      </c>
      <c r="I4765" s="758">
        <f t="shared" si="298"/>
        <v>1.9347368421052629</v>
      </c>
      <c r="J4765" s="760">
        <f t="shared" si="299"/>
        <v>0.77552742616033754</v>
      </c>
    </row>
    <row r="4766" spans="1:10">
      <c r="A4766" s="74" t="s">
        <v>2047</v>
      </c>
      <c r="B4766" s="74" t="s">
        <v>251</v>
      </c>
      <c r="C4766" s="74" t="s">
        <v>1509</v>
      </c>
      <c r="D4766" s="74" t="s">
        <v>78</v>
      </c>
      <c r="E4766" s="74">
        <v>8</v>
      </c>
      <c r="F4766" s="74">
        <v>21.25</v>
      </c>
      <c r="G4766" s="758">
        <f t="shared" si="296"/>
        <v>0.56000000000000005</v>
      </c>
      <c r="H4766" s="759">
        <f t="shared" si="297"/>
        <v>0.27</v>
      </c>
      <c r="I4766" s="758">
        <f t="shared" si="298"/>
        <v>2.0962499999999999</v>
      </c>
      <c r="J4766" s="760">
        <f t="shared" si="299"/>
        <v>0.78917647058823526</v>
      </c>
    </row>
    <row r="4767" spans="1:10">
      <c r="A4767" s="74" t="s">
        <v>2047</v>
      </c>
      <c r="B4767" s="74" t="s">
        <v>251</v>
      </c>
      <c r="C4767" s="74" t="s">
        <v>1565</v>
      </c>
      <c r="D4767" s="74" t="s">
        <v>78</v>
      </c>
      <c r="E4767" s="74">
        <v>13</v>
      </c>
      <c r="F4767" s="74">
        <v>34.6</v>
      </c>
      <c r="G4767" s="758">
        <f t="shared" si="296"/>
        <v>0.56000000000000005</v>
      </c>
      <c r="H4767" s="759">
        <f t="shared" si="297"/>
        <v>0.27</v>
      </c>
      <c r="I4767" s="758">
        <f t="shared" si="298"/>
        <v>2.1015384615384618</v>
      </c>
      <c r="J4767" s="760">
        <f t="shared" si="299"/>
        <v>0.78959537572254335</v>
      </c>
    </row>
    <row r="4768" spans="1:10">
      <c r="A4768" s="74" t="s">
        <v>2047</v>
      </c>
      <c r="B4768" s="74" t="s">
        <v>251</v>
      </c>
      <c r="C4768" s="74" t="s">
        <v>1530</v>
      </c>
      <c r="D4768" s="74" t="s">
        <v>80</v>
      </c>
      <c r="E4768" s="74">
        <v>1</v>
      </c>
      <c r="F4768" s="74">
        <v>2.65</v>
      </c>
      <c r="G4768" s="758">
        <f t="shared" si="296"/>
        <v>0.56000000000000005</v>
      </c>
      <c r="H4768" s="759">
        <f t="shared" si="297"/>
        <v>0.27</v>
      </c>
      <c r="I4768" s="758">
        <f t="shared" si="298"/>
        <v>2.09</v>
      </c>
      <c r="J4768" s="760">
        <f t="shared" si="299"/>
        <v>0.7886792452830188</v>
      </c>
    </row>
    <row r="4769" spans="1:10">
      <c r="A4769" s="74" t="s">
        <v>2047</v>
      </c>
      <c r="B4769" s="74" t="s">
        <v>251</v>
      </c>
      <c r="C4769" s="74" t="s">
        <v>1532</v>
      </c>
      <c r="D4769" s="74" t="s">
        <v>80</v>
      </c>
      <c r="E4769" s="74">
        <v>6</v>
      </c>
      <c r="F4769" s="74">
        <v>16.2</v>
      </c>
      <c r="G4769" s="758">
        <f t="shared" si="296"/>
        <v>0.56000000000000005</v>
      </c>
      <c r="H4769" s="759">
        <f t="shared" si="297"/>
        <v>0.27</v>
      </c>
      <c r="I4769" s="758">
        <f t="shared" si="298"/>
        <v>2.1399999999999997</v>
      </c>
      <c r="J4769" s="760">
        <f t="shared" si="299"/>
        <v>0.79259259259259252</v>
      </c>
    </row>
    <row r="4770" spans="1:10">
      <c r="A4770" s="74" t="s">
        <v>2047</v>
      </c>
      <c r="B4770" s="74" t="s">
        <v>251</v>
      </c>
      <c r="C4770" s="74" t="s">
        <v>1511</v>
      </c>
      <c r="D4770" s="74" t="s">
        <v>80</v>
      </c>
      <c r="E4770" s="74">
        <v>13</v>
      </c>
      <c r="F4770" s="74">
        <v>35.21</v>
      </c>
      <c r="G4770" s="758">
        <f t="shared" si="296"/>
        <v>0.56000000000000005</v>
      </c>
      <c r="H4770" s="759">
        <f t="shared" si="297"/>
        <v>0.27</v>
      </c>
      <c r="I4770" s="758">
        <f t="shared" si="298"/>
        <v>2.1484615384615386</v>
      </c>
      <c r="J4770" s="760">
        <f t="shared" si="299"/>
        <v>0.79324055666003979</v>
      </c>
    </row>
    <row r="4771" spans="1:10">
      <c r="A4771" s="74" t="s">
        <v>2047</v>
      </c>
      <c r="B4771" s="74" t="s">
        <v>251</v>
      </c>
      <c r="C4771" s="74" t="s">
        <v>1512</v>
      </c>
      <c r="D4771" s="74" t="s">
        <v>80</v>
      </c>
      <c r="E4771" s="74">
        <v>5</v>
      </c>
      <c r="F4771" s="74">
        <v>13.55</v>
      </c>
      <c r="G4771" s="758">
        <f t="shared" si="296"/>
        <v>0.56000000000000005</v>
      </c>
      <c r="H4771" s="759">
        <f t="shared" si="297"/>
        <v>0.27</v>
      </c>
      <c r="I4771" s="758">
        <f t="shared" si="298"/>
        <v>2.15</v>
      </c>
      <c r="J4771" s="760">
        <f t="shared" si="299"/>
        <v>0.79335793357933582</v>
      </c>
    </row>
    <row r="4772" spans="1:10">
      <c r="A4772" s="74" t="s">
        <v>2047</v>
      </c>
      <c r="B4772" s="74" t="s">
        <v>251</v>
      </c>
      <c r="C4772" s="74" t="s">
        <v>1534</v>
      </c>
      <c r="D4772" s="74" t="s">
        <v>81</v>
      </c>
      <c r="E4772" s="74">
        <v>8</v>
      </c>
      <c r="F4772" s="74">
        <v>21.65</v>
      </c>
      <c r="G4772" s="758">
        <f t="shared" si="296"/>
        <v>0.56000000000000005</v>
      </c>
      <c r="H4772" s="759">
        <f t="shared" si="297"/>
        <v>0.27</v>
      </c>
      <c r="I4772" s="758">
        <f t="shared" si="298"/>
        <v>2.1462499999999998</v>
      </c>
      <c r="J4772" s="760">
        <f t="shared" si="299"/>
        <v>0.79307159353348733</v>
      </c>
    </row>
    <row r="4773" spans="1:10">
      <c r="A4773" s="74" t="s">
        <v>2047</v>
      </c>
      <c r="B4773" s="74" t="s">
        <v>251</v>
      </c>
      <c r="C4773" s="74" t="s">
        <v>1513</v>
      </c>
      <c r="D4773" s="74" t="s">
        <v>81</v>
      </c>
      <c r="E4773" s="74">
        <v>1</v>
      </c>
      <c r="F4773" s="74">
        <v>2.8</v>
      </c>
      <c r="G4773" s="758">
        <f t="shared" si="296"/>
        <v>0.56000000000000005</v>
      </c>
      <c r="H4773" s="759">
        <f t="shared" si="297"/>
        <v>0.27</v>
      </c>
      <c r="I4773" s="758">
        <f t="shared" si="298"/>
        <v>2.2399999999999998</v>
      </c>
      <c r="J4773" s="760">
        <f t="shared" si="299"/>
        <v>0.79999999999999993</v>
      </c>
    </row>
    <row r="4774" spans="1:10">
      <c r="A4774" s="74" t="s">
        <v>2047</v>
      </c>
      <c r="B4774" s="74" t="s">
        <v>251</v>
      </c>
      <c r="C4774" s="74" t="s">
        <v>1514</v>
      </c>
      <c r="D4774" s="74" t="s">
        <v>81</v>
      </c>
      <c r="E4774" s="74">
        <v>9</v>
      </c>
      <c r="F4774" s="74">
        <v>24.15</v>
      </c>
      <c r="G4774" s="758">
        <f t="shared" si="296"/>
        <v>0.56000000000000005</v>
      </c>
      <c r="H4774" s="759">
        <f t="shared" si="297"/>
        <v>0.27</v>
      </c>
      <c r="I4774" s="758">
        <f t="shared" si="298"/>
        <v>2.1233333333333331</v>
      </c>
      <c r="J4774" s="760">
        <f t="shared" si="299"/>
        <v>0.79130434782608694</v>
      </c>
    </row>
    <row r="4775" spans="1:10">
      <c r="A4775" s="74" t="s">
        <v>2047</v>
      </c>
      <c r="B4775" s="74" t="s">
        <v>251</v>
      </c>
      <c r="C4775" s="74" t="s">
        <v>1515</v>
      </c>
      <c r="D4775" s="74" t="s">
        <v>81</v>
      </c>
      <c r="E4775" s="74">
        <v>9</v>
      </c>
      <c r="F4775" s="74">
        <v>25.45</v>
      </c>
      <c r="G4775" s="758">
        <f t="shared" si="296"/>
        <v>0.56000000000000005</v>
      </c>
      <c r="H4775" s="759">
        <f t="shared" si="297"/>
        <v>0.27</v>
      </c>
      <c r="I4775" s="758">
        <f t="shared" si="298"/>
        <v>2.2677777777777774</v>
      </c>
      <c r="J4775" s="760">
        <f t="shared" si="299"/>
        <v>0.80196463654223971</v>
      </c>
    </row>
    <row r="4776" spans="1:10">
      <c r="A4776" s="74" t="s">
        <v>2047</v>
      </c>
      <c r="B4776" s="74" t="s">
        <v>251</v>
      </c>
      <c r="C4776" s="74" t="s">
        <v>1516</v>
      </c>
      <c r="D4776" s="74" t="s">
        <v>82</v>
      </c>
      <c r="E4776" s="74">
        <v>11</v>
      </c>
      <c r="F4776" s="74">
        <v>30.2</v>
      </c>
      <c r="G4776" s="758">
        <f t="shared" si="296"/>
        <v>0.56000000000000005</v>
      </c>
      <c r="H4776" s="759">
        <f t="shared" si="297"/>
        <v>0.27</v>
      </c>
      <c r="I4776" s="758">
        <f t="shared" si="298"/>
        <v>2.1854545454545455</v>
      </c>
      <c r="J4776" s="760">
        <f t="shared" si="299"/>
        <v>0.79602649006622517</v>
      </c>
    </row>
    <row r="4777" spans="1:10">
      <c r="A4777" s="74" t="s">
        <v>2047</v>
      </c>
      <c r="B4777" s="74" t="s">
        <v>251</v>
      </c>
      <c r="C4777" s="74" t="s">
        <v>1517</v>
      </c>
      <c r="D4777" s="74" t="s">
        <v>82</v>
      </c>
      <c r="E4777" s="74">
        <v>7</v>
      </c>
      <c r="F4777" s="74">
        <v>19.149999999999999</v>
      </c>
      <c r="G4777" s="758">
        <f t="shared" si="296"/>
        <v>0.56000000000000005</v>
      </c>
      <c r="H4777" s="759">
        <f t="shared" si="297"/>
        <v>0.27</v>
      </c>
      <c r="I4777" s="758">
        <f t="shared" si="298"/>
        <v>2.1757142857142853</v>
      </c>
      <c r="J4777" s="760">
        <f t="shared" si="299"/>
        <v>0.79530026109660568</v>
      </c>
    </row>
    <row r="4778" spans="1:10">
      <c r="A4778" s="74" t="s">
        <v>2047</v>
      </c>
      <c r="B4778" s="74" t="s">
        <v>251</v>
      </c>
      <c r="C4778" s="74" t="s">
        <v>1527</v>
      </c>
      <c r="D4778" s="74" t="s">
        <v>82</v>
      </c>
      <c r="E4778" s="74">
        <v>16</v>
      </c>
      <c r="F4778" s="74">
        <v>43.6</v>
      </c>
      <c r="G4778" s="758">
        <f t="shared" si="296"/>
        <v>0.56000000000000005</v>
      </c>
      <c r="H4778" s="759">
        <f t="shared" si="297"/>
        <v>0.27</v>
      </c>
      <c r="I4778" s="758">
        <f t="shared" si="298"/>
        <v>2.165</v>
      </c>
      <c r="J4778" s="760">
        <f t="shared" si="299"/>
        <v>0.79449541284403669</v>
      </c>
    </row>
    <row r="4779" spans="1:10">
      <c r="A4779" s="74" t="s">
        <v>2047</v>
      </c>
      <c r="B4779" s="74" t="s">
        <v>251</v>
      </c>
      <c r="C4779" s="74" t="s">
        <v>1518</v>
      </c>
      <c r="D4779" s="74" t="s">
        <v>82</v>
      </c>
      <c r="E4779" s="74">
        <v>3</v>
      </c>
      <c r="F4779" s="74">
        <v>5.45</v>
      </c>
      <c r="G4779" s="758">
        <f t="shared" si="296"/>
        <v>0.56000000000000005</v>
      </c>
      <c r="H4779" s="759">
        <f t="shared" si="297"/>
        <v>0.27</v>
      </c>
      <c r="I4779" s="758">
        <f t="shared" si="298"/>
        <v>1.2566666666666666</v>
      </c>
      <c r="J4779" s="760">
        <f t="shared" si="299"/>
        <v>0.69174311926605503</v>
      </c>
    </row>
    <row r="4780" spans="1:10">
      <c r="A4780" s="74" t="s">
        <v>2047</v>
      </c>
      <c r="B4780" s="74" t="s">
        <v>251</v>
      </c>
      <c r="C4780" s="74" t="s">
        <v>1519</v>
      </c>
      <c r="D4780" s="74" t="s">
        <v>84</v>
      </c>
      <c r="E4780" s="74">
        <v>2</v>
      </c>
      <c r="F4780" s="74">
        <v>5.45</v>
      </c>
      <c r="G4780" s="758">
        <f t="shared" si="296"/>
        <v>0.56000000000000005</v>
      </c>
      <c r="H4780" s="759">
        <f t="shared" si="297"/>
        <v>0.27</v>
      </c>
      <c r="I4780" s="758">
        <f t="shared" si="298"/>
        <v>2.165</v>
      </c>
      <c r="J4780" s="760">
        <f t="shared" si="299"/>
        <v>0.79449541284403669</v>
      </c>
    </row>
    <row r="4781" spans="1:10">
      <c r="A4781" s="74" t="s">
        <v>2047</v>
      </c>
      <c r="B4781" s="74" t="s">
        <v>251</v>
      </c>
      <c r="C4781" s="74" t="s">
        <v>1578</v>
      </c>
      <c r="D4781" s="74" t="s">
        <v>86</v>
      </c>
      <c r="E4781" s="74">
        <v>1</v>
      </c>
      <c r="F4781" s="74">
        <v>2.65</v>
      </c>
      <c r="G4781" s="758">
        <f t="shared" si="296"/>
        <v>0.56000000000000005</v>
      </c>
      <c r="H4781" s="759">
        <f t="shared" si="297"/>
        <v>0.27</v>
      </c>
      <c r="I4781" s="758">
        <f t="shared" si="298"/>
        <v>2.09</v>
      </c>
      <c r="J4781" s="760">
        <f t="shared" si="299"/>
        <v>0.7886792452830188</v>
      </c>
    </row>
    <row r="4782" spans="1:10">
      <c r="A4782" s="74" t="s">
        <v>2047</v>
      </c>
      <c r="B4782" s="74" t="s">
        <v>251</v>
      </c>
      <c r="C4782" s="74" t="s">
        <v>1541</v>
      </c>
      <c r="D4782" s="74" t="s">
        <v>86</v>
      </c>
      <c r="E4782" s="74">
        <v>1</v>
      </c>
      <c r="F4782" s="74">
        <v>2.65</v>
      </c>
      <c r="G4782" s="758">
        <f t="shared" si="296"/>
        <v>0.56000000000000005</v>
      </c>
      <c r="H4782" s="759">
        <f t="shared" si="297"/>
        <v>0.27</v>
      </c>
      <c r="I4782" s="758">
        <f t="shared" si="298"/>
        <v>2.09</v>
      </c>
      <c r="J4782" s="760">
        <f t="shared" si="299"/>
        <v>0.7886792452830188</v>
      </c>
    </row>
    <row r="4783" spans="1:10">
      <c r="A4783" s="74" t="s">
        <v>2047</v>
      </c>
      <c r="B4783" s="74" t="s">
        <v>251</v>
      </c>
      <c r="C4783" s="74" t="s">
        <v>1543</v>
      </c>
      <c r="D4783" s="74" t="s">
        <v>87</v>
      </c>
      <c r="E4783" s="74">
        <v>1</v>
      </c>
      <c r="F4783" s="74">
        <v>2.65</v>
      </c>
      <c r="G4783" s="758">
        <f t="shared" si="296"/>
        <v>0.56000000000000005</v>
      </c>
      <c r="H4783" s="759">
        <f t="shared" si="297"/>
        <v>0.27</v>
      </c>
      <c r="I4783" s="758">
        <f t="shared" si="298"/>
        <v>2.09</v>
      </c>
      <c r="J4783" s="760">
        <f t="shared" si="299"/>
        <v>0.7886792452830188</v>
      </c>
    </row>
    <row r="4784" spans="1:10">
      <c r="A4784" s="74" t="s">
        <v>2047</v>
      </c>
      <c r="B4784" s="74" t="s">
        <v>251</v>
      </c>
      <c r="C4784" s="74" t="s">
        <v>1544</v>
      </c>
      <c r="D4784" s="74" t="s">
        <v>87</v>
      </c>
      <c r="E4784" s="74">
        <v>1</v>
      </c>
      <c r="F4784" s="74">
        <v>2.65</v>
      </c>
      <c r="G4784" s="758">
        <f t="shared" si="296"/>
        <v>0.56000000000000005</v>
      </c>
      <c r="H4784" s="759">
        <f t="shared" si="297"/>
        <v>0.27</v>
      </c>
      <c r="I4784" s="758">
        <f t="shared" si="298"/>
        <v>2.09</v>
      </c>
      <c r="J4784" s="760">
        <f t="shared" si="299"/>
        <v>0.7886792452830188</v>
      </c>
    </row>
    <row r="4785" spans="1:10">
      <c r="A4785" s="74" t="s">
        <v>2047</v>
      </c>
      <c r="B4785" s="74" t="s">
        <v>251</v>
      </c>
      <c r="C4785" s="74" t="s">
        <v>1561</v>
      </c>
      <c r="D4785" s="74" t="s">
        <v>87</v>
      </c>
      <c r="E4785" s="74">
        <v>1</v>
      </c>
      <c r="F4785" s="74">
        <v>2.65</v>
      </c>
      <c r="G4785" s="758">
        <f t="shared" si="296"/>
        <v>0.56000000000000005</v>
      </c>
      <c r="H4785" s="759">
        <f t="shared" si="297"/>
        <v>0.27</v>
      </c>
      <c r="I4785" s="758">
        <f t="shared" si="298"/>
        <v>2.09</v>
      </c>
      <c r="J4785" s="760">
        <f t="shared" si="299"/>
        <v>0.7886792452830188</v>
      </c>
    </row>
    <row r="4786" spans="1:10">
      <c r="A4786" s="74" t="s">
        <v>2047</v>
      </c>
      <c r="B4786" s="74" t="s">
        <v>251</v>
      </c>
      <c r="C4786" s="74" t="s">
        <v>1608</v>
      </c>
      <c r="D4786" s="74" t="s">
        <v>89</v>
      </c>
      <c r="E4786" s="74">
        <v>2</v>
      </c>
      <c r="F4786" s="74">
        <v>5.6</v>
      </c>
      <c r="G4786" s="758">
        <f t="shared" si="296"/>
        <v>0.56000000000000005</v>
      </c>
      <c r="H4786" s="759">
        <f t="shared" si="297"/>
        <v>0.27</v>
      </c>
      <c r="I4786" s="758">
        <f t="shared" si="298"/>
        <v>2.2399999999999998</v>
      </c>
      <c r="J4786" s="760">
        <f t="shared" si="299"/>
        <v>0.79999999999999993</v>
      </c>
    </row>
    <row r="4787" spans="1:10">
      <c r="A4787" s="74" t="s">
        <v>2047</v>
      </c>
      <c r="B4787" s="74" t="s">
        <v>251</v>
      </c>
      <c r="C4787" s="74" t="s">
        <v>1610</v>
      </c>
      <c r="D4787" s="74" t="s">
        <v>89</v>
      </c>
      <c r="E4787" s="74">
        <v>6</v>
      </c>
      <c r="F4787" s="74">
        <v>15.9</v>
      </c>
      <c r="G4787" s="758">
        <f t="shared" si="296"/>
        <v>0.56000000000000005</v>
      </c>
      <c r="H4787" s="759">
        <f t="shared" si="297"/>
        <v>0.27</v>
      </c>
      <c r="I4787" s="758">
        <f t="shared" si="298"/>
        <v>2.09</v>
      </c>
      <c r="J4787" s="760">
        <f t="shared" si="299"/>
        <v>0.78867924528301891</v>
      </c>
    </row>
    <row r="4788" spans="1:10">
      <c r="A4788" s="74" t="s">
        <v>2047</v>
      </c>
      <c r="B4788" s="74" t="s">
        <v>251</v>
      </c>
      <c r="C4788" s="74" t="s">
        <v>1547</v>
      </c>
      <c r="D4788" s="74" t="s">
        <v>89</v>
      </c>
      <c r="E4788" s="74">
        <v>3</v>
      </c>
      <c r="F4788" s="74">
        <v>7.95</v>
      </c>
      <c r="G4788" s="758">
        <f t="shared" si="296"/>
        <v>0.56000000000000005</v>
      </c>
      <c r="H4788" s="759">
        <f t="shared" si="297"/>
        <v>0.27</v>
      </c>
      <c r="I4788" s="758">
        <f t="shared" si="298"/>
        <v>2.09</v>
      </c>
      <c r="J4788" s="760">
        <f t="shared" si="299"/>
        <v>0.78867924528301891</v>
      </c>
    </row>
    <row r="4789" spans="1:10">
      <c r="A4789" s="74" t="s">
        <v>2047</v>
      </c>
      <c r="B4789" s="74" t="s">
        <v>251</v>
      </c>
      <c r="C4789" s="74" t="s">
        <v>1582</v>
      </c>
      <c r="D4789" s="74" t="s">
        <v>89</v>
      </c>
      <c r="E4789" s="74">
        <v>2</v>
      </c>
      <c r="F4789" s="74">
        <v>5.6</v>
      </c>
      <c r="G4789" s="758">
        <f t="shared" si="296"/>
        <v>0.56000000000000005</v>
      </c>
      <c r="H4789" s="759">
        <f t="shared" si="297"/>
        <v>0.27</v>
      </c>
      <c r="I4789" s="758">
        <f t="shared" si="298"/>
        <v>2.2399999999999998</v>
      </c>
      <c r="J4789" s="760">
        <f t="shared" si="299"/>
        <v>0.79999999999999993</v>
      </c>
    </row>
    <row r="4790" spans="1:10">
      <c r="A4790" s="74" t="s">
        <v>2047</v>
      </c>
      <c r="B4790" s="74" t="s">
        <v>251</v>
      </c>
      <c r="C4790" s="74" t="s">
        <v>1522</v>
      </c>
      <c r="D4790" s="74" t="s">
        <v>91</v>
      </c>
      <c r="E4790" s="74">
        <v>1</v>
      </c>
      <c r="F4790" s="74">
        <v>2.8</v>
      </c>
      <c r="G4790" s="758">
        <f t="shared" si="296"/>
        <v>0.56000000000000005</v>
      </c>
      <c r="H4790" s="759">
        <f t="shared" si="297"/>
        <v>0.27</v>
      </c>
      <c r="I4790" s="758">
        <f t="shared" si="298"/>
        <v>2.2399999999999998</v>
      </c>
      <c r="J4790" s="760">
        <f t="shared" si="299"/>
        <v>0.79999999999999993</v>
      </c>
    </row>
    <row r="4791" spans="1:10">
      <c r="A4791" s="74" t="s">
        <v>2047</v>
      </c>
      <c r="B4791" s="74" t="s">
        <v>251</v>
      </c>
      <c r="C4791" s="74" t="s">
        <v>1550</v>
      </c>
      <c r="D4791" s="74" t="s">
        <v>91</v>
      </c>
      <c r="E4791" s="74">
        <v>4</v>
      </c>
      <c r="F4791" s="74">
        <v>7.95</v>
      </c>
      <c r="G4791" s="758">
        <f t="shared" si="296"/>
        <v>0.56000000000000005</v>
      </c>
      <c r="H4791" s="759">
        <f t="shared" si="297"/>
        <v>0.27</v>
      </c>
      <c r="I4791" s="758">
        <f t="shared" si="298"/>
        <v>1.4275</v>
      </c>
      <c r="J4791" s="760">
        <f t="shared" si="299"/>
        <v>0.71823899371069189</v>
      </c>
    </row>
    <row r="4792" spans="1:10">
      <c r="A4792" s="74" t="s">
        <v>2047</v>
      </c>
      <c r="B4792" s="74" t="s">
        <v>251</v>
      </c>
      <c r="C4792" s="74" t="s">
        <v>1675</v>
      </c>
      <c r="D4792" s="74" t="s">
        <v>91</v>
      </c>
      <c r="E4792" s="74">
        <v>1</v>
      </c>
      <c r="F4792" s="74">
        <v>2.8</v>
      </c>
      <c r="G4792" s="758">
        <f t="shared" si="296"/>
        <v>0.56000000000000005</v>
      </c>
      <c r="H4792" s="759">
        <f t="shared" si="297"/>
        <v>0.27</v>
      </c>
      <c r="I4792" s="758">
        <f t="shared" si="298"/>
        <v>2.2399999999999998</v>
      </c>
      <c r="J4792" s="760">
        <f t="shared" si="299"/>
        <v>0.79999999999999993</v>
      </c>
    </row>
    <row r="4793" spans="1:10">
      <c r="A4793" s="74" t="s">
        <v>2048</v>
      </c>
      <c r="B4793" s="74" t="s">
        <v>251</v>
      </c>
      <c r="C4793" s="74" t="s">
        <v>1543</v>
      </c>
      <c r="D4793" s="74" t="s">
        <v>87</v>
      </c>
      <c r="E4793" s="74">
        <v>1</v>
      </c>
      <c r="F4793" s="74">
        <v>2.12</v>
      </c>
      <c r="G4793" s="758">
        <f t="shared" si="296"/>
        <v>0</v>
      </c>
      <c r="H4793" s="759">
        <f t="shared" si="297"/>
        <v>0</v>
      </c>
      <c r="I4793" s="758">
        <f t="shared" si="298"/>
        <v>2.12</v>
      </c>
      <c r="J4793" s="760">
        <f t="shared" si="299"/>
        <v>1</v>
      </c>
    </row>
    <row r="4794" spans="1:10">
      <c r="A4794" s="74" t="s">
        <v>2049</v>
      </c>
      <c r="B4794" s="74" t="s">
        <v>266</v>
      </c>
      <c r="C4794" s="74" t="s">
        <v>1509</v>
      </c>
      <c r="D4794" s="74" t="s">
        <v>78</v>
      </c>
      <c r="E4794" s="74">
        <v>1</v>
      </c>
      <c r="F4794" s="74">
        <v>2.65</v>
      </c>
      <c r="G4794" s="758">
        <f t="shared" si="296"/>
        <v>0.51</v>
      </c>
      <c r="H4794" s="759">
        <f t="shared" si="297"/>
        <v>0.27</v>
      </c>
      <c r="I4794" s="758">
        <f t="shared" si="298"/>
        <v>2.1399999999999997</v>
      </c>
      <c r="J4794" s="760">
        <f t="shared" si="299"/>
        <v>0.8075471698113208</v>
      </c>
    </row>
    <row r="4795" spans="1:10">
      <c r="A4795" s="74" t="s">
        <v>2049</v>
      </c>
      <c r="B4795" s="74" t="s">
        <v>266</v>
      </c>
      <c r="C4795" s="74" t="s">
        <v>1565</v>
      </c>
      <c r="D4795" s="74" t="s">
        <v>78</v>
      </c>
      <c r="E4795" s="74">
        <v>1</v>
      </c>
      <c r="F4795" s="74">
        <v>2.65</v>
      </c>
      <c r="G4795" s="758">
        <f t="shared" si="296"/>
        <v>0.51</v>
      </c>
      <c r="H4795" s="759">
        <f t="shared" si="297"/>
        <v>0.27</v>
      </c>
      <c r="I4795" s="758">
        <f t="shared" si="298"/>
        <v>2.1399999999999997</v>
      </c>
      <c r="J4795" s="760">
        <f t="shared" si="299"/>
        <v>0.8075471698113208</v>
      </c>
    </row>
    <row r="4796" spans="1:10">
      <c r="A4796" s="74" t="s">
        <v>2049</v>
      </c>
      <c r="B4796" s="74" t="s">
        <v>266</v>
      </c>
      <c r="C4796" s="74" t="s">
        <v>1530</v>
      </c>
      <c r="D4796" s="74" t="s">
        <v>80</v>
      </c>
      <c r="E4796" s="74">
        <v>1</v>
      </c>
      <c r="F4796" s="74">
        <v>2.65</v>
      </c>
      <c r="G4796" s="758">
        <f t="shared" si="296"/>
        <v>0.51</v>
      </c>
      <c r="H4796" s="759">
        <f t="shared" si="297"/>
        <v>0.27</v>
      </c>
      <c r="I4796" s="758">
        <f t="shared" si="298"/>
        <v>2.1399999999999997</v>
      </c>
      <c r="J4796" s="760">
        <f t="shared" si="299"/>
        <v>0.8075471698113208</v>
      </c>
    </row>
    <row r="4797" spans="1:10">
      <c r="A4797" s="74" t="s">
        <v>2049</v>
      </c>
      <c r="B4797" s="74" t="s">
        <v>266</v>
      </c>
      <c r="C4797" s="74" t="s">
        <v>1532</v>
      </c>
      <c r="D4797" s="74" t="s">
        <v>80</v>
      </c>
      <c r="E4797" s="74">
        <v>5</v>
      </c>
      <c r="F4797" s="74">
        <v>13.25</v>
      </c>
      <c r="G4797" s="758">
        <f t="shared" si="296"/>
        <v>0.51</v>
      </c>
      <c r="H4797" s="759">
        <f t="shared" si="297"/>
        <v>0.27</v>
      </c>
      <c r="I4797" s="758">
        <f t="shared" si="298"/>
        <v>2.1399999999999997</v>
      </c>
      <c r="J4797" s="760">
        <f t="shared" si="299"/>
        <v>0.8075471698113208</v>
      </c>
    </row>
    <row r="4798" spans="1:10">
      <c r="A4798" s="74" t="s">
        <v>2049</v>
      </c>
      <c r="B4798" s="74" t="s">
        <v>266</v>
      </c>
      <c r="C4798" s="74" t="s">
        <v>1511</v>
      </c>
      <c r="D4798" s="74" t="s">
        <v>80</v>
      </c>
      <c r="E4798" s="74">
        <v>5</v>
      </c>
      <c r="F4798" s="74">
        <v>13.4</v>
      </c>
      <c r="G4798" s="758">
        <f t="shared" si="296"/>
        <v>0.51</v>
      </c>
      <c r="H4798" s="759">
        <f t="shared" si="297"/>
        <v>0.27</v>
      </c>
      <c r="I4798" s="758">
        <f t="shared" si="298"/>
        <v>2.17</v>
      </c>
      <c r="J4798" s="760">
        <f t="shared" si="299"/>
        <v>0.80970149253731338</v>
      </c>
    </row>
    <row r="4799" spans="1:10">
      <c r="A4799" s="74" t="s">
        <v>2049</v>
      </c>
      <c r="B4799" s="74" t="s">
        <v>266</v>
      </c>
      <c r="C4799" s="74" t="s">
        <v>1512</v>
      </c>
      <c r="D4799" s="74" t="s">
        <v>80</v>
      </c>
      <c r="E4799" s="74">
        <v>2</v>
      </c>
      <c r="F4799" s="74">
        <v>5.3</v>
      </c>
      <c r="G4799" s="758">
        <f t="shared" si="296"/>
        <v>0.51</v>
      </c>
      <c r="H4799" s="759">
        <f t="shared" si="297"/>
        <v>0.27</v>
      </c>
      <c r="I4799" s="758">
        <f t="shared" si="298"/>
        <v>2.1399999999999997</v>
      </c>
      <c r="J4799" s="760">
        <f t="shared" si="299"/>
        <v>0.8075471698113208</v>
      </c>
    </row>
    <row r="4800" spans="1:10">
      <c r="A4800" s="74" t="s">
        <v>2049</v>
      </c>
      <c r="B4800" s="74" t="s">
        <v>266</v>
      </c>
      <c r="C4800" s="74" t="s">
        <v>1513</v>
      </c>
      <c r="D4800" s="74" t="s">
        <v>81</v>
      </c>
      <c r="E4800" s="74">
        <v>3</v>
      </c>
      <c r="F4800" s="74">
        <v>8.1</v>
      </c>
      <c r="G4800" s="758">
        <f t="shared" si="296"/>
        <v>0.51</v>
      </c>
      <c r="H4800" s="759">
        <f t="shared" si="297"/>
        <v>0.27</v>
      </c>
      <c r="I4800" s="758">
        <f t="shared" si="298"/>
        <v>2.1899999999999995</v>
      </c>
      <c r="J4800" s="760">
        <f t="shared" si="299"/>
        <v>0.81111111111111112</v>
      </c>
    </row>
    <row r="4801" spans="1:10">
      <c r="A4801" s="74" t="s">
        <v>2049</v>
      </c>
      <c r="B4801" s="74" t="s">
        <v>266</v>
      </c>
      <c r="C4801" s="74" t="s">
        <v>1514</v>
      </c>
      <c r="D4801" s="74" t="s">
        <v>81</v>
      </c>
      <c r="E4801" s="74">
        <v>3</v>
      </c>
      <c r="F4801" s="74">
        <v>7.95</v>
      </c>
      <c r="G4801" s="758">
        <f t="shared" si="296"/>
        <v>0.51</v>
      </c>
      <c r="H4801" s="759">
        <f t="shared" si="297"/>
        <v>0.27</v>
      </c>
      <c r="I4801" s="758">
        <f t="shared" si="298"/>
        <v>2.1399999999999997</v>
      </c>
      <c r="J4801" s="760">
        <f t="shared" si="299"/>
        <v>0.8075471698113208</v>
      </c>
    </row>
    <row r="4802" spans="1:10">
      <c r="A4802" s="74" t="s">
        <v>2049</v>
      </c>
      <c r="B4802" s="74" t="s">
        <v>266</v>
      </c>
      <c r="C4802" s="74" t="s">
        <v>1515</v>
      </c>
      <c r="D4802" s="74" t="s">
        <v>81</v>
      </c>
      <c r="E4802" s="74">
        <v>3</v>
      </c>
      <c r="F4802" s="74">
        <v>7.95</v>
      </c>
      <c r="G4802" s="758">
        <f t="shared" ref="G4802:G4865" si="300">IFERROR(VLOOKUP(A4802,$M$1:$P$1014,2,FALSE),0)</f>
        <v>0.51</v>
      </c>
      <c r="H4802" s="759">
        <f t="shared" ref="H4802:H4865" si="301">IFERROR(VLOOKUP(A4802,$M$1:$P$1014,3,FALSE),0)</f>
        <v>0.27</v>
      </c>
      <c r="I4802" s="758">
        <f t="shared" ref="I4802:I4865" si="302">IFERROR(F4802/E4802-G4802,0)</f>
        <v>2.1399999999999997</v>
      </c>
      <c r="J4802" s="760">
        <f t="shared" ref="J4802:J4865" si="303">IFERROR(1-G4802*E4802/F4802,0)</f>
        <v>0.8075471698113208</v>
      </c>
    </row>
    <row r="4803" spans="1:10">
      <c r="A4803" s="74" t="s">
        <v>2049</v>
      </c>
      <c r="B4803" s="74" t="s">
        <v>266</v>
      </c>
      <c r="C4803" s="74" t="s">
        <v>1516</v>
      </c>
      <c r="D4803" s="74" t="s">
        <v>82</v>
      </c>
      <c r="E4803" s="74">
        <v>6</v>
      </c>
      <c r="F4803" s="74">
        <v>22.7</v>
      </c>
      <c r="G4803" s="758">
        <f t="shared" si="300"/>
        <v>0.51</v>
      </c>
      <c r="H4803" s="759">
        <f t="shared" si="301"/>
        <v>0.27</v>
      </c>
      <c r="I4803" s="758">
        <f t="shared" si="302"/>
        <v>3.2733333333333334</v>
      </c>
      <c r="J4803" s="760">
        <f t="shared" si="303"/>
        <v>0.86519823788546257</v>
      </c>
    </row>
    <row r="4804" spans="1:10">
      <c r="A4804" s="74" t="s">
        <v>2049</v>
      </c>
      <c r="B4804" s="74" t="s">
        <v>266</v>
      </c>
      <c r="C4804" s="74" t="s">
        <v>1517</v>
      </c>
      <c r="D4804" s="74" t="s">
        <v>82</v>
      </c>
      <c r="E4804" s="74">
        <v>6</v>
      </c>
      <c r="F4804" s="74">
        <v>16.350000000000001</v>
      </c>
      <c r="G4804" s="758">
        <f t="shared" si="300"/>
        <v>0.51</v>
      </c>
      <c r="H4804" s="759">
        <f t="shared" si="301"/>
        <v>0.27</v>
      </c>
      <c r="I4804" s="758">
        <f t="shared" si="302"/>
        <v>2.2149999999999999</v>
      </c>
      <c r="J4804" s="760">
        <f t="shared" si="303"/>
        <v>0.8128440366972477</v>
      </c>
    </row>
    <row r="4805" spans="1:10">
      <c r="A4805" s="74" t="s">
        <v>2049</v>
      </c>
      <c r="B4805" s="74" t="s">
        <v>266</v>
      </c>
      <c r="C4805" s="74" t="s">
        <v>1527</v>
      </c>
      <c r="D4805" s="74" t="s">
        <v>82</v>
      </c>
      <c r="E4805" s="74">
        <v>4</v>
      </c>
      <c r="F4805" s="74">
        <v>10.75</v>
      </c>
      <c r="G4805" s="758">
        <f t="shared" si="300"/>
        <v>0.51</v>
      </c>
      <c r="H4805" s="759">
        <f t="shared" si="301"/>
        <v>0.27</v>
      </c>
      <c r="I4805" s="758">
        <f t="shared" si="302"/>
        <v>2.1775000000000002</v>
      </c>
      <c r="J4805" s="760">
        <f t="shared" si="303"/>
        <v>0.81023255813953488</v>
      </c>
    </row>
    <row r="4806" spans="1:10">
      <c r="A4806" s="74" t="s">
        <v>2049</v>
      </c>
      <c r="B4806" s="74" t="s">
        <v>266</v>
      </c>
      <c r="C4806" s="74" t="s">
        <v>1518</v>
      </c>
      <c r="D4806" s="74" t="s">
        <v>82</v>
      </c>
      <c r="E4806" s="74">
        <v>3</v>
      </c>
      <c r="F4806" s="74">
        <v>7.95</v>
      </c>
      <c r="G4806" s="758">
        <f t="shared" si="300"/>
        <v>0.51</v>
      </c>
      <c r="H4806" s="759">
        <f t="shared" si="301"/>
        <v>0.27</v>
      </c>
      <c r="I4806" s="758">
        <f t="shared" si="302"/>
        <v>2.1399999999999997</v>
      </c>
      <c r="J4806" s="760">
        <f t="shared" si="303"/>
        <v>0.8075471698113208</v>
      </c>
    </row>
    <row r="4807" spans="1:10">
      <c r="A4807" s="74" t="s">
        <v>2049</v>
      </c>
      <c r="B4807" s="74" t="s">
        <v>266</v>
      </c>
      <c r="C4807" s="74" t="s">
        <v>1519</v>
      </c>
      <c r="D4807" s="74" t="s">
        <v>84</v>
      </c>
      <c r="E4807" s="74">
        <v>2</v>
      </c>
      <c r="F4807" s="74">
        <v>5.6</v>
      </c>
      <c r="G4807" s="758">
        <f t="shared" si="300"/>
        <v>0.51</v>
      </c>
      <c r="H4807" s="759">
        <f t="shared" si="301"/>
        <v>0.27</v>
      </c>
      <c r="I4807" s="758">
        <f t="shared" si="302"/>
        <v>2.29</v>
      </c>
      <c r="J4807" s="760">
        <f t="shared" si="303"/>
        <v>0.81785714285714284</v>
      </c>
    </row>
    <row r="4808" spans="1:10">
      <c r="A4808" s="74" t="s">
        <v>2049</v>
      </c>
      <c r="B4808" s="74" t="s">
        <v>266</v>
      </c>
      <c r="C4808" s="74" t="s">
        <v>1507</v>
      </c>
      <c r="D4808" s="74" t="s">
        <v>86</v>
      </c>
      <c r="E4808" s="74">
        <v>1</v>
      </c>
      <c r="F4808" s="74">
        <v>0</v>
      </c>
      <c r="G4808" s="758">
        <f t="shared" si="300"/>
        <v>0.51</v>
      </c>
      <c r="H4808" s="759">
        <f t="shared" si="301"/>
        <v>0.27</v>
      </c>
      <c r="I4808" s="758">
        <f t="shared" si="302"/>
        <v>-0.51</v>
      </c>
      <c r="J4808" s="760">
        <f t="shared" si="303"/>
        <v>0</v>
      </c>
    </row>
    <row r="4809" spans="1:10">
      <c r="A4809" s="74" t="s">
        <v>2049</v>
      </c>
      <c r="B4809" s="74" t="s">
        <v>266</v>
      </c>
      <c r="C4809" s="74" t="s">
        <v>1644</v>
      </c>
      <c r="D4809" s="74" t="s">
        <v>86</v>
      </c>
      <c r="E4809" s="74">
        <v>1</v>
      </c>
      <c r="F4809" s="74">
        <v>0</v>
      </c>
      <c r="G4809" s="758">
        <f t="shared" si="300"/>
        <v>0.51</v>
      </c>
      <c r="H4809" s="759">
        <f t="shared" si="301"/>
        <v>0.27</v>
      </c>
      <c r="I4809" s="758">
        <f t="shared" si="302"/>
        <v>-0.51</v>
      </c>
      <c r="J4809" s="760">
        <f t="shared" si="303"/>
        <v>0</v>
      </c>
    </row>
    <row r="4810" spans="1:10">
      <c r="A4810" s="74" t="s">
        <v>2049</v>
      </c>
      <c r="B4810" s="74" t="s">
        <v>266</v>
      </c>
      <c r="C4810" s="74" t="s">
        <v>1646</v>
      </c>
      <c r="D4810" s="74" t="s">
        <v>86</v>
      </c>
      <c r="E4810" s="74">
        <v>1</v>
      </c>
      <c r="F4810" s="74">
        <v>2.65</v>
      </c>
      <c r="G4810" s="758">
        <f t="shared" si="300"/>
        <v>0.51</v>
      </c>
      <c r="H4810" s="759">
        <f t="shared" si="301"/>
        <v>0.27</v>
      </c>
      <c r="I4810" s="758">
        <f t="shared" si="302"/>
        <v>2.1399999999999997</v>
      </c>
      <c r="J4810" s="760">
        <f t="shared" si="303"/>
        <v>0.8075471698113208</v>
      </c>
    </row>
    <row r="4811" spans="1:10">
      <c r="A4811" s="74" t="s">
        <v>2049</v>
      </c>
      <c r="B4811" s="74" t="s">
        <v>266</v>
      </c>
      <c r="C4811" s="74" t="s">
        <v>1610</v>
      </c>
      <c r="D4811" s="74" t="s">
        <v>89</v>
      </c>
      <c r="E4811" s="74">
        <v>2</v>
      </c>
      <c r="F4811" s="74">
        <v>5.6</v>
      </c>
      <c r="G4811" s="758">
        <f t="shared" si="300"/>
        <v>0.51</v>
      </c>
      <c r="H4811" s="759">
        <f t="shared" si="301"/>
        <v>0.27</v>
      </c>
      <c r="I4811" s="758">
        <f t="shared" si="302"/>
        <v>2.29</v>
      </c>
      <c r="J4811" s="760">
        <f t="shared" si="303"/>
        <v>0.81785714285714284</v>
      </c>
    </row>
    <row r="4812" spans="1:10">
      <c r="A4812" s="74" t="s">
        <v>2049</v>
      </c>
      <c r="B4812" s="74" t="s">
        <v>266</v>
      </c>
      <c r="C4812" s="74" t="s">
        <v>1547</v>
      </c>
      <c r="D4812" s="74" t="s">
        <v>89</v>
      </c>
      <c r="E4812" s="74">
        <v>2</v>
      </c>
      <c r="F4812" s="74">
        <v>5.3</v>
      </c>
      <c r="G4812" s="758">
        <f t="shared" si="300"/>
        <v>0.51</v>
      </c>
      <c r="H4812" s="759">
        <f t="shared" si="301"/>
        <v>0.27</v>
      </c>
      <c r="I4812" s="758">
        <f t="shared" si="302"/>
        <v>2.1399999999999997</v>
      </c>
      <c r="J4812" s="760">
        <f t="shared" si="303"/>
        <v>0.8075471698113208</v>
      </c>
    </row>
    <row r="4813" spans="1:10">
      <c r="A4813" s="74" t="s">
        <v>2049</v>
      </c>
      <c r="B4813" s="74" t="s">
        <v>266</v>
      </c>
      <c r="C4813" s="74" t="s">
        <v>1522</v>
      </c>
      <c r="D4813" s="74" t="s">
        <v>91</v>
      </c>
      <c r="E4813" s="74">
        <v>5</v>
      </c>
      <c r="F4813" s="74">
        <v>14</v>
      </c>
      <c r="G4813" s="758">
        <f t="shared" si="300"/>
        <v>0.51</v>
      </c>
      <c r="H4813" s="759">
        <f t="shared" si="301"/>
        <v>0.27</v>
      </c>
      <c r="I4813" s="758">
        <f t="shared" si="302"/>
        <v>2.29</v>
      </c>
      <c r="J4813" s="760">
        <f t="shared" si="303"/>
        <v>0.81785714285714284</v>
      </c>
    </row>
    <row r="4814" spans="1:10">
      <c r="A4814" s="74" t="s">
        <v>2049</v>
      </c>
      <c r="B4814" s="74" t="s">
        <v>266</v>
      </c>
      <c r="C4814" s="74" t="s">
        <v>1550</v>
      </c>
      <c r="D4814" s="74" t="s">
        <v>91</v>
      </c>
      <c r="E4814" s="74">
        <v>1</v>
      </c>
      <c r="F4814" s="74">
        <v>0</v>
      </c>
      <c r="G4814" s="758">
        <f t="shared" si="300"/>
        <v>0.51</v>
      </c>
      <c r="H4814" s="759">
        <f t="shared" si="301"/>
        <v>0.27</v>
      </c>
      <c r="I4814" s="758">
        <f t="shared" si="302"/>
        <v>-0.51</v>
      </c>
      <c r="J4814" s="760">
        <f t="shared" si="303"/>
        <v>0</v>
      </c>
    </row>
    <row r="4815" spans="1:10">
      <c r="A4815" s="74" t="s">
        <v>2050</v>
      </c>
      <c r="B4815" s="74" t="s">
        <v>251</v>
      </c>
      <c r="C4815" s="74" t="s">
        <v>1527</v>
      </c>
      <c r="D4815" s="74" t="s">
        <v>82</v>
      </c>
      <c r="E4815" s="74">
        <v>1</v>
      </c>
      <c r="F4815" s="74">
        <v>0</v>
      </c>
      <c r="G4815" s="758">
        <f t="shared" si="300"/>
        <v>0.66</v>
      </c>
      <c r="H4815" s="759">
        <f t="shared" si="301"/>
        <v>0</v>
      </c>
      <c r="I4815" s="758">
        <f t="shared" si="302"/>
        <v>-0.66</v>
      </c>
      <c r="J4815" s="760">
        <f t="shared" si="303"/>
        <v>0</v>
      </c>
    </row>
    <row r="4816" spans="1:10">
      <c r="A4816" s="74" t="s">
        <v>823</v>
      </c>
      <c r="B4816" s="74" t="s">
        <v>253</v>
      </c>
      <c r="C4816" s="74" t="s">
        <v>1511</v>
      </c>
      <c r="D4816" s="74" t="s">
        <v>80</v>
      </c>
      <c r="E4816" s="74">
        <v>1</v>
      </c>
      <c r="F4816" s="74">
        <v>11.65</v>
      </c>
      <c r="G4816" s="758">
        <f t="shared" si="300"/>
        <v>3.72</v>
      </c>
      <c r="H4816" s="759">
        <f t="shared" si="301"/>
        <v>0.35</v>
      </c>
      <c r="I4816" s="758">
        <f t="shared" si="302"/>
        <v>7.93</v>
      </c>
      <c r="J4816" s="760">
        <f t="shared" si="303"/>
        <v>0.68068669527896997</v>
      </c>
    </row>
    <row r="4817" spans="1:10">
      <c r="A4817" s="74" t="s">
        <v>823</v>
      </c>
      <c r="B4817" s="74" t="s">
        <v>253</v>
      </c>
      <c r="C4817" s="74" t="s">
        <v>1513</v>
      </c>
      <c r="D4817" s="74" t="s">
        <v>81</v>
      </c>
      <c r="E4817" s="74">
        <v>2</v>
      </c>
      <c r="F4817" s="74">
        <v>21.45</v>
      </c>
      <c r="G4817" s="758">
        <f t="shared" si="300"/>
        <v>3.72</v>
      </c>
      <c r="H4817" s="759">
        <f t="shared" si="301"/>
        <v>0.35</v>
      </c>
      <c r="I4817" s="758">
        <f t="shared" si="302"/>
        <v>7.004999999999999</v>
      </c>
      <c r="J4817" s="760">
        <f t="shared" si="303"/>
        <v>0.65314685314685317</v>
      </c>
    </row>
    <row r="4818" spans="1:10">
      <c r="A4818" s="74" t="s">
        <v>823</v>
      </c>
      <c r="B4818" s="74" t="s">
        <v>253</v>
      </c>
      <c r="C4818" s="74" t="s">
        <v>1514</v>
      </c>
      <c r="D4818" s="74" t="s">
        <v>81</v>
      </c>
      <c r="E4818" s="74">
        <v>1</v>
      </c>
      <c r="F4818" s="74">
        <v>11.65</v>
      </c>
      <c r="G4818" s="758">
        <f t="shared" si="300"/>
        <v>3.72</v>
      </c>
      <c r="H4818" s="759">
        <f t="shared" si="301"/>
        <v>0.35</v>
      </c>
      <c r="I4818" s="758">
        <f t="shared" si="302"/>
        <v>7.93</v>
      </c>
      <c r="J4818" s="760">
        <f t="shared" si="303"/>
        <v>0.68068669527896997</v>
      </c>
    </row>
    <row r="4819" spans="1:10">
      <c r="A4819" s="74" t="s">
        <v>823</v>
      </c>
      <c r="B4819" s="74" t="s">
        <v>253</v>
      </c>
      <c r="C4819" s="74" t="s">
        <v>1527</v>
      </c>
      <c r="D4819" s="74" t="s">
        <v>82</v>
      </c>
      <c r="E4819" s="74">
        <v>2</v>
      </c>
      <c r="F4819" s="74">
        <v>23.45</v>
      </c>
      <c r="G4819" s="758">
        <f t="shared" si="300"/>
        <v>3.72</v>
      </c>
      <c r="H4819" s="759">
        <f t="shared" si="301"/>
        <v>0.35</v>
      </c>
      <c r="I4819" s="758">
        <f t="shared" si="302"/>
        <v>8.004999999999999</v>
      </c>
      <c r="J4819" s="760">
        <f t="shared" si="303"/>
        <v>0.68272921108742002</v>
      </c>
    </row>
    <row r="4820" spans="1:10">
      <c r="A4820" s="74" t="s">
        <v>2051</v>
      </c>
      <c r="B4820" s="74" t="s">
        <v>253</v>
      </c>
      <c r="C4820" s="74" t="s">
        <v>1528</v>
      </c>
      <c r="D4820" s="74" t="s">
        <v>78</v>
      </c>
      <c r="E4820" s="74">
        <v>1</v>
      </c>
      <c r="F4820" s="74">
        <v>11.65</v>
      </c>
      <c r="G4820" s="758">
        <f t="shared" si="300"/>
        <v>3.72</v>
      </c>
      <c r="H4820" s="759">
        <f t="shared" si="301"/>
        <v>0.35</v>
      </c>
      <c r="I4820" s="758">
        <f t="shared" si="302"/>
        <v>7.93</v>
      </c>
      <c r="J4820" s="760">
        <f t="shared" si="303"/>
        <v>0.68068669527896997</v>
      </c>
    </row>
    <row r="4821" spans="1:10">
      <c r="A4821" s="74" t="s">
        <v>2051</v>
      </c>
      <c r="B4821" s="74" t="s">
        <v>253</v>
      </c>
      <c r="C4821" s="74" t="s">
        <v>1509</v>
      </c>
      <c r="D4821" s="74" t="s">
        <v>78</v>
      </c>
      <c r="E4821" s="74">
        <v>1</v>
      </c>
      <c r="F4821" s="74">
        <v>11.65</v>
      </c>
      <c r="G4821" s="758">
        <f t="shared" si="300"/>
        <v>3.72</v>
      </c>
      <c r="H4821" s="759">
        <f t="shared" si="301"/>
        <v>0.35</v>
      </c>
      <c r="I4821" s="758">
        <f t="shared" si="302"/>
        <v>7.93</v>
      </c>
      <c r="J4821" s="760">
        <f t="shared" si="303"/>
        <v>0.68068669527896997</v>
      </c>
    </row>
    <row r="4822" spans="1:10">
      <c r="A4822" s="74" t="s">
        <v>2051</v>
      </c>
      <c r="B4822" s="74" t="s">
        <v>253</v>
      </c>
      <c r="C4822" s="74" t="s">
        <v>1534</v>
      </c>
      <c r="D4822" s="74" t="s">
        <v>81</v>
      </c>
      <c r="E4822" s="74">
        <v>2</v>
      </c>
      <c r="F4822" s="74">
        <v>23.3</v>
      </c>
      <c r="G4822" s="758">
        <f t="shared" si="300"/>
        <v>3.72</v>
      </c>
      <c r="H4822" s="759">
        <f t="shared" si="301"/>
        <v>0.35</v>
      </c>
      <c r="I4822" s="758">
        <f t="shared" si="302"/>
        <v>7.93</v>
      </c>
      <c r="J4822" s="760">
        <f t="shared" si="303"/>
        <v>0.68068669527896997</v>
      </c>
    </row>
    <row r="4823" spans="1:10">
      <c r="A4823" s="74" t="s">
        <v>2051</v>
      </c>
      <c r="B4823" s="74" t="s">
        <v>253</v>
      </c>
      <c r="C4823" s="74" t="s">
        <v>1514</v>
      </c>
      <c r="D4823" s="74" t="s">
        <v>81</v>
      </c>
      <c r="E4823" s="74">
        <v>1</v>
      </c>
      <c r="F4823" s="74">
        <v>11.65</v>
      </c>
      <c r="G4823" s="758">
        <f t="shared" si="300"/>
        <v>3.72</v>
      </c>
      <c r="H4823" s="759">
        <f t="shared" si="301"/>
        <v>0.35</v>
      </c>
      <c r="I4823" s="758">
        <f t="shared" si="302"/>
        <v>7.93</v>
      </c>
      <c r="J4823" s="760">
        <f t="shared" si="303"/>
        <v>0.68068669527896997</v>
      </c>
    </row>
    <row r="4824" spans="1:10">
      <c r="A4824" s="74" t="s">
        <v>2051</v>
      </c>
      <c r="B4824" s="74" t="s">
        <v>253</v>
      </c>
      <c r="C4824" s="74" t="s">
        <v>1527</v>
      </c>
      <c r="D4824" s="74" t="s">
        <v>82</v>
      </c>
      <c r="E4824" s="74">
        <v>4</v>
      </c>
      <c r="F4824" s="74">
        <v>46.9</v>
      </c>
      <c r="G4824" s="758">
        <f t="shared" si="300"/>
        <v>3.72</v>
      </c>
      <c r="H4824" s="759">
        <f t="shared" si="301"/>
        <v>0.35</v>
      </c>
      <c r="I4824" s="758">
        <f t="shared" si="302"/>
        <v>8.004999999999999</v>
      </c>
      <c r="J4824" s="760">
        <f t="shared" si="303"/>
        <v>0.68272921108742002</v>
      </c>
    </row>
    <row r="4825" spans="1:10">
      <c r="A4825" s="74" t="s">
        <v>1179</v>
      </c>
      <c r="B4825" s="74" t="s">
        <v>277</v>
      </c>
      <c r="C4825" s="74" t="s">
        <v>1532</v>
      </c>
      <c r="D4825" s="74" t="s">
        <v>80</v>
      </c>
      <c r="E4825" s="74">
        <v>10</v>
      </c>
      <c r="F4825" s="74">
        <v>129.25</v>
      </c>
      <c r="G4825" s="758">
        <f t="shared" si="300"/>
        <v>2.82</v>
      </c>
      <c r="H4825" s="759">
        <f t="shared" si="301"/>
        <v>0.24</v>
      </c>
      <c r="I4825" s="758">
        <f t="shared" si="302"/>
        <v>10.105</v>
      </c>
      <c r="J4825" s="760">
        <f t="shared" si="303"/>
        <v>0.78181818181818186</v>
      </c>
    </row>
    <row r="4826" spans="1:10">
      <c r="A4826" s="74" t="s">
        <v>1179</v>
      </c>
      <c r="B4826" s="74" t="s">
        <v>277</v>
      </c>
      <c r="C4826" s="74" t="s">
        <v>1511</v>
      </c>
      <c r="D4826" s="74" t="s">
        <v>80</v>
      </c>
      <c r="E4826" s="74">
        <v>9</v>
      </c>
      <c r="F4826" s="74">
        <v>116.35</v>
      </c>
      <c r="G4826" s="758">
        <f t="shared" si="300"/>
        <v>2.82</v>
      </c>
      <c r="H4826" s="759">
        <f t="shared" si="301"/>
        <v>0.24</v>
      </c>
      <c r="I4826" s="758">
        <f t="shared" si="302"/>
        <v>10.107777777777777</v>
      </c>
      <c r="J4826" s="760">
        <f t="shared" si="303"/>
        <v>0.78186506231198971</v>
      </c>
    </row>
    <row r="4827" spans="1:10">
      <c r="A4827" s="74" t="s">
        <v>1179</v>
      </c>
      <c r="B4827" s="74" t="s">
        <v>277</v>
      </c>
      <c r="C4827" s="74" t="s">
        <v>1512</v>
      </c>
      <c r="D4827" s="74" t="s">
        <v>80</v>
      </c>
      <c r="E4827" s="74">
        <v>7</v>
      </c>
      <c r="F4827" s="74">
        <v>90.3</v>
      </c>
      <c r="G4827" s="758">
        <f t="shared" si="300"/>
        <v>2.82</v>
      </c>
      <c r="H4827" s="759">
        <f t="shared" si="301"/>
        <v>0.24</v>
      </c>
      <c r="I4827" s="758">
        <f t="shared" si="302"/>
        <v>10.08</v>
      </c>
      <c r="J4827" s="760">
        <f t="shared" si="303"/>
        <v>0.78139534883720929</v>
      </c>
    </row>
    <row r="4828" spans="1:10">
      <c r="A4828" s="74" t="s">
        <v>1179</v>
      </c>
      <c r="B4828" s="74" t="s">
        <v>277</v>
      </c>
      <c r="C4828" s="74" t="s">
        <v>1534</v>
      </c>
      <c r="D4828" s="74" t="s">
        <v>81</v>
      </c>
      <c r="E4828" s="74">
        <v>15</v>
      </c>
      <c r="F4828" s="74">
        <v>193.85</v>
      </c>
      <c r="G4828" s="758">
        <f t="shared" si="300"/>
        <v>2.82</v>
      </c>
      <c r="H4828" s="759">
        <f t="shared" si="301"/>
        <v>0.24</v>
      </c>
      <c r="I4828" s="758">
        <f t="shared" si="302"/>
        <v>10.103333333333333</v>
      </c>
      <c r="J4828" s="760">
        <f t="shared" si="303"/>
        <v>0.78179004384833639</v>
      </c>
    </row>
    <row r="4829" spans="1:10">
      <c r="A4829" s="74" t="s">
        <v>1179</v>
      </c>
      <c r="B4829" s="74" t="s">
        <v>277</v>
      </c>
      <c r="C4829" s="74" t="s">
        <v>1513</v>
      </c>
      <c r="D4829" s="74" t="s">
        <v>81</v>
      </c>
      <c r="E4829" s="74">
        <v>3</v>
      </c>
      <c r="F4829" s="74">
        <v>39</v>
      </c>
      <c r="G4829" s="758">
        <f t="shared" si="300"/>
        <v>2.82</v>
      </c>
      <c r="H4829" s="759">
        <f t="shared" si="301"/>
        <v>0.24</v>
      </c>
      <c r="I4829" s="758">
        <f t="shared" si="302"/>
        <v>10.18</v>
      </c>
      <c r="J4829" s="760">
        <f t="shared" si="303"/>
        <v>0.78307692307692311</v>
      </c>
    </row>
    <row r="4830" spans="1:10">
      <c r="A4830" s="74" t="s">
        <v>1179</v>
      </c>
      <c r="B4830" s="74" t="s">
        <v>277</v>
      </c>
      <c r="C4830" s="74" t="s">
        <v>1514</v>
      </c>
      <c r="D4830" s="74" t="s">
        <v>81</v>
      </c>
      <c r="E4830" s="74">
        <v>6</v>
      </c>
      <c r="F4830" s="74">
        <v>77.5</v>
      </c>
      <c r="G4830" s="758">
        <f t="shared" si="300"/>
        <v>2.82</v>
      </c>
      <c r="H4830" s="759">
        <f t="shared" si="301"/>
        <v>0.24</v>
      </c>
      <c r="I4830" s="758">
        <f t="shared" si="302"/>
        <v>10.096666666666666</v>
      </c>
      <c r="J4830" s="760">
        <f t="shared" si="303"/>
        <v>0.7816774193548387</v>
      </c>
    </row>
    <row r="4831" spans="1:10">
      <c r="A4831" s="74" t="s">
        <v>1179</v>
      </c>
      <c r="B4831" s="74" t="s">
        <v>277</v>
      </c>
      <c r="C4831" s="74" t="s">
        <v>1515</v>
      </c>
      <c r="D4831" s="74" t="s">
        <v>81</v>
      </c>
      <c r="E4831" s="74">
        <v>3</v>
      </c>
      <c r="F4831" s="74">
        <v>39.700000000000003</v>
      </c>
      <c r="G4831" s="758">
        <f t="shared" si="300"/>
        <v>2.82</v>
      </c>
      <c r="H4831" s="759">
        <f t="shared" si="301"/>
        <v>0.24</v>
      </c>
      <c r="I4831" s="758">
        <f t="shared" si="302"/>
        <v>10.413333333333334</v>
      </c>
      <c r="J4831" s="760">
        <f t="shared" si="303"/>
        <v>0.78690176322418137</v>
      </c>
    </row>
    <row r="4832" spans="1:10">
      <c r="A4832" s="74" t="s">
        <v>1179</v>
      </c>
      <c r="B4832" s="74" t="s">
        <v>277</v>
      </c>
      <c r="C4832" s="74" t="s">
        <v>1516</v>
      </c>
      <c r="D4832" s="74" t="s">
        <v>82</v>
      </c>
      <c r="E4832" s="74">
        <v>6</v>
      </c>
      <c r="F4832" s="74">
        <v>78.599999999999994</v>
      </c>
      <c r="G4832" s="758">
        <f t="shared" si="300"/>
        <v>2.82</v>
      </c>
      <c r="H4832" s="759">
        <f t="shared" si="301"/>
        <v>0.24</v>
      </c>
      <c r="I4832" s="758">
        <f t="shared" si="302"/>
        <v>10.28</v>
      </c>
      <c r="J4832" s="760">
        <f t="shared" si="303"/>
        <v>0.78473282442748094</v>
      </c>
    </row>
    <row r="4833" spans="1:10">
      <c r="A4833" s="74" t="s">
        <v>1179</v>
      </c>
      <c r="B4833" s="74" t="s">
        <v>277</v>
      </c>
      <c r="C4833" s="74" t="s">
        <v>1517</v>
      </c>
      <c r="D4833" s="74" t="s">
        <v>82</v>
      </c>
      <c r="E4833" s="74">
        <v>9</v>
      </c>
      <c r="F4833" s="74">
        <v>116.4</v>
      </c>
      <c r="G4833" s="758">
        <f t="shared" si="300"/>
        <v>2.82</v>
      </c>
      <c r="H4833" s="759">
        <f t="shared" si="301"/>
        <v>0.24</v>
      </c>
      <c r="I4833" s="758">
        <f t="shared" si="302"/>
        <v>10.113333333333333</v>
      </c>
      <c r="J4833" s="760">
        <f t="shared" si="303"/>
        <v>0.78195876288659794</v>
      </c>
    </row>
    <row r="4834" spans="1:10">
      <c r="A4834" s="74" t="s">
        <v>1179</v>
      </c>
      <c r="B4834" s="74" t="s">
        <v>277</v>
      </c>
      <c r="C4834" s="74" t="s">
        <v>1527</v>
      </c>
      <c r="D4834" s="74" t="s">
        <v>82</v>
      </c>
      <c r="E4834" s="74">
        <v>16</v>
      </c>
      <c r="F4834" s="74">
        <v>206.8</v>
      </c>
      <c r="G4834" s="758">
        <f t="shared" si="300"/>
        <v>2.82</v>
      </c>
      <c r="H4834" s="759">
        <f t="shared" si="301"/>
        <v>0.24</v>
      </c>
      <c r="I4834" s="758">
        <f t="shared" si="302"/>
        <v>10.105</v>
      </c>
      <c r="J4834" s="760">
        <f t="shared" si="303"/>
        <v>0.78181818181818186</v>
      </c>
    </row>
    <row r="4835" spans="1:10">
      <c r="A4835" s="74" t="s">
        <v>1179</v>
      </c>
      <c r="B4835" s="74" t="s">
        <v>277</v>
      </c>
      <c r="C4835" s="74" t="s">
        <v>1518</v>
      </c>
      <c r="D4835" s="74" t="s">
        <v>82</v>
      </c>
      <c r="E4835" s="74">
        <v>10</v>
      </c>
      <c r="F4835" s="74">
        <v>155</v>
      </c>
      <c r="G4835" s="758">
        <f t="shared" si="300"/>
        <v>2.82</v>
      </c>
      <c r="H4835" s="759">
        <f t="shared" si="301"/>
        <v>0.24</v>
      </c>
      <c r="I4835" s="758">
        <f t="shared" si="302"/>
        <v>12.68</v>
      </c>
      <c r="J4835" s="760">
        <f t="shared" si="303"/>
        <v>0.8180645161290323</v>
      </c>
    </row>
    <row r="4836" spans="1:10">
      <c r="A4836" s="74" t="s">
        <v>1179</v>
      </c>
      <c r="B4836" s="74" t="s">
        <v>277</v>
      </c>
      <c r="C4836" s="74" t="s">
        <v>1519</v>
      </c>
      <c r="D4836" s="74" t="s">
        <v>84</v>
      </c>
      <c r="E4836" s="74">
        <v>1</v>
      </c>
      <c r="F4836" s="74">
        <v>12.9</v>
      </c>
      <c r="G4836" s="758">
        <f t="shared" si="300"/>
        <v>2.82</v>
      </c>
      <c r="H4836" s="759">
        <f t="shared" si="301"/>
        <v>0.24</v>
      </c>
      <c r="I4836" s="758">
        <f t="shared" si="302"/>
        <v>10.08</v>
      </c>
      <c r="J4836" s="760">
        <f t="shared" si="303"/>
        <v>0.78139534883720929</v>
      </c>
    </row>
    <row r="4837" spans="1:10">
      <c r="A4837" s="74" t="s">
        <v>2052</v>
      </c>
      <c r="B4837" s="74" t="s">
        <v>321</v>
      </c>
      <c r="C4837" s="74" t="s">
        <v>1584</v>
      </c>
      <c r="D4837" s="74" t="s">
        <v>92</v>
      </c>
      <c r="E4837" s="74">
        <v>1</v>
      </c>
      <c r="F4837" s="74">
        <v>4</v>
      </c>
      <c r="G4837" s="758">
        <f t="shared" si="300"/>
        <v>0</v>
      </c>
      <c r="H4837" s="759">
        <f t="shared" si="301"/>
        <v>0</v>
      </c>
      <c r="I4837" s="758">
        <f t="shared" si="302"/>
        <v>4</v>
      </c>
      <c r="J4837" s="760">
        <f t="shared" si="303"/>
        <v>1</v>
      </c>
    </row>
    <row r="4838" spans="1:10">
      <c r="A4838" s="74" t="s">
        <v>2053</v>
      </c>
      <c r="B4838" s="74" t="s">
        <v>321</v>
      </c>
      <c r="C4838" s="74" t="s">
        <v>1508</v>
      </c>
      <c r="D4838" s="74" t="s">
        <v>78</v>
      </c>
      <c r="E4838" s="74">
        <v>5</v>
      </c>
      <c r="F4838" s="74">
        <v>20.75</v>
      </c>
      <c r="G4838" s="758">
        <f t="shared" si="300"/>
        <v>0.55000000000000004</v>
      </c>
      <c r="H4838" s="759">
        <f t="shared" si="301"/>
        <v>0.15</v>
      </c>
      <c r="I4838" s="758">
        <f t="shared" si="302"/>
        <v>3.6000000000000005</v>
      </c>
      <c r="J4838" s="760">
        <f t="shared" si="303"/>
        <v>0.86746987951807231</v>
      </c>
    </row>
    <row r="4839" spans="1:10">
      <c r="A4839" s="74" t="s">
        <v>2053</v>
      </c>
      <c r="B4839" s="74" t="s">
        <v>321</v>
      </c>
      <c r="C4839" s="74" t="s">
        <v>1509</v>
      </c>
      <c r="D4839" s="74" t="s">
        <v>78</v>
      </c>
      <c r="E4839" s="74">
        <v>2</v>
      </c>
      <c r="F4839" s="74">
        <v>8.15</v>
      </c>
      <c r="G4839" s="758">
        <f t="shared" si="300"/>
        <v>0.55000000000000004</v>
      </c>
      <c r="H4839" s="759">
        <f t="shared" si="301"/>
        <v>0.15</v>
      </c>
      <c r="I4839" s="758">
        <f t="shared" si="302"/>
        <v>3.5250000000000004</v>
      </c>
      <c r="J4839" s="760">
        <f t="shared" si="303"/>
        <v>0.86503067484662577</v>
      </c>
    </row>
    <row r="4840" spans="1:10">
      <c r="A4840" s="74" t="s">
        <v>2053</v>
      </c>
      <c r="B4840" s="74" t="s">
        <v>321</v>
      </c>
      <c r="C4840" s="74" t="s">
        <v>1565</v>
      </c>
      <c r="D4840" s="74" t="s">
        <v>78</v>
      </c>
      <c r="E4840" s="74">
        <v>8</v>
      </c>
      <c r="F4840" s="74">
        <v>32.1</v>
      </c>
      <c r="G4840" s="758">
        <f t="shared" si="300"/>
        <v>0.55000000000000004</v>
      </c>
      <c r="H4840" s="759">
        <f t="shared" si="301"/>
        <v>0.15</v>
      </c>
      <c r="I4840" s="758">
        <f t="shared" si="302"/>
        <v>3.4625000000000004</v>
      </c>
      <c r="J4840" s="760">
        <f t="shared" si="303"/>
        <v>0.86292834890965731</v>
      </c>
    </row>
    <row r="4841" spans="1:10">
      <c r="A4841" s="74" t="s">
        <v>2053</v>
      </c>
      <c r="B4841" s="74" t="s">
        <v>321</v>
      </c>
      <c r="C4841" s="74" t="s">
        <v>1530</v>
      </c>
      <c r="D4841" s="74" t="s">
        <v>80</v>
      </c>
      <c r="E4841" s="74">
        <v>5</v>
      </c>
      <c r="F4841" s="74">
        <v>20.5</v>
      </c>
      <c r="G4841" s="758">
        <f t="shared" si="300"/>
        <v>0.55000000000000004</v>
      </c>
      <c r="H4841" s="759">
        <f t="shared" si="301"/>
        <v>0.15</v>
      </c>
      <c r="I4841" s="758">
        <f t="shared" si="302"/>
        <v>3.55</v>
      </c>
      <c r="J4841" s="760">
        <f t="shared" si="303"/>
        <v>0.86585365853658536</v>
      </c>
    </row>
    <row r="4842" spans="1:10">
      <c r="A4842" s="74" t="s">
        <v>2053</v>
      </c>
      <c r="B4842" s="74" t="s">
        <v>321</v>
      </c>
      <c r="C4842" s="74" t="s">
        <v>1532</v>
      </c>
      <c r="D4842" s="74" t="s">
        <v>80</v>
      </c>
      <c r="E4842" s="74">
        <v>5</v>
      </c>
      <c r="F4842" s="74">
        <v>20.5</v>
      </c>
      <c r="G4842" s="758">
        <f t="shared" si="300"/>
        <v>0.55000000000000004</v>
      </c>
      <c r="H4842" s="759">
        <f t="shared" si="301"/>
        <v>0.15</v>
      </c>
      <c r="I4842" s="758">
        <f t="shared" si="302"/>
        <v>3.55</v>
      </c>
      <c r="J4842" s="760">
        <f t="shared" si="303"/>
        <v>0.86585365853658536</v>
      </c>
    </row>
    <row r="4843" spans="1:10">
      <c r="A4843" s="74" t="s">
        <v>2053</v>
      </c>
      <c r="B4843" s="74" t="s">
        <v>321</v>
      </c>
      <c r="C4843" s="74" t="s">
        <v>1511</v>
      </c>
      <c r="D4843" s="74" t="s">
        <v>80</v>
      </c>
      <c r="E4843" s="74">
        <v>9</v>
      </c>
      <c r="F4843" s="74">
        <v>36.049999999999997</v>
      </c>
      <c r="G4843" s="758">
        <f t="shared" si="300"/>
        <v>0.55000000000000004</v>
      </c>
      <c r="H4843" s="759">
        <f t="shared" si="301"/>
        <v>0.15</v>
      </c>
      <c r="I4843" s="758">
        <f t="shared" si="302"/>
        <v>3.4555555555555557</v>
      </c>
      <c r="J4843" s="760">
        <f t="shared" si="303"/>
        <v>0.86269070735090148</v>
      </c>
    </row>
    <row r="4844" spans="1:10">
      <c r="A4844" s="74" t="s">
        <v>2053</v>
      </c>
      <c r="B4844" s="74" t="s">
        <v>321</v>
      </c>
      <c r="C4844" s="74" t="s">
        <v>1512</v>
      </c>
      <c r="D4844" s="74" t="s">
        <v>80</v>
      </c>
      <c r="E4844" s="74">
        <v>5</v>
      </c>
      <c r="F4844" s="74">
        <v>20.25</v>
      </c>
      <c r="G4844" s="758">
        <f t="shared" si="300"/>
        <v>0.55000000000000004</v>
      </c>
      <c r="H4844" s="759">
        <f t="shared" si="301"/>
        <v>0.15</v>
      </c>
      <c r="I4844" s="758">
        <f t="shared" si="302"/>
        <v>3.5</v>
      </c>
      <c r="J4844" s="760">
        <f t="shared" si="303"/>
        <v>0.86419753086419759</v>
      </c>
    </row>
    <row r="4845" spans="1:10">
      <c r="A4845" s="74" t="s">
        <v>2053</v>
      </c>
      <c r="B4845" s="74" t="s">
        <v>321</v>
      </c>
      <c r="C4845" s="74" t="s">
        <v>1534</v>
      </c>
      <c r="D4845" s="74" t="s">
        <v>81</v>
      </c>
      <c r="E4845" s="74">
        <v>9</v>
      </c>
      <c r="F4845" s="74">
        <v>36.25</v>
      </c>
      <c r="G4845" s="758">
        <f t="shared" si="300"/>
        <v>0.55000000000000004</v>
      </c>
      <c r="H4845" s="759">
        <f t="shared" si="301"/>
        <v>0.15</v>
      </c>
      <c r="I4845" s="758">
        <f t="shared" si="302"/>
        <v>3.4777777777777779</v>
      </c>
      <c r="J4845" s="760">
        <f t="shared" si="303"/>
        <v>0.86344827586206896</v>
      </c>
    </row>
    <row r="4846" spans="1:10">
      <c r="A4846" s="74" t="s">
        <v>2053</v>
      </c>
      <c r="B4846" s="74" t="s">
        <v>321</v>
      </c>
      <c r="C4846" s="74" t="s">
        <v>1513</v>
      </c>
      <c r="D4846" s="74" t="s">
        <v>81</v>
      </c>
      <c r="E4846" s="74">
        <v>1</v>
      </c>
      <c r="F4846" s="74">
        <v>3.95</v>
      </c>
      <c r="G4846" s="758">
        <f t="shared" si="300"/>
        <v>0.55000000000000004</v>
      </c>
      <c r="H4846" s="759">
        <f t="shared" si="301"/>
        <v>0.15</v>
      </c>
      <c r="I4846" s="758">
        <f t="shared" si="302"/>
        <v>3.4000000000000004</v>
      </c>
      <c r="J4846" s="760">
        <f t="shared" si="303"/>
        <v>0.86075949367088611</v>
      </c>
    </row>
    <row r="4847" spans="1:10">
      <c r="A4847" s="74" t="s">
        <v>2053</v>
      </c>
      <c r="B4847" s="74" t="s">
        <v>321</v>
      </c>
      <c r="C4847" s="74" t="s">
        <v>1514</v>
      </c>
      <c r="D4847" s="74" t="s">
        <v>81</v>
      </c>
      <c r="E4847" s="74">
        <v>1</v>
      </c>
      <c r="F4847" s="74">
        <v>4.05</v>
      </c>
      <c r="G4847" s="758">
        <f t="shared" si="300"/>
        <v>0.55000000000000004</v>
      </c>
      <c r="H4847" s="759">
        <f t="shared" si="301"/>
        <v>0.15</v>
      </c>
      <c r="I4847" s="758">
        <f t="shared" si="302"/>
        <v>3.5</v>
      </c>
      <c r="J4847" s="760">
        <f t="shared" si="303"/>
        <v>0.86419753086419748</v>
      </c>
    </row>
    <row r="4848" spans="1:10">
      <c r="A4848" s="74" t="s">
        <v>2053</v>
      </c>
      <c r="B4848" s="74" t="s">
        <v>321</v>
      </c>
      <c r="C4848" s="74" t="s">
        <v>1515</v>
      </c>
      <c r="D4848" s="74" t="s">
        <v>81</v>
      </c>
      <c r="E4848" s="74">
        <v>10</v>
      </c>
      <c r="F4848" s="74">
        <v>103.6</v>
      </c>
      <c r="G4848" s="758">
        <f t="shared" si="300"/>
        <v>0.55000000000000004</v>
      </c>
      <c r="H4848" s="759">
        <f t="shared" si="301"/>
        <v>0.15</v>
      </c>
      <c r="I4848" s="758">
        <f t="shared" si="302"/>
        <v>9.8099999999999987</v>
      </c>
      <c r="J4848" s="760">
        <f t="shared" si="303"/>
        <v>0.94691119691119696</v>
      </c>
    </row>
    <row r="4849" spans="1:10">
      <c r="A4849" s="74" t="s">
        <v>2053</v>
      </c>
      <c r="B4849" s="74" t="s">
        <v>321</v>
      </c>
      <c r="C4849" s="74" t="s">
        <v>1516</v>
      </c>
      <c r="D4849" s="74" t="s">
        <v>82</v>
      </c>
      <c r="E4849" s="74">
        <v>4</v>
      </c>
      <c r="F4849" s="74">
        <v>16.2</v>
      </c>
      <c r="G4849" s="758">
        <f t="shared" si="300"/>
        <v>0.55000000000000004</v>
      </c>
      <c r="H4849" s="759">
        <f t="shared" si="301"/>
        <v>0.15</v>
      </c>
      <c r="I4849" s="758">
        <f t="shared" si="302"/>
        <v>3.5</v>
      </c>
      <c r="J4849" s="760">
        <f t="shared" si="303"/>
        <v>0.86419753086419748</v>
      </c>
    </row>
    <row r="4850" spans="1:10">
      <c r="A4850" s="74" t="s">
        <v>2053</v>
      </c>
      <c r="B4850" s="74" t="s">
        <v>321</v>
      </c>
      <c r="C4850" s="74" t="s">
        <v>1517</v>
      </c>
      <c r="D4850" s="74" t="s">
        <v>82</v>
      </c>
      <c r="E4850" s="74">
        <v>3</v>
      </c>
      <c r="F4850" s="74">
        <v>11.95</v>
      </c>
      <c r="G4850" s="758">
        <f t="shared" si="300"/>
        <v>0.55000000000000004</v>
      </c>
      <c r="H4850" s="759">
        <f t="shared" si="301"/>
        <v>0.15</v>
      </c>
      <c r="I4850" s="758">
        <f t="shared" si="302"/>
        <v>3.4333333333333327</v>
      </c>
      <c r="J4850" s="760">
        <f t="shared" si="303"/>
        <v>0.86192468619246854</v>
      </c>
    </row>
    <row r="4851" spans="1:10">
      <c r="A4851" s="74" t="s">
        <v>2053</v>
      </c>
      <c r="B4851" s="74" t="s">
        <v>321</v>
      </c>
      <c r="C4851" s="74" t="s">
        <v>1527</v>
      </c>
      <c r="D4851" s="74" t="s">
        <v>82</v>
      </c>
      <c r="E4851" s="74">
        <v>7</v>
      </c>
      <c r="F4851" s="74">
        <v>28.05</v>
      </c>
      <c r="G4851" s="758">
        <f t="shared" si="300"/>
        <v>0.55000000000000004</v>
      </c>
      <c r="H4851" s="759">
        <f t="shared" si="301"/>
        <v>0.15</v>
      </c>
      <c r="I4851" s="758">
        <f t="shared" si="302"/>
        <v>3.4571428571428573</v>
      </c>
      <c r="J4851" s="760">
        <f t="shared" si="303"/>
        <v>0.86274509803921573</v>
      </c>
    </row>
    <row r="4852" spans="1:10">
      <c r="A4852" s="74" t="s">
        <v>2053</v>
      </c>
      <c r="B4852" s="74" t="s">
        <v>321</v>
      </c>
      <c r="C4852" s="74" t="s">
        <v>1518</v>
      </c>
      <c r="D4852" s="74" t="s">
        <v>82</v>
      </c>
      <c r="E4852" s="74">
        <v>11</v>
      </c>
      <c r="F4852" s="74">
        <v>44.25</v>
      </c>
      <c r="G4852" s="758">
        <f t="shared" si="300"/>
        <v>0.55000000000000004</v>
      </c>
      <c r="H4852" s="759">
        <f t="shared" si="301"/>
        <v>0.15</v>
      </c>
      <c r="I4852" s="758">
        <f t="shared" si="302"/>
        <v>3.4727272727272727</v>
      </c>
      <c r="J4852" s="760">
        <f t="shared" si="303"/>
        <v>0.86327683615819206</v>
      </c>
    </row>
    <row r="4853" spans="1:10">
      <c r="A4853" s="74" t="s">
        <v>2053</v>
      </c>
      <c r="B4853" s="74" t="s">
        <v>321</v>
      </c>
      <c r="C4853" s="74" t="s">
        <v>1540</v>
      </c>
      <c r="D4853" s="74" t="s">
        <v>84</v>
      </c>
      <c r="E4853" s="74">
        <v>1</v>
      </c>
      <c r="F4853" s="74">
        <v>3.95</v>
      </c>
      <c r="G4853" s="758">
        <f t="shared" si="300"/>
        <v>0.55000000000000004</v>
      </c>
      <c r="H4853" s="759">
        <f t="shared" si="301"/>
        <v>0.15</v>
      </c>
      <c r="I4853" s="758">
        <f t="shared" si="302"/>
        <v>3.4000000000000004</v>
      </c>
      <c r="J4853" s="760">
        <f t="shared" si="303"/>
        <v>0.86075949367088611</v>
      </c>
    </row>
    <row r="4854" spans="1:10">
      <c r="A4854" s="74" t="s">
        <v>2309</v>
      </c>
      <c r="B4854" s="74" t="s">
        <v>321</v>
      </c>
      <c r="C4854" s="74" t="s">
        <v>1577</v>
      </c>
      <c r="D4854" s="74" t="s">
        <v>84</v>
      </c>
      <c r="E4854" s="74">
        <v>1</v>
      </c>
      <c r="F4854" s="74">
        <v>4.05</v>
      </c>
      <c r="G4854" s="758">
        <f t="shared" si="300"/>
        <v>0.55000000000000004</v>
      </c>
      <c r="H4854" s="759">
        <f t="shared" si="301"/>
        <v>0.15</v>
      </c>
      <c r="I4854" s="758">
        <f t="shared" si="302"/>
        <v>3.5</v>
      </c>
      <c r="J4854" s="760">
        <f t="shared" si="303"/>
        <v>0.86419753086419748</v>
      </c>
    </row>
    <row r="4855" spans="1:10">
      <c r="A4855" s="74" t="s">
        <v>910</v>
      </c>
      <c r="B4855" s="74" t="s">
        <v>321</v>
      </c>
      <c r="C4855" s="74" t="s">
        <v>1507</v>
      </c>
      <c r="D4855" s="74" t="s">
        <v>86</v>
      </c>
      <c r="E4855" s="74">
        <v>1</v>
      </c>
      <c r="F4855" s="74">
        <v>3.95</v>
      </c>
      <c r="G4855" s="758">
        <f t="shared" si="300"/>
        <v>0</v>
      </c>
      <c r="H4855" s="759">
        <f t="shared" si="301"/>
        <v>0</v>
      </c>
      <c r="I4855" s="758">
        <f t="shared" si="302"/>
        <v>3.95</v>
      </c>
      <c r="J4855" s="760">
        <f t="shared" si="303"/>
        <v>1</v>
      </c>
    </row>
    <row r="4856" spans="1:10">
      <c r="A4856" s="74" t="s">
        <v>910</v>
      </c>
      <c r="B4856" s="74" t="s">
        <v>321</v>
      </c>
      <c r="C4856" s="74" t="s">
        <v>1646</v>
      </c>
      <c r="D4856" s="74" t="s">
        <v>86</v>
      </c>
      <c r="E4856" s="74">
        <v>2</v>
      </c>
      <c r="F4856" s="74">
        <v>8</v>
      </c>
      <c r="G4856" s="758">
        <f t="shared" si="300"/>
        <v>0</v>
      </c>
      <c r="H4856" s="759">
        <f t="shared" si="301"/>
        <v>0</v>
      </c>
      <c r="I4856" s="758">
        <f t="shared" si="302"/>
        <v>4</v>
      </c>
      <c r="J4856" s="760">
        <f t="shared" si="303"/>
        <v>1</v>
      </c>
    </row>
    <row r="4857" spans="1:10">
      <c r="A4857" s="74" t="s">
        <v>910</v>
      </c>
      <c r="B4857" s="74" t="s">
        <v>321</v>
      </c>
      <c r="C4857" s="74" t="s">
        <v>1541</v>
      </c>
      <c r="D4857" s="74" t="s">
        <v>86</v>
      </c>
      <c r="E4857" s="74">
        <v>1</v>
      </c>
      <c r="F4857" s="74">
        <v>3.95</v>
      </c>
      <c r="G4857" s="758">
        <f t="shared" si="300"/>
        <v>0</v>
      </c>
      <c r="H4857" s="759">
        <f t="shared" si="301"/>
        <v>0</v>
      </c>
      <c r="I4857" s="758">
        <f t="shared" si="302"/>
        <v>3.95</v>
      </c>
      <c r="J4857" s="760">
        <f t="shared" si="303"/>
        <v>1</v>
      </c>
    </row>
    <row r="4858" spans="1:10">
      <c r="A4858" s="74" t="s">
        <v>910</v>
      </c>
      <c r="B4858" s="74" t="s">
        <v>321</v>
      </c>
      <c r="C4858" s="74" t="s">
        <v>1605</v>
      </c>
      <c r="D4858" s="74" t="s">
        <v>87</v>
      </c>
      <c r="E4858" s="74">
        <v>1</v>
      </c>
      <c r="F4858" s="74">
        <v>4.05</v>
      </c>
      <c r="G4858" s="758">
        <f t="shared" si="300"/>
        <v>0</v>
      </c>
      <c r="H4858" s="759">
        <f t="shared" si="301"/>
        <v>0</v>
      </c>
      <c r="I4858" s="758">
        <f t="shared" si="302"/>
        <v>4.05</v>
      </c>
      <c r="J4858" s="760">
        <f t="shared" si="303"/>
        <v>1</v>
      </c>
    </row>
    <row r="4859" spans="1:10">
      <c r="A4859" s="74" t="s">
        <v>910</v>
      </c>
      <c r="B4859" s="74" t="s">
        <v>321</v>
      </c>
      <c r="C4859" s="74" t="s">
        <v>1610</v>
      </c>
      <c r="D4859" s="74" t="s">
        <v>89</v>
      </c>
      <c r="E4859" s="74">
        <v>3</v>
      </c>
      <c r="F4859" s="74">
        <v>11.95</v>
      </c>
      <c r="G4859" s="758">
        <f t="shared" si="300"/>
        <v>0</v>
      </c>
      <c r="H4859" s="759">
        <f t="shared" si="301"/>
        <v>0</v>
      </c>
      <c r="I4859" s="758">
        <f t="shared" si="302"/>
        <v>3.9833333333333329</v>
      </c>
      <c r="J4859" s="760">
        <f t="shared" si="303"/>
        <v>1</v>
      </c>
    </row>
    <row r="4860" spans="1:10">
      <c r="A4860" s="74" t="s">
        <v>910</v>
      </c>
      <c r="B4860" s="74" t="s">
        <v>321</v>
      </c>
      <c r="C4860" s="74" t="s">
        <v>1546</v>
      </c>
      <c r="D4860" s="74" t="s">
        <v>89</v>
      </c>
      <c r="E4860" s="74">
        <v>1</v>
      </c>
      <c r="F4860" s="74">
        <v>3.95</v>
      </c>
      <c r="G4860" s="758">
        <f t="shared" si="300"/>
        <v>0</v>
      </c>
      <c r="H4860" s="759">
        <f t="shared" si="301"/>
        <v>0</v>
      </c>
      <c r="I4860" s="758">
        <f t="shared" si="302"/>
        <v>3.95</v>
      </c>
      <c r="J4860" s="760">
        <f t="shared" si="303"/>
        <v>1</v>
      </c>
    </row>
    <row r="4861" spans="1:10">
      <c r="A4861" s="74" t="s">
        <v>910</v>
      </c>
      <c r="B4861" s="74" t="s">
        <v>321</v>
      </c>
      <c r="C4861" s="74" t="s">
        <v>1522</v>
      </c>
      <c r="D4861" s="74" t="s">
        <v>91</v>
      </c>
      <c r="E4861" s="74">
        <v>1</v>
      </c>
      <c r="F4861" s="74">
        <v>3.95</v>
      </c>
      <c r="G4861" s="758">
        <f t="shared" si="300"/>
        <v>0</v>
      </c>
      <c r="H4861" s="759">
        <f t="shared" si="301"/>
        <v>0</v>
      </c>
      <c r="I4861" s="758">
        <f t="shared" si="302"/>
        <v>3.95</v>
      </c>
      <c r="J4861" s="760">
        <f t="shared" si="303"/>
        <v>1</v>
      </c>
    </row>
    <row r="4862" spans="1:10">
      <c r="A4862" s="74" t="s">
        <v>910</v>
      </c>
      <c r="B4862" s="74" t="s">
        <v>321</v>
      </c>
      <c r="C4862" s="74" t="s">
        <v>1675</v>
      </c>
      <c r="D4862" s="74" t="s">
        <v>91</v>
      </c>
      <c r="E4862" s="74">
        <v>1</v>
      </c>
      <c r="F4862" s="74">
        <v>3.95</v>
      </c>
      <c r="G4862" s="758">
        <f t="shared" si="300"/>
        <v>0</v>
      </c>
      <c r="H4862" s="759">
        <f t="shared" si="301"/>
        <v>0</v>
      </c>
      <c r="I4862" s="758">
        <f t="shared" si="302"/>
        <v>3.95</v>
      </c>
      <c r="J4862" s="760">
        <f t="shared" si="303"/>
        <v>1</v>
      </c>
    </row>
    <row r="4863" spans="1:10">
      <c r="A4863" s="74" t="s">
        <v>910</v>
      </c>
      <c r="B4863" s="74" t="s">
        <v>321</v>
      </c>
      <c r="C4863" s="74" t="s">
        <v>1631</v>
      </c>
      <c r="D4863" s="74" t="s">
        <v>92</v>
      </c>
      <c r="E4863" s="74">
        <v>1</v>
      </c>
      <c r="F4863" s="74">
        <v>4.05</v>
      </c>
      <c r="G4863" s="758">
        <f t="shared" si="300"/>
        <v>0</v>
      </c>
      <c r="H4863" s="759">
        <f t="shared" si="301"/>
        <v>0</v>
      </c>
      <c r="I4863" s="758">
        <f t="shared" si="302"/>
        <v>4.05</v>
      </c>
      <c r="J4863" s="760">
        <f t="shared" si="303"/>
        <v>1</v>
      </c>
    </row>
    <row r="4864" spans="1:10">
      <c r="A4864" s="74" t="s">
        <v>910</v>
      </c>
      <c r="B4864" s="74" t="s">
        <v>321</v>
      </c>
      <c r="C4864" s="74" t="s">
        <v>1617</v>
      </c>
      <c r="D4864" s="74" t="s">
        <v>94</v>
      </c>
      <c r="E4864" s="74">
        <v>1</v>
      </c>
      <c r="F4864" s="74">
        <v>3.95</v>
      </c>
      <c r="G4864" s="758">
        <f t="shared" si="300"/>
        <v>0</v>
      </c>
      <c r="H4864" s="759">
        <f t="shared" si="301"/>
        <v>0</v>
      </c>
      <c r="I4864" s="758">
        <f t="shared" si="302"/>
        <v>3.95</v>
      </c>
      <c r="J4864" s="760">
        <f t="shared" si="303"/>
        <v>1</v>
      </c>
    </row>
    <row r="4865" spans="1:10">
      <c r="A4865" s="74" t="s">
        <v>910</v>
      </c>
      <c r="B4865" s="74" t="s">
        <v>321</v>
      </c>
      <c r="C4865" s="74" t="s">
        <v>1557</v>
      </c>
      <c r="D4865" s="74" t="s">
        <v>95</v>
      </c>
      <c r="E4865" s="74">
        <v>1</v>
      </c>
      <c r="F4865" s="74">
        <v>4.05</v>
      </c>
      <c r="G4865" s="758">
        <f t="shared" si="300"/>
        <v>0</v>
      </c>
      <c r="H4865" s="759">
        <f t="shared" si="301"/>
        <v>0</v>
      </c>
      <c r="I4865" s="758">
        <f t="shared" si="302"/>
        <v>4.05</v>
      </c>
      <c r="J4865" s="760">
        <f t="shared" si="303"/>
        <v>1</v>
      </c>
    </row>
    <row r="4866" spans="1:10">
      <c r="A4866" s="74" t="s">
        <v>910</v>
      </c>
      <c r="B4866" s="74" t="s">
        <v>321</v>
      </c>
      <c r="C4866" s="74" t="s">
        <v>1526</v>
      </c>
      <c r="D4866" s="74" t="s">
        <v>95</v>
      </c>
      <c r="E4866" s="74">
        <v>1</v>
      </c>
      <c r="F4866" s="74">
        <v>4.05</v>
      </c>
      <c r="G4866" s="758">
        <f t="shared" ref="G4866:G4929" si="304">IFERROR(VLOOKUP(A4866,$M$1:$P$1014,2,FALSE),0)</f>
        <v>0</v>
      </c>
      <c r="H4866" s="759">
        <f t="shared" ref="H4866:H4929" si="305">IFERROR(VLOOKUP(A4866,$M$1:$P$1014,3,FALSE),0)</f>
        <v>0</v>
      </c>
      <c r="I4866" s="758">
        <f t="shared" ref="I4866:I4929" si="306">IFERROR(F4866/E4866-G4866,0)</f>
        <v>4.05</v>
      </c>
      <c r="J4866" s="760">
        <f t="shared" ref="J4866:J4929" si="307">IFERROR(1-G4866*E4866/F4866,0)</f>
        <v>1</v>
      </c>
    </row>
    <row r="4867" spans="1:10">
      <c r="A4867" s="74" t="s">
        <v>694</v>
      </c>
      <c r="B4867" s="74" t="s">
        <v>695</v>
      </c>
      <c r="C4867" s="74" t="s">
        <v>1528</v>
      </c>
      <c r="D4867" s="74" t="s">
        <v>78</v>
      </c>
      <c r="E4867" s="74">
        <v>8</v>
      </c>
      <c r="F4867" s="74">
        <v>30.21</v>
      </c>
      <c r="G4867" s="758">
        <f t="shared" si="304"/>
        <v>0.67</v>
      </c>
      <c r="H4867" s="759">
        <f t="shared" si="305"/>
        <v>0.23</v>
      </c>
      <c r="I4867" s="758">
        <f t="shared" si="306"/>
        <v>3.1062500000000002</v>
      </c>
      <c r="J4867" s="760">
        <f t="shared" si="307"/>
        <v>0.8225753061900033</v>
      </c>
    </row>
    <row r="4868" spans="1:10">
      <c r="A4868" s="74" t="s">
        <v>694</v>
      </c>
      <c r="B4868" s="74" t="s">
        <v>695</v>
      </c>
      <c r="C4868" s="74" t="s">
        <v>1508</v>
      </c>
      <c r="D4868" s="74" t="s">
        <v>78</v>
      </c>
      <c r="E4868" s="74">
        <v>13</v>
      </c>
      <c r="F4868" s="74">
        <v>50.05</v>
      </c>
      <c r="G4868" s="758">
        <f t="shared" si="304"/>
        <v>0.67</v>
      </c>
      <c r="H4868" s="759">
        <f t="shared" si="305"/>
        <v>0.23</v>
      </c>
      <c r="I4868" s="758">
        <f t="shared" si="306"/>
        <v>3.1799999999999997</v>
      </c>
      <c r="J4868" s="760">
        <f t="shared" si="307"/>
        <v>0.82597402597402592</v>
      </c>
    </row>
    <row r="4869" spans="1:10">
      <c r="A4869" s="74" t="s">
        <v>694</v>
      </c>
      <c r="B4869" s="74" t="s">
        <v>695</v>
      </c>
      <c r="C4869" s="74" t="s">
        <v>1509</v>
      </c>
      <c r="D4869" s="74" t="s">
        <v>78</v>
      </c>
      <c r="E4869" s="74">
        <v>6</v>
      </c>
      <c r="F4869" s="74">
        <v>22.55</v>
      </c>
      <c r="G4869" s="758">
        <f t="shared" si="304"/>
        <v>0.67</v>
      </c>
      <c r="H4869" s="759">
        <f t="shared" si="305"/>
        <v>0.23</v>
      </c>
      <c r="I4869" s="758">
        <f t="shared" si="306"/>
        <v>3.0883333333333334</v>
      </c>
      <c r="J4869" s="760">
        <f t="shared" si="307"/>
        <v>0.82172949002217299</v>
      </c>
    </row>
    <row r="4870" spans="1:10">
      <c r="A4870" s="74" t="s">
        <v>694</v>
      </c>
      <c r="B4870" s="74" t="s">
        <v>695</v>
      </c>
      <c r="C4870" s="74" t="s">
        <v>1565</v>
      </c>
      <c r="D4870" s="74" t="s">
        <v>78</v>
      </c>
      <c r="E4870" s="74">
        <v>9</v>
      </c>
      <c r="F4870" s="74">
        <v>34.409999999999997</v>
      </c>
      <c r="G4870" s="758">
        <f t="shared" si="304"/>
        <v>0.67</v>
      </c>
      <c r="H4870" s="759">
        <f t="shared" si="305"/>
        <v>0.23</v>
      </c>
      <c r="I4870" s="758">
        <f t="shared" si="306"/>
        <v>3.1533333333333329</v>
      </c>
      <c r="J4870" s="760">
        <f t="shared" si="307"/>
        <v>0.82476024411508275</v>
      </c>
    </row>
    <row r="4871" spans="1:10">
      <c r="A4871" s="74" t="s">
        <v>694</v>
      </c>
      <c r="B4871" s="74" t="s">
        <v>695</v>
      </c>
      <c r="C4871" s="74" t="s">
        <v>1530</v>
      </c>
      <c r="D4871" s="74" t="s">
        <v>80</v>
      </c>
      <c r="E4871" s="74">
        <v>8</v>
      </c>
      <c r="F4871" s="74">
        <v>30.11</v>
      </c>
      <c r="G4871" s="758">
        <f t="shared" si="304"/>
        <v>0.67</v>
      </c>
      <c r="H4871" s="759">
        <f t="shared" si="305"/>
        <v>0.23</v>
      </c>
      <c r="I4871" s="758">
        <f t="shared" si="306"/>
        <v>3.09375</v>
      </c>
      <c r="J4871" s="760">
        <f t="shared" si="307"/>
        <v>0.8219860511457987</v>
      </c>
    </row>
    <row r="4872" spans="1:10">
      <c r="A4872" s="74" t="s">
        <v>694</v>
      </c>
      <c r="B4872" s="74" t="s">
        <v>695</v>
      </c>
      <c r="C4872" s="74" t="s">
        <v>1532</v>
      </c>
      <c r="D4872" s="74" t="s">
        <v>80</v>
      </c>
      <c r="E4872" s="74">
        <v>11</v>
      </c>
      <c r="F4872" s="74">
        <v>42.21</v>
      </c>
      <c r="G4872" s="758">
        <f t="shared" si="304"/>
        <v>0.67</v>
      </c>
      <c r="H4872" s="759">
        <f t="shared" si="305"/>
        <v>0.23</v>
      </c>
      <c r="I4872" s="758">
        <f t="shared" si="306"/>
        <v>3.1672727272727275</v>
      </c>
      <c r="J4872" s="760">
        <f t="shared" si="307"/>
        <v>0.82539682539682535</v>
      </c>
    </row>
    <row r="4873" spans="1:10">
      <c r="A4873" s="74" t="s">
        <v>694</v>
      </c>
      <c r="B4873" s="74" t="s">
        <v>695</v>
      </c>
      <c r="C4873" s="74" t="s">
        <v>1511</v>
      </c>
      <c r="D4873" s="74" t="s">
        <v>80</v>
      </c>
      <c r="E4873" s="74">
        <v>7</v>
      </c>
      <c r="F4873" s="74">
        <v>27.26</v>
      </c>
      <c r="G4873" s="758">
        <f t="shared" si="304"/>
        <v>0.67</v>
      </c>
      <c r="H4873" s="759">
        <f t="shared" si="305"/>
        <v>0.23</v>
      </c>
      <c r="I4873" s="758">
        <f t="shared" si="306"/>
        <v>3.2242857142857146</v>
      </c>
      <c r="J4873" s="760">
        <f t="shared" si="307"/>
        <v>0.8279530447542186</v>
      </c>
    </row>
    <row r="4874" spans="1:10">
      <c r="A4874" s="74" t="s">
        <v>694</v>
      </c>
      <c r="B4874" s="74" t="s">
        <v>695</v>
      </c>
      <c r="C4874" s="74" t="s">
        <v>1512</v>
      </c>
      <c r="D4874" s="74" t="s">
        <v>80</v>
      </c>
      <c r="E4874" s="74">
        <v>12</v>
      </c>
      <c r="F4874" s="74">
        <v>46.32</v>
      </c>
      <c r="G4874" s="758">
        <f t="shared" si="304"/>
        <v>0.67</v>
      </c>
      <c r="H4874" s="759">
        <f t="shared" si="305"/>
        <v>0.23</v>
      </c>
      <c r="I4874" s="758">
        <f t="shared" si="306"/>
        <v>3.19</v>
      </c>
      <c r="J4874" s="760">
        <f t="shared" si="307"/>
        <v>0.82642487046632129</v>
      </c>
    </row>
    <row r="4875" spans="1:10">
      <c r="A4875" s="74" t="s">
        <v>694</v>
      </c>
      <c r="B4875" s="74" t="s">
        <v>695</v>
      </c>
      <c r="C4875" s="74" t="s">
        <v>1534</v>
      </c>
      <c r="D4875" s="74" t="s">
        <v>81</v>
      </c>
      <c r="E4875" s="74">
        <v>4</v>
      </c>
      <c r="F4875" s="74">
        <v>16.350000000000001</v>
      </c>
      <c r="G4875" s="758">
        <f t="shared" si="304"/>
        <v>0.67</v>
      </c>
      <c r="H4875" s="759">
        <f t="shared" si="305"/>
        <v>0.23</v>
      </c>
      <c r="I4875" s="758">
        <f t="shared" si="306"/>
        <v>3.4175000000000004</v>
      </c>
      <c r="J4875" s="760">
        <f t="shared" si="307"/>
        <v>0.83608562691131505</v>
      </c>
    </row>
    <row r="4876" spans="1:10">
      <c r="A4876" s="74" t="s">
        <v>694</v>
      </c>
      <c r="B4876" s="74" t="s">
        <v>695</v>
      </c>
      <c r="C4876" s="74" t="s">
        <v>1513</v>
      </c>
      <c r="D4876" s="74" t="s">
        <v>81</v>
      </c>
      <c r="E4876" s="74">
        <v>15</v>
      </c>
      <c r="F4876" s="74">
        <v>57.27</v>
      </c>
      <c r="G4876" s="758">
        <f t="shared" si="304"/>
        <v>0.67</v>
      </c>
      <c r="H4876" s="759">
        <f t="shared" si="305"/>
        <v>0.23</v>
      </c>
      <c r="I4876" s="758">
        <f t="shared" si="306"/>
        <v>3.1480000000000001</v>
      </c>
      <c r="J4876" s="760">
        <f t="shared" si="307"/>
        <v>0.82451545311681507</v>
      </c>
    </row>
    <row r="4877" spans="1:10">
      <c r="A4877" s="74" t="s">
        <v>694</v>
      </c>
      <c r="B4877" s="74" t="s">
        <v>695</v>
      </c>
      <c r="C4877" s="74" t="s">
        <v>1514</v>
      </c>
      <c r="D4877" s="74" t="s">
        <v>81</v>
      </c>
      <c r="E4877" s="74">
        <v>9</v>
      </c>
      <c r="F4877" s="74">
        <v>35.68</v>
      </c>
      <c r="G4877" s="758">
        <f t="shared" si="304"/>
        <v>0.67</v>
      </c>
      <c r="H4877" s="759">
        <f t="shared" si="305"/>
        <v>0.23</v>
      </c>
      <c r="I4877" s="758">
        <f t="shared" si="306"/>
        <v>3.2944444444444443</v>
      </c>
      <c r="J4877" s="760">
        <f t="shared" si="307"/>
        <v>0.8309977578475336</v>
      </c>
    </row>
    <row r="4878" spans="1:10">
      <c r="A4878" s="74" t="s">
        <v>694</v>
      </c>
      <c r="B4878" s="74" t="s">
        <v>695</v>
      </c>
      <c r="C4878" s="74" t="s">
        <v>1515</v>
      </c>
      <c r="D4878" s="74" t="s">
        <v>81</v>
      </c>
      <c r="E4878" s="74">
        <v>6</v>
      </c>
      <c r="F4878" s="74">
        <v>23.49</v>
      </c>
      <c r="G4878" s="758">
        <f t="shared" si="304"/>
        <v>0.67</v>
      </c>
      <c r="H4878" s="759">
        <f t="shared" si="305"/>
        <v>0.23</v>
      </c>
      <c r="I4878" s="758">
        <f t="shared" si="306"/>
        <v>3.2449999999999997</v>
      </c>
      <c r="J4878" s="760">
        <f t="shared" si="307"/>
        <v>0.82886334610472545</v>
      </c>
    </row>
    <row r="4879" spans="1:10">
      <c r="A4879" s="74" t="s">
        <v>694</v>
      </c>
      <c r="B4879" s="74" t="s">
        <v>695</v>
      </c>
      <c r="C4879" s="74" t="s">
        <v>1516</v>
      </c>
      <c r="D4879" s="74" t="s">
        <v>82</v>
      </c>
      <c r="E4879" s="74">
        <v>2</v>
      </c>
      <c r="F4879" s="74">
        <v>7.95</v>
      </c>
      <c r="G4879" s="758">
        <f t="shared" si="304"/>
        <v>0.67</v>
      </c>
      <c r="H4879" s="759">
        <f t="shared" si="305"/>
        <v>0.23</v>
      </c>
      <c r="I4879" s="758">
        <f t="shared" si="306"/>
        <v>3.3050000000000002</v>
      </c>
      <c r="J4879" s="760">
        <f t="shared" si="307"/>
        <v>0.83144654088050318</v>
      </c>
    </row>
    <row r="4880" spans="1:10">
      <c r="A4880" s="74" t="s">
        <v>694</v>
      </c>
      <c r="B4880" s="74" t="s">
        <v>695</v>
      </c>
      <c r="C4880" s="74" t="s">
        <v>1517</v>
      </c>
      <c r="D4880" s="74" t="s">
        <v>82</v>
      </c>
      <c r="E4880" s="74">
        <v>2</v>
      </c>
      <c r="F4880" s="74">
        <v>7.95</v>
      </c>
      <c r="G4880" s="758">
        <f t="shared" si="304"/>
        <v>0.67</v>
      </c>
      <c r="H4880" s="759">
        <f t="shared" si="305"/>
        <v>0.23</v>
      </c>
      <c r="I4880" s="758">
        <f t="shared" si="306"/>
        <v>3.3050000000000002</v>
      </c>
      <c r="J4880" s="760">
        <f t="shared" si="307"/>
        <v>0.83144654088050318</v>
      </c>
    </row>
    <row r="4881" spans="1:10">
      <c r="A4881" s="74" t="s">
        <v>694</v>
      </c>
      <c r="B4881" s="74" t="s">
        <v>695</v>
      </c>
      <c r="C4881" s="74" t="s">
        <v>1527</v>
      </c>
      <c r="D4881" s="74" t="s">
        <v>82</v>
      </c>
      <c r="E4881" s="74">
        <v>7</v>
      </c>
      <c r="F4881" s="74">
        <v>27.85</v>
      </c>
      <c r="G4881" s="758">
        <f t="shared" si="304"/>
        <v>0.67</v>
      </c>
      <c r="H4881" s="759">
        <f t="shared" si="305"/>
        <v>0.23</v>
      </c>
      <c r="I4881" s="758">
        <f t="shared" si="306"/>
        <v>3.3085714285714287</v>
      </c>
      <c r="J4881" s="760">
        <f t="shared" si="307"/>
        <v>0.83159784560143624</v>
      </c>
    </row>
    <row r="4882" spans="1:10">
      <c r="A4882" s="74" t="s">
        <v>694</v>
      </c>
      <c r="B4882" s="74" t="s">
        <v>695</v>
      </c>
      <c r="C4882" s="74" t="s">
        <v>1518</v>
      </c>
      <c r="D4882" s="74" t="s">
        <v>82</v>
      </c>
      <c r="E4882" s="74">
        <v>1</v>
      </c>
      <c r="F4882" s="74">
        <v>4</v>
      </c>
      <c r="G4882" s="758">
        <f t="shared" si="304"/>
        <v>0.67</v>
      </c>
      <c r="H4882" s="759">
        <f t="shared" si="305"/>
        <v>0.23</v>
      </c>
      <c r="I4882" s="758">
        <f t="shared" si="306"/>
        <v>3.33</v>
      </c>
      <c r="J4882" s="760">
        <f t="shared" si="307"/>
        <v>0.83250000000000002</v>
      </c>
    </row>
    <row r="4883" spans="1:10">
      <c r="A4883" s="74" t="s">
        <v>694</v>
      </c>
      <c r="B4883" s="74" t="s">
        <v>695</v>
      </c>
      <c r="C4883" s="74" t="s">
        <v>1520</v>
      </c>
      <c r="D4883" s="74" t="s">
        <v>84</v>
      </c>
      <c r="E4883" s="74">
        <v>1</v>
      </c>
      <c r="F4883" s="74">
        <v>3.95</v>
      </c>
      <c r="G4883" s="758">
        <f t="shared" si="304"/>
        <v>0.67</v>
      </c>
      <c r="H4883" s="759">
        <f t="shared" si="305"/>
        <v>0.23</v>
      </c>
      <c r="I4883" s="758">
        <f t="shared" si="306"/>
        <v>3.2800000000000002</v>
      </c>
      <c r="J4883" s="760">
        <f t="shared" si="307"/>
        <v>0.83037974683544302</v>
      </c>
    </row>
    <row r="4884" spans="1:10">
      <c r="A4884" s="74" t="s">
        <v>694</v>
      </c>
      <c r="B4884" s="74" t="s">
        <v>695</v>
      </c>
      <c r="C4884" s="74" t="s">
        <v>1577</v>
      </c>
      <c r="D4884" s="74" t="s">
        <v>84</v>
      </c>
      <c r="E4884" s="74">
        <v>1</v>
      </c>
      <c r="F4884" s="74">
        <v>3.95</v>
      </c>
      <c r="G4884" s="758">
        <f t="shared" si="304"/>
        <v>0.67</v>
      </c>
      <c r="H4884" s="759">
        <f t="shared" si="305"/>
        <v>0.23</v>
      </c>
      <c r="I4884" s="758">
        <f t="shared" si="306"/>
        <v>3.2800000000000002</v>
      </c>
      <c r="J4884" s="760">
        <f t="shared" si="307"/>
        <v>0.83037974683544302</v>
      </c>
    </row>
    <row r="4885" spans="1:10">
      <c r="A4885" s="74" t="s">
        <v>694</v>
      </c>
      <c r="B4885" s="74" t="s">
        <v>695</v>
      </c>
      <c r="C4885" s="74" t="s">
        <v>1644</v>
      </c>
      <c r="D4885" s="74" t="s">
        <v>86</v>
      </c>
      <c r="E4885" s="74">
        <v>1</v>
      </c>
      <c r="F4885" s="74">
        <v>3.95</v>
      </c>
      <c r="G4885" s="758">
        <f t="shared" si="304"/>
        <v>0.67</v>
      </c>
      <c r="H4885" s="759">
        <f t="shared" si="305"/>
        <v>0.23</v>
      </c>
      <c r="I4885" s="758">
        <f t="shared" si="306"/>
        <v>3.2800000000000002</v>
      </c>
      <c r="J4885" s="760">
        <f t="shared" si="307"/>
        <v>0.83037974683544302</v>
      </c>
    </row>
    <row r="4886" spans="1:10">
      <c r="A4886" s="74" t="s">
        <v>694</v>
      </c>
      <c r="B4886" s="74" t="s">
        <v>695</v>
      </c>
      <c r="C4886" s="74" t="s">
        <v>1578</v>
      </c>
      <c r="D4886" s="74" t="s">
        <v>86</v>
      </c>
      <c r="E4886" s="74">
        <v>3</v>
      </c>
      <c r="F4886" s="74">
        <v>11.95</v>
      </c>
      <c r="G4886" s="758">
        <f t="shared" si="304"/>
        <v>0.67</v>
      </c>
      <c r="H4886" s="759">
        <f t="shared" si="305"/>
        <v>0.23</v>
      </c>
      <c r="I4886" s="758">
        <f t="shared" si="306"/>
        <v>3.313333333333333</v>
      </c>
      <c r="J4886" s="760">
        <f t="shared" si="307"/>
        <v>0.83179916317991631</v>
      </c>
    </row>
    <row r="4887" spans="1:10">
      <c r="A4887" s="74" t="s">
        <v>694</v>
      </c>
      <c r="B4887" s="74" t="s">
        <v>695</v>
      </c>
      <c r="C4887" s="74" t="s">
        <v>1646</v>
      </c>
      <c r="D4887" s="74" t="s">
        <v>86</v>
      </c>
      <c r="E4887" s="74">
        <v>1</v>
      </c>
      <c r="F4887" s="74">
        <v>3.95</v>
      </c>
      <c r="G4887" s="758">
        <f t="shared" si="304"/>
        <v>0.67</v>
      </c>
      <c r="H4887" s="759">
        <f t="shared" si="305"/>
        <v>0.23</v>
      </c>
      <c r="I4887" s="758">
        <f t="shared" si="306"/>
        <v>3.2800000000000002</v>
      </c>
      <c r="J4887" s="760">
        <f t="shared" si="307"/>
        <v>0.83037974683544302</v>
      </c>
    </row>
    <row r="4888" spans="1:10">
      <c r="A4888" s="74" t="s">
        <v>694</v>
      </c>
      <c r="B4888" s="74" t="s">
        <v>695</v>
      </c>
      <c r="C4888" s="74" t="s">
        <v>1544</v>
      </c>
      <c r="D4888" s="74" t="s">
        <v>87</v>
      </c>
      <c r="E4888" s="74">
        <v>1</v>
      </c>
      <c r="F4888" s="74">
        <v>4</v>
      </c>
      <c r="G4888" s="758">
        <f t="shared" si="304"/>
        <v>0.67</v>
      </c>
      <c r="H4888" s="759">
        <f t="shared" si="305"/>
        <v>0.23</v>
      </c>
      <c r="I4888" s="758">
        <f t="shared" si="306"/>
        <v>3.33</v>
      </c>
      <c r="J4888" s="760">
        <f t="shared" si="307"/>
        <v>0.83250000000000002</v>
      </c>
    </row>
    <row r="4889" spans="1:10">
      <c r="A4889" s="74" t="s">
        <v>694</v>
      </c>
      <c r="B4889" s="74" t="s">
        <v>695</v>
      </c>
      <c r="C4889" s="74" t="s">
        <v>1605</v>
      </c>
      <c r="D4889" s="74" t="s">
        <v>87</v>
      </c>
      <c r="E4889" s="74">
        <v>1</v>
      </c>
      <c r="F4889" s="74">
        <v>4</v>
      </c>
      <c r="G4889" s="758">
        <f t="shared" si="304"/>
        <v>0.67</v>
      </c>
      <c r="H4889" s="759">
        <f t="shared" si="305"/>
        <v>0.23</v>
      </c>
      <c r="I4889" s="758">
        <f t="shared" si="306"/>
        <v>3.33</v>
      </c>
      <c r="J4889" s="760">
        <f t="shared" si="307"/>
        <v>0.83250000000000002</v>
      </c>
    </row>
    <row r="4890" spans="1:10">
      <c r="A4890" s="74" t="s">
        <v>694</v>
      </c>
      <c r="B4890" s="74" t="s">
        <v>695</v>
      </c>
      <c r="C4890" s="74" t="s">
        <v>1608</v>
      </c>
      <c r="D4890" s="74" t="s">
        <v>89</v>
      </c>
      <c r="E4890" s="74">
        <v>2</v>
      </c>
      <c r="F4890" s="74">
        <v>7.95</v>
      </c>
      <c r="G4890" s="758">
        <f t="shared" si="304"/>
        <v>0.67</v>
      </c>
      <c r="H4890" s="759">
        <f t="shared" si="305"/>
        <v>0.23</v>
      </c>
      <c r="I4890" s="758">
        <f t="shared" si="306"/>
        <v>3.3050000000000002</v>
      </c>
      <c r="J4890" s="760">
        <f t="shared" si="307"/>
        <v>0.83144654088050318</v>
      </c>
    </row>
    <row r="4891" spans="1:10">
      <c r="A4891" s="74" t="s">
        <v>694</v>
      </c>
      <c r="B4891" s="74" t="s">
        <v>695</v>
      </c>
      <c r="C4891" s="74" t="s">
        <v>1675</v>
      </c>
      <c r="D4891" s="74" t="s">
        <v>91</v>
      </c>
      <c r="E4891" s="74">
        <v>1</v>
      </c>
      <c r="F4891" s="74">
        <v>3.95</v>
      </c>
      <c r="G4891" s="758">
        <f t="shared" si="304"/>
        <v>0.67</v>
      </c>
      <c r="H4891" s="759">
        <f t="shared" si="305"/>
        <v>0.23</v>
      </c>
      <c r="I4891" s="758">
        <f t="shared" si="306"/>
        <v>3.2800000000000002</v>
      </c>
      <c r="J4891" s="760">
        <f t="shared" si="307"/>
        <v>0.83037974683544302</v>
      </c>
    </row>
    <row r="4892" spans="1:10">
      <c r="A4892" s="74" t="s">
        <v>694</v>
      </c>
      <c r="B4892" s="74" t="s">
        <v>695</v>
      </c>
      <c r="C4892" s="74" t="s">
        <v>1584</v>
      </c>
      <c r="D4892" s="74" t="s">
        <v>92</v>
      </c>
      <c r="E4892" s="74">
        <v>1</v>
      </c>
      <c r="F4892" s="74">
        <v>4</v>
      </c>
      <c r="G4892" s="758">
        <f t="shared" si="304"/>
        <v>0.67</v>
      </c>
      <c r="H4892" s="759">
        <f t="shared" si="305"/>
        <v>0.23</v>
      </c>
      <c r="I4892" s="758">
        <f t="shared" si="306"/>
        <v>3.33</v>
      </c>
      <c r="J4892" s="760">
        <f t="shared" si="307"/>
        <v>0.83250000000000002</v>
      </c>
    </row>
    <row r="4893" spans="1:10">
      <c r="A4893" s="74" t="s">
        <v>694</v>
      </c>
      <c r="B4893" s="74" t="s">
        <v>695</v>
      </c>
      <c r="C4893" s="74" t="s">
        <v>1552</v>
      </c>
      <c r="D4893" s="74" t="s">
        <v>92</v>
      </c>
      <c r="E4893" s="74">
        <v>1</v>
      </c>
      <c r="F4893" s="74">
        <v>4</v>
      </c>
      <c r="G4893" s="758">
        <f t="shared" si="304"/>
        <v>0.67</v>
      </c>
      <c r="H4893" s="759">
        <f t="shared" si="305"/>
        <v>0.23</v>
      </c>
      <c r="I4893" s="758">
        <f t="shared" si="306"/>
        <v>3.33</v>
      </c>
      <c r="J4893" s="760">
        <f t="shared" si="307"/>
        <v>0.83250000000000002</v>
      </c>
    </row>
    <row r="4894" spans="1:10">
      <c r="A4894" s="74" t="s">
        <v>694</v>
      </c>
      <c r="B4894" s="74" t="s">
        <v>695</v>
      </c>
      <c r="C4894" s="74" t="s">
        <v>1557</v>
      </c>
      <c r="D4894" s="74" t="s">
        <v>95</v>
      </c>
      <c r="E4894" s="74">
        <v>1</v>
      </c>
      <c r="F4894" s="74">
        <v>3.95</v>
      </c>
      <c r="G4894" s="758">
        <f t="shared" si="304"/>
        <v>0.67</v>
      </c>
      <c r="H4894" s="759">
        <f t="shared" si="305"/>
        <v>0.23</v>
      </c>
      <c r="I4894" s="758">
        <f t="shared" si="306"/>
        <v>3.2800000000000002</v>
      </c>
      <c r="J4894" s="760">
        <f t="shared" si="307"/>
        <v>0.83037974683544302</v>
      </c>
    </row>
    <row r="4895" spans="1:10">
      <c r="A4895" s="74" t="s">
        <v>694</v>
      </c>
      <c r="B4895" s="74" t="s">
        <v>695</v>
      </c>
      <c r="C4895" s="74" t="s">
        <v>1526</v>
      </c>
      <c r="D4895" s="74" t="s">
        <v>95</v>
      </c>
      <c r="E4895" s="74">
        <v>1</v>
      </c>
      <c r="F4895" s="74">
        <v>4</v>
      </c>
      <c r="G4895" s="758">
        <f t="shared" si="304"/>
        <v>0.67</v>
      </c>
      <c r="H4895" s="759">
        <f t="shared" si="305"/>
        <v>0.23</v>
      </c>
      <c r="I4895" s="758">
        <f t="shared" si="306"/>
        <v>3.33</v>
      </c>
      <c r="J4895" s="760">
        <f t="shared" si="307"/>
        <v>0.83250000000000002</v>
      </c>
    </row>
    <row r="4896" spans="1:10">
      <c r="A4896" s="74" t="s">
        <v>694</v>
      </c>
      <c r="B4896" s="74" t="s">
        <v>695</v>
      </c>
      <c r="C4896" s="74" t="s">
        <v>1930</v>
      </c>
      <c r="D4896" s="74" t="s">
        <v>95</v>
      </c>
      <c r="E4896" s="74">
        <v>1</v>
      </c>
      <c r="F4896" s="74">
        <v>3.5</v>
      </c>
      <c r="G4896" s="758">
        <f t="shared" si="304"/>
        <v>0.67</v>
      </c>
      <c r="H4896" s="759">
        <f t="shared" si="305"/>
        <v>0.23</v>
      </c>
      <c r="I4896" s="758">
        <f t="shared" si="306"/>
        <v>2.83</v>
      </c>
      <c r="J4896" s="760">
        <f t="shared" si="307"/>
        <v>0.8085714285714285</v>
      </c>
    </row>
    <row r="4897" spans="1:10">
      <c r="A4897" s="74" t="s">
        <v>2054</v>
      </c>
      <c r="B4897" s="74" t="s">
        <v>321</v>
      </c>
      <c r="C4897" s="74" t="s">
        <v>1543</v>
      </c>
      <c r="D4897" s="74" t="s">
        <v>87</v>
      </c>
      <c r="E4897" s="74">
        <v>1</v>
      </c>
      <c r="F4897" s="74">
        <v>4</v>
      </c>
      <c r="G4897" s="758">
        <f t="shared" si="304"/>
        <v>0</v>
      </c>
      <c r="H4897" s="759">
        <f t="shared" si="305"/>
        <v>0</v>
      </c>
      <c r="I4897" s="758">
        <f t="shared" si="306"/>
        <v>4</v>
      </c>
      <c r="J4897" s="760">
        <f t="shared" si="307"/>
        <v>1</v>
      </c>
    </row>
    <row r="4898" spans="1:10">
      <c r="A4898" s="74" t="s">
        <v>751</v>
      </c>
      <c r="B4898" s="74" t="s">
        <v>256</v>
      </c>
      <c r="C4898" s="74" t="s">
        <v>1528</v>
      </c>
      <c r="D4898" s="74" t="s">
        <v>78</v>
      </c>
      <c r="E4898" s="74">
        <v>13</v>
      </c>
      <c r="F4898" s="74">
        <v>100.05</v>
      </c>
      <c r="G4898" s="758">
        <f t="shared" si="304"/>
        <v>0.76</v>
      </c>
      <c r="H4898" s="759">
        <f t="shared" si="305"/>
        <v>0.14000000000000001</v>
      </c>
      <c r="I4898" s="758">
        <f t="shared" si="306"/>
        <v>6.9361538461538466</v>
      </c>
      <c r="J4898" s="760">
        <f t="shared" si="307"/>
        <v>0.90124937531234384</v>
      </c>
    </row>
    <row r="4899" spans="1:10">
      <c r="A4899" s="74" t="s">
        <v>751</v>
      </c>
      <c r="B4899" s="74" t="s">
        <v>256</v>
      </c>
      <c r="C4899" s="74" t="s">
        <v>1508</v>
      </c>
      <c r="D4899" s="74" t="s">
        <v>78</v>
      </c>
      <c r="E4899" s="74">
        <v>9</v>
      </c>
      <c r="F4899" s="74">
        <v>66.06</v>
      </c>
      <c r="G4899" s="758">
        <f t="shared" si="304"/>
        <v>0.76</v>
      </c>
      <c r="H4899" s="759">
        <f t="shared" si="305"/>
        <v>0.14000000000000001</v>
      </c>
      <c r="I4899" s="758">
        <f t="shared" si="306"/>
        <v>6.58</v>
      </c>
      <c r="J4899" s="760">
        <f t="shared" si="307"/>
        <v>0.89645776566757496</v>
      </c>
    </row>
    <row r="4900" spans="1:10">
      <c r="A4900" s="74" t="s">
        <v>751</v>
      </c>
      <c r="B4900" s="74" t="s">
        <v>256</v>
      </c>
      <c r="C4900" s="74" t="s">
        <v>1509</v>
      </c>
      <c r="D4900" s="74" t="s">
        <v>78</v>
      </c>
      <c r="E4900" s="74">
        <v>11</v>
      </c>
      <c r="F4900" s="74">
        <v>86.18</v>
      </c>
      <c r="G4900" s="758">
        <f t="shared" si="304"/>
        <v>0.76</v>
      </c>
      <c r="H4900" s="759">
        <f t="shared" si="305"/>
        <v>0.14000000000000001</v>
      </c>
      <c r="I4900" s="758">
        <f t="shared" si="306"/>
        <v>7.0745454545454551</v>
      </c>
      <c r="J4900" s="760">
        <f t="shared" si="307"/>
        <v>0.90299373404502203</v>
      </c>
    </row>
    <row r="4901" spans="1:10">
      <c r="A4901" s="74" t="s">
        <v>751</v>
      </c>
      <c r="B4901" s="74" t="s">
        <v>256</v>
      </c>
      <c r="C4901" s="74" t="s">
        <v>1530</v>
      </c>
      <c r="D4901" s="74" t="s">
        <v>80</v>
      </c>
      <c r="E4901" s="74">
        <v>9</v>
      </c>
      <c r="F4901" s="74">
        <v>64.64</v>
      </c>
      <c r="G4901" s="758">
        <f t="shared" si="304"/>
        <v>0.76</v>
      </c>
      <c r="H4901" s="759">
        <f t="shared" si="305"/>
        <v>0.14000000000000001</v>
      </c>
      <c r="I4901" s="758">
        <f t="shared" si="306"/>
        <v>6.4222222222222225</v>
      </c>
      <c r="J4901" s="760">
        <f t="shared" si="307"/>
        <v>0.89418316831683164</v>
      </c>
    </row>
    <row r="4902" spans="1:10">
      <c r="A4902" s="74" t="s">
        <v>751</v>
      </c>
      <c r="B4902" s="74" t="s">
        <v>256</v>
      </c>
      <c r="C4902" s="74" t="s">
        <v>1532</v>
      </c>
      <c r="D4902" s="74" t="s">
        <v>80</v>
      </c>
      <c r="E4902" s="74">
        <v>19</v>
      </c>
      <c r="F4902" s="74">
        <v>96.24</v>
      </c>
      <c r="G4902" s="758">
        <f t="shared" si="304"/>
        <v>0.76</v>
      </c>
      <c r="H4902" s="759">
        <f t="shared" si="305"/>
        <v>0.14000000000000001</v>
      </c>
      <c r="I4902" s="758">
        <f t="shared" si="306"/>
        <v>4.3052631578947365</v>
      </c>
      <c r="J4902" s="760">
        <f t="shared" si="307"/>
        <v>0.84995843724023279</v>
      </c>
    </row>
    <row r="4903" spans="1:10">
      <c r="A4903" s="74" t="s">
        <v>751</v>
      </c>
      <c r="B4903" s="74" t="s">
        <v>256</v>
      </c>
      <c r="C4903" s="74" t="s">
        <v>1511</v>
      </c>
      <c r="D4903" s="74" t="s">
        <v>80</v>
      </c>
      <c r="E4903" s="74">
        <v>6</v>
      </c>
      <c r="F4903" s="74">
        <v>43.09</v>
      </c>
      <c r="G4903" s="758">
        <f t="shared" si="304"/>
        <v>0.76</v>
      </c>
      <c r="H4903" s="759">
        <f t="shared" si="305"/>
        <v>0.14000000000000001</v>
      </c>
      <c r="I4903" s="758">
        <f t="shared" si="306"/>
        <v>6.4216666666666677</v>
      </c>
      <c r="J4903" s="760">
        <f t="shared" si="307"/>
        <v>0.89417498259456951</v>
      </c>
    </row>
    <row r="4904" spans="1:10">
      <c r="A4904" s="74" t="s">
        <v>751</v>
      </c>
      <c r="B4904" s="74" t="s">
        <v>256</v>
      </c>
      <c r="C4904" s="74" t="s">
        <v>1512</v>
      </c>
      <c r="D4904" s="74" t="s">
        <v>80</v>
      </c>
      <c r="E4904" s="74">
        <v>14</v>
      </c>
      <c r="F4904" s="74">
        <v>105.55</v>
      </c>
      <c r="G4904" s="758">
        <f t="shared" si="304"/>
        <v>0.76</v>
      </c>
      <c r="H4904" s="759">
        <f t="shared" si="305"/>
        <v>0.14000000000000001</v>
      </c>
      <c r="I4904" s="758">
        <f t="shared" si="306"/>
        <v>6.7792857142857139</v>
      </c>
      <c r="J4904" s="760">
        <f t="shared" si="307"/>
        <v>0.89919469445760303</v>
      </c>
    </row>
    <row r="4905" spans="1:10">
      <c r="A4905" s="74" t="s">
        <v>751</v>
      </c>
      <c r="B4905" s="74" t="s">
        <v>256</v>
      </c>
      <c r="C4905" s="74" t="s">
        <v>1534</v>
      </c>
      <c r="D4905" s="74" t="s">
        <v>81</v>
      </c>
      <c r="E4905" s="74">
        <v>14</v>
      </c>
      <c r="F4905" s="74">
        <v>110.6</v>
      </c>
      <c r="G4905" s="758">
        <f t="shared" si="304"/>
        <v>0.76</v>
      </c>
      <c r="H4905" s="759">
        <f t="shared" si="305"/>
        <v>0.14000000000000001</v>
      </c>
      <c r="I4905" s="758">
        <f t="shared" si="306"/>
        <v>7.14</v>
      </c>
      <c r="J4905" s="760">
        <f t="shared" si="307"/>
        <v>0.90379746835443031</v>
      </c>
    </row>
    <row r="4906" spans="1:10">
      <c r="A4906" s="74" t="s">
        <v>751</v>
      </c>
      <c r="B4906" s="74" t="s">
        <v>256</v>
      </c>
      <c r="C4906" s="74" t="s">
        <v>1513</v>
      </c>
      <c r="D4906" s="74" t="s">
        <v>81</v>
      </c>
      <c r="E4906" s="74">
        <v>34</v>
      </c>
      <c r="F4906" s="74">
        <v>229.37</v>
      </c>
      <c r="G4906" s="758">
        <f t="shared" si="304"/>
        <v>0.76</v>
      </c>
      <c r="H4906" s="759">
        <f t="shared" si="305"/>
        <v>0.14000000000000001</v>
      </c>
      <c r="I4906" s="758">
        <f t="shared" si="306"/>
        <v>5.9861764705882354</v>
      </c>
      <c r="J4906" s="760">
        <f t="shared" si="307"/>
        <v>0.88734359332083534</v>
      </c>
    </row>
    <row r="4907" spans="1:10">
      <c r="A4907" s="74" t="s">
        <v>751</v>
      </c>
      <c r="B4907" s="74" t="s">
        <v>256</v>
      </c>
      <c r="C4907" s="74" t="s">
        <v>1514</v>
      </c>
      <c r="D4907" s="74" t="s">
        <v>81</v>
      </c>
      <c r="E4907" s="74">
        <v>11</v>
      </c>
      <c r="F4907" s="74">
        <v>79.42</v>
      </c>
      <c r="G4907" s="758">
        <f t="shared" si="304"/>
        <v>0.76</v>
      </c>
      <c r="H4907" s="759">
        <f t="shared" si="305"/>
        <v>0.14000000000000001</v>
      </c>
      <c r="I4907" s="758">
        <f t="shared" si="306"/>
        <v>6.46</v>
      </c>
      <c r="J4907" s="760">
        <f t="shared" si="307"/>
        <v>0.89473684210526316</v>
      </c>
    </row>
    <row r="4908" spans="1:10">
      <c r="A4908" s="74" t="s">
        <v>751</v>
      </c>
      <c r="B4908" s="74" t="s">
        <v>256</v>
      </c>
      <c r="C4908" s="74" t="s">
        <v>1515</v>
      </c>
      <c r="D4908" s="74" t="s">
        <v>81</v>
      </c>
      <c r="E4908" s="74">
        <v>5</v>
      </c>
      <c r="F4908" s="74">
        <v>36.14</v>
      </c>
      <c r="G4908" s="758">
        <f t="shared" si="304"/>
        <v>0.76</v>
      </c>
      <c r="H4908" s="759">
        <f t="shared" si="305"/>
        <v>0.14000000000000001</v>
      </c>
      <c r="I4908" s="758">
        <f t="shared" si="306"/>
        <v>6.468</v>
      </c>
      <c r="J4908" s="760">
        <f t="shared" si="307"/>
        <v>0.89485334809075812</v>
      </c>
    </row>
    <row r="4909" spans="1:10">
      <c r="A4909" s="74" t="s">
        <v>751</v>
      </c>
      <c r="B4909" s="74" t="s">
        <v>256</v>
      </c>
      <c r="C4909" s="74" t="s">
        <v>1517</v>
      </c>
      <c r="D4909" s="74" t="s">
        <v>82</v>
      </c>
      <c r="E4909" s="74">
        <v>7</v>
      </c>
      <c r="F4909" s="74">
        <v>56.05</v>
      </c>
      <c r="G4909" s="758">
        <f t="shared" si="304"/>
        <v>0.76</v>
      </c>
      <c r="H4909" s="759">
        <f t="shared" si="305"/>
        <v>0.14000000000000001</v>
      </c>
      <c r="I4909" s="758">
        <f t="shared" si="306"/>
        <v>7.2471428571428564</v>
      </c>
      <c r="J4909" s="760">
        <f t="shared" si="307"/>
        <v>0.90508474576271181</v>
      </c>
    </row>
    <row r="4910" spans="1:10">
      <c r="A4910" s="74" t="s">
        <v>751</v>
      </c>
      <c r="B4910" s="74" t="s">
        <v>256</v>
      </c>
      <c r="C4910" s="74" t="s">
        <v>1527</v>
      </c>
      <c r="D4910" s="74" t="s">
        <v>82</v>
      </c>
      <c r="E4910" s="74">
        <v>4</v>
      </c>
      <c r="F4910" s="74">
        <v>23.95</v>
      </c>
      <c r="G4910" s="758">
        <f t="shared" si="304"/>
        <v>0.76</v>
      </c>
      <c r="H4910" s="759">
        <f t="shared" si="305"/>
        <v>0.14000000000000001</v>
      </c>
      <c r="I4910" s="758">
        <f t="shared" si="306"/>
        <v>5.2275</v>
      </c>
      <c r="J4910" s="760">
        <f t="shared" si="307"/>
        <v>0.87306889352818373</v>
      </c>
    </row>
    <row r="4911" spans="1:10">
      <c r="A4911" s="74" t="s">
        <v>751</v>
      </c>
      <c r="B4911" s="74" t="s">
        <v>256</v>
      </c>
      <c r="C4911" s="74" t="s">
        <v>1518</v>
      </c>
      <c r="D4911" s="74" t="s">
        <v>82</v>
      </c>
      <c r="E4911" s="74">
        <v>6</v>
      </c>
      <c r="F4911" s="74">
        <v>47.9</v>
      </c>
      <c r="G4911" s="758">
        <f t="shared" si="304"/>
        <v>0.76</v>
      </c>
      <c r="H4911" s="759">
        <f t="shared" si="305"/>
        <v>0.14000000000000001</v>
      </c>
      <c r="I4911" s="758">
        <f t="shared" si="306"/>
        <v>7.2233333333333336</v>
      </c>
      <c r="J4911" s="760">
        <f t="shared" si="307"/>
        <v>0.90480167014613777</v>
      </c>
    </row>
    <row r="4912" spans="1:10">
      <c r="A4912" s="74" t="s">
        <v>751</v>
      </c>
      <c r="B4912" s="74" t="s">
        <v>256</v>
      </c>
      <c r="C4912" s="74" t="s">
        <v>1519</v>
      </c>
      <c r="D4912" s="74" t="s">
        <v>84</v>
      </c>
      <c r="E4912" s="74">
        <v>1</v>
      </c>
      <c r="F4912" s="74">
        <v>7.9</v>
      </c>
      <c r="G4912" s="758">
        <f t="shared" si="304"/>
        <v>0.76</v>
      </c>
      <c r="H4912" s="759">
        <f t="shared" si="305"/>
        <v>0.14000000000000001</v>
      </c>
      <c r="I4912" s="758">
        <f t="shared" si="306"/>
        <v>7.1400000000000006</v>
      </c>
      <c r="J4912" s="760">
        <f t="shared" si="307"/>
        <v>0.90379746835443042</v>
      </c>
    </row>
    <row r="4913" spans="1:10">
      <c r="A4913" s="74" t="s">
        <v>751</v>
      </c>
      <c r="B4913" s="74" t="s">
        <v>256</v>
      </c>
      <c r="C4913" s="74" t="s">
        <v>1541</v>
      </c>
      <c r="D4913" s="74" t="s">
        <v>86</v>
      </c>
      <c r="E4913" s="74">
        <v>1</v>
      </c>
      <c r="F4913" s="74">
        <v>7.9</v>
      </c>
      <c r="G4913" s="758">
        <f t="shared" si="304"/>
        <v>0.76</v>
      </c>
      <c r="H4913" s="759">
        <f t="shared" si="305"/>
        <v>0.14000000000000001</v>
      </c>
      <c r="I4913" s="758">
        <f t="shared" si="306"/>
        <v>7.1400000000000006</v>
      </c>
      <c r="J4913" s="760">
        <f t="shared" si="307"/>
        <v>0.90379746835443042</v>
      </c>
    </row>
    <row r="4914" spans="1:10">
      <c r="A4914" s="74" t="s">
        <v>751</v>
      </c>
      <c r="B4914" s="74" t="s">
        <v>256</v>
      </c>
      <c r="C4914" s="74" t="s">
        <v>1543</v>
      </c>
      <c r="D4914" s="74" t="s">
        <v>87</v>
      </c>
      <c r="E4914" s="74">
        <v>6</v>
      </c>
      <c r="F4914" s="74">
        <v>0</v>
      </c>
      <c r="G4914" s="758">
        <f t="shared" si="304"/>
        <v>0.76</v>
      </c>
      <c r="H4914" s="759">
        <f t="shared" si="305"/>
        <v>0.14000000000000001</v>
      </c>
      <c r="I4914" s="758">
        <f t="shared" si="306"/>
        <v>-0.76</v>
      </c>
      <c r="J4914" s="760">
        <f t="shared" si="307"/>
        <v>0</v>
      </c>
    </row>
    <row r="4915" spans="1:10">
      <c r="A4915" s="74" t="s">
        <v>751</v>
      </c>
      <c r="B4915" s="74" t="s">
        <v>256</v>
      </c>
      <c r="C4915" s="74" t="s">
        <v>1544</v>
      </c>
      <c r="D4915" s="74" t="s">
        <v>87</v>
      </c>
      <c r="E4915" s="74">
        <v>2</v>
      </c>
      <c r="F4915" s="74">
        <v>15.8</v>
      </c>
      <c r="G4915" s="758">
        <f t="shared" si="304"/>
        <v>0.76</v>
      </c>
      <c r="H4915" s="759">
        <f t="shared" si="305"/>
        <v>0.14000000000000001</v>
      </c>
      <c r="I4915" s="758">
        <f t="shared" si="306"/>
        <v>7.1400000000000006</v>
      </c>
      <c r="J4915" s="760">
        <f t="shared" si="307"/>
        <v>0.90379746835443042</v>
      </c>
    </row>
    <row r="4916" spans="1:10">
      <c r="A4916" s="74" t="s">
        <v>751</v>
      </c>
      <c r="B4916" s="74" t="s">
        <v>256</v>
      </c>
      <c r="C4916" s="74" t="s">
        <v>1610</v>
      </c>
      <c r="D4916" s="74" t="s">
        <v>89</v>
      </c>
      <c r="E4916" s="74">
        <v>9</v>
      </c>
      <c r="F4916" s="74">
        <v>20.55</v>
      </c>
      <c r="G4916" s="758">
        <f t="shared" si="304"/>
        <v>0.76</v>
      </c>
      <c r="H4916" s="759">
        <f t="shared" si="305"/>
        <v>0.14000000000000001</v>
      </c>
      <c r="I4916" s="758">
        <f t="shared" si="306"/>
        <v>1.5233333333333332</v>
      </c>
      <c r="J4916" s="760">
        <f t="shared" si="307"/>
        <v>0.6671532846715329</v>
      </c>
    </row>
    <row r="4917" spans="1:10">
      <c r="A4917" s="74" t="s">
        <v>751</v>
      </c>
      <c r="B4917" s="74" t="s">
        <v>256</v>
      </c>
      <c r="C4917" s="74" t="s">
        <v>1546</v>
      </c>
      <c r="D4917" s="74" t="s">
        <v>89</v>
      </c>
      <c r="E4917" s="74">
        <v>1</v>
      </c>
      <c r="F4917" s="74">
        <v>7.9</v>
      </c>
      <c r="G4917" s="758">
        <f t="shared" si="304"/>
        <v>0.76</v>
      </c>
      <c r="H4917" s="759">
        <f t="shared" si="305"/>
        <v>0.14000000000000001</v>
      </c>
      <c r="I4917" s="758">
        <f t="shared" si="306"/>
        <v>7.1400000000000006</v>
      </c>
      <c r="J4917" s="760">
        <f t="shared" si="307"/>
        <v>0.90379746835443042</v>
      </c>
    </row>
    <row r="4918" spans="1:10">
      <c r="A4918" s="74" t="s">
        <v>751</v>
      </c>
      <c r="B4918" s="74" t="s">
        <v>256</v>
      </c>
      <c r="C4918" s="74" t="s">
        <v>1547</v>
      </c>
      <c r="D4918" s="74" t="s">
        <v>89</v>
      </c>
      <c r="E4918" s="74">
        <v>2</v>
      </c>
      <c r="F4918" s="74">
        <v>16.3</v>
      </c>
      <c r="G4918" s="758">
        <f t="shared" si="304"/>
        <v>0.76</v>
      </c>
      <c r="H4918" s="759">
        <f t="shared" si="305"/>
        <v>0.14000000000000001</v>
      </c>
      <c r="I4918" s="758">
        <f t="shared" si="306"/>
        <v>7.3900000000000006</v>
      </c>
      <c r="J4918" s="760">
        <f t="shared" si="307"/>
        <v>0.90674846625766869</v>
      </c>
    </row>
    <row r="4919" spans="1:10">
      <c r="A4919" s="74" t="s">
        <v>751</v>
      </c>
      <c r="B4919" s="74" t="s">
        <v>256</v>
      </c>
      <c r="C4919" s="74" t="s">
        <v>1675</v>
      </c>
      <c r="D4919" s="74" t="s">
        <v>91</v>
      </c>
      <c r="E4919" s="74">
        <v>5</v>
      </c>
      <c r="F4919" s="74">
        <v>15.8</v>
      </c>
      <c r="G4919" s="758">
        <f t="shared" si="304"/>
        <v>0.76</v>
      </c>
      <c r="H4919" s="759">
        <f t="shared" si="305"/>
        <v>0.14000000000000001</v>
      </c>
      <c r="I4919" s="758">
        <f t="shared" si="306"/>
        <v>2.4000000000000004</v>
      </c>
      <c r="J4919" s="760">
        <f t="shared" si="307"/>
        <v>0.759493670886076</v>
      </c>
    </row>
    <row r="4920" spans="1:10">
      <c r="A4920" s="74" t="s">
        <v>751</v>
      </c>
      <c r="B4920" s="74" t="s">
        <v>256</v>
      </c>
      <c r="C4920" s="74" t="s">
        <v>1557</v>
      </c>
      <c r="D4920" s="74" t="s">
        <v>95</v>
      </c>
      <c r="E4920" s="74">
        <v>1</v>
      </c>
      <c r="F4920" s="74">
        <v>7.9</v>
      </c>
      <c r="G4920" s="758">
        <f t="shared" si="304"/>
        <v>0.76</v>
      </c>
      <c r="H4920" s="759">
        <f t="shared" si="305"/>
        <v>0.14000000000000001</v>
      </c>
      <c r="I4920" s="758">
        <f t="shared" si="306"/>
        <v>7.1400000000000006</v>
      </c>
      <c r="J4920" s="760">
        <f t="shared" si="307"/>
        <v>0.90379746835443042</v>
      </c>
    </row>
    <row r="4921" spans="1:10">
      <c r="A4921" s="74" t="s">
        <v>2055</v>
      </c>
      <c r="B4921" s="74" t="s">
        <v>256</v>
      </c>
      <c r="C4921" s="74" t="s">
        <v>1527</v>
      </c>
      <c r="D4921" s="74" t="s">
        <v>82</v>
      </c>
      <c r="E4921" s="74">
        <v>1</v>
      </c>
      <c r="F4921" s="74">
        <v>0</v>
      </c>
      <c r="G4921" s="758">
        <f t="shared" si="304"/>
        <v>0.97</v>
      </c>
      <c r="H4921" s="759">
        <f t="shared" si="305"/>
        <v>0</v>
      </c>
      <c r="I4921" s="758">
        <f t="shared" si="306"/>
        <v>-0.97</v>
      </c>
      <c r="J4921" s="760">
        <f t="shared" si="307"/>
        <v>0</v>
      </c>
    </row>
    <row r="4922" spans="1:10">
      <c r="A4922" s="74" t="s">
        <v>2056</v>
      </c>
      <c r="B4922" s="74" t="s">
        <v>725</v>
      </c>
      <c r="C4922" s="74" t="s">
        <v>1547</v>
      </c>
      <c r="D4922" s="74" t="s">
        <v>89</v>
      </c>
      <c r="E4922" s="74">
        <v>1</v>
      </c>
      <c r="F4922" s="74">
        <v>3.15</v>
      </c>
      <c r="G4922" s="758">
        <f t="shared" si="304"/>
        <v>0</v>
      </c>
      <c r="H4922" s="759">
        <f t="shared" si="305"/>
        <v>0</v>
      </c>
      <c r="I4922" s="758">
        <f t="shared" si="306"/>
        <v>3.15</v>
      </c>
      <c r="J4922" s="760">
        <f t="shared" si="307"/>
        <v>1</v>
      </c>
    </row>
    <row r="4923" spans="1:10">
      <c r="A4923" s="74" t="s">
        <v>2057</v>
      </c>
      <c r="B4923" s="74" t="s">
        <v>725</v>
      </c>
      <c r="C4923" s="74" t="s">
        <v>1541</v>
      </c>
      <c r="D4923" s="74" t="s">
        <v>86</v>
      </c>
      <c r="E4923" s="74">
        <v>3</v>
      </c>
      <c r="F4923" s="74">
        <v>5.25</v>
      </c>
      <c r="G4923" s="758">
        <f t="shared" si="304"/>
        <v>0</v>
      </c>
      <c r="H4923" s="759">
        <f t="shared" si="305"/>
        <v>0</v>
      </c>
      <c r="I4923" s="758">
        <f t="shared" si="306"/>
        <v>1.75</v>
      </c>
      <c r="J4923" s="760">
        <f t="shared" si="307"/>
        <v>1</v>
      </c>
    </row>
    <row r="4924" spans="1:10">
      <c r="A4924" s="74" t="s">
        <v>2057</v>
      </c>
      <c r="B4924" s="74" t="s">
        <v>725</v>
      </c>
      <c r="C4924" s="74" t="s">
        <v>1544</v>
      </c>
      <c r="D4924" s="74" t="s">
        <v>87</v>
      </c>
      <c r="E4924" s="74">
        <v>1</v>
      </c>
      <c r="F4924" s="74">
        <v>1.9</v>
      </c>
      <c r="G4924" s="758">
        <f t="shared" si="304"/>
        <v>0</v>
      </c>
      <c r="H4924" s="759">
        <f t="shared" si="305"/>
        <v>0</v>
      </c>
      <c r="I4924" s="758">
        <f t="shared" si="306"/>
        <v>1.9</v>
      </c>
      <c r="J4924" s="760">
        <f t="shared" si="307"/>
        <v>1</v>
      </c>
    </row>
    <row r="4925" spans="1:10">
      <c r="A4925" s="74" t="s">
        <v>2058</v>
      </c>
      <c r="B4925" s="74" t="s">
        <v>326</v>
      </c>
      <c r="C4925" s="74" t="s">
        <v>1617</v>
      </c>
      <c r="D4925" s="74" t="s">
        <v>94</v>
      </c>
      <c r="E4925" s="74">
        <v>1</v>
      </c>
      <c r="F4925" s="74">
        <v>9.9</v>
      </c>
      <c r="G4925" s="758">
        <f t="shared" si="304"/>
        <v>0</v>
      </c>
      <c r="H4925" s="759">
        <f t="shared" si="305"/>
        <v>0</v>
      </c>
      <c r="I4925" s="758">
        <f t="shared" si="306"/>
        <v>9.9</v>
      </c>
      <c r="J4925" s="760">
        <f t="shared" si="307"/>
        <v>1</v>
      </c>
    </row>
    <row r="4926" spans="1:10">
      <c r="A4926" s="74" t="s">
        <v>2059</v>
      </c>
      <c r="B4926" s="74" t="s">
        <v>326</v>
      </c>
      <c r="C4926" s="74" t="s">
        <v>1511</v>
      </c>
      <c r="D4926" s="74" t="s">
        <v>80</v>
      </c>
      <c r="E4926" s="74">
        <v>3</v>
      </c>
      <c r="F4926" s="74">
        <v>23.85</v>
      </c>
      <c r="G4926" s="758">
        <f t="shared" si="304"/>
        <v>0.98</v>
      </c>
      <c r="H4926" s="759">
        <f t="shared" si="305"/>
        <v>0.13</v>
      </c>
      <c r="I4926" s="758">
        <f t="shared" si="306"/>
        <v>6.9700000000000006</v>
      </c>
      <c r="J4926" s="760">
        <f t="shared" si="307"/>
        <v>0.8767295597484277</v>
      </c>
    </row>
    <row r="4927" spans="1:10">
      <c r="A4927" s="74" t="s">
        <v>2059</v>
      </c>
      <c r="B4927" s="74" t="s">
        <v>326</v>
      </c>
      <c r="C4927" s="74" t="s">
        <v>1517</v>
      </c>
      <c r="D4927" s="74" t="s">
        <v>82</v>
      </c>
      <c r="E4927" s="74">
        <v>1</v>
      </c>
      <c r="F4927" s="74">
        <v>7.95</v>
      </c>
      <c r="G4927" s="758">
        <f t="shared" si="304"/>
        <v>0.98</v>
      </c>
      <c r="H4927" s="759">
        <f t="shared" si="305"/>
        <v>0.13</v>
      </c>
      <c r="I4927" s="758">
        <f t="shared" si="306"/>
        <v>6.9700000000000006</v>
      </c>
      <c r="J4927" s="760">
        <f t="shared" si="307"/>
        <v>0.8767295597484277</v>
      </c>
    </row>
    <row r="4928" spans="1:10">
      <c r="A4928" s="74" t="s">
        <v>2059</v>
      </c>
      <c r="B4928" s="74" t="s">
        <v>326</v>
      </c>
      <c r="C4928" s="74" t="s">
        <v>1540</v>
      </c>
      <c r="D4928" s="74" t="s">
        <v>84</v>
      </c>
      <c r="E4928" s="74">
        <v>1</v>
      </c>
      <c r="F4928" s="74">
        <v>8.1999999999999993</v>
      </c>
      <c r="G4928" s="758">
        <f t="shared" si="304"/>
        <v>0.98</v>
      </c>
      <c r="H4928" s="759">
        <f t="shared" si="305"/>
        <v>0.13</v>
      </c>
      <c r="I4928" s="758">
        <f t="shared" si="306"/>
        <v>7.2199999999999989</v>
      </c>
      <c r="J4928" s="760">
        <f t="shared" si="307"/>
        <v>0.88048780487804879</v>
      </c>
    </row>
    <row r="4929" spans="1:10">
      <c r="A4929" s="74" t="s">
        <v>2060</v>
      </c>
      <c r="B4929" s="74" t="s">
        <v>877</v>
      </c>
      <c r="C4929" s="74" t="s">
        <v>1508</v>
      </c>
      <c r="D4929" s="74" t="s">
        <v>78</v>
      </c>
      <c r="E4929" s="74">
        <v>1</v>
      </c>
      <c r="F4929" s="74">
        <v>0</v>
      </c>
      <c r="G4929" s="758">
        <f t="shared" si="304"/>
        <v>0.99</v>
      </c>
      <c r="H4929" s="759">
        <f t="shared" si="305"/>
        <v>0</v>
      </c>
      <c r="I4929" s="758">
        <f t="shared" si="306"/>
        <v>-0.99</v>
      </c>
      <c r="J4929" s="760">
        <f t="shared" si="307"/>
        <v>0</v>
      </c>
    </row>
    <row r="4930" spans="1:10">
      <c r="A4930" s="74" t="s">
        <v>2060</v>
      </c>
      <c r="B4930" s="74" t="s">
        <v>877</v>
      </c>
      <c r="C4930" s="74" t="s">
        <v>1509</v>
      </c>
      <c r="D4930" s="74" t="s">
        <v>78</v>
      </c>
      <c r="E4930" s="74">
        <v>1</v>
      </c>
      <c r="F4930" s="74">
        <v>0</v>
      </c>
      <c r="G4930" s="758">
        <f t="shared" ref="G4930:G4993" si="308">IFERROR(VLOOKUP(A4930,$M$1:$P$1014,2,FALSE),0)</f>
        <v>0.99</v>
      </c>
      <c r="H4930" s="759">
        <f t="shared" ref="H4930:H4993" si="309">IFERROR(VLOOKUP(A4930,$M$1:$P$1014,3,FALSE),0)</f>
        <v>0</v>
      </c>
      <c r="I4930" s="758">
        <f t="shared" ref="I4930:I4993" si="310">IFERROR(F4930/E4930-G4930,0)</f>
        <v>-0.99</v>
      </c>
      <c r="J4930" s="760">
        <f t="shared" ref="J4930:J4993" si="311">IFERROR(1-G4930*E4930/F4930,0)</f>
        <v>0</v>
      </c>
    </row>
    <row r="4931" spans="1:10">
      <c r="A4931" s="74" t="s">
        <v>1073</v>
      </c>
      <c r="B4931" s="74" t="s">
        <v>326</v>
      </c>
      <c r="C4931" s="74" t="s">
        <v>1528</v>
      </c>
      <c r="D4931" s="74" t="s">
        <v>78</v>
      </c>
      <c r="E4931" s="74">
        <v>2</v>
      </c>
      <c r="F4931" s="74">
        <v>19</v>
      </c>
      <c r="G4931" s="758">
        <f t="shared" si="308"/>
        <v>1.66</v>
      </c>
      <c r="H4931" s="759">
        <f t="shared" si="309"/>
        <v>0.21</v>
      </c>
      <c r="I4931" s="758">
        <f t="shared" si="310"/>
        <v>7.84</v>
      </c>
      <c r="J4931" s="760">
        <f t="shared" si="311"/>
        <v>0.82526315789473681</v>
      </c>
    </row>
    <row r="4932" spans="1:10">
      <c r="A4932" s="74" t="s">
        <v>1073</v>
      </c>
      <c r="B4932" s="74" t="s">
        <v>326</v>
      </c>
      <c r="C4932" s="74" t="s">
        <v>1508</v>
      </c>
      <c r="D4932" s="74" t="s">
        <v>78</v>
      </c>
      <c r="E4932" s="74">
        <v>3</v>
      </c>
      <c r="F4932" s="74">
        <v>29.65</v>
      </c>
      <c r="G4932" s="758">
        <f t="shared" si="308"/>
        <v>1.66</v>
      </c>
      <c r="H4932" s="759">
        <f t="shared" si="309"/>
        <v>0.21</v>
      </c>
      <c r="I4932" s="758">
        <f t="shared" si="310"/>
        <v>8.2233333333333327</v>
      </c>
      <c r="J4932" s="760">
        <f t="shared" si="311"/>
        <v>0.83204047217537946</v>
      </c>
    </row>
    <row r="4933" spans="1:10">
      <c r="A4933" s="74" t="s">
        <v>1073</v>
      </c>
      <c r="B4933" s="74" t="s">
        <v>326</v>
      </c>
      <c r="C4933" s="74" t="s">
        <v>1509</v>
      </c>
      <c r="D4933" s="74" t="s">
        <v>78</v>
      </c>
      <c r="E4933" s="74">
        <v>6</v>
      </c>
      <c r="F4933" s="74">
        <v>57</v>
      </c>
      <c r="G4933" s="758">
        <f t="shared" si="308"/>
        <v>1.66</v>
      </c>
      <c r="H4933" s="759">
        <f t="shared" si="309"/>
        <v>0.21</v>
      </c>
      <c r="I4933" s="758">
        <f t="shared" si="310"/>
        <v>7.84</v>
      </c>
      <c r="J4933" s="760">
        <f t="shared" si="311"/>
        <v>0.82526315789473692</v>
      </c>
    </row>
    <row r="4934" spans="1:10">
      <c r="A4934" s="74" t="s">
        <v>1073</v>
      </c>
      <c r="B4934" s="74" t="s">
        <v>326</v>
      </c>
      <c r="C4934" s="74" t="s">
        <v>1565</v>
      </c>
      <c r="D4934" s="74" t="s">
        <v>78</v>
      </c>
      <c r="E4934" s="74">
        <v>2</v>
      </c>
      <c r="F4934" s="74">
        <v>19</v>
      </c>
      <c r="G4934" s="758">
        <f t="shared" si="308"/>
        <v>1.66</v>
      </c>
      <c r="H4934" s="759">
        <f t="shared" si="309"/>
        <v>0.21</v>
      </c>
      <c r="I4934" s="758">
        <f t="shared" si="310"/>
        <v>7.84</v>
      </c>
      <c r="J4934" s="760">
        <f t="shared" si="311"/>
        <v>0.82526315789473681</v>
      </c>
    </row>
    <row r="4935" spans="1:10">
      <c r="A4935" s="74" t="s">
        <v>1073</v>
      </c>
      <c r="B4935" s="74" t="s">
        <v>326</v>
      </c>
      <c r="C4935" s="74" t="s">
        <v>1532</v>
      </c>
      <c r="D4935" s="74" t="s">
        <v>80</v>
      </c>
      <c r="E4935" s="74">
        <v>2</v>
      </c>
      <c r="F4935" s="74">
        <v>19</v>
      </c>
      <c r="G4935" s="758">
        <f t="shared" si="308"/>
        <v>1.66</v>
      </c>
      <c r="H4935" s="759">
        <f t="shared" si="309"/>
        <v>0.21</v>
      </c>
      <c r="I4935" s="758">
        <f t="shared" si="310"/>
        <v>7.84</v>
      </c>
      <c r="J4935" s="760">
        <f t="shared" si="311"/>
        <v>0.82526315789473681</v>
      </c>
    </row>
    <row r="4936" spans="1:10">
      <c r="A4936" s="74" t="s">
        <v>1073</v>
      </c>
      <c r="B4936" s="74" t="s">
        <v>326</v>
      </c>
      <c r="C4936" s="74" t="s">
        <v>1511</v>
      </c>
      <c r="D4936" s="74" t="s">
        <v>80</v>
      </c>
      <c r="E4936" s="74">
        <v>8</v>
      </c>
      <c r="F4936" s="74">
        <v>76</v>
      </c>
      <c r="G4936" s="758">
        <f t="shared" si="308"/>
        <v>1.66</v>
      </c>
      <c r="H4936" s="759">
        <f t="shared" si="309"/>
        <v>0.21</v>
      </c>
      <c r="I4936" s="758">
        <f t="shared" si="310"/>
        <v>7.84</v>
      </c>
      <c r="J4936" s="760">
        <f t="shared" si="311"/>
        <v>0.82526315789473681</v>
      </c>
    </row>
    <row r="4937" spans="1:10">
      <c r="A4937" s="74" t="s">
        <v>1073</v>
      </c>
      <c r="B4937" s="74" t="s">
        <v>326</v>
      </c>
      <c r="C4937" s="74" t="s">
        <v>1512</v>
      </c>
      <c r="D4937" s="74" t="s">
        <v>80</v>
      </c>
      <c r="E4937" s="74">
        <v>7</v>
      </c>
      <c r="F4937" s="74">
        <v>67</v>
      </c>
      <c r="G4937" s="758">
        <f t="shared" si="308"/>
        <v>1.66</v>
      </c>
      <c r="H4937" s="759">
        <f t="shared" si="309"/>
        <v>0.21</v>
      </c>
      <c r="I4937" s="758">
        <f t="shared" si="310"/>
        <v>7.911428571428571</v>
      </c>
      <c r="J4937" s="760">
        <f t="shared" si="311"/>
        <v>0.82656716417910447</v>
      </c>
    </row>
    <row r="4938" spans="1:10">
      <c r="A4938" s="74" t="s">
        <v>1073</v>
      </c>
      <c r="B4938" s="74" t="s">
        <v>326</v>
      </c>
      <c r="C4938" s="74" t="s">
        <v>1534</v>
      </c>
      <c r="D4938" s="74" t="s">
        <v>81</v>
      </c>
      <c r="E4938" s="74">
        <v>5</v>
      </c>
      <c r="F4938" s="74">
        <v>47.5</v>
      </c>
      <c r="G4938" s="758">
        <f t="shared" si="308"/>
        <v>1.66</v>
      </c>
      <c r="H4938" s="759">
        <f t="shared" si="309"/>
        <v>0.21</v>
      </c>
      <c r="I4938" s="758">
        <f t="shared" si="310"/>
        <v>7.84</v>
      </c>
      <c r="J4938" s="760">
        <f t="shared" si="311"/>
        <v>0.82526315789473692</v>
      </c>
    </row>
    <row r="4939" spans="1:10">
      <c r="A4939" s="74" t="s">
        <v>1073</v>
      </c>
      <c r="B4939" s="74" t="s">
        <v>326</v>
      </c>
      <c r="C4939" s="74" t="s">
        <v>1514</v>
      </c>
      <c r="D4939" s="74" t="s">
        <v>81</v>
      </c>
      <c r="E4939" s="74">
        <v>4</v>
      </c>
      <c r="F4939" s="74">
        <v>38.25</v>
      </c>
      <c r="G4939" s="758">
        <f t="shared" si="308"/>
        <v>1.66</v>
      </c>
      <c r="H4939" s="759">
        <f t="shared" si="309"/>
        <v>0.21</v>
      </c>
      <c r="I4939" s="758">
        <f t="shared" si="310"/>
        <v>7.9024999999999999</v>
      </c>
      <c r="J4939" s="760">
        <f t="shared" si="311"/>
        <v>0.82640522875816991</v>
      </c>
    </row>
    <row r="4940" spans="1:10">
      <c r="A4940" s="74" t="s">
        <v>1073</v>
      </c>
      <c r="B4940" s="74" t="s">
        <v>326</v>
      </c>
      <c r="C4940" s="74" t="s">
        <v>1515</v>
      </c>
      <c r="D4940" s="74" t="s">
        <v>81</v>
      </c>
      <c r="E4940" s="74">
        <v>4</v>
      </c>
      <c r="F4940" s="74">
        <v>38.75</v>
      </c>
      <c r="G4940" s="758">
        <f t="shared" si="308"/>
        <v>1.66</v>
      </c>
      <c r="H4940" s="759">
        <f t="shared" si="309"/>
        <v>0.21</v>
      </c>
      <c r="I4940" s="758">
        <f t="shared" si="310"/>
        <v>8.0274999999999999</v>
      </c>
      <c r="J4940" s="760">
        <f t="shared" si="311"/>
        <v>0.82864516129032262</v>
      </c>
    </row>
    <row r="4941" spans="1:10">
      <c r="A4941" s="74" t="s">
        <v>1073</v>
      </c>
      <c r="B4941" s="74" t="s">
        <v>326</v>
      </c>
      <c r="C4941" s="74" t="s">
        <v>1516</v>
      </c>
      <c r="D4941" s="74" t="s">
        <v>82</v>
      </c>
      <c r="E4941" s="74">
        <v>5</v>
      </c>
      <c r="F4941" s="74">
        <v>48.25</v>
      </c>
      <c r="G4941" s="758">
        <f t="shared" si="308"/>
        <v>1.66</v>
      </c>
      <c r="H4941" s="759">
        <f t="shared" si="309"/>
        <v>0.21</v>
      </c>
      <c r="I4941" s="758">
        <f t="shared" si="310"/>
        <v>7.99</v>
      </c>
      <c r="J4941" s="760">
        <f t="shared" si="311"/>
        <v>0.82797927461139897</v>
      </c>
    </row>
    <row r="4942" spans="1:10">
      <c r="A4942" s="74" t="s">
        <v>1073</v>
      </c>
      <c r="B4942" s="74" t="s">
        <v>326</v>
      </c>
      <c r="C4942" s="74" t="s">
        <v>1517</v>
      </c>
      <c r="D4942" s="74" t="s">
        <v>82</v>
      </c>
      <c r="E4942" s="74">
        <v>3</v>
      </c>
      <c r="F4942" s="74">
        <v>28.75</v>
      </c>
      <c r="G4942" s="758">
        <f t="shared" si="308"/>
        <v>1.66</v>
      </c>
      <c r="H4942" s="759">
        <f t="shared" si="309"/>
        <v>0.21</v>
      </c>
      <c r="I4942" s="758">
        <f t="shared" si="310"/>
        <v>7.9233333333333338</v>
      </c>
      <c r="J4942" s="760">
        <f t="shared" si="311"/>
        <v>0.82678260869565223</v>
      </c>
    </row>
    <row r="4943" spans="1:10">
      <c r="A4943" s="74" t="s">
        <v>1073</v>
      </c>
      <c r="B4943" s="74" t="s">
        <v>326</v>
      </c>
      <c r="C4943" s="74" t="s">
        <v>1527</v>
      </c>
      <c r="D4943" s="74" t="s">
        <v>82</v>
      </c>
      <c r="E4943" s="74">
        <v>8</v>
      </c>
      <c r="F4943" s="74">
        <v>76.5</v>
      </c>
      <c r="G4943" s="758">
        <f t="shared" si="308"/>
        <v>1.66</v>
      </c>
      <c r="H4943" s="759">
        <f t="shared" si="309"/>
        <v>0.21</v>
      </c>
      <c r="I4943" s="758">
        <f t="shared" si="310"/>
        <v>7.9024999999999999</v>
      </c>
      <c r="J4943" s="760">
        <f t="shared" si="311"/>
        <v>0.82640522875816991</v>
      </c>
    </row>
    <row r="4944" spans="1:10">
      <c r="A4944" s="74" t="s">
        <v>1073</v>
      </c>
      <c r="B4944" s="74" t="s">
        <v>326</v>
      </c>
      <c r="C4944" s="74" t="s">
        <v>1518</v>
      </c>
      <c r="D4944" s="74" t="s">
        <v>82</v>
      </c>
      <c r="E4944" s="74">
        <v>2</v>
      </c>
      <c r="F4944" s="74">
        <v>19.25</v>
      </c>
      <c r="G4944" s="758">
        <f t="shared" si="308"/>
        <v>1.66</v>
      </c>
      <c r="H4944" s="759">
        <f t="shared" si="309"/>
        <v>0.21</v>
      </c>
      <c r="I4944" s="758">
        <f t="shared" si="310"/>
        <v>7.9649999999999999</v>
      </c>
      <c r="J4944" s="760">
        <f t="shared" si="311"/>
        <v>0.82753246753246756</v>
      </c>
    </row>
    <row r="4945" spans="1:10">
      <c r="A4945" s="74" t="s">
        <v>1073</v>
      </c>
      <c r="B4945" s="74" t="s">
        <v>326</v>
      </c>
      <c r="C4945" s="74" t="s">
        <v>1610</v>
      </c>
      <c r="D4945" s="74" t="s">
        <v>89</v>
      </c>
      <c r="E4945" s="74">
        <v>1</v>
      </c>
      <c r="F4945" s="74">
        <v>9.75</v>
      </c>
      <c r="G4945" s="758">
        <f t="shared" si="308"/>
        <v>1.66</v>
      </c>
      <c r="H4945" s="759">
        <f t="shared" si="309"/>
        <v>0.21</v>
      </c>
      <c r="I4945" s="758">
        <f t="shared" si="310"/>
        <v>8.09</v>
      </c>
      <c r="J4945" s="760">
        <f t="shared" si="311"/>
        <v>0.82974358974358975</v>
      </c>
    </row>
    <row r="4946" spans="1:10">
      <c r="A4946" s="74" t="s">
        <v>1073</v>
      </c>
      <c r="B4946" s="74" t="s">
        <v>326</v>
      </c>
      <c r="C4946" s="74" t="s">
        <v>1547</v>
      </c>
      <c r="D4946" s="74" t="s">
        <v>89</v>
      </c>
      <c r="E4946" s="74">
        <v>2</v>
      </c>
      <c r="F4946" s="74">
        <v>19.8</v>
      </c>
      <c r="G4946" s="758">
        <f t="shared" si="308"/>
        <v>1.66</v>
      </c>
      <c r="H4946" s="759">
        <f t="shared" si="309"/>
        <v>0.21</v>
      </c>
      <c r="I4946" s="758">
        <f t="shared" si="310"/>
        <v>8.24</v>
      </c>
      <c r="J4946" s="760">
        <f t="shared" si="311"/>
        <v>0.83232323232323235</v>
      </c>
    </row>
    <row r="4947" spans="1:10">
      <c r="A4947" s="74" t="s">
        <v>1073</v>
      </c>
      <c r="B4947" s="74" t="s">
        <v>326</v>
      </c>
      <c r="C4947" s="74" t="s">
        <v>1553</v>
      </c>
      <c r="D4947" s="74" t="s">
        <v>94</v>
      </c>
      <c r="E4947" s="74">
        <v>1</v>
      </c>
      <c r="F4947" s="74">
        <v>9.75</v>
      </c>
      <c r="G4947" s="758">
        <f t="shared" si="308"/>
        <v>1.66</v>
      </c>
      <c r="H4947" s="759">
        <f t="shared" si="309"/>
        <v>0.21</v>
      </c>
      <c r="I4947" s="758">
        <f t="shared" si="310"/>
        <v>8.09</v>
      </c>
      <c r="J4947" s="760">
        <f t="shared" si="311"/>
        <v>0.82974358974358975</v>
      </c>
    </row>
    <row r="4948" spans="1:10">
      <c r="A4948" s="74" t="s">
        <v>1073</v>
      </c>
      <c r="B4948" s="74" t="s">
        <v>326</v>
      </c>
      <c r="C4948" s="74" t="s">
        <v>1526</v>
      </c>
      <c r="D4948" s="74" t="s">
        <v>95</v>
      </c>
      <c r="E4948" s="74">
        <v>1</v>
      </c>
      <c r="F4948" s="74">
        <v>9.9</v>
      </c>
      <c r="G4948" s="758">
        <f t="shared" si="308"/>
        <v>1.66</v>
      </c>
      <c r="H4948" s="759">
        <f t="shared" si="309"/>
        <v>0.21</v>
      </c>
      <c r="I4948" s="758">
        <f t="shared" si="310"/>
        <v>8.24</v>
      </c>
      <c r="J4948" s="760">
        <f t="shared" si="311"/>
        <v>0.83232323232323235</v>
      </c>
    </row>
    <row r="4949" spans="1:10">
      <c r="A4949" s="74" t="s">
        <v>748</v>
      </c>
      <c r="B4949" s="74" t="s">
        <v>274</v>
      </c>
      <c r="C4949" s="74" t="s">
        <v>1528</v>
      </c>
      <c r="D4949" s="74" t="s">
        <v>78</v>
      </c>
      <c r="E4949" s="74">
        <v>1</v>
      </c>
      <c r="F4949" s="74">
        <v>9</v>
      </c>
      <c r="G4949" s="758">
        <f t="shared" si="308"/>
        <v>1.66</v>
      </c>
      <c r="H4949" s="759">
        <f t="shared" si="309"/>
        <v>0.21</v>
      </c>
      <c r="I4949" s="758">
        <f t="shared" si="310"/>
        <v>7.34</v>
      </c>
      <c r="J4949" s="760">
        <f t="shared" si="311"/>
        <v>0.81555555555555559</v>
      </c>
    </row>
    <row r="4950" spans="1:10">
      <c r="A4950" s="74" t="s">
        <v>748</v>
      </c>
      <c r="B4950" s="74" t="s">
        <v>274</v>
      </c>
      <c r="C4950" s="74" t="s">
        <v>1508</v>
      </c>
      <c r="D4950" s="74" t="s">
        <v>78</v>
      </c>
      <c r="E4950" s="74">
        <v>4</v>
      </c>
      <c r="F4950" s="74">
        <v>36</v>
      </c>
      <c r="G4950" s="758">
        <f t="shared" si="308"/>
        <v>1.66</v>
      </c>
      <c r="H4950" s="759">
        <f t="shared" si="309"/>
        <v>0.21</v>
      </c>
      <c r="I4950" s="758">
        <f t="shared" si="310"/>
        <v>7.34</v>
      </c>
      <c r="J4950" s="760">
        <f t="shared" si="311"/>
        <v>0.81555555555555559</v>
      </c>
    </row>
    <row r="4951" spans="1:10">
      <c r="A4951" s="74" t="s">
        <v>748</v>
      </c>
      <c r="B4951" s="74" t="s">
        <v>274</v>
      </c>
      <c r="C4951" s="74" t="s">
        <v>1565</v>
      </c>
      <c r="D4951" s="74" t="s">
        <v>78</v>
      </c>
      <c r="E4951" s="74">
        <v>4</v>
      </c>
      <c r="F4951" s="74">
        <v>35.86</v>
      </c>
      <c r="G4951" s="758">
        <f t="shared" si="308"/>
        <v>1.66</v>
      </c>
      <c r="H4951" s="759">
        <f t="shared" si="309"/>
        <v>0.21</v>
      </c>
      <c r="I4951" s="758">
        <f t="shared" si="310"/>
        <v>7.3049999999999997</v>
      </c>
      <c r="J4951" s="760">
        <f t="shared" si="311"/>
        <v>0.81483547127718903</v>
      </c>
    </row>
    <row r="4952" spans="1:10">
      <c r="A4952" s="74" t="s">
        <v>748</v>
      </c>
      <c r="B4952" s="74" t="s">
        <v>274</v>
      </c>
      <c r="C4952" s="74" t="s">
        <v>1530</v>
      </c>
      <c r="D4952" s="74" t="s">
        <v>80</v>
      </c>
      <c r="E4952" s="74">
        <v>5</v>
      </c>
      <c r="F4952" s="74">
        <v>45.45</v>
      </c>
      <c r="G4952" s="758">
        <f t="shared" si="308"/>
        <v>1.66</v>
      </c>
      <c r="H4952" s="759">
        <f t="shared" si="309"/>
        <v>0.21</v>
      </c>
      <c r="I4952" s="758">
        <f t="shared" si="310"/>
        <v>7.43</v>
      </c>
      <c r="J4952" s="760">
        <f t="shared" si="311"/>
        <v>0.81738173817381743</v>
      </c>
    </row>
    <row r="4953" spans="1:10">
      <c r="A4953" s="74" t="s">
        <v>748</v>
      </c>
      <c r="B4953" s="74" t="s">
        <v>274</v>
      </c>
      <c r="C4953" s="74" t="s">
        <v>1532</v>
      </c>
      <c r="D4953" s="74" t="s">
        <v>80</v>
      </c>
      <c r="E4953" s="74">
        <v>5</v>
      </c>
      <c r="F4953" s="74">
        <v>45.45</v>
      </c>
      <c r="G4953" s="758">
        <f t="shared" si="308"/>
        <v>1.66</v>
      </c>
      <c r="H4953" s="759">
        <f t="shared" si="309"/>
        <v>0.21</v>
      </c>
      <c r="I4953" s="758">
        <f t="shared" si="310"/>
        <v>7.43</v>
      </c>
      <c r="J4953" s="760">
        <f t="shared" si="311"/>
        <v>0.81738173817381743</v>
      </c>
    </row>
    <row r="4954" spans="1:10">
      <c r="A4954" s="74" t="s">
        <v>748</v>
      </c>
      <c r="B4954" s="74" t="s">
        <v>274</v>
      </c>
      <c r="C4954" s="74" t="s">
        <v>1512</v>
      </c>
      <c r="D4954" s="74" t="s">
        <v>80</v>
      </c>
      <c r="E4954" s="74">
        <v>5</v>
      </c>
      <c r="F4954" s="74">
        <v>45.45</v>
      </c>
      <c r="G4954" s="758">
        <f t="shared" si="308"/>
        <v>1.66</v>
      </c>
      <c r="H4954" s="759">
        <f t="shared" si="309"/>
        <v>0.21</v>
      </c>
      <c r="I4954" s="758">
        <f t="shared" si="310"/>
        <v>7.43</v>
      </c>
      <c r="J4954" s="760">
        <f t="shared" si="311"/>
        <v>0.81738173817381743</v>
      </c>
    </row>
    <row r="4955" spans="1:10">
      <c r="A4955" s="74" t="s">
        <v>748</v>
      </c>
      <c r="B4955" s="74" t="s">
        <v>274</v>
      </c>
      <c r="C4955" s="74" t="s">
        <v>1513</v>
      </c>
      <c r="D4955" s="74" t="s">
        <v>81</v>
      </c>
      <c r="E4955" s="74">
        <v>6</v>
      </c>
      <c r="F4955" s="74">
        <v>54.55</v>
      </c>
      <c r="G4955" s="758">
        <f t="shared" si="308"/>
        <v>1.66</v>
      </c>
      <c r="H4955" s="759">
        <f t="shared" si="309"/>
        <v>0.21</v>
      </c>
      <c r="I4955" s="758">
        <f t="shared" si="310"/>
        <v>7.4316666666666666</v>
      </c>
      <c r="J4955" s="760">
        <f t="shared" si="311"/>
        <v>0.81741521539871675</v>
      </c>
    </row>
    <row r="4956" spans="1:10">
      <c r="A4956" s="74" t="s">
        <v>748</v>
      </c>
      <c r="B4956" s="74" t="s">
        <v>274</v>
      </c>
      <c r="C4956" s="74" t="s">
        <v>1514</v>
      </c>
      <c r="D4956" s="74" t="s">
        <v>81</v>
      </c>
      <c r="E4956" s="74">
        <v>4</v>
      </c>
      <c r="F4956" s="74">
        <v>36.36</v>
      </c>
      <c r="G4956" s="758">
        <f t="shared" si="308"/>
        <v>1.66</v>
      </c>
      <c r="H4956" s="759">
        <f t="shared" si="309"/>
        <v>0.21</v>
      </c>
      <c r="I4956" s="758">
        <f t="shared" si="310"/>
        <v>7.43</v>
      </c>
      <c r="J4956" s="760">
        <f t="shared" si="311"/>
        <v>0.81738173817381743</v>
      </c>
    </row>
    <row r="4957" spans="1:10">
      <c r="A4957" s="74" t="s">
        <v>748</v>
      </c>
      <c r="B4957" s="74" t="s">
        <v>274</v>
      </c>
      <c r="C4957" s="74" t="s">
        <v>1515</v>
      </c>
      <c r="D4957" s="74" t="s">
        <v>81</v>
      </c>
      <c r="E4957" s="74">
        <v>3</v>
      </c>
      <c r="F4957" s="74">
        <v>27.5</v>
      </c>
      <c r="G4957" s="758">
        <f t="shared" si="308"/>
        <v>1.66</v>
      </c>
      <c r="H4957" s="759">
        <f t="shared" si="309"/>
        <v>0.21</v>
      </c>
      <c r="I4957" s="758">
        <f t="shared" si="310"/>
        <v>7.5066666666666659</v>
      </c>
      <c r="J4957" s="760">
        <f t="shared" si="311"/>
        <v>0.81890909090909092</v>
      </c>
    </row>
    <row r="4958" spans="1:10">
      <c r="A4958" s="74" t="s">
        <v>1063</v>
      </c>
      <c r="B4958" s="74" t="s">
        <v>326</v>
      </c>
      <c r="C4958" s="74" t="s">
        <v>1541</v>
      </c>
      <c r="D4958" s="74" t="s">
        <v>86</v>
      </c>
      <c r="E4958" s="74">
        <v>2</v>
      </c>
      <c r="F4958" s="74">
        <v>29.8</v>
      </c>
      <c r="G4958" s="758">
        <f t="shared" si="308"/>
        <v>0</v>
      </c>
      <c r="H4958" s="759">
        <f t="shared" si="309"/>
        <v>0</v>
      </c>
      <c r="I4958" s="758">
        <f t="shared" si="310"/>
        <v>14.9</v>
      </c>
      <c r="J4958" s="760">
        <f t="shared" si="311"/>
        <v>1</v>
      </c>
    </row>
    <row r="4959" spans="1:10">
      <c r="A4959" s="74" t="s">
        <v>1063</v>
      </c>
      <c r="B4959" s="74" t="s">
        <v>326</v>
      </c>
      <c r="C4959" s="74" t="s">
        <v>1544</v>
      </c>
      <c r="D4959" s="74" t="s">
        <v>87</v>
      </c>
      <c r="E4959" s="74">
        <v>2</v>
      </c>
      <c r="F4959" s="74">
        <v>29.8</v>
      </c>
      <c r="G4959" s="758">
        <f t="shared" si="308"/>
        <v>0</v>
      </c>
      <c r="H4959" s="759">
        <f t="shared" si="309"/>
        <v>0</v>
      </c>
      <c r="I4959" s="758">
        <f t="shared" si="310"/>
        <v>14.9</v>
      </c>
      <c r="J4959" s="760">
        <f t="shared" si="311"/>
        <v>1</v>
      </c>
    </row>
    <row r="4960" spans="1:10">
      <c r="A4960" s="74" t="s">
        <v>1063</v>
      </c>
      <c r="B4960" s="74" t="s">
        <v>326</v>
      </c>
      <c r="C4960" s="74" t="s">
        <v>1610</v>
      </c>
      <c r="D4960" s="74" t="s">
        <v>89</v>
      </c>
      <c r="E4960" s="74">
        <v>1</v>
      </c>
      <c r="F4960" s="74">
        <v>14.9</v>
      </c>
      <c r="G4960" s="758">
        <f t="shared" si="308"/>
        <v>0</v>
      </c>
      <c r="H4960" s="759">
        <f t="shared" si="309"/>
        <v>0</v>
      </c>
      <c r="I4960" s="758">
        <f t="shared" si="310"/>
        <v>14.9</v>
      </c>
      <c r="J4960" s="760">
        <f t="shared" si="311"/>
        <v>1</v>
      </c>
    </row>
    <row r="4961" spans="1:10">
      <c r="A4961" s="74" t="s">
        <v>1063</v>
      </c>
      <c r="B4961" s="74" t="s">
        <v>326</v>
      </c>
      <c r="C4961" s="74" t="s">
        <v>1582</v>
      </c>
      <c r="D4961" s="74" t="s">
        <v>89</v>
      </c>
      <c r="E4961" s="74">
        <v>1</v>
      </c>
      <c r="F4961" s="74">
        <v>14.9</v>
      </c>
      <c r="G4961" s="758">
        <f t="shared" si="308"/>
        <v>0</v>
      </c>
      <c r="H4961" s="759">
        <f t="shared" si="309"/>
        <v>0</v>
      </c>
      <c r="I4961" s="758">
        <f t="shared" si="310"/>
        <v>14.9</v>
      </c>
      <c r="J4961" s="760">
        <f t="shared" si="311"/>
        <v>1</v>
      </c>
    </row>
    <row r="4962" spans="1:10">
      <c r="A4962" s="74" t="s">
        <v>1063</v>
      </c>
      <c r="B4962" s="74" t="s">
        <v>326</v>
      </c>
      <c r="C4962" s="74" t="s">
        <v>1584</v>
      </c>
      <c r="D4962" s="74" t="s">
        <v>92</v>
      </c>
      <c r="E4962" s="74">
        <v>1</v>
      </c>
      <c r="F4962" s="74">
        <v>14.9</v>
      </c>
      <c r="G4962" s="758">
        <f t="shared" si="308"/>
        <v>0</v>
      </c>
      <c r="H4962" s="759">
        <f t="shared" si="309"/>
        <v>0</v>
      </c>
      <c r="I4962" s="758">
        <f t="shared" si="310"/>
        <v>14.9</v>
      </c>
      <c r="J4962" s="760">
        <f t="shared" si="311"/>
        <v>1</v>
      </c>
    </row>
    <row r="4963" spans="1:10">
      <c r="A4963" s="74" t="s">
        <v>1063</v>
      </c>
      <c r="B4963" s="74" t="s">
        <v>326</v>
      </c>
      <c r="C4963" s="74" t="s">
        <v>1614</v>
      </c>
      <c r="D4963" s="74" t="s">
        <v>92</v>
      </c>
      <c r="E4963" s="74">
        <v>2</v>
      </c>
      <c r="F4963" s="74">
        <v>29.8</v>
      </c>
      <c r="G4963" s="758">
        <f t="shared" si="308"/>
        <v>0</v>
      </c>
      <c r="H4963" s="759">
        <f t="shared" si="309"/>
        <v>0</v>
      </c>
      <c r="I4963" s="758">
        <f t="shared" si="310"/>
        <v>14.9</v>
      </c>
      <c r="J4963" s="760">
        <f t="shared" si="311"/>
        <v>1</v>
      </c>
    </row>
    <row r="4964" spans="1:10">
      <c r="A4964" s="74" t="s">
        <v>1063</v>
      </c>
      <c r="B4964" s="74" t="s">
        <v>326</v>
      </c>
      <c r="C4964" s="74" t="s">
        <v>1553</v>
      </c>
      <c r="D4964" s="74" t="s">
        <v>94</v>
      </c>
      <c r="E4964" s="74">
        <v>1</v>
      </c>
      <c r="F4964" s="74">
        <v>14.9</v>
      </c>
      <c r="G4964" s="758">
        <f t="shared" si="308"/>
        <v>0</v>
      </c>
      <c r="H4964" s="759">
        <f t="shared" si="309"/>
        <v>0</v>
      </c>
      <c r="I4964" s="758">
        <f t="shared" si="310"/>
        <v>14.9</v>
      </c>
      <c r="J4964" s="760">
        <f t="shared" si="311"/>
        <v>1</v>
      </c>
    </row>
    <row r="4965" spans="1:10">
      <c r="A4965" s="74" t="s">
        <v>686</v>
      </c>
      <c r="B4965" s="74" t="s">
        <v>274</v>
      </c>
      <c r="C4965" s="74" t="s">
        <v>1528</v>
      </c>
      <c r="D4965" s="74" t="s">
        <v>78</v>
      </c>
      <c r="E4965" s="74">
        <v>24</v>
      </c>
      <c r="F4965" s="74">
        <v>347.22</v>
      </c>
      <c r="G4965" s="758">
        <f t="shared" si="308"/>
        <v>3.5</v>
      </c>
      <c r="H4965" s="759">
        <f t="shared" si="309"/>
        <v>0.26</v>
      </c>
      <c r="I4965" s="758">
        <f t="shared" si="310"/>
        <v>10.967500000000001</v>
      </c>
      <c r="J4965" s="760">
        <f t="shared" si="311"/>
        <v>0.75807845170209087</v>
      </c>
    </row>
    <row r="4966" spans="1:10">
      <c r="A4966" s="74" t="s">
        <v>686</v>
      </c>
      <c r="B4966" s="74" t="s">
        <v>274</v>
      </c>
      <c r="C4966" s="74" t="s">
        <v>1508</v>
      </c>
      <c r="D4966" s="74" t="s">
        <v>78</v>
      </c>
      <c r="E4966" s="74">
        <v>17</v>
      </c>
      <c r="F4966" s="74">
        <v>243.44</v>
      </c>
      <c r="G4966" s="758">
        <f t="shared" si="308"/>
        <v>3.5</v>
      </c>
      <c r="H4966" s="759">
        <f t="shared" si="309"/>
        <v>0.26</v>
      </c>
      <c r="I4966" s="758">
        <f t="shared" si="310"/>
        <v>10.82</v>
      </c>
      <c r="J4966" s="760">
        <f t="shared" si="311"/>
        <v>0.755586592178771</v>
      </c>
    </row>
    <row r="4967" spans="1:10">
      <c r="A4967" s="74" t="s">
        <v>686</v>
      </c>
      <c r="B4967" s="74" t="s">
        <v>274</v>
      </c>
      <c r="C4967" s="74" t="s">
        <v>1509</v>
      </c>
      <c r="D4967" s="74" t="s">
        <v>78</v>
      </c>
      <c r="E4967" s="74">
        <v>16</v>
      </c>
      <c r="F4967" s="74">
        <v>225.1</v>
      </c>
      <c r="G4967" s="758">
        <f t="shared" si="308"/>
        <v>3.5</v>
      </c>
      <c r="H4967" s="759">
        <f t="shared" si="309"/>
        <v>0.26</v>
      </c>
      <c r="I4967" s="758">
        <f t="shared" si="310"/>
        <v>10.56875</v>
      </c>
      <c r="J4967" s="760">
        <f t="shared" si="311"/>
        <v>0.75122167925366501</v>
      </c>
    </row>
    <row r="4968" spans="1:10">
      <c r="A4968" s="74" t="s">
        <v>686</v>
      </c>
      <c r="B4968" s="74" t="s">
        <v>274</v>
      </c>
      <c r="C4968" s="74" t="s">
        <v>1565</v>
      </c>
      <c r="D4968" s="74" t="s">
        <v>78</v>
      </c>
      <c r="E4968" s="74">
        <v>19</v>
      </c>
      <c r="F4968" s="74">
        <v>277</v>
      </c>
      <c r="G4968" s="758">
        <f t="shared" si="308"/>
        <v>3.5</v>
      </c>
      <c r="H4968" s="759">
        <f t="shared" si="309"/>
        <v>0.26</v>
      </c>
      <c r="I4968" s="758">
        <f t="shared" si="310"/>
        <v>11.078947368421053</v>
      </c>
      <c r="J4968" s="760">
        <f t="shared" si="311"/>
        <v>0.75992779783393505</v>
      </c>
    </row>
    <row r="4969" spans="1:10">
      <c r="A4969" s="74" t="s">
        <v>686</v>
      </c>
      <c r="B4969" s="74" t="s">
        <v>274</v>
      </c>
      <c r="C4969" s="74" t="s">
        <v>1530</v>
      </c>
      <c r="D4969" s="74" t="s">
        <v>80</v>
      </c>
      <c r="E4969" s="74">
        <v>9</v>
      </c>
      <c r="F4969" s="74">
        <v>123.99</v>
      </c>
      <c r="G4969" s="758">
        <f t="shared" si="308"/>
        <v>3.5</v>
      </c>
      <c r="H4969" s="759">
        <f t="shared" si="309"/>
        <v>0.26</v>
      </c>
      <c r="I4969" s="758">
        <f t="shared" si="310"/>
        <v>10.276666666666666</v>
      </c>
      <c r="J4969" s="760">
        <f t="shared" si="311"/>
        <v>0.74594725381079119</v>
      </c>
    </row>
    <row r="4970" spans="1:10">
      <c r="A4970" s="74" t="s">
        <v>686</v>
      </c>
      <c r="B4970" s="74" t="s">
        <v>274</v>
      </c>
      <c r="C4970" s="74" t="s">
        <v>1532</v>
      </c>
      <c r="D4970" s="74" t="s">
        <v>80</v>
      </c>
      <c r="E4970" s="74">
        <v>17</v>
      </c>
      <c r="F4970" s="74">
        <v>243.69</v>
      </c>
      <c r="G4970" s="758">
        <f t="shared" si="308"/>
        <v>3.5</v>
      </c>
      <c r="H4970" s="759">
        <f t="shared" si="309"/>
        <v>0.26</v>
      </c>
      <c r="I4970" s="758">
        <f t="shared" si="310"/>
        <v>10.834705882352941</v>
      </c>
      <c r="J4970" s="760">
        <f t="shared" si="311"/>
        <v>0.75583733431819111</v>
      </c>
    </row>
    <row r="4971" spans="1:10">
      <c r="A4971" s="74" t="s">
        <v>686</v>
      </c>
      <c r="B4971" s="74" t="s">
        <v>274</v>
      </c>
      <c r="C4971" s="74" t="s">
        <v>1511</v>
      </c>
      <c r="D4971" s="74" t="s">
        <v>80</v>
      </c>
      <c r="E4971" s="74">
        <v>16</v>
      </c>
      <c r="F4971" s="74">
        <v>234.87</v>
      </c>
      <c r="G4971" s="758">
        <f t="shared" si="308"/>
        <v>3.5</v>
      </c>
      <c r="H4971" s="759">
        <f t="shared" si="309"/>
        <v>0.26</v>
      </c>
      <c r="I4971" s="758">
        <f t="shared" si="310"/>
        <v>11.179375</v>
      </c>
      <c r="J4971" s="760">
        <f t="shared" si="311"/>
        <v>0.76157023034018823</v>
      </c>
    </row>
    <row r="4972" spans="1:10">
      <c r="A4972" s="74" t="s">
        <v>686</v>
      </c>
      <c r="B4972" s="74" t="s">
        <v>274</v>
      </c>
      <c r="C4972" s="74" t="s">
        <v>1512</v>
      </c>
      <c r="D4972" s="74" t="s">
        <v>80</v>
      </c>
      <c r="E4972" s="74">
        <v>30</v>
      </c>
      <c r="F4972" s="74">
        <v>416.65</v>
      </c>
      <c r="G4972" s="758">
        <f t="shared" si="308"/>
        <v>3.5</v>
      </c>
      <c r="H4972" s="759">
        <f t="shared" si="309"/>
        <v>0.26</v>
      </c>
      <c r="I4972" s="758">
        <f t="shared" si="310"/>
        <v>10.388333333333332</v>
      </c>
      <c r="J4972" s="760">
        <f t="shared" si="311"/>
        <v>0.74798991959678385</v>
      </c>
    </row>
    <row r="4973" spans="1:10">
      <c r="A4973" s="74" t="s">
        <v>686</v>
      </c>
      <c r="B4973" s="74" t="s">
        <v>274</v>
      </c>
      <c r="C4973" s="74" t="s">
        <v>1534</v>
      </c>
      <c r="D4973" s="74" t="s">
        <v>81</v>
      </c>
      <c r="E4973" s="74">
        <v>16</v>
      </c>
      <c r="F4973" s="74">
        <v>238.9</v>
      </c>
      <c r="G4973" s="758">
        <f t="shared" si="308"/>
        <v>3.5</v>
      </c>
      <c r="H4973" s="759">
        <f t="shared" si="309"/>
        <v>0.26</v>
      </c>
      <c r="I4973" s="758">
        <f t="shared" si="310"/>
        <v>11.43125</v>
      </c>
      <c r="J4973" s="760">
        <f t="shared" si="311"/>
        <v>0.76559229803264961</v>
      </c>
    </row>
    <row r="4974" spans="1:10">
      <c r="A4974" s="74" t="s">
        <v>686</v>
      </c>
      <c r="B4974" s="74" t="s">
        <v>274</v>
      </c>
      <c r="C4974" s="74" t="s">
        <v>1513</v>
      </c>
      <c r="D4974" s="74" t="s">
        <v>81</v>
      </c>
      <c r="E4974" s="74">
        <v>39</v>
      </c>
      <c r="F4974" s="74">
        <v>533.99</v>
      </c>
      <c r="G4974" s="758">
        <f t="shared" si="308"/>
        <v>3.5</v>
      </c>
      <c r="H4974" s="759">
        <f t="shared" si="309"/>
        <v>0.26</v>
      </c>
      <c r="I4974" s="758">
        <f t="shared" si="310"/>
        <v>10.192051282051283</v>
      </c>
      <c r="J4974" s="760">
        <f t="shared" si="311"/>
        <v>0.74437723552875523</v>
      </c>
    </row>
    <row r="4975" spans="1:10">
      <c r="A4975" s="74" t="s">
        <v>686</v>
      </c>
      <c r="B4975" s="74" t="s">
        <v>274</v>
      </c>
      <c r="C4975" s="74" t="s">
        <v>1514</v>
      </c>
      <c r="D4975" s="74" t="s">
        <v>81</v>
      </c>
      <c r="E4975" s="74">
        <v>21</v>
      </c>
      <c r="F4975" s="74">
        <v>299.48</v>
      </c>
      <c r="G4975" s="758">
        <f t="shared" si="308"/>
        <v>3.5</v>
      </c>
      <c r="H4975" s="759">
        <f t="shared" si="309"/>
        <v>0.26</v>
      </c>
      <c r="I4975" s="758">
        <f t="shared" si="310"/>
        <v>10.760952380952382</v>
      </c>
      <c r="J4975" s="760">
        <f t="shared" si="311"/>
        <v>0.75457459596634169</v>
      </c>
    </row>
    <row r="4976" spans="1:10">
      <c r="A4976" s="74" t="s">
        <v>686</v>
      </c>
      <c r="B4976" s="74" t="s">
        <v>274</v>
      </c>
      <c r="C4976" s="74" t="s">
        <v>1515</v>
      </c>
      <c r="D4976" s="74" t="s">
        <v>81</v>
      </c>
      <c r="E4976" s="74">
        <v>22</v>
      </c>
      <c r="F4976" s="74">
        <v>507.36</v>
      </c>
      <c r="G4976" s="758">
        <f t="shared" si="308"/>
        <v>3.5</v>
      </c>
      <c r="H4976" s="759">
        <f t="shared" si="309"/>
        <v>0.26</v>
      </c>
      <c r="I4976" s="758">
        <f t="shared" si="310"/>
        <v>19.561818181818182</v>
      </c>
      <c r="J4976" s="760">
        <f t="shared" si="311"/>
        <v>0.84823399558498891</v>
      </c>
    </row>
    <row r="4977" spans="1:10">
      <c r="A4977" s="74" t="s">
        <v>686</v>
      </c>
      <c r="B4977" s="74" t="s">
        <v>274</v>
      </c>
      <c r="C4977" s="74" t="s">
        <v>1516</v>
      </c>
      <c r="D4977" s="74" t="s">
        <v>82</v>
      </c>
      <c r="E4977" s="74">
        <v>17</v>
      </c>
      <c r="F4977" s="74">
        <v>260.8</v>
      </c>
      <c r="G4977" s="758">
        <f t="shared" si="308"/>
        <v>3.5</v>
      </c>
      <c r="H4977" s="759">
        <f t="shared" si="309"/>
        <v>0.26</v>
      </c>
      <c r="I4977" s="758">
        <f t="shared" si="310"/>
        <v>11.841176470588236</v>
      </c>
      <c r="J4977" s="760">
        <f t="shared" si="311"/>
        <v>0.77185582822085896</v>
      </c>
    </row>
    <row r="4978" spans="1:10">
      <c r="A4978" s="74" t="s">
        <v>686</v>
      </c>
      <c r="B4978" s="74" t="s">
        <v>274</v>
      </c>
      <c r="C4978" s="74" t="s">
        <v>1517</v>
      </c>
      <c r="D4978" s="74" t="s">
        <v>82</v>
      </c>
      <c r="E4978" s="74">
        <v>16</v>
      </c>
      <c r="F4978" s="74">
        <v>238.4</v>
      </c>
      <c r="G4978" s="758">
        <f t="shared" si="308"/>
        <v>3.5</v>
      </c>
      <c r="H4978" s="759">
        <f t="shared" si="309"/>
        <v>0.26</v>
      </c>
      <c r="I4978" s="758">
        <f t="shared" si="310"/>
        <v>11.4</v>
      </c>
      <c r="J4978" s="760">
        <f t="shared" si="311"/>
        <v>0.7651006711409396</v>
      </c>
    </row>
    <row r="4979" spans="1:10">
      <c r="A4979" s="74" t="s">
        <v>686</v>
      </c>
      <c r="B4979" s="74" t="s">
        <v>274</v>
      </c>
      <c r="C4979" s="74" t="s">
        <v>1527</v>
      </c>
      <c r="D4979" s="74" t="s">
        <v>82</v>
      </c>
      <c r="E4979" s="74">
        <v>10</v>
      </c>
      <c r="F4979" s="74">
        <v>149.5</v>
      </c>
      <c r="G4979" s="758">
        <f t="shared" si="308"/>
        <v>3.5</v>
      </c>
      <c r="H4979" s="759">
        <f t="shared" si="309"/>
        <v>0.26</v>
      </c>
      <c r="I4979" s="758">
        <f t="shared" si="310"/>
        <v>11.45</v>
      </c>
      <c r="J4979" s="760">
        <f t="shared" si="311"/>
        <v>0.76588628762541799</v>
      </c>
    </row>
    <row r="4980" spans="1:10">
      <c r="A4980" s="74" t="s">
        <v>686</v>
      </c>
      <c r="B4980" s="74" t="s">
        <v>274</v>
      </c>
      <c r="C4980" s="74" t="s">
        <v>1518</v>
      </c>
      <c r="D4980" s="74" t="s">
        <v>82</v>
      </c>
      <c r="E4980" s="74">
        <v>10</v>
      </c>
      <c r="F4980" s="74">
        <v>150.25</v>
      </c>
      <c r="G4980" s="758">
        <f t="shared" si="308"/>
        <v>3.5</v>
      </c>
      <c r="H4980" s="759">
        <f t="shared" si="309"/>
        <v>0.26</v>
      </c>
      <c r="I4980" s="758">
        <f t="shared" si="310"/>
        <v>11.525</v>
      </c>
      <c r="J4980" s="760">
        <f t="shared" si="311"/>
        <v>0.76705490848585689</v>
      </c>
    </row>
    <row r="4981" spans="1:10">
      <c r="A4981" s="74" t="s">
        <v>686</v>
      </c>
      <c r="B4981" s="74" t="s">
        <v>274</v>
      </c>
      <c r="C4981" s="74" t="s">
        <v>1519</v>
      </c>
      <c r="D4981" s="74" t="s">
        <v>84</v>
      </c>
      <c r="E4981" s="74">
        <v>5</v>
      </c>
      <c r="F4981" s="74">
        <v>72.02</v>
      </c>
      <c r="G4981" s="758">
        <f t="shared" si="308"/>
        <v>3.5</v>
      </c>
      <c r="H4981" s="759">
        <f t="shared" si="309"/>
        <v>0.26</v>
      </c>
      <c r="I4981" s="758">
        <f t="shared" si="310"/>
        <v>10.904</v>
      </c>
      <c r="J4981" s="760">
        <f t="shared" si="311"/>
        <v>0.75701194112746462</v>
      </c>
    </row>
    <row r="4982" spans="1:10">
      <c r="A4982" s="74" t="s">
        <v>700</v>
      </c>
      <c r="B4982" s="74" t="s">
        <v>274</v>
      </c>
      <c r="C4982" s="74" t="s">
        <v>1528</v>
      </c>
      <c r="D4982" s="74" t="s">
        <v>78</v>
      </c>
      <c r="E4982" s="74">
        <v>4</v>
      </c>
      <c r="F4982" s="74">
        <v>27</v>
      </c>
      <c r="G4982" s="758">
        <f t="shared" si="308"/>
        <v>1.79</v>
      </c>
      <c r="H4982" s="759">
        <f t="shared" si="309"/>
        <v>0.21</v>
      </c>
      <c r="I4982" s="758">
        <f t="shared" si="310"/>
        <v>4.96</v>
      </c>
      <c r="J4982" s="760">
        <f t="shared" si="311"/>
        <v>0.73481481481481481</v>
      </c>
    </row>
    <row r="4983" spans="1:10">
      <c r="A4983" s="74" t="s">
        <v>700</v>
      </c>
      <c r="B4983" s="74" t="s">
        <v>274</v>
      </c>
      <c r="C4983" s="74" t="s">
        <v>1508</v>
      </c>
      <c r="D4983" s="74" t="s">
        <v>78</v>
      </c>
      <c r="E4983" s="74">
        <v>7</v>
      </c>
      <c r="F4983" s="74">
        <v>63.09</v>
      </c>
      <c r="G4983" s="758">
        <f t="shared" si="308"/>
        <v>1.79</v>
      </c>
      <c r="H4983" s="759">
        <f t="shared" si="309"/>
        <v>0.21</v>
      </c>
      <c r="I4983" s="758">
        <f t="shared" si="310"/>
        <v>7.2228571428571433</v>
      </c>
      <c r="J4983" s="760">
        <f t="shared" si="311"/>
        <v>0.80139483277857027</v>
      </c>
    </row>
    <row r="4984" spans="1:10">
      <c r="A4984" s="74" t="s">
        <v>700</v>
      </c>
      <c r="B4984" s="74" t="s">
        <v>274</v>
      </c>
      <c r="C4984" s="74" t="s">
        <v>1509</v>
      </c>
      <c r="D4984" s="74" t="s">
        <v>78</v>
      </c>
      <c r="E4984" s="74">
        <v>4</v>
      </c>
      <c r="F4984" s="74">
        <v>36</v>
      </c>
      <c r="G4984" s="758">
        <f t="shared" si="308"/>
        <v>1.79</v>
      </c>
      <c r="H4984" s="759">
        <f t="shared" si="309"/>
        <v>0.21</v>
      </c>
      <c r="I4984" s="758">
        <f t="shared" si="310"/>
        <v>7.21</v>
      </c>
      <c r="J4984" s="760">
        <f t="shared" si="311"/>
        <v>0.80111111111111111</v>
      </c>
    </row>
    <row r="4985" spans="1:10">
      <c r="A4985" s="74" t="s">
        <v>700</v>
      </c>
      <c r="B4985" s="74" t="s">
        <v>274</v>
      </c>
      <c r="C4985" s="74" t="s">
        <v>1565</v>
      </c>
      <c r="D4985" s="74" t="s">
        <v>78</v>
      </c>
      <c r="E4985" s="74">
        <v>4</v>
      </c>
      <c r="F4985" s="74">
        <v>36.090000000000003</v>
      </c>
      <c r="G4985" s="758">
        <f t="shared" si="308"/>
        <v>1.79</v>
      </c>
      <c r="H4985" s="759">
        <f t="shared" si="309"/>
        <v>0.21</v>
      </c>
      <c r="I4985" s="758">
        <f t="shared" si="310"/>
        <v>7.2325000000000008</v>
      </c>
      <c r="J4985" s="760">
        <f t="shared" si="311"/>
        <v>0.80160709337766689</v>
      </c>
    </row>
    <row r="4986" spans="1:10">
      <c r="A4986" s="74" t="s">
        <v>700</v>
      </c>
      <c r="B4986" s="74" t="s">
        <v>274</v>
      </c>
      <c r="C4986" s="74" t="s">
        <v>1530</v>
      </c>
      <c r="D4986" s="74" t="s">
        <v>80</v>
      </c>
      <c r="E4986" s="74">
        <v>1</v>
      </c>
      <c r="F4986" s="74">
        <v>9.09</v>
      </c>
      <c r="G4986" s="758">
        <f t="shared" si="308"/>
        <v>1.79</v>
      </c>
      <c r="H4986" s="759">
        <f t="shared" si="309"/>
        <v>0.21</v>
      </c>
      <c r="I4986" s="758">
        <f t="shared" si="310"/>
        <v>7.3</v>
      </c>
      <c r="J4986" s="760">
        <f t="shared" si="311"/>
        <v>0.8030803080308031</v>
      </c>
    </row>
    <row r="4987" spans="1:10">
      <c r="A4987" s="74" t="s">
        <v>700</v>
      </c>
      <c r="B4987" s="74" t="s">
        <v>274</v>
      </c>
      <c r="C4987" s="74" t="s">
        <v>1532</v>
      </c>
      <c r="D4987" s="74" t="s">
        <v>80</v>
      </c>
      <c r="E4987" s="74">
        <v>1</v>
      </c>
      <c r="F4987" s="74">
        <v>9.09</v>
      </c>
      <c r="G4987" s="758">
        <f t="shared" si="308"/>
        <v>1.79</v>
      </c>
      <c r="H4987" s="759">
        <f t="shared" si="309"/>
        <v>0.21</v>
      </c>
      <c r="I4987" s="758">
        <f t="shared" si="310"/>
        <v>7.3</v>
      </c>
      <c r="J4987" s="760">
        <f t="shared" si="311"/>
        <v>0.8030803080308031</v>
      </c>
    </row>
    <row r="4988" spans="1:10">
      <c r="A4988" s="74" t="s">
        <v>700</v>
      </c>
      <c r="B4988" s="74" t="s">
        <v>274</v>
      </c>
      <c r="C4988" s="74" t="s">
        <v>1511</v>
      </c>
      <c r="D4988" s="74" t="s">
        <v>80</v>
      </c>
      <c r="E4988" s="74">
        <v>12</v>
      </c>
      <c r="F4988" s="74">
        <v>109.55</v>
      </c>
      <c r="G4988" s="758">
        <f t="shared" si="308"/>
        <v>1.79</v>
      </c>
      <c r="H4988" s="759">
        <f t="shared" si="309"/>
        <v>0.21</v>
      </c>
      <c r="I4988" s="758">
        <f t="shared" si="310"/>
        <v>7.3391666666666664</v>
      </c>
      <c r="J4988" s="760">
        <f t="shared" si="311"/>
        <v>0.80392514833409401</v>
      </c>
    </row>
    <row r="4989" spans="1:10">
      <c r="A4989" s="74" t="s">
        <v>700</v>
      </c>
      <c r="B4989" s="74" t="s">
        <v>274</v>
      </c>
      <c r="C4989" s="74" t="s">
        <v>1512</v>
      </c>
      <c r="D4989" s="74" t="s">
        <v>80</v>
      </c>
      <c r="E4989" s="74">
        <v>4</v>
      </c>
      <c r="F4989" s="74">
        <v>36.82</v>
      </c>
      <c r="G4989" s="758">
        <f t="shared" si="308"/>
        <v>1.79</v>
      </c>
      <c r="H4989" s="759">
        <f t="shared" si="309"/>
        <v>0.21</v>
      </c>
      <c r="I4989" s="758">
        <f t="shared" si="310"/>
        <v>7.415</v>
      </c>
      <c r="J4989" s="760">
        <f t="shared" si="311"/>
        <v>0.80554046713742533</v>
      </c>
    </row>
    <row r="4990" spans="1:10">
      <c r="A4990" s="74" t="s">
        <v>700</v>
      </c>
      <c r="B4990" s="74" t="s">
        <v>274</v>
      </c>
      <c r="C4990" s="74" t="s">
        <v>1513</v>
      </c>
      <c r="D4990" s="74" t="s">
        <v>81</v>
      </c>
      <c r="E4990" s="74">
        <v>26</v>
      </c>
      <c r="F4990" s="74">
        <v>237.73</v>
      </c>
      <c r="G4990" s="758">
        <f t="shared" si="308"/>
        <v>1.79</v>
      </c>
      <c r="H4990" s="759">
        <f t="shared" si="309"/>
        <v>0.21</v>
      </c>
      <c r="I4990" s="758">
        <f t="shared" si="310"/>
        <v>7.3534615384615387</v>
      </c>
      <c r="J4990" s="760">
        <f t="shared" si="311"/>
        <v>0.80423169141463002</v>
      </c>
    </row>
    <row r="4991" spans="1:10">
      <c r="A4991" s="74" t="s">
        <v>700</v>
      </c>
      <c r="B4991" s="74" t="s">
        <v>274</v>
      </c>
      <c r="C4991" s="74" t="s">
        <v>1514</v>
      </c>
      <c r="D4991" s="74" t="s">
        <v>81</v>
      </c>
      <c r="E4991" s="74">
        <v>4</v>
      </c>
      <c r="F4991" s="74">
        <v>36.36</v>
      </c>
      <c r="G4991" s="758">
        <f t="shared" si="308"/>
        <v>1.79</v>
      </c>
      <c r="H4991" s="759">
        <f t="shared" si="309"/>
        <v>0.21</v>
      </c>
      <c r="I4991" s="758">
        <f t="shared" si="310"/>
        <v>7.3</v>
      </c>
      <c r="J4991" s="760">
        <f t="shared" si="311"/>
        <v>0.8030803080308031</v>
      </c>
    </row>
    <row r="4992" spans="1:10">
      <c r="A4992" s="74" t="s">
        <v>700</v>
      </c>
      <c r="B4992" s="74" t="s">
        <v>274</v>
      </c>
      <c r="C4992" s="74" t="s">
        <v>1515</v>
      </c>
      <c r="D4992" s="74" t="s">
        <v>81</v>
      </c>
      <c r="E4992" s="74">
        <v>10</v>
      </c>
      <c r="F4992" s="74">
        <v>91.59</v>
      </c>
      <c r="G4992" s="758">
        <f t="shared" si="308"/>
        <v>1.79</v>
      </c>
      <c r="H4992" s="759">
        <f t="shared" si="309"/>
        <v>0.21</v>
      </c>
      <c r="I4992" s="758">
        <f t="shared" si="310"/>
        <v>7.3690000000000007</v>
      </c>
      <c r="J4992" s="760">
        <f t="shared" si="311"/>
        <v>0.80456381701059065</v>
      </c>
    </row>
    <row r="4993" spans="1:10">
      <c r="A4993" s="74" t="s">
        <v>1129</v>
      </c>
      <c r="B4993" s="74" t="s">
        <v>326</v>
      </c>
      <c r="C4993" s="74" t="s">
        <v>1547</v>
      </c>
      <c r="D4993" s="74" t="s">
        <v>89</v>
      </c>
      <c r="E4993" s="74">
        <v>1</v>
      </c>
      <c r="F4993" s="74">
        <v>9.75</v>
      </c>
      <c r="G4993" s="758">
        <f t="shared" si="308"/>
        <v>1.66</v>
      </c>
      <c r="H4993" s="759">
        <f t="shared" si="309"/>
        <v>0.21</v>
      </c>
      <c r="I4993" s="758">
        <f t="shared" si="310"/>
        <v>8.09</v>
      </c>
      <c r="J4993" s="760">
        <f t="shared" si="311"/>
        <v>0.82974358974358975</v>
      </c>
    </row>
    <row r="4994" spans="1:10">
      <c r="A4994" s="74" t="s">
        <v>812</v>
      </c>
      <c r="B4994" s="74" t="s">
        <v>274</v>
      </c>
      <c r="C4994" s="74" t="s">
        <v>1565</v>
      </c>
      <c r="D4994" s="74" t="s">
        <v>78</v>
      </c>
      <c r="E4994" s="74">
        <v>1</v>
      </c>
      <c r="F4994" s="74">
        <v>12.9</v>
      </c>
      <c r="G4994" s="758">
        <f t="shared" ref="G4994:G5057" si="312">IFERROR(VLOOKUP(A4994,$M$1:$P$1014,2,FALSE),0)</f>
        <v>1.78</v>
      </c>
      <c r="H4994" s="759">
        <f t="shared" ref="H4994:H5057" si="313">IFERROR(VLOOKUP(A4994,$M$1:$P$1014,3,FALSE),0)</f>
        <v>0.24</v>
      </c>
      <c r="I4994" s="758">
        <f t="shared" ref="I4994:I5057" si="314">IFERROR(F4994/E4994-G4994,0)</f>
        <v>11.120000000000001</v>
      </c>
      <c r="J4994" s="760">
        <f t="shared" ref="J4994:J5057" si="315">IFERROR(1-G4994*E4994/F4994,0)</f>
        <v>0.86201550387596892</v>
      </c>
    </row>
    <row r="4995" spans="1:10">
      <c r="A4995" s="74" t="s">
        <v>812</v>
      </c>
      <c r="B4995" s="74" t="s">
        <v>274</v>
      </c>
      <c r="C4995" s="74" t="s">
        <v>1512</v>
      </c>
      <c r="D4995" s="74" t="s">
        <v>80</v>
      </c>
      <c r="E4995" s="74">
        <v>1</v>
      </c>
      <c r="F4995" s="74">
        <v>11.73</v>
      </c>
      <c r="G4995" s="758">
        <f t="shared" si="312"/>
        <v>1.78</v>
      </c>
      <c r="H4995" s="759">
        <f t="shared" si="313"/>
        <v>0.24</v>
      </c>
      <c r="I4995" s="758">
        <f t="shared" si="314"/>
        <v>9.9500000000000011</v>
      </c>
      <c r="J4995" s="760">
        <f t="shared" si="315"/>
        <v>0.84825234441602726</v>
      </c>
    </row>
    <row r="4996" spans="1:10">
      <c r="A4996" s="74" t="s">
        <v>812</v>
      </c>
      <c r="B4996" s="74" t="s">
        <v>274</v>
      </c>
      <c r="C4996" s="74" t="s">
        <v>1516</v>
      </c>
      <c r="D4996" s="74" t="s">
        <v>82</v>
      </c>
      <c r="E4996" s="74">
        <v>3</v>
      </c>
      <c r="F4996" s="74">
        <v>39.700000000000003</v>
      </c>
      <c r="G4996" s="758">
        <f t="shared" si="312"/>
        <v>1.78</v>
      </c>
      <c r="H4996" s="759">
        <f t="shared" si="313"/>
        <v>0.24</v>
      </c>
      <c r="I4996" s="758">
        <f t="shared" si="314"/>
        <v>11.453333333333335</v>
      </c>
      <c r="J4996" s="760">
        <f t="shared" si="315"/>
        <v>0.86549118387909318</v>
      </c>
    </row>
    <row r="4997" spans="1:10">
      <c r="A4997" s="74" t="s">
        <v>812</v>
      </c>
      <c r="B4997" s="74" t="s">
        <v>274</v>
      </c>
      <c r="C4997" s="74" t="s">
        <v>1517</v>
      </c>
      <c r="D4997" s="74" t="s">
        <v>82</v>
      </c>
      <c r="E4997" s="74">
        <v>1</v>
      </c>
      <c r="F4997" s="74">
        <v>12.9</v>
      </c>
      <c r="G4997" s="758">
        <f t="shared" si="312"/>
        <v>1.78</v>
      </c>
      <c r="H4997" s="759">
        <f t="shared" si="313"/>
        <v>0.24</v>
      </c>
      <c r="I4997" s="758">
        <f t="shared" si="314"/>
        <v>11.120000000000001</v>
      </c>
      <c r="J4997" s="760">
        <f t="shared" si="315"/>
        <v>0.86201550387596892</v>
      </c>
    </row>
    <row r="4998" spans="1:10">
      <c r="A4998" s="74" t="s">
        <v>812</v>
      </c>
      <c r="B4998" s="74" t="s">
        <v>274</v>
      </c>
      <c r="C4998" s="74" t="s">
        <v>1527</v>
      </c>
      <c r="D4998" s="74" t="s">
        <v>82</v>
      </c>
      <c r="E4998" s="74">
        <v>1</v>
      </c>
      <c r="F4998" s="74">
        <v>12.9</v>
      </c>
      <c r="G4998" s="758">
        <f t="shared" si="312"/>
        <v>1.78</v>
      </c>
      <c r="H4998" s="759">
        <f t="shared" si="313"/>
        <v>0.24</v>
      </c>
      <c r="I4998" s="758">
        <f t="shared" si="314"/>
        <v>11.120000000000001</v>
      </c>
      <c r="J4998" s="760">
        <f t="shared" si="315"/>
        <v>0.86201550387596892</v>
      </c>
    </row>
    <row r="4999" spans="1:10">
      <c r="A4999" s="74" t="s">
        <v>812</v>
      </c>
      <c r="B4999" s="74" t="s">
        <v>274</v>
      </c>
      <c r="C4999" s="74" t="s">
        <v>1518</v>
      </c>
      <c r="D4999" s="74" t="s">
        <v>82</v>
      </c>
      <c r="E4999" s="74">
        <v>1</v>
      </c>
      <c r="F4999" s="74">
        <v>12.9</v>
      </c>
      <c r="G4999" s="758">
        <f t="shared" si="312"/>
        <v>1.78</v>
      </c>
      <c r="H4999" s="759">
        <f t="shared" si="313"/>
        <v>0.24</v>
      </c>
      <c r="I4999" s="758">
        <f t="shared" si="314"/>
        <v>11.120000000000001</v>
      </c>
      <c r="J4999" s="760">
        <f t="shared" si="315"/>
        <v>0.86201550387596892</v>
      </c>
    </row>
    <row r="5000" spans="1:10">
      <c r="A5000" s="74" t="s">
        <v>812</v>
      </c>
      <c r="B5000" s="74" t="s">
        <v>274</v>
      </c>
      <c r="C5000" s="74" t="s">
        <v>1644</v>
      </c>
      <c r="D5000" s="74" t="s">
        <v>86</v>
      </c>
      <c r="E5000" s="74">
        <v>1</v>
      </c>
      <c r="F5000" s="74">
        <v>12.9</v>
      </c>
      <c r="G5000" s="758">
        <f t="shared" si="312"/>
        <v>1.78</v>
      </c>
      <c r="H5000" s="759">
        <f t="shared" si="313"/>
        <v>0.24</v>
      </c>
      <c r="I5000" s="758">
        <f t="shared" si="314"/>
        <v>11.120000000000001</v>
      </c>
      <c r="J5000" s="760">
        <f t="shared" si="315"/>
        <v>0.86201550387596892</v>
      </c>
    </row>
    <row r="5001" spans="1:10">
      <c r="A5001" s="74" t="s">
        <v>812</v>
      </c>
      <c r="B5001" s="74" t="s">
        <v>274</v>
      </c>
      <c r="C5001" s="74" t="s">
        <v>1610</v>
      </c>
      <c r="D5001" s="74" t="s">
        <v>89</v>
      </c>
      <c r="E5001" s="74">
        <v>1</v>
      </c>
      <c r="F5001" s="74">
        <v>13.15</v>
      </c>
      <c r="G5001" s="758">
        <f t="shared" si="312"/>
        <v>1.78</v>
      </c>
      <c r="H5001" s="759">
        <f t="shared" si="313"/>
        <v>0.24</v>
      </c>
      <c r="I5001" s="758">
        <f t="shared" si="314"/>
        <v>11.370000000000001</v>
      </c>
      <c r="J5001" s="760">
        <f t="shared" si="315"/>
        <v>0.86463878326996202</v>
      </c>
    </row>
    <row r="5002" spans="1:10">
      <c r="A5002" s="74" t="s">
        <v>812</v>
      </c>
      <c r="B5002" s="74" t="s">
        <v>274</v>
      </c>
      <c r="C5002" s="74" t="s">
        <v>1522</v>
      </c>
      <c r="D5002" s="74" t="s">
        <v>91</v>
      </c>
      <c r="E5002" s="74">
        <v>1</v>
      </c>
      <c r="F5002" s="74">
        <v>12.9</v>
      </c>
      <c r="G5002" s="758">
        <f t="shared" si="312"/>
        <v>1.78</v>
      </c>
      <c r="H5002" s="759">
        <f t="shared" si="313"/>
        <v>0.24</v>
      </c>
      <c r="I5002" s="758">
        <f t="shared" si="314"/>
        <v>11.120000000000001</v>
      </c>
      <c r="J5002" s="760">
        <f t="shared" si="315"/>
        <v>0.86201550387596892</v>
      </c>
    </row>
    <row r="5003" spans="1:10">
      <c r="A5003" s="74" t="s">
        <v>812</v>
      </c>
      <c r="B5003" s="74" t="s">
        <v>274</v>
      </c>
      <c r="C5003" s="74" t="s">
        <v>1550</v>
      </c>
      <c r="D5003" s="74" t="s">
        <v>91</v>
      </c>
      <c r="E5003" s="74">
        <v>1</v>
      </c>
      <c r="F5003" s="74">
        <v>12.9</v>
      </c>
      <c r="G5003" s="758">
        <f t="shared" si="312"/>
        <v>1.78</v>
      </c>
      <c r="H5003" s="759">
        <f t="shared" si="313"/>
        <v>0.24</v>
      </c>
      <c r="I5003" s="758">
        <f t="shared" si="314"/>
        <v>11.120000000000001</v>
      </c>
      <c r="J5003" s="760">
        <f t="shared" si="315"/>
        <v>0.86201550387596892</v>
      </c>
    </row>
    <row r="5004" spans="1:10">
      <c r="A5004" s="74" t="s">
        <v>2061</v>
      </c>
      <c r="B5004" s="74" t="s">
        <v>274</v>
      </c>
      <c r="C5004" s="74" t="s">
        <v>1517</v>
      </c>
      <c r="D5004" s="74" t="s">
        <v>82</v>
      </c>
      <c r="E5004" s="74">
        <v>4</v>
      </c>
      <c r="F5004" s="74">
        <v>0</v>
      </c>
      <c r="G5004" s="758">
        <f t="shared" si="312"/>
        <v>2.8</v>
      </c>
      <c r="H5004" s="759">
        <f t="shared" si="313"/>
        <v>0</v>
      </c>
      <c r="I5004" s="758">
        <f t="shared" si="314"/>
        <v>-2.8</v>
      </c>
      <c r="J5004" s="760">
        <f t="shared" si="315"/>
        <v>0</v>
      </c>
    </row>
    <row r="5005" spans="1:10">
      <c r="A5005" s="74" t="s">
        <v>2062</v>
      </c>
      <c r="B5005" s="74" t="s">
        <v>2288</v>
      </c>
      <c r="C5005" s="74" t="s">
        <v>1565</v>
      </c>
      <c r="D5005" s="74" t="s">
        <v>78</v>
      </c>
      <c r="E5005" s="74">
        <v>2</v>
      </c>
      <c r="F5005" s="74">
        <v>23.8</v>
      </c>
      <c r="G5005" s="758">
        <f t="shared" si="312"/>
        <v>2.0099999999999998</v>
      </c>
      <c r="H5005" s="759">
        <f t="shared" si="313"/>
        <v>0.19</v>
      </c>
      <c r="I5005" s="758">
        <f t="shared" si="314"/>
        <v>9.89</v>
      </c>
      <c r="J5005" s="760">
        <f t="shared" si="315"/>
        <v>0.83109243697478996</v>
      </c>
    </row>
    <row r="5006" spans="1:10">
      <c r="A5006" s="74" t="s">
        <v>705</v>
      </c>
      <c r="B5006" s="74" t="s">
        <v>274</v>
      </c>
      <c r="C5006" s="74" t="s">
        <v>1528</v>
      </c>
      <c r="D5006" s="74" t="s">
        <v>78</v>
      </c>
      <c r="E5006" s="74">
        <v>7</v>
      </c>
      <c r="F5006" s="74">
        <v>65.150000000000006</v>
      </c>
      <c r="G5006" s="758">
        <f t="shared" si="312"/>
        <v>1.84</v>
      </c>
      <c r="H5006" s="759">
        <f t="shared" si="313"/>
        <v>0.21</v>
      </c>
      <c r="I5006" s="758">
        <f t="shared" si="314"/>
        <v>7.4671428571428589</v>
      </c>
      <c r="J5006" s="760">
        <f t="shared" si="315"/>
        <v>0.80230237912509594</v>
      </c>
    </row>
    <row r="5007" spans="1:10">
      <c r="A5007" s="74" t="s">
        <v>705</v>
      </c>
      <c r="B5007" s="74" t="s">
        <v>274</v>
      </c>
      <c r="C5007" s="74" t="s">
        <v>1508</v>
      </c>
      <c r="D5007" s="74" t="s">
        <v>78</v>
      </c>
      <c r="E5007" s="74">
        <v>2</v>
      </c>
      <c r="F5007" s="74">
        <v>18.36</v>
      </c>
      <c r="G5007" s="758">
        <f t="shared" si="312"/>
        <v>1.84</v>
      </c>
      <c r="H5007" s="759">
        <f t="shared" si="313"/>
        <v>0.21</v>
      </c>
      <c r="I5007" s="758">
        <f t="shared" si="314"/>
        <v>7.34</v>
      </c>
      <c r="J5007" s="760">
        <f t="shared" si="315"/>
        <v>0.79956427015250542</v>
      </c>
    </row>
    <row r="5008" spans="1:10">
      <c r="A5008" s="74" t="s">
        <v>705</v>
      </c>
      <c r="B5008" s="74" t="s">
        <v>274</v>
      </c>
      <c r="C5008" s="74" t="s">
        <v>1509</v>
      </c>
      <c r="D5008" s="74" t="s">
        <v>78</v>
      </c>
      <c r="E5008" s="74">
        <v>2</v>
      </c>
      <c r="F5008" s="74">
        <v>18.5</v>
      </c>
      <c r="G5008" s="758">
        <f t="shared" si="312"/>
        <v>1.84</v>
      </c>
      <c r="H5008" s="759">
        <f t="shared" si="313"/>
        <v>0.21</v>
      </c>
      <c r="I5008" s="758">
        <f t="shared" si="314"/>
        <v>7.41</v>
      </c>
      <c r="J5008" s="760">
        <f t="shared" si="315"/>
        <v>0.80108108108108111</v>
      </c>
    </row>
    <row r="5009" spans="1:10">
      <c r="A5009" s="74" t="s">
        <v>705</v>
      </c>
      <c r="B5009" s="74" t="s">
        <v>274</v>
      </c>
      <c r="C5009" s="74" t="s">
        <v>1565</v>
      </c>
      <c r="D5009" s="74" t="s">
        <v>78</v>
      </c>
      <c r="E5009" s="74">
        <v>13</v>
      </c>
      <c r="F5009" s="74">
        <v>125.75</v>
      </c>
      <c r="G5009" s="758">
        <f t="shared" si="312"/>
        <v>1.84</v>
      </c>
      <c r="H5009" s="759">
        <f t="shared" si="313"/>
        <v>0.21</v>
      </c>
      <c r="I5009" s="758">
        <f t="shared" si="314"/>
        <v>7.8330769230769235</v>
      </c>
      <c r="J5009" s="760">
        <f t="shared" si="315"/>
        <v>0.80978131212723659</v>
      </c>
    </row>
    <row r="5010" spans="1:10">
      <c r="A5010" s="74" t="s">
        <v>705</v>
      </c>
      <c r="B5010" s="74" t="s">
        <v>274</v>
      </c>
      <c r="C5010" s="74" t="s">
        <v>1530</v>
      </c>
      <c r="D5010" s="74" t="s">
        <v>80</v>
      </c>
      <c r="E5010" s="74">
        <v>1</v>
      </c>
      <c r="F5010" s="74">
        <v>9.75</v>
      </c>
      <c r="G5010" s="758">
        <f t="shared" si="312"/>
        <v>1.84</v>
      </c>
      <c r="H5010" s="759">
        <f t="shared" si="313"/>
        <v>0.21</v>
      </c>
      <c r="I5010" s="758">
        <f t="shared" si="314"/>
        <v>7.91</v>
      </c>
      <c r="J5010" s="760">
        <f t="shared" si="315"/>
        <v>0.81128205128205133</v>
      </c>
    </row>
    <row r="5011" spans="1:10">
      <c r="A5011" s="74" t="s">
        <v>705</v>
      </c>
      <c r="B5011" s="74" t="s">
        <v>274</v>
      </c>
      <c r="C5011" s="74" t="s">
        <v>1532</v>
      </c>
      <c r="D5011" s="74" t="s">
        <v>80</v>
      </c>
      <c r="E5011" s="74">
        <v>4</v>
      </c>
      <c r="F5011" s="74">
        <v>38.5</v>
      </c>
      <c r="G5011" s="758">
        <f t="shared" si="312"/>
        <v>1.84</v>
      </c>
      <c r="H5011" s="759">
        <f t="shared" si="313"/>
        <v>0.21</v>
      </c>
      <c r="I5011" s="758">
        <f t="shared" si="314"/>
        <v>7.7850000000000001</v>
      </c>
      <c r="J5011" s="760">
        <f t="shared" si="315"/>
        <v>0.80883116883116879</v>
      </c>
    </row>
    <row r="5012" spans="1:10">
      <c r="A5012" s="74" t="s">
        <v>705</v>
      </c>
      <c r="B5012" s="74" t="s">
        <v>274</v>
      </c>
      <c r="C5012" s="74" t="s">
        <v>1511</v>
      </c>
      <c r="D5012" s="74" t="s">
        <v>80</v>
      </c>
      <c r="E5012" s="74">
        <v>8</v>
      </c>
      <c r="F5012" s="74">
        <v>75.5</v>
      </c>
      <c r="G5012" s="758">
        <f t="shared" si="312"/>
        <v>1.84</v>
      </c>
      <c r="H5012" s="759">
        <f t="shared" si="313"/>
        <v>0.21</v>
      </c>
      <c r="I5012" s="758">
        <f t="shared" si="314"/>
        <v>7.5975000000000001</v>
      </c>
      <c r="J5012" s="760">
        <f t="shared" si="315"/>
        <v>0.80503311258278143</v>
      </c>
    </row>
    <row r="5013" spans="1:10">
      <c r="A5013" s="74" t="s">
        <v>705</v>
      </c>
      <c r="B5013" s="74" t="s">
        <v>274</v>
      </c>
      <c r="C5013" s="74" t="s">
        <v>1512</v>
      </c>
      <c r="D5013" s="74" t="s">
        <v>80</v>
      </c>
      <c r="E5013" s="74">
        <v>15</v>
      </c>
      <c r="F5013" s="74">
        <v>140.59</v>
      </c>
      <c r="G5013" s="758">
        <f t="shared" si="312"/>
        <v>1.84</v>
      </c>
      <c r="H5013" s="759">
        <f t="shared" si="313"/>
        <v>0.21</v>
      </c>
      <c r="I5013" s="758">
        <f t="shared" si="314"/>
        <v>7.5326666666666675</v>
      </c>
      <c r="J5013" s="760">
        <f t="shared" si="315"/>
        <v>0.8036844725798421</v>
      </c>
    </row>
    <row r="5014" spans="1:10">
      <c r="A5014" s="74" t="s">
        <v>705</v>
      </c>
      <c r="B5014" s="74" t="s">
        <v>274</v>
      </c>
      <c r="C5014" s="74" t="s">
        <v>1534</v>
      </c>
      <c r="D5014" s="74" t="s">
        <v>81</v>
      </c>
      <c r="E5014" s="74">
        <v>3</v>
      </c>
      <c r="F5014" s="74">
        <v>28.75</v>
      </c>
      <c r="G5014" s="758">
        <f t="shared" si="312"/>
        <v>1.84</v>
      </c>
      <c r="H5014" s="759">
        <f t="shared" si="313"/>
        <v>0.21</v>
      </c>
      <c r="I5014" s="758">
        <f t="shared" si="314"/>
        <v>7.7433333333333341</v>
      </c>
      <c r="J5014" s="760">
        <f t="shared" si="315"/>
        <v>0.80800000000000005</v>
      </c>
    </row>
    <row r="5015" spans="1:10">
      <c r="A5015" s="74" t="s">
        <v>705</v>
      </c>
      <c r="B5015" s="74" t="s">
        <v>274</v>
      </c>
      <c r="C5015" s="74" t="s">
        <v>1513</v>
      </c>
      <c r="D5015" s="74" t="s">
        <v>81</v>
      </c>
      <c r="E5015" s="74">
        <v>6</v>
      </c>
      <c r="F5015" s="74">
        <v>55</v>
      </c>
      <c r="G5015" s="758">
        <f t="shared" si="312"/>
        <v>1.84</v>
      </c>
      <c r="H5015" s="759">
        <f t="shared" si="313"/>
        <v>0.21</v>
      </c>
      <c r="I5015" s="758">
        <f t="shared" si="314"/>
        <v>7.3266666666666662</v>
      </c>
      <c r="J5015" s="760">
        <f t="shared" si="315"/>
        <v>0.79927272727272725</v>
      </c>
    </row>
    <row r="5016" spans="1:10">
      <c r="A5016" s="74" t="s">
        <v>705</v>
      </c>
      <c r="B5016" s="74" t="s">
        <v>274</v>
      </c>
      <c r="C5016" s="74" t="s">
        <v>1514</v>
      </c>
      <c r="D5016" s="74" t="s">
        <v>81</v>
      </c>
      <c r="E5016" s="74">
        <v>4</v>
      </c>
      <c r="F5016" s="74">
        <v>37.840000000000003</v>
      </c>
      <c r="G5016" s="758">
        <f t="shared" si="312"/>
        <v>1.84</v>
      </c>
      <c r="H5016" s="759">
        <f t="shared" si="313"/>
        <v>0.21</v>
      </c>
      <c r="I5016" s="758">
        <f t="shared" si="314"/>
        <v>7.620000000000001</v>
      </c>
      <c r="J5016" s="760">
        <f t="shared" si="315"/>
        <v>0.80549682875264272</v>
      </c>
    </row>
    <row r="5017" spans="1:10">
      <c r="A5017" s="74" t="s">
        <v>705</v>
      </c>
      <c r="B5017" s="74" t="s">
        <v>274</v>
      </c>
      <c r="C5017" s="74" t="s">
        <v>1515</v>
      </c>
      <c r="D5017" s="74" t="s">
        <v>81</v>
      </c>
      <c r="E5017" s="74">
        <v>5</v>
      </c>
      <c r="F5017" s="74">
        <v>46.32</v>
      </c>
      <c r="G5017" s="758">
        <f t="shared" si="312"/>
        <v>1.84</v>
      </c>
      <c r="H5017" s="759">
        <f t="shared" si="313"/>
        <v>0.21</v>
      </c>
      <c r="I5017" s="758">
        <f t="shared" si="314"/>
        <v>7.4239999999999995</v>
      </c>
      <c r="J5017" s="760">
        <f t="shared" si="315"/>
        <v>0.80138169257340242</v>
      </c>
    </row>
    <row r="5018" spans="1:10">
      <c r="A5018" s="74" t="s">
        <v>705</v>
      </c>
      <c r="B5018" s="74" t="s">
        <v>274</v>
      </c>
      <c r="C5018" s="74" t="s">
        <v>1516</v>
      </c>
      <c r="D5018" s="74" t="s">
        <v>82</v>
      </c>
      <c r="E5018" s="74">
        <v>4</v>
      </c>
      <c r="F5018" s="74">
        <v>40.5</v>
      </c>
      <c r="G5018" s="758">
        <f t="shared" si="312"/>
        <v>1.84</v>
      </c>
      <c r="H5018" s="759">
        <f t="shared" si="313"/>
        <v>0.21</v>
      </c>
      <c r="I5018" s="758">
        <f t="shared" si="314"/>
        <v>8.2850000000000001</v>
      </c>
      <c r="J5018" s="760">
        <f t="shared" si="315"/>
        <v>0.81827160493827156</v>
      </c>
    </row>
    <row r="5019" spans="1:10">
      <c r="A5019" s="74" t="s">
        <v>705</v>
      </c>
      <c r="B5019" s="74" t="s">
        <v>274</v>
      </c>
      <c r="C5019" s="74" t="s">
        <v>1517</v>
      </c>
      <c r="D5019" s="74" t="s">
        <v>82</v>
      </c>
      <c r="E5019" s="74">
        <v>3</v>
      </c>
      <c r="F5019" s="74">
        <v>28.75</v>
      </c>
      <c r="G5019" s="758">
        <f t="shared" si="312"/>
        <v>1.84</v>
      </c>
      <c r="H5019" s="759">
        <f t="shared" si="313"/>
        <v>0.21</v>
      </c>
      <c r="I5019" s="758">
        <f t="shared" si="314"/>
        <v>7.7433333333333341</v>
      </c>
      <c r="J5019" s="760">
        <f t="shared" si="315"/>
        <v>0.80800000000000005</v>
      </c>
    </row>
    <row r="5020" spans="1:10">
      <c r="A5020" s="74" t="s">
        <v>705</v>
      </c>
      <c r="B5020" s="74" t="s">
        <v>274</v>
      </c>
      <c r="C5020" s="74" t="s">
        <v>1527</v>
      </c>
      <c r="D5020" s="74" t="s">
        <v>82</v>
      </c>
      <c r="E5020" s="74">
        <v>8</v>
      </c>
      <c r="F5020" s="74">
        <v>76.75</v>
      </c>
      <c r="G5020" s="758">
        <f t="shared" si="312"/>
        <v>1.84</v>
      </c>
      <c r="H5020" s="759">
        <f t="shared" si="313"/>
        <v>0.21</v>
      </c>
      <c r="I5020" s="758">
        <f t="shared" si="314"/>
        <v>7.7537500000000001</v>
      </c>
      <c r="J5020" s="760">
        <f t="shared" si="315"/>
        <v>0.80820846905537458</v>
      </c>
    </row>
    <row r="5021" spans="1:10">
      <c r="A5021" s="74" t="s">
        <v>705</v>
      </c>
      <c r="B5021" s="74" t="s">
        <v>274</v>
      </c>
      <c r="C5021" s="74" t="s">
        <v>1518</v>
      </c>
      <c r="D5021" s="74" t="s">
        <v>82</v>
      </c>
      <c r="E5021" s="74">
        <v>4</v>
      </c>
      <c r="F5021" s="74">
        <v>57.5</v>
      </c>
      <c r="G5021" s="758">
        <f t="shared" si="312"/>
        <v>1.84</v>
      </c>
      <c r="H5021" s="759">
        <f t="shared" si="313"/>
        <v>0.21</v>
      </c>
      <c r="I5021" s="758">
        <f t="shared" si="314"/>
        <v>12.535</v>
      </c>
      <c r="J5021" s="760">
        <f t="shared" si="315"/>
        <v>0.872</v>
      </c>
    </row>
    <row r="5022" spans="1:10">
      <c r="A5022" s="74" t="s">
        <v>705</v>
      </c>
      <c r="B5022" s="74" t="s">
        <v>274</v>
      </c>
      <c r="C5022" s="74" t="s">
        <v>1605</v>
      </c>
      <c r="D5022" s="74" t="s">
        <v>87</v>
      </c>
      <c r="E5022" s="74">
        <v>1</v>
      </c>
      <c r="F5022" s="74">
        <v>9.75</v>
      </c>
      <c r="G5022" s="758">
        <f t="shared" si="312"/>
        <v>1.84</v>
      </c>
      <c r="H5022" s="759">
        <f t="shared" si="313"/>
        <v>0.21</v>
      </c>
      <c r="I5022" s="758">
        <f t="shared" si="314"/>
        <v>7.91</v>
      </c>
      <c r="J5022" s="760">
        <f t="shared" si="315"/>
        <v>0.81128205128205133</v>
      </c>
    </row>
    <row r="5023" spans="1:10">
      <c r="A5023" s="74" t="s">
        <v>705</v>
      </c>
      <c r="B5023" s="74" t="s">
        <v>274</v>
      </c>
      <c r="C5023" s="74" t="s">
        <v>1561</v>
      </c>
      <c r="D5023" s="74" t="s">
        <v>87</v>
      </c>
      <c r="E5023" s="74">
        <v>1</v>
      </c>
      <c r="F5023" s="74">
        <v>9.9</v>
      </c>
      <c r="G5023" s="758">
        <f t="shared" si="312"/>
        <v>1.84</v>
      </c>
      <c r="H5023" s="759">
        <f t="shared" si="313"/>
        <v>0.21</v>
      </c>
      <c r="I5023" s="758">
        <f t="shared" si="314"/>
        <v>8.06</v>
      </c>
      <c r="J5023" s="760">
        <f t="shared" si="315"/>
        <v>0.81414141414141417</v>
      </c>
    </row>
    <row r="5024" spans="1:10">
      <c r="A5024" s="74" t="s">
        <v>705</v>
      </c>
      <c r="B5024" s="74" t="s">
        <v>274</v>
      </c>
      <c r="C5024" s="74" t="s">
        <v>1608</v>
      </c>
      <c r="D5024" s="74" t="s">
        <v>89</v>
      </c>
      <c r="E5024" s="74">
        <v>1</v>
      </c>
      <c r="F5024" s="74">
        <v>9.9</v>
      </c>
      <c r="G5024" s="758">
        <f t="shared" si="312"/>
        <v>1.84</v>
      </c>
      <c r="H5024" s="759">
        <f t="shared" si="313"/>
        <v>0.21</v>
      </c>
      <c r="I5024" s="758">
        <f t="shared" si="314"/>
        <v>8.06</v>
      </c>
      <c r="J5024" s="760">
        <f t="shared" si="315"/>
        <v>0.81414141414141417</v>
      </c>
    </row>
    <row r="5025" spans="1:10">
      <c r="A5025" s="74" t="s">
        <v>705</v>
      </c>
      <c r="B5025" s="74" t="s">
        <v>274</v>
      </c>
      <c r="C5025" s="74" t="s">
        <v>1547</v>
      </c>
      <c r="D5025" s="74" t="s">
        <v>89</v>
      </c>
      <c r="E5025" s="74">
        <v>1</v>
      </c>
      <c r="F5025" s="74">
        <v>9.75</v>
      </c>
      <c r="G5025" s="758">
        <f t="shared" si="312"/>
        <v>1.84</v>
      </c>
      <c r="H5025" s="759">
        <f t="shared" si="313"/>
        <v>0.21</v>
      </c>
      <c r="I5025" s="758">
        <f t="shared" si="314"/>
        <v>7.91</v>
      </c>
      <c r="J5025" s="760">
        <f t="shared" si="315"/>
        <v>0.81128205128205133</v>
      </c>
    </row>
    <row r="5026" spans="1:10">
      <c r="A5026" s="74" t="s">
        <v>705</v>
      </c>
      <c r="B5026" s="74" t="s">
        <v>274</v>
      </c>
      <c r="C5026" s="74" t="s">
        <v>1617</v>
      </c>
      <c r="D5026" s="74" t="s">
        <v>94</v>
      </c>
      <c r="E5026" s="74">
        <v>1</v>
      </c>
      <c r="F5026" s="74">
        <v>9.9</v>
      </c>
      <c r="G5026" s="758">
        <f t="shared" si="312"/>
        <v>1.84</v>
      </c>
      <c r="H5026" s="759">
        <f t="shared" si="313"/>
        <v>0.21</v>
      </c>
      <c r="I5026" s="758">
        <f t="shared" si="314"/>
        <v>8.06</v>
      </c>
      <c r="J5026" s="760">
        <f t="shared" si="315"/>
        <v>0.81414141414141417</v>
      </c>
    </row>
    <row r="5027" spans="1:10">
      <c r="A5027" s="74" t="s">
        <v>2063</v>
      </c>
      <c r="B5027" s="74" t="s">
        <v>274</v>
      </c>
      <c r="C5027" s="74" t="s">
        <v>1513</v>
      </c>
      <c r="D5027" s="74" t="s">
        <v>81</v>
      </c>
      <c r="E5027" s="74">
        <v>1</v>
      </c>
      <c r="F5027" s="74">
        <v>0</v>
      </c>
      <c r="G5027" s="758">
        <f t="shared" si="312"/>
        <v>1.84</v>
      </c>
      <c r="H5027" s="759">
        <f t="shared" si="313"/>
        <v>0</v>
      </c>
      <c r="I5027" s="758">
        <f t="shared" si="314"/>
        <v>-1.84</v>
      </c>
      <c r="J5027" s="760">
        <f t="shared" si="315"/>
        <v>0</v>
      </c>
    </row>
    <row r="5028" spans="1:10">
      <c r="A5028" s="74" t="s">
        <v>2063</v>
      </c>
      <c r="B5028" s="74" t="s">
        <v>274</v>
      </c>
      <c r="C5028" s="74" t="s">
        <v>1515</v>
      </c>
      <c r="D5028" s="74" t="s">
        <v>81</v>
      </c>
      <c r="E5028" s="74">
        <v>4</v>
      </c>
      <c r="F5028" s="74">
        <v>0</v>
      </c>
      <c r="G5028" s="758">
        <f t="shared" si="312"/>
        <v>1.84</v>
      </c>
      <c r="H5028" s="759">
        <f t="shared" si="313"/>
        <v>0</v>
      </c>
      <c r="I5028" s="758">
        <f t="shared" si="314"/>
        <v>-1.84</v>
      </c>
      <c r="J5028" s="760">
        <f t="shared" si="315"/>
        <v>0</v>
      </c>
    </row>
    <row r="5029" spans="1:10">
      <c r="A5029" s="74" t="s">
        <v>2064</v>
      </c>
      <c r="B5029" s="74" t="s">
        <v>326</v>
      </c>
      <c r="C5029" s="74" t="s">
        <v>1541</v>
      </c>
      <c r="D5029" s="74" t="s">
        <v>86</v>
      </c>
      <c r="E5029" s="74">
        <v>1</v>
      </c>
      <c r="F5029" s="74">
        <v>9.9</v>
      </c>
      <c r="G5029" s="758">
        <f t="shared" si="312"/>
        <v>0</v>
      </c>
      <c r="H5029" s="759">
        <f t="shared" si="313"/>
        <v>0</v>
      </c>
      <c r="I5029" s="758">
        <f t="shared" si="314"/>
        <v>9.9</v>
      </c>
      <c r="J5029" s="760">
        <f t="shared" si="315"/>
        <v>1</v>
      </c>
    </row>
    <row r="5030" spans="1:10">
      <c r="A5030" s="74" t="s">
        <v>1139</v>
      </c>
      <c r="B5030" s="74" t="s">
        <v>326</v>
      </c>
      <c r="C5030" s="74" t="s">
        <v>1528</v>
      </c>
      <c r="D5030" s="74" t="s">
        <v>78</v>
      </c>
      <c r="E5030" s="74">
        <v>4</v>
      </c>
      <c r="F5030" s="74">
        <v>39.15</v>
      </c>
      <c r="G5030" s="758">
        <f t="shared" si="312"/>
        <v>1.79</v>
      </c>
      <c r="H5030" s="759">
        <f t="shared" si="313"/>
        <v>0.21</v>
      </c>
      <c r="I5030" s="758">
        <f t="shared" si="314"/>
        <v>7.9974999999999996</v>
      </c>
      <c r="J5030" s="760">
        <f t="shared" si="315"/>
        <v>0.81711366538952745</v>
      </c>
    </row>
    <row r="5031" spans="1:10">
      <c r="A5031" s="74" t="s">
        <v>1139</v>
      </c>
      <c r="B5031" s="74" t="s">
        <v>326</v>
      </c>
      <c r="C5031" s="74" t="s">
        <v>1508</v>
      </c>
      <c r="D5031" s="74" t="s">
        <v>78</v>
      </c>
      <c r="E5031" s="74">
        <v>3</v>
      </c>
      <c r="F5031" s="74">
        <v>29.25</v>
      </c>
      <c r="G5031" s="758">
        <f t="shared" si="312"/>
        <v>1.79</v>
      </c>
      <c r="H5031" s="759">
        <f t="shared" si="313"/>
        <v>0.21</v>
      </c>
      <c r="I5031" s="758">
        <f t="shared" si="314"/>
        <v>7.96</v>
      </c>
      <c r="J5031" s="760">
        <f t="shared" si="315"/>
        <v>0.81641025641025644</v>
      </c>
    </row>
    <row r="5032" spans="1:10">
      <c r="A5032" s="74" t="s">
        <v>1139</v>
      </c>
      <c r="B5032" s="74" t="s">
        <v>326</v>
      </c>
      <c r="C5032" s="74" t="s">
        <v>1509</v>
      </c>
      <c r="D5032" s="74" t="s">
        <v>78</v>
      </c>
      <c r="E5032" s="74">
        <v>4</v>
      </c>
      <c r="F5032" s="74">
        <v>39</v>
      </c>
      <c r="G5032" s="758">
        <f t="shared" si="312"/>
        <v>1.79</v>
      </c>
      <c r="H5032" s="759">
        <f t="shared" si="313"/>
        <v>0.21</v>
      </c>
      <c r="I5032" s="758">
        <f t="shared" si="314"/>
        <v>7.96</v>
      </c>
      <c r="J5032" s="760">
        <f t="shared" si="315"/>
        <v>0.81641025641025644</v>
      </c>
    </row>
    <row r="5033" spans="1:10">
      <c r="A5033" s="74" t="s">
        <v>1139</v>
      </c>
      <c r="B5033" s="74" t="s">
        <v>326</v>
      </c>
      <c r="C5033" s="74" t="s">
        <v>1565</v>
      </c>
      <c r="D5033" s="74" t="s">
        <v>78</v>
      </c>
      <c r="E5033" s="74">
        <v>3</v>
      </c>
      <c r="F5033" s="74">
        <v>29.75</v>
      </c>
      <c r="G5033" s="758">
        <f t="shared" si="312"/>
        <v>1.79</v>
      </c>
      <c r="H5033" s="759">
        <f t="shared" si="313"/>
        <v>0.21</v>
      </c>
      <c r="I5033" s="758">
        <f t="shared" si="314"/>
        <v>8.1266666666666652</v>
      </c>
      <c r="J5033" s="760">
        <f t="shared" si="315"/>
        <v>0.81949579831932773</v>
      </c>
    </row>
    <row r="5034" spans="1:10">
      <c r="A5034" s="74" t="s">
        <v>1139</v>
      </c>
      <c r="B5034" s="74" t="s">
        <v>326</v>
      </c>
      <c r="C5034" s="74" t="s">
        <v>1530</v>
      </c>
      <c r="D5034" s="74" t="s">
        <v>80</v>
      </c>
      <c r="E5034" s="74">
        <v>1</v>
      </c>
      <c r="F5034" s="74">
        <v>10</v>
      </c>
      <c r="G5034" s="758">
        <f t="shared" si="312"/>
        <v>1.79</v>
      </c>
      <c r="H5034" s="759">
        <f t="shared" si="313"/>
        <v>0.21</v>
      </c>
      <c r="I5034" s="758">
        <f t="shared" si="314"/>
        <v>8.2100000000000009</v>
      </c>
      <c r="J5034" s="760">
        <f t="shared" si="315"/>
        <v>0.82099999999999995</v>
      </c>
    </row>
    <row r="5035" spans="1:10">
      <c r="A5035" s="74" t="s">
        <v>1139</v>
      </c>
      <c r="B5035" s="74" t="s">
        <v>326</v>
      </c>
      <c r="C5035" s="74" t="s">
        <v>1532</v>
      </c>
      <c r="D5035" s="74" t="s">
        <v>80</v>
      </c>
      <c r="E5035" s="74">
        <v>8</v>
      </c>
      <c r="F5035" s="74">
        <v>78.5</v>
      </c>
      <c r="G5035" s="758">
        <f t="shared" si="312"/>
        <v>1.79</v>
      </c>
      <c r="H5035" s="759">
        <f t="shared" si="313"/>
        <v>0.21</v>
      </c>
      <c r="I5035" s="758">
        <f t="shared" si="314"/>
        <v>8.0225000000000009</v>
      </c>
      <c r="J5035" s="760">
        <f t="shared" si="315"/>
        <v>0.81757961783439492</v>
      </c>
    </row>
    <row r="5036" spans="1:10">
      <c r="A5036" s="74" t="s">
        <v>1139</v>
      </c>
      <c r="B5036" s="74" t="s">
        <v>326</v>
      </c>
      <c r="C5036" s="74" t="s">
        <v>1511</v>
      </c>
      <c r="D5036" s="74" t="s">
        <v>80</v>
      </c>
      <c r="E5036" s="74">
        <v>7</v>
      </c>
      <c r="F5036" s="74">
        <v>68.25</v>
      </c>
      <c r="G5036" s="758">
        <f t="shared" si="312"/>
        <v>1.79</v>
      </c>
      <c r="H5036" s="759">
        <f t="shared" si="313"/>
        <v>0.21</v>
      </c>
      <c r="I5036" s="758">
        <f t="shared" si="314"/>
        <v>7.96</v>
      </c>
      <c r="J5036" s="760">
        <f t="shared" si="315"/>
        <v>0.81641025641025644</v>
      </c>
    </row>
    <row r="5037" spans="1:10">
      <c r="A5037" s="74" t="s">
        <v>1139</v>
      </c>
      <c r="B5037" s="74" t="s">
        <v>326</v>
      </c>
      <c r="C5037" s="74" t="s">
        <v>1512</v>
      </c>
      <c r="D5037" s="74" t="s">
        <v>80</v>
      </c>
      <c r="E5037" s="74">
        <v>5</v>
      </c>
      <c r="F5037" s="74">
        <v>49.25</v>
      </c>
      <c r="G5037" s="758">
        <f t="shared" si="312"/>
        <v>1.79</v>
      </c>
      <c r="H5037" s="759">
        <f t="shared" si="313"/>
        <v>0.21</v>
      </c>
      <c r="I5037" s="758">
        <f t="shared" si="314"/>
        <v>8.0599999999999987</v>
      </c>
      <c r="J5037" s="760">
        <f t="shared" si="315"/>
        <v>0.81827411167512687</v>
      </c>
    </row>
    <row r="5038" spans="1:10">
      <c r="A5038" s="74" t="s">
        <v>1139</v>
      </c>
      <c r="B5038" s="74" t="s">
        <v>326</v>
      </c>
      <c r="C5038" s="74" t="s">
        <v>1534</v>
      </c>
      <c r="D5038" s="74" t="s">
        <v>81</v>
      </c>
      <c r="E5038" s="74">
        <v>7</v>
      </c>
      <c r="F5038" s="74">
        <v>68.5</v>
      </c>
      <c r="G5038" s="758">
        <f t="shared" si="312"/>
        <v>1.79</v>
      </c>
      <c r="H5038" s="759">
        <f t="shared" si="313"/>
        <v>0.21</v>
      </c>
      <c r="I5038" s="758">
        <f t="shared" si="314"/>
        <v>7.9957142857142864</v>
      </c>
      <c r="J5038" s="760">
        <f t="shared" si="315"/>
        <v>0.8170802919708029</v>
      </c>
    </row>
    <row r="5039" spans="1:10">
      <c r="A5039" s="74" t="s">
        <v>1139</v>
      </c>
      <c r="B5039" s="74" t="s">
        <v>326</v>
      </c>
      <c r="C5039" s="74" t="s">
        <v>1514</v>
      </c>
      <c r="D5039" s="74" t="s">
        <v>81</v>
      </c>
      <c r="E5039" s="74">
        <v>5</v>
      </c>
      <c r="F5039" s="74">
        <v>48.75</v>
      </c>
      <c r="G5039" s="758">
        <f t="shared" si="312"/>
        <v>1.79</v>
      </c>
      <c r="H5039" s="759">
        <f t="shared" si="313"/>
        <v>0.21</v>
      </c>
      <c r="I5039" s="758">
        <f t="shared" si="314"/>
        <v>7.96</v>
      </c>
      <c r="J5039" s="760">
        <f t="shared" si="315"/>
        <v>0.81641025641025644</v>
      </c>
    </row>
    <row r="5040" spans="1:10">
      <c r="A5040" s="74" t="s">
        <v>1139</v>
      </c>
      <c r="B5040" s="74" t="s">
        <v>326</v>
      </c>
      <c r="C5040" s="74" t="s">
        <v>1515</v>
      </c>
      <c r="D5040" s="74" t="s">
        <v>81</v>
      </c>
      <c r="E5040" s="74">
        <v>4</v>
      </c>
      <c r="F5040" s="74">
        <v>40.25</v>
      </c>
      <c r="G5040" s="758">
        <f t="shared" si="312"/>
        <v>1.79</v>
      </c>
      <c r="H5040" s="759">
        <f t="shared" si="313"/>
        <v>0.21</v>
      </c>
      <c r="I5040" s="758">
        <f t="shared" si="314"/>
        <v>8.2725000000000009</v>
      </c>
      <c r="J5040" s="760">
        <f t="shared" si="315"/>
        <v>0.82211180124223604</v>
      </c>
    </row>
    <row r="5041" spans="1:10">
      <c r="A5041" s="74" t="s">
        <v>1139</v>
      </c>
      <c r="B5041" s="74" t="s">
        <v>326</v>
      </c>
      <c r="C5041" s="74" t="s">
        <v>1516</v>
      </c>
      <c r="D5041" s="74" t="s">
        <v>82</v>
      </c>
      <c r="E5041" s="74">
        <v>6</v>
      </c>
      <c r="F5041" s="74">
        <v>60</v>
      </c>
      <c r="G5041" s="758">
        <f t="shared" si="312"/>
        <v>1.79</v>
      </c>
      <c r="H5041" s="759">
        <f t="shared" si="313"/>
        <v>0.21</v>
      </c>
      <c r="I5041" s="758">
        <f t="shared" si="314"/>
        <v>8.2100000000000009</v>
      </c>
      <c r="J5041" s="760">
        <f t="shared" si="315"/>
        <v>0.82099999999999995</v>
      </c>
    </row>
    <row r="5042" spans="1:10">
      <c r="A5042" s="74" t="s">
        <v>1139</v>
      </c>
      <c r="B5042" s="74" t="s">
        <v>326</v>
      </c>
      <c r="C5042" s="74" t="s">
        <v>1517</v>
      </c>
      <c r="D5042" s="74" t="s">
        <v>82</v>
      </c>
      <c r="E5042" s="74">
        <v>8</v>
      </c>
      <c r="F5042" s="74">
        <v>78</v>
      </c>
      <c r="G5042" s="758">
        <f t="shared" si="312"/>
        <v>1.79</v>
      </c>
      <c r="H5042" s="759">
        <f t="shared" si="313"/>
        <v>0.21</v>
      </c>
      <c r="I5042" s="758">
        <f t="shared" si="314"/>
        <v>7.96</v>
      </c>
      <c r="J5042" s="760">
        <f t="shared" si="315"/>
        <v>0.81641025641025644</v>
      </c>
    </row>
    <row r="5043" spans="1:10">
      <c r="A5043" s="74" t="s">
        <v>1139</v>
      </c>
      <c r="B5043" s="74" t="s">
        <v>326</v>
      </c>
      <c r="C5043" s="74" t="s">
        <v>1527</v>
      </c>
      <c r="D5043" s="74" t="s">
        <v>82</v>
      </c>
      <c r="E5043" s="74">
        <v>7</v>
      </c>
      <c r="F5043" s="74">
        <v>68.5</v>
      </c>
      <c r="G5043" s="758">
        <f t="shared" si="312"/>
        <v>1.79</v>
      </c>
      <c r="H5043" s="759">
        <f t="shared" si="313"/>
        <v>0.21</v>
      </c>
      <c r="I5043" s="758">
        <f t="shared" si="314"/>
        <v>7.9957142857142864</v>
      </c>
      <c r="J5043" s="760">
        <f t="shared" si="315"/>
        <v>0.8170802919708029</v>
      </c>
    </row>
    <row r="5044" spans="1:10">
      <c r="A5044" s="74" t="s">
        <v>1139</v>
      </c>
      <c r="B5044" s="74" t="s">
        <v>326</v>
      </c>
      <c r="C5044" s="74" t="s">
        <v>1518</v>
      </c>
      <c r="D5044" s="74" t="s">
        <v>82</v>
      </c>
      <c r="E5044" s="74">
        <v>9</v>
      </c>
      <c r="F5044" s="74">
        <v>107.75</v>
      </c>
      <c r="G5044" s="758">
        <f t="shared" si="312"/>
        <v>1.79</v>
      </c>
      <c r="H5044" s="759">
        <f t="shared" si="313"/>
        <v>0.21</v>
      </c>
      <c r="I5044" s="758">
        <f t="shared" si="314"/>
        <v>10.182222222222222</v>
      </c>
      <c r="J5044" s="760">
        <f t="shared" si="315"/>
        <v>0.85048723897911838</v>
      </c>
    </row>
    <row r="5045" spans="1:10">
      <c r="A5045" s="74" t="s">
        <v>1139</v>
      </c>
      <c r="B5045" s="74" t="s">
        <v>326</v>
      </c>
      <c r="C5045" s="74" t="s">
        <v>1519</v>
      </c>
      <c r="D5045" s="74" t="s">
        <v>84</v>
      </c>
      <c r="E5045" s="74">
        <v>1</v>
      </c>
      <c r="F5045" s="74">
        <v>9.75</v>
      </c>
      <c r="G5045" s="758">
        <f t="shared" si="312"/>
        <v>1.79</v>
      </c>
      <c r="H5045" s="759">
        <f t="shared" si="313"/>
        <v>0.21</v>
      </c>
      <c r="I5045" s="758">
        <f t="shared" si="314"/>
        <v>7.96</v>
      </c>
      <c r="J5045" s="760">
        <f t="shared" si="315"/>
        <v>0.81641025641025644</v>
      </c>
    </row>
    <row r="5046" spans="1:10">
      <c r="A5046" s="74" t="s">
        <v>1139</v>
      </c>
      <c r="B5046" s="74" t="s">
        <v>326</v>
      </c>
      <c r="C5046" s="74" t="s">
        <v>1520</v>
      </c>
      <c r="D5046" s="74" t="s">
        <v>84</v>
      </c>
      <c r="E5046" s="74">
        <v>1</v>
      </c>
      <c r="F5046" s="74">
        <v>9.75</v>
      </c>
      <c r="G5046" s="758">
        <f t="shared" si="312"/>
        <v>1.79</v>
      </c>
      <c r="H5046" s="759">
        <f t="shared" si="313"/>
        <v>0.21</v>
      </c>
      <c r="I5046" s="758">
        <f t="shared" si="314"/>
        <v>7.96</v>
      </c>
      <c r="J5046" s="760">
        <f t="shared" si="315"/>
        <v>0.81641025641025644</v>
      </c>
    </row>
    <row r="5047" spans="1:10">
      <c r="A5047" s="74" t="s">
        <v>1139</v>
      </c>
      <c r="B5047" s="74" t="s">
        <v>326</v>
      </c>
      <c r="C5047" s="74" t="s">
        <v>1577</v>
      </c>
      <c r="D5047" s="74" t="s">
        <v>84</v>
      </c>
      <c r="E5047" s="74">
        <v>1</v>
      </c>
      <c r="F5047" s="74">
        <v>9.75</v>
      </c>
      <c r="G5047" s="758">
        <f t="shared" si="312"/>
        <v>1.79</v>
      </c>
      <c r="H5047" s="759">
        <f t="shared" si="313"/>
        <v>0.21</v>
      </c>
      <c r="I5047" s="758">
        <f t="shared" si="314"/>
        <v>7.96</v>
      </c>
      <c r="J5047" s="760">
        <f t="shared" si="315"/>
        <v>0.81641025641025644</v>
      </c>
    </row>
    <row r="5048" spans="1:10">
      <c r="A5048" s="74" t="s">
        <v>1139</v>
      </c>
      <c r="B5048" s="74" t="s">
        <v>326</v>
      </c>
      <c r="C5048" s="74" t="s">
        <v>1578</v>
      </c>
      <c r="D5048" s="74" t="s">
        <v>86</v>
      </c>
      <c r="E5048" s="74">
        <v>1</v>
      </c>
      <c r="F5048" s="74">
        <v>10</v>
      </c>
      <c r="G5048" s="758">
        <f t="shared" si="312"/>
        <v>1.79</v>
      </c>
      <c r="H5048" s="759">
        <f t="shared" si="313"/>
        <v>0.21</v>
      </c>
      <c r="I5048" s="758">
        <f t="shared" si="314"/>
        <v>8.2100000000000009</v>
      </c>
      <c r="J5048" s="760">
        <f t="shared" si="315"/>
        <v>0.82099999999999995</v>
      </c>
    </row>
    <row r="5049" spans="1:10">
      <c r="A5049" s="74" t="s">
        <v>1139</v>
      </c>
      <c r="B5049" s="74" t="s">
        <v>326</v>
      </c>
      <c r="C5049" s="74" t="s">
        <v>1610</v>
      </c>
      <c r="D5049" s="74" t="s">
        <v>89</v>
      </c>
      <c r="E5049" s="74">
        <v>1</v>
      </c>
      <c r="F5049" s="74">
        <v>9.9</v>
      </c>
      <c r="G5049" s="758">
        <f t="shared" si="312"/>
        <v>1.79</v>
      </c>
      <c r="H5049" s="759">
        <f t="shared" si="313"/>
        <v>0.21</v>
      </c>
      <c r="I5049" s="758">
        <f t="shared" si="314"/>
        <v>8.11</v>
      </c>
      <c r="J5049" s="760">
        <f t="shared" si="315"/>
        <v>0.81919191919191925</v>
      </c>
    </row>
    <row r="5050" spans="1:10">
      <c r="A5050" s="74" t="s">
        <v>2065</v>
      </c>
      <c r="B5050" s="74" t="s">
        <v>274</v>
      </c>
      <c r="C5050" s="74" t="s">
        <v>1518</v>
      </c>
      <c r="D5050" s="74" t="s">
        <v>82</v>
      </c>
      <c r="E5050" s="74">
        <v>3</v>
      </c>
      <c r="F5050" s="74">
        <v>0</v>
      </c>
      <c r="G5050" s="758">
        <f t="shared" si="312"/>
        <v>1.88</v>
      </c>
      <c r="H5050" s="759">
        <f t="shared" si="313"/>
        <v>0</v>
      </c>
      <c r="I5050" s="758">
        <f t="shared" si="314"/>
        <v>-1.88</v>
      </c>
      <c r="J5050" s="760">
        <f t="shared" si="315"/>
        <v>0</v>
      </c>
    </row>
    <row r="5051" spans="1:10">
      <c r="A5051" s="74" t="s">
        <v>2066</v>
      </c>
      <c r="B5051" s="74" t="s">
        <v>877</v>
      </c>
      <c r="C5051" s="74" t="s">
        <v>1532</v>
      </c>
      <c r="D5051" s="74" t="s">
        <v>80</v>
      </c>
      <c r="E5051" s="74">
        <v>17</v>
      </c>
      <c r="F5051" s="74">
        <v>34</v>
      </c>
      <c r="G5051" s="758">
        <f t="shared" si="312"/>
        <v>1.88</v>
      </c>
      <c r="H5051" s="759">
        <f t="shared" si="313"/>
        <v>1.03</v>
      </c>
      <c r="I5051" s="758">
        <f t="shared" si="314"/>
        <v>0.12000000000000011</v>
      </c>
      <c r="J5051" s="760">
        <f t="shared" si="315"/>
        <v>6.0000000000000053E-2</v>
      </c>
    </row>
    <row r="5052" spans="1:10">
      <c r="A5052" s="74" t="s">
        <v>2066</v>
      </c>
      <c r="B5052" s="74" t="s">
        <v>877</v>
      </c>
      <c r="C5052" s="74" t="s">
        <v>1518</v>
      </c>
      <c r="D5052" s="74" t="s">
        <v>82</v>
      </c>
      <c r="E5052" s="74">
        <v>5</v>
      </c>
      <c r="F5052" s="74">
        <v>0</v>
      </c>
      <c r="G5052" s="758">
        <f t="shared" si="312"/>
        <v>1.88</v>
      </c>
      <c r="H5052" s="759">
        <f t="shared" si="313"/>
        <v>1.03</v>
      </c>
      <c r="I5052" s="758">
        <f t="shared" si="314"/>
        <v>-1.88</v>
      </c>
      <c r="J5052" s="760">
        <f t="shared" si="315"/>
        <v>0</v>
      </c>
    </row>
    <row r="5053" spans="1:10">
      <c r="A5053" s="74" t="s">
        <v>2067</v>
      </c>
      <c r="B5053" s="74" t="s">
        <v>877</v>
      </c>
      <c r="C5053" s="74" t="s">
        <v>1534</v>
      </c>
      <c r="D5053" s="74" t="s">
        <v>81</v>
      </c>
      <c r="E5053" s="74">
        <v>3</v>
      </c>
      <c r="F5053" s="74">
        <v>6</v>
      </c>
      <c r="G5053" s="758">
        <f t="shared" si="312"/>
        <v>3.5</v>
      </c>
      <c r="H5053" s="759">
        <f t="shared" si="313"/>
        <v>1.1599999999999999</v>
      </c>
      <c r="I5053" s="758">
        <f t="shared" si="314"/>
        <v>-1.5</v>
      </c>
      <c r="J5053" s="760">
        <f t="shared" si="315"/>
        <v>-0.75</v>
      </c>
    </row>
    <row r="5054" spans="1:10">
      <c r="A5054" s="74" t="s">
        <v>2067</v>
      </c>
      <c r="B5054" s="74" t="s">
        <v>877</v>
      </c>
      <c r="C5054" s="74" t="s">
        <v>1514</v>
      </c>
      <c r="D5054" s="74" t="s">
        <v>81</v>
      </c>
      <c r="E5054" s="74">
        <v>4</v>
      </c>
      <c r="F5054" s="74">
        <v>16</v>
      </c>
      <c r="G5054" s="758">
        <f t="shared" si="312"/>
        <v>3.5</v>
      </c>
      <c r="H5054" s="759">
        <f t="shared" si="313"/>
        <v>1.1599999999999999</v>
      </c>
      <c r="I5054" s="758">
        <f t="shared" si="314"/>
        <v>0.5</v>
      </c>
      <c r="J5054" s="760">
        <f t="shared" si="315"/>
        <v>0.125</v>
      </c>
    </row>
    <row r="5055" spans="1:10">
      <c r="A5055" s="74" t="s">
        <v>2067</v>
      </c>
      <c r="B5055" s="74" t="s">
        <v>877</v>
      </c>
      <c r="C5055" s="74" t="s">
        <v>1519</v>
      </c>
      <c r="D5055" s="74" t="s">
        <v>84</v>
      </c>
      <c r="E5055" s="74">
        <v>1</v>
      </c>
      <c r="F5055" s="74">
        <v>4</v>
      </c>
      <c r="G5055" s="758">
        <f t="shared" si="312"/>
        <v>3.5</v>
      </c>
      <c r="H5055" s="759">
        <f t="shared" si="313"/>
        <v>1.1599999999999999</v>
      </c>
      <c r="I5055" s="758">
        <f t="shared" si="314"/>
        <v>0.5</v>
      </c>
      <c r="J5055" s="760">
        <f t="shared" si="315"/>
        <v>0.125</v>
      </c>
    </row>
    <row r="5056" spans="1:10">
      <c r="A5056" s="74" t="s">
        <v>2067</v>
      </c>
      <c r="B5056" s="74" t="s">
        <v>877</v>
      </c>
      <c r="C5056" s="74" t="s">
        <v>1540</v>
      </c>
      <c r="D5056" s="74" t="s">
        <v>84</v>
      </c>
      <c r="E5056" s="74">
        <v>1</v>
      </c>
      <c r="F5056" s="74">
        <v>4</v>
      </c>
      <c r="G5056" s="758">
        <f t="shared" si="312"/>
        <v>3.5</v>
      </c>
      <c r="H5056" s="759">
        <f t="shared" si="313"/>
        <v>1.1599999999999999</v>
      </c>
      <c r="I5056" s="758">
        <f t="shared" si="314"/>
        <v>0.5</v>
      </c>
      <c r="J5056" s="760">
        <f t="shared" si="315"/>
        <v>0.125</v>
      </c>
    </row>
    <row r="5057" spans="1:10">
      <c r="A5057" s="74" t="s">
        <v>2068</v>
      </c>
      <c r="B5057" s="74" t="s">
        <v>877</v>
      </c>
      <c r="C5057" s="74" t="s">
        <v>1508</v>
      </c>
      <c r="D5057" s="74" t="s">
        <v>78</v>
      </c>
      <c r="E5057" s="74">
        <v>7</v>
      </c>
      <c r="F5057" s="74">
        <v>21</v>
      </c>
      <c r="G5057" s="758">
        <f t="shared" si="312"/>
        <v>4.05</v>
      </c>
      <c r="H5057" s="759">
        <f t="shared" si="313"/>
        <v>1.48</v>
      </c>
      <c r="I5057" s="758">
        <f t="shared" si="314"/>
        <v>-1.0499999999999998</v>
      </c>
      <c r="J5057" s="760">
        <f t="shared" si="315"/>
        <v>-0.34999999999999987</v>
      </c>
    </row>
    <row r="5058" spans="1:10">
      <c r="A5058" s="74" t="s">
        <v>2068</v>
      </c>
      <c r="B5058" s="74" t="s">
        <v>877</v>
      </c>
      <c r="C5058" s="74" t="s">
        <v>1509</v>
      </c>
      <c r="D5058" s="74" t="s">
        <v>78</v>
      </c>
      <c r="E5058" s="74">
        <v>6</v>
      </c>
      <c r="F5058" s="74">
        <v>18</v>
      </c>
      <c r="G5058" s="758">
        <f t="shared" ref="G5058:G5121" si="316">IFERROR(VLOOKUP(A5058,$M$1:$P$1014,2,FALSE),0)</f>
        <v>4.05</v>
      </c>
      <c r="H5058" s="759">
        <f t="shared" ref="H5058:H5121" si="317">IFERROR(VLOOKUP(A5058,$M$1:$P$1014,3,FALSE),0)</f>
        <v>1.48</v>
      </c>
      <c r="I5058" s="758">
        <f t="shared" ref="I5058:I5121" si="318">IFERROR(F5058/E5058-G5058,0)</f>
        <v>-1.0499999999999998</v>
      </c>
      <c r="J5058" s="760">
        <f t="shared" ref="J5058:J5121" si="319">IFERROR(1-G5058*E5058/F5058,0)</f>
        <v>-0.34999999999999987</v>
      </c>
    </row>
    <row r="5059" spans="1:10">
      <c r="A5059" s="74" t="s">
        <v>2068</v>
      </c>
      <c r="B5059" s="74" t="s">
        <v>877</v>
      </c>
      <c r="C5059" s="74" t="s">
        <v>1527</v>
      </c>
      <c r="D5059" s="74" t="s">
        <v>82</v>
      </c>
      <c r="E5059" s="74">
        <v>3</v>
      </c>
      <c r="F5059" s="74">
        <v>6</v>
      </c>
      <c r="G5059" s="758">
        <f t="shared" si="316"/>
        <v>4.05</v>
      </c>
      <c r="H5059" s="759">
        <f t="shared" si="317"/>
        <v>1.48</v>
      </c>
      <c r="I5059" s="758">
        <f t="shared" si="318"/>
        <v>-2.0499999999999998</v>
      </c>
      <c r="J5059" s="760">
        <f t="shared" si="319"/>
        <v>-1.0249999999999999</v>
      </c>
    </row>
    <row r="5060" spans="1:10">
      <c r="A5060" s="74" t="s">
        <v>2069</v>
      </c>
      <c r="B5060" s="74" t="s">
        <v>877</v>
      </c>
      <c r="C5060" s="74" t="s">
        <v>1565</v>
      </c>
      <c r="D5060" s="74" t="s">
        <v>78</v>
      </c>
      <c r="E5060" s="74">
        <v>7</v>
      </c>
      <c r="F5060" s="74">
        <v>28</v>
      </c>
      <c r="G5060" s="758">
        <f t="shared" si="316"/>
        <v>1.84</v>
      </c>
      <c r="H5060" s="759">
        <f t="shared" si="317"/>
        <v>0.51</v>
      </c>
      <c r="I5060" s="758">
        <f t="shared" si="318"/>
        <v>2.16</v>
      </c>
      <c r="J5060" s="760">
        <f t="shared" si="319"/>
        <v>0.54</v>
      </c>
    </row>
    <row r="5061" spans="1:10">
      <c r="A5061" s="74" t="s">
        <v>2069</v>
      </c>
      <c r="B5061" s="74" t="s">
        <v>877</v>
      </c>
      <c r="C5061" s="74" t="s">
        <v>1515</v>
      </c>
      <c r="D5061" s="74" t="s">
        <v>81</v>
      </c>
      <c r="E5061" s="74">
        <v>5</v>
      </c>
      <c r="F5061" s="74">
        <v>20</v>
      </c>
      <c r="G5061" s="758">
        <f t="shared" si="316"/>
        <v>1.84</v>
      </c>
      <c r="H5061" s="759">
        <f t="shared" si="317"/>
        <v>0.51</v>
      </c>
      <c r="I5061" s="758">
        <f t="shared" si="318"/>
        <v>2.16</v>
      </c>
      <c r="J5061" s="760">
        <f t="shared" si="319"/>
        <v>0.53999999999999992</v>
      </c>
    </row>
    <row r="5062" spans="1:10">
      <c r="A5062" s="74" t="s">
        <v>683</v>
      </c>
      <c r="B5062" s="74" t="s">
        <v>274</v>
      </c>
      <c r="C5062" s="74" t="s">
        <v>1528</v>
      </c>
      <c r="D5062" s="74" t="s">
        <v>78</v>
      </c>
      <c r="E5062" s="74">
        <v>16</v>
      </c>
      <c r="F5062" s="74">
        <v>180.86</v>
      </c>
      <c r="G5062" s="758">
        <f t="shared" si="316"/>
        <v>2.52</v>
      </c>
      <c r="H5062" s="759">
        <f t="shared" si="317"/>
        <v>0.24</v>
      </c>
      <c r="I5062" s="758">
        <f t="shared" si="318"/>
        <v>8.7837500000000013</v>
      </c>
      <c r="J5062" s="760">
        <f t="shared" si="319"/>
        <v>0.77706513325223936</v>
      </c>
    </row>
    <row r="5063" spans="1:10">
      <c r="A5063" s="74" t="s">
        <v>683</v>
      </c>
      <c r="B5063" s="74" t="s">
        <v>274</v>
      </c>
      <c r="C5063" s="74" t="s">
        <v>1508</v>
      </c>
      <c r="D5063" s="74" t="s">
        <v>78</v>
      </c>
      <c r="E5063" s="74">
        <v>11</v>
      </c>
      <c r="F5063" s="74">
        <v>129.04</v>
      </c>
      <c r="G5063" s="758">
        <f t="shared" si="316"/>
        <v>2.52</v>
      </c>
      <c r="H5063" s="759">
        <f t="shared" si="317"/>
        <v>0.24</v>
      </c>
      <c r="I5063" s="758">
        <f t="shared" si="318"/>
        <v>9.2109090909090909</v>
      </c>
      <c r="J5063" s="760">
        <f t="shared" si="319"/>
        <v>0.78518288902665834</v>
      </c>
    </row>
    <row r="5064" spans="1:10">
      <c r="A5064" s="74" t="s">
        <v>683</v>
      </c>
      <c r="B5064" s="74" t="s">
        <v>274</v>
      </c>
      <c r="C5064" s="74" t="s">
        <v>1509</v>
      </c>
      <c r="D5064" s="74" t="s">
        <v>78</v>
      </c>
      <c r="E5064" s="74">
        <v>4</v>
      </c>
      <c r="F5064" s="74">
        <v>46.52</v>
      </c>
      <c r="G5064" s="758">
        <f t="shared" si="316"/>
        <v>2.52</v>
      </c>
      <c r="H5064" s="759">
        <f t="shared" si="317"/>
        <v>0.24</v>
      </c>
      <c r="I5064" s="758">
        <f t="shared" si="318"/>
        <v>9.1100000000000012</v>
      </c>
      <c r="J5064" s="760">
        <f t="shared" si="319"/>
        <v>0.78331900257953568</v>
      </c>
    </row>
    <row r="5065" spans="1:10">
      <c r="A5065" s="74" t="s">
        <v>683</v>
      </c>
      <c r="B5065" s="74" t="s">
        <v>274</v>
      </c>
      <c r="C5065" s="74" t="s">
        <v>1565</v>
      </c>
      <c r="D5065" s="74" t="s">
        <v>78</v>
      </c>
      <c r="E5065" s="74">
        <v>6</v>
      </c>
      <c r="F5065" s="74">
        <v>69.239999999999995</v>
      </c>
      <c r="G5065" s="758">
        <f t="shared" si="316"/>
        <v>2.52</v>
      </c>
      <c r="H5065" s="759">
        <f t="shared" si="317"/>
        <v>0.24</v>
      </c>
      <c r="I5065" s="758">
        <f t="shared" si="318"/>
        <v>9.02</v>
      </c>
      <c r="J5065" s="760">
        <f t="shared" si="319"/>
        <v>0.78162911611785091</v>
      </c>
    </row>
    <row r="5066" spans="1:10">
      <c r="A5066" s="74" t="s">
        <v>683</v>
      </c>
      <c r="B5066" s="74" t="s">
        <v>274</v>
      </c>
      <c r="C5066" s="74" t="s">
        <v>1530</v>
      </c>
      <c r="D5066" s="74" t="s">
        <v>80</v>
      </c>
      <c r="E5066" s="74">
        <v>5</v>
      </c>
      <c r="F5066" s="74">
        <v>54.77</v>
      </c>
      <c r="G5066" s="758">
        <f t="shared" si="316"/>
        <v>2.52</v>
      </c>
      <c r="H5066" s="759">
        <f t="shared" si="317"/>
        <v>0.24</v>
      </c>
      <c r="I5066" s="758">
        <f t="shared" si="318"/>
        <v>8.4340000000000011</v>
      </c>
      <c r="J5066" s="760">
        <f t="shared" si="319"/>
        <v>0.76994705130545915</v>
      </c>
    </row>
    <row r="5067" spans="1:10">
      <c r="A5067" s="74" t="s">
        <v>683</v>
      </c>
      <c r="B5067" s="74" t="s">
        <v>274</v>
      </c>
      <c r="C5067" s="74" t="s">
        <v>1532</v>
      </c>
      <c r="D5067" s="74" t="s">
        <v>80</v>
      </c>
      <c r="E5067" s="74">
        <v>9</v>
      </c>
      <c r="F5067" s="74">
        <v>102.62</v>
      </c>
      <c r="G5067" s="758">
        <f t="shared" si="316"/>
        <v>2.52</v>
      </c>
      <c r="H5067" s="759">
        <f t="shared" si="317"/>
        <v>0.24</v>
      </c>
      <c r="I5067" s="758">
        <f t="shared" si="318"/>
        <v>8.8822222222222234</v>
      </c>
      <c r="J5067" s="760">
        <f t="shared" si="319"/>
        <v>0.77899045020463853</v>
      </c>
    </row>
    <row r="5068" spans="1:10">
      <c r="A5068" s="74" t="s">
        <v>683</v>
      </c>
      <c r="B5068" s="74" t="s">
        <v>274</v>
      </c>
      <c r="C5068" s="74" t="s">
        <v>1511</v>
      </c>
      <c r="D5068" s="74" t="s">
        <v>80</v>
      </c>
      <c r="E5068" s="74">
        <v>16</v>
      </c>
      <c r="F5068" s="74">
        <v>181.94</v>
      </c>
      <c r="G5068" s="758">
        <f t="shared" si="316"/>
        <v>2.52</v>
      </c>
      <c r="H5068" s="759">
        <f t="shared" si="317"/>
        <v>0.24</v>
      </c>
      <c r="I5068" s="758">
        <f t="shared" si="318"/>
        <v>8.8512500000000003</v>
      </c>
      <c r="J5068" s="760">
        <f t="shared" si="319"/>
        <v>0.77838847971858849</v>
      </c>
    </row>
    <row r="5069" spans="1:10">
      <c r="A5069" s="74" t="s">
        <v>683</v>
      </c>
      <c r="B5069" s="74" t="s">
        <v>274</v>
      </c>
      <c r="C5069" s="74" t="s">
        <v>1512</v>
      </c>
      <c r="D5069" s="74" t="s">
        <v>80</v>
      </c>
      <c r="E5069" s="74">
        <v>16</v>
      </c>
      <c r="F5069" s="74">
        <v>184.45</v>
      </c>
      <c r="G5069" s="758">
        <f t="shared" si="316"/>
        <v>2.52</v>
      </c>
      <c r="H5069" s="759">
        <f t="shared" si="317"/>
        <v>0.24</v>
      </c>
      <c r="I5069" s="758">
        <f t="shared" si="318"/>
        <v>9.0081249999999997</v>
      </c>
      <c r="J5069" s="760">
        <f t="shared" si="319"/>
        <v>0.781404174573055</v>
      </c>
    </row>
    <row r="5070" spans="1:10">
      <c r="A5070" s="74" t="s">
        <v>683</v>
      </c>
      <c r="B5070" s="74" t="s">
        <v>274</v>
      </c>
      <c r="C5070" s="74" t="s">
        <v>1534</v>
      </c>
      <c r="D5070" s="74" t="s">
        <v>81</v>
      </c>
      <c r="E5070" s="74">
        <v>11</v>
      </c>
      <c r="F5070" s="74">
        <v>131.15</v>
      </c>
      <c r="G5070" s="758">
        <f t="shared" si="316"/>
        <v>2.52</v>
      </c>
      <c r="H5070" s="759">
        <f t="shared" si="317"/>
        <v>0.24</v>
      </c>
      <c r="I5070" s="758">
        <f t="shared" si="318"/>
        <v>9.4027272727272742</v>
      </c>
      <c r="J5070" s="760">
        <f t="shared" si="319"/>
        <v>0.78863896301944336</v>
      </c>
    </row>
    <row r="5071" spans="1:10">
      <c r="A5071" s="74" t="s">
        <v>683</v>
      </c>
      <c r="B5071" s="74" t="s">
        <v>274</v>
      </c>
      <c r="C5071" s="74" t="s">
        <v>1513</v>
      </c>
      <c r="D5071" s="74" t="s">
        <v>81</v>
      </c>
      <c r="E5071" s="74">
        <v>21</v>
      </c>
      <c r="F5071" s="74">
        <v>232.97</v>
      </c>
      <c r="G5071" s="758">
        <f t="shared" si="316"/>
        <v>2.52</v>
      </c>
      <c r="H5071" s="759">
        <f t="shared" si="317"/>
        <v>0.24</v>
      </c>
      <c r="I5071" s="758">
        <f t="shared" si="318"/>
        <v>8.5738095238095244</v>
      </c>
      <c r="J5071" s="760">
        <f t="shared" si="319"/>
        <v>0.77284628922178822</v>
      </c>
    </row>
    <row r="5072" spans="1:10">
      <c r="A5072" s="74" t="s">
        <v>683</v>
      </c>
      <c r="B5072" s="74" t="s">
        <v>274</v>
      </c>
      <c r="C5072" s="74" t="s">
        <v>1514</v>
      </c>
      <c r="D5072" s="74" t="s">
        <v>81</v>
      </c>
      <c r="E5072" s="74">
        <v>6</v>
      </c>
      <c r="F5072" s="74">
        <v>68.650000000000006</v>
      </c>
      <c r="G5072" s="758">
        <f t="shared" si="316"/>
        <v>2.52</v>
      </c>
      <c r="H5072" s="759">
        <f t="shared" si="317"/>
        <v>0.24</v>
      </c>
      <c r="I5072" s="758">
        <f t="shared" si="318"/>
        <v>8.9216666666666686</v>
      </c>
      <c r="J5072" s="760">
        <f t="shared" si="319"/>
        <v>0.77975236707938822</v>
      </c>
    </row>
    <row r="5073" spans="1:10">
      <c r="A5073" s="74" t="s">
        <v>683</v>
      </c>
      <c r="B5073" s="74" t="s">
        <v>274</v>
      </c>
      <c r="C5073" s="74" t="s">
        <v>1515</v>
      </c>
      <c r="D5073" s="74" t="s">
        <v>81</v>
      </c>
      <c r="E5073" s="74">
        <v>9</v>
      </c>
      <c r="F5073" s="74">
        <v>105.6</v>
      </c>
      <c r="G5073" s="758">
        <f t="shared" si="316"/>
        <v>2.52</v>
      </c>
      <c r="H5073" s="759">
        <f t="shared" si="317"/>
        <v>0.24</v>
      </c>
      <c r="I5073" s="758">
        <f t="shared" si="318"/>
        <v>9.2133333333333329</v>
      </c>
      <c r="J5073" s="760">
        <f t="shared" si="319"/>
        <v>0.78522727272727266</v>
      </c>
    </row>
    <row r="5074" spans="1:10">
      <c r="A5074" s="74" t="s">
        <v>683</v>
      </c>
      <c r="B5074" s="74" t="s">
        <v>274</v>
      </c>
      <c r="C5074" s="74" t="s">
        <v>1516</v>
      </c>
      <c r="D5074" s="74" t="s">
        <v>82</v>
      </c>
      <c r="E5074" s="74">
        <v>14</v>
      </c>
      <c r="F5074" s="74">
        <v>171.85</v>
      </c>
      <c r="G5074" s="758">
        <f t="shared" si="316"/>
        <v>2.52</v>
      </c>
      <c r="H5074" s="759">
        <f t="shared" si="317"/>
        <v>0.24</v>
      </c>
      <c r="I5074" s="758">
        <f t="shared" si="318"/>
        <v>9.7550000000000008</v>
      </c>
      <c r="J5074" s="760">
        <f t="shared" si="319"/>
        <v>0.7947046843177189</v>
      </c>
    </row>
    <row r="5075" spans="1:10">
      <c r="A5075" s="74" t="s">
        <v>683</v>
      </c>
      <c r="B5075" s="74" t="s">
        <v>274</v>
      </c>
      <c r="C5075" s="74" t="s">
        <v>1517</v>
      </c>
      <c r="D5075" s="74" t="s">
        <v>82</v>
      </c>
      <c r="E5075" s="74">
        <v>6</v>
      </c>
      <c r="F5075" s="74">
        <v>71.400000000000006</v>
      </c>
      <c r="G5075" s="758">
        <f t="shared" si="316"/>
        <v>2.52</v>
      </c>
      <c r="H5075" s="759">
        <f t="shared" si="317"/>
        <v>0.24</v>
      </c>
      <c r="I5075" s="758">
        <f t="shared" si="318"/>
        <v>9.3800000000000008</v>
      </c>
      <c r="J5075" s="760">
        <f t="shared" si="319"/>
        <v>0.78823529411764703</v>
      </c>
    </row>
    <row r="5076" spans="1:10">
      <c r="A5076" s="74" t="s">
        <v>683</v>
      </c>
      <c r="B5076" s="74" t="s">
        <v>274</v>
      </c>
      <c r="C5076" s="74" t="s">
        <v>1527</v>
      </c>
      <c r="D5076" s="74" t="s">
        <v>82</v>
      </c>
      <c r="E5076" s="74">
        <v>8</v>
      </c>
      <c r="F5076" s="74">
        <v>95.2</v>
      </c>
      <c r="G5076" s="758">
        <f t="shared" si="316"/>
        <v>2.52</v>
      </c>
      <c r="H5076" s="759">
        <f t="shared" si="317"/>
        <v>0.24</v>
      </c>
      <c r="I5076" s="758">
        <f t="shared" si="318"/>
        <v>9.3800000000000008</v>
      </c>
      <c r="J5076" s="760">
        <f t="shared" si="319"/>
        <v>0.78823529411764703</v>
      </c>
    </row>
    <row r="5077" spans="1:10">
      <c r="A5077" s="74" t="s">
        <v>683</v>
      </c>
      <c r="B5077" s="74" t="s">
        <v>274</v>
      </c>
      <c r="C5077" s="74" t="s">
        <v>1518</v>
      </c>
      <c r="D5077" s="74" t="s">
        <v>82</v>
      </c>
      <c r="E5077" s="74">
        <v>6</v>
      </c>
      <c r="F5077" s="74">
        <v>71.650000000000006</v>
      </c>
      <c r="G5077" s="758">
        <f t="shared" si="316"/>
        <v>2.52</v>
      </c>
      <c r="H5077" s="759">
        <f t="shared" si="317"/>
        <v>0.24</v>
      </c>
      <c r="I5077" s="758">
        <f t="shared" si="318"/>
        <v>9.4216666666666686</v>
      </c>
      <c r="J5077" s="760">
        <f t="shared" si="319"/>
        <v>0.78897418004187014</v>
      </c>
    </row>
    <row r="5078" spans="1:10">
      <c r="A5078" s="74" t="s">
        <v>683</v>
      </c>
      <c r="B5078" s="74" t="s">
        <v>274</v>
      </c>
      <c r="C5078" s="74" t="s">
        <v>1561</v>
      </c>
      <c r="D5078" s="74" t="s">
        <v>87</v>
      </c>
      <c r="E5078" s="74">
        <v>1</v>
      </c>
      <c r="F5078" s="74">
        <v>12.15</v>
      </c>
      <c r="G5078" s="758">
        <f t="shared" si="316"/>
        <v>2.52</v>
      </c>
      <c r="H5078" s="759">
        <f t="shared" si="317"/>
        <v>0.24</v>
      </c>
      <c r="I5078" s="758">
        <f t="shared" si="318"/>
        <v>9.6300000000000008</v>
      </c>
      <c r="J5078" s="760">
        <f t="shared" si="319"/>
        <v>0.79259259259259263</v>
      </c>
    </row>
    <row r="5079" spans="1:10">
      <c r="A5079" s="74" t="s">
        <v>683</v>
      </c>
      <c r="B5079" s="74" t="s">
        <v>274</v>
      </c>
      <c r="C5079" s="74" t="s">
        <v>1608</v>
      </c>
      <c r="D5079" s="74" t="s">
        <v>89</v>
      </c>
      <c r="E5079" s="74">
        <v>2</v>
      </c>
      <c r="F5079" s="74">
        <v>23.8</v>
      </c>
      <c r="G5079" s="758">
        <f t="shared" si="316"/>
        <v>2.52</v>
      </c>
      <c r="H5079" s="759">
        <f t="shared" si="317"/>
        <v>0.24</v>
      </c>
      <c r="I5079" s="758">
        <f t="shared" si="318"/>
        <v>9.3800000000000008</v>
      </c>
      <c r="J5079" s="760">
        <f t="shared" si="319"/>
        <v>0.78823529411764703</v>
      </c>
    </row>
    <row r="5080" spans="1:10">
      <c r="A5080" s="74" t="s">
        <v>683</v>
      </c>
      <c r="B5080" s="74" t="s">
        <v>274</v>
      </c>
      <c r="C5080" s="74" t="s">
        <v>1675</v>
      </c>
      <c r="D5080" s="74" t="s">
        <v>91</v>
      </c>
      <c r="E5080" s="74">
        <v>1</v>
      </c>
      <c r="F5080" s="74">
        <v>12.15</v>
      </c>
      <c r="G5080" s="758">
        <f t="shared" si="316"/>
        <v>2.52</v>
      </c>
      <c r="H5080" s="759">
        <f t="shared" si="317"/>
        <v>0.24</v>
      </c>
      <c r="I5080" s="758">
        <f t="shared" si="318"/>
        <v>9.6300000000000008</v>
      </c>
      <c r="J5080" s="760">
        <f t="shared" si="319"/>
        <v>0.79259259259259263</v>
      </c>
    </row>
    <row r="5081" spans="1:10">
      <c r="A5081" s="74" t="s">
        <v>683</v>
      </c>
      <c r="B5081" s="74" t="s">
        <v>274</v>
      </c>
      <c r="C5081" s="74" t="s">
        <v>1617</v>
      </c>
      <c r="D5081" s="74" t="s">
        <v>94</v>
      </c>
      <c r="E5081" s="74">
        <v>1</v>
      </c>
      <c r="F5081" s="74">
        <v>11.9</v>
      </c>
      <c r="G5081" s="758">
        <f t="shared" si="316"/>
        <v>2.52</v>
      </c>
      <c r="H5081" s="759">
        <f t="shared" si="317"/>
        <v>0.24</v>
      </c>
      <c r="I5081" s="758">
        <f t="shared" si="318"/>
        <v>9.3800000000000008</v>
      </c>
      <c r="J5081" s="760">
        <f t="shared" si="319"/>
        <v>0.78823529411764703</v>
      </c>
    </row>
    <row r="5082" spans="1:10">
      <c r="A5082" s="74" t="s">
        <v>2070</v>
      </c>
      <c r="B5082" s="74" t="s">
        <v>877</v>
      </c>
      <c r="C5082" s="74" t="s">
        <v>1578</v>
      </c>
      <c r="D5082" s="74" t="s">
        <v>86</v>
      </c>
      <c r="E5082" s="74">
        <v>5</v>
      </c>
      <c r="F5082" s="74">
        <v>0</v>
      </c>
      <c r="G5082" s="758">
        <f t="shared" si="316"/>
        <v>0</v>
      </c>
      <c r="H5082" s="759">
        <f t="shared" si="317"/>
        <v>0</v>
      </c>
      <c r="I5082" s="758">
        <f t="shared" si="318"/>
        <v>0</v>
      </c>
      <c r="J5082" s="760">
        <f t="shared" si="319"/>
        <v>0</v>
      </c>
    </row>
    <row r="5083" spans="1:10">
      <c r="A5083" s="74" t="s">
        <v>2070</v>
      </c>
      <c r="B5083" s="74" t="s">
        <v>877</v>
      </c>
      <c r="C5083" s="74" t="s">
        <v>1584</v>
      </c>
      <c r="D5083" s="74" t="s">
        <v>92</v>
      </c>
      <c r="E5083" s="74">
        <v>11</v>
      </c>
      <c r="F5083" s="74">
        <v>0</v>
      </c>
      <c r="G5083" s="758">
        <f t="shared" si="316"/>
        <v>0</v>
      </c>
      <c r="H5083" s="759">
        <f t="shared" si="317"/>
        <v>0</v>
      </c>
      <c r="I5083" s="758">
        <f t="shared" si="318"/>
        <v>0</v>
      </c>
      <c r="J5083" s="760">
        <f t="shared" si="319"/>
        <v>0</v>
      </c>
    </row>
    <row r="5084" spans="1:10">
      <c r="A5084" s="74" t="s">
        <v>2070</v>
      </c>
      <c r="B5084" s="74" t="s">
        <v>877</v>
      </c>
      <c r="C5084" s="74" t="s">
        <v>1555</v>
      </c>
      <c r="D5084" s="74" t="s">
        <v>94</v>
      </c>
      <c r="E5084" s="74">
        <v>8</v>
      </c>
      <c r="F5084" s="74">
        <v>0</v>
      </c>
      <c r="G5084" s="758">
        <f t="shared" si="316"/>
        <v>0</v>
      </c>
      <c r="H5084" s="759">
        <f t="shared" si="317"/>
        <v>0</v>
      </c>
      <c r="I5084" s="758">
        <f t="shared" si="318"/>
        <v>0</v>
      </c>
      <c r="J5084" s="760">
        <f t="shared" si="319"/>
        <v>0</v>
      </c>
    </row>
    <row r="5085" spans="1:10">
      <c r="A5085" s="74" t="s">
        <v>2071</v>
      </c>
      <c r="B5085" s="74" t="s">
        <v>877</v>
      </c>
      <c r="C5085" s="74" t="s">
        <v>1544</v>
      </c>
      <c r="D5085" s="74" t="s">
        <v>87</v>
      </c>
      <c r="E5085" s="74">
        <v>11</v>
      </c>
      <c r="F5085" s="74">
        <v>0</v>
      </c>
      <c r="G5085" s="758">
        <f t="shared" si="316"/>
        <v>0</v>
      </c>
      <c r="H5085" s="759">
        <f t="shared" si="317"/>
        <v>0</v>
      </c>
      <c r="I5085" s="758">
        <f t="shared" si="318"/>
        <v>0</v>
      </c>
      <c r="J5085" s="760">
        <f t="shared" si="319"/>
        <v>0</v>
      </c>
    </row>
    <row r="5086" spans="1:10">
      <c r="A5086" s="74" t="s">
        <v>2072</v>
      </c>
      <c r="B5086" s="74" t="s">
        <v>877</v>
      </c>
      <c r="C5086" s="74" t="s">
        <v>1561</v>
      </c>
      <c r="D5086" s="74" t="s">
        <v>87</v>
      </c>
      <c r="E5086" s="74">
        <v>5</v>
      </c>
      <c r="F5086" s="74">
        <v>0</v>
      </c>
      <c r="G5086" s="758">
        <f t="shared" si="316"/>
        <v>0</v>
      </c>
      <c r="H5086" s="759">
        <f t="shared" si="317"/>
        <v>0</v>
      </c>
      <c r="I5086" s="758">
        <f t="shared" si="318"/>
        <v>0</v>
      </c>
      <c r="J5086" s="760">
        <f t="shared" si="319"/>
        <v>0</v>
      </c>
    </row>
    <row r="5087" spans="1:10">
      <c r="A5087" s="74" t="s">
        <v>2072</v>
      </c>
      <c r="B5087" s="74" t="s">
        <v>877</v>
      </c>
      <c r="C5087" s="74" t="s">
        <v>1675</v>
      </c>
      <c r="D5087" s="74" t="s">
        <v>91</v>
      </c>
      <c r="E5087" s="74">
        <v>5</v>
      </c>
      <c r="F5087" s="74">
        <v>0</v>
      </c>
      <c r="G5087" s="758">
        <f t="shared" si="316"/>
        <v>0</v>
      </c>
      <c r="H5087" s="759">
        <f t="shared" si="317"/>
        <v>0</v>
      </c>
      <c r="I5087" s="758">
        <f t="shared" si="318"/>
        <v>0</v>
      </c>
      <c r="J5087" s="760">
        <f t="shared" si="319"/>
        <v>0</v>
      </c>
    </row>
    <row r="5088" spans="1:10">
      <c r="A5088" s="74" t="s">
        <v>2073</v>
      </c>
      <c r="B5088" s="74" t="s">
        <v>877</v>
      </c>
      <c r="C5088" s="74" t="s">
        <v>1608</v>
      </c>
      <c r="D5088" s="74" t="s">
        <v>89</v>
      </c>
      <c r="E5088" s="74">
        <v>1</v>
      </c>
      <c r="F5088" s="74">
        <v>5</v>
      </c>
      <c r="G5088" s="758">
        <f t="shared" si="316"/>
        <v>0</v>
      </c>
      <c r="H5088" s="759">
        <f t="shared" si="317"/>
        <v>0</v>
      </c>
      <c r="I5088" s="758">
        <f t="shared" si="318"/>
        <v>5</v>
      </c>
      <c r="J5088" s="760">
        <f t="shared" si="319"/>
        <v>1</v>
      </c>
    </row>
    <row r="5089" spans="1:10">
      <c r="A5089" s="74" t="s">
        <v>2073</v>
      </c>
      <c r="B5089" s="74" t="s">
        <v>877</v>
      </c>
      <c r="C5089" s="74" t="s">
        <v>1547</v>
      </c>
      <c r="D5089" s="74" t="s">
        <v>89</v>
      </c>
      <c r="E5089" s="74">
        <v>2</v>
      </c>
      <c r="F5089" s="74">
        <v>10</v>
      </c>
      <c r="G5089" s="758">
        <f t="shared" si="316"/>
        <v>0</v>
      </c>
      <c r="H5089" s="759">
        <f t="shared" si="317"/>
        <v>0</v>
      </c>
      <c r="I5089" s="758">
        <f t="shared" si="318"/>
        <v>5</v>
      </c>
      <c r="J5089" s="760">
        <f t="shared" si="319"/>
        <v>1</v>
      </c>
    </row>
    <row r="5090" spans="1:10">
      <c r="A5090" s="74" t="s">
        <v>2074</v>
      </c>
      <c r="B5090" s="74" t="s">
        <v>877</v>
      </c>
      <c r="C5090" s="74" t="s">
        <v>1577</v>
      </c>
      <c r="D5090" s="74" t="s">
        <v>84</v>
      </c>
      <c r="E5090" s="74">
        <v>2</v>
      </c>
      <c r="F5090" s="74">
        <v>8</v>
      </c>
      <c r="G5090" s="758">
        <f t="shared" si="316"/>
        <v>0</v>
      </c>
      <c r="H5090" s="759">
        <f t="shared" si="317"/>
        <v>0</v>
      </c>
      <c r="I5090" s="758">
        <f t="shared" si="318"/>
        <v>4</v>
      </c>
      <c r="J5090" s="760">
        <f t="shared" si="319"/>
        <v>1</v>
      </c>
    </row>
    <row r="5091" spans="1:10">
      <c r="A5091" s="74" t="s">
        <v>2075</v>
      </c>
      <c r="B5091" s="74" t="s">
        <v>877</v>
      </c>
      <c r="C5091" s="74" t="s">
        <v>1517</v>
      </c>
      <c r="D5091" s="74" t="s">
        <v>82</v>
      </c>
      <c r="E5091" s="74">
        <v>9</v>
      </c>
      <c r="F5091" s="74">
        <v>18</v>
      </c>
      <c r="G5091" s="758">
        <f t="shared" si="316"/>
        <v>2.13</v>
      </c>
      <c r="H5091" s="759">
        <f t="shared" si="317"/>
        <v>1.17</v>
      </c>
      <c r="I5091" s="758">
        <f t="shared" si="318"/>
        <v>-0.12999999999999989</v>
      </c>
      <c r="J5091" s="760">
        <f t="shared" si="319"/>
        <v>-6.4999999999999947E-2</v>
      </c>
    </row>
    <row r="5092" spans="1:10">
      <c r="A5092" s="74" t="s">
        <v>2076</v>
      </c>
      <c r="B5092" s="74" t="s">
        <v>877</v>
      </c>
      <c r="C5092" s="74" t="s">
        <v>1553</v>
      </c>
      <c r="D5092" s="74" t="s">
        <v>94</v>
      </c>
      <c r="E5092" s="74">
        <v>5</v>
      </c>
      <c r="F5092" s="74">
        <v>15</v>
      </c>
      <c r="G5092" s="758">
        <f t="shared" si="316"/>
        <v>0</v>
      </c>
      <c r="H5092" s="759">
        <f t="shared" si="317"/>
        <v>0</v>
      </c>
      <c r="I5092" s="758">
        <f t="shared" si="318"/>
        <v>3</v>
      </c>
      <c r="J5092" s="760">
        <f t="shared" si="319"/>
        <v>1</v>
      </c>
    </row>
    <row r="5093" spans="1:10">
      <c r="A5093" s="74" t="s">
        <v>2076</v>
      </c>
      <c r="B5093" s="74" t="s">
        <v>877</v>
      </c>
      <c r="C5093" s="74" t="s">
        <v>1930</v>
      </c>
      <c r="D5093" s="74" t="s">
        <v>95</v>
      </c>
      <c r="E5093" s="74">
        <v>3</v>
      </c>
      <c r="F5093" s="74">
        <v>9</v>
      </c>
      <c r="G5093" s="758">
        <f t="shared" si="316"/>
        <v>0</v>
      </c>
      <c r="H5093" s="759">
        <f t="shared" si="317"/>
        <v>0</v>
      </c>
      <c r="I5093" s="758">
        <f t="shared" si="318"/>
        <v>3</v>
      </c>
      <c r="J5093" s="760">
        <f t="shared" si="319"/>
        <v>1</v>
      </c>
    </row>
    <row r="5094" spans="1:10">
      <c r="A5094" s="74" t="s">
        <v>934</v>
      </c>
      <c r="B5094" s="74" t="s">
        <v>877</v>
      </c>
      <c r="C5094" s="74" t="s">
        <v>1646</v>
      </c>
      <c r="D5094" s="74" t="s">
        <v>86</v>
      </c>
      <c r="E5094" s="74">
        <v>2</v>
      </c>
      <c r="F5094" s="74">
        <v>8</v>
      </c>
      <c r="G5094" s="758">
        <f t="shared" si="316"/>
        <v>0</v>
      </c>
      <c r="H5094" s="759">
        <f t="shared" si="317"/>
        <v>0</v>
      </c>
      <c r="I5094" s="758">
        <f t="shared" si="318"/>
        <v>4</v>
      </c>
      <c r="J5094" s="760">
        <f t="shared" si="319"/>
        <v>1</v>
      </c>
    </row>
    <row r="5095" spans="1:10">
      <c r="A5095" s="74" t="s">
        <v>934</v>
      </c>
      <c r="B5095" s="74" t="s">
        <v>877</v>
      </c>
      <c r="C5095" s="74" t="s">
        <v>1543</v>
      </c>
      <c r="D5095" s="74" t="s">
        <v>87</v>
      </c>
      <c r="E5095" s="74">
        <v>3</v>
      </c>
      <c r="F5095" s="74">
        <v>9</v>
      </c>
      <c r="G5095" s="758">
        <f t="shared" si="316"/>
        <v>0</v>
      </c>
      <c r="H5095" s="759">
        <f t="shared" si="317"/>
        <v>0</v>
      </c>
      <c r="I5095" s="758">
        <f t="shared" si="318"/>
        <v>3</v>
      </c>
      <c r="J5095" s="760">
        <f t="shared" si="319"/>
        <v>1</v>
      </c>
    </row>
    <row r="5096" spans="1:10">
      <c r="A5096" s="74" t="s">
        <v>934</v>
      </c>
      <c r="B5096" s="74" t="s">
        <v>877</v>
      </c>
      <c r="C5096" s="74" t="s">
        <v>1522</v>
      </c>
      <c r="D5096" s="74" t="s">
        <v>91</v>
      </c>
      <c r="E5096" s="74">
        <v>5</v>
      </c>
      <c r="F5096" s="74">
        <v>15</v>
      </c>
      <c r="G5096" s="758">
        <f t="shared" si="316"/>
        <v>0</v>
      </c>
      <c r="H5096" s="759">
        <f t="shared" si="317"/>
        <v>0</v>
      </c>
      <c r="I5096" s="758">
        <f t="shared" si="318"/>
        <v>3</v>
      </c>
      <c r="J5096" s="760">
        <f t="shared" si="319"/>
        <v>1</v>
      </c>
    </row>
    <row r="5097" spans="1:10">
      <c r="A5097" s="74" t="s">
        <v>934</v>
      </c>
      <c r="B5097" s="74" t="s">
        <v>877</v>
      </c>
      <c r="C5097" s="74" t="s">
        <v>1550</v>
      </c>
      <c r="D5097" s="74" t="s">
        <v>91</v>
      </c>
      <c r="E5097" s="74">
        <v>1</v>
      </c>
      <c r="F5097" s="74">
        <v>3</v>
      </c>
      <c r="G5097" s="758">
        <f t="shared" si="316"/>
        <v>0</v>
      </c>
      <c r="H5097" s="759">
        <f t="shared" si="317"/>
        <v>0</v>
      </c>
      <c r="I5097" s="758">
        <f t="shared" si="318"/>
        <v>3</v>
      </c>
      <c r="J5097" s="760">
        <f t="shared" si="319"/>
        <v>1</v>
      </c>
    </row>
    <row r="5098" spans="1:10">
      <c r="A5098" s="74" t="s">
        <v>2077</v>
      </c>
      <c r="B5098" s="74" t="s">
        <v>877</v>
      </c>
      <c r="C5098" s="74" t="s">
        <v>1520</v>
      </c>
      <c r="D5098" s="74" t="s">
        <v>84</v>
      </c>
      <c r="E5098" s="74">
        <v>6</v>
      </c>
      <c r="F5098" s="74">
        <v>2</v>
      </c>
      <c r="G5098" s="758">
        <f t="shared" si="316"/>
        <v>0</v>
      </c>
      <c r="H5098" s="759">
        <f t="shared" si="317"/>
        <v>0</v>
      </c>
      <c r="I5098" s="758">
        <f t="shared" si="318"/>
        <v>0.33333333333333331</v>
      </c>
      <c r="J5098" s="760">
        <f t="shared" si="319"/>
        <v>1</v>
      </c>
    </row>
    <row r="5099" spans="1:10">
      <c r="A5099" s="74" t="s">
        <v>2078</v>
      </c>
      <c r="B5099" s="74" t="s">
        <v>877</v>
      </c>
      <c r="C5099" s="74" t="s">
        <v>1631</v>
      </c>
      <c r="D5099" s="74" t="s">
        <v>92</v>
      </c>
      <c r="E5099" s="74">
        <v>7</v>
      </c>
      <c r="F5099" s="74">
        <v>0</v>
      </c>
      <c r="G5099" s="758">
        <f t="shared" si="316"/>
        <v>0</v>
      </c>
      <c r="H5099" s="759">
        <f t="shared" si="317"/>
        <v>0</v>
      </c>
      <c r="I5099" s="758">
        <f t="shared" si="318"/>
        <v>0</v>
      </c>
      <c r="J5099" s="760">
        <f t="shared" si="319"/>
        <v>0</v>
      </c>
    </row>
    <row r="5100" spans="1:10">
      <c r="A5100" s="74" t="s">
        <v>2079</v>
      </c>
      <c r="B5100" s="74" t="s">
        <v>877</v>
      </c>
      <c r="C5100" s="74" t="s">
        <v>1552</v>
      </c>
      <c r="D5100" s="74" t="s">
        <v>92</v>
      </c>
      <c r="E5100" s="74">
        <v>2</v>
      </c>
      <c r="F5100" s="74">
        <v>6</v>
      </c>
      <c r="G5100" s="758">
        <f t="shared" si="316"/>
        <v>0</v>
      </c>
      <c r="H5100" s="759">
        <f t="shared" si="317"/>
        <v>0</v>
      </c>
      <c r="I5100" s="758">
        <f t="shared" si="318"/>
        <v>3</v>
      </c>
      <c r="J5100" s="760">
        <f t="shared" si="319"/>
        <v>1</v>
      </c>
    </row>
    <row r="5101" spans="1:10">
      <c r="A5101" s="74" t="s">
        <v>2080</v>
      </c>
      <c r="B5101" s="74" t="s">
        <v>877</v>
      </c>
      <c r="C5101" s="74" t="s">
        <v>1526</v>
      </c>
      <c r="D5101" s="74" t="s">
        <v>95</v>
      </c>
      <c r="E5101" s="74">
        <v>6</v>
      </c>
      <c r="F5101" s="74">
        <v>0</v>
      </c>
      <c r="G5101" s="758">
        <f t="shared" si="316"/>
        <v>0</v>
      </c>
      <c r="H5101" s="759">
        <f t="shared" si="317"/>
        <v>0</v>
      </c>
      <c r="I5101" s="758">
        <f t="shared" si="318"/>
        <v>0</v>
      </c>
      <c r="J5101" s="760">
        <f t="shared" si="319"/>
        <v>0</v>
      </c>
    </row>
    <row r="5102" spans="1:10">
      <c r="A5102" s="74" t="s">
        <v>1049</v>
      </c>
      <c r="B5102" s="74" t="s">
        <v>877</v>
      </c>
      <c r="C5102" s="74" t="s">
        <v>1614</v>
      </c>
      <c r="D5102" s="74" t="s">
        <v>92</v>
      </c>
      <c r="E5102" s="74">
        <v>7</v>
      </c>
      <c r="F5102" s="74">
        <v>0</v>
      </c>
      <c r="G5102" s="758">
        <f t="shared" si="316"/>
        <v>0</v>
      </c>
      <c r="H5102" s="759">
        <f t="shared" si="317"/>
        <v>0</v>
      </c>
      <c r="I5102" s="758">
        <f t="shared" si="318"/>
        <v>0</v>
      </c>
      <c r="J5102" s="760">
        <f t="shared" si="319"/>
        <v>0</v>
      </c>
    </row>
    <row r="5103" spans="1:10">
      <c r="A5103" s="74" t="s">
        <v>2081</v>
      </c>
      <c r="B5103" s="74" t="s">
        <v>877</v>
      </c>
      <c r="C5103" s="74" t="s">
        <v>1644</v>
      </c>
      <c r="D5103" s="74" t="s">
        <v>86</v>
      </c>
      <c r="E5103" s="74">
        <v>5</v>
      </c>
      <c r="F5103" s="74">
        <v>2</v>
      </c>
      <c r="G5103" s="758">
        <f t="shared" si="316"/>
        <v>0</v>
      </c>
      <c r="H5103" s="759">
        <f t="shared" si="317"/>
        <v>0</v>
      </c>
      <c r="I5103" s="758">
        <f t="shared" si="318"/>
        <v>0.4</v>
      </c>
      <c r="J5103" s="760">
        <f t="shared" si="319"/>
        <v>1</v>
      </c>
    </row>
    <row r="5104" spans="1:10">
      <c r="A5104" s="74" t="s">
        <v>2082</v>
      </c>
      <c r="B5104" s="74" t="s">
        <v>873</v>
      </c>
      <c r="C5104" s="74" t="s">
        <v>1546</v>
      </c>
      <c r="D5104" s="74" t="s">
        <v>89</v>
      </c>
      <c r="E5104" s="74">
        <v>3</v>
      </c>
      <c r="F5104" s="74">
        <v>0</v>
      </c>
      <c r="G5104" s="758">
        <f t="shared" si="316"/>
        <v>0</v>
      </c>
      <c r="H5104" s="759">
        <f t="shared" si="317"/>
        <v>0</v>
      </c>
      <c r="I5104" s="758">
        <f t="shared" si="318"/>
        <v>0</v>
      </c>
      <c r="J5104" s="760">
        <f t="shared" si="319"/>
        <v>0</v>
      </c>
    </row>
    <row r="5105" spans="1:10">
      <c r="A5105" s="74" t="s">
        <v>2083</v>
      </c>
      <c r="B5105" s="74" t="s">
        <v>873</v>
      </c>
      <c r="C5105" s="74" t="s">
        <v>1617</v>
      </c>
      <c r="D5105" s="74" t="s">
        <v>94</v>
      </c>
      <c r="E5105" s="74">
        <v>19</v>
      </c>
      <c r="F5105" s="74">
        <v>0</v>
      </c>
      <c r="G5105" s="758">
        <f t="shared" si="316"/>
        <v>0</v>
      </c>
      <c r="H5105" s="759">
        <f t="shared" si="317"/>
        <v>0</v>
      </c>
      <c r="I5105" s="758">
        <f t="shared" si="318"/>
        <v>0</v>
      </c>
      <c r="J5105" s="760">
        <f t="shared" si="319"/>
        <v>0</v>
      </c>
    </row>
    <row r="5106" spans="1:10">
      <c r="A5106" s="74" t="s">
        <v>2084</v>
      </c>
      <c r="B5106" s="74" t="s">
        <v>873</v>
      </c>
      <c r="C5106" s="74" t="s">
        <v>1507</v>
      </c>
      <c r="D5106" s="74" t="s">
        <v>86</v>
      </c>
      <c r="E5106" s="74">
        <v>15</v>
      </c>
      <c r="F5106" s="74">
        <v>0</v>
      </c>
      <c r="G5106" s="758">
        <f t="shared" si="316"/>
        <v>0</v>
      </c>
      <c r="H5106" s="759">
        <f t="shared" si="317"/>
        <v>0</v>
      </c>
      <c r="I5106" s="758">
        <f t="shared" si="318"/>
        <v>0</v>
      </c>
      <c r="J5106" s="760">
        <f t="shared" si="319"/>
        <v>0</v>
      </c>
    </row>
    <row r="5107" spans="1:10">
      <c r="A5107" s="74" t="s">
        <v>2085</v>
      </c>
      <c r="B5107" s="74" t="s">
        <v>894</v>
      </c>
      <c r="C5107" s="74" t="s">
        <v>1518</v>
      </c>
      <c r="D5107" s="74" t="s">
        <v>82</v>
      </c>
      <c r="E5107" s="74">
        <v>1</v>
      </c>
      <c r="F5107" s="74">
        <v>3.75</v>
      </c>
      <c r="G5107" s="758">
        <f t="shared" si="316"/>
        <v>3.19</v>
      </c>
      <c r="H5107" s="759">
        <f t="shared" si="317"/>
        <v>0.94</v>
      </c>
      <c r="I5107" s="758">
        <f t="shared" si="318"/>
        <v>0.56000000000000005</v>
      </c>
      <c r="J5107" s="760">
        <f t="shared" si="319"/>
        <v>0.14933333333333332</v>
      </c>
    </row>
    <row r="5108" spans="1:10">
      <c r="A5108" s="74" t="s">
        <v>2086</v>
      </c>
      <c r="B5108" s="74" t="s">
        <v>326</v>
      </c>
      <c r="C5108" s="74" t="s">
        <v>1528</v>
      </c>
      <c r="D5108" s="74" t="s">
        <v>78</v>
      </c>
      <c r="E5108" s="74">
        <v>1</v>
      </c>
      <c r="F5108" s="74">
        <v>12.5</v>
      </c>
      <c r="G5108" s="758">
        <f t="shared" si="316"/>
        <v>2.81</v>
      </c>
      <c r="H5108" s="759">
        <f t="shared" si="317"/>
        <v>0.27</v>
      </c>
      <c r="I5108" s="758">
        <f t="shared" si="318"/>
        <v>9.69</v>
      </c>
      <c r="J5108" s="760">
        <f t="shared" si="319"/>
        <v>0.7752</v>
      </c>
    </row>
    <row r="5109" spans="1:10">
      <c r="A5109" s="74" t="s">
        <v>2086</v>
      </c>
      <c r="B5109" s="74" t="s">
        <v>326</v>
      </c>
      <c r="C5109" s="74" t="s">
        <v>1508</v>
      </c>
      <c r="D5109" s="74" t="s">
        <v>78</v>
      </c>
      <c r="E5109" s="74">
        <v>1</v>
      </c>
      <c r="F5109" s="74">
        <v>12.5</v>
      </c>
      <c r="G5109" s="758">
        <f t="shared" si="316"/>
        <v>2.81</v>
      </c>
      <c r="H5109" s="759">
        <f t="shared" si="317"/>
        <v>0.27</v>
      </c>
      <c r="I5109" s="758">
        <f t="shared" si="318"/>
        <v>9.69</v>
      </c>
      <c r="J5109" s="760">
        <f t="shared" si="319"/>
        <v>0.7752</v>
      </c>
    </row>
    <row r="5110" spans="1:10">
      <c r="A5110" s="74" t="s">
        <v>2086</v>
      </c>
      <c r="B5110" s="74" t="s">
        <v>326</v>
      </c>
      <c r="C5110" s="74" t="s">
        <v>1565</v>
      </c>
      <c r="D5110" s="74" t="s">
        <v>78</v>
      </c>
      <c r="E5110" s="74">
        <v>1</v>
      </c>
      <c r="F5110" s="74">
        <v>12.5</v>
      </c>
      <c r="G5110" s="758">
        <f t="shared" si="316"/>
        <v>2.81</v>
      </c>
      <c r="H5110" s="759">
        <f t="shared" si="317"/>
        <v>0.27</v>
      </c>
      <c r="I5110" s="758">
        <f t="shared" si="318"/>
        <v>9.69</v>
      </c>
      <c r="J5110" s="760">
        <f t="shared" si="319"/>
        <v>0.7752</v>
      </c>
    </row>
    <row r="5111" spans="1:10">
      <c r="A5111" s="74" t="s">
        <v>2086</v>
      </c>
      <c r="B5111" s="74" t="s">
        <v>326</v>
      </c>
      <c r="C5111" s="74" t="s">
        <v>1532</v>
      </c>
      <c r="D5111" s="74" t="s">
        <v>80</v>
      </c>
      <c r="E5111" s="74">
        <v>2</v>
      </c>
      <c r="F5111" s="74">
        <v>25</v>
      </c>
      <c r="G5111" s="758">
        <f t="shared" si="316"/>
        <v>2.81</v>
      </c>
      <c r="H5111" s="759">
        <f t="shared" si="317"/>
        <v>0.27</v>
      </c>
      <c r="I5111" s="758">
        <f t="shared" si="318"/>
        <v>9.69</v>
      </c>
      <c r="J5111" s="760">
        <f t="shared" si="319"/>
        <v>0.7752</v>
      </c>
    </row>
    <row r="5112" spans="1:10">
      <c r="A5112" s="74" t="s">
        <v>2086</v>
      </c>
      <c r="B5112" s="74" t="s">
        <v>326</v>
      </c>
      <c r="C5112" s="74" t="s">
        <v>1511</v>
      </c>
      <c r="D5112" s="74" t="s">
        <v>80</v>
      </c>
      <c r="E5112" s="74">
        <v>4</v>
      </c>
      <c r="F5112" s="74">
        <v>50</v>
      </c>
      <c r="G5112" s="758">
        <f t="shared" si="316"/>
        <v>2.81</v>
      </c>
      <c r="H5112" s="759">
        <f t="shared" si="317"/>
        <v>0.27</v>
      </c>
      <c r="I5112" s="758">
        <f t="shared" si="318"/>
        <v>9.69</v>
      </c>
      <c r="J5112" s="760">
        <f t="shared" si="319"/>
        <v>0.7752</v>
      </c>
    </row>
    <row r="5113" spans="1:10">
      <c r="A5113" s="74" t="s">
        <v>2086</v>
      </c>
      <c r="B5113" s="74" t="s">
        <v>326</v>
      </c>
      <c r="C5113" s="74" t="s">
        <v>1512</v>
      </c>
      <c r="D5113" s="74" t="s">
        <v>80</v>
      </c>
      <c r="E5113" s="74">
        <v>3</v>
      </c>
      <c r="F5113" s="74">
        <v>37.5</v>
      </c>
      <c r="G5113" s="758">
        <f t="shared" si="316"/>
        <v>2.81</v>
      </c>
      <c r="H5113" s="759">
        <f t="shared" si="317"/>
        <v>0.27</v>
      </c>
      <c r="I5113" s="758">
        <f t="shared" si="318"/>
        <v>9.69</v>
      </c>
      <c r="J5113" s="760">
        <f t="shared" si="319"/>
        <v>0.7752</v>
      </c>
    </row>
    <row r="5114" spans="1:10">
      <c r="A5114" s="74" t="s">
        <v>2086</v>
      </c>
      <c r="B5114" s="74" t="s">
        <v>326</v>
      </c>
      <c r="C5114" s="74" t="s">
        <v>1534</v>
      </c>
      <c r="D5114" s="74" t="s">
        <v>81</v>
      </c>
      <c r="E5114" s="74">
        <v>5</v>
      </c>
      <c r="F5114" s="74">
        <v>62.5</v>
      </c>
      <c r="G5114" s="758">
        <f t="shared" si="316"/>
        <v>2.81</v>
      </c>
      <c r="H5114" s="759">
        <f t="shared" si="317"/>
        <v>0.27</v>
      </c>
      <c r="I5114" s="758">
        <f t="shared" si="318"/>
        <v>9.69</v>
      </c>
      <c r="J5114" s="760">
        <f t="shared" si="319"/>
        <v>0.7752</v>
      </c>
    </row>
    <row r="5115" spans="1:10">
      <c r="A5115" s="74" t="s">
        <v>2086</v>
      </c>
      <c r="B5115" s="74" t="s">
        <v>326</v>
      </c>
      <c r="C5115" s="74" t="s">
        <v>1514</v>
      </c>
      <c r="D5115" s="74" t="s">
        <v>81</v>
      </c>
      <c r="E5115" s="74">
        <v>2</v>
      </c>
      <c r="F5115" s="74">
        <v>25</v>
      </c>
      <c r="G5115" s="758">
        <f t="shared" si="316"/>
        <v>2.81</v>
      </c>
      <c r="H5115" s="759">
        <f t="shared" si="317"/>
        <v>0.27</v>
      </c>
      <c r="I5115" s="758">
        <f t="shared" si="318"/>
        <v>9.69</v>
      </c>
      <c r="J5115" s="760">
        <f t="shared" si="319"/>
        <v>0.7752</v>
      </c>
    </row>
    <row r="5116" spans="1:10">
      <c r="A5116" s="74" t="s">
        <v>2086</v>
      </c>
      <c r="B5116" s="74" t="s">
        <v>326</v>
      </c>
      <c r="C5116" s="74" t="s">
        <v>1516</v>
      </c>
      <c r="D5116" s="74" t="s">
        <v>82</v>
      </c>
      <c r="E5116" s="74">
        <v>6</v>
      </c>
      <c r="F5116" s="74">
        <v>133.5</v>
      </c>
      <c r="G5116" s="758">
        <f t="shared" si="316"/>
        <v>2.81</v>
      </c>
      <c r="H5116" s="759">
        <f t="shared" si="317"/>
        <v>0.27</v>
      </c>
      <c r="I5116" s="758">
        <f t="shared" si="318"/>
        <v>19.440000000000001</v>
      </c>
      <c r="J5116" s="760">
        <f t="shared" si="319"/>
        <v>0.87370786516853927</v>
      </c>
    </row>
    <row r="5117" spans="1:10">
      <c r="A5117" s="74" t="s">
        <v>2086</v>
      </c>
      <c r="B5117" s="74" t="s">
        <v>326</v>
      </c>
      <c r="C5117" s="74" t="s">
        <v>1517</v>
      </c>
      <c r="D5117" s="74" t="s">
        <v>82</v>
      </c>
      <c r="E5117" s="74">
        <v>4</v>
      </c>
      <c r="F5117" s="74">
        <v>50.65</v>
      </c>
      <c r="G5117" s="758">
        <f t="shared" si="316"/>
        <v>2.81</v>
      </c>
      <c r="H5117" s="759">
        <f t="shared" si="317"/>
        <v>0.27</v>
      </c>
      <c r="I5117" s="758">
        <f t="shared" si="318"/>
        <v>9.8524999999999991</v>
      </c>
      <c r="J5117" s="760">
        <f t="shared" si="319"/>
        <v>0.77808489634748268</v>
      </c>
    </row>
    <row r="5118" spans="1:10">
      <c r="A5118" s="74" t="s">
        <v>2086</v>
      </c>
      <c r="B5118" s="74" t="s">
        <v>326</v>
      </c>
      <c r="C5118" s="74" t="s">
        <v>1527</v>
      </c>
      <c r="D5118" s="74" t="s">
        <v>82</v>
      </c>
      <c r="E5118" s="74">
        <v>6</v>
      </c>
      <c r="F5118" s="74">
        <v>75</v>
      </c>
      <c r="G5118" s="758">
        <f t="shared" si="316"/>
        <v>2.81</v>
      </c>
      <c r="H5118" s="759">
        <f t="shared" si="317"/>
        <v>0.27</v>
      </c>
      <c r="I5118" s="758">
        <f t="shared" si="318"/>
        <v>9.69</v>
      </c>
      <c r="J5118" s="760">
        <f t="shared" si="319"/>
        <v>0.7752</v>
      </c>
    </row>
    <row r="5119" spans="1:10">
      <c r="A5119" s="74" t="s">
        <v>2086</v>
      </c>
      <c r="B5119" s="74" t="s">
        <v>326</v>
      </c>
      <c r="C5119" s="74" t="s">
        <v>1518</v>
      </c>
      <c r="D5119" s="74" t="s">
        <v>82</v>
      </c>
      <c r="E5119" s="74">
        <v>2</v>
      </c>
      <c r="F5119" s="74">
        <v>25</v>
      </c>
      <c r="G5119" s="758">
        <f t="shared" si="316"/>
        <v>2.81</v>
      </c>
      <c r="H5119" s="759">
        <f t="shared" si="317"/>
        <v>0.27</v>
      </c>
      <c r="I5119" s="758">
        <f t="shared" si="318"/>
        <v>9.69</v>
      </c>
      <c r="J5119" s="760">
        <f t="shared" si="319"/>
        <v>0.7752</v>
      </c>
    </row>
    <row r="5120" spans="1:10">
      <c r="A5120" s="74" t="s">
        <v>2086</v>
      </c>
      <c r="B5120" s="74" t="s">
        <v>326</v>
      </c>
      <c r="C5120" s="74" t="s">
        <v>1644</v>
      </c>
      <c r="D5120" s="74" t="s">
        <v>86</v>
      </c>
      <c r="E5120" s="74">
        <v>1</v>
      </c>
      <c r="F5120" s="74">
        <v>12.5</v>
      </c>
      <c r="G5120" s="758">
        <f t="shared" si="316"/>
        <v>2.81</v>
      </c>
      <c r="H5120" s="759">
        <f t="shared" si="317"/>
        <v>0.27</v>
      </c>
      <c r="I5120" s="758">
        <f t="shared" si="318"/>
        <v>9.69</v>
      </c>
      <c r="J5120" s="760">
        <f t="shared" si="319"/>
        <v>0.7752</v>
      </c>
    </row>
    <row r="5121" spans="1:10">
      <c r="A5121" s="74" t="s">
        <v>2086</v>
      </c>
      <c r="B5121" s="74" t="s">
        <v>326</v>
      </c>
      <c r="C5121" s="74" t="s">
        <v>1541</v>
      </c>
      <c r="D5121" s="74" t="s">
        <v>86</v>
      </c>
      <c r="E5121" s="74">
        <v>1</v>
      </c>
      <c r="F5121" s="74">
        <v>12.5</v>
      </c>
      <c r="G5121" s="758">
        <f t="shared" si="316"/>
        <v>2.81</v>
      </c>
      <c r="H5121" s="759">
        <f t="shared" si="317"/>
        <v>0.27</v>
      </c>
      <c r="I5121" s="758">
        <f t="shared" si="318"/>
        <v>9.69</v>
      </c>
      <c r="J5121" s="760">
        <f t="shared" si="319"/>
        <v>0.7752</v>
      </c>
    </row>
    <row r="5122" spans="1:10">
      <c r="A5122" s="74" t="s">
        <v>2086</v>
      </c>
      <c r="B5122" s="74" t="s">
        <v>326</v>
      </c>
      <c r="C5122" s="74" t="s">
        <v>1675</v>
      </c>
      <c r="D5122" s="74" t="s">
        <v>91</v>
      </c>
      <c r="E5122" s="74">
        <v>1</v>
      </c>
      <c r="F5122" s="74">
        <v>12.5</v>
      </c>
      <c r="G5122" s="758">
        <f t="shared" ref="G5122:G5185" si="320">IFERROR(VLOOKUP(A5122,$M$1:$P$1014,2,FALSE),0)</f>
        <v>2.81</v>
      </c>
      <c r="H5122" s="759">
        <f t="shared" ref="H5122:H5185" si="321">IFERROR(VLOOKUP(A5122,$M$1:$P$1014,3,FALSE),0)</f>
        <v>0.27</v>
      </c>
      <c r="I5122" s="758">
        <f t="shared" ref="I5122:I5185" si="322">IFERROR(F5122/E5122-G5122,0)</f>
        <v>9.69</v>
      </c>
      <c r="J5122" s="760">
        <f t="shared" ref="J5122:J5185" si="323">IFERROR(1-G5122*E5122/F5122,0)</f>
        <v>0.7752</v>
      </c>
    </row>
    <row r="5123" spans="1:10">
      <c r="A5123" s="74" t="s">
        <v>2086</v>
      </c>
      <c r="B5123" s="74" t="s">
        <v>326</v>
      </c>
      <c r="C5123" s="74" t="s">
        <v>1552</v>
      </c>
      <c r="D5123" s="74" t="s">
        <v>92</v>
      </c>
      <c r="E5123" s="74">
        <v>1</v>
      </c>
      <c r="F5123" s="74">
        <v>12.5</v>
      </c>
      <c r="G5123" s="758">
        <f t="shared" si="320"/>
        <v>2.81</v>
      </c>
      <c r="H5123" s="759">
        <f t="shared" si="321"/>
        <v>0.27</v>
      </c>
      <c r="I5123" s="758">
        <f t="shared" si="322"/>
        <v>9.69</v>
      </c>
      <c r="J5123" s="760">
        <f t="shared" si="323"/>
        <v>0.7752</v>
      </c>
    </row>
    <row r="5124" spans="1:10">
      <c r="A5124" s="74" t="s">
        <v>2086</v>
      </c>
      <c r="B5124" s="74" t="s">
        <v>326</v>
      </c>
      <c r="C5124" s="74" t="s">
        <v>1555</v>
      </c>
      <c r="D5124" s="74" t="s">
        <v>94</v>
      </c>
      <c r="E5124" s="74">
        <v>1</v>
      </c>
      <c r="F5124" s="74">
        <v>12.5</v>
      </c>
      <c r="G5124" s="758">
        <f t="shared" si="320"/>
        <v>2.81</v>
      </c>
      <c r="H5124" s="759">
        <f t="shared" si="321"/>
        <v>0.27</v>
      </c>
      <c r="I5124" s="758">
        <f t="shared" si="322"/>
        <v>9.69</v>
      </c>
      <c r="J5124" s="760">
        <f t="shared" si="323"/>
        <v>0.7752</v>
      </c>
    </row>
    <row r="5125" spans="1:10">
      <c r="A5125" s="74" t="s">
        <v>2087</v>
      </c>
      <c r="B5125" s="74" t="s">
        <v>326</v>
      </c>
      <c r="C5125" s="74" t="s">
        <v>1547</v>
      </c>
      <c r="D5125" s="74" t="s">
        <v>89</v>
      </c>
      <c r="E5125" s="74">
        <v>1</v>
      </c>
      <c r="F5125" s="74">
        <v>10.9</v>
      </c>
      <c r="G5125" s="758">
        <f t="shared" si="320"/>
        <v>0</v>
      </c>
      <c r="H5125" s="759">
        <f t="shared" si="321"/>
        <v>0</v>
      </c>
      <c r="I5125" s="758">
        <f t="shared" si="322"/>
        <v>10.9</v>
      </c>
      <c r="J5125" s="760">
        <f t="shared" si="323"/>
        <v>1</v>
      </c>
    </row>
    <row r="5126" spans="1:10">
      <c r="A5126" s="74" t="s">
        <v>2088</v>
      </c>
      <c r="B5126" s="74" t="s">
        <v>264</v>
      </c>
      <c r="C5126" s="74" t="s">
        <v>1544</v>
      </c>
      <c r="D5126" s="74" t="s">
        <v>87</v>
      </c>
      <c r="E5126" s="74">
        <v>1</v>
      </c>
      <c r="F5126" s="74">
        <v>0.5</v>
      </c>
      <c r="G5126" s="758">
        <f t="shared" si="320"/>
        <v>0</v>
      </c>
      <c r="H5126" s="759">
        <f t="shared" si="321"/>
        <v>0</v>
      </c>
      <c r="I5126" s="758">
        <f t="shared" si="322"/>
        <v>0.5</v>
      </c>
      <c r="J5126" s="760">
        <f t="shared" si="323"/>
        <v>1</v>
      </c>
    </row>
    <row r="5127" spans="1:10">
      <c r="A5127" s="74" t="s">
        <v>2088</v>
      </c>
      <c r="B5127" s="74" t="s">
        <v>264</v>
      </c>
      <c r="C5127" s="74" t="s">
        <v>1608</v>
      </c>
      <c r="D5127" s="74" t="s">
        <v>89</v>
      </c>
      <c r="E5127" s="74">
        <v>2</v>
      </c>
      <c r="F5127" s="74">
        <v>1</v>
      </c>
      <c r="G5127" s="758">
        <f t="shared" si="320"/>
        <v>0</v>
      </c>
      <c r="H5127" s="759">
        <f t="shared" si="321"/>
        <v>0</v>
      </c>
      <c r="I5127" s="758">
        <f t="shared" si="322"/>
        <v>0.5</v>
      </c>
      <c r="J5127" s="760">
        <f t="shared" si="323"/>
        <v>1</v>
      </c>
    </row>
    <row r="5128" spans="1:10">
      <c r="A5128" s="74" t="s">
        <v>2310</v>
      </c>
      <c r="B5128" s="74" t="s">
        <v>264</v>
      </c>
      <c r="C5128" s="74" t="s">
        <v>1518</v>
      </c>
      <c r="D5128" s="74" t="s">
        <v>82</v>
      </c>
      <c r="E5128" s="74">
        <v>1</v>
      </c>
      <c r="F5128" s="74">
        <v>3.5</v>
      </c>
      <c r="G5128" s="758">
        <f t="shared" si="320"/>
        <v>1.03</v>
      </c>
      <c r="H5128" s="759">
        <f t="shared" si="321"/>
        <v>0.4</v>
      </c>
      <c r="I5128" s="758">
        <f t="shared" si="322"/>
        <v>2.4699999999999998</v>
      </c>
      <c r="J5128" s="760">
        <f t="shared" si="323"/>
        <v>0.70571428571428574</v>
      </c>
    </row>
    <row r="5129" spans="1:10">
      <c r="A5129" s="74" t="s">
        <v>2310</v>
      </c>
      <c r="B5129" s="74" t="s">
        <v>264</v>
      </c>
      <c r="C5129" s="74" t="s">
        <v>1578</v>
      </c>
      <c r="D5129" s="74" t="s">
        <v>86</v>
      </c>
      <c r="E5129" s="74">
        <v>2</v>
      </c>
      <c r="F5129" s="74">
        <v>7</v>
      </c>
      <c r="G5129" s="758">
        <f t="shared" si="320"/>
        <v>1.03</v>
      </c>
      <c r="H5129" s="759">
        <f t="shared" si="321"/>
        <v>0.4</v>
      </c>
      <c r="I5129" s="758">
        <f t="shared" si="322"/>
        <v>2.4699999999999998</v>
      </c>
      <c r="J5129" s="760">
        <f t="shared" si="323"/>
        <v>0.70571428571428574</v>
      </c>
    </row>
    <row r="5130" spans="1:10">
      <c r="A5130" s="74" t="s">
        <v>2089</v>
      </c>
      <c r="B5130" s="74" t="s">
        <v>258</v>
      </c>
      <c r="C5130" s="74" t="s">
        <v>1522</v>
      </c>
      <c r="D5130" s="74" t="s">
        <v>91</v>
      </c>
      <c r="E5130" s="74">
        <v>4</v>
      </c>
      <c r="F5130" s="74">
        <v>0</v>
      </c>
      <c r="G5130" s="758">
        <f t="shared" si="320"/>
        <v>0</v>
      </c>
      <c r="H5130" s="759">
        <f t="shared" si="321"/>
        <v>0</v>
      </c>
      <c r="I5130" s="758">
        <f t="shared" si="322"/>
        <v>0</v>
      </c>
      <c r="J5130" s="760">
        <f t="shared" si="323"/>
        <v>0</v>
      </c>
    </row>
    <row r="5131" spans="1:10">
      <c r="A5131" s="74" t="s">
        <v>2090</v>
      </c>
      <c r="B5131" s="74" t="s">
        <v>264</v>
      </c>
      <c r="C5131" s="74" t="s">
        <v>1515</v>
      </c>
      <c r="D5131" s="74" t="s">
        <v>81</v>
      </c>
      <c r="E5131" s="74">
        <v>1</v>
      </c>
      <c r="F5131" s="74">
        <v>2</v>
      </c>
      <c r="G5131" s="758">
        <f t="shared" si="320"/>
        <v>0.32</v>
      </c>
      <c r="H5131" s="759">
        <f t="shared" si="321"/>
        <v>0</v>
      </c>
      <c r="I5131" s="758">
        <f t="shared" si="322"/>
        <v>1.68</v>
      </c>
      <c r="J5131" s="760">
        <f t="shared" si="323"/>
        <v>0.84</v>
      </c>
    </row>
    <row r="5132" spans="1:10">
      <c r="A5132" s="74" t="s">
        <v>790</v>
      </c>
      <c r="B5132" s="74" t="s">
        <v>264</v>
      </c>
      <c r="C5132" s="74" t="s">
        <v>1511</v>
      </c>
      <c r="D5132" s="74" t="s">
        <v>80</v>
      </c>
      <c r="E5132" s="74">
        <v>72</v>
      </c>
      <c r="F5132" s="74">
        <v>230</v>
      </c>
      <c r="G5132" s="758">
        <f t="shared" si="320"/>
        <v>0</v>
      </c>
      <c r="H5132" s="759">
        <f t="shared" si="321"/>
        <v>0</v>
      </c>
      <c r="I5132" s="758">
        <f t="shared" si="322"/>
        <v>3.1944444444444446</v>
      </c>
      <c r="J5132" s="760">
        <f t="shared" si="323"/>
        <v>1</v>
      </c>
    </row>
    <row r="5133" spans="1:10">
      <c r="A5133" s="74" t="s">
        <v>790</v>
      </c>
      <c r="B5133" s="74" t="s">
        <v>264</v>
      </c>
      <c r="C5133" s="74" t="s">
        <v>1512</v>
      </c>
      <c r="D5133" s="74" t="s">
        <v>80</v>
      </c>
      <c r="E5133" s="74">
        <v>71</v>
      </c>
      <c r="F5133" s="74">
        <v>229.55</v>
      </c>
      <c r="G5133" s="758">
        <f t="shared" si="320"/>
        <v>0</v>
      </c>
      <c r="H5133" s="759">
        <f t="shared" si="321"/>
        <v>0</v>
      </c>
      <c r="I5133" s="758">
        <f t="shared" si="322"/>
        <v>3.2330985915492958</v>
      </c>
      <c r="J5133" s="760">
        <f t="shared" si="323"/>
        <v>1</v>
      </c>
    </row>
    <row r="5134" spans="1:10">
      <c r="A5134" s="74" t="s">
        <v>790</v>
      </c>
      <c r="B5134" s="74" t="s">
        <v>264</v>
      </c>
      <c r="C5134" s="74" t="s">
        <v>1513</v>
      </c>
      <c r="D5134" s="74" t="s">
        <v>81</v>
      </c>
      <c r="E5134" s="74">
        <v>112</v>
      </c>
      <c r="F5134" s="74">
        <v>360.45</v>
      </c>
      <c r="G5134" s="758">
        <f t="shared" si="320"/>
        <v>0</v>
      </c>
      <c r="H5134" s="759">
        <f t="shared" si="321"/>
        <v>0</v>
      </c>
      <c r="I5134" s="758">
        <f t="shared" si="322"/>
        <v>3.2183035714285713</v>
      </c>
      <c r="J5134" s="760">
        <f t="shared" si="323"/>
        <v>1</v>
      </c>
    </row>
    <row r="5135" spans="1:10">
      <c r="A5135" s="74" t="s">
        <v>790</v>
      </c>
      <c r="B5135" s="74" t="s">
        <v>264</v>
      </c>
      <c r="C5135" s="74" t="s">
        <v>1514</v>
      </c>
      <c r="D5135" s="74" t="s">
        <v>81</v>
      </c>
      <c r="E5135" s="74">
        <v>40</v>
      </c>
      <c r="F5135" s="74">
        <v>128.63999999999999</v>
      </c>
      <c r="G5135" s="758">
        <f t="shared" si="320"/>
        <v>0</v>
      </c>
      <c r="H5135" s="759">
        <f t="shared" si="321"/>
        <v>0</v>
      </c>
      <c r="I5135" s="758">
        <f t="shared" si="322"/>
        <v>3.2159999999999997</v>
      </c>
      <c r="J5135" s="760">
        <f t="shared" si="323"/>
        <v>1</v>
      </c>
    </row>
    <row r="5136" spans="1:10">
      <c r="A5136" s="74" t="s">
        <v>790</v>
      </c>
      <c r="B5136" s="74" t="s">
        <v>264</v>
      </c>
      <c r="C5136" s="74" t="s">
        <v>1515</v>
      </c>
      <c r="D5136" s="74" t="s">
        <v>81</v>
      </c>
      <c r="E5136" s="74">
        <v>52</v>
      </c>
      <c r="F5136" s="74">
        <v>167.73</v>
      </c>
      <c r="G5136" s="758">
        <f t="shared" si="320"/>
        <v>0</v>
      </c>
      <c r="H5136" s="759">
        <f t="shared" si="321"/>
        <v>0</v>
      </c>
      <c r="I5136" s="758">
        <f t="shared" si="322"/>
        <v>3.2255769230769227</v>
      </c>
      <c r="J5136" s="760">
        <f t="shared" si="323"/>
        <v>1</v>
      </c>
    </row>
    <row r="5137" spans="1:10">
      <c r="A5137" s="74" t="s">
        <v>2091</v>
      </c>
      <c r="B5137" s="74" t="s">
        <v>264</v>
      </c>
      <c r="C5137" s="74" t="s">
        <v>1528</v>
      </c>
      <c r="D5137" s="74" t="s">
        <v>78</v>
      </c>
      <c r="E5137" s="74">
        <v>50</v>
      </c>
      <c r="F5137" s="74">
        <v>163.75</v>
      </c>
      <c r="G5137" s="758">
        <f t="shared" si="320"/>
        <v>1.03</v>
      </c>
      <c r="H5137" s="759">
        <f t="shared" si="321"/>
        <v>0.4</v>
      </c>
      <c r="I5137" s="758">
        <f t="shared" si="322"/>
        <v>2.2450000000000001</v>
      </c>
      <c r="J5137" s="760">
        <f t="shared" si="323"/>
        <v>0.68549618320610683</v>
      </c>
    </row>
    <row r="5138" spans="1:10">
      <c r="A5138" s="74" t="s">
        <v>2091</v>
      </c>
      <c r="B5138" s="74" t="s">
        <v>264</v>
      </c>
      <c r="C5138" s="74" t="s">
        <v>1508</v>
      </c>
      <c r="D5138" s="74" t="s">
        <v>78</v>
      </c>
      <c r="E5138" s="74">
        <v>42</v>
      </c>
      <c r="F5138" s="74">
        <v>138.5</v>
      </c>
      <c r="G5138" s="758">
        <f t="shared" si="320"/>
        <v>1.03</v>
      </c>
      <c r="H5138" s="759">
        <f t="shared" si="321"/>
        <v>0.4</v>
      </c>
      <c r="I5138" s="758">
        <f t="shared" si="322"/>
        <v>2.2676190476190472</v>
      </c>
      <c r="J5138" s="760">
        <f t="shared" si="323"/>
        <v>0.68765342960288811</v>
      </c>
    </row>
    <row r="5139" spans="1:10">
      <c r="A5139" s="74" t="s">
        <v>2091</v>
      </c>
      <c r="B5139" s="74" t="s">
        <v>264</v>
      </c>
      <c r="C5139" s="74" t="s">
        <v>1509</v>
      </c>
      <c r="D5139" s="74" t="s">
        <v>78</v>
      </c>
      <c r="E5139" s="74">
        <v>45</v>
      </c>
      <c r="F5139" s="74">
        <v>151.27000000000001</v>
      </c>
      <c r="G5139" s="758">
        <f t="shared" si="320"/>
        <v>1.03</v>
      </c>
      <c r="H5139" s="759">
        <f t="shared" si="321"/>
        <v>0.4</v>
      </c>
      <c r="I5139" s="758">
        <f t="shared" si="322"/>
        <v>2.331555555555556</v>
      </c>
      <c r="J5139" s="760">
        <f t="shared" si="323"/>
        <v>0.69359423547299537</v>
      </c>
    </row>
    <row r="5140" spans="1:10">
      <c r="A5140" s="74" t="s">
        <v>2091</v>
      </c>
      <c r="B5140" s="74" t="s">
        <v>264</v>
      </c>
      <c r="C5140" s="74" t="s">
        <v>1565</v>
      </c>
      <c r="D5140" s="74" t="s">
        <v>78</v>
      </c>
      <c r="E5140" s="74">
        <v>54</v>
      </c>
      <c r="F5140" s="74">
        <v>182.13</v>
      </c>
      <c r="G5140" s="758">
        <f t="shared" si="320"/>
        <v>1.03</v>
      </c>
      <c r="H5140" s="759">
        <f t="shared" si="321"/>
        <v>0.4</v>
      </c>
      <c r="I5140" s="758">
        <f t="shared" si="322"/>
        <v>2.3427777777777781</v>
      </c>
      <c r="J5140" s="760">
        <f t="shared" si="323"/>
        <v>0.69461373744028987</v>
      </c>
    </row>
    <row r="5141" spans="1:10">
      <c r="A5141" s="74" t="s">
        <v>2091</v>
      </c>
      <c r="B5141" s="74" t="s">
        <v>264</v>
      </c>
      <c r="C5141" s="74" t="s">
        <v>1530</v>
      </c>
      <c r="D5141" s="74" t="s">
        <v>80</v>
      </c>
      <c r="E5141" s="74">
        <v>1</v>
      </c>
      <c r="F5141" s="74">
        <v>3.35</v>
      </c>
      <c r="G5141" s="758">
        <f t="shared" si="320"/>
        <v>1.03</v>
      </c>
      <c r="H5141" s="759">
        <f t="shared" si="321"/>
        <v>0.4</v>
      </c>
      <c r="I5141" s="758">
        <f t="shared" si="322"/>
        <v>2.3200000000000003</v>
      </c>
      <c r="J5141" s="760">
        <f t="shared" si="323"/>
        <v>0.69253731343283587</v>
      </c>
    </row>
    <row r="5142" spans="1:10">
      <c r="A5142" s="74" t="s">
        <v>2091</v>
      </c>
      <c r="B5142" s="74" t="s">
        <v>264</v>
      </c>
      <c r="C5142" s="74" t="s">
        <v>1532</v>
      </c>
      <c r="D5142" s="74" t="s">
        <v>80</v>
      </c>
      <c r="E5142" s="74">
        <v>4</v>
      </c>
      <c r="F5142" s="74">
        <v>13.4</v>
      </c>
      <c r="G5142" s="758">
        <f t="shared" si="320"/>
        <v>1.03</v>
      </c>
      <c r="H5142" s="759">
        <f t="shared" si="321"/>
        <v>0.4</v>
      </c>
      <c r="I5142" s="758">
        <f t="shared" si="322"/>
        <v>2.3200000000000003</v>
      </c>
      <c r="J5142" s="760">
        <f t="shared" si="323"/>
        <v>0.69253731343283587</v>
      </c>
    </row>
    <row r="5143" spans="1:10">
      <c r="A5143" s="74" t="s">
        <v>2091</v>
      </c>
      <c r="B5143" s="74" t="s">
        <v>264</v>
      </c>
      <c r="C5143" s="74" t="s">
        <v>1512</v>
      </c>
      <c r="D5143" s="74" t="s">
        <v>80</v>
      </c>
      <c r="E5143" s="74">
        <v>2</v>
      </c>
      <c r="F5143" s="74">
        <v>6.95</v>
      </c>
      <c r="G5143" s="758">
        <f t="shared" si="320"/>
        <v>1.03</v>
      </c>
      <c r="H5143" s="759">
        <f t="shared" si="321"/>
        <v>0.4</v>
      </c>
      <c r="I5143" s="758">
        <f t="shared" si="322"/>
        <v>2.4450000000000003</v>
      </c>
      <c r="J5143" s="760">
        <f t="shared" si="323"/>
        <v>0.70359712230215821</v>
      </c>
    </row>
    <row r="5144" spans="1:10">
      <c r="A5144" s="74" t="s">
        <v>2091</v>
      </c>
      <c r="B5144" s="74" t="s">
        <v>264</v>
      </c>
      <c r="C5144" s="74" t="s">
        <v>1534</v>
      </c>
      <c r="D5144" s="74" t="s">
        <v>81</v>
      </c>
      <c r="E5144" s="74">
        <v>7</v>
      </c>
      <c r="F5144" s="74">
        <v>4.0999999999999996</v>
      </c>
      <c r="G5144" s="758">
        <f t="shared" si="320"/>
        <v>1.03</v>
      </c>
      <c r="H5144" s="759">
        <f t="shared" si="321"/>
        <v>0.4</v>
      </c>
      <c r="I5144" s="758">
        <f t="shared" si="322"/>
        <v>-0.44428571428571439</v>
      </c>
      <c r="J5144" s="760">
        <f t="shared" si="323"/>
        <v>-0.75853658536585389</v>
      </c>
    </row>
    <row r="5145" spans="1:10">
      <c r="A5145" s="74" t="s">
        <v>2091</v>
      </c>
      <c r="B5145" s="74" t="s">
        <v>264</v>
      </c>
      <c r="C5145" s="74" t="s">
        <v>1513</v>
      </c>
      <c r="D5145" s="74" t="s">
        <v>81</v>
      </c>
      <c r="E5145" s="74">
        <v>3</v>
      </c>
      <c r="F5145" s="74">
        <v>10.050000000000001</v>
      </c>
      <c r="G5145" s="758">
        <f t="shared" si="320"/>
        <v>1.03</v>
      </c>
      <c r="H5145" s="759">
        <f t="shared" si="321"/>
        <v>0.4</v>
      </c>
      <c r="I5145" s="758">
        <f t="shared" si="322"/>
        <v>2.3200000000000003</v>
      </c>
      <c r="J5145" s="760">
        <f t="shared" si="323"/>
        <v>0.69253731343283587</v>
      </c>
    </row>
    <row r="5146" spans="1:10">
      <c r="A5146" s="74" t="s">
        <v>2091</v>
      </c>
      <c r="B5146" s="74" t="s">
        <v>264</v>
      </c>
      <c r="C5146" s="74" t="s">
        <v>1514</v>
      </c>
      <c r="D5146" s="74" t="s">
        <v>81</v>
      </c>
      <c r="E5146" s="74">
        <v>2</v>
      </c>
      <c r="F5146" s="74">
        <v>6.7</v>
      </c>
      <c r="G5146" s="758">
        <f t="shared" si="320"/>
        <v>1.03</v>
      </c>
      <c r="H5146" s="759">
        <f t="shared" si="321"/>
        <v>0.4</v>
      </c>
      <c r="I5146" s="758">
        <f t="shared" si="322"/>
        <v>2.3200000000000003</v>
      </c>
      <c r="J5146" s="760">
        <f t="shared" si="323"/>
        <v>0.69253731343283587</v>
      </c>
    </row>
    <row r="5147" spans="1:10">
      <c r="A5147" s="74" t="s">
        <v>2091</v>
      </c>
      <c r="B5147" s="74" t="s">
        <v>264</v>
      </c>
      <c r="C5147" s="74" t="s">
        <v>1516</v>
      </c>
      <c r="D5147" s="74" t="s">
        <v>82</v>
      </c>
      <c r="E5147" s="74">
        <v>3</v>
      </c>
      <c r="F5147" s="74">
        <v>10.050000000000001</v>
      </c>
      <c r="G5147" s="758">
        <f t="shared" si="320"/>
        <v>1.03</v>
      </c>
      <c r="H5147" s="759">
        <f t="shared" si="321"/>
        <v>0.4</v>
      </c>
      <c r="I5147" s="758">
        <f t="shared" si="322"/>
        <v>2.3200000000000003</v>
      </c>
      <c r="J5147" s="760">
        <f t="shared" si="323"/>
        <v>0.69253731343283587</v>
      </c>
    </row>
    <row r="5148" spans="1:10">
      <c r="A5148" s="74" t="s">
        <v>2091</v>
      </c>
      <c r="B5148" s="74" t="s">
        <v>264</v>
      </c>
      <c r="C5148" s="74" t="s">
        <v>1517</v>
      </c>
      <c r="D5148" s="74" t="s">
        <v>82</v>
      </c>
      <c r="E5148" s="74">
        <v>3</v>
      </c>
      <c r="F5148" s="74">
        <v>10.050000000000001</v>
      </c>
      <c r="G5148" s="758">
        <f t="shared" si="320"/>
        <v>1.03</v>
      </c>
      <c r="H5148" s="759">
        <f t="shared" si="321"/>
        <v>0.4</v>
      </c>
      <c r="I5148" s="758">
        <f t="shared" si="322"/>
        <v>2.3200000000000003</v>
      </c>
      <c r="J5148" s="760">
        <f t="shared" si="323"/>
        <v>0.69253731343283587</v>
      </c>
    </row>
    <row r="5149" spans="1:10">
      <c r="A5149" s="74" t="s">
        <v>2091</v>
      </c>
      <c r="B5149" s="74" t="s">
        <v>264</v>
      </c>
      <c r="C5149" s="74" t="s">
        <v>1527</v>
      </c>
      <c r="D5149" s="74" t="s">
        <v>82</v>
      </c>
      <c r="E5149" s="74">
        <v>2</v>
      </c>
      <c r="F5149" s="74">
        <v>5.6</v>
      </c>
      <c r="G5149" s="758">
        <f t="shared" si="320"/>
        <v>1.03</v>
      </c>
      <c r="H5149" s="759">
        <f t="shared" si="321"/>
        <v>0.4</v>
      </c>
      <c r="I5149" s="758">
        <f t="shared" si="322"/>
        <v>1.7699999999999998</v>
      </c>
      <c r="J5149" s="760">
        <f t="shared" si="323"/>
        <v>0.63214285714285712</v>
      </c>
    </row>
    <row r="5150" spans="1:10">
      <c r="A5150" s="74" t="s">
        <v>2091</v>
      </c>
      <c r="B5150" s="74" t="s">
        <v>264</v>
      </c>
      <c r="C5150" s="74" t="s">
        <v>1519</v>
      </c>
      <c r="D5150" s="74" t="s">
        <v>84</v>
      </c>
      <c r="E5150" s="74">
        <v>2</v>
      </c>
      <c r="F5150" s="74">
        <v>7</v>
      </c>
      <c r="G5150" s="758">
        <f t="shared" si="320"/>
        <v>1.03</v>
      </c>
      <c r="H5150" s="759">
        <f t="shared" si="321"/>
        <v>0.4</v>
      </c>
      <c r="I5150" s="758">
        <f t="shared" si="322"/>
        <v>2.4699999999999998</v>
      </c>
      <c r="J5150" s="760">
        <f t="shared" si="323"/>
        <v>0.70571428571428574</v>
      </c>
    </row>
    <row r="5151" spans="1:10">
      <c r="A5151" s="74" t="s">
        <v>2091</v>
      </c>
      <c r="B5151" s="74" t="s">
        <v>264</v>
      </c>
      <c r="C5151" s="74" t="s">
        <v>1540</v>
      </c>
      <c r="D5151" s="74" t="s">
        <v>84</v>
      </c>
      <c r="E5151" s="74">
        <v>2</v>
      </c>
      <c r="F5151" s="74">
        <v>6.85</v>
      </c>
      <c r="G5151" s="758">
        <f t="shared" si="320"/>
        <v>1.03</v>
      </c>
      <c r="H5151" s="759">
        <f t="shared" si="321"/>
        <v>0.4</v>
      </c>
      <c r="I5151" s="758">
        <f t="shared" si="322"/>
        <v>2.3949999999999996</v>
      </c>
      <c r="J5151" s="760">
        <f t="shared" si="323"/>
        <v>0.69927007299270072</v>
      </c>
    </row>
    <row r="5152" spans="1:10">
      <c r="A5152" s="74" t="s">
        <v>2091</v>
      </c>
      <c r="B5152" s="74" t="s">
        <v>264</v>
      </c>
      <c r="C5152" s="74" t="s">
        <v>1520</v>
      </c>
      <c r="D5152" s="74" t="s">
        <v>84</v>
      </c>
      <c r="E5152" s="74">
        <v>1</v>
      </c>
      <c r="F5152" s="74">
        <v>3.5</v>
      </c>
      <c r="G5152" s="758">
        <f t="shared" si="320"/>
        <v>1.03</v>
      </c>
      <c r="H5152" s="759">
        <f t="shared" si="321"/>
        <v>0.4</v>
      </c>
      <c r="I5152" s="758">
        <f t="shared" si="322"/>
        <v>2.4699999999999998</v>
      </c>
      <c r="J5152" s="760">
        <f t="shared" si="323"/>
        <v>0.70571428571428574</v>
      </c>
    </row>
    <row r="5153" spans="1:10">
      <c r="A5153" s="74" t="s">
        <v>2091</v>
      </c>
      <c r="B5153" s="74" t="s">
        <v>264</v>
      </c>
      <c r="C5153" s="74" t="s">
        <v>1577</v>
      </c>
      <c r="D5153" s="74" t="s">
        <v>84</v>
      </c>
      <c r="E5153" s="74">
        <v>1</v>
      </c>
      <c r="F5153" s="74">
        <v>3.5</v>
      </c>
      <c r="G5153" s="758">
        <f t="shared" si="320"/>
        <v>1.03</v>
      </c>
      <c r="H5153" s="759">
        <f t="shared" si="321"/>
        <v>0.4</v>
      </c>
      <c r="I5153" s="758">
        <f t="shared" si="322"/>
        <v>2.4699999999999998</v>
      </c>
      <c r="J5153" s="760">
        <f t="shared" si="323"/>
        <v>0.70571428571428574</v>
      </c>
    </row>
    <row r="5154" spans="1:10">
      <c r="A5154" s="74" t="s">
        <v>2091</v>
      </c>
      <c r="B5154" s="74" t="s">
        <v>264</v>
      </c>
      <c r="C5154" s="74" t="s">
        <v>1644</v>
      </c>
      <c r="D5154" s="74" t="s">
        <v>86</v>
      </c>
      <c r="E5154" s="74">
        <v>1</v>
      </c>
      <c r="F5154" s="74">
        <v>3.5</v>
      </c>
      <c r="G5154" s="758">
        <f t="shared" si="320"/>
        <v>1.03</v>
      </c>
      <c r="H5154" s="759">
        <f t="shared" si="321"/>
        <v>0.4</v>
      </c>
      <c r="I5154" s="758">
        <f t="shared" si="322"/>
        <v>2.4699999999999998</v>
      </c>
      <c r="J5154" s="760">
        <f t="shared" si="323"/>
        <v>0.70571428571428574</v>
      </c>
    </row>
    <row r="5155" spans="1:10">
      <c r="A5155" s="74" t="s">
        <v>2091</v>
      </c>
      <c r="B5155" s="74" t="s">
        <v>264</v>
      </c>
      <c r="C5155" s="74" t="s">
        <v>1578</v>
      </c>
      <c r="D5155" s="74" t="s">
        <v>86</v>
      </c>
      <c r="E5155" s="74">
        <v>3</v>
      </c>
      <c r="F5155" s="74">
        <v>10.35</v>
      </c>
      <c r="G5155" s="758">
        <f t="shared" si="320"/>
        <v>1.03</v>
      </c>
      <c r="H5155" s="759">
        <f t="shared" si="321"/>
        <v>0.4</v>
      </c>
      <c r="I5155" s="758">
        <f t="shared" si="322"/>
        <v>2.42</v>
      </c>
      <c r="J5155" s="760">
        <f t="shared" si="323"/>
        <v>0.70144927536231882</v>
      </c>
    </row>
    <row r="5156" spans="1:10">
      <c r="A5156" s="74" t="s">
        <v>2091</v>
      </c>
      <c r="B5156" s="74" t="s">
        <v>264</v>
      </c>
      <c r="C5156" s="74" t="s">
        <v>1646</v>
      </c>
      <c r="D5156" s="74" t="s">
        <v>86</v>
      </c>
      <c r="E5156" s="74">
        <v>1</v>
      </c>
      <c r="F5156" s="74">
        <v>3.35</v>
      </c>
      <c r="G5156" s="758">
        <f t="shared" si="320"/>
        <v>1.03</v>
      </c>
      <c r="H5156" s="759">
        <f t="shared" si="321"/>
        <v>0.4</v>
      </c>
      <c r="I5156" s="758">
        <f t="shared" si="322"/>
        <v>2.3200000000000003</v>
      </c>
      <c r="J5156" s="760">
        <f t="shared" si="323"/>
        <v>0.69253731343283587</v>
      </c>
    </row>
    <row r="5157" spans="1:10">
      <c r="A5157" s="74" t="s">
        <v>2092</v>
      </c>
      <c r="B5157" s="74" t="s">
        <v>264</v>
      </c>
      <c r="C5157" s="74" t="s">
        <v>1527</v>
      </c>
      <c r="D5157" s="74" t="s">
        <v>82</v>
      </c>
      <c r="E5157" s="74">
        <v>1</v>
      </c>
      <c r="F5157" s="74">
        <v>0</v>
      </c>
      <c r="G5157" s="758">
        <f t="shared" si="320"/>
        <v>1.06</v>
      </c>
      <c r="H5157" s="759">
        <f t="shared" si="321"/>
        <v>0</v>
      </c>
      <c r="I5157" s="758">
        <f t="shared" si="322"/>
        <v>-1.06</v>
      </c>
      <c r="J5157" s="760">
        <f t="shared" si="323"/>
        <v>0</v>
      </c>
    </row>
    <row r="5158" spans="1:10">
      <c r="A5158" s="74" t="s">
        <v>263</v>
      </c>
      <c r="B5158" s="74" t="s">
        <v>264</v>
      </c>
      <c r="C5158" s="74" t="s">
        <v>1530</v>
      </c>
      <c r="D5158" s="74" t="s">
        <v>80</v>
      </c>
      <c r="E5158" s="74">
        <v>1</v>
      </c>
      <c r="F5158" s="74">
        <v>3.35</v>
      </c>
      <c r="G5158" s="758">
        <f t="shared" si="320"/>
        <v>1.06</v>
      </c>
      <c r="H5158" s="759">
        <f t="shared" si="321"/>
        <v>0.34</v>
      </c>
      <c r="I5158" s="758">
        <f t="shared" si="322"/>
        <v>2.29</v>
      </c>
      <c r="J5158" s="760">
        <f t="shared" si="323"/>
        <v>0.68358208955223887</v>
      </c>
    </row>
    <row r="5159" spans="1:10">
      <c r="A5159" s="74" t="s">
        <v>263</v>
      </c>
      <c r="B5159" s="74" t="s">
        <v>264</v>
      </c>
      <c r="C5159" s="74" t="s">
        <v>1532</v>
      </c>
      <c r="D5159" s="74" t="s">
        <v>80</v>
      </c>
      <c r="E5159" s="74">
        <v>42</v>
      </c>
      <c r="F5159" s="74">
        <v>142.69999999999999</v>
      </c>
      <c r="G5159" s="758">
        <f t="shared" si="320"/>
        <v>1.06</v>
      </c>
      <c r="H5159" s="759">
        <f t="shared" si="321"/>
        <v>0.34</v>
      </c>
      <c r="I5159" s="758">
        <f t="shared" si="322"/>
        <v>2.3376190476190475</v>
      </c>
      <c r="J5159" s="760">
        <f t="shared" si="323"/>
        <v>0.68801681850035035</v>
      </c>
    </row>
    <row r="5160" spans="1:10">
      <c r="A5160" s="74" t="s">
        <v>263</v>
      </c>
      <c r="B5160" s="74" t="s">
        <v>264</v>
      </c>
      <c r="C5160" s="74" t="s">
        <v>1511</v>
      </c>
      <c r="D5160" s="74" t="s">
        <v>80</v>
      </c>
      <c r="E5160" s="74">
        <v>70</v>
      </c>
      <c r="F5160" s="74">
        <v>236.13</v>
      </c>
      <c r="G5160" s="758">
        <f t="shared" si="320"/>
        <v>1.06</v>
      </c>
      <c r="H5160" s="759">
        <f t="shared" si="321"/>
        <v>0.34</v>
      </c>
      <c r="I5160" s="758">
        <f t="shared" si="322"/>
        <v>2.3132857142857142</v>
      </c>
      <c r="J5160" s="760">
        <f t="shared" si="323"/>
        <v>0.68576631516537501</v>
      </c>
    </row>
    <row r="5161" spans="1:10">
      <c r="A5161" s="74" t="s">
        <v>263</v>
      </c>
      <c r="B5161" s="74" t="s">
        <v>264</v>
      </c>
      <c r="C5161" s="74" t="s">
        <v>1512</v>
      </c>
      <c r="D5161" s="74" t="s">
        <v>80</v>
      </c>
      <c r="E5161" s="74">
        <v>59</v>
      </c>
      <c r="F5161" s="74">
        <v>197.19</v>
      </c>
      <c r="G5161" s="758">
        <f t="shared" si="320"/>
        <v>1.06</v>
      </c>
      <c r="H5161" s="759">
        <f t="shared" si="321"/>
        <v>0.34</v>
      </c>
      <c r="I5161" s="758">
        <f t="shared" si="322"/>
        <v>2.2822033898305083</v>
      </c>
      <c r="J5161" s="760">
        <f t="shared" si="323"/>
        <v>0.68284395760434102</v>
      </c>
    </row>
    <row r="5162" spans="1:10">
      <c r="A5162" s="74" t="s">
        <v>263</v>
      </c>
      <c r="B5162" s="74" t="s">
        <v>264</v>
      </c>
      <c r="C5162" s="74" t="s">
        <v>1534</v>
      </c>
      <c r="D5162" s="74" t="s">
        <v>81</v>
      </c>
      <c r="E5162" s="74">
        <v>52</v>
      </c>
      <c r="F5162" s="74">
        <v>175</v>
      </c>
      <c r="G5162" s="758">
        <f t="shared" si="320"/>
        <v>1.06</v>
      </c>
      <c r="H5162" s="759">
        <f t="shared" si="321"/>
        <v>0.34</v>
      </c>
      <c r="I5162" s="758">
        <f t="shared" si="322"/>
        <v>2.3053846153846154</v>
      </c>
      <c r="J5162" s="760">
        <f t="shared" si="323"/>
        <v>0.68502857142857132</v>
      </c>
    </row>
    <row r="5163" spans="1:10">
      <c r="A5163" s="74" t="s">
        <v>263</v>
      </c>
      <c r="B5163" s="74" t="s">
        <v>264</v>
      </c>
      <c r="C5163" s="74" t="s">
        <v>1513</v>
      </c>
      <c r="D5163" s="74" t="s">
        <v>81</v>
      </c>
      <c r="E5163" s="74">
        <v>49</v>
      </c>
      <c r="F5163" s="74">
        <v>170.45</v>
      </c>
      <c r="G5163" s="758">
        <f t="shared" si="320"/>
        <v>1.06</v>
      </c>
      <c r="H5163" s="759">
        <f t="shared" si="321"/>
        <v>0.34</v>
      </c>
      <c r="I5163" s="758">
        <f t="shared" si="322"/>
        <v>2.4185714285714282</v>
      </c>
      <c r="J5163" s="760">
        <f t="shared" si="323"/>
        <v>0.69527720739219712</v>
      </c>
    </row>
    <row r="5164" spans="1:10">
      <c r="A5164" s="74" t="s">
        <v>263</v>
      </c>
      <c r="B5164" s="74" t="s">
        <v>264</v>
      </c>
      <c r="C5164" s="74" t="s">
        <v>1514</v>
      </c>
      <c r="D5164" s="74" t="s">
        <v>81</v>
      </c>
      <c r="E5164" s="74">
        <v>46</v>
      </c>
      <c r="F5164" s="74">
        <v>154.69999999999999</v>
      </c>
      <c r="G5164" s="758">
        <f t="shared" si="320"/>
        <v>1.06</v>
      </c>
      <c r="H5164" s="759">
        <f t="shared" si="321"/>
        <v>0.34</v>
      </c>
      <c r="I5164" s="758">
        <f t="shared" si="322"/>
        <v>2.3030434782608693</v>
      </c>
      <c r="J5164" s="760">
        <f t="shared" si="323"/>
        <v>0.68480930833872011</v>
      </c>
    </row>
    <row r="5165" spans="1:10">
      <c r="A5165" s="74" t="s">
        <v>263</v>
      </c>
      <c r="B5165" s="74" t="s">
        <v>264</v>
      </c>
      <c r="C5165" s="74" t="s">
        <v>1515</v>
      </c>
      <c r="D5165" s="74" t="s">
        <v>81</v>
      </c>
      <c r="E5165" s="74">
        <v>57</v>
      </c>
      <c r="F5165" s="74">
        <v>208.32</v>
      </c>
      <c r="G5165" s="758">
        <f t="shared" si="320"/>
        <v>1.06</v>
      </c>
      <c r="H5165" s="759">
        <f t="shared" si="321"/>
        <v>0.34</v>
      </c>
      <c r="I5165" s="758">
        <f t="shared" si="322"/>
        <v>2.594736842105263</v>
      </c>
      <c r="J5165" s="760">
        <f t="shared" si="323"/>
        <v>0.70996543778801846</v>
      </c>
    </row>
    <row r="5166" spans="1:10">
      <c r="A5166" s="74" t="s">
        <v>263</v>
      </c>
      <c r="B5166" s="74" t="s">
        <v>264</v>
      </c>
      <c r="C5166" s="74" t="s">
        <v>1516</v>
      </c>
      <c r="D5166" s="74" t="s">
        <v>82</v>
      </c>
      <c r="E5166" s="74">
        <v>54</v>
      </c>
      <c r="F5166" s="74">
        <v>204.52</v>
      </c>
      <c r="G5166" s="758">
        <f t="shared" si="320"/>
        <v>1.06</v>
      </c>
      <c r="H5166" s="759">
        <f t="shared" si="321"/>
        <v>0.34</v>
      </c>
      <c r="I5166" s="758">
        <f t="shared" si="322"/>
        <v>2.7274074074074077</v>
      </c>
      <c r="J5166" s="760">
        <f t="shared" si="323"/>
        <v>0.72012517113240759</v>
      </c>
    </row>
    <row r="5167" spans="1:10">
      <c r="A5167" s="74" t="s">
        <v>263</v>
      </c>
      <c r="B5167" s="74" t="s">
        <v>264</v>
      </c>
      <c r="C5167" s="74" t="s">
        <v>1517</v>
      </c>
      <c r="D5167" s="74" t="s">
        <v>82</v>
      </c>
      <c r="E5167" s="74">
        <v>53</v>
      </c>
      <c r="F5167" s="74">
        <v>179.05</v>
      </c>
      <c r="G5167" s="758">
        <f t="shared" si="320"/>
        <v>1.06</v>
      </c>
      <c r="H5167" s="759">
        <f t="shared" si="321"/>
        <v>0.34</v>
      </c>
      <c r="I5167" s="758">
        <f t="shared" si="322"/>
        <v>2.3183018867924532</v>
      </c>
      <c r="J5167" s="760">
        <f t="shared" si="323"/>
        <v>0.68623289583915104</v>
      </c>
    </row>
    <row r="5168" spans="1:10">
      <c r="A5168" s="74" t="s">
        <v>263</v>
      </c>
      <c r="B5168" s="74" t="s">
        <v>264</v>
      </c>
      <c r="C5168" s="74" t="s">
        <v>1527</v>
      </c>
      <c r="D5168" s="74" t="s">
        <v>82</v>
      </c>
      <c r="E5168" s="74">
        <v>95</v>
      </c>
      <c r="F5168" s="74">
        <v>321.85000000000002</v>
      </c>
      <c r="G5168" s="758">
        <f t="shared" si="320"/>
        <v>1.06</v>
      </c>
      <c r="H5168" s="759">
        <f t="shared" si="321"/>
        <v>0.34</v>
      </c>
      <c r="I5168" s="758">
        <f t="shared" si="322"/>
        <v>2.3278947368421052</v>
      </c>
      <c r="J5168" s="760">
        <f t="shared" si="323"/>
        <v>0.68712132981202423</v>
      </c>
    </row>
    <row r="5169" spans="1:10">
      <c r="A5169" s="74" t="s">
        <v>263</v>
      </c>
      <c r="B5169" s="74" t="s">
        <v>264</v>
      </c>
      <c r="C5169" s="74" t="s">
        <v>1518</v>
      </c>
      <c r="D5169" s="74" t="s">
        <v>82</v>
      </c>
      <c r="E5169" s="74">
        <v>54</v>
      </c>
      <c r="F5169" s="74">
        <v>183.24</v>
      </c>
      <c r="G5169" s="758">
        <f t="shared" si="320"/>
        <v>1.06</v>
      </c>
      <c r="H5169" s="759">
        <f t="shared" si="321"/>
        <v>0.34</v>
      </c>
      <c r="I5169" s="758">
        <f t="shared" si="322"/>
        <v>2.3333333333333335</v>
      </c>
      <c r="J5169" s="760">
        <f t="shared" si="323"/>
        <v>0.68762278978389002</v>
      </c>
    </row>
    <row r="5170" spans="1:10">
      <c r="A5170" s="74" t="s">
        <v>263</v>
      </c>
      <c r="B5170" s="74" t="s">
        <v>264</v>
      </c>
      <c r="C5170" s="74" t="s">
        <v>1519</v>
      </c>
      <c r="D5170" s="74" t="s">
        <v>84</v>
      </c>
      <c r="E5170" s="74">
        <v>12</v>
      </c>
      <c r="F5170" s="74">
        <v>40.58</v>
      </c>
      <c r="G5170" s="758">
        <f t="shared" si="320"/>
        <v>1.06</v>
      </c>
      <c r="H5170" s="759">
        <f t="shared" si="321"/>
        <v>0.34</v>
      </c>
      <c r="I5170" s="758">
        <f t="shared" si="322"/>
        <v>2.3216666666666663</v>
      </c>
      <c r="J5170" s="760">
        <f t="shared" si="323"/>
        <v>0.68654509610645631</v>
      </c>
    </row>
    <row r="5171" spans="1:10">
      <c r="A5171" s="74" t="s">
        <v>263</v>
      </c>
      <c r="B5171" s="74" t="s">
        <v>264</v>
      </c>
      <c r="C5171" s="74" t="s">
        <v>1540</v>
      </c>
      <c r="D5171" s="74" t="s">
        <v>84</v>
      </c>
      <c r="E5171" s="74">
        <v>1</v>
      </c>
      <c r="F5171" s="74">
        <v>3.5</v>
      </c>
      <c r="G5171" s="758">
        <f t="shared" si="320"/>
        <v>1.06</v>
      </c>
      <c r="H5171" s="759">
        <f t="shared" si="321"/>
        <v>0.34</v>
      </c>
      <c r="I5171" s="758">
        <f t="shared" si="322"/>
        <v>2.44</v>
      </c>
      <c r="J5171" s="760">
        <f t="shared" si="323"/>
        <v>0.69714285714285706</v>
      </c>
    </row>
    <row r="5172" spans="1:10">
      <c r="A5172" s="74" t="s">
        <v>2093</v>
      </c>
      <c r="B5172" s="74" t="s">
        <v>264</v>
      </c>
      <c r="C5172" s="74" t="s">
        <v>1541</v>
      </c>
      <c r="D5172" s="74" t="s">
        <v>86</v>
      </c>
      <c r="E5172" s="74">
        <v>1</v>
      </c>
      <c r="F5172" s="74">
        <v>3.5</v>
      </c>
      <c r="G5172" s="758">
        <f t="shared" si="320"/>
        <v>0</v>
      </c>
      <c r="H5172" s="759">
        <f t="shared" si="321"/>
        <v>0</v>
      </c>
      <c r="I5172" s="758">
        <f t="shared" si="322"/>
        <v>3.5</v>
      </c>
      <c r="J5172" s="760">
        <f t="shared" si="323"/>
        <v>1</v>
      </c>
    </row>
    <row r="5173" spans="1:10">
      <c r="A5173" s="74" t="s">
        <v>1111</v>
      </c>
      <c r="B5173" s="74" t="s">
        <v>275</v>
      </c>
      <c r="C5173" s="74" t="s">
        <v>1565</v>
      </c>
      <c r="D5173" s="74" t="s">
        <v>78</v>
      </c>
      <c r="E5173" s="74">
        <v>11</v>
      </c>
      <c r="F5173" s="74">
        <v>0</v>
      </c>
      <c r="G5173" s="758">
        <f t="shared" si="320"/>
        <v>0.23</v>
      </c>
      <c r="H5173" s="759">
        <f t="shared" si="321"/>
        <v>0.11</v>
      </c>
      <c r="I5173" s="758">
        <f t="shared" si="322"/>
        <v>-0.23</v>
      </c>
      <c r="J5173" s="760">
        <f t="shared" si="323"/>
        <v>0</v>
      </c>
    </row>
    <row r="5174" spans="1:10">
      <c r="A5174" s="74" t="s">
        <v>1111</v>
      </c>
      <c r="B5174" s="74" t="s">
        <v>275</v>
      </c>
      <c r="C5174" s="74" t="s">
        <v>1530</v>
      </c>
      <c r="D5174" s="74" t="s">
        <v>80</v>
      </c>
      <c r="E5174" s="74">
        <v>2</v>
      </c>
      <c r="F5174" s="74">
        <v>0</v>
      </c>
      <c r="G5174" s="758">
        <f t="shared" si="320"/>
        <v>0.23</v>
      </c>
      <c r="H5174" s="759">
        <f t="shared" si="321"/>
        <v>0.11</v>
      </c>
      <c r="I5174" s="758">
        <f t="shared" si="322"/>
        <v>-0.23</v>
      </c>
      <c r="J5174" s="760">
        <f t="shared" si="323"/>
        <v>0</v>
      </c>
    </row>
    <row r="5175" spans="1:10">
      <c r="A5175" s="74" t="s">
        <v>1111</v>
      </c>
      <c r="B5175" s="74" t="s">
        <v>275</v>
      </c>
      <c r="C5175" s="74" t="s">
        <v>1534</v>
      </c>
      <c r="D5175" s="74" t="s">
        <v>81</v>
      </c>
      <c r="E5175" s="74">
        <v>1</v>
      </c>
      <c r="F5175" s="74">
        <v>2.5</v>
      </c>
      <c r="G5175" s="758">
        <f t="shared" si="320"/>
        <v>0.23</v>
      </c>
      <c r="H5175" s="759">
        <f t="shared" si="321"/>
        <v>0.11</v>
      </c>
      <c r="I5175" s="758">
        <f t="shared" si="322"/>
        <v>2.27</v>
      </c>
      <c r="J5175" s="760">
        <f t="shared" si="323"/>
        <v>0.90800000000000003</v>
      </c>
    </row>
    <row r="5176" spans="1:10">
      <c r="A5176" s="74" t="s">
        <v>1111</v>
      </c>
      <c r="B5176" s="74" t="s">
        <v>275</v>
      </c>
      <c r="C5176" s="74" t="s">
        <v>1514</v>
      </c>
      <c r="D5176" s="74" t="s">
        <v>81</v>
      </c>
      <c r="E5176" s="74">
        <v>3</v>
      </c>
      <c r="F5176" s="74">
        <v>6.75</v>
      </c>
      <c r="G5176" s="758">
        <f t="shared" si="320"/>
        <v>0.23</v>
      </c>
      <c r="H5176" s="759">
        <f t="shared" si="321"/>
        <v>0.11</v>
      </c>
      <c r="I5176" s="758">
        <f t="shared" si="322"/>
        <v>2.02</v>
      </c>
      <c r="J5176" s="760">
        <f t="shared" si="323"/>
        <v>0.89777777777777779</v>
      </c>
    </row>
    <row r="5177" spans="1:10">
      <c r="A5177" s="74" t="s">
        <v>1111</v>
      </c>
      <c r="B5177" s="74" t="s">
        <v>275</v>
      </c>
      <c r="C5177" s="74" t="s">
        <v>1540</v>
      </c>
      <c r="D5177" s="74" t="s">
        <v>84</v>
      </c>
      <c r="E5177" s="74">
        <v>2</v>
      </c>
      <c r="F5177" s="74">
        <v>5</v>
      </c>
      <c r="G5177" s="758">
        <f t="shared" si="320"/>
        <v>0.23</v>
      </c>
      <c r="H5177" s="759">
        <f t="shared" si="321"/>
        <v>0.11</v>
      </c>
      <c r="I5177" s="758">
        <f t="shared" si="322"/>
        <v>2.27</v>
      </c>
      <c r="J5177" s="760">
        <f t="shared" si="323"/>
        <v>0.90800000000000003</v>
      </c>
    </row>
    <row r="5178" spans="1:10">
      <c r="A5178" s="74" t="s">
        <v>1153</v>
      </c>
      <c r="B5178" s="74" t="s">
        <v>275</v>
      </c>
      <c r="C5178" s="74" t="s">
        <v>1509</v>
      </c>
      <c r="D5178" s="74" t="s">
        <v>78</v>
      </c>
      <c r="E5178" s="74">
        <v>3</v>
      </c>
      <c r="F5178" s="74">
        <v>9</v>
      </c>
      <c r="G5178" s="758">
        <f t="shared" si="320"/>
        <v>0.51</v>
      </c>
      <c r="H5178" s="759">
        <f t="shared" si="321"/>
        <v>0.22</v>
      </c>
      <c r="I5178" s="758">
        <f t="shared" si="322"/>
        <v>2.4900000000000002</v>
      </c>
      <c r="J5178" s="760">
        <f t="shared" si="323"/>
        <v>0.83</v>
      </c>
    </row>
    <row r="5179" spans="1:10">
      <c r="A5179" s="74" t="s">
        <v>1153</v>
      </c>
      <c r="B5179" s="74" t="s">
        <v>275</v>
      </c>
      <c r="C5179" s="74" t="s">
        <v>1532</v>
      </c>
      <c r="D5179" s="74" t="s">
        <v>80</v>
      </c>
      <c r="E5179" s="74">
        <v>1</v>
      </c>
      <c r="F5179" s="74">
        <v>3</v>
      </c>
      <c r="G5179" s="758">
        <f t="shared" si="320"/>
        <v>0.51</v>
      </c>
      <c r="H5179" s="759">
        <f t="shared" si="321"/>
        <v>0.22</v>
      </c>
      <c r="I5179" s="758">
        <f t="shared" si="322"/>
        <v>2.4900000000000002</v>
      </c>
      <c r="J5179" s="760">
        <f t="shared" si="323"/>
        <v>0.83</v>
      </c>
    </row>
    <row r="5180" spans="1:10">
      <c r="A5180" s="74" t="s">
        <v>1153</v>
      </c>
      <c r="B5180" s="74" t="s">
        <v>275</v>
      </c>
      <c r="C5180" s="74" t="s">
        <v>1511</v>
      </c>
      <c r="D5180" s="74" t="s">
        <v>80</v>
      </c>
      <c r="E5180" s="74">
        <v>2</v>
      </c>
      <c r="F5180" s="74">
        <v>6</v>
      </c>
      <c r="G5180" s="758">
        <f t="shared" si="320"/>
        <v>0.51</v>
      </c>
      <c r="H5180" s="759">
        <f t="shared" si="321"/>
        <v>0.22</v>
      </c>
      <c r="I5180" s="758">
        <f t="shared" si="322"/>
        <v>2.4900000000000002</v>
      </c>
      <c r="J5180" s="760">
        <f t="shared" si="323"/>
        <v>0.83</v>
      </c>
    </row>
    <row r="5181" spans="1:10">
      <c r="A5181" s="74" t="s">
        <v>1153</v>
      </c>
      <c r="B5181" s="74" t="s">
        <v>275</v>
      </c>
      <c r="C5181" s="74" t="s">
        <v>1512</v>
      </c>
      <c r="D5181" s="74" t="s">
        <v>80</v>
      </c>
      <c r="E5181" s="74">
        <v>4</v>
      </c>
      <c r="F5181" s="74">
        <v>12</v>
      </c>
      <c r="G5181" s="758">
        <f t="shared" si="320"/>
        <v>0.51</v>
      </c>
      <c r="H5181" s="759">
        <f t="shared" si="321"/>
        <v>0.22</v>
      </c>
      <c r="I5181" s="758">
        <f t="shared" si="322"/>
        <v>2.4900000000000002</v>
      </c>
      <c r="J5181" s="760">
        <f t="shared" si="323"/>
        <v>0.83</v>
      </c>
    </row>
    <row r="5182" spans="1:10">
      <c r="A5182" s="74" t="s">
        <v>1153</v>
      </c>
      <c r="B5182" s="74" t="s">
        <v>275</v>
      </c>
      <c r="C5182" s="74" t="s">
        <v>1534</v>
      </c>
      <c r="D5182" s="74" t="s">
        <v>81</v>
      </c>
      <c r="E5182" s="74">
        <v>1</v>
      </c>
      <c r="F5182" s="74">
        <v>3</v>
      </c>
      <c r="G5182" s="758">
        <f t="shared" si="320"/>
        <v>0.51</v>
      </c>
      <c r="H5182" s="759">
        <f t="shared" si="321"/>
        <v>0.22</v>
      </c>
      <c r="I5182" s="758">
        <f t="shared" si="322"/>
        <v>2.4900000000000002</v>
      </c>
      <c r="J5182" s="760">
        <f t="shared" si="323"/>
        <v>0.83</v>
      </c>
    </row>
    <row r="5183" spans="1:10">
      <c r="A5183" s="74" t="s">
        <v>1153</v>
      </c>
      <c r="B5183" s="74" t="s">
        <v>275</v>
      </c>
      <c r="C5183" s="74" t="s">
        <v>1514</v>
      </c>
      <c r="D5183" s="74" t="s">
        <v>81</v>
      </c>
      <c r="E5183" s="74">
        <v>1</v>
      </c>
      <c r="F5183" s="74">
        <v>3</v>
      </c>
      <c r="G5183" s="758">
        <f t="shared" si="320"/>
        <v>0.51</v>
      </c>
      <c r="H5183" s="759">
        <f t="shared" si="321"/>
        <v>0.22</v>
      </c>
      <c r="I5183" s="758">
        <f t="shared" si="322"/>
        <v>2.4900000000000002</v>
      </c>
      <c r="J5183" s="760">
        <f t="shared" si="323"/>
        <v>0.83</v>
      </c>
    </row>
    <row r="5184" spans="1:10">
      <c r="A5184" s="74" t="s">
        <v>1153</v>
      </c>
      <c r="B5184" s="74" t="s">
        <v>275</v>
      </c>
      <c r="C5184" s="74" t="s">
        <v>1515</v>
      </c>
      <c r="D5184" s="74" t="s">
        <v>81</v>
      </c>
      <c r="E5184" s="74">
        <v>6</v>
      </c>
      <c r="F5184" s="74">
        <v>18</v>
      </c>
      <c r="G5184" s="758">
        <f t="shared" si="320"/>
        <v>0.51</v>
      </c>
      <c r="H5184" s="759">
        <f t="shared" si="321"/>
        <v>0.22</v>
      </c>
      <c r="I5184" s="758">
        <f t="shared" si="322"/>
        <v>2.4900000000000002</v>
      </c>
      <c r="J5184" s="760">
        <f t="shared" si="323"/>
        <v>0.83</v>
      </c>
    </row>
    <row r="5185" spans="1:10">
      <c r="A5185" s="74" t="s">
        <v>1153</v>
      </c>
      <c r="B5185" s="74" t="s">
        <v>275</v>
      </c>
      <c r="C5185" s="74" t="s">
        <v>1516</v>
      </c>
      <c r="D5185" s="74" t="s">
        <v>82</v>
      </c>
      <c r="E5185" s="74">
        <v>1</v>
      </c>
      <c r="F5185" s="74">
        <v>3</v>
      </c>
      <c r="G5185" s="758">
        <f t="shared" si="320"/>
        <v>0.51</v>
      </c>
      <c r="H5185" s="759">
        <f t="shared" si="321"/>
        <v>0.22</v>
      </c>
      <c r="I5185" s="758">
        <f t="shared" si="322"/>
        <v>2.4900000000000002</v>
      </c>
      <c r="J5185" s="760">
        <f t="shared" si="323"/>
        <v>0.83</v>
      </c>
    </row>
    <row r="5186" spans="1:10">
      <c r="A5186" s="74" t="s">
        <v>1153</v>
      </c>
      <c r="B5186" s="74" t="s">
        <v>275</v>
      </c>
      <c r="C5186" s="74" t="s">
        <v>1517</v>
      </c>
      <c r="D5186" s="74" t="s">
        <v>82</v>
      </c>
      <c r="E5186" s="74">
        <v>1</v>
      </c>
      <c r="F5186" s="74">
        <v>3</v>
      </c>
      <c r="G5186" s="758">
        <f t="shared" ref="G5186:G5249" si="324">IFERROR(VLOOKUP(A5186,$M$1:$P$1014,2,FALSE),0)</f>
        <v>0.51</v>
      </c>
      <c r="H5186" s="759">
        <f t="shared" ref="H5186:H5249" si="325">IFERROR(VLOOKUP(A5186,$M$1:$P$1014,3,FALSE),0)</f>
        <v>0.22</v>
      </c>
      <c r="I5186" s="758">
        <f t="shared" ref="I5186:I5249" si="326">IFERROR(F5186/E5186-G5186,0)</f>
        <v>2.4900000000000002</v>
      </c>
      <c r="J5186" s="760">
        <f t="shared" ref="J5186:J5249" si="327">IFERROR(1-G5186*E5186/F5186,0)</f>
        <v>0.83</v>
      </c>
    </row>
    <row r="5187" spans="1:10">
      <c r="A5187" s="74" t="s">
        <v>1153</v>
      </c>
      <c r="B5187" s="74" t="s">
        <v>275</v>
      </c>
      <c r="C5187" s="74" t="s">
        <v>1527</v>
      </c>
      <c r="D5187" s="74" t="s">
        <v>82</v>
      </c>
      <c r="E5187" s="74">
        <v>1</v>
      </c>
      <c r="F5187" s="74">
        <v>3</v>
      </c>
      <c r="G5187" s="758">
        <f t="shared" si="324"/>
        <v>0.51</v>
      </c>
      <c r="H5187" s="759">
        <f t="shared" si="325"/>
        <v>0.22</v>
      </c>
      <c r="I5187" s="758">
        <f t="shared" si="326"/>
        <v>2.4900000000000002</v>
      </c>
      <c r="J5187" s="760">
        <f t="shared" si="327"/>
        <v>0.83</v>
      </c>
    </row>
    <row r="5188" spans="1:10">
      <c r="A5188" s="74" t="s">
        <v>1153</v>
      </c>
      <c r="B5188" s="74" t="s">
        <v>275</v>
      </c>
      <c r="C5188" s="74" t="s">
        <v>1540</v>
      </c>
      <c r="D5188" s="74" t="s">
        <v>84</v>
      </c>
      <c r="E5188" s="74">
        <v>1</v>
      </c>
      <c r="F5188" s="74">
        <v>3</v>
      </c>
      <c r="G5188" s="758">
        <f t="shared" si="324"/>
        <v>0.51</v>
      </c>
      <c r="H5188" s="759">
        <f t="shared" si="325"/>
        <v>0.22</v>
      </c>
      <c r="I5188" s="758">
        <f t="shared" si="326"/>
        <v>2.4900000000000002</v>
      </c>
      <c r="J5188" s="760">
        <f t="shared" si="327"/>
        <v>0.83</v>
      </c>
    </row>
    <row r="5189" spans="1:10">
      <c r="A5189" s="74" t="s">
        <v>1153</v>
      </c>
      <c r="B5189" s="74" t="s">
        <v>275</v>
      </c>
      <c r="C5189" s="74" t="s">
        <v>1520</v>
      </c>
      <c r="D5189" s="74" t="s">
        <v>84</v>
      </c>
      <c r="E5189" s="74">
        <v>1</v>
      </c>
      <c r="F5189" s="74">
        <v>3</v>
      </c>
      <c r="G5189" s="758">
        <f t="shared" si="324"/>
        <v>0.51</v>
      </c>
      <c r="H5189" s="759">
        <f t="shared" si="325"/>
        <v>0.22</v>
      </c>
      <c r="I5189" s="758">
        <f t="shared" si="326"/>
        <v>2.4900000000000002</v>
      </c>
      <c r="J5189" s="760">
        <f t="shared" si="327"/>
        <v>0.83</v>
      </c>
    </row>
    <row r="5190" spans="1:10">
      <c r="A5190" s="74" t="s">
        <v>1153</v>
      </c>
      <c r="B5190" s="74" t="s">
        <v>275</v>
      </c>
      <c r="C5190" s="74" t="s">
        <v>1577</v>
      </c>
      <c r="D5190" s="74" t="s">
        <v>84</v>
      </c>
      <c r="E5190" s="74">
        <v>1</v>
      </c>
      <c r="F5190" s="74">
        <v>3</v>
      </c>
      <c r="G5190" s="758">
        <f t="shared" si="324"/>
        <v>0.51</v>
      </c>
      <c r="H5190" s="759">
        <f t="shared" si="325"/>
        <v>0.22</v>
      </c>
      <c r="I5190" s="758">
        <f t="shared" si="326"/>
        <v>2.4900000000000002</v>
      </c>
      <c r="J5190" s="760">
        <f t="shared" si="327"/>
        <v>0.83</v>
      </c>
    </row>
    <row r="5191" spans="1:10">
      <c r="A5191" s="74" t="s">
        <v>1153</v>
      </c>
      <c r="B5191" s="74" t="s">
        <v>275</v>
      </c>
      <c r="C5191" s="74" t="s">
        <v>1605</v>
      </c>
      <c r="D5191" s="74" t="s">
        <v>87</v>
      </c>
      <c r="E5191" s="74">
        <v>1</v>
      </c>
      <c r="F5191" s="74">
        <v>3</v>
      </c>
      <c r="G5191" s="758">
        <f t="shared" si="324"/>
        <v>0.51</v>
      </c>
      <c r="H5191" s="759">
        <f t="shared" si="325"/>
        <v>0.22</v>
      </c>
      <c r="I5191" s="758">
        <f t="shared" si="326"/>
        <v>2.4900000000000002</v>
      </c>
      <c r="J5191" s="760">
        <f t="shared" si="327"/>
        <v>0.83</v>
      </c>
    </row>
    <row r="5192" spans="1:10">
      <c r="A5192" s="74" t="s">
        <v>1153</v>
      </c>
      <c r="B5192" s="74" t="s">
        <v>275</v>
      </c>
      <c r="C5192" s="74" t="s">
        <v>1555</v>
      </c>
      <c r="D5192" s="74" t="s">
        <v>94</v>
      </c>
      <c r="E5192" s="74">
        <v>1</v>
      </c>
      <c r="F5192" s="74">
        <v>3</v>
      </c>
      <c r="G5192" s="758">
        <f t="shared" si="324"/>
        <v>0.51</v>
      </c>
      <c r="H5192" s="759">
        <f t="shared" si="325"/>
        <v>0.22</v>
      </c>
      <c r="I5192" s="758">
        <f t="shared" si="326"/>
        <v>2.4900000000000002</v>
      </c>
      <c r="J5192" s="760">
        <f t="shared" si="327"/>
        <v>0.83</v>
      </c>
    </row>
    <row r="5193" spans="1:10">
      <c r="A5193" s="74" t="s">
        <v>2094</v>
      </c>
      <c r="B5193" s="74" t="s">
        <v>275</v>
      </c>
      <c r="C5193" s="74" t="s">
        <v>1528</v>
      </c>
      <c r="D5193" s="74" t="s">
        <v>78</v>
      </c>
      <c r="E5193" s="74">
        <v>6</v>
      </c>
      <c r="F5193" s="74">
        <v>27.55</v>
      </c>
      <c r="G5193" s="758">
        <f t="shared" si="324"/>
        <v>0.67</v>
      </c>
      <c r="H5193" s="759">
        <f t="shared" si="325"/>
        <v>0.15</v>
      </c>
      <c r="I5193" s="758">
        <f t="shared" si="326"/>
        <v>3.9216666666666669</v>
      </c>
      <c r="J5193" s="760">
        <f t="shared" si="327"/>
        <v>0.85408348457350269</v>
      </c>
    </row>
    <row r="5194" spans="1:10">
      <c r="A5194" s="74" t="s">
        <v>2094</v>
      </c>
      <c r="B5194" s="74" t="s">
        <v>275</v>
      </c>
      <c r="C5194" s="74" t="s">
        <v>1508</v>
      </c>
      <c r="D5194" s="74" t="s">
        <v>78</v>
      </c>
      <c r="E5194" s="74">
        <v>1</v>
      </c>
      <c r="F5194" s="74">
        <v>4.95</v>
      </c>
      <c r="G5194" s="758">
        <f t="shared" si="324"/>
        <v>0.67</v>
      </c>
      <c r="H5194" s="759">
        <f t="shared" si="325"/>
        <v>0.15</v>
      </c>
      <c r="I5194" s="758">
        <f t="shared" si="326"/>
        <v>4.28</v>
      </c>
      <c r="J5194" s="760">
        <f t="shared" si="327"/>
        <v>0.86464646464646466</v>
      </c>
    </row>
    <row r="5195" spans="1:10">
      <c r="A5195" s="74" t="s">
        <v>2094</v>
      </c>
      <c r="B5195" s="74" t="s">
        <v>275</v>
      </c>
      <c r="C5195" s="74" t="s">
        <v>1509</v>
      </c>
      <c r="D5195" s="74" t="s">
        <v>78</v>
      </c>
      <c r="E5195" s="74">
        <v>7</v>
      </c>
      <c r="F5195" s="74">
        <v>28</v>
      </c>
      <c r="G5195" s="758">
        <f t="shared" si="324"/>
        <v>0.67</v>
      </c>
      <c r="H5195" s="759">
        <f t="shared" si="325"/>
        <v>0.15</v>
      </c>
      <c r="I5195" s="758">
        <f t="shared" si="326"/>
        <v>3.33</v>
      </c>
      <c r="J5195" s="760">
        <f t="shared" si="327"/>
        <v>0.83250000000000002</v>
      </c>
    </row>
    <row r="5196" spans="1:10">
      <c r="A5196" s="74" t="s">
        <v>2094</v>
      </c>
      <c r="B5196" s="74" t="s">
        <v>275</v>
      </c>
      <c r="C5196" s="74" t="s">
        <v>1565</v>
      </c>
      <c r="D5196" s="74" t="s">
        <v>78</v>
      </c>
      <c r="E5196" s="74">
        <v>3</v>
      </c>
      <c r="F5196" s="74">
        <v>14.25</v>
      </c>
      <c r="G5196" s="758">
        <f t="shared" si="324"/>
        <v>0.67</v>
      </c>
      <c r="H5196" s="759">
        <f t="shared" si="325"/>
        <v>0.15</v>
      </c>
      <c r="I5196" s="758">
        <f t="shared" si="326"/>
        <v>4.08</v>
      </c>
      <c r="J5196" s="760">
        <f t="shared" si="327"/>
        <v>0.85894736842105268</v>
      </c>
    </row>
    <row r="5197" spans="1:10">
      <c r="A5197" s="74" t="s">
        <v>2094</v>
      </c>
      <c r="B5197" s="74" t="s">
        <v>275</v>
      </c>
      <c r="C5197" s="74" t="s">
        <v>1530</v>
      </c>
      <c r="D5197" s="74" t="s">
        <v>80</v>
      </c>
      <c r="E5197" s="74">
        <v>1</v>
      </c>
      <c r="F5197" s="74">
        <v>4.75</v>
      </c>
      <c r="G5197" s="758">
        <f t="shared" si="324"/>
        <v>0.67</v>
      </c>
      <c r="H5197" s="759">
        <f t="shared" si="325"/>
        <v>0.15</v>
      </c>
      <c r="I5197" s="758">
        <f t="shared" si="326"/>
        <v>4.08</v>
      </c>
      <c r="J5197" s="760">
        <f t="shared" si="327"/>
        <v>0.85894736842105268</v>
      </c>
    </row>
    <row r="5198" spans="1:10">
      <c r="A5198" s="74" t="s">
        <v>2094</v>
      </c>
      <c r="B5198" s="74" t="s">
        <v>275</v>
      </c>
      <c r="C5198" s="74" t="s">
        <v>1532</v>
      </c>
      <c r="D5198" s="74" t="s">
        <v>80</v>
      </c>
      <c r="E5198" s="74">
        <v>14</v>
      </c>
      <c r="F5198" s="74">
        <v>50.5</v>
      </c>
      <c r="G5198" s="758">
        <f t="shared" si="324"/>
        <v>0.67</v>
      </c>
      <c r="H5198" s="759">
        <f t="shared" si="325"/>
        <v>0.15</v>
      </c>
      <c r="I5198" s="758">
        <f t="shared" si="326"/>
        <v>2.9371428571428573</v>
      </c>
      <c r="J5198" s="760">
        <f t="shared" si="327"/>
        <v>0.8142574257425742</v>
      </c>
    </row>
    <row r="5199" spans="1:10">
      <c r="A5199" s="74" t="s">
        <v>2094</v>
      </c>
      <c r="B5199" s="74" t="s">
        <v>275</v>
      </c>
      <c r="C5199" s="74" t="s">
        <v>1511</v>
      </c>
      <c r="D5199" s="74" t="s">
        <v>80</v>
      </c>
      <c r="E5199" s="74">
        <v>1</v>
      </c>
      <c r="F5199" s="74">
        <v>5</v>
      </c>
      <c r="G5199" s="758">
        <f t="shared" si="324"/>
        <v>0.67</v>
      </c>
      <c r="H5199" s="759">
        <f t="shared" si="325"/>
        <v>0.15</v>
      </c>
      <c r="I5199" s="758">
        <f t="shared" si="326"/>
        <v>4.33</v>
      </c>
      <c r="J5199" s="760">
        <f t="shared" si="327"/>
        <v>0.86599999999999999</v>
      </c>
    </row>
    <row r="5200" spans="1:10">
      <c r="A5200" s="74" t="s">
        <v>2094</v>
      </c>
      <c r="B5200" s="74" t="s">
        <v>275</v>
      </c>
      <c r="C5200" s="74" t="s">
        <v>1512</v>
      </c>
      <c r="D5200" s="74" t="s">
        <v>80</v>
      </c>
      <c r="E5200" s="74">
        <v>8</v>
      </c>
      <c r="F5200" s="74">
        <v>38.25</v>
      </c>
      <c r="G5200" s="758">
        <f t="shared" si="324"/>
        <v>0.67</v>
      </c>
      <c r="H5200" s="759">
        <f t="shared" si="325"/>
        <v>0.15</v>
      </c>
      <c r="I5200" s="758">
        <f t="shared" si="326"/>
        <v>4.1112500000000001</v>
      </c>
      <c r="J5200" s="760">
        <f t="shared" si="327"/>
        <v>0.85986928104575167</v>
      </c>
    </row>
    <row r="5201" spans="1:10">
      <c r="A5201" s="74" t="s">
        <v>2094</v>
      </c>
      <c r="B5201" s="74" t="s">
        <v>275</v>
      </c>
      <c r="C5201" s="74" t="s">
        <v>1534</v>
      </c>
      <c r="D5201" s="74" t="s">
        <v>81</v>
      </c>
      <c r="E5201" s="74">
        <v>7</v>
      </c>
      <c r="F5201" s="74">
        <v>33.25</v>
      </c>
      <c r="G5201" s="758">
        <f t="shared" si="324"/>
        <v>0.67</v>
      </c>
      <c r="H5201" s="759">
        <f t="shared" si="325"/>
        <v>0.15</v>
      </c>
      <c r="I5201" s="758">
        <f t="shared" si="326"/>
        <v>4.08</v>
      </c>
      <c r="J5201" s="760">
        <f t="shared" si="327"/>
        <v>0.85894736842105268</v>
      </c>
    </row>
    <row r="5202" spans="1:10">
      <c r="A5202" s="74" t="s">
        <v>2094</v>
      </c>
      <c r="B5202" s="74" t="s">
        <v>275</v>
      </c>
      <c r="C5202" s="74" t="s">
        <v>1514</v>
      </c>
      <c r="D5202" s="74" t="s">
        <v>81</v>
      </c>
      <c r="E5202" s="74">
        <v>2</v>
      </c>
      <c r="F5202" s="74">
        <v>9.5</v>
      </c>
      <c r="G5202" s="758">
        <f t="shared" si="324"/>
        <v>0.67</v>
      </c>
      <c r="H5202" s="759">
        <f t="shared" si="325"/>
        <v>0.15</v>
      </c>
      <c r="I5202" s="758">
        <f t="shared" si="326"/>
        <v>4.08</v>
      </c>
      <c r="J5202" s="760">
        <f t="shared" si="327"/>
        <v>0.85894736842105268</v>
      </c>
    </row>
    <row r="5203" spans="1:10">
      <c r="A5203" s="74" t="s">
        <v>2094</v>
      </c>
      <c r="B5203" s="74" t="s">
        <v>275</v>
      </c>
      <c r="C5203" s="74" t="s">
        <v>1515</v>
      </c>
      <c r="D5203" s="74" t="s">
        <v>81</v>
      </c>
      <c r="E5203" s="74">
        <v>3</v>
      </c>
      <c r="F5203" s="74">
        <v>17.25</v>
      </c>
      <c r="G5203" s="758">
        <f t="shared" si="324"/>
        <v>0.67</v>
      </c>
      <c r="H5203" s="759">
        <f t="shared" si="325"/>
        <v>0.15</v>
      </c>
      <c r="I5203" s="758">
        <f t="shared" si="326"/>
        <v>5.08</v>
      </c>
      <c r="J5203" s="760">
        <f t="shared" si="327"/>
        <v>0.88347826086956516</v>
      </c>
    </row>
    <row r="5204" spans="1:10">
      <c r="A5204" s="74" t="s">
        <v>2094</v>
      </c>
      <c r="B5204" s="74" t="s">
        <v>275</v>
      </c>
      <c r="C5204" s="74" t="s">
        <v>1516</v>
      </c>
      <c r="D5204" s="74" t="s">
        <v>82</v>
      </c>
      <c r="E5204" s="74">
        <v>4</v>
      </c>
      <c r="F5204" s="74">
        <v>24</v>
      </c>
      <c r="G5204" s="758">
        <f t="shared" si="324"/>
        <v>0.67</v>
      </c>
      <c r="H5204" s="759">
        <f t="shared" si="325"/>
        <v>0.15</v>
      </c>
      <c r="I5204" s="758">
        <f t="shared" si="326"/>
        <v>5.33</v>
      </c>
      <c r="J5204" s="760">
        <f t="shared" si="327"/>
        <v>0.88833333333333331</v>
      </c>
    </row>
    <row r="5205" spans="1:10">
      <c r="A5205" s="74" t="s">
        <v>2094</v>
      </c>
      <c r="B5205" s="74" t="s">
        <v>275</v>
      </c>
      <c r="C5205" s="74" t="s">
        <v>1517</v>
      </c>
      <c r="D5205" s="74" t="s">
        <v>82</v>
      </c>
      <c r="E5205" s="74">
        <v>2</v>
      </c>
      <c r="F5205" s="74">
        <v>11.75</v>
      </c>
      <c r="G5205" s="758">
        <f t="shared" si="324"/>
        <v>0.67</v>
      </c>
      <c r="H5205" s="759">
        <f t="shared" si="325"/>
        <v>0.15</v>
      </c>
      <c r="I5205" s="758">
        <f t="shared" si="326"/>
        <v>5.2050000000000001</v>
      </c>
      <c r="J5205" s="760">
        <f t="shared" si="327"/>
        <v>0.88595744680851063</v>
      </c>
    </row>
    <row r="5206" spans="1:10">
      <c r="A5206" s="74" t="s">
        <v>2095</v>
      </c>
      <c r="B5206" s="74" t="s">
        <v>275</v>
      </c>
      <c r="C5206" s="74" t="s">
        <v>1617</v>
      </c>
      <c r="D5206" s="74" t="s">
        <v>94</v>
      </c>
      <c r="E5206" s="74">
        <v>2</v>
      </c>
      <c r="F5206" s="74">
        <v>11.75</v>
      </c>
      <c r="G5206" s="758">
        <f t="shared" si="324"/>
        <v>0</v>
      </c>
      <c r="H5206" s="759">
        <f t="shared" si="325"/>
        <v>0</v>
      </c>
      <c r="I5206" s="758">
        <f t="shared" si="326"/>
        <v>5.875</v>
      </c>
      <c r="J5206" s="760">
        <f t="shared" si="327"/>
        <v>1</v>
      </c>
    </row>
    <row r="5207" spans="1:10">
      <c r="A5207" s="74" t="s">
        <v>2096</v>
      </c>
      <c r="B5207" s="74" t="s">
        <v>264</v>
      </c>
      <c r="C5207" s="74" t="s">
        <v>1608</v>
      </c>
      <c r="D5207" s="74" t="s">
        <v>89</v>
      </c>
      <c r="E5207" s="74">
        <v>2</v>
      </c>
      <c r="F5207" s="74">
        <v>0.5</v>
      </c>
      <c r="G5207" s="758">
        <f t="shared" si="324"/>
        <v>0</v>
      </c>
      <c r="H5207" s="759">
        <f t="shared" si="325"/>
        <v>0</v>
      </c>
      <c r="I5207" s="758">
        <f t="shared" si="326"/>
        <v>0.25</v>
      </c>
      <c r="J5207" s="760">
        <f t="shared" si="327"/>
        <v>1</v>
      </c>
    </row>
    <row r="5208" spans="1:10">
      <c r="A5208" s="74" t="s">
        <v>930</v>
      </c>
      <c r="B5208" s="74" t="s">
        <v>264</v>
      </c>
      <c r="C5208" s="74" t="s">
        <v>1646</v>
      </c>
      <c r="D5208" s="74" t="s">
        <v>86</v>
      </c>
      <c r="E5208" s="74">
        <v>2</v>
      </c>
      <c r="F5208" s="74">
        <v>7</v>
      </c>
      <c r="G5208" s="758">
        <f t="shared" si="324"/>
        <v>0</v>
      </c>
      <c r="H5208" s="759">
        <f t="shared" si="325"/>
        <v>0</v>
      </c>
      <c r="I5208" s="758">
        <f t="shared" si="326"/>
        <v>3.5</v>
      </c>
      <c r="J5208" s="760">
        <f t="shared" si="327"/>
        <v>1</v>
      </c>
    </row>
    <row r="5209" spans="1:10">
      <c r="A5209" s="74" t="s">
        <v>930</v>
      </c>
      <c r="B5209" s="74" t="s">
        <v>264</v>
      </c>
      <c r="C5209" s="74" t="s">
        <v>1541</v>
      </c>
      <c r="D5209" s="74" t="s">
        <v>86</v>
      </c>
      <c r="E5209" s="74">
        <v>8</v>
      </c>
      <c r="F5209" s="74">
        <v>28</v>
      </c>
      <c r="G5209" s="758">
        <f t="shared" si="324"/>
        <v>0</v>
      </c>
      <c r="H5209" s="759">
        <f t="shared" si="325"/>
        <v>0</v>
      </c>
      <c r="I5209" s="758">
        <f t="shared" si="326"/>
        <v>3.5</v>
      </c>
      <c r="J5209" s="760">
        <f t="shared" si="327"/>
        <v>1</v>
      </c>
    </row>
    <row r="5210" spans="1:10">
      <c r="A5210" s="74" t="s">
        <v>930</v>
      </c>
      <c r="B5210" s="74" t="s">
        <v>264</v>
      </c>
      <c r="C5210" s="74" t="s">
        <v>1543</v>
      </c>
      <c r="D5210" s="74" t="s">
        <v>87</v>
      </c>
      <c r="E5210" s="74">
        <v>3</v>
      </c>
      <c r="F5210" s="74">
        <v>10.5</v>
      </c>
      <c r="G5210" s="758">
        <f t="shared" si="324"/>
        <v>0</v>
      </c>
      <c r="H5210" s="759">
        <f t="shared" si="325"/>
        <v>0</v>
      </c>
      <c r="I5210" s="758">
        <f t="shared" si="326"/>
        <v>3.5</v>
      </c>
      <c r="J5210" s="760">
        <f t="shared" si="327"/>
        <v>1</v>
      </c>
    </row>
    <row r="5211" spans="1:10">
      <c r="A5211" s="74" t="s">
        <v>930</v>
      </c>
      <c r="B5211" s="74" t="s">
        <v>264</v>
      </c>
      <c r="C5211" s="74" t="s">
        <v>1544</v>
      </c>
      <c r="D5211" s="74" t="s">
        <v>87</v>
      </c>
      <c r="E5211" s="74">
        <v>7</v>
      </c>
      <c r="F5211" s="74">
        <v>24.5</v>
      </c>
      <c r="G5211" s="758">
        <f t="shared" si="324"/>
        <v>0</v>
      </c>
      <c r="H5211" s="759">
        <f t="shared" si="325"/>
        <v>0</v>
      </c>
      <c r="I5211" s="758">
        <f t="shared" si="326"/>
        <v>3.5</v>
      </c>
      <c r="J5211" s="760">
        <f t="shared" si="327"/>
        <v>1</v>
      </c>
    </row>
    <row r="5212" spans="1:10">
      <c r="A5212" s="74" t="s">
        <v>930</v>
      </c>
      <c r="B5212" s="74" t="s">
        <v>264</v>
      </c>
      <c r="C5212" s="74" t="s">
        <v>1605</v>
      </c>
      <c r="D5212" s="74" t="s">
        <v>87</v>
      </c>
      <c r="E5212" s="74">
        <v>1</v>
      </c>
      <c r="F5212" s="74">
        <v>3.5</v>
      </c>
      <c r="G5212" s="758">
        <f t="shared" si="324"/>
        <v>0</v>
      </c>
      <c r="H5212" s="759">
        <f t="shared" si="325"/>
        <v>0</v>
      </c>
      <c r="I5212" s="758">
        <f t="shared" si="326"/>
        <v>3.5</v>
      </c>
      <c r="J5212" s="760">
        <f t="shared" si="327"/>
        <v>1</v>
      </c>
    </row>
    <row r="5213" spans="1:10">
      <c r="A5213" s="74" t="s">
        <v>930</v>
      </c>
      <c r="B5213" s="74" t="s">
        <v>264</v>
      </c>
      <c r="C5213" s="74" t="s">
        <v>1561</v>
      </c>
      <c r="D5213" s="74" t="s">
        <v>87</v>
      </c>
      <c r="E5213" s="74">
        <v>3</v>
      </c>
      <c r="F5213" s="74">
        <v>10.5</v>
      </c>
      <c r="G5213" s="758">
        <f t="shared" si="324"/>
        <v>0</v>
      </c>
      <c r="H5213" s="759">
        <f t="shared" si="325"/>
        <v>0</v>
      </c>
      <c r="I5213" s="758">
        <f t="shared" si="326"/>
        <v>3.5</v>
      </c>
      <c r="J5213" s="760">
        <f t="shared" si="327"/>
        <v>1</v>
      </c>
    </row>
    <row r="5214" spans="1:10">
      <c r="A5214" s="74" t="s">
        <v>930</v>
      </c>
      <c r="B5214" s="74" t="s">
        <v>264</v>
      </c>
      <c r="C5214" s="74" t="s">
        <v>1608</v>
      </c>
      <c r="D5214" s="74" t="s">
        <v>89</v>
      </c>
      <c r="E5214" s="74">
        <v>4</v>
      </c>
      <c r="F5214" s="74">
        <v>14</v>
      </c>
      <c r="G5214" s="758">
        <f t="shared" si="324"/>
        <v>0</v>
      </c>
      <c r="H5214" s="759">
        <f t="shared" si="325"/>
        <v>0</v>
      </c>
      <c r="I5214" s="758">
        <f t="shared" si="326"/>
        <v>3.5</v>
      </c>
      <c r="J5214" s="760">
        <f t="shared" si="327"/>
        <v>1</v>
      </c>
    </row>
    <row r="5215" spans="1:10">
      <c r="A5215" s="74" t="s">
        <v>930</v>
      </c>
      <c r="B5215" s="74" t="s">
        <v>264</v>
      </c>
      <c r="C5215" s="74" t="s">
        <v>1610</v>
      </c>
      <c r="D5215" s="74" t="s">
        <v>89</v>
      </c>
      <c r="E5215" s="74">
        <v>6</v>
      </c>
      <c r="F5215" s="74">
        <v>21</v>
      </c>
      <c r="G5215" s="758">
        <f t="shared" si="324"/>
        <v>0</v>
      </c>
      <c r="H5215" s="759">
        <f t="shared" si="325"/>
        <v>0</v>
      </c>
      <c r="I5215" s="758">
        <f t="shared" si="326"/>
        <v>3.5</v>
      </c>
      <c r="J5215" s="760">
        <f t="shared" si="327"/>
        <v>1</v>
      </c>
    </row>
    <row r="5216" spans="1:10">
      <c r="A5216" s="74" t="s">
        <v>930</v>
      </c>
      <c r="B5216" s="74" t="s">
        <v>264</v>
      </c>
      <c r="C5216" s="74" t="s">
        <v>1546</v>
      </c>
      <c r="D5216" s="74" t="s">
        <v>89</v>
      </c>
      <c r="E5216" s="74">
        <v>1</v>
      </c>
      <c r="F5216" s="74">
        <v>3.5</v>
      </c>
      <c r="G5216" s="758">
        <f t="shared" si="324"/>
        <v>0</v>
      </c>
      <c r="H5216" s="759">
        <f t="shared" si="325"/>
        <v>0</v>
      </c>
      <c r="I5216" s="758">
        <f t="shared" si="326"/>
        <v>3.5</v>
      </c>
      <c r="J5216" s="760">
        <f t="shared" si="327"/>
        <v>1</v>
      </c>
    </row>
    <row r="5217" spans="1:10">
      <c r="A5217" s="74" t="s">
        <v>930</v>
      </c>
      <c r="B5217" s="74" t="s">
        <v>264</v>
      </c>
      <c r="C5217" s="74" t="s">
        <v>1547</v>
      </c>
      <c r="D5217" s="74" t="s">
        <v>89</v>
      </c>
      <c r="E5217" s="74">
        <v>6</v>
      </c>
      <c r="F5217" s="74">
        <v>21</v>
      </c>
      <c r="G5217" s="758">
        <f t="shared" si="324"/>
        <v>0</v>
      </c>
      <c r="H5217" s="759">
        <f t="shared" si="325"/>
        <v>0</v>
      </c>
      <c r="I5217" s="758">
        <f t="shared" si="326"/>
        <v>3.5</v>
      </c>
      <c r="J5217" s="760">
        <f t="shared" si="327"/>
        <v>1</v>
      </c>
    </row>
    <row r="5218" spans="1:10">
      <c r="A5218" s="74" t="s">
        <v>930</v>
      </c>
      <c r="B5218" s="74" t="s">
        <v>264</v>
      </c>
      <c r="C5218" s="74" t="s">
        <v>1582</v>
      </c>
      <c r="D5218" s="74" t="s">
        <v>89</v>
      </c>
      <c r="E5218" s="74">
        <v>3</v>
      </c>
      <c r="F5218" s="74">
        <v>10.5</v>
      </c>
      <c r="G5218" s="758">
        <f t="shared" si="324"/>
        <v>0</v>
      </c>
      <c r="H5218" s="759">
        <f t="shared" si="325"/>
        <v>0</v>
      </c>
      <c r="I5218" s="758">
        <f t="shared" si="326"/>
        <v>3.5</v>
      </c>
      <c r="J5218" s="760">
        <f t="shared" si="327"/>
        <v>1</v>
      </c>
    </row>
    <row r="5219" spans="1:10">
      <c r="A5219" s="74" t="s">
        <v>930</v>
      </c>
      <c r="B5219" s="74" t="s">
        <v>264</v>
      </c>
      <c r="C5219" s="74" t="s">
        <v>1550</v>
      </c>
      <c r="D5219" s="74" t="s">
        <v>91</v>
      </c>
      <c r="E5219" s="74">
        <v>2</v>
      </c>
      <c r="F5219" s="74">
        <v>7</v>
      </c>
      <c r="G5219" s="758">
        <f t="shared" si="324"/>
        <v>0</v>
      </c>
      <c r="H5219" s="759">
        <f t="shared" si="325"/>
        <v>0</v>
      </c>
      <c r="I5219" s="758">
        <f t="shared" si="326"/>
        <v>3.5</v>
      </c>
      <c r="J5219" s="760">
        <f t="shared" si="327"/>
        <v>1</v>
      </c>
    </row>
    <row r="5220" spans="1:10">
      <c r="A5220" s="74" t="s">
        <v>930</v>
      </c>
      <c r="B5220" s="74" t="s">
        <v>264</v>
      </c>
      <c r="C5220" s="74" t="s">
        <v>1675</v>
      </c>
      <c r="D5220" s="74" t="s">
        <v>91</v>
      </c>
      <c r="E5220" s="74">
        <v>7</v>
      </c>
      <c r="F5220" s="74">
        <v>24.5</v>
      </c>
      <c r="G5220" s="758">
        <f t="shared" si="324"/>
        <v>0</v>
      </c>
      <c r="H5220" s="759">
        <f t="shared" si="325"/>
        <v>0</v>
      </c>
      <c r="I5220" s="758">
        <f t="shared" si="326"/>
        <v>3.5</v>
      </c>
      <c r="J5220" s="760">
        <f t="shared" si="327"/>
        <v>1</v>
      </c>
    </row>
    <row r="5221" spans="1:10">
      <c r="A5221" s="74" t="s">
        <v>930</v>
      </c>
      <c r="B5221" s="74" t="s">
        <v>264</v>
      </c>
      <c r="C5221" s="74" t="s">
        <v>1524</v>
      </c>
      <c r="D5221" s="74" t="s">
        <v>91</v>
      </c>
      <c r="E5221" s="74">
        <v>1</v>
      </c>
      <c r="F5221" s="74">
        <v>3.5</v>
      </c>
      <c r="G5221" s="758">
        <f t="shared" si="324"/>
        <v>0</v>
      </c>
      <c r="H5221" s="759">
        <f t="shared" si="325"/>
        <v>0</v>
      </c>
      <c r="I5221" s="758">
        <f t="shared" si="326"/>
        <v>3.5</v>
      </c>
      <c r="J5221" s="760">
        <f t="shared" si="327"/>
        <v>1</v>
      </c>
    </row>
    <row r="5222" spans="1:10">
      <c r="A5222" s="74" t="s">
        <v>930</v>
      </c>
      <c r="B5222" s="74" t="s">
        <v>264</v>
      </c>
      <c r="C5222" s="74" t="s">
        <v>1584</v>
      </c>
      <c r="D5222" s="74" t="s">
        <v>92</v>
      </c>
      <c r="E5222" s="74">
        <v>3</v>
      </c>
      <c r="F5222" s="74">
        <v>10.5</v>
      </c>
      <c r="G5222" s="758">
        <f t="shared" si="324"/>
        <v>0</v>
      </c>
      <c r="H5222" s="759">
        <f t="shared" si="325"/>
        <v>0</v>
      </c>
      <c r="I5222" s="758">
        <f t="shared" si="326"/>
        <v>3.5</v>
      </c>
      <c r="J5222" s="760">
        <f t="shared" si="327"/>
        <v>1</v>
      </c>
    </row>
    <row r="5223" spans="1:10">
      <c r="A5223" s="74" t="s">
        <v>930</v>
      </c>
      <c r="B5223" s="74" t="s">
        <v>264</v>
      </c>
      <c r="C5223" s="74" t="s">
        <v>1614</v>
      </c>
      <c r="D5223" s="74" t="s">
        <v>92</v>
      </c>
      <c r="E5223" s="74">
        <v>2</v>
      </c>
      <c r="F5223" s="74">
        <v>7</v>
      </c>
      <c r="G5223" s="758">
        <f t="shared" si="324"/>
        <v>0</v>
      </c>
      <c r="H5223" s="759">
        <f t="shared" si="325"/>
        <v>0</v>
      </c>
      <c r="I5223" s="758">
        <f t="shared" si="326"/>
        <v>3.5</v>
      </c>
      <c r="J5223" s="760">
        <f t="shared" si="327"/>
        <v>1</v>
      </c>
    </row>
    <row r="5224" spans="1:10">
      <c r="A5224" s="74" t="s">
        <v>930</v>
      </c>
      <c r="B5224" s="74" t="s">
        <v>264</v>
      </c>
      <c r="C5224" s="74" t="s">
        <v>1631</v>
      </c>
      <c r="D5224" s="74" t="s">
        <v>92</v>
      </c>
      <c r="E5224" s="74">
        <v>2</v>
      </c>
      <c r="F5224" s="74">
        <v>7</v>
      </c>
      <c r="G5224" s="758">
        <f t="shared" si="324"/>
        <v>0</v>
      </c>
      <c r="H5224" s="759">
        <f t="shared" si="325"/>
        <v>0</v>
      </c>
      <c r="I5224" s="758">
        <f t="shared" si="326"/>
        <v>3.5</v>
      </c>
      <c r="J5224" s="760">
        <f t="shared" si="327"/>
        <v>1</v>
      </c>
    </row>
    <row r="5225" spans="1:10">
      <c r="A5225" s="74" t="s">
        <v>930</v>
      </c>
      <c r="B5225" s="74" t="s">
        <v>264</v>
      </c>
      <c r="C5225" s="74" t="s">
        <v>1552</v>
      </c>
      <c r="D5225" s="74" t="s">
        <v>92</v>
      </c>
      <c r="E5225" s="74">
        <v>1</v>
      </c>
      <c r="F5225" s="74">
        <v>3.5</v>
      </c>
      <c r="G5225" s="758">
        <f t="shared" si="324"/>
        <v>0</v>
      </c>
      <c r="H5225" s="759">
        <f t="shared" si="325"/>
        <v>0</v>
      </c>
      <c r="I5225" s="758">
        <f t="shared" si="326"/>
        <v>3.5</v>
      </c>
      <c r="J5225" s="760">
        <f t="shared" si="327"/>
        <v>1</v>
      </c>
    </row>
    <row r="5226" spans="1:10">
      <c r="A5226" s="74" t="s">
        <v>930</v>
      </c>
      <c r="B5226" s="74" t="s">
        <v>264</v>
      </c>
      <c r="C5226" s="74" t="s">
        <v>1617</v>
      </c>
      <c r="D5226" s="74" t="s">
        <v>94</v>
      </c>
      <c r="E5226" s="74">
        <v>4</v>
      </c>
      <c r="F5226" s="74">
        <v>14</v>
      </c>
      <c r="G5226" s="758">
        <f t="shared" si="324"/>
        <v>0</v>
      </c>
      <c r="H5226" s="759">
        <f t="shared" si="325"/>
        <v>0</v>
      </c>
      <c r="I5226" s="758">
        <f t="shared" si="326"/>
        <v>3.5</v>
      </c>
      <c r="J5226" s="760">
        <f t="shared" si="327"/>
        <v>1</v>
      </c>
    </row>
    <row r="5227" spans="1:10">
      <c r="A5227" s="74" t="s">
        <v>930</v>
      </c>
      <c r="B5227" s="74" t="s">
        <v>264</v>
      </c>
      <c r="C5227" s="74" t="s">
        <v>1553</v>
      </c>
      <c r="D5227" s="74" t="s">
        <v>94</v>
      </c>
      <c r="E5227" s="74">
        <v>1</v>
      </c>
      <c r="F5227" s="74">
        <v>3.5</v>
      </c>
      <c r="G5227" s="758">
        <f t="shared" si="324"/>
        <v>0</v>
      </c>
      <c r="H5227" s="759">
        <f t="shared" si="325"/>
        <v>0</v>
      </c>
      <c r="I5227" s="758">
        <f t="shared" si="326"/>
        <v>3.5</v>
      </c>
      <c r="J5227" s="760">
        <f t="shared" si="327"/>
        <v>1</v>
      </c>
    </row>
    <row r="5228" spans="1:10">
      <c r="A5228" s="74" t="s">
        <v>930</v>
      </c>
      <c r="B5228" s="74" t="s">
        <v>264</v>
      </c>
      <c r="C5228" s="74" t="s">
        <v>1555</v>
      </c>
      <c r="D5228" s="74" t="s">
        <v>94</v>
      </c>
      <c r="E5228" s="74">
        <v>1</v>
      </c>
      <c r="F5228" s="74">
        <v>3.5</v>
      </c>
      <c r="G5228" s="758">
        <f t="shared" si="324"/>
        <v>0</v>
      </c>
      <c r="H5228" s="759">
        <f t="shared" si="325"/>
        <v>0</v>
      </c>
      <c r="I5228" s="758">
        <f t="shared" si="326"/>
        <v>3.5</v>
      </c>
      <c r="J5228" s="760">
        <f t="shared" si="327"/>
        <v>1</v>
      </c>
    </row>
    <row r="5229" spans="1:10">
      <c r="A5229" s="74" t="s">
        <v>930</v>
      </c>
      <c r="B5229" s="74" t="s">
        <v>264</v>
      </c>
      <c r="C5229" s="74" t="s">
        <v>1557</v>
      </c>
      <c r="D5229" s="74" t="s">
        <v>95</v>
      </c>
      <c r="E5229" s="74">
        <v>4</v>
      </c>
      <c r="F5229" s="74">
        <v>14</v>
      </c>
      <c r="G5229" s="758">
        <f t="shared" si="324"/>
        <v>0</v>
      </c>
      <c r="H5229" s="759">
        <f t="shared" si="325"/>
        <v>0</v>
      </c>
      <c r="I5229" s="758">
        <f t="shared" si="326"/>
        <v>3.5</v>
      </c>
      <c r="J5229" s="760">
        <f t="shared" si="327"/>
        <v>1</v>
      </c>
    </row>
    <row r="5230" spans="1:10">
      <c r="A5230" s="74" t="s">
        <v>930</v>
      </c>
      <c r="B5230" s="74" t="s">
        <v>264</v>
      </c>
      <c r="C5230" s="74" t="s">
        <v>1526</v>
      </c>
      <c r="D5230" s="74" t="s">
        <v>95</v>
      </c>
      <c r="E5230" s="74">
        <v>2</v>
      </c>
      <c r="F5230" s="74">
        <v>7</v>
      </c>
      <c r="G5230" s="758">
        <f t="shared" si="324"/>
        <v>0</v>
      </c>
      <c r="H5230" s="759">
        <f t="shared" si="325"/>
        <v>0</v>
      </c>
      <c r="I5230" s="758">
        <f t="shared" si="326"/>
        <v>3.5</v>
      </c>
      <c r="J5230" s="760">
        <f t="shared" si="327"/>
        <v>1</v>
      </c>
    </row>
    <row r="5231" spans="1:10">
      <c r="A5231" s="74" t="s">
        <v>930</v>
      </c>
      <c r="B5231" s="74" t="s">
        <v>264</v>
      </c>
      <c r="C5231" s="74" t="s">
        <v>1930</v>
      </c>
      <c r="D5231" s="74" t="s">
        <v>95</v>
      </c>
      <c r="E5231" s="74">
        <v>1</v>
      </c>
      <c r="F5231" s="74">
        <v>0</v>
      </c>
      <c r="G5231" s="758">
        <f t="shared" si="324"/>
        <v>0</v>
      </c>
      <c r="H5231" s="759">
        <f t="shared" si="325"/>
        <v>0</v>
      </c>
      <c r="I5231" s="758">
        <f t="shared" si="326"/>
        <v>0</v>
      </c>
      <c r="J5231" s="760">
        <f t="shared" si="327"/>
        <v>0</v>
      </c>
    </row>
    <row r="5232" spans="1:10">
      <c r="A5232" s="74" t="s">
        <v>2097</v>
      </c>
      <c r="B5232" s="74" t="s">
        <v>873</v>
      </c>
      <c r="C5232" s="74" t="s">
        <v>1513</v>
      </c>
      <c r="D5232" s="74" t="s">
        <v>81</v>
      </c>
      <c r="E5232" s="74">
        <v>1</v>
      </c>
      <c r="F5232" s="74">
        <v>0</v>
      </c>
      <c r="G5232" s="758">
        <f t="shared" si="324"/>
        <v>3.32</v>
      </c>
      <c r="H5232" s="759">
        <f t="shared" si="325"/>
        <v>0</v>
      </c>
      <c r="I5232" s="758">
        <f t="shared" si="326"/>
        <v>-3.32</v>
      </c>
      <c r="J5232" s="760">
        <f t="shared" si="327"/>
        <v>0</v>
      </c>
    </row>
    <row r="5233" spans="1:10">
      <c r="A5233" s="74" t="s">
        <v>1011</v>
      </c>
      <c r="B5233" s="74" t="s">
        <v>264</v>
      </c>
      <c r="C5233" s="74" t="s">
        <v>1528</v>
      </c>
      <c r="D5233" s="74" t="s">
        <v>78</v>
      </c>
      <c r="E5233" s="74">
        <v>14</v>
      </c>
      <c r="F5233" s="74">
        <v>18.8</v>
      </c>
      <c r="G5233" s="758">
        <f t="shared" si="324"/>
        <v>0.05</v>
      </c>
      <c r="H5233" s="759">
        <f t="shared" si="325"/>
        <v>0.22</v>
      </c>
      <c r="I5233" s="758">
        <f t="shared" si="326"/>
        <v>1.2928571428571429</v>
      </c>
      <c r="J5233" s="760">
        <f t="shared" si="327"/>
        <v>0.96276595744680848</v>
      </c>
    </row>
    <row r="5234" spans="1:10">
      <c r="A5234" s="74" t="s">
        <v>1011</v>
      </c>
      <c r="B5234" s="74" t="s">
        <v>264</v>
      </c>
      <c r="C5234" s="74" t="s">
        <v>1508</v>
      </c>
      <c r="D5234" s="74" t="s">
        <v>78</v>
      </c>
      <c r="E5234" s="74">
        <v>1</v>
      </c>
      <c r="F5234" s="74">
        <v>1.6</v>
      </c>
      <c r="G5234" s="758">
        <f t="shared" si="324"/>
        <v>0.05</v>
      </c>
      <c r="H5234" s="759">
        <f t="shared" si="325"/>
        <v>0.22</v>
      </c>
      <c r="I5234" s="758">
        <f t="shared" si="326"/>
        <v>1.55</v>
      </c>
      <c r="J5234" s="760">
        <f t="shared" si="327"/>
        <v>0.96875</v>
      </c>
    </row>
    <row r="5235" spans="1:10">
      <c r="A5235" s="74" t="s">
        <v>1011</v>
      </c>
      <c r="B5235" s="74" t="s">
        <v>264</v>
      </c>
      <c r="C5235" s="74" t="s">
        <v>1509</v>
      </c>
      <c r="D5235" s="74" t="s">
        <v>78</v>
      </c>
      <c r="E5235" s="74">
        <v>1</v>
      </c>
      <c r="F5235" s="74">
        <v>1</v>
      </c>
      <c r="G5235" s="758">
        <f t="shared" si="324"/>
        <v>0.05</v>
      </c>
      <c r="H5235" s="759">
        <f t="shared" si="325"/>
        <v>0.22</v>
      </c>
      <c r="I5235" s="758">
        <f t="shared" si="326"/>
        <v>0.95</v>
      </c>
      <c r="J5235" s="760">
        <f t="shared" si="327"/>
        <v>0.95</v>
      </c>
    </row>
    <row r="5236" spans="1:10">
      <c r="A5236" s="74" t="s">
        <v>1011</v>
      </c>
      <c r="B5236" s="74" t="s">
        <v>264</v>
      </c>
      <c r="C5236" s="74" t="s">
        <v>1565</v>
      </c>
      <c r="D5236" s="74" t="s">
        <v>78</v>
      </c>
      <c r="E5236" s="74">
        <v>1</v>
      </c>
      <c r="F5236" s="74">
        <v>1</v>
      </c>
      <c r="G5236" s="758">
        <f t="shared" si="324"/>
        <v>0.05</v>
      </c>
      <c r="H5236" s="759">
        <f t="shared" si="325"/>
        <v>0.22</v>
      </c>
      <c r="I5236" s="758">
        <f t="shared" si="326"/>
        <v>0.95</v>
      </c>
      <c r="J5236" s="760">
        <f t="shared" si="327"/>
        <v>0.95</v>
      </c>
    </row>
    <row r="5237" spans="1:10">
      <c r="A5237" s="74" t="s">
        <v>1011</v>
      </c>
      <c r="B5237" s="74" t="s">
        <v>264</v>
      </c>
      <c r="C5237" s="74" t="s">
        <v>1530</v>
      </c>
      <c r="D5237" s="74" t="s">
        <v>80</v>
      </c>
      <c r="E5237" s="74">
        <v>2</v>
      </c>
      <c r="F5237" s="74">
        <v>3.45</v>
      </c>
      <c r="G5237" s="758">
        <f t="shared" si="324"/>
        <v>0.05</v>
      </c>
      <c r="H5237" s="759">
        <f t="shared" si="325"/>
        <v>0.22</v>
      </c>
      <c r="I5237" s="758">
        <f t="shared" si="326"/>
        <v>1.675</v>
      </c>
      <c r="J5237" s="760">
        <f t="shared" si="327"/>
        <v>0.97101449275362317</v>
      </c>
    </row>
    <row r="5238" spans="1:10">
      <c r="A5238" s="74" t="s">
        <v>1011</v>
      </c>
      <c r="B5238" s="74" t="s">
        <v>264</v>
      </c>
      <c r="C5238" s="74" t="s">
        <v>1532</v>
      </c>
      <c r="D5238" s="74" t="s">
        <v>80</v>
      </c>
      <c r="E5238" s="74">
        <v>7</v>
      </c>
      <c r="F5238" s="74">
        <v>11.95</v>
      </c>
      <c r="G5238" s="758">
        <f t="shared" si="324"/>
        <v>0.05</v>
      </c>
      <c r="H5238" s="759">
        <f t="shared" si="325"/>
        <v>0.22</v>
      </c>
      <c r="I5238" s="758">
        <f t="shared" si="326"/>
        <v>1.657142857142857</v>
      </c>
      <c r="J5238" s="760">
        <f t="shared" si="327"/>
        <v>0.97071129707112969</v>
      </c>
    </row>
    <row r="5239" spans="1:10">
      <c r="A5239" s="74" t="s">
        <v>1011</v>
      </c>
      <c r="B5239" s="74" t="s">
        <v>264</v>
      </c>
      <c r="C5239" s="74" t="s">
        <v>1511</v>
      </c>
      <c r="D5239" s="74" t="s">
        <v>80</v>
      </c>
      <c r="E5239" s="74">
        <v>3</v>
      </c>
      <c r="F5239" s="74">
        <v>5.3</v>
      </c>
      <c r="G5239" s="758">
        <f t="shared" si="324"/>
        <v>0.05</v>
      </c>
      <c r="H5239" s="759">
        <f t="shared" si="325"/>
        <v>0.22</v>
      </c>
      <c r="I5239" s="758">
        <f t="shared" si="326"/>
        <v>1.7166666666666666</v>
      </c>
      <c r="J5239" s="760">
        <f t="shared" si="327"/>
        <v>0.97169811320754718</v>
      </c>
    </row>
    <row r="5240" spans="1:10">
      <c r="A5240" s="74" t="s">
        <v>1011</v>
      </c>
      <c r="B5240" s="74" t="s">
        <v>264</v>
      </c>
      <c r="C5240" s="74" t="s">
        <v>1512</v>
      </c>
      <c r="D5240" s="74" t="s">
        <v>80</v>
      </c>
      <c r="E5240" s="74">
        <v>5</v>
      </c>
      <c r="F5240" s="74">
        <v>8.26</v>
      </c>
      <c r="G5240" s="758">
        <f t="shared" si="324"/>
        <v>0.05</v>
      </c>
      <c r="H5240" s="759">
        <f t="shared" si="325"/>
        <v>0.22</v>
      </c>
      <c r="I5240" s="758">
        <f t="shared" si="326"/>
        <v>1.6019999999999999</v>
      </c>
      <c r="J5240" s="760">
        <f t="shared" si="327"/>
        <v>0.96973365617433416</v>
      </c>
    </row>
    <row r="5241" spans="1:10">
      <c r="A5241" s="74" t="s">
        <v>1011</v>
      </c>
      <c r="B5241" s="74" t="s">
        <v>264</v>
      </c>
      <c r="C5241" s="74" t="s">
        <v>1534</v>
      </c>
      <c r="D5241" s="74" t="s">
        <v>81</v>
      </c>
      <c r="E5241" s="74">
        <v>11</v>
      </c>
      <c r="F5241" s="74">
        <v>18.25</v>
      </c>
      <c r="G5241" s="758">
        <f t="shared" si="324"/>
        <v>0.05</v>
      </c>
      <c r="H5241" s="759">
        <f t="shared" si="325"/>
        <v>0.22</v>
      </c>
      <c r="I5241" s="758">
        <f t="shared" si="326"/>
        <v>1.6090909090909091</v>
      </c>
      <c r="J5241" s="760">
        <f t="shared" si="327"/>
        <v>0.96986301369863015</v>
      </c>
    </row>
    <row r="5242" spans="1:10">
      <c r="A5242" s="74" t="s">
        <v>1011</v>
      </c>
      <c r="B5242" s="74" t="s">
        <v>264</v>
      </c>
      <c r="C5242" s="74" t="s">
        <v>1513</v>
      </c>
      <c r="D5242" s="74" t="s">
        <v>81</v>
      </c>
      <c r="E5242" s="74">
        <v>6</v>
      </c>
      <c r="F5242" s="74">
        <v>10.199999999999999</v>
      </c>
      <c r="G5242" s="758">
        <f t="shared" si="324"/>
        <v>0.05</v>
      </c>
      <c r="H5242" s="759">
        <f t="shared" si="325"/>
        <v>0.22</v>
      </c>
      <c r="I5242" s="758">
        <f t="shared" si="326"/>
        <v>1.65</v>
      </c>
      <c r="J5242" s="760">
        <f t="shared" si="327"/>
        <v>0.97058823529411764</v>
      </c>
    </row>
    <row r="5243" spans="1:10">
      <c r="A5243" s="74" t="s">
        <v>1011</v>
      </c>
      <c r="B5243" s="74" t="s">
        <v>264</v>
      </c>
      <c r="C5243" s="74" t="s">
        <v>1514</v>
      </c>
      <c r="D5243" s="74" t="s">
        <v>81</v>
      </c>
      <c r="E5243" s="74">
        <v>4</v>
      </c>
      <c r="F5243" s="74">
        <v>6.4</v>
      </c>
      <c r="G5243" s="758">
        <f t="shared" si="324"/>
        <v>0.05</v>
      </c>
      <c r="H5243" s="759">
        <f t="shared" si="325"/>
        <v>0.22</v>
      </c>
      <c r="I5243" s="758">
        <f t="shared" si="326"/>
        <v>1.55</v>
      </c>
      <c r="J5243" s="760">
        <f t="shared" si="327"/>
        <v>0.96875</v>
      </c>
    </row>
    <row r="5244" spans="1:10">
      <c r="A5244" s="74" t="s">
        <v>1011</v>
      </c>
      <c r="B5244" s="74" t="s">
        <v>264</v>
      </c>
      <c r="C5244" s="74" t="s">
        <v>1515</v>
      </c>
      <c r="D5244" s="74" t="s">
        <v>81</v>
      </c>
      <c r="E5244" s="74">
        <v>5</v>
      </c>
      <c r="F5244" s="74">
        <v>9</v>
      </c>
      <c r="G5244" s="758">
        <f t="shared" si="324"/>
        <v>0.05</v>
      </c>
      <c r="H5244" s="759">
        <f t="shared" si="325"/>
        <v>0.22</v>
      </c>
      <c r="I5244" s="758">
        <f t="shared" si="326"/>
        <v>1.75</v>
      </c>
      <c r="J5244" s="760">
        <f t="shared" si="327"/>
        <v>0.97222222222222221</v>
      </c>
    </row>
    <row r="5245" spans="1:10">
      <c r="A5245" s="74" t="s">
        <v>1011</v>
      </c>
      <c r="B5245" s="74" t="s">
        <v>264</v>
      </c>
      <c r="C5245" s="74" t="s">
        <v>1516</v>
      </c>
      <c r="D5245" s="74" t="s">
        <v>82</v>
      </c>
      <c r="E5245" s="74">
        <v>2</v>
      </c>
      <c r="F5245" s="74">
        <v>5.2</v>
      </c>
      <c r="G5245" s="758">
        <f t="shared" si="324"/>
        <v>0.05</v>
      </c>
      <c r="H5245" s="759">
        <f t="shared" si="325"/>
        <v>0.22</v>
      </c>
      <c r="I5245" s="758">
        <f t="shared" si="326"/>
        <v>2.5500000000000003</v>
      </c>
      <c r="J5245" s="760">
        <f t="shared" si="327"/>
        <v>0.98076923076923073</v>
      </c>
    </row>
    <row r="5246" spans="1:10">
      <c r="A5246" s="74" t="s">
        <v>1011</v>
      </c>
      <c r="B5246" s="74" t="s">
        <v>264</v>
      </c>
      <c r="C5246" s="74" t="s">
        <v>1517</v>
      </c>
      <c r="D5246" s="74" t="s">
        <v>82</v>
      </c>
      <c r="E5246" s="74">
        <v>7</v>
      </c>
      <c r="F5246" s="74">
        <v>11.65</v>
      </c>
      <c r="G5246" s="758">
        <f t="shared" si="324"/>
        <v>0.05</v>
      </c>
      <c r="H5246" s="759">
        <f t="shared" si="325"/>
        <v>0.22</v>
      </c>
      <c r="I5246" s="758">
        <f t="shared" si="326"/>
        <v>1.6142857142857143</v>
      </c>
      <c r="J5246" s="760">
        <f t="shared" si="327"/>
        <v>0.96995708154506433</v>
      </c>
    </row>
    <row r="5247" spans="1:10">
      <c r="A5247" s="74" t="s">
        <v>1011</v>
      </c>
      <c r="B5247" s="74" t="s">
        <v>264</v>
      </c>
      <c r="C5247" s="74" t="s">
        <v>1527</v>
      </c>
      <c r="D5247" s="74" t="s">
        <v>82</v>
      </c>
      <c r="E5247" s="74">
        <v>13</v>
      </c>
      <c r="F5247" s="74">
        <v>21.1</v>
      </c>
      <c r="G5247" s="758">
        <f t="shared" si="324"/>
        <v>0.05</v>
      </c>
      <c r="H5247" s="759">
        <f t="shared" si="325"/>
        <v>0.22</v>
      </c>
      <c r="I5247" s="758">
        <f t="shared" si="326"/>
        <v>1.573076923076923</v>
      </c>
      <c r="J5247" s="760">
        <f t="shared" si="327"/>
        <v>0.96919431279620849</v>
      </c>
    </row>
    <row r="5248" spans="1:10">
      <c r="A5248" s="74" t="s">
        <v>1011</v>
      </c>
      <c r="B5248" s="74" t="s">
        <v>264</v>
      </c>
      <c r="C5248" s="74" t="s">
        <v>1518</v>
      </c>
      <c r="D5248" s="74" t="s">
        <v>82</v>
      </c>
      <c r="E5248" s="74">
        <v>9</v>
      </c>
      <c r="F5248" s="74">
        <v>15.15</v>
      </c>
      <c r="G5248" s="758">
        <f t="shared" si="324"/>
        <v>0.05</v>
      </c>
      <c r="H5248" s="759">
        <f t="shared" si="325"/>
        <v>0.22</v>
      </c>
      <c r="I5248" s="758">
        <f t="shared" si="326"/>
        <v>1.6333333333333333</v>
      </c>
      <c r="J5248" s="760">
        <f t="shared" si="327"/>
        <v>0.97029702970297027</v>
      </c>
    </row>
    <row r="5249" spans="1:10">
      <c r="A5249" s="74" t="s">
        <v>1011</v>
      </c>
      <c r="B5249" s="74" t="s">
        <v>264</v>
      </c>
      <c r="C5249" s="74" t="s">
        <v>1519</v>
      </c>
      <c r="D5249" s="74" t="s">
        <v>84</v>
      </c>
      <c r="E5249" s="74">
        <v>1</v>
      </c>
      <c r="F5249" s="74">
        <v>1.75</v>
      </c>
      <c r="G5249" s="758">
        <f t="shared" si="324"/>
        <v>0.05</v>
      </c>
      <c r="H5249" s="759">
        <f t="shared" si="325"/>
        <v>0.22</v>
      </c>
      <c r="I5249" s="758">
        <f t="shared" si="326"/>
        <v>1.7</v>
      </c>
      <c r="J5249" s="760">
        <f t="shared" si="327"/>
        <v>0.97142857142857142</v>
      </c>
    </row>
    <row r="5250" spans="1:10">
      <c r="A5250" s="74" t="s">
        <v>1011</v>
      </c>
      <c r="B5250" s="74" t="s">
        <v>264</v>
      </c>
      <c r="C5250" s="74" t="s">
        <v>1646</v>
      </c>
      <c r="D5250" s="74" t="s">
        <v>86</v>
      </c>
      <c r="E5250" s="74">
        <v>2</v>
      </c>
      <c r="F5250" s="74">
        <v>3.5</v>
      </c>
      <c r="G5250" s="758">
        <f t="shared" ref="G5250:G5313" si="328">IFERROR(VLOOKUP(A5250,$M$1:$P$1014,2,FALSE),0)</f>
        <v>0.05</v>
      </c>
      <c r="H5250" s="759">
        <f t="shared" ref="H5250:H5313" si="329">IFERROR(VLOOKUP(A5250,$M$1:$P$1014,3,FALSE),0)</f>
        <v>0.22</v>
      </c>
      <c r="I5250" s="758">
        <f t="shared" ref="I5250:I5313" si="330">IFERROR(F5250/E5250-G5250,0)</f>
        <v>1.7</v>
      </c>
      <c r="J5250" s="760">
        <f t="shared" ref="J5250:J5313" si="331">IFERROR(1-G5250*E5250/F5250,0)</f>
        <v>0.97142857142857142</v>
      </c>
    </row>
    <row r="5251" spans="1:10">
      <c r="A5251" s="74" t="s">
        <v>1011</v>
      </c>
      <c r="B5251" s="74" t="s">
        <v>264</v>
      </c>
      <c r="C5251" s="74" t="s">
        <v>1541</v>
      </c>
      <c r="D5251" s="74" t="s">
        <v>86</v>
      </c>
      <c r="E5251" s="74">
        <v>3</v>
      </c>
      <c r="F5251" s="74">
        <v>5.0999999999999996</v>
      </c>
      <c r="G5251" s="758">
        <f t="shared" si="328"/>
        <v>0.05</v>
      </c>
      <c r="H5251" s="759">
        <f t="shared" si="329"/>
        <v>0.22</v>
      </c>
      <c r="I5251" s="758">
        <f t="shared" si="330"/>
        <v>1.65</v>
      </c>
      <c r="J5251" s="760">
        <f t="shared" si="331"/>
        <v>0.97058823529411764</v>
      </c>
    </row>
    <row r="5252" spans="1:10">
      <c r="A5252" s="74" t="s">
        <v>1011</v>
      </c>
      <c r="B5252" s="74" t="s">
        <v>264</v>
      </c>
      <c r="C5252" s="74" t="s">
        <v>1582</v>
      </c>
      <c r="D5252" s="74" t="s">
        <v>89</v>
      </c>
      <c r="E5252" s="74">
        <v>1</v>
      </c>
      <c r="F5252" s="74">
        <v>1.6</v>
      </c>
      <c r="G5252" s="758">
        <f t="shared" si="328"/>
        <v>0.05</v>
      </c>
      <c r="H5252" s="759">
        <f t="shared" si="329"/>
        <v>0.22</v>
      </c>
      <c r="I5252" s="758">
        <f t="shared" si="330"/>
        <v>1.55</v>
      </c>
      <c r="J5252" s="760">
        <f t="shared" si="331"/>
        <v>0.96875</v>
      </c>
    </row>
    <row r="5253" spans="1:10">
      <c r="A5253" s="74" t="s">
        <v>1011</v>
      </c>
      <c r="B5253" s="74" t="s">
        <v>264</v>
      </c>
      <c r="C5253" s="74" t="s">
        <v>1524</v>
      </c>
      <c r="D5253" s="74" t="s">
        <v>91</v>
      </c>
      <c r="E5253" s="74">
        <v>2</v>
      </c>
      <c r="F5253" s="74">
        <v>3.35</v>
      </c>
      <c r="G5253" s="758">
        <f t="shared" si="328"/>
        <v>0.05</v>
      </c>
      <c r="H5253" s="759">
        <f t="shared" si="329"/>
        <v>0.22</v>
      </c>
      <c r="I5253" s="758">
        <f t="shared" si="330"/>
        <v>1.625</v>
      </c>
      <c r="J5253" s="760">
        <f t="shared" si="331"/>
        <v>0.97014925373134331</v>
      </c>
    </row>
    <row r="5254" spans="1:10">
      <c r="A5254" s="74" t="s">
        <v>1011</v>
      </c>
      <c r="B5254" s="74" t="s">
        <v>264</v>
      </c>
      <c r="C5254" s="74" t="s">
        <v>1614</v>
      </c>
      <c r="D5254" s="74" t="s">
        <v>92</v>
      </c>
      <c r="E5254" s="74">
        <v>1</v>
      </c>
      <c r="F5254" s="74">
        <v>1.6</v>
      </c>
      <c r="G5254" s="758">
        <f t="shared" si="328"/>
        <v>0.05</v>
      </c>
      <c r="H5254" s="759">
        <f t="shared" si="329"/>
        <v>0.22</v>
      </c>
      <c r="I5254" s="758">
        <f t="shared" si="330"/>
        <v>1.55</v>
      </c>
      <c r="J5254" s="760">
        <f t="shared" si="331"/>
        <v>0.96875</v>
      </c>
    </row>
    <row r="5255" spans="1:10">
      <c r="A5255" s="74" t="s">
        <v>1011</v>
      </c>
      <c r="B5255" s="74" t="s">
        <v>264</v>
      </c>
      <c r="C5255" s="74" t="s">
        <v>1553</v>
      </c>
      <c r="D5255" s="74" t="s">
        <v>94</v>
      </c>
      <c r="E5255" s="74">
        <v>2</v>
      </c>
      <c r="F5255" s="74">
        <v>3.35</v>
      </c>
      <c r="G5255" s="758">
        <f t="shared" si="328"/>
        <v>0.05</v>
      </c>
      <c r="H5255" s="759">
        <f t="shared" si="329"/>
        <v>0.22</v>
      </c>
      <c r="I5255" s="758">
        <f t="shared" si="330"/>
        <v>1.625</v>
      </c>
      <c r="J5255" s="760">
        <f t="shared" si="331"/>
        <v>0.97014925373134331</v>
      </c>
    </row>
    <row r="5256" spans="1:10">
      <c r="A5256" s="74" t="s">
        <v>752</v>
      </c>
      <c r="B5256" s="74" t="s">
        <v>264</v>
      </c>
      <c r="C5256" s="74" t="s">
        <v>1508</v>
      </c>
      <c r="D5256" s="74" t="s">
        <v>78</v>
      </c>
      <c r="E5256" s="74">
        <v>3</v>
      </c>
      <c r="F5256" s="74">
        <v>4.6399999999999997</v>
      </c>
      <c r="G5256" s="758">
        <f t="shared" si="328"/>
        <v>0</v>
      </c>
      <c r="H5256" s="759">
        <f t="shared" si="329"/>
        <v>0</v>
      </c>
      <c r="I5256" s="758">
        <f t="shared" si="330"/>
        <v>1.5466666666666666</v>
      </c>
      <c r="J5256" s="760">
        <f t="shared" si="331"/>
        <v>1</v>
      </c>
    </row>
    <row r="5257" spans="1:10">
      <c r="A5257" s="74" t="s">
        <v>752</v>
      </c>
      <c r="B5257" s="74" t="s">
        <v>264</v>
      </c>
      <c r="C5257" s="74" t="s">
        <v>1509</v>
      </c>
      <c r="D5257" s="74" t="s">
        <v>78</v>
      </c>
      <c r="E5257" s="74">
        <v>3</v>
      </c>
      <c r="F5257" s="74">
        <v>4.3600000000000003</v>
      </c>
      <c r="G5257" s="758">
        <f t="shared" si="328"/>
        <v>0</v>
      </c>
      <c r="H5257" s="759">
        <f t="shared" si="329"/>
        <v>0</v>
      </c>
      <c r="I5257" s="758">
        <f t="shared" si="330"/>
        <v>1.4533333333333334</v>
      </c>
      <c r="J5257" s="760">
        <f t="shared" si="331"/>
        <v>1</v>
      </c>
    </row>
    <row r="5258" spans="1:10">
      <c r="A5258" s="74" t="s">
        <v>752</v>
      </c>
      <c r="B5258" s="74" t="s">
        <v>264</v>
      </c>
      <c r="C5258" s="74" t="s">
        <v>1565</v>
      </c>
      <c r="D5258" s="74" t="s">
        <v>78</v>
      </c>
      <c r="E5258" s="74">
        <v>4</v>
      </c>
      <c r="F5258" s="74">
        <v>5.95</v>
      </c>
      <c r="G5258" s="758">
        <f t="shared" si="328"/>
        <v>0</v>
      </c>
      <c r="H5258" s="759">
        <f t="shared" si="329"/>
        <v>0</v>
      </c>
      <c r="I5258" s="758">
        <f t="shared" si="330"/>
        <v>1.4875</v>
      </c>
      <c r="J5258" s="760">
        <f t="shared" si="331"/>
        <v>1</v>
      </c>
    </row>
    <row r="5259" spans="1:10">
      <c r="A5259" s="74" t="s">
        <v>752</v>
      </c>
      <c r="B5259" s="74" t="s">
        <v>264</v>
      </c>
      <c r="C5259" s="74" t="s">
        <v>1530</v>
      </c>
      <c r="D5259" s="74" t="s">
        <v>80</v>
      </c>
      <c r="E5259" s="74">
        <v>5</v>
      </c>
      <c r="F5259" s="74">
        <v>7.41</v>
      </c>
      <c r="G5259" s="758">
        <f t="shared" si="328"/>
        <v>0</v>
      </c>
      <c r="H5259" s="759">
        <f t="shared" si="329"/>
        <v>0</v>
      </c>
      <c r="I5259" s="758">
        <f t="shared" si="330"/>
        <v>1.482</v>
      </c>
      <c r="J5259" s="760">
        <f t="shared" si="331"/>
        <v>1</v>
      </c>
    </row>
    <row r="5260" spans="1:10">
      <c r="A5260" s="74" t="s">
        <v>752</v>
      </c>
      <c r="B5260" s="74" t="s">
        <v>264</v>
      </c>
      <c r="C5260" s="74" t="s">
        <v>1532</v>
      </c>
      <c r="D5260" s="74" t="s">
        <v>80</v>
      </c>
      <c r="E5260" s="74">
        <v>5</v>
      </c>
      <c r="F5260" s="74">
        <v>7.41</v>
      </c>
      <c r="G5260" s="758">
        <f t="shared" si="328"/>
        <v>0</v>
      </c>
      <c r="H5260" s="759">
        <f t="shared" si="329"/>
        <v>0</v>
      </c>
      <c r="I5260" s="758">
        <f t="shared" si="330"/>
        <v>1.482</v>
      </c>
      <c r="J5260" s="760">
        <f t="shared" si="331"/>
        <v>1</v>
      </c>
    </row>
    <row r="5261" spans="1:10">
      <c r="A5261" s="74" t="s">
        <v>752</v>
      </c>
      <c r="B5261" s="74" t="s">
        <v>264</v>
      </c>
      <c r="C5261" s="74" t="s">
        <v>1511</v>
      </c>
      <c r="D5261" s="74" t="s">
        <v>80</v>
      </c>
      <c r="E5261" s="74">
        <v>4</v>
      </c>
      <c r="F5261" s="74">
        <v>6.36</v>
      </c>
      <c r="G5261" s="758">
        <f t="shared" si="328"/>
        <v>0</v>
      </c>
      <c r="H5261" s="759">
        <f t="shared" si="329"/>
        <v>0</v>
      </c>
      <c r="I5261" s="758">
        <f t="shared" si="330"/>
        <v>1.59</v>
      </c>
      <c r="J5261" s="760">
        <f t="shared" si="331"/>
        <v>1</v>
      </c>
    </row>
    <row r="5262" spans="1:10">
      <c r="A5262" s="74" t="s">
        <v>752</v>
      </c>
      <c r="B5262" s="74" t="s">
        <v>264</v>
      </c>
      <c r="C5262" s="74" t="s">
        <v>1512</v>
      </c>
      <c r="D5262" s="74" t="s">
        <v>80</v>
      </c>
      <c r="E5262" s="74">
        <v>2</v>
      </c>
      <c r="F5262" s="74">
        <v>2.91</v>
      </c>
      <c r="G5262" s="758">
        <f t="shared" si="328"/>
        <v>0</v>
      </c>
      <c r="H5262" s="759">
        <f t="shared" si="329"/>
        <v>0</v>
      </c>
      <c r="I5262" s="758">
        <f t="shared" si="330"/>
        <v>1.4550000000000001</v>
      </c>
      <c r="J5262" s="760">
        <f t="shared" si="331"/>
        <v>1</v>
      </c>
    </row>
    <row r="5263" spans="1:10">
      <c r="A5263" s="74" t="s">
        <v>752</v>
      </c>
      <c r="B5263" s="74" t="s">
        <v>264</v>
      </c>
      <c r="C5263" s="74" t="s">
        <v>1513</v>
      </c>
      <c r="D5263" s="74" t="s">
        <v>81</v>
      </c>
      <c r="E5263" s="74">
        <v>14</v>
      </c>
      <c r="F5263" s="74">
        <v>21.45</v>
      </c>
      <c r="G5263" s="758">
        <f t="shared" si="328"/>
        <v>0</v>
      </c>
      <c r="H5263" s="759">
        <f t="shared" si="329"/>
        <v>0</v>
      </c>
      <c r="I5263" s="758">
        <f t="shared" si="330"/>
        <v>1.532142857142857</v>
      </c>
      <c r="J5263" s="760">
        <f t="shared" si="331"/>
        <v>1</v>
      </c>
    </row>
    <row r="5264" spans="1:10">
      <c r="A5264" s="74" t="s">
        <v>752</v>
      </c>
      <c r="B5264" s="74" t="s">
        <v>264</v>
      </c>
      <c r="C5264" s="74" t="s">
        <v>1514</v>
      </c>
      <c r="D5264" s="74" t="s">
        <v>81</v>
      </c>
      <c r="E5264" s="74">
        <v>2</v>
      </c>
      <c r="F5264" s="74">
        <v>2.91</v>
      </c>
      <c r="G5264" s="758">
        <f t="shared" si="328"/>
        <v>0</v>
      </c>
      <c r="H5264" s="759">
        <f t="shared" si="329"/>
        <v>0</v>
      </c>
      <c r="I5264" s="758">
        <f t="shared" si="330"/>
        <v>1.4550000000000001</v>
      </c>
      <c r="J5264" s="760">
        <f t="shared" si="331"/>
        <v>1</v>
      </c>
    </row>
    <row r="5265" spans="1:10">
      <c r="A5265" s="74" t="s">
        <v>752</v>
      </c>
      <c r="B5265" s="74" t="s">
        <v>264</v>
      </c>
      <c r="C5265" s="74" t="s">
        <v>1515</v>
      </c>
      <c r="D5265" s="74" t="s">
        <v>81</v>
      </c>
      <c r="E5265" s="74">
        <v>4</v>
      </c>
      <c r="F5265" s="74">
        <v>5.95</v>
      </c>
      <c r="G5265" s="758">
        <f t="shared" si="328"/>
        <v>0</v>
      </c>
      <c r="H5265" s="759">
        <f t="shared" si="329"/>
        <v>0</v>
      </c>
      <c r="I5265" s="758">
        <f t="shared" si="330"/>
        <v>1.4875</v>
      </c>
      <c r="J5265" s="760">
        <f t="shared" si="331"/>
        <v>1</v>
      </c>
    </row>
    <row r="5266" spans="1:10">
      <c r="A5266" s="74" t="s">
        <v>2098</v>
      </c>
      <c r="B5266" s="74" t="s">
        <v>258</v>
      </c>
      <c r="C5266" s="74" t="s">
        <v>1520</v>
      </c>
      <c r="D5266" s="74" t="s">
        <v>84</v>
      </c>
      <c r="E5266" s="74">
        <v>1</v>
      </c>
      <c r="F5266" s="74">
        <v>0</v>
      </c>
      <c r="G5266" s="758">
        <f t="shared" si="328"/>
        <v>0</v>
      </c>
      <c r="H5266" s="759">
        <f t="shared" si="329"/>
        <v>0</v>
      </c>
      <c r="I5266" s="758">
        <f t="shared" si="330"/>
        <v>0</v>
      </c>
      <c r="J5266" s="760">
        <f t="shared" si="331"/>
        <v>0</v>
      </c>
    </row>
    <row r="5267" spans="1:10">
      <c r="A5267" s="74" t="s">
        <v>2099</v>
      </c>
      <c r="B5267" s="74" t="s">
        <v>275</v>
      </c>
      <c r="C5267" s="74" t="s">
        <v>1646</v>
      </c>
      <c r="D5267" s="74" t="s">
        <v>86</v>
      </c>
      <c r="E5267" s="74">
        <v>2</v>
      </c>
      <c r="F5267" s="74">
        <v>11.25</v>
      </c>
      <c r="G5267" s="758">
        <f t="shared" si="328"/>
        <v>0</v>
      </c>
      <c r="H5267" s="759">
        <f t="shared" si="329"/>
        <v>0</v>
      </c>
      <c r="I5267" s="758">
        <f t="shared" si="330"/>
        <v>5.625</v>
      </c>
      <c r="J5267" s="760">
        <f t="shared" si="331"/>
        <v>1</v>
      </c>
    </row>
    <row r="5268" spans="1:10">
      <c r="A5268" s="74" t="s">
        <v>2100</v>
      </c>
      <c r="B5268" s="74" t="s">
        <v>275</v>
      </c>
      <c r="C5268" s="74" t="s">
        <v>1646</v>
      </c>
      <c r="D5268" s="74" t="s">
        <v>86</v>
      </c>
      <c r="E5268" s="74">
        <v>1</v>
      </c>
      <c r="F5268" s="74">
        <v>5.95</v>
      </c>
      <c r="G5268" s="758">
        <f t="shared" si="328"/>
        <v>0</v>
      </c>
      <c r="H5268" s="759">
        <f t="shared" si="329"/>
        <v>0</v>
      </c>
      <c r="I5268" s="758">
        <f t="shared" si="330"/>
        <v>5.95</v>
      </c>
      <c r="J5268" s="760">
        <f t="shared" si="331"/>
        <v>1</v>
      </c>
    </row>
    <row r="5269" spans="1:10">
      <c r="A5269" s="74" t="s">
        <v>2101</v>
      </c>
      <c r="B5269" s="74" t="s">
        <v>264</v>
      </c>
      <c r="C5269" s="74" t="s">
        <v>1557</v>
      </c>
      <c r="D5269" s="74" t="s">
        <v>95</v>
      </c>
      <c r="E5269" s="74">
        <v>1</v>
      </c>
      <c r="F5269" s="74">
        <v>0.75</v>
      </c>
      <c r="G5269" s="758">
        <f t="shared" si="328"/>
        <v>0</v>
      </c>
      <c r="H5269" s="759">
        <f t="shared" si="329"/>
        <v>0</v>
      </c>
      <c r="I5269" s="758">
        <f t="shared" si="330"/>
        <v>0.75</v>
      </c>
      <c r="J5269" s="760">
        <f t="shared" si="331"/>
        <v>1</v>
      </c>
    </row>
    <row r="5270" spans="1:10">
      <c r="A5270" s="74" t="s">
        <v>2102</v>
      </c>
      <c r="B5270" s="74" t="s">
        <v>258</v>
      </c>
      <c r="C5270" s="74" t="s">
        <v>1546</v>
      </c>
      <c r="D5270" s="74" t="s">
        <v>89</v>
      </c>
      <c r="E5270" s="74">
        <v>1</v>
      </c>
      <c r="F5270" s="74">
        <v>0</v>
      </c>
      <c r="G5270" s="758">
        <f t="shared" si="328"/>
        <v>0</v>
      </c>
      <c r="H5270" s="759">
        <f t="shared" si="329"/>
        <v>0</v>
      </c>
      <c r="I5270" s="758">
        <f t="shared" si="330"/>
        <v>0</v>
      </c>
      <c r="J5270" s="760">
        <f t="shared" si="331"/>
        <v>0</v>
      </c>
    </row>
    <row r="5271" spans="1:10">
      <c r="A5271" s="74" t="s">
        <v>2311</v>
      </c>
      <c r="B5271" s="74" t="s">
        <v>258</v>
      </c>
      <c r="C5271" s="74" t="s">
        <v>1578</v>
      </c>
      <c r="D5271" s="74" t="s">
        <v>86</v>
      </c>
      <c r="E5271" s="74">
        <v>1</v>
      </c>
      <c r="F5271" s="74">
        <v>0</v>
      </c>
      <c r="G5271" s="758">
        <f t="shared" si="328"/>
        <v>0.09</v>
      </c>
      <c r="H5271" s="759">
        <f t="shared" si="329"/>
        <v>0.28999999999999998</v>
      </c>
      <c r="I5271" s="758">
        <f t="shared" si="330"/>
        <v>-0.09</v>
      </c>
      <c r="J5271" s="760">
        <f t="shared" si="331"/>
        <v>0</v>
      </c>
    </row>
    <row r="5272" spans="1:10">
      <c r="A5272" s="74" t="s">
        <v>2103</v>
      </c>
      <c r="B5272" s="74" t="s">
        <v>258</v>
      </c>
      <c r="C5272" s="74" t="s">
        <v>1513</v>
      </c>
      <c r="D5272" s="74" t="s">
        <v>81</v>
      </c>
      <c r="E5272" s="74">
        <v>2</v>
      </c>
      <c r="F5272" s="74">
        <v>0</v>
      </c>
      <c r="G5272" s="758">
        <f t="shared" si="328"/>
        <v>0.3</v>
      </c>
      <c r="H5272" s="759">
        <f t="shared" si="329"/>
        <v>0</v>
      </c>
      <c r="I5272" s="758">
        <f t="shared" si="330"/>
        <v>-0.3</v>
      </c>
      <c r="J5272" s="760">
        <f t="shared" si="331"/>
        <v>0</v>
      </c>
    </row>
    <row r="5273" spans="1:10">
      <c r="A5273" s="74" t="s">
        <v>2103</v>
      </c>
      <c r="B5273" s="74" t="s">
        <v>258</v>
      </c>
      <c r="C5273" s="74" t="s">
        <v>1608</v>
      </c>
      <c r="D5273" s="74" t="s">
        <v>89</v>
      </c>
      <c r="E5273" s="74">
        <v>1</v>
      </c>
      <c r="F5273" s="74">
        <v>0</v>
      </c>
      <c r="G5273" s="758">
        <f t="shared" si="328"/>
        <v>0.3</v>
      </c>
      <c r="H5273" s="759">
        <f t="shared" si="329"/>
        <v>0</v>
      </c>
      <c r="I5273" s="758">
        <f t="shared" si="330"/>
        <v>-0.3</v>
      </c>
      <c r="J5273" s="760">
        <f t="shared" si="331"/>
        <v>0</v>
      </c>
    </row>
    <row r="5274" spans="1:10">
      <c r="A5274" s="74" t="s">
        <v>2103</v>
      </c>
      <c r="B5274" s="74" t="s">
        <v>258</v>
      </c>
      <c r="C5274" s="74" t="s">
        <v>1675</v>
      </c>
      <c r="D5274" s="74" t="s">
        <v>91</v>
      </c>
      <c r="E5274" s="74">
        <v>1</v>
      </c>
      <c r="F5274" s="74">
        <v>0</v>
      </c>
      <c r="G5274" s="758">
        <f t="shared" si="328"/>
        <v>0.3</v>
      </c>
      <c r="H5274" s="759">
        <f t="shared" si="329"/>
        <v>0</v>
      </c>
      <c r="I5274" s="758">
        <f t="shared" si="330"/>
        <v>-0.3</v>
      </c>
      <c r="J5274" s="760">
        <f t="shared" si="331"/>
        <v>0</v>
      </c>
    </row>
    <row r="5275" spans="1:10">
      <c r="A5275" s="74" t="s">
        <v>2103</v>
      </c>
      <c r="B5275" s="74" t="s">
        <v>258</v>
      </c>
      <c r="C5275" s="74" t="s">
        <v>1631</v>
      </c>
      <c r="D5275" s="74" t="s">
        <v>92</v>
      </c>
      <c r="E5275" s="74">
        <v>1</v>
      </c>
      <c r="F5275" s="74">
        <v>0</v>
      </c>
      <c r="G5275" s="758">
        <f t="shared" si="328"/>
        <v>0.3</v>
      </c>
      <c r="H5275" s="759">
        <f t="shared" si="329"/>
        <v>0</v>
      </c>
      <c r="I5275" s="758">
        <f t="shared" si="330"/>
        <v>-0.3</v>
      </c>
      <c r="J5275" s="760">
        <f t="shared" si="331"/>
        <v>0</v>
      </c>
    </row>
    <row r="5276" spans="1:10">
      <c r="A5276" s="74" t="s">
        <v>2103</v>
      </c>
      <c r="B5276" s="74" t="s">
        <v>258</v>
      </c>
      <c r="C5276" s="74" t="s">
        <v>1557</v>
      </c>
      <c r="D5276" s="74" t="s">
        <v>95</v>
      </c>
      <c r="E5276" s="74">
        <v>2</v>
      </c>
      <c r="F5276" s="74">
        <v>0</v>
      </c>
      <c r="G5276" s="758">
        <f t="shared" si="328"/>
        <v>0.3</v>
      </c>
      <c r="H5276" s="759">
        <f t="shared" si="329"/>
        <v>0</v>
      </c>
      <c r="I5276" s="758">
        <f t="shared" si="330"/>
        <v>-0.3</v>
      </c>
      <c r="J5276" s="760">
        <f t="shared" si="331"/>
        <v>0</v>
      </c>
    </row>
    <row r="5277" spans="1:10">
      <c r="A5277" s="74" t="s">
        <v>2104</v>
      </c>
      <c r="B5277" s="74" t="s">
        <v>258</v>
      </c>
      <c r="C5277" s="74" t="s">
        <v>1512</v>
      </c>
      <c r="D5277" s="74" t="s">
        <v>80</v>
      </c>
      <c r="E5277" s="74">
        <v>4</v>
      </c>
      <c r="F5277" s="74">
        <v>0</v>
      </c>
      <c r="G5277" s="758">
        <f t="shared" si="328"/>
        <v>0.62</v>
      </c>
      <c r="H5277" s="759">
        <f t="shared" si="329"/>
        <v>0.27</v>
      </c>
      <c r="I5277" s="758">
        <f t="shared" si="330"/>
        <v>-0.62</v>
      </c>
      <c r="J5277" s="760">
        <f t="shared" si="331"/>
        <v>0</v>
      </c>
    </row>
    <row r="5278" spans="1:10">
      <c r="A5278" s="74" t="s">
        <v>2104</v>
      </c>
      <c r="B5278" s="74" t="s">
        <v>258</v>
      </c>
      <c r="C5278" s="74" t="s">
        <v>1515</v>
      </c>
      <c r="D5278" s="74" t="s">
        <v>81</v>
      </c>
      <c r="E5278" s="74">
        <v>2</v>
      </c>
      <c r="F5278" s="74">
        <v>0</v>
      </c>
      <c r="G5278" s="758">
        <f t="shared" si="328"/>
        <v>0.62</v>
      </c>
      <c r="H5278" s="759">
        <f t="shared" si="329"/>
        <v>0.27</v>
      </c>
      <c r="I5278" s="758">
        <f t="shared" si="330"/>
        <v>-0.62</v>
      </c>
      <c r="J5278" s="760">
        <f t="shared" si="331"/>
        <v>0</v>
      </c>
    </row>
    <row r="5279" spans="1:10">
      <c r="A5279" s="74" t="s">
        <v>2104</v>
      </c>
      <c r="B5279" s="74" t="s">
        <v>258</v>
      </c>
      <c r="C5279" s="74" t="s">
        <v>1518</v>
      </c>
      <c r="D5279" s="74" t="s">
        <v>82</v>
      </c>
      <c r="E5279" s="74">
        <v>2</v>
      </c>
      <c r="F5279" s="74">
        <v>4.25</v>
      </c>
      <c r="G5279" s="758">
        <f t="shared" si="328"/>
        <v>0.62</v>
      </c>
      <c r="H5279" s="759">
        <f t="shared" si="329"/>
        <v>0.27</v>
      </c>
      <c r="I5279" s="758">
        <f t="shared" si="330"/>
        <v>1.5049999999999999</v>
      </c>
      <c r="J5279" s="760">
        <f t="shared" si="331"/>
        <v>0.70823529411764707</v>
      </c>
    </row>
    <row r="5280" spans="1:10">
      <c r="A5280" s="74" t="s">
        <v>2104</v>
      </c>
      <c r="B5280" s="74" t="s">
        <v>258</v>
      </c>
      <c r="C5280" s="74" t="s">
        <v>1582</v>
      </c>
      <c r="D5280" s="74" t="s">
        <v>89</v>
      </c>
      <c r="E5280" s="74">
        <v>1</v>
      </c>
      <c r="F5280" s="74">
        <v>6.5</v>
      </c>
      <c r="G5280" s="758">
        <f t="shared" si="328"/>
        <v>0.62</v>
      </c>
      <c r="H5280" s="759">
        <f t="shared" si="329"/>
        <v>0.27</v>
      </c>
      <c r="I5280" s="758">
        <f t="shared" si="330"/>
        <v>5.88</v>
      </c>
      <c r="J5280" s="760">
        <f t="shared" si="331"/>
        <v>0.9046153846153846</v>
      </c>
    </row>
    <row r="5281" spans="1:10">
      <c r="A5281" s="74" t="s">
        <v>2104</v>
      </c>
      <c r="B5281" s="74" t="s">
        <v>258</v>
      </c>
      <c r="C5281" s="74" t="s">
        <v>1552</v>
      </c>
      <c r="D5281" s="74" t="s">
        <v>92</v>
      </c>
      <c r="E5281" s="74">
        <v>1</v>
      </c>
      <c r="F5281" s="74">
        <v>0.75</v>
      </c>
      <c r="G5281" s="758">
        <f t="shared" si="328"/>
        <v>0.62</v>
      </c>
      <c r="H5281" s="759">
        <f t="shared" si="329"/>
        <v>0.27</v>
      </c>
      <c r="I5281" s="758">
        <f t="shared" si="330"/>
        <v>0.13</v>
      </c>
      <c r="J5281" s="760">
        <f t="shared" si="331"/>
        <v>0.17333333333333334</v>
      </c>
    </row>
    <row r="5282" spans="1:10">
      <c r="A5282" s="74" t="s">
        <v>2104</v>
      </c>
      <c r="B5282" s="74" t="s">
        <v>258</v>
      </c>
      <c r="C5282" s="74" t="s">
        <v>1930</v>
      </c>
      <c r="D5282" s="74" t="s">
        <v>95</v>
      </c>
      <c r="E5282" s="74">
        <v>2</v>
      </c>
      <c r="F5282" s="74">
        <v>0</v>
      </c>
      <c r="G5282" s="758">
        <f t="shared" si="328"/>
        <v>0.62</v>
      </c>
      <c r="H5282" s="759">
        <f t="shared" si="329"/>
        <v>0.27</v>
      </c>
      <c r="I5282" s="758">
        <f t="shared" si="330"/>
        <v>-0.62</v>
      </c>
      <c r="J5282" s="760">
        <f t="shared" si="331"/>
        <v>0</v>
      </c>
    </row>
    <row r="5283" spans="1:10">
      <c r="A5283" s="74" t="s">
        <v>2105</v>
      </c>
      <c r="B5283" s="74" t="s">
        <v>275</v>
      </c>
      <c r="C5283" s="74" t="s">
        <v>1532</v>
      </c>
      <c r="D5283" s="74" t="s">
        <v>80</v>
      </c>
      <c r="E5283" s="74">
        <v>9</v>
      </c>
      <c r="F5283" s="74">
        <v>44.8</v>
      </c>
      <c r="G5283" s="758">
        <f t="shared" si="328"/>
        <v>1.06</v>
      </c>
      <c r="H5283" s="759">
        <f t="shared" si="329"/>
        <v>0.22</v>
      </c>
      <c r="I5283" s="758">
        <f t="shared" si="330"/>
        <v>3.9177777777777778</v>
      </c>
      <c r="J5283" s="760">
        <f t="shared" si="331"/>
        <v>0.78705357142857135</v>
      </c>
    </row>
    <row r="5284" spans="1:10">
      <c r="A5284" s="74" t="s">
        <v>2105</v>
      </c>
      <c r="B5284" s="74" t="s">
        <v>275</v>
      </c>
      <c r="C5284" s="74" t="s">
        <v>1511</v>
      </c>
      <c r="D5284" s="74" t="s">
        <v>80</v>
      </c>
      <c r="E5284" s="74">
        <v>4</v>
      </c>
      <c r="F5284" s="74">
        <v>19.8</v>
      </c>
      <c r="G5284" s="758">
        <f t="shared" si="328"/>
        <v>1.06</v>
      </c>
      <c r="H5284" s="759">
        <f t="shared" si="329"/>
        <v>0.22</v>
      </c>
      <c r="I5284" s="758">
        <f t="shared" si="330"/>
        <v>3.89</v>
      </c>
      <c r="J5284" s="760">
        <f t="shared" si="331"/>
        <v>0.78585858585858581</v>
      </c>
    </row>
    <row r="5285" spans="1:10">
      <c r="A5285" s="74" t="s">
        <v>2105</v>
      </c>
      <c r="B5285" s="74" t="s">
        <v>275</v>
      </c>
      <c r="C5285" s="74" t="s">
        <v>1512</v>
      </c>
      <c r="D5285" s="74" t="s">
        <v>80</v>
      </c>
      <c r="E5285" s="74">
        <v>2</v>
      </c>
      <c r="F5285" s="74">
        <v>9.9</v>
      </c>
      <c r="G5285" s="758">
        <f t="shared" si="328"/>
        <v>1.06</v>
      </c>
      <c r="H5285" s="759">
        <f t="shared" si="329"/>
        <v>0.22</v>
      </c>
      <c r="I5285" s="758">
        <f t="shared" si="330"/>
        <v>3.89</v>
      </c>
      <c r="J5285" s="760">
        <f t="shared" si="331"/>
        <v>0.78585858585858581</v>
      </c>
    </row>
    <row r="5286" spans="1:10">
      <c r="A5286" s="74" t="s">
        <v>2105</v>
      </c>
      <c r="B5286" s="74" t="s">
        <v>275</v>
      </c>
      <c r="C5286" s="74" t="s">
        <v>1534</v>
      </c>
      <c r="D5286" s="74" t="s">
        <v>81</v>
      </c>
      <c r="E5286" s="74">
        <v>13</v>
      </c>
      <c r="F5286" s="74">
        <v>64.349999999999994</v>
      </c>
      <c r="G5286" s="758">
        <f t="shared" si="328"/>
        <v>1.06</v>
      </c>
      <c r="H5286" s="759">
        <f t="shared" si="329"/>
        <v>0.22</v>
      </c>
      <c r="I5286" s="758">
        <f t="shared" si="330"/>
        <v>3.8899999999999992</v>
      </c>
      <c r="J5286" s="760">
        <f t="shared" si="331"/>
        <v>0.78585858585858581</v>
      </c>
    </row>
    <row r="5287" spans="1:10">
      <c r="A5287" s="74" t="s">
        <v>2105</v>
      </c>
      <c r="B5287" s="74" t="s">
        <v>275</v>
      </c>
      <c r="C5287" s="74" t="s">
        <v>1513</v>
      </c>
      <c r="D5287" s="74" t="s">
        <v>81</v>
      </c>
      <c r="E5287" s="74">
        <v>1</v>
      </c>
      <c r="F5287" s="74">
        <v>5.2</v>
      </c>
      <c r="G5287" s="758">
        <f t="shared" si="328"/>
        <v>1.06</v>
      </c>
      <c r="H5287" s="759">
        <f t="shared" si="329"/>
        <v>0.22</v>
      </c>
      <c r="I5287" s="758">
        <f t="shared" si="330"/>
        <v>4.1400000000000006</v>
      </c>
      <c r="J5287" s="760">
        <f t="shared" si="331"/>
        <v>0.79615384615384621</v>
      </c>
    </row>
    <row r="5288" spans="1:10">
      <c r="A5288" s="74" t="s">
        <v>2105</v>
      </c>
      <c r="B5288" s="74" t="s">
        <v>275</v>
      </c>
      <c r="C5288" s="74" t="s">
        <v>1514</v>
      </c>
      <c r="D5288" s="74" t="s">
        <v>81</v>
      </c>
      <c r="E5288" s="74">
        <v>5</v>
      </c>
      <c r="F5288" s="74">
        <v>25.75</v>
      </c>
      <c r="G5288" s="758">
        <f t="shared" si="328"/>
        <v>1.06</v>
      </c>
      <c r="H5288" s="759">
        <f t="shared" si="329"/>
        <v>0.22</v>
      </c>
      <c r="I5288" s="758">
        <f t="shared" si="330"/>
        <v>4.09</v>
      </c>
      <c r="J5288" s="760">
        <f t="shared" si="331"/>
        <v>0.7941747572815534</v>
      </c>
    </row>
    <row r="5289" spans="1:10">
      <c r="A5289" s="74" t="s">
        <v>2105</v>
      </c>
      <c r="B5289" s="74" t="s">
        <v>275</v>
      </c>
      <c r="C5289" s="74" t="s">
        <v>1515</v>
      </c>
      <c r="D5289" s="74" t="s">
        <v>81</v>
      </c>
      <c r="E5289" s="74">
        <v>1</v>
      </c>
      <c r="F5289" s="74">
        <v>5.95</v>
      </c>
      <c r="G5289" s="758">
        <f t="shared" si="328"/>
        <v>1.06</v>
      </c>
      <c r="H5289" s="759">
        <f t="shared" si="329"/>
        <v>0.22</v>
      </c>
      <c r="I5289" s="758">
        <f t="shared" si="330"/>
        <v>4.8900000000000006</v>
      </c>
      <c r="J5289" s="760">
        <f t="shared" si="331"/>
        <v>0.82184873949579829</v>
      </c>
    </row>
    <row r="5290" spans="1:10">
      <c r="A5290" s="74" t="s">
        <v>2105</v>
      </c>
      <c r="B5290" s="74" t="s">
        <v>275</v>
      </c>
      <c r="C5290" s="74" t="s">
        <v>1527</v>
      </c>
      <c r="D5290" s="74" t="s">
        <v>82</v>
      </c>
      <c r="E5290" s="74">
        <v>9</v>
      </c>
      <c r="F5290" s="74">
        <v>48.1</v>
      </c>
      <c r="G5290" s="758">
        <f t="shared" si="328"/>
        <v>1.06</v>
      </c>
      <c r="H5290" s="759">
        <f t="shared" si="329"/>
        <v>0.22</v>
      </c>
      <c r="I5290" s="758">
        <f t="shared" si="330"/>
        <v>4.2844444444444445</v>
      </c>
      <c r="J5290" s="760">
        <f t="shared" si="331"/>
        <v>0.80166320166320171</v>
      </c>
    </row>
    <row r="5291" spans="1:10">
      <c r="A5291" s="74" t="s">
        <v>2105</v>
      </c>
      <c r="B5291" s="74" t="s">
        <v>275</v>
      </c>
      <c r="C5291" s="74" t="s">
        <v>1518</v>
      </c>
      <c r="D5291" s="74" t="s">
        <v>82</v>
      </c>
      <c r="E5291" s="74">
        <v>9</v>
      </c>
      <c r="F5291" s="74">
        <v>54.3</v>
      </c>
      <c r="G5291" s="758">
        <f t="shared" si="328"/>
        <v>1.06</v>
      </c>
      <c r="H5291" s="759">
        <f t="shared" si="329"/>
        <v>0.22</v>
      </c>
      <c r="I5291" s="758">
        <f t="shared" si="330"/>
        <v>4.9733333333333327</v>
      </c>
      <c r="J5291" s="760">
        <f t="shared" si="331"/>
        <v>0.8243093922651934</v>
      </c>
    </row>
    <row r="5292" spans="1:10">
      <c r="A5292" s="74" t="s">
        <v>2106</v>
      </c>
      <c r="B5292" s="74" t="s">
        <v>275</v>
      </c>
      <c r="C5292" s="74" t="s">
        <v>1518</v>
      </c>
      <c r="D5292" s="74" t="s">
        <v>82</v>
      </c>
      <c r="E5292" s="74">
        <v>1</v>
      </c>
      <c r="F5292" s="74">
        <v>0</v>
      </c>
      <c r="G5292" s="758">
        <f t="shared" si="328"/>
        <v>0</v>
      </c>
      <c r="H5292" s="759">
        <f t="shared" si="329"/>
        <v>0</v>
      </c>
      <c r="I5292" s="758">
        <f t="shared" si="330"/>
        <v>0</v>
      </c>
      <c r="J5292" s="760">
        <f t="shared" si="331"/>
        <v>0</v>
      </c>
    </row>
    <row r="5293" spans="1:10">
      <c r="A5293" s="74" t="s">
        <v>2106</v>
      </c>
      <c r="B5293" s="74" t="s">
        <v>275</v>
      </c>
      <c r="C5293" s="74" t="s">
        <v>1519</v>
      </c>
      <c r="D5293" s="74" t="s">
        <v>84</v>
      </c>
      <c r="E5293" s="74">
        <v>1</v>
      </c>
      <c r="F5293" s="74">
        <v>5.75</v>
      </c>
      <c r="G5293" s="758">
        <f t="shared" si="328"/>
        <v>0</v>
      </c>
      <c r="H5293" s="759">
        <f t="shared" si="329"/>
        <v>0</v>
      </c>
      <c r="I5293" s="758">
        <f t="shared" si="330"/>
        <v>5.75</v>
      </c>
      <c r="J5293" s="760">
        <f t="shared" si="331"/>
        <v>1</v>
      </c>
    </row>
    <row r="5294" spans="1:10">
      <c r="A5294" s="74" t="s">
        <v>2107</v>
      </c>
      <c r="B5294" s="74" t="s">
        <v>877</v>
      </c>
      <c r="C5294" s="74" t="s">
        <v>1511</v>
      </c>
      <c r="D5294" s="74" t="s">
        <v>80</v>
      </c>
      <c r="E5294" s="74">
        <v>1</v>
      </c>
      <c r="F5294" s="74">
        <v>0</v>
      </c>
      <c r="G5294" s="758">
        <f t="shared" si="328"/>
        <v>0</v>
      </c>
      <c r="H5294" s="759">
        <f t="shared" si="329"/>
        <v>0.16</v>
      </c>
      <c r="I5294" s="758">
        <f t="shared" si="330"/>
        <v>0</v>
      </c>
      <c r="J5294" s="760">
        <f t="shared" si="331"/>
        <v>0</v>
      </c>
    </row>
    <row r="5295" spans="1:10">
      <c r="A5295" s="74" t="s">
        <v>2108</v>
      </c>
      <c r="B5295" s="74" t="s">
        <v>275</v>
      </c>
      <c r="C5295" s="74" t="s">
        <v>1561</v>
      </c>
      <c r="D5295" s="74" t="s">
        <v>87</v>
      </c>
      <c r="E5295" s="74">
        <v>1</v>
      </c>
      <c r="F5295" s="74">
        <v>3.5</v>
      </c>
      <c r="G5295" s="758">
        <f t="shared" si="328"/>
        <v>0</v>
      </c>
      <c r="H5295" s="759">
        <f t="shared" si="329"/>
        <v>0</v>
      </c>
      <c r="I5295" s="758">
        <f t="shared" si="330"/>
        <v>3.5</v>
      </c>
      <c r="J5295" s="760">
        <f t="shared" si="331"/>
        <v>1</v>
      </c>
    </row>
    <row r="5296" spans="1:10">
      <c r="A5296" s="74" t="s">
        <v>2109</v>
      </c>
      <c r="B5296" s="74" t="s">
        <v>275</v>
      </c>
      <c r="C5296" s="74" t="s">
        <v>1518</v>
      </c>
      <c r="D5296" s="74" t="s">
        <v>82</v>
      </c>
      <c r="E5296" s="74">
        <v>2</v>
      </c>
      <c r="F5296" s="74">
        <v>11.5</v>
      </c>
      <c r="G5296" s="758">
        <f t="shared" si="328"/>
        <v>0</v>
      </c>
      <c r="H5296" s="759">
        <f t="shared" si="329"/>
        <v>0.24</v>
      </c>
      <c r="I5296" s="758">
        <f t="shared" si="330"/>
        <v>5.75</v>
      </c>
      <c r="J5296" s="760">
        <f t="shared" si="331"/>
        <v>1</v>
      </c>
    </row>
    <row r="5297" spans="1:10">
      <c r="A5297" s="74" t="s">
        <v>2110</v>
      </c>
      <c r="B5297" s="74" t="s">
        <v>264</v>
      </c>
      <c r="C5297" s="74" t="s">
        <v>1553</v>
      </c>
      <c r="D5297" s="74" t="s">
        <v>94</v>
      </c>
      <c r="E5297" s="74">
        <v>1</v>
      </c>
      <c r="F5297" s="74">
        <v>0.75</v>
      </c>
      <c r="G5297" s="758">
        <f t="shared" si="328"/>
        <v>0</v>
      </c>
      <c r="H5297" s="759">
        <f t="shared" si="329"/>
        <v>0</v>
      </c>
      <c r="I5297" s="758">
        <f t="shared" si="330"/>
        <v>0.75</v>
      </c>
      <c r="J5297" s="760">
        <f t="shared" si="331"/>
        <v>1</v>
      </c>
    </row>
    <row r="5298" spans="1:10">
      <c r="A5298" s="74" t="s">
        <v>897</v>
      </c>
      <c r="B5298" s="74" t="s">
        <v>275</v>
      </c>
      <c r="C5298" s="74" t="s">
        <v>1528</v>
      </c>
      <c r="D5298" s="74" t="s">
        <v>78</v>
      </c>
      <c r="E5298" s="74">
        <v>26</v>
      </c>
      <c r="F5298" s="74">
        <v>124.5</v>
      </c>
      <c r="G5298" s="758">
        <f t="shared" si="328"/>
        <v>0.67</v>
      </c>
      <c r="H5298" s="759">
        <f t="shared" si="329"/>
        <v>0.19</v>
      </c>
      <c r="I5298" s="758">
        <f t="shared" si="330"/>
        <v>4.1184615384615384</v>
      </c>
      <c r="J5298" s="760">
        <f t="shared" si="331"/>
        <v>0.86008032128514056</v>
      </c>
    </row>
    <row r="5299" spans="1:10">
      <c r="A5299" s="74" t="s">
        <v>897</v>
      </c>
      <c r="B5299" s="74" t="s">
        <v>275</v>
      </c>
      <c r="C5299" s="74" t="s">
        <v>1508</v>
      </c>
      <c r="D5299" s="74" t="s">
        <v>78</v>
      </c>
      <c r="E5299" s="74">
        <v>8</v>
      </c>
      <c r="F5299" s="74">
        <v>19</v>
      </c>
      <c r="G5299" s="758">
        <f t="shared" si="328"/>
        <v>0.67</v>
      </c>
      <c r="H5299" s="759">
        <f t="shared" si="329"/>
        <v>0.19</v>
      </c>
      <c r="I5299" s="758">
        <f t="shared" si="330"/>
        <v>1.7050000000000001</v>
      </c>
      <c r="J5299" s="760">
        <f t="shared" si="331"/>
        <v>0.71789473684210525</v>
      </c>
    </row>
    <row r="5300" spans="1:10">
      <c r="A5300" s="74" t="s">
        <v>897</v>
      </c>
      <c r="B5300" s="74" t="s">
        <v>275</v>
      </c>
      <c r="C5300" s="74" t="s">
        <v>1509</v>
      </c>
      <c r="D5300" s="74" t="s">
        <v>78</v>
      </c>
      <c r="E5300" s="74">
        <v>8</v>
      </c>
      <c r="F5300" s="74">
        <v>38</v>
      </c>
      <c r="G5300" s="758">
        <f t="shared" si="328"/>
        <v>0.67</v>
      </c>
      <c r="H5300" s="759">
        <f t="shared" si="329"/>
        <v>0.19</v>
      </c>
      <c r="I5300" s="758">
        <f t="shared" si="330"/>
        <v>4.08</v>
      </c>
      <c r="J5300" s="760">
        <f t="shared" si="331"/>
        <v>0.85894736842105268</v>
      </c>
    </row>
    <row r="5301" spans="1:10">
      <c r="A5301" s="74" t="s">
        <v>897</v>
      </c>
      <c r="B5301" s="74" t="s">
        <v>275</v>
      </c>
      <c r="C5301" s="74" t="s">
        <v>1565</v>
      </c>
      <c r="D5301" s="74" t="s">
        <v>78</v>
      </c>
      <c r="E5301" s="74">
        <v>18</v>
      </c>
      <c r="F5301" s="74">
        <v>73.989999999999995</v>
      </c>
      <c r="G5301" s="758">
        <f t="shared" si="328"/>
        <v>0.67</v>
      </c>
      <c r="H5301" s="759">
        <f t="shared" si="329"/>
        <v>0.19</v>
      </c>
      <c r="I5301" s="758">
        <f t="shared" si="330"/>
        <v>3.4405555555555551</v>
      </c>
      <c r="J5301" s="760">
        <f t="shared" si="331"/>
        <v>0.837005000675767</v>
      </c>
    </row>
    <row r="5302" spans="1:10">
      <c r="A5302" s="74" t="s">
        <v>897</v>
      </c>
      <c r="B5302" s="74" t="s">
        <v>275</v>
      </c>
      <c r="C5302" s="74" t="s">
        <v>1530</v>
      </c>
      <c r="D5302" s="74" t="s">
        <v>80</v>
      </c>
      <c r="E5302" s="74">
        <v>11</v>
      </c>
      <c r="F5302" s="74">
        <v>22.25</v>
      </c>
      <c r="G5302" s="758">
        <f t="shared" si="328"/>
        <v>0.67</v>
      </c>
      <c r="H5302" s="759">
        <f t="shared" si="329"/>
        <v>0.19</v>
      </c>
      <c r="I5302" s="758">
        <f t="shared" si="330"/>
        <v>1.352727272727273</v>
      </c>
      <c r="J5302" s="760">
        <f t="shared" si="331"/>
        <v>0.66876404494382025</v>
      </c>
    </row>
    <row r="5303" spans="1:10">
      <c r="A5303" s="74" t="s">
        <v>897</v>
      </c>
      <c r="B5303" s="74" t="s">
        <v>275</v>
      </c>
      <c r="C5303" s="74" t="s">
        <v>1532</v>
      </c>
      <c r="D5303" s="74" t="s">
        <v>80</v>
      </c>
      <c r="E5303" s="74">
        <v>10</v>
      </c>
      <c r="F5303" s="74">
        <v>13.75</v>
      </c>
      <c r="G5303" s="758">
        <f t="shared" si="328"/>
        <v>0.67</v>
      </c>
      <c r="H5303" s="759">
        <f t="shared" si="329"/>
        <v>0.19</v>
      </c>
      <c r="I5303" s="758">
        <f t="shared" si="330"/>
        <v>0.70499999999999996</v>
      </c>
      <c r="J5303" s="760">
        <f t="shared" si="331"/>
        <v>0.5127272727272727</v>
      </c>
    </row>
    <row r="5304" spans="1:10">
      <c r="A5304" s="74" t="s">
        <v>897</v>
      </c>
      <c r="B5304" s="74" t="s">
        <v>275</v>
      </c>
      <c r="C5304" s="74" t="s">
        <v>1511</v>
      </c>
      <c r="D5304" s="74" t="s">
        <v>80</v>
      </c>
      <c r="E5304" s="74">
        <v>5</v>
      </c>
      <c r="F5304" s="74">
        <v>8.5</v>
      </c>
      <c r="G5304" s="758">
        <f t="shared" si="328"/>
        <v>0.67</v>
      </c>
      <c r="H5304" s="759">
        <f t="shared" si="329"/>
        <v>0.19</v>
      </c>
      <c r="I5304" s="758">
        <f t="shared" si="330"/>
        <v>1.0299999999999998</v>
      </c>
      <c r="J5304" s="760">
        <f t="shared" si="331"/>
        <v>0.60588235294117654</v>
      </c>
    </row>
    <row r="5305" spans="1:10">
      <c r="A5305" s="74" t="s">
        <v>897</v>
      </c>
      <c r="B5305" s="74" t="s">
        <v>275</v>
      </c>
      <c r="C5305" s="74" t="s">
        <v>1512</v>
      </c>
      <c r="D5305" s="74" t="s">
        <v>80</v>
      </c>
      <c r="E5305" s="74">
        <v>1</v>
      </c>
      <c r="F5305" s="74">
        <v>5</v>
      </c>
      <c r="G5305" s="758">
        <f t="shared" si="328"/>
        <v>0.67</v>
      </c>
      <c r="H5305" s="759">
        <f t="shared" si="329"/>
        <v>0.19</v>
      </c>
      <c r="I5305" s="758">
        <f t="shared" si="330"/>
        <v>4.33</v>
      </c>
      <c r="J5305" s="760">
        <f t="shared" si="331"/>
        <v>0.86599999999999999</v>
      </c>
    </row>
    <row r="5306" spans="1:10">
      <c r="A5306" s="74" t="s">
        <v>897</v>
      </c>
      <c r="B5306" s="74" t="s">
        <v>275</v>
      </c>
      <c r="C5306" s="74" t="s">
        <v>1534</v>
      </c>
      <c r="D5306" s="74" t="s">
        <v>81</v>
      </c>
      <c r="E5306" s="74">
        <v>1</v>
      </c>
      <c r="F5306" s="74">
        <v>0</v>
      </c>
      <c r="G5306" s="758">
        <f t="shared" si="328"/>
        <v>0.67</v>
      </c>
      <c r="H5306" s="759">
        <f t="shared" si="329"/>
        <v>0.19</v>
      </c>
      <c r="I5306" s="758">
        <f t="shared" si="330"/>
        <v>-0.67</v>
      </c>
      <c r="J5306" s="760">
        <f t="shared" si="331"/>
        <v>0</v>
      </c>
    </row>
    <row r="5307" spans="1:10">
      <c r="A5307" s="74" t="s">
        <v>897</v>
      </c>
      <c r="B5307" s="74" t="s">
        <v>275</v>
      </c>
      <c r="C5307" s="74" t="s">
        <v>1519</v>
      </c>
      <c r="D5307" s="74" t="s">
        <v>84</v>
      </c>
      <c r="E5307" s="74">
        <v>2</v>
      </c>
      <c r="F5307" s="74">
        <v>12</v>
      </c>
      <c r="G5307" s="758">
        <f t="shared" si="328"/>
        <v>0.67</v>
      </c>
      <c r="H5307" s="759">
        <f t="shared" si="329"/>
        <v>0.19</v>
      </c>
      <c r="I5307" s="758">
        <f t="shared" si="330"/>
        <v>5.33</v>
      </c>
      <c r="J5307" s="760">
        <f t="shared" si="331"/>
        <v>0.88833333333333331</v>
      </c>
    </row>
    <row r="5308" spans="1:10">
      <c r="A5308" s="74" t="s">
        <v>897</v>
      </c>
      <c r="B5308" s="74" t="s">
        <v>275</v>
      </c>
      <c r="C5308" s="74" t="s">
        <v>1644</v>
      </c>
      <c r="D5308" s="74" t="s">
        <v>86</v>
      </c>
      <c r="E5308" s="74">
        <v>1</v>
      </c>
      <c r="F5308" s="74">
        <v>4.25</v>
      </c>
      <c r="G5308" s="758">
        <f t="shared" si="328"/>
        <v>0.67</v>
      </c>
      <c r="H5308" s="759">
        <f t="shared" si="329"/>
        <v>0.19</v>
      </c>
      <c r="I5308" s="758">
        <f t="shared" si="330"/>
        <v>3.58</v>
      </c>
      <c r="J5308" s="760">
        <f t="shared" si="331"/>
        <v>0.84235294117647053</v>
      </c>
    </row>
    <row r="5309" spans="1:10">
      <c r="A5309" s="74" t="s">
        <v>897</v>
      </c>
      <c r="B5309" s="74" t="s">
        <v>275</v>
      </c>
      <c r="C5309" s="74" t="s">
        <v>1646</v>
      </c>
      <c r="D5309" s="74" t="s">
        <v>86</v>
      </c>
      <c r="E5309" s="74">
        <v>1</v>
      </c>
      <c r="F5309" s="74">
        <v>4</v>
      </c>
      <c r="G5309" s="758">
        <f t="shared" si="328"/>
        <v>0.67</v>
      </c>
      <c r="H5309" s="759">
        <f t="shared" si="329"/>
        <v>0.19</v>
      </c>
      <c r="I5309" s="758">
        <f t="shared" si="330"/>
        <v>3.33</v>
      </c>
      <c r="J5309" s="760">
        <f t="shared" si="331"/>
        <v>0.83250000000000002</v>
      </c>
    </row>
    <row r="5310" spans="1:10">
      <c r="A5310" s="74" t="s">
        <v>897</v>
      </c>
      <c r="B5310" s="74" t="s">
        <v>275</v>
      </c>
      <c r="C5310" s="74" t="s">
        <v>1541</v>
      </c>
      <c r="D5310" s="74" t="s">
        <v>86</v>
      </c>
      <c r="E5310" s="74">
        <v>2</v>
      </c>
      <c r="F5310" s="74">
        <v>13</v>
      </c>
      <c r="G5310" s="758">
        <f t="shared" si="328"/>
        <v>0.67</v>
      </c>
      <c r="H5310" s="759">
        <f t="shared" si="329"/>
        <v>0.19</v>
      </c>
      <c r="I5310" s="758">
        <f t="shared" si="330"/>
        <v>5.83</v>
      </c>
      <c r="J5310" s="760">
        <f t="shared" si="331"/>
        <v>0.89692307692307693</v>
      </c>
    </row>
    <row r="5311" spans="1:10">
      <c r="A5311" s="74" t="s">
        <v>897</v>
      </c>
      <c r="B5311" s="74" t="s">
        <v>275</v>
      </c>
      <c r="C5311" s="74" t="s">
        <v>1543</v>
      </c>
      <c r="D5311" s="74" t="s">
        <v>87</v>
      </c>
      <c r="E5311" s="74">
        <v>1</v>
      </c>
      <c r="F5311" s="74">
        <v>6.5</v>
      </c>
      <c r="G5311" s="758">
        <f t="shared" si="328"/>
        <v>0.67</v>
      </c>
      <c r="H5311" s="759">
        <f t="shared" si="329"/>
        <v>0.19</v>
      </c>
      <c r="I5311" s="758">
        <f t="shared" si="330"/>
        <v>5.83</v>
      </c>
      <c r="J5311" s="760">
        <f t="shared" si="331"/>
        <v>0.89692307692307693</v>
      </c>
    </row>
    <row r="5312" spans="1:10">
      <c r="A5312" s="74" t="s">
        <v>897</v>
      </c>
      <c r="B5312" s="74" t="s">
        <v>275</v>
      </c>
      <c r="C5312" s="74" t="s">
        <v>1544</v>
      </c>
      <c r="D5312" s="74" t="s">
        <v>87</v>
      </c>
      <c r="E5312" s="74">
        <v>1</v>
      </c>
      <c r="F5312" s="74">
        <v>4.75</v>
      </c>
      <c r="G5312" s="758">
        <f t="shared" si="328"/>
        <v>0.67</v>
      </c>
      <c r="H5312" s="759">
        <f t="shared" si="329"/>
        <v>0.19</v>
      </c>
      <c r="I5312" s="758">
        <f t="shared" si="330"/>
        <v>4.08</v>
      </c>
      <c r="J5312" s="760">
        <f t="shared" si="331"/>
        <v>0.85894736842105268</v>
      </c>
    </row>
    <row r="5313" spans="1:10">
      <c r="A5313" s="74" t="s">
        <v>897</v>
      </c>
      <c r="B5313" s="74" t="s">
        <v>275</v>
      </c>
      <c r="C5313" s="74" t="s">
        <v>1608</v>
      </c>
      <c r="D5313" s="74" t="s">
        <v>89</v>
      </c>
      <c r="E5313" s="74">
        <v>2</v>
      </c>
      <c r="F5313" s="74">
        <v>9</v>
      </c>
      <c r="G5313" s="758">
        <f t="shared" si="328"/>
        <v>0.67</v>
      </c>
      <c r="H5313" s="759">
        <f t="shared" si="329"/>
        <v>0.19</v>
      </c>
      <c r="I5313" s="758">
        <f t="shared" si="330"/>
        <v>3.83</v>
      </c>
      <c r="J5313" s="760">
        <f t="shared" si="331"/>
        <v>0.85111111111111115</v>
      </c>
    </row>
    <row r="5314" spans="1:10">
      <c r="A5314" s="74" t="s">
        <v>897</v>
      </c>
      <c r="B5314" s="74" t="s">
        <v>275</v>
      </c>
      <c r="C5314" s="74" t="s">
        <v>1524</v>
      </c>
      <c r="D5314" s="74" t="s">
        <v>91</v>
      </c>
      <c r="E5314" s="74">
        <v>2</v>
      </c>
      <c r="F5314" s="74">
        <v>12.5</v>
      </c>
      <c r="G5314" s="758">
        <f t="shared" ref="G5314:G5377" si="332">IFERROR(VLOOKUP(A5314,$M$1:$P$1014,2,FALSE),0)</f>
        <v>0.67</v>
      </c>
      <c r="H5314" s="759">
        <f t="shared" ref="H5314:H5377" si="333">IFERROR(VLOOKUP(A5314,$M$1:$P$1014,3,FALSE),0)</f>
        <v>0.19</v>
      </c>
      <c r="I5314" s="758">
        <f t="shared" ref="I5314:I5377" si="334">IFERROR(F5314/E5314-G5314,0)</f>
        <v>5.58</v>
      </c>
      <c r="J5314" s="760">
        <f t="shared" ref="J5314:J5377" si="335">IFERROR(1-G5314*E5314/F5314,0)</f>
        <v>0.89280000000000004</v>
      </c>
    </row>
    <row r="5315" spans="1:10">
      <c r="A5315" s="74" t="s">
        <v>897</v>
      </c>
      <c r="B5315" s="74" t="s">
        <v>275</v>
      </c>
      <c r="C5315" s="74" t="s">
        <v>1617</v>
      </c>
      <c r="D5315" s="74" t="s">
        <v>94</v>
      </c>
      <c r="E5315" s="74">
        <v>4</v>
      </c>
      <c r="F5315" s="74">
        <v>8</v>
      </c>
      <c r="G5315" s="758">
        <f t="shared" si="332"/>
        <v>0.67</v>
      </c>
      <c r="H5315" s="759">
        <f t="shared" si="333"/>
        <v>0.19</v>
      </c>
      <c r="I5315" s="758">
        <f t="shared" si="334"/>
        <v>1.33</v>
      </c>
      <c r="J5315" s="760">
        <f t="shared" si="335"/>
        <v>0.66500000000000004</v>
      </c>
    </row>
    <row r="5316" spans="1:10">
      <c r="A5316" s="74" t="s">
        <v>897</v>
      </c>
      <c r="B5316" s="74" t="s">
        <v>275</v>
      </c>
      <c r="C5316" s="74" t="s">
        <v>1553</v>
      </c>
      <c r="D5316" s="74" t="s">
        <v>94</v>
      </c>
      <c r="E5316" s="74">
        <v>2</v>
      </c>
      <c r="F5316" s="74">
        <v>1.5</v>
      </c>
      <c r="G5316" s="758">
        <f t="shared" si="332"/>
        <v>0.67</v>
      </c>
      <c r="H5316" s="759">
        <f t="shared" si="333"/>
        <v>0.19</v>
      </c>
      <c r="I5316" s="758">
        <f t="shared" si="334"/>
        <v>7.999999999999996E-2</v>
      </c>
      <c r="J5316" s="760">
        <f t="shared" si="335"/>
        <v>0.10666666666666658</v>
      </c>
    </row>
    <row r="5317" spans="1:10">
      <c r="A5317" s="74" t="s">
        <v>897</v>
      </c>
      <c r="B5317" s="74" t="s">
        <v>275</v>
      </c>
      <c r="C5317" s="74" t="s">
        <v>1526</v>
      </c>
      <c r="D5317" s="74" t="s">
        <v>95</v>
      </c>
      <c r="E5317" s="74">
        <v>2</v>
      </c>
      <c r="F5317" s="74">
        <v>1.5</v>
      </c>
      <c r="G5317" s="758">
        <f t="shared" si="332"/>
        <v>0.67</v>
      </c>
      <c r="H5317" s="759">
        <f t="shared" si="333"/>
        <v>0.19</v>
      </c>
      <c r="I5317" s="758">
        <f t="shared" si="334"/>
        <v>7.999999999999996E-2</v>
      </c>
      <c r="J5317" s="760">
        <f t="shared" si="335"/>
        <v>0.10666666666666658</v>
      </c>
    </row>
    <row r="5318" spans="1:10">
      <c r="A5318" s="74" t="s">
        <v>897</v>
      </c>
      <c r="B5318" s="74" t="s">
        <v>275</v>
      </c>
      <c r="C5318" s="74" t="s">
        <v>1930</v>
      </c>
      <c r="D5318" s="74" t="s">
        <v>95</v>
      </c>
      <c r="E5318" s="74">
        <v>1</v>
      </c>
      <c r="F5318" s="74">
        <v>0.75</v>
      </c>
      <c r="G5318" s="758">
        <f t="shared" si="332"/>
        <v>0.67</v>
      </c>
      <c r="H5318" s="759">
        <f t="shared" si="333"/>
        <v>0.19</v>
      </c>
      <c r="I5318" s="758">
        <f t="shared" si="334"/>
        <v>7.999999999999996E-2</v>
      </c>
      <c r="J5318" s="760">
        <f t="shared" si="335"/>
        <v>0.10666666666666658</v>
      </c>
    </row>
    <row r="5319" spans="1:10">
      <c r="A5319" s="74" t="s">
        <v>2111</v>
      </c>
      <c r="B5319" s="74" t="s">
        <v>275</v>
      </c>
      <c r="C5319" s="74" t="s">
        <v>1610</v>
      </c>
      <c r="D5319" s="74" t="s">
        <v>89</v>
      </c>
      <c r="E5319" s="74">
        <v>1</v>
      </c>
      <c r="F5319" s="74">
        <v>0</v>
      </c>
      <c r="G5319" s="758">
        <f t="shared" si="332"/>
        <v>0</v>
      </c>
      <c r="H5319" s="759">
        <f t="shared" si="333"/>
        <v>0</v>
      </c>
      <c r="I5319" s="758">
        <f t="shared" si="334"/>
        <v>0</v>
      </c>
      <c r="J5319" s="760">
        <f t="shared" si="335"/>
        <v>0</v>
      </c>
    </row>
    <row r="5320" spans="1:10">
      <c r="A5320" s="74" t="s">
        <v>2112</v>
      </c>
      <c r="B5320" s="74" t="s">
        <v>275</v>
      </c>
      <c r="C5320" s="74" t="s">
        <v>1543</v>
      </c>
      <c r="D5320" s="74" t="s">
        <v>87</v>
      </c>
      <c r="E5320" s="74">
        <v>1</v>
      </c>
      <c r="F5320" s="74">
        <v>5.2</v>
      </c>
      <c r="G5320" s="758">
        <f t="shared" si="332"/>
        <v>0</v>
      </c>
      <c r="H5320" s="759">
        <f t="shared" si="333"/>
        <v>0</v>
      </c>
      <c r="I5320" s="758">
        <f t="shared" si="334"/>
        <v>5.2</v>
      </c>
      <c r="J5320" s="760">
        <f t="shared" si="335"/>
        <v>1</v>
      </c>
    </row>
    <row r="5321" spans="1:10">
      <c r="A5321" s="74" t="s">
        <v>2113</v>
      </c>
      <c r="B5321" s="74" t="s">
        <v>275</v>
      </c>
      <c r="C5321" s="74" t="s">
        <v>1508</v>
      </c>
      <c r="D5321" s="74" t="s">
        <v>78</v>
      </c>
      <c r="E5321" s="74">
        <v>5</v>
      </c>
      <c r="F5321" s="74">
        <v>24.75</v>
      </c>
      <c r="G5321" s="758">
        <f t="shared" si="332"/>
        <v>1.08</v>
      </c>
      <c r="H5321" s="759">
        <f t="shared" si="333"/>
        <v>0.25</v>
      </c>
      <c r="I5321" s="758">
        <f t="shared" si="334"/>
        <v>3.87</v>
      </c>
      <c r="J5321" s="760">
        <f t="shared" si="335"/>
        <v>0.78181818181818175</v>
      </c>
    </row>
    <row r="5322" spans="1:10">
      <c r="A5322" s="74" t="s">
        <v>2113</v>
      </c>
      <c r="B5322" s="74" t="s">
        <v>275</v>
      </c>
      <c r="C5322" s="74" t="s">
        <v>1509</v>
      </c>
      <c r="D5322" s="74" t="s">
        <v>78</v>
      </c>
      <c r="E5322" s="74">
        <v>9</v>
      </c>
      <c r="F5322" s="74">
        <v>0</v>
      </c>
      <c r="G5322" s="758">
        <f t="shared" si="332"/>
        <v>1.08</v>
      </c>
      <c r="H5322" s="759">
        <f t="shared" si="333"/>
        <v>0.25</v>
      </c>
      <c r="I5322" s="758">
        <f t="shared" si="334"/>
        <v>-1.08</v>
      </c>
      <c r="J5322" s="760">
        <f t="shared" si="335"/>
        <v>0</v>
      </c>
    </row>
    <row r="5323" spans="1:10">
      <c r="A5323" s="74" t="s">
        <v>2113</v>
      </c>
      <c r="B5323" s="74" t="s">
        <v>275</v>
      </c>
      <c r="C5323" s="74" t="s">
        <v>1565</v>
      </c>
      <c r="D5323" s="74" t="s">
        <v>78</v>
      </c>
      <c r="E5323" s="74">
        <v>5</v>
      </c>
      <c r="F5323" s="74">
        <v>24.75</v>
      </c>
      <c r="G5323" s="758">
        <f t="shared" si="332"/>
        <v>1.08</v>
      </c>
      <c r="H5323" s="759">
        <f t="shared" si="333"/>
        <v>0.25</v>
      </c>
      <c r="I5323" s="758">
        <f t="shared" si="334"/>
        <v>3.87</v>
      </c>
      <c r="J5323" s="760">
        <f t="shared" si="335"/>
        <v>0.78181818181818175</v>
      </c>
    </row>
    <row r="5324" spans="1:10">
      <c r="A5324" s="74" t="s">
        <v>2113</v>
      </c>
      <c r="B5324" s="74" t="s">
        <v>275</v>
      </c>
      <c r="C5324" s="74" t="s">
        <v>1530</v>
      </c>
      <c r="D5324" s="74" t="s">
        <v>80</v>
      </c>
      <c r="E5324" s="74">
        <v>3</v>
      </c>
      <c r="F5324" s="74">
        <v>0</v>
      </c>
      <c r="G5324" s="758">
        <f t="shared" si="332"/>
        <v>1.08</v>
      </c>
      <c r="H5324" s="759">
        <f t="shared" si="333"/>
        <v>0.25</v>
      </c>
      <c r="I5324" s="758">
        <f t="shared" si="334"/>
        <v>-1.08</v>
      </c>
      <c r="J5324" s="760">
        <f t="shared" si="335"/>
        <v>0</v>
      </c>
    </row>
    <row r="5325" spans="1:10">
      <c r="A5325" s="74" t="s">
        <v>2113</v>
      </c>
      <c r="B5325" s="74" t="s">
        <v>275</v>
      </c>
      <c r="C5325" s="74" t="s">
        <v>1532</v>
      </c>
      <c r="D5325" s="74" t="s">
        <v>80</v>
      </c>
      <c r="E5325" s="74">
        <v>10</v>
      </c>
      <c r="F5325" s="74">
        <v>4.95</v>
      </c>
      <c r="G5325" s="758">
        <f t="shared" si="332"/>
        <v>1.08</v>
      </c>
      <c r="H5325" s="759">
        <f t="shared" si="333"/>
        <v>0.25</v>
      </c>
      <c r="I5325" s="758">
        <f t="shared" si="334"/>
        <v>-0.58500000000000008</v>
      </c>
      <c r="J5325" s="760">
        <f t="shared" si="335"/>
        <v>-1.1818181818181821</v>
      </c>
    </row>
    <row r="5326" spans="1:10">
      <c r="A5326" s="74" t="s">
        <v>2113</v>
      </c>
      <c r="B5326" s="74" t="s">
        <v>275</v>
      </c>
      <c r="C5326" s="74" t="s">
        <v>1512</v>
      </c>
      <c r="D5326" s="74" t="s">
        <v>80</v>
      </c>
      <c r="E5326" s="74">
        <v>4</v>
      </c>
      <c r="F5326" s="74">
        <v>5.2</v>
      </c>
      <c r="G5326" s="758">
        <f t="shared" si="332"/>
        <v>1.08</v>
      </c>
      <c r="H5326" s="759">
        <f t="shared" si="333"/>
        <v>0.25</v>
      </c>
      <c r="I5326" s="758">
        <f t="shared" si="334"/>
        <v>0.21999999999999997</v>
      </c>
      <c r="J5326" s="760">
        <f t="shared" si="335"/>
        <v>0.16923076923076918</v>
      </c>
    </row>
    <row r="5327" spans="1:10">
      <c r="A5327" s="74" t="s">
        <v>2113</v>
      </c>
      <c r="B5327" s="74" t="s">
        <v>275</v>
      </c>
      <c r="C5327" s="74" t="s">
        <v>1534</v>
      </c>
      <c r="D5327" s="74" t="s">
        <v>81</v>
      </c>
      <c r="E5327" s="74">
        <v>1</v>
      </c>
      <c r="F5327" s="74">
        <v>4.25</v>
      </c>
      <c r="G5327" s="758">
        <f t="shared" si="332"/>
        <v>1.08</v>
      </c>
      <c r="H5327" s="759">
        <f t="shared" si="333"/>
        <v>0.25</v>
      </c>
      <c r="I5327" s="758">
        <f t="shared" si="334"/>
        <v>3.17</v>
      </c>
      <c r="J5327" s="760">
        <f t="shared" si="335"/>
        <v>0.74588235294117644</v>
      </c>
    </row>
    <row r="5328" spans="1:10">
      <c r="A5328" s="74" t="s">
        <v>2113</v>
      </c>
      <c r="B5328" s="74" t="s">
        <v>275</v>
      </c>
      <c r="C5328" s="74" t="s">
        <v>1514</v>
      </c>
      <c r="D5328" s="74" t="s">
        <v>81</v>
      </c>
      <c r="E5328" s="74">
        <v>1</v>
      </c>
      <c r="F5328" s="74">
        <v>4.25</v>
      </c>
      <c r="G5328" s="758">
        <f t="shared" si="332"/>
        <v>1.08</v>
      </c>
      <c r="H5328" s="759">
        <f t="shared" si="333"/>
        <v>0.25</v>
      </c>
      <c r="I5328" s="758">
        <f t="shared" si="334"/>
        <v>3.17</v>
      </c>
      <c r="J5328" s="760">
        <f t="shared" si="335"/>
        <v>0.74588235294117644</v>
      </c>
    </row>
    <row r="5329" spans="1:10">
      <c r="A5329" s="74" t="s">
        <v>2114</v>
      </c>
      <c r="B5329" s="74" t="s">
        <v>877</v>
      </c>
      <c r="C5329" s="74" t="s">
        <v>1511</v>
      </c>
      <c r="D5329" s="74" t="s">
        <v>80</v>
      </c>
      <c r="E5329" s="74">
        <v>3</v>
      </c>
      <c r="F5329" s="74">
        <v>0</v>
      </c>
      <c r="G5329" s="758">
        <f t="shared" si="332"/>
        <v>0</v>
      </c>
      <c r="H5329" s="759">
        <f t="shared" si="333"/>
        <v>0.16</v>
      </c>
      <c r="I5329" s="758">
        <f t="shared" si="334"/>
        <v>0</v>
      </c>
      <c r="J5329" s="760">
        <f t="shared" si="335"/>
        <v>0</v>
      </c>
    </row>
    <row r="5330" spans="1:10">
      <c r="A5330" s="74" t="s">
        <v>2115</v>
      </c>
      <c r="B5330" s="74" t="s">
        <v>275</v>
      </c>
      <c r="C5330" s="74" t="s">
        <v>1543</v>
      </c>
      <c r="D5330" s="74" t="s">
        <v>87</v>
      </c>
      <c r="E5330" s="74">
        <v>1</v>
      </c>
      <c r="F5330" s="74">
        <v>4.75</v>
      </c>
      <c r="G5330" s="758">
        <f t="shared" si="332"/>
        <v>0</v>
      </c>
      <c r="H5330" s="759">
        <f t="shared" si="333"/>
        <v>0</v>
      </c>
      <c r="I5330" s="758">
        <f t="shared" si="334"/>
        <v>4.75</v>
      </c>
      <c r="J5330" s="760">
        <f t="shared" si="335"/>
        <v>1</v>
      </c>
    </row>
    <row r="5331" spans="1:10">
      <c r="A5331" s="74" t="s">
        <v>2116</v>
      </c>
      <c r="B5331" s="74" t="s">
        <v>275</v>
      </c>
      <c r="C5331" s="74" t="s">
        <v>1528</v>
      </c>
      <c r="D5331" s="74" t="s">
        <v>78</v>
      </c>
      <c r="E5331" s="74">
        <v>5</v>
      </c>
      <c r="F5331" s="74">
        <v>25</v>
      </c>
      <c r="G5331" s="758">
        <f t="shared" si="332"/>
        <v>1.02</v>
      </c>
      <c r="H5331" s="759">
        <f t="shared" si="333"/>
        <v>0.21</v>
      </c>
      <c r="I5331" s="758">
        <f t="shared" si="334"/>
        <v>3.98</v>
      </c>
      <c r="J5331" s="760">
        <f t="shared" si="335"/>
        <v>0.79600000000000004</v>
      </c>
    </row>
    <row r="5332" spans="1:10">
      <c r="A5332" s="74" t="s">
        <v>2116</v>
      </c>
      <c r="B5332" s="74" t="s">
        <v>275</v>
      </c>
      <c r="C5332" s="74" t="s">
        <v>1508</v>
      </c>
      <c r="D5332" s="74" t="s">
        <v>78</v>
      </c>
      <c r="E5332" s="74">
        <v>14</v>
      </c>
      <c r="F5332" s="74">
        <v>68.55</v>
      </c>
      <c r="G5332" s="758">
        <f t="shared" si="332"/>
        <v>1.02</v>
      </c>
      <c r="H5332" s="759">
        <f t="shared" si="333"/>
        <v>0.21</v>
      </c>
      <c r="I5332" s="758">
        <f t="shared" si="334"/>
        <v>3.8764285714285713</v>
      </c>
      <c r="J5332" s="760">
        <f t="shared" si="335"/>
        <v>0.79168490153172866</v>
      </c>
    </row>
    <row r="5333" spans="1:10">
      <c r="A5333" s="74" t="s">
        <v>2116</v>
      </c>
      <c r="B5333" s="74" t="s">
        <v>275</v>
      </c>
      <c r="C5333" s="74" t="s">
        <v>1509</v>
      </c>
      <c r="D5333" s="74" t="s">
        <v>78</v>
      </c>
      <c r="E5333" s="74">
        <v>10</v>
      </c>
      <c r="F5333" s="74">
        <v>48.6</v>
      </c>
      <c r="G5333" s="758">
        <f t="shared" si="332"/>
        <v>1.02</v>
      </c>
      <c r="H5333" s="759">
        <f t="shared" si="333"/>
        <v>0.21</v>
      </c>
      <c r="I5333" s="758">
        <f t="shared" si="334"/>
        <v>3.8400000000000003</v>
      </c>
      <c r="J5333" s="760">
        <f t="shared" si="335"/>
        <v>0.79012345679012341</v>
      </c>
    </row>
    <row r="5334" spans="1:10">
      <c r="A5334" s="74" t="s">
        <v>2116</v>
      </c>
      <c r="B5334" s="74" t="s">
        <v>275</v>
      </c>
      <c r="C5334" s="74" t="s">
        <v>1565</v>
      </c>
      <c r="D5334" s="74" t="s">
        <v>78</v>
      </c>
      <c r="E5334" s="74">
        <v>15</v>
      </c>
      <c r="F5334" s="74">
        <v>44.55</v>
      </c>
      <c r="G5334" s="758">
        <f t="shared" si="332"/>
        <v>1.02</v>
      </c>
      <c r="H5334" s="759">
        <f t="shared" si="333"/>
        <v>0.21</v>
      </c>
      <c r="I5334" s="758">
        <f t="shared" si="334"/>
        <v>1.9499999999999997</v>
      </c>
      <c r="J5334" s="760">
        <f t="shared" si="335"/>
        <v>0.65656565656565657</v>
      </c>
    </row>
    <row r="5335" spans="1:10">
      <c r="A5335" s="74" t="s">
        <v>2116</v>
      </c>
      <c r="B5335" s="74" t="s">
        <v>275</v>
      </c>
      <c r="C5335" s="74" t="s">
        <v>1532</v>
      </c>
      <c r="D5335" s="74" t="s">
        <v>80</v>
      </c>
      <c r="E5335" s="74">
        <v>2</v>
      </c>
      <c r="F5335" s="74">
        <v>10.15</v>
      </c>
      <c r="G5335" s="758">
        <f t="shared" si="332"/>
        <v>1.02</v>
      </c>
      <c r="H5335" s="759">
        <f t="shared" si="333"/>
        <v>0.21</v>
      </c>
      <c r="I5335" s="758">
        <f t="shared" si="334"/>
        <v>4.0549999999999997</v>
      </c>
      <c r="J5335" s="760">
        <f t="shared" si="335"/>
        <v>0.79901477832512313</v>
      </c>
    </row>
    <row r="5336" spans="1:10">
      <c r="A5336" s="74" t="s">
        <v>2116</v>
      </c>
      <c r="B5336" s="74" t="s">
        <v>275</v>
      </c>
      <c r="C5336" s="74" t="s">
        <v>1511</v>
      </c>
      <c r="D5336" s="74" t="s">
        <v>80</v>
      </c>
      <c r="E5336" s="74">
        <v>15</v>
      </c>
      <c r="F5336" s="74">
        <v>74.05</v>
      </c>
      <c r="G5336" s="758">
        <f t="shared" si="332"/>
        <v>1.02</v>
      </c>
      <c r="H5336" s="759">
        <f t="shared" si="333"/>
        <v>0.21</v>
      </c>
      <c r="I5336" s="758">
        <f t="shared" si="334"/>
        <v>3.9166666666666665</v>
      </c>
      <c r="J5336" s="760">
        <f t="shared" si="335"/>
        <v>0.79338284942606352</v>
      </c>
    </row>
    <row r="5337" spans="1:10">
      <c r="A5337" s="74" t="s">
        <v>2116</v>
      </c>
      <c r="B5337" s="74" t="s">
        <v>275</v>
      </c>
      <c r="C5337" s="74" t="s">
        <v>1512</v>
      </c>
      <c r="D5337" s="74" t="s">
        <v>80</v>
      </c>
      <c r="E5337" s="74">
        <v>12</v>
      </c>
      <c r="F5337" s="74">
        <v>59.4</v>
      </c>
      <c r="G5337" s="758">
        <f t="shared" si="332"/>
        <v>1.02</v>
      </c>
      <c r="H5337" s="759">
        <f t="shared" si="333"/>
        <v>0.21</v>
      </c>
      <c r="I5337" s="758">
        <f t="shared" si="334"/>
        <v>3.93</v>
      </c>
      <c r="J5337" s="760">
        <f t="shared" si="335"/>
        <v>0.79393939393939394</v>
      </c>
    </row>
    <row r="5338" spans="1:10">
      <c r="A5338" s="74" t="s">
        <v>2116</v>
      </c>
      <c r="B5338" s="74" t="s">
        <v>275</v>
      </c>
      <c r="C5338" s="74" t="s">
        <v>1534</v>
      </c>
      <c r="D5338" s="74" t="s">
        <v>81</v>
      </c>
      <c r="E5338" s="74">
        <v>15</v>
      </c>
      <c r="F5338" s="74">
        <v>74.5</v>
      </c>
      <c r="G5338" s="758">
        <f t="shared" si="332"/>
        <v>1.02</v>
      </c>
      <c r="H5338" s="759">
        <f t="shared" si="333"/>
        <v>0.21</v>
      </c>
      <c r="I5338" s="758">
        <f t="shared" si="334"/>
        <v>3.9466666666666668</v>
      </c>
      <c r="J5338" s="760">
        <f t="shared" si="335"/>
        <v>0.79463087248322151</v>
      </c>
    </row>
    <row r="5339" spans="1:10">
      <c r="A5339" s="74" t="s">
        <v>2116</v>
      </c>
      <c r="B5339" s="74" t="s">
        <v>275</v>
      </c>
      <c r="C5339" s="74" t="s">
        <v>1513</v>
      </c>
      <c r="D5339" s="74" t="s">
        <v>81</v>
      </c>
      <c r="E5339" s="74">
        <v>12</v>
      </c>
      <c r="F5339" s="74">
        <v>70.349999999999994</v>
      </c>
      <c r="G5339" s="758">
        <f t="shared" si="332"/>
        <v>1.02</v>
      </c>
      <c r="H5339" s="759">
        <f t="shared" si="333"/>
        <v>0.21</v>
      </c>
      <c r="I5339" s="758">
        <f t="shared" si="334"/>
        <v>4.8424999999999994</v>
      </c>
      <c r="J5339" s="760">
        <f t="shared" si="335"/>
        <v>0.82601279317697229</v>
      </c>
    </row>
    <row r="5340" spans="1:10">
      <c r="A5340" s="74" t="s">
        <v>2116</v>
      </c>
      <c r="B5340" s="74" t="s">
        <v>275</v>
      </c>
      <c r="C5340" s="74" t="s">
        <v>1514</v>
      </c>
      <c r="D5340" s="74" t="s">
        <v>81</v>
      </c>
      <c r="E5340" s="74">
        <v>4</v>
      </c>
      <c r="F5340" s="74">
        <v>20.8</v>
      </c>
      <c r="G5340" s="758">
        <f t="shared" si="332"/>
        <v>1.02</v>
      </c>
      <c r="H5340" s="759">
        <f t="shared" si="333"/>
        <v>0.21</v>
      </c>
      <c r="I5340" s="758">
        <f t="shared" si="334"/>
        <v>4.18</v>
      </c>
      <c r="J5340" s="760">
        <f t="shared" si="335"/>
        <v>0.80384615384615388</v>
      </c>
    </row>
    <row r="5341" spans="1:10">
      <c r="A5341" s="74" t="s">
        <v>2116</v>
      </c>
      <c r="B5341" s="74" t="s">
        <v>275</v>
      </c>
      <c r="C5341" s="74" t="s">
        <v>1515</v>
      </c>
      <c r="D5341" s="74" t="s">
        <v>81</v>
      </c>
      <c r="E5341" s="74">
        <v>14</v>
      </c>
      <c r="F5341" s="74">
        <v>387.7</v>
      </c>
      <c r="G5341" s="758">
        <f t="shared" si="332"/>
        <v>1.02</v>
      </c>
      <c r="H5341" s="759">
        <f t="shared" si="333"/>
        <v>0.21</v>
      </c>
      <c r="I5341" s="758">
        <f t="shared" si="334"/>
        <v>26.672857142857143</v>
      </c>
      <c r="J5341" s="760">
        <f t="shared" si="335"/>
        <v>0.96316739747227231</v>
      </c>
    </row>
    <row r="5342" spans="1:10">
      <c r="A5342" s="74" t="s">
        <v>2116</v>
      </c>
      <c r="B5342" s="74" t="s">
        <v>275</v>
      </c>
      <c r="C5342" s="74" t="s">
        <v>1516</v>
      </c>
      <c r="D5342" s="74" t="s">
        <v>82</v>
      </c>
      <c r="E5342" s="74">
        <v>21</v>
      </c>
      <c r="F5342" s="74">
        <v>387.9</v>
      </c>
      <c r="G5342" s="758">
        <f t="shared" si="332"/>
        <v>1.02</v>
      </c>
      <c r="H5342" s="759">
        <f t="shared" si="333"/>
        <v>0.21</v>
      </c>
      <c r="I5342" s="758">
        <f t="shared" si="334"/>
        <v>17.451428571428572</v>
      </c>
      <c r="J5342" s="760">
        <f t="shared" si="335"/>
        <v>0.94477958236658932</v>
      </c>
    </row>
    <row r="5343" spans="1:10">
      <c r="A5343" s="74" t="s">
        <v>2116</v>
      </c>
      <c r="B5343" s="74" t="s">
        <v>275</v>
      </c>
      <c r="C5343" s="74" t="s">
        <v>1517</v>
      </c>
      <c r="D5343" s="74" t="s">
        <v>82</v>
      </c>
      <c r="E5343" s="74">
        <v>18</v>
      </c>
      <c r="F5343" s="74">
        <v>99.45</v>
      </c>
      <c r="G5343" s="758">
        <f t="shared" si="332"/>
        <v>1.02</v>
      </c>
      <c r="H5343" s="759">
        <f t="shared" si="333"/>
        <v>0.21</v>
      </c>
      <c r="I5343" s="758">
        <f t="shared" si="334"/>
        <v>4.5050000000000008</v>
      </c>
      <c r="J5343" s="760">
        <f t="shared" si="335"/>
        <v>0.81538461538461537</v>
      </c>
    </row>
    <row r="5344" spans="1:10">
      <c r="A5344" s="74" t="s">
        <v>2116</v>
      </c>
      <c r="B5344" s="74" t="s">
        <v>275</v>
      </c>
      <c r="C5344" s="74" t="s">
        <v>1527</v>
      </c>
      <c r="D5344" s="74" t="s">
        <v>82</v>
      </c>
      <c r="E5344" s="74">
        <v>15</v>
      </c>
      <c r="F5344" s="74">
        <v>90.5</v>
      </c>
      <c r="G5344" s="758">
        <f t="shared" si="332"/>
        <v>1.02</v>
      </c>
      <c r="H5344" s="759">
        <f t="shared" si="333"/>
        <v>0.21</v>
      </c>
      <c r="I5344" s="758">
        <f t="shared" si="334"/>
        <v>5.0133333333333336</v>
      </c>
      <c r="J5344" s="760">
        <f t="shared" si="335"/>
        <v>0.83093922651933705</v>
      </c>
    </row>
    <row r="5345" spans="1:10">
      <c r="A5345" s="74" t="s">
        <v>2116</v>
      </c>
      <c r="B5345" s="74" t="s">
        <v>275</v>
      </c>
      <c r="C5345" s="74" t="s">
        <v>1518</v>
      </c>
      <c r="D5345" s="74" t="s">
        <v>82</v>
      </c>
      <c r="E5345" s="74">
        <v>18</v>
      </c>
      <c r="F5345" s="74">
        <v>120.5</v>
      </c>
      <c r="G5345" s="758">
        <f t="shared" si="332"/>
        <v>1.02</v>
      </c>
      <c r="H5345" s="759">
        <f t="shared" si="333"/>
        <v>0.21</v>
      </c>
      <c r="I5345" s="758">
        <f t="shared" si="334"/>
        <v>5.6744444444444451</v>
      </c>
      <c r="J5345" s="760">
        <f t="shared" si="335"/>
        <v>0.84763485477178424</v>
      </c>
    </row>
    <row r="5346" spans="1:10">
      <c r="A5346" s="74" t="s">
        <v>2116</v>
      </c>
      <c r="B5346" s="74" t="s">
        <v>275</v>
      </c>
      <c r="C5346" s="74" t="s">
        <v>1519</v>
      </c>
      <c r="D5346" s="74" t="s">
        <v>84</v>
      </c>
      <c r="E5346" s="74">
        <v>2</v>
      </c>
      <c r="F5346" s="74">
        <v>5.95</v>
      </c>
      <c r="G5346" s="758">
        <f t="shared" si="332"/>
        <v>1.02</v>
      </c>
      <c r="H5346" s="759">
        <f t="shared" si="333"/>
        <v>0.21</v>
      </c>
      <c r="I5346" s="758">
        <f t="shared" si="334"/>
        <v>1.9550000000000001</v>
      </c>
      <c r="J5346" s="760">
        <f t="shared" si="335"/>
        <v>0.65714285714285714</v>
      </c>
    </row>
    <row r="5347" spans="1:10">
      <c r="A5347" s="74" t="s">
        <v>2116</v>
      </c>
      <c r="B5347" s="74" t="s">
        <v>275</v>
      </c>
      <c r="C5347" s="74" t="s">
        <v>1541</v>
      </c>
      <c r="D5347" s="74" t="s">
        <v>86</v>
      </c>
      <c r="E5347" s="74">
        <v>1</v>
      </c>
      <c r="F5347" s="74">
        <v>4.5</v>
      </c>
      <c r="G5347" s="758">
        <f t="shared" si="332"/>
        <v>1.02</v>
      </c>
      <c r="H5347" s="759">
        <f t="shared" si="333"/>
        <v>0.21</v>
      </c>
      <c r="I5347" s="758">
        <f t="shared" si="334"/>
        <v>3.48</v>
      </c>
      <c r="J5347" s="760">
        <f t="shared" si="335"/>
        <v>0.77333333333333332</v>
      </c>
    </row>
    <row r="5348" spans="1:10">
      <c r="A5348" s="74" t="s">
        <v>2116</v>
      </c>
      <c r="B5348" s="74" t="s">
        <v>275</v>
      </c>
      <c r="C5348" s="74" t="s">
        <v>1543</v>
      </c>
      <c r="D5348" s="74" t="s">
        <v>87</v>
      </c>
      <c r="E5348" s="74">
        <v>1</v>
      </c>
      <c r="F5348" s="74">
        <v>0.75</v>
      </c>
      <c r="G5348" s="758">
        <f t="shared" si="332"/>
        <v>1.02</v>
      </c>
      <c r="H5348" s="759">
        <f t="shared" si="333"/>
        <v>0.21</v>
      </c>
      <c r="I5348" s="758">
        <f t="shared" si="334"/>
        <v>-0.27</v>
      </c>
      <c r="J5348" s="760">
        <f t="shared" si="335"/>
        <v>-0.3600000000000001</v>
      </c>
    </row>
    <row r="5349" spans="1:10">
      <c r="A5349" s="74" t="s">
        <v>2116</v>
      </c>
      <c r="B5349" s="74" t="s">
        <v>275</v>
      </c>
      <c r="C5349" s="74" t="s">
        <v>1608</v>
      </c>
      <c r="D5349" s="74" t="s">
        <v>89</v>
      </c>
      <c r="E5349" s="74">
        <v>1</v>
      </c>
      <c r="F5349" s="74">
        <v>6.5</v>
      </c>
      <c r="G5349" s="758">
        <f t="shared" si="332"/>
        <v>1.02</v>
      </c>
      <c r="H5349" s="759">
        <f t="shared" si="333"/>
        <v>0.21</v>
      </c>
      <c r="I5349" s="758">
        <f t="shared" si="334"/>
        <v>5.48</v>
      </c>
      <c r="J5349" s="760">
        <f t="shared" si="335"/>
        <v>0.84307692307692306</v>
      </c>
    </row>
    <row r="5350" spans="1:10">
      <c r="A5350" s="74" t="s">
        <v>2116</v>
      </c>
      <c r="B5350" s="74" t="s">
        <v>275</v>
      </c>
      <c r="C5350" s="74" t="s">
        <v>1610</v>
      </c>
      <c r="D5350" s="74" t="s">
        <v>89</v>
      </c>
      <c r="E5350" s="74">
        <v>1</v>
      </c>
      <c r="F5350" s="74">
        <v>6.5</v>
      </c>
      <c r="G5350" s="758">
        <f t="shared" si="332"/>
        <v>1.02</v>
      </c>
      <c r="H5350" s="759">
        <f t="shared" si="333"/>
        <v>0.21</v>
      </c>
      <c r="I5350" s="758">
        <f t="shared" si="334"/>
        <v>5.48</v>
      </c>
      <c r="J5350" s="760">
        <f t="shared" si="335"/>
        <v>0.84307692307692306</v>
      </c>
    </row>
    <row r="5351" spans="1:10">
      <c r="A5351" s="74" t="s">
        <v>2116</v>
      </c>
      <c r="B5351" s="74" t="s">
        <v>275</v>
      </c>
      <c r="C5351" s="74" t="s">
        <v>1675</v>
      </c>
      <c r="D5351" s="74" t="s">
        <v>91</v>
      </c>
      <c r="E5351" s="74">
        <v>1</v>
      </c>
      <c r="F5351" s="74">
        <v>4.95</v>
      </c>
      <c r="G5351" s="758">
        <f t="shared" si="332"/>
        <v>1.02</v>
      </c>
      <c r="H5351" s="759">
        <f t="shared" si="333"/>
        <v>0.21</v>
      </c>
      <c r="I5351" s="758">
        <f t="shared" si="334"/>
        <v>3.93</v>
      </c>
      <c r="J5351" s="760">
        <f t="shared" si="335"/>
        <v>0.79393939393939394</v>
      </c>
    </row>
    <row r="5352" spans="1:10">
      <c r="A5352" s="74" t="s">
        <v>2117</v>
      </c>
      <c r="B5352" s="74" t="s">
        <v>275</v>
      </c>
      <c r="C5352" s="74" t="s">
        <v>1608</v>
      </c>
      <c r="D5352" s="74" t="s">
        <v>89</v>
      </c>
      <c r="E5352" s="74">
        <v>1</v>
      </c>
      <c r="F5352" s="74">
        <v>5.2</v>
      </c>
      <c r="G5352" s="758">
        <f t="shared" si="332"/>
        <v>0</v>
      </c>
      <c r="H5352" s="759">
        <f t="shared" si="333"/>
        <v>0</v>
      </c>
      <c r="I5352" s="758">
        <f t="shared" si="334"/>
        <v>5.2</v>
      </c>
      <c r="J5352" s="760">
        <f t="shared" si="335"/>
        <v>1</v>
      </c>
    </row>
    <row r="5353" spans="1:10">
      <c r="A5353" s="74" t="s">
        <v>1084</v>
      </c>
      <c r="B5353" s="74" t="s">
        <v>258</v>
      </c>
      <c r="C5353" s="74" t="s">
        <v>1518</v>
      </c>
      <c r="D5353" s="74" t="s">
        <v>82</v>
      </c>
      <c r="E5353" s="74">
        <v>1</v>
      </c>
      <c r="F5353" s="74">
        <v>4</v>
      </c>
      <c r="G5353" s="758">
        <f t="shared" si="332"/>
        <v>0.09</v>
      </c>
      <c r="H5353" s="759">
        <f t="shared" si="333"/>
        <v>0.28999999999999998</v>
      </c>
      <c r="I5353" s="758">
        <f t="shared" si="334"/>
        <v>3.91</v>
      </c>
      <c r="J5353" s="760">
        <f t="shared" si="335"/>
        <v>0.97750000000000004</v>
      </c>
    </row>
    <row r="5354" spans="1:10">
      <c r="A5354" s="74" t="s">
        <v>1084</v>
      </c>
      <c r="B5354" s="74" t="s">
        <v>258</v>
      </c>
      <c r="C5354" s="74" t="s">
        <v>1520</v>
      </c>
      <c r="D5354" s="74" t="s">
        <v>84</v>
      </c>
      <c r="E5354" s="74">
        <v>1</v>
      </c>
      <c r="F5354" s="74">
        <v>6.2</v>
      </c>
      <c r="G5354" s="758">
        <f t="shared" si="332"/>
        <v>0.09</v>
      </c>
      <c r="H5354" s="759">
        <f t="shared" si="333"/>
        <v>0.28999999999999998</v>
      </c>
      <c r="I5354" s="758">
        <f t="shared" si="334"/>
        <v>6.11</v>
      </c>
      <c r="J5354" s="760">
        <f t="shared" si="335"/>
        <v>0.98548387096774193</v>
      </c>
    </row>
    <row r="5355" spans="1:10">
      <c r="A5355" s="74" t="s">
        <v>1084</v>
      </c>
      <c r="B5355" s="74" t="s">
        <v>258</v>
      </c>
      <c r="C5355" s="74" t="s">
        <v>1617</v>
      </c>
      <c r="D5355" s="74" t="s">
        <v>94</v>
      </c>
      <c r="E5355" s="74">
        <v>2</v>
      </c>
      <c r="F5355" s="74">
        <v>5.7</v>
      </c>
      <c r="G5355" s="758">
        <f t="shared" si="332"/>
        <v>0.09</v>
      </c>
      <c r="H5355" s="759">
        <f t="shared" si="333"/>
        <v>0.28999999999999998</v>
      </c>
      <c r="I5355" s="758">
        <f t="shared" si="334"/>
        <v>2.7600000000000002</v>
      </c>
      <c r="J5355" s="760">
        <f t="shared" si="335"/>
        <v>0.96842105263157896</v>
      </c>
    </row>
    <row r="5356" spans="1:10">
      <c r="A5356" s="74" t="s">
        <v>1084</v>
      </c>
      <c r="B5356" s="74" t="s">
        <v>258</v>
      </c>
      <c r="C5356" s="74" t="s">
        <v>1553</v>
      </c>
      <c r="D5356" s="74" t="s">
        <v>94</v>
      </c>
      <c r="E5356" s="74">
        <v>4</v>
      </c>
      <c r="F5356" s="74">
        <v>0</v>
      </c>
      <c r="G5356" s="758">
        <f t="shared" si="332"/>
        <v>0.09</v>
      </c>
      <c r="H5356" s="759">
        <f t="shared" si="333"/>
        <v>0.28999999999999998</v>
      </c>
      <c r="I5356" s="758">
        <f t="shared" si="334"/>
        <v>-0.09</v>
      </c>
      <c r="J5356" s="760">
        <f t="shared" si="335"/>
        <v>0</v>
      </c>
    </row>
    <row r="5357" spans="1:10">
      <c r="A5357" s="74" t="s">
        <v>1084</v>
      </c>
      <c r="B5357" s="74" t="s">
        <v>258</v>
      </c>
      <c r="C5357" s="74" t="s">
        <v>1557</v>
      </c>
      <c r="D5357" s="74" t="s">
        <v>95</v>
      </c>
      <c r="E5357" s="74">
        <v>2</v>
      </c>
      <c r="F5357" s="74">
        <v>13</v>
      </c>
      <c r="G5357" s="758">
        <f t="shared" si="332"/>
        <v>0.09</v>
      </c>
      <c r="H5357" s="759">
        <f t="shared" si="333"/>
        <v>0.28999999999999998</v>
      </c>
      <c r="I5357" s="758">
        <f t="shared" si="334"/>
        <v>6.41</v>
      </c>
      <c r="J5357" s="760">
        <f t="shared" si="335"/>
        <v>0.98615384615384616</v>
      </c>
    </row>
    <row r="5358" spans="1:10">
      <c r="A5358" s="74" t="s">
        <v>1084</v>
      </c>
      <c r="B5358" s="74" t="s">
        <v>258</v>
      </c>
      <c r="C5358" s="74" t="s">
        <v>1526</v>
      </c>
      <c r="D5358" s="74" t="s">
        <v>95</v>
      </c>
      <c r="E5358" s="74">
        <v>1</v>
      </c>
      <c r="F5358" s="74">
        <v>0.75</v>
      </c>
      <c r="G5358" s="758">
        <f t="shared" si="332"/>
        <v>0.09</v>
      </c>
      <c r="H5358" s="759">
        <f t="shared" si="333"/>
        <v>0.28999999999999998</v>
      </c>
      <c r="I5358" s="758">
        <f t="shared" si="334"/>
        <v>0.66</v>
      </c>
      <c r="J5358" s="760">
        <f t="shared" si="335"/>
        <v>0.88</v>
      </c>
    </row>
    <row r="5359" spans="1:10">
      <c r="A5359" s="74" t="s">
        <v>1084</v>
      </c>
      <c r="B5359" s="74" t="s">
        <v>258</v>
      </c>
      <c r="C5359" s="74" t="s">
        <v>1930</v>
      </c>
      <c r="D5359" s="74" t="s">
        <v>95</v>
      </c>
      <c r="E5359" s="74">
        <v>1</v>
      </c>
      <c r="F5359" s="74">
        <v>0</v>
      </c>
      <c r="G5359" s="758">
        <f t="shared" si="332"/>
        <v>0.09</v>
      </c>
      <c r="H5359" s="759">
        <f t="shared" si="333"/>
        <v>0.28999999999999998</v>
      </c>
      <c r="I5359" s="758">
        <f t="shared" si="334"/>
        <v>-0.09</v>
      </c>
      <c r="J5359" s="760">
        <f t="shared" si="335"/>
        <v>0</v>
      </c>
    </row>
    <row r="5360" spans="1:10">
      <c r="A5360" s="74" t="s">
        <v>2118</v>
      </c>
      <c r="B5360" s="74" t="s">
        <v>275</v>
      </c>
      <c r="C5360" s="74" t="s">
        <v>1527</v>
      </c>
      <c r="D5360" s="74" t="s">
        <v>82</v>
      </c>
      <c r="E5360" s="74">
        <v>1</v>
      </c>
      <c r="F5360" s="74">
        <v>0</v>
      </c>
      <c r="G5360" s="758">
        <f t="shared" si="332"/>
        <v>1.05</v>
      </c>
      <c r="H5360" s="759">
        <f t="shared" si="333"/>
        <v>0</v>
      </c>
      <c r="I5360" s="758">
        <f t="shared" si="334"/>
        <v>-1.05</v>
      </c>
      <c r="J5360" s="760">
        <f t="shared" si="335"/>
        <v>0</v>
      </c>
    </row>
    <row r="5361" spans="1:10">
      <c r="A5361" s="74" t="s">
        <v>2312</v>
      </c>
      <c r="B5361" s="74" t="s">
        <v>258</v>
      </c>
      <c r="C5361" s="74" t="s">
        <v>1543</v>
      </c>
      <c r="D5361" s="74" t="s">
        <v>87</v>
      </c>
      <c r="E5361" s="74">
        <v>1</v>
      </c>
      <c r="F5361" s="74">
        <v>0</v>
      </c>
      <c r="G5361" s="758">
        <f t="shared" si="332"/>
        <v>0.3</v>
      </c>
      <c r="H5361" s="759">
        <f t="shared" si="333"/>
        <v>0</v>
      </c>
      <c r="I5361" s="758">
        <f t="shared" si="334"/>
        <v>-0.3</v>
      </c>
      <c r="J5361" s="760">
        <f t="shared" si="335"/>
        <v>0</v>
      </c>
    </row>
    <row r="5362" spans="1:10">
      <c r="A5362" s="74" t="s">
        <v>682</v>
      </c>
      <c r="B5362" s="74" t="s">
        <v>275</v>
      </c>
      <c r="C5362" s="74" t="s">
        <v>1528</v>
      </c>
      <c r="D5362" s="74" t="s">
        <v>78</v>
      </c>
      <c r="E5362" s="74">
        <v>10</v>
      </c>
      <c r="F5362" s="74">
        <v>53.86</v>
      </c>
      <c r="G5362" s="758">
        <f t="shared" si="332"/>
        <v>0.81</v>
      </c>
      <c r="H5362" s="759">
        <f t="shared" si="333"/>
        <v>0.17</v>
      </c>
      <c r="I5362" s="758">
        <f t="shared" si="334"/>
        <v>4.5760000000000005</v>
      </c>
      <c r="J5362" s="760">
        <f t="shared" si="335"/>
        <v>0.84961010025993311</v>
      </c>
    </row>
    <row r="5363" spans="1:10">
      <c r="A5363" s="74" t="s">
        <v>682</v>
      </c>
      <c r="B5363" s="74" t="s">
        <v>275</v>
      </c>
      <c r="C5363" s="74" t="s">
        <v>1508</v>
      </c>
      <c r="D5363" s="74" t="s">
        <v>78</v>
      </c>
      <c r="E5363" s="74">
        <v>9</v>
      </c>
      <c r="F5363" s="74">
        <v>42.73</v>
      </c>
      <c r="G5363" s="758">
        <f t="shared" si="332"/>
        <v>0.81</v>
      </c>
      <c r="H5363" s="759">
        <f t="shared" si="333"/>
        <v>0.17</v>
      </c>
      <c r="I5363" s="758">
        <f t="shared" si="334"/>
        <v>3.9377777777777774</v>
      </c>
      <c r="J5363" s="760">
        <f t="shared" si="335"/>
        <v>0.82939386847648022</v>
      </c>
    </row>
    <row r="5364" spans="1:10">
      <c r="A5364" s="74" t="s">
        <v>682</v>
      </c>
      <c r="B5364" s="74" t="s">
        <v>275</v>
      </c>
      <c r="C5364" s="74" t="s">
        <v>1509</v>
      </c>
      <c r="D5364" s="74" t="s">
        <v>78</v>
      </c>
      <c r="E5364" s="74">
        <v>5</v>
      </c>
      <c r="F5364" s="74">
        <v>24.32</v>
      </c>
      <c r="G5364" s="758">
        <f t="shared" si="332"/>
        <v>0.81</v>
      </c>
      <c r="H5364" s="759">
        <f t="shared" si="333"/>
        <v>0.17</v>
      </c>
      <c r="I5364" s="758">
        <f t="shared" si="334"/>
        <v>4.0540000000000003</v>
      </c>
      <c r="J5364" s="760">
        <f t="shared" si="335"/>
        <v>0.83347039473684204</v>
      </c>
    </row>
    <row r="5365" spans="1:10">
      <c r="A5365" s="74" t="s">
        <v>682</v>
      </c>
      <c r="B5365" s="74" t="s">
        <v>275</v>
      </c>
      <c r="C5365" s="74" t="s">
        <v>1565</v>
      </c>
      <c r="D5365" s="74" t="s">
        <v>78</v>
      </c>
      <c r="E5365" s="74">
        <v>16</v>
      </c>
      <c r="F5365" s="74">
        <v>89.32</v>
      </c>
      <c r="G5365" s="758">
        <f t="shared" si="332"/>
        <v>0.81</v>
      </c>
      <c r="H5365" s="759">
        <f t="shared" si="333"/>
        <v>0.17</v>
      </c>
      <c r="I5365" s="758">
        <f t="shared" si="334"/>
        <v>4.7724999999999991</v>
      </c>
      <c r="J5365" s="760">
        <f t="shared" si="335"/>
        <v>0.85490371697268253</v>
      </c>
    </row>
    <row r="5366" spans="1:10">
      <c r="A5366" s="74" t="s">
        <v>682</v>
      </c>
      <c r="B5366" s="74" t="s">
        <v>275</v>
      </c>
      <c r="C5366" s="74" t="s">
        <v>1530</v>
      </c>
      <c r="D5366" s="74" t="s">
        <v>80</v>
      </c>
      <c r="E5366" s="74">
        <v>14</v>
      </c>
      <c r="F5366" s="74">
        <v>72.73</v>
      </c>
      <c r="G5366" s="758">
        <f t="shared" si="332"/>
        <v>0.81</v>
      </c>
      <c r="H5366" s="759">
        <f t="shared" si="333"/>
        <v>0.17</v>
      </c>
      <c r="I5366" s="758">
        <f t="shared" si="334"/>
        <v>4.3849999999999998</v>
      </c>
      <c r="J5366" s="760">
        <f t="shared" si="335"/>
        <v>0.84408084696823871</v>
      </c>
    </row>
    <row r="5367" spans="1:10">
      <c r="A5367" s="74" t="s">
        <v>682</v>
      </c>
      <c r="B5367" s="74" t="s">
        <v>275</v>
      </c>
      <c r="C5367" s="74" t="s">
        <v>1532</v>
      </c>
      <c r="D5367" s="74" t="s">
        <v>80</v>
      </c>
      <c r="E5367" s="74">
        <v>31</v>
      </c>
      <c r="F5367" s="74">
        <v>153.47999999999999</v>
      </c>
      <c r="G5367" s="758">
        <f t="shared" si="332"/>
        <v>0.81</v>
      </c>
      <c r="H5367" s="759">
        <f t="shared" si="333"/>
        <v>0.17</v>
      </c>
      <c r="I5367" s="758">
        <f t="shared" si="334"/>
        <v>4.1409677419354836</v>
      </c>
      <c r="J5367" s="760">
        <f t="shared" si="335"/>
        <v>0.83639562157935887</v>
      </c>
    </row>
    <row r="5368" spans="1:10">
      <c r="A5368" s="74" t="s">
        <v>682</v>
      </c>
      <c r="B5368" s="74" t="s">
        <v>275</v>
      </c>
      <c r="C5368" s="74" t="s">
        <v>1511</v>
      </c>
      <c r="D5368" s="74" t="s">
        <v>80</v>
      </c>
      <c r="E5368" s="74">
        <v>31</v>
      </c>
      <c r="F5368" s="74">
        <v>160.32</v>
      </c>
      <c r="G5368" s="758">
        <f t="shared" si="332"/>
        <v>0.81</v>
      </c>
      <c r="H5368" s="759">
        <f t="shared" si="333"/>
        <v>0.17</v>
      </c>
      <c r="I5368" s="758">
        <f t="shared" si="334"/>
        <v>4.3616129032258062</v>
      </c>
      <c r="J5368" s="760">
        <f t="shared" si="335"/>
        <v>0.84337574850299402</v>
      </c>
    </row>
    <row r="5369" spans="1:10">
      <c r="A5369" s="74" t="s">
        <v>682</v>
      </c>
      <c r="B5369" s="74" t="s">
        <v>275</v>
      </c>
      <c r="C5369" s="74" t="s">
        <v>1512</v>
      </c>
      <c r="D5369" s="74" t="s">
        <v>80</v>
      </c>
      <c r="E5369" s="74">
        <v>25</v>
      </c>
      <c r="F5369" s="74">
        <v>133.13</v>
      </c>
      <c r="G5369" s="758">
        <f t="shared" si="332"/>
        <v>0.81</v>
      </c>
      <c r="H5369" s="759">
        <f t="shared" si="333"/>
        <v>0.17</v>
      </c>
      <c r="I5369" s="758">
        <f t="shared" si="334"/>
        <v>4.5152000000000001</v>
      </c>
      <c r="J5369" s="760">
        <f t="shared" si="335"/>
        <v>0.84789303688124384</v>
      </c>
    </row>
    <row r="5370" spans="1:10">
      <c r="A5370" s="74" t="s">
        <v>682</v>
      </c>
      <c r="B5370" s="74" t="s">
        <v>275</v>
      </c>
      <c r="C5370" s="74" t="s">
        <v>1534</v>
      </c>
      <c r="D5370" s="74" t="s">
        <v>81</v>
      </c>
      <c r="E5370" s="74">
        <v>16</v>
      </c>
      <c r="F5370" s="74">
        <v>76</v>
      </c>
      <c r="G5370" s="758">
        <f t="shared" si="332"/>
        <v>0.81</v>
      </c>
      <c r="H5370" s="759">
        <f t="shared" si="333"/>
        <v>0.17</v>
      </c>
      <c r="I5370" s="758">
        <f t="shared" si="334"/>
        <v>3.94</v>
      </c>
      <c r="J5370" s="760">
        <f t="shared" si="335"/>
        <v>0.82947368421052636</v>
      </c>
    </row>
    <row r="5371" spans="1:10">
      <c r="A5371" s="74" t="s">
        <v>682</v>
      </c>
      <c r="B5371" s="74" t="s">
        <v>275</v>
      </c>
      <c r="C5371" s="74" t="s">
        <v>1513</v>
      </c>
      <c r="D5371" s="74" t="s">
        <v>81</v>
      </c>
      <c r="E5371" s="74">
        <v>44</v>
      </c>
      <c r="F5371" s="74">
        <v>231.73</v>
      </c>
      <c r="G5371" s="758">
        <f t="shared" si="332"/>
        <v>0.81</v>
      </c>
      <c r="H5371" s="759">
        <f t="shared" si="333"/>
        <v>0.17</v>
      </c>
      <c r="I5371" s="758">
        <f t="shared" si="334"/>
        <v>4.4565909090909095</v>
      </c>
      <c r="J5371" s="760">
        <f t="shared" si="335"/>
        <v>0.84620031933715967</v>
      </c>
    </row>
    <row r="5372" spans="1:10">
      <c r="A5372" s="74" t="s">
        <v>682</v>
      </c>
      <c r="B5372" s="74" t="s">
        <v>275</v>
      </c>
      <c r="C5372" s="74" t="s">
        <v>1514</v>
      </c>
      <c r="D5372" s="74" t="s">
        <v>81</v>
      </c>
      <c r="E5372" s="74">
        <v>29</v>
      </c>
      <c r="F5372" s="74">
        <v>144.07</v>
      </c>
      <c r="G5372" s="758">
        <f t="shared" si="332"/>
        <v>0.81</v>
      </c>
      <c r="H5372" s="759">
        <f t="shared" si="333"/>
        <v>0.17</v>
      </c>
      <c r="I5372" s="758">
        <f t="shared" si="334"/>
        <v>4.1579310344827576</v>
      </c>
      <c r="J5372" s="760">
        <f t="shared" si="335"/>
        <v>0.83695425834663706</v>
      </c>
    </row>
    <row r="5373" spans="1:10">
      <c r="A5373" s="74" t="s">
        <v>682</v>
      </c>
      <c r="B5373" s="74" t="s">
        <v>275</v>
      </c>
      <c r="C5373" s="74" t="s">
        <v>1515</v>
      </c>
      <c r="D5373" s="74" t="s">
        <v>81</v>
      </c>
      <c r="E5373" s="74">
        <v>26</v>
      </c>
      <c r="F5373" s="74">
        <v>138.41</v>
      </c>
      <c r="G5373" s="758">
        <f t="shared" si="332"/>
        <v>0.81</v>
      </c>
      <c r="H5373" s="759">
        <f t="shared" si="333"/>
        <v>0.17</v>
      </c>
      <c r="I5373" s="758">
        <f t="shared" si="334"/>
        <v>4.513461538461538</v>
      </c>
      <c r="J5373" s="760">
        <f t="shared" si="335"/>
        <v>0.847843363918792</v>
      </c>
    </row>
    <row r="5374" spans="1:10">
      <c r="A5374" s="74" t="s">
        <v>682</v>
      </c>
      <c r="B5374" s="74" t="s">
        <v>275</v>
      </c>
      <c r="C5374" s="74" t="s">
        <v>1516</v>
      </c>
      <c r="D5374" s="74" t="s">
        <v>82</v>
      </c>
      <c r="E5374" s="74">
        <v>21</v>
      </c>
      <c r="F5374" s="74">
        <v>134.72999999999999</v>
      </c>
      <c r="G5374" s="758">
        <f t="shared" si="332"/>
        <v>0.81</v>
      </c>
      <c r="H5374" s="759">
        <f t="shared" si="333"/>
        <v>0.17</v>
      </c>
      <c r="I5374" s="758">
        <f t="shared" si="334"/>
        <v>5.605714285714285</v>
      </c>
      <c r="J5374" s="760">
        <f t="shared" si="335"/>
        <v>0.87374749498997994</v>
      </c>
    </row>
    <row r="5375" spans="1:10">
      <c r="A5375" s="74" t="s">
        <v>682</v>
      </c>
      <c r="B5375" s="74" t="s">
        <v>275</v>
      </c>
      <c r="C5375" s="74" t="s">
        <v>1517</v>
      </c>
      <c r="D5375" s="74" t="s">
        <v>82</v>
      </c>
      <c r="E5375" s="74">
        <v>12</v>
      </c>
      <c r="F5375" s="74">
        <v>69.75</v>
      </c>
      <c r="G5375" s="758">
        <f t="shared" si="332"/>
        <v>0.81</v>
      </c>
      <c r="H5375" s="759">
        <f t="shared" si="333"/>
        <v>0.17</v>
      </c>
      <c r="I5375" s="758">
        <f t="shared" si="334"/>
        <v>5.0024999999999995</v>
      </c>
      <c r="J5375" s="760">
        <f t="shared" si="335"/>
        <v>0.86064516129032254</v>
      </c>
    </row>
    <row r="5376" spans="1:10">
      <c r="A5376" s="74" t="s">
        <v>682</v>
      </c>
      <c r="B5376" s="74" t="s">
        <v>275</v>
      </c>
      <c r="C5376" s="74" t="s">
        <v>1527</v>
      </c>
      <c r="D5376" s="74" t="s">
        <v>82</v>
      </c>
      <c r="E5376" s="74">
        <v>20</v>
      </c>
      <c r="F5376" s="74">
        <v>109.45</v>
      </c>
      <c r="G5376" s="758">
        <f t="shared" si="332"/>
        <v>0.81</v>
      </c>
      <c r="H5376" s="759">
        <f t="shared" si="333"/>
        <v>0.17</v>
      </c>
      <c r="I5376" s="758">
        <f t="shared" si="334"/>
        <v>4.6624999999999996</v>
      </c>
      <c r="J5376" s="760">
        <f t="shared" si="335"/>
        <v>0.85198720877112832</v>
      </c>
    </row>
    <row r="5377" spans="1:10">
      <c r="A5377" s="74" t="s">
        <v>682</v>
      </c>
      <c r="B5377" s="74" t="s">
        <v>275</v>
      </c>
      <c r="C5377" s="74" t="s">
        <v>1518</v>
      </c>
      <c r="D5377" s="74" t="s">
        <v>82</v>
      </c>
      <c r="E5377" s="74">
        <v>15</v>
      </c>
      <c r="F5377" s="74">
        <v>87.25</v>
      </c>
      <c r="G5377" s="758">
        <f t="shared" si="332"/>
        <v>0.81</v>
      </c>
      <c r="H5377" s="759">
        <f t="shared" si="333"/>
        <v>0.17</v>
      </c>
      <c r="I5377" s="758">
        <f t="shared" si="334"/>
        <v>5.0066666666666659</v>
      </c>
      <c r="J5377" s="760">
        <f t="shared" si="335"/>
        <v>0.86074498567335245</v>
      </c>
    </row>
    <row r="5378" spans="1:10">
      <c r="A5378" s="74" t="s">
        <v>682</v>
      </c>
      <c r="B5378" s="74" t="s">
        <v>275</v>
      </c>
      <c r="C5378" s="74" t="s">
        <v>1519</v>
      </c>
      <c r="D5378" s="74" t="s">
        <v>84</v>
      </c>
      <c r="E5378" s="74">
        <v>3</v>
      </c>
      <c r="F5378" s="74">
        <v>17.5</v>
      </c>
      <c r="G5378" s="758">
        <f t="shared" ref="G5378:G5441" si="336">IFERROR(VLOOKUP(A5378,$M$1:$P$1014,2,FALSE),0)</f>
        <v>0.81</v>
      </c>
      <c r="H5378" s="759">
        <f t="shared" ref="H5378:H5441" si="337">IFERROR(VLOOKUP(A5378,$M$1:$P$1014,3,FALSE),0)</f>
        <v>0.17</v>
      </c>
      <c r="I5378" s="758">
        <f t="shared" ref="I5378:I5441" si="338">IFERROR(F5378/E5378-G5378,0)</f>
        <v>5.0233333333333334</v>
      </c>
      <c r="J5378" s="760">
        <f t="shared" ref="J5378:J5441" si="339">IFERROR(1-G5378*E5378/F5378,0)</f>
        <v>0.8611428571428571</v>
      </c>
    </row>
    <row r="5379" spans="1:10">
      <c r="A5379" s="74" t="s">
        <v>2119</v>
      </c>
      <c r="B5379" s="74" t="s">
        <v>275</v>
      </c>
      <c r="C5379" s="74" t="s">
        <v>1517</v>
      </c>
      <c r="D5379" s="74" t="s">
        <v>82</v>
      </c>
      <c r="E5379" s="74">
        <v>1</v>
      </c>
      <c r="F5379" s="74">
        <v>5.85</v>
      </c>
      <c r="G5379" s="758">
        <f t="shared" si="336"/>
        <v>0.81</v>
      </c>
      <c r="H5379" s="759">
        <f t="shared" si="337"/>
        <v>0.15</v>
      </c>
      <c r="I5379" s="758">
        <f t="shared" si="338"/>
        <v>5.0399999999999991</v>
      </c>
      <c r="J5379" s="760">
        <f t="shared" si="339"/>
        <v>0.86153846153846159</v>
      </c>
    </row>
    <row r="5380" spans="1:10">
      <c r="A5380" s="74" t="s">
        <v>2120</v>
      </c>
      <c r="B5380" s="74" t="s">
        <v>275</v>
      </c>
      <c r="C5380" s="74" t="s">
        <v>1517</v>
      </c>
      <c r="D5380" s="74" t="s">
        <v>82</v>
      </c>
      <c r="E5380" s="74">
        <v>1</v>
      </c>
      <c r="F5380" s="74">
        <v>5.95</v>
      </c>
      <c r="G5380" s="758">
        <f t="shared" si="336"/>
        <v>0.81</v>
      </c>
      <c r="H5380" s="759">
        <f t="shared" si="337"/>
        <v>0.15</v>
      </c>
      <c r="I5380" s="758">
        <f t="shared" si="338"/>
        <v>5.1400000000000006</v>
      </c>
      <c r="J5380" s="760">
        <f t="shared" si="339"/>
        <v>0.86386554621848743</v>
      </c>
    </row>
    <row r="5381" spans="1:10">
      <c r="A5381" s="74" t="s">
        <v>2121</v>
      </c>
      <c r="B5381" s="74" t="s">
        <v>877</v>
      </c>
      <c r="C5381" s="74" t="s">
        <v>1522</v>
      </c>
      <c r="D5381" s="74" t="s">
        <v>91</v>
      </c>
      <c r="E5381" s="74">
        <v>10</v>
      </c>
      <c r="F5381" s="74">
        <v>0</v>
      </c>
      <c r="G5381" s="758">
        <f t="shared" si="336"/>
        <v>0</v>
      </c>
      <c r="H5381" s="759">
        <f t="shared" si="337"/>
        <v>0</v>
      </c>
      <c r="I5381" s="758">
        <f t="shared" si="338"/>
        <v>0</v>
      </c>
      <c r="J5381" s="760">
        <f t="shared" si="339"/>
        <v>0</v>
      </c>
    </row>
    <row r="5382" spans="1:10">
      <c r="A5382" s="74" t="s">
        <v>2121</v>
      </c>
      <c r="B5382" s="74" t="s">
        <v>877</v>
      </c>
      <c r="C5382" s="74" t="s">
        <v>1614</v>
      </c>
      <c r="D5382" s="74" t="s">
        <v>92</v>
      </c>
      <c r="E5382" s="74">
        <v>5</v>
      </c>
      <c r="F5382" s="74">
        <v>0</v>
      </c>
      <c r="G5382" s="758">
        <f t="shared" si="336"/>
        <v>0</v>
      </c>
      <c r="H5382" s="759">
        <f t="shared" si="337"/>
        <v>0</v>
      </c>
      <c r="I5382" s="758">
        <f t="shared" si="338"/>
        <v>0</v>
      </c>
      <c r="J5382" s="760">
        <f t="shared" si="339"/>
        <v>0</v>
      </c>
    </row>
    <row r="5383" spans="1:10">
      <c r="A5383" s="74" t="s">
        <v>791</v>
      </c>
      <c r="B5383" s="74" t="s">
        <v>256</v>
      </c>
      <c r="C5383" s="74" t="s">
        <v>1511</v>
      </c>
      <c r="D5383" s="74" t="s">
        <v>80</v>
      </c>
      <c r="E5383" s="74">
        <v>29</v>
      </c>
      <c r="F5383" s="74">
        <v>145.22999999999999</v>
      </c>
      <c r="G5383" s="758">
        <f t="shared" si="336"/>
        <v>0</v>
      </c>
      <c r="H5383" s="759">
        <f t="shared" si="337"/>
        <v>0</v>
      </c>
      <c r="I5383" s="758">
        <f t="shared" si="338"/>
        <v>5.0079310344827581</v>
      </c>
      <c r="J5383" s="760">
        <f t="shared" si="339"/>
        <v>1</v>
      </c>
    </row>
    <row r="5384" spans="1:10">
      <c r="A5384" s="74" t="s">
        <v>791</v>
      </c>
      <c r="B5384" s="74" t="s">
        <v>256</v>
      </c>
      <c r="C5384" s="74" t="s">
        <v>1512</v>
      </c>
      <c r="D5384" s="74" t="s">
        <v>80</v>
      </c>
      <c r="E5384" s="74">
        <v>23</v>
      </c>
      <c r="F5384" s="74">
        <v>116.82</v>
      </c>
      <c r="G5384" s="758">
        <f t="shared" si="336"/>
        <v>0</v>
      </c>
      <c r="H5384" s="759">
        <f t="shared" si="337"/>
        <v>0</v>
      </c>
      <c r="I5384" s="758">
        <f t="shared" si="338"/>
        <v>5.0791304347826083</v>
      </c>
      <c r="J5384" s="760">
        <f t="shared" si="339"/>
        <v>1</v>
      </c>
    </row>
    <row r="5385" spans="1:10">
      <c r="A5385" s="74" t="s">
        <v>791</v>
      </c>
      <c r="B5385" s="74" t="s">
        <v>256</v>
      </c>
      <c r="C5385" s="74" t="s">
        <v>1513</v>
      </c>
      <c r="D5385" s="74" t="s">
        <v>81</v>
      </c>
      <c r="E5385" s="74">
        <v>42</v>
      </c>
      <c r="F5385" s="74">
        <v>211.36</v>
      </c>
      <c r="G5385" s="758">
        <f t="shared" si="336"/>
        <v>0</v>
      </c>
      <c r="H5385" s="759">
        <f t="shared" si="337"/>
        <v>0</v>
      </c>
      <c r="I5385" s="758">
        <f t="shared" si="338"/>
        <v>5.0323809523809526</v>
      </c>
      <c r="J5385" s="760">
        <f t="shared" si="339"/>
        <v>1</v>
      </c>
    </row>
    <row r="5386" spans="1:10">
      <c r="A5386" s="74" t="s">
        <v>791</v>
      </c>
      <c r="B5386" s="74" t="s">
        <v>256</v>
      </c>
      <c r="C5386" s="74" t="s">
        <v>1514</v>
      </c>
      <c r="D5386" s="74" t="s">
        <v>81</v>
      </c>
      <c r="E5386" s="74">
        <v>17</v>
      </c>
      <c r="F5386" s="74">
        <v>85.91</v>
      </c>
      <c r="G5386" s="758">
        <f t="shared" si="336"/>
        <v>0</v>
      </c>
      <c r="H5386" s="759">
        <f t="shared" si="337"/>
        <v>0</v>
      </c>
      <c r="I5386" s="758">
        <f t="shared" si="338"/>
        <v>5.053529411764706</v>
      </c>
      <c r="J5386" s="760">
        <f t="shared" si="339"/>
        <v>1</v>
      </c>
    </row>
    <row r="5387" spans="1:10">
      <c r="A5387" s="74" t="s">
        <v>791</v>
      </c>
      <c r="B5387" s="74" t="s">
        <v>256</v>
      </c>
      <c r="C5387" s="74" t="s">
        <v>1515</v>
      </c>
      <c r="D5387" s="74" t="s">
        <v>81</v>
      </c>
      <c r="E5387" s="74">
        <v>15</v>
      </c>
      <c r="F5387" s="74">
        <v>76.14</v>
      </c>
      <c r="G5387" s="758">
        <f t="shared" si="336"/>
        <v>0</v>
      </c>
      <c r="H5387" s="759">
        <f t="shared" si="337"/>
        <v>0</v>
      </c>
      <c r="I5387" s="758">
        <f t="shared" si="338"/>
        <v>5.0759999999999996</v>
      </c>
      <c r="J5387" s="760">
        <f t="shared" si="339"/>
        <v>1</v>
      </c>
    </row>
    <row r="5388" spans="1:10">
      <c r="A5388" s="74" t="s">
        <v>825</v>
      </c>
      <c r="B5388" s="74" t="s">
        <v>256</v>
      </c>
      <c r="C5388" s="74" t="s">
        <v>1514</v>
      </c>
      <c r="D5388" s="74" t="s">
        <v>81</v>
      </c>
      <c r="E5388" s="74">
        <v>8</v>
      </c>
      <c r="F5388" s="74">
        <v>0</v>
      </c>
      <c r="G5388" s="758">
        <f t="shared" si="336"/>
        <v>0</v>
      </c>
      <c r="H5388" s="759">
        <f t="shared" si="337"/>
        <v>0</v>
      </c>
      <c r="I5388" s="758">
        <f t="shared" si="338"/>
        <v>0</v>
      </c>
      <c r="J5388" s="760">
        <f t="shared" si="339"/>
        <v>0</v>
      </c>
    </row>
    <row r="5389" spans="1:10">
      <c r="A5389" s="74" t="s">
        <v>825</v>
      </c>
      <c r="B5389" s="74" t="s">
        <v>256</v>
      </c>
      <c r="C5389" s="74" t="s">
        <v>1515</v>
      </c>
      <c r="D5389" s="74" t="s">
        <v>81</v>
      </c>
      <c r="E5389" s="74">
        <v>2</v>
      </c>
      <c r="F5389" s="74">
        <v>0</v>
      </c>
      <c r="G5389" s="758">
        <f t="shared" si="336"/>
        <v>0</v>
      </c>
      <c r="H5389" s="759">
        <f t="shared" si="337"/>
        <v>0</v>
      </c>
      <c r="I5389" s="758">
        <f t="shared" si="338"/>
        <v>0</v>
      </c>
      <c r="J5389" s="760">
        <f t="shared" si="339"/>
        <v>0</v>
      </c>
    </row>
    <row r="5390" spans="1:10">
      <c r="A5390" s="74" t="s">
        <v>2122</v>
      </c>
      <c r="B5390" s="74" t="s">
        <v>877</v>
      </c>
      <c r="C5390" s="74" t="s">
        <v>1552</v>
      </c>
      <c r="D5390" s="74" t="s">
        <v>92</v>
      </c>
      <c r="E5390" s="74">
        <v>5</v>
      </c>
      <c r="F5390" s="74">
        <v>0</v>
      </c>
      <c r="G5390" s="758">
        <f t="shared" si="336"/>
        <v>0</v>
      </c>
      <c r="H5390" s="759">
        <f t="shared" si="337"/>
        <v>0</v>
      </c>
      <c r="I5390" s="758">
        <f t="shared" si="338"/>
        <v>0</v>
      </c>
      <c r="J5390" s="760">
        <f t="shared" si="339"/>
        <v>0</v>
      </c>
    </row>
    <row r="5391" spans="1:10">
      <c r="A5391" s="74" t="s">
        <v>2123</v>
      </c>
      <c r="B5391" s="74" t="s">
        <v>256</v>
      </c>
      <c r="C5391" s="74" t="s">
        <v>1515</v>
      </c>
      <c r="D5391" s="74" t="s">
        <v>81</v>
      </c>
      <c r="E5391" s="74">
        <v>1</v>
      </c>
      <c r="F5391" s="74">
        <v>5.6</v>
      </c>
      <c r="G5391" s="758">
        <f t="shared" si="336"/>
        <v>0.52</v>
      </c>
      <c r="H5391" s="759">
        <f t="shared" si="337"/>
        <v>0.2</v>
      </c>
      <c r="I5391" s="758">
        <f t="shared" si="338"/>
        <v>5.08</v>
      </c>
      <c r="J5391" s="760">
        <f t="shared" si="339"/>
        <v>0.90714285714285714</v>
      </c>
    </row>
    <row r="5392" spans="1:10">
      <c r="A5392" s="74" t="s">
        <v>2123</v>
      </c>
      <c r="B5392" s="74" t="s">
        <v>256</v>
      </c>
      <c r="C5392" s="74" t="s">
        <v>1646</v>
      </c>
      <c r="D5392" s="74" t="s">
        <v>86</v>
      </c>
      <c r="E5392" s="74">
        <v>1</v>
      </c>
      <c r="F5392" s="74">
        <v>5.6</v>
      </c>
      <c r="G5392" s="758">
        <f t="shared" si="336"/>
        <v>0.52</v>
      </c>
      <c r="H5392" s="759">
        <f t="shared" si="337"/>
        <v>0.2</v>
      </c>
      <c r="I5392" s="758">
        <f t="shared" si="338"/>
        <v>5.08</v>
      </c>
      <c r="J5392" s="760">
        <f t="shared" si="339"/>
        <v>0.90714285714285714</v>
      </c>
    </row>
    <row r="5393" spans="1:10">
      <c r="A5393" s="74" t="s">
        <v>2124</v>
      </c>
      <c r="B5393" s="74" t="s">
        <v>256</v>
      </c>
      <c r="C5393" s="74" t="s">
        <v>1524</v>
      </c>
      <c r="D5393" s="74" t="s">
        <v>91</v>
      </c>
      <c r="E5393" s="74">
        <v>1</v>
      </c>
      <c r="F5393" s="74">
        <v>7.45</v>
      </c>
      <c r="G5393" s="758">
        <f t="shared" si="336"/>
        <v>0</v>
      </c>
      <c r="H5393" s="759">
        <f t="shared" si="337"/>
        <v>0</v>
      </c>
      <c r="I5393" s="758">
        <f t="shared" si="338"/>
        <v>7.45</v>
      </c>
      <c r="J5393" s="760">
        <f t="shared" si="339"/>
        <v>1</v>
      </c>
    </row>
    <row r="5394" spans="1:10">
      <c r="A5394" s="74" t="s">
        <v>983</v>
      </c>
      <c r="B5394" s="74" t="s">
        <v>256</v>
      </c>
      <c r="C5394" s="74" t="s">
        <v>1528</v>
      </c>
      <c r="D5394" s="74" t="s">
        <v>78</v>
      </c>
      <c r="E5394" s="74">
        <v>1</v>
      </c>
      <c r="F5394" s="74">
        <v>2.6</v>
      </c>
      <c r="G5394" s="758">
        <f t="shared" si="336"/>
        <v>0.16</v>
      </c>
      <c r="H5394" s="759">
        <f t="shared" si="337"/>
        <v>0.13</v>
      </c>
      <c r="I5394" s="758">
        <f t="shared" si="338"/>
        <v>2.44</v>
      </c>
      <c r="J5394" s="760">
        <f t="shared" si="339"/>
        <v>0.93846153846153846</v>
      </c>
    </row>
    <row r="5395" spans="1:10">
      <c r="A5395" s="74" t="s">
        <v>983</v>
      </c>
      <c r="B5395" s="74" t="s">
        <v>256</v>
      </c>
      <c r="C5395" s="74" t="s">
        <v>1508</v>
      </c>
      <c r="D5395" s="74" t="s">
        <v>78</v>
      </c>
      <c r="E5395" s="74">
        <v>4</v>
      </c>
      <c r="F5395" s="74">
        <v>10.4</v>
      </c>
      <c r="G5395" s="758">
        <f t="shared" si="336"/>
        <v>0.16</v>
      </c>
      <c r="H5395" s="759">
        <f t="shared" si="337"/>
        <v>0.13</v>
      </c>
      <c r="I5395" s="758">
        <f t="shared" si="338"/>
        <v>2.44</v>
      </c>
      <c r="J5395" s="760">
        <f t="shared" si="339"/>
        <v>0.93846153846153846</v>
      </c>
    </row>
    <row r="5396" spans="1:10">
      <c r="A5396" s="74" t="s">
        <v>983</v>
      </c>
      <c r="B5396" s="74" t="s">
        <v>256</v>
      </c>
      <c r="C5396" s="74" t="s">
        <v>1509</v>
      </c>
      <c r="D5396" s="74" t="s">
        <v>78</v>
      </c>
      <c r="E5396" s="74">
        <v>1</v>
      </c>
      <c r="F5396" s="74">
        <v>2.6</v>
      </c>
      <c r="G5396" s="758">
        <f t="shared" si="336"/>
        <v>0.16</v>
      </c>
      <c r="H5396" s="759">
        <f t="shared" si="337"/>
        <v>0.13</v>
      </c>
      <c r="I5396" s="758">
        <f t="shared" si="338"/>
        <v>2.44</v>
      </c>
      <c r="J5396" s="760">
        <f t="shared" si="339"/>
        <v>0.93846153846153846</v>
      </c>
    </row>
    <row r="5397" spans="1:10">
      <c r="A5397" s="74" t="s">
        <v>983</v>
      </c>
      <c r="B5397" s="74" t="s">
        <v>256</v>
      </c>
      <c r="C5397" s="74" t="s">
        <v>1565</v>
      </c>
      <c r="D5397" s="74" t="s">
        <v>78</v>
      </c>
      <c r="E5397" s="74">
        <v>4</v>
      </c>
      <c r="F5397" s="74">
        <v>10.65</v>
      </c>
      <c r="G5397" s="758">
        <f t="shared" si="336"/>
        <v>0.16</v>
      </c>
      <c r="H5397" s="759">
        <f t="shared" si="337"/>
        <v>0.13</v>
      </c>
      <c r="I5397" s="758">
        <f t="shared" si="338"/>
        <v>2.5024999999999999</v>
      </c>
      <c r="J5397" s="760">
        <f t="shared" si="339"/>
        <v>0.93990610328638502</v>
      </c>
    </row>
    <row r="5398" spans="1:10">
      <c r="A5398" s="74" t="s">
        <v>983</v>
      </c>
      <c r="B5398" s="74" t="s">
        <v>256</v>
      </c>
      <c r="C5398" s="74" t="s">
        <v>1530</v>
      </c>
      <c r="D5398" s="74" t="s">
        <v>80</v>
      </c>
      <c r="E5398" s="74">
        <v>1</v>
      </c>
      <c r="F5398" s="74">
        <v>2.6</v>
      </c>
      <c r="G5398" s="758">
        <f t="shared" si="336"/>
        <v>0.16</v>
      </c>
      <c r="H5398" s="759">
        <f t="shared" si="337"/>
        <v>0.13</v>
      </c>
      <c r="I5398" s="758">
        <f t="shared" si="338"/>
        <v>2.44</v>
      </c>
      <c r="J5398" s="760">
        <f t="shared" si="339"/>
        <v>0.93846153846153846</v>
      </c>
    </row>
    <row r="5399" spans="1:10">
      <c r="A5399" s="74" t="s">
        <v>983</v>
      </c>
      <c r="B5399" s="74" t="s">
        <v>256</v>
      </c>
      <c r="C5399" s="74" t="s">
        <v>1512</v>
      </c>
      <c r="D5399" s="74" t="s">
        <v>80</v>
      </c>
      <c r="E5399" s="74">
        <v>1</v>
      </c>
      <c r="F5399" s="74">
        <v>2.6</v>
      </c>
      <c r="G5399" s="758">
        <f t="shared" si="336"/>
        <v>0.16</v>
      </c>
      <c r="H5399" s="759">
        <f t="shared" si="337"/>
        <v>0.13</v>
      </c>
      <c r="I5399" s="758">
        <f t="shared" si="338"/>
        <v>2.44</v>
      </c>
      <c r="J5399" s="760">
        <f t="shared" si="339"/>
        <v>0.93846153846153846</v>
      </c>
    </row>
    <row r="5400" spans="1:10">
      <c r="A5400" s="74" t="s">
        <v>983</v>
      </c>
      <c r="B5400" s="74" t="s">
        <v>256</v>
      </c>
      <c r="C5400" s="74" t="s">
        <v>1507</v>
      </c>
      <c r="D5400" s="74" t="s">
        <v>86</v>
      </c>
      <c r="E5400" s="74">
        <v>1</v>
      </c>
      <c r="F5400" s="74">
        <v>2.7</v>
      </c>
      <c r="G5400" s="758">
        <f t="shared" si="336"/>
        <v>0.16</v>
      </c>
      <c r="H5400" s="759">
        <f t="shared" si="337"/>
        <v>0.13</v>
      </c>
      <c r="I5400" s="758">
        <f t="shared" si="338"/>
        <v>2.54</v>
      </c>
      <c r="J5400" s="760">
        <f t="shared" si="339"/>
        <v>0.94074074074074077</v>
      </c>
    </row>
    <row r="5401" spans="1:10">
      <c r="A5401" s="74" t="s">
        <v>983</v>
      </c>
      <c r="B5401" s="74" t="s">
        <v>256</v>
      </c>
      <c r="C5401" s="74" t="s">
        <v>1546</v>
      </c>
      <c r="D5401" s="74" t="s">
        <v>89</v>
      </c>
      <c r="E5401" s="74">
        <v>1</v>
      </c>
      <c r="F5401" s="74">
        <v>3.25</v>
      </c>
      <c r="G5401" s="758">
        <f t="shared" si="336"/>
        <v>0.16</v>
      </c>
      <c r="H5401" s="759">
        <f t="shared" si="337"/>
        <v>0.13</v>
      </c>
      <c r="I5401" s="758">
        <f t="shared" si="338"/>
        <v>3.09</v>
      </c>
      <c r="J5401" s="760">
        <f t="shared" si="339"/>
        <v>0.95076923076923081</v>
      </c>
    </row>
    <row r="5402" spans="1:10">
      <c r="A5402" s="74" t="s">
        <v>983</v>
      </c>
      <c r="B5402" s="74" t="s">
        <v>256</v>
      </c>
      <c r="C5402" s="74" t="s">
        <v>1584</v>
      </c>
      <c r="D5402" s="74" t="s">
        <v>92</v>
      </c>
      <c r="E5402" s="74">
        <v>2</v>
      </c>
      <c r="F5402" s="74">
        <v>6.5</v>
      </c>
      <c r="G5402" s="758">
        <f t="shared" si="336"/>
        <v>0.16</v>
      </c>
      <c r="H5402" s="759">
        <f t="shared" si="337"/>
        <v>0.13</v>
      </c>
      <c r="I5402" s="758">
        <f t="shared" si="338"/>
        <v>3.09</v>
      </c>
      <c r="J5402" s="760">
        <f t="shared" si="339"/>
        <v>0.95076923076923081</v>
      </c>
    </row>
    <row r="5403" spans="1:10">
      <c r="A5403" s="74" t="s">
        <v>983</v>
      </c>
      <c r="B5403" s="74" t="s">
        <v>256</v>
      </c>
      <c r="C5403" s="74" t="s">
        <v>1552</v>
      </c>
      <c r="D5403" s="74" t="s">
        <v>92</v>
      </c>
      <c r="E5403" s="74">
        <v>1</v>
      </c>
      <c r="F5403" s="74">
        <v>3.25</v>
      </c>
      <c r="G5403" s="758">
        <f t="shared" si="336"/>
        <v>0.16</v>
      </c>
      <c r="H5403" s="759">
        <f t="shared" si="337"/>
        <v>0.13</v>
      </c>
      <c r="I5403" s="758">
        <f t="shared" si="338"/>
        <v>3.09</v>
      </c>
      <c r="J5403" s="760">
        <f t="shared" si="339"/>
        <v>0.95076923076923081</v>
      </c>
    </row>
    <row r="5404" spans="1:10">
      <c r="A5404" s="74" t="s">
        <v>983</v>
      </c>
      <c r="B5404" s="74" t="s">
        <v>256</v>
      </c>
      <c r="C5404" s="74" t="s">
        <v>1553</v>
      </c>
      <c r="D5404" s="74" t="s">
        <v>94</v>
      </c>
      <c r="E5404" s="74">
        <v>3</v>
      </c>
      <c r="F5404" s="74">
        <v>8.5</v>
      </c>
      <c r="G5404" s="758">
        <f t="shared" si="336"/>
        <v>0.16</v>
      </c>
      <c r="H5404" s="759">
        <f t="shared" si="337"/>
        <v>0.13</v>
      </c>
      <c r="I5404" s="758">
        <f t="shared" si="338"/>
        <v>2.6733333333333333</v>
      </c>
      <c r="J5404" s="760">
        <f t="shared" si="339"/>
        <v>0.94352941176470584</v>
      </c>
    </row>
    <row r="5405" spans="1:10">
      <c r="A5405" s="74" t="s">
        <v>983</v>
      </c>
      <c r="B5405" s="74" t="s">
        <v>256</v>
      </c>
      <c r="C5405" s="74" t="s">
        <v>1557</v>
      </c>
      <c r="D5405" s="74" t="s">
        <v>95</v>
      </c>
      <c r="E5405" s="74">
        <v>2</v>
      </c>
      <c r="F5405" s="74">
        <v>5.5</v>
      </c>
      <c r="G5405" s="758">
        <f t="shared" si="336"/>
        <v>0.16</v>
      </c>
      <c r="H5405" s="759">
        <f t="shared" si="337"/>
        <v>0.13</v>
      </c>
      <c r="I5405" s="758">
        <f t="shared" si="338"/>
        <v>2.59</v>
      </c>
      <c r="J5405" s="760">
        <f t="shared" si="339"/>
        <v>0.94181818181818178</v>
      </c>
    </row>
    <row r="5406" spans="1:10">
      <c r="A5406" s="74" t="s">
        <v>983</v>
      </c>
      <c r="B5406" s="74" t="s">
        <v>256</v>
      </c>
      <c r="C5406" s="74" t="s">
        <v>1526</v>
      </c>
      <c r="D5406" s="74" t="s">
        <v>95</v>
      </c>
      <c r="E5406" s="74">
        <v>1</v>
      </c>
      <c r="F5406" s="74">
        <v>3</v>
      </c>
      <c r="G5406" s="758">
        <f t="shared" si="336"/>
        <v>0.16</v>
      </c>
      <c r="H5406" s="759">
        <f t="shared" si="337"/>
        <v>0.13</v>
      </c>
      <c r="I5406" s="758">
        <f t="shared" si="338"/>
        <v>2.84</v>
      </c>
      <c r="J5406" s="760">
        <f t="shared" si="339"/>
        <v>0.94666666666666666</v>
      </c>
    </row>
    <row r="5407" spans="1:10">
      <c r="A5407" s="74" t="s">
        <v>255</v>
      </c>
      <c r="B5407" s="74" t="s">
        <v>256</v>
      </c>
      <c r="C5407" s="74" t="s">
        <v>1528</v>
      </c>
      <c r="D5407" s="74" t="s">
        <v>78</v>
      </c>
      <c r="E5407" s="74">
        <v>73</v>
      </c>
      <c r="F5407" s="74">
        <v>397.55</v>
      </c>
      <c r="G5407" s="758">
        <f t="shared" si="336"/>
        <v>0.96</v>
      </c>
      <c r="H5407" s="759">
        <f t="shared" si="337"/>
        <v>0.2</v>
      </c>
      <c r="I5407" s="758">
        <f t="shared" si="338"/>
        <v>4.4858904109589046</v>
      </c>
      <c r="J5407" s="760">
        <f t="shared" si="339"/>
        <v>0.82372028675638287</v>
      </c>
    </row>
    <row r="5408" spans="1:10">
      <c r="A5408" s="74" t="s">
        <v>255</v>
      </c>
      <c r="B5408" s="74" t="s">
        <v>256</v>
      </c>
      <c r="C5408" s="74" t="s">
        <v>1508</v>
      </c>
      <c r="D5408" s="74" t="s">
        <v>78</v>
      </c>
      <c r="E5408" s="74">
        <v>57</v>
      </c>
      <c r="F5408" s="74">
        <v>309.07</v>
      </c>
      <c r="G5408" s="758">
        <f t="shared" si="336"/>
        <v>0.96</v>
      </c>
      <c r="H5408" s="759">
        <f t="shared" si="337"/>
        <v>0.2</v>
      </c>
      <c r="I5408" s="758">
        <f t="shared" si="338"/>
        <v>4.462280701754386</v>
      </c>
      <c r="J5408" s="760">
        <f t="shared" si="339"/>
        <v>0.82295272915520756</v>
      </c>
    </row>
    <row r="5409" spans="1:10">
      <c r="A5409" s="74" t="s">
        <v>255</v>
      </c>
      <c r="B5409" s="74" t="s">
        <v>256</v>
      </c>
      <c r="C5409" s="74" t="s">
        <v>1509</v>
      </c>
      <c r="D5409" s="74" t="s">
        <v>78</v>
      </c>
      <c r="E5409" s="74">
        <v>65</v>
      </c>
      <c r="F5409" s="74">
        <v>349.15</v>
      </c>
      <c r="G5409" s="758">
        <f t="shared" si="336"/>
        <v>0.96</v>
      </c>
      <c r="H5409" s="759">
        <f t="shared" si="337"/>
        <v>0.2</v>
      </c>
      <c r="I5409" s="758">
        <f t="shared" si="338"/>
        <v>4.411538461538461</v>
      </c>
      <c r="J5409" s="760">
        <f t="shared" si="339"/>
        <v>0.82128025204067012</v>
      </c>
    </row>
    <row r="5410" spans="1:10">
      <c r="A5410" s="74" t="s">
        <v>255</v>
      </c>
      <c r="B5410" s="74" t="s">
        <v>256</v>
      </c>
      <c r="C5410" s="74" t="s">
        <v>1565</v>
      </c>
      <c r="D5410" s="74" t="s">
        <v>78</v>
      </c>
      <c r="E5410" s="74">
        <v>88</v>
      </c>
      <c r="F5410" s="74">
        <v>474.99</v>
      </c>
      <c r="G5410" s="758">
        <f t="shared" si="336"/>
        <v>0.96</v>
      </c>
      <c r="H5410" s="759">
        <f t="shared" si="337"/>
        <v>0.2</v>
      </c>
      <c r="I5410" s="758">
        <f t="shared" si="338"/>
        <v>4.4376136363636363</v>
      </c>
      <c r="J5410" s="760">
        <f t="shared" si="339"/>
        <v>0.82214362407629638</v>
      </c>
    </row>
    <row r="5411" spans="1:10">
      <c r="A5411" s="74" t="s">
        <v>255</v>
      </c>
      <c r="B5411" s="74" t="s">
        <v>256</v>
      </c>
      <c r="C5411" s="74" t="s">
        <v>1530</v>
      </c>
      <c r="D5411" s="74" t="s">
        <v>80</v>
      </c>
      <c r="E5411" s="74">
        <v>51</v>
      </c>
      <c r="F5411" s="74">
        <v>267.42</v>
      </c>
      <c r="G5411" s="758">
        <f t="shared" si="336"/>
        <v>0.96</v>
      </c>
      <c r="H5411" s="759">
        <f t="shared" si="337"/>
        <v>0.2</v>
      </c>
      <c r="I5411" s="758">
        <f t="shared" si="338"/>
        <v>4.2835294117647065</v>
      </c>
      <c r="J5411" s="760">
        <f t="shared" si="339"/>
        <v>0.81691720888490016</v>
      </c>
    </row>
    <row r="5412" spans="1:10">
      <c r="A5412" s="74" t="s">
        <v>255</v>
      </c>
      <c r="B5412" s="74" t="s">
        <v>256</v>
      </c>
      <c r="C5412" s="74" t="s">
        <v>1532</v>
      </c>
      <c r="D5412" s="74" t="s">
        <v>80</v>
      </c>
      <c r="E5412" s="74">
        <v>86</v>
      </c>
      <c r="F5412" s="74">
        <v>466.66</v>
      </c>
      <c r="G5412" s="758">
        <f t="shared" si="336"/>
        <v>0.96</v>
      </c>
      <c r="H5412" s="759">
        <f t="shared" si="337"/>
        <v>0.2</v>
      </c>
      <c r="I5412" s="758">
        <f t="shared" si="338"/>
        <v>4.4662790697674426</v>
      </c>
      <c r="J5412" s="760">
        <f t="shared" si="339"/>
        <v>0.82308318690267002</v>
      </c>
    </row>
    <row r="5413" spans="1:10">
      <c r="A5413" s="74" t="s">
        <v>255</v>
      </c>
      <c r="B5413" s="74" t="s">
        <v>256</v>
      </c>
      <c r="C5413" s="74" t="s">
        <v>1511</v>
      </c>
      <c r="D5413" s="74" t="s">
        <v>80</v>
      </c>
      <c r="E5413" s="74">
        <v>119</v>
      </c>
      <c r="F5413" s="74">
        <v>645.78</v>
      </c>
      <c r="G5413" s="758">
        <f t="shared" si="336"/>
        <v>0.96</v>
      </c>
      <c r="H5413" s="759">
        <f t="shared" si="337"/>
        <v>0.2</v>
      </c>
      <c r="I5413" s="758">
        <f t="shared" si="338"/>
        <v>4.4667226890756302</v>
      </c>
      <c r="J5413" s="760">
        <f t="shared" si="339"/>
        <v>0.82309764935426921</v>
      </c>
    </row>
    <row r="5414" spans="1:10">
      <c r="A5414" s="74" t="s">
        <v>255</v>
      </c>
      <c r="B5414" s="74" t="s">
        <v>256</v>
      </c>
      <c r="C5414" s="74" t="s">
        <v>1512</v>
      </c>
      <c r="D5414" s="74" t="s">
        <v>80</v>
      </c>
      <c r="E5414" s="74">
        <v>106</v>
      </c>
      <c r="F5414" s="74">
        <v>573.62</v>
      </c>
      <c r="G5414" s="758">
        <f t="shared" si="336"/>
        <v>0.96</v>
      </c>
      <c r="H5414" s="759">
        <f t="shared" si="337"/>
        <v>0.2</v>
      </c>
      <c r="I5414" s="758">
        <f t="shared" si="338"/>
        <v>4.4515094339622641</v>
      </c>
      <c r="J5414" s="760">
        <f t="shared" si="339"/>
        <v>0.82260032774310521</v>
      </c>
    </row>
    <row r="5415" spans="1:10">
      <c r="A5415" s="74" t="s">
        <v>255</v>
      </c>
      <c r="B5415" s="74" t="s">
        <v>256</v>
      </c>
      <c r="C5415" s="74" t="s">
        <v>1534</v>
      </c>
      <c r="D5415" s="74" t="s">
        <v>81</v>
      </c>
      <c r="E5415" s="74">
        <v>49</v>
      </c>
      <c r="F5415" s="74">
        <v>277.35000000000002</v>
      </c>
      <c r="G5415" s="758">
        <f t="shared" si="336"/>
        <v>0.96</v>
      </c>
      <c r="H5415" s="759">
        <f t="shared" si="337"/>
        <v>0.2</v>
      </c>
      <c r="I5415" s="758">
        <f t="shared" si="338"/>
        <v>4.7002040816326538</v>
      </c>
      <c r="J5415" s="760">
        <f t="shared" si="339"/>
        <v>0.83039480800432663</v>
      </c>
    </row>
    <row r="5416" spans="1:10">
      <c r="A5416" s="74" t="s">
        <v>255</v>
      </c>
      <c r="B5416" s="74" t="s">
        <v>256</v>
      </c>
      <c r="C5416" s="74" t="s">
        <v>1513</v>
      </c>
      <c r="D5416" s="74" t="s">
        <v>81</v>
      </c>
      <c r="E5416" s="74">
        <v>186</v>
      </c>
      <c r="F5416" s="74">
        <v>989.35</v>
      </c>
      <c r="G5416" s="758">
        <f t="shared" si="336"/>
        <v>0.96</v>
      </c>
      <c r="H5416" s="759">
        <f t="shared" si="337"/>
        <v>0.2</v>
      </c>
      <c r="I5416" s="758">
        <f t="shared" si="338"/>
        <v>4.3590860215053766</v>
      </c>
      <c r="J5416" s="760">
        <f t="shared" si="339"/>
        <v>0.81951786526507298</v>
      </c>
    </row>
    <row r="5417" spans="1:10">
      <c r="A5417" s="74" t="s">
        <v>255</v>
      </c>
      <c r="B5417" s="74" t="s">
        <v>256</v>
      </c>
      <c r="C5417" s="74" t="s">
        <v>1514</v>
      </c>
      <c r="D5417" s="74" t="s">
        <v>81</v>
      </c>
      <c r="E5417" s="74">
        <v>73</v>
      </c>
      <c r="F5417" s="74">
        <v>396.78</v>
      </c>
      <c r="G5417" s="758">
        <f t="shared" si="336"/>
        <v>0.96</v>
      </c>
      <c r="H5417" s="759">
        <f t="shared" si="337"/>
        <v>0.2</v>
      </c>
      <c r="I5417" s="758">
        <f t="shared" si="338"/>
        <v>4.4753424657534246</v>
      </c>
      <c r="J5417" s="760">
        <f t="shared" si="339"/>
        <v>0.8233781944654468</v>
      </c>
    </row>
    <row r="5418" spans="1:10">
      <c r="A5418" s="74" t="s">
        <v>255</v>
      </c>
      <c r="B5418" s="74" t="s">
        <v>256</v>
      </c>
      <c r="C5418" s="74" t="s">
        <v>1515</v>
      </c>
      <c r="D5418" s="74" t="s">
        <v>81</v>
      </c>
      <c r="E5418" s="74">
        <v>89</v>
      </c>
      <c r="F5418" s="74">
        <v>502.89</v>
      </c>
      <c r="G5418" s="758">
        <f t="shared" si="336"/>
        <v>0.96</v>
      </c>
      <c r="H5418" s="759">
        <f t="shared" si="337"/>
        <v>0.2</v>
      </c>
      <c r="I5418" s="758">
        <f t="shared" si="338"/>
        <v>4.690449438202247</v>
      </c>
      <c r="J5418" s="760">
        <f t="shared" si="339"/>
        <v>0.83010201038000364</v>
      </c>
    </row>
    <row r="5419" spans="1:10">
      <c r="A5419" s="74" t="s">
        <v>255</v>
      </c>
      <c r="B5419" s="74" t="s">
        <v>256</v>
      </c>
      <c r="C5419" s="74" t="s">
        <v>1516</v>
      </c>
      <c r="D5419" s="74" t="s">
        <v>82</v>
      </c>
      <c r="E5419" s="74">
        <v>50</v>
      </c>
      <c r="F5419" s="74">
        <v>293.08999999999997</v>
      </c>
      <c r="G5419" s="758">
        <f t="shared" si="336"/>
        <v>0.96</v>
      </c>
      <c r="H5419" s="759">
        <f t="shared" si="337"/>
        <v>0.2</v>
      </c>
      <c r="I5419" s="758">
        <f t="shared" si="338"/>
        <v>4.9017999999999997</v>
      </c>
      <c r="J5419" s="760">
        <f t="shared" si="339"/>
        <v>0.8362277798628408</v>
      </c>
    </row>
    <row r="5420" spans="1:10">
      <c r="A5420" s="74" t="s">
        <v>255</v>
      </c>
      <c r="B5420" s="74" t="s">
        <v>256</v>
      </c>
      <c r="C5420" s="74" t="s">
        <v>1517</v>
      </c>
      <c r="D5420" s="74" t="s">
        <v>82</v>
      </c>
      <c r="E5420" s="74">
        <v>57</v>
      </c>
      <c r="F5420" s="74">
        <v>322.64999999999998</v>
      </c>
      <c r="G5420" s="758">
        <f t="shared" si="336"/>
        <v>0.96</v>
      </c>
      <c r="H5420" s="759">
        <f t="shared" si="337"/>
        <v>0.2</v>
      </c>
      <c r="I5420" s="758">
        <f t="shared" si="338"/>
        <v>4.7005263157894737</v>
      </c>
      <c r="J5420" s="760">
        <f t="shared" si="339"/>
        <v>0.83040446304044635</v>
      </c>
    </row>
    <row r="5421" spans="1:10">
      <c r="A5421" s="74" t="s">
        <v>255</v>
      </c>
      <c r="B5421" s="74" t="s">
        <v>256</v>
      </c>
      <c r="C5421" s="74" t="s">
        <v>1527</v>
      </c>
      <c r="D5421" s="74" t="s">
        <v>82</v>
      </c>
      <c r="E5421" s="74">
        <v>82</v>
      </c>
      <c r="F5421" s="74">
        <v>463.55</v>
      </c>
      <c r="G5421" s="758">
        <f t="shared" si="336"/>
        <v>0.96</v>
      </c>
      <c r="H5421" s="759">
        <f t="shared" si="337"/>
        <v>0.2</v>
      </c>
      <c r="I5421" s="758">
        <f t="shared" si="338"/>
        <v>4.6930487804878052</v>
      </c>
      <c r="J5421" s="760">
        <f t="shared" si="339"/>
        <v>0.83018013159313986</v>
      </c>
    </row>
    <row r="5422" spans="1:10">
      <c r="A5422" s="74" t="s">
        <v>255</v>
      </c>
      <c r="B5422" s="74" t="s">
        <v>256</v>
      </c>
      <c r="C5422" s="74" t="s">
        <v>1518</v>
      </c>
      <c r="D5422" s="74" t="s">
        <v>82</v>
      </c>
      <c r="E5422" s="74">
        <v>53</v>
      </c>
      <c r="F5422" s="74">
        <v>300.42</v>
      </c>
      <c r="G5422" s="758">
        <f t="shared" si="336"/>
        <v>0.96</v>
      </c>
      <c r="H5422" s="759">
        <f t="shared" si="337"/>
        <v>0.2</v>
      </c>
      <c r="I5422" s="758">
        <f t="shared" si="338"/>
        <v>4.7083018867924533</v>
      </c>
      <c r="J5422" s="760">
        <f t="shared" si="339"/>
        <v>0.83063710804873181</v>
      </c>
    </row>
    <row r="5423" spans="1:10">
      <c r="A5423" s="74" t="s">
        <v>255</v>
      </c>
      <c r="B5423" s="74" t="s">
        <v>256</v>
      </c>
      <c r="C5423" s="74" t="s">
        <v>1519</v>
      </c>
      <c r="D5423" s="74" t="s">
        <v>84</v>
      </c>
      <c r="E5423" s="74">
        <v>15</v>
      </c>
      <c r="F5423" s="74">
        <v>84.53</v>
      </c>
      <c r="G5423" s="758">
        <f t="shared" si="336"/>
        <v>0.96</v>
      </c>
      <c r="H5423" s="759">
        <f t="shared" si="337"/>
        <v>0.2</v>
      </c>
      <c r="I5423" s="758">
        <f t="shared" si="338"/>
        <v>4.6753333333333336</v>
      </c>
      <c r="J5423" s="760">
        <f t="shared" si="339"/>
        <v>0.8296462794274222</v>
      </c>
    </row>
    <row r="5424" spans="1:10">
      <c r="A5424" s="74" t="s">
        <v>255</v>
      </c>
      <c r="B5424" s="74" t="s">
        <v>256</v>
      </c>
      <c r="C5424" s="74" t="s">
        <v>1520</v>
      </c>
      <c r="D5424" s="74" t="s">
        <v>84</v>
      </c>
      <c r="E5424" s="74">
        <v>1</v>
      </c>
      <c r="F5424" s="74">
        <v>5.6</v>
      </c>
      <c r="G5424" s="758">
        <f t="shared" si="336"/>
        <v>0.96</v>
      </c>
      <c r="H5424" s="759">
        <f t="shared" si="337"/>
        <v>0.2</v>
      </c>
      <c r="I5424" s="758">
        <f t="shared" si="338"/>
        <v>4.6399999999999997</v>
      </c>
      <c r="J5424" s="760">
        <f t="shared" si="339"/>
        <v>0.82857142857142851</v>
      </c>
    </row>
    <row r="5425" spans="1:10">
      <c r="A5425" s="74" t="s">
        <v>255</v>
      </c>
      <c r="B5425" s="74" t="s">
        <v>256</v>
      </c>
      <c r="C5425" s="74" t="s">
        <v>1577</v>
      </c>
      <c r="D5425" s="74" t="s">
        <v>84</v>
      </c>
      <c r="E5425" s="74">
        <v>1</v>
      </c>
      <c r="F5425" s="74">
        <v>5.75</v>
      </c>
      <c r="G5425" s="758">
        <f t="shared" si="336"/>
        <v>0.96</v>
      </c>
      <c r="H5425" s="759">
        <f t="shared" si="337"/>
        <v>0.2</v>
      </c>
      <c r="I5425" s="758">
        <f t="shared" si="338"/>
        <v>4.79</v>
      </c>
      <c r="J5425" s="760">
        <f t="shared" si="339"/>
        <v>0.83304347826086955</v>
      </c>
    </row>
    <row r="5426" spans="1:10">
      <c r="A5426" s="74" t="s">
        <v>255</v>
      </c>
      <c r="B5426" s="74" t="s">
        <v>256</v>
      </c>
      <c r="C5426" s="74" t="s">
        <v>1507</v>
      </c>
      <c r="D5426" s="74" t="s">
        <v>86</v>
      </c>
      <c r="E5426" s="74">
        <v>3</v>
      </c>
      <c r="F5426" s="74">
        <v>17.100000000000001</v>
      </c>
      <c r="G5426" s="758">
        <f t="shared" si="336"/>
        <v>0.96</v>
      </c>
      <c r="H5426" s="759">
        <f t="shared" si="337"/>
        <v>0.2</v>
      </c>
      <c r="I5426" s="758">
        <f t="shared" si="338"/>
        <v>4.74</v>
      </c>
      <c r="J5426" s="760">
        <f t="shared" si="339"/>
        <v>0.83157894736842108</v>
      </c>
    </row>
    <row r="5427" spans="1:10">
      <c r="A5427" s="74" t="s">
        <v>255</v>
      </c>
      <c r="B5427" s="74" t="s">
        <v>256</v>
      </c>
      <c r="C5427" s="74" t="s">
        <v>1578</v>
      </c>
      <c r="D5427" s="74" t="s">
        <v>86</v>
      </c>
      <c r="E5427" s="74">
        <v>4</v>
      </c>
      <c r="F5427" s="74">
        <v>22.7</v>
      </c>
      <c r="G5427" s="758">
        <f t="shared" si="336"/>
        <v>0.96</v>
      </c>
      <c r="H5427" s="759">
        <f t="shared" si="337"/>
        <v>0.2</v>
      </c>
      <c r="I5427" s="758">
        <f t="shared" si="338"/>
        <v>4.7149999999999999</v>
      </c>
      <c r="J5427" s="760">
        <f t="shared" si="339"/>
        <v>0.83083700440528641</v>
      </c>
    </row>
    <row r="5428" spans="1:10">
      <c r="A5428" s="74" t="s">
        <v>255</v>
      </c>
      <c r="B5428" s="74" t="s">
        <v>256</v>
      </c>
      <c r="C5428" s="74" t="s">
        <v>1646</v>
      </c>
      <c r="D5428" s="74" t="s">
        <v>86</v>
      </c>
      <c r="E5428" s="74">
        <v>5</v>
      </c>
      <c r="F5428" s="74">
        <v>28.45</v>
      </c>
      <c r="G5428" s="758">
        <f t="shared" si="336"/>
        <v>0.96</v>
      </c>
      <c r="H5428" s="759">
        <f t="shared" si="337"/>
        <v>0.2</v>
      </c>
      <c r="I5428" s="758">
        <f t="shared" si="338"/>
        <v>4.7299999999999995</v>
      </c>
      <c r="J5428" s="760">
        <f t="shared" si="339"/>
        <v>0.8312829525483304</v>
      </c>
    </row>
    <row r="5429" spans="1:10">
      <c r="A5429" s="74" t="s">
        <v>255</v>
      </c>
      <c r="B5429" s="74" t="s">
        <v>256</v>
      </c>
      <c r="C5429" s="74" t="s">
        <v>1541</v>
      </c>
      <c r="D5429" s="74" t="s">
        <v>86</v>
      </c>
      <c r="E5429" s="74">
        <v>6</v>
      </c>
      <c r="F5429" s="74">
        <v>33.9</v>
      </c>
      <c r="G5429" s="758">
        <f t="shared" si="336"/>
        <v>0.96</v>
      </c>
      <c r="H5429" s="759">
        <f t="shared" si="337"/>
        <v>0.2</v>
      </c>
      <c r="I5429" s="758">
        <f t="shared" si="338"/>
        <v>4.6899999999999995</v>
      </c>
      <c r="J5429" s="760">
        <f t="shared" si="339"/>
        <v>0.83008849557522124</v>
      </c>
    </row>
    <row r="5430" spans="1:10">
      <c r="A5430" s="74" t="s">
        <v>255</v>
      </c>
      <c r="B5430" s="74" t="s">
        <v>256</v>
      </c>
      <c r="C5430" s="74" t="s">
        <v>1543</v>
      </c>
      <c r="D5430" s="74" t="s">
        <v>87</v>
      </c>
      <c r="E5430" s="74">
        <v>5</v>
      </c>
      <c r="F5430" s="74">
        <v>28.15</v>
      </c>
      <c r="G5430" s="758">
        <f t="shared" si="336"/>
        <v>0.96</v>
      </c>
      <c r="H5430" s="759">
        <f t="shared" si="337"/>
        <v>0.2</v>
      </c>
      <c r="I5430" s="758">
        <f t="shared" si="338"/>
        <v>4.67</v>
      </c>
      <c r="J5430" s="760">
        <f t="shared" si="339"/>
        <v>0.82948490230905858</v>
      </c>
    </row>
    <row r="5431" spans="1:10">
      <c r="A5431" s="74" t="s">
        <v>255</v>
      </c>
      <c r="B5431" s="74" t="s">
        <v>256</v>
      </c>
      <c r="C5431" s="74" t="s">
        <v>1605</v>
      </c>
      <c r="D5431" s="74" t="s">
        <v>87</v>
      </c>
      <c r="E5431" s="74">
        <v>1</v>
      </c>
      <c r="F5431" s="74">
        <v>5.75</v>
      </c>
      <c r="G5431" s="758">
        <f t="shared" si="336"/>
        <v>0.96</v>
      </c>
      <c r="H5431" s="759">
        <f t="shared" si="337"/>
        <v>0.2</v>
      </c>
      <c r="I5431" s="758">
        <f t="shared" si="338"/>
        <v>4.79</v>
      </c>
      <c r="J5431" s="760">
        <f t="shared" si="339"/>
        <v>0.83304347826086955</v>
      </c>
    </row>
    <row r="5432" spans="1:10">
      <c r="A5432" s="74" t="s">
        <v>255</v>
      </c>
      <c r="B5432" s="74" t="s">
        <v>256</v>
      </c>
      <c r="C5432" s="74" t="s">
        <v>1561</v>
      </c>
      <c r="D5432" s="74" t="s">
        <v>87</v>
      </c>
      <c r="E5432" s="74">
        <v>1</v>
      </c>
      <c r="F5432" s="74">
        <v>5.6</v>
      </c>
      <c r="G5432" s="758">
        <f t="shared" si="336"/>
        <v>0.96</v>
      </c>
      <c r="H5432" s="759">
        <f t="shared" si="337"/>
        <v>0.2</v>
      </c>
      <c r="I5432" s="758">
        <f t="shared" si="338"/>
        <v>4.6399999999999997</v>
      </c>
      <c r="J5432" s="760">
        <f t="shared" si="339"/>
        <v>0.82857142857142851</v>
      </c>
    </row>
    <row r="5433" spans="1:10">
      <c r="A5433" s="74" t="s">
        <v>255</v>
      </c>
      <c r="B5433" s="74" t="s">
        <v>256</v>
      </c>
      <c r="C5433" s="74" t="s">
        <v>1608</v>
      </c>
      <c r="D5433" s="74" t="s">
        <v>89</v>
      </c>
      <c r="E5433" s="74">
        <v>2</v>
      </c>
      <c r="F5433" s="74">
        <v>11.5</v>
      </c>
      <c r="G5433" s="758">
        <f t="shared" si="336"/>
        <v>0.96</v>
      </c>
      <c r="H5433" s="759">
        <f t="shared" si="337"/>
        <v>0.2</v>
      </c>
      <c r="I5433" s="758">
        <f t="shared" si="338"/>
        <v>4.79</v>
      </c>
      <c r="J5433" s="760">
        <f t="shared" si="339"/>
        <v>0.83304347826086955</v>
      </c>
    </row>
    <row r="5434" spans="1:10">
      <c r="A5434" s="74" t="s">
        <v>255</v>
      </c>
      <c r="B5434" s="74" t="s">
        <v>256</v>
      </c>
      <c r="C5434" s="74" t="s">
        <v>1610</v>
      </c>
      <c r="D5434" s="74" t="s">
        <v>89</v>
      </c>
      <c r="E5434" s="74">
        <v>8</v>
      </c>
      <c r="F5434" s="74">
        <v>45.4</v>
      </c>
      <c r="G5434" s="758">
        <f t="shared" si="336"/>
        <v>0.96</v>
      </c>
      <c r="H5434" s="759">
        <f t="shared" si="337"/>
        <v>0.2</v>
      </c>
      <c r="I5434" s="758">
        <f t="shared" si="338"/>
        <v>4.7149999999999999</v>
      </c>
      <c r="J5434" s="760">
        <f t="shared" si="339"/>
        <v>0.83083700440528641</v>
      </c>
    </row>
    <row r="5435" spans="1:10">
      <c r="A5435" s="74" t="s">
        <v>255</v>
      </c>
      <c r="B5435" s="74" t="s">
        <v>256</v>
      </c>
      <c r="C5435" s="74" t="s">
        <v>1547</v>
      </c>
      <c r="D5435" s="74" t="s">
        <v>89</v>
      </c>
      <c r="E5435" s="74">
        <v>5</v>
      </c>
      <c r="F5435" s="74">
        <v>28.3</v>
      </c>
      <c r="G5435" s="758">
        <f t="shared" si="336"/>
        <v>0.96</v>
      </c>
      <c r="H5435" s="759">
        <f t="shared" si="337"/>
        <v>0.2</v>
      </c>
      <c r="I5435" s="758">
        <f t="shared" si="338"/>
        <v>4.7</v>
      </c>
      <c r="J5435" s="760">
        <f t="shared" si="339"/>
        <v>0.83038869257950532</v>
      </c>
    </row>
    <row r="5436" spans="1:10">
      <c r="A5436" s="74" t="s">
        <v>255</v>
      </c>
      <c r="B5436" s="74" t="s">
        <v>256</v>
      </c>
      <c r="C5436" s="74" t="s">
        <v>1582</v>
      </c>
      <c r="D5436" s="74" t="s">
        <v>89</v>
      </c>
      <c r="E5436" s="74">
        <v>4</v>
      </c>
      <c r="F5436" s="74">
        <v>22.85</v>
      </c>
      <c r="G5436" s="758">
        <f t="shared" si="336"/>
        <v>0.96</v>
      </c>
      <c r="H5436" s="759">
        <f t="shared" si="337"/>
        <v>0.2</v>
      </c>
      <c r="I5436" s="758">
        <f t="shared" si="338"/>
        <v>4.7525000000000004</v>
      </c>
      <c r="J5436" s="760">
        <f t="shared" si="339"/>
        <v>0.83194748358862147</v>
      </c>
    </row>
    <row r="5437" spans="1:10">
      <c r="A5437" s="74" t="s">
        <v>255</v>
      </c>
      <c r="B5437" s="74" t="s">
        <v>256</v>
      </c>
      <c r="C5437" s="74" t="s">
        <v>1522</v>
      </c>
      <c r="D5437" s="74" t="s">
        <v>91</v>
      </c>
      <c r="E5437" s="74">
        <v>4</v>
      </c>
      <c r="F5437" s="74">
        <v>23</v>
      </c>
      <c r="G5437" s="758">
        <f t="shared" si="336"/>
        <v>0.96</v>
      </c>
      <c r="H5437" s="759">
        <f t="shared" si="337"/>
        <v>0.2</v>
      </c>
      <c r="I5437" s="758">
        <f t="shared" si="338"/>
        <v>4.79</v>
      </c>
      <c r="J5437" s="760">
        <f t="shared" si="339"/>
        <v>0.83304347826086955</v>
      </c>
    </row>
    <row r="5438" spans="1:10">
      <c r="A5438" s="74" t="s">
        <v>255</v>
      </c>
      <c r="B5438" s="74" t="s">
        <v>256</v>
      </c>
      <c r="C5438" s="74" t="s">
        <v>1675</v>
      </c>
      <c r="D5438" s="74" t="s">
        <v>91</v>
      </c>
      <c r="E5438" s="74">
        <v>2</v>
      </c>
      <c r="F5438" s="74">
        <v>11.35</v>
      </c>
      <c r="G5438" s="758">
        <f t="shared" si="336"/>
        <v>0.96</v>
      </c>
      <c r="H5438" s="759">
        <f t="shared" si="337"/>
        <v>0.2</v>
      </c>
      <c r="I5438" s="758">
        <f t="shared" si="338"/>
        <v>4.7149999999999999</v>
      </c>
      <c r="J5438" s="760">
        <f t="shared" si="339"/>
        <v>0.83083700440528641</v>
      </c>
    </row>
    <row r="5439" spans="1:10">
      <c r="A5439" s="74" t="s">
        <v>255</v>
      </c>
      <c r="B5439" s="74" t="s">
        <v>256</v>
      </c>
      <c r="C5439" s="74" t="s">
        <v>1584</v>
      </c>
      <c r="D5439" s="74" t="s">
        <v>92</v>
      </c>
      <c r="E5439" s="74">
        <v>4</v>
      </c>
      <c r="F5439" s="74">
        <v>22.85</v>
      </c>
      <c r="G5439" s="758">
        <f t="shared" si="336"/>
        <v>0.96</v>
      </c>
      <c r="H5439" s="759">
        <f t="shared" si="337"/>
        <v>0.2</v>
      </c>
      <c r="I5439" s="758">
        <f t="shared" si="338"/>
        <v>4.7525000000000004</v>
      </c>
      <c r="J5439" s="760">
        <f t="shared" si="339"/>
        <v>0.83194748358862147</v>
      </c>
    </row>
    <row r="5440" spans="1:10">
      <c r="A5440" s="74" t="s">
        <v>255</v>
      </c>
      <c r="B5440" s="74" t="s">
        <v>256</v>
      </c>
      <c r="C5440" s="74" t="s">
        <v>1614</v>
      </c>
      <c r="D5440" s="74" t="s">
        <v>92</v>
      </c>
      <c r="E5440" s="74">
        <v>1</v>
      </c>
      <c r="F5440" s="74">
        <v>5.6</v>
      </c>
      <c r="G5440" s="758">
        <f t="shared" si="336"/>
        <v>0.96</v>
      </c>
      <c r="H5440" s="759">
        <f t="shared" si="337"/>
        <v>0.2</v>
      </c>
      <c r="I5440" s="758">
        <f t="shared" si="338"/>
        <v>4.6399999999999997</v>
      </c>
      <c r="J5440" s="760">
        <f t="shared" si="339"/>
        <v>0.82857142857142851</v>
      </c>
    </row>
    <row r="5441" spans="1:10">
      <c r="A5441" s="74" t="s">
        <v>255</v>
      </c>
      <c r="B5441" s="74" t="s">
        <v>256</v>
      </c>
      <c r="C5441" s="74" t="s">
        <v>1631</v>
      </c>
      <c r="D5441" s="74" t="s">
        <v>92</v>
      </c>
      <c r="E5441" s="74">
        <v>3</v>
      </c>
      <c r="F5441" s="74">
        <v>17.100000000000001</v>
      </c>
      <c r="G5441" s="758">
        <f t="shared" si="336"/>
        <v>0.96</v>
      </c>
      <c r="H5441" s="759">
        <f t="shared" si="337"/>
        <v>0.2</v>
      </c>
      <c r="I5441" s="758">
        <f t="shared" si="338"/>
        <v>4.74</v>
      </c>
      <c r="J5441" s="760">
        <f t="shared" si="339"/>
        <v>0.83157894736842108</v>
      </c>
    </row>
    <row r="5442" spans="1:10">
      <c r="A5442" s="74" t="s">
        <v>255</v>
      </c>
      <c r="B5442" s="74" t="s">
        <v>256</v>
      </c>
      <c r="C5442" s="74" t="s">
        <v>1617</v>
      </c>
      <c r="D5442" s="74" t="s">
        <v>94</v>
      </c>
      <c r="E5442" s="74">
        <v>1</v>
      </c>
      <c r="F5442" s="74">
        <v>5.6</v>
      </c>
      <c r="G5442" s="758">
        <f t="shared" ref="G5442:G5505" si="340">IFERROR(VLOOKUP(A5442,$M$1:$P$1014,2,FALSE),0)</f>
        <v>0.96</v>
      </c>
      <c r="H5442" s="759">
        <f t="shared" ref="H5442:H5505" si="341">IFERROR(VLOOKUP(A5442,$M$1:$P$1014,3,FALSE),0)</f>
        <v>0.2</v>
      </c>
      <c r="I5442" s="758">
        <f t="shared" ref="I5442:I5505" si="342">IFERROR(F5442/E5442-G5442,0)</f>
        <v>4.6399999999999997</v>
      </c>
      <c r="J5442" s="760">
        <f t="shared" ref="J5442:J5505" si="343">IFERROR(1-G5442*E5442/F5442,0)</f>
        <v>0.82857142857142851</v>
      </c>
    </row>
    <row r="5443" spans="1:10">
      <c r="A5443" s="74" t="s">
        <v>255</v>
      </c>
      <c r="B5443" s="74" t="s">
        <v>256</v>
      </c>
      <c r="C5443" s="74" t="s">
        <v>1555</v>
      </c>
      <c r="D5443" s="74" t="s">
        <v>94</v>
      </c>
      <c r="E5443" s="74">
        <v>1</v>
      </c>
      <c r="F5443" s="74">
        <v>5.6</v>
      </c>
      <c r="G5443" s="758">
        <f t="shared" si="340"/>
        <v>0.96</v>
      </c>
      <c r="H5443" s="759">
        <f t="shared" si="341"/>
        <v>0.2</v>
      </c>
      <c r="I5443" s="758">
        <f t="shared" si="342"/>
        <v>4.6399999999999997</v>
      </c>
      <c r="J5443" s="760">
        <f t="shared" si="343"/>
        <v>0.82857142857142851</v>
      </c>
    </row>
    <row r="5444" spans="1:10">
      <c r="A5444" s="74" t="s">
        <v>255</v>
      </c>
      <c r="B5444" s="74" t="s">
        <v>256</v>
      </c>
      <c r="C5444" s="74" t="s">
        <v>1557</v>
      </c>
      <c r="D5444" s="74" t="s">
        <v>95</v>
      </c>
      <c r="E5444" s="74">
        <v>2</v>
      </c>
      <c r="F5444" s="74">
        <v>11.2</v>
      </c>
      <c r="G5444" s="758">
        <f t="shared" si="340"/>
        <v>0.96</v>
      </c>
      <c r="H5444" s="759">
        <f t="shared" si="341"/>
        <v>0.2</v>
      </c>
      <c r="I5444" s="758">
        <f t="shared" si="342"/>
        <v>4.6399999999999997</v>
      </c>
      <c r="J5444" s="760">
        <f t="shared" si="343"/>
        <v>0.82857142857142851</v>
      </c>
    </row>
    <row r="5445" spans="1:10">
      <c r="A5445" s="74" t="s">
        <v>255</v>
      </c>
      <c r="B5445" s="74" t="s">
        <v>256</v>
      </c>
      <c r="C5445" s="74" t="s">
        <v>1526</v>
      </c>
      <c r="D5445" s="74" t="s">
        <v>95</v>
      </c>
      <c r="E5445" s="74">
        <v>3</v>
      </c>
      <c r="F5445" s="74">
        <v>17.100000000000001</v>
      </c>
      <c r="G5445" s="758">
        <f t="shared" si="340"/>
        <v>0.96</v>
      </c>
      <c r="H5445" s="759">
        <f t="shared" si="341"/>
        <v>0.2</v>
      </c>
      <c r="I5445" s="758">
        <f t="shared" si="342"/>
        <v>4.74</v>
      </c>
      <c r="J5445" s="760">
        <f t="shared" si="343"/>
        <v>0.83157894736842108</v>
      </c>
    </row>
    <row r="5446" spans="1:10">
      <c r="A5446" s="74" t="s">
        <v>255</v>
      </c>
      <c r="B5446" s="74" t="s">
        <v>256</v>
      </c>
      <c r="C5446" s="74" t="s">
        <v>1930</v>
      </c>
      <c r="D5446" s="74" t="s">
        <v>95</v>
      </c>
      <c r="E5446" s="74">
        <v>2</v>
      </c>
      <c r="F5446" s="74">
        <v>5.6</v>
      </c>
      <c r="G5446" s="758">
        <f t="shared" si="340"/>
        <v>0.96</v>
      </c>
      <c r="H5446" s="759">
        <f t="shared" si="341"/>
        <v>0.2</v>
      </c>
      <c r="I5446" s="758">
        <f t="shared" si="342"/>
        <v>1.8399999999999999</v>
      </c>
      <c r="J5446" s="760">
        <f t="shared" si="343"/>
        <v>0.65714285714285714</v>
      </c>
    </row>
    <row r="5447" spans="1:10">
      <c r="A5447" s="74" t="s">
        <v>2125</v>
      </c>
      <c r="B5447" s="74" t="s">
        <v>256</v>
      </c>
      <c r="C5447" s="74" t="s">
        <v>1577</v>
      </c>
      <c r="D5447" s="74" t="s">
        <v>84</v>
      </c>
      <c r="E5447" s="74">
        <v>1</v>
      </c>
      <c r="F5447" s="74">
        <v>4.4800000000000004</v>
      </c>
      <c r="G5447" s="758">
        <f t="shared" si="340"/>
        <v>0</v>
      </c>
      <c r="H5447" s="759">
        <f t="shared" si="341"/>
        <v>0</v>
      </c>
      <c r="I5447" s="758">
        <f t="shared" si="342"/>
        <v>4.4800000000000004</v>
      </c>
      <c r="J5447" s="760">
        <f t="shared" si="343"/>
        <v>1</v>
      </c>
    </row>
    <row r="5448" spans="1:10">
      <c r="A5448" s="74" t="s">
        <v>2126</v>
      </c>
      <c r="B5448" s="74" t="s">
        <v>256</v>
      </c>
      <c r="C5448" s="74" t="s">
        <v>1519</v>
      </c>
      <c r="D5448" s="74" t="s">
        <v>84</v>
      </c>
      <c r="E5448" s="74">
        <v>1</v>
      </c>
      <c r="F5448" s="74">
        <v>4.4800000000000004</v>
      </c>
      <c r="G5448" s="758">
        <f t="shared" si="340"/>
        <v>1.04</v>
      </c>
      <c r="H5448" s="759">
        <f t="shared" si="341"/>
        <v>0.26</v>
      </c>
      <c r="I5448" s="758">
        <f t="shared" si="342"/>
        <v>3.4400000000000004</v>
      </c>
      <c r="J5448" s="760">
        <f t="shared" si="343"/>
        <v>0.7678571428571429</v>
      </c>
    </row>
    <row r="5449" spans="1:10">
      <c r="A5449" s="74" t="s">
        <v>2127</v>
      </c>
      <c r="B5449" s="74" t="s">
        <v>256</v>
      </c>
      <c r="C5449" s="74" t="s">
        <v>1610</v>
      </c>
      <c r="D5449" s="74" t="s">
        <v>89</v>
      </c>
      <c r="E5449" s="74">
        <v>1</v>
      </c>
      <c r="F5449" s="74">
        <v>0</v>
      </c>
      <c r="G5449" s="758">
        <f t="shared" si="340"/>
        <v>0</v>
      </c>
      <c r="H5449" s="759">
        <f t="shared" si="341"/>
        <v>0</v>
      </c>
      <c r="I5449" s="758">
        <f t="shared" si="342"/>
        <v>0</v>
      </c>
      <c r="J5449" s="760">
        <f t="shared" si="343"/>
        <v>0</v>
      </c>
    </row>
    <row r="5450" spans="1:10">
      <c r="A5450" s="74" t="s">
        <v>2128</v>
      </c>
      <c r="B5450" s="74" t="s">
        <v>256</v>
      </c>
      <c r="C5450" s="74" t="s">
        <v>1522</v>
      </c>
      <c r="D5450" s="74" t="s">
        <v>91</v>
      </c>
      <c r="E5450" s="74">
        <v>1</v>
      </c>
      <c r="F5450" s="74">
        <v>0</v>
      </c>
      <c r="G5450" s="758">
        <f t="shared" si="340"/>
        <v>0</v>
      </c>
      <c r="H5450" s="759">
        <f t="shared" si="341"/>
        <v>0</v>
      </c>
      <c r="I5450" s="758">
        <f t="shared" si="342"/>
        <v>0</v>
      </c>
      <c r="J5450" s="760">
        <f t="shared" si="343"/>
        <v>0</v>
      </c>
    </row>
    <row r="5451" spans="1:10">
      <c r="A5451" s="74" t="s">
        <v>2129</v>
      </c>
      <c r="B5451" s="74" t="s">
        <v>256</v>
      </c>
      <c r="C5451" s="74" t="s">
        <v>1543</v>
      </c>
      <c r="D5451" s="74" t="s">
        <v>87</v>
      </c>
      <c r="E5451" s="74">
        <v>2</v>
      </c>
      <c r="F5451" s="74">
        <v>8.9600000000000009</v>
      </c>
      <c r="G5451" s="758">
        <f t="shared" si="340"/>
        <v>0</v>
      </c>
      <c r="H5451" s="759">
        <f t="shared" si="341"/>
        <v>0</v>
      </c>
      <c r="I5451" s="758">
        <f t="shared" si="342"/>
        <v>4.4800000000000004</v>
      </c>
      <c r="J5451" s="760">
        <f t="shared" si="343"/>
        <v>1</v>
      </c>
    </row>
    <row r="5452" spans="1:10">
      <c r="A5452" s="74" t="s">
        <v>966</v>
      </c>
      <c r="B5452" s="74" t="s">
        <v>256</v>
      </c>
      <c r="C5452" s="74" t="s">
        <v>1543</v>
      </c>
      <c r="D5452" s="74" t="s">
        <v>87</v>
      </c>
      <c r="E5452" s="74">
        <v>1</v>
      </c>
      <c r="F5452" s="74">
        <v>7.7</v>
      </c>
      <c r="G5452" s="758">
        <f t="shared" si="340"/>
        <v>0</v>
      </c>
      <c r="H5452" s="759">
        <f t="shared" si="341"/>
        <v>0</v>
      </c>
      <c r="I5452" s="758">
        <f t="shared" si="342"/>
        <v>7.7</v>
      </c>
      <c r="J5452" s="760">
        <f t="shared" si="343"/>
        <v>1</v>
      </c>
    </row>
    <row r="5453" spans="1:10">
      <c r="A5453" s="74" t="s">
        <v>966</v>
      </c>
      <c r="B5453" s="74" t="s">
        <v>256</v>
      </c>
      <c r="C5453" s="74" t="s">
        <v>1608</v>
      </c>
      <c r="D5453" s="74" t="s">
        <v>89</v>
      </c>
      <c r="E5453" s="74">
        <v>1</v>
      </c>
      <c r="F5453" s="74">
        <v>7.7</v>
      </c>
      <c r="G5453" s="758">
        <f t="shared" si="340"/>
        <v>0</v>
      </c>
      <c r="H5453" s="759">
        <f t="shared" si="341"/>
        <v>0</v>
      </c>
      <c r="I5453" s="758">
        <f t="shared" si="342"/>
        <v>7.7</v>
      </c>
      <c r="J5453" s="760">
        <f t="shared" si="343"/>
        <v>1</v>
      </c>
    </row>
    <row r="5454" spans="1:10">
      <c r="A5454" s="74" t="s">
        <v>966</v>
      </c>
      <c r="B5454" s="74" t="s">
        <v>256</v>
      </c>
      <c r="C5454" s="74" t="s">
        <v>1547</v>
      </c>
      <c r="D5454" s="74" t="s">
        <v>89</v>
      </c>
      <c r="E5454" s="74">
        <v>1</v>
      </c>
      <c r="F5454" s="74">
        <v>7.7</v>
      </c>
      <c r="G5454" s="758">
        <f t="shared" si="340"/>
        <v>0</v>
      </c>
      <c r="H5454" s="759">
        <f t="shared" si="341"/>
        <v>0</v>
      </c>
      <c r="I5454" s="758">
        <f t="shared" si="342"/>
        <v>7.7</v>
      </c>
      <c r="J5454" s="760">
        <f t="shared" si="343"/>
        <v>1</v>
      </c>
    </row>
    <row r="5455" spans="1:10">
      <c r="A5455" s="74" t="s">
        <v>966</v>
      </c>
      <c r="B5455" s="74" t="s">
        <v>256</v>
      </c>
      <c r="C5455" s="74" t="s">
        <v>1552</v>
      </c>
      <c r="D5455" s="74" t="s">
        <v>92</v>
      </c>
      <c r="E5455" s="74">
        <v>1</v>
      </c>
      <c r="F5455" s="74">
        <v>7.45</v>
      </c>
      <c r="G5455" s="758">
        <f t="shared" si="340"/>
        <v>0</v>
      </c>
      <c r="H5455" s="759">
        <f t="shared" si="341"/>
        <v>0</v>
      </c>
      <c r="I5455" s="758">
        <f t="shared" si="342"/>
        <v>7.45</v>
      </c>
      <c r="J5455" s="760">
        <f t="shared" si="343"/>
        <v>1</v>
      </c>
    </row>
    <row r="5456" spans="1:10">
      <c r="A5456" s="74" t="s">
        <v>2130</v>
      </c>
      <c r="B5456" s="74" t="s">
        <v>877</v>
      </c>
      <c r="C5456" s="74" t="s">
        <v>1519</v>
      </c>
      <c r="D5456" s="74" t="s">
        <v>84</v>
      </c>
      <c r="E5456" s="74">
        <v>2</v>
      </c>
      <c r="F5456" s="74">
        <v>0</v>
      </c>
      <c r="G5456" s="758">
        <f t="shared" si="340"/>
        <v>0</v>
      </c>
      <c r="H5456" s="759">
        <f t="shared" si="341"/>
        <v>0</v>
      </c>
      <c r="I5456" s="758">
        <f t="shared" si="342"/>
        <v>0</v>
      </c>
      <c r="J5456" s="760">
        <f t="shared" si="343"/>
        <v>0</v>
      </c>
    </row>
    <row r="5457" spans="1:10">
      <c r="A5457" s="74" t="s">
        <v>2130</v>
      </c>
      <c r="B5457" s="74" t="s">
        <v>877</v>
      </c>
      <c r="C5457" s="74" t="s">
        <v>1540</v>
      </c>
      <c r="D5457" s="74" t="s">
        <v>84</v>
      </c>
      <c r="E5457" s="74">
        <v>3</v>
      </c>
      <c r="F5457" s="74">
        <v>0</v>
      </c>
      <c r="G5457" s="758">
        <f t="shared" si="340"/>
        <v>0</v>
      </c>
      <c r="H5457" s="759">
        <f t="shared" si="341"/>
        <v>0</v>
      </c>
      <c r="I5457" s="758">
        <f t="shared" si="342"/>
        <v>0</v>
      </c>
      <c r="J5457" s="760">
        <f t="shared" si="343"/>
        <v>0</v>
      </c>
    </row>
    <row r="5458" spans="1:10">
      <c r="A5458" s="74" t="s">
        <v>2130</v>
      </c>
      <c r="B5458" s="74" t="s">
        <v>877</v>
      </c>
      <c r="C5458" s="74" t="s">
        <v>1507</v>
      </c>
      <c r="D5458" s="74" t="s">
        <v>86</v>
      </c>
      <c r="E5458" s="74">
        <v>12</v>
      </c>
      <c r="F5458" s="74">
        <v>0</v>
      </c>
      <c r="G5458" s="758">
        <f t="shared" si="340"/>
        <v>0</v>
      </c>
      <c r="H5458" s="759">
        <f t="shared" si="341"/>
        <v>0</v>
      </c>
      <c r="I5458" s="758">
        <f t="shared" si="342"/>
        <v>0</v>
      </c>
      <c r="J5458" s="760">
        <f t="shared" si="343"/>
        <v>0</v>
      </c>
    </row>
    <row r="5459" spans="1:10">
      <c r="A5459" s="74" t="s">
        <v>2131</v>
      </c>
      <c r="B5459" s="74" t="s">
        <v>873</v>
      </c>
      <c r="C5459" s="74" t="s">
        <v>1509</v>
      </c>
      <c r="D5459" s="74" t="s">
        <v>78</v>
      </c>
      <c r="E5459" s="74">
        <v>8</v>
      </c>
      <c r="F5459" s="74">
        <v>0</v>
      </c>
      <c r="G5459" s="758">
        <f t="shared" si="340"/>
        <v>0</v>
      </c>
      <c r="H5459" s="759">
        <f t="shared" si="341"/>
        <v>0</v>
      </c>
      <c r="I5459" s="758">
        <f t="shared" si="342"/>
        <v>0</v>
      </c>
      <c r="J5459" s="760">
        <f t="shared" si="343"/>
        <v>0</v>
      </c>
    </row>
    <row r="5460" spans="1:10">
      <c r="A5460" s="74" t="s">
        <v>740</v>
      </c>
      <c r="B5460" s="74" t="s">
        <v>264</v>
      </c>
      <c r="C5460" s="74" t="s">
        <v>1528</v>
      </c>
      <c r="D5460" s="74" t="s">
        <v>78</v>
      </c>
      <c r="E5460" s="74">
        <v>1</v>
      </c>
      <c r="F5460" s="74">
        <v>2.73</v>
      </c>
      <c r="G5460" s="758">
        <f t="shared" si="340"/>
        <v>0.16</v>
      </c>
      <c r="H5460" s="759">
        <f t="shared" si="341"/>
        <v>0.13</v>
      </c>
      <c r="I5460" s="758">
        <f t="shared" si="342"/>
        <v>2.57</v>
      </c>
      <c r="J5460" s="760">
        <f t="shared" si="343"/>
        <v>0.94139194139194138</v>
      </c>
    </row>
    <row r="5461" spans="1:10">
      <c r="A5461" s="74" t="s">
        <v>740</v>
      </c>
      <c r="B5461" s="74" t="s">
        <v>264</v>
      </c>
      <c r="C5461" s="74" t="s">
        <v>1508</v>
      </c>
      <c r="D5461" s="74" t="s">
        <v>78</v>
      </c>
      <c r="E5461" s="74">
        <v>4</v>
      </c>
      <c r="F5461" s="74">
        <v>10.45</v>
      </c>
      <c r="G5461" s="758">
        <f t="shared" si="340"/>
        <v>0.16</v>
      </c>
      <c r="H5461" s="759">
        <f t="shared" si="341"/>
        <v>0.13</v>
      </c>
      <c r="I5461" s="758">
        <f t="shared" si="342"/>
        <v>2.4524999999999997</v>
      </c>
      <c r="J5461" s="760">
        <f t="shared" si="343"/>
        <v>0.93875598086124401</v>
      </c>
    </row>
    <row r="5462" spans="1:10">
      <c r="A5462" s="74" t="s">
        <v>740</v>
      </c>
      <c r="B5462" s="74" t="s">
        <v>264</v>
      </c>
      <c r="C5462" s="74" t="s">
        <v>1509</v>
      </c>
      <c r="D5462" s="74" t="s">
        <v>78</v>
      </c>
      <c r="E5462" s="74">
        <v>5</v>
      </c>
      <c r="F5462" s="74">
        <v>12.5</v>
      </c>
      <c r="G5462" s="758">
        <f t="shared" si="340"/>
        <v>0.16</v>
      </c>
      <c r="H5462" s="759">
        <f t="shared" si="341"/>
        <v>0.13</v>
      </c>
      <c r="I5462" s="758">
        <f t="shared" si="342"/>
        <v>2.34</v>
      </c>
      <c r="J5462" s="760">
        <f t="shared" si="343"/>
        <v>0.93599999999999994</v>
      </c>
    </row>
    <row r="5463" spans="1:10">
      <c r="A5463" s="74" t="s">
        <v>740</v>
      </c>
      <c r="B5463" s="74" t="s">
        <v>264</v>
      </c>
      <c r="C5463" s="74" t="s">
        <v>1565</v>
      </c>
      <c r="D5463" s="74" t="s">
        <v>78</v>
      </c>
      <c r="E5463" s="74">
        <v>2</v>
      </c>
      <c r="F5463" s="74">
        <v>5</v>
      </c>
      <c r="G5463" s="758">
        <f t="shared" si="340"/>
        <v>0.16</v>
      </c>
      <c r="H5463" s="759">
        <f t="shared" si="341"/>
        <v>0.13</v>
      </c>
      <c r="I5463" s="758">
        <f t="shared" si="342"/>
        <v>2.34</v>
      </c>
      <c r="J5463" s="760">
        <f t="shared" si="343"/>
        <v>0.93599999999999994</v>
      </c>
    </row>
    <row r="5464" spans="1:10">
      <c r="A5464" s="74" t="s">
        <v>740</v>
      </c>
      <c r="B5464" s="74" t="s">
        <v>264</v>
      </c>
      <c r="C5464" s="74" t="s">
        <v>1530</v>
      </c>
      <c r="D5464" s="74" t="s">
        <v>80</v>
      </c>
      <c r="E5464" s="74">
        <v>1</v>
      </c>
      <c r="F5464" s="74">
        <v>2.5</v>
      </c>
      <c r="G5464" s="758">
        <f t="shared" si="340"/>
        <v>0.16</v>
      </c>
      <c r="H5464" s="759">
        <f t="shared" si="341"/>
        <v>0.13</v>
      </c>
      <c r="I5464" s="758">
        <f t="shared" si="342"/>
        <v>2.34</v>
      </c>
      <c r="J5464" s="760">
        <f t="shared" si="343"/>
        <v>0.93599999999999994</v>
      </c>
    </row>
    <row r="5465" spans="1:10">
      <c r="A5465" s="74" t="s">
        <v>740</v>
      </c>
      <c r="B5465" s="74" t="s">
        <v>264</v>
      </c>
      <c r="C5465" s="74" t="s">
        <v>1532</v>
      </c>
      <c r="D5465" s="74" t="s">
        <v>80</v>
      </c>
      <c r="E5465" s="74">
        <v>1</v>
      </c>
      <c r="F5465" s="74">
        <v>2.5</v>
      </c>
      <c r="G5465" s="758">
        <f t="shared" si="340"/>
        <v>0.16</v>
      </c>
      <c r="H5465" s="759">
        <f t="shared" si="341"/>
        <v>0.13</v>
      </c>
      <c r="I5465" s="758">
        <f t="shared" si="342"/>
        <v>2.34</v>
      </c>
      <c r="J5465" s="760">
        <f t="shared" si="343"/>
        <v>0.93599999999999994</v>
      </c>
    </row>
    <row r="5466" spans="1:10">
      <c r="A5466" s="74" t="s">
        <v>740</v>
      </c>
      <c r="B5466" s="74" t="s">
        <v>264</v>
      </c>
      <c r="C5466" s="74" t="s">
        <v>1511</v>
      </c>
      <c r="D5466" s="74" t="s">
        <v>80</v>
      </c>
      <c r="E5466" s="74">
        <v>4</v>
      </c>
      <c r="F5466" s="74">
        <v>10.23</v>
      </c>
      <c r="G5466" s="758">
        <f t="shared" si="340"/>
        <v>0.16</v>
      </c>
      <c r="H5466" s="759">
        <f t="shared" si="341"/>
        <v>0.13</v>
      </c>
      <c r="I5466" s="758">
        <f t="shared" si="342"/>
        <v>2.3975</v>
      </c>
      <c r="J5466" s="760">
        <f t="shared" si="343"/>
        <v>0.93743890518084072</v>
      </c>
    </row>
    <row r="5467" spans="1:10">
      <c r="A5467" s="74" t="s">
        <v>740</v>
      </c>
      <c r="B5467" s="74" t="s">
        <v>264</v>
      </c>
      <c r="C5467" s="74" t="s">
        <v>1512</v>
      </c>
      <c r="D5467" s="74" t="s">
        <v>80</v>
      </c>
      <c r="E5467" s="74">
        <v>5</v>
      </c>
      <c r="F5467" s="74">
        <v>12.5</v>
      </c>
      <c r="G5467" s="758">
        <f t="shared" si="340"/>
        <v>0.16</v>
      </c>
      <c r="H5467" s="759">
        <f t="shared" si="341"/>
        <v>0.13</v>
      </c>
      <c r="I5467" s="758">
        <f t="shared" si="342"/>
        <v>2.34</v>
      </c>
      <c r="J5467" s="760">
        <f t="shared" si="343"/>
        <v>0.93599999999999994</v>
      </c>
    </row>
    <row r="5468" spans="1:10">
      <c r="A5468" s="74" t="s">
        <v>740</v>
      </c>
      <c r="B5468" s="74" t="s">
        <v>264</v>
      </c>
      <c r="C5468" s="74" t="s">
        <v>1513</v>
      </c>
      <c r="D5468" s="74" t="s">
        <v>81</v>
      </c>
      <c r="E5468" s="74">
        <v>6</v>
      </c>
      <c r="F5468" s="74">
        <v>15.45</v>
      </c>
      <c r="G5468" s="758">
        <f t="shared" si="340"/>
        <v>0.16</v>
      </c>
      <c r="H5468" s="759">
        <f t="shared" si="341"/>
        <v>0.13</v>
      </c>
      <c r="I5468" s="758">
        <f t="shared" si="342"/>
        <v>2.4149999999999996</v>
      </c>
      <c r="J5468" s="760">
        <f t="shared" si="343"/>
        <v>0.93786407766990287</v>
      </c>
    </row>
    <row r="5469" spans="1:10">
      <c r="A5469" s="74" t="s">
        <v>740</v>
      </c>
      <c r="B5469" s="74" t="s">
        <v>264</v>
      </c>
      <c r="C5469" s="74" t="s">
        <v>1515</v>
      </c>
      <c r="D5469" s="74" t="s">
        <v>81</v>
      </c>
      <c r="E5469" s="74">
        <v>6</v>
      </c>
      <c r="F5469" s="74">
        <v>15.91</v>
      </c>
      <c r="G5469" s="758">
        <f t="shared" si="340"/>
        <v>0.16</v>
      </c>
      <c r="H5469" s="759">
        <f t="shared" si="341"/>
        <v>0.13</v>
      </c>
      <c r="I5469" s="758">
        <f t="shared" si="342"/>
        <v>2.4916666666666667</v>
      </c>
      <c r="J5469" s="760">
        <f t="shared" si="343"/>
        <v>0.93966059082338149</v>
      </c>
    </row>
    <row r="5470" spans="1:10">
      <c r="A5470" s="74" t="s">
        <v>2132</v>
      </c>
      <c r="B5470" s="74" t="s">
        <v>725</v>
      </c>
      <c r="C5470" s="74" t="s">
        <v>1565</v>
      </c>
      <c r="D5470" s="74" t="s">
        <v>78</v>
      </c>
      <c r="E5470" s="74">
        <v>1</v>
      </c>
      <c r="F5470" s="74">
        <v>0</v>
      </c>
      <c r="G5470" s="758">
        <f t="shared" si="340"/>
        <v>0.21</v>
      </c>
      <c r="H5470" s="759">
        <f t="shared" si="341"/>
        <v>7.0000000000000007E-2</v>
      </c>
      <c r="I5470" s="758">
        <f t="shared" si="342"/>
        <v>-0.21</v>
      </c>
      <c r="J5470" s="760">
        <f t="shared" si="343"/>
        <v>0</v>
      </c>
    </row>
    <row r="5471" spans="1:10">
      <c r="A5471" s="74" t="s">
        <v>2132</v>
      </c>
      <c r="B5471" s="74" t="s">
        <v>725</v>
      </c>
      <c r="C5471" s="74" t="s">
        <v>1517</v>
      </c>
      <c r="D5471" s="74" t="s">
        <v>82</v>
      </c>
      <c r="E5471" s="74">
        <v>2</v>
      </c>
      <c r="F5471" s="74">
        <v>6.2</v>
      </c>
      <c r="G5471" s="758">
        <f t="shared" si="340"/>
        <v>0.21</v>
      </c>
      <c r="H5471" s="759">
        <f t="shared" si="341"/>
        <v>7.0000000000000007E-2</v>
      </c>
      <c r="I5471" s="758">
        <f t="shared" si="342"/>
        <v>2.89</v>
      </c>
      <c r="J5471" s="760">
        <f t="shared" si="343"/>
        <v>0.93225806451612903</v>
      </c>
    </row>
    <row r="5472" spans="1:10">
      <c r="A5472" s="74" t="s">
        <v>2133</v>
      </c>
      <c r="B5472" s="74" t="s">
        <v>725</v>
      </c>
      <c r="C5472" s="74" t="s">
        <v>1511</v>
      </c>
      <c r="D5472" s="74" t="s">
        <v>80</v>
      </c>
      <c r="E5472" s="74">
        <v>1</v>
      </c>
      <c r="F5472" s="74">
        <v>3.6</v>
      </c>
      <c r="G5472" s="758">
        <f t="shared" si="340"/>
        <v>0.42</v>
      </c>
      <c r="H5472" s="759">
        <f t="shared" si="341"/>
        <v>0.13</v>
      </c>
      <c r="I5472" s="758">
        <f t="shared" si="342"/>
        <v>3.18</v>
      </c>
      <c r="J5472" s="760">
        <f t="shared" si="343"/>
        <v>0.8833333333333333</v>
      </c>
    </row>
    <row r="5473" spans="1:10">
      <c r="A5473" s="74" t="s">
        <v>2133</v>
      </c>
      <c r="B5473" s="74" t="s">
        <v>725</v>
      </c>
      <c r="C5473" s="74" t="s">
        <v>1534</v>
      </c>
      <c r="D5473" s="74" t="s">
        <v>81</v>
      </c>
      <c r="E5473" s="74">
        <v>1</v>
      </c>
      <c r="F5473" s="74">
        <v>3.6</v>
      </c>
      <c r="G5473" s="758">
        <f t="shared" si="340"/>
        <v>0.42</v>
      </c>
      <c r="H5473" s="759">
        <f t="shared" si="341"/>
        <v>0.13</v>
      </c>
      <c r="I5473" s="758">
        <f t="shared" si="342"/>
        <v>3.18</v>
      </c>
      <c r="J5473" s="760">
        <f t="shared" si="343"/>
        <v>0.8833333333333333</v>
      </c>
    </row>
    <row r="5474" spans="1:10">
      <c r="A5474" s="74" t="s">
        <v>2133</v>
      </c>
      <c r="B5474" s="74" t="s">
        <v>725</v>
      </c>
      <c r="C5474" s="74" t="s">
        <v>1514</v>
      </c>
      <c r="D5474" s="74" t="s">
        <v>81</v>
      </c>
      <c r="E5474" s="74">
        <v>1</v>
      </c>
      <c r="F5474" s="74">
        <v>3.6</v>
      </c>
      <c r="G5474" s="758">
        <f t="shared" si="340"/>
        <v>0.42</v>
      </c>
      <c r="H5474" s="759">
        <f t="shared" si="341"/>
        <v>0.13</v>
      </c>
      <c r="I5474" s="758">
        <f t="shared" si="342"/>
        <v>3.18</v>
      </c>
      <c r="J5474" s="760">
        <f t="shared" si="343"/>
        <v>0.8833333333333333</v>
      </c>
    </row>
    <row r="5475" spans="1:10">
      <c r="A5475" s="74" t="s">
        <v>2133</v>
      </c>
      <c r="B5475" s="74" t="s">
        <v>725</v>
      </c>
      <c r="C5475" s="74" t="s">
        <v>1517</v>
      </c>
      <c r="D5475" s="74" t="s">
        <v>82</v>
      </c>
      <c r="E5475" s="74">
        <v>2</v>
      </c>
      <c r="F5475" s="74">
        <v>7.2</v>
      </c>
      <c r="G5475" s="758">
        <f t="shared" si="340"/>
        <v>0.42</v>
      </c>
      <c r="H5475" s="759">
        <f t="shared" si="341"/>
        <v>0.13</v>
      </c>
      <c r="I5475" s="758">
        <f t="shared" si="342"/>
        <v>3.18</v>
      </c>
      <c r="J5475" s="760">
        <f t="shared" si="343"/>
        <v>0.8833333333333333</v>
      </c>
    </row>
    <row r="5476" spans="1:10">
      <c r="A5476" s="74" t="s">
        <v>2134</v>
      </c>
      <c r="B5476" s="74" t="s">
        <v>725</v>
      </c>
      <c r="C5476" s="74" t="s">
        <v>1515</v>
      </c>
      <c r="D5476" s="74" t="s">
        <v>81</v>
      </c>
      <c r="E5476" s="74">
        <v>1</v>
      </c>
      <c r="F5476" s="74">
        <v>2.1</v>
      </c>
      <c r="G5476" s="758">
        <f t="shared" si="340"/>
        <v>0.21</v>
      </c>
      <c r="H5476" s="759">
        <f t="shared" si="341"/>
        <v>0.11</v>
      </c>
      <c r="I5476" s="758">
        <f t="shared" si="342"/>
        <v>1.8900000000000001</v>
      </c>
      <c r="J5476" s="760">
        <f t="shared" si="343"/>
        <v>0.9</v>
      </c>
    </row>
    <row r="5477" spans="1:10">
      <c r="A5477" s="74" t="s">
        <v>1186</v>
      </c>
      <c r="B5477" s="74" t="s">
        <v>264</v>
      </c>
      <c r="C5477" s="74" t="s">
        <v>1675</v>
      </c>
      <c r="D5477" s="74" t="s">
        <v>91</v>
      </c>
      <c r="E5477" s="74">
        <v>1</v>
      </c>
      <c r="F5477" s="74">
        <v>0.7</v>
      </c>
      <c r="G5477" s="758">
        <f t="shared" si="340"/>
        <v>0</v>
      </c>
      <c r="H5477" s="759">
        <f t="shared" si="341"/>
        <v>0</v>
      </c>
      <c r="I5477" s="758">
        <f t="shared" si="342"/>
        <v>0.7</v>
      </c>
      <c r="J5477" s="760">
        <f t="shared" si="343"/>
        <v>1</v>
      </c>
    </row>
    <row r="5478" spans="1:10">
      <c r="A5478" s="74" t="s">
        <v>1186</v>
      </c>
      <c r="B5478" s="74" t="s">
        <v>264</v>
      </c>
      <c r="C5478" s="74" t="s">
        <v>1617</v>
      </c>
      <c r="D5478" s="74" t="s">
        <v>94</v>
      </c>
      <c r="E5478" s="74">
        <v>1</v>
      </c>
      <c r="F5478" s="74">
        <v>0.7</v>
      </c>
      <c r="G5478" s="758">
        <f t="shared" si="340"/>
        <v>0</v>
      </c>
      <c r="H5478" s="759">
        <f t="shared" si="341"/>
        <v>0</v>
      </c>
      <c r="I5478" s="758">
        <f t="shared" si="342"/>
        <v>0.7</v>
      </c>
      <c r="J5478" s="760">
        <f t="shared" si="343"/>
        <v>1</v>
      </c>
    </row>
    <row r="5479" spans="1:10">
      <c r="A5479" s="74" t="s">
        <v>2135</v>
      </c>
      <c r="B5479" s="74" t="s">
        <v>256</v>
      </c>
      <c r="C5479" s="74" t="s">
        <v>1527</v>
      </c>
      <c r="D5479" s="74" t="s">
        <v>82</v>
      </c>
      <c r="E5479" s="74">
        <v>2</v>
      </c>
      <c r="F5479" s="74">
        <v>12.05</v>
      </c>
      <c r="G5479" s="758">
        <f t="shared" si="340"/>
        <v>0.41</v>
      </c>
      <c r="H5479" s="759">
        <f t="shared" si="341"/>
        <v>7.0000000000000007E-2</v>
      </c>
      <c r="I5479" s="758">
        <f t="shared" si="342"/>
        <v>5.6150000000000002</v>
      </c>
      <c r="J5479" s="760">
        <f t="shared" si="343"/>
        <v>0.93195020746887969</v>
      </c>
    </row>
    <row r="5480" spans="1:10">
      <c r="A5480" s="74" t="s">
        <v>822</v>
      </c>
      <c r="B5480" s="74" t="s">
        <v>256</v>
      </c>
      <c r="C5480" s="74" t="s">
        <v>1513</v>
      </c>
      <c r="D5480" s="74" t="s">
        <v>81</v>
      </c>
      <c r="E5480" s="74">
        <v>2</v>
      </c>
      <c r="F5480" s="74">
        <v>10.73</v>
      </c>
      <c r="G5480" s="758">
        <f t="shared" si="340"/>
        <v>0.41</v>
      </c>
      <c r="H5480" s="759">
        <f t="shared" si="341"/>
        <v>7.0000000000000007E-2</v>
      </c>
      <c r="I5480" s="758">
        <f t="shared" si="342"/>
        <v>4.9550000000000001</v>
      </c>
      <c r="J5480" s="760">
        <f t="shared" si="343"/>
        <v>0.92357875116495802</v>
      </c>
    </row>
    <row r="5481" spans="1:10">
      <c r="A5481" s="74" t="s">
        <v>822</v>
      </c>
      <c r="B5481" s="74" t="s">
        <v>256</v>
      </c>
      <c r="C5481" s="74" t="s">
        <v>1514</v>
      </c>
      <c r="D5481" s="74" t="s">
        <v>81</v>
      </c>
      <c r="E5481" s="74">
        <v>6</v>
      </c>
      <c r="F5481" s="74">
        <v>32.409999999999997</v>
      </c>
      <c r="G5481" s="758">
        <f t="shared" si="340"/>
        <v>0.41</v>
      </c>
      <c r="H5481" s="759">
        <f t="shared" si="341"/>
        <v>7.0000000000000007E-2</v>
      </c>
      <c r="I5481" s="758">
        <f t="shared" si="342"/>
        <v>4.9916666666666663</v>
      </c>
      <c r="J5481" s="760">
        <f t="shared" si="343"/>
        <v>0.92409750077136688</v>
      </c>
    </row>
    <row r="5482" spans="1:10">
      <c r="A5482" s="74" t="s">
        <v>822</v>
      </c>
      <c r="B5482" s="74" t="s">
        <v>256</v>
      </c>
      <c r="C5482" s="74" t="s">
        <v>1515</v>
      </c>
      <c r="D5482" s="74" t="s">
        <v>81</v>
      </c>
      <c r="E5482" s="74">
        <v>2</v>
      </c>
      <c r="F5482" s="74">
        <v>10.73</v>
      </c>
      <c r="G5482" s="758">
        <f t="shared" si="340"/>
        <v>0.41</v>
      </c>
      <c r="H5482" s="759">
        <f t="shared" si="341"/>
        <v>7.0000000000000007E-2</v>
      </c>
      <c r="I5482" s="758">
        <f t="shared" si="342"/>
        <v>4.9550000000000001</v>
      </c>
      <c r="J5482" s="760">
        <f t="shared" si="343"/>
        <v>0.92357875116495802</v>
      </c>
    </row>
    <row r="5483" spans="1:10">
      <c r="A5483" s="74" t="s">
        <v>822</v>
      </c>
      <c r="B5483" s="74" t="s">
        <v>256</v>
      </c>
      <c r="C5483" s="74" t="s">
        <v>1516</v>
      </c>
      <c r="D5483" s="74" t="s">
        <v>82</v>
      </c>
      <c r="E5483" s="74">
        <v>10</v>
      </c>
      <c r="F5483" s="74">
        <v>75.3</v>
      </c>
      <c r="G5483" s="758">
        <f t="shared" si="340"/>
        <v>0.41</v>
      </c>
      <c r="H5483" s="759">
        <f t="shared" si="341"/>
        <v>7.0000000000000007E-2</v>
      </c>
      <c r="I5483" s="758">
        <f t="shared" si="342"/>
        <v>7.1199999999999992</v>
      </c>
      <c r="J5483" s="760">
        <f t="shared" si="343"/>
        <v>0.94555112881806114</v>
      </c>
    </row>
    <row r="5484" spans="1:10">
      <c r="A5484" s="74" t="s">
        <v>822</v>
      </c>
      <c r="B5484" s="74" t="s">
        <v>256</v>
      </c>
      <c r="C5484" s="74" t="s">
        <v>1517</v>
      </c>
      <c r="D5484" s="74" t="s">
        <v>82</v>
      </c>
      <c r="E5484" s="74">
        <v>11</v>
      </c>
      <c r="F5484" s="74">
        <v>65.650000000000006</v>
      </c>
      <c r="G5484" s="758">
        <f t="shared" si="340"/>
        <v>0.41</v>
      </c>
      <c r="H5484" s="759">
        <f t="shared" si="341"/>
        <v>7.0000000000000007E-2</v>
      </c>
      <c r="I5484" s="758">
        <f t="shared" si="342"/>
        <v>5.5581818181818186</v>
      </c>
      <c r="J5484" s="760">
        <f t="shared" si="343"/>
        <v>0.93130236100533126</v>
      </c>
    </row>
    <row r="5485" spans="1:10">
      <c r="A5485" s="74" t="s">
        <v>822</v>
      </c>
      <c r="B5485" s="74" t="s">
        <v>256</v>
      </c>
      <c r="C5485" s="74" t="s">
        <v>1527</v>
      </c>
      <c r="D5485" s="74" t="s">
        <v>82</v>
      </c>
      <c r="E5485" s="74">
        <v>2</v>
      </c>
      <c r="F5485" s="74">
        <v>11.8</v>
      </c>
      <c r="G5485" s="758">
        <f t="shared" si="340"/>
        <v>0.41</v>
      </c>
      <c r="H5485" s="759">
        <f t="shared" si="341"/>
        <v>7.0000000000000007E-2</v>
      </c>
      <c r="I5485" s="758">
        <f t="shared" si="342"/>
        <v>5.49</v>
      </c>
      <c r="J5485" s="760">
        <f t="shared" si="343"/>
        <v>0.93050847457627117</v>
      </c>
    </row>
    <row r="5486" spans="1:10">
      <c r="A5486" s="74" t="s">
        <v>2136</v>
      </c>
      <c r="B5486" s="74" t="s">
        <v>256</v>
      </c>
      <c r="C5486" s="74" t="s">
        <v>1605</v>
      </c>
      <c r="D5486" s="74" t="s">
        <v>87</v>
      </c>
      <c r="E5486" s="74">
        <v>1</v>
      </c>
      <c r="F5486" s="74">
        <v>6.25</v>
      </c>
      <c r="G5486" s="758">
        <f t="shared" si="340"/>
        <v>0</v>
      </c>
      <c r="H5486" s="759">
        <f t="shared" si="341"/>
        <v>0</v>
      </c>
      <c r="I5486" s="758">
        <f t="shared" si="342"/>
        <v>6.25</v>
      </c>
      <c r="J5486" s="760">
        <f t="shared" si="343"/>
        <v>1</v>
      </c>
    </row>
    <row r="5487" spans="1:10">
      <c r="A5487" s="74" t="s">
        <v>1193</v>
      </c>
      <c r="B5487" s="74" t="s">
        <v>877</v>
      </c>
      <c r="C5487" s="74" t="s">
        <v>1552</v>
      </c>
      <c r="D5487" s="74" t="s">
        <v>92</v>
      </c>
      <c r="E5487" s="74">
        <v>3</v>
      </c>
      <c r="F5487" s="74">
        <v>0</v>
      </c>
      <c r="G5487" s="758">
        <f t="shared" si="340"/>
        <v>0</v>
      </c>
      <c r="H5487" s="759">
        <f t="shared" si="341"/>
        <v>0</v>
      </c>
      <c r="I5487" s="758">
        <f t="shared" si="342"/>
        <v>0</v>
      </c>
      <c r="J5487" s="760">
        <f t="shared" si="343"/>
        <v>0</v>
      </c>
    </row>
    <row r="5488" spans="1:10">
      <c r="A5488" s="74" t="s">
        <v>2137</v>
      </c>
      <c r="B5488" s="74" t="s">
        <v>877</v>
      </c>
      <c r="C5488" s="74" t="s">
        <v>1577</v>
      </c>
      <c r="D5488" s="74" t="s">
        <v>84</v>
      </c>
      <c r="E5488" s="74">
        <v>4</v>
      </c>
      <c r="F5488" s="74">
        <v>0</v>
      </c>
      <c r="G5488" s="758">
        <f t="shared" si="340"/>
        <v>0</v>
      </c>
      <c r="H5488" s="759">
        <f t="shared" si="341"/>
        <v>0</v>
      </c>
      <c r="I5488" s="758">
        <f t="shared" si="342"/>
        <v>0</v>
      </c>
      <c r="J5488" s="760">
        <f t="shared" si="343"/>
        <v>0</v>
      </c>
    </row>
    <row r="5489" spans="1:10">
      <c r="A5489" s="74" t="s">
        <v>2138</v>
      </c>
      <c r="B5489" s="74" t="s">
        <v>877</v>
      </c>
      <c r="C5489" s="74" t="s">
        <v>1565</v>
      </c>
      <c r="D5489" s="74" t="s">
        <v>78</v>
      </c>
      <c r="E5489" s="74">
        <v>17</v>
      </c>
      <c r="F5489" s="74">
        <v>0</v>
      </c>
      <c r="G5489" s="758">
        <f t="shared" si="340"/>
        <v>2.95</v>
      </c>
      <c r="H5489" s="759">
        <f t="shared" si="341"/>
        <v>0</v>
      </c>
      <c r="I5489" s="758">
        <f t="shared" si="342"/>
        <v>-2.95</v>
      </c>
      <c r="J5489" s="760">
        <f t="shared" si="343"/>
        <v>0</v>
      </c>
    </row>
    <row r="5490" spans="1:10">
      <c r="A5490" s="74" t="s">
        <v>2138</v>
      </c>
      <c r="B5490" s="74" t="s">
        <v>877</v>
      </c>
      <c r="C5490" s="74" t="s">
        <v>1530</v>
      </c>
      <c r="D5490" s="74" t="s">
        <v>80</v>
      </c>
      <c r="E5490" s="74">
        <v>5</v>
      </c>
      <c r="F5490" s="74">
        <v>0</v>
      </c>
      <c r="G5490" s="758">
        <f t="shared" si="340"/>
        <v>2.95</v>
      </c>
      <c r="H5490" s="759">
        <f t="shared" si="341"/>
        <v>0</v>
      </c>
      <c r="I5490" s="758">
        <f t="shared" si="342"/>
        <v>-2.95</v>
      </c>
      <c r="J5490" s="760">
        <f t="shared" si="343"/>
        <v>0</v>
      </c>
    </row>
    <row r="5491" spans="1:10">
      <c r="A5491" s="74" t="s">
        <v>2138</v>
      </c>
      <c r="B5491" s="74" t="s">
        <v>877</v>
      </c>
      <c r="C5491" s="74" t="s">
        <v>1532</v>
      </c>
      <c r="D5491" s="74" t="s">
        <v>80</v>
      </c>
      <c r="E5491" s="74">
        <v>7</v>
      </c>
      <c r="F5491" s="74">
        <v>0</v>
      </c>
      <c r="G5491" s="758">
        <f t="shared" si="340"/>
        <v>2.95</v>
      </c>
      <c r="H5491" s="759">
        <f t="shared" si="341"/>
        <v>0</v>
      </c>
      <c r="I5491" s="758">
        <f t="shared" si="342"/>
        <v>-2.95</v>
      </c>
      <c r="J5491" s="760">
        <f t="shared" si="343"/>
        <v>0</v>
      </c>
    </row>
    <row r="5492" spans="1:10">
      <c r="A5492" s="74" t="s">
        <v>1037</v>
      </c>
      <c r="B5492" s="74" t="s">
        <v>264</v>
      </c>
      <c r="C5492" s="74" t="s">
        <v>1541</v>
      </c>
      <c r="D5492" s="74" t="s">
        <v>86</v>
      </c>
      <c r="E5492" s="74">
        <v>2</v>
      </c>
      <c r="F5492" s="74">
        <v>1.1000000000000001</v>
      </c>
      <c r="G5492" s="758">
        <f t="shared" si="340"/>
        <v>0</v>
      </c>
      <c r="H5492" s="759">
        <f t="shared" si="341"/>
        <v>0</v>
      </c>
      <c r="I5492" s="758">
        <f t="shared" si="342"/>
        <v>0.55000000000000004</v>
      </c>
      <c r="J5492" s="760">
        <f t="shared" si="343"/>
        <v>1</v>
      </c>
    </row>
    <row r="5493" spans="1:10">
      <c r="A5493" s="74" t="s">
        <v>1037</v>
      </c>
      <c r="B5493" s="74" t="s">
        <v>264</v>
      </c>
      <c r="C5493" s="74" t="s">
        <v>1543</v>
      </c>
      <c r="D5493" s="74" t="s">
        <v>87</v>
      </c>
      <c r="E5493" s="74">
        <v>1</v>
      </c>
      <c r="F5493" s="74">
        <v>0.55000000000000004</v>
      </c>
      <c r="G5493" s="758">
        <f t="shared" si="340"/>
        <v>0</v>
      </c>
      <c r="H5493" s="759">
        <f t="shared" si="341"/>
        <v>0</v>
      </c>
      <c r="I5493" s="758">
        <f t="shared" si="342"/>
        <v>0.55000000000000004</v>
      </c>
      <c r="J5493" s="760">
        <f t="shared" si="343"/>
        <v>1</v>
      </c>
    </row>
    <row r="5494" spans="1:10">
      <c r="A5494" s="74" t="s">
        <v>1037</v>
      </c>
      <c r="B5494" s="74" t="s">
        <v>264</v>
      </c>
      <c r="C5494" s="74" t="s">
        <v>1550</v>
      </c>
      <c r="D5494" s="74" t="s">
        <v>91</v>
      </c>
      <c r="E5494" s="74">
        <v>1</v>
      </c>
      <c r="F5494" s="74">
        <v>0.55000000000000004</v>
      </c>
      <c r="G5494" s="758">
        <f t="shared" si="340"/>
        <v>0</v>
      </c>
      <c r="H5494" s="759">
        <f t="shared" si="341"/>
        <v>0</v>
      </c>
      <c r="I5494" s="758">
        <f t="shared" si="342"/>
        <v>0.55000000000000004</v>
      </c>
      <c r="J5494" s="760">
        <f t="shared" si="343"/>
        <v>1</v>
      </c>
    </row>
    <row r="5495" spans="1:10">
      <c r="A5495" s="74" t="s">
        <v>775</v>
      </c>
      <c r="B5495" s="74" t="s">
        <v>695</v>
      </c>
      <c r="C5495" s="74" t="s">
        <v>1565</v>
      </c>
      <c r="D5495" s="74" t="s">
        <v>78</v>
      </c>
      <c r="E5495" s="74">
        <v>1</v>
      </c>
      <c r="F5495" s="74">
        <v>14.45</v>
      </c>
      <c r="G5495" s="758">
        <f t="shared" si="340"/>
        <v>0</v>
      </c>
      <c r="H5495" s="759">
        <f t="shared" si="341"/>
        <v>0</v>
      </c>
      <c r="I5495" s="758">
        <f t="shared" si="342"/>
        <v>14.45</v>
      </c>
      <c r="J5495" s="760">
        <f t="shared" si="343"/>
        <v>1</v>
      </c>
    </row>
    <row r="5496" spans="1:10">
      <c r="A5496" s="74" t="s">
        <v>775</v>
      </c>
      <c r="B5496" s="74" t="s">
        <v>695</v>
      </c>
      <c r="C5496" s="74" t="s">
        <v>1511</v>
      </c>
      <c r="D5496" s="74" t="s">
        <v>80</v>
      </c>
      <c r="E5496" s="74">
        <v>3</v>
      </c>
      <c r="F5496" s="74">
        <v>43.36</v>
      </c>
      <c r="G5496" s="758">
        <f t="shared" si="340"/>
        <v>0</v>
      </c>
      <c r="H5496" s="759">
        <f t="shared" si="341"/>
        <v>0</v>
      </c>
      <c r="I5496" s="758">
        <f t="shared" si="342"/>
        <v>14.453333333333333</v>
      </c>
      <c r="J5496" s="760">
        <f t="shared" si="343"/>
        <v>1</v>
      </c>
    </row>
    <row r="5497" spans="1:10">
      <c r="A5497" s="74" t="s">
        <v>2139</v>
      </c>
      <c r="B5497" s="74" t="s">
        <v>873</v>
      </c>
      <c r="C5497" s="74" t="s">
        <v>1511</v>
      </c>
      <c r="D5497" s="74" t="s">
        <v>80</v>
      </c>
      <c r="E5497" s="74">
        <v>2</v>
      </c>
      <c r="F5497" s="74">
        <v>0</v>
      </c>
      <c r="G5497" s="758">
        <f t="shared" si="340"/>
        <v>0</v>
      </c>
      <c r="H5497" s="759">
        <f t="shared" si="341"/>
        <v>0</v>
      </c>
      <c r="I5497" s="758">
        <f t="shared" si="342"/>
        <v>0</v>
      </c>
      <c r="J5497" s="760">
        <f t="shared" si="343"/>
        <v>0</v>
      </c>
    </row>
    <row r="5498" spans="1:10">
      <c r="A5498" s="74" t="s">
        <v>2139</v>
      </c>
      <c r="B5498" s="74" t="s">
        <v>873</v>
      </c>
      <c r="C5498" s="74" t="s">
        <v>1517</v>
      </c>
      <c r="D5498" s="74" t="s">
        <v>82</v>
      </c>
      <c r="E5498" s="74">
        <v>4</v>
      </c>
      <c r="F5498" s="74">
        <v>0</v>
      </c>
      <c r="G5498" s="758">
        <f t="shared" si="340"/>
        <v>0</v>
      </c>
      <c r="H5498" s="759">
        <f t="shared" si="341"/>
        <v>0</v>
      </c>
      <c r="I5498" s="758">
        <f t="shared" si="342"/>
        <v>0</v>
      </c>
      <c r="J5498" s="760">
        <f t="shared" si="343"/>
        <v>0</v>
      </c>
    </row>
    <row r="5499" spans="1:10">
      <c r="A5499" s="74" t="s">
        <v>2140</v>
      </c>
      <c r="B5499" s="74" t="s">
        <v>873</v>
      </c>
      <c r="C5499" s="74" t="s">
        <v>1511</v>
      </c>
      <c r="D5499" s="74" t="s">
        <v>80</v>
      </c>
      <c r="E5499" s="74">
        <v>2</v>
      </c>
      <c r="F5499" s="74">
        <v>0</v>
      </c>
      <c r="G5499" s="758">
        <f t="shared" si="340"/>
        <v>0</v>
      </c>
      <c r="H5499" s="759">
        <f t="shared" si="341"/>
        <v>0</v>
      </c>
      <c r="I5499" s="758">
        <f t="shared" si="342"/>
        <v>0</v>
      </c>
      <c r="J5499" s="760">
        <f t="shared" si="343"/>
        <v>0</v>
      </c>
    </row>
    <row r="5500" spans="1:10">
      <c r="A5500" s="74" t="s">
        <v>833</v>
      </c>
      <c r="B5500" s="74" t="s">
        <v>815</v>
      </c>
      <c r="C5500" s="74" t="s">
        <v>1528</v>
      </c>
      <c r="D5500" s="74" t="s">
        <v>78</v>
      </c>
      <c r="E5500" s="74">
        <v>18</v>
      </c>
      <c r="F5500" s="74">
        <v>96.35</v>
      </c>
      <c r="G5500" s="758">
        <f t="shared" si="340"/>
        <v>1.05</v>
      </c>
      <c r="H5500" s="759">
        <f t="shared" si="341"/>
        <v>0.21</v>
      </c>
      <c r="I5500" s="758">
        <f t="shared" si="342"/>
        <v>4.302777777777778</v>
      </c>
      <c r="J5500" s="760">
        <f t="shared" si="343"/>
        <v>0.8038401660612351</v>
      </c>
    </row>
    <row r="5501" spans="1:10">
      <c r="A5501" s="74" t="s">
        <v>833</v>
      </c>
      <c r="B5501" s="74" t="s">
        <v>815</v>
      </c>
      <c r="C5501" s="74" t="s">
        <v>1508</v>
      </c>
      <c r="D5501" s="74" t="s">
        <v>78</v>
      </c>
      <c r="E5501" s="74">
        <v>20</v>
      </c>
      <c r="F5501" s="74">
        <v>115.15</v>
      </c>
      <c r="G5501" s="758">
        <f t="shared" si="340"/>
        <v>1.05</v>
      </c>
      <c r="H5501" s="759">
        <f t="shared" si="341"/>
        <v>0.21</v>
      </c>
      <c r="I5501" s="758">
        <f t="shared" si="342"/>
        <v>4.7075000000000005</v>
      </c>
      <c r="J5501" s="760">
        <f t="shared" si="343"/>
        <v>0.81762917933130697</v>
      </c>
    </row>
    <row r="5502" spans="1:10">
      <c r="A5502" s="74" t="s">
        <v>833</v>
      </c>
      <c r="B5502" s="74" t="s">
        <v>815</v>
      </c>
      <c r="C5502" s="74" t="s">
        <v>1509</v>
      </c>
      <c r="D5502" s="74" t="s">
        <v>78</v>
      </c>
      <c r="E5502" s="74">
        <v>14</v>
      </c>
      <c r="F5502" s="74">
        <v>72.5</v>
      </c>
      <c r="G5502" s="758">
        <f t="shared" si="340"/>
        <v>1.05</v>
      </c>
      <c r="H5502" s="759">
        <f t="shared" si="341"/>
        <v>0.21</v>
      </c>
      <c r="I5502" s="758">
        <f t="shared" si="342"/>
        <v>4.128571428571429</v>
      </c>
      <c r="J5502" s="760">
        <f t="shared" si="343"/>
        <v>0.79724137931034478</v>
      </c>
    </row>
    <row r="5503" spans="1:10">
      <c r="A5503" s="74" t="s">
        <v>833</v>
      </c>
      <c r="B5503" s="74" t="s">
        <v>815</v>
      </c>
      <c r="C5503" s="74" t="s">
        <v>1565</v>
      </c>
      <c r="D5503" s="74" t="s">
        <v>78</v>
      </c>
      <c r="E5503" s="74">
        <v>19</v>
      </c>
      <c r="F5503" s="74">
        <v>105.86</v>
      </c>
      <c r="G5503" s="758">
        <f t="shared" si="340"/>
        <v>1.05</v>
      </c>
      <c r="H5503" s="759">
        <f t="shared" si="341"/>
        <v>0.21</v>
      </c>
      <c r="I5503" s="758">
        <f t="shared" si="342"/>
        <v>4.5215789473684209</v>
      </c>
      <c r="J5503" s="760">
        <f t="shared" si="343"/>
        <v>0.81154354808237295</v>
      </c>
    </row>
    <row r="5504" spans="1:10">
      <c r="A5504" s="74" t="s">
        <v>833</v>
      </c>
      <c r="B5504" s="74" t="s">
        <v>815</v>
      </c>
      <c r="C5504" s="74" t="s">
        <v>1530</v>
      </c>
      <c r="D5504" s="74" t="s">
        <v>80</v>
      </c>
      <c r="E5504" s="74">
        <v>1</v>
      </c>
      <c r="F5504" s="74">
        <v>5.25</v>
      </c>
      <c r="G5504" s="758">
        <f t="shared" si="340"/>
        <v>1.05</v>
      </c>
      <c r="H5504" s="759">
        <f t="shared" si="341"/>
        <v>0.21</v>
      </c>
      <c r="I5504" s="758">
        <f t="shared" si="342"/>
        <v>4.2</v>
      </c>
      <c r="J5504" s="760">
        <f t="shared" si="343"/>
        <v>0.8</v>
      </c>
    </row>
    <row r="5505" spans="1:10">
      <c r="A5505" s="74" t="s">
        <v>833</v>
      </c>
      <c r="B5505" s="74" t="s">
        <v>815</v>
      </c>
      <c r="C5505" s="74" t="s">
        <v>1532</v>
      </c>
      <c r="D5505" s="74" t="s">
        <v>80</v>
      </c>
      <c r="E5505" s="74">
        <v>1</v>
      </c>
      <c r="F5505" s="74">
        <v>5.25</v>
      </c>
      <c r="G5505" s="758">
        <f t="shared" si="340"/>
        <v>1.05</v>
      </c>
      <c r="H5505" s="759">
        <f t="shared" si="341"/>
        <v>0.21</v>
      </c>
      <c r="I5505" s="758">
        <f t="shared" si="342"/>
        <v>4.2</v>
      </c>
      <c r="J5505" s="760">
        <f t="shared" si="343"/>
        <v>0.8</v>
      </c>
    </row>
    <row r="5506" spans="1:10">
      <c r="A5506" s="74" t="s">
        <v>833</v>
      </c>
      <c r="B5506" s="74" t="s">
        <v>815</v>
      </c>
      <c r="C5506" s="74" t="s">
        <v>1511</v>
      </c>
      <c r="D5506" s="74" t="s">
        <v>80</v>
      </c>
      <c r="E5506" s="74">
        <v>2</v>
      </c>
      <c r="F5506" s="74">
        <v>11.35</v>
      </c>
      <c r="G5506" s="758">
        <f t="shared" ref="G5506:G5569" si="344">IFERROR(VLOOKUP(A5506,$M$1:$P$1014,2,FALSE),0)</f>
        <v>1.05</v>
      </c>
      <c r="H5506" s="759">
        <f t="shared" ref="H5506:H5569" si="345">IFERROR(VLOOKUP(A5506,$M$1:$P$1014,3,FALSE),0)</f>
        <v>0.21</v>
      </c>
      <c r="I5506" s="758">
        <f t="shared" ref="I5506:I5569" si="346">IFERROR(F5506/E5506-G5506,0)</f>
        <v>4.625</v>
      </c>
      <c r="J5506" s="760">
        <f t="shared" ref="J5506:J5569" si="347">IFERROR(1-G5506*E5506/F5506,0)</f>
        <v>0.81497797356828194</v>
      </c>
    </row>
    <row r="5507" spans="1:10">
      <c r="A5507" s="74" t="s">
        <v>833</v>
      </c>
      <c r="B5507" s="74" t="s">
        <v>815</v>
      </c>
      <c r="C5507" s="74" t="s">
        <v>1512</v>
      </c>
      <c r="D5507" s="74" t="s">
        <v>80</v>
      </c>
      <c r="E5507" s="74">
        <v>11</v>
      </c>
      <c r="F5507" s="74">
        <v>66.55</v>
      </c>
      <c r="G5507" s="758">
        <f t="shared" si="344"/>
        <v>1.05</v>
      </c>
      <c r="H5507" s="759">
        <f t="shared" si="345"/>
        <v>0.21</v>
      </c>
      <c r="I5507" s="758">
        <f t="shared" si="346"/>
        <v>5</v>
      </c>
      <c r="J5507" s="760">
        <f t="shared" si="347"/>
        <v>0.82644628099173556</v>
      </c>
    </row>
    <row r="5508" spans="1:10">
      <c r="A5508" s="74" t="s">
        <v>833</v>
      </c>
      <c r="B5508" s="74" t="s">
        <v>815</v>
      </c>
      <c r="C5508" s="74" t="s">
        <v>1534</v>
      </c>
      <c r="D5508" s="74" t="s">
        <v>81</v>
      </c>
      <c r="E5508" s="74">
        <v>1</v>
      </c>
      <c r="F5508" s="74">
        <v>5.25</v>
      </c>
      <c r="G5508" s="758">
        <f t="shared" si="344"/>
        <v>1.05</v>
      </c>
      <c r="H5508" s="759">
        <f t="shared" si="345"/>
        <v>0.21</v>
      </c>
      <c r="I5508" s="758">
        <f t="shared" si="346"/>
        <v>4.2</v>
      </c>
      <c r="J5508" s="760">
        <f t="shared" si="347"/>
        <v>0.8</v>
      </c>
    </row>
    <row r="5509" spans="1:10">
      <c r="A5509" s="74" t="s">
        <v>833</v>
      </c>
      <c r="B5509" s="74" t="s">
        <v>815</v>
      </c>
      <c r="C5509" s="74" t="s">
        <v>1513</v>
      </c>
      <c r="D5509" s="74" t="s">
        <v>81</v>
      </c>
      <c r="E5509" s="74">
        <v>1</v>
      </c>
      <c r="F5509" s="74">
        <v>5.25</v>
      </c>
      <c r="G5509" s="758">
        <f t="shared" si="344"/>
        <v>1.05</v>
      </c>
      <c r="H5509" s="759">
        <f t="shared" si="345"/>
        <v>0.21</v>
      </c>
      <c r="I5509" s="758">
        <f t="shared" si="346"/>
        <v>4.2</v>
      </c>
      <c r="J5509" s="760">
        <f t="shared" si="347"/>
        <v>0.8</v>
      </c>
    </row>
    <row r="5510" spans="1:10">
      <c r="A5510" s="74" t="s">
        <v>833</v>
      </c>
      <c r="B5510" s="74" t="s">
        <v>815</v>
      </c>
      <c r="C5510" s="74" t="s">
        <v>1514</v>
      </c>
      <c r="D5510" s="74" t="s">
        <v>81</v>
      </c>
      <c r="E5510" s="74">
        <v>2</v>
      </c>
      <c r="F5510" s="74">
        <v>10.5</v>
      </c>
      <c r="G5510" s="758">
        <f t="shared" si="344"/>
        <v>1.05</v>
      </c>
      <c r="H5510" s="759">
        <f t="shared" si="345"/>
        <v>0.21</v>
      </c>
      <c r="I5510" s="758">
        <f t="shared" si="346"/>
        <v>4.2</v>
      </c>
      <c r="J5510" s="760">
        <f t="shared" si="347"/>
        <v>0.8</v>
      </c>
    </row>
    <row r="5511" spans="1:10">
      <c r="A5511" s="74" t="s">
        <v>833</v>
      </c>
      <c r="B5511" s="74" t="s">
        <v>815</v>
      </c>
      <c r="C5511" s="74" t="s">
        <v>1515</v>
      </c>
      <c r="D5511" s="74" t="s">
        <v>81</v>
      </c>
      <c r="E5511" s="74">
        <v>15</v>
      </c>
      <c r="F5511" s="74">
        <v>89.03</v>
      </c>
      <c r="G5511" s="758">
        <f t="shared" si="344"/>
        <v>1.05</v>
      </c>
      <c r="H5511" s="759">
        <f t="shared" si="345"/>
        <v>0.21</v>
      </c>
      <c r="I5511" s="758">
        <f t="shared" si="346"/>
        <v>4.8853333333333335</v>
      </c>
      <c r="J5511" s="760">
        <f t="shared" si="347"/>
        <v>0.82309333932382345</v>
      </c>
    </row>
    <row r="5512" spans="1:10">
      <c r="A5512" s="74" t="s">
        <v>833</v>
      </c>
      <c r="B5512" s="74" t="s">
        <v>815</v>
      </c>
      <c r="C5512" s="74" t="s">
        <v>1516</v>
      </c>
      <c r="D5512" s="74" t="s">
        <v>82</v>
      </c>
      <c r="E5512" s="74">
        <v>6</v>
      </c>
      <c r="F5512" s="74">
        <v>35.75</v>
      </c>
      <c r="G5512" s="758">
        <f t="shared" si="344"/>
        <v>1.05</v>
      </c>
      <c r="H5512" s="759">
        <f t="shared" si="345"/>
        <v>0.21</v>
      </c>
      <c r="I5512" s="758">
        <f t="shared" si="346"/>
        <v>4.9083333333333332</v>
      </c>
      <c r="J5512" s="760">
        <f t="shared" si="347"/>
        <v>0.82377622377622373</v>
      </c>
    </row>
    <row r="5513" spans="1:10">
      <c r="A5513" s="74" t="s">
        <v>833</v>
      </c>
      <c r="B5513" s="74" t="s">
        <v>815</v>
      </c>
      <c r="C5513" s="74" t="s">
        <v>1517</v>
      </c>
      <c r="D5513" s="74" t="s">
        <v>82</v>
      </c>
      <c r="E5513" s="74">
        <v>3</v>
      </c>
      <c r="F5513" s="74">
        <v>18.45</v>
      </c>
      <c r="G5513" s="758">
        <f t="shared" si="344"/>
        <v>1.05</v>
      </c>
      <c r="H5513" s="759">
        <f t="shared" si="345"/>
        <v>0.21</v>
      </c>
      <c r="I5513" s="758">
        <f t="shared" si="346"/>
        <v>5.0999999999999996</v>
      </c>
      <c r="J5513" s="760">
        <f t="shared" si="347"/>
        <v>0.82926829268292679</v>
      </c>
    </row>
    <row r="5514" spans="1:10">
      <c r="A5514" s="74" t="s">
        <v>833</v>
      </c>
      <c r="B5514" s="74" t="s">
        <v>815</v>
      </c>
      <c r="C5514" s="74" t="s">
        <v>1518</v>
      </c>
      <c r="D5514" s="74" t="s">
        <v>82</v>
      </c>
      <c r="E5514" s="74">
        <v>3</v>
      </c>
      <c r="F5514" s="74">
        <v>18.3</v>
      </c>
      <c r="G5514" s="758">
        <f t="shared" si="344"/>
        <v>1.05</v>
      </c>
      <c r="H5514" s="759">
        <f t="shared" si="345"/>
        <v>0.21</v>
      </c>
      <c r="I5514" s="758">
        <f t="shared" si="346"/>
        <v>5.0500000000000007</v>
      </c>
      <c r="J5514" s="760">
        <f t="shared" si="347"/>
        <v>0.82786885245901631</v>
      </c>
    </row>
    <row r="5515" spans="1:10">
      <c r="A5515" s="74" t="s">
        <v>833</v>
      </c>
      <c r="B5515" s="74" t="s">
        <v>815</v>
      </c>
      <c r="C5515" s="74" t="s">
        <v>1543</v>
      </c>
      <c r="D5515" s="74" t="s">
        <v>87</v>
      </c>
      <c r="E5515" s="74">
        <v>2</v>
      </c>
      <c r="F5515" s="74">
        <v>12.35</v>
      </c>
      <c r="G5515" s="758">
        <f t="shared" si="344"/>
        <v>1.05</v>
      </c>
      <c r="H5515" s="759">
        <f t="shared" si="345"/>
        <v>0.21</v>
      </c>
      <c r="I5515" s="758">
        <f t="shared" si="346"/>
        <v>5.125</v>
      </c>
      <c r="J5515" s="760">
        <f t="shared" si="347"/>
        <v>0.82995951417004044</v>
      </c>
    </row>
    <row r="5516" spans="1:10">
      <c r="A5516" s="74" t="s">
        <v>675</v>
      </c>
      <c r="B5516" s="74" t="s">
        <v>256</v>
      </c>
      <c r="C5516" s="74" t="s">
        <v>1528</v>
      </c>
      <c r="D5516" s="74" t="s">
        <v>78</v>
      </c>
      <c r="E5516" s="74">
        <v>14</v>
      </c>
      <c r="F5516" s="74">
        <v>66.819999999999993</v>
      </c>
      <c r="G5516" s="758">
        <f t="shared" si="344"/>
        <v>0.68</v>
      </c>
      <c r="H5516" s="759">
        <f t="shared" si="345"/>
        <v>0.16</v>
      </c>
      <c r="I5516" s="758">
        <f t="shared" si="346"/>
        <v>4.0928571428571425</v>
      </c>
      <c r="J5516" s="760">
        <f t="shared" si="347"/>
        <v>0.85752768632146059</v>
      </c>
    </row>
    <row r="5517" spans="1:10">
      <c r="A5517" s="74" t="s">
        <v>675</v>
      </c>
      <c r="B5517" s="74" t="s">
        <v>256</v>
      </c>
      <c r="C5517" s="74" t="s">
        <v>1508</v>
      </c>
      <c r="D5517" s="74" t="s">
        <v>78</v>
      </c>
      <c r="E5517" s="74">
        <v>16</v>
      </c>
      <c r="F5517" s="74">
        <v>76.77</v>
      </c>
      <c r="G5517" s="758">
        <f t="shared" si="344"/>
        <v>0.68</v>
      </c>
      <c r="H5517" s="759">
        <f t="shared" si="345"/>
        <v>0.16</v>
      </c>
      <c r="I5517" s="758">
        <f t="shared" si="346"/>
        <v>4.118125</v>
      </c>
      <c r="J5517" s="760">
        <f t="shared" si="347"/>
        <v>0.85827797316660148</v>
      </c>
    </row>
    <row r="5518" spans="1:10">
      <c r="A5518" s="74" t="s">
        <v>675</v>
      </c>
      <c r="B5518" s="74" t="s">
        <v>256</v>
      </c>
      <c r="C5518" s="74" t="s">
        <v>1509</v>
      </c>
      <c r="D5518" s="74" t="s">
        <v>78</v>
      </c>
      <c r="E5518" s="74">
        <v>12</v>
      </c>
      <c r="F5518" s="74">
        <v>57.27</v>
      </c>
      <c r="G5518" s="758">
        <f t="shared" si="344"/>
        <v>0.68</v>
      </c>
      <c r="H5518" s="759">
        <f t="shared" si="345"/>
        <v>0.16</v>
      </c>
      <c r="I5518" s="758">
        <f t="shared" si="346"/>
        <v>4.0925000000000002</v>
      </c>
      <c r="J5518" s="760">
        <f t="shared" si="347"/>
        <v>0.85751702462021995</v>
      </c>
    </row>
    <row r="5519" spans="1:10">
      <c r="A5519" s="74" t="s">
        <v>675</v>
      </c>
      <c r="B5519" s="74" t="s">
        <v>256</v>
      </c>
      <c r="C5519" s="74" t="s">
        <v>1565</v>
      </c>
      <c r="D5519" s="74" t="s">
        <v>78</v>
      </c>
      <c r="E5519" s="74">
        <v>14</v>
      </c>
      <c r="F5519" s="74">
        <v>67.09</v>
      </c>
      <c r="G5519" s="758">
        <f t="shared" si="344"/>
        <v>0.68</v>
      </c>
      <c r="H5519" s="759">
        <f t="shared" si="345"/>
        <v>0.16</v>
      </c>
      <c r="I5519" s="758">
        <f t="shared" si="346"/>
        <v>4.1121428571428575</v>
      </c>
      <c r="J5519" s="760">
        <f t="shared" si="347"/>
        <v>0.85810105827992245</v>
      </c>
    </row>
    <row r="5520" spans="1:10">
      <c r="A5520" s="74" t="s">
        <v>675</v>
      </c>
      <c r="B5520" s="74" t="s">
        <v>256</v>
      </c>
      <c r="C5520" s="74" t="s">
        <v>1530</v>
      </c>
      <c r="D5520" s="74" t="s">
        <v>80</v>
      </c>
      <c r="E5520" s="74">
        <v>8</v>
      </c>
      <c r="F5520" s="74">
        <v>40</v>
      </c>
      <c r="G5520" s="758">
        <f t="shared" si="344"/>
        <v>0.68</v>
      </c>
      <c r="H5520" s="759">
        <f t="shared" si="345"/>
        <v>0.16</v>
      </c>
      <c r="I5520" s="758">
        <f t="shared" si="346"/>
        <v>4.32</v>
      </c>
      <c r="J5520" s="760">
        <f t="shared" si="347"/>
        <v>0.86399999999999999</v>
      </c>
    </row>
    <row r="5521" spans="1:10">
      <c r="A5521" s="74" t="s">
        <v>675</v>
      </c>
      <c r="B5521" s="74" t="s">
        <v>256</v>
      </c>
      <c r="C5521" s="74" t="s">
        <v>1532</v>
      </c>
      <c r="D5521" s="74" t="s">
        <v>80</v>
      </c>
      <c r="E5521" s="74">
        <v>18</v>
      </c>
      <c r="F5521" s="74">
        <v>92.5</v>
      </c>
      <c r="G5521" s="758">
        <f t="shared" si="344"/>
        <v>0.68</v>
      </c>
      <c r="H5521" s="759">
        <f t="shared" si="345"/>
        <v>0.16</v>
      </c>
      <c r="I5521" s="758">
        <f t="shared" si="346"/>
        <v>4.4588888888888896</v>
      </c>
      <c r="J5521" s="760">
        <f t="shared" si="347"/>
        <v>0.86767567567567561</v>
      </c>
    </row>
    <row r="5522" spans="1:10">
      <c r="A5522" s="74" t="s">
        <v>675</v>
      </c>
      <c r="B5522" s="74" t="s">
        <v>256</v>
      </c>
      <c r="C5522" s="74" t="s">
        <v>1511</v>
      </c>
      <c r="D5522" s="74" t="s">
        <v>80</v>
      </c>
      <c r="E5522" s="74">
        <v>28</v>
      </c>
      <c r="F5522" s="74">
        <v>142.97</v>
      </c>
      <c r="G5522" s="758">
        <f t="shared" si="344"/>
        <v>0.68</v>
      </c>
      <c r="H5522" s="759">
        <f t="shared" si="345"/>
        <v>0.16</v>
      </c>
      <c r="I5522" s="758">
        <f t="shared" si="346"/>
        <v>4.4260714285714284</v>
      </c>
      <c r="J5522" s="760">
        <f t="shared" si="347"/>
        <v>0.86682520808561236</v>
      </c>
    </row>
    <row r="5523" spans="1:10">
      <c r="A5523" s="74" t="s">
        <v>675</v>
      </c>
      <c r="B5523" s="74" t="s">
        <v>256</v>
      </c>
      <c r="C5523" s="74" t="s">
        <v>1512</v>
      </c>
      <c r="D5523" s="74" t="s">
        <v>80</v>
      </c>
      <c r="E5523" s="74">
        <v>13</v>
      </c>
      <c r="F5523" s="74">
        <v>61.98</v>
      </c>
      <c r="G5523" s="758">
        <f t="shared" si="344"/>
        <v>0.68</v>
      </c>
      <c r="H5523" s="759">
        <f t="shared" si="345"/>
        <v>0.16</v>
      </c>
      <c r="I5523" s="758">
        <f t="shared" si="346"/>
        <v>4.0876923076923077</v>
      </c>
      <c r="J5523" s="760">
        <f t="shared" si="347"/>
        <v>0.85737334624072281</v>
      </c>
    </row>
    <row r="5524" spans="1:10">
      <c r="A5524" s="74" t="s">
        <v>675</v>
      </c>
      <c r="B5524" s="74" t="s">
        <v>256</v>
      </c>
      <c r="C5524" s="74" t="s">
        <v>1534</v>
      </c>
      <c r="D5524" s="74" t="s">
        <v>81</v>
      </c>
      <c r="E5524" s="74">
        <v>13</v>
      </c>
      <c r="F5524" s="74">
        <v>68.650000000000006</v>
      </c>
      <c r="G5524" s="758">
        <f t="shared" si="344"/>
        <v>0.68</v>
      </c>
      <c r="H5524" s="759">
        <f t="shared" si="345"/>
        <v>0.16</v>
      </c>
      <c r="I5524" s="758">
        <f t="shared" si="346"/>
        <v>4.6007692307692318</v>
      </c>
      <c r="J5524" s="760">
        <f t="shared" si="347"/>
        <v>0.87123088128186454</v>
      </c>
    </row>
    <row r="5525" spans="1:10">
      <c r="A5525" s="74" t="s">
        <v>675</v>
      </c>
      <c r="B5525" s="74" t="s">
        <v>256</v>
      </c>
      <c r="C5525" s="74" t="s">
        <v>1513</v>
      </c>
      <c r="D5525" s="74" t="s">
        <v>81</v>
      </c>
      <c r="E5525" s="74">
        <v>18</v>
      </c>
      <c r="F5525" s="74">
        <v>124.25</v>
      </c>
      <c r="G5525" s="758">
        <f t="shared" si="344"/>
        <v>0.68</v>
      </c>
      <c r="H5525" s="759">
        <f t="shared" si="345"/>
        <v>0.16</v>
      </c>
      <c r="I5525" s="758">
        <f t="shared" si="346"/>
        <v>6.222777777777778</v>
      </c>
      <c r="J5525" s="760">
        <f t="shared" si="347"/>
        <v>0.90148893360160964</v>
      </c>
    </row>
    <row r="5526" spans="1:10">
      <c r="A5526" s="74" t="s">
        <v>675</v>
      </c>
      <c r="B5526" s="74" t="s">
        <v>256</v>
      </c>
      <c r="C5526" s="74" t="s">
        <v>1514</v>
      </c>
      <c r="D5526" s="74" t="s">
        <v>81</v>
      </c>
      <c r="E5526" s="74">
        <v>17</v>
      </c>
      <c r="F5526" s="74">
        <v>87.43</v>
      </c>
      <c r="G5526" s="758">
        <f t="shared" si="344"/>
        <v>0.68</v>
      </c>
      <c r="H5526" s="759">
        <f t="shared" si="345"/>
        <v>0.16</v>
      </c>
      <c r="I5526" s="758">
        <f t="shared" si="346"/>
        <v>4.4629411764705891</v>
      </c>
      <c r="J5526" s="760">
        <f t="shared" si="347"/>
        <v>0.86777993823630339</v>
      </c>
    </row>
    <row r="5527" spans="1:10">
      <c r="A5527" s="74" t="s">
        <v>675</v>
      </c>
      <c r="B5527" s="74" t="s">
        <v>256</v>
      </c>
      <c r="C5527" s="74" t="s">
        <v>1515</v>
      </c>
      <c r="D5527" s="74" t="s">
        <v>81</v>
      </c>
      <c r="E5527" s="74">
        <v>23</v>
      </c>
      <c r="F5527" s="74">
        <v>199.13</v>
      </c>
      <c r="G5527" s="758">
        <f t="shared" si="344"/>
        <v>0.68</v>
      </c>
      <c r="H5527" s="759">
        <f t="shared" si="345"/>
        <v>0.16</v>
      </c>
      <c r="I5527" s="758">
        <f t="shared" si="346"/>
        <v>7.9778260869565223</v>
      </c>
      <c r="J5527" s="760">
        <f t="shared" si="347"/>
        <v>0.9214583437955105</v>
      </c>
    </row>
    <row r="5528" spans="1:10">
      <c r="A5528" s="74" t="s">
        <v>675</v>
      </c>
      <c r="B5528" s="74" t="s">
        <v>256</v>
      </c>
      <c r="C5528" s="74" t="s">
        <v>1516</v>
      </c>
      <c r="D5528" s="74" t="s">
        <v>82</v>
      </c>
      <c r="E5528" s="74">
        <v>13</v>
      </c>
      <c r="F5528" s="74">
        <v>150.15</v>
      </c>
      <c r="G5528" s="758">
        <f t="shared" si="344"/>
        <v>0.68</v>
      </c>
      <c r="H5528" s="759">
        <f t="shared" si="345"/>
        <v>0.16</v>
      </c>
      <c r="I5528" s="758">
        <f t="shared" si="346"/>
        <v>10.870000000000001</v>
      </c>
      <c r="J5528" s="760">
        <f t="shared" si="347"/>
        <v>0.94112554112554114</v>
      </c>
    </row>
    <row r="5529" spans="1:10">
      <c r="A5529" s="74" t="s">
        <v>675</v>
      </c>
      <c r="B5529" s="74" t="s">
        <v>256</v>
      </c>
      <c r="C5529" s="74" t="s">
        <v>1517</v>
      </c>
      <c r="D5529" s="74" t="s">
        <v>82</v>
      </c>
      <c r="E5529" s="74">
        <v>12</v>
      </c>
      <c r="F5529" s="74">
        <v>63.6</v>
      </c>
      <c r="G5529" s="758">
        <f t="shared" si="344"/>
        <v>0.68</v>
      </c>
      <c r="H5529" s="759">
        <f t="shared" si="345"/>
        <v>0.16</v>
      </c>
      <c r="I5529" s="758">
        <f t="shared" si="346"/>
        <v>4.62</v>
      </c>
      <c r="J5529" s="760">
        <f t="shared" si="347"/>
        <v>0.8716981132075472</v>
      </c>
    </row>
    <row r="5530" spans="1:10">
      <c r="A5530" s="74" t="s">
        <v>675</v>
      </c>
      <c r="B5530" s="74" t="s">
        <v>256</v>
      </c>
      <c r="C5530" s="74" t="s">
        <v>1527</v>
      </c>
      <c r="D5530" s="74" t="s">
        <v>82</v>
      </c>
      <c r="E5530" s="74">
        <v>21</v>
      </c>
      <c r="F5530" s="74">
        <v>106.2</v>
      </c>
      <c r="G5530" s="758">
        <f t="shared" si="344"/>
        <v>0.68</v>
      </c>
      <c r="H5530" s="759">
        <f t="shared" si="345"/>
        <v>0.16</v>
      </c>
      <c r="I5530" s="758">
        <f t="shared" si="346"/>
        <v>4.3771428571428572</v>
      </c>
      <c r="J5530" s="760">
        <f t="shared" si="347"/>
        <v>0.86553672316384178</v>
      </c>
    </row>
    <row r="5531" spans="1:10">
      <c r="A5531" s="74" t="s">
        <v>675</v>
      </c>
      <c r="B5531" s="74" t="s">
        <v>256</v>
      </c>
      <c r="C5531" s="74" t="s">
        <v>1518</v>
      </c>
      <c r="D5531" s="74" t="s">
        <v>82</v>
      </c>
      <c r="E5531" s="74">
        <v>13</v>
      </c>
      <c r="F5531" s="74">
        <v>289.8</v>
      </c>
      <c r="G5531" s="758">
        <f t="shared" si="344"/>
        <v>0.68</v>
      </c>
      <c r="H5531" s="759">
        <f t="shared" si="345"/>
        <v>0.16</v>
      </c>
      <c r="I5531" s="758">
        <f t="shared" si="346"/>
        <v>21.612307692307695</v>
      </c>
      <c r="J5531" s="760">
        <f t="shared" si="347"/>
        <v>0.969496204278813</v>
      </c>
    </row>
    <row r="5532" spans="1:10">
      <c r="A5532" s="74" t="s">
        <v>675</v>
      </c>
      <c r="B5532" s="74" t="s">
        <v>256</v>
      </c>
      <c r="C5532" s="74" t="s">
        <v>1519</v>
      </c>
      <c r="D5532" s="74" t="s">
        <v>84</v>
      </c>
      <c r="E5532" s="74">
        <v>7</v>
      </c>
      <c r="F5532" s="74">
        <v>38.65</v>
      </c>
      <c r="G5532" s="758">
        <f t="shared" si="344"/>
        <v>0.68</v>
      </c>
      <c r="H5532" s="759">
        <f t="shared" si="345"/>
        <v>0.16</v>
      </c>
      <c r="I5532" s="758">
        <f t="shared" si="346"/>
        <v>4.8414285714285716</v>
      </c>
      <c r="J5532" s="760">
        <f t="shared" si="347"/>
        <v>0.87684346701164295</v>
      </c>
    </row>
    <row r="5533" spans="1:10">
      <c r="A5533" s="74" t="s">
        <v>675</v>
      </c>
      <c r="B5533" s="74" t="s">
        <v>256</v>
      </c>
      <c r="C5533" s="74" t="s">
        <v>1540</v>
      </c>
      <c r="D5533" s="74" t="s">
        <v>84</v>
      </c>
      <c r="E5533" s="74">
        <v>1</v>
      </c>
      <c r="F5533" s="74">
        <v>5.25</v>
      </c>
      <c r="G5533" s="758">
        <f t="shared" si="344"/>
        <v>0.68</v>
      </c>
      <c r="H5533" s="759">
        <f t="shared" si="345"/>
        <v>0.16</v>
      </c>
      <c r="I5533" s="758">
        <f t="shared" si="346"/>
        <v>4.57</v>
      </c>
      <c r="J5533" s="760">
        <f t="shared" si="347"/>
        <v>0.8704761904761904</v>
      </c>
    </row>
    <row r="5534" spans="1:10">
      <c r="A5534" s="74" t="s">
        <v>675</v>
      </c>
      <c r="B5534" s="74" t="s">
        <v>256</v>
      </c>
      <c r="C5534" s="74" t="s">
        <v>1520</v>
      </c>
      <c r="D5534" s="74" t="s">
        <v>84</v>
      </c>
      <c r="E5534" s="74">
        <v>1</v>
      </c>
      <c r="F5534" s="74">
        <v>5.4</v>
      </c>
      <c r="G5534" s="758">
        <f t="shared" si="344"/>
        <v>0.68</v>
      </c>
      <c r="H5534" s="759">
        <f t="shared" si="345"/>
        <v>0.16</v>
      </c>
      <c r="I5534" s="758">
        <f t="shared" si="346"/>
        <v>4.7200000000000006</v>
      </c>
      <c r="J5534" s="760">
        <f t="shared" si="347"/>
        <v>0.87407407407407411</v>
      </c>
    </row>
    <row r="5535" spans="1:10">
      <c r="A5535" s="74" t="s">
        <v>675</v>
      </c>
      <c r="B5535" s="74" t="s">
        <v>256</v>
      </c>
      <c r="C5535" s="74" t="s">
        <v>1578</v>
      </c>
      <c r="D5535" s="74" t="s">
        <v>86</v>
      </c>
      <c r="E5535" s="74">
        <v>2</v>
      </c>
      <c r="F5535" s="74">
        <v>10.8</v>
      </c>
      <c r="G5535" s="758">
        <f t="shared" si="344"/>
        <v>0.68</v>
      </c>
      <c r="H5535" s="759">
        <f t="shared" si="345"/>
        <v>0.16</v>
      </c>
      <c r="I5535" s="758">
        <f t="shared" si="346"/>
        <v>4.7200000000000006</v>
      </c>
      <c r="J5535" s="760">
        <f t="shared" si="347"/>
        <v>0.87407407407407411</v>
      </c>
    </row>
    <row r="5536" spans="1:10">
      <c r="A5536" s="74" t="s">
        <v>675</v>
      </c>
      <c r="B5536" s="74" t="s">
        <v>256</v>
      </c>
      <c r="C5536" s="74" t="s">
        <v>1646</v>
      </c>
      <c r="D5536" s="74" t="s">
        <v>86</v>
      </c>
      <c r="E5536" s="74">
        <v>4</v>
      </c>
      <c r="F5536" s="74">
        <v>21.15</v>
      </c>
      <c r="G5536" s="758">
        <f t="shared" si="344"/>
        <v>0.68</v>
      </c>
      <c r="H5536" s="759">
        <f t="shared" si="345"/>
        <v>0.16</v>
      </c>
      <c r="I5536" s="758">
        <f t="shared" si="346"/>
        <v>4.6074999999999999</v>
      </c>
      <c r="J5536" s="760">
        <f t="shared" si="347"/>
        <v>0.87139479905437356</v>
      </c>
    </row>
    <row r="5537" spans="1:10">
      <c r="A5537" s="74" t="s">
        <v>675</v>
      </c>
      <c r="B5537" s="74" t="s">
        <v>256</v>
      </c>
      <c r="C5537" s="74" t="s">
        <v>1541</v>
      </c>
      <c r="D5537" s="74" t="s">
        <v>86</v>
      </c>
      <c r="E5537" s="74">
        <v>3</v>
      </c>
      <c r="F5537" s="74">
        <v>15.75</v>
      </c>
      <c r="G5537" s="758">
        <f t="shared" si="344"/>
        <v>0.68</v>
      </c>
      <c r="H5537" s="759">
        <f t="shared" si="345"/>
        <v>0.16</v>
      </c>
      <c r="I5537" s="758">
        <f t="shared" si="346"/>
        <v>4.57</v>
      </c>
      <c r="J5537" s="760">
        <f t="shared" si="347"/>
        <v>0.87047619047619051</v>
      </c>
    </row>
    <row r="5538" spans="1:10">
      <c r="A5538" s="74" t="s">
        <v>675</v>
      </c>
      <c r="B5538" s="74" t="s">
        <v>256</v>
      </c>
      <c r="C5538" s="74" t="s">
        <v>1544</v>
      </c>
      <c r="D5538" s="74" t="s">
        <v>87</v>
      </c>
      <c r="E5538" s="74">
        <v>1</v>
      </c>
      <c r="F5538" s="74">
        <v>5.25</v>
      </c>
      <c r="G5538" s="758">
        <f t="shared" si="344"/>
        <v>0.68</v>
      </c>
      <c r="H5538" s="759">
        <f t="shared" si="345"/>
        <v>0.16</v>
      </c>
      <c r="I5538" s="758">
        <f t="shared" si="346"/>
        <v>4.57</v>
      </c>
      <c r="J5538" s="760">
        <f t="shared" si="347"/>
        <v>0.8704761904761904</v>
      </c>
    </row>
    <row r="5539" spans="1:10">
      <c r="A5539" s="74" t="s">
        <v>675</v>
      </c>
      <c r="B5539" s="74" t="s">
        <v>256</v>
      </c>
      <c r="C5539" s="74" t="s">
        <v>1561</v>
      </c>
      <c r="D5539" s="74" t="s">
        <v>87</v>
      </c>
      <c r="E5539" s="74">
        <v>1</v>
      </c>
      <c r="F5539" s="74">
        <v>5.25</v>
      </c>
      <c r="G5539" s="758">
        <f t="shared" si="344"/>
        <v>0.68</v>
      </c>
      <c r="H5539" s="759">
        <f t="shared" si="345"/>
        <v>0.16</v>
      </c>
      <c r="I5539" s="758">
        <f t="shared" si="346"/>
        <v>4.57</v>
      </c>
      <c r="J5539" s="760">
        <f t="shared" si="347"/>
        <v>0.8704761904761904</v>
      </c>
    </row>
    <row r="5540" spans="1:10">
      <c r="A5540" s="74" t="s">
        <v>675</v>
      </c>
      <c r="B5540" s="74" t="s">
        <v>256</v>
      </c>
      <c r="C5540" s="74" t="s">
        <v>1608</v>
      </c>
      <c r="D5540" s="74" t="s">
        <v>89</v>
      </c>
      <c r="E5540" s="74">
        <v>1</v>
      </c>
      <c r="F5540" s="74">
        <v>5.4</v>
      </c>
      <c r="G5540" s="758">
        <f t="shared" si="344"/>
        <v>0.68</v>
      </c>
      <c r="H5540" s="759">
        <f t="shared" si="345"/>
        <v>0.16</v>
      </c>
      <c r="I5540" s="758">
        <f t="shared" si="346"/>
        <v>4.7200000000000006</v>
      </c>
      <c r="J5540" s="760">
        <f t="shared" si="347"/>
        <v>0.87407407407407411</v>
      </c>
    </row>
    <row r="5541" spans="1:10">
      <c r="A5541" s="74" t="s">
        <v>675</v>
      </c>
      <c r="B5541" s="74" t="s">
        <v>256</v>
      </c>
      <c r="C5541" s="74" t="s">
        <v>1610</v>
      </c>
      <c r="D5541" s="74" t="s">
        <v>89</v>
      </c>
      <c r="E5541" s="74">
        <v>2</v>
      </c>
      <c r="F5541" s="74">
        <v>10.8</v>
      </c>
      <c r="G5541" s="758">
        <f t="shared" si="344"/>
        <v>0.68</v>
      </c>
      <c r="H5541" s="759">
        <f t="shared" si="345"/>
        <v>0.16</v>
      </c>
      <c r="I5541" s="758">
        <f t="shared" si="346"/>
        <v>4.7200000000000006</v>
      </c>
      <c r="J5541" s="760">
        <f t="shared" si="347"/>
        <v>0.87407407407407411</v>
      </c>
    </row>
    <row r="5542" spans="1:10">
      <c r="A5542" s="74" t="s">
        <v>675</v>
      </c>
      <c r="B5542" s="74" t="s">
        <v>256</v>
      </c>
      <c r="C5542" s="74" t="s">
        <v>1547</v>
      </c>
      <c r="D5542" s="74" t="s">
        <v>89</v>
      </c>
      <c r="E5542" s="74">
        <v>1</v>
      </c>
      <c r="F5542" s="74">
        <v>5.25</v>
      </c>
      <c r="G5542" s="758">
        <f t="shared" si="344"/>
        <v>0.68</v>
      </c>
      <c r="H5542" s="759">
        <f t="shared" si="345"/>
        <v>0.16</v>
      </c>
      <c r="I5542" s="758">
        <f t="shared" si="346"/>
        <v>4.57</v>
      </c>
      <c r="J5542" s="760">
        <f t="shared" si="347"/>
        <v>0.8704761904761904</v>
      </c>
    </row>
    <row r="5543" spans="1:10">
      <c r="A5543" s="74" t="s">
        <v>675</v>
      </c>
      <c r="B5543" s="74" t="s">
        <v>256</v>
      </c>
      <c r="C5543" s="74" t="s">
        <v>1522</v>
      </c>
      <c r="D5543" s="74" t="s">
        <v>91</v>
      </c>
      <c r="E5543" s="74">
        <v>3</v>
      </c>
      <c r="F5543" s="74">
        <v>16.05</v>
      </c>
      <c r="G5543" s="758">
        <f t="shared" si="344"/>
        <v>0.68</v>
      </c>
      <c r="H5543" s="759">
        <f t="shared" si="345"/>
        <v>0.16</v>
      </c>
      <c r="I5543" s="758">
        <f t="shared" si="346"/>
        <v>4.6700000000000008</v>
      </c>
      <c r="J5543" s="760">
        <f t="shared" si="347"/>
        <v>0.87289719626168227</v>
      </c>
    </row>
    <row r="5544" spans="1:10">
      <c r="A5544" s="74" t="s">
        <v>675</v>
      </c>
      <c r="B5544" s="74" t="s">
        <v>256</v>
      </c>
      <c r="C5544" s="74" t="s">
        <v>1675</v>
      </c>
      <c r="D5544" s="74" t="s">
        <v>91</v>
      </c>
      <c r="E5544" s="74">
        <v>1</v>
      </c>
      <c r="F5544" s="74">
        <v>5.25</v>
      </c>
      <c r="G5544" s="758">
        <f t="shared" si="344"/>
        <v>0.68</v>
      </c>
      <c r="H5544" s="759">
        <f t="shared" si="345"/>
        <v>0.16</v>
      </c>
      <c r="I5544" s="758">
        <f t="shared" si="346"/>
        <v>4.57</v>
      </c>
      <c r="J5544" s="760">
        <f t="shared" si="347"/>
        <v>0.8704761904761904</v>
      </c>
    </row>
    <row r="5545" spans="1:10">
      <c r="A5545" s="74" t="s">
        <v>675</v>
      </c>
      <c r="B5545" s="74" t="s">
        <v>256</v>
      </c>
      <c r="C5545" s="74" t="s">
        <v>1584</v>
      </c>
      <c r="D5545" s="74" t="s">
        <v>92</v>
      </c>
      <c r="E5545" s="74">
        <v>1</v>
      </c>
      <c r="F5545" s="74">
        <v>5.25</v>
      </c>
      <c r="G5545" s="758">
        <f t="shared" si="344"/>
        <v>0.68</v>
      </c>
      <c r="H5545" s="759">
        <f t="shared" si="345"/>
        <v>0.16</v>
      </c>
      <c r="I5545" s="758">
        <f t="shared" si="346"/>
        <v>4.57</v>
      </c>
      <c r="J5545" s="760">
        <f t="shared" si="347"/>
        <v>0.8704761904761904</v>
      </c>
    </row>
    <row r="5546" spans="1:10">
      <c r="A5546" s="74" t="s">
        <v>675</v>
      </c>
      <c r="B5546" s="74" t="s">
        <v>256</v>
      </c>
      <c r="C5546" s="74" t="s">
        <v>1614</v>
      </c>
      <c r="D5546" s="74" t="s">
        <v>92</v>
      </c>
      <c r="E5546" s="74">
        <v>1</v>
      </c>
      <c r="F5546" s="74">
        <v>5.25</v>
      </c>
      <c r="G5546" s="758">
        <f t="shared" si="344"/>
        <v>0.68</v>
      </c>
      <c r="H5546" s="759">
        <f t="shared" si="345"/>
        <v>0.16</v>
      </c>
      <c r="I5546" s="758">
        <f t="shared" si="346"/>
        <v>4.57</v>
      </c>
      <c r="J5546" s="760">
        <f t="shared" si="347"/>
        <v>0.8704761904761904</v>
      </c>
    </row>
    <row r="5547" spans="1:10">
      <c r="A5547" s="74" t="s">
        <v>675</v>
      </c>
      <c r="B5547" s="74" t="s">
        <v>256</v>
      </c>
      <c r="C5547" s="74" t="s">
        <v>1631</v>
      </c>
      <c r="D5547" s="74" t="s">
        <v>92</v>
      </c>
      <c r="E5547" s="74">
        <v>4</v>
      </c>
      <c r="F5547" s="74">
        <v>21.15</v>
      </c>
      <c r="G5547" s="758">
        <f t="shared" si="344"/>
        <v>0.68</v>
      </c>
      <c r="H5547" s="759">
        <f t="shared" si="345"/>
        <v>0.16</v>
      </c>
      <c r="I5547" s="758">
        <f t="shared" si="346"/>
        <v>4.6074999999999999</v>
      </c>
      <c r="J5547" s="760">
        <f t="shared" si="347"/>
        <v>0.87139479905437356</v>
      </c>
    </row>
    <row r="5548" spans="1:10">
      <c r="A5548" s="74" t="s">
        <v>675</v>
      </c>
      <c r="B5548" s="74" t="s">
        <v>256</v>
      </c>
      <c r="C5548" s="74" t="s">
        <v>1555</v>
      </c>
      <c r="D5548" s="74" t="s">
        <v>94</v>
      </c>
      <c r="E5548" s="74">
        <v>1</v>
      </c>
      <c r="F5548" s="74">
        <v>5.25</v>
      </c>
      <c r="G5548" s="758">
        <f t="shared" si="344"/>
        <v>0.68</v>
      </c>
      <c r="H5548" s="759">
        <f t="shared" si="345"/>
        <v>0.16</v>
      </c>
      <c r="I5548" s="758">
        <f t="shared" si="346"/>
        <v>4.57</v>
      </c>
      <c r="J5548" s="760">
        <f t="shared" si="347"/>
        <v>0.8704761904761904</v>
      </c>
    </row>
    <row r="5549" spans="1:10">
      <c r="A5549" s="74" t="s">
        <v>675</v>
      </c>
      <c r="B5549" s="74" t="s">
        <v>256</v>
      </c>
      <c r="C5549" s="74" t="s">
        <v>1557</v>
      </c>
      <c r="D5549" s="74" t="s">
        <v>95</v>
      </c>
      <c r="E5549" s="74">
        <v>2</v>
      </c>
      <c r="F5549" s="74">
        <v>10.5</v>
      </c>
      <c r="G5549" s="758">
        <f t="shared" si="344"/>
        <v>0.68</v>
      </c>
      <c r="H5549" s="759">
        <f t="shared" si="345"/>
        <v>0.16</v>
      </c>
      <c r="I5549" s="758">
        <f t="shared" si="346"/>
        <v>4.57</v>
      </c>
      <c r="J5549" s="760">
        <f t="shared" si="347"/>
        <v>0.8704761904761904</v>
      </c>
    </row>
    <row r="5550" spans="1:10">
      <c r="A5550" s="74" t="s">
        <v>2141</v>
      </c>
      <c r="B5550" s="74" t="s">
        <v>256</v>
      </c>
      <c r="C5550" s="74" t="s">
        <v>1507</v>
      </c>
      <c r="D5550" s="74" t="s">
        <v>86</v>
      </c>
      <c r="E5550" s="74">
        <v>2</v>
      </c>
      <c r="F5550" s="74">
        <v>10.65</v>
      </c>
      <c r="G5550" s="758">
        <f t="shared" si="344"/>
        <v>0</v>
      </c>
      <c r="H5550" s="759">
        <f t="shared" si="345"/>
        <v>0</v>
      </c>
      <c r="I5550" s="758">
        <f t="shared" si="346"/>
        <v>5.3250000000000002</v>
      </c>
      <c r="J5550" s="760">
        <f t="shared" si="347"/>
        <v>1</v>
      </c>
    </row>
    <row r="5551" spans="1:10">
      <c r="A5551" s="74" t="s">
        <v>2142</v>
      </c>
      <c r="B5551" s="74" t="s">
        <v>877</v>
      </c>
      <c r="C5551" s="74" t="s">
        <v>1509</v>
      </c>
      <c r="D5551" s="74" t="s">
        <v>78</v>
      </c>
      <c r="E5551" s="74">
        <v>7</v>
      </c>
      <c r="F5551" s="74">
        <v>0</v>
      </c>
      <c r="G5551" s="758">
        <f t="shared" si="344"/>
        <v>0</v>
      </c>
      <c r="H5551" s="759">
        <f t="shared" si="345"/>
        <v>0</v>
      </c>
      <c r="I5551" s="758">
        <f t="shared" si="346"/>
        <v>0</v>
      </c>
      <c r="J5551" s="760">
        <f t="shared" si="347"/>
        <v>0</v>
      </c>
    </row>
    <row r="5552" spans="1:10">
      <c r="A5552" s="74" t="s">
        <v>2142</v>
      </c>
      <c r="B5552" s="74" t="s">
        <v>877</v>
      </c>
      <c r="C5552" s="74" t="s">
        <v>1518</v>
      </c>
      <c r="D5552" s="74" t="s">
        <v>82</v>
      </c>
      <c r="E5552" s="74">
        <v>5</v>
      </c>
      <c r="F5552" s="74">
        <v>0</v>
      </c>
      <c r="G5552" s="758">
        <f t="shared" si="344"/>
        <v>0</v>
      </c>
      <c r="H5552" s="759">
        <f t="shared" si="345"/>
        <v>0</v>
      </c>
      <c r="I5552" s="758">
        <f t="shared" si="346"/>
        <v>0</v>
      </c>
      <c r="J5552" s="760">
        <f t="shared" si="347"/>
        <v>0</v>
      </c>
    </row>
    <row r="5553" spans="1:10">
      <c r="A5553" s="74" t="s">
        <v>2143</v>
      </c>
      <c r="B5553" s="74" t="s">
        <v>877</v>
      </c>
      <c r="C5553" s="74" t="s">
        <v>1646</v>
      </c>
      <c r="D5553" s="74" t="s">
        <v>86</v>
      </c>
      <c r="E5553" s="74">
        <v>6</v>
      </c>
      <c r="F5553" s="74">
        <v>0</v>
      </c>
      <c r="G5553" s="758">
        <f t="shared" si="344"/>
        <v>0</v>
      </c>
      <c r="H5553" s="759">
        <f t="shared" si="345"/>
        <v>0</v>
      </c>
      <c r="I5553" s="758">
        <f t="shared" si="346"/>
        <v>0</v>
      </c>
      <c r="J5553" s="760">
        <f t="shared" si="347"/>
        <v>0</v>
      </c>
    </row>
    <row r="5554" spans="1:10">
      <c r="A5554" s="74" t="s">
        <v>2144</v>
      </c>
      <c r="B5554" s="74" t="s">
        <v>877</v>
      </c>
      <c r="C5554" s="74" t="s">
        <v>1584</v>
      </c>
      <c r="D5554" s="74" t="s">
        <v>92</v>
      </c>
      <c r="E5554" s="74">
        <v>3</v>
      </c>
      <c r="F5554" s="74">
        <v>0</v>
      </c>
      <c r="G5554" s="758">
        <f t="shared" si="344"/>
        <v>0</v>
      </c>
      <c r="H5554" s="759">
        <f t="shared" si="345"/>
        <v>0</v>
      </c>
      <c r="I5554" s="758">
        <f t="shared" si="346"/>
        <v>0</v>
      </c>
      <c r="J5554" s="760">
        <f t="shared" si="347"/>
        <v>0</v>
      </c>
    </row>
    <row r="5555" spans="1:10">
      <c r="A5555" s="74" t="s">
        <v>2145</v>
      </c>
      <c r="B5555" s="74" t="s">
        <v>258</v>
      </c>
      <c r="C5555" s="74" t="s">
        <v>1530</v>
      </c>
      <c r="D5555" s="74" t="s">
        <v>80</v>
      </c>
      <c r="E5555" s="74">
        <v>4</v>
      </c>
      <c r="F5555" s="74">
        <v>0</v>
      </c>
      <c r="G5555" s="758">
        <f t="shared" si="344"/>
        <v>0.33</v>
      </c>
      <c r="H5555" s="759">
        <f t="shared" si="345"/>
        <v>0</v>
      </c>
      <c r="I5555" s="758">
        <f t="shared" si="346"/>
        <v>-0.33</v>
      </c>
      <c r="J5555" s="760">
        <f t="shared" si="347"/>
        <v>0</v>
      </c>
    </row>
    <row r="5556" spans="1:10">
      <c r="A5556" s="74" t="s">
        <v>2145</v>
      </c>
      <c r="B5556" s="74" t="s">
        <v>258</v>
      </c>
      <c r="C5556" s="74" t="s">
        <v>1555</v>
      </c>
      <c r="D5556" s="74" t="s">
        <v>94</v>
      </c>
      <c r="E5556" s="74">
        <v>3</v>
      </c>
      <c r="F5556" s="74">
        <v>0</v>
      </c>
      <c r="G5556" s="758">
        <f t="shared" si="344"/>
        <v>0.33</v>
      </c>
      <c r="H5556" s="759">
        <f t="shared" si="345"/>
        <v>0</v>
      </c>
      <c r="I5556" s="758">
        <f t="shared" si="346"/>
        <v>-0.33</v>
      </c>
      <c r="J5556" s="760">
        <f t="shared" si="347"/>
        <v>0</v>
      </c>
    </row>
    <row r="5557" spans="1:10">
      <c r="A5557" s="74" t="s">
        <v>1048</v>
      </c>
      <c r="B5557" s="74" t="s">
        <v>873</v>
      </c>
      <c r="C5557" s="74" t="s">
        <v>1605</v>
      </c>
      <c r="D5557" s="74" t="s">
        <v>87</v>
      </c>
      <c r="E5557" s="74">
        <v>5</v>
      </c>
      <c r="F5557" s="74">
        <v>0</v>
      </c>
      <c r="G5557" s="758">
        <f t="shared" si="344"/>
        <v>0</v>
      </c>
      <c r="H5557" s="759">
        <f t="shared" si="345"/>
        <v>0</v>
      </c>
      <c r="I5557" s="758">
        <f t="shared" si="346"/>
        <v>0</v>
      </c>
      <c r="J5557" s="760">
        <f t="shared" si="347"/>
        <v>0</v>
      </c>
    </row>
    <row r="5558" spans="1:10">
      <c r="A5558" s="74" t="s">
        <v>1048</v>
      </c>
      <c r="B5558" s="74" t="s">
        <v>873</v>
      </c>
      <c r="C5558" s="74" t="s">
        <v>1550</v>
      </c>
      <c r="D5558" s="74" t="s">
        <v>91</v>
      </c>
      <c r="E5558" s="74">
        <v>9</v>
      </c>
      <c r="F5558" s="74">
        <v>0</v>
      </c>
      <c r="G5558" s="758">
        <f t="shared" si="344"/>
        <v>0</v>
      </c>
      <c r="H5558" s="759">
        <f t="shared" si="345"/>
        <v>0</v>
      </c>
      <c r="I5558" s="758">
        <f t="shared" si="346"/>
        <v>0</v>
      </c>
      <c r="J5558" s="760">
        <f t="shared" si="347"/>
        <v>0</v>
      </c>
    </row>
    <row r="5559" spans="1:10">
      <c r="A5559" s="74" t="s">
        <v>1047</v>
      </c>
      <c r="B5559" s="74" t="s">
        <v>877</v>
      </c>
      <c r="C5559" s="74" t="s">
        <v>1544</v>
      </c>
      <c r="D5559" s="74" t="s">
        <v>87</v>
      </c>
      <c r="E5559" s="74">
        <v>11</v>
      </c>
      <c r="F5559" s="74">
        <v>0</v>
      </c>
      <c r="G5559" s="758">
        <f t="shared" si="344"/>
        <v>0</v>
      </c>
      <c r="H5559" s="759">
        <f t="shared" si="345"/>
        <v>0</v>
      </c>
      <c r="I5559" s="758">
        <f t="shared" si="346"/>
        <v>0</v>
      </c>
      <c r="J5559" s="760">
        <f t="shared" si="347"/>
        <v>0</v>
      </c>
    </row>
    <row r="5560" spans="1:10">
      <c r="A5560" s="74" t="s">
        <v>1047</v>
      </c>
      <c r="B5560" s="74" t="s">
        <v>877</v>
      </c>
      <c r="C5560" s="74" t="s">
        <v>1582</v>
      </c>
      <c r="D5560" s="74" t="s">
        <v>89</v>
      </c>
      <c r="E5560" s="74">
        <v>9</v>
      </c>
      <c r="F5560" s="74">
        <v>0</v>
      </c>
      <c r="G5560" s="758">
        <f t="shared" si="344"/>
        <v>0</v>
      </c>
      <c r="H5560" s="759">
        <f t="shared" si="345"/>
        <v>0</v>
      </c>
      <c r="I5560" s="758">
        <f t="shared" si="346"/>
        <v>0</v>
      </c>
      <c r="J5560" s="760">
        <f t="shared" si="347"/>
        <v>0</v>
      </c>
    </row>
    <row r="5561" spans="1:10">
      <c r="A5561" s="74" t="s">
        <v>1047</v>
      </c>
      <c r="B5561" s="74" t="s">
        <v>877</v>
      </c>
      <c r="C5561" s="74" t="s">
        <v>1552</v>
      </c>
      <c r="D5561" s="74" t="s">
        <v>92</v>
      </c>
      <c r="E5561" s="74">
        <v>5</v>
      </c>
      <c r="F5561" s="74">
        <v>0</v>
      </c>
      <c r="G5561" s="758">
        <f t="shared" si="344"/>
        <v>0</v>
      </c>
      <c r="H5561" s="759">
        <f t="shared" si="345"/>
        <v>0</v>
      </c>
      <c r="I5561" s="758">
        <f t="shared" si="346"/>
        <v>0</v>
      </c>
      <c r="J5561" s="760">
        <f t="shared" si="347"/>
        <v>0</v>
      </c>
    </row>
    <row r="5562" spans="1:10">
      <c r="A5562" s="74" t="s">
        <v>1047</v>
      </c>
      <c r="B5562" s="74" t="s">
        <v>877</v>
      </c>
      <c r="C5562" s="74" t="s">
        <v>1617</v>
      </c>
      <c r="D5562" s="74" t="s">
        <v>94</v>
      </c>
      <c r="E5562" s="74">
        <v>11</v>
      </c>
      <c r="F5562" s="74">
        <v>0</v>
      </c>
      <c r="G5562" s="758">
        <f t="shared" si="344"/>
        <v>0</v>
      </c>
      <c r="H5562" s="759">
        <f t="shared" si="345"/>
        <v>0</v>
      </c>
      <c r="I5562" s="758">
        <f t="shared" si="346"/>
        <v>0</v>
      </c>
      <c r="J5562" s="760">
        <f t="shared" si="347"/>
        <v>0</v>
      </c>
    </row>
    <row r="5563" spans="1:10">
      <c r="A5563" s="74" t="s">
        <v>1047</v>
      </c>
      <c r="B5563" s="74" t="s">
        <v>877</v>
      </c>
      <c r="C5563" s="74" t="s">
        <v>1557</v>
      </c>
      <c r="D5563" s="74" t="s">
        <v>95</v>
      </c>
      <c r="E5563" s="74">
        <v>9</v>
      </c>
      <c r="F5563" s="74">
        <v>0</v>
      </c>
      <c r="G5563" s="758">
        <f t="shared" si="344"/>
        <v>0</v>
      </c>
      <c r="H5563" s="759">
        <f t="shared" si="345"/>
        <v>0</v>
      </c>
      <c r="I5563" s="758">
        <f t="shared" si="346"/>
        <v>0</v>
      </c>
      <c r="J5563" s="760">
        <f t="shared" si="347"/>
        <v>0</v>
      </c>
    </row>
    <row r="5564" spans="1:10">
      <c r="A5564" s="74" t="s">
        <v>1122</v>
      </c>
      <c r="B5564" s="74" t="s">
        <v>877</v>
      </c>
      <c r="C5564" s="74" t="s">
        <v>1608</v>
      </c>
      <c r="D5564" s="74" t="s">
        <v>89</v>
      </c>
      <c r="E5564" s="74">
        <v>8</v>
      </c>
      <c r="F5564" s="74">
        <v>0</v>
      </c>
      <c r="G5564" s="758">
        <f t="shared" si="344"/>
        <v>0</v>
      </c>
      <c r="H5564" s="759">
        <f t="shared" si="345"/>
        <v>0</v>
      </c>
      <c r="I5564" s="758">
        <f t="shared" si="346"/>
        <v>0</v>
      </c>
      <c r="J5564" s="760">
        <f t="shared" si="347"/>
        <v>0</v>
      </c>
    </row>
    <row r="5565" spans="1:10">
      <c r="A5565" s="74" t="s">
        <v>2146</v>
      </c>
      <c r="B5565" s="74" t="s">
        <v>877</v>
      </c>
      <c r="C5565" s="74" t="s">
        <v>1584</v>
      </c>
      <c r="D5565" s="74" t="s">
        <v>92</v>
      </c>
      <c r="E5565" s="74">
        <v>6</v>
      </c>
      <c r="F5565" s="74">
        <v>0</v>
      </c>
      <c r="G5565" s="758">
        <f t="shared" si="344"/>
        <v>0</v>
      </c>
      <c r="H5565" s="759">
        <f t="shared" si="345"/>
        <v>0</v>
      </c>
      <c r="I5565" s="758">
        <f t="shared" si="346"/>
        <v>0</v>
      </c>
      <c r="J5565" s="760">
        <f t="shared" si="347"/>
        <v>0</v>
      </c>
    </row>
    <row r="5566" spans="1:10">
      <c r="A5566" s="74" t="s">
        <v>2147</v>
      </c>
      <c r="B5566" s="74" t="s">
        <v>256</v>
      </c>
      <c r="C5566" s="74" t="s">
        <v>1544</v>
      </c>
      <c r="D5566" s="74" t="s">
        <v>87</v>
      </c>
      <c r="E5566" s="74">
        <v>2</v>
      </c>
      <c r="F5566" s="74">
        <v>10.8</v>
      </c>
      <c r="G5566" s="758">
        <f t="shared" si="344"/>
        <v>0</v>
      </c>
      <c r="H5566" s="759">
        <f t="shared" si="345"/>
        <v>0</v>
      </c>
      <c r="I5566" s="758">
        <f t="shared" si="346"/>
        <v>5.4</v>
      </c>
      <c r="J5566" s="760">
        <f t="shared" si="347"/>
        <v>1</v>
      </c>
    </row>
    <row r="5567" spans="1:10">
      <c r="A5567" s="74" t="s">
        <v>2148</v>
      </c>
      <c r="B5567" s="74" t="s">
        <v>258</v>
      </c>
      <c r="C5567" s="74" t="s">
        <v>1544</v>
      </c>
      <c r="D5567" s="74" t="s">
        <v>87</v>
      </c>
      <c r="E5567" s="74">
        <v>1</v>
      </c>
      <c r="F5567" s="74">
        <v>0</v>
      </c>
      <c r="G5567" s="758">
        <f t="shared" si="344"/>
        <v>0</v>
      </c>
      <c r="H5567" s="759">
        <f t="shared" si="345"/>
        <v>0</v>
      </c>
      <c r="I5567" s="758">
        <f t="shared" si="346"/>
        <v>0</v>
      </c>
      <c r="J5567" s="760">
        <f t="shared" si="347"/>
        <v>0</v>
      </c>
    </row>
    <row r="5568" spans="1:10">
      <c r="A5568" s="74" t="s">
        <v>2148</v>
      </c>
      <c r="B5568" s="74" t="s">
        <v>258</v>
      </c>
      <c r="C5568" s="74" t="s">
        <v>1555</v>
      </c>
      <c r="D5568" s="74" t="s">
        <v>94</v>
      </c>
      <c r="E5568" s="74">
        <v>2</v>
      </c>
      <c r="F5568" s="74">
        <v>0</v>
      </c>
      <c r="G5568" s="758">
        <f t="shared" si="344"/>
        <v>0</v>
      </c>
      <c r="H5568" s="759">
        <f t="shared" si="345"/>
        <v>0</v>
      </c>
      <c r="I5568" s="758">
        <f t="shared" si="346"/>
        <v>0</v>
      </c>
      <c r="J5568" s="760">
        <f t="shared" si="347"/>
        <v>0</v>
      </c>
    </row>
    <row r="5569" spans="1:10">
      <c r="A5569" s="74" t="s">
        <v>2149</v>
      </c>
      <c r="B5569" s="74" t="s">
        <v>258</v>
      </c>
      <c r="C5569" s="74" t="s">
        <v>1540</v>
      </c>
      <c r="D5569" s="74" t="s">
        <v>84</v>
      </c>
      <c r="E5569" s="74">
        <v>1</v>
      </c>
      <c r="F5569" s="74">
        <v>0</v>
      </c>
      <c r="G5569" s="758">
        <f t="shared" si="344"/>
        <v>0</v>
      </c>
      <c r="H5569" s="759">
        <f t="shared" si="345"/>
        <v>0</v>
      </c>
      <c r="I5569" s="758">
        <f t="shared" si="346"/>
        <v>0</v>
      </c>
      <c r="J5569" s="760">
        <f t="shared" si="347"/>
        <v>0</v>
      </c>
    </row>
    <row r="5570" spans="1:10">
      <c r="A5570" s="74" t="s">
        <v>2149</v>
      </c>
      <c r="B5570" s="74" t="s">
        <v>258</v>
      </c>
      <c r="C5570" s="74" t="s">
        <v>1675</v>
      </c>
      <c r="D5570" s="74" t="s">
        <v>91</v>
      </c>
      <c r="E5570" s="74">
        <v>1</v>
      </c>
      <c r="F5570" s="74">
        <v>0</v>
      </c>
      <c r="G5570" s="758">
        <f t="shared" ref="G5570:G5633" si="348">IFERROR(VLOOKUP(A5570,$M$1:$P$1014,2,FALSE),0)</f>
        <v>0</v>
      </c>
      <c r="H5570" s="759">
        <f t="shared" ref="H5570:H5633" si="349">IFERROR(VLOOKUP(A5570,$M$1:$P$1014,3,FALSE),0)</f>
        <v>0</v>
      </c>
      <c r="I5570" s="758">
        <f t="shared" ref="I5570:I5633" si="350">IFERROR(F5570/E5570-G5570,0)</f>
        <v>0</v>
      </c>
      <c r="J5570" s="760">
        <f t="shared" ref="J5570:J5633" si="351">IFERROR(1-G5570*E5570/F5570,0)</f>
        <v>0</v>
      </c>
    </row>
    <row r="5571" spans="1:10">
      <c r="A5571" s="74" t="s">
        <v>2149</v>
      </c>
      <c r="B5571" s="74" t="s">
        <v>258</v>
      </c>
      <c r="C5571" s="74" t="s">
        <v>1584</v>
      </c>
      <c r="D5571" s="74" t="s">
        <v>92</v>
      </c>
      <c r="E5571" s="74">
        <v>2</v>
      </c>
      <c r="F5571" s="74">
        <v>0</v>
      </c>
      <c r="G5571" s="758">
        <f t="shared" si="348"/>
        <v>0</v>
      </c>
      <c r="H5571" s="759">
        <f t="shared" si="349"/>
        <v>0</v>
      </c>
      <c r="I5571" s="758">
        <f t="shared" si="350"/>
        <v>0</v>
      </c>
      <c r="J5571" s="760">
        <f t="shared" si="351"/>
        <v>0</v>
      </c>
    </row>
    <row r="5572" spans="1:10">
      <c r="A5572" s="74" t="s">
        <v>2149</v>
      </c>
      <c r="B5572" s="74" t="s">
        <v>258</v>
      </c>
      <c r="C5572" s="74" t="s">
        <v>1614</v>
      </c>
      <c r="D5572" s="74" t="s">
        <v>92</v>
      </c>
      <c r="E5572" s="74">
        <v>4</v>
      </c>
      <c r="F5572" s="74">
        <v>0</v>
      </c>
      <c r="G5572" s="758">
        <f t="shared" si="348"/>
        <v>0</v>
      </c>
      <c r="H5572" s="759">
        <f t="shared" si="349"/>
        <v>0</v>
      </c>
      <c r="I5572" s="758">
        <f t="shared" si="350"/>
        <v>0</v>
      </c>
      <c r="J5572" s="760">
        <f t="shared" si="351"/>
        <v>0</v>
      </c>
    </row>
    <row r="5573" spans="1:10">
      <c r="A5573" s="74" t="s">
        <v>2149</v>
      </c>
      <c r="B5573" s="74" t="s">
        <v>258</v>
      </c>
      <c r="C5573" s="74" t="s">
        <v>1930</v>
      </c>
      <c r="D5573" s="74" t="s">
        <v>95</v>
      </c>
      <c r="E5573" s="74">
        <v>2</v>
      </c>
      <c r="F5573" s="74">
        <v>0</v>
      </c>
      <c r="G5573" s="758">
        <f t="shared" si="348"/>
        <v>0</v>
      </c>
      <c r="H5573" s="759">
        <f t="shared" si="349"/>
        <v>0</v>
      </c>
      <c r="I5573" s="758">
        <f t="shared" si="350"/>
        <v>0</v>
      </c>
      <c r="J5573" s="760">
        <f t="shared" si="351"/>
        <v>0</v>
      </c>
    </row>
    <row r="5574" spans="1:10">
      <c r="A5574" s="74" t="s">
        <v>2150</v>
      </c>
      <c r="B5574" s="74" t="s">
        <v>877</v>
      </c>
      <c r="C5574" s="74" t="s">
        <v>1550</v>
      </c>
      <c r="D5574" s="74" t="s">
        <v>91</v>
      </c>
      <c r="E5574" s="74">
        <v>15</v>
      </c>
      <c r="F5574" s="74">
        <v>0</v>
      </c>
      <c r="G5574" s="758">
        <f t="shared" si="348"/>
        <v>0</v>
      </c>
      <c r="H5574" s="759">
        <f t="shared" si="349"/>
        <v>0</v>
      </c>
      <c r="I5574" s="758">
        <f t="shared" si="350"/>
        <v>0</v>
      </c>
      <c r="J5574" s="760">
        <f t="shared" si="351"/>
        <v>0</v>
      </c>
    </row>
    <row r="5575" spans="1:10">
      <c r="A5575" s="74" t="s">
        <v>992</v>
      </c>
      <c r="B5575" s="74" t="s">
        <v>258</v>
      </c>
      <c r="C5575" s="74" t="s">
        <v>1608</v>
      </c>
      <c r="D5575" s="74" t="s">
        <v>89</v>
      </c>
      <c r="E5575" s="74">
        <v>1</v>
      </c>
      <c r="F5575" s="74">
        <v>0</v>
      </c>
      <c r="G5575" s="758">
        <f t="shared" si="348"/>
        <v>0</v>
      </c>
      <c r="H5575" s="759">
        <f t="shared" si="349"/>
        <v>0</v>
      </c>
      <c r="I5575" s="758">
        <f t="shared" si="350"/>
        <v>0</v>
      </c>
      <c r="J5575" s="760">
        <f t="shared" si="351"/>
        <v>0</v>
      </c>
    </row>
    <row r="5576" spans="1:10">
      <c r="A5576" s="74" t="s">
        <v>992</v>
      </c>
      <c r="B5576" s="74" t="s">
        <v>258</v>
      </c>
      <c r="C5576" s="74" t="s">
        <v>1675</v>
      </c>
      <c r="D5576" s="74" t="s">
        <v>91</v>
      </c>
      <c r="E5576" s="74">
        <v>1</v>
      </c>
      <c r="F5576" s="74">
        <v>0</v>
      </c>
      <c r="G5576" s="758">
        <f t="shared" si="348"/>
        <v>0</v>
      </c>
      <c r="H5576" s="759">
        <f t="shared" si="349"/>
        <v>0</v>
      </c>
      <c r="I5576" s="758">
        <f t="shared" si="350"/>
        <v>0</v>
      </c>
      <c r="J5576" s="760">
        <f t="shared" si="351"/>
        <v>0</v>
      </c>
    </row>
    <row r="5577" spans="1:10">
      <c r="A5577" s="74" t="s">
        <v>1178</v>
      </c>
      <c r="B5577" s="74" t="s">
        <v>873</v>
      </c>
      <c r="C5577" s="74" t="s">
        <v>1553</v>
      </c>
      <c r="D5577" s="74" t="s">
        <v>94</v>
      </c>
      <c r="E5577" s="74">
        <v>7</v>
      </c>
      <c r="F5577" s="74">
        <v>0</v>
      </c>
      <c r="G5577" s="758">
        <f t="shared" si="348"/>
        <v>0</v>
      </c>
      <c r="H5577" s="759">
        <f t="shared" si="349"/>
        <v>0</v>
      </c>
      <c r="I5577" s="758">
        <f t="shared" si="350"/>
        <v>0</v>
      </c>
      <c r="J5577" s="760">
        <f t="shared" si="351"/>
        <v>0</v>
      </c>
    </row>
    <row r="5578" spans="1:10">
      <c r="A5578" s="74" t="s">
        <v>2151</v>
      </c>
      <c r="B5578" s="74" t="s">
        <v>256</v>
      </c>
      <c r="C5578" s="74" t="s">
        <v>1528</v>
      </c>
      <c r="D5578" s="74" t="s">
        <v>78</v>
      </c>
      <c r="E5578" s="74">
        <v>5</v>
      </c>
      <c r="F5578" s="74">
        <v>49</v>
      </c>
      <c r="G5578" s="758">
        <f t="shared" si="348"/>
        <v>1.88</v>
      </c>
      <c r="H5578" s="759">
        <f t="shared" si="349"/>
        <v>0.26</v>
      </c>
      <c r="I5578" s="758">
        <f t="shared" si="350"/>
        <v>7.9200000000000008</v>
      </c>
      <c r="J5578" s="760">
        <f t="shared" si="351"/>
        <v>0.80816326530612248</v>
      </c>
    </row>
    <row r="5579" spans="1:10">
      <c r="A5579" s="74" t="s">
        <v>2151</v>
      </c>
      <c r="B5579" s="74" t="s">
        <v>256</v>
      </c>
      <c r="C5579" s="74" t="s">
        <v>1508</v>
      </c>
      <c r="D5579" s="74" t="s">
        <v>78</v>
      </c>
      <c r="E5579" s="74">
        <v>8</v>
      </c>
      <c r="F5579" s="74">
        <v>81.55</v>
      </c>
      <c r="G5579" s="758">
        <f t="shared" si="348"/>
        <v>1.88</v>
      </c>
      <c r="H5579" s="759">
        <f t="shared" si="349"/>
        <v>0.26</v>
      </c>
      <c r="I5579" s="758">
        <f t="shared" si="350"/>
        <v>8.3137499999999989</v>
      </c>
      <c r="J5579" s="760">
        <f t="shared" si="351"/>
        <v>0.81557326793378293</v>
      </c>
    </row>
    <row r="5580" spans="1:10">
      <c r="A5580" s="74" t="s">
        <v>2151</v>
      </c>
      <c r="B5580" s="74" t="s">
        <v>256</v>
      </c>
      <c r="C5580" s="74" t="s">
        <v>1509</v>
      </c>
      <c r="D5580" s="74" t="s">
        <v>78</v>
      </c>
      <c r="E5580" s="74">
        <v>6</v>
      </c>
      <c r="F5580" s="74">
        <v>58.8</v>
      </c>
      <c r="G5580" s="758">
        <f t="shared" si="348"/>
        <v>1.88</v>
      </c>
      <c r="H5580" s="759">
        <f t="shared" si="349"/>
        <v>0.26</v>
      </c>
      <c r="I5580" s="758">
        <f t="shared" si="350"/>
        <v>7.919999999999999</v>
      </c>
      <c r="J5580" s="760">
        <f t="shared" si="351"/>
        <v>0.80816326530612248</v>
      </c>
    </row>
    <row r="5581" spans="1:10">
      <c r="A5581" s="74" t="s">
        <v>2151</v>
      </c>
      <c r="B5581" s="74" t="s">
        <v>256</v>
      </c>
      <c r="C5581" s="74" t="s">
        <v>1565</v>
      </c>
      <c r="D5581" s="74" t="s">
        <v>78</v>
      </c>
      <c r="E5581" s="74">
        <v>9</v>
      </c>
      <c r="F5581" s="74">
        <v>88.2</v>
      </c>
      <c r="G5581" s="758">
        <f t="shared" si="348"/>
        <v>1.88</v>
      </c>
      <c r="H5581" s="759">
        <f t="shared" si="349"/>
        <v>0.26</v>
      </c>
      <c r="I5581" s="758">
        <f t="shared" si="350"/>
        <v>7.9200000000000008</v>
      </c>
      <c r="J5581" s="760">
        <f t="shared" si="351"/>
        <v>0.80816326530612248</v>
      </c>
    </row>
    <row r="5582" spans="1:10">
      <c r="A5582" s="74" t="s">
        <v>2151</v>
      </c>
      <c r="B5582" s="74" t="s">
        <v>256</v>
      </c>
      <c r="C5582" s="74" t="s">
        <v>1530</v>
      </c>
      <c r="D5582" s="74" t="s">
        <v>80</v>
      </c>
      <c r="E5582" s="74">
        <v>1</v>
      </c>
      <c r="F5582" s="74">
        <v>10.050000000000001</v>
      </c>
      <c r="G5582" s="758">
        <f t="shared" si="348"/>
        <v>1.88</v>
      </c>
      <c r="H5582" s="759">
        <f t="shared" si="349"/>
        <v>0.26</v>
      </c>
      <c r="I5582" s="758">
        <f t="shared" si="350"/>
        <v>8.1700000000000017</v>
      </c>
      <c r="J5582" s="760">
        <f t="shared" si="351"/>
        <v>0.81293532338308461</v>
      </c>
    </row>
    <row r="5583" spans="1:10">
      <c r="A5583" s="74" t="s">
        <v>2151</v>
      </c>
      <c r="B5583" s="74" t="s">
        <v>256</v>
      </c>
      <c r="C5583" s="74" t="s">
        <v>1513</v>
      </c>
      <c r="D5583" s="74" t="s">
        <v>81</v>
      </c>
      <c r="E5583" s="74">
        <v>1</v>
      </c>
      <c r="F5583" s="74">
        <v>9.8000000000000007</v>
      </c>
      <c r="G5583" s="758">
        <f t="shared" si="348"/>
        <v>1.88</v>
      </c>
      <c r="H5583" s="759">
        <f t="shared" si="349"/>
        <v>0.26</v>
      </c>
      <c r="I5583" s="758">
        <f t="shared" si="350"/>
        <v>7.9200000000000008</v>
      </c>
      <c r="J5583" s="760">
        <f t="shared" si="351"/>
        <v>0.80816326530612248</v>
      </c>
    </row>
    <row r="5584" spans="1:10">
      <c r="A5584" s="74" t="s">
        <v>2151</v>
      </c>
      <c r="B5584" s="74" t="s">
        <v>256</v>
      </c>
      <c r="C5584" s="74" t="s">
        <v>1514</v>
      </c>
      <c r="D5584" s="74" t="s">
        <v>81</v>
      </c>
      <c r="E5584" s="74">
        <v>1</v>
      </c>
      <c r="F5584" s="74">
        <v>9.8000000000000007</v>
      </c>
      <c r="G5584" s="758">
        <f t="shared" si="348"/>
        <v>1.88</v>
      </c>
      <c r="H5584" s="759">
        <f t="shared" si="349"/>
        <v>0.26</v>
      </c>
      <c r="I5584" s="758">
        <f t="shared" si="350"/>
        <v>7.9200000000000008</v>
      </c>
      <c r="J5584" s="760">
        <f t="shared" si="351"/>
        <v>0.80816326530612248</v>
      </c>
    </row>
    <row r="5585" spans="1:10">
      <c r="A5585" s="74" t="s">
        <v>2151</v>
      </c>
      <c r="B5585" s="74" t="s">
        <v>256</v>
      </c>
      <c r="C5585" s="74" t="s">
        <v>1644</v>
      </c>
      <c r="D5585" s="74" t="s">
        <v>86</v>
      </c>
      <c r="E5585" s="74">
        <v>1</v>
      </c>
      <c r="F5585" s="74">
        <v>9</v>
      </c>
      <c r="G5585" s="758">
        <f t="shared" si="348"/>
        <v>1.88</v>
      </c>
      <c r="H5585" s="759">
        <f t="shared" si="349"/>
        <v>0.26</v>
      </c>
      <c r="I5585" s="758">
        <f t="shared" si="350"/>
        <v>7.12</v>
      </c>
      <c r="J5585" s="760">
        <f t="shared" si="351"/>
        <v>0.7911111111111111</v>
      </c>
    </row>
    <row r="5586" spans="1:10">
      <c r="A5586" s="74" t="s">
        <v>2151</v>
      </c>
      <c r="B5586" s="74" t="s">
        <v>256</v>
      </c>
      <c r="C5586" s="74" t="s">
        <v>1578</v>
      </c>
      <c r="D5586" s="74" t="s">
        <v>86</v>
      </c>
      <c r="E5586" s="74">
        <v>1</v>
      </c>
      <c r="F5586" s="74">
        <v>9</v>
      </c>
      <c r="G5586" s="758">
        <f t="shared" si="348"/>
        <v>1.88</v>
      </c>
      <c r="H5586" s="759">
        <f t="shared" si="349"/>
        <v>0.26</v>
      </c>
      <c r="I5586" s="758">
        <f t="shared" si="350"/>
        <v>7.12</v>
      </c>
      <c r="J5586" s="760">
        <f t="shared" si="351"/>
        <v>0.7911111111111111</v>
      </c>
    </row>
    <row r="5587" spans="1:10">
      <c r="A5587" s="74" t="s">
        <v>2151</v>
      </c>
      <c r="B5587" s="74" t="s">
        <v>256</v>
      </c>
      <c r="C5587" s="74" t="s">
        <v>1608</v>
      </c>
      <c r="D5587" s="74" t="s">
        <v>89</v>
      </c>
      <c r="E5587" s="74">
        <v>2</v>
      </c>
      <c r="F5587" s="74">
        <v>18.8</v>
      </c>
      <c r="G5587" s="758">
        <f t="shared" si="348"/>
        <v>1.88</v>
      </c>
      <c r="H5587" s="759">
        <f t="shared" si="349"/>
        <v>0.26</v>
      </c>
      <c r="I5587" s="758">
        <f t="shared" si="350"/>
        <v>7.5200000000000005</v>
      </c>
      <c r="J5587" s="760">
        <f t="shared" si="351"/>
        <v>0.8</v>
      </c>
    </row>
    <row r="5588" spans="1:10">
      <c r="A5588" s="74" t="s">
        <v>2151</v>
      </c>
      <c r="B5588" s="74" t="s">
        <v>256</v>
      </c>
      <c r="C5588" s="74" t="s">
        <v>1524</v>
      </c>
      <c r="D5588" s="74" t="s">
        <v>91</v>
      </c>
      <c r="E5588" s="74">
        <v>1</v>
      </c>
      <c r="F5588" s="74">
        <v>9.8000000000000007</v>
      </c>
      <c r="G5588" s="758">
        <f t="shared" si="348"/>
        <v>1.88</v>
      </c>
      <c r="H5588" s="759">
        <f t="shared" si="349"/>
        <v>0.26</v>
      </c>
      <c r="I5588" s="758">
        <f t="shared" si="350"/>
        <v>7.9200000000000008</v>
      </c>
      <c r="J5588" s="760">
        <f t="shared" si="351"/>
        <v>0.80816326530612248</v>
      </c>
    </row>
    <row r="5589" spans="1:10">
      <c r="A5589" s="74" t="s">
        <v>2151</v>
      </c>
      <c r="B5589" s="74" t="s">
        <v>256</v>
      </c>
      <c r="C5589" s="74" t="s">
        <v>1584</v>
      </c>
      <c r="D5589" s="74" t="s">
        <v>92</v>
      </c>
      <c r="E5589" s="74">
        <v>1</v>
      </c>
      <c r="F5589" s="74">
        <v>9.8000000000000007</v>
      </c>
      <c r="G5589" s="758">
        <f t="shared" si="348"/>
        <v>1.88</v>
      </c>
      <c r="H5589" s="759">
        <f t="shared" si="349"/>
        <v>0.26</v>
      </c>
      <c r="I5589" s="758">
        <f t="shared" si="350"/>
        <v>7.9200000000000008</v>
      </c>
      <c r="J5589" s="760">
        <f t="shared" si="351"/>
        <v>0.80816326530612248</v>
      </c>
    </row>
    <row r="5590" spans="1:10">
      <c r="A5590" s="74" t="s">
        <v>2151</v>
      </c>
      <c r="B5590" s="74" t="s">
        <v>256</v>
      </c>
      <c r="C5590" s="74" t="s">
        <v>1526</v>
      </c>
      <c r="D5590" s="74" t="s">
        <v>95</v>
      </c>
      <c r="E5590" s="74">
        <v>1</v>
      </c>
      <c r="F5590" s="74">
        <v>9.8000000000000007</v>
      </c>
      <c r="G5590" s="758">
        <f t="shared" si="348"/>
        <v>1.88</v>
      </c>
      <c r="H5590" s="759">
        <f t="shared" si="349"/>
        <v>0.26</v>
      </c>
      <c r="I5590" s="758">
        <f t="shared" si="350"/>
        <v>7.9200000000000008</v>
      </c>
      <c r="J5590" s="760">
        <f t="shared" si="351"/>
        <v>0.80816326530612248</v>
      </c>
    </row>
    <row r="5591" spans="1:10">
      <c r="A5591" s="74" t="s">
        <v>2152</v>
      </c>
      <c r="B5591" s="74" t="s">
        <v>256</v>
      </c>
      <c r="C5591" s="74" t="s">
        <v>1527</v>
      </c>
      <c r="D5591" s="74" t="s">
        <v>82</v>
      </c>
      <c r="E5591" s="74">
        <v>1</v>
      </c>
      <c r="F5591" s="74">
        <v>0</v>
      </c>
      <c r="G5591" s="758">
        <f t="shared" si="348"/>
        <v>2.31</v>
      </c>
      <c r="H5591" s="759">
        <f t="shared" si="349"/>
        <v>0</v>
      </c>
      <c r="I5591" s="758">
        <f t="shared" si="350"/>
        <v>-2.31</v>
      </c>
      <c r="J5591" s="760">
        <f t="shared" si="351"/>
        <v>0</v>
      </c>
    </row>
    <row r="5592" spans="1:10">
      <c r="A5592" s="74" t="s">
        <v>2153</v>
      </c>
      <c r="B5592" s="74" t="s">
        <v>256</v>
      </c>
      <c r="C5592" s="74" t="s">
        <v>1532</v>
      </c>
      <c r="D5592" s="74" t="s">
        <v>80</v>
      </c>
      <c r="E5592" s="74">
        <v>9</v>
      </c>
      <c r="F5592" s="74">
        <v>88.95</v>
      </c>
      <c r="G5592" s="758">
        <f t="shared" si="348"/>
        <v>2.31</v>
      </c>
      <c r="H5592" s="759">
        <f t="shared" si="349"/>
        <v>0.26</v>
      </c>
      <c r="I5592" s="758">
        <f t="shared" si="350"/>
        <v>7.5733333333333324</v>
      </c>
      <c r="J5592" s="760">
        <f t="shared" si="351"/>
        <v>0.7662731871838111</v>
      </c>
    </row>
    <row r="5593" spans="1:10">
      <c r="A5593" s="74" t="s">
        <v>2153</v>
      </c>
      <c r="B5593" s="74" t="s">
        <v>256</v>
      </c>
      <c r="C5593" s="74" t="s">
        <v>1511</v>
      </c>
      <c r="D5593" s="74" t="s">
        <v>80</v>
      </c>
      <c r="E5593" s="74">
        <v>14</v>
      </c>
      <c r="F5593" s="74">
        <v>137.93</v>
      </c>
      <c r="G5593" s="758">
        <f t="shared" si="348"/>
        <v>2.31</v>
      </c>
      <c r="H5593" s="759">
        <f t="shared" si="349"/>
        <v>0.26</v>
      </c>
      <c r="I5593" s="758">
        <f t="shared" si="350"/>
        <v>7.5421428571428564</v>
      </c>
      <c r="J5593" s="760">
        <f t="shared" si="351"/>
        <v>0.76553324149931123</v>
      </c>
    </row>
    <row r="5594" spans="1:10">
      <c r="A5594" s="74" t="s">
        <v>2153</v>
      </c>
      <c r="B5594" s="74" t="s">
        <v>256</v>
      </c>
      <c r="C5594" s="74" t="s">
        <v>1512</v>
      </c>
      <c r="D5594" s="74" t="s">
        <v>80</v>
      </c>
      <c r="E5594" s="74">
        <v>6</v>
      </c>
      <c r="F5594" s="74">
        <v>59.06</v>
      </c>
      <c r="G5594" s="758">
        <f t="shared" si="348"/>
        <v>2.31</v>
      </c>
      <c r="H5594" s="759">
        <f t="shared" si="349"/>
        <v>0.26</v>
      </c>
      <c r="I5594" s="758">
        <f t="shared" si="350"/>
        <v>7.5333333333333332</v>
      </c>
      <c r="J5594" s="760">
        <f t="shared" si="351"/>
        <v>0.76532339993227227</v>
      </c>
    </row>
    <row r="5595" spans="1:10">
      <c r="A5595" s="74" t="s">
        <v>2153</v>
      </c>
      <c r="B5595" s="74" t="s">
        <v>256</v>
      </c>
      <c r="C5595" s="74" t="s">
        <v>1534</v>
      </c>
      <c r="D5595" s="74" t="s">
        <v>81</v>
      </c>
      <c r="E5595" s="74">
        <v>9</v>
      </c>
      <c r="F5595" s="74">
        <v>87.4</v>
      </c>
      <c r="G5595" s="758">
        <f t="shared" si="348"/>
        <v>2.31</v>
      </c>
      <c r="H5595" s="759">
        <f t="shared" si="349"/>
        <v>0.26</v>
      </c>
      <c r="I5595" s="758">
        <f t="shared" si="350"/>
        <v>7.4011111111111116</v>
      </c>
      <c r="J5595" s="760">
        <f t="shared" si="351"/>
        <v>0.76212814645308924</v>
      </c>
    </row>
    <row r="5596" spans="1:10">
      <c r="A5596" s="74" t="s">
        <v>2153</v>
      </c>
      <c r="B5596" s="74" t="s">
        <v>256</v>
      </c>
      <c r="C5596" s="74" t="s">
        <v>1513</v>
      </c>
      <c r="D5596" s="74" t="s">
        <v>81</v>
      </c>
      <c r="E5596" s="74">
        <v>7</v>
      </c>
      <c r="F5596" s="74">
        <v>63.8</v>
      </c>
      <c r="G5596" s="758">
        <f t="shared" si="348"/>
        <v>2.31</v>
      </c>
      <c r="H5596" s="759">
        <f t="shared" si="349"/>
        <v>0.26</v>
      </c>
      <c r="I5596" s="758">
        <f t="shared" si="350"/>
        <v>6.8042857142857134</v>
      </c>
      <c r="J5596" s="760">
        <f t="shared" si="351"/>
        <v>0.74655172413793092</v>
      </c>
    </row>
    <row r="5597" spans="1:10">
      <c r="A5597" s="74" t="s">
        <v>2153</v>
      </c>
      <c r="B5597" s="74" t="s">
        <v>256</v>
      </c>
      <c r="C5597" s="74" t="s">
        <v>1514</v>
      </c>
      <c r="D5597" s="74" t="s">
        <v>81</v>
      </c>
      <c r="E5597" s="74">
        <v>9</v>
      </c>
      <c r="F5597" s="74">
        <v>88.2</v>
      </c>
      <c r="G5597" s="758">
        <f t="shared" si="348"/>
        <v>2.31</v>
      </c>
      <c r="H5597" s="759">
        <f t="shared" si="349"/>
        <v>0.26</v>
      </c>
      <c r="I5597" s="758">
        <f t="shared" si="350"/>
        <v>7.49</v>
      </c>
      <c r="J5597" s="760">
        <f t="shared" si="351"/>
        <v>0.76428571428571423</v>
      </c>
    </row>
    <row r="5598" spans="1:10">
      <c r="A5598" s="74" t="s">
        <v>2153</v>
      </c>
      <c r="B5598" s="74" t="s">
        <v>256</v>
      </c>
      <c r="C5598" s="74" t="s">
        <v>1515</v>
      </c>
      <c r="D5598" s="74" t="s">
        <v>81</v>
      </c>
      <c r="E5598" s="74">
        <v>7</v>
      </c>
      <c r="F5598" s="74">
        <v>68</v>
      </c>
      <c r="G5598" s="758">
        <f t="shared" si="348"/>
        <v>2.31</v>
      </c>
      <c r="H5598" s="759">
        <f t="shared" si="349"/>
        <v>0.26</v>
      </c>
      <c r="I5598" s="758">
        <f t="shared" si="350"/>
        <v>7.404285714285713</v>
      </c>
      <c r="J5598" s="760">
        <f t="shared" si="351"/>
        <v>0.76220588235294118</v>
      </c>
    </row>
    <row r="5599" spans="1:10">
      <c r="A5599" s="74" t="s">
        <v>2153</v>
      </c>
      <c r="B5599" s="74" t="s">
        <v>256</v>
      </c>
      <c r="C5599" s="74" t="s">
        <v>1516</v>
      </c>
      <c r="D5599" s="74" t="s">
        <v>82</v>
      </c>
      <c r="E5599" s="74">
        <v>5</v>
      </c>
      <c r="F5599" s="74">
        <v>52</v>
      </c>
      <c r="G5599" s="758">
        <f t="shared" si="348"/>
        <v>2.31</v>
      </c>
      <c r="H5599" s="759">
        <f t="shared" si="349"/>
        <v>0.26</v>
      </c>
      <c r="I5599" s="758">
        <f t="shared" si="350"/>
        <v>8.09</v>
      </c>
      <c r="J5599" s="760">
        <f t="shared" si="351"/>
        <v>0.7778846153846154</v>
      </c>
    </row>
    <row r="5600" spans="1:10">
      <c r="A5600" s="74" t="s">
        <v>2153</v>
      </c>
      <c r="B5600" s="74" t="s">
        <v>256</v>
      </c>
      <c r="C5600" s="74" t="s">
        <v>1517</v>
      </c>
      <c r="D5600" s="74" t="s">
        <v>82</v>
      </c>
      <c r="E5600" s="74">
        <v>6</v>
      </c>
      <c r="F5600" s="74">
        <v>58.8</v>
      </c>
      <c r="G5600" s="758">
        <f t="shared" si="348"/>
        <v>2.31</v>
      </c>
      <c r="H5600" s="759">
        <f t="shared" si="349"/>
        <v>0.26</v>
      </c>
      <c r="I5600" s="758">
        <f t="shared" si="350"/>
        <v>7.4899999999999984</v>
      </c>
      <c r="J5600" s="760">
        <f t="shared" si="351"/>
        <v>0.76428571428571423</v>
      </c>
    </row>
    <row r="5601" spans="1:10">
      <c r="A5601" s="74" t="s">
        <v>2153</v>
      </c>
      <c r="B5601" s="74" t="s">
        <v>256</v>
      </c>
      <c r="C5601" s="74" t="s">
        <v>1527</v>
      </c>
      <c r="D5601" s="74" t="s">
        <v>82</v>
      </c>
      <c r="E5601" s="74">
        <v>11</v>
      </c>
      <c r="F5601" s="74">
        <v>106.2</v>
      </c>
      <c r="G5601" s="758">
        <f t="shared" si="348"/>
        <v>2.31</v>
      </c>
      <c r="H5601" s="759">
        <f t="shared" si="349"/>
        <v>0.26</v>
      </c>
      <c r="I5601" s="758">
        <f t="shared" si="350"/>
        <v>7.3445454545454538</v>
      </c>
      <c r="J5601" s="760">
        <f t="shared" si="351"/>
        <v>0.76073446327683614</v>
      </c>
    </row>
    <row r="5602" spans="1:10">
      <c r="A5602" s="74" t="s">
        <v>2153</v>
      </c>
      <c r="B5602" s="74" t="s">
        <v>256</v>
      </c>
      <c r="C5602" s="74" t="s">
        <v>1518</v>
      </c>
      <c r="D5602" s="74" t="s">
        <v>82</v>
      </c>
      <c r="E5602" s="74">
        <v>7</v>
      </c>
      <c r="F5602" s="74">
        <v>67.8</v>
      </c>
      <c r="G5602" s="758">
        <f t="shared" si="348"/>
        <v>2.31</v>
      </c>
      <c r="H5602" s="759">
        <f t="shared" si="349"/>
        <v>0.26</v>
      </c>
      <c r="I5602" s="758">
        <f t="shared" si="350"/>
        <v>7.3757142857142846</v>
      </c>
      <c r="J5602" s="760">
        <f t="shared" si="351"/>
        <v>0.76150442477876101</v>
      </c>
    </row>
    <row r="5603" spans="1:10">
      <c r="A5603" s="74" t="s">
        <v>2153</v>
      </c>
      <c r="B5603" s="74" t="s">
        <v>256</v>
      </c>
      <c r="C5603" s="74" t="s">
        <v>1519</v>
      </c>
      <c r="D5603" s="74" t="s">
        <v>84</v>
      </c>
      <c r="E5603" s="74">
        <v>1</v>
      </c>
      <c r="F5603" s="74">
        <v>9</v>
      </c>
      <c r="G5603" s="758">
        <f t="shared" si="348"/>
        <v>2.31</v>
      </c>
      <c r="H5603" s="759">
        <f t="shared" si="349"/>
        <v>0.26</v>
      </c>
      <c r="I5603" s="758">
        <f t="shared" si="350"/>
        <v>6.6899999999999995</v>
      </c>
      <c r="J5603" s="760">
        <f t="shared" si="351"/>
        <v>0.7433333333333334</v>
      </c>
    </row>
    <row r="5604" spans="1:10">
      <c r="A5604" s="74" t="s">
        <v>1115</v>
      </c>
      <c r="B5604" s="74" t="s">
        <v>258</v>
      </c>
      <c r="C5604" s="74" t="s">
        <v>1528</v>
      </c>
      <c r="D5604" s="74" t="s">
        <v>78</v>
      </c>
      <c r="E5604" s="74">
        <v>3</v>
      </c>
      <c r="F5604" s="74">
        <v>13.5</v>
      </c>
      <c r="G5604" s="758">
        <f t="shared" si="348"/>
        <v>0.79</v>
      </c>
      <c r="H5604" s="759">
        <f t="shared" si="349"/>
        <v>0.24</v>
      </c>
      <c r="I5604" s="758">
        <f t="shared" si="350"/>
        <v>3.71</v>
      </c>
      <c r="J5604" s="760">
        <f t="shared" si="351"/>
        <v>0.82444444444444442</v>
      </c>
    </row>
    <row r="5605" spans="1:10">
      <c r="A5605" s="74" t="s">
        <v>1115</v>
      </c>
      <c r="B5605" s="74" t="s">
        <v>258</v>
      </c>
      <c r="C5605" s="74" t="s">
        <v>1508</v>
      </c>
      <c r="D5605" s="74" t="s">
        <v>78</v>
      </c>
      <c r="E5605" s="74">
        <v>6</v>
      </c>
      <c r="F5605" s="74">
        <v>19.25</v>
      </c>
      <c r="G5605" s="758">
        <f t="shared" si="348"/>
        <v>0.79</v>
      </c>
      <c r="H5605" s="759">
        <f t="shared" si="349"/>
        <v>0.24</v>
      </c>
      <c r="I5605" s="758">
        <f t="shared" si="350"/>
        <v>2.4183333333333334</v>
      </c>
      <c r="J5605" s="760">
        <f t="shared" si="351"/>
        <v>0.75376623376623375</v>
      </c>
    </row>
    <row r="5606" spans="1:10">
      <c r="A5606" s="74" t="s">
        <v>1115</v>
      </c>
      <c r="B5606" s="74" t="s">
        <v>258</v>
      </c>
      <c r="C5606" s="74" t="s">
        <v>1509</v>
      </c>
      <c r="D5606" s="74" t="s">
        <v>78</v>
      </c>
      <c r="E5606" s="74">
        <v>10</v>
      </c>
      <c r="F5606" s="74">
        <v>47.5</v>
      </c>
      <c r="G5606" s="758">
        <f t="shared" si="348"/>
        <v>0.79</v>
      </c>
      <c r="H5606" s="759">
        <f t="shared" si="349"/>
        <v>0.24</v>
      </c>
      <c r="I5606" s="758">
        <f t="shared" si="350"/>
        <v>3.96</v>
      </c>
      <c r="J5606" s="760">
        <f t="shared" si="351"/>
        <v>0.83368421052631581</v>
      </c>
    </row>
    <row r="5607" spans="1:10">
      <c r="A5607" s="74" t="s">
        <v>1115</v>
      </c>
      <c r="B5607" s="74" t="s">
        <v>258</v>
      </c>
      <c r="C5607" s="74" t="s">
        <v>1565</v>
      </c>
      <c r="D5607" s="74" t="s">
        <v>78</v>
      </c>
      <c r="E5607" s="74">
        <v>9</v>
      </c>
      <c r="F5607" s="74">
        <v>42.75</v>
      </c>
      <c r="G5607" s="758">
        <f t="shared" si="348"/>
        <v>0.79</v>
      </c>
      <c r="H5607" s="759">
        <f t="shared" si="349"/>
        <v>0.24</v>
      </c>
      <c r="I5607" s="758">
        <f t="shared" si="350"/>
        <v>3.96</v>
      </c>
      <c r="J5607" s="760">
        <f t="shared" si="351"/>
        <v>0.83368421052631581</v>
      </c>
    </row>
    <row r="5608" spans="1:10">
      <c r="A5608" s="74" t="s">
        <v>1115</v>
      </c>
      <c r="B5608" s="74" t="s">
        <v>258</v>
      </c>
      <c r="C5608" s="74" t="s">
        <v>1530</v>
      </c>
      <c r="D5608" s="74" t="s">
        <v>80</v>
      </c>
      <c r="E5608" s="74">
        <v>1</v>
      </c>
      <c r="F5608" s="74">
        <v>0</v>
      </c>
      <c r="G5608" s="758">
        <f t="shared" si="348"/>
        <v>0.79</v>
      </c>
      <c r="H5608" s="759">
        <f t="shared" si="349"/>
        <v>0.24</v>
      </c>
      <c r="I5608" s="758">
        <f t="shared" si="350"/>
        <v>-0.79</v>
      </c>
      <c r="J5608" s="760">
        <f t="shared" si="351"/>
        <v>0</v>
      </c>
    </row>
    <row r="5609" spans="1:10">
      <c r="A5609" s="74" t="s">
        <v>1115</v>
      </c>
      <c r="B5609" s="74" t="s">
        <v>258</v>
      </c>
      <c r="C5609" s="74" t="s">
        <v>1532</v>
      </c>
      <c r="D5609" s="74" t="s">
        <v>80</v>
      </c>
      <c r="E5609" s="74">
        <v>3</v>
      </c>
      <c r="F5609" s="74">
        <v>14.25</v>
      </c>
      <c r="G5609" s="758">
        <f t="shared" si="348"/>
        <v>0.79</v>
      </c>
      <c r="H5609" s="759">
        <f t="shared" si="349"/>
        <v>0.24</v>
      </c>
      <c r="I5609" s="758">
        <f t="shared" si="350"/>
        <v>3.96</v>
      </c>
      <c r="J5609" s="760">
        <f t="shared" si="351"/>
        <v>0.83368421052631581</v>
      </c>
    </row>
    <row r="5610" spans="1:10">
      <c r="A5610" s="74" t="s">
        <v>1115</v>
      </c>
      <c r="B5610" s="74" t="s">
        <v>258</v>
      </c>
      <c r="C5610" s="74" t="s">
        <v>1511</v>
      </c>
      <c r="D5610" s="74" t="s">
        <v>80</v>
      </c>
      <c r="E5610" s="74">
        <v>8</v>
      </c>
      <c r="F5610" s="74">
        <v>38</v>
      </c>
      <c r="G5610" s="758">
        <f t="shared" si="348"/>
        <v>0.79</v>
      </c>
      <c r="H5610" s="759">
        <f t="shared" si="349"/>
        <v>0.24</v>
      </c>
      <c r="I5610" s="758">
        <f t="shared" si="350"/>
        <v>3.96</v>
      </c>
      <c r="J5610" s="760">
        <f t="shared" si="351"/>
        <v>0.83368421052631581</v>
      </c>
    </row>
    <row r="5611" spans="1:10">
      <c r="A5611" s="74" t="s">
        <v>1115</v>
      </c>
      <c r="B5611" s="74" t="s">
        <v>258</v>
      </c>
      <c r="C5611" s="74" t="s">
        <v>1512</v>
      </c>
      <c r="D5611" s="74" t="s">
        <v>80</v>
      </c>
      <c r="E5611" s="74">
        <v>6</v>
      </c>
      <c r="F5611" s="74">
        <v>28.5</v>
      </c>
      <c r="G5611" s="758">
        <f t="shared" si="348"/>
        <v>0.79</v>
      </c>
      <c r="H5611" s="759">
        <f t="shared" si="349"/>
        <v>0.24</v>
      </c>
      <c r="I5611" s="758">
        <f t="shared" si="350"/>
        <v>3.96</v>
      </c>
      <c r="J5611" s="760">
        <f t="shared" si="351"/>
        <v>0.83368421052631581</v>
      </c>
    </row>
    <row r="5612" spans="1:10">
      <c r="A5612" s="74" t="s">
        <v>1115</v>
      </c>
      <c r="B5612" s="74" t="s">
        <v>258</v>
      </c>
      <c r="C5612" s="74" t="s">
        <v>1534</v>
      </c>
      <c r="D5612" s="74" t="s">
        <v>81</v>
      </c>
      <c r="E5612" s="74">
        <v>5</v>
      </c>
      <c r="F5612" s="74">
        <v>23.75</v>
      </c>
      <c r="G5612" s="758">
        <f t="shared" si="348"/>
        <v>0.79</v>
      </c>
      <c r="H5612" s="759">
        <f t="shared" si="349"/>
        <v>0.24</v>
      </c>
      <c r="I5612" s="758">
        <f t="shared" si="350"/>
        <v>3.96</v>
      </c>
      <c r="J5612" s="760">
        <f t="shared" si="351"/>
        <v>0.83368421052631581</v>
      </c>
    </row>
    <row r="5613" spans="1:10">
      <c r="A5613" s="74" t="s">
        <v>1115</v>
      </c>
      <c r="B5613" s="74" t="s">
        <v>258</v>
      </c>
      <c r="C5613" s="74" t="s">
        <v>1513</v>
      </c>
      <c r="D5613" s="74" t="s">
        <v>81</v>
      </c>
      <c r="E5613" s="74">
        <v>4</v>
      </c>
      <c r="F5613" s="74">
        <v>28.5</v>
      </c>
      <c r="G5613" s="758">
        <f t="shared" si="348"/>
        <v>0.79</v>
      </c>
      <c r="H5613" s="759">
        <f t="shared" si="349"/>
        <v>0.24</v>
      </c>
      <c r="I5613" s="758">
        <f t="shared" si="350"/>
        <v>6.335</v>
      </c>
      <c r="J5613" s="760">
        <f t="shared" si="351"/>
        <v>0.88912280701754387</v>
      </c>
    </row>
    <row r="5614" spans="1:10">
      <c r="A5614" s="74" t="s">
        <v>1115</v>
      </c>
      <c r="B5614" s="74" t="s">
        <v>258</v>
      </c>
      <c r="C5614" s="74" t="s">
        <v>1514</v>
      </c>
      <c r="D5614" s="74" t="s">
        <v>81</v>
      </c>
      <c r="E5614" s="74">
        <v>10</v>
      </c>
      <c r="F5614" s="74">
        <v>28.5</v>
      </c>
      <c r="G5614" s="758">
        <f t="shared" si="348"/>
        <v>0.79</v>
      </c>
      <c r="H5614" s="759">
        <f t="shared" si="349"/>
        <v>0.24</v>
      </c>
      <c r="I5614" s="758">
        <f t="shared" si="350"/>
        <v>2.06</v>
      </c>
      <c r="J5614" s="760">
        <f t="shared" si="351"/>
        <v>0.72280701754385968</v>
      </c>
    </row>
    <row r="5615" spans="1:10">
      <c r="A5615" s="74" t="s">
        <v>1115</v>
      </c>
      <c r="B5615" s="74" t="s">
        <v>258</v>
      </c>
      <c r="C5615" s="74" t="s">
        <v>1515</v>
      </c>
      <c r="D5615" s="74" t="s">
        <v>81</v>
      </c>
      <c r="E5615" s="74">
        <v>9</v>
      </c>
      <c r="F5615" s="74">
        <v>89.5</v>
      </c>
      <c r="G5615" s="758">
        <f t="shared" si="348"/>
        <v>0.79</v>
      </c>
      <c r="H5615" s="759">
        <f t="shared" si="349"/>
        <v>0.24</v>
      </c>
      <c r="I5615" s="758">
        <f t="shared" si="350"/>
        <v>9.1544444444444437</v>
      </c>
      <c r="J5615" s="760">
        <f t="shared" si="351"/>
        <v>0.92055865921787705</v>
      </c>
    </row>
    <row r="5616" spans="1:10">
      <c r="A5616" s="74" t="s">
        <v>1115</v>
      </c>
      <c r="B5616" s="74" t="s">
        <v>258</v>
      </c>
      <c r="C5616" s="74" t="s">
        <v>1516</v>
      </c>
      <c r="D5616" s="74" t="s">
        <v>82</v>
      </c>
      <c r="E5616" s="74">
        <v>16</v>
      </c>
      <c r="F5616" s="74">
        <v>113.5</v>
      </c>
      <c r="G5616" s="758">
        <f t="shared" si="348"/>
        <v>0.79</v>
      </c>
      <c r="H5616" s="759">
        <f t="shared" si="349"/>
        <v>0.24</v>
      </c>
      <c r="I5616" s="758">
        <f t="shared" si="350"/>
        <v>6.30375</v>
      </c>
      <c r="J5616" s="760">
        <f t="shared" si="351"/>
        <v>0.88863436123348016</v>
      </c>
    </row>
    <row r="5617" spans="1:10">
      <c r="A5617" s="74" t="s">
        <v>1115</v>
      </c>
      <c r="B5617" s="74" t="s">
        <v>258</v>
      </c>
      <c r="C5617" s="74" t="s">
        <v>1517</v>
      </c>
      <c r="D5617" s="74" t="s">
        <v>82</v>
      </c>
      <c r="E5617" s="74">
        <v>8</v>
      </c>
      <c r="F5617" s="74">
        <v>40.25</v>
      </c>
      <c r="G5617" s="758">
        <f t="shared" si="348"/>
        <v>0.79</v>
      </c>
      <c r="H5617" s="759">
        <f t="shared" si="349"/>
        <v>0.24</v>
      </c>
      <c r="I5617" s="758">
        <f t="shared" si="350"/>
        <v>4.24125</v>
      </c>
      <c r="J5617" s="760">
        <f t="shared" si="351"/>
        <v>0.84298136645962729</v>
      </c>
    </row>
    <row r="5618" spans="1:10">
      <c r="A5618" s="74" t="s">
        <v>1115</v>
      </c>
      <c r="B5618" s="74" t="s">
        <v>258</v>
      </c>
      <c r="C5618" s="74" t="s">
        <v>1527</v>
      </c>
      <c r="D5618" s="74" t="s">
        <v>82</v>
      </c>
      <c r="E5618" s="74">
        <v>9</v>
      </c>
      <c r="F5618" s="74">
        <v>46</v>
      </c>
      <c r="G5618" s="758">
        <f t="shared" si="348"/>
        <v>0.79</v>
      </c>
      <c r="H5618" s="759">
        <f t="shared" si="349"/>
        <v>0.24</v>
      </c>
      <c r="I5618" s="758">
        <f t="shared" si="350"/>
        <v>4.3211111111111107</v>
      </c>
      <c r="J5618" s="760">
        <f t="shared" si="351"/>
        <v>0.84543478260869565</v>
      </c>
    </row>
    <row r="5619" spans="1:10">
      <c r="A5619" s="74" t="s">
        <v>1115</v>
      </c>
      <c r="B5619" s="74" t="s">
        <v>258</v>
      </c>
      <c r="C5619" s="74" t="s">
        <v>1518</v>
      </c>
      <c r="D5619" s="74" t="s">
        <v>82</v>
      </c>
      <c r="E5619" s="74">
        <v>7</v>
      </c>
      <c r="F5619" s="74">
        <v>40.25</v>
      </c>
      <c r="G5619" s="758">
        <f t="shared" si="348"/>
        <v>0.79</v>
      </c>
      <c r="H5619" s="759">
        <f t="shared" si="349"/>
        <v>0.24</v>
      </c>
      <c r="I5619" s="758">
        <f t="shared" si="350"/>
        <v>4.96</v>
      </c>
      <c r="J5619" s="760">
        <f t="shared" si="351"/>
        <v>0.86260869565217391</v>
      </c>
    </row>
    <row r="5620" spans="1:10">
      <c r="A5620" s="74" t="s">
        <v>1115</v>
      </c>
      <c r="B5620" s="74" t="s">
        <v>258</v>
      </c>
      <c r="C5620" s="74" t="s">
        <v>1519</v>
      </c>
      <c r="D5620" s="74" t="s">
        <v>84</v>
      </c>
      <c r="E5620" s="74">
        <v>4</v>
      </c>
      <c r="F5620" s="74">
        <v>11.5</v>
      </c>
      <c r="G5620" s="758">
        <f t="shared" si="348"/>
        <v>0.79</v>
      </c>
      <c r="H5620" s="759">
        <f t="shared" si="349"/>
        <v>0.24</v>
      </c>
      <c r="I5620" s="758">
        <f t="shared" si="350"/>
        <v>2.085</v>
      </c>
      <c r="J5620" s="760">
        <f t="shared" si="351"/>
        <v>0.72521739130434781</v>
      </c>
    </row>
    <row r="5621" spans="1:10">
      <c r="A5621" s="74" t="s">
        <v>1115</v>
      </c>
      <c r="B5621" s="74" t="s">
        <v>258</v>
      </c>
      <c r="C5621" s="74" t="s">
        <v>1540</v>
      </c>
      <c r="D5621" s="74" t="s">
        <v>84</v>
      </c>
      <c r="E5621" s="74">
        <v>2</v>
      </c>
      <c r="F5621" s="74">
        <v>0</v>
      </c>
      <c r="G5621" s="758">
        <f t="shared" si="348"/>
        <v>0.79</v>
      </c>
      <c r="H5621" s="759">
        <f t="shared" si="349"/>
        <v>0.24</v>
      </c>
      <c r="I5621" s="758">
        <f t="shared" si="350"/>
        <v>-0.79</v>
      </c>
      <c r="J5621" s="760">
        <f t="shared" si="351"/>
        <v>0</v>
      </c>
    </row>
    <row r="5622" spans="1:10">
      <c r="A5622" s="74" t="s">
        <v>1115</v>
      </c>
      <c r="B5622" s="74" t="s">
        <v>258</v>
      </c>
      <c r="C5622" s="74" t="s">
        <v>1520</v>
      </c>
      <c r="D5622" s="74" t="s">
        <v>84</v>
      </c>
      <c r="E5622" s="74">
        <v>5</v>
      </c>
      <c r="F5622" s="74">
        <v>0</v>
      </c>
      <c r="G5622" s="758">
        <f t="shared" si="348"/>
        <v>0.79</v>
      </c>
      <c r="H5622" s="759">
        <f t="shared" si="349"/>
        <v>0.24</v>
      </c>
      <c r="I5622" s="758">
        <f t="shared" si="350"/>
        <v>-0.79</v>
      </c>
      <c r="J5622" s="760">
        <f t="shared" si="351"/>
        <v>0</v>
      </c>
    </row>
    <row r="5623" spans="1:10">
      <c r="A5623" s="74" t="s">
        <v>1115</v>
      </c>
      <c r="B5623" s="74" t="s">
        <v>258</v>
      </c>
      <c r="C5623" s="74" t="s">
        <v>1577</v>
      </c>
      <c r="D5623" s="74" t="s">
        <v>84</v>
      </c>
      <c r="E5623" s="74">
        <v>3</v>
      </c>
      <c r="F5623" s="74">
        <v>0</v>
      </c>
      <c r="G5623" s="758">
        <f t="shared" si="348"/>
        <v>0.79</v>
      </c>
      <c r="H5623" s="759">
        <f t="shared" si="349"/>
        <v>0.24</v>
      </c>
      <c r="I5623" s="758">
        <f t="shared" si="350"/>
        <v>-0.79</v>
      </c>
      <c r="J5623" s="760">
        <f t="shared" si="351"/>
        <v>0</v>
      </c>
    </row>
    <row r="5624" spans="1:10">
      <c r="A5624" s="74" t="s">
        <v>1115</v>
      </c>
      <c r="B5624" s="74" t="s">
        <v>258</v>
      </c>
      <c r="C5624" s="74" t="s">
        <v>1507</v>
      </c>
      <c r="D5624" s="74" t="s">
        <v>86</v>
      </c>
      <c r="E5624" s="74">
        <v>2</v>
      </c>
      <c r="F5624" s="74">
        <v>0</v>
      </c>
      <c r="G5624" s="758">
        <f t="shared" si="348"/>
        <v>0.79</v>
      </c>
      <c r="H5624" s="759">
        <f t="shared" si="349"/>
        <v>0.24</v>
      </c>
      <c r="I5624" s="758">
        <f t="shared" si="350"/>
        <v>-0.79</v>
      </c>
      <c r="J5624" s="760">
        <f t="shared" si="351"/>
        <v>0</v>
      </c>
    </row>
    <row r="5625" spans="1:10">
      <c r="A5625" s="74" t="s">
        <v>1115</v>
      </c>
      <c r="B5625" s="74" t="s">
        <v>258</v>
      </c>
      <c r="C5625" s="74" t="s">
        <v>1644</v>
      </c>
      <c r="D5625" s="74" t="s">
        <v>86</v>
      </c>
      <c r="E5625" s="74">
        <v>1</v>
      </c>
      <c r="F5625" s="74">
        <v>0</v>
      </c>
      <c r="G5625" s="758">
        <f t="shared" si="348"/>
        <v>0.79</v>
      </c>
      <c r="H5625" s="759">
        <f t="shared" si="349"/>
        <v>0.24</v>
      </c>
      <c r="I5625" s="758">
        <f t="shared" si="350"/>
        <v>-0.79</v>
      </c>
      <c r="J5625" s="760">
        <f t="shared" si="351"/>
        <v>0</v>
      </c>
    </row>
    <row r="5626" spans="1:10">
      <c r="A5626" s="74" t="s">
        <v>1115</v>
      </c>
      <c r="B5626" s="74" t="s">
        <v>258</v>
      </c>
      <c r="C5626" s="74" t="s">
        <v>1578</v>
      </c>
      <c r="D5626" s="74" t="s">
        <v>86</v>
      </c>
      <c r="E5626" s="74">
        <v>1</v>
      </c>
      <c r="F5626" s="74">
        <v>0</v>
      </c>
      <c r="G5626" s="758">
        <f t="shared" si="348"/>
        <v>0.79</v>
      </c>
      <c r="H5626" s="759">
        <f t="shared" si="349"/>
        <v>0.24</v>
      </c>
      <c r="I5626" s="758">
        <f t="shared" si="350"/>
        <v>-0.79</v>
      </c>
      <c r="J5626" s="760">
        <f t="shared" si="351"/>
        <v>0</v>
      </c>
    </row>
    <row r="5627" spans="1:10">
      <c r="A5627" s="74" t="s">
        <v>1115</v>
      </c>
      <c r="B5627" s="74" t="s">
        <v>258</v>
      </c>
      <c r="C5627" s="74" t="s">
        <v>1646</v>
      </c>
      <c r="D5627" s="74" t="s">
        <v>86</v>
      </c>
      <c r="E5627" s="74">
        <v>1</v>
      </c>
      <c r="F5627" s="74">
        <v>5.75</v>
      </c>
      <c r="G5627" s="758">
        <f t="shared" si="348"/>
        <v>0.79</v>
      </c>
      <c r="H5627" s="759">
        <f t="shared" si="349"/>
        <v>0.24</v>
      </c>
      <c r="I5627" s="758">
        <f t="shared" si="350"/>
        <v>4.96</v>
      </c>
      <c r="J5627" s="760">
        <f t="shared" si="351"/>
        <v>0.86260869565217391</v>
      </c>
    </row>
    <row r="5628" spans="1:10">
      <c r="A5628" s="74" t="s">
        <v>1115</v>
      </c>
      <c r="B5628" s="74" t="s">
        <v>258</v>
      </c>
      <c r="C5628" s="74" t="s">
        <v>1541</v>
      </c>
      <c r="D5628" s="74" t="s">
        <v>86</v>
      </c>
      <c r="E5628" s="74">
        <v>1</v>
      </c>
      <c r="F5628" s="74">
        <v>0</v>
      </c>
      <c r="G5628" s="758">
        <f t="shared" si="348"/>
        <v>0.79</v>
      </c>
      <c r="H5628" s="759">
        <f t="shared" si="349"/>
        <v>0.24</v>
      </c>
      <c r="I5628" s="758">
        <f t="shared" si="350"/>
        <v>-0.79</v>
      </c>
      <c r="J5628" s="760">
        <f t="shared" si="351"/>
        <v>0</v>
      </c>
    </row>
    <row r="5629" spans="1:10">
      <c r="A5629" s="74" t="s">
        <v>1115</v>
      </c>
      <c r="B5629" s="74" t="s">
        <v>258</v>
      </c>
      <c r="C5629" s="74" t="s">
        <v>1561</v>
      </c>
      <c r="D5629" s="74" t="s">
        <v>87</v>
      </c>
      <c r="E5629" s="74">
        <v>3</v>
      </c>
      <c r="F5629" s="74">
        <v>0</v>
      </c>
      <c r="G5629" s="758">
        <f t="shared" si="348"/>
        <v>0.79</v>
      </c>
      <c r="H5629" s="759">
        <f t="shared" si="349"/>
        <v>0.24</v>
      </c>
      <c r="I5629" s="758">
        <f t="shared" si="350"/>
        <v>-0.79</v>
      </c>
      <c r="J5629" s="760">
        <f t="shared" si="351"/>
        <v>0</v>
      </c>
    </row>
    <row r="5630" spans="1:10">
      <c r="A5630" s="74" t="s">
        <v>1115</v>
      </c>
      <c r="B5630" s="74" t="s">
        <v>258</v>
      </c>
      <c r="C5630" s="74" t="s">
        <v>1608</v>
      </c>
      <c r="D5630" s="74" t="s">
        <v>89</v>
      </c>
      <c r="E5630" s="74">
        <v>2</v>
      </c>
      <c r="F5630" s="74">
        <v>0</v>
      </c>
      <c r="G5630" s="758">
        <f t="shared" si="348"/>
        <v>0.79</v>
      </c>
      <c r="H5630" s="759">
        <f t="shared" si="349"/>
        <v>0.24</v>
      </c>
      <c r="I5630" s="758">
        <f t="shared" si="350"/>
        <v>-0.79</v>
      </c>
      <c r="J5630" s="760">
        <f t="shared" si="351"/>
        <v>0</v>
      </c>
    </row>
    <row r="5631" spans="1:10">
      <c r="A5631" s="74" t="s">
        <v>1115</v>
      </c>
      <c r="B5631" s="74" t="s">
        <v>258</v>
      </c>
      <c r="C5631" s="74" t="s">
        <v>1610</v>
      </c>
      <c r="D5631" s="74" t="s">
        <v>89</v>
      </c>
      <c r="E5631" s="74">
        <v>5</v>
      </c>
      <c r="F5631" s="74">
        <v>0</v>
      </c>
      <c r="G5631" s="758">
        <f t="shared" si="348"/>
        <v>0.79</v>
      </c>
      <c r="H5631" s="759">
        <f t="shared" si="349"/>
        <v>0.24</v>
      </c>
      <c r="I5631" s="758">
        <f t="shared" si="350"/>
        <v>-0.79</v>
      </c>
      <c r="J5631" s="760">
        <f t="shared" si="351"/>
        <v>0</v>
      </c>
    </row>
    <row r="5632" spans="1:10">
      <c r="A5632" s="74" t="s">
        <v>1115</v>
      </c>
      <c r="B5632" s="74" t="s">
        <v>258</v>
      </c>
      <c r="C5632" s="74" t="s">
        <v>1546</v>
      </c>
      <c r="D5632" s="74" t="s">
        <v>89</v>
      </c>
      <c r="E5632" s="74">
        <v>1</v>
      </c>
      <c r="F5632" s="74">
        <v>0</v>
      </c>
      <c r="G5632" s="758">
        <f t="shared" si="348"/>
        <v>0.79</v>
      </c>
      <c r="H5632" s="759">
        <f t="shared" si="349"/>
        <v>0.24</v>
      </c>
      <c r="I5632" s="758">
        <f t="shared" si="350"/>
        <v>-0.79</v>
      </c>
      <c r="J5632" s="760">
        <f t="shared" si="351"/>
        <v>0</v>
      </c>
    </row>
    <row r="5633" spans="1:10">
      <c r="A5633" s="74" t="s">
        <v>1115</v>
      </c>
      <c r="B5633" s="74" t="s">
        <v>258</v>
      </c>
      <c r="C5633" s="74" t="s">
        <v>1547</v>
      </c>
      <c r="D5633" s="74" t="s">
        <v>89</v>
      </c>
      <c r="E5633" s="74">
        <v>2</v>
      </c>
      <c r="F5633" s="74">
        <v>10.5</v>
      </c>
      <c r="G5633" s="758">
        <f t="shared" si="348"/>
        <v>0.79</v>
      </c>
      <c r="H5633" s="759">
        <f t="shared" si="349"/>
        <v>0.24</v>
      </c>
      <c r="I5633" s="758">
        <f t="shared" si="350"/>
        <v>4.46</v>
      </c>
      <c r="J5633" s="760">
        <f t="shared" si="351"/>
        <v>0.84952380952380957</v>
      </c>
    </row>
    <row r="5634" spans="1:10">
      <c r="A5634" s="74" t="s">
        <v>1115</v>
      </c>
      <c r="B5634" s="74" t="s">
        <v>258</v>
      </c>
      <c r="C5634" s="74" t="s">
        <v>1522</v>
      </c>
      <c r="D5634" s="74" t="s">
        <v>91</v>
      </c>
      <c r="E5634" s="74">
        <v>7</v>
      </c>
      <c r="F5634" s="74">
        <v>0</v>
      </c>
      <c r="G5634" s="758">
        <f t="shared" ref="G5634:G5697" si="352">IFERROR(VLOOKUP(A5634,$M$1:$P$1014,2,FALSE),0)</f>
        <v>0.79</v>
      </c>
      <c r="H5634" s="759">
        <f t="shared" ref="H5634:H5697" si="353">IFERROR(VLOOKUP(A5634,$M$1:$P$1014,3,FALSE),0)</f>
        <v>0.24</v>
      </c>
      <c r="I5634" s="758">
        <f t="shared" ref="I5634:I5697" si="354">IFERROR(F5634/E5634-G5634,0)</f>
        <v>-0.79</v>
      </c>
      <c r="J5634" s="760">
        <f t="shared" ref="J5634:J5697" si="355">IFERROR(1-G5634*E5634/F5634,0)</f>
        <v>0</v>
      </c>
    </row>
    <row r="5635" spans="1:10">
      <c r="A5635" s="74" t="s">
        <v>1115</v>
      </c>
      <c r="B5635" s="74" t="s">
        <v>258</v>
      </c>
      <c r="C5635" s="74" t="s">
        <v>1675</v>
      </c>
      <c r="D5635" s="74" t="s">
        <v>91</v>
      </c>
      <c r="E5635" s="74">
        <v>7</v>
      </c>
      <c r="F5635" s="74">
        <v>0</v>
      </c>
      <c r="G5635" s="758">
        <f t="shared" si="352"/>
        <v>0.79</v>
      </c>
      <c r="H5635" s="759">
        <f t="shared" si="353"/>
        <v>0.24</v>
      </c>
      <c r="I5635" s="758">
        <f t="shared" si="354"/>
        <v>-0.79</v>
      </c>
      <c r="J5635" s="760">
        <f t="shared" si="355"/>
        <v>0</v>
      </c>
    </row>
    <row r="5636" spans="1:10">
      <c r="A5636" s="74" t="s">
        <v>1115</v>
      </c>
      <c r="B5636" s="74" t="s">
        <v>258</v>
      </c>
      <c r="C5636" s="74" t="s">
        <v>1524</v>
      </c>
      <c r="D5636" s="74" t="s">
        <v>91</v>
      </c>
      <c r="E5636" s="74">
        <v>1</v>
      </c>
      <c r="F5636" s="74">
        <v>0</v>
      </c>
      <c r="G5636" s="758">
        <f t="shared" si="352"/>
        <v>0.79</v>
      </c>
      <c r="H5636" s="759">
        <f t="shared" si="353"/>
        <v>0.24</v>
      </c>
      <c r="I5636" s="758">
        <f t="shared" si="354"/>
        <v>-0.79</v>
      </c>
      <c r="J5636" s="760">
        <f t="shared" si="355"/>
        <v>0</v>
      </c>
    </row>
    <row r="5637" spans="1:10">
      <c r="A5637" s="74" t="s">
        <v>1115</v>
      </c>
      <c r="B5637" s="74" t="s">
        <v>258</v>
      </c>
      <c r="C5637" s="74" t="s">
        <v>1584</v>
      </c>
      <c r="D5637" s="74" t="s">
        <v>92</v>
      </c>
      <c r="E5637" s="74">
        <v>1</v>
      </c>
      <c r="F5637" s="74">
        <v>0</v>
      </c>
      <c r="G5637" s="758">
        <f t="shared" si="352"/>
        <v>0.79</v>
      </c>
      <c r="H5637" s="759">
        <f t="shared" si="353"/>
        <v>0.24</v>
      </c>
      <c r="I5637" s="758">
        <f t="shared" si="354"/>
        <v>-0.79</v>
      </c>
      <c r="J5637" s="760">
        <f t="shared" si="355"/>
        <v>0</v>
      </c>
    </row>
    <row r="5638" spans="1:10">
      <c r="A5638" s="74" t="s">
        <v>1115</v>
      </c>
      <c r="B5638" s="74" t="s">
        <v>258</v>
      </c>
      <c r="C5638" s="74" t="s">
        <v>1555</v>
      </c>
      <c r="D5638" s="74" t="s">
        <v>94</v>
      </c>
      <c r="E5638" s="74">
        <v>3</v>
      </c>
      <c r="F5638" s="74">
        <v>0</v>
      </c>
      <c r="G5638" s="758">
        <f t="shared" si="352"/>
        <v>0.79</v>
      </c>
      <c r="H5638" s="759">
        <f t="shared" si="353"/>
        <v>0.24</v>
      </c>
      <c r="I5638" s="758">
        <f t="shared" si="354"/>
        <v>-0.79</v>
      </c>
      <c r="J5638" s="760">
        <f t="shared" si="355"/>
        <v>0</v>
      </c>
    </row>
    <row r="5639" spans="1:10">
      <c r="A5639" s="74" t="s">
        <v>2154</v>
      </c>
      <c r="B5639" s="74" t="s">
        <v>275</v>
      </c>
      <c r="C5639" s="74" t="s">
        <v>1512</v>
      </c>
      <c r="D5639" s="74" t="s">
        <v>80</v>
      </c>
      <c r="E5639" s="74">
        <v>1</v>
      </c>
      <c r="F5639" s="74">
        <v>0</v>
      </c>
      <c r="G5639" s="758">
        <f t="shared" si="352"/>
        <v>0.9</v>
      </c>
      <c r="H5639" s="759">
        <f t="shared" si="353"/>
        <v>0.99</v>
      </c>
      <c r="I5639" s="758">
        <f t="shared" si="354"/>
        <v>-0.9</v>
      </c>
      <c r="J5639" s="760">
        <f t="shared" si="355"/>
        <v>0</v>
      </c>
    </row>
    <row r="5640" spans="1:10">
      <c r="A5640" s="74" t="s">
        <v>2154</v>
      </c>
      <c r="B5640" s="74" t="s">
        <v>275</v>
      </c>
      <c r="C5640" s="74" t="s">
        <v>1516</v>
      </c>
      <c r="D5640" s="74" t="s">
        <v>82</v>
      </c>
      <c r="E5640" s="74">
        <v>1</v>
      </c>
      <c r="F5640" s="74">
        <v>1</v>
      </c>
      <c r="G5640" s="758">
        <f t="shared" si="352"/>
        <v>0.9</v>
      </c>
      <c r="H5640" s="759">
        <f t="shared" si="353"/>
        <v>0.99</v>
      </c>
      <c r="I5640" s="758">
        <f t="shared" si="354"/>
        <v>9.9999999999999978E-2</v>
      </c>
      <c r="J5640" s="760">
        <f t="shared" si="355"/>
        <v>9.9999999999999978E-2</v>
      </c>
    </row>
    <row r="5641" spans="1:10">
      <c r="A5641" s="74" t="s">
        <v>2154</v>
      </c>
      <c r="B5641" s="74" t="s">
        <v>275</v>
      </c>
      <c r="C5641" s="74" t="s">
        <v>1517</v>
      </c>
      <c r="D5641" s="74" t="s">
        <v>82</v>
      </c>
      <c r="E5641" s="74">
        <v>2</v>
      </c>
      <c r="F5641" s="74">
        <v>0</v>
      </c>
      <c r="G5641" s="758">
        <f t="shared" si="352"/>
        <v>0.9</v>
      </c>
      <c r="H5641" s="759">
        <f t="shared" si="353"/>
        <v>0.99</v>
      </c>
      <c r="I5641" s="758">
        <f t="shared" si="354"/>
        <v>-0.9</v>
      </c>
      <c r="J5641" s="760">
        <f t="shared" si="355"/>
        <v>0</v>
      </c>
    </row>
    <row r="5642" spans="1:10">
      <c r="A5642" s="74" t="s">
        <v>2155</v>
      </c>
      <c r="B5642" s="74" t="s">
        <v>258</v>
      </c>
      <c r="C5642" s="74" t="s">
        <v>1577</v>
      </c>
      <c r="D5642" s="74" t="s">
        <v>84</v>
      </c>
      <c r="E5642" s="74">
        <v>1</v>
      </c>
      <c r="F5642" s="74">
        <v>0</v>
      </c>
      <c r="G5642" s="758">
        <f t="shared" si="352"/>
        <v>0</v>
      </c>
      <c r="H5642" s="759">
        <f t="shared" si="353"/>
        <v>0</v>
      </c>
      <c r="I5642" s="758">
        <f t="shared" si="354"/>
        <v>0</v>
      </c>
      <c r="J5642" s="760">
        <f t="shared" si="355"/>
        <v>0</v>
      </c>
    </row>
    <row r="5643" spans="1:10">
      <c r="A5643" s="74" t="s">
        <v>2155</v>
      </c>
      <c r="B5643" s="74" t="s">
        <v>258</v>
      </c>
      <c r="C5643" s="74" t="s">
        <v>1614</v>
      </c>
      <c r="D5643" s="74" t="s">
        <v>92</v>
      </c>
      <c r="E5643" s="74">
        <v>1</v>
      </c>
      <c r="F5643" s="74">
        <v>0</v>
      </c>
      <c r="G5643" s="758">
        <f t="shared" si="352"/>
        <v>0</v>
      </c>
      <c r="H5643" s="759">
        <f t="shared" si="353"/>
        <v>0</v>
      </c>
      <c r="I5643" s="758">
        <f t="shared" si="354"/>
        <v>0</v>
      </c>
      <c r="J5643" s="760">
        <f t="shared" si="355"/>
        <v>0</v>
      </c>
    </row>
    <row r="5644" spans="1:10">
      <c r="A5644" s="74" t="s">
        <v>1194</v>
      </c>
      <c r="B5644" s="74" t="s">
        <v>258</v>
      </c>
      <c r="C5644" s="74" t="s">
        <v>1508</v>
      </c>
      <c r="D5644" s="74" t="s">
        <v>78</v>
      </c>
      <c r="E5644" s="74">
        <v>1</v>
      </c>
      <c r="F5644" s="74">
        <v>0</v>
      </c>
      <c r="G5644" s="758">
        <f t="shared" si="352"/>
        <v>0.87</v>
      </c>
      <c r="H5644" s="759">
        <f t="shared" si="353"/>
        <v>0</v>
      </c>
      <c r="I5644" s="758">
        <f t="shared" si="354"/>
        <v>-0.87</v>
      </c>
      <c r="J5644" s="760">
        <f t="shared" si="355"/>
        <v>0</v>
      </c>
    </row>
    <row r="5645" spans="1:10">
      <c r="A5645" s="74" t="s">
        <v>1194</v>
      </c>
      <c r="B5645" s="74" t="s">
        <v>258</v>
      </c>
      <c r="C5645" s="74" t="s">
        <v>1565</v>
      </c>
      <c r="D5645" s="74" t="s">
        <v>78</v>
      </c>
      <c r="E5645" s="74">
        <v>8</v>
      </c>
      <c r="F5645" s="74">
        <v>0</v>
      </c>
      <c r="G5645" s="758">
        <f t="shared" si="352"/>
        <v>0.87</v>
      </c>
      <c r="H5645" s="759">
        <f t="shared" si="353"/>
        <v>0</v>
      </c>
      <c r="I5645" s="758">
        <f t="shared" si="354"/>
        <v>-0.87</v>
      </c>
      <c r="J5645" s="760">
        <f t="shared" si="355"/>
        <v>0</v>
      </c>
    </row>
    <row r="5646" spans="1:10">
      <c r="A5646" s="74" t="s">
        <v>1194</v>
      </c>
      <c r="B5646" s="74" t="s">
        <v>258</v>
      </c>
      <c r="C5646" s="74" t="s">
        <v>1530</v>
      </c>
      <c r="D5646" s="74" t="s">
        <v>80</v>
      </c>
      <c r="E5646" s="74">
        <v>4</v>
      </c>
      <c r="F5646" s="74">
        <v>0</v>
      </c>
      <c r="G5646" s="758">
        <f t="shared" si="352"/>
        <v>0.87</v>
      </c>
      <c r="H5646" s="759">
        <f t="shared" si="353"/>
        <v>0</v>
      </c>
      <c r="I5646" s="758">
        <f t="shared" si="354"/>
        <v>-0.87</v>
      </c>
      <c r="J5646" s="760">
        <f t="shared" si="355"/>
        <v>0</v>
      </c>
    </row>
    <row r="5647" spans="1:10">
      <c r="A5647" s="74" t="s">
        <v>1194</v>
      </c>
      <c r="B5647" s="74" t="s">
        <v>258</v>
      </c>
      <c r="C5647" s="74" t="s">
        <v>1517</v>
      </c>
      <c r="D5647" s="74" t="s">
        <v>82</v>
      </c>
      <c r="E5647" s="74">
        <v>5</v>
      </c>
      <c r="F5647" s="74">
        <v>0</v>
      </c>
      <c r="G5647" s="758">
        <f t="shared" si="352"/>
        <v>0.87</v>
      </c>
      <c r="H5647" s="759">
        <f t="shared" si="353"/>
        <v>0</v>
      </c>
      <c r="I5647" s="758">
        <f t="shared" si="354"/>
        <v>-0.87</v>
      </c>
      <c r="J5647" s="760">
        <f t="shared" si="355"/>
        <v>0</v>
      </c>
    </row>
    <row r="5648" spans="1:10">
      <c r="A5648" s="74" t="s">
        <v>1194</v>
      </c>
      <c r="B5648" s="74" t="s">
        <v>258</v>
      </c>
      <c r="C5648" s="74" t="s">
        <v>1527</v>
      </c>
      <c r="D5648" s="74" t="s">
        <v>82</v>
      </c>
      <c r="E5648" s="74">
        <v>2</v>
      </c>
      <c r="F5648" s="74">
        <v>0</v>
      </c>
      <c r="G5648" s="758">
        <f t="shared" si="352"/>
        <v>0.87</v>
      </c>
      <c r="H5648" s="759">
        <f t="shared" si="353"/>
        <v>0</v>
      </c>
      <c r="I5648" s="758">
        <f t="shared" si="354"/>
        <v>-0.87</v>
      </c>
      <c r="J5648" s="760">
        <f t="shared" si="355"/>
        <v>0</v>
      </c>
    </row>
    <row r="5649" spans="1:10">
      <c r="A5649" s="74" t="s">
        <v>1194</v>
      </c>
      <c r="B5649" s="74" t="s">
        <v>258</v>
      </c>
      <c r="C5649" s="74" t="s">
        <v>1507</v>
      </c>
      <c r="D5649" s="74" t="s">
        <v>86</v>
      </c>
      <c r="E5649" s="74">
        <v>2</v>
      </c>
      <c r="F5649" s="74">
        <v>0</v>
      </c>
      <c r="G5649" s="758">
        <f t="shared" si="352"/>
        <v>0.87</v>
      </c>
      <c r="H5649" s="759">
        <f t="shared" si="353"/>
        <v>0</v>
      </c>
      <c r="I5649" s="758">
        <f t="shared" si="354"/>
        <v>-0.87</v>
      </c>
      <c r="J5649" s="760">
        <f t="shared" si="355"/>
        <v>0</v>
      </c>
    </row>
    <row r="5650" spans="1:10">
      <c r="A5650" s="74" t="s">
        <v>1194</v>
      </c>
      <c r="B5650" s="74" t="s">
        <v>258</v>
      </c>
      <c r="C5650" s="74" t="s">
        <v>1608</v>
      </c>
      <c r="D5650" s="74" t="s">
        <v>89</v>
      </c>
      <c r="E5650" s="74">
        <v>1</v>
      </c>
      <c r="F5650" s="74">
        <v>0</v>
      </c>
      <c r="G5650" s="758">
        <f t="shared" si="352"/>
        <v>0.87</v>
      </c>
      <c r="H5650" s="759">
        <f t="shared" si="353"/>
        <v>0</v>
      </c>
      <c r="I5650" s="758">
        <f t="shared" si="354"/>
        <v>-0.87</v>
      </c>
      <c r="J5650" s="760">
        <f t="shared" si="355"/>
        <v>0</v>
      </c>
    </row>
    <row r="5651" spans="1:10">
      <c r="A5651" s="74" t="s">
        <v>1194</v>
      </c>
      <c r="B5651" s="74" t="s">
        <v>258</v>
      </c>
      <c r="C5651" s="74" t="s">
        <v>1582</v>
      </c>
      <c r="D5651" s="74" t="s">
        <v>89</v>
      </c>
      <c r="E5651" s="74">
        <v>2</v>
      </c>
      <c r="F5651" s="74">
        <v>0</v>
      </c>
      <c r="G5651" s="758">
        <f t="shared" si="352"/>
        <v>0.87</v>
      </c>
      <c r="H5651" s="759">
        <f t="shared" si="353"/>
        <v>0</v>
      </c>
      <c r="I5651" s="758">
        <f t="shared" si="354"/>
        <v>-0.87</v>
      </c>
      <c r="J5651" s="760">
        <f t="shared" si="355"/>
        <v>0</v>
      </c>
    </row>
    <row r="5652" spans="1:10">
      <c r="A5652" s="74" t="s">
        <v>1194</v>
      </c>
      <c r="B5652" s="74" t="s">
        <v>258</v>
      </c>
      <c r="C5652" s="74" t="s">
        <v>1522</v>
      </c>
      <c r="D5652" s="74" t="s">
        <v>91</v>
      </c>
      <c r="E5652" s="74">
        <v>2</v>
      </c>
      <c r="F5652" s="74">
        <v>0</v>
      </c>
      <c r="G5652" s="758">
        <f t="shared" si="352"/>
        <v>0.87</v>
      </c>
      <c r="H5652" s="759">
        <f t="shared" si="353"/>
        <v>0</v>
      </c>
      <c r="I5652" s="758">
        <f t="shared" si="354"/>
        <v>-0.87</v>
      </c>
      <c r="J5652" s="760">
        <f t="shared" si="355"/>
        <v>0</v>
      </c>
    </row>
    <row r="5653" spans="1:10">
      <c r="A5653" s="74" t="s">
        <v>1109</v>
      </c>
      <c r="B5653" s="74" t="s">
        <v>258</v>
      </c>
      <c r="C5653" s="74" t="s">
        <v>1512</v>
      </c>
      <c r="D5653" s="74" t="s">
        <v>80</v>
      </c>
      <c r="E5653" s="74">
        <v>4</v>
      </c>
      <c r="F5653" s="74">
        <v>0</v>
      </c>
      <c r="G5653" s="758">
        <f t="shared" si="352"/>
        <v>0.22</v>
      </c>
      <c r="H5653" s="759">
        <f t="shared" si="353"/>
        <v>0</v>
      </c>
      <c r="I5653" s="758">
        <f t="shared" si="354"/>
        <v>-0.22</v>
      </c>
      <c r="J5653" s="760">
        <f t="shared" si="355"/>
        <v>0</v>
      </c>
    </row>
    <row r="5654" spans="1:10">
      <c r="A5654" s="74" t="s">
        <v>1109</v>
      </c>
      <c r="B5654" s="74" t="s">
        <v>258</v>
      </c>
      <c r="C5654" s="74" t="s">
        <v>1507</v>
      </c>
      <c r="D5654" s="74" t="s">
        <v>86</v>
      </c>
      <c r="E5654" s="74">
        <v>1</v>
      </c>
      <c r="F5654" s="74">
        <v>0</v>
      </c>
      <c r="G5654" s="758">
        <f t="shared" si="352"/>
        <v>0.22</v>
      </c>
      <c r="H5654" s="759">
        <f t="shared" si="353"/>
        <v>0</v>
      </c>
      <c r="I5654" s="758">
        <f t="shared" si="354"/>
        <v>-0.22</v>
      </c>
      <c r="J5654" s="760">
        <f t="shared" si="355"/>
        <v>0</v>
      </c>
    </row>
    <row r="5655" spans="1:10">
      <c r="A5655" s="74" t="s">
        <v>1109</v>
      </c>
      <c r="B5655" s="74" t="s">
        <v>258</v>
      </c>
      <c r="C5655" s="74" t="s">
        <v>1644</v>
      </c>
      <c r="D5655" s="74" t="s">
        <v>86</v>
      </c>
      <c r="E5655" s="74">
        <v>1</v>
      </c>
      <c r="F5655" s="74">
        <v>0</v>
      </c>
      <c r="G5655" s="758">
        <f t="shared" si="352"/>
        <v>0.22</v>
      </c>
      <c r="H5655" s="759">
        <f t="shared" si="353"/>
        <v>0</v>
      </c>
      <c r="I5655" s="758">
        <f t="shared" si="354"/>
        <v>-0.22</v>
      </c>
      <c r="J5655" s="760">
        <f t="shared" si="355"/>
        <v>0</v>
      </c>
    </row>
    <row r="5656" spans="1:10">
      <c r="A5656" s="74" t="s">
        <v>1109</v>
      </c>
      <c r="B5656" s="74" t="s">
        <v>258</v>
      </c>
      <c r="C5656" s="74" t="s">
        <v>1578</v>
      </c>
      <c r="D5656" s="74" t="s">
        <v>86</v>
      </c>
      <c r="E5656" s="74">
        <v>3</v>
      </c>
      <c r="F5656" s="74">
        <v>0</v>
      </c>
      <c r="G5656" s="758">
        <f t="shared" si="352"/>
        <v>0.22</v>
      </c>
      <c r="H5656" s="759">
        <f t="shared" si="353"/>
        <v>0</v>
      </c>
      <c r="I5656" s="758">
        <f t="shared" si="354"/>
        <v>-0.22</v>
      </c>
      <c r="J5656" s="760">
        <f t="shared" si="355"/>
        <v>0</v>
      </c>
    </row>
    <row r="5657" spans="1:10">
      <c r="A5657" s="74" t="s">
        <v>1109</v>
      </c>
      <c r="B5657" s="74" t="s">
        <v>258</v>
      </c>
      <c r="C5657" s="74" t="s">
        <v>1646</v>
      </c>
      <c r="D5657" s="74" t="s">
        <v>86</v>
      </c>
      <c r="E5657" s="74">
        <v>4</v>
      </c>
      <c r="F5657" s="74">
        <v>0</v>
      </c>
      <c r="G5657" s="758">
        <f t="shared" si="352"/>
        <v>0.22</v>
      </c>
      <c r="H5657" s="759">
        <f t="shared" si="353"/>
        <v>0</v>
      </c>
      <c r="I5657" s="758">
        <f t="shared" si="354"/>
        <v>-0.22</v>
      </c>
      <c r="J5657" s="760">
        <f t="shared" si="355"/>
        <v>0</v>
      </c>
    </row>
    <row r="5658" spans="1:10">
      <c r="A5658" s="74" t="s">
        <v>1109</v>
      </c>
      <c r="B5658" s="74" t="s">
        <v>258</v>
      </c>
      <c r="C5658" s="74" t="s">
        <v>1610</v>
      </c>
      <c r="D5658" s="74" t="s">
        <v>89</v>
      </c>
      <c r="E5658" s="74">
        <v>5</v>
      </c>
      <c r="F5658" s="74">
        <v>0</v>
      </c>
      <c r="G5658" s="758">
        <f t="shared" si="352"/>
        <v>0.22</v>
      </c>
      <c r="H5658" s="759">
        <f t="shared" si="353"/>
        <v>0</v>
      </c>
      <c r="I5658" s="758">
        <f t="shared" si="354"/>
        <v>-0.22</v>
      </c>
      <c r="J5658" s="760">
        <f t="shared" si="355"/>
        <v>0</v>
      </c>
    </row>
    <row r="5659" spans="1:10">
      <c r="A5659" s="74" t="s">
        <v>1109</v>
      </c>
      <c r="B5659" s="74" t="s">
        <v>258</v>
      </c>
      <c r="C5659" s="74" t="s">
        <v>1522</v>
      </c>
      <c r="D5659" s="74" t="s">
        <v>91</v>
      </c>
      <c r="E5659" s="74">
        <v>4</v>
      </c>
      <c r="F5659" s="74">
        <v>0</v>
      </c>
      <c r="G5659" s="758">
        <f t="shared" si="352"/>
        <v>0.22</v>
      </c>
      <c r="H5659" s="759">
        <f t="shared" si="353"/>
        <v>0</v>
      </c>
      <c r="I5659" s="758">
        <f t="shared" si="354"/>
        <v>-0.22</v>
      </c>
      <c r="J5659" s="760">
        <f t="shared" si="355"/>
        <v>0</v>
      </c>
    </row>
    <row r="5660" spans="1:10">
      <c r="A5660" s="74" t="s">
        <v>2156</v>
      </c>
      <c r="B5660" s="74" t="s">
        <v>258</v>
      </c>
      <c r="C5660" s="74" t="s">
        <v>1524</v>
      </c>
      <c r="D5660" s="74" t="s">
        <v>91</v>
      </c>
      <c r="E5660" s="74">
        <v>2</v>
      </c>
      <c r="F5660" s="74">
        <v>0</v>
      </c>
      <c r="G5660" s="758">
        <f t="shared" si="352"/>
        <v>0</v>
      </c>
      <c r="H5660" s="759">
        <f t="shared" si="353"/>
        <v>0</v>
      </c>
      <c r="I5660" s="758">
        <f t="shared" si="354"/>
        <v>0</v>
      </c>
      <c r="J5660" s="760">
        <f t="shared" si="355"/>
        <v>0</v>
      </c>
    </row>
    <row r="5661" spans="1:10">
      <c r="A5661" s="74" t="s">
        <v>2313</v>
      </c>
      <c r="B5661" s="74" t="s">
        <v>258</v>
      </c>
      <c r="C5661" s="74" t="s">
        <v>1644</v>
      </c>
      <c r="D5661" s="74" t="s">
        <v>86</v>
      </c>
      <c r="E5661" s="74">
        <v>3</v>
      </c>
      <c r="F5661" s="74">
        <v>0</v>
      </c>
      <c r="G5661" s="758">
        <f t="shared" si="352"/>
        <v>0.87</v>
      </c>
      <c r="H5661" s="759">
        <f t="shared" si="353"/>
        <v>0</v>
      </c>
      <c r="I5661" s="758">
        <f t="shared" si="354"/>
        <v>-0.87</v>
      </c>
      <c r="J5661" s="760">
        <f t="shared" si="355"/>
        <v>0</v>
      </c>
    </row>
    <row r="5662" spans="1:10">
      <c r="A5662" s="74" t="s">
        <v>2313</v>
      </c>
      <c r="B5662" s="74" t="s">
        <v>258</v>
      </c>
      <c r="C5662" s="74" t="s">
        <v>1578</v>
      </c>
      <c r="D5662" s="74" t="s">
        <v>86</v>
      </c>
      <c r="E5662" s="74">
        <v>2</v>
      </c>
      <c r="F5662" s="74">
        <v>0</v>
      </c>
      <c r="G5662" s="758">
        <f t="shared" si="352"/>
        <v>0.87</v>
      </c>
      <c r="H5662" s="759">
        <f t="shared" si="353"/>
        <v>0</v>
      </c>
      <c r="I5662" s="758">
        <f t="shared" si="354"/>
        <v>-0.87</v>
      </c>
      <c r="J5662" s="760">
        <f t="shared" si="355"/>
        <v>0</v>
      </c>
    </row>
    <row r="5663" spans="1:10">
      <c r="A5663" s="74" t="s">
        <v>882</v>
      </c>
      <c r="B5663" s="74" t="s">
        <v>258</v>
      </c>
      <c r="C5663" s="74" t="s">
        <v>1507</v>
      </c>
      <c r="D5663" s="74" t="s">
        <v>86</v>
      </c>
      <c r="E5663" s="74">
        <v>1</v>
      </c>
      <c r="F5663" s="74">
        <v>5.75</v>
      </c>
      <c r="G5663" s="758">
        <f t="shared" si="352"/>
        <v>0</v>
      </c>
      <c r="H5663" s="759">
        <f t="shared" si="353"/>
        <v>0</v>
      </c>
      <c r="I5663" s="758">
        <f t="shared" si="354"/>
        <v>5.75</v>
      </c>
      <c r="J5663" s="760">
        <f t="shared" si="355"/>
        <v>1</v>
      </c>
    </row>
    <row r="5664" spans="1:10">
      <c r="A5664" s="74" t="s">
        <v>882</v>
      </c>
      <c r="B5664" s="74" t="s">
        <v>258</v>
      </c>
      <c r="C5664" s="74" t="s">
        <v>1578</v>
      </c>
      <c r="D5664" s="74" t="s">
        <v>86</v>
      </c>
      <c r="E5664" s="74">
        <v>4</v>
      </c>
      <c r="F5664" s="74">
        <v>0</v>
      </c>
      <c r="G5664" s="758">
        <f t="shared" si="352"/>
        <v>0</v>
      </c>
      <c r="H5664" s="759">
        <f t="shared" si="353"/>
        <v>0</v>
      </c>
      <c r="I5664" s="758">
        <f t="shared" si="354"/>
        <v>0</v>
      </c>
      <c r="J5664" s="760">
        <f t="shared" si="355"/>
        <v>0</v>
      </c>
    </row>
    <row r="5665" spans="1:10">
      <c r="A5665" s="74" t="s">
        <v>882</v>
      </c>
      <c r="B5665" s="74" t="s">
        <v>258</v>
      </c>
      <c r="C5665" s="74" t="s">
        <v>1930</v>
      </c>
      <c r="D5665" s="74" t="s">
        <v>95</v>
      </c>
      <c r="E5665" s="74">
        <v>1</v>
      </c>
      <c r="F5665" s="74">
        <v>0</v>
      </c>
      <c r="G5665" s="758">
        <f t="shared" si="352"/>
        <v>0</v>
      </c>
      <c r="H5665" s="759">
        <f t="shared" si="353"/>
        <v>0</v>
      </c>
      <c r="I5665" s="758">
        <f t="shared" si="354"/>
        <v>0</v>
      </c>
      <c r="J5665" s="760">
        <f t="shared" si="355"/>
        <v>0</v>
      </c>
    </row>
    <row r="5666" spans="1:10">
      <c r="A5666" s="74" t="s">
        <v>2157</v>
      </c>
      <c r="B5666" s="74" t="s">
        <v>258</v>
      </c>
      <c r="C5666" s="74" t="s">
        <v>1526</v>
      </c>
      <c r="D5666" s="74" t="s">
        <v>95</v>
      </c>
      <c r="E5666" s="74">
        <v>2</v>
      </c>
      <c r="F5666" s="74">
        <v>0</v>
      </c>
      <c r="G5666" s="758">
        <f t="shared" si="352"/>
        <v>0</v>
      </c>
      <c r="H5666" s="759">
        <f t="shared" si="353"/>
        <v>0</v>
      </c>
      <c r="I5666" s="758">
        <f t="shared" si="354"/>
        <v>0</v>
      </c>
      <c r="J5666" s="760">
        <f t="shared" si="355"/>
        <v>0</v>
      </c>
    </row>
    <row r="5667" spans="1:10">
      <c r="A5667" s="74" t="s">
        <v>1058</v>
      </c>
      <c r="B5667" s="74" t="s">
        <v>258</v>
      </c>
      <c r="C5667" s="74" t="s">
        <v>1507</v>
      </c>
      <c r="D5667" s="74" t="s">
        <v>86</v>
      </c>
      <c r="E5667" s="74">
        <v>1</v>
      </c>
      <c r="F5667" s="74">
        <v>0</v>
      </c>
      <c r="G5667" s="758">
        <f t="shared" si="352"/>
        <v>0</v>
      </c>
      <c r="H5667" s="759">
        <f t="shared" si="353"/>
        <v>0</v>
      </c>
      <c r="I5667" s="758">
        <f t="shared" si="354"/>
        <v>0</v>
      </c>
      <c r="J5667" s="760">
        <f t="shared" si="355"/>
        <v>0</v>
      </c>
    </row>
    <row r="5668" spans="1:10">
      <c r="A5668" s="74" t="s">
        <v>1058</v>
      </c>
      <c r="B5668" s="74" t="s">
        <v>258</v>
      </c>
      <c r="C5668" s="74" t="s">
        <v>1930</v>
      </c>
      <c r="D5668" s="74" t="s">
        <v>95</v>
      </c>
      <c r="E5668" s="74">
        <v>2</v>
      </c>
      <c r="F5668" s="74">
        <v>0</v>
      </c>
      <c r="G5668" s="758">
        <f t="shared" si="352"/>
        <v>0</v>
      </c>
      <c r="H5668" s="759">
        <f t="shared" si="353"/>
        <v>0</v>
      </c>
      <c r="I5668" s="758">
        <f t="shared" si="354"/>
        <v>0</v>
      </c>
      <c r="J5668" s="760">
        <f t="shared" si="355"/>
        <v>0</v>
      </c>
    </row>
    <row r="5669" spans="1:10">
      <c r="A5669" s="74" t="s">
        <v>936</v>
      </c>
      <c r="B5669" s="74" t="s">
        <v>258</v>
      </c>
      <c r="C5669" s="74" t="s">
        <v>1507</v>
      </c>
      <c r="D5669" s="74" t="s">
        <v>86</v>
      </c>
      <c r="E5669" s="74">
        <v>2</v>
      </c>
      <c r="F5669" s="74">
        <v>0</v>
      </c>
      <c r="G5669" s="758">
        <f t="shared" si="352"/>
        <v>0</v>
      </c>
      <c r="H5669" s="759">
        <f t="shared" si="353"/>
        <v>0</v>
      </c>
      <c r="I5669" s="758">
        <f t="shared" si="354"/>
        <v>0</v>
      </c>
      <c r="J5669" s="760">
        <f t="shared" si="355"/>
        <v>0</v>
      </c>
    </row>
    <row r="5670" spans="1:10">
      <c r="A5670" s="74" t="s">
        <v>936</v>
      </c>
      <c r="B5670" s="74" t="s">
        <v>258</v>
      </c>
      <c r="C5670" s="74" t="s">
        <v>1526</v>
      </c>
      <c r="D5670" s="74" t="s">
        <v>95</v>
      </c>
      <c r="E5670" s="74">
        <v>1</v>
      </c>
      <c r="F5670" s="74">
        <v>0</v>
      </c>
      <c r="G5670" s="758">
        <f t="shared" si="352"/>
        <v>0</v>
      </c>
      <c r="H5670" s="759">
        <f t="shared" si="353"/>
        <v>0</v>
      </c>
      <c r="I5670" s="758">
        <f t="shared" si="354"/>
        <v>0</v>
      </c>
      <c r="J5670" s="760">
        <f t="shared" si="355"/>
        <v>0</v>
      </c>
    </row>
    <row r="5671" spans="1:10">
      <c r="A5671" s="74" t="s">
        <v>936</v>
      </c>
      <c r="B5671" s="74" t="s">
        <v>258</v>
      </c>
      <c r="C5671" s="74" t="s">
        <v>1930</v>
      </c>
      <c r="D5671" s="74" t="s">
        <v>95</v>
      </c>
      <c r="E5671" s="74">
        <v>1</v>
      </c>
      <c r="F5671" s="74">
        <v>0</v>
      </c>
      <c r="G5671" s="758">
        <f t="shared" si="352"/>
        <v>0</v>
      </c>
      <c r="H5671" s="759">
        <f t="shared" si="353"/>
        <v>0</v>
      </c>
      <c r="I5671" s="758">
        <f t="shared" si="354"/>
        <v>0</v>
      </c>
      <c r="J5671" s="760">
        <f t="shared" si="355"/>
        <v>0</v>
      </c>
    </row>
    <row r="5672" spans="1:10">
      <c r="A5672" s="74" t="s">
        <v>2158</v>
      </c>
      <c r="B5672" s="74" t="s">
        <v>258</v>
      </c>
      <c r="C5672" s="74" t="s">
        <v>1675</v>
      </c>
      <c r="D5672" s="74" t="s">
        <v>91</v>
      </c>
      <c r="E5672" s="74">
        <v>1</v>
      </c>
      <c r="F5672" s="74">
        <v>0</v>
      </c>
      <c r="G5672" s="758">
        <f t="shared" si="352"/>
        <v>0</v>
      </c>
      <c r="H5672" s="759">
        <f t="shared" si="353"/>
        <v>0</v>
      </c>
      <c r="I5672" s="758">
        <f t="shared" si="354"/>
        <v>0</v>
      </c>
      <c r="J5672" s="760">
        <f t="shared" si="355"/>
        <v>0</v>
      </c>
    </row>
    <row r="5673" spans="1:10">
      <c r="A5673" s="74" t="s">
        <v>1132</v>
      </c>
      <c r="B5673" s="74" t="s">
        <v>873</v>
      </c>
      <c r="C5673" s="74" t="s">
        <v>1543</v>
      </c>
      <c r="D5673" s="74" t="s">
        <v>87</v>
      </c>
      <c r="E5673" s="74">
        <v>20</v>
      </c>
      <c r="F5673" s="74">
        <v>0</v>
      </c>
      <c r="G5673" s="758">
        <f t="shared" si="352"/>
        <v>0</v>
      </c>
      <c r="H5673" s="759">
        <f t="shared" si="353"/>
        <v>0</v>
      </c>
      <c r="I5673" s="758">
        <f t="shared" si="354"/>
        <v>0</v>
      </c>
      <c r="J5673" s="760">
        <f t="shared" si="355"/>
        <v>0</v>
      </c>
    </row>
    <row r="5674" spans="1:10">
      <c r="A5674" s="74" t="s">
        <v>1132</v>
      </c>
      <c r="B5674" s="74" t="s">
        <v>873</v>
      </c>
      <c r="C5674" s="74" t="s">
        <v>1546</v>
      </c>
      <c r="D5674" s="74" t="s">
        <v>89</v>
      </c>
      <c r="E5674" s="74">
        <v>4</v>
      </c>
      <c r="F5674" s="74">
        <v>0</v>
      </c>
      <c r="G5674" s="758">
        <f t="shared" si="352"/>
        <v>0</v>
      </c>
      <c r="H5674" s="759">
        <f t="shared" si="353"/>
        <v>0</v>
      </c>
      <c r="I5674" s="758">
        <f t="shared" si="354"/>
        <v>0</v>
      </c>
      <c r="J5674" s="760">
        <f t="shared" si="355"/>
        <v>0</v>
      </c>
    </row>
    <row r="5675" spans="1:10">
      <c r="A5675" s="74" t="s">
        <v>2159</v>
      </c>
      <c r="B5675" s="74" t="s">
        <v>873</v>
      </c>
      <c r="C5675" s="74" t="s">
        <v>1617</v>
      </c>
      <c r="D5675" s="74" t="s">
        <v>94</v>
      </c>
      <c r="E5675" s="74">
        <v>7</v>
      </c>
      <c r="F5675" s="74">
        <v>0</v>
      </c>
      <c r="G5675" s="758">
        <f t="shared" si="352"/>
        <v>0</v>
      </c>
      <c r="H5675" s="759">
        <f t="shared" si="353"/>
        <v>0</v>
      </c>
      <c r="I5675" s="758">
        <f t="shared" si="354"/>
        <v>0</v>
      </c>
      <c r="J5675" s="760">
        <f t="shared" si="355"/>
        <v>0</v>
      </c>
    </row>
    <row r="5676" spans="1:10">
      <c r="A5676" s="74" t="s">
        <v>2160</v>
      </c>
      <c r="B5676" s="74" t="s">
        <v>277</v>
      </c>
      <c r="C5676" s="74" t="s">
        <v>1610</v>
      </c>
      <c r="D5676" s="74" t="s">
        <v>89</v>
      </c>
      <c r="E5676" s="74">
        <v>1</v>
      </c>
      <c r="F5676" s="74">
        <v>11</v>
      </c>
      <c r="G5676" s="758">
        <f t="shared" si="352"/>
        <v>0</v>
      </c>
      <c r="H5676" s="759">
        <f t="shared" si="353"/>
        <v>0</v>
      </c>
      <c r="I5676" s="758">
        <f t="shared" si="354"/>
        <v>11</v>
      </c>
      <c r="J5676" s="760">
        <f t="shared" si="355"/>
        <v>1</v>
      </c>
    </row>
    <row r="5677" spans="1:10">
      <c r="A5677" s="74" t="s">
        <v>1188</v>
      </c>
      <c r="B5677" s="74" t="s">
        <v>277</v>
      </c>
      <c r="C5677" s="74" t="s">
        <v>1528</v>
      </c>
      <c r="D5677" s="74" t="s">
        <v>78</v>
      </c>
      <c r="E5677" s="74">
        <v>3</v>
      </c>
      <c r="F5677" s="74">
        <v>32.700000000000003</v>
      </c>
      <c r="G5677" s="758">
        <f t="shared" si="352"/>
        <v>2.68</v>
      </c>
      <c r="H5677" s="759">
        <f t="shared" si="353"/>
        <v>0.28000000000000003</v>
      </c>
      <c r="I5677" s="758">
        <f t="shared" si="354"/>
        <v>8.2200000000000006</v>
      </c>
      <c r="J5677" s="760">
        <f t="shared" si="355"/>
        <v>0.75412844036697246</v>
      </c>
    </row>
    <row r="5678" spans="1:10">
      <c r="A5678" s="74" t="s">
        <v>1188</v>
      </c>
      <c r="B5678" s="74" t="s">
        <v>277</v>
      </c>
      <c r="C5678" s="74" t="s">
        <v>1508</v>
      </c>
      <c r="D5678" s="74" t="s">
        <v>78</v>
      </c>
      <c r="E5678" s="74">
        <v>1</v>
      </c>
      <c r="F5678" s="74">
        <v>10.9</v>
      </c>
      <c r="G5678" s="758">
        <f t="shared" si="352"/>
        <v>2.68</v>
      </c>
      <c r="H5678" s="759">
        <f t="shared" si="353"/>
        <v>0.28000000000000003</v>
      </c>
      <c r="I5678" s="758">
        <f t="shared" si="354"/>
        <v>8.2200000000000006</v>
      </c>
      <c r="J5678" s="760">
        <f t="shared" si="355"/>
        <v>0.75412844036697246</v>
      </c>
    </row>
    <row r="5679" spans="1:10">
      <c r="A5679" s="74" t="s">
        <v>1188</v>
      </c>
      <c r="B5679" s="74" t="s">
        <v>277</v>
      </c>
      <c r="C5679" s="74" t="s">
        <v>1509</v>
      </c>
      <c r="D5679" s="74" t="s">
        <v>78</v>
      </c>
      <c r="E5679" s="74">
        <v>7</v>
      </c>
      <c r="F5679" s="74">
        <v>76.55</v>
      </c>
      <c r="G5679" s="758">
        <f t="shared" si="352"/>
        <v>2.68</v>
      </c>
      <c r="H5679" s="759">
        <f t="shared" si="353"/>
        <v>0.28000000000000003</v>
      </c>
      <c r="I5679" s="758">
        <f t="shared" si="354"/>
        <v>8.2557142857142853</v>
      </c>
      <c r="J5679" s="760">
        <f t="shared" si="355"/>
        <v>0.75493141737426517</v>
      </c>
    </row>
    <row r="5680" spans="1:10">
      <c r="A5680" s="74" t="s">
        <v>1188</v>
      </c>
      <c r="B5680" s="74" t="s">
        <v>277</v>
      </c>
      <c r="C5680" s="74" t="s">
        <v>1565</v>
      </c>
      <c r="D5680" s="74" t="s">
        <v>78</v>
      </c>
      <c r="E5680" s="74">
        <v>2</v>
      </c>
      <c r="F5680" s="74">
        <v>21.8</v>
      </c>
      <c r="G5680" s="758">
        <f t="shared" si="352"/>
        <v>2.68</v>
      </c>
      <c r="H5680" s="759">
        <f t="shared" si="353"/>
        <v>0.28000000000000003</v>
      </c>
      <c r="I5680" s="758">
        <f t="shared" si="354"/>
        <v>8.2200000000000006</v>
      </c>
      <c r="J5680" s="760">
        <f t="shared" si="355"/>
        <v>0.75412844036697246</v>
      </c>
    </row>
    <row r="5681" spans="1:10">
      <c r="A5681" s="74" t="s">
        <v>1188</v>
      </c>
      <c r="B5681" s="74" t="s">
        <v>277</v>
      </c>
      <c r="C5681" s="74" t="s">
        <v>1530</v>
      </c>
      <c r="D5681" s="74" t="s">
        <v>80</v>
      </c>
      <c r="E5681" s="74">
        <v>2</v>
      </c>
      <c r="F5681" s="74">
        <v>21.8</v>
      </c>
      <c r="G5681" s="758">
        <f t="shared" si="352"/>
        <v>2.68</v>
      </c>
      <c r="H5681" s="759">
        <f t="shared" si="353"/>
        <v>0.28000000000000003</v>
      </c>
      <c r="I5681" s="758">
        <f t="shared" si="354"/>
        <v>8.2200000000000006</v>
      </c>
      <c r="J5681" s="760">
        <f t="shared" si="355"/>
        <v>0.75412844036697246</v>
      </c>
    </row>
    <row r="5682" spans="1:10">
      <c r="A5682" s="74" t="s">
        <v>1188</v>
      </c>
      <c r="B5682" s="74" t="s">
        <v>277</v>
      </c>
      <c r="C5682" s="74" t="s">
        <v>1532</v>
      </c>
      <c r="D5682" s="74" t="s">
        <v>80</v>
      </c>
      <c r="E5682" s="74">
        <v>5</v>
      </c>
      <c r="F5682" s="74">
        <v>55.25</v>
      </c>
      <c r="G5682" s="758">
        <f t="shared" si="352"/>
        <v>2.68</v>
      </c>
      <c r="H5682" s="759">
        <f t="shared" si="353"/>
        <v>0.28000000000000003</v>
      </c>
      <c r="I5682" s="758">
        <f t="shared" si="354"/>
        <v>8.370000000000001</v>
      </c>
      <c r="J5682" s="760">
        <f t="shared" si="355"/>
        <v>0.75746606334841626</v>
      </c>
    </row>
    <row r="5683" spans="1:10">
      <c r="A5683" s="74" t="s">
        <v>1188</v>
      </c>
      <c r="B5683" s="74" t="s">
        <v>277</v>
      </c>
      <c r="C5683" s="74" t="s">
        <v>1511</v>
      </c>
      <c r="D5683" s="74" t="s">
        <v>80</v>
      </c>
      <c r="E5683" s="74">
        <v>6</v>
      </c>
      <c r="F5683" s="74">
        <v>65.400000000000006</v>
      </c>
      <c r="G5683" s="758">
        <f t="shared" si="352"/>
        <v>2.68</v>
      </c>
      <c r="H5683" s="759">
        <f t="shared" si="353"/>
        <v>0.28000000000000003</v>
      </c>
      <c r="I5683" s="758">
        <f t="shared" si="354"/>
        <v>8.2200000000000006</v>
      </c>
      <c r="J5683" s="760">
        <f t="shared" si="355"/>
        <v>0.75412844036697246</v>
      </c>
    </row>
    <row r="5684" spans="1:10">
      <c r="A5684" s="74" t="s">
        <v>1188</v>
      </c>
      <c r="B5684" s="74" t="s">
        <v>277</v>
      </c>
      <c r="C5684" s="74" t="s">
        <v>1512</v>
      </c>
      <c r="D5684" s="74" t="s">
        <v>80</v>
      </c>
      <c r="E5684" s="74">
        <v>6</v>
      </c>
      <c r="F5684" s="74">
        <v>65.650000000000006</v>
      </c>
      <c r="G5684" s="758">
        <f t="shared" si="352"/>
        <v>2.68</v>
      </c>
      <c r="H5684" s="759">
        <f t="shared" si="353"/>
        <v>0.28000000000000003</v>
      </c>
      <c r="I5684" s="758">
        <f t="shared" si="354"/>
        <v>8.2616666666666685</v>
      </c>
      <c r="J5684" s="760">
        <f t="shared" si="355"/>
        <v>0.75506473724295509</v>
      </c>
    </row>
    <row r="5685" spans="1:10">
      <c r="A5685" s="74" t="s">
        <v>1188</v>
      </c>
      <c r="B5685" s="74" t="s">
        <v>277</v>
      </c>
      <c r="C5685" s="74" t="s">
        <v>1534</v>
      </c>
      <c r="D5685" s="74" t="s">
        <v>81</v>
      </c>
      <c r="E5685" s="74">
        <v>7</v>
      </c>
      <c r="F5685" s="74">
        <v>76.3</v>
      </c>
      <c r="G5685" s="758">
        <f t="shared" si="352"/>
        <v>2.68</v>
      </c>
      <c r="H5685" s="759">
        <f t="shared" si="353"/>
        <v>0.28000000000000003</v>
      </c>
      <c r="I5685" s="758">
        <f t="shared" si="354"/>
        <v>8.2200000000000006</v>
      </c>
      <c r="J5685" s="760">
        <f t="shared" si="355"/>
        <v>0.75412844036697246</v>
      </c>
    </row>
    <row r="5686" spans="1:10">
      <c r="A5686" s="74" t="s">
        <v>1188</v>
      </c>
      <c r="B5686" s="74" t="s">
        <v>277</v>
      </c>
      <c r="C5686" s="74" t="s">
        <v>1513</v>
      </c>
      <c r="D5686" s="74" t="s">
        <v>81</v>
      </c>
      <c r="E5686" s="74">
        <v>3</v>
      </c>
      <c r="F5686" s="74">
        <v>32.9</v>
      </c>
      <c r="G5686" s="758">
        <f t="shared" si="352"/>
        <v>2.68</v>
      </c>
      <c r="H5686" s="759">
        <f t="shared" si="353"/>
        <v>0.28000000000000003</v>
      </c>
      <c r="I5686" s="758">
        <f t="shared" si="354"/>
        <v>8.2866666666666671</v>
      </c>
      <c r="J5686" s="760">
        <f t="shared" si="355"/>
        <v>0.7556231003039513</v>
      </c>
    </row>
    <row r="5687" spans="1:10">
      <c r="A5687" s="74" t="s">
        <v>1188</v>
      </c>
      <c r="B5687" s="74" t="s">
        <v>277</v>
      </c>
      <c r="C5687" s="74" t="s">
        <v>1514</v>
      </c>
      <c r="D5687" s="74" t="s">
        <v>81</v>
      </c>
      <c r="E5687" s="74">
        <v>5</v>
      </c>
      <c r="F5687" s="74">
        <v>54.6</v>
      </c>
      <c r="G5687" s="758">
        <f t="shared" si="352"/>
        <v>2.68</v>
      </c>
      <c r="H5687" s="759">
        <f t="shared" si="353"/>
        <v>0.28000000000000003</v>
      </c>
      <c r="I5687" s="758">
        <f t="shared" si="354"/>
        <v>8.24</v>
      </c>
      <c r="J5687" s="760">
        <f t="shared" si="355"/>
        <v>0.75457875457875456</v>
      </c>
    </row>
    <row r="5688" spans="1:10">
      <c r="A5688" s="74" t="s">
        <v>1188</v>
      </c>
      <c r="B5688" s="74" t="s">
        <v>277</v>
      </c>
      <c r="C5688" s="74" t="s">
        <v>1515</v>
      </c>
      <c r="D5688" s="74" t="s">
        <v>81</v>
      </c>
      <c r="E5688" s="74">
        <v>4</v>
      </c>
      <c r="F5688" s="74">
        <v>69.5</v>
      </c>
      <c r="G5688" s="758">
        <f t="shared" si="352"/>
        <v>2.68</v>
      </c>
      <c r="H5688" s="759">
        <f t="shared" si="353"/>
        <v>0.28000000000000003</v>
      </c>
      <c r="I5688" s="758">
        <f t="shared" si="354"/>
        <v>14.695</v>
      </c>
      <c r="J5688" s="760">
        <f t="shared" si="355"/>
        <v>0.84575539568345326</v>
      </c>
    </row>
    <row r="5689" spans="1:10">
      <c r="A5689" s="74" t="s">
        <v>1188</v>
      </c>
      <c r="B5689" s="74" t="s">
        <v>277</v>
      </c>
      <c r="C5689" s="74" t="s">
        <v>1516</v>
      </c>
      <c r="D5689" s="74" t="s">
        <v>82</v>
      </c>
      <c r="E5689" s="74">
        <v>5</v>
      </c>
      <c r="F5689" s="74">
        <v>54.6</v>
      </c>
      <c r="G5689" s="758">
        <f t="shared" si="352"/>
        <v>2.68</v>
      </c>
      <c r="H5689" s="759">
        <f t="shared" si="353"/>
        <v>0.28000000000000003</v>
      </c>
      <c r="I5689" s="758">
        <f t="shared" si="354"/>
        <v>8.24</v>
      </c>
      <c r="J5689" s="760">
        <f t="shared" si="355"/>
        <v>0.75457875457875456</v>
      </c>
    </row>
    <row r="5690" spans="1:10">
      <c r="A5690" s="74" t="s">
        <v>1188</v>
      </c>
      <c r="B5690" s="74" t="s">
        <v>277</v>
      </c>
      <c r="C5690" s="74" t="s">
        <v>1517</v>
      </c>
      <c r="D5690" s="74" t="s">
        <v>82</v>
      </c>
      <c r="E5690" s="74">
        <v>9</v>
      </c>
      <c r="F5690" s="74">
        <v>98.1</v>
      </c>
      <c r="G5690" s="758">
        <f t="shared" si="352"/>
        <v>2.68</v>
      </c>
      <c r="H5690" s="759">
        <f t="shared" si="353"/>
        <v>0.28000000000000003</v>
      </c>
      <c r="I5690" s="758">
        <f t="shared" si="354"/>
        <v>8.2199999999999989</v>
      </c>
      <c r="J5690" s="760">
        <f t="shared" si="355"/>
        <v>0.75412844036697246</v>
      </c>
    </row>
    <row r="5691" spans="1:10">
      <c r="A5691" s="74" t="s">
        <v>1188</v>
      </c>
      <c r="B5691" s="74" t="s">
        <v>277</v>
      </c>
      <c r="C5691" s="74" t="s">
        <v>1527</v>
      </c>
      <c r="D5691" s="74" t="s">
        <v>82</v>
      </c>
      <c r="E5691" s="74">
        <v>5</v>
      </c>
      <c r="F5691" s="74">
        <v>54.6</v>
      </c>
      <c r="G5691" s="758">
        <f t="shared" si="352"/>
        <v>2.68</v>
      </c>
      <c r="H5691" s="759">
        <f t="shared" si="353"/>
        <v>0.28000000000000003</v>
      </c>
      <c r="I5691" s="758">
        <f t="shared" si="354"/>
        <v>8.24</v>
      </c>
      <c r="J5691" s="760">
        <f t="shared" si="355"/>
        <v>0.75457875457875456</v>
      </c>
    </row>
    <row r="5692" spans="1:10">
      <c r="A5692" s="74" t="s">
        <v>1188</v>
      </c>
      <c r="B5692" s="74" t="s">
        <v>277</v>
      </c>
      <c r="C5692" s="74" t="s">
        <v>1518</v>
      </c>
      <c r="D5692" s="74" t="s">
        <v>82</v>
      </c>
      <c r="E5692" s="74">
        <v>7</v>
      </c>
      <c r="F5692" s="74">
        <v>100.1</v>
      </c>
      <c r="G5692" s="758">
        <f t="shared" si="352"/>
        <v>2.68</v>
      </c>
      <c r="H5692" s="759">
        <f t="shared" si="353"/>
        <v>0.28000000000000003</v>
      </c>
      <c r="I5692" s="758">
        <f t="shared" si="354"/>
        <v>11.62</v>
      </c>
      <c r="J5692" s="760">
        <f t="shared" si="355"/>
        <v>0.81258741258741263</v>
      </c>
    </row>
    <row r="5693" spans="1:10">
      <c r="A5693" s="74" t="s">
        <v>1188</v>
      </c>
      <c r="B5693" s="74" t="s">
        <v>277</v>
      </c>
      <c r="C5693" s="74" t="s">
        <v>1519</v>
      </c>
      <c r="D5693" s="74" t="s">
        <v>84</v>
      </c>
      <c r="E5693" s="74">
        <v>2</v>
      </c>
      <c r="F5693" s="74">
        <v>21.8</v>
      </c>
      <c r="G5693" s="758">
        <f t="shared" si="352"/>
        <v>2.68</v>
      </c>
      <c r="H5693" s="759">
        <f t="shared" si="353"/>
        <v>0.28000000000000003</v>
      </c>
      <c r="I5693" s="758">
        <f t="shared" si="354"/>
        <v>8.2200000000000006</v>
      </c>
      <c r="J5693" s="760">
        <f t="shared" si="355"/>
        <v>0.75412844036697246</v>
      </c>
    </row>
    <row r="5694" spans="1:10">
      <c r="A5694" s="74" t="s">
        <v>1188</v>
      </c>
      <c r="B5694" s="74" t="s">
        <v>277</v>
      </c>
      <c r="C5694" s="74" t="s">
        <v>1541</v>
      </c>
      <c r="D5694" s="74" t="s">
        <v>86</v>
      </c>
      <c r="E5694" s="74">
        <v>1</v>
      </c>
      <c r="F5694" s="74">
        <v>10.9</v>
      </c>
      <c r="G5694" s="758">
        <f t="shared" si="352"/>
        <v>2.68</v>
      </c>
      <c r="H5694" s="759">
        <f t="shared" si="353"/>
        <v>0.28000000000000003</v>
      </c>
      <c r="I5694" s="758">
        <f t="shared" si="354"/>
        <v>8.2200000000000006</v>
      </c>
      <c r="J5694" s="760">
        <f t="shared" si="355"/>
        <v>0.75412844036697246</v>
      </c>
    </row>
    <row r="5695" spans="1:10">
      <c r="A5695" s="74" t="s">
        <v>1188</v>
      </c>
      <c r="B5695" s="74" t="s">
        <v>277</v>
      </c>
      <c r="C5695" s="74" t="s">
        <v>1605</v>
      </c>
      <c r="D5695" s="74" t="s">
        <v>87</v>
      </c>
      <c r="E5695" s="74">
        <v>1</v>
      </c>
      <c r="F5695" s="74">
        <v>11</v>
      </c>
      <c r="G5695" s="758">
        <f t="shared" si="352"/>
        <v>2.68</v>
      </c>
      <c r="H5695" s="759">
        <f t="shared" si="353"/>
        <v>0.28000000000000003</v>
      </c>
      <c r="I5695" s="758">
        <f t="shared" si="354"/>
        <v>8.32</v>
      </c>
      <c r="J5695" s="760">
        <f t="shared" si="355"/>
        <v>0.75636363636363635</v>
      </c>
    </row>
    <row r="5696" spans="1:10">
      <c r="A5696" s="74" t="s">
        <v>1188</v>
      </c>
      <c r="B5696" s="74" t="s">
        <v>277</v>
      </c>
      <c r="C5696" s="74" t="s">
        <v>1608</v>
      </c>
      <c r="D5696" s="74" t="s">
        <v>89</v>
      </c>
      <c r="E5696" s="74">
        <v>1</v>
      </c>
      <c r="F5696" s="74">
        <v>11</v>
      </c>
      <c r="G5696" s="758">
        <f t="shared" si="352"/>
        <v>2.68</v>
      </c>
      <c r="H5696" s="759">
        <f t="shared" si="353"/>
        <v>0.28000000000000003</v>
      </c>
      <c r="I5696" s="758">
        <f t="shared" si="354"/>
        <v>8.32</v>
      </c>
      <c r="J5696" s="760">
        <f t="shared" si="355"/>
        <v>0.75636363636363635</v>
      </c>
    </row>
    <row r="5697" spans="1:10">
      <c r="A5697" s="74" t="s">
        <v>1188</v>
      </c>
      <c r="B5697" s="74" t="s">
        <v>277</v>
      </c>
      <c r="C5697" s="74" t="s">
        <v>1610</v>
      </c>
      <c r="D5697" s="74" t="s">
        <v>89</v>
      </c>
      <c r="E5697" s="74">
        <v>1</v>
      </c>
      <c r="F5697" s="74">
        <v>11</v>
      </c>
      <c r="G5697" s="758">
        <f t="shared" si="352"/>
        <v>2.68</v>
      </c>
      <c r="H5697" s="759">
        <f t="shared" si="353"/>
        <v>0.28000000000000003</v>
      </c>
      <c r="I5697" s="758">
        <f t="shared" si="354"/>
        <v>8.32</v>
      </c>
      <c r="J5697" s="760">
        <f t="shared" si="355"/>
        <v>0.75636363636363635</v>
      </c>
    </row>
    <row r="5698" spans="1:10">
      <c r="A5698" s="74" t="s">
        <v>1188</v>
      </c>
      <c r="B5698" s="74" t="s">
        <v>277</v>
      </c>
      <c r="C5698" s="74" t="s">
        <v>1582</v>
      </c>
      <c r="D5698" s="74" t="s">
        <v>89</v>
      </c>
      <c r="E5698" s="74">
        <v>1</v>
      </c>
      <c r="F5698" s="74">
        <v>11</v>
      </c>
      <c r="G5698" s="758">
        <f t="shared" ref="G5698:G5761" si="356">IFERROR(VLOOKUP(A5698,$M$1:$P$1014,2,FALSE),0)</f>
        <v>2.68</v>
      </c>
      <c r="H5698" s="759">
        <f t="shared" ref="H5698:H5761" si="357">IFERROR(VLOOKUP(A5698,$M$1:$P$1014,3,FALSE),0)</f>
        <v>0.28000000000000003</v>
      </c>
      <c r="I5698" s="758">
        <f t="shared" ref="I5698:I5761" si="358">IFERROR(F5698/E5698-G5698,0)</f>
        <v>8.32</v>
      </c>
      <c r="J5698" s="760">
        <f t="shared" ref="J5698:J5761" si="359">IFERROR(1-G5698*E5698/F5698,0)</f>
        <v>0.75636363636363635</v>
      </c>
    </row>
    <row r="5699" spans="1:10">
      <c r="A5699" s="74" t="s">
        <v>1188</v>
      </c>
      <c r="B5699" s="74" t="s">
        <v>277</v>
      </c>
      <c r="C5699" s="74" t="s">
        <v>1524</v>
      </c>
      <c r="D5699" s="74" t="s">
        <v>91</v>
      </c>
      <c r="E5699" s="74">
        <v>1</v>
      </c>
      <c r="F5699" s="74">
        <v>11</v>
      </c>
      <c r="G5699" s="758">
        <f t="shared" si="356"/>
        <v>2.68</v>
      </c>
      <c r="H5699" s="759">
        <f t="shared" si="357"/>
        <v>0.28000000000000003</v>
      </c>
      <c r="I5699" s="758">
        <f t="shared" si="358"/>
        <v>8.32</v>
      </c>
      <c r="J5699" s="760">
        <f t="shared" si="359"/>
        <v>0.75636363636363635</v>
      </c>
    </row>
    <row r="5700" spans="1:10">
      <c r="A5700" s="74" t="s">
        <v>2161</v>
      </c>
      <c r="B5700" s="74" t="s">
        <v>277</v>
      </c>
      <c r="C5700" s="74" t="s">
        <v>1511</v>
      </c>
      <c r="D5700" s="74" t="s">
        <v>80</v>
      </c>
      <c r="E5700" s="74">
        <v>1</v>
      </c>
      <c r="F5700" s="74">
        <v>0</v>
      </c>
      <c r="G5700" s="758">
        <f t="shared" si="356"/>
        <v>2</v>
      </c>
      <c r="H5700" s="759">
        <f t="shared" si="357"/>
        <v>0</v>
      </c>
      <c r="I5700" s="758">
        <f t="shared" si="358"/>
        <v>-2</v>
      </c>
      <c r="J5700" s="760">
        <f t="shared" si="359"/>
        <v>0</v>
      </c>
    </row>
    <row r="5701" spans="1:10">
      <c r="A5701" s="74" t="s">
        <v>2161</v>
      </c>
      <c r="B5701" s="74" t="s">
        <v>277</v>
      </c>
      <c r="C5701" s="74" t="s">
        <v>1516</v>
      </c>
      <c r="D5701" s="74" t="s">
        <v>82</v>
      </c>
      <c r="E5701" s="74">
        <v>1</v>
      </c>
      <c r="F5701" s="74">
        <v>0</v>
      </c>
      <c r="G5701" s="758">
        <f t="shared" si="356"/>
        <v>2</v>
      </c>
      <c r="H5701" s="759">
        <f t="shared" si="357"/>
        <v>0</v>
      </c>
      <c r="I5701" s="758">
        <f t="shared" si="358"/>
        <v>-2</v>
      </c>
      <c r="J5701" s="760">
        <f t="shared" si="359"/>
        <v>0</v>
      </c>
    </row>
    <row r="5702" spans="1:10">
      <c r="A5702" s="74" t="s">
        <v>2162</v>
      </c>
      <c r="B5702" s="74" t="s">
        <v>725</v>
      </c>
      <c r="C5702" s="74" t="s">
        <v>1930</v>
      </c>
      <c r="D5702" s="74" t="s">
        <v>95</v>
      </c>
      <c r="E5702" s="74">
        <v>1</v>
      </c>
      <c r="F5702" s="74">
        <v>2.65</v>
      </c>
      <c r="G5702" s="758">
        <f t="shared" si="356"/>
        <v>0</v>
      </c>
      <c r="H5702" s="759">
        <f t="shared" si="357"/>
        <v>0</v>
      </c>
      <c r="I5702" s="758">
        <f t="shared" si="358"/>
        <v>2.65</v>
      </c>
      <c r="J5702" s="760">
        <f t="shared" si="359"/>
        <v>1</v>
      </c>
    </row>
    <row r="5703" spans="1:10">
      <c r="A5703" s="74" t="s">
        <v>2163</v>
      </c>
      <c r="B5703" s="74" t="s">
        <v>725</v>
      </c>
      <c r="C5703" s="74" t="s">
        <v>1584</v>
      </c>
      <c r="D5703" s="74" t="s">
        <v>92</v>
      </c>
      <c r="E5703" s="74">
        <v>1</v>
      </c>
      <c r="F5703" s="74">
        <v>2.0499999999999998</v>
      </c>
      <c r="G5703" s="758">
        <f t="shared" si="356"/>
        <v>0</v>
      </c>
      <c r="H5703" s="759">
        <f t="shared" si="357"/>
        <v>0</v>
      </c>
      <c r="I5703" s="758">
        <f t="shared" si="358"/>
        <v>2.0499999999999998</v>
      </c>
      <c r="J5703" s="760">
        <f t="shared" si="359"/>
        <v>1</v>
      </c>
    </row>
    <row r="5704" spans="1:10">
      <c r="A5704" s="74" t="s">
        <v>2164</v>
      </c>
      <c r="B5704" s="74" t="s">
        <v>725</v>
      </c>
      <c r="C5704" s="74" t="s">
        <v>1527</v>
      </c>
      <c r="D5704" s="74" t="s">
        <v>82</v>
      </c>
      <c r="E5704" s="74">
        <v>1</v>
      </c>
      <c r="F5704" s="74">
        <v>0</v>
      </c>
      <c r="G5704" s="758">
        <f t="shared" si="356"/>
        <v>0</v>
      </c>
      <c r="H5704" s="759">
        <f t="shared" si="357"/>
        <v>0.11</v>
      </c>
      <c r="I5704" s="758">
        <f t="shared" si="358"/>
        <v>0</v>
      </c>
      <c r="J5704" s="760">
        <f t="shared" si="359"/>
        <v>0</v>
      </c>
    </row>
    <row r="5705" spans="1:10">
      <c r="A5705" s="74" t="s">
        <v>2165</v>
      </c>
      <c r="B5705" s="74" t="s">
        <v>725</v>
      </c>
      <c r="C5705" s="74" t="s">
        <v>1514</v>
      </c>
      <c r="D5705" s="74" t="s">
        <v>81</v>
      </c>
      <c r="E5705" s="74">
        <v>1</v>
      </c>
      <c r="F5705" s="74">
        <v>2.65</v>
      </c>
      <c r="G5705" s="758">
        <f t="shared" si="356"/>
        <v>0</v>
      </c>
      <c r="H5705" s="759">
        <f t="shared" si="357"/>
        <v>0.24</v>
      </c>
      <c r="I5705" s="758">
        <f t="shared" si="358"/>
        <v>2.65</v>
      </c>
      <c r="J5705" s="760">
        <f t="shared" si="359"/>
        <v>1</v>
      </c>
    </row>
    <row r="5706" spans="1:10">
      <c r="A5706" s="74" t="s">
        <v>2166</v>
      </c>
      <c r="B5706" s="74" t="s">
        <v>725</v>
      </c>
      <c r="C5706" s="74" t="s">
        <v>1516</v>
      </c>
      <c r="D5706" s="74" t="s">
        <v>82</v>
      </c>
      <c r="E5706" s="74">
        <v>1</v>
      </c>
      <c r="F5706" s="74">
        <v>0</v>
      </c>
      <c r="G5706" s="758">
        <f t="shared" si="356"/>
        <v>0</v>
      </c>
      <c r="H5706" s="759">
        <f t="shared" si="357"/>
        <v>0.24</v>
      </c>
      <c r="I5706" s="758">
        <f t="shared" si="358"/>
        <v>0</v>
      </c>
      <c r="J5706" s="760">
        <f t="shared" si="359"/>
        <v>0</v>
      </c>
    </row>
    <row r="5707" spans="1:10">
      <c r="A5707" s="74" t="s">
        <v>2167</v>
      </c>
      <c r="B5707" s="74" t="s">
        <v>725</v>
      </c>
      <c r="C5707" s="74" t="s">
        <v>1509</v>
      </c>
      <c r="D5707" s="74" t="s">
        <v>78</v>
      </c>
      <c r="E5707" s="74">
        <v>2</v>
      </c>
      <c r="F5707" s="74">
        <v>3.8</v>
      </c>
      <c r="G5707" s="758">
        <f t="shared" si="356"/>
        <v>0.32</v>
      </c>
      <c r="H5707" s="759">
        <f t="shared" si="357"/>
        <v>0.22</v>
      </c>
      <c r="I5707" s="758">
        <f t="shared" si="358"/>
        <v>1.5799999999999998</v>
      </c>
      <c r="J5707" s="760">
        <f t="shared" si="359"/>
        <v>0.83157894736842097</v>
      </c>
    </row>
    <row r="5708" spans="1:10">
      <c r="A5708" s="74" t="s">
        <v>2167</v>
      </c>
      <c r="B5708" s="74" t="s">
        <v>725</v>
      </c>
      <c r="C5708" s="74" t="s">
        <v>1516</v>
      </c>
      <c r="D5708" s="74" t="s">
        <v>82</v>
      </c>
      <c r="E5708" s="74">
        <v>1</v>
      </c>
      <c r="F5708" s="74">
        <v>0</v>
      </c>
      <c r="G5708" s="758">
        <f t="shared" si="356"/>
        <v>0.32</v>
      </c>
      <c r="H5708" s="759">
        <f t="shared" si="357"/>
        <v>0.22</v>
      </c>
      <c r="I5708" s="758">
        <f t="shared" si="358"/>
        <v>-0.32</v>
      </c>
      <c r="J5708" s="760">
        <f t="shared" si="359"/>
        <v>0</v>
      </c>
    </row>
    <row r="5709" spans="1:10">
      <c r="A5709" s="74" t="s">
        <v>2167</v>
      </c>
      <c r="B5709" s="74" t="s">
        <v>725</v>
      </c>
      <c r="C5709" s="74" t="s">
        <v>1518</v>
      </c>
      <c r="D5709" s="74" t="s">
        <v>82</v>
      </c>
      <c r="E5709" s="74">
        <v>1</v>
      </c>
      <c r="F5709" s="74">
        <v>1.75</v>
      </c>
      <c r="G5709" s="758">
        <f t="shared" si="356"/>
        <v>0.32</v>
      </c>
      <c r="H5709" s="759">
        <f t="shared" si="357"/>
        <v>0.22</v>
      </c>
      <c r="I5709" s="758">
        <f t="shared" si="358"/>
        <v>1.43</v>
      </c>
      <c r="J5709" s="760">
        <f t="shared" si="359"/>
        <v>0.81714285714285717</v>
      </c>
    </row>
    <row r="5710" spans="1:10">
      <c r="A5710" s="74" t="s">
        <v>2168</v>
      </c>
      <c r="B5710" s="74" t="s">
        <v>873</v>
      </c>
      <c r="C5710" s="74" t="s">
        <v>1565</v>
      </c>
      <c r="D5710" s="74" t="s">
        <v>78</v>
      </c>
      <c r="E5710" s="74">
        <v>13</v>
      </c>
      <c r="F5710" s="74">
        <v>0</v>
      </c>
      <c r="G5710" s="758">
        <f t="shared" si="356"/>
        <v>0</v>
      </c>
      <c r="H5710" s="759">
        <f t="shared" si="357"/>
        <v>0.18</v>
      </c>
      <c r="I5710" s="758">
        <f t="shared" si="358"/>
        <v>0</v>
      </c>
      <c r="J5710" s="760">
        <f t="shared" si="359"/>
        <v>0</v>
      </c>
    </row>
    <row r="5711" spans="1:10">
      <c r="A5711" s="74" t="s">
        <v>2168</v>
      </c>
      <c r="B5711" s="74" t="s">
        <v>873</v>
      </c>
      <c r="C5711" s="74" t="s">
        <v>1515</v>
      </c>
      <c r="D5711" s="74" t="s">
        <v>81</v>
      </c>
      <c r="E5711" s="74">
        <v>1</v>
      </c>
      <c r="F5711" s="74">
        <v>3</v>
      </c>
      <c r="G5711" s="758">
        <f t="shared" si="356"/>
        <v>0</v>
      </c>
      <c r="H5711" s="759">
        <f t="shared" si="357"/>
        <v>0.18</v>
      </c>
      <c r="I5711" s="758">
        <f t="shared" si="358"/>
        <v>3</v>
      </c>
      <c r="J5711" s="760">
        <f t="shared" si="359"/>
        <v>1</v>
      </c>
    </row>
    <row r="5712" spans="1:10">
      <c r="A5712" s="74" t="s">
        <v>2169</v>
      </c>
      <c r="B5712" s="74" t="s">
        <v>253</v>
      </c>
      <c r="C5712" s="74" t="s">
        <v>1543</v>
      </c>
      <c r="D5712" s="74" t="s">
        <v>87</v>
      </c>
      <c r="E5712" s="74">
        <v>4</v>
      </c>
      <c r="F5712" s="74">
        <v>14</v>
      </c>
      <c r="G5712" s="758">
        <f t="shared" si="356"/>
        <v>0</v>
      </c>
      <c r="H5712" s="759">
        <f t="shared" si="357"/>
        <v>0</v>
      </c>
      <c r="I5712" s="758">
        <f t="shared" si="358"/>
        <v>3.5</v>
      </c>
      <c r="J5712" s="760">
        <f t="shared" si="359"/>
        <v>1</v>
      </c>
    </row>
    <row r="5713" spans="1:10">
      <c r="A5713" s="74" t="s">
        <v>2169</v>
      </c>
      <c r="B5713" s="74" t="s">
        <v>253</v>
      </c>
      <c r="C5713" s="74" t="s">
        <v>1930</v>
      </c>
      <c r="D5713" s="74" t="s">
        <v>95</v>
      </c>
      <c r="E5713" s="74">
        <v>1</v>
      </c>
      <c r="F5713" s="74">
        <v>3.5</v>
      </c>
      <c r="G5713" s="758">
        <f t="shared" si="356"/>
        <v>0</v>
      </c>
      <c r="H5713" s="759">
        <f t="shared" si="357"/>
        <v>0</v>
      </c>
      <c r="I5713" s="758">
        <f t="shared" si="358"/>
        <v>3.5</v>
      </c>
      <c r="J5713" s="760">
        <f t="shared" si="359"/>
        <v>1</v>
      </c>
    </row>
    <row r="5714" spans="1:10">
      <c r="A5714" s="74" t="s">
        <v>2170</v>
      </c>
      <c r="B5714" s="74" t="s">
        <v>253</v>
      </c>
      <c r="C5714" s="74" t="s">
        <v>1528</v>
      </c>
      <c r="D5714" s="74" t="s">
        <v>78</v>
      </c>
      <c r="E5714" s="74">
        <v>31</v>
      </c>
      <c r="F5714" s="74">
        <v>103.9</v>
      </c>
      <c r="G5714" s="758">
        <f t="shared" si="356"/>
        <v>0.79</v>
      </c>
      <c r="H5714" s="759">
        <f t="shared" si="357"/>
        <v>0.27</v>
      </c>
      <c r="I5714" s="758">
        <f t="shared" si="358"/>
        <v>2.5616129032258068</v>
      </c>
      <c r="J5714" s="760">
        <f t="shared" si="359"/>
        <v>0.76429258902791142</v>
      </c>
    </row>
    <row r="5715" spans="1:10">
      <c r="A5715" s="74" t="s">
        <v>2170</v>
      </c>
      <c r="B5715" s="74" t="s">
        <v>253</v>
      </c>
      <c r="C5715" s="74" t="s">
        <v>1508</v>
      </c>
      <c r="D5715" s="74" t="s">
        <v>78</v>
      </c>
      <c r="E5715" s="74">
        <v>8</v>
      </c>
      <c r="F5715" s="74">
        <v>26</v>
      </c>
      <c r="G5715" s="758">
        <f t="shared" si="356"/>
        <v>0.79</v>
      </c>
      <c r="H5715" s="759">
        <f t="shared" si="357"/>
        <v>0.27</v>
      </c>
      <c r="I5715" s="758">
        <f t="shared" si="358"/>
        <v>2.46</v>
      </c>
      <c r="J5715" s="760">
        <f t="shared" si="359"/>
        <v>0.75692307692307692</v>
      </c>
    </row>
    <row r="5716" spans="1:10">
      <c r="A5716" s="74" t="s">
        <v>2170</v>
      </c>
      <c r="B5716" s="74" t="s">
        <v>253</v>
      </c>
      <c r="C5716" s="74" t="s">
        <v>1509</v>
      </c>
      <c r="D5716" s="74" t="s">
        <v>78</v>
      </c>
      <c r="E5716" s="74">
        <v>1</v>
      </c>
      <c r="F5716" s="74">
        <v>3.05</v>
      </c>
      <c r="G5716" s="758">
        <f t="shared" si="356"/>
        <v>0.79</v>
      </c>
      <c r="H5716" s="759">
        <f t="shared" si="357"/>
        <v>0.27</v>
      </c>
      <c r="I5716" s="758">
        <f t="shared" si="358"/>
        <v>2.2599999999999998</v>
      </c>
      <c r="J5716" s="760">
        <f t="shared" si="359"/>
        <v>0.74098360655737694</v>
      </c>
    </row>
    <row r="5717" spans="1:10">
      <c r="A5717" s="74" t="s">
        <v>2170</v>
      </c>
      <c r="B5717" s="74" t="s">
        <v>253</v>
      </c>
      <c r="C5717" s="74" t="s">
        <v>1532</v>
      </c>
      <c r="D5717" s="74" t="s">
        <v>80</v>
      </c>
      <c r="E5717" s="74">
        <v>1</v>
      </c>
      <c r="F5717" s="74">
        <v>3.05</v>
      </c>
      <c r="G5717" s="758">
        <f t="shared" si="356"/>
        <v>0.79</v>
      </c>
      <c r="H5717" s="759">
        <f t="shared" si="357"/>
        <v>0.27</v>
      </c>
      <c r="I5717" s="758">
        <f t="shared" si="358"/>
        <v>2.2599999999999998</v>
      </c>
      <c r="J5717" s="760">
        <f t="shared" si="359"/>
        <v>0.74098360655737694</v>
      </c>
    </row>
    <row r="5718" spans="1:10">
      <c r="A5718" s="74" t="s">
        <v>2170</v>
      </c>
      <c r="B5718" s="74" t="s">
        <v>253</v>
      </c>
      <c r="C5718" s="74" t="s">
        <v>1511</v>
      </c>
      <c r="D5718" s="74" t="s">
        <v>80</v>
      </c>
      <c r="E5718" s="74">
        <v>1</v>
      </c>
      <c r="F5718" s="74">
        <v>3.05</v>
      </c>
      <c r="G5718" s="758">
        <f t="shared" si="356"/>
        <v>0.79</v>
      </c>
      <c r="H5718" s="759">
        <f t="shared" si="357"/>
        <v>0.27</v>
      </c>
      <c r="I5718" s="758">
        <f t="shared" si="358"/>
        <v>2.2599999999999998</v>
      </c>
      <c r="J5718" s="760">
        <f t="shared" si="359"/>
        <v>0.74098360655737694</v>
      </c>
    </row>
    <row r="5719" spans="1:10">
      <c r="A5719" s="74" t="s">
        <v>2170</v>
      </c>
      <c r="B5719" s="74" t="s">
        <v>253</v>
      </c>
      <c r="C5719" s="74" t="s">
        <v>1534</v>
      </c>
      <c r="D5719" s="74" t="s">
        <v>81</v>
      </c>
      <c r="E5719" s="74">
        <v>1</v>
      </c>
      <c r="F5719" s="74">
        <v>3.05</v>
      </c>
      <c r="G5719" s="758">
        <f t="shared" si="356"/>
        <v>0.79</v>
      </c>
      <c r="H5719" s="759">
        <f t="shared" si="357"/>
        <v>0.27</v>
      </c>
      <c r="I5719" s="758">
        <f t="shared" si="358"/>
        <v>2.2599999999999998</v>
      </c>
      <c r="J5719" s="760">
        <f t="shared" si="359"/>
        <v>0.74098360655737694</v>
      </c>
    </row>
    <row r="5720" spans="1:10">
      <c r="A5720" s="74" t="s">
        <v>1256</v>
      </c>
      <c r="B5720" s="74" t="s">
        <v>253</v>
      </c>
      <c r="C5720" s="74" t="s">
        <v>1528</v>
      </c>
      <c r="D5720" s="74" t="s">
        <v>78</v>
      </c>
      <c r="E5720" s="74">
        <v>1</v>
      </c>
      <c r="F5720" s="74">
        <v>3.35</v>
      </c>
      <c r="G5720" s="758">
        <f t="shared" si="356"/>
        <v>1.06</v>
      </c>
      <c r="H5720" s="759">
        <f t="shared" si="357"/>
        <v>0.32</v>
      </c>
      <c r="I5720" s="758">
        <f t="shared" si="358"/>
        <v>2.29</v>
      </c>
      <c r="J5720" s="760">
        <f t="shared" si="359"/>
        <v>0.68358208955223887</v>
      </c>
    </row>
    <row r="5721" spans="1:10">
      <c r="A5721" s="74" t="s">
        <v>1256</v>
      </c>
      <c r="B5721" s="74" t="s">
        <v>253</v>
      </c>
      <c r="C5721" s="74" t="s">
        <v>1508</v>
      </c>
      <c r="D5721" s="74" t="s">
        <v>78</v>
      </c>
      <c r="E5721" s="74">
        <v>10</v>
      </c>
      <c r="F5721" s="74">
        <v>34</v>
      </c>
      <c r="G5721" s="758">
        <f t="shared" si="356"/>
        <v>1.06</v>
      </c>
      <c r="H5721" s="759">
        <f t="shared" si="357"/>
        <v>0.32</v>
      </c>
      <c r="I5721" s="758">
        <f t="shared" si="358"/>
        <v>2.34</v>
      </c>
      <c r="J5721" s="760">
        <f t="shared" si="359"/>
        <v>0.68823529411764706</v>
      </c>
    </row>
    <row r="5722" spans="1:10">
      <c r="A5722" s="74" t="s">
        <v>1256</v>
      </c>
      <c r="B5722" s="74" t="s">
        <v>253</v>
      </c>
      <c r="C5722" s="74" t="s">
        <v>1509</v>
      </c>
      <c r="D5722" s="74" t="s">
        <v>78</v>
      </c>
      <c r="E5722" s="74">
        <v>19</v>
      </c>
      <c r="F5722" s="74">
        <v>64.25</v>
      </c>
      <c r="G5722" s="758">
        <f t="shared" si="356"/>
        <v>1.06</v>
      </c>
      <c r="H5722" s="759">
        <f t="shared" si="357"/>
        <v>0.32</v>
      </c>
      <c r="I5722" s="758">
        <f t="shared" si="358"/>
        <v>2.3215789473684212</v>
      </c>
      <c r="J5722" s="760">
        <f t="shared" si="359"/>
        <v>0.68653696498054473</v>
      </c>
    </row>
    <row r="5723" spans="1:10">
      <c r="A5723" s="74" t="s">
        <v>1256</v>
      </c>
      <c r="B5723" s="74" t="s">
        <v>253</v>
      </c>
      <c r="C5723" s="74" t="s">
        <v>1565</v>
      </c>
      <c r="D5723" s="74" t="s">
        <v>78</v>
      </c>
      <c r="E5723" s="74">
        <v>15</v>
      </c>
      <c r="F5723" s="74">
        <v>50.4</v>
      </c>
      <c r="G5723" s="758">
        <f t="shared" si="356"/>
        <v>1.06</v>
      </c>
      <c r="H5723" s="759">
        <f t="shared" si="357"/>
        <v>0.32</v>
      </c>
      <c r="I5723" s="758">
        <f t="shared" si="358"/>
        <v>2.2999999999999998</v>
      </c>
      <c r="J5723" s="760">
        <f t="shared" si="359"/>
        <v>0.68452380952380953</v>
      </c>
    </row>
    <row r="5724" spans="1:10">
      <c r="A5724" s="74" t="s">
        <v>1256</v>
      </c>
      <c r="B5724" s="74" t="s">
        <v>253</v>
      </c>
      <c r="C5724" s="74" t="s">
        <v>1532</v>
      </c>
      <c r="D5724" s="74" t="s">
        <v>80</v>
      </c>
      <c r="E5724" s="74">
        <v>7</v>
      </c>
      <c r="F5724" s="74">
        <v>23.75</v>
      </c>
      <c r="G5724" s="758">
        <f t="shared" si="356"/>
        <v>1.06</v>
      </c>
      <c r="H5724" s="759">
        <f t="shared" si="357"/>
        <v>0.32</v>
      </c>
      <c r="I5724" s="758">
        <f t="shared" si="358"/>
        <v>2.3328571428571427</v>
      </c>
      <c r="J5724" s="760">
        <f t="shared" si="359"/>
        <v>0.68757894736842107</v>
      </c>
    </row>
    <row r="5725" spans="1:10">
      <c r="A5725" s="74" t="s">
        <v>1256</v>
      </c>
      <c r="B5725" s="74" t="s">
        <v>253</v>
      </c>
      <c r="C5725" s="74" t="s">
        <v>1511</v>
      </c>
      <c r="D5725" s="74" t="s">
        <v>80</v>
      </c>
      <c r="E5725" s="74">
        <v>24</v>
      </c>
      <c r="F5725" s="74">
        <v>80.7</v>
      </c>
      <c r="G5725" s="758">
        <f t="shared" si="356"/>
        <v>1.06</v>
      </c>
      <c r="H5725" s="759">
        <f t="shared" si="357"/>
        <v>0.32</v>
      </c>
      <c r="I5725" s="758">
        <f t="shared" si="358"/>
        <v>2.3025000000000002</v>
      </c>
      <c r="J5725" s="760">
        <f t="shared" si="359"/>
        <v>0.68475836431226766</v>
      </c>
    </row>
    <row r="5726" spans="1:10">
      <c r="A5726" s="74" t="s">
        <v>1256</v>
      </c>
      <c r="B5726" s="74" t="s">
        <v>253</v>
      </c>
      <c r="C5726" s="74" t="s">
        <v>1512</v>
      </c>
      <c r="D5726" s="74" t="s">
        <v>80</v>
      </c>
      <c r="E5726" s="74">
        <v>16</v>
      </c>
      <c r="F5726" s="74">
        <v>54.95</v>
      </c>
      <c r="G5726" s="758">
        <f t="shared" si="356"/>
        <v>1.06</v>
      </c>
      <c r="H5726" s="759">
        <f t="shared" si="357"/>
        <v>0.32</v>
      </c>
      <c r="I5726" s="758">
        <f t="shared" si="358"/>
        <v>2.3743750000000001</v>
      </c>
      <c r="J5726" s="760">
        <f t="shared" si="359"/>
        <v>0.69135577797998182</v>
      </c>
    </row>
    <row r="5727" spans="1:10">
      <c r="A5727" s="74" t="s">
        <v>1256</v>
      </c>
      <c r="B5727" s="74" t="s">
        <v>253</v>
      </c>
      <c r="C5727" s="74" t="s">
        <v>1534</v>
      </c>
      <c r="D5727" s="74" t="s">
        <v>81</v>
      </c>
      <c r="E5727" s="74">
        <v>16</v>
      </c>
      <c r="F5727" s="74">
        <v>54.35</v>
      </c>
      <c r="G5727" s="758">
        <f t="shared" si="356"/>
        <v>1.06</v>
      </c>
      <c r="H5727" s="759">
        <f t="shared" si="357"/>
        <v>0.32</v>
      </c>
      <c r="I5727" s="758">
        <f t="shared" si="358"/>
        <v>2.336875</v>
      </c>
      <c r="J5727" s="760">
        <f t="shared" si="359"/>
        <v>0.68794848206071757</v>
      </c>
    </row>
    <row r="5728" spans="1:10">
      <c r="A5728" s="74" t="s">
        <v>1256</v>
      </c>
      <c r="B5728" s="74" t="s">
        <v>253</v>
      </c>
      <c r="C5728" s="74" t="s">
        <v>1513</v>
      </c>
      <c r="D5728" s="74" t="s">
        <v>81</v>
      </c>
      <c r="E5728" s="74">
        <v>32</v>
      </c>
      <c r="F5728" s="74">
        <v>118.4</v>
      </c>
      <c r="G5728" s="758">
        <f t="shared" si="356"/>
        <v>1.06</v>
      </c>
      <c r="H5728" s="759">
        <f t="shared" si="357"/>
        <v>0.32</v>
      </c>
      <c r="I5728" s="758">
        <f t="shared" si="358"/>
        <v>2.64</v>
      </c>
      <c r="J5728" s="760">
        <f t="shared" si="359"/>
        <v>0.71351351351351355</v>
      </c>
    </row>
    <row r="5729" spans="1:10">
      <c r="A5729" s="74" t="s">
        <v>1256</v>
      </c>
      <c r="B5729" s="74" t="s">
        <v>253</v>
      </c>
      <c r="C5729" s="74" t="s">
        <v>1514</v>
      </c>
      <c r="D5729" s="74" t="s">
        <v>81</v>
      </c>
      <c r="E5729" s="74">
        <v>14</v>
      </c>
      <c r="F5729" s="74">
        <v>47.95</v>
      </c>
      <c r="G5729" s="758">
        <f t="shared" si="356"/>
        <v>1.06</v>
      </c>
      <c r="H5729" s="759">
        <f t="shared" si="357"/>
        <v>0.32</v>
      </c>
      <c r="I5729" s="758">
        <f t="shared" si="358"/>
        <v>2.3650000000000002</v>
      </c>
      <c r="J5729" s="760">
        <f t="shared" si="359"/>
        <v>0.69051094890510956</v>
      </c>
    </row>
    <row r="5730" spans="1:10">
      <c r="A5730" s="74" t="s">
        <v>1256</v>
      </c>
      <c r="B5730" s="74" t="s">
        <v>253</v>
      </c>
      <c r="C5730" s="74" t="s">
        <v>1515</v>
      </c>
      <c r="D5730" s="74" t="s">
        <v>81</v>
      </c>
      <c r="E5730" s="74">
        <v>24</v>
      </c>
      <c r="F5730" s="74">
        <v>221.25</v>
      </c>
      <c r="G5730" s="758">
        <f t="shared" si="356"/>
        <v>1.06</v>
      </c>
      <c r="H5730" s="759">
        <f t="shared" si="357"/>
        <v>0.32</v>
      </c>
      <c r="I5730" s="758">
        <f t="shared" si="358"/>
        <v>8.1587499999999995</v>
      </c>
      <c r="J5730" s="760">
        <f t="shared" si="359"/>
        <v>0.88501694915254236</v>
      </c>
    </row>
    <row r="5731" spans="1:10">
      <c r="A5731" s="74" t="s">
        <v>1256</v>
      </c>
      <c r="B5731" s="74" t="s">
        <v>253</v>
      </c>
      <c r="C5731" s="74" t="s">
        <v>1516</v>
      </c>
      <c r="D5731" s="74" t="s">
        <v>82</v>
      </c>
      <c r="E5731" s="74">
        <v>29</v>
      </c>
      <c r="F5731" s="74">
        <v>687.2</v>
      </c>
      <c r="G5731" s="758">
        <f t="shared" si="356"/>
        <v>1.06</v>
      </c>
      <c r="H5731" s="759">
        <f t="shared" si="357"/>
        <v>0.32</v>
      </c>
      <c r="I5731" s="758">
        <f t="shared" si="358"/>
        <v>22.636551724137934</v>
      </c>
      <c r="J5731" s="760">
        <f t="shared" si="359"/>
        <v>0.95526775320139701</v>
      </c>
    </row>
    <row r="5732" spans="1:10">
      <c r="A5732" s="74" t="s">
        <v>1256</v>
      </c>
      <c r="B5732" s="74" t="s">
        <v>253</v>
      </c>
      <c r="C5732" s="74" t="s">
        <v>1517</v>
      </c>
      <c r="D5732" s="74" t="s">
        <v>82</v>
      </c>
      <c r="E5732" s="74">
        <v>10</v>
      </c>
      <c r="F5732" s="74">
        <v>34.25</v>
      </c>
      <c r="G5732" s="758">
        <f t="shared" si="356"/>
        <v>1.06</v>
      </c>
      <c r="H5732" s="759">
        <f t="shared" si="357"/>
        <v>0.32</v>
      </c>
      <c r="I5732" s="758">
        <f t="shared" si="358"/>
        <v>2.3649999999999998</v>
      </c>
      <c r="J5732" s="760">
        <f t="shared" si="359"/>
        <v>0.69051094890510945</v>
      </c>
    </row>
    <row r="5733" spans="1:10">
      <c r="A5733" s="74" t="s">
        <v>1256</v>
      </c>
      <c r="B5733" s="74" t="s">
        <v>253</v>
      </c>
      <c r="C5733" s="74" t="s">
        <v>1527</v>
      </c>
      <c r="D5733" s="74" t="s">
        <v>82</v>
      </c>
      <c r="E5733" s="74">
        <v>36</v>
      </c>
      <c r="F5733" s="74">
        <v>122.85</v>
      </c>
      <c r="G5733" s="758">
        <f t="shared" si="356"/>
        <v>1.06</v>
      </c>
      <c r="H5733" s="759">
        <f t="shared" si="357"/>
        <v>0.32</v>
      </c>
      <c r="I5733" s="758">
        <f t="shared" si="358"/>
        <v>2.3524999999999996</v>
      </c>
      <c r="J5733" s="760">
        <f t="shared" si="359"/>
        <v>0.68937728937728937</v>
      </c>
    </row>
    <row r="5734" spans="1:10">
      <c r="A5734" s="74" t="s">
        <v>1256</v>
      </c>
      <c r="B5734" s="74" t="s">
        <v>253</v>
      </c>
      <c r="C5734" s="74" t="s">
        <v>1518</v>
      </c>
      <c r="D5734" s="74" t="s">
        <v>82</v>
      </c>
      <c r="E5734" s="74">
        <v>22</v>
      </c>
      <c r="F5734" s="74">
        <v>322.25</v>
      </c>
      <c r="G5734" s="758">
        <f t="shared" si="356"/>
        <v>1.06</v>
      </c>
      <c r="H5734" s="759">
        <f t="shared" si="357"/>
        <v>0.32</v>
      </c>
      <c r="I5734" s="758">
        <f t="shared" si="358"/>
        <v>13.587727272727273</v>
      </c>
      <c r="J5734" s="760">
        <f t="shared" si="359"/>
        <v>0.9276338246702871</v>
      </c>
    </row>
    <row r="5735" spans="1:10">
      <c r="A5735" s="74" t="s">
        <v>1256</v>
      </c>
      <c r="B5735" s="74" t="s">
        <v>253</v>
      </c>
      <c r="C5735" s="74" t="s">
        <v>1519</v>
      </c>
      <c r="D5735" s="74" t="s">
        <v>84</v>
      </c>
      <c r="E5735" s="74">
        <v>4</v>
      </c>
      <c r="F5735" s="74">
        <v>13.4</v>
      </c>
      <c r="G5735" s="758">
        <f t="shared" si="356"/>
        <v>1.06</v>
      </c>
      <c r="H5735" s="759">
        <f t="shared" si="357"/>
        <v>0.32</v>
      </c>
      <c r="I5735" s="758">
        <f t="shared" si="358"/>
        <v>2.29</v>
      </c>
      <c r="J5735" s="760">
        <f t="shared" si="359"/>
        <v>0.68358208955223887</v>
      </c>
    </row>
    <row r="5736" spans="1:10">
      <c r="A5736" s="74" t="s">
        <v>998</v>
      </c>
      <c r="B5736" s="74" t="s">
        <v>253</v>
      </c>
      <c r="C5736" s="74" t="s">
        <v>1541</v>
      </c>
      <c r="D5736" s="74" t="s">
        <v>86</v>
      </c>
      <c r="E5736" s="74">
        <v>1</v>
      </c>
      <c r="F5736" s="74">
        <v>3.05</v>
      </c>
      <c r="G5736" s="758">
        <f t="shared" si="356"/>
        <v>0</v>
      </c>
      <c r="H5736" s="759">
        <f t="shared" si="357"/>
        <v>0</v>
      </c>
      <c r="I5736" s="758">
        <f t="shared" si="358"/>
        <v>3.05</v>
      </c>
      <c r="J5736" s="760">
        <f t="shared" si="359"/>
        <v>1</v>
      </c>
    </row>
    <row r="5737" spans="1:10">
      <c r="A5737" s="74" t="s">
        <v>998</v>
      </c>
      <c r="B5737" s="74" t="s">
        <v>253</v>
      </c>
      <c r="C5737" s="74" t="s">
        <v>1610</v>
      </c>
      <c r="D5737" s="74" t="s">
        <v>89</v>
      </c>
      <c r="E5737" s="74">
        <v>1</v>
      </c>
      <c r="F5737" s="74">
        <v>3.2</v>
      </c>
      <c r="G5737" s="758">
        <f t="shared" si="356"/>
        <v>0</v>
      </c>
      <c r="H5737" s="759">
        <f t="shared" si="357"/>
        <v>0</v>
      </c>
      <c r="I5737" s="758">
        <f t="shared" si="358"/>
        <v>3.2</v>
      </c>
      <c r="J5737" s="760">
        <f t="shared" si="359"/>
        <v>1</v>
      </c>
    </row>
    <row r="5738" spans="1:10">
      <c r="A5738" s="74" t="s">
        <v>998</v>
      </c>
      <c r="B5738" s="74" t="s">
        <v>253</v>
      </c>
      <c r="C5738" s="74" t="s">
        <v>1675</v>
      </c>
      <c r="D5738" s="74" t="s">
        <v>91</v>
      </c>
      <c r="E5738" s="74">
        <v>1</v>
      </c>
      <c r="F5738" s="74">
        <v>3.2</v>
      </c>
      <c r="G5738" s="758">
        <f t="shared" si="356"/>
        <v>0</v>
      </c>
      <c r="H5738" s="759">
        <f t="shared" si="357"/>
        <v>0</v>
      </c>
      <c r="I5738" s="758">
        <f t="shared" si="358"/>
        <v>3.2</v>
      </c>
      <c r="J5738" s="760">
        <f t="shared" si="359"/>
        <v>1</v>
      </c>
    </row>
    <row r="5739" spans="1:10">
      <c r="A5739" s="74" t="s">
        <v>969</v>
      </c>
      <c r="B5739" s="74" t="s">
        <v>253</v>
      </c>
      <c r="C5739" s="74" t="s">
        <v>1527</v>
      </c>
      <c r="D5739" s="74" t="s">
        <v>82</v>
      </c>
      <c r="E5739" s="74">
        <v>2</v>
      </c>
      <c r="F5739" s="74">
        <v>7</v>
      </c>
      <c r="G5739" s="758">
        <f t="shared" si="356"/>
        <v>0.04</v>
      </c>
      <c r="H5739" s="759">
        <f t="shared" si="357"/>
        <v>0.33</v>
      </c>
      <c r="I5739" s="758">
        <f t="shared" si="358"/>
        <v>3.46</v>
      </c>
      <c r="J5739" s="760">
        <f t="shared" si="359"/>
        <v>0.98857142857142855</v>
      </c>
    </row>
    <row r="5740" spans="1:10">
      <c r="A5740" s="74" t="s">
        <v>969</v>
      </c>
      <c r="B5740" s="74" t="s">
        <v>253</v>
      </c>
      <c r="C5740" s="74" t="s">
        <v>1520</v>
      </c>
      <c r="D5740" s="74" t="s">
        <v>84</v>
      </c>
      <c r="E5740" s="74">
        <v>1</v>
      </c>
      <c r="F5740" s="74">
        <v>3.35</v>
      </c>
      <c r="G5740" s="758">
        <f t="shared" si="356"/>
        <v>0.04</v>
      </c>
      <c r="H5740" s="759">
        <f t="shared" si="357"/>
        <v>0.33</v>
      </c>
      <c r="I5740" s="758">
        <f t="shared" si="358"/>
        <v>3.31</v>
      </c>
      <c r="J5740" s="760">
        <f t="shared" si="359"/>
        <v>0.9880597014925373</v>
      </c>
    </row>
    <row r="5741" spans="1:10">
      <c r="A5741" s="74" t="s">
        <v>969</v>
      </c>
      <c r="B5741" s="74" t="s">
        <v>253</v>
      </c>
      <c r="C5741" s="74" t="s">
        <v>1507</v>
      </c>
      <c r="D5741" s="74" t="s">
        <v>86</v>
      </c>
      <c r="E5741" s="74">
        <v>2</v>
      </c>
      <c r="F5741" s="74">
        <v>7</v>
      </c>
      <c r="G5741" s="758">
        <f t="shared" si="356"/>
        <v>0.04</v>
      </c>
      <c r="H5741" s="759">
        <f t="shared" si="357"/>
        <v>0.33</v>
      </c>
      <c r="I5741" s="758">
        <f t="shared" si="358"/>
        <v>3.46</v>
      </c>
      <c r="J5741" s="760">
        <f t="shared" si="359"/>
        <v>0.98857142857142855</v>
      </c>
    </row>
    <row r="5742" spans="1:10">
      <c r="A5742" s="74" t="s">
        <v>969</v>
      </c>
      <c r="B5742" s="74" t="s">
        <v>253</v>
      </c>
      <c r="C5742" s="74" t="s">
        <v>1644</v>
      </c>
      <c r="D5742" s="74" t="s">
        <v>86</v>
      </c>
      <c r="E5742" s="74">
        <v>2</v>
      </c>
      <c r="F5742" s="74">
        <v>6.85</v>
      </c>
      <c r="G5742" s="758">
        <f t="shared" si="356"/>
        <v>0.04</v>
      </c>
      <c r="H5742" s="759">
        <f t="shared" si="357"/>
        <v>0.33</v>
      </c>
      <c r="I5742" s="758">
        <f t="shared" si="358"/>
        <v>3.3849999999999998</v>
      </c>
      <c r="J5742" s="760">
        <f t="shared" si="359"/>
        <v>0.98832116788321167</v>
      </c>
    </row>
    <row r="5743" spans="1:10">
      <c r="A5743" s="74" t="s">
        <v>969</v>
      </c>
      <c r="B5743" s="74" t="s">
        <v>253</v>
      </c>
      <c r="C5743" s="74" t="s">
        <v>1578</v>
      </c>
      <c r="D5743" s="74" t="s">
        <v>86</v>
      </c>
      <c r="E5743" s="74">
        <v>1</v>
      </c>
      <c r="F5743" s="74">
        <v>3.35</v>
      </c>
      <c r="G5743" s="758">
        <f t="shared" si="356"/>
        <v>0.04</v>
      </c>
      <c r="H5743" s="759">
        <f t="shared" si="357"/>
        <v>0.33</v>
      </c>
      <c r="I5743" s="758">
        <f t="shared" si="358"/>
        <v>3.31</v>
      </c>
      <c r="J5743" s="760">
        <f t="shared" si="359"/>
        <v>0.9880597014925373</v>
      </c>
    </row>
    <row r="5744" spans="1:10">
      <c r="A5744" s="74" t="s">
        <v>969</v>
      </c>
      <c r="B5744" s="74" t="s">
        <v>253</v>
      </c>
      <c r="C5744" s="74" t="s">
        <v>1646</v>
      </c>
      <c r="D5744" s="74" t="s">
        <v>86</v>
      </c>
      <c r="E5744" s="74">
        <v>3</v>
      </c>
      <c r="F5744" s="74">
        <v>10.5</v>
      </c>
      <c r="G5744" s="758">
        <f t="shared" si="356"/>
        <v>0.04</v>
      </c>
      <c r="H5744" s="759">
        <f t="shared" si="357"/>
        <v>0.33</v>
      </c>
      <c r="I5744" s="758">
        <f t="shared" si="358"/>
        <v>3.46</v>
      </c>
      <c r="J5744" s="760">
        <f t="shared" si="359"/>
        <v>0.98857142857142855</v>
      </c>
    </row>
    <row r="5745" spans="1:10">
      <c r="A5745" s="74" t="s">
        <v>969</v>
      </c>
      <c r="B5745" s="74" t="s">
        <v>253</v>
      </c>
      <c r="C5745" s="74" t="s">
        <v>1541</v>
      </c>
      <c r="D5745" s="74" t="s">
        <v>86</v>
      </c>
      <c r="E5745" s="74">
        <v>5</v>
      </c>
      <c r="F5745" s="74">
        <v>17.05</v>
      </c>
      <c r="G5745" s="758">
        <f t="shared" si="356"/>
        <v>0.04</v>
      </c>
      <c r="H5745" s="759">
        <f t="shared" si="357"/>
        <v>0.33</v>
      </c>
      <c r="I5745" s="758">
        <f t="shared" si="358"/>
        <v>3.37</v>
      </c>
      <c r="J5745" s="760">
        <f t="shared" si="359"/>
        <v>0.98826979472140764</v>
      </c>
    </row>
    <row r="5746" spans="1:10">
      <c r="A5746" s="74" t="s">
        <v>969</v>
      </c>
      <c r="B5746" s="74" t="s">
        <v>253</v>
      </c>
      <c r="C5746" s="74" t="s">
        <v>1543</v>
      </c>
      <c r="D5746" s="74" t="s">
        <v>87</v>
      </c>
      <c r="E5746" s="74">
        <v>1</v>
      </c>
      <c r="F5746" s="74">
        <v>3.35</v>
      </c>
      <c r="G5746" s="758">
        <f t="shared" si="356"/>
        <v>0.04</v>
      </c>
      <c r="H5746" s="759">
        <f t="shared" si="357"/>
        <v>0.33</v>
      </c>
      <c r="I5746" s="758">
        <f t="shared" si="358"/>
        <v>3.31</v>
      </c>
      <c r="J5746" s="760">
        <f t="shared" si="359"/>
        <v>0.9880597014925373</v>
      </c>
    </row>
    <row r="5747" spans="1:10">
      <c r="A5747" s="74" t="s">
        <v>969</v>
      </c>
      <c r="B5747" s="74" t="s">
        <v>253</v>
      </c>
      <c r="C5747" s="74" t="s">
        <v>1544</v>
      </c>
      <c r="D5747" s="74" t="s">
        <v>87</v>
      </c>
      <c r="E5747" s="74">
        <v>1</v>
      </c>
      <c r="F5747" s="74">
        <v>3.35</v>
      </c>
      <c r="G5747" s="758">
        <f t="shared" si="356"/>
        <v>0.04</v>
      </c>
      <c r="H5747" s="759">
        <f t="shared" si="357"/>
        <v>0.33</v>
      </c>
      <c r="I5747" s="758">
        <f t="shared" si="358"/>
        <v>3.31</v>
      </c>
      <c r="J5747" s="760">
        <f t="shared" si="359"/>
        <v>0.9880597014925373</v>
      </c>
    </row>
    <row r="5748" spans="1:10">
      <c r="A5748" s="74" t="s">
        <v>969</v>
      </c>
      <c r="B5748" s="74" t="s">
        <v>253</v>
      </c>
      <c r="C5748" s="74" t="s">
        <v>1561</v>
      </c>
      <c r="D5748" s="74" t="s">
        <v>87</v>
      </c>
      <c r="E5748" s="74">
        <v>1</v>
      </c>
      <c r="F5748" s="74">
        <v>3.35</v>
      </c>
      <c r="G5748" s="758">
        <f t="shared" si="356"/>
        <v>0.04</v>
      </c>
      <c r="H5748" s="759">
        <f t="shared" si="357"/>
        <v>0.33</v>
      </c>
      <c r="I5748" s="758">
        <f t="shared" si="358"/>
        <v>3.31</v>
      </c>
      <c r="J5748" s="760">
        <f t="shared" si="359"/>
        <v>0.9880597014925373</v>
      </c>
    </row>
    <row r="5749" spans="1:10">
      <c r="A5749" s="74" t="s">
        <v>969</v>
      </c>
      <c r="B5749" s="74" t="s">
        <v>253</v>
      </c>
      <c r="C5749" s="74" t="s">
        <v>1608</v>
      </c>
      <c r="D5749" s="74" t="s">
        <v>89</v>
      </c>
      <c r="E5749" s="74">
        <v>4</v>
      </c>
      <c r="F5749" s="74">
        <v>13.4</v>
      </c>
      <c r="G5749" s="758">
        <f t="shared" si="356"/>
        <v>0.04</v>
      </c>
      <c r="H5749" s="759">
        <f t="shared" si="357"/>
        <v>0.33</v>
      </c>
      <c r="I5749" s="758">
        <f t="shared" si="358"/>
        <v>3.31</v>
      </c>
      <c r="J5749" s="760">
        <f t="shared" si="359"/>
        <v>0.9880597014925373</v>
      </c>
    </row>
    <row r="5750" spans="1:10">
      <c r="A5750" s="74" t="s">
        <v>969</v>
      </c>
      <c r="B5750" s="74" t="s">
        <v>253</v>
      </c>
      <c r="C5750" s="74" t="s">
        <v>1546</v>
      </c>
      <c r="D5750" s="74" t="s">
        <v>89</v>
      </c>
      <c r="E5750" s="74">
        <v>2</v>
      </c>
      <c r="F5750" s="74">
        <v>6.7</v>
      </c>
      <c r="G5750" s="758">
        <f t="shared" si="356"/>
        <v>0.04</v>
      </c>
      <c r="H5750" s="759">
        <f t="shared" si="357"/>
        <v>0.33</v>
      </c>
      <c r="I5750" s="758">
        <f t="shared" si="358"/>
        <v>3.31</v>
      </c>
      <c r="J5750" s="760">
        <f t="shared" si="359"/>
        <v>0.9880597014925373</v>
      </c>
    </row>
    <row r="5751" spans="1:10">
      <c r="A5751" s="74" t="s">
        <v>969</v>
      </c>
      <c r="B5751" s="74" t="s">
        <v>253</v>
      </c>
      <c r="C5751" s="74" t="s">
        <v>1547</v>
      </c>
      <c r="D5751" s="74" t="s">
        <v>89</v>
      </c>
      <c r="E5751" s="74">
        <v>5</v>
      </c>
      <c r="F5751" s="74">
        <v>17.2</v>
      </c>
      <c r="G5751" s="758">
        <f t="shared" si="356"/>
        <v>0.04</v>
      </c>
      <c r="H5751" s="759">
        <f t="shared" si="357"/>
        <v>0.33</v>
      </c>
      <c r="I5751" s="758">
        <f t="shared" si="358"/>
        <v>3.4</v>
      </c>
      <c r="J5751" s="760">
        <f t="shared" si="359"/>
        <v>0.98837209302325579</v>
      </c>
    </row>
    <row r="5752" spans="1:10">
      <c r="A5752" s="74" t="s">
        <v>969</v>
      </c>
      <c r="B5752" s="74" t="s">
        <v>253</v>
      </c>
      <c r="C5752" s="74" t="s">
        <v>1522</v>
      </c>
      <c r="D5752" s="74" t="s">
        <v>91</v>
      </c>
      <c r="E5752" s="74">
        <v>5</v>
      </c>
      <c r="F5752" s="74">
        <v>17.2</v>
      </c>
      <c r="G5752" s="758">
        <f t="shared" si="356"/>
        <v>0.04</v>
      </c>
      <c r="H5752" s="759">
        <f t="shared" si="357"/>
        <v>0.33</v>
      </c>
      <c r="I5752" s="758">
        <f t="shared" si="358"/>
        <v>3.4</v>
      </c>
      <c r="J5752" s="760">
        <f t="shared" si="359"/>
        <v>0.98837209302325579</v>
      </c>
    </row>
    <row r="5753" spans="1:10">
      <c r="A5753" s="74" t="s">
        <v>969</v>
      </c>
      <c r="B5753" s="74" t="s">
        <v>253</v>
      </c>
      <c r="C5753" s="74" t="s">
        <v>1675</v>
      </c>
      <c r="D5753" s="74" t="s">
        <v>91</v>
      </c>
      <c r="E5753" s="74">
        <v>4</v>
      </c>
      <c r="F5753" s="74">
        <v>13.85</v>
      </c>
      <c r="G5753" s="758">
        <f t="shared" si="356"/>
        <v>0.04</v>
      </c>
      <c r="H5753" s="759">
        <f t="shared" si="357"/>
        <v>0.33</v>
      </c>
      <c r="I5753" s="758">
        <f t="shared" si="358"/>
        <v>3.4224999999999999</v>
      </c>
      <c r="J5753" s="760">
        <f t="shared" si="359"/>
        <v>0.98844765342960283</v>
      </c>
    </row>
    <row r="5754" spans="1:10">
      <c r="A5754" s="74" t="s">
        <v>969</v>
      </c>
      <c r="B5754" s="74" t="s">
        <v>253</v>
      </c>
      <c r="C5754" s="74" t="s">
        <v>1524</v>
      </c>
      <c r="D5754" s="74" t="s">
        <v>91</v>
      </c>
      <c r="E5754" s="74">
        <v>1</v>
      </c>
      <c r="F5754" s="74">
        <v>3.5</v>
      </c>
      <c r="G5754" s="758">
        <f t="shared" si="356"/>
        <v>0.04</v>
      </c>
      <c r="H5754" s="759">
        <f t="shared" si="357"/>
        <v>0.33</v>
      </c>
      <c r="I5754" s="758">
        <f t="shared" si="358"/>
        <v>3.46</v>
      </c>
      <c r="J5754" s="760">
        <f t="shared" si="359"/>
        <v>0.98857142857142855</v>
      </c>
    </row>
    <row r="5755" spans="1:10">
      <c r="A5755" s="74" t="s">
        <v>969</v>
      </c>
      <c r="B5755" s="74" t="s">
        <v>253</v>
      </c>
      <c r="C5755" s="74" t="s">
        <v>1584</v>
      </c>
      <c r="D5755" s="74" t="s">
        <v>92</v>
      </c>
      <c r="E5755" s="74">
        <v>5</v>
      </c>
      <c r="F5755" s="74">
        <v>17.2</v>
      </c>
      <c r="G5755" s="758">
        <f t="shared" si="356"/>
        <v>0.04</v>
      </c>
      <c r="H5755" s="759">
        <f t="shared" si="357"/>
        <v>0.33</v>
      </c>
      <c r="I5755" s="758">
        <f t="shared" si="358"/>
        <v>3.4</v>
      </c>
      <c r="J5755" s="760">
        <f t="shared" si="359"/>
        <v>0.98837209302325579</v>
      </c>
    </row>
    <row r="5756" spans="1:10">
      <c r="A5756" s="74" t="s">
        <v>969</v>
      </c>
      <c r="B5756" s="74" t="s">
        <v>253</v>
      </c>
      <c r="C5756" s="74" t="s">
        <v>1614</v>
      </c>
      <c r="D5756" s="74" t="s">
        <v>92</v>
      </c>
      <c r="E5756" s="74">
        <v>3</v>
      </c>
      <c r="F5756" s="74">
        <v>10.199999999999999</v>
      </c>
      <c r="G5756" s="758">
        <f t="shared" si="356"/>
        <v>0.04</v>
      </c>
      <c r="H5756" s="759">
        <f t="shared" si="357"/>
        <v>0.33</v>
      </c>
      <c r="I5756" s="758">
        <f t="shared" si="358"/>
        <v>3.36</v>
      </c>
      <c r="J5756" s="760">
        <f t="shared" si="359"/>
        <v>0.9882352941176471</v>
      </c>
    </row>
    <row r="5757" spans="1:10">
      <c r="A5757" s="74" t="s">
        <v>969</v>
      </c>
      <c r="B5757" s="74" t="s">
        <v>253</v>
      </c>
      <c r="C5757" s="74" t="s">
        <v>1631</v>
      </c>
      <c r="D5757" s="74" t="s">
        <v>92</v>
      </c>
      <c r="E5757" s="74">
        <v>1</v>
      </c>
      <c r="F5757" s="74">
        <v>3.5</v>
      </c>
      <c r="G5757" s="758">
        <f t="shared" si="356"/>
        <v>0.04</v>
      </c>
      <c r="H5757" s="759">
        <f t="shared" si="357"/>
        <v>0.33</v>
      </c>
      <c r="I5757" s="758">
        <f t="shared" si="358"/>
        <v>3.46</v>
      </c>
      <c r="J5757" s="760">
        <f t="shared" si="359"/>
        <v>0.98857142857142855</v>
      </c>
    </row>
    <row r="5758" spans="1:10">
      <c r="A5758" s="74" t="s">
        <v>969</v>
      </c>
      <c r="B5758" s="74" t="s">
        <v>253</v>
      </c>
      <c r="C5758" s="74" t="s">
        <v>1552</v>
      </c>
      <c r="D5758" s="74" t="s">
        <v>92</v>
      </c>
      <c r="E5758" s="74">
        <v>6</v>
      </c>
      <c r="F5758" s="74">
        <v>20.100000000000001</v>
      </c>
      <c r="G5758" s="758">
        <f t="shared" si="356"/>
        <v>0.04</v>
      </c>
      <c r="H5758" s="759">
        <f t="shared" si="357"/>
        <v>0.33</v>
      </c>
      <c r="I5758" s="758">
        <f t="shared" si="358"/>
        <v>3.31</v>
      </c>
      <c r="J5758" s="760">
        <f t="shared" si="359"/>
        <v>0.9880597014925373</v>
      </c>
    </row>
    <row r="5759" spans="1:10">
      <c r="A5759" s="74" t="s">
        <v>969</v>
      </c>
      <c r="B5759" s="74" t="s">
        <v>253</v>
      </c>
      <c r="C5759" s="74" t="s">
        <v>1526</v>
      </c>
      <c r="D5759" s="74" t="s">
        <v>95</v>
      </c>
      <c r="E5759" s="74">
        <v>3</v>
      </c>
      <c r="F5759" s="74">
        <v>10.35</v>
      </c>
      <c r="G5759" s="758">
        <f t="shared" si="356"/>
        <v>0.04</v>
      </c>
      <c r="H5759" s="759">
        <f t="shared" si="357"/>
        <v>0.33</v>
      </c>
      <c r="I5759" s="758">
        <f t="shared" si="358"/>
        <v>3.4099999999999997</v>
      </c>
      <c r="J5759" s="760">
        <f t="shared" si="359"/>
        <v>0.98840579710144927</v>
      </c>
    </row>
    <row r="5760" spans="1:10">
      <c r="A5760" s="74" t="s">
        <v>969</v>
      </c>
      <c r="B5760" s="74" t="s">
        <v>253</v>
      </c>
      <c r="C5760" s="74" t="s">
        <v>1930</v>
      </c>
      <c r="D5760" s="74" t="s">
        <v>95</v>
      </c>
      <c r="E5760" s="74">
        <v>2</v>
      </c>
      <c r="F5760" s="74">
        <v>3.35</v>
      </c>
      <c r="G5760" s="758">
        <f t="shared" si="356"/>
        <v>0.04</v>
      </c>
      <c r="H5760" s="759">
        <f t="shared" si="357"/>
        <v>0.33</v>
      </c>
      <c r="I5760" s="758">
        <f t="shared" si="358"/>
        <v>1.635</v>
      </c>
      <c r="J5760" s="760">
        <f t="shared" si="359"/>
        <v>0.9761194029850746</v>
      </c>
    </row>
    <row r="5761" spans="1:10">
      <c r="A5761" s="74" t="s">
        <v>2171</v>
      </c>
      <c r="B5761" s="74" t="s">
        <v>253</v>
      </c>
      <c r="C5761" s="74" t="s">
        <v>1644</v>
      </c>
      <c r="D5761" s="74" t="s">
        <v>86</v>
      </c>
      <c r="E5761" s="74">
        <v>1</v>
      </c>
      <c r="F5761" s="74">
        <v>2.68</v>
      </c>
      <c r="G5761" s="758">
        <f t="shared" si="356"/>
        <v>0</v>
      </c>
      <c r="H5761" s="759">
        <f t="shared" si="357"/>
        <v>0</v>
      </c>
      <c r="I5761" s="758">
        <f t="shared" si="358"/>
        <v>2.68</v>
      </c>
      <c r="J5761" s="760">
        <f t="shared" si="359"/>
        <v>1</v>
      </c>
    </row>
    <row r="5762" spans="1:10">
      <c r="A5762" s="74" t="s">
        <v>2172</v>
      </c>
      <c r="B5762" s="74" t="s">
        <v>276</v>
      </c>
      <c r="C5762" s="74" t="s">
        <v>1527</v>
      </c>
      <c r="D5762" s="74" t="s">
        <v>82</v>
      </c>
      <c r="E5762" s="74">
        <v>2</v>
      </c>
      <c r="F5762" s="74">
        <v>0</v>
      </c>
      <c r="G5762" s="758">
        <f t="shared" ref="G5762:G5825" si="360">IFERROR(VLOOKUP(A5762,$M$1:$P$1014,2,FALSE),0)</f>
        <v>1.06</v>
      </c>
      <c r="H5762" s="759">
        <f t="shared" ref="H5762:H5825" si="361">IFERROR(VLOOKUP(A5762,$M$1:$P$1014,3,FALSE),0)</f>
        <v>0</v>
      </c>
      <c r="I5762" s="758">
        <f t="shared" ref="I5762:I5825" si="362">IFERROR(F5762/E5762-G5762,0)</f>
        <v>-1.06</v>
      </c>
      <c r="J5762" s="760">
        <f t="shared" ref="J5762:J5825" si="363">IFERROR(1-G5762*E5762/F5762,0)</f>
        <v>0</v>
      </c>
    </row>
    <row r="5763" spans="1:10">
      <c r="A5763" s="74" t="s">
        <v>2173</v>
      </c>
      <c r="B5763" s="74" t="s">
        <v>253</v>
      </c>
      <c r="C5763" s="74" t="s">
        <v>1582</v>
      </c>
      <c r="D5763" s="74" t="s">
        <v>89</v>
      </c>
      <c r="E5763" s="74">
        <v>1</v>
      </c>
      <c r="F5763" s="74">
        <v>3.75</v>
      </c>
      <c r="G5763" s="758">
        <f t="shared" si="360"/>
        <v>0</v>
      </c>
      <c r="H5763" s="759">
        <f t="shared" si="361"/>
        <v>0</v>
      </c>
      <c r="I5763" s="758">
        <f t="shared" si="362"/>
        <v>3.75</v>
      </c>
      <c r="J5763" s="760">
        <f t="shared" si="363"/>
        <v>1</v>
      </c>
    </row>
    <row r="5764" spans="1:10">
      <c r="A5764" s="74" t="s">
        <v>2174</v>
      </c>
      <c r="B5764" s="74" t="s">
        <v>253</v>
      </c>
      <c r="C5764" s="74" t="s">
        <v>1524</v>
      </c>
      <c r="D5764" s="74" t="s">
        <v>91</v>
      </c>
      <c r="E5764" s="74">
        <v>1</v>
      </c>
      <c r="F5764" s="74">
        <v>3.2</v>
      </c>
      <c r="G5764" s="758">
        <f t="shared" si="360"/>
        <v>0</v>
      </c>
      <c r="H5764" s="759">
        <f t="shared" si="361"/>
        <v>0</v>
      </c>
      <c r="I5764" s="758">
        <f t="shared" si="362"/>
        <v>3.2</v>
      </c>
      <c r="J5764" s="760">
        <f t="shared" si="363"/>
        <v>1</v>
      </c>
    </row>
    <row r="5765" spans="1:10">
      <c r="A5765" s="74" t="s">
        <v>2175</v>
      </c>
      <c r="B5765" s="74" t="s">
        <v>253</v>
      </c>
      <c r="C5765" s="74" t="s">
        <v>1524</v>
      </c>
      <c r="D5765" s="74" t="s">
        <v>91</v>
      </c>
      <c r="E5765" s="74">
        <v>1</v>
      </c>
      <c r="F5765" s="74">
        <v>3.5</v>
      </c>
      <c r="G5765" s="758">
        <f t="shared" si="360"/>
        <v>0</v>
      </c>
      <c r="H5765" s="759">
        <f t="shared" si="361"/>
        <v>0</v>
      </c>
      <c r="I5765" s="758">
        <f t="shared" si="362"/>
        <v>3.5</v>
      </c>
      <c r="J5765" s="760">
        <f t="shared" si="363"/>
        <v>1</v>
      </c>
    </row>
    <row r="5766" spans="1:10">
      <c r="A5766" s="74" t="s">
        <v>2176</v>
      </c>
      <c r="B5766" s="74" t="s">
        <v>266</v>
      </c>
      <c r="C5766" s="74" t="s">
        <v>1526</v>
      </c>
      <c r="D5766" s="74" t="s">
        <v>95</v>
      </c>
      <c r="E5766" s="74">
        <v>1</v>
      </c>
      <c r="F5766" s="74">
        <v>0</v>
      </c>
      <c r="G5766" s="758">
        <f t="shared" si="360"/>
        <v>0</v>
      </c>
      <c r="H5766" s="759">
        <f t="shared" si="361"/>
        <v>0</v>
      </c>
      <c r="I5766" s="758">
        <f t="shared" si="362"/>
        <v>0</v>
      </c>
      <c r="J5766" s="760">
        <f t="shared" si="363"/>
        <v>0</v>
      </c>
    </row>
    <row r="5767" spans="1:10">
      <c r="A5767" s="74" t="s">
        <v>2177</v>
      </c>
      <c r="B5767" s="74" t="s">
        <v>276</v>
      </c>
      <c r="C5767" s="74" t="s">
        <v>1644</v>
      </c>
      <c r="D5767" s="74" t="s">
        <v>86</v>
      </c>
      <c r="E5767" s="74">
        <v>3</v>
      </c>
      <c r="F5767" s="74">
        <v>14.55</v>
      </c>
      <c r="G5767" s="758">
        <f t="shared" si="360"/>
        <v>0</v>
      </c>
      <c r="H5767" s="759">
        <f t="shared" si="361"/>
        <v>0</v>
      </c>
      <c r="I5767" s="758">
        <f t="shared" si="362"/>
        <v>4.8500000000000005</v>
      </c>
      <c r="J5767" s="760">
        <f t="shared" si="363"/>
        <v>1</v>
      </c>
    </row>
    <row r="5768" spans="1:10">
      <c r="A5768" s="74" t="s">
        <v>2177</v>
      </c>
      <c r="B5768" s="74" t="s">
        <v>276</v>
      </c>
      <c r="C5768" s="74" t="s">
        <v>1646</v>
      </c>
      <c r="D5768" s="74" t="s">
        <v>86</v>
      </c>
      <c r="E5768" s="74">
        <v>1</v>
      </c>
      <c r="F5768" s="74">
        <v>4.8499999999999996</v>
      </c>
      <c r="G5768" s="758">
        <f t="shared" si="360"/>
        <v>0</v>
      </c>
      <c r="H5768" s="759">
        <f t="shared" si="361"/>
        <v>0</v>
      </c>
      <c r="I5768" s="758">
        <f t="shared" si="362"/>
        <v>4.8499999999999996</v>
      </c>
      <c r="J5768" s="760">
        <f t="shared" si="363"/>
        <v>1</v>
      </c>
    </row>
    <row r="5769" spans="1:10">
      <c r="A5769" s="74" t="s">
        <v>2177</v>
      </c>
      <c r="B5769" s="74" t="s">
        <v>276</v>
      </c>
      <c r="C5769" s="74" t="s">
        <v>1541</v>
      </c>
      <c r="D5769" s="74" t="s">
        <v>86</v>
      </c>
      <c r="E5769" s="74">
        <v>3</v>
      </c>
      <c r="F5769" s="74">
        <v>14.55</v>
      </c>
      <c r="G5769" s="758">
        <f t="shared" si="360"/>
        <v>0</v>
      </c>
      <c r="H5769" s="759">
        <f t="shared" si="361"/>
        <v>0</v>
      </c>
      <c r="I5769" s="758">
        <f t="shared" si="362"/>
        <v>4.8500000000000005</v>
      </c>
      <c r="J5769" s="760">
        <f t="shared" si="363"/>
        <v>1</v>
      </c>
    </row>
    <row r="5770" spans="1:10">
      <c r="A5770" s="74" t="s">
        <v>2177</v>
      </c>
      <c r="B5770" s="74" t="s">
        <v>276</v>
      </c>
      <c r="C5770" s="74" t="s">
        <v>1608</v>
      </c>
      <c r="D5770" s="74" t="s">
        <v>89</v>
      </c>
      <c r="E5770" s="74">
        <v>2</v>
      </c>
      <c r="F5770" s="74">
        <v>10</v>
      </c>
      <c r="G5770" s="758">
        <f t="shared" si="360"/>
        <v>0</v>
      </c>
      <c r="H5770" s="759">
        <f t="shared" si="361"/>
        <v>0</v>
      </c>
      <c r="I5770" s="758">
        <f t="shared" si="362"/>
        <v>5</v>
      </c>
      <c r="J5770" s="760">
        <f t="shared" si="363"/>
        <v>1</v>
      </c>
    </row>
    <row r="5771" spans="1:10">
      <c r="A5771" s="74" t="s">
        <v>2177</v>
      </c>
      <c r="B5771" s="74" t="s">
        <v>276</v>
      </c>
      <c r="C5771" s="74" t="s">
        <v>1610</v>
      </c>
      <c r="D5771" s="74" t="s">
        <v>89</v>
      </c>
      <c r="E5771" s="74">
        <v>1</v>
      </c>
      <c r="F5771" s="74">
        <v>5</v>
      </c>
      <c r="G5771" s="758">
        <f t="shared" si="360"/>
        <v>0</v>
      </c>
      <c r="H5771" s="759">
        <f t="shared" si="361"/>
        <v>0</v>
      </c>
      <c r="I5771" s="758">
        <f t="shared" si="362"/>
        <v>5</v>
      </c>
      <c r="J5771" s="760">
        <f t="shared" si="363"/>
        <v>1</v>
      </c>
    </row>
    <row r="5772" spans="1:10">
      <c r="A5772" s="74" t="s">
        <v>2177</v>
      </c>
      <c r="B5772" s="74" t="s">
        <v>276</v>
      </c>
      <c r="C5772" s="74" t="s">
        <v>1584</v>
      </c>
      <c r="D5772" s="74" t="s">
        <v>92</v>
      </c>
      <c r="E5772" s="74">
        <v>1</v>
      </c>
      <c r="F5772" s="74">
        <v>4.8499999999999996</v>
      </c>
      <c r="G5772" s="758">
        <f t="shared" si="360"/>
        <v>0</v>
      </c>
      <c r="H5772" s="759">
        <f t="shared" si="361"/>
        <v>0</v>
      </c>
      <c r="I5772" s="758">
        <f t="shared" si="362"/>
        <v>4.8499999999999996</v>
      </c>
      <c r="J5772" s="760">
        <f t="shared" si="363"/>
        <v>1</v>
      </c>
    </row>
    <row r="5773" spans="1:10">
      <c r="A5773" s="74" t="s">
        <v>2177</v>
      </c>
      <c r="B5773" s="74" t="s">
        <v>276</v>
      </c>
      <c r="C5773" s="74" t="s">
        <v>1552</v>
      </c>
      <c r="D5773" s="74" t="s">
        <v>92</v>
      </c>
      <c r="E5773" s="74">
        <v>1</v>
      </c>
      <c r="F5773" s="74">
        <v>4.8499999999999996</v>
      </c>
      <c r="G5773" s="758">
        <f t="shared" si="360"/>
        <v>0</v>
      </c>
      <c r="H5773" s="759">
        <f t="shared" si="361"/>
        <v>0</v>
      </c>
      <c r="I5773" s="758">
        <f t="shared" si="362"/>
        <v>4.8499999999999996</v>
      </c>
      <c r="J5773" s="760">
        <f t="shared" si="363"/>
        <v>1</v>
      </c>
    </row>
    <row r="5774" spans="1:10">
      <c r="A5774" s="74" t="s">
        <v>2178</v>
      </c>
      <c r="B5774" s="74" t="s">
        <v>276</v>
      </c>
      <c r="C5774" s="74" t="s">
        <v>1532</v>
      </c>
      <c r="D5774" s="74" t="s">
        <v>80</v>
      </c>
      <c r="E5774" s="74">
        <v>1</v>
      </c>
      <c r="F5774" s="74">
        <v>26.5</v>
      </c>
      <c r="G5774" s="758">
        <f t="shared" si="360"/>
        <v>4.63</v>
      </c>
      <c r="H5774" s="759">
        <f t="shared" si="361"/>
        <v>0.19</v>
      </c>
      <c r="I5774" s="758">
        <f t="shared" si="362"/>
        <v>21.87</v>
      </c>
      <c r="J5774" s="760">
        <f t="shared" si="363"/>
        <v>0.82528301886792454</v>
      </c>
    </row>
    <row r="5775" spans="1:10">
      <c r="A5775" s="74" t="s">
        <v>2179</v>
      </c>
      <c r="B5775" s="74" t="s">
        <v>276</v>
      </c>
      <c r="C5775" s="74" t="s">
        <v>1528</v>
      </c>
      <c r="D5775" s="74" t="s">
        <v>78</v>
      </c>
      <c r="E5775" s="74">
        <v>6</v>
      </c>
      <c r="F5775" s="74">
        <v>29.1</v>
      </c>
      <c r="G5775" s="758">
        <f t="shared" si="360"/>
        <v>0.93</v>
      </c>
      <c r="H5775" s="759">
        <f t="shared" si="361"/>
        <v>0.2</v>
      </c>
      <c r="I5775" s="758">
        <f t="shared" si="362"/>
        <v>3.9200000000000004</v>
      </c>
      <c r="J5775" s="760">
        <f t="shared" si="363"/>
        <v>0.80824742268041239</v>
      </c>
    </row>
    <row r="5776" spans="1:10">
      <c r="A5776" s="74" t="s">
        <v>2179</v>
      </c>
      <c r="B5776" s="74" t="s">
        <v>276</v>
      </c>
      <c r="C5776" s="74" t="s">
        <v>1508</v>
      </c>
      <c r="D5776" s="74" t="s">
        <v>78</v>
      </c>
      <c r="E5776" s="74">
        <v>1</v>
      </c>
      <c r="F5776" s="74">
        <v>5</v>
      </c>
      <c r="G5776" s="758">
        <f t="shared" si="360"/>
        <v>0.93</v>
      </c>
      <c r="H5776" s="759">
        <f t="shared" si="361"/>
        <v>0.2</v>
      </c>
      <c r="I5776" s="758">
        <f t="shared" si="362"/>
        <v>4.07</v>
      </c>
      <c r="J5776" s="760">
        <f t="shared" si="363"/>
        <v>0.81400000000000006</v>
      </c>
    </row>
    <row r="5777" spans="1:10">
      <c r="A5777" s="74" t="s">
        <v>2179</v>
      </c>
      <c r="B5777" s="74" t="s">
        <v>276</v>
      </c>
      <c r="C5777" s="74" t="s">
        <v>1509</v>
      </c>
      <c r="D5777" s="74" t="s">
        <v>78</v>
      </c>
      <c r="E5777" s="74">
        <v>10</v>
      </c>
      <c r="F5777" s="74">
        <v>48.5</v>
      </c>
      <c r="G5777" s="758">
        <f t="shared" si="360"/>
        <v>0.93</v>
      </c>
      <c r="H5777" s="759">
        <f t="shared" si="361"/>
        <v>0.2</v>
      </c>
      <c r="I5777" s="758">
        <f t="shared" si="362"/>
        <v>3.9199999999999995</v>
      </c>
      <c r="J5777" s="760">
        <f t="shared" si="363"/>
        <v>0.80824742268041239</v>
      </c>
    </row>
    <row r="5778" spans="1:10">
      <c r="A5778" s="74" t="s">
        <v>2179</v>
      </c>
      <c r="B5778" s="74" t="s">
        <v>276</v>
      </c>
      <c r="C5778" s="74" t="s">
        <v>1532</v>
      </c>
      <c r="D5778" s="74" t="s">
        <v>80</v>
      </c>
      <c r="E5778" s="74">
        <v>1</v>
      </c>
      <c r="F5778" s="74">
        <v>4.8499999999999996</v>
      </c>
      <c r="G5778" s="758">
        <f t="shared" si="360"/>
        <v>0.93</v>
      </c>
      <c r="H5778" s="759">
        <f t="shared" si="361"/>
        <v>0.2</v>
      </c>
      <c r="I5778" s="758">
        <f t="shared" si="362"/>
        <v>3.9199999999999995</v>
      </c>
      <c r="J5778" s="760">
        <f t="shared" si="363"/>
        <v>0.80824742268041239</v>
      </c>
    </row>
    <row r="5779" spans="1:10">
      <c r="A5779" s="74" t="s">
        <v>2179</v>
      </c>
      <c r="B5779" s="74" t="s">
        <v>276</v>
      </c>
      <c r="C5779" s="74" t="s">
        <v>1511</v>
      </c>
      <c r="D5779" s="74" t="s">
        <v>80</v>
      </c>
      <c r="E5779" s="74">
        <v>9</v>
      </c>
      <c r="F5779" s="74">
        <v>43.95</v>
      </c>
      <c r="G5779" s="758">
        <f t="shared" si="360"/>
        <v>0.93</v>
      </c>
      <c r="H5779" s="759">
        <f t="shared" si="361"/>
        <v>0.2</v>
      </c>
      <c r="I5779" s="758">
        <f t="shared" si="362"/>
        <v>3.9533333333333336</v>
      </c>
      <c r="J5779" s="760">
        <f t="shared" si="363"/>
        <v>0.80955631399317407</v>
      </c>
    </row>
    <row r="5780" spans="1:10">
      <c r="A5780" s="74" t="s">
        <v>2179</v>
      </c>
      <c r="B5780" s="74" t="s">
        <v>276</v>
      </c>
      <c r="C5780" s="74" t="s">
        <v>1512</v>
      </c>
      <c r="D5780" s="74" t="s">
        <v>80</v>
      </c>
      <c r="E5780" s="74">
        <v>10</v>
      </c>
      <c r="F5780" s="74">
        <v>48.5</v>
      </c>
      <c r="G5780" s="758">
        <f t="shared" si="360"/>
        <v>0.93</v>
      </c>
      <c r="H5780" s="759">
        <f t="shared" si="361"/>
        <v>0.2</v>
      </c>
      <c r="I5780" s="758">
        <f t="shared" si="362"/>
        <v>3.9199999999999995</v>
      </c>
      <c r="J5780" s="760">
        <f t="shared" si="363"/>
        <v>0.80824742268041239</v>
      </c>
    </row>
    <row r="5781" spans="1:10">
      <c r="A5781" s="74" t="s">
        <v>2179</v>
      </c>
      <c r="B5781" s="74" t="s">
        <v>276</v>
      </c>
      <c r="C5781" s="74" t="s">
        <v>1534</v>
      </c>
      <c r="D5781" s="74" t="s">
        <v>81</v>
      </c>
      <c r="E5781" s="74">
        <v>6</v>
      </c>
      <c r="F5781" s="74">
        <v>29.1</v>
      </c>
      <c r="G5781" s="758">
        <f t="shared" si="360"/>
        <v>0.93</v>
      </c>
      <c r="H5781" s="759">
        <f t="shared" si="361"/>
        <v>0.2</v>
      </c>
      <c r="I5781" s="758">
        <f t="shared" si="362"/>
        <v>3.9200000000000004</v>
      </c>
      <c r="J5781" s="760">
        <f t="shared" si="363"/>
        <v>0.80824742268041239</v>
      </c>
    </row>
    <row r="5782" spans="1:10">
      <c r="A5782" s="74" t="s">
        <v>2179</v>
      </c>
      <c r="B5782" s="74" t="s">
        <v>276</v>
      </c>
      <c r="C5782" s="74" t="s">
        <v>1513</v>
      </c>
      <c r="D5782" s="74" t="s">
        <v>81</v>
      </c>
      <c r="E5782" s="74">
        <v>3</v>
      </c>
      <c r="F5782" s="74">
        <v>14.7</v>
      </c>
      <c r="G5782" s="758">
        <f t="shared" si="360"/>
        <v>0.93</v>
      </c>
      <c r="H5782" s="759">
        <f t="shared" si="361"/>
        <v>0.2</v>
      </c>
      <c r="I5782" s="758">
        <f t="shared" si="362"/>
        <v>3.9699999999999993</v>
      </c>
      <c r="J5782" s="760">
        <f t="shared" si="363"/>
        <v>0.81020408163265301</v>
      </c>
    </row>
    <row r="5783" spans="1:10">
      <c r="A5783" s="74" t="s">
        <v>2179</v>
      </c>
      <c r="B5783" s="74" t="s">
        <v>276</v>
      </c>
      <c r="C5783" s="74" t="s">
        <v>1514</v>
      </c>
      <c r="D5783" s="74" t="s">
        <v>81</v>
      </c>
      <c r="E5783" s="74">
        <v>6</v>
      </c>
      <c r="F5783" s="74">
        <v>29.1</v>
      </c>
      <c r="G5783" s="758">
        <f t="shared" si="360"/>
        <v>0.93</v>
      </c>
      <c r="H5783" s="759">
        <f t="shared" si="361"/>
        <v>0.2</v>
      </c>
      <c r="I5783" s="758">
        <f t="shared" si="362"/>
        <v>3.9200000000000004</v>
      </c>
      <c r="J5783" s="760">
        <f t="shared" si="363"/>
        <v>0.80824742268041239</v>
      </c>
    </row>
    <row r="5784" spans="1:10">
      <c r="A5784" s="74" t="s">
        <v>2179</v>
      </c>
      <c r="B5784" s="74" t="s">
        <v>276</v>
      </c>
      <c r="C5784" s="74" t="s">
        <v>1515</v>
      </c>
      <c r="D5784" s="74" t="s">
        <v>81</v>
      </c>
      <c r="E5784" s="74">
        <v>6</v>
      </c>
      <c r="F5784" s="74">
        <v>30.4</v>
      </c>
      <c r="G5784" s="758">
        <f t="shared" si="360"/>
        <v>0.93</v>
      </c>
      <c r="H5784" s="759">
        <f t="shared" si="361"/>
        <v>0.2</v>
      </c>
      <c r="I5784" s="758">
        <f t="shared" si="362"/>
        <v>4.1366666666666667</v>
      </c>
      <c r="J5784" s="760">
        <f t="shared" si="363"/>
        <v>0.81644736842105259</v>
      </c>
    </row>
    <row r="5785" spans="1:10">
      <c r="A5785" s="74" t="s">
        <v>2179</v>
      </c>
      <c r="B5785" s="74" t="s">
        <v>276</v>
      </c>
      <c r="C5785" s="74" t="s">
        <v>1516</v>
      </c>
      <c r="D5785" s="74" t="s">
        <v>82</v>
      </c>
      <c r="E5785" s="74">
        <v>6</v>
      </c>
      <c r="F5785" s="74">
        <v>104.8</v>
      </c>
      <c r="G5785" s="758">
        <f t="shared" si="360"/>
        <v>0.93</v>
      </c>
      <c r="H5785" s="759">
        <f t="shared" si="361"/>
        <v>0.2</v>
      </c>
      <c r="I5785" s="758">
        <f t="shared" si="362"/>
        <v>16.536666666666665</v>
      </c>
      <c r="J5785" s="760">
        <f t="shared" si="363"/>
        <v>0.94675572519083973</v>
      </c>
    </row>
    <row r="5786" spans="1:10">
      <c r="A5786" s="74" t="s">
        <v>2179</v>
      </c>
      <c r="B5786" s="74" t="s">
        <v>276</v>
      </c>
      <c r="C5786" s="74" t="s">
        <v>1517</v>
      </c>
      <c r="D5786" s="74" t="s">
        <v>82</v>
      </c>
      <c r="E5786" s="74">
        <v>4</v>
      </c>
      <c r="F5786" s="74">
        <v>19.399999999999999</v>
      </c>
      <c r="G5786" s="758">
        <f t="shared" si="360"/>
        <v>0.93</v>
      </c>
      <c r="H5786" s="759">
        <f t="shared" si="361"/>
        <v>0.2</v>
      </c>
      <c r="I5786" s="758">
        <f t="shared" si="362"/>
        <v>3.9199999999999995</v>
      </c>
      <c r="J5786" s="760">
        <f t="shared" si="363"/>
        <v>0.80824742268041239</v>
      </c>
    </row>
    <row r="5787" spans="1:10">
      <c r="A5787" s="74" t="s">
        <v>2179</v>
      </c>
      <c r="B5787" s="74" t="s">
        <v>276</v>
      </c>
      <c r="C5787" s="74" t="s">
        <v>1527</v>
      </c>
      <c r="D5787" s="74" t="s">
        <v>82</v>
      </c>
      <c r="E5787" s="74">
        <v>11</v>
      </c>
      <c r="F5787" s="74">
        <v>54.1</v>
      </c>
      <c r="G5787" s="758">
        <f t="shared" si="360"/>
        <v>0.93</v>
      </c>
      <c r="H5787" s="759">
        <f t="shared" si="361"/>
        <v>0.2</v>
      </c>
      <c r="I5787" s="758">
        <f t="shared" si="362"/>
        <v>3.9881818181818178</v>
      </c>
      <c r="J5787" s="760">
        <f t="shared" si="363"/>
        <v>0.81090573012939005</v>
      </c>
    </row>
    <row r="5788" spans="1:10">
      <c r="A5788" s="74" t="s">
        <v>2179</v>
      </c>
      <c r="B5788" s="74" t="s">
        <v>276</v>
      </c>
      <c r="C5788" s="74" t="s">
        <v>1518</v>
      </c>
      <c r="D5788" s="74" t="s">
        <v>82</v>
      </c>
      <c r="E5788" s="74">
        <v>3</v>
      </c>
      <c r="F5788" s="74">
        <v>14.7</v>
      </c>
      <c r="G5788" s="758">
        <f t="shared" si="360"/>
        <v>0.93</v>
      </c>
      <c r="H5788" s="759">
        <f t="shared" si="361"/>
        <v>0.2</v>
      </c>
      <c r="I5788" s="758">
        <f t="shared" si="362"/>
        <v>3.9699999999999993</v>
      </c>
      <c r="J5788" s="760">
        <f t="shared" si="363"/>
        <v>0.81020408163265301</v>
      </c>
    </row>
    <row r="5789" spans="1:10">
      <c r="A5789" s="74" t="s">
        <v>2179</v>
      </c>
      <c r="B5789" s="74" t="s">
        <v>276</v>
      </c>
      <c r="C5789" s="74" t="s">
        <v>1519</v>
      </c>
      <c r="D5789" s="74" t="s">
        <v>84</v>
      </c>
      <c r="E5789" s="74">
        <v>5</v>
      </c>
      <c r="F5789" s="74">
        <v>24.7</v>
      </c>
      <c r="G5789" s="758">
        <f t="shared" si="360"/>
        <v>0.93</v>
      </c>
      <c r="H5789" s="759">
        <f t="shared" si="361"/>
        <v>0.2</v>
      </c>
      <c r="I5789" s="758">
        <f t="shared" si="362"/>
        <v>4.01</v>
      </c>
      <c r="J5789" s="760">
        <f t="shared" si="363"/>
        <v>0.81174089068825905</v>
      </c>
    </row>
    <row r="5790" spans="1:10">
      <c r="A5790" s="74" t="s">
        <v>2180</v>
      </c>
      <c r="B5790" s="74" t="s">
        <v>276</v>
      </c>
      <c r="C5790" s="74" t="s">
        <v>1528</v>
      </c>
      <c r="D5790" s="74" t="s">
        <v>78</v>
      </c>
      <c r="E5790" s="74">
        <v>1</v>
      </c>
      <c r="F5790" s="74">
        <v>26.5</v>
      </c>
      <c r="G5790" s="758">
        <f t="shared" si="360"/>
        <v>13.89</v>
      </c>
      <c r="H5790" s="759">
        <f t="shared" si="361"/>
        <v>0.2</v>
      </c>
      <c r="I5790" s="758">
        <f t="shared" si="362"/>
        <v>12.61</v>
      </c>
      <c r="J5790" s="760">
        <f t="shared" si="363"/>
        <v>0.47584905660377352</v>
      </c>
    </row>
    <row r="5791" spans="1:10">
      <c r="A5791" s="74" t="s">
        <v>2180</v>
      </c>
      <c r="B5791" s="74" t="s">
        <v>276</v>
      </c>
      <c r="C5791" s="74" t="s">
        <v>1508</v>
      </c>
      <c r="D5791" s="74" t="s">
        <v>78</v>
      </c>
      <c r="E5791" s="74">
        <v>1</v>
      </c>
      <c r="F5791" s="74">
        <v>26.75</v>
      </c>
      <c r="G5791" s="758">
        <f t="shared" si="360"/>
        <v>13.89</v>
      </c>
      <c r="H5791" s="759">
        <f t="shared" si="361"/>
        <v>0.2</v>
      </c>
      <c r="I5791" s="758">
        <f t="shared" si="362"/>
        <v>12.86</v>
      </c>
      <c r="J5791" s="760">
        <f t="shared" si="363"/>
        <v>0.48074766355140186</v>
      </c>
    </row>
    <row r="5792" spans="1:10">
      <c r="A5792" s="74" t="s">
        <v>2180</v>
      </c>
      <c r="B5792" s="74" t="s">
        <v>276</v>
      </c>
      <c r="C5792" s="74" t="s">
        <v>1565</v>
      </c>
      <c r="D5792" s="74" t="s">
        <v>78</v>
      </c>
      <c r="E5792" s="74">
        <v>4</v>
      </c>
      <c r="F5792" s="74">
        <v>77.599999999999994</v>
      </c>
      <c r="G5792" s="758">
        <f t="shared" si="360"/>
        <v>13.89</v>
      </c>
      <c r="H5792" s="759">
        <f t="shared" si="361"/>
        <v>0.2</v>
      </c>
      <c r="I5792" s="758">
        <f t="shared" si="362"/>
        <v>5.509999999999998</v>
      </c>
      <c r="J5792" s="760">
        <f t="shared" si="363"/>
        <v>0.28402061855670091</v>
      </c>
    </row>
    <row r="5793" spans="1:10">
      <c r="A5793" s="74" t="s">
        <v>2181</v>
      </c>
      <c r="B5793" s="74" t="s">
        <v>276</v>
      </c>
      <c r="C5793" s="74" t="s">
        <v>1515</v>
      </c>
      <c r="D5793" s="74" t="s">
        <v>81</v>
      </c>
      <c r="E5793" s="74">
        <v>1</v>
      </c>
      <c r="F5793" s="74">
        <v>27.5</v>
      </c>
      <c r="G5793" s="758">
        <f t="shared" si="360"/>
        <v>0</v>
      </c>
      <c r="H5793" s="759">
        <f t="shared" si="361"/>
        <v>0.24</v>
      </c>
      <c r="I5793" s="758">
        <f t="shared" si="362"/>
        <v>27.5</v>
      </c>
      <c r="J5793" s="760">
        <f t="shared" si="363"/>
        <v>1</v>
      </c>
    </row>
    <row r="5794" spans="1:10">
      <c r="A5794" s="74" t="s">
        <v>2181</v>
      </c>
      <c r="B5794" s="74" t="s">
        <v>276</v>
      </c>
      <c r="C5794" s="74" t="s">
        <v>1517</v>
      </c>
      <c r="D5794" s="74" t="s">
        <v>82</v>
      </c>
      <c r="E5794" s="74">
        <v>1</v>
      </c>
      <c r="F5794" s="74">
        <v>26.75</v>
      </c>
      <c r="G5794" s="758">
        <f t="shared" si="360"/>
        <v>0</v>
      </c>
      <c r="H5794" s="759">
        <f t="shared" si="361"/>
        <v>0.24</v>
      </c>
      <c r="I5794" s="758">
        <f t="shared" si="362"/>
        <v>26.75</v>
      </c>
      <c r="J5794" s="760">
        <f t="shared" si="363"/>
        <v>1</v>
      </c>
    </row>
    <row r="5795" spans="1:10">
      <c r="A5795" s="74" t="s">
        <v>963</v>
      </c>
      <c r="B5795" s="74" t="s">
        <v>276</v>
      </c>
      <c r="C5795" s="74" t="s">
        <v>1507</v>
      </c>
      <c r="D5795" s="74" t="s">
        <v>86</v>
      </c>
      <c r="E5795" s="74">
        <v>3</v>
      </c>
      <c r="F5795" s="74">
        <v>14.55</v>
      </c>
      <c r="G5795" s="758">
        <f t="shared" si="360"/>
        <v>0</v>
      </c>
      <c r="H5795" s="759">
        <f t="shared" si="361"/>
        <v>0</v>
      </c>
      <c r="I5795" s="758">
        <f t="shared" si="362"/>
        <v>4.8500000000000005</v>
      </c>
      <c r="J5795" s="760">
        <f t="shared" si="363"/>
        <v>1</v>
      </c>
    </row>
    <row r="5796" spans="1:10">
      <c r="A5796" s="74" t="s">
        <v>963</v>
      </c>
      <c r="B5796" s="74" t="s">
        <v>276</v>
      </c>
      <c r="C5796" s="74" t="s">
        <v>1644</v>
      </c>
      <c r="D5796" s="74" t="s">
        <v>86</v>
      </c>
      <c r="E5796" s="74">
        <v>2</v>
      </c>
      <c r="F5796" s="74">
        <v>9.5</v>
      </c>
      <c r="G5796" s="758">
        <f t="shared" si="360"/>
        <v>0</v>
      </c>
      <c r="H5796" s="759">
        <f t="shared" si="361"/>
        <v>0</v>
      </c>
      <c r="I5796" s="758">
        <f t="shared" si="362"/>
        <v>4.75</v>
      </c>
      <c r="J5796" s="760">
        <f t="shared" si="363"/>
        <v>1</v>
      </c>
    </row>
    <row r="5797" spans="1:10">
      <c r="A5797" s="74" t="s">
        <v>963</v>
      </c>
      <c r="B5797" s="74" t="s">
        <v>276</v>
      </c>
      <c r="C5797" s="74" t="s">
        <v>1582</v>
      </c>
      <c r="D5797" s="74" t="s">
        <v>89</v>
      </c>
      <c r="E5797" s="74">
        <v>2</v>
      </c>
      <c r="F5797" s="74">
        <v>9.5</v>
      </c>
      <c r="G5797" s="758">
        <f t="shared" si="360"/>
        <v>0</v>
      </c>
      <c r="H5797" s="759">
        <f t="shared" si="361"/>
        <v>0</v>
      </c>
      <c r="I5797" s="758">
        <f t="shared" si="362"/>
        <v>4.75</v>
      </c>
      <c r="J5797" s="760">
        <f t="shared" si="363"/>
        <v>1</v>
      </c>
    </row>
    <row r="5798" spans="1:10">
      <c r="A5798" s="74" t="s">
        <v>963</v>
      </c>
      <c r="B5798" s="74" t="s">
        <v>276</v>
      </c>
      <c r="C5798" s="74" t="s">
        <v>1675</v>
      </c>
      <c r="D5798" s="74" t="s">
        <v>91</v>
      </c>
      <c r="E5798" s="74">
        <v>1</v>
      </c>
      <c r="F5798" s="74">
        <v>4.75</v>
      </c>
      <c r="G5798" s="758">
        <f t="shared" si="360"/>
        <v>0</v>
      </c>
      <c r="H5798" s="759">
        <f t="shared" si="361"/>
        <v>0</v>
      </c>
      <c r="I5798" s="758">
        <f t="shared" si="362"/>
        <v>4.75</v>
      </c>
      <c r="J5798" s="760">
        <f t="shared" si="363"/>
        <v>1</v>
      </c>
    </row>
    <row r="5799" spans="1:10">
      <c r="A5799" s="74" t="s">
        <v>963</v>
      </c>
      <c r="B5799" s="74" t="s">
        <v>276</v>
      </c>
      <c r="C5799" s="74" t="s">
        <v>1614</v>
      </c>
      <c r="D5799" s="74" t="s">
        <v>92</v>
      </c>
      <c r="E5799" s="74">
        <v>1</v>
      </c>
      <c r="F5799" s="74">
        <v>4.75</v>
      </c>
      <c r="G5799" s="758">
        <f t="shared" si="360"/>
        <v>0</v>
      </c>
      <c r="H5799" s="759">
        <f t="shared" si="361"/>
        <v>0</v>
      </c>
      <c r="I5799" s="758">
        <f t="shared" si="362"/>
        <v>4.75</v>
      </c>
      <c r="J5799" s="760">
        <f t="shared" si="363"/>
        <v>1</v>
      </c>
    </row>
    <row r="5800" spans="1:10">
      <c r="A5800" s="74" t="s">
        <v>963</v>
      </c>
      <c r="B5800" s="74" t="s">
        <v>276</v>
      </c>
      <c r="C5800" s="74" t="s">
        <v>1631</v>
      </c>
      <c r="D5800" s="74" t="s">
        <v>92</v>
      </c>
      <c r="E5800" s="74">
        <v>1</v>
      </c>
      <c r="F5800" s="74">
        <v>4.75</v>
      </c>
      <c r="G5800" s="758">
        <f t="shared" si="360"/>
        <v>0</v>
      </c>
      <c r="H5800" s="759">
        <f t="shared" si="361"/>
        <v>0</v>
      </c>
      <c r="I5800" s="758">
        <f t="shared" si="362"/>
        <v>4.75</v>
      </c>
      <c r="J5800" s="760">
        <f t="shared" si="363"/>
        <v>1</v>
      </c>
    </row>
    <row r="5801" spans="1:10">
      <c r="A5801" s="74" t="s">
        <v>963</v>
      </c>
      <c r="B5801" s="74" t="s">
        <v>276</v>
      </c>
      <c r="C5801" s="74" t="s">
        <v>1552</v>
      </c>
      <c r="D5801" s="74" t="s">
        <v>92</v>
      </c>
      <c r="E5801" s="74">
        <v>3</v>
      </c>
      <c r="F5801" s="74">
        <v>14.4</v>
      </c>
      <c r="G5801" s="758">
        <f t="shared" si="360"/>
        <v>0</v>
      </c>
      <c r="H5801" s="759">
        <f t="shared" si="361"/>
        <v>0</v>
      </c>
      <c r="I5801" s="758">
        <f t="shared" si="362"/>
        <v>4.8</v>
      </c>
      <c r="J5801" s="760">
        <f t="shared" si="363"/>
        <v>1</v>
      </c>
    </row>
    <row r="5802" spans="1:10">
      <c r="A5802" s="74" t="s">
        <v>2182</v>
      </c>
      <c r="B5802" s="74" t="s">
        <v>276</v>
      </c>
      <c r="C5802" s="74" t="s">
        <v>1511</v>
      </c>
      <c r="D5802" s="74" t="s">
        <v>80</v>
      </c>
      <c r="E5802" s="74">
        <v>2</v>
      </c>
      <c r="F5802" s="74">
        <v>40.299999999999997</v>
      </c>
      <c r="G5802" s="758">
        <f t="shared" si="360"/>
        <v>2.77</v>
      </c>
      <c r="H5802" s="759">
        <f t="shared" si="361"/>
        <v>0.15</v>
      </c>
      <c r="I5802" s="758">
        <f t="shared" si="362"/>
        <v>17.38</v>
      </c>
      <c r="J5802" s="760">
        <f t="shared" si="363"/>
        <v>0.86253101736972704</v>
      </c>
    </row>
    <row r="5803" spans="1:10">
      <c r="A5803" s="74" t="s">
        <v>2182</v>
      </c>
      <c r="B5803" s="74" t="s">
        <v>276</v>
      </c>
      <c r="C5803" s="74" t="s">
        <v>1515</v>
      </c>
      <c r="D5803" s="74" t="s">
        <v>81</v>
      </c>
      <c r="E5803" s="74">
        <v>1</v>
      </c>
      <c r="F5803" s="74">
        <v>21.15</v>
      </c>
      <c r="G5803" s="758">
        <f t="shared" si="360"/>
        <v>2.77</v>
      </c>
      <c r="H5803" s="759">
        <f t="shared" si="361"/>
        <v>0.15</v>
      </c>
      <c r="I5803" s="758">
        <f t="shared" si="362"/>
        <v>18.38</v>
      </c>
      <c r="J5803" s="760">
        <f t="shared" si="363"/>
        <v>0.86903073286052002</v>
      </c>
    </row>
    <row r="5804" spans="1:10">
      <c r="A5804" s="74" t="s">
        <v>2182</v>
      </c>
      <c r="B5804" s="74" t="s">
        <v>276</v>
      </c>
      <c r="C5804" s="74" t="s">
        <v>1518</v>
      </c>
      <c r="D5804" s="74" t="s">
        <v>82</v>
      </c>
      <c r="E5804" s="74">
        <v>1</v>
      </c>
      <c r="F5804" s="74">
        <v>20.149999999999999</v>
      </c>
      <c r="G5804" s="758">
        <f t="shared" si="360"/>
        <v>2.77</v>
      </c>
      <c r="H5804" s="759">
        <f t="shared" si="361"/>
        <v>0.15</v>
      </c>
      <c r="I5804" s="758">
        <f t="shared" si="362"/>
        <v>17.38</v>
      </c>
      <c r="J5804" s="760">
        <f t="shared" si="363"/>
        <v>0.86253101736972704</v>
      </c>
    </row>
    <row r="5805" spans="1:10">
      <c r="A5805" s="74" t="s">
        <v>2183</v>
      </c>
      <c r="B5805" s="74" t="s">
        <v>276</v>
      </c>
      <c r="C5805" s="74" t="s">
        <v>1528</v>
      </c>
      <c r="D5805" s="74" t="s">
        <v>78</v>
      </c>
      <c r="E5805" s="74">
        <v>11</v>
      </c>
      <c r="F5805" s="74">
        <v>52.4</v>
      </c>
      <c r="G5805" s="758">
        <f t="shared" si="360"/>
        <v>0.55000000000000004</v>
      </c>
      <c r="H5805" s="759">
        <f t="shared" si="361"/>
        <v>0.12</v>
      </c>
      <c r="I5805" s="758">
        <f t="shared" si="362"/>
        <v>4.2136363636363638</v>
      </c>
      <c r="J5805" s="760">
        <f t="shared" si="363"/>
        <v>0.88454198473282442</v>
      </c>
    </row>
    <row r="5806" spans="1:10">
      <c r="A5806" s="74" t="s">
        <v>2183</v>
      </c>
      <c r="B5806" s="74" t="s">
        <v>276</v>
      </c>
      <c r="C5806" s="74" t="s">
        <v>1508</v>
      </c>
      <c r="D5806" s="74" t="s">
        <v>78</v>
      </c>
      <c r="E5806" s="74">
        <v>5</v>
      </c>
      <c r="F5806" s="74">
        <v>23.9</v>
      </c>
      <c r="G5806" s="758">
        <f t="shared" si="360"/>
        <v>0.55000000000000004</v>
      </c>
      <c r="H5806" s="759">
        <f t="shared" si="361"/>
        <v>0.12</v>
      </c>
      <c r="I5806" s="758">
        <f t="shared" si="362"/>
        <v>4.2299999999999995</v>
      </c>
      <c r="J5806" s="760">
        <f t="shared" si="363"/>
        <v>0.88493723849372385</v>
      </c>
    </row>
    <row r="5807" spans="1:10">
      <c r="A5807" s="74" t="s">
        <v>2183</v>
      </c>
      <c r="B5807" s="74" t="s">
        <v>276</v>
      </c>
      <c r="C5807" s="74" t="s">
        <v>1509</v>
      </c>
      <c r="D5807" s="74" t="s">
        <v>78</v>
      </c>
      <c r="E5807" s="74">
        <v>2</v>
      </c>
      <c r="F5807" s="74">
        <v>9.5</v>
      </c>
      <c r="G5807" s="758">
        <f t="shared" si="360"/>
        <v>0.55000000000000004</v>
      </c>
      <c r="H5807" s="759">
        <f t="shared" si="361"/>
        <v>0.12</v>
      </c>
      <c r="I5807" s="758">
        <f t="shared" si="362"/>
        <v>4.2</v>
      </c>
      <c r="J5807" s="760">
        <f t="shared" si="363"/>
        <v>0.88421052631578945</v>
      </c>
    </row>
    <row r="5808" spans="1:10">
      <c r="A5808" s="74" t="s">
        <v>2183</v>
      </c>
      <c r="B5808" s="74" t="s">
        <v>276</v>
      </c>
      <c r="C5808" s="74" t="s">
        <v>1565</v>
      </c>
      <c r="D5808" s="74" t="s">
        <v>78</v>
      </c>
      <c r="E5808" s="74">
        <v>2</v>
      </c>
      <c r="F5808" s="74">
        <v>9.5</v>
      </c>
      <c r="G5808" s="758">
        <f t="shared" si="360"/>
        <v>0.55000000000000004</v>
      </c>
      <c r="H5808" s="759">
        <f t="shared" si="361"/>
        <v>0.12</v>
      </c>
      <c r="I5808" s="758">
        <f t="shared" si="362"/>
        <v>4.2</v>
      </c>
      <c r="J5808" s="760">
        <f t="shared" si="363"/>
        <v>0.88421052631578945</v>
      </c>
    </row>
    <row r="5809" spans="1:10">
      <c r="A5809" s="74" t="s">
        <v>2183</v>
      </c>
      <c r="B5809" s="74" t="s">
        <v>276</v>
      </c>
      <c r="C5809" s="74" t="s">
        <v>1530</v>
      </c>
      <c r="D5809" s="74" t="s">
        <v>80</v>
      </c>
      <c r="E5809" s="74">
        <v>1</v>
      </c>
      <c r="F5809" s="74">
        <v>4.7</v>
      </c>
      <c r="G5809" s="758">
        <f t="shared" si="360"/>
        <v>0.55000000000000004</v>
      </c>
      <c r="H5809" s="759">
        <f t="shared" si="361"/>
        <v>0.12</v>
      </c>
      <c r="I5809" s="758">
        <f t="shared" si="362"/>
        <v>4.1500000000000004</v>
      </c>
      <c r="J5809" s="760">
        <f t="shared" si="363"/>
        <v>0.88297872340425532</v>
      </c>
    </row>
    <row r="5810" spans="1:10">
      <c r="A5810" s="74" t="s">
        <v>2183</v>
      </c>
      <c r="B5810" s="74" t="s">
        <v>276</v>
      </c>
      <c r="C5810" s="74" t="s">
        <v>1532</v>
      </c>
      <c r="D5810" s="74" t="s">
        <v>80</v>
      </c>
      <c r="E5810" s="74">
        <v>3</v>
      </c>
      <c r="F5810" s="74">
        <v>14.25</v>
      </c>
      <c r="G5810" s="758">
        <f t="shared" si="360"/>
        <v>0.55000000000000004</v>
      </c>
      <c r="H5810" s="759">
        <f t="shared" si="361"/>
        <v>0.12</v>
      </c>
      <c r="I5810" s="758">
        <f t="shared" si="362"/>
        <v>4.2</v>
      </c>
      <c r="J5810" s="760">
        <f t="shared" si="363"/>
        <v>0.88421052631578945</v>
      </c>
    </row>
    <row r="5811" spans="1:10">
      <c r="A5811" s="74" t="s">
        <v>2183</v>
      </c>
      <c r="B5811" s="74" t="s">
        <v>276</v>
      </c>
      <c r="C5811" s="74" t="s">
        <v>1511</v>
      </c>
      <c r="D5811" s="74" t="s">
        <v>80</v>
      </c>
      <c r="E5811" s="74">
        <v>4</v>
      </c>
      <c r="F5811" s="74">
        <v>19</v>
      </c>
      <c r="G5811" s="758">
        <f t="shared" si="360"/>
        <v>0.55000000000000004</v>
      </c>
      <c r="H5811" s="759">
        <f t="shared" si="361"/>
        <v>0.12</v>
      </c>
      <c r="I5811" s="758">
        <f t="shared" si="362"/>
        <v>4.2</v>
      </c>
      <c r="J5811" s="760">
        <f t="shared" si="363"/>
        <v>0.88421052631578945</v>
      </c>
    </row>
    <row r="5812" spans="1:10">
      <c r="A5812" s="74" t="s">
        <v>2183</v>
      </c>
      <c r="B5812" s="74" t="s">
        <v>276</v>
      </c>
      <c r="C5812" s="74" t="s">
        <v>1512</v>
      </c>
      <c r="D5812" s="74" t="s">
        <v>80</v>
      </c>
      <c r="E5812" s="74">
        <v>6</v>
      </c>
      <c r="F5812" s="74">
        <v>28.65</v>
      </c>
      <c r="G5812" s="758">
        <f t="shared" si="360"/>
        <v>0.55000000000000004</v>
      </c>
      <c r="H5812" s="759">
        <f t="shared" si="361"/>
        <v>0.12</v>
      </c>
      <c r="I5812" s="758">
        <f t="shared" si="362"/>
        <v>4.2249999999999996</v>
      </c>
      <c r="J5812" s="760">
        <f t="shared" si="363"/>
        <v>0.88481675392670156</v>
      </c>
    </row>
    <row r="5813" spans="1:10">
      <c r="A5813" s="74" t="s">
        <v>2183</v>
      </c>
      <c r="B5813" s="74" t="s">
        <v>276</v>
      </c>
      <c r="C5813" s="74" t="s">
        <v>1534</v>
      </c>
      <c r="D5813" s="74" t="s">
        <v>81</v>
      </c>
      <c r="E5813" s="74">
        <v>3</v>
      </c>
      <c r="F5813" s="74">
        <v>9.5</v>
      </c>
      <c r="G5813" s="758">
        <f t="shared" si="360"/>
        <v>0.55000000000000004</v>
      </c>
      <c r="H5813" s="759">
        <f t="shared" si="361"/>
        <v>0.12</v>
      </c>
      <c r="I5813" s="758">
        <f t="shared" si="362"/>
        <v>2.6166666666666663</v>
      </c>
      <c r="J5813" s="760">
        <f t="shared" si="363"/>
        <v>0.82631578947368423</v>
      </c>
    </row>
    <row r="5814" spans="1:10">
      <c r="A5814" s="74" t="s">
        <v>2183</v>
      </c>
      <c r="B5814" s="74" t="s">
        <v>276</v>
      </c>
      <c r="C5814" s="74" t="s">
        <v>1513</v>
      </c>
      <c r="D5814" s="74" t="s">
        <v>81</v>
      </c>
      <c r="E5814" s="74">
        <v>5</v>
      </c>
      <c r="F5814" s="74">
        <v>33.700000000000003</v>
      </c>
      <c r="G5814" s="758">
        <f t="shared" si="360"/>
        <v>0.55000000000000004</v>
      </c>
      <c r="H5814" s="759">
        <f t="shared" si="361"/>
        <v>0.12</v>
      </c>
      <c r="I5814" s="758">
        <f t="shared" si="362"/>
        <v>6.19</v>
      </c>
      <c r="J5814" s="760">
        <f t="shared" si="363"/>
        <v>0.91839762611275966</v>
      </c>
    </row>
    <row r="5815" spans="1:10">
      <c r="A5815" s="74" t="s">
        <v>2183</v>
      </c>
      <c r="B5815" s="74" t="s">
        <v>276</v>
      </c>
      <c r="C5815" s="74" t="s">
        <v>1514</v>
      </c>
      <c r="D5815" s="74" t="s">
        <v>81</v>
      </c>
      <c r="E5815" s="74">
        <v>3</v>
      </c>
      <c r="F5815" s="74">
        <v>14.25</v>
      </c>
      <c r="G5815" s="758">
        <f t="shared" si="360"/>
        <v>0.55000000000000004</v>
      </c>
      <c r="H5815" s="759">
        <f t="shared" si="361"/>
        <v>0.12</v>
      </c>
      <c r="I5815" s="758">
        <f t="shared" si="362"/>
        <v>4.2</v>
      </c>
      <c r="J5815" s="760">
        <f t="shared" si="363"/>
        <v>0.88421052631578945</v>
      </c>
    </row>
    <row r="5816" spans="1:10">
      <c r="A5816" s="74" t="s">
        <v>2183</v>
      </c>
      <c r="B5816" s="74" t="s">
        <v>276</v>
      </c>
      <c r="C5816" s="74" t="s">
        <v>1515</v>
      </c>
      <c r="D5816" s="74" t="s">
        <v>81</v>
      </c>
      <c r="E5816" s="74">
        <v>4</v>
      </c>
      <c r="F5816" s="74">
        <v>32.799999999999997</v>
      </c>
      <c r="G5816" s="758">
        <f t="shared" si="360"/>
        <v>0.55000000000000004</v>
      </c>
      <c r="H5816" s="759">
        <f t="shared" si="361"/>
        <v>0.12</v>
      </c>
      <c r="I5816" s="758">
        <f t="shared" si="362"/>
        <v>7.6499999999999995</v>
      </c>
      <c r="J5816" s="760">
        <f t="shared" si="363"/>
        <v>0.93292682926829262</v>
      </c>
    </row>
    <row r="5817" spans="1:10">
      <c r="A5817" s="74" t="s">
        <v>2183</v>
      </c>
      <c r="B5817" s="74" t="s">
        <v>276</v>
      </c>
      <c r="C5817" s="74" t="s">
        <v>1516</v>
      </c>
      <c r="D5817" s="74" t="s">
        <v>82</v>
      </c>
      <c r="E5817" s="74">
        <v>2</v>
      </c>
      <c r="F5817" s="74">
        <v>9.8000000000000007</v>
      </c>
      <c r="G5817" s="758">
        <f t="shared" si="360"/>
        <v>0.55000000000000004</v>
      </c>
      <c r="H5817" s="759">
        <f t="shared" si="361"/>
        <v>0.12</v>
      </c>
      <c r="I5817" s="758">
        <f t="shared" si="362"/>
        <v>4.3500000000000005</v>
      </c>
      <c r="J5817" s="760">
        <f t="shared" si="363"/>
        <v>0.88775510204081631</v>
      </c>
    </row>
    <row r="5818" spans="1:10">
      <c r="A5818" s="74" t="s">
        <v>2183</v>
      </c>
      <c r="B5818" s="74" t="s">
        <v>276</v>
      </c>
      <c r="C5818" s="74" t="s">
        <v>1517</v>
      </c>
      <c r="D5818" s="74" t="s">
        <v>82</v>
      </c>
      <c r="E5818" s="74">
        <v>5</v>
      </c>
      <c r="F5818" s="74">
        <v>24.35</v>
      </c>
      <c r="G5818" s="758">
        <f t="shared" si="360"/>
        <v>0.55000000000000004</v>
      </c>
      <c r="H5818" s="759">
        <f t="shared" si="361"/>
        <v>0.12</v>
      </c>
      <c r="I5818" s="758">
        <f t="shared" si="362"/>
        <v>4.32</v>
      </c>
      <c r="J5818" s="760">
        <f t="shared" si="363"/>
        <v>0.88706365503080087</v>
      </c>
    </row>
    <row r="5819" spans="1:10">
      <c r="A5819" s="74" t="s">
        <v>2183</v>
      </c>
      <c r="B5819" s="74" t="s">
        <v>276</v>
      </c>
      <c r="C5819" s="74" t="s">
        <v>1527</v>
      </c>
      <c r="D5819" s="74" t="s">
        <v>82</v>
      </c>
      <c r="E5819" s="74">
        <v>6</v>
      </c>
      <c r="F5819" s="74">
        <v>19</v>
      </c>
      <c r="G5819" s="758">
        <f t="shared" si="360"/>
        <v>0.55000000000000004</v>
      </c>
      <c r="H5819" s="759">
        <f t="shared" si="361"/>
        <v>0.12</v>
      </c>
      <c r="I5819" s="758">
        <f t="shared" si="362"/>
        <v>2.6166666666666663</v>
      </c>
      <c r="J5819" s="760">
        <f t="shared" si="363"/>
        <v>0.82631578947368423</v>
      </c>
    </row>
    <row r="5820" spans="1:10">
      <c r="A5820" s="74" t="s">
        <v>2183</v>
      </c>
      <c r="B5820" s="74" t="s">
        <v>276</v>
      </c>
      <c r="C5820" s="74" t="s">
        <v>1518</v>
      </c>
      <c r="D5820" s="74" t="s">
        <v>82</v>
      </c>
      <c r="E5820" s="74">
        <v>3</v>
      </c>
      <c r="F5820" s="74">
        <v>14.25</v>
      </c>
      <c r="G5820" s="758">
        <f t="shared" si="360"/>
        <v>0.55000000000000004</v>
      </c>
      <c r="H5820" s="759">
        <f t="shared" si="361"/>
        <v>0.12</v>
      </c>
      <c r="I5820" s="758">
        <f t="shared" si="362"/>
        <v>4.2</v>
      </c>
      <c r="J5820" s="760">
        <f t="shared" si="363"/>
        <v>0.88421052631578945</v>
      </c>
    </row>
    <row r="5821" spans="1:10">
      <c r="A5821" s="74" t="s">
        <v>2183</v>
      </c>
      <c r="B5821" s="74" t="s">
        <v>276</v>
      </c>
      <c r="C5821" s="74" t="s">
        <v>1519</v>
      </c>
      <c r="D5821" s="74" t="s">
        <v>84</v>
      </c>
      <c r="E5821" s="74">
        <v>1</v>
      </c>
      <c r="F5821" s="74">
        <v>4.9000000000000004</v>
      </c>
      <c r="G5821" s="758">
        <f t="shared" si="360"/>
        <v>0.55000000000000004</v>
      </c>
      <c r="H5821" s="759">
        <f t="shared" si="361"/>
        <v>0.12</v>
      </c>
      <c r="I5821" s="758">
        <f t="shared" si="362"/>
        <v>4.3500000000000005</v>
      </c>
      <c r="J5821" s="760">
        <f t="shared" si="363"/>
        <v>0.88775510204081631</v>
      </c>
    </row>
    <row r="5822" spans="1:10">
      <c r="A5822" s="74" t="s">
        <v>2184</v>
      </c>
      <c r="B5822" s="74" t="s">
        <v>266</v>
      </c>
      <c r="C5822" s="74" t="s">
        <v>1605</v>
      </c>
      <c r="D5822" s="74" t="s">
        <v>87</v>
      </c>
      <c r="E5822" s="74">
        <v>1</v>
      </c>
      <c r="F5822" s="74">
        <v>0</v>
      </c>
      <c r="G5822" s="758">
        <f t="shared" si="360"/>
        <v>0</v>
      </c>
      <c r="H5822" s="759">
        <f t="shared" si="361"/>
        <v>0</v>
      </c>
      <c r="I5822" s="758">
        <f t="shared" si="362"/>
        <v>0</v>
      </c>
      <c r="J5822" s="760">
        <f t="shared" si="363"/>
        <v>0</v>
      </c>
    </row>
    <row r="5823" spans="1:10">
      <c r="A5823" s="74" t="s">
        <v>2185</v>
      </c>
      <c r="B5823" s="74" t="s">
        <v>725</v>
      </c>
      <c r="C5823" s="74" t="s">
        <v>1511</v>
      </c>
      <c r="D5823" s="74" t="s">
        <v>80</v>
      </c>
      <c r="E5823" s="74">
        <v>1</v>
      </c>
      <c r="F5823" s="74">
        <v>2.25</v>
      </c>
      <c r="G5823" s="758">
        <f t="shared" si="360"/>
        <v>0</v>
      </c>
      <c r="H5823" s="759">
        <f t="shared" si="361"/>
        <v>0.16</v>
      </c>
      <c r="I5823" s="758">
        <f t="shared" si="362"/>
        <v>2.25</v>
      </c>
      <c r="J5823" s="760">
        <f t="shared" si="363"/>
        <v>1</v>
      </c>
    </row>
    <row r="5824" spans="1:10">
      <c r="A5824" s="74" t="s">
        <v>2186</v>
      </c>
      <c r="B5824" s="74" t="s">
        <v>725</v>
      </c>
      <c r="C5824" s="74" t="s">
        <v>1518</v>
      </c>
      <c r="D5824" s="74" t="s">
        <v>82</v>
      </c>
      <c r="E5824" s="74">
        <v>1</v>
      </c>
      <c r="F5824" s="74">
        <v>2.25</v>
      </c>
      <c r="G5824" s="758">
        <f t="shared" si="360"/>
        <v>0</v>
      </c>
      <c r="H5824" s="759">
        <f t="shared" si="361"/>
        <v>0.28999999999999998</v>
      </c>
      <c r="I5824" s="758">
        <f t="shared" si="362"/>
        <v>2.25</v>
      </c>
      <c r="J5824" s="760">
        <f t="shared" si="363"/>
        <v>1</v>
      </c>
    </row>
    <row r="5825" spans="1:10">
      <c r="A5825" s="74" t="s">
        <v>2187</v>
      </c>
      <c r="B5825" s="74" t="s">
        <v>258</v>
      </c>
      <c r="C5825" s="74" t="s">
        <v>1644</v>
      </c>
      <c r="D5825" s="74" t="s">
        <v>86</v>
      </c>
      <c r="E5825" s="74">
        <v>5</v>
      </c>
      <c r="F5825" s="74">
        <v>0</v>
      </c>
      <c r="G5825" s="758">
        <f t="shared" si="360"/>
        <v>0</v>
      </c>
      <c r="H5825" s="759">
        <f t="shared" si="361"/>
        <v>0</v>
      </c>
      <c r="I5825" s="758">
        <f t="shared" si="362"/>
        <v>0</v>
      </c>
      <c r="J5825" s="760">
        <f t="shared" si="363"/>
        <v>0</v>
      </c>
    </row>
    <row r="5826" spans="1:10">
      <c r="A5826" s="74" t="s">
        <v>2187</v>
      </c>
      <c r="B5826" s="74" t="s">
        <v>258</v>
      </c>
      <c r="C5826" s="74" t="s">
        <v>1578</v>
      </c>
      <c r="D5826" s="74" t="s">
        <v>86</v>
      </c>
      <c r="E5826" s="74">
        <v>8</v>
      </c>
      <c r="F5826" s="74">
        <v>0</v>
      </c>
      <c r="G5826" s="758">
        <f t="shared" ref="G5826:G5889" si="364">IFERROR(VLOOKUP(A5826,$M$1:$P$1014,2,FALSE),0)</f>
        <v>0</v>
      </c>
      <c r="H5826" s="759">
        <f t="shared" ref="H5826:H5889" si="365">IFERROR(VLOOKUP(A5826,$M$1:$P$1014,3,FALSE),0)</f>
        <v>0</v>
      </c>
      <c r="I5826" s="758">
        <f t="shared" ref="I5826:I5889" si="366">IFERROR(F5826/E5826-G5826,0)</f>
        <v>0</v>
      </c>
      <c r="J5826" s="760">
        <f t="shared" ref="J5826:J5889" si="367">IFERROR(1-G5826*E5826/F5826,0)</f>
        <v>0</v>
      </c>
    </row>
    <row r="5827" spans="1:10">
      <c r="A5827" s="74" t="s">
        <v>2187</v>
      </c>
      <c r="B5827" s="74" t="s">
        <v>258</v>
      </c>
      <c r="C5827" s="74" t="s">
        <v>1541</v>
      </c>
      <c r="D5827" s="74" t="s">
        <v>86</v>
      </c>
      <c r="E5827" s="74">
        <v>5</v>
      </c>
      <c r="F5827" s="74">
        <v>0</v>
      </c>
      <c r="G5827" s="758">
        <f t="shared" si="364"/>
        <v>0</v>
      </c>
      <c r="H5827" s="759">
        <f t="shared" si="365"/>
        <v>0</v>
      </c>
      <c r="I5827" s="758">
        <f t="shared" si="366"/>
        <v>0</v>
      </c>
      <c r="J5827" s="760">
        <f t="shared" si="367"/>
        <v>0</v>
      </c>
    </row>
    <row r="5828" spans="1:10">
      <c r="A5828" s="74" t="s">
        <v>2187</v>
      </c>
      <c r="B5828" s="74" t="s">
        <v>258</v>
      </c>
      <c r="C5828" s="74" t="s">
        <v>1543</v>
      </c>
      <c r="D5828" s="74" t="s">
        <v>87</v>
      </c>
      <c r="E5828" s="74">
        <v>2</v>
      </c>
      <c r="F5828" s="74">
        <v>0</v>
      </c>
      <c r="G5828" s="758">
        <f t="shared" si="364"/>
        <v>0</v>
      </c>
      <c r="H5828" s="759">
        <f t="shared" si="365"/>
        <v>0</v>
      </c>
      <c r="I5828" s="758">
        <f t="shared" si="366"/>
        <v>0</v>
      </c>
      <c r="J5828" s="760">
        <f t="shared" si="367"/>
        <v>0</v>
      </c>
    </row>
    <row r="5829" spans="1:10">
      <c r="A5829" s="74" t="s">
        <v>2187</v>
      </c>
      <c r="B5829" s="74" t="s">
        <v>258</v>
      </c>
      <c r="C5829" s="74" t="s">
        <v>1547</v>
      </c>
      <c r="D5829" s="74" t="s">
        <v>89</v>
      </c>
      <c r="E5829" s="74">
        <v>2</v>
      </c>
      <c r="F5829" s="74">
        <v>0</v>
      </c>
      <c r="G5829" s="758">
        <f t="shared" si="364"/>
        <v>0</v>
      </c>
      <c r="H5829" s="759">
        <f t="shared" si="365"/>
        <v>0</v>
      </c>
      <c r="I5829" s="758">
        <f t="shared" si="366"/>
        <v>0</v>
      </c>
      <c r="J5829" s="760">
        <f t="shared" si="367"/>
        <v>0</v>
      </c>
    </row>
    <row r="5830" spans="1:10">
      <c r="A5830" s="74" t="s">
        <v>2187</v>
      </c>
      <c r="B5830" s="74" t="s">
        <v>258</v>
      </c>
      <c r="C5830" s="74" t="s">
        <v>1522</v>
      </c>
      <c r="D5830" s="74" t="s">
        <v>91</v>
      </c>
      <c r="E5830" s="74">
        <v>3</v>
      </c>
      <c r="F5830" s="74">
        <v>0</v>
      </c>
      <c r="G5830" s="758">
        <f t="shared" si="364"/>
        <v>0</v>
      </c>
      <c r="H5830" s="759">
        <f t="shared" si="365"/>
        <v>0</v>
      </c>
      <c r="I5830" s="758">
        <f t="shared" si="366"/>
        <v>0</v>
      </c>
      <c r="J5830" s="760">
        <f t="shared" si="367"/>
        <v>0</v>
      </c>
    </row>
    <row r="5831" spans="1:10">
      <c r="A5831" s="74" t="s">
        <v>2187</v>
      </c>
      <c r="B5831" s="74" t="s">
        <v>258</v>
      </c>
      <c r="C5831" s="74" t="s">
        <v>1550</v>
      </c>
      <c r="D5831" s="74" t="s">
        <v>91</v>
      </c>
      <c r="E5831" s="74">
        <v>1</v>
      </c>
      <c r="F5831" s="74">
        <v>0</v>
      </c>
      <c r="G5831" s="758">
        <f t="shared" si="364"/>
        <v>0</v>
      </c>
      <c r="H5831" s="759">
        <f t="shared" si="365"/>
        <v>0</v>
      </c>
      <c r="I5831" s="758">
        <f t="shared" si="366"/>
        <v>0</v>
      </c>
      <c r="J5831" s="760">
        <f t="shared" si="367"/>
        <v>0</v>
      </c>
    </row>
    <row r="5832" spans="1:10">
      <c r="A5832" s="74" t="s">
        <v>1098</v>
      </c>
      <c r="B5832" s="74" t="s">
        <v>894</v>
      </c>
      <c r="C5832" s="74" t="s">
        <v>1528</v>
      </c>
      <c r="D5832" s="74" t="s">
        <v>78</v>
      </c>
      <c r="E5832" s="74">
        <v>1</v>
      </c>
      <c r="F5832" s="74">
        <v>5.65</v>
      </c>
      <c r="G5832" s="758">
        <f t="shared" si="364"/>
        <v>0.57999999999999996</v>
      </c>
      <c r="H5832" s="759">
        <f t="shared" si="365"/>
        <v>0.16</v>
      </c>
      <c r="I5832" s="758">
        <f t="shared" si="366"/>
        <v>5.07</v>
      </c>
      <c r="J5832" s="760">
        <f t="shared" si="367"/>
        <v>0.89734513274336281</v>
      </c>
    </row>
    <row r="5833" spans="1:10">
      <c r="A5833" s="74" t="s">
        <v>1098</v>
      </c>
      <c r="B5833" s="74" t="s">
        <v>894</v>
      </c>
      <c r="C5833" s="74" t="s">
        <v>1508</v>
      </c>
      <c r="D5833" s="74" t="s">
        <v>78</v>
      </c>
      <c r="E5833" s="74">
        <v>1</v>
      </c>
      <c r="F5833" s="74">
        <v>6.65</v>
      </c>
      <c r="G5833" s="758">
        <f t="shared" si="364"/>
        <v>0.57999999999999996</v>
      </c>
      <c r="H5833" s="759">
        <f t="shared" si="365"/>
        <v>0.16</v>
      </c>
      <c r="I5833" s="758">
        <f t="shared" si="366"/>
        <v>6.07</v>
      </c>
      <c r="J5833" s="760">
        <f t="shared" si="367"/>
        <v>0.91278195488721803</v>
      </c>
    </row>
    <row r="5834" spans="1:10">
      <c r="A5834" s="74" t="s">
        <v>1098</v>
      </c>
      <c r="B5834" s="74" t="s">
        <v>894</v>
      </c>
      <c r="C5834" s="74" t="s">
        <v>1509</v>
      </c>
      <c r="D5834" s="74" t="s">
        <v>78</v>
      </c>
      <c r="E5834" s="74">
        <v>2</v>
      </c>
      <c r="F5834" s="74">
        <v>11.3</v>
      </c>
      <c r="G5834" s="758">
        <f t="shared" si="364"/>
        <v>0.57999999999999996</v>
      </c>
      <c r="H5834" s="759">
        <f t="shared" si="365"/>
        <v>0.16</v>
      </c>
      <c r="I5834" s="758">
        <f t="shared" si="366"/>
        <v>5.07</v>
      </c>
      <c r="J5834" s="760">
        <f t="shared" si="367"/>
        <v>0.89734513274336281</v>
      </c>
    </row>
    <row r="5835" spans="1:10">
      <c r="A5835" s="74" t="s">
        <v>1098</v>
      </c>
      <c r="B5835" s="74" t="s">
        <v>894</v>
      </c>
      <c r="C5835" s="74" t="s">
        <v>1565</v>
      </c>
      <c r="D5835" s="74" t="s">
        <v>78</v>
      </c>
      <c r="E5835" s="74">
        <v>1</v>
      </c>
      <c r="F5835" s="74">
        <v>5.65</v>
      </c>
      <c r="G5835" s="758">
        <f t="shared" si="364"/>
        <v>0.57999999999999996</v>
      </c>
      <c r="H5835" s="759">
        <f t="shared" si="365"/>
        <v>0.16</v>
      </c>
      <c r="I5835" s="758">
        <f t="shared" si="366"/>
        <v>5.07</v>
      </c>
      <c r="J5835" s="760">
        <f t="shared" si="367"/>
        <v>0.89734513274336281</v>
      </c>
    </row>
    <row r="5836" spans="1:10">
      <c r="A5836" s="74" t="s">
        <v>1098</v>
      </c>
      <c r="B5836" s="74" t="s">
        <v>894</v>
      </c>
      <c r="C5836" s="74" t="s">
        <v>1532</v>
      </c>
      <c r="D5836" s="74" t="s">
        <v>80</v>
      </c>
      <c r="E5836" s="74">
        <v>4</v>
      </c>
      <c r="F5836" s="74">
        <v>22.6</v>
      </c>
      <c r="G5836" s="758">
        <f t="shared" si="364"/>
        <v>0.57999999999999996</v>
      </c>
      <c r="H5836" s="759">
        <f t="shared" si="365"/>
        <v>0.16</v>
      </c>
      <c r="I5836" s="758">
        <f t="shared" si="366"/>
        <v>5.07</v>
      </c>
      <c r="J5836" s="760">
        <f t="shared" si="367"/>
        <v>0.89734513274336281</v>
      </c>
    </row>
    <row r="5837" spans="1:10">
      <c r="A5837" s="74" t="s">
        <v>1098</v>
      </c>
      <c r="B5837" s="74" t="s">
        <v>894</v>
      </c>
      <c r="C5837" s="74" t="s">
        <v>1511</v>
      </c>
      <c r="D5837" s="74" t="s">
        <v>80</v>
      </c>
      <c r="E5837" s="74">
        <v>3</v>
      </c>
      <c r="F5837" s="74">
        <v>16.95</v>
      </c>
      <c r="G5837" s="758">
        <f t="shared" si="364"/>
        <v>0.57999999999999996</v>
      </c>
      <c r="H5837" s="759">
        <f t="shared" si="365"/>
        <v>0.16</v>
      </c>
      <c r="I5837" s="758">
        <f t="shared" si="366"/>
        <v>5.0699999999999994</v>
      </c>
      <c r="J5837" s="760">
        <f t="shared" si="367"/>
        <v>0.89734513274336281</v>
      </c>
    </row>
    <row r="5838" spans="1:10">
      <c r="A5838" s="74" t="s">
        <v>1098</v>
      </c>
      <c r="B5838" s="74" t="s">
        <v>894</v>
      </c>
      <c r="C5838" s="74" t="s">
        <v>1512</v>
      </c>
      <c r="D5838" s="74" t="s">
        <v>80</v>
      </c>
      <c r="E5838" s="74">
        <v>1</v>
      </c>
      <c r="F5838" s="74">
        <v>5.65</v>
      </c>
      <c r="G5838" s="758">
        <f t="shared" si="364"/>
        <v>0.57999999999999996</v>
      </c>
      <c r="H5838" s="759">
        <f t="shared" si="365"/>
        <v>0.16</v>
      </c>
      <c r="I5838" s="758">
        <f t="shared" si="366"/>
        <v>5.07</v>
      </c>
      <c r="J5838" s="760">
        <f t="shared" si="367"/>
        <v>0.89734513274336281</v>
      </c>
    </row>
    <row r="5839" spans="1:10">
      <c r="A5839" s="74" t="s">
        <v>1098</v>
      </c>
      <c r="B5839" s="74" t="s">
        <v>894</v>
      </c>
      <c r="C5839" s="74" t="s">
        <v>1534</v>
      </c>
      <c r="D5839" s="74" t="s">
        <v>81</v>
      </c>
      <c r="E5839" s="74">
        <v>5</v>
      </c>
      <c r="F5839" s="74">
        <v>28.25</v>
      </c>
      <c r="G5839" s="758">
        <f t="shared" si="364"/>
        <v>0.57999999999999996</v>
      </c>
      <c r="H5839" s="759">
        <f t="shared" si="365"/>
        <v>0.16</v>
      </c>
      <c r="I5839" s="758">
        <f t="shared" si="366"/>
        <v>5.07</v>
      </c>
      <c r="J5839" s="760">
        <f t="shared" si="367"/>
        <v>0.89734513274336281</v>
      </c>
    </row>
    <row r="5840" spans="1:10">
      <c r="A5840" s="74" t="s">
        <v>1098</v>
      </c>
      <c r="B5840" s="74" t="s">
        <v>894</v>
      </c>
      <c r="C5840" s="74" t="s">
        <v>1513</v>
      </c>
      <c r="D5840" s="74" t="s">
        <v>81</v>
      </c>
      <c r="E5840" s="74">
        <v>2</v>
      </c>
      <c r="F5840" s="74">
        <v>11.3</v>
      </c>
      <c r="G5840" s="758">
        <f t="shared" si="364"/>
        <v>0.57999999999999996</v>
      </c>
      <c r="H5840" s="759">
        <f t="shared" si="365"/>
        <v>0.16</v>
      </c>
      <c r="I5840" s="758">
        <f t="shared" si="366"/>
        <v>5.07</v>
      </c>
      <c r="J5840" s="760">
        <f t="shared" si="367"/>
        <v>0.89734513274336281</v>
      </c>
    </row>
    <row r="5841" spans="1:10">
      <c r="A5841" s="74" t="s">
        <v>1098</v>
      </c>
      <c r="B5841" s="74" t="s">
        <v>894</v>
      </c>
      <c r="C5841" s="74" t="s">
        <v>1515</v>
      </c>
      <c r="D5841" s="74" t="s">
        <v>81</v>
      </c>
      <c r="E5841" s="74">
        <v>1</v>
      </c>
      <c r="F5841" s="74">
        <v>5.65</v>
      </c>
      <c r="G5841" s="758">
        <f t="shared" si="364"/>
        <v>0.57999999999999996</v>
      </c>
      <c r="H5841" s="759">
        <f t="shared" si="365"/>
        <v>0.16</v>
      </c>
      <c r="I5841" s="758">
        <f t="shared" si="366"/>
        <v>5.07</v>
      </c>
      <c r="J5841" s="760">
        <f t="shared" si="367"/>
        <v>0.89734513274336281</v>
      </c>
    </row>
    <row r="5842" spans="1:10">
      <c r="A5842" s="74" t="s">
        <v>1098</v>
      </c>
      <c r="B5842" s="74" t="s">
        <v>894</v>
      </c>
      <c r="C5842" s="74" t="s">
        <v>1516</v>
      </c>
      <c r="D5842" s="74" t="s">
        <v>82</v>
      </c>
      <c r="E5842" s="74">
        <v>4</v>
      </c>
      <c r="F5842" s="74">
        <v>23.6</v>
      </c>
      <c r="G5842" s="758">
        <f t="shared" si="364"/>
        <v>0.57999999999999996</v>
      </c>
      <c r="H5842" s="759">
        <f t="shared" si="365"/>
        <v>0.16</v>
      </c>
      <c r="I5842" s="758">
        <f t="shared" si="366"/>
        <v>5.32</v>
      </c>
      <c r="J5842" s="760">
        <f t="shared" si="367"/>
        <v>0.90169491525423728</v>
      </c>
    </row>
    <row r="5843" spans="1:10">
      <c r="A5843" s="74" t="s">
        <v>1098</v>
      </c>
      <c r="B5843" s="74" t="s">
        <v>894</v>
      </c>
      <c r="C5843" s="74" t="s">
        <v>1517</v>
      </c>
      <c r="D5843" s="74" t="s">
        <v>82</v>
      </c>
      <c r="E5843" s="74">
        <v>2</v>
      </c>
      <c r="F5843" s="74">
        <v>11.3</v>
      </c>
      <c r="G5843" s="758">
        <f t="shared" si="364"/>
        <v>0.57999999999999996</v>
      </c>
      <c r="H5843" s="759">
        <f t="shared" si="365"/>
        <v>0.16</v>
      </c>
      <c r="I5843" s="758">
        <f t="shared" si="366"/>
        <v>5.07</v>
      </c>
      <c r="J5843" s="760">
        <f t="shared" si="367"/>
        <v>0.89734513274336281</v>
      </c>
    </row>
    <row r="5844" spans="1:10">
      <c r="A5844" s="74" t="s">
        <v>1098</v>
      </c>
      <c r="B5844" s="74" t="s">
        <v>894</v>
      </c>
      <c r="C5844" s="74" t="s">
        <v>1527</v>
      </c>
      <c r="D5844" s="74" t="s">
        <v>82</v>
      </c>
      <c r="E5844" s="74">
        <v>1</v>
      </c>
      <c r="F5844" s="74">
        <v>5.65</v>
      </c>
      <c r="G5844" s="758">
        <f t="shared" si="364"/>
        <v>0.57999999999999996</v>
      </c>
      <c r="H5844" s="759">
        <f t="shared" si="365"/>
        <v>0.16</v>
      </c>
      <c r="I5844" s="758">
        <f t="shared" si="366"/>
        <v>5.07</v>
      </c>
      <c r="J5844" s="760">
        <f t="shared" si="367"/>
        <v>0.89734513274336281</v>
      </c>
    </row>
    <row r="5845" spans="1:10">
      <c r="A5845" s="74" t="s">
        <v>1098</v>
      </c>
      <c r="B5845" s="74" t="s">
        <v>894</v>
      </c>
      <c r="C5845" s="74" t="s">
        <v>1518</v>
      </c>
      <c r="D5845" s="74" t="s">
        <v>82</v>
      </c>
      <c r="E5845" s="74">
        <v>2</v>
      </c>
      <c r="F5845" s="74">
        <v>11.3</v>
      </c>
      <c r="G5845" s="758">
        <f t="shared" si="364"/>
        <v>0.57999999999999996</v>
      </c>
      <c r="H5845" s="759">
        <f t="shared" si="365"/>
        <v>0.16</v>
      </c>
      <c r="I5845" s="758">
        <f t="shared" si="366"/>
        <v>5.07</v>
      </c>
      <c r="J5845" s="760">
        <f t="shared" si="367"/>
        <v>0.89734513274336281</v>
      </c>
    </row>
    <row r="5846" spans="1:10">
      <c r="A5846" s="74" t="s">
        <v>1098</v>
      </c>
      <c r="B5846" s="74" t="s">
        <v>894</v>
      </c>
      <c r="C5846" s="74" t="s">
        <v>1507</v>
      </c>
      <c r="D5846" s="74" t="s">
        <v>86</v>
      </c>
      <c r="E5846" s="74">
        <v>1</v>
      </c>
      <c r="F5846" s="74">
        <v>5.65</v>
      </c>
      <c r="G5846" s="758">
        <f t="shared" si="364"/>
        <v>0.57999999999999996</v>
      </c>
      <c r="H5846" s="759">
        <f t="shared" si="365"/>
        <v>0.16</v>
      </c>
      <c r="I5846" s="758">
        <f t="shared" si="366"/>
        <v>5.07</v>
      </c>
      <c r="J5846" s="760">
        <f t="shared" si="367"/>
        <v>0.89734513274336281</v>
      </c>
    </row>
    <row r="5847" spans="1:10">
      <c r="A5847" s="74" t="s">
        <v>1098</v>
      </c>
      <c r="B5847" s="74" t="s">
        <v>894</v>
      </c>
      <c r="C5847" s="74" t="s">
        <v>1644</v>
      </c>
      <c r="D5847" s="74" t="s">
        <v>86</v>
      </c>
      <c r="E5847" s="74">
        <v>1</v>
      </c>
      <c r="F5847" s="74">
        <v>5.65</v>
      </c>
      <c r="G5847" s="758">
        <f t="shared" si="364"/>
        <v>0.57999999999999996</v>
      </c>
      <c r="H5847" s="759">
        <f t="shared" si="365"/>
        <v>0.16</v>
      </c>
      <c r="I5847" s="758">
        <f t="shared" si="366"/>
        <v>5.07</v>
      </c>
      <c r="J5847" s="760">
        <f t="shared" si="367"/>
        <v>0.89734513274336281</v>
      </c>
    </row>
    <row r="5848" spans="1:10">
      <c r="A5848" s="74" t="s">
        <v>1098</v>
      </c>
      <c r="B5848" s="74" t="s">
        <v>894</v>
      </c>
      <c r="C5848" s="74" t="s">
        <v>1561</v>
      </c>
      <c r="D5848" s="74" t="s">
        <v>87</v>
      </c>
      <c r="E5848" s="74">
        <v>2</v>
      </c>
      <c r="F5848" s="74">
        <v>11.3</v>
      </c>
      <c r="G5848" s="758">
        <f t="shared" si="364"/>
        <v>0.57999999999999996</v>
      </c>
      <c r="H5848" s="759">
        <f t="shared" si="365"/>
        <v>0.16</v>
      </c>
      <c r="I5848" s="758">
        <f t="shared" si="366"/>
        <v>5.07</v>
      </c>
      <c r="J5848" s="760">
        <f t="shared" si="367"/>
        <v>0.89734513274336281</v>
      </c>
    </row>
    <row r="5849" spans="1:10">
      <c r="A5849" s="74" t="s">
        <v>1098</v>
      </c>
      <c r="B5849" s="74" t="s">
        <v>894</v>
      </c>
      <c r="C5849" s="74" t="s">
        <v>1608</v>
      </c>
      <c r="D5849" s="74" t="s">
        <v>89</v>
      </c>
      <c r="E5849" s="74">
        <v>1</v>
      </c>
      <c r="F5849" s="74">
        <v>5.65</v>
      </c>
      <c r="G5849" s="758">
        <f t="shared" si="364"/>
        <v>0.57999999999999996</v>
      </c>
      <c r="H5849" s="759">
        <f t="shared" si="365"/>
        <v>0.16</v>
      </c>
      <c r="I5849" s="758">
        <f t="shared" si="366"/>
        <v>5.07</v>
      </c>
      <c r="J5849" s="760">
        <f t="shared" si="367"/>
        <v>0.89734513274336281</v>
      </c>
    </row>
    <row r="5850" spans="1:10">
      <c r="A5850" s="74" t="s">
        <v>1098</v>
      </c>
      <c r="B5850" s="74" t="s">
        <v>894</v>
      </c>
      <c r="C5850" s="74" t="s">
        <v>1610</v>
      </c>
      <c r="D5850" s="74" t="s">
        <v>89</v>
      </c>
      <c r="E5850" s="74">
        <v>1</v>
      </c>
      <c r="F5850" s="74">
        <v>5.65</v>
      </c>
      <c r="G5850" s="758">
        <f t="shared" si="364"/>
        <v>0.57999999999999996</v>
      </c>
      <c r="H5850" s="759">
        <f t="shared" si="365"/>
        <v>0.16</v>
      </c>
      <c r="I5850" s="758">
        <f t="shared" si="366"/>
        <v>5.07</v>
      </c>
      <c r="J5850" s="760">
        <f t="shared" si="367"/>
        <v>0.89734513274336281</v>
      </c>
    </row>
    <row r="5851" spans="1:10">
      <c r="A5851" s="74" t="s">
        <v>1098</v>
      </c>
      <c r="B5851" s="74" t="s">
        <v>894</v>
      </c>
      <c r="C5851" s="74" t="s">
        <v>1582</v>
      </c>
      <c r="D5851" s="74" t="s">
        <v>89</v>
      </c>
      <c r="E5851" s="74">
        <v>1</v>
      </c>
      <c r="F5851" s="74">
        <v>5.65</v>
      </c>
      <c r="G5851" s="758">
        <f t="shared" si="364"/>
        <v>0.57999999999999996</v>
      </c>
      <c r="H5851" s="759">
        <f t="shared" si="365"/>
        <v>0.16</v>
      </c>
      <c r="I5851" s="758">
        <f t="shared" si="366"/>
        <v>5.07</v>
      </c>
      <c r="J5851" s="760">
        <f t="shared" si="367"/>
        <v>0.89734513274336281</v>
      </c>
    </row>
    <row r="5852" spans="1:10">
      <c r="A5852" s="74" t="s">
        <v>1098</v>
      </c>
      <c r="B5852" s="74" t="s">
        <v>894</v>
      </c>
      <c r="C5852" s="74" t="s">
        <v>1675</v>
      </c>
      <c r="D5852" s="74" t="s">
        <v>91</v>
      </c>
      <c r="E5852" s="74">
        <v>3</v>
      </c>
      <c r="F5852" s="74">
        <v>16.95</v>
      </c>
      <c r="G5852" s="758">
        <f t="shared" si="364"/>
        <v>0.57999999999999996</v>
      </c>
      <c r="H5852" s="759">
        <f t="shared" si="365"/>
        <v>0.16</v>
      </c>
      <c r="I5852" s="758">
        <f t="shared" si="366"/>
        <v>5.0699999999999994</v>
      </c>
      <c r="J5852" s="760">
        <f t="shared" si="367"/>
        <v>0.89734513274336281</v>
      </c>
    </row>
    <row r="5853" spans="1:10">
      <c r="A5853" s="74" t="s">
        <v>1098</v>
      </c>
      <c r="B5853" s="74" t="s">
        <v>894</v>
      </c>
      <c r="C5853" s="74" t="s">
        <v>1524</v>
      </c>
      <c r="D5853" s="74" t="s">
        <v>91</v>
      </c>
      <c r="E5853" s="74">
        <v>2</v>
      </c>
      <c r="F5853" s="74">
        <v>11.3</v>
      </c>
      <c r="G5853" s="758">
        <f t="shared" si="364"/>
        <v>0.57999999999999996</v>
      </c>
      <c r="H5853" s="759">
        <f t="shared" si="365"/>
        <v>0.16</v>
      </c>
      <c r="I5853" s="758">
        <f t="shared" si="366"/>
        <v>5.07</v>
      </c>
      <c r="J5853" s="760">
        <f t="shared" si="367"/>
        <v>0.89734513274336281</v>
      </c>
    </row>
    <row r="5854" spans="1:10">
      <c r="A5854" s="74" t="s">
        <v>1098</v>
      </c>
      <c r="B5854" s="74" t="s">
        <v>894</v>
      </c>
      <c r="C5854" s="74" t="s">
        <v>1553</v>
      </c>
      <c r="D5854" s="74" t="s">
        <v>94</v>
      </c>
      <c r="E5854" s="74">
        <v>1</v>
      </c>
      <c r="F5854" s="74">
        <v>5.65</v>
      </c>
      <c r="G5854" s="758">
        <f t="shared" si="364"/>
        <v>0.57999999999999996</v>
      </c>
      <c r="H5854" s="759">
        <f t="shared" si="365"/>
        <v>0.16</v>
      </c>
      <c r="I5854" s="758">
        <f t="shared" si="366"/>
        <v>5.07</v>
      </c>
      <c r="J5854" s="760">
        <f t="shared" si="367"/>
        <v>0.89734513274336281</v>
      </c>
    </row>
    <row r="5855" spans="1:10">
      <c r="A5855" s="74" t="s">
        <v>2314</v>
      </c>
      <c r="B5855" s="74" t="s">
        <v>328</v>
      </c>
      <c r="C5855" s="74" t="s">
        <v>1557</v>
      </c>
      <c r="D5855" s="74" t="s">
        <v>95</v>
      </c>
      <c r="E5855" s="74">
        <v>1</v>
      </c>
      <c r="F5855" s="74">
        <v>5.65</v>
      </c>
      <c r="G5855" s="758">
        <f t="shared" si="364"/>
        <v>0.57999999999999996</v>
      </c>
      <c r="H5855" s="759">
        <f t="shared" si="365"/>
        <v>0.16</v>
      </c>
      <c r="I5855" s="758">
        <f t="shared" si="366"/>
        <v>5.07</v>
      </c>
      <c r="J5855" s="760">
        <f t="shared" si="367"/>
        <v>0.89734513274336281</v>
      </c>
    </row>
    <row r="5856" spans="1:10">
      <c r="A5856" s="74" t="s">
        <v>2188</v>
      </c>
      <c r="B5856" s="74" t="s">
        <v>266</v>
      </c>
      <c r="C5856" s="74" t="s">
        <v>1614</v>
      </c>
      <c r="D5856" s="74" t="s">
        <v>92</v>
      </c>
      <c r="E5856" s="74">
        <v>1</v>
      </c>
      <c r="F5856" s="74">
        <v>14.85</v>
      </c>
      <c r="G5856" s="758">
        <f t="shared" si="364"/>
        <v>0</v>
      </c>
      <c r="H5856" s="759">
        <f t="shared" si="365"/>
        <v>0</v>
      </c>
      <c r="I5856" s="758">
        <f t="shared" si="366"/>
        <v>14.85</v>
      </c>
      <c r="J5856" s="760">
        <f t="shared" si="367"/>
        <v>1</v>
      </c>
    </row>
    <row r="5857" spans="1:10">
      <c r="A5857" s="74" t="s">
        <v>2189</v>
      </c>
      <c r="B5857" s="74" t="s">
        <v>276</v>
      </c>
      <c r="C5857" s="74" t="s">
        <v>1543</v>
      </c>
      <c r="D5857" s="74" t="s">
        <v>87</v>
      </c>
      <c r="E5857" s="74">
        <v>1</v>
      </c>
      <c r="F5857" s="74">
        <v>14.85</v>
      </c>
      <c r="G5857" s="758">
        <f t="shared" si="364"/>
        <v>0</v>
      </c>
      <c r="H5857" s="759">
        <f t="shared" si="365"/>
        <v>0</v>
      </c>
      <c r="I5857" s="758">
        <f t="shared" si="366"/>
        <v>14.85</v>
      </c>
      <c r="J5857" s="760">
        <f t="shared" si="367"/>
        <v>1</v>
      </c>
    </row>
    <row r="5858" spans="1:10">
      <c r="A5858" s="74" t="s">
        <v>2190</v>
      </c>
      <c r="B5858" s="74" t="s">
        <v>276</v>
      </c>
      <c r="C5858" s="74" t="s">
        <v>1534</v>
      </c>
      <c r="D5858" s="74" t="s">
        <v>81</v>
      </c>
      <c r="E5858" s="74">
        <v>1</v>
      </c>
      <c r="F5858" s="74">
        <v>9.1</v>
      </c>
      <c r="G5858" s="758">
        <f t="shared" si="364"/>
        <v>2.4</v>
      </c>
      <c r="H5858" s="759">
        <f t="shared" si="365"/>
        <v>0.28999999999999998</v>
      </c>
      <c r="I5858" s="758">
        <f t="shared" si="366"/>
        <v>6.6999999999999993</v>
      </c>
      <c r="J5858" s="760">
        <f t="shared" si="367"/>
        <v>0.73626373626373631</v>
      </c>
    </row>
    <row r="5859" spans="1:10">
      <c r="A5859" s="74" t="s">
        <v>2190</v>
      </c>
      <c r="B5859" s="74" t="s">
        <v>276</v>
      </c>
      <c r="C5859" s="74" t="s">
        <v>1527</v>
      </c>
      <c r="D5859" s="74" t="s">
        <v>82</v>
      </c>
      <c r="E5859" s="74">
        <v>1</v>
      </c>
      <c r="F5859" s="74">
        <v>9.1</v>
      </c>
      <c r="G5859" s="758">
        <f t="shared" si="364"/>
        <v>2.4</v>
      </c>
      <c r="H5859" s="759">
        <f t="shared" si="365"/>
        <v>0.28999999999999998</v>
      </c>
      <c r="I5859" s="758">
        <f t="shared" si="366"/>
        <v>6.6999999999999993</v>
      </c>
      <c r="J5859" s="760">
        <f t="shared" si="367"/>
        <v>0.73626373626373631</v>
      </c>
    </row>
    <row r="5860" spans="1:10">
      <c r="A5860" s="74" t="s">
        <v>2191</v>
      </c>
      <c r="B5860" s="74" t="s">
        <v>276</v>
      </c>
      <c r="C5860" s="74" t="s">
        <v>1532</v>
      </c>
      <c r="D5860" s="74" t="s">
        <v>80</v>
      </c>
      <c r="E5860" s="74">
        <v>3</v>
      </c>
      <c r="F5860" s="74">
        <v>44.55</v>
      </c>
      <c r="G5860" s="758">
        <f t="shared" si="364"/>
        <v>3.76</v>
      </c>
      <c r="H5860" s="759">
        <f t="shared" si="365"/>
        <v>0.28000000000000003</v>
      </c>
      <c r="I5860" s="758">
        <f t="shared" si="366"/>
        <v>11.09</v>
      </c>
      <c r="J5860" s="760">
        <f t="shared" si="367"/>
        <v>0.7468013468013468</v>
      </c>
    </row>
    <row r="5861" spans="1:10">
      <c r="A5861" s="74" t="s">
        <v>2191</v>
      </c>
      <c r="B5861" s="74" t="s">
        <v>276</v>
      </c>
      <c r="C5861" s="74" t="s">
        <v>1512</v>
      </c>
      <c r="D5861" s="74" t="s">
        <v>80</v>
      </c>
      <c r="E5861" s="74">
        <v>1</v>
      </c>
      <c r="F5861" s="74">
        <v>14.85</v>
      </c>
      <c r="G5861" s="758">
        <f t="shared" si="364"/>
        <v>3.76</v>
      </c>
      <c r="H5861" s="759">
        <f t="shared" si="365"/>
        <v>0.28000000000000003</v>
      </c>
      <c r="I5861" s="758">
        <f t="shared" si="366"/>
        <v>11.09</v>
      </c>
      <c r="J5861" s="760">
        <f t="shared" si="367"/>
        <v>0.7468013468013468</v>
      </c>
    </row>
    <row r="5862" spans="1:10">
      <c r="A5862" s="74" t="s">
        <v>2191</v>
      </c>
      <c r="B5862" s="74" t="s">
        <v>276</v>
      </c>
      <c r="C5862" s="74" t="s">
        <v>1534</v>
      </c>
      <c r="D5862" s="74" t="s">
        <v>81</v>
      </c>
      <c r="E5862" s="74">
        <v>1</v>
      </c>
      <c r="F5862" s="74">
        <v>14.85</v>
      </c>
      <c r="G5862" s="758">
        <f t="shared" si="364"/>
        <v>3.76</v>
      </c>
      <c r="H5862" s="759">
        <f t="shared" si="365"/>
        <v>0.28000000000000003</v>
      </c>
      <c r="I5862" s="758">
        <f t="shared" si="366"/>
        <v>11.09</v>
      </c>
      <c r="J5862" s="760">
        <f t="shared" si="367"/>
        <v>0.7468013468013468</v>
      </c>
    </row>
    <row r="5863" spans="1:10">
      <c r="A5863" s="74" t="s">
        <v>2191</v>
      </c>
      <c r="B5863" s="74" t="s">
        <v>276</v>
      </c>
      <c r="C5863" s="74" t="s">
        <v>1513</v>
      </c>
      <c r="D5863" s="74" t="s">
        <v>81</v>
      </c>
      <c r="E5863" s="74">
        <v>2</v>
      </c>
      <c r="F5863" s="74">
        <v>30</v>
      </c>
      <c r="G5863" s="758">
        <f t="shared" si="364"/>
        <v>3.76</v>
      </c>
      <c r="H5863" s="759">
        <f t="shared" si="365"/>
        <v>0.28000000000000003</v>
      </c>
      <c r="I5863" s="758">
        <f t="shared" si="366"/>
        <v>11.24</v>
      </c>
      <c r="J5863" s="760">
        <f t="shared" si="367"/>
        <v>0.74933333333333341</v>
      </c>
    </row>
    <row r="5864" spans="1:10">
      <c r="A5864" s="74" t="s">
        <v>2191</v>
      </c>
      <c r="B5864" s="74" t="s">
        <v>276</v>
      </c>
      <c r="C5864" s="74" t="s">
        <v>1517</v>
      </c>
      <c r="D5864" s="74" t="s">
        <v>82</v>
      </c>
      <c r="E5864" s="74">
        <v>2</v>
      </c>
      <c r="F5864" s="74">
        <v>29.7</v>
      </c>
      <c r="G5864" s="758">
        <f t="shared" si="364"/>
        <v>3.76</v>
      </c>
      <c r="H5864" s="759">
        <f t="shared" si="365"/>
        <v>0.28000000000000003</v>
      </c>
      <c r="I5864" s="758">
        <f t="shared" si="366"/>
        <v>11.09</v>
      </c>
      <c r="J5864" s="760">
        <f t="shared" si="367"/>
        <v>0.7468013468013468</v>
      </c>
    </row>
    <row r="5865" spans="1:10">
      <c r="A5865" s="74" t="s">
        <v>2191</v>
      </c>
      <c r="B5865" s="74" t="s">
        <v>276</v>
      </c>
      <c r="C5865" s="74" t="s">
        <v>1527</v>
      </c>
      <c r="D5865" s="74" t="s">
        <v>82</v>
      </c>
      <c r="E5865" s="74">
        <v>3</v>
      </c>
      <c r="F5865" s="74">
        <v>44.55</v>
      </c>
      <c r="G5865" s="758">
        <f t="shared" si="364"/>
        <v>3.76</v>
      </c>
      <c r="H5865" s="759">
        <f t="shared" si="365"/>
        <v>0.28000000000000003</v>
      </c>
      <c r="I5865" s="758">
        <f t="shared" si="366"/>
        <v>11.09</v>
      </c>
      <c r="J5865" s="760">
        <f t="shared" si="367"/>
        <v>0.7468013468013468</v>
      </c>
    </row>
    <row r="5866" spans="1:10">
      <c r="A5866" s="74" t="s">
        <v>1141</v>
      </c>
      <c r="B5866" s="74" t="s">
        <v>276</v>
      </c>
      <c r="C5866" s="74" t="s">
        <v>1578</v>
      </c>
      <c r="D5866" s="74" t="s">
        <v>86</v>
      </c>
      <c r="E5866" s="74">
        <v>1</v>
      </c>
      <c r="F5866" s="74">
        <v>9.1</v>
      </c>
      <c r="G5866" s="758">
        <f t="shared" si="364"/>
        <v>0</v>
      </c>
      <c r="H5866" s="759">
        <f t="shared" si="365"/>
        <v>0</v>
      </c>
      <c r="I5866" s="758">
        <f t="shared" si="366"/>
        <v>9.1</v>
      </c>
      <c r="J5866" s="760">
        <f t="shared" si="367"/>
        <v>1</v>
      </c>
    </row>
    <row r="5867" spans="1:10">
      <c r="A5867" s="74" t="s">
        <v>1191</v>
      </c>
      <c r="B5867" s="74" t="s">
        <v>276</v>
      </c>
      <c r="C5867" s="74" t="s">
        <v>1578</v>
      </c>
      <c r="D5867" s="74" t="s">
        <v>86</v>
      </c>
      <c r="E5867" s="74">
        <v>1</v>
      </c>
      <c r="F5867" s="74">
        <v>15</v>
      </c>
      <c r="G5867" s="758">
        <f t="shared" si="364"/>
        <v>2.4500000000000002</v>
      </c>
      <c r="H5867" s="759">
        <f t="shared" si="365"/>
        <v>0.18</v>
      </c>
      <c r="I5867" s="758">
        <f t="shared" si="366"/>
        <v>12.55</v>
      </c>
      <c r="J5867" s="760">
        <f t="shared" si="367"/>
        <v>0.83666666666666667</v>
      </c>
    </row>
    <row r="5868" spans="1:10">
      <c r="A5868" s="74" t="s">
        <v>1191</v>
      </c>
      <c r="B5868" s="74" t="s">
        <v>276</v>
      </c>
      <c r="C5868" s="74" t="s">
        <v>1610</v>
      </c>
      <c r="D5868" s="74" t="s">
        <v>89</v>
      </c>
      <c r="E5868" s="74">
        <v>1</v>
      </c>
      <c r="F5868" s="74">
        <v>15</v>
      </c>
      <c r="G5868" s="758">
        <f t="shared" si="364"/>
        <v>2.4500000000000002</v>
      </c>
      <c r="H5868" s="759">
        <f t="shared" si="365"/>
        <v>0.18</v>
      </c>
      <c r="I5868" s="758">
        <f t="shared" si="366"/>
        <v>12.55</v>
      </c>
      <c r="J5868" s="760">
        <f t="shared" si="367"/>
        <v>0.83666666666666667</v>
      </c>
    </row>
    <row r="5869" spans="1:10">
      <c r="A5869" s="74" t="s">
        <v>2192</v>
      </c>
      <c r="B5869" s="74" t="s">
        <v>276</v>
      </c>
      <c r="C5869" s="74" t="s">
        <v>1532</v>
      </c>
      <c r="D5869" s="74" t="s">
        <v>80</v>
      </c>
      <c r="E5869" s="74">
        <v>1</v>
      </c>
      <c r="F5869" s="74">
        <v>17</v>
      </c>
      <c r="G5869" s="758">
        <f t="shared" si="364"/>
        <v>3.76</v>
      </c>
      <c r="H5869" s="759">
        <f t="shared" si="365"/>
        <v>0.24</v>
      </c>
      <c r="I5869" s="758">
        <f t="shared" si="366"/>
        <v>13.24</v>
      </c>
      <c r="J5869" s="760">
        <f t="shared" si="367"/>
        <v>0.77882352941176469</v>
      </c>
    </row>
    <row r="5870" spans="1:10">
      <c r="A5870" s="74" t="s">
        <v>2192</v>
      </c>
      <c r="B5870" s="74" t="s">
        <v>276</v>
      </c>
      <c r="C5870" s="74" t="s">
        <v>1512</v>
      </c>
      <c r="D5870" s="74" t="s">
        <v>80</v>
      </c>
      <c r="E5870" s="74">
        <v>1</v>
      </c>
      <c r="F5870" s="74">
        <v>17</v>
      </c>
      <c r="G5870" s="758">
        <f t="shared" si="364"/>
        <v>3.76</v>
      </c>
      <c r="H5870" s="759">
        <f t="shared" si="365"/>
        <v>0.24</v>
      </c>
      <c r="I5870" s="758">
        <f t="shared" si="366"/>
        <v>13.24</v>
      </c>
      <c r="J5870" s="760">
        <f t="shared" si="367"/>
        <v>0.77882352941176469</v>
      </c>
    </row>
    <row r="5871" spans="1:10">
      <c r="A5871" s="74" t="s">
        <v>2192</v>
      </c>
      <c r="B5871" s="74" t="s">
        <v>276</v>
      </c>
      <c r="C5871" s="74" t="s">
        <v>1534</v>
      </c>
      <c r="D5871" s="74" t="s">
        <v>81</v>
      </c>
      <c r="E5871" s="74">
        <v>1</v>
      </c>
      <c r="F5871" s="74">
        <v>17</v>
      </c>
      <c r="G5871" s="758">
        <f t="shared" si="364"/>
        <v>3.76</v>
      </c>
      <c r="H5871" s="759">
        <f t="shared" si="365"/>
        <v>0.24</v>
      </c>
      <c r="I5871" s="758">
        <f t="shared" si="366"/>
        <v>13.24</v>
      </c>
      <c r="J5871" s="760">
        <f t="shared" si="367"/>
        <v>0.77882352941176469</v>
      </c>
    </row>
    <row r="5872" spans="1:10">
      <c r="A5872" s="74" t="s">
        <v>2192</v>
      </c>
      <c r="B5872" s="74" t="s">
        <v>276</v>
      </c>
      <c r="C5872" s="74" t="s">
        <v>1513</v>
      </c>
      <c r="D5872" s="74" t="s">
        <v>81</v>
      </c>
      <c r="E5872" s="74">
        <v>2</v>
      </c>
      <c r="F5872" s="74">
        <v>34.15</v>
      </c>
      <c r="G5872" s="758">
        <f t="shared" si="364"/>
        <v>3.76</v>
      </c>
      <c r="H5872" s="759">
        <f t="shared" si="365"/>
        <v>0.24</v>
      </c>
      <c r="I5872" s="758">
        <f t="shared" si="366"/>
        <v>13.315</v>
      </c>
      <c r="J5872" s="760">
        <f t="shared" si="367"/>
        <v>0.77979502196193262</v>
      </c>
    </row>
    <row r="5873" spans="1:10">
      <c r="A5873" s="74" t="s">
        <v>2192</v>
      </c>
      <c r="B5873" s="74" t="s">
        <v>276</v>
      </c>
      <c r="C5873" s="74" t="s">
        <v>1514</v>
      </c>
      <c r="D5873" s="74" t="s">
        <v>81</v>
      </c>
      <c r="E5873" s="74">
        <v>1</v>
      </c>
      <c r="F5873" s="74">
        <v>17</v>
      </c>
      <c r="G5873" s="758">
        <f t="shared" si="364"/>
        <v>3.76</v>
      </c>
      <c r="H5873" s="759">
        <f t="shared" si="365"/>
        <v>0.24</v>
      </c>
      <c r="I5873" s="758">
        <f t="shared" si="366"/>
        <v>13.24</v>
      </c>
      <c r="J5873" s="760">
        <f t="shared" si="367"/>
        <v>0.77882352941176469</v>
      </c>
    </row>
    <row r="5874" spans="1:10">
      <c r="A5874" s="74" t="s">
        <v>2192</v>
      </c>
      <c r="B5874" s="74" t="s">
        <v>276</v>
      </c>
      <c r="C5874" s="74" t="s">
        <v>1515</v>
      </c>
      <c r="D5874" s="74" t="s">
        <v>81</v>
      </c>
      <c r="E5874" s="74">
        <v>1</v>
      </c>
      <c r="F5874" s="74">
        <v>18</v>
      </c>
      <c r="G5874" s="758">
        <f t="shared" si="364"/>
        <v>3.76</v>
      </c>
      <c r="H5874" s="759">
        <f t="shared" si="365"/>
        <v>0.24</v>
      </c>
      <c r="I5874" s="758">
        <f t="shared" si="366"/>
        <v>14.24</v>
      </c>
      <c r="J5874" s="760">
        <f t="shared" si="367"/>
        <v>0.7911111111111111</v>
      </c>
    </row>
    <row r="5875" spans="1:10">
      <c r="A5875" s="74" t="s">
        <v>2192</v>
      </c>
      <c r="B5875" s="74" t="s">
        <v>276</v>
      </c>
      <c r="C5875" s="74" t="s">
        <v>1516</v>
      </c>
      <c r="D5875" s="74" t="s">
        <v>82</v>
      </c>
      <c r="E5875" s="74">
        <v>1</v>
      </c>
      <c r="F5875" s="74">
        <v>17.149999999999999</v>
      </c>
      <c r="G5875" s="758">
        <f t="shared" si="364"/>
        <v>3.76</v>
      </c>
      <c r="H5875" s="759">
        <f t="shared" si="365"/>
        <v>0.24</v>
      </c>
      <c r="I5875" s="758">
        <f t="shared" si="366"/>
        <v>13.389999999999999</v>
      </c>
      <c r="J5875" s="760">
        <f t="shared" si="367"/>
        <v>0.78075801749271134</v>
      </c>
    </row>
    <row r="5876" spans="1:10">
      <c r="A5876" s="74" t="s">
        <v>2192</v>
      </c>
      <c r="B5876" s="74" t="s">
        <v>276</v>
      </c>
      <c r="C5876" s="74" t="s">
        <v>1517</v>
      </c>
      <c r="D5876" s="74" t="s">
        <v>82</v>
      </c>
      <c r="E5876" s="74">
        <v>1</v>
      </c>
      <c r="F5876" s="74">
        <v>17</v>
      </c>
      <c r="G5876" s="758">
        <f t="shared" si="364"/>
        <v>3.76</v>
      </c>
      <c r="H5876" s="759">
        <f t="shared" si="365"/>
        <v>0.24</v>
      </c>
      <c r="I5876" s="758">
        <f t="shared" si="366"/>
        <v>13.24</v>
      </c>
      <c r="J5876" s="760">
        <f t="shared" si="367"/>
        <v>0.77882352941176469</v>
      </c>
    </row>
    <row r="5877" spans="1:10">
      <c r="A5877" s="74" t="s">
        <v>2192</v>
      </c>
      <c r="B5877" s="74" t="s">
        <v>276</v>
      </c>
      <c r="C5877" s="74" t="s">
        <v>1527</v>
      </c>
      <c r="D5877" s="74" t="s">
        <v>82</v>
      </c>
      <c r="E5877" s="74">
        <v>1</v>
      </c>
      <c r="F5877" s="74">
        <v>17</v>
      </c>
      <c r="G5877" s="758">
        <f t="shared" si="364"/>
        <v>3.76</v>
      </c>
      <c r="H5877" s="759">
        <f t="shared" si="365"/>
        <v>0.24</v>
      </c>
      <c r="I5877" s="758">
        <f t="shared" si="366"/>
        <v>13.24</v>
      </c>
      <c r="J5877" s="760">
        <f t="shared" si="367"/>
        <v>0.77882352941176469</v>
      </c>
    </row>
    <row r="5878" spans="1:10">
      <c r="A5878" s="74" t="s">
        <v>2193</v>
      </c>
      <c r="B5878" s="74" t="s">
        <v>276</v>
      </c>
      <c r="C5878" s="74" t="s">
        <v>1528</v>
      </c>
      <c r="D5878" s="74" t="s">
        <v>78</v>
      </c>
      <c r="E5878" s="74">
        <v>1</v>
      </c>
      <c r="F5878" s="74">
        <v>15</v>
      </c>
      <c r="G5878" s="758">
        <f t="shared" si="364"/>
        <v>2.4500000000000002</v>
      </c>
      <c r="H5878" s="759">
        <f t="shared" si="365"/>
        <v>0.18</v>
      </c>
      <c r="I5878" s="758">
        <f t="shared" si="366"/>
        <v>12.55</v>
      </c>
      <c r="J5878" s="760">
        <f t="shared" si="367"/>
        <v>0.83666666666666667</v>
      </c>
    </row>
    <row r="5879" spans="1:10">
      <c r="A5879" s="74" t="s">
        <v>2193</v>
      </c>
      <c r="B5879" s="74" t="s">
        <v>276</v>
      </c>
      <c r="C5879" s="74" t="s">
        <v>1565</v>
      </c>
      <c r="D5879" s="74" t="s">
        <v>78</v>
      </c>
      <c r="E5879" s="74">
        <v>1</v>
      </c>
      <c r="F5879" s="74">
        <v>15</v>
      </c>
      <c r="G5879" s="758">
        <f t="shared" si="364"/>
        <v>2.4500000000000002</v>
      </c>
      <c r="H5879" s="759">
        <f t="shared" si="365"/>
        <v>0.18</v>
      </c>
      <c r="I5879" s="758">
        <f t="shared" si="366"/>
        <v>12.55</v>
      </c>
      <c r="J5879" s="760">
        <f t="shared" si="367"/>
        <v>0.83666666666666667</v>
      </c>
    </row>
    <row r="5880" spans="1:10">
      <c r="A5880" s="74" t="s">
        <v>2194</v>
      </c>
      <c r="B5880" s="74" t="s">
        <v>877</v>
      </c>
      <c r="C5880" s="74" t="s">
        <v>1644</v>
      </c>
      <c r="D5880" s="74" t="s">
        <v>86</v>
      </c>
      <c r="E5880" s="74">
        <v>4</v>
      </c>
      <c r="F5880" s="74">
        <v>0</v>
      </c>
      <c r="G5880" s="758">
        <f t="shared" si="364"/>
        <v>0</v>
      </c>
      <c r="H5880" s="759">
        <f t="shared" si="365"/>
        <v>0</v>
      </c>
      <c r="I5880" s="758">
        <f t="shared" si="366"/>
        <v>0</v>
      </c>
      <c r="J5880" s="760">
        <f t="shared" si="367"/>
        <v>0</v>
      </c>
    </row>
    <row r="5881" spans="1:10">
      <c r="A5881" s="74" t="s">
        <v>2195</v>
      </c>
      <c r="B5881" s="74" t="s">
        <v>877</v>
      </c>
      <c r="C5881" s="74" t="s">
        <v>1511</v>
      </c>
      <c r="D5881" s="74" t="s">
        <v>80</v>
      </c>
      <c r="E5881" s="74">
        <v>7</v>
      </c>
      <c r="F5881" s="74">
        <v>0</v>
      </c>
      <c r="G5881" s="758">
        <f t="shared" si="364"/>
        <v>1.93</v>
      </c>
      <c r="H5881" s="759">
        <f t="shared" si="365"/>
        <v>0</v>
      </c>
      <c r="I5881" s="758">
        <f t="shared" si="366"/>
        <v>-1.93</v>
      </c>
      <c r="J5881" s="760">
        <f t="shared" si="367"/>
        <v>0</v>
      </c>
    </row>
    <row r="5882" spans="1:10">
      <c r="A5882" s="74" t="s">
        <v>2195</v>
      </c>
      <c r="B5882" s="74" t="s">
        <v>877</v>
      </c>
      <c r="C5882" s="74" t="s">
        <v>1515</v>
      </c>
      <c r="D5882" s="74" t="s">
        <v>81</v>
      </c>
      <c r="E5882" s="74">
        <v>2</v>
      </c>
      <c r="F5882" s="74">
        <v>0</v>
      </c>
      <c r="G5882" s="758">
        <f t="shared" si="364"/>
        <v>1.93</v>
      </c>
      <c r="H5882" s="759">
        <f t="shared" si="365"/>
        <v>0</v>
      </c>
      <c r="I5882" s="758">
        <f t="shared" si="366"/>
        <v>-1.93</v>
      </c>
      <c r="J5882" s="760">
        <f t="shared" si="367"/>
        <v>0</v>
      </c>
    </row>
    <row r="5883" spans="1:10">
      <c r="A5883" s="74" t="s">
        <v>2195</v>
      </c>
      <c r="B5883" s="74" t="s">
        <v>877</v>
      </c>
      <c r="C5883" s="74" t="s">
        <v>1527</v>
      </c>
      <c r="D5883" s="74" t="s">
        <v>82</v>
      </c>
      <c r="E5883" s="74">
        <v>5</v>
      </c>
      <c r="F5883" s="74">
        <v>0</v>
      </c>
      <c r="G5883" s="758">
        <f t="shared" si="364"/>
        <v>1.93</v>
      </c>
      <c r="H5883" s="759">
        <f t="shared" si="365"/>
        <v>0</v>
      </c>
      <c r="I5883" s="758">
        <f t="shared" si="366"/>
        <v>-1.93</v>
      </c>
      <c r="J5883" s="760">
        <f t="shared" si="367"/>
        <v>0</v>
      </c>
    </row>
    <row r="5884" spans="1:10">
      <c r="A5884" s="74" t="s">
        <v>832</v>
      </c>
      <c r="B5884" s="74" t="s">
        <v>256</v>
      </c>
      <c r="C5884" s="74" t="s">
        <v>1532</v>
      </c>
      <c r="D5884" s="74" t="s">
        <v>80</v>
      </c>
      <c r="E5884" s="74">
        <v>10</v>
      </c>
      <c r="F5884" s="74">
        <v>80.5</v>
      </c>
      <c r="G5884" s="758">
        <f t="shared" si="364"/>
        <v>1.85</v>
      </c>
      <c r="H5884" s="759">
        <f t="shared" si="365"/>
        <v>0.25</v>
      </c>
      <c r="I5884" s="758">
        <f t="shared" si="366"/>
        <v>6.2000000000000011</v>
      </c>
      <c r="J5884" s="760">
        <f t="shared" si="367"/>
        <v>0.77018633540372672</v>
      </c>
    </row>
    <row r="5885" spans="1:10">
      <c r="A5885" s="74" t="s">
        <v>832</v>
      </c>
      <c r="B5885" s="74" t="s">
        <v>256</v>
      </c>
      <c r="C5885" s="74" t="s">
        <v>1511</v>
      </c>
      <c r="D5885" s="74" t="s">
        <v>80</v>
      </c>
      <c r="E5885" s="74">
        <v>6</v>
      </c>
      <c r="F5885" s="74">
        <v>48.24</v>
      </c>
      <c r="G5885" s="758">
        <f t="shared" si="364"/>
        <v>1.85</v>
      </c>
      <c r="H5885" s="759">
        <f t="shared" si="365"/>
        <v>0.25</v>
      </c>
      <c r="I5885" s="758">
        <f t="shared" si="366"/>
        <v>6.1900000000000013</v>
      </c>
      <c r="J5885" s="760">
        <f t="shared" si="367"/>
        <v>0.76990049751243783</v>
      </c>
    </row>
    <row r="5886" spans="1:10">
      <c r="A5886" s="74" t="s">
        <v>832</v>
      </c>
      <c r="B5886" s="74" t="s">
        <v>256</v>
      </c>
      <c r="C5886" s="74" t="s">
        <v>1513</v>
      </c>
      <c r="D5886" s="74" t="s">
        <v>81</v>
      </c>
      <c r="E5886" s="74">
        <v>4</v>
      </c>
      <c r="F5886" s="74">
        <v>32.75</v>
      </c>
      <c r="G5886" s="758">
        <f t="shared" si="364"/>
        <v>1.85</v>
      </c>
      <c r="H5886" s="759">
        <f t="shared" si="365"/>
        <v>0.25</v>
      </c>
      <c r="I5886" s="758">
        <f t="shared" si="366"/>
        <v>6.3375000000000004</v>
      </c>
      <c r="J5886" s="760">
        <f t="shared" si="367"/>
        <v>0.77404580152671754</v>
      </c>
    </row>
    <row r="5887" spans="1:10">
      <c r="A5887" s="74" t="s">
        <v>832</v>
      </c>
      <c r="B5887" s="74" t="s">
        <v>256</v>
      </c>
      <c r="C5887" s="74" t="s">
        <v>1514</v>
      </c>
      <c r="D5887" s="74" t="s">
        <v>81</v>
      </c>
      <c r="E5887" s="74">
        <v>9</v>
      </c>
      <c r="F5887" s="74">
        <v>72.25</v>
      </c>
      <c r="G5887" s="758">
        <f t="shared" si="364"/>
        <v>1.85</v>
      </c>
      <c r="H5887" s="759">
        <f t="shared" si="365"/>
        <v>0.25</v>
      </c>
      <c r="I5887" s="758">
        <f t="shared" si="366"/>
        <v>6.1777777777777789</v>
      </c>
      <c r="J5887" s="760">
        <f t="shared" si="367"/>
        <v>0.76955017301038064</v>
      </c>
    </row>
    <row r="5888" spans="1:10">
      <c r="A5888" s="74" t="s">
        <v>832</v>
      </c>
      <c r="B5888" s="74" t="s">
        <v>256</v>
      </c>
      <c r="C5888" s="74" t="s">
        <v>1515</v>
      </c>
      <c r="D5888" s="74" t="s">
        <v>81</v>
      </c>
      <c r="E5888" s="74">
        <v>22</v>
      </c>
      <c r="F5888" s="74">
        <v>435.41</v>
      </c>
      <c r="G5888" s="758">
        <f t="shared" si="364"/>
        <v>1.85</v>
      </c>
      <c r="H5888" s="759">
        <f t="shared" si="365"/>
        <v>0.25</v>
      </c>
      <c r="I5888" s="758">
        <f t="shared" si="366"/>
        <v>17.941363636363636</v>
      </c>
      <c r="J5888" s="760">
        <f t="shared" si="367"/>
        <v>0.90652488459153435</v>
      </c>
    </row>
    <row r="5889" spans="1:10">
      <c r="A5889" s="74" t="s">
        <v>832</v>
      </c>
      <c r="B5889" s="74" t="s">
        <v>256</v>
      </c>
      <c r="C5889" s="74" t="s">
        <v>1527</v>
      </c>
      <c r="D5889" s="74" t="s">
        <v>82</v>
      </c>
      <c r="E5889" s="74">
        <v>6</v>
      </c>
      <c r="F5889" s="74">
        <v>48</v>
      </c>
      <c r="G5889" s="758">
        <f t="shared" si="364"/>
        <v>1.85</v>
      </c>
      <c r="H5889" s="759">
        <f t="shared" si="365"/>
        <v>0.25</v>
      </c>
      <c r="I5889" s="758">
        <f t="shared" si="366"/>
        <v>6.15</v>
      </c>
      <c r="J5889" s="760">
        <f t="shared" si="367"/>
        <v>0.76874999999999993</v>
      </c>
    </row>
    <row r="5890" spans="1:10">
      <c r="A5890" s="74" t="s">
        <v>832</v>
      </c>
      <c r="B5890" s="74" t="s">
        <v>256</v>
      </c>
      <c r="C5890" s="74" t="s">
        <v>1518</v>
      </c>
      <c r="D5890" s="74" t="s">
        <v>82</v>
      </c>
      <c r="E5890" s="74">
        <v>5</v>
      </c>
      <c r="F5890" s="74">
        <v>40</v>
      </c>
      <c r="G5890" s="758">
        <f t="shared" ref="G5890:G5953" si="368">IFERROR(VLOOKUP(A5890,$M$1:$P$1014,2,FALSE),0)</f>
        <v>1.85</v>
      </c>
      <c r="H5890" s="759">
        <f t="shared" ref="H5890:H5953" si="369">IFERROR(VLOOKUP(A5890,$M$1:$P$1014,3,FALSE),0)</f>
        <v>0.25</v>
      </c>
      <c r="I5890" s="758">
        <f t="shared" ref="I5890:I5953" si="370">IFERROR(F5890/E5890-G5890,0)</f>
        <v>6.15</v>
      </c>
      <c r="J5890" s="760">
        <f t="shared" ref="J5890:J5953" si="371">IFERROR(1-G5890*E5890/F5890,0)</f>
        <v>0.76875000000000004</v>
      </c>
    </row>
    <row r="5891" spans="1:10">
      <c r="A5891" s="74" t="s">
        <v>832</v>
      </c>
      <c r="B5891" s="74" t="s">
        <v>256</v>
      </c>
      <c r="C5891" s="74" t="s">
        <v>1584</v>
      </c>
      <c r="D5891" s="74" t="s">
        <v>92</v>
      </c>
      <c r="E5891" s="74">
        <v>2</v>
      </c>
      <c r="F5891" s="74">
        <v>18.05</v>
      </c>
      <c r="G5891" s="758">
        <f t="shared" si="368"/>
        <v>1.85</v>
      </c>
      <c r="H5891" s="759">
        <f t="shared" si="369"/>
        <v>0.25</v>
      </c>
      <c r="I5891" s="758">
        <f t="shared" si="370"/>
        <v>7.1750000000000007</v>
      </c>
      <c r="J5891" s="760">
        <f t="shared" si="371"/>
        <v>0.79501385041551242</v>
      </c>
    </row>
    <row r="5892" spans="1:10">
      <c r="A5892" s="74" t="s">
        <v>2196</v>
      </c>
      <c r="B5892" s="74" t="s">
        <v>877</v>
      </c>
      <c r="C5892" s="74" t="s">
        <v>1515</v>
      </c>
      <c r="D5892" s="74" t="s">
        <v>81</v>
      </c>
      <c r="E5892" s="74">
        <v>1</v>
      </c>
      <c r="F5892" s="74">
        <v>0</v>
      </c>
      <c r="G5892" s="758">
        <f t="shared" si="368"/>
        <v>1.93</v>
      </c>
      <c r="H5892" s="759">
        <f t="shared" si="369"/>
        <v>0</v>
      </c>
      <c r="I5892" s="758">
        <f t="shared" si="370"/>
        <v>-1.93</v>
      </c>
      <c r="J5892" s="760">
        <f t="shared" si="371"/>
        <v>0</v>
      </c>
    </row>
    <row r="5893" spans="1:10">
      <c r="A5893" s="74" t="s">
        <v>2196</v>
      </c>
      <c r="B5893" s="74" t="s">
        <v>877</v>
      </c>
      <c r="C5893" s="74" t="s">
        <v>1527</v>
      </c>
      <c r="D5893" s="74" t="s">
        <v>82</v>
      </c>
      <c r="E5893" s="74">
        <v>2</v>
      </c>
      <c r="F5893" s="74">
        <v>0</v>
      </c>
      <c r="G5893" s="758">
        <f t="shared" si="368"/>
        <v>1.93</v>
      </c>
      <c r="H5893" s="759">
        <f t="shared" si="369"/>
        <v>0</v>
      </c>
      <c r="I5893" s="758">
        <f t="shared" si="370"/>
        <v>-1.93</v>
      </c>
      <c r="J5893" s="760">
        <f t="shared" si="371"/>
        <v>0</v>
      </c>
    </row>
    <row r="5894" spans="1:10">
      <c r="A5894" s="74" t="s">
        <v>728</v>
      </c>
      <c r="B5894" s="74" t="s">
        <v>695</v>
      </c>
      <c r="C5894" s="74" t="s">
        <v>1528</v>
      </c>
      <c r="D5894" s="74" t="s">
        <v>78</v>
      </c>
      <c r="E5894" s="74">
        <v>4</v>
      </c>
      <c r="F5894" s="74">
        <v>32.090000000000003</v>
      </c>
      <c r="G5894" s="758">
        <f t="shared" si="368"/>
        <v>1.5</v>
      </c>
      <c r="H5894" s="759">
        <f t="shared" si="369"/>
        <v>0.23</v>
      </c>
      <c r="I5894" s="758">
        <f t="shared" si="370"/>
        <v>6.5225000000000009</v>
      </c>
      <c r="J5894" s="760">
        <f t="shared" si="371"/>
        <v>0.81302586475537553</v>
      </c>
    </row>
    <row r="5895" spans="1:10">
      <c r="A5895" s="74" t="s">
        <v>728</v>
      </c>
      <c r="B5895" s="74" t="s">
        <v>695</v>
      </c>
      <c r="C5895" s="74" t="s">
        <v>1508</v>
      </c>
      <c r="D5895" s="74" t="s">
        <v>78</v>
      </c>
      <c r="E5895" s="74">
        <v>3</v>
      </c>
      <c r="F5895" s="74">
        <v>24.99</v>
      </c>
      <c r="G5895" s="758">
        <f t="shared" si="368"/>
        <v>1.5</v>
      </c>
      <c r="H5895" s="759">
        <f t="shared" si="369"/>
        <v>0.23</v>
      </c>
      <c r="I5895" s="758">
        <f t="shared" si="370"/>
        <v>6.83</v>
      </c>
      <c r="J5895" s="760">
        <f t="shared" si="371"/>
        <v>0.81992797118847538</v>
      </c>
    </row>
    <row r="5896" spans="1:10">
      <c r="A5896" s="74" t="s">
        <v>728</v>
      </c>
      <c r="B5896" s="74" t="s">
        <v>695</v>
      </c>
      <c r="C5896" s="74" t="s">
        <v>1509</v>
      </c>
      <c r="D5896" s="74" t="s">
        <v>78</v>
      </c>
      <c r="E5896" s="74">
        <v>2</v>
      </c>
      <c r="F5896" s="74">
        <v>16.350000000000001</v>
      </c>
      <c r="G5896" s="758">
        <f t="shared" si="368"/>
        <v>1.5</v>
      </c>
      <c r="H5896" s="759">
        <f t="shared" si="369"/>
        <v>0.23</v>
      </c>
      <c r="I5896" s="758">
        <f t="shared" si="370"/>
        <v>6.6750000000000007</v>
      </c>
      <c r="J5896" s="760">
        <f t="shared" si="371"/>
        <v>0.8165137614678899</v>
      </c>
    </row>
    <row r="5897" spans="1:10">
      <c r="A5897" s="74" t="s">
        <v>728</v>
      </c>
      <c r="B5897" s="74" t="s">
        <v>695</v>
      </c>
      <c r="C5897" s="74" t="s">
        <v>1565</v>
      </c>
      <c r="D5897" s="74" t="s">
        <v>78</v>
      </c>
      <c r="E5897" s="74">
        <v>3</v>
      </c>
      <c r="F5897" s="74">
        <v>24.3</v>
      </c>
      <c r="G5897" s="758">
        <f t="shared" si="368"/>
        <v>1.5</v>
      </c>
      <c r="H5897" s="759">
        <f t="shared" si="369"/>
        <v>0.23</v>
      </c>
      <c r="I5897" s="758">
        <f t="shared" si="370"/>
        <v>6.6</v>
      </c>
      <c r="J5897" s="760">
        <f t="shared" si="371"/>
        <v>0.81481481481481488</v>
      </c>
    </row>
    <row r="5898" spans="1:10">
      <c r="A5898" s="74" t="s">
        <v>728</v>
      </c>
      <c r="B5898" s="74" t="s">
        <v>695</v>
      </c>
      <c r="C5898" s="74" t="s">
        <v>1530</v>
      </c>
      <c r="D5898" s="74" t="s">
        <v>80</v>
      </c>
      <c r="E5898" s="74">
        <v>4</v>
      </c>
      <c r="F5898" s="74">
        <v>32.380000000000003</v>
      </c>
      <c r="G5898" s="758">
        <f t="shared" si="368"/>
        <v>1.5</v>
      </c>
      <c r="H5898" s="759">
        <f t="shared" si="369"/>
        <v>0.23</v>
      </c>
      <c r="I5898" s="758">
        <f t="shared" si="370"/>
        <v>6.5950000000000006</v>
      </c>
      <c r="J5898" s="760">
        <f t="shared" si="371"/>
        <v>0.81470043236565781</v>
      </c>
    </row>
    <row r="5899" spans="1:10">
      <c r="A5899" s="74" t="s">
        <v>728</v>
      </c>
      <c r="B5899" s="74" t="s">
        <v>695</v>
      </c>
      <c r="C5899" s="74" t="s">
        <v>1532</v>
      </c>
      <c r="D5899" s="74" t="s">
        <v>80</v>
      </c>
      <c r="E5899" s="74">
        <v>5</v>
      </c>
      <c r="F5899" s="74">
        <v>40.78</v>
      </c>
      <c r="G5899" s="758">
        <f t="shared" si="368"/>
        <v>1.5</v>
      </c>
      <c r="H5899" s="759">
        <f t="shared" si="369"/>
        <v>0.23</v>
      </c>
      <c r="I5899" s="758">
        <f t="shared" si="370"/>
        <v>6.6560000000000006</v>
      </c>
      <c r="J5899" s="760">
        <f t="shared" si="371"/>
        <v>0.81608631682197152</v>
      </c>
    </row>
    <row r="5900" spans="1:10">
      <c r="A5900" s="74" t="s">
        <v>728</v>
      </c>
      <c r="B5900" s="74" t="s">
        <v>695</v>
      </c>
      <c r="C5900" s="74" t="s">
        <v>1511</v>
      </c>
      <c r="D5900" s="74" t="s">
        <v>80</v>
      </c>
      <c r="E5900" s="74">
        <v>4</v>
      </c>
      <c r="F5900" s="74">
        <v>32.83</v>
      </c>
      <c r="G5900" s="758">
        <f t="shared" si="368"/>
        <v>1.5</v>
      </c>
      <c r="H5900" s="759">
        <f t="shared" si="369"/>
        <v>0.23</v>
      </c>
      <c r="I5900" s="758">
        <f t="shared" si="370"/>
        <v>6.7074999999999996</v>
      </c>
      <c r="J5900" s="760">
        <f t="shared" si="371"/>
        <v>0.81724032896740784</v>
      </c>
    </row>
    <row r="5901" spans="1:10">
      <c r="A5901" s="74" t="s">
        <v>728</v>
      </c>
      <c r="B5901" s="74" t="s">
        <v>695</v>
      </c>
      <c r="C5901" s="74" t="s">
        <v>1512</v>
      </c>
      <c r="D5901" s="74" t="s">
        <v>80</v>
      </c>
      <c r="E5901" s="74">
        <v>4</v>
      </c>
      <c r="F5901" s="74">
        <v>32.54</v>
      </c>
      <c r="G5901" s="758">
        <f t="shared" si="368"/>
        <v>1.5</v>
      </c>
      <c r="H5901" s="759">
        <f t="shared" si="369"/>
        <v>0.23</v>
      </c>
      <c r="I5901" s="758">
        <f t="shared" si="370"/>
        <v>6.6349999999999998</v>
      </c>
      <c r="J5901" s="760">
        <f t="shared" si="371"/>
        <v>0.81561155500921945</v>
      </c>
    </row>
    <row r="5902" spans="1:10">
      <c r="A5902" s="74" t="s">
        <v>728</v>
      </c>
      <c r="B5902" s="74" t="s">
        <v>695</v>
      </c>
      <c r="C5902" s="74" t="s">
        <v>1534</v>
      </c>
      <c r="D5902" s="74" t="s">
        <v>81</v>
      </c>
      <c r="E5902" s="74">
        <v>4</v>
      </c>
      <c r="F5902" s="74">
        <v>32.4</v>
      </c>
      <c r="G5902" s="758">
        <f t="shared" si="368"/>
        <v>1.5</v>
      </c>
      <c r="H5902" s="759">
        <f t="shared" si="369"/>
        <v>0.23</v>
      </c>
      <c r="I5902" s="758">
        <f t="shared" si="370"/>
        <v>6.6</v>
      </c>
      <c r="J5902" s="760">
        <f t="shared" si="371"/>
        <v>0.81481481481481477</v>
      </c>
    </row>
    <row r="5903" spans="1:10">
      <c r="A5903" s="74" t="s">
        <v>728</v>
      </c>
      <c r="B5903" s="74" t="s">
        <v>695</v>
      </c>
      <c r="C5903" s="74" t="s">
        <v>1513</v>
      </c>
      <c r="D5903" s="74" t="s">
        <v>81</v>
      </c>
      <c r="E5903" s="74">
        <v>5</v>
      </c>
      <c r="F5903" s="74">
        <v>40.79</v>
      </c>
      <c r="G5903" s="758">
        <f t="shared" si="368"/>
        <v>1.5</v>
      </c>
      <c r="H5903" s="759">
        <f t="shared" si="369"/>
        <v>0.23</v>
      </c>
      <c r="I5903" s="758">
        <f t="shared" si="370"/>
        <v>6.6579999999999995</v>
      </c>
      <c r="J5903" s="760">
        <f t="shared" si="371"/>
        <v>0.81613140475606771</v>
      </c>
    </row>
    <row r="5904" spans="1:10">
      <c r="A5904" s="74" t="s">
        <v>728</v>
      </c>
      <c r="B5904" s="74" t="s">
        <v>695</v>
      </c>
      <c r="C5904" s="74" t="s">
        <v>1514</v>
      </c>
      <c r="D5904" s="74" t="s">
        <v>81</v>
      </c>
      <c r="E5904" s="74">
        <v>5</v>
      </c>
      <c r="F5904" s="74">
        <v>40.479999999999997</v>
      </c>
      <c r="G5904" s="758">
        <f t="shared" si="368"/>
        <v>1.5</v>
      </c>
      <c r="H5904" s="759">
        <f t="shared" si="369"/>
        <v>0.23</v>
      </c>
      <c r="I5904" s="758">
        <f t="shared" si="370"/>
        <v>6.5960000000000001</v>
      </c>
      <c r="J5904" s="760">
        <f t="shared" si="371"/>
        <v>0.81472332015810278</v>
      </c>
    </row>
    <row r="5905" spans="1:10">
      <c r="A5905" s="74" t="s">
        <v>728</v>
      </c>
      <c r="B5905" s="74" t="s">
        <v>695</v>
      </c>
      <c r="C5905" s="74" t="s">
        <v>1515</v>
      </c>
      <c r="D5905" s="74" t="s">
        <v>81</v>
      </c>
      <c r="E5905" s="74">
        <v>8</v>
      </c>
      <c r="F5905" s="74">
        <v>65.34</v>
      </c>
      <c r="G5905" s="758">
        <f t="shared" si="368"/>
        <v>1.5</v>
      </c>
      <c r="H5905" s="759">
        <f t="shared" si="369"/>
        <v>0.23</v>
      </c>
      <c r="I5905" s="758">
        <f t="shared" si="370"/>
        <v>6.6675000000000004</v>
      </c>
      <c r="J5905" s="760">
        <f t="shared" si="371"/>
        <v>0.81634527089072551</v>
      </c>
    </row>
    <row r="5906" spans="1:10">
      <c r="A5906" s="74" t="s">
        <v>728</v>
      </c>
      <c r="B5906" s="74" t="s">
        <v>695</v>
      </c>
      <c r="C5906" s="74" t="s">
        <v>1516</v>
      </c>
      <c r="D5906" s="74" t="s">
        <v>82</v>
      </c>
      <c r="E5906" s="74">
        <v>7</v>
      </c>
      <c r="F5906" s="74">
        <v>57.6</v>
      </c>
      <c r="G5906" s="758">
        <f t="shared" si="368"/>
        <v>1.5</v>
      </c>
      <c r="H5906" s="759">
        <f t="shared" si="369"/>
        <v>0.23</v>
      </c>
      <c r="I5906" s="758">
        <f t="shared" si="370"/>
        <v>6.7285714285714295</v>
      </c>
      <c r="J5906" s="760">
        <f t="shared" si="371"/>
        <v>0.81770833333333337</v>
      </c>
    </row>
    <row r="5907" spans="1:10">
      <c r="A5907" s="74" t="s">
        <v>728</v>
      </c>
      <c r="B5907" s="74" t="s">
        <v>695</v>
      </c>
      <c r="C5907" s="74" t="s">
        <v>1517</v>
      </c>
      <c r="D5907" s="74" t="s">
        <v>82</v>
      </c>
      <c r="E5907" s="74">
        <v>3</v>
      </c>
      <c r="F5907" s="74">
        <v>24.3</v>
      </c>
      <c r="G5907" s="758">
        <f t="shared" si="368"/>
        <v>1.5</v>
      </c>
      <c r="H5907" s="759">
        <f t="shared" si="369"/>
        <v>0.23</v>
      </c>
      <c r="I5907" s="758">
        <f t="shared" si="370"/>
        <v>6.6</v>
      </c>
      <c r="J5907" s="760">
        <f t="shared" si="371"/>
        <v>0.81481481481481488</v>
      </c>
    </row>
    <row r="5908" spans="1:10">
      <c r="A5908" s="74" t="s">
        <v>728</v>
      </c>
      <c r="B5908" s="74" t="s">
        <v>695</v>
      </c>
      <c r="C5908" s="74" t="s">
        <v>1527</v>
      </c>
      <c r="D5908" s="74" t="s">
        <v>82</v>
      </c>
      <c r="E5908" s="74">
        <v>8</v>
      </c>
      <c r="F5908" s="74">
        <v>64.55</v>
      </c>
      <c r="G5908" s="758">
        <f t="shared" si="368"/>
        <v>1.5</v>
      </c>
      <c r="H5908" s="759">
        <f t="shared" si="369"/>
        <v>0.23</v>
      </c>
      <c r="I5908" s="758">
        <f t="shared" si="370"/>
        <v>6.5687499999999996</v>
      </c>
      <c r="J5908" s="760">
        <f t="shared" si="371"/>
        <v>0.81409759876065069</v>
      </c>
    </row>
    <row r="5909" spans="1:10">
      <c r="A5909" s="74" t="s">
        <v>728</v>
      </c>
      <c r="B5909" s="74" t="s">
        <v>695</v>
      </c>
      <c r="C5909" s="74" t="s">
        <v>1518</v>
      </c>
      <c r="D5909" s="74" t="s">
        <v>82</v>
      </c>
      <c r="E5909" s="74">
        <v>3</v>
      </c>
      <c r="F5909" s="74">
        <v>24.2</v>
      </c>
      <c r="G5909" s="758">
        <f t="shared" si="368"/>
        <v>1.5</v>
      </c>
      <c r="H5909" s="759">
        <f t="shared" si="369"/>
        <v>0.23</v>
      </c>
      <c r="I5909" s="758">
        <f t="shared" si="370"/>
        <v>6.5666666666666664</v>
      </c>
      <c r="J5909" s="760">
        <f t="shared" si="371"/>
        <v>0.81404958677685946</v>
      </c>
    </row>
    <row r="5910" spans="1:10">
      <c r="A5910" s="74" t="s">
        <v>728</v>
      </c>
      <c r="B5910" s="74" t="s">
        <v>695</v>
      </c>
      <c r="C5910" s="74" t="s">
        <v>1520</v>
      </c>
      <c r="D5910" s="74" t="s">
        <v>84</v>
      </c>
      <c r="E5910" s="74">
        <v>1</v>
      </c>
      <c r="F5910" s="74">
        <v>8.0500000000000007</v>
      </c>
      <c r="G5910" s="758">
        <f t="shared" si="368"/>
        <v>1.5</v>
      </c>
      <c r="H5910" s="759">
        <f t="shared" si="369"/>
        <v>0.23</v>
      </c>
      <c r="I5910" s="758">
        <f t="shared" si="370"/>
        <v>6.5500000000000007</v>
      </c>
      <c r="J5910" s="760">
        <f t="shared" si="371"/>
        <v>0.81366459627329191</v>
      </c>
    </row>
    <row r="5911" spans="1:10">
      <c r="A5911" s="74" t="s">
        <v>728</v>
      </c>
      <c r="B5911" s="74" t="s">
        <v>695</v>
      </c>
      <c r="C5911" s="74" t="s">
        <v>1644</v>
      </c>
      <c r="D5911" s="74" t="s">
        <v>86</v>
      </c>
      <c r="E5911" s="74">
        <v>1</v>
      </c>
      <c r="F5911" s="74">
        <v>8.0500000000000007</v>
      </c>
      <c r="G5911" s="758">
        <f t="shared" si="368"/>
        <v>1.5</v>
      </c>
      <c r="H5911" s="759">
        <f t="shared" si="369"/>
        <v>0.23</v>
      </c>
      <c r="I5911" s="758">
        <f t="shared" si="370"/>
        <v>6.5500000000000007</v>
      </c>
      <c r="J5911" s="760">
        <f t="shared" si="371"/>
        <v>0.81366459627329191</v>
      </c>
    </row>
    <row r="5912" spans="1:10">
      <c r="A5912" s="74" t="s">
        <v>728</v>
      </c>
      <c r="B5912" s="74" t="s">
        <v>695</v>
      </c>
      <c r="C5912" s="74" t="s">
        <v>1578</v>
      </c>
      <c r="D5912" s="74" t="s">
        <v>86</v>
      </c>
      <c r="E5912" s="74">
        <v>3</v>
      </c>
      <c r="F5912" s="74">
        <v>24.25</v>
      </c>
      <c r="G5912" s="758">
        <f t="shared" si="368"/>
        <v>1.5</v>
      </c>
      <c r="H5912" s="759">
        <f t="shared" si="369"/>
        <v>0.23</v>
      </c>
      <c r="I5912" s="758">
        <f t="shared" si="370"/>
        <v>6.5833333333333339</v>
      </c>
      <c r="J5912" s="760">
        <f t="shared" si="371"/>
        <v>0.81443298969072164</v>
      </c>
    </row>
    <row r="5913" spans="1:10">
      <c r="A5913" s="74" t="s">
        <v>728</v>
      </c>
      <c r="B5913" s="74" t="s">
        <v>695</v>
      </c>
      <c r="C5913" s="74" t="s">
        <v>1541</v>
      </c>
      <c r="D5913" s="74" t="s">
        <v>86</v>
      </c>
      <c r="E5913" s="74">
        <v>1</v>
      </c>
      <c r="F5913" s="74">
        <v>8.0500000000000007</v>
      </c>
      <c r="G5913" s="758">
        <f t="shared" si="368"/>
        <v>1.5</v>
      </c>
      <c r="H5913" s="759">
        <f t="shared" si="369"/>
        <v>0.23</v>
      </c>
      <c r="I5913" s="758">
        <f t="shared" si="370"/>
        <v>6.5500000000000007</v>
      </c>
      <c r="J5913" s="760">
        <f t="shared" si="371"/>
        <v>0.81366459627329191</v>
      </c>
    </row>
    <row r="5914" spans="1:10">
      <c r="A5914" s="74" t="s">
        <v>728</v>
      </c>
      <c r="B5914" s="74" t="s">
        <v>695</v>
      </c>
      <c r="C5914" s="74" t="s">
        <v>1547</v>
      </c>
      <c r="D5914" s="74" t="s">
        <v>89</v>
      </c>
      <c r="E5914" s="74">
        <v>1</v>
      </c>
      <c r="F5914" s="74">
        <v>8.4</v>
      </c>
      <c r="G5914" s="758">
        <f t="shared" si="368"/>
        <v>1.5</v>
      </c>
      <c r="H5914" s="759">
        <f t="shared" si="369"/>
        <v>0.23</v>
      </c>
      <c r="I5914" s="758">
        <f t="shared" si="370"/>
        <v>6.9</v>
      </c>
      <c r="J5914" s="760">
        <f t="shared" si="371"/>
        <v>0.8214285714285714</v>
      </c>
    </row>
    <row r="5915" spans="1:10">
      <c r="A5915" s="74" t="s">
        <v>728</v>
      </c>
      <c r="B5915" s="74" t="s">
        <v>695</v>
      </c>
      <c r="C5915" s="74" t="s">
        <v>1675</v>
      </c>
      <c r="D5915" s="74" t="s">
        <v>91</v>
      </c>
      <c r="E5915" s="74">
        <v>1</v>
      </c>
      <c r="F5915" s="74">
        <v>8.4</v>
      </c>
      <c r="G5915" s="758">
        <f t="shared" si="368"/>
        <v>1.5</v>
      </c>
      <c r="H5915" s="759">
        <f t="shared" si="369"/>
        <v>0.23</v>
      </c>
      <c r="I5915" s="758">
        <f t="shared" si="370"/>
        <v>6.9</v>
      </c>
      <c r="J5915" s="760">
        <f t="shared" si="371"/>
        <v>0.8214285714285714</v>
      </c>
    </row>
    <row r="5916" spans="1:10">
      <c r="A5916" s="74" t="s">
        <v>2197</v>
      </c>
      <c r="B5916" s="74" t="s">
        <v>877</v>
      </c>
      <c r="C5916" s="74" t="s">
        <v>1512</v>
      </c>
      <c r="D5916" s="74" t="s">
        <v>80</v>
      </c>
      <c r="E5916" s="74">
        <v>4</v>
      </c>
      <c r="F5916" s="74">
        <v>0</v>
      </c>
      <c r="G5916" s="758">
        <f t="shared" si="368"/>
        <v>1.0900000000000001</v>
      </c>
      <c r="H5916" s="759">
        <f t="shared" si="369"/>
        <v>0</v>
      </c>
      <c r="I5916" s="758">
        <f t="shared" si="370"/>
        <v>-1.0900000000000001</v>
      </c>
      <c r="J5916" s="760">
        <f t="shared" si="371"/>
        <v>0</v>
      </c>
    </row>
    <row r="5917" spans="1:10">
      <c r="A5917" s="74" t="s">
        <v>949</v>
      </c>
      <c r="B5917" s="74" t="s">
        <v>948</v>
      </c>
      <c r="C5917" s="74" t="s">
        <v>1508</v>
      </c>
      <c r="D5917" s="74" t="s">
        <v>78</v>
      </c>
      <c r="E5917" s="74">
        <v>1</v>
      </c>
      <c r="F5917" s="74">
        <v>7.7</v>
      </c>
      <c r="G5917" s="758">
        <f t="shared" si="368"/>
        <v>0.83</v>
      </c>
      <c r="H5917" s="759">
        <f t="shared" si="369"/>
        <v>0.27</v>
      </c>
      <c r="I5917" s="758">
        <f t="shared" si="370"/>
        <v>6.87</v>
      </c>
      <c r="J5917" s="760">
        <f t="shared" si="371"/>
        <v>0.89220779220779223</v>
      </c>
    </row>
    <row r="5918" spans="1:10">
      <c r="A5918" s="74" t="s">
        <v>949</v>
      </c>
      <c r="B5918" s="74" t="s">
        <v>948</v>
      </c>
      <c r="C5918" s="74" t="s">
        <v>1509</v>
      </c>
      <c r="D5918" s="74" t="s">
        <v>78</v>
      </c>
      <c r="E5918" s="74">
        <v>1</v>
      </c>
      <c r="F5918" s="74">
        <v>7.7</v>
      </c>
      <c r="G5918" s="758">
        <f t="shared" si="368"/>
        <v>0.83</v>
      </c>
      <c r="H5918" s="759">
        <f t="shared" si="369"/>
        <v>0.27</v>
      </c>
      <c r="I5918" s="758">
        <f t="shared" si="370"/>
        <v>6.87</v>
      </c>
      <c r="J5918" s="760">
        <f t="shared" si="371"/>
        <v>0.89220779220779223</v>
      </c>
    </row>
    <row r="5919" spans="1:10">
      <c r="A5919" s="74" t="s">
        <v>949</v>
      </c>
      <c r="B5919" s="74" t="s">
        <v>948</v>
      </c>
      <c r="C5919" s="74" t="s">
        <v>1532</v>
      </c>
      <c r="D5919" s="74" t="s">
        <v>80</v>
      </c>
      <c r="E5919" s="74">
        <v>1</v>
      </c>
      <c r="F5919" s="74">
        <v>7.7</v>
      </c>
      <c r="G5919" s="758">
        <f t="shared" si="368"/>
        <v>0.83</v>
      </c>
      <c r="H5919" s="759">
        <f t="shared" si="369"/>
        <v>0.27</v>
      </c>
      <c r="I5919" s="758">
        <f t="shared" si="370"/>
        <v>6.87</v>
      </c>
      <c r="J5919" s="760">
        <f t="shared" si="371"/>
        <v>0.89220779220779223</v>
      </c>
    </row>
    <row r="5920" spans="1:10">
      <c r="A5920" s="74" t="s">
        <v>949</v>
      </c>
      <c r="B5920" s="74" t="s">
        <v>948</v>
      </c>
      <c r="C5920" s="74" t="s">
        <v>1511</v>
      </c>
      <c r="D5920" s="74" t="s">
        <v>80</v>
      </c>
      <c r="E5920" s="74">
        <v>1</v>
      </c>
      <c r="F5920" s="74">
        <v>7.7</v>
      </c>
      <c r="G5920" s="758">
        <f t="shared" si="368"/>
        <v>0.83</v>
      </c>
      <c r="H5920" s="759">
        <f t="shared" si="369"/>
        <v>0.27</v>
      </c>
      <c r="I5920" s="758">
        <f t="shared" si="370"/>
        <v>6.87</v>
      </c>
      <c r="J5920" s="760">
        <f t="shared" si="371"/>
        <v>0.89220779220779223</v>
      </c>
    </row>
    <row r="5921" spans="1:10">
      <c r="A5921" s="74" t="s">
        <v>949</v>
      </c>
      <c r="B5921" s="74" t="s">
        <v>948</v>
      </c>
      <c r="C5921" s="74" t="s">
        <v>1512</v>
      </c>
      <c r="D5921" s="74" t="s">
        <v>80</v>
      </c>
      <c r="E5921" s="74">
        <v>2</v>
      </c>
      <c r="F5921" s="74">
        <v>15.4</v>
      </c>
      <c r="G5921" s="758">
        <f t="shared" si="368"/>
        <v>0.83</v>
      </c>
      <c r="H5921" s="759">
        <f t="shared" si="369"/>
        <v>0.27</v>
      </c>
      <c r="I5921" s="758">
        <f t="shared" si="370"/>
        <v>6.87</v>
      </c>
      <c r="J5921" s="760">
        <f t="shared" si="371"/>
        <v>0.89220779220779223</v>
      </c>
    </row>
    <row r="5922" spans="1:10">
      <c r="A5922" s="74" t="s">
        <v>949</v>
      </c>
      <c r="B5922" s="74" t="s">
        <v>948</v>
      </c>
      <c r="C5922" s="74" t="s">
        <v>1534</v>
      </c>
      <c r="D5922" s="74" t="s">
        <v>81</v>
      </c>
      <c r="E5922" s="74">
        <v>1</v>
      </c>
      <c r="F5922" s="74">
        <v>7.7</v>
      </c>
      <c r="G5922" s="758">
        <f t="shared" si="368"/>
        <v>0.83</v>
      </c>
      <c r="H5922" s="759">
        <f t="shared" si="369"/>
        <v>0.27</v>
      </c>
      <c r="I5922" s="758">
        <f t="shared" si="370"/>
        <v>6.87</v>
      </c>
      <c r="J5922" s="760">
        <f t="shared" si="371"/>
        <v>0.89220779220779223</v>
      </c>
    </row>
    <row r="5923" spans="1:10">
      <c r="A5923" s="74" t="s">
        <v>949</v>
      </c>
      <c r="B5923" s="74" t="s">
        <v>948</v>
      </c>
      <c r="C5923" s="74" t="s">
        <v>1513</v>
      </c>
      <c r="D5923" s="74" t="s">
        <v>81</v>
      </c>
      <c r="E5923" s="74">
        <v>2</v>
      </c>
      <c r="F5923" s="74">
        <v>15.4</v>
      </c>
      <c r="G5923" s="758">
        <f t="shared" si="368"/>
        <v>0.83</v>
      </c>
      <c r="H5923" s="759">
        <f t="shared" si="369"/>
        <v>0.27</v>
      </c>
      <c r="I5923" s="758">
        <f t="shared" si="370"/>
        <v>6.87</v>
      </c>
      <c r="J5923" s="760">
        <f t="shared" si="371"/>
        <v>0.89220779220779223</v>
      </c>
    </row>
    <row r="5924" spans="1:10">
      <c r="A5924" s="74" t="s">
        <v>949</v>
      </c>
      <c r="B5924" s="74" t="s">
        <v>948</v>
      </c>
      <c r="C5924" s="74" t="s">
        <v>1527</v>
      </c>
      <c r="D5924" s="74" t="s">
        <v>82</v>
      </c>
      <c r="E5924" s="74">
        <v>1</v>
      </c>
      <c r="F5924" s="74">
        <v>7.7</v>
      </c>
      <c r="G5924" s="758">
        <f t="shared" si="368"/>
        <v>0.83</v>
      </c>
      <c r="H5924" s="759">
        <f t="shared" si="369"/>
        <v>0.27</v>
      </c>
      <c r="I5924" s="758">
        <f t="shared" si="370"/>
        <v>6.87</v>
      </c>
      <c r="J5924" s="760">
        <f t="shared" si="371"/>
        <v>0.89220779220779223</v>
      </c>
    </row>
    <row r="5925" spans="1:10">
      <c r="A5925" s="74" t="s">
        <v>949</v>
      </c>
      <c r="B5925" s="74" t="s">
        <v>948</v>
      </c>
      <c r="C5925" s="74" t="s">
        <v>1520</v>
      </c>
      <c r="D5925" s="74" t="s">
        <v>84</v>
      </c>
      <c r="E5925" s="74">
        <v>1</v>
      </c>
      <c r="F5925" s="74">
        <v>7.7</v>
      </c>
      <c r="G5925" s="758">
        <f t="shared" si="368"/>
        <v>0.83</v>
      </c>
      <c r="H5925" s="759">
        <f t="shared" si="369"/>
        <v>0.27</v>
      </c>
      <c r="I5925" s="758">
        <f t="shared" si="370"/>
        <v>6.87</v>
      </c>
      <c r="J5925" s="760">
        <f t="shared" si="371"/>
        <v>0.89220779220779223</v>
      </c>
    </row>
    <row r="5926" spans="1:10">
      <c r="A5926" s="74" t="s">
        <v>949</v>
      </c>
      <c r="B5926" s="74" t="s">
        <v>948</v>
      </c>
      <c r="C5926" s="74" t="s">
        <v>1644</v>
      </c>
      <c r="D5926" s="74" t="s">
        <v>86</v>
      </c>
      <c r="E5926" s="74">
        <v>1</v>
      </c>
      <c r="F5926" s="74">
        <v>7.7</v>
      </c>
      <c r="G5926" s="758">
        <f t="shared" si="368"/>
        <v>0.83</v>
      </c>
      <c r="H5926" s="759">
        <f t="shared" si="369"/>
        <v>0.27</v>
      </c>
      <c r="I5926" s="758">
        <f t="shared" si="370"/>
        <v>6.87</v>
      </c>
      <c r="J5926" s="760">
        <f t="shared" si="371"/>
        <v>0.89220779220779223</v>
      </c>
    </row>
    <row r="5927" spans="1:10">
      <c r="A5927" s="74" t="s">
        <v>949</v>
      </c>
      <c r="B5927" s="74" t="s">
        <v>948</v>
      </c>
      <c r="C5927" s="74" t="s">
        <v>1544</v>
      </c>
      <c r="D5927" s="74" t="s">
        <v>87</v>
      </c>
      <c r="E5927" s="74">
        <v>1</v>
      </c>
      <c r="F5927" s="74">
        <v>7.7</v>
      </c>
      <c r="G5927" s="758">
        <f t="shared" si="368"/>
        <v>0.83</v>
      </c>
      <c r="H5927" s="759">
        <f t="shared" si="369"/>
        <v>0.27</v>
      </c>
      <c r="I5927" s="758">
        <f t="shared" si="370"/>
        <v>6.87</v>
      </c>
      <c r="J5927" s="760">
        <f t="shared" si="371"/>
        <v>0.89220779220779223</v>
      </c>
    </row>
    <row r="5928" spans="1:10">
      <c r="A5928" s="74" t="s">
        <v>949</v>
      </c>
      <c r="B5928" s="74" t="s">
        <v>948</v>
      </c>
      <c r="C5928" s="74" t="s">
        <v>1561</v>
      </c>
      <c r="D5928" s="74" t="s">
        <v>87</v>
      </c>
      <c r="E5928" s="74">
        <v>2</v>
      </c>
      <c r="F5928" s="74">
        <v>15.4</v>
      </c>
      <c r="G5928" s="758">
        <f t="shared" si="368"/>
        <v>0.83</v>
      </c>
      <c r="H5928" s="759">
        <f t="shared" si="369"/>
        <v>0.27</v>
      </c>
      <c r="I5928" s="758">
        <f t="shared" si="370"/>
        <v>6.87</v>
      </c>
      <c r="J5928" s="760">
        <f t="shared" si="371"/>
        <v>0.89220779220779223</v>
      </c>
    </row>
    <row r="5929" spans="1:10">
      <c r="A5929" s="74" t="s">
        <v>949</v>
      </c>
      <c r="B5929" s="74" t="s">
        <v>948</v>
      </c>
      <c r="C5929" s="74" t="s">
        <v>1610</v>
      </c>
      <c r="D5929" s="74" t="s">
        <v>89</v>
      </c>
      <c r="E5929" s="74">
        <v>2</v>
      </c>
      <c r="F5929" s="74">
        <v>15.4</v>
      </c>
      <c r="G5929" s="758">
        <f t="shared" si="368"/>
        <v>0.83</v>
      </c>
      <c r="H5929" s="759">
        <f t="shared" si="369"/>
        <v>0.27</v>
      </c>
      <c r="I5929" s="758">
        <f t="shared" si="370"/>
        <v>6.87</v>
      </c>
      <c r="J5929" s="760">
        <f t="shared" si="371"/>
        <v>0.89220779220779223</v>
      </c>
    </row>
    <row r="5930" spans="1:10">
      <c r="A5930" s="74" t="s">
        <v>949</v>
      </c>
      <c r="B5930" s="74" t="s">
        <v>948</v>
      </c>
      <c r="C5930" s="74" t="s">
        <v>1547</v>
      </c>
      <c r="D5930" s="74" t="s">
        <v>89</v>
      </c>
      <c r="E5930" s="74">
        <v>1</v>
      </c>
      <c r="F5930" s="74">
        <v>7.7</v>
      </c>
      <c r="G5930" s="758">
        <f t="shared" si="368"/>
        <v>0.83</v>
      </c>
      <c r="H5930" s="759">
        <f t="shared" si="369"/>
        <v>0.27</v>
      </c>
      <c r="I5930" s="758">
        <f t="shared" si="370"/>
        <v>6.87</v>
      </c>
      <c r="J5930" s="760">
        <f t="shared" si="371"/>
        <v>0.89220779220779223</v>
      </c>
    </row>
    <row r="5931" spans="1:10">
      <c r="A5931" s="74" t="s">
        <v>949</v>
      </c>
      <c r="B5931" s="74" t="s">
        <v>948</v>
      </c>
      <c r="C5931" s="74" t="s">
        <v>1675</v>
      </c>
      <c r="D5931" s="74" t="s">
        <v>91</v>
      </c>
      <c r="E5931" s="74">
        <v>2</v>
      </c>
      <c r="F5931" s="74">
        <v>15.4</v>
      </c>
      <c r="G5931" s="758">
        <f t="shared" si="368"/>
        <v>0.83</v>
      </c>
      <c r="H5931" s="759">
        <f t="shared" si="369"/>
        <v>0.27</v>
      </c>
      <c r="I5931" s="758">
        <f t="shared" si="370"/>
        <v>6.87</v>
      </c>
      <c r="J5931" s="760">
        <f t="shared" si="371"/>
        <v>0.89220779220779223</v>
      </c>
    </row>
    <row r="5932" spans="1:10">
      <c r="A5932" s="74" t="s">
        <v>949</v>
      </c>
      <c r="B5932" s="74" t="s">
        <v>948</v>
      </c>
      <c r="C5932" s="74" t="s">
        <v>1584</v>
      </c>
      <c r="D5932" s="74" t="s">
        <v>92</v>
      </c>
      <c r="E5932" s="74">
        <v>2</v>
      </c>
      <c r="F5932" s="74">
        <v>15.4</v>
      </c>
      <c r="G5932" s="758">
        <f t="shared" si="368"/>
        <v>0.83</v>
      </c>
      <c r="H5932" s="759">
        <f t="shared" si="369"/>
        <v>0.27</v>
      </c>
      <c r="I5932" s="758">
        <f t="shared" si="370"/>
        <v>6.87</v>
      </c>
      <c r="J5932" s="760">
        <f t="shared" si="371"/>
        <v>0.89220779220779223</v>
      </c>
    </row>
    <row r="5933" spans="1:10">
      <c r="A5933" s="74" t="s">
        <v>949</v>
      </c>
      <c r="B5933" s="74" t="s">
        <v>948</v>
      </c>
      <c r="C5933" s="74" t="s">
        <v>1614</v>
      </c>
      <c r="D5933" s="74" t="s">
        <v>92</v>
      </c>
      <c r="E5933" s="74">
        <v>1</v>
      </c>
      <c r="F5933" s="74">
        <v>7.7</v>
      </c>
      <c r="G5933" s="758">
        <f t="shared" si="368"/>
        <v>0.83</v>
      </c>
      <c r="H5933" s="759">
        <f t="shared" si="369"/>
        <v>0.27</v>
      </c>
      <c r="I5933" s="758">
        <f t="shared" si="370"/>
        <v>6.87</v>
      </c>
      <c r="J5933" s="760">
        <f t="shared" si="371"/>
        <v>0.89220779220779223</v>
      </c>
    </row>
    <row r="5934" spans="1:10">
      <c r="A5934" s="74" t="s">
        <v>2198</v>
      </c>
      <c r="B5934" s="74" t="s">
        <v>948</v>
      </c>
      <c r="C5934" s="74" t="s">
        <v>1543</v>
      </c>
      <c r="D5934" s="74" t="s">
        <v>87</v>
      </c>
      <c r="E5934" s="74">
        <v>1</v>
      </c>
      <c r="F5934" s="74">
        <v>6.16</v>
      </c>
      <c r="G5934" s="758">
        <f t="shared" si="368"/>
        <v>0</v>
      </c>
      <c r="H5934" s="759">
        <f t="shared" si="369"/>
        <v>0</v>
      </c>
      <c r="I5934" s="758">
        <f t="shared" si="370"/>
        <v>6.16</v>
      </c>
      <c r="J5934" s="760">
        <f t="shared" si="371"/>
        <v>1</v>
      </c>
    </row>
    <row r="5935" spans="1:10">
      <c r="A5935" s="74" t="s">
        <v>2199</v>
      </c>
      <c r="B5935" s="74" t="s">
        <v>264</v>
      </c>
      <c r="C5935" s="74" t="s">
        <v>1509</v>
      </c>
      <c r="D5935" s="74" t="s">
        <v>78</v>
      </c>
      <c r="E5935" s="74">
        <v>4</v>
      </c>
      <c r="F5935" s="74">
        <v>6</v>
      </c>
      <c r="G5935" s="758">
        <f t="shared" si="368"/>
        <v>0.66</v>
      </c>
      <c r="H5935" s="759">
        <f t="shared" si="369"/>
        <v>0.97</v>
      </c>
      <c r="I5935" s="758">
        <f t="shared" si="370"/>
        <v>0.84</v>
      </c>
      <c r="J5935" s="760">
        <f t="shared" si="371"/>
        <v>0.56000000000000005</v>
      </c>
    </row>
    <row r="5936" spans="1:10">
      <c r="A5936" s="74" t="s">
        <v>2199</v>
      </c>
      <c r="B5936" s="74" t="s">
        <v>264</v>
      </c>
      <c r="C5936" s="74" t="s">
        <v>1512</v>
      </c>
      <c r="D5936" s="74" t="s">
        <v>80</v>
      </c>
      <c r="E5936" s="74">
        <v>4</v>
      </c>
      <c r="F5936" s="74">
        <v>6</v>
      </c>
      <c r="G5936" s="758">
        <f t="shared" si="368"/>
        <v>0.66</v>
      </c>
      <c r="H5936" s="759">
        <f t="shared" si="369"/>
        <v>0.97</v>
      </c>
      <c r="I5936" s="758">
        <f t="shared" si="370"/>
        <v>0.84</v>
      </c>
      <c r="J5936" s="760">
        <f t="shared" si="371"/>
        <v>0.56000000000000005</v>
      </c>
    </row>
    <row r="5937" spans="1:10">
      <c r="A5937" s="74" t="s">
        <v>2200</v>
      </c>
      <c r="B5937" s="74" t="s">
        <v>258</v>
      </c>
      <c r="C5937" s="74" t="s">
        <v>1578</v>
      </c>
      <c r="D5937" s="74" t="s">
        <v>86</v>
      </c>
      <c r="E5937" s="74">
        <v>1</v>
      </c>
      <c r="F5937" s="74">
        <v>0</v>
      </c>
      <c r="G5937" s="758">
        <f t="shared" si="368"/>
        <v>0</v>
      </c>
      <c r="H5937" s="759">
        <f t="shared" si="369"/>
        <v>0</v>
      </c>
      <c r="I5937" s="758">
        <f t="shared" si="370"/>
        <v>0</v>
      </c>
      <c r="J5937" s="760">
        <f t="shared" si="371"/>
        <v>0</v>
      </c>
    </row>
    <row r="5938" spans="1:10">
      <c r="A5938" s="74" t="s">
        <v>2200</v>
      </c>
      <c r="B5938" s="74" t="s">
        <v>258</v>
      </c>
      <c r="C5938" s="74" t="s">
        <v>1546</v>
      </c>
      <c r="D5938" s="74" t="s">
        <v>89</v>
      </c>
      <c r="E5938" s="74">
        <v>1</v>
      </c>
      <c r="F5938" s="74">
        <v>0</v>
      </c>
      <c r="G5938" s="758">
        <f t="shared" si="368"/>
        <v>0</v>
      </c>
      <c r="H5938" s="759">
        <f t="shared" si="369"/>
        <v>0</v>
      </c>
      <c r="I5938" s="758">
        <f t="shared" si="370"/>
        <v>0</v>
      </c>
      <c r="J5938" s="760">
        <f t="shared" si="371"/>
        <v>0</v>
      </c>
    </row>
    <row r="5939" spans="1:10">
      <c r="A5939" s="74" t="s">
        <v>2201</v>
      </c>
      <c r="B5939" s="74" t="s">
        <v>264</v>
      </c>
      <c r="C5939" s="74" t="s">
        <v>1550</v>
      </c>
      <c r="D5939" s="74" t="s">
        <v>91</v>
      </c>
      <c r="E5939" s="74">
        <v>1</v>
      </c>
      <c r="F5939" s="74">
        <v>0.7</v>
      </c>
      <c r="G5939" s="758">
        <f t="shared" si="368"/>
        <v>0</v>
      </c>
      <c r="H5939" s="759">
        <f t="shared" si="369"/>
        <v>0</v>
      </c>
      <c r="I5939" s="758">
        <f t="shared" si="370"/>
        <v>0.7</v>
      </c>
      <c r="J5939" s="760">
        <f t="shared" si="371"/>
        <v>1</v>
      </c>
    </row>
    <row r="5940" spans="1:10">
      <c r="A5940" s="74" t="s">
        <v>2202</v>
      </c>
      <c r="B5940" s="74" t="s">
        <v>873</v>
      </c>
      <c r="C5940" s="74" t="s">
        <v>1532</v>
      </c>
      <c r="D5940" s="74" t="s">
        <v>80</v>
      </c>
      <c r="E5940" s="74">
        <v>13</v>
      </c>
      <c r="F5940" s="74">
        <v>0</v>
      </c>
      <c r="G5940" s="758">
        <f t="shared" si="368"/>
        <v>1.32</v>
      </c>
      <c r="H5940" s="759">
        <f t="shared" si="369"/>
        <v>0</v>
      </c>
      <c r="I5940" s="758">
        <f t="shared" si="370"/>
        <v>-1.32</v>
      </c>
      <c r="J5940" s="760">
        <f t="shared" si="371"/>
        <v>0</v>
      </c>
    </row>
    <row r="5941" spans="1:10">
      <c r="A5941" s="74" t="s">
        <v>2203</v>
      </c>
      <c r="B5941" s="74" t="s">
        <v>873</v>
      </c>
      <c r="C5941" s="74" t="s">
        <v>1584</v>
      </c>
      <c r="D5941" s="74" t="s">
        <v>92</v>
      </c>
      <c r="E5941" s="74">
        <v>7</v>
      </c>
      <c r="F5941" s="74">
        <v>0</v>
      </c>
      <c r="G5941" s="758">
        <f t="shared" si="368"/>
        <v>0</v>
      </c>
      <c r="H5941" s="759">
        <f t="shared" si="369"/>
        <v>0</v>
      </c>
      <c r="I5941" s="758">
        <f t="shared" si="370"/>
        <v>0</v>
      </c>
      <c r="J5941" s="760">
        <f t="shared" si="371"/>
        <v>0</v>
      </c>
    </row>
    <row r="5942" spans="1:10">
      <c r="A5942" s="74" t="s">
        <v>2204</v>
      </c>
      <c r="B5942" s="74" t="s">
        <v>873</v>
      </c>
      <c r="C5942" s="74" t="s">
        <v>1557</v>
      </c>
      <c r="D5942" s="74" t="s">
        <v>95</v>
      </c>
      <c r="E5942" s="74">
        <v>7</v>
      </c>
      <c r="F5942" s="74">
        <v>0</v>
      </c>
      <c r="G5942" s="758">
        <f t="shared" si="368"/>
        <v>0</v>
      </c>
      <c r="H5942" s="759">
        <f t="shared" si="369"/>
        <v>0</v>
      </c>
      <c r="I5942" s="758">
        <f t="shared" si="370"/>
        <v>0</v>
      </c>
      <c r="J5942" s="760">
        <f t="shared" si="371"/>
        <v>0</v>
      </c>
    </row>
    <row r="5943" spans="1:10">
      <c r="A5943" s="74" t="s">
        <v>2205</v>
      </c>
      <c r="B5943" s="74" t="s">
        <v>873</v>
      </c>
      <c r="C5943" s="74" t="s">
        <v>1577</v>
      </c>
      <c r="D5943" s="74" t="s">
        <v>84</v>
      </c>
      <c r="E5943" s="74">
        <v>3</v>
      </c>
      <c r="F5943" s="74">
        <v>0</v>
      </c>
      <c r="G5943" s="758">
        <f t="shared" si="368"/>
        <v>0</v>
      </c>
      <c r="H5943" s="759">
        <f t="shared" si="369"/>
        <v>0</v>
      </c>
      <c r="I5943" s="758">
        <f t="shared" si="370"/>
        <v>0</v>
      </c>
      <c r="J5943" s="760">
        <f t="shared" si="371"/>
        <v>0</v>
      </c>
    </row>
    <row r="5944" spans="1:10">
      <c r="A5944" s="74" t="s">
        <v>2206</v>
      </c>
      <c r="B5944" s="74" t="s">
        <v>275</v>
      </c>
      <c r="C5944" s="74" t="s">
        <v>1530</v>
      </c>
      <c r="D5944" s="74" t="s">
        <v>80</v>
      </c>
      <c r="E5944" s="74">
        <v>1</v>
      </c>
      <c r="F5944" s="74">
        <v>4.5</v>
      </c>
      <c r="G5944" s="758">
        <f t="shared" si="368"/>
        <v>0.59</v>
      </c>
      <c r="H5944" s="759">
        <f t="shared" si="369"/>
        <v>0.14000000000000001</v>
      </c>
      <c r="I5944" s="758">
        <f t="shared" si="370"/>
        <v>3.91</v>
      </c>
      <c r="J5944" s="760">
        <f t="shared" si="371"/>
        <v>0.86888888888888893</v>
      </c>
    </row>
    <row r="5945" spans="1:10">
      <c r="A5945" s="74" t="s">
        <v>2206</v>
      </c>
      <c r="B5945" s="74" t="s">
        <v>275</v>
      </c>
      <c r="C5945" s="74" t="s">
        <v>1532</v>
      </c>
      <c r="D5945" s="74" t="s">
        <v>80</v>
      </c>
      <c r="E5945" s="74">
        <v>2</v>
      </c>
      <c r="F5945" s="74">
        <v>9</v>
      </c>
      <c r="G5945" s="758">
        <f t="shared" si="368"/>
        <v>0.59</v>
      </c>
      <c r="H5945" s="759">
        <f t="shared" si="369"/>
        <v>0.14000000000000001</v>
      </c>
      <c r="I5945" s="758">
        <f t="shared" si="370"/>
        <v>3.91</v>
      </c>
      <c r="J5945" s="760">
        <f t="shared" si="371"/>
        <v>0.86888888888888893</v>
      </c>
    </row>
    <row r="5946" spans="1:10">
      <c r="A5946" s="74" t="s">
        <v>2206</v>
      </c>
      <c r="B5946" s="74" t="s">
        <v>275</v>
      </c>
      <c r="C5946" s="74" t="s">
        <v>1534</v>
      </c>
      <c r="D5946" s="74" t="s">
        <v>81</v>
      </c>
      <c r="E5946" s="74">
        <v>1</v>
      </c>
      <c r="F5946" s="74">
        <v>4.5</v>
      </c>
      <c r="G5946" s="758">
        <f t="shared" si="368"/>
        <v>0.59</v>
      </c>
      <c r="H5946" s="759">
        <f t="shared" si="369"/>
        <v>0.14000000000000001</v>
      </c>
      <c r="I5946" s="758">
        <f t="shared" si="370"/>
        <v>3.91</v>
      </c>
      <c r="J5946" s="760">
        <f t="shared" si="371"/>
        <v>0.86888888888888893</v>
      </c>
    </row>
    <row r="5947" spans="1:10">
      <c r="A5947" s="74" t="s">
        <v>2206</v>
      </c>
      <c r="B5947" s="74" t="s">
        <v>275</v>
      </c>
      <c r="C5947" s="74" t="s">
        <v>1514</v>
      </c>
      <c r="D5947" s="74" t="s">
        <v>81</v>
      </c>
      <c r="E5947" s="74">
        <v>1</v>
      </c>
      <c r="F5947" s="74">
        <v>4.5</v>
      </c>
      <c r="G5947" s="758">
        <f t="shared" si="368"/>
        <v>0.59</v>
      </c>
      <c r="H5947" s="759">
        <f t="shared" si="369"/>
        <v>0.14000000000000001</v>
      </c>
      <c r="I5947" s="758">
        <f t="shared" si="370"/>
        <v>3.91</v>
      </c>
      <c r="J5947" s="760">
        <f t="shared" si="371"/>
        <v>0.86888888888888893</v>
      </c>
    </row>
    <row r="5948" spans="1:10">
      <c r="A5948" s="74" t="s">
        <v>2206</v>
      </c>
      <c r="B5948" s="74" t="s">
        <v>275</v>
      </c>
      <c r="C5948" s="74" t="s">
        <v>1516</v>
      </c>
      <c r="D5948" s="74" t="s">
        <v>82</v>
      </c>
      <c r="E5948" s="74">
        <v>1</v>
      </c>
      <c r="F5948" s="74">
        <v>5.25</v>
      </c>
      <c r="G5948" s="758">
        <f t="shared" si="368"/>
        <v>0.59</v>
      </c>
      <c r="H5948" s="759">
        <f t="shared" si="369"/>
        <v>0.14000000000000001</v>
      </c>
      <c r="I5948" s="758">
        <f t="shared" si="370"/>
        <v>4.66</v>
      </c>
      <c r="J5948" s="760">
        <f t="shared" si="371"/>
        <v>0.88761904761904764</v>
      </c>
    </row>
    <row r="5949" spans="1:10">
      <c r="A5949" s="74" t="s">
        <v>2206</v>
      </c>
      <c r="B5949" s="74" t="s">
        <v>275</v>
      </c>
      <c r="C5949" s="74" t="s">
        <v>1527</v>
      </c>
      <c r="D5949" s="74" t="s">
        <v>82</v>
      </c>
      <c r="E5949" s="74">
        <v>1</v>
      </c>
      <c r="F5949" s="74">
        <v>5.25</v>
      </c>
      <c r="G5949" s="758">
        <f t="shared" si="368"/>
        <v>0.59</v>
      </c>
      <c r="H5949" s="759">
        <f t="shared" si="369"/>
        <v>0.14000000000000001</v>
      </c>
      <c r="I5949" s="758">
        <f t="shared" si="370"/>
        <v>4.66</v>
      </c>
      <c r="J5949" s="760">
        <f t="shared" si="371"/>
        <v>0.88761904761904764</v>
      </c>
    </row>
    <row r="5950" spans="1:10">
      <c r="A5950" s="74" t="s">
        <v>742</v>
      </c>
      <c r="B5950" s="74" t="s">
        <v>251</v>
      </c>
      <c r="C5950" s="74" t="s">
        <v>1528</v>
      </c>
      <c r="D5950" s="74" t="s">
        <v>78</v>
      </c>
      <c r="E5950" s="74">
        <v>7</v>
      </c>
      <c r="F5950" s="74">
        <v>19</v>
      </c>
      <c r="G5950" s="758">
        <f t="shared" si="368"/>
        <v>0.33</v>
      </c>
      <c r="H5950" s="759">
        <f t="shared" si="369"/>
        <v>0.28999999999999998</v>
      </c>
      <c r="I5950" s="758">
        <f t="shared" si="370"/>
        <v>2.3842857142857143</v>
      </c>
      <c r="J5950" s="760">
        <f t="shared" si="371"/>
        <v>0.87842105263157899</v>
      </c>
    </row>
    <row r="5951" spans="1:10">
      <c r="A5951" s="74" t="s">
        <v>742</v>
      </c>
      <c r="B5951" s="74" t="s">
        <v>251</v>
      </c>
      <c r="C5951" s="74" t="s">
        <v>1508</v>
      </c>
      <c r="D5951" s="74" t="s">
        <v>78</v>
      </c>
      <c r="E5951" s="74">
        <v>7</v>
      </c>
      <c r="F5951" s="74">
        <v>19.25</v>
      </c>
      <c r="G5951" s="758">
        <f t="shared" si="368"/>
        <v>0.33</v>
      </c>
      <c r="H5951" s="759">
        <f t="shared" si="369"/>
        <v>0.28999999999999998</v>
      </c>
      <c r="I5951" s="758">
        <f t="shared" si="370"/>
        <v>2.42</v>
      </c>
      <c r="J5951" s="760">
        <f t="shared" si="371"/>
        <v>0.88</v>
      </c>
    </row>
    <row r="5952" spans="1:10">
      <c r="A5952" s="74" t="s">
        <v>742</v>
      </c>
      <c r="B5952" s="74" t="s">
        <v>251</v>
      </c>
      <c r="C5952" s="74" t="s">
        <v>1509</v>
      </c>
      <c r="D5952" s="74" t="s">
        <v>78</v>
      </c>
      <c r="E5952" s="74">
        <v>11</v>
      </c>
      <c r="F5952" s="74">
        <v>30.16</v>
      </c>
      <c r="G5952" s="758">
        <f t="shared" si="368"/>
        <v>0.33</v>
      </c>
      <c r="H5952" s="759">
        <f t="shared" si="369"/>
        <v>0.28999999999999998</v>
      </c>
      <c r="I5952" s="758">
        <f t="shared" si="370"/>
        <v>2.4118181818181816</v>
      </c>
      <c r="J5952" s="760">
        <f t="shared" si="371"/>
        <v>0.87964190981432355</v>
      </c>
    </row>
    <row r="5953" spans="1:10">
      <c r="A5953" s="74" t="s">
        <v>742</v>
      </c>
      <c r="B5953" s="74" t="s">
        <v>251</v>
      </c>
      <c r="C5953" s="74" t="s">
        <v>1565</v>
      </c>
      <c r="D5953" s="74" t="s">
        <v>78</v>
      </c>
      <c r="E5953" s="74">
        <v>12</v>
      </c>
      <c r="F5953" s="74">
        <v>32.86</v>
      </c>
      <c r="G5953" s="758">
        <f t="shared" si="368"/>
        <v>0.33</v>
      </c>
      <c r="H5953" s="759">
        <f t="shared" si="369"/>
        <v>0.28999999999999998</v>
      </c>
      <c r="I5953" s="758">
        <f t="shared" si="370"/>
        <v>2.4083333333333332</v>
      </c>
      <c r="J5953" s="760">
        <f t="shared" si="371"/>
        <v>0.87948874010955569</v>
      </c>
    </row>
    <row r="5954" spans="1:10">
      <c r="A5954" s="74" t="s">
        <v>742</v>
      </c>
      <c r="B5954" s="74" t="s">
        <v>251</v>
      </c>
      <c r="C5954" s="74" t="s">
        <v>1530</v>
      </c>
      <c r="D5954" s="74" t="s">
        <v>80</v>
      </c>
      <c r="E5954" s="74">
        <v>6</v>
      </c>
      <c r="F5954" s="74">
        <v>15.95</v>
      </c>
      <c r="G5954" s="758">
        <f t="shared" ref="G5954:G6017" si="372">IFERROR(VLOOKUP(A5954,$M$1:$P$1014,2,FALSE),0)</f>
        <v>0.33</v>
      </c>
      <c r="H5954" s="759">
        <f t="shared" ref="H5954:H6017" si="373">IFERROR(VLOOKUP(A5954,$M$1:$P$1014,3,FALSE),0)</f>
        <v>0.28999999999999998</v>
      </c>
      <c r="I5954" s="758">
        <f t="shared" ref="I5954:I6017" si="374">IFERROR(F5954/E5954-G5954,0)</f>
        <v>2.3283333333333331</v>
      </c>
      <c r="J5954" s="760">
        <f t="shared" ref="J5954:J6017" si="375">IFERROR(1-G5954*E5954/F5954,0)</f>
        <v>0.87586206896551722</v>
      </c>
    </row>
    <row r="5955" spans="1:10">
      <c r="A5955" s="74" t="s">
        <v>742</v>
      </c>
      <c r="B5955" s="74" t="s">
        <v>251</v>
      </c>
      <c r="C5955" s="74" t="s">
        <v>1532</v>
      </c>
      <c r="D5955" s="74" t="s">
        <v>80</v>
      </c>
      <c r="E5955" s="74">
        <v>11</v>
      </c>
      <c r="F5955" s="74">
        <v>29.7</v>
      </c>
      <c r="G5955" s="758">
        <f t="shared" si="372"/>
        <v>0.33</v>
      </c>
      <c r="H5955" s="759">
        <f t="shared" si="373"/>
        <v>0.28999999999999998</v>
      </c>
      <c r="I5955" s="758">
        <f t="shared" si="374"/>
        <v>2.3699999999999997</v>
      </c>
      <c r="J5955" s="760">
        <f t="shared" si="375"/>
        <v>0.87777777777777777</v>
      </c>
    </row>
    <row r="5956" spans="1:10">
      <c r="A5956" s="74" t="s">
        <v>742</v>
      </c>
      <c r="B5956" s="74" t="s">
        <v>251</v>
      </c>
      <c r="C5956" s="74" t="s">
        <v>1511</v>
      </c>
      <c r="D5956" s="74" t="s">
        <v>80</v>
      </c>
      <c r="E5956" s="74">
        <v>14</v>
      </c>
      <c r="F5956" s="74">
        <v>38.049999999999997</v>
      </c>
      <c r="G5956" s="758">
        <f t="shared" si="372"/>
        <v>0.33</v>
      </c>
      <c r="H5956" s="759">
        <f t="shared" si="373"/>
        <v>0.28999999999999998</v>
      </c>
      <c r="I5956" s="758">
        <f t="shared" si="374"/>
        <v>2.3878571428571425</v>
      </c>
      <c r="J5956" s="760">
        <f t="shared" si="375"/>
        <v>0.87858081471747695</v>
      </c>
    </row>
    <row r="5957" spans="1:10">
      <c r="A5957" s="74" t="s">
        <v>742</v>
      </c>
      <c r="B5957" s="74" t="s">
        <v>251</v>
      </c>
      <c r="C5957" s="74" t="s">
        <v>1512</v>
      </c>
      <c r="D5957" s="74" t="s">
        <v>80</v>
      </c>
      <c r="E5957" s="74">
        <v>11</v>
      </c>
      <c r="F5957" s="74">
        <v>29.5</v>
      </c>
      <c r="G5957" s="758">
        <f t="shared" si="372"/>
        <v>0.33</v>
      </c>
      <c r="H5957" s="759">
        <f t="shared" si="373"/>
        <v>0.28999999999999998</v>
      </c>
      <c r="I5957" s="758">
        <f t="shared" si="374"/>
        <v>2.3518181818181816</v>
      </c>
      <c r="J5957" s="760">
        <f t="shared" si="375"/>
        <v>0.87694915254237282</v>
      </c>
    </row>
    <row r="5958" spans="1:10">
      <c r="A5958" s="74" t="s">
        <v>742</v>
      </c>
      <c r="B5958" s="74" t="s">
        <v>251</v>
      </c>
      <c r="C5958" s="74" t="s">
        <v>1534</v>
      </c>
      <c r="D5958" s="74" t="s">
        <v>81</v>
      </c>
      <c r="E5958" s="74">
        <v>3</v>
      </c>
      <c r="F5958" s="74">
        <v>8.25</v>
      </c>
      <c r="G5958" s="758">
        <f t="shared" si="372"/>
        <v>0.33</v>
      </c>
      <c r="H5958" s="759">
        <f t="shared" si="373"/>
        <v>0.28999999999999998</v>
      </c>
      <c r="I5958" s="758">
        <f t="shared" si="374"/>
        <v>2.42</v>
      </c>
      <c r="J5958" s="760">
        <f t="shared" si="375"/>
        <v>0.88</v>
      </c>
    </row>
    <row r="5959" spans="1:10">
      <c r="A5959" s="74" t="s">
        <v>742</v>
      </c>
      <c r="B5959" s="74" t="s">
        <v>251</v>
      </c>
      <c r="C5959" s="74" t="s">
        <v>1513</v>
      </c>
      <c r="D5959" s="74" t="s">
        <v>81</v>
      </c>
      <c r="E5959" s="74">
        <v>15</v>
      </c>
      <c r="F5959" s="74">
        <v>40.98</v>
      </c>
      <c r="G5959" s="758">
        <f t="shared" si="372"/>
        <v>0.33</v>
      </c>
      <c r="H5959" s="759">
        <f t="shared" si="373"/>
        <v>0.28999999999999998</v>
      </c>
      <c r="I5959" s="758">
        <f t="shared" si="374"/>
        <v>2.4019999999999997</v>
      </c>
      <c r="J5959" s="760">
        <f t="shared" si="375"/>
        <v>0.87920937042459735</v>
      </c>
    </row>
    <row r="5960" spans="1:10">
      <c r="A5960" s="74" t="s">
        <v>742</v>
      </c>
      <c r="B5960" s="74" t="s">
        <v>251</v>
      </c>
      <c r="C5960" s="74" t="s">
        <v>1514</v>
      </c>
      <c r="D5960" s="74" t="s">
        <v>81</v>
      </c>
      <c r="E5960" s="74">
        <v>15</v>
      </c>
      <c r="F5960" s="74">
        <v>42.98</v>
      </c>
      <c r="G5960" s="758">
        <f t="shared" si="372"/>
        <v>0.33</v>
      </c>
      <c r="H5960" s="759">
        <f t="shared" si="373"/>
        <v>0.28999999999999998</v>
      </c>
      <c r="I5960" s="758">
        <f t="shared" si="374"/>
        <v>2.535333333333333</v>
      </c>
      <c r="J5960" s="760">
        <f t="shared" si="375"/>
        <v>0.88483015355979522</v>
      </c>
    </row>
    <row r="5961" spans="1:10">
      <c r="A5961" s="74" t="s">
        <v>742</v>
      </c>
      <c r="B5961" s="74" t="s">
        <v>251</v>
      </c>
      <c r="C5961" s="74" t="s">
        <v>1515</v>
      </c>
      <c r="D5961" s="74" t="s">
        <v>81</v>
      </c>
      <c r="E5961" s="74">
        <v>22</v>
      </c>
      <c r="F5961" s="74">
        <v>70.5</v>
      </c>
      <c r="G5961" s="758">
        <f t="shared" si="372"/>
        <v>0.33</v>
      </c>
      <c r="H5961" s="759">
        <f t="shared" si="373"/>
        <v>0.28999999999999998</v>
      </c>
      <c r="I5961" s="758">
        <f t="shared" si="374"/>
        <v>2.8745454545454545</v>
      </c>
      <c r="J5961" s="760">
        <f t="shared" si="375"/>
        <v>0.89702127659574471</v>
      </c>
    </row>
    <row r="5962" spans="1:10">
      <c r="A5962" s="74" t="s">
        <v>742</v>
      </c>
      <c r="B5962" s="74" t="s">
        <v>251</v>
      </c>
      <c r="C5962" s="74" t="s">
        <v>1516</v>
      </c>
      <c r="D5962" s="74" t="s">
        <v>82</v>
      </c>
      <c r="E5962" s="74">
        <v>6</v>
      </c>
      <c r="F5962" s="74">
        <v>17.5</v>
      </c>
      <c r="G5962" s="758">
        <f t="shared" si="372"/>
        <v>0.33</v>
      </c>
      <c r="H5962" s="759">
        <f t="shared" si="373"/>
        <v>0.28999999999999998</v>
      </c>
      <c r="I5962" s="758">
        <f t="shared" si="374"/>
        <v>2.5866666666666664</v>
      </c>
      <c r="J5962" s="760">
        <f t="shared" si="375"/>
        <v>0.8868571428571429</v>
      </c>
    </row>
    <row r="5963" spans="1:10">
      <c r="A5963" s="74" t="s">
        <v>742</v>
      </c>
      <c r="B5963" s="74" t="s">
        <v>251</v>
      </c>
      <c r="C5963" s="74" t="s">
        <v>1517</v>
      </c>
      <c r="D5963" s="74" t="s">
        <v>82</v>
      </c>
      <c r="E5963" s="74">
        <v>9</v>
      </c>
      <c r="F5963" s="74">
        <v>25.75</v>
      </c>
      <c r="G5963" s="758">
        <f t="shared" si="372"/>
        <v>0.33</v>
      </c>
      <c r="H5963" s="759">
        <f t="shared" si="373"/>
        <v>0.28999999999999998</v>
      </c>
      <c r="I5963" s="758">
        <f t="shared" si="374"/>
        <v>2.5311111111111111</v>
      </c>
      <c r="J5963" s="760">
        <f t="shared" si="375"/>
        <v>0.88466019417475728</v>
      </c>
    </row>
    <row r="5964" spans="1:10">
      <c r="A5964" s="74" t="s">
        <v>742</v>
      </c>
      <c r="B5964" s="74" t="s">
        <v>251</v>
      </c>
      <c r="C5964" s="74" t="s">
        <v>1527</v>
      </c>
      <c r="D5964" s="74" t="s">
        <v>82</v>
      </c>
      <c r="E5964" s="74">
        <v>9</v>
      </c>
      <c r="F5964" s="74">
        <v>24.75</v>
      </c>
      <c r="G5964" s="758">
        <f t="shared" si="372"/>
        <v>0.33</v>
      </c>
      <c r="H5964" s="759">
        <f t="shared" si="373"/>
        <v>0.28999999999999998</v>
      </c>
      <c r="I5964" s="758">
        <f t="shared" si="374"/>
        <v>2.42</v>
      </c>
      <c r="J5964" s="760">
        <f t="shared" si="375"/>
        <v>0.88</v>
      </c>
    </row>
    <row r="5965" spans="1:10">
      <c r="A5965" s="74" t="s">
        <v>742</v>
      </c>
      <c r="B5965" s="74" t="s">
        <v>251</v>
      </c>
      <c r="C5965" s="74" t="s">
        <v>1518</v>
      </c>
      <c r="D5965" s="74" t="s">
        <v>82</v>
      </c>
      <c r="E5965" s="74">
        <v>13</v>
      </c>
      <c r="F5965" s="74">
        <v>34.950000000000003</v>
      </c>
      <c r="G5965" s="758">
        <f t="shared" si="372"/>
        <v>0.33</v>
      </c>
      <c r="H5965" s="759">
        <f t="shared" si="373"/>
        <v>0.28999999999999998</v>
      </c>
      <c r="I5965" s="758">
        <f t="shared" si="374"/>
        <v>2.3584615384615386</v>
      </c>
      <c r="J5965" s="760">
        <f t="shared" si="375"/>
        <v>0.87725321888412022</v>
      </c>
    </row>
    <row r="5966" spans="1:10">
      <c r="A5966" s="74" t="s">
        <v>742</v>
      </c>
      <c r="B5966" s="74" t="s">
        <v>251</v>
      </c>
      <c r="C5966" s="74" t="s">
        <v>1519</v>
      </c>
      <c r="D5966" s="74" t="s">
        <v>84</v>
      </c>
      <c r="E5966" s="74">
        <v>1</v>
      </c>
      <c r="F5966" s="74">
        <v>2.75</v>
      </c>
      <c r="G5966" s="758">
        <f t="shared" si="372"/>
        <v>0.33</v>
      </c>
      <c r="H5966" s="759">
        <f t="shared" si="373"/>
        <v>0.28999999999999998</v>
      </c>
      <c r="I5966" s="758">
        <f t="shared" si="374"/>
        <v>2.42</v>
      </c>
      <c r="J5966" s="760">
        <f t="shared" si="375"/>
        <v>0.88</v>
      </c>
    </row>
    <row r="5967" spans="1:10">
      <c r="A5967" s="74" t="s">
        <v>742</v>
      </c>
      <c r="B5967" s="74" t="s">
        <v>251</v>
      </c>
      <c r="C5967" s="74" t="s">
        <v>1540</v>
      </c>
      <c r="D5967" s="74" t="s">
        <v>84</v>
      </c>
      <c r="E5967" s="74">
        <v>1</v>
      </c>
      <c r="F5967" s="74">
        <v>2.75</v>
      </c>
      <c r="G5967" s="758">
        <f t="shared" si="372"/>
        <v>0.33</v>
      </c>
      <c r="H5967" s="759">
        <f t="shared" si="373"/>
        <v>0.28999999999999998</v>
      </c>
      <c r="I5967" s="758">
        <f t="shared" si="374"/>
        <v>2.42</v>
      </c>
      <c r="J5967" s="760">
        <f t="shared" si="375"/>
        <v>0.88</v>
      </c>
    </row>
    <row r="5968" spans="1:10">
      <c r="A5968" s="74" t="s">
        <v>742</v>
      </c>
      <c r="B5968" s="74" t="s">
        <v>251</v>
      </c>
      <c r="C5968" s="74" t="s">
        <v>1520</v>
      </c>
      <c r="D5968" s="74" t="s">
        <v>84</v>
      </c>
      <c r="E5968" s="74">
        <v>2</v>
      </c>
      <c r="F5968" s="74">
        <v>5.5</v>
      </c>
      <c r="G5968" s="758">
        <f t="shared" si="372"/>
        <v>0.33</v>
      </c>
      <c r="H5968" s="759">
        <f t="shared" si="373"/>
        <v>0.28999999999999998</v>
      </c>
      <c r="I5968" s="758">
        <f t="shared" si="374"/>
        <v>2.42</v>
      </c>
      <c r="J5968" s="760">
        <f t="shared" si="375"/>
        <v>0.88</v>
      </c>
    </row>
    <row r="5969" spans="1:10">
      <c r="A5969" s="74" t="s">
        <v>742</v>
      </c>
      <c r="B5969" s="74" t="s">
        <v>251</v>
      </c>
      <c r="C5969" s="74" t="s">
        <v>1577</v>
      </c>
      <c r="D5969" s="74" t="s">
        <v>84</v>
      </c>
      <c r="E5969" s="74">
        <v>2</v>
      </c>
      <c r="F5969" s="74">
        <v>5.65</v>
      </c>
      <c r="G5969" s="758">
        <f t="shared" si="372"/>
        <v>0.33</v>
      </c>
      <c r="H5969" s="759">
        <f t="shared" si="373"/>
        <v>0.28999999999999998</v>
      </c>
      <c r="I5969" s="758">
        <f t="shared" si="374"/>
        <v>2.4950000000000001</v>
      </c>
      <c r="J5969" s="760">
        <f t="shared" si="375"/>
        <v>0.88318584070796458</v>
      </c>
    </row>
    <row r="5970" spans="1:10">
      <c r="A5970" s="74" t="s">
        <v>742</v>
      </c>
      <c r="B5970" s="74" t="s">
        <v>251</v>
      </c>
      <c r="C5970" s="74" t="s">
        <v>1507</v>
      </c>
      <c r="D5970" s="74" t="s">
        <v>86</v>
      </c>
      <c r="E5970" s="74">
        <v>11</v>
      </c>
      <c r="F5970" s="74">
        <v>30.25</v>
      </c>
      <c r="G5970" s="758">
        <f t="shared" si="372"/>
        <v>0.33</v>
      </c>
      <c r="H5970" s="759">
        <f t="shared" si="373"/>
        <v>0.28999999999999998</v>
      </c>
      <c r="I5970" s="758">
        <f t="shared" si="374"/>
        <v>2.42</v>
      </c>
      <c r="J5970" s="760">
        <f t="shared" si="375"/>
        <v>0.88</v>
      </c>
    </row>
    <row r="5971" spans="1:10">
      <c r="A5971" s="74" t="s">
        <v>742</v>
      </c>
      <c r="B5971" s="74" t="s">
        <v>251</v>
      </c>
      <c r="C5971" s="74" t="s">
        <v>1644</v>
      </c>
      <c r="D5971" s="74" t="s">
        <v>86</v>
      </c>
      <c r="E5971" s="74">
        <v>3</v>
      </c>
      <c r="F5971" s="74">
        <v>8.25</v>
      </c>
      <c r="G5971" s="758">
        <f t="shared" si="372"/>
        <v>0.33</v>
      </c>
      <c r="H5971" s="759">
        <f t="shared" si="373"/>
        <v>0.28999999999999998</v>
      </c>
      <c r="I5971" s="758">
        <f t="shared" si="374"/>
        <v>2.42</v>
      </c>
      <c r="J5971" s="760">
        <f t="shared" si="375"/>
        <v>0.88</v>
      </c>
    </row>
    <row r="5972" spans="1:10">
      <c r="A5972" s="74" t="s">
        <v>742</v>
      </c>
      <c r="B5972" s="74" t="s">
        <v>251</v>
      </c>
      <c r="C5972" s="74" t="s">
        <v>1578</v>
      </c>
      <c r="D5972" s="74" t="s">
        <v>86</v>
      </c>
      <c r="E5972" s="74">
        <v>5</v>
      </c>
      <c r="F5972" s="74">
        <v>13.75</v>
      </c>
      <c r="G5972" s="758">
        <f t="shared" si="372"/>
        <v>0.33</v>
      </c>
      <c r="H5972" s="759">
        <f t="shared" si="373"/>
        <v>0.28999999999999998</v>
      </c>
      <c r="I5972" s="758">
        <f t="shared" si="374"/>
        <v>2.42</v>
      </c>
      <c r="J5972" s="760">
        <f t="shared" si="375"/>
        <v>0.88</v>
      </c>
    </row>
    <row r="5973" spans="1:10">
      <c r="A5973" s="74" t="s">
        <v>742</v>
      </c>
      <c r="B5973" s="74" t="s">
        <v>251</v>
      </c>
      <c r="C5973" s="74" t="s">
        <v>1646</v>
      </c>
      <c r="D5973" s="74" t="s">
        <v>86</v>
      </c>
      <c r="E5973" s="74">
        <v>5</v>
      </c>
      <c r="F5973" s="74">
        <v>13.75</v>
      </c>
      <c r="G5973" s="758">
        <f t="shared" si="372"/>
        <v>0.33</v>
      </c>
      <c r="H5973" s="759">
        <f t="shared" si="373"/>
        <v>0.28999999999999998</v>
      </c>
      <c r="I5973" s="758">
        <f t="shared" si="374"/>
        <v>2.42</v>
      </c>
      <c r="J5973" s="760">
        <f t="shared" si="375"/>
        <v>0.88</v>
      </c>
    </row>
    <row r="5974" spans="1:10">
      <c r="A5974" s="74" t="s">
        <v>742</v>
      </c>
      <c r="B5974" s="74" t="s">
        <v>251</v>
      </c>
      <c r="C5974" s="74" t="s">
        <v>1541</v>
      </c>
      <c r="D5974" s="74" t="s">
        <v>86</v>
      </c>
      <c r="E5974" s="74">
        <v>7</v>
      </c>
      <c r="F5974" s="74">
        <v>19.399999999999999</v>
      </c>
      <c r="G5974" s="758">
        <f t="shared" si="372"/>
        <v>0.33</v>
      </c>
      <c r="H5974" s="759">
        <f t="shared" si="373"/>
        <v>0.28999999999999998</v>
      </c>
      <c r="I5974" s="758">
        <f t="shared" si="374"/>
        <v>2.4414285714285713</v>
      </c>
      <c r="J5974" s="760">
        <f t="shared" si="375"/>
        <v>0.88092783505154637</v>
      </c>
    </row>
    <row r="5975" spans="1:10">
      <c r="A5975" s="74" t="s">
        <v>742</v>
      </c>
      <c r="B5975" s="74" t="s">
        <v>251</v>
      </c>
      <c r="C5975" s="74" t="s">
        <v>1543</v>
      </c>
      <c r="D5975" s="74" t="s">
        <v>87</v>
      </c>
      <c r="E5975" s="74">
        <v>10</v>
      </c>
      <c r="F5975" s="74">
        <v>27.5</v>
      </c>
      <c r="G5975" s="758">
        <f t="shared" si="372"/>
        <v>0.33</v>
      </c>
      <c r="H5975" s="759">
        <f t="shared" si="373"/>
        <v>0.28999999999999998</v>
      </c>
      <c r="I5975" s="758">
        <f t="shared" si="374"/>
        <v>2.42</v>
      </c>
      <c r="J5975" s="760">
        <f t="shared" si="375"/>
        <v>0.88</v>
      </c>
    </row>
    <row r="5976" spans="1:10">
      <c r="A5976" s="74" t="s">
        <v>742</v>
      </c>
      <c r="B5976" s="74" t="s">
        <v>251</v>
      </c>
      <c r="C5976" s="74" t="s">
        <v>1544</v>
      </c>
      <c r="D5976" s="74" t="s">
        <v>87</v>
      </c>
      <c r="E5976" s="74">
        <v>12</v>
      </c>
      <c r="F5976" s="74">
        <v>33</v>
      </c>
      <c r="G5976" s="758">
        <f t="shared" si="372"/>
        <v>0.33</v>
      </c>
      <c r="H5976" s="759">
        <f t="shared" si="373"/>
        <v>0.28999999999999998</v>
      </c>
      <c r="I5976" s="758">
        <f t="shared" si="374"/>
        <v>2.42</v>
      </c>
      <c r="J5976" s="760">
        <f t="shared" si="375"/>
        <v>0.88</v>
      </c>
    </row>
    <row r="5977" spans="1:10">
      <c r="A5977" s="74" t="s">
        <v>742</v>
      </c>
      <c r="B5977" s="74" t="s">
        <v>251</v>
      </c>
      <c r="C5977" s="74" t="s">
        <v>1605</v>
      </c>
      <c r="D5977" s="74" t="s">
        <v>87</v>
      </c>
      <c r="E5977" s="74">
        <v>5</v>
      </c>
      <c r="F5977" s="74">
        <v>13.75</v>
      </c>
      <c r="G5977" s="758">
        <f t="shared" si="372"/>
        <v>0.33</v>
      </c>
      <c r="H5977" s="759">
        <f t="shared" si="373"/>
        <v>0.28999999999999998</v>
      </c>
      <c r="I5977" s="758">
        <f t="shared" si="374"/>
        <v>2.42</v>
      </c>
      <c r="J5977" s="760">
        <f t="shared" si="375"/>
        <v>0.88</v>
      </c>
    </row>
    <row r="5978" spans="1:10">
      <c r="A5978" s="74" t="s">
        <v>742</v>
      </c>
      <c r="B5978" s="74" t="s">
        <v>251</v>
      </c>
      <c r="C5978" s="74" t="s">
        <v>1561</v>
      </c>
      <c r="D5978" s="74" t="s">
        <v>87</v>
      </c>
      <c r="E5978" s="74">
        <v>7</v>
      </c>
      <c r="F5978" s="74">
        <v>19.899999999999999</v>
      </c>
      <c r="G5978" s="758">
        <f t="shared" si="372"/>
        <v>0.33</v>
      </c>
      <c r="H5978" s="759">
        <f t="shared" si="373"/>
        <v>0.28999999999999998</v>
      </c>
      <c r="I5978" s="758">
        <f t="shared" si="374"/>
        <v>2.5128571428571425</v>
      </c>
      <c r="J5978" s="760">
        <f t="shared" si="375"/>
        <v>0.88391959798994968</v>
      </c>
    </row>
    <row r="5979" spans="1:10">
      <c r="A5979" s="74" t="s">
        <v>742</v>
      </c>
      <c r="B5979" s="74" t="s">
        <v>251</v>
      </c>
      <c r="C5979" s="74" t="s">
        <v>1608</v>
      </c>
      <c r="D5979" s="74" t="s">
        <v>89</v>
      </c>
      <c r="E5979" s="74">
        <v>4</v>
      </c>
      <c r="F5979" s="74">
        <v>11.5</v>
      </c>
      <c r="G5979" s="758">
        <f t="shared" si="372"/>
        <v>0.33</v>
      </c>
      <c r="H5979" s="759">
        <f t="shared" si="373"/>
        <v>0.28999999999999998</v>
      </c>
      <c r="I5979" s="758">
        <f t="shared" si="374"/>
        <v>2.5449999999999999</v>
      </c>
      <c r="J5979" s="760">
        <f t="shared" si="375"/>
        <v>0.88521739130434784</v>
      </c>
    </row>
    <row r="5980" spans="1:10">
      <c r="A5980" s="74" t="s">
        <v>742</v>
      </c>
      <c r="B5980" s="74" t="s">
        <v>251</v>
      </c>
      <c r="C5980" s="74" t="s">
        <v>1610</v>
      </c>
      <c r="D5980" s="74" t="s">
        <v>89</v>
      </c>
      <c r="E5980" s="74">
        <v>3</v>
      </c>
      <c r="F5980" s="74">
        <v>8.75</v>
      </c>
      <c r="G5980" s="758">
        <f t="shared" si="372"/>
        <v>0.33</v>
      </c>
      <c r="H5980" s="759">
        <f t="shared" si="373"/>
        <v>0.28999999999999998</v>
      </c>
      <c r="I5980" s="758">
        <f t="shared" si="374"/>
        <v>2.5866666666666664</v>
      </c>
      <c r="J5980" s="760">
        <f t="shared" si="375"/>
        <v>0.8868571428571429</v>
      </c>
    </row>
    <row r="5981" spans="1:10">
      <c r="A5981" s="74" t="s">
        <v>742</v>
      </c>
      <c r="B5981" s="74" t="s">
        <v>251</v>
      </c>
      <c r="C5981" s="74" t="s">
        <v>1546</v>
      </c>
      <c r="D5981" s="74" t="s">
        <v>89</v>
      </c>
      <c r="E5981" s="74">
        <v>10</v>
      </c>
      <c r="F5981" s="74">
        <v>28</v>
      </c>
      <c r="G5981" s="758">
        <f t="shared" si="372"/>
        <v>0.33</v>
      </c>
      <c r="H5981" s="759">
        <f t="shared" si="373"/>
        <v>0.28999999999999998</v>
      </c>
      <c r="I5981" s="758">
        <f t="shared" si="374"/>
        <v>2.4699999999999998</v>
      </c>
      <c r="J5981" s="760">
        <f t="shared" si="375"/>
        <v>0.88214285714285712</v>
      </c>
    </row>
    <row r="5982" spans="1:10">
      <c r="A5982" s="74" t="s">
        <v>742</v>
      </c>
      <c r="B5982" s="74" t="s">
        <v>251</v>
      </c>
      <c r="C5982" s="74" t="s">
        <v>1547</v>
      </c>
      <c r="D5982" s="74" t="s">
        <v>89</v>
      </c>
      <c r="E5982" s="74">
        <v>8</v>
      </c>
      <c r="F5982" s="74">
        <v>22</v>
      </c>
      <c r="G5982" s="758">
        <f t="shared" si="372"/>
        <v>0.33</v>
      </c>
      <c r="H5982" s="759">
        <f t="shared" si="373"/>
        <v>0.28999999999999998</v>
      </c>
      <c r="I5982" s="758">
        <f t="shared" si="374"/>
        <v>2.42</v>
      </c>
      <c r="J5982" s="760">
        <f t="shared" si="375"/>
        <v>0.88</v>
      </c>
    </row>
    <row r="5983" spans="1:10">
      <c r="A5983" s="74" t="s">
        <v>742</v>
      </c>
      <c r="B5983" s="74" t="s">
        <v>251</v>
      </c>
      <c r="C5983" s="74" t="s">
        <v>1582</v>
      </c>
      <c r="D5983" s="74" t="s">
        <v>89</v>
      </c>
      <c r="E5983" s="74">
        <v>8</v>
      </c>
      <c r="F5983" s="74">
        <v>23</v>
      </c>
      <c r="G5983" s="758">
        <f t="shared" si="372"/>
        <v>0.33</v>
      </c>
      <c r="H5983" s="759">
        <f t="shared" si="373"/>
        <v>0.28999999999999998</v>
      </c>
      <c r="I5983" s="758">
        <f t="shared" si="374"/>
        <v>2.5449999999999999</v>
      </c>
      <c r="J5983" s="760">
        <f t="shared" si="375"/>
        <v>0.88521739130434784</v>
      </c>
    </row>
    <row r="5984" spans="1:10">
      <c r="A5984" s="74" t="s">
        <v>742</v>
      </c>
      <c r="B5984" s="74" t="s">
        <v>251</v>
      </c>
      <c r="C5984" s="74" t="s">
        <v>1522</v>
      </c>
      <c r="D5984" s="74" t="s">
        <v>91</v>
      </c>
      <c r="E5984" s="74">
        <v>4</v>
      </c>
      <c r="F5984" s="74">
        <v>11</v>
      </c>
      <c r="G5984" s="758">
        <f t="shared" si="372"/>
        <v>0.33</v>
      </c>
      <c r="H5984" s="759">
        <f t="shared" si="373"/>
        <v>0.28999999999999998</v>
      </c>
      <c r="I5984" s="758">
        <f t="shared" si="374"/>
        <v>2.42</v>
      </c>
      <c r="J5984" s="760">
        <f t="shared" si="375"/>
        <v>0.88</v>
      </c>
    </row>
    <row r="5985" spans="1:10">
      <c r="A5985" s="74" t="s">
        <v>742</v>
      </c>
      <c r="B5985" s="74" t="s">
        <v>251</v>
      </c>
      <c r="C5985" s="74" t="s">
        <v>1550</v>
      </c>
      <c r="D5985" s="74" t="s">
        <v>91</v>
      </c>
      <c r="E5985" s="74">
        <v>5</v>
      </c>
      <c r="F5985" s="74">
        <v>14.4</v>
      </c>
      <c r="G5985" s="758">
        <f t="shared" si="372"/>
        <v>0.33</v>
      </c>
      <c r="H5985" s="759">
        <f t="shared" si="373"/>
        <v>0.28999999999999998</v>
      </c>
      <c r="I5985" s="758">
        <f t="shared" si="374"/>
        <v>2.5499999999999998</v>
      </c>
      <c r="J5985" s="760">
        <f t="shared" si="375"/>
        <v>0.88541666666666663</v>
      </c>
    </row>
    <row r="5986" spans="1:10">
      <c r="A5986" s="74" t="s">
        <v>742</v>
      </c>
      <c r="B5986" s="74" t="s">
        <v>251</v>
      </c>
      <c r="C5986" s="74" t="s">
        <v>1675</v>
      </c>
      <c r="D5986" s="74" t="s">
        <v>91</v>
      </c>
      <c r="E5986" s="74">
        <v>2</v>
      </c>
      <c r="F5986" s="74">
        <v>6.65</v>
      </c>
      <c r="G5986" s="758">
        <f t="shared" si="372"/>
        <v>0.33</v>
      </c>
      <c r="H5986" s="759">
        <f t="shared" si="373"/>
        <v>0.28999999999999998</v>
      </c>
      <c r="I5986" s="758">
        <f t="shared" si="374"/>
        <v>2.9950000000000001</v>
      </c>
      <c r="J5986" s="760">
        <f t="shared" si="375"/>
        <v>0.90075187969924808</v>
      </c>
    </row>
    <row r="5987" spans="1:10">
      <c r="A5987" s="74" t="s">
        <v>742</v>
      </c>
      <c r="B5987" s="74" t="s">
        <v>251</v>
      </c>
      <c r="C5987" s="74" t="s">
        <v>1524</v>
      </c>
      <c r="D5987" s="74" t="s">
        <v>91</v>
      </c>
      <c r="E5987" s="74">
        <v>4</v>
      </c>
      <c r="F5987" s="74">
        <v>11</v>
      </c>
      <c r="G5987" s="758">
        <f t="shared" si="372"/>
        <v>0.33</v>
      </c>
      <c r="H5987" s="759">
        <f t="shared" si="373"/>
        <v>0.28999999999999998</v>
      </c>
      <c r="I5987" s="758">
        <f t="shared" si="374"/>
        <v>2.42</v>
      </c>
      <c r="J5987" s="760">
        <f t="shared" si="375"/>
        <v>0.88</v>
      </c>
    </row>
    <row r="5988" spans="1:10">
      <c r="A5988" s="74" t="s">
        <v>742</v>
      </c>
      <c r="B5988" s="74" t="s">
        <v>251</v>
      </c>
      <c r="C5988" s="74" t="s">
        <v>1584</v>
      </c>
      <c r="D5988" s="74" t="s">
        <v>92</v>
      </c>
      <c r="E5988" s="74">
        <v>6</v>
      </c>
      <c r="F5988" s="74">
        <v>13.75</v>
      </c>
      <c r="G5988" s="758">
        <f t="shared" si="372"/>
        <v>0.33</v>
      </c>
      <c r="H5988" s="759">
        <f t="shared" si="373"/>
        <v>0.28999999999999998</v>
      </c>
      <c r="I5988" s="758">
        <f t="shared" si="374"/>
        <v>1.9616666666666664</v>
      </c>
      <c r="J5988" s="760">
        <f t="shared" si="375"/>
        <v>0.85599999999999998</v>
      </c>
    </row>
    <row r="5989" spans="1:10">
      <c r="A5989" s="74" t="s">
        <v>742</v>
      </c>
      <c r="B5989" s="74" t="s">
        <v>251</v>
      </c>
      <c r="C5989" s="74" t="s">
        <v>1614</v>
      </c>
      <c r="D5989" s="74" t="s">
        <v>92</v>
      </c>
      <c r="E5989" s="74">
        <v>3</v>
      </c>
      <c r="F5989" s="74">
        <v>8.25</v>
      </c>
      <c r="G5989" s="758">
        <f t="shared" si="372"/>
        <v>0.33</v>
      </c>
      <c r="H5989" s="759">
        <f t="shared" si="373"/>
        <v>0.28999999999999998</v>
      </c>
      <c r="I5989" s="758">
        <f t="shared" si="374"/>
        <v>2.42</v>
      </c>
      <c r="J5989" s="760">
        <f t="shared" si="375"/>
        <v>0.88</v>
      </c>
    </row>
    <row r="5990" spans="1:10">
      <c r="A5990" s="74" t="s">
        <v>742</v>
      </c>
      <c r="B5990" s="74" t="s">
        <v>251</v>
      </c>
      <c r="C5990" s="74" t="s">
        <v>1631</v>
      </c>
      <c r="D5990" s="74" t="s">
        <v>92</v>
      </c>
      <c r="E5990" s="74">
        <v>4</v>
      </c>
      <c r="F5990" s="74">
        <v>11.5</v>
      </c>
      <c r="G5990" s="758">
        <f t="shared" si="372"/>
        <v>0.33</v>
      </c>
      <c r="H5990" s="759">
        <f t="shared" si="373"/>
        <v>0.28999999999999998</v>
      </c>
      <c r="I5990" s="758">
        <f t="shared" si="374"/>
        <v>2.5449999999999999</v>
      </c>
      <c r="J5990" s="760">
        <f t="shared" si="375"/>
        <v>0.88521739130434784</v>
      </c>
    </row>
    <row r="5991" spans="1:10">
      <c r="A5991" s="74" t="s">
        <v>742</v>
      </c>
      <c r="B5991" s="74" t="s">
        <v>251</v>
      </c>
      <c r="C5991" s="74" t="s">
        <v>1552</v>
      </c>
      <c r="D5991" s="74" t="s">
        <v>92</v>
      </c>
      <c r="E5991" s="74">
        <v>1</v>
      </c>
      <c r="F5991" s="74">
        <v>2.75</v>
      </c>
      <c r="G5991" s="758">
        <f t="shared" si="372"/>
        <v>0.33</v>
      </c>
      <c r="H5991" s="759">
        <f t="shared" si="373"/>
        <v>0.28999999999999998</v>
      </c>
      <c r="I5991" s="758">
        <f t="shared" si="374"/>
        <v>2.42</v>
      </c>
      <c r="J5991" s="760">
        <f t="shared" si="375"/>
        <v>0.88</v>
      </c>
    </row>
    <row r="5992" spans="1:10">
      <c r="A5992" s="74" t="s">
        <v>742</v>
      </c>
      <c r="B5992" s="74" t="s">
        <v>251</v>
      </c>
      <c r="C5992" s="74" t="s">
        <v>1617</v>
      </c>
      <c r="D5992" s="74" t="s">
        <v>94</v>
      </c>
      <c r="E5992" s="74">
        <v>4</v>
      </c>
      <c r="F5992" s="74">
        <v>11</v>
      </c>
      <c r="G5992" s="758">
        <f t="shared" si="372"/>
        <v>0.33</v>
      </c>
      <c r="H5992" s="759">
        <f t="shared" si="373"/>
        <v>0.28999999999999998</v>
      </c>
      <c r="I5992" s="758">
        <f t="shared" si="374"/>
        <v>2.42</v>
      </c>
      <c r="J5992" s="760">
        <f t="shared" si="375"/>
        <v>0.88</v>
      </c>
    </row>
    <row r="5993" spans="1:10">
      <c r="A5993" s="74" t="s">
        <v>742</v>
      </c>
      <c r="B5993" s="74" t="s">
        <v>251</v>
      </c>
      <c r="C5993" s="74" t="s">
        <v>1553</v>
      </c>
      <c r="D5993" s="74" t="s">
        <v>94</v>
      </c>
      <c r="E5993" s="74">
        <v>6</v>
      </c>
      <c r="F5993" s="74">
        <v>16.5</v>
      </c>
      <c r="G5993" s="758">
        <f t="shared" si="372"/>
        <v>0.33</v>
      </c>
      <c r="H5993" s="759">
        <f t="shared" si="373"/>
        <v>0.28999999999999998</v>
      </c>
      <c r="I5993" s="758">
        <f t="shared" si="374"/>
        <v>2.42</v>
      </c>
      <c r="J5993" s="760">
        <f t="shared" si="375"/>
        <v>0.88</v>
      </c>
    </row>
    <row r="5994" spans="1:10">
      <c r="A5994" s="74" t="s">
        <v>742</v>
      </c>
      <c r="B5994" s="74" t="s">
        <v>251</v>
      </c>
      <c r="C5994" s="74" t="s">
        <v>1557</v>
      </c>
      <c r="D5994" s="74" t="s">
        <v>95</v>
      </c>
      <c r="E5994" s="74">
        <v>2</v>
      </c>
      <c r="F5994" s="74">
        <v>5.5</v>
      </c>
      <c r="G5994" s="758">
        <f t="shared" si="372"/>
        <v>0.33</v>
      </c>
      <c r="H5994" s="759">
        <f t="shared" si="373"/>
        <v>0.28999999999999998</v>
      </c>
      <c r="I5994" s="758">
        <f t="shared" si="374"/>
        <v>2.42</v>
      </c>
      <c r="J5994" s="760">
        <f t="shared" si="375"/>
        <v>0.88</v>
      </c>
    </row>
    <row r="5995" spans="1:10">
      <c r="A5995" s="74" t="s">
        <v>742</v>
      </c>
      <c r="B5995" s="74" t="s">
        <v>251</v>
      </c>
      <c r="C5995" s="74" t="s">
        <v>1526</v>
      </c>
      <c r="D5995" s="74" t="s">
        <v>95</v>
      </c>
      <c r="E5995" s="74">
        <v>2</v>
      </c>
      <c r="F5995" s="74">
        <v>6</v>
      </c>
      <c r="G5995" s="758">
        <f t="shared" si="372"/>
        <v>0.33</v>
      </c>
      <c r="H5995" s="759">
        <f t="shared" si="373"/>
        <v>0.28999999999999998</v>
      </c>
      <c r="I5995" s="758">
        <f t="shared" si="374"/>
        <v>2.67</v>
      </c>
      <c r="J5995" s="760">
        <f t="shared" si="375"/>
        <v>0.89</v>
      </c>
    </row>
    <row r="5996" spans="1:10">
      <c r="A5996" s="74" t="s">
        <v>742</v>
      </c>
      <c r="B5996" s="74" t="s">
        <v>251</v>
      </c>
      <c r="C5996" s="74" t="s">
        <v>1930</v>
      </c>
      <c r="D5996" s="74" t="s">
        <v>95</v>
      </c>
      <c r="E5996" s="74">
        <v>2</v>
      </c>
      <c r="F5996" s="74">
        <v>5.5</v>
      </c>
      <c r="G5996" s="758">
        <f t="shared" si="372"/>
        <v>0.33</v>
      </c>
      <c r="H5996" s="759">
        <f t="shared" si="373"/>
        <v>0.28999999999999998</v>
      </c>
      <c r="I5996" s="758">
        <f t="shared" si="374"/>
        <v>2.42</v>
      </c>
      <c r="J5996" s="760">
        <f t="shared" si="375"/>
        <v>0.88</v>
      </c>
    </row>
    <row r="5997" spans="1:10">
      <c r="A5997" s="74" t="s">
        <v>2207</v>
      </c>
      <c r="B5997" s="74" t="s">
        <v>251</v>
      </c>
      <c r="C5997" s="74" t="s">
        <v>1610</v>
      </c>
      <c r="D5997" s="74" t="s">
        <v>89</v>
      </c>
      <c r="E5997" s="74">
        <v>1</v>
      </c>
      <c r="F5997" s="74">
        <v>0</v>
      </c>
      <c r="G5997" s="758">
        <f t="shared" si="372"/>
        <v>0</v>
      </c>
      <c r="H5997" s="759">
        <f t="shared" si="373"/>
        <v>0</v>
      </c>
      <c r="I5997" s="758">
        <f t="shared" si="374"/>
        <v>0</v>
      </c>
      <c r="J5997" s="760">
        <f t="shared" si="375"/>
        <v>0</v>
      </c>
    </row>
    <row r="5998" spans="1:10">
      <c r="A5998" s="74" t="s">
        <v>2208</v>
      </c>
      <c r="B5998" s="74" t="s">
        <v>251</v>
      </c>
      <c r="C5998" s="74" t="s">
        <v>1543</v>
      </c>
      <c r="D5998" s="74" t="s">
        <v>87</v>
      </c>
      <c r="E5998" s="74">
        <v>1</v>
      </c>
      <c r="F5998" s="74">
        <v>2.2000000000000002</v>
      </c>
      <c r="G5998" s="758">
        <f t="shared" si="372"/>
        <v>0</v>
      </c>
      <c r="H5998" s="759">
        <f t="shared" si="373"/>
        <v>0</v>
      </c>
      <c r="I5998" s="758">
        <f t="shared" si="374"/>
        <v>2.2000000000000002</v>
      </c>
      <c r="J5998" s="760">
        <f t="shared" si="375"/>
        <v>1</v>
      </c>
    </row>
    <row r="5999" spans="1:10">
      <c r="A5999" s="74" t="s">
        <v>756</v>
      </c>
      <c r="B5999" s="74" t="s">
        <v>251</v>
      </c>
      <c r="C5999" s="74" t="s">
        <v>1528</v>
      </c>
      <c r="D5999" s="74" t="s">
        <v>78</v>
      </c>
      <c r="E5999" s="74">
        <v>6</v>
      </c>
      <c r="F5999" s="74">
        <v>14.25</v>
      </c>
      <c r="G5999" s="758">
        <f t="shared" si="372"/>
        <v>0.76</v>
      </c>
      <c r="H5999" s="759">
        <f t="shared" si="373"/>
        <v>0.42</v>
      </c>
      <c r="I5999" s="758">
        <f t="shared" si="374"/>
        <v>1.615</v>
      </c>
      <c r="J5999" s="760">
        <f t="shared" si="375"/>
        <v>0.67999999999999994</v>
      </c>
    </row>
    <row r="6000" spans="1:10">
      <c r="A6000" s="74" t="s">
        <v>756</v>
      </c>
      <c r="B6000" s="74" t="s">
        <v>251</v>
      </c>
      <c r="C6000" s="74" t="s">
        <v>1508</v>
      </c>
      <c r="D6000" s="74" t="s">
        <v>78</v>
      </c>
      <c r="E6000" s="74">
        <v>1</v>
      </c>
      <c r="F6000" s="74">
        <v>2.14</v>
      </c>
      <c r="G6000" s="758">
        <f t="shared" si="372"/>
        <v>0.76</v>
      </c>
      <c r="H6000" s="759">
        <f t="shared" si="373"/>
        <v>0.42</v>
      </c>
      <c r="I6000" s="758">
        <f t="shared" si="374"/>
        <v>1.3800000000000001</v>
      </c>
      <c r="J6000" s="760">
        <f t="shared" si="375"/>
        <v>0.64485981308411211</v>
      </c>
    </row>
    <row r="6001" spans="1:10">
      <c r="A6001" s="74" t="s">
        <v>756</v>
      </c>
      <c r="B6001" s="74" t="s">
        <v>251</v>
      </c>
      <c r="C6001" s="74" t="s">
        <v>1509</v>
      </c>
      <c r="D6001" s="74" t="s">
        <v>78</v>
      </c>
      <c r="E6001" s="74">
        <v>3</v>
      </c>
      <c r="F6001" s="74">
        <v>7.05</v>
      </c>
      <c r="G6001" s="758">
        <f t="shared" si="372"/>
        <v>0.76</v>
      </c>
      <c r="H6001" s="759">
        <f t="shared" si="373"/>
        <v>0.42</v>
      </c>
      <c r="I6001" s="758">
        <f t="shared" si="374"/>
        <v>1.59</v>
      </c>
      <c r="J6001" s="760">
        <f t="shared" si="375"/>
        <v>0.67659574468085104</v>
      </c>
    </row>
    <row r="6002" spans="1:10">
      <c r="A6002" s="74" t="s">
        <v>756</v>
      </c>
      <c r="B6002" s="74" t="s">
        <v>251</v>
      </c>
      <c r="C6002" s="74" t="s">
        <v>1565</v>
      </c>
      <c r="D6002" s="74" t="s">
        <v>78</v>
      </c>
      <c r="E6002" s="74">
        <v>1</v>
      </c>
      <c r="F6002" s="74">
        <v>2.14</v>
      </c>
      <c r="G6002" s="758">
        <f t="shared" si="372"/>
        <v>0.76</v>
      </c>
      <c r="H6002" s="759">
        <f t="shared" si="373"/>
        <v>0.42</v>
      </c>
      <c r="I6002" s="758">
        <f t="shared" si="374"/>
        <v>1.3800000000000001</v>
      </c>
      <c r="J6002" s="760">
        <f t="shared" si="375"/>
        <v>0.64485981308411211</v>
      </c>
    </row>
    <row r="6003" spans="1:10">
      <c r="A6003" s="74" t="s">
        <v>756</v>
      </c>
      <c r="B6003" s="74" t="s">
        <v>251</v>
      </c>
      <c r="C6003" s="74" t="s">
        <v>1530</v>
      </c>
      <c r="D6003" s="74" t="s">
        <v>80</v>
      </c>
      <c r="E6003" s="74">
        <v>6</v>
      </c>
      <c r="F6003" s="74">
        <v>11.18</v>
      </c>
      <c r="G6003" s="758">
        <f t="shared" si="372"/>
        <v>0.76</v>
      </c>
      <c r="H6003" s="759">
        <f t="shared" si="373"/>
        <v>0.42</v>
      </c>
      <c r="I6003" s="758">
        <f t="shared" si="374"/>
        <v>1.1033333333333333</v>
      </c>
      <c r="J6003" s="760">
        <f t="shared" si="375"/>
        <v>0.59212880143112701</v>
      </c>
    </row>
    <row r="6004" spans="1:10">
      <c r="A6004" s="74" t="s">
        <v>756</v>
      </c>
      <c r="B6004" s="74" t="s">
        <v>251</v>
      </c>
      <c r="C6004" s="74" t="s">
        <v>1532</v>
      </c>
      <c r="D6004" s="74" t="s">
        <v>80</v>
      </c>
      <c r="E6004" s="74">
        <v>7</v>
      </c>
      <c r="F6004" s="74">
        <v>15.73</v>
      </c>
      <c r="G6004" s="758">
        <f t="shared" si="372"/>
        <v>0.76</v>
      </c>
      <c r="H6004" s="759">
        <f t="shared" si="373"/>
        <v>0.42</v>
      </c>
      <c r="I6004" s="758">
        <f t="shared" si="374"/>
        <v>1.4871428571428573</v>
      </c>
      <c r="J6004" s="760">
        <f t="shared" si="375"/>
        <v>0.66179275270184368</v>
      </c>
    </row>
    <row r="6005" spans="1:10">
      <c r="A6005" s="74" t="s">
        <v>756</v>
      </c>
      <c r="B6005" s="74" t="s">
        <v>251</v>
      </c>
      <c r="C6005" s="74" t="s">
        <v>1511</v>
      </c>
      <c r="D6005" s="74" t="s">
        <v>80</v>
      </c>
      <c r="E6005" s="74">
        <v>5</v>
      </c>
      <c r="F6005" s="74">
        <v>11.17</v>
      </c>
      <c r="G6005" s="758">
        <f t="shared" si="372"/>
        <v>0.76</v>
      </c>
      <c r="H6005" s="759">
        <f t="shared" si="373"/>
        <v>0.42</v>
      </c>
      <c r="I6005" s="758">
        <f t="shared" si="374"/>
        <v>1.474</v>
      </c>
      <c r="J6005" s="760">
        <f t="shared" si="375"/>
        <v>0.65980304386750221</v>
      </c>
    </row>
    <row r="6006" spans="1:10">
      <c r="A6006" s="74" t="s">
        <v>756</v>
      </c>
      <c r="B6006" s="74" t="s">
        <v>251</v>
      </c>
      <c r="C6006" s="74" t="s">
        <v>1512</v>
      </c>
      <c r="D6006" s="74" t="s">
        <v>80</v>
      </c>
      <c r="E6006" s="74">
        <v>5</v>
      </c>
      <c r="F6006" s="74">
        <v>11.82</v>
      </c>
      <c r="G6006" s="758">
        <f t="shared" si="372"/>
        <v>0.76</v>
      </c>
      <c r="H6006" s="759">
        <f t="shared" si="373"/>
        <v>0.42</v>
      </c>
      <c r="I6006" s="758">
        <f t="shared" si="374"/>
        <v>1.6039999999999999</v>
      </c>
      <c r="J6006" s="760">
        <f t="shared" si="375"/>
        <v>0.6785109983079527</v>
      </c>
    </row>
    <row r="6007" spans="1:10">
      <c r="A6007" s="74" t="s">
        <v>756</v>
      </c>
      <c r="B6007" s="74" t="s">
        <v>251</v>
      </c>
      <c r="C6007" s="74" t="s">
        <v>1534</v>
      </c>
      <c r="D6007" s="74" t="s">
        <v>81</v>
      </c>
      <c r="E6007" s="74">
        <v>4</v>
      </c>
      <c r="F6007" s="74">
        <v>9.4</v>
      </c>
      <c r="G6007" s="758">
        <f t="shared" si="372"/>
        <v>0.76</v>
      </c>
      <c r="H6007" s="759">
        <f t="shared" si="373"/>
        <v>0.42</v>
      </c>
      <c r="I6007" s="758">
        <f t="shared" si="374"/>
        <v>1.59</v>
      </c>
      <c r="J6007" s="760">
        <f t="shared" si="375"/>
        <v>0.67659574468085104</v>
      </c>
    </row>
    <row r="6008" spans="1:10">
      <c r="A6008" s="74" t="s">
        <v>756</v>
      </c>
      <c r="B6008" s="74" t="s">
        <v>251</v>
      </c>
      <c r="C6008" s="74" t="s">
        <v>1513</v>
      </c>
      <c r="D6008" s="74" t="s">
        <v>81</v>
      </c>
      <c r="E6008" s="74">
        <v>3</v>
      </c>
      <c r="F6008" s="74">
        <v>7.2</v>
      </c>
      <c r="G6008" s="758">
        <f t="shared" si="372"/>
        <v>0.76</v>
      </c>
      <c r="H6008" s="759">
        <f t="shared" si="373"/>
        <v>0.42</v>
      </c>
      <c r="I6008" s="758">
        <f t="shared" si="374"/>
        <v>1.64</v>
      </c>
      <c r="J6008" s="760">
        <f t="shared" si="375"/>
        <v>0.68333333333333335</v>
      </c>
    </row>
    <row r="6009" spans="1:10">
      <c r="A6009" s="74" t="s">
        <v>756</v>
      </c>
      <c r="B6009" s="74" t="s">
        <v>251</v>
      </c>
      <c r="C6009" s="74" t="s">
        <v>1514</v>
      </c>
      <c r="D6009" s="74" t="s">
        <v>81</v>
      </c>
      <c r="E6009" s="74">
        <v>3</v>
      </c>
      <c r="F6009" s="74">
        <v>6.9</v>
      </c>
      <c r="G6009" s="758">
        <f t="shared" si="372"/>
        <v>0.76</v>
      </c>
      <c r="H6009" s="759">
        <f t="shared" si="373"/>
        <v>0.42</v>
      </c>
      <c r="I6009" s="758">
        <f t="shared" si="374"/>
        <v>1.5400000000000003</v>
      </c>
      <c r="J6009" s="760">
        <f t="shared" si="375"/>
        <v>0.66956521739130426</v>
      </c>
    </row>
    <row r="6010" spans="1:10">
      <c r="A6010" s="74" t="s">
        <v>756</v>
      </c>
      <c r="B6010" s="74" t="s">
        <v>251</v>
      </c>
      <c r="C6010" s="74" t="s">
        <v>1515</v>
      </c>
      <c r="D6010" s="74" t="s">
        <v>81</v>
      </c>
      <c r="E6010" s="74">
        <v>4</v>
      </c>
      <c r="F6010" s="74">
        <v>9.41</v>
      </c>
      <c r="G6010" s="758">
        <f t="shared" si="372"/>
        <v>0.76</v>
      </c>
      <c r="H6010" s="759">
        <f t="shared" si="373"/>
        <v>0.42</v>
      </c>
      <c r="I6010" s="758">
        <f t="shared" si="374"/>
        <v>1.5925</v>
      </c>
      <c r="J6010" s="760">
        <f t="shared" si="375"/>
        <v>0.67693942614240177</v>
      </c>
    </row>
    <row r="6011" spans="1:10">
      <c r="A6011" s="74" t="s">
        <v>756</v>
      </c>
      <c r="B6011" s="74" t="s">
        <v>251</v>
      </c>
      <c r="C6011" s="74" t="s">
        <v>1517</v>
      </c>
      <c r="D6011" s="74" t="s">
        <v>82</v>
      </c>
      <c r="E6011" s="74">
        <v>4</v>
      </c>
      <c r="F6011" s="74">
        <v>9.4</v>
      </c>
      <c r="G6011" s="758">
        <f t="shared" si="372"/>
        <v>0.76</v>
      </c>
      <c r="H6011" s="759">
        <f t="shared" si="373"/>
        <v>0.42</v>
      </c>
      <c r="I6011" s="758">
        <f t="shared" si="374"/>
        <v>1.59</v>
      </c>
      <c r="J6011" s="760">
        <f t="shared" si="375"/>
        <v>0.67659574468085104</v>
      </c>
    </row>
    <row r="6012" spans="1:10">
      <c r="A6012" s="74" t="s">
        <v>756</v>
      </c>
      <c r="B6012" s="74" t="s">
        <v>251</v>
      </c>
      <c r="C6012" s="74" t="s">
        <v>1527</v>
      </c>
      <c r="D6012" s="74" t="s">
        <v>82</v>
      </c>
      <c r="E6012" s="74">
        <v>3</v>
      </c>
      <c r="F6012" s="74">
        <v>7.05</v>
      </c>
      <c r="G6012" s="758">
        <f t="shared" si="372"/>
        <v>0.76</v>
      </c>
      <c r="H6012" s="759">
        <f t="shared" si="373"/>
        <v>0.42</v>
      </c>
      <c r="I6012" s="758">
        <f t="shared" si="374"/>
        <v>1.59</v>
      </c>
      <c r="J6012" s="760">
        <f t="shared" si="375"/>
        <v>0.67659574468085104</v>
      </c>
    </row>
    <row r="6013" spans="1:10">
      <c r="A6013" s="74" t="s">
        <v>756</v>
      </c>
      <c r="B6013" s="74" t="s">
        <v>251</v>
      </c>
      <c r="C6013" s="74" t="s">
        <v>1518</v>
      </c>
      <c r="D6013" s="74" t="s">
        <v>82</v>
      </c>
      <c r="E6013" s="74">
        <v>4</v>
      </c>
      <c r="F6013" s="74">
        <v>9.6999999999999993</v>
      </c>
      <c r="G6013" s="758">
        <f t="shared" si="372"/>
        <v>0.76</v>
      </c>
      <c r="H6013" s="759">
        <f t="shared" si="373"/>
        <v>0.42</v>
      </c>
      <c r="I6013" s="758">
        <f t="shared" si="374"/>
        <v>1.6649999999999998</v>
      </c>
      <c r="J6013" s="760">
        <f t="shared" si="375"/>
        <v>0.6865979381443299</v>
      </c>
    </row>
    <row r="6014" spans="1:10">
      <c r="A6014" s="74" t="s">
        <v>756</v>
      </c>
      <c r="B6014" s="74" t="s">
        <v>251</v>
      </c>
      <c r="C6014" s="74" t="s">
        <v>1519</v>
      </c>
      <c r="D6014" s="74" t="s">
        <v>84</v>
      </c>
      <c r="E6014" s="74">
        <v>1</v>
      </c>
      <c r="F6014" s="74">
        <v>2.35</v>
      </c>
      <c r="G6014" s="758">
        <f t="shared" si="372"/>
        <v>0.76</v>
      </c>
      <c r="H6014" s="759">
        <f t="shared" si="373"/>
        <v>0.42</v>
      </c>
      <c r="I6014" s="758">
        <f t="shared" si="374"/>
        <v>1.59</v>
      </c>
      <c r="J6014" s="760">
        <f t="shared" si="375"/>
        <v>0.67659574468085104</v>
      </c>
    </row>
    <row r="6015" spans="1:10">
      <c r="A6015" s="74" t="s">
        <v>756</v>
      </c>
      <c r="B6015" s="74" t="s">
        <v>251</v>
      </c>
      <c r="C6015" s="74" t="s">
        <v>1540</v>
      </c>
      <c r="D6015" s="74" t="s">
        <v>84</v>
      </c>
      <c r="E6015" s="74">
        <v>1</v>
      </c>
      <c r="F6015" s="74">
        <v>2.35</v>
      </c>
      <c r="G6015" s="758">
        <f t="shared" si="372"/>
        <v>0.76</v>
      </c>
      <c r="H6015" s="759">
        <f t="shared" si="373"/>
        <v>0.42</v>
      </c>
      <c r="I6015" s="758">
        <f t="shared" si="374"/>
        <v>1.59</v>
      </c>
      <c r="J6015" s="760">
        <f t="shared" si="375"/>
        <v>0.67659574468085104</v>
      </c>
    </row>
    <row r="6016" spans="1:10">
      <c r="A6016" s="74" t="s">
        <v>756</v>
      </c>
      <c r="B6016" s="74" t="s">
        <v>251</v>
      </c>
      <c r="C6016" s="74" t="s">
        <v>1578</v>
      </c>
      <c r="D6016" s="74" t="s">
        <v>86</v>
      </c>
      <c r="E6016" s="74">
        <v>3</v>
      </c>
      <c r="F6016" s="74">
        <v>7.05</v>
      </c>
      <c r="G6016" s="758">
        <f t="shared" si="372"/>
        <v>0.76</v>
      </c>
      <c r="H6016" s="759">
        <f t="shared" si="373"/>
        <v>0.42</v>
      </c>
      <c r="I6016" s="758">
        <f t="shared" si="374"/>
        <v>1.59</v>
      </c>
      <c r="J6016" s="760">
        <f t="shared" si="375"/>
        <v>0.67659574468085104</v>
      </c>
    </row>
    <row r="6017" spans="1:10">
      <c r="A6017" s="74" t="s">
        <v>756</v>
      </c>
      <c r="B6017" s="74" t="s">
        <v>251</v>
      </c>
      <c r="C6017" s="74" t="s">
        <v>1646</v>
      </c>
      <c r="D6017" s="74" t="s">
        <v>86</v>
      </c>
      <c r="E6017" s="74">
        <v>1</v>
      </c>
      <c r="F6017" s="74">
        <v>2.35</v>
      </c>
      <c r="G6017" s="758">
        <f t="shared" si="372"/>
        <v>0.76</v>
      </c>
      <c r="H6017" s="759">
        <f t="shared" si="373"/>
        <v>0.42</v>
      </c>
      <c r="I6017" s="758">
        <f t="shared" si="374"/>
        <v>1.59</v>
      </c>
      <c r="J6017" s="760">
        <f t="shared" si="375"/>
        <v>0.67659574468085104</v>
      </c>
    </row>
    <row r="6018" spans="1:10">
      <c r="A6018" s="74" t="s">
        <v>756</v>
      </c>
      <c r="B6018" s="74" t="s">
        <v>251</v>
      </c>
      <c r="C6018" s="74" t="s">
        <v>1541</v>
      </c>
      <c r="D6018" s="74" t="s">
        <v>86</v>
      </c>
      <c r="E6018" s="74">
        <v>2</v>
      </c>
      <c r="F6018" s="74">
        <v>4.7</v>
      </c>
      <c r="G6018" s="758">
        <f t="shared" ref="G6018:G6081" si="376">IFERROR(VLOOKUP(A6018,$M$1:$P$1014,2,FALSE),0)</f>
        <v>0.76</v>
      </c>
      <c r="H6018" s="759">
        <f t="shared" ref="H6018:H6081" si="377">IFERROR(VLOOKUP(A6018,$M$1:$P$1014,3,FALSE),0)</f>
        <v>0.42</v>
      </c>
      <c r="I6018" s="758">
        <f t="shared" ref="I6018:I6081" si="378">IFERROR(F6018/E6018-G6018,0)</f>
        <v>1.59</v>
      </c>
      <c r="J6018" s="760">
        <f t="shared" ref="J6018:J6081" si="379">IFERROR(1-G6018*E6018/F6018,0)</f>
        <v>0.67659574468085104</v>
      </c>
    </row>
    <row r="6019" spans="1:10">
      <c r="A6019" s="74" t="s">
        <v>756</v>
      </c>
      <c r="B6019" s="74" t="s">
        <v>251</v>
      </c>
      <c r="C6019" s="74" t="s">
        <v>1543</v>
      </c>
      <c r="D6019" s="74" t="s">
        <v>87</v>
      </c>
      <c r="E6019" s="74">
        <v>2</v>
      </c>
      <c r="F6019" s="74">
        <v>4.55</v>
      </c>
      <c r="G6019" s="758">
        <f t="shared" si="376"/>
        <v>0.76</v>
      </c>
      <c r="H6019" s="759">
        <f t="shared" si="377"/>
        <v>0.42</v>
      </c>
      <c r="I6019" s="758">
        <f t="shared" si="378"/>
        <v>1.5149999999999999</v>
      </c>
      <c r="J6019" s="760">
        <f t="shared" si="379"/>
        <v>0.6659340659340659</v>
      </c>
    </row>
    <row r="6020" spans="1:10">
      <c r="A6020" s="74" t="s">
        <v>756</v>
      </c>
      <c r="B6020" s="74" t="s">
        <v>251</v>
      </c>
      <c r="C6020" s="74" t="s">
        <v>1544</v>
      </c>
      <c r="D6020" s="74" t="s">
        <v>87</v>
      </c>
      <c r="E6020" s="74">
        <v>1</v>
      </c>
      <c r="F6020" s="74">
        <v>2.35</v>
      </c>
      <c r="G6020" s="758">
        <f t="shared" si="376"/>
        <v>0.76</v>
      </c>
      <c r="H6020" s="759">
        <f t="shared" si="377"/>
        <v>0.42</v>
      </c>
      <c r="I6020" s="758">
        <f t="shared" si="378"/>
        <v>1.59</v>
      </c>
      <c r="J6020" s="760">
        <f t="shared" si="379"/>
        <v>0.67659574468085104</v>
      </c>
    </row>
    <row r="6021" spans="1:10">
      <c r="A6021" s="74" t="s">
        <v>756</v>
      </c>
      <c r="B6021" s="74" t="s">
        <v>251</v>
      </c>
      <c r="C6021" s="74" t="s">
        <v>1605</v>
      </c>
      <c r="D6021" s="74" t="s">
        <v>87</v>
      </c>
      <c r="E6021" s="74">
        <v>2</v>
      </c>
      <c r="F6021" s="74">
        <v>4.7</v>
      </c>
      <c r="G6021" s="758">
        <f t="shared" si="376"/>
        <v>0.76</v>
      </c>
      <c r="H6021" s="759">
        <f t="shared" si="377"/>
        <v>0.42</v>
      </c>
      <c r="I6021" s="758">
        <f t="shared" si="378"/>
        <v>1.59</v>
      </c>
      <c r="J6021" s="760">
        <f t="shared" si="379"/>
        <v>0.67659574468085104</v>
      </c>
    </row>
    <row r="6022" spans="1:10">
      <c r="A6022" s="74" t="s">
        <v>756</v>
      </c>
      <c r="B6022" s="74" t="s">
        <v>251</v>
      </c>
      <c r="C6022" s="74" t="s">
        <v>1608</v>
      </c>
      <c r="D6022" s="74" t="s">
        <v>89</v>
      </c>
      <c r="E6022" s="74">
        <v>2</v>
      </c>
      <c r="F6022" s="74">
        <v>4.7</v>
      </c>
      <c r="G6022" s="758">
        <f t="shared" si="376"/>
        <v>0.76</v>
      </c>
      <c r="H6022" s="759">
        <f t="shared" si="377"/>
        <v>0.42</v>
      </c>
      <c r="I6022" s="758">
        <f t="shared" si="378"/>
        <v>1.59</v>
      </c>
      <c r="J6022" s="760">
        <f t="shared" si="379"/>
        <v>0.67659574468085104</v>
      </c>
    </row>
    <row r="6023" spans="1:10">
      <c r="A6023" s="74" t="s">
        <v>756</v>
      </c>
      <c r="B6023" s="74" t="s">
        <v>251</v>
      </c>
      <c r="C6023" s="74" t="s">
        <v>1546</v>
      </c>
      <c r="D6023" s="74" t="s">
        <v>89</v>
      </c>
      <c r="E6023" s="74">
        <v>1</v>
      </c>
      <c r="F6023" s="74">
        <v>2.35</v>
      </c>
      <c r="G6023" s="758">
        <f t="shared" si="376"/>
        <v>0.76</v>
      </c>
      <c r="H6023" s="759">
        <f t="shared" si="377"/>
        <v>0.42</v>
      </c>
      <c r="I6023" s="758">
        <f t="shared" si="378"/>
        <v>1.59</v>
      </c>
      <c r="J6023" s="760">
        <f t="shared" si="379"/>
        <v>0.67659574468085104</v>
      </c>
    </row>
    <row r="6024" spans="1:10">
      <c r="A6024" s="74" t="s">
        <v>756</v>
      </c>
      <c r="B6024" s="74" t="s">
        <v>251</v>
      </c>
      <c r="C6024" s="74" t="s">
        <v>1582</v>
      </c>
      <c r="D6024" s="74" t="s">
        <v>89</v>
      </c>
      <c r="E6024" s="74">
        <v>1</v>
      </c>
      <c r="F6024" s="74">
        <v>2.35</v>
      </c>
      <c r="G6024" s="758">
        <f t="shared" si="376"/>
        <v>0.76</v>
      </c>
      <c r="H6024" s="759">
        <f t="shared" si="377"/>
        <v>0.42</v>
      </c>
      <c r="I6024" s="758">
        <f t="shared" si="378"/>
        <v>1.59</v>
      </c>
      <c r="J6024" s="760">
        <f t="shared" si="379"/>
        <v>0.67659574468085104</v>
      </c>
    </row>
    <row r="6025" spans="1:10">
      <c r="A6025" s="74" t="s">
        <v>756</v>
      </c>
      <c r="B6025" s="74" t="s">
        <v>251</v>
      </c>
      <c r="C6025" s="74" t="s">
        <v>1675</v>
      </c>
      <c r="D6025" s="74" t="s">
        <v>91</v>
      </c>
      <c r="E6025" s="74">
        <v>1</v>
      </c>
      <c r="F6025" s="74">
        <v>2.35</v>
      </c>
      <c r="G6025" s="758">
        <f t="shared" si="376"/>
        <v>0.76</v>
      </c>
      <c r="H6025" s="759">
        <f t="shared" si="377"/>
        <v>0.42</v>
      </c>
      <c r="I6025" s="758">
        <f t="shared" si="378"/>
        <v>1.59</v>
      </c>
      <c r="J6025" s="760">
        <f t="shared" si="379"/>
        <v>0.67659574468085104</v>
      </c>
    </row>
    <row r="6026" spans="1:10">
      <c r="A6026" s="74" t="s">
        <v>756</v>
      </c>
      <c r="B6026" s="74" t="s">
        <v>251</v>
      </c>
      <c r="C6026" s="74" t="s">
        <v>1617</v>
      </c>
      <c r="D6026" s="74" t="s">
        <v>94</v>
      </c>
      <c r="E6026" s="74">
        <v>1</v>
      </c>
      <c r="F6026" s="74">
        <v>2.35</v>
      </c>
      <c r="G6026" s="758">
        <f t="shared" si="376"/>
        <v>0.76</v>
      </c>
      <c r="H6026" s="759">
        <f t="shared" si="377"/>
        <v>0.42</v>
      </c>
      <c r="I6026" s="758">
        <f t="shared" si="378"/>
        <v>1.59</v>
      </c>
      <c r="J6026" s="760">
        <f t="shared" si="379"/>
        <v>0.67659574468085104</v>
      </c>
    </row>
    <row r="6027" spans="1:10">
      <c r="A6027" s="74" t="s">
        <v>756</v>
      </c>
      <c r="B6027" s="74" t="s">
        <v>251</v>
      </c>
      <c r="C6027" s="74" t="s">
        <v>1553</v>
      </c>
      <c r="D6027" s="74" t="s">
        <v>94</v>
      </c>
      <c r="E6027" s="74">
        <v>1</v>
      </c>
      <c r="F6027" s="74">
        <v>2.35</v>
      </c>
      <c r="G6027" s="758">
        <f t="shared" si="376"/>
        <v>0.76</v>
      </c>
      <c r="H6027" s="759">
        <f t="shared" si="377"/>
        <v>0.42</v>
      </c>
      <c r="I6027" s="758">
        <f t="shared" si="378"/>
        <v>1.59</v>
      </c>
      <c r="J6027" s="760">
        <f t="shared" si="379"/>
        <v>0.67659574468085104</v>
      </c>
    </row>
    <row r="6028" spans="1:10">
      <c r="A6028" s="74" t="s">
        <v>756</v>
      </c>
      <c r="B6028" s="74" t="s">
        <v>251</v>
      </c>
      <c r="C6028" s="74" t="s">
        <v>1555</v>
      </c>
      <c r="D6028" s="74" t="s">
        <v>94</v>
      </c>
      <c r="E6028" s="74">
        <v>1</v>
      </c>
      <c r="F6028" s="74">
        <v>2.35</v>
      </c>
      <c r="G6028" s="758">
        <f t="shared" si="376"/>
        <v>0.76</v>
      </c>
      <c r="H6028" s="759">
        <f t="shared" si="377"/>
        <v>0.42</v>
      </c>
      <c r="I6028" s="758">
        <f t="shared" si="378"/>
        <v>1.59</v>
      </c>
      <c r="J6028" s="760">
        <f t="shared" si="379"/>
        <v>0.67659574468085104</v>
      </c>
    </row>
    <row r="6029" spans="1:10">
      <c r="A6029" s="74" t="s">
        <v>756</v>
      </c>
      <c r="B6029" s="74" t="s">
        <v>251</v>
      </c>
      <c r="C6029" s="74" t="s">
        <v>1557</v>
      </c>
      <c r="D6029" s="74" t="s">
        <v>95</v>
      </c>
      <c r="E6029" s="74">
        <v>1</v>
      </c>
      <c r="F6029" s="74">
        <v>2.5</v>
      </c>
      <c r="G6029" s="758">
        <f t="shared" si="376"/>
        <v>0.76</v>
      </c>
      <c r="H6029" s="759">
        <f t="shared" si="377"/>
        <v>0.42</v>
      </c>
      <c r="I6029" s="758">
        <f t="shared" si="378"/>
        <v>1.74</v>
      </c>
      <c r="J6029" s="760">
        <f t="shared" si="379"/>
        <v>0.69599999999999995</v>
      </c>
    </row>
    <row r="6030" spans="1:10">
      <c r="A6030" s="74" t="s">
        <v>756</v>
      </c>
      <c r="B6030" s="74" t="s">
        <v>251</v>
      </c>
      <c r="C6030" s="74" t="s">
        <v>1526</v>
      </c>
      <c r="D6030" s="74" t="s">
        <v>95</v>
      </c>
      <c r="E6030" s="74">
        <v>1</v>
      </c>
      <c r="F6030" s="74">
        <v>2.35</v>
      </c>
      <c r="G6030" s="758">
        <f t="shared" si="376"/>
        <v>0.76</v>
      </c>
      <c r="H6030" s="759">
        <f t="shared" si="377"/>
        <v>0.42</v>
      </c>
      <c r="I6030" s="758">
        <f t="shared" si="378"/>
        <v>1.59</v>
      </c>
      <c r="J6030" s="760">
        <f t="shared" si="379"/>
        <v>0.67659574468085104</v>
      </c>
    </row>
    <row r="6031" spans="1:10">
      <c r="A6031" s="74" t="s">
        <v>1035</v>
      </c>
      <c r="B6031" s="74" t="s">
        <v>251</v>
      </c>
      <c r="C6031" s="74" t="s">
        <v>1528</v>
      </c>
      <c r="D6031" s="74" t="s">
        <v>78</v>
      </c>
      <c r="E6031" s="74">
        <v>4</v>
      </c>
      <c r="F6031" s="74">
        <v>9.4</v>
      </c>
      <c r="G6031" s="758">
        <f t="shared" si="376"/>
        <v>1.08</v>
      </c>
      <c r="H6031" s="759">
        <f t="shared" si="377"/>
        <v>0.47</v>
      </c>
      <c r="I6031" s="758">
        <f t="shared" si="378"/>
        <v>1.27</v>
      </c>
      <c r="J6031" s="760">
        <f t="shared" si="379"/>
        <v>0.54042553191489362</v>
      </c>
    </row>
    <row r="6032" spans="1:10">
      <c r="A6032" s="74" t="s">
        <v>1035</v>
      </c>
      <c r="B6032" s="74" t="s">
        <v>251</v>
      </c>
      <c r="C6032" s="74" t="s">
        <v>1508</v>
      </c>
      <c r="D6032" s="74" t="s">
        <v>78</v>
      </c>
      <c r="E6032" s="74">
        <v>7</v>
      </c>
      <c r="F6032" s="74">
        <v>16.75</v>
      </c>
      <c r="G6032" s="758">
        <f t="shared" si="376"/>
        <v>1.08</v>
      </c>
      <c r="H6032" s="759">
        <f t="shared" si="377"/>
        <v>0.47</v>
      </c>
      <c r="I6032" s="758">
        <f t="shared" si="378"/>
        <v>1.3128571428571427</v>
      </c>
      <c r="J6032" s="760">
        <f t="shared" si="379"/>
        <v>0.54865671641791036</v>
      </c>
    </row>
    <row r="6033" spans="1:10">
      <c r="A6033" s="74" t="s">
        <v>1035</v>
      </c>
      <c r="B6033" s="74" t="s">
        <v>251</v>
      </c>
      <c r="C6033" s="74" t="s">
        <v>1509</v>
      </c>
      <c r="D6033" s="74" t="s">
        <v>78</v>
      </c>
      <c r="E6033" s="74">
        <v>2</v>
      </c>
      <c r="F6033" s="74">
        <v>4.7</v>
      </c>
      <c r="G6033" s="758">
        <f t="shared" si="376"/>
        <v>1.08</v>
      </c>
      <c r="H6033" s="759">
        <f t="shared" si="377"/>
        <v>0.47</v>
      </c>
      <c r="I6033" s="758">
        <f t="shared" si="378"/>
        <v>1.27</v>
      </c>
      <c r="J6033" s="760">
        <f t="shared" si="379"/>
        <v>0.54042553191489362</v>
      </c>
    </row>
    <row r="6034" spans="1:10">
      <c r="A6034" s="74" t="s">
        <v>1035</v>
      </c>
      <c r="B6034" s="74" t="s">
        <v>251</v>
      </c>
      <c r="C6034" s="74" t="s">
        <v>1565</v>
      </c>
      <c r="D6034" s="74" t="s">
        <v>78</v>
      </c>
      <c r="E6034" s="74">
        <v>4</v>
      </c>
      <c r="F6034" s="74">
        <v>9.25</v>
      </c>
      <c r="G6034" s="758">
        <f t="shared" si="376"/>
        <v>1.08</v>
      </c>
      <c r="H6034" s="759">
        <f t="shared" si="377"/>
        <v>0.47</v>
      </c>
      <c r="I6034" s="758">
        <f t="shared" si="378"/>
        <v>1.2324999999999999</v>
      </c>
      <c r="J6034" s="760">
        <f t="shared" si="379"/>
        <v>0.53297297297297297</v>
      </c>
    </row>
    <row r="6035" spans="1:10">
      <c r="A6035" s="74" t="s">
        <v>1035</v>
      </c>
      <c r="B6035" s="74" t="s">
        <v>251</v>
      </c>
      <c r="C6035" s="74" t="s">
        <v>1530</v>
      </c>
      <c r="D6035" s="74" t="s">
        <v>80</v>
      </c>
      <c r="E6035" s="74">
        <v>2</v>
      </c>
      <c r="F6035" s="74">
        <v>4.4000000000000004</v>
      </c>
      <c r="G6035" s="758">
        <f t="shared" si="376"/>
        <v>1.08</v>
      </c>
      <c r="H6035" s="759">
        <f t="shared" si="377"/>
        <v>0.47</v>
      </c>
      <c r="I6035" s="758">
        <f t="shared" si="378"/>
        <v>1.1200000000000001</v>
      </c>
      <c r="J6035" s="760">
        <f t="shared" si="379"/>
        <v>0.50909090909090904</v>
      </c>
    </row>
    <row r="6036" spans="1:10">
      <c r="A6036" s="74" t="s">
        <v>1035</v>
      </c>
      <c r="B6036" s="74" t="s">
        <v>251</v>
      </c>
      <c r="C6036" s="74" t="s">
        <v>1511</v>
      </c>
      <c r="D6036" s="74" t="s">
        <v>80</v>
      </c>
      <c r="E6036" s="74">
        <v>2</v>
      </c>
      <c r="F6036" s="74">
        <v>4.7</v>
      </c>
      <c r="G6036" s="758">
        <f t="shared" si="376"/>
        <v>1.08</v>
      </c>
      <c r="H6036" s="759">
        <f t="shared" si="377"/>
        <v>0.47</v>
      </c>
      <c r="I6036" s="758">
        <f t="shared" si="378"/>
        <v>1.27</v>
      </c>
      <c r="J6036" s="760">
        <f t="shared" si="379"/>
        <v>0.54042553191489362</v>
      </c>
    </row>
    <row r="6037" spans="1:10">
      <c r="A6037" s="74" t="s">
        <v>1035</v>
      </c>
      <c r="B6037" s="74" t="s">
        <v>251</v>
      </c>
      <c r="C6037" s="74" t="s">
        <v>1512</v>
      </c>
      <c r="D6037" s="74" t="s">
        <v>80</v>
      </c>
      <c r="E6037" s="74">
        <v>1</v>
      </c>
      <c r="F6037" s="74">
        <v>2.35</v>
      </c>
      <c r="G6037" s="758">
        <f t="shared" si="376"/>
        <v>1.08</v>
      </c>
      <c r="H6037" s="759">
        <f t="shared" si="377"/>
        <v>0.47</v>
      </c>
      <c r="I6037" s="758">
        <f t="shared" si="378"/>
        <v>1.27</v>
      </c>
      <c r="J6037" s="760">
        <f t="shared" si="379"/>
        <v>0.54042553191489362</v>
      </c>
    </row>
    <row r="6038" spans="1:10">
      <c r="A6038" s="74" t="s">
        <v>1035</v>
      </c>
      <c r="B6038" s="74" t="s">
        <v>251</v>
      </c>
      <c r="C6038" s="74" t="s">
        <v>1534</v>
      </c>
      <c r="D6038" s="74" t="s">
        <v>81</v>
      </c>
      <c r="E6038" s="74">
        <v>1</v>
      </c>
      <c r="F6038" s="74">
        <v>2.5</v>
      </c>
      <c r="G6038" s="758">
        <f t="shared" si="376"/>
        <v>1.08</v>
      </c>
      <c r="H6038" s="759">
        <f t="shared" si="377"/>
        <v>0.47</v>
      </c>
      <c r="I6038" s="758">
        <f t="shared" si="378"/>
        <v>1.42</v>
      </c>
      <c r="J6038" s="760">
        <f t="shared" si="379"/>
        <v>0.56799999999999995</v>
      </c>
    </row>
    <row r="6039" spans="1:10">
      <c r="A6039" s="74" t="s">
        <v>1035</v>
      </c>
      <c r="B6039" s="74" t="s">
        <v>251</v>
      </c>
      <c r="C6039" s="74" t="s">
        <v>1515</v>
      </c>
      <c r="D6039" s="74" t="s">
        <v>81</v>
      </c>
      <c r="E6039" s="74">
        <v>1</v>
      </c>
      <c r="F6039" s="74">
        <v>2.35</v>
      </c>
      <c r="G6039" s="758">
        <f t="shared" si="376"/>
        <v>1.08</v>
      </c>
      <c r="H6039" s="759">
        <f t="shared" si="377"/>
        <v>0.47</v>
      </c>
      <c r="I6039" s="758">
        <f t="shared" si="378"/>
        <v>1.27</v>
      </c>
      <c r="J6039" s="760">
        <f t="shared" si="379"/>
        <v>0.54042553191489362</v>
      </c>
    </row>
    <row r="6040" spans="1:10">
      <c r="A6040" s="74" t="s">
        <v>1035</v>
      </c>
      <c r="B6040" s="74" t="s">
        <v>251</v>
      </c>
      <c r="C6040" s="74" t="s">
        <v>1516</v>
      </c>
      <c r="D6040" s="74" t="s">
        <v>82</v>
      </c>
      <c r="E6040" s="74">
        <v>1</v>
      </c>
      <c r="F6040" s="74">
        <v>2.35</v>
      </c>
      <c r="G6040" s="758">
        <f t="shared" si="376"/>
        <v>1.08</v>
      </c>
      <c r="H6040" s="759">
        <f t="shared" si="377"/>
        <v>0.47</v>
      </c>
      <c r="I6040" s="758">
        <f t="shared" si="378"/>
        <v>1.27</v>
      </c>
      <c r="J6040" s="760">
        <f t="shared" si="379"/>
        <v>0.54042553191489362</v>
      </c>
    </row>
    <row r="6041" spans="1:10">
      <c r="A6041" s="74" t="s">
        <v>1035</v>
      </c>
      <c r="B6041" s="74" t="s">
        <v>251</v>
      </c>
      <c r="C6041" s="74" t="s">
        <v>1517</v>
      </c>
      <c r="D6041" s="74" t="s">
        <v>82</v>
      </c>
      <c r="E6041" s="74">
        <v>1</v>
      </c>
      <c r="F6041" s="74">
        <v>2.35</v>
      </c>
      <c r="G6041" s="758">
        <f t="shared" si="376"/>
        <v>1.08</v>
      </c>
      <c r="H6041" s="759">
        <f t="shared" si="377"/>
        <v>0.47</v>
      </c>
      <c r="I6041" s="758">
        <f t="shared" si="378"/>
        <v>1.27</v>
      </c>
      <c r="J6041" s="760">
        <f t="shared" si="379"/>
        <v>0.54042553191489362</v>
      </c>
    </row>
    <row r="6042" spans="1:10">
      <c r="A6042" s="74" t="s">
        <v>1035</v>
      </c>
      <c r="B6042" s="74" t="s">
        <v>251</v>
      </c>
      <c r="C6042" s="74" t="s">
        <v>1540</v>
      </c>
      <c r="D6042" s="74" t="s">
        <v>84</v>
      </c>
      <c r="E6042" s="74">
        <v>1</v>
      </c>
      <c r="F6042" s="74">
        <v>2.35</v>
      </c>
      <c r="G6042" s="758">
        <f t="shared" si="376"/>
        <v>1.08</v>
      </c>
      <c r="H6042" s="759">
        <f t="shared" si="377"/>
        <v>0.47</v>
      </c>
      <c r="I6042" s="758">
        <f t="shared" si="378"/>
        <v>1.27</v>
      </c>
      <c r="J6042" s="760">
        <f t="shared" si="379"/>
        <v>0.54042553191489362</v>
      </c>
    </row>
    <row r="6043" spans="1:10">
      <c r="A6043" s="74" t="s">
        <v>1035</v>
      </c>
      <c r="B6043" s="74" t="s">
        <v>251</v>
      </c>
      <c r="C6043" s="74" t="s">
        <v>1541</v>
      </c>
      <c r="D6043" s="74" t="s">
        <v>86</v>
      </c>
      <c r="E6043" s="74">
        <v>1</v>
      </c>
      <c r="F6043" s="74">
        <v>2.35</v>
      </c>
      <c r="G6043" s="758">
        <f t="shared" si="376"/>
        <v>1.08</v>
      </c>
      <c r="H6043" s="759">
        <f t="shared" si="377"/>
        <v>0.47</v>
      </c>
      <c r="I6043" s="758">
        <f t="shared" si="378"/>
        <v>1.27</v>
      </c>
      <c r="J6043" s="760">
        <f t="shared" si="379"/>
        <v>0.54042553191489362</v>
      </c>
    </row>
    <row r="6044" spans="1:10">
      <c r="A6044" s="74" t="s">
        <v>1035</v>
      </c>
      <c r="B6044" s="74" t="s">
        <v>251</v>
      </c>
      <c r="C6044" s="74" t="s">
        <v>1608</v>
      </c>
      <c r="D6044" s="74" t="s">
        <v>89</v>
      </c>
      <c r="E6044" s="74">
        <v>1</v>
      </c>
      <c r="F6044" s="74">
        <v>2.35</v>
      </c>
      <c r="G6044" s="758">
        <f t="shared" si="376"/>
        <v>1.08</v>
      </c>
      <c r="H6044" s="759">
        <f t="shared" si="377"/>
        <v>0.47</v>
      </c>
      <c r="I6044" s="758">
        <f t="shared" si="378"/>
        <v>1.27</v>
      </c>
      <c r="J6044" s="760">
        <f t="shared" si="379"/>
        <v>0.54042553191489362</v>
      </c>
    </row>
    <row r="6045" spans="1:10">
      <c r="A6045" s="74" t="s">
        <v>1035</v>
      </c>
      <c r="B6045" s="74" t="s">
        <v>251</v>
      </c>
      <c r="C6045" s="74" t="s">
        <v>1610</v>
      </c>
      <c r="D6045" s="74" t="s">
        <v>89</v>
      </c>
      <c r="E6045" s="74">
        <v>1</v>
      </c>
      <c r="F6045" s="74">
        <v>2.35</v>
      </c>
      <c r="G6045" s="758">
        <f t="shared" si="376"/>
        <v>1.08</v>
      </c>
      <c r="H6045" s="759">
        <f t="shared" si="377"/>
        <v>0.47</v>
      </c>
      <c r="I6045" s="758">
        <f t="shared" si="378"/>
        <v>1.27</v>
      </c>
      <c r="J6045" s="760">
        <f t="shared" si="379"/>
        <v>0.54042553191489362</v>
      </c>
    </row>
    <row r="6046" spans="1:10">
      <c r="A6046" s="74" t="s">
        <v>1035</v>
      </c>
      <c r="B6046" s="74" t="s">
        <v>251</v>
      </c>
      <c r="C6046" s="74" t="s">
        <v>1582</v>
      </c>
      <c r="D6046" s="74" t="s">
        <v>89</v>
      </c>
      <c r="E6046" s="74">
        <v>1</v>
      </c>
      <c r="F6046" s="74">
        <v>2.35</v>
      </c>
      <c r="G6046" s="758">
        <f t="shared" si="376"/>
        <v>1.08</v>
      </c>
      <c r="H6046" s="759">
        <f t="shared" si="377"/>
        <v>0.47</v>
      </c>
      <c r="I6046" s="758">
        <f t="shared" si="378"/>
        <v>1.27</v>
      </c>
      <c r="J6046" s="760">
        <f t="shared" si="379"/>
        <v>0.54042553191489362</v>
      </c>
    </row>
    <row r="6047" spans="1:10">
      <c r="A6047" s="74" t="s">
        <v>1035</v>
      </c>
      <c r="B6047" s="74" t="s">
        <v>251</v>
      </c>
      <c r="C6047" s="74" t="s">
        <v>1522</v>
      </c>
      <c r="D6047" s="74" t="s">
        <v>91</v>
      </c>
      <c r="E6047" s="74">
        <v>1</v>
      </c>
      <c r="F6047" s="74">
        <v>2.35</v>
      </c>
      <c r="G6047" s="758">
        <f t="shared" si="376"/>
        <v>1.08</v>
      </c>
      <c r="H6047" s="759">
        <f t="shared" si="377"/>
        <v>0.47</v>
      </c>
      <c r="I6047" s="758">
        <f t="shared" si="378"/>
        <v>1.27</v>
      </c>
      <c r="J6047" s="760">
        <f t="shared" si="379"/>
        <v>0.54042553191489362</v>
      </c>
    </row>
    <row r="6048" spans="1:10">
      <c r="A6048" s="74" t="s">
        <v>1035</v>
      </c>
      <c r="B6048" s="74" t="s">
        <v>251</v>
      </c>
      <c r="C6048" s="74" t="s">
        <v>1675</v>
      </c>
      <c r="D6048" s="74" t="s">
        <v>91</v>
      </c>
      <c r="E6048" s="74">
        <v>1</v>
      </c>
      <c r="F6048" s="74">
        <v>2.2000000000000002</v>
      </c>
      <c r="G6048" s="758">
        <f t="shared" si="376"/>
        <v>1.08</v>
      </c>
      <c r="H6048" s="759">
        <f t="shared" si="377"/>
        <v>0.47</v>
      </c>
      <c r="I6048" s="758">
        <f t="shared" si="378"/>
        <v>1.1200000000000001</v>
      </c>
      <c r="J6048" s="760">
        <f t="shared" si="379"/>
        <v>0.50909090909090904</v>
      </c>
    </row>
    <row r="6049" spans="1:10">
      <c r="A6049" s="74" t="s">
        <v>1035</v>
      </c>
      <c r="B6049" s="74" t="s">
        <v>251</v>
      </c>
      <c r="C6049" s="74" t="s">
        <v>1555</v>
      </c>
      <c r="D6049" s="74" t="s">
        <v>94</v>
      </c>
      <c r="E6049" s="74">
        <v>1</v>
      </c>
      <c r="F6049" s="74">
        <v>2.35</v>
      </c>
      <c r="G6049" s="758">
        <f t="shared" si="376"/>
        <v>1.08</v>
      </c>
      <c r="H6049" s="759">
        <f t="shared" si="377"/>
        <v>0.47</v>
      </c>
      <c r="I6049" s="758">
        <f t="shared" si="378"/>
        <v>1.27</v>
      </c>
      <c r="J6049" s="760">
        <f t="shared" si="379"/>
        <v>0.54042553191489362</v>
      </c>
    </row>
    <row r="6050" spans="1:10">
      <c r="A6050" s="74" t="s">
        <v>1275</v>
      </c>
      <c r="B6050" s="74" t="s">
        <v>251</v>
      </c>
      <c r="C6050" s="74" t="s">
        <v>1511</v>
      </c>
      <c r="D6050" s="74" t="s">
        <v>80</v>
      </c>
      <c r="E6050" s="74">
        <v>2</v>
      </c>
      <c r="F6050" s="74">
        <v>4.7</v>
      </c>
      <c r="G6050" s="758">
        <f t="shared" si="376"/>
        <v>1.89</v>
      </c>
      <c r="H6050" s="759">
        <f t="shared" si="377"/>
        <v>0.52</v>
      </c>
      <c r="I6050" s="758">
        <f t="shared" si="378"/>
        <v>0.46000000000000019</v>
      </c>
      <c r="J6050" s="760">
        <f t="shared" si="379"/>
        <v>0.19574468085106389</v>
      </c>
    </row>
    <row r="6051" spans="1:10">
      <c r="A6051" s="74" t="s">
        <v>1275</v>
      </c>
      <c r="B6051" s="74" t="s">
        <v>251</v>
      </c>
      <c r="C6051" s="74" t="s">
        <v>1512</v>
      </c>
      <c r="D6051" s="74" t="s">
        <v>80</v>
      </c>
      <c r="E6051" s="74">
        <v>1</v>
      </c>
      <c r="F6051" s="74">
        <v>2.35</v>
      </c>
      <c r="G6051" s="758">
        <f t="shared" si="376"/>
        <v>1.89</v>
      </c>
      <c r="H6051" s="759">
        <f t="shared" si="377"/>
        <v>0.52</v>
      </c>
      <c r="I6051" s="758">
        <f t="shared" si="378"/>
        <v>0.46000000000000019</v>
      </c>
      <c r="J6051" s="760">
        <f t="shared" si="379"/>
        <v>0.19574468085106389</v>
      </c>
    </row>
    <row r="6052" spans="1:10">
      <c r="A6052" s="74" t="s">
        <v>1275</v>
      </c>
      <c r="B6052" s="74" t="s">
        <v>251</v>
      </c>
      <c r="C6052" s="74" t="s">
        <v>1534</v>
      </c>
      <c r="D6052" s="74" t="s">
        <v>81</v>
      </c>
      <c r="E6052" s="74">
        <v>2</v>
      </c>
      <c r="F6052" s="74">
        <v>4.7</v>
      </c>
      <c r="G6052" s="758">
        <f t="shared" si="376"/>
        <v>1.89</v>
      </c>
      <c r="H6052" s="759">
        <f t="shared" si="377"/>
        <v>0.52</v>
      </c>
      <c r="I6052" s="758">
        <f t="shared" si="378"/>
        <v>0.46000000000000019</v>
      </c>
      <c r="J6052" s="760">
        <f t="shared" si="379"/>
        <v>0.19574468085106389</v>
      </c>
    </row>
    <row r="6053" spans="1:10">
      <c r="A6053" s="74" t="s">
        <v>1275</v>
      </c>
      <c r="B6053" s="74" t="s">
        <v>251</v>
      </c>
      <c r="C6053" s="74" t="s">
        <v>1513</v>
      </c>
      <c r="D6053" s="74" t="s">
        <v>81</v>
      </c>
      <c r="E6053" s="74">
        <v>8</v>
      </c>
      <c r="F6053" s="74">
        <v>19.25</v>
      </c>
      <c r="G6053" s="758">
        <f t="shared" si="376"/>
        <v>1.89</v>
      </c>
      <c r="H6053" s="759">
        <f t="shared" si="377"/>
        <v>0.52</v>
      </c>
      <c r="I6053" s="758">
        <f t="shared" si="378"/>
        <v>0.5162500000000001</v>
      </c>
      <c r="J6053" s="760">
        <f t="shared" si="379"/>
        <v>0.21454545454545459</v>
      </c>
    </row>
    <row r="6054" spans="1:10">
      <c r="A6054" s="74" t="s">
        <v>1275</v>
      </c>
      <c r="B6054" s="74" t="s">
        <v>251</v>
      </c>
      <c r="C6054" s="74" t="s">
        <v>1514</v>
      </c>
      <c r="D6054" s="74" t="s">
        <v>81</v>
      </c>
      <c r="E6054" s="74">
        <v>1</v>
      </c>
      <c r="F6054" s="74">
        <v>2.35</v>
      </c>
      <c r="G6054" s="758">
        <f t="shared" si="376"/>
        <v>1.89</v>
      </c>
      <c r="H6054" s="759">
        <f t="shared" si="377"/>
        <v>0.52</v>
      </c>
      <c r="I6054" s="758">
        <f t="shared" si="378"/>
        <v>0.46000000000000019</v>
      </c>
      <c r="J6054" s="760">
        <f t="shared" si="379"/>
        <v>0.19574468085106389</v>
      </c>
    </row>
    <row r="6055" spans="1:10">
      <c r="A6055" s="74" t="s">
        <v>1275</v>
      </c>
      <c r="B6055" s="74" t="s">
        <v>251</v>
      </c>
      <c r="C6055" s="74" t="s">
        <v>1515</v>
      </c>
      <c r="D6055" s="74" t="s">
        <v>81</v>
      </c>
      <c r="E6055" s="74">
        <v>3</v>
      </c>
      <c r="F6055" s="74">
        <v>7.05</v>
      </c>
      <c r="G6055" s="758">
        <f t="shared" si="376"/>
        <v>1.89</v>
      </c>
      <c r="H6055" s="759">
        <f t="shared" si="377"/>
        <v>0.52</v>
      </c>
      <c r="I6055" s="758">
        <f t="shared" si="378"/>
        <v>0.46000000000000019</v>
      </c>
      <c r="J6055" s="760">
        <f t="shared" si="379"/>
        <v>0.19574468085106378</v>
      </c>
    </row>
    <row r="6056" spans="1:10">
      <c r="A6056" s="74" t="s">
        <v>1275</v>
      </c>
      <c r="B6056" s="74" t="s">
        <v>251</v>
      </c>
      <c r="C6056" s="74" t="s">
        <v>1516</v>
      </c>
      <c r="D6056" s="74" t="s">
        <v>82</v>
      </c>
      <c r="E6056" s="74">
        <v>4</v>
      </c>
      <c r="F6056" s="74">
        <v>18.399999999999999</v>
      </c>
      <c r="G6056" s="758">
        <f t="shared" si="376"/>
        <v>1.89</v>
      </c>
      <c r="H6056" s="759">
        <f t="shared" si="377"/>
        <v>0.52</v>
      </c>
      <c r="I6056" s="758">
        <f t="shared" si="378"/>
        <v>2.71</v>
      </c>
      <c r="J6056" s="760">
        <f t="shared" si="379"/>
        <v>0.58913043478260874</v>
      </c>
    </row>
    <row r="6057" spans="1:10">
      <c r="A6057" s="74" t="s">
        <v>1275</v>
      </c>
      <c r="B6057" s="74" t="s">
        <v>251</v>
      </c>
      <c r="C6057" s="74" t="s">
        <v>1517</v>
      </c>
      <c r="D6057" s="74" t="s">
        <v>82</v>
      </c>
      <c r="E6057" s="74">
        <v>2</v>
      </c>
      <c r="F6057" s="74">
        <v>4.8499999999999996</v>
      </c>
      <c r="G6057" s="758">
        <f t="shared" si="376"/>
        <v>1.89</v>
      </c>
      <c r="H6057" s="759">
        <f t="shared" si="377"/>
        <v>0.52</v>
      </c>
      <c r="I6057" s="758">
        <f t="shared" si="378"/>
        <v>0.53499999999999992</v>
      </c>
      <c r="J6057" s="760">
        <f t="shared" si="379"/>
        <v>0.22061855670103092</v>
      </c>
    </row>
    <row r="6058" spans="1:10">
      <c r="A6058" s="74" t="s">
        <v>1275</v>
      </c>
      <c r="B6058" s="74" t="s">
        <v>251</v>
      </c>
      <c r="C6058" s="74" t="s">
        <v>1527</v>
      </c>
      <c r="D6058" s="74" t="s">
        <v>82</v>
      </c>
      <c r="E6058" s="74">
        <v>2</v>
      </c>
      <c r="F6058" s="74">
        <v>4.7</v>
      </c>
      <c r="G6058" s="758">
        <f t="shared" si="376"/>
        <v>1.89</v>
      </c>
      <c r="H6058" s="759">
        <f t="shared" si="377"/>
        <v>0.52</v>
      </c>
      <c r="I6058" s="758">
        <f t="shared" si="378"/>
        <v>0.46000000000000019</v>
      </c>
      <c r="J6058" s="760">
        <f t="shared" si="379"/>
        <v>0.19574468085106389</v>
      </c>
    </row>
    <row r="6059" spans="1:10">
      <c r="A6059" s="74" t="s">
        <v>1275</v>
      </c>
      <c r="B6059" s="74" t="s">
        <v>251</v>
      </c>
      <c r="C6059" s="74" t="s">
        <v>1518</v>
      </c>
      <c r="D6059" s="74" t="s">
        <v>82</v>
      </c>
      <c r="E6059" s="74">
        <v>3</v>
      </c>
      <c r="F6059" s="74">
        <v>7.2</v>
      </c>
      <c r="G6059" s="758">
        <f t="shared" si="376"/>
        <v>1.89</v>
      </c>
      <c r="H6059" s="759">
        <f t="shared" si="377"/>
        <v>0.52</v>
      </c>
      <c r="I6059" s="758">
        <f t="shared" si="378"/>
        <v>0.51</v>
      </c>
      <c r="J6059" s="760">
        <f t="shared" si="379"/>
        <v>0.21250000000000002</v>
      </c>
    </row>
    <row r="6060" spans="1:10">
      <c r="A6060" s="74" t="s">
        <v>746</v>
      </c>
      <c r="B6060" s="74" t="s">
        <v>251</v>
      </c>
      <c r="C6060" s="74" t="s">
        <v>1528</v>
      </c>
      <c r="D6060" s="74" t="s">
        <v>78</v>
      </c>
      <c r="E6060" s="74">
        <v>1</v>
      </c>
      <c r="F6060" s="74">
        <v>2.14</v>
      </c>
      <c r="G6060" s="758">
        <f t="shared" si="376"/>
        <v>0</v>
      </c>
      <c r="H6060" s="759">
        <f t="shared" si="377"/>
        <v>0</v>
      </c>
      <c r="I6060" s="758">
        <f t="shared" si="378"/>
        <v>2.14</v>
      </c>
      <c r="J6060" s="760">
        <f t="shared" si="379"/>
        <v>1</v>
      </c>
    </row>
    <row r="6061" spans="1:10">
      <c r="A6061" s="74" t="s">
        <v>746</v>
      </c>
      <c r="B6061" s="74" t="s">
        <v>251</v>
      </c>
      <c r="C6061" s="74" t="s">
        <v>1508</v>
      </c>
      <c r="D6061" s="74" t="s">
        <v>78</v>
      </c>
      <c r="E6061" s="74">
        <v>2</v>
      </c>
      <c r="F6061" s="74">
        <v>4.2699999999999996</v>
      </c>
      <c r="G6061" s="758">
        <f t="shared" si="376"/>
        <v>0</v>
      </c>
      <c r="H6061" s="759">
        <f t="shared" si="377"/>
        <v>0</v>
      </c>
      <c r="I6061" s="758">
        <f t="shared" si="378"/>
        <v>2.1349999999999998</v>
      </c>
      <c r="J6061" s="760">
        <f t="shared" si="379"/>
        <v>1</v>
      </c>
    </row>
    <row r="6062" spans="1:10">
      <c r="A6062" s="74" t="s">
        <v>746</v>
      </c>
      <c r="B6062" s="74" t="s">
        <v>251</v>
      </c>
      <c r="C6062" s="74" t="s">
        <v>1565</v>
      </c>
      <c r="D6062" s="74" t="s">
        <v>78</v>
      </c>
      <c r="E6062" s="74">
        <v>1</v>
      </c>
      <c r="F6062" s="74">
        <v>2.14</v>
      </c>
      <c r="G6062" s="758">
        <f t="shared" si="376"/>
        <v>0</v>
      </c>
      <c r="H6062" s="759">
        <f t="shared" si="377"/>
        <v>0</v>
      </c>
      <c r="I6062" s="758">
        <f t="shared" si="378"/>
        <v>2.14</v>
      </c>
      <c r="J6062" s="760">
        <f t="shared" si="379"/>
        <v>1</v>
      </c>
    </row>
    <row r="6063" spans="1:10">
      <c r="A6063" s="74" t="s">
        <v>746</v>
      </c>
      <c r="B6063" s="74" t="s">
        <v>251</v>
      </c>
      <c r="C6063" s="74" t="s">
        <v>1530</v>
      </c>
      <c r="D6063" s="74" t="s">
        <v>80</v>
      </c>
      <c r="E6063" s="74">
        <v>1</v>
      </c>
      <c r="F6063" s="74">
        <v>2.14</v>
      </c>
      <c r="G6063" s="758">
        <f t="shared" si="376"/>
        <v>0</v>
      </c>
      <c r="H6063" s="759">
        <f t="shared" si="377"/>
        <v>0</v>
      </c>
      <c r="I6063" s="758">
        <f t="shared" si="378"/>
        <v>2.14</v>
      </c>
      <c r="J6063" s="760">
        <f t="shared" si="379"/>
        <v>1</v>
      </c>
    </row>
    <row r="6064" spans="1:10">
      <c r="A6064" s="74" t="s">
        <v>746</v>
      </c>
      <c r="B6064" s="74" t="s">
        <v>251</v>
      </c>
      <c r="C6064" s="74" t="s">
        <v>1532</v>
      </c>
      <c r="D6064" s="74" t="s">
        <v>80</v>
      </c>
      <c r="E6064" s="74">
        <v>1</v>
      </c>
      <c r="F6064" s="74">
        <v>2.14</v>
      </c>
      <c r="G6064" s="758">
        <f t="shared" si="376"/>
        <v>0</v>
      </c>
      <c r="H6064" s="759">
        <f t="shared" si="377"/>
        <v>0</v>
      </c>
      <c r="I6064" s="758">
        <f t="shared" si="378"/>
        <v>2.14</v>
      </c>
      <c r="J6064" s="760">
        <f t="shared" si="379"/>
        <v>1</v>
      </c>
    </row>
    <row r="6065" spans="1:10">
      <c r="A6065" s="74" t="s">
        <v>746</v>
      </c>
      <c r="B6065" s="74" t="s">
        <v>251</v>
      </c>
      <c r="C6065" s="74" t="s">
        <v>1511</v>
      </c>
      <c r="D6065" s="74" t="s">
        <v>80</v>
      </c>
      <c r="E6065" s="74">
        <v>4</v>
      </c>
      <c r="F6065" s="74">
        <v>8.5500000000000007</v>
      </c>
      <c r="G6065" s="758">
        <f t="shared" si="376"/>
        <v>0</v>
      </c>
      <c r="H6065" s="759">
        <f t="shared" si="377"/>
        <v>0</v>
      </c>
      <c r="I6065" s="758">
        <f t="shared" si="378"/>
        <v>2.1375000000000002</v>
      </c>
      <c r="J6065" s="760">
        <f t="shared" si="379"/>
        <v>1</v>
      </c>
    </row>
    <row r="6066" spans="1:10">
      <c r="A6066" s="74" t="s">
        <v>746</v>
      </c>
      <c r="B6066" s="74" t="s">
        <v>251</v>
      </c>
      <c r="C6066" s="74" t="s">
        <v>1512</v>
      </c>
      <c r="D6066" s="74" t="s">
        <v>80</v>
      </c>
      <c r="E6066" s="74">
        <v>1</v>
      </c>
      <c r="F6066" s="74">
        <v>2.27</v>
      </c>
      <c r="G6066" s="758">
        <f t="shared" si="376"/>
        <v>0</v>
      </c>
      <c r="H6066" s="759">
        <f t="shared" si="377"/>
        <v>0</v>
      </c>
      <c r="I6066" s="758">
        <f t="shared" si="378"/>
        <v>2.27</v>
      </c>
      <c r="J6066" s="760">
        <f t="shared" si="379"/>
        <v>1</v>
      </c>
    </row>
    <row r="6067" spans="1:10">
      <c r="A6067" s="74" t="s">
        <v>746</v>
      </c>
      <c r="B6067" s="74" t="s">
        <v>251</v>
      </c>
      <c r="C6067" s="74" t="s">
        <v>1513</v>
      </c>
      <c r="D6067" s="74" t="s">
        <v>81</v>
      </c>
      <c r="E6067" s="74">
        <v>4</v>
      </c>
      <c r="F6067" s="74">
        <v>9.09</v>
      </c>
      <c r="G6067" s="758">
        <f t="shared" si="376"/>
        <v>0</v>
      </c>
      <c r="H6067" s="759">
        <f t="shared" si="377"/>
        <v>0</v>
      </c>
      <c r="I6067" s="758">
        <f t="shared" si="378"/>
        <v>2.2725</v>
      </c>
      <c r="J6067" s="760">
        <f t="shared" si="379"/>
        <v>1</v>
      </c>
    </row>
    <row r="6068" spans="1:10">
      <c r="A6068" s="74" t="s">
        <v>746</v>
      </c>
      <c r="B6068" s="74" t="s">
        <v>251</v>
      </c>
      <c r="C6068" s="74" t="s">
        <v>1514</v>
      </c>
      <c r="D6068" s="74" t="s">
        <v>81</v>
      </c>
      <c r="E6068" s="74">
        <v>2</v>
      </c>
      <c r="F6068" s="74">
        <v>4.2699999999999996</v>
      </c>
      <c r="G6068" s="758">
        <f t="shared" si="376"/>
        <v>0</v>
      </c>
      <c r="H6068" s="759">
        <f t="shared" si="377"/>
        <v>0</v>
      </c>
      <c r="I6068" s="758">
        <f t="shared" si="378"/>
        <v>2.1349999999999998</v>
      </c>
      <c r="J6068" s="760">
        <f t="shared" si="379"/>
        <v>1</v>
      </c>
    </row>
    <row r="6069" spans="1:10">
      <c r="A6069" s="74" t="s">
        <v>1082</v>
      </c>
      <c r="B6069" s="74" t="s">
        <v>264</v>
      </c>
      <c r="C6069" s="74" t="s">
        <v>1544</v>
      </c>
      <c r="D6069" s="74" t="s">
        <v>87</v>
      </c>
      <c r="E6069" s="74">
        <v>1</v>
      </c>
      <c r="F6069" s="74">
        <v>1</v>
      </c>
      <c r="G6069" s="758">
        <f t="shared" si="376"/>
        <v>0</v>
      </c>
      <c r="H6069" s="759">
        <f t="shared" si="377"/>
        <v>0</v>
      </c>
      <c r="I6069" s="758">
        <f t="shared" si="378"/>
        <v>1</v>
      </c>
      <c r="J6069" s="760">
        <f t="shared" si="379"/>
        <v>1</v>
      </c>
    </row>
    <row r="6070" spans="1:10">
      <c r="A6070" s="74" t="s">
        <v>2209</v>
      </c>
      <c r="B6070" s="74" t="s">
        <v>264</v>
      </c>
      <c r="C6070" s="74" t="s">
        <v>1520</v>
      </c>
      <c r="D6070" s="74" t="s">
        <v>84</v>
      </c>
      <c r="E6070" s="74">
        <v>1</v>
      </c>
      <c r="F6070" s="74">
        <v>1</v>
      </c>
      <c r="G6070" s="758">
        <f t="shared" si="376"/>
        <v>0</v>
      </c>
      <c r="H6070" s="759">
        <f t="shared" si="377"/>
        <v>0</v>
      </c>
      <c r="I6070" s="758">
        <f t="shared" si="378"/>
        <v>1</v>
      </c>
      <c r="J6070" s="760">
        <f t="shared" si="379"/>
        <v>1</v>
      </c>
    </row>
    <row r="6071" spans="1:10">
      <c r="A6071" s="74" t="s">
        <v>2209</v>
      </c>
      <c r="B6071" s="74" t="s">
        <v>264</v>
      </c>
      <c r="C6071" s="74" t="s">
        <v>1675</v>
      </c>
      <c r="D6071" s="74" t="s">
        <v>91</v>
      </c>
      <c r="E6071" s="74">
        <v>1</v>
      </c>
      <c r="F6071" s="74">
        <v>1</v>
      </c>
      <c r="G6071" s="758">
        <f t="shared" si="376"/>
        <v>0</v>
      </c>
      <c r="H6071" s="759">
        <f t="shared" si="377"/>
        <v>0</v>
      </c>
      <c r="I6071" s="758">
        <f t="shared" si="378"/>
        <v>1</v>
      </c>
      <c r="J6071" s="760">
        <f t="shared" si="379"/>
        <v>1</v>
      </c>
    </row>
    <row r="6072" spans="1:10">
      <c r="A6072" s="74" t="s">
        <v>2315</v>
      </c>
      <c r="B6072" s="74" t="s">
        <v>264</v>
      </c>
      <c r="C6072" s="74" t="s">
        <v>1578</v>
      </c>
      <c r="D6072" s="74" t="s">
        <v>86</v>
      </c>
      <c r="E6072" s="74">
        <v>1</v>
      </c>
      <c r="F6072" s="74">
        <v>2.7</v>
      </c>
      <c r="G6072" s="758">
        <f t="shared" si="376"/>
        <v>0.28999999999999998</v>
      </c>
      <c r="H6072" s="759">
        <f t="shared" si="377"/>
        <v>0.12</v>
      </c>
      <c r="I6072" s="758">
        <f t="shared" si="378"/>
        <v>2.41</v>
      </c>
      <c r="J6072" s="760">
        <f t="shared" si="379"/>
        <v>0.8925925925925926</v>
      </c>
    </row>
    <row r="6073" spans="1:10">
      <c r="A6073" s="74" t="s">
        <v>2210</v>
      </c>
      <c r="B6073" s="74" t="s">
        <v>264</v>
      </c>
      <c r="C6073" s="74" t="s">
        <v>1544</v>
      </c>
      <c r="D6073" s="74" t="s">
        <v>87</v>
      </c>
      <c r="E6073" s="74">
        <v>1</v>
      </c>
      <c r="F6073" s="74">
        <v>0.6</v>
      </c>
      <c r="G6073" s="758">
        <f t="shared" si="376"/>
        <v>0</v>
      </c>
      <c r="H6073" s="759">
        <f t="shared" si="377"/>
        <v>0</v>
      </c>
      <c r="I6073" s="758">
        <f t="shared" si="378"/>
        <v>0.6</v>
      </c>
      <c r="J6073" s="760">
        <f t="shared" si="379"/>
        <v>1</v>
      </c>
    </row>
    <row r="6074" spans="1:10">
      <c r="A6074" s="74" t="s">
        <v>785</v>
      </c>
      <c r="B6074" s="74" t="s">
        <v>275</v>
      </c>
      <c r="C6074" s="74" t="s">
        <v>1530</v>
      </c>
      <c r="D6074" s="74" t="s">
        <v>80</v>
      </c>
      <c r="E6074" s="74">
        <v>1</v>
      </c>
      <c r="F6074" s="74">
        <v>1.27</v>
      </c>
      <c r="G6074" s="758">
        <f t="shared" si="376"/>
        <v>0</v>
      </c>
      <c r="H6074" s="759">
        <f t="shared" si="377"/>
        <v>0</v>
      </c>
      <c r="I6074" s="758">
        <f t="shared" si="378"/>
        <v>1.27</v>
      </c>
      <c r="J6074" s="760">
        <f t="shared" si="379"/>
        <v>1</v>
      </c>
    </row>
    <row r="6075" spans="1:10">
      <c r="A6075" s="74" t="s">
        <v>785</v>
      </c>
      <c r="B6075" s="74" t="s">
        <v>275</v>
      </c>
      <c r="C6075" s="74" t="s">
        <v>1532</v>
      </c>
      <c r="D6075" s="74" t="s">
        <v>80</v>
      </c>
      <c r="E6075" s="74">
        <v>1</v>
      </c>
      <c r="F6075" s="74">
        <v>1.27</v>
      </c>
      <c r="G6075" s="758">
        <f t="shared" si="376"/>
        <v>0</v>
      </c>
      <c r="H6075" s="759">
        <f t="shared" si="377"/>
        <v>0</v>
      </c>
      <c r="I6075" s="758">
        <f t="shared" si="378"/>
        <v>1.27</v>
      </c>
      <c r="J6075" s="760">
        <f t="shared" si="379"/>
        <v>1</v>
      </c>
    </row>
    <row r="6076" spans="1:10">
      <c r="A6076" s="74" t="s">
        <v>785</v>
      </c>
      <c r="B6076" s="74" t="s">
        <v>275</v>
      </c>
      <c r="C6076" s="74" t="s">
        <v>1544</v>
      </c>
      <c r="D6076" s="74" t="s">
        <v>87</v>
      </c>
      <c r="E6076" s="74">
        <v>1</v>
      </c>
      <c r="F6076" s="74">
        <v>1.4</v>
      </c>
      <c r="G6076" s="758">
        <f t="shared" si="376"/>
        <v>0</v>
      </c>
      <c r="H6076" s="759">
        <f t="shared" si="377"/>
        <v>0</v>
      </c>
      <c r="I6076" s="758">
        <f t="shared" si="378"/>
        <v>1.4</v>
      </c>
      <c r="J6076" s="760">
        <f t="shared" si="379"/>
        <v>1</v>
      </c>
    </row>
    <row r="6077" spans="1:10">
      <c r="A6077" s="74" t="s">
        <v>2211</v>
      </c>
      <c r="B6077" s="74" t="s">
        <v>264</v>
      </c>
      <c r="C6077" s="74" t="s">
        <v>1532</v>
      </c>
      <c r="D6077" s="74" t="s">
        <v>80</v>
      </c>
      <c r="E6077" s="74">
        <v>3</v>
      </c>
      <c r="F6077" s="74">
        <v>8.3000000000000007</v>
      </c>
      <c r="G6077" s="758">
        <f t="shared" si="376"/>
        <v>0.28999999999999998</v>
      </c>
      <c r="H6077" s="759">
        <f t="shared" si="377"/>
        <v>0.12</v>
      </c>
      <c r="I6077" s="758">
        <f t="shared" si="378"/>
        <v>2.476666666666667</v>
      </c>
      <c r="J6077" s="760">
        <f t="shared" si="379"/>
        <v>0.89518072289156625</v>
      </c>
    </row>
    <row r="6078" spans="1:10">
      <c r="A6078" s="74" t="s">
        <v>2211</v>
      </c>
      <c r="B6078" s="74" t="s">
        <v>264</v>
      </c>
      <c r="C6078" s="74" t="s">
        <v>1511</v>
      </c>
      <c r="D6078" s="74" t="s">
        <v>80</v>
      </c>
      <c r="E6078" s="74">
        <v>4</v>
      </c>
      <c r="F6078" s="74">
        <v>10.65</v>
      </c>
      <c r="G6078" s="758">
        <f t="shared" si="376"/>
        <v>0.28999999999999998</v>
      </c>
      <c r="H6078" s="759">
        <f t="shared" si="377"/>
        <v>0.12</v>
      </c>
      <c r="I6078" s="758">
        <f t="shared" si="378"/>
        <v>2.3725000000000001</v>
      </c>
      <c r="J6078" s="760">
        <f t="shared" si="379"/>
        <v>0.89107981220657284</v>
      </c>
    </row>
    <row r="6079" spans="1:10">
      <c r="A6079" s="74" t="s">
        <v>2211</v>
      </c>
      <c r="B6079" s="74" t="s">
        <v>264</v>
      </c>
      <c r="C6079" s="74" t="s">
        <v>1512</v>
      </c>
      <c r="D6079" s="74" t="s">
        <v>80</v>
      </c>
      <c r="E6079" s="74">
        <v>6</v>
      </c>
      <c r="F6079" s="74">
        <v>16.100000000000001</v>
      </c>
      <c r="G6079" s="758">
        <f t="shared" si="376"/>
        <v>0.28999999999999998</v>
      </c>
      <c r="H6079" s="759">
        <f t="shared" si="377"/>
        <v>0.12</v>
      </c>
      <c r="I6079" s="758">
        <f t="shared" si="378"/>
        <v>2.3933333333333335</v>
      </c>
      <c r="J6079" s="760">
        <f t="shared" si="379"/>
        <v>0.8919254658385094</v>
      </c>
    </row>
    <row r="6080" spans="1:10">
      <c r="A6080" s="74" t="s">
        <v>2211</v>
      </c>
      <c r="B6080" s="74" t="s">
        <v>264</v>
      </c>
      <c r="C6080" s="74" t="s">
        <v>1534</v>
      </c>
      <c r="D6080" s="74" t="s">
        <v>81</v>
      </c>
      <c r="E6080" s="74">
        <v>7</v>
      </c>
      <c r="F6080" s="74">
        <v>17.8</v>
      </c>
      <c r="G6080" s="758">
        <f t="shared" si="376"/>
        <v>0.28999999999999998</v>
      </c>
      <c r="H6080" s="759">
        <f t="shared" si="377"/>
        <v>0.12</v>
      </c>
      <c r="I6080" s="758">
        <f t="shared" si="378"/>
        <v>2.2528571428571431</v>
      </c>
      <c r="J6080" s="760">
        <f t="shared" si="379"/>
        <v>0.88595505617977532</v>
      </c>
    </row>
    <row r="6081" spans="1:10">
      <c r="A6081" s="74" t="s">
        <v>2211</v>
      </c>
      <c r="B6081" s="74" t="s">
        <v>264</v>
      </c>
      <c r="C6081" s="74" t="s">
        <v>1513</v>
      </c>
      <c r="D6081" s="74" t="s">
        <v>81</v>
      </c>
      <c r="E6081" s="74">
        <v>1</v>
      </c>
      <c r="F6081" s="74">
        <v>2.75</v>
      </c>
      <c r="G6081" s="758">
        <f t="shared" si="376"/>
        <v>0.28999999999999998</v>
      </c>
      <c r="H6081" s="759">
        <f t="shared" si="377"/>
        <v>0.12</v>
      </c>
      <c r="I6081" s="758">
        <f t="shared" si="378"/>
        <v>2.46</v>
      </c>
      <c r="J6081" s="760">
        <f t="shared" si="379"/>
        <v>0.89454545454545453</v>
      </c>
    </row>
    <row r="6082" spans="1:10">
      <c r="A6082" s="74" t="s">
        <v>2211</v>
      </c>
      <c r="B6082" s="74" t="s">
        <v>264</v>
      </c>
      <c r="C6082" s="74" t="s">
        <v>1514</v>
      </c>
      <c r="D6082" s="74" t="s">
        <v>81</v>
      </c>
      <c r="E6082" s="74">
        <v>2</v>
      </c>
      <c r="F6082" s="74">
        <v>5.2</v>
      </c>
      <c r="G6082" s="758">
        <f t="shared" ref="G6082:G6145" si="380">IFERROR(VLOOKUP(A6082,$M$1:$P$1014,2,FALSE),0)</f>
        <v>0.28999999999999998</v>
      </c>
      <c r="H6082" s="759">
        <f t="shared" ref="H6082:H6145" si="381">IFERROR(VLOOKUP(A6082,$M$1:$P$1014,3,FALSE),0)</f>
        <v>0.12</v>
      </c>
      <c r="I6082" s="758">
        <f t="shared" ref="I6082:I6145" si="382">IFERROR(F6082/E6082-G6082,0)</f>
        <v>2.31</v>
      </c>
      <c r="J6082" s="760">
        <f t="shared" ref="J6082:J6145" si="383">IFERROR(1-G6082*E6082/F6082,0)</f>
        <v>0.88846153846153841</v>
      </c>
    </row>
    <row r="6083" spans="1:10">
      <c r="A6083" s="74" t="s">
        <v>2211</v>
      </c>
      <c r="B6083" s="74" t="s">
        <v>264</v>
      </c>
      <c r="C6083" s="74" t="s">
        <v>1515</v>
      </c>
      <c r="D6083" s="74" t="s">
        <v>81</v>
      </c>
      <c r="E6083" s="74">
        <v>4</v>
      </c>
      <c r="F6083" s="74">
        <v>10.55</v>
      </c>
      <c r="G6083" s="758">
        <f t="shared" si="380"/>
        <v>0.28999999999999998</v>
      </c>
      <c r="H6083" s="759">
        <f t="shared" si="381"/>
        <v>0.12</v>
      </c>
      <c r="I6083" s="758">
        <f t="shared" si="382"/>
        <v>2.3475000000000001</v>
      </c>
      <c r="J6083" s="760">
        <f t="shared" si="383"/>
        <v>0.89004739336492888</v>
      </c>
    </row>
    <row r="6084" spans="1:10">
      <c r="A6084" s="74" t="s">
        <v>2211</v>
      </c>
      <c r="B6084" s="74" t="s">
        <v>264</v>
      </c>
      <c r="C6084" s="74" t="s">
        <v>1516</v>
      </c>
      <c r="D6084" s="74" t="s">
        <v>82</v>
      </c>
      <c r="E6084" s="74">
        <v>11</v>
      </c>
      <c r="F6084" s="74">
        <v>54.5</v>
      </c>
      <c r="G6084" s="758">
        <f t="shared" si="380"/>
        <v>0.28999999999999998</v>
      </c>
      <c r="H6084" s="759">
        <f t="shared" si="381"/>
        <v>0.12</v>
      </c>
      <c r="I6084" s="758">
        <f t="shared" si="382"/>
        <v>4.6645454545454541</v>
      </c>
      <c r="J6084" s="760">
        <f t="shared" si="383"/>
        <v>0.94146788990825692</v>
      </c>
    </row>
    <row r="6085" spans="1:10">
      <c r="A6085" s="74" t="s">
        <v>2211</v>
      </c>
      <c r="B6085" s="74" t="s">
        <v>264</v>
      </c>
      <c r="C6085" s="74" t="s">
        <v>1517</v>
      </c>
      <c r="D6085" s="74" t="s">
        <v>82</v>
      </c>
      <c r="E6085" s="74">
        <v>5</v>
      </c>
      <c r="F6085" s="74">
        <v>13.5</v>
      </c>
      <c r="G6085" s="758">
        <f t="shared" si="380"/>
        <v>0.28999999999999998</v>
      </c>
      <c r="H6085" s="759">
        <f t="shared" si="381"/>
        <v>0.12</v>
      </c>
      <c r="I6085" s="758">
        <f t="shared" si="382"/>
        <v>2.41</v>
      </c>
      <c r="J6085" s="760">
        <f t="shared" si="383"/>
        <v>0.8925925925925926</v>
      </c>
    </row>
    <row r="6086" spans="1:10">
      <c r="A6086" s="74" t="s">
        <v>2211</v>
      </c>
      <c r="B6086" s="74" t="s">
        <v>264</v>
      </c>
      <c r="C6086" s="74" t="s">
        <v>1527</v>
      </c>
      <c r="D6086" s="74" t="s">
        <v>82</v>
      </c>
      <c r="E6086" s="74">
        <v>7</v>
      </c>
      <c r="F6086" s="74">
        <v>18.899999999999999</v>
      </c>
      <c r="G6086" s="758">
        <f t="shared" si="380"/>
        <v>0.28999999999999998</v>
      </c>
      <c r="H6086" s="759">
        <f t="shared" si="381"/>
        <v>0.12</v>
      </c>
      <c r="I6086" s="758">
        <f t="shared" si="382"/>
        <v>2.4099999999999997</v>
      </c>
      <c r="J6086" s="760">
        <f t="shared" si="383"/>
        <v>0.8925925925925926</v>
      </c>
    </row>
    <row r="6087" spans="1:10">
      <c r="A6087" s="74" t="s">
        <v>2211</v>
      </c>
      <c r="B6087" s="74" t="s">
        <v>264</v>
      </c>
      <c r="C6087" s="74" t="s">
        <v>1518</v>
      </c>
      <c r="D6087" s="74" t="s">
        <v>82</v>
      </c>
      <c r="E6087" s="74">
        <v>7</v>
      </c>
      <c r="F6087" s="74">
        <v>19.399999999999999</v>
      </c>
      <c r="G6087" s="758">
        <f t="shared" si="380"/>
        <v>0.28999999999999998</v>
      </c>
      <c r="H6087" s="759">
        <f t="shared" si="381"/>
        <v>0.12</v>
      </c>
      <c r="I6087" s="758">
        <f t="shared" si="382"/>
        <v>2.4814285714285713</v>
      </c>
      <c r="J6087" s="760">
        <f t="shared" si="383"/>
        <v>0.89536082474226808</v>
      </c>
    </row>
    <row r="6088" spans="1:10">
      <c r="A6088" s="74" t="s">
        <v>2211</v>
      </c>
      <c r="B6088" s="74" t="s">
        <v>264</v>
      </c>
      <c r="C6088" s="74" t="s">
        <v>1519</v>
      </c>
      <c r="D6088" s="74" t="s">
        <v>84</v>
      </c>
      <c r="E6088" s="74">
        <v>1</v>
      </c>
      <c r="F6088" s="74">
        <v>2.7</v>
      </c>
      <c r="G6088" s="758">
        <f t="shared" si="380"/>
        <v>0.28999999999999998</v>
      </c>
      <c r="H6088" s="759">
        <f t="shared" si="381"/>
        <v>0.12</v>
      </c>
      <c r="I6088" s="758">
        <f t="shared" si="382"/>
        <v>2.41</v>
      </c>
      <c r="J6088" s="760">
        <f t="shared" si="383"/>
        <v>0.8925925925925926</v>
      </c>
    </row>
    <row r="6089" spans="1:10">
      <c r="A6089" s="74" t="s">
        <v>2211</v>
      </c>
      <c r="B6089" s="74" t="s">
        <v>264</v>
      </c>
      <c r="C6089" s="74" t="s">
        <v>1543</v>
      </c>
      <c r="D6089" s="74" t="s">
        <v>87</v>
      </c>
      <c r="E6089" s="74">
        <v>1</v>
      </c>
      <c r="F6089" s="74">
        <v>2.95</v>
      </c>
      <c r="G6089" s="758">
        <f t="shared" si="380"/>
        <v>0.28999999999999998</v>
      </c>
      <c r="H6089" s="759">
        <f t="shared" si="381"/>
        <v>0.12</v>
      </c>
      <c r="I6089" s="758">
        <f t="shared" si="382"/>
        <v>2.66</v>
      </c>
      <c r="J6089" s="760">
        <f t="shared" si="383"/>
        <v>0.90169491525423728</v>
      </c>
    </row>
    <row r="6090" spans="1:10">
      <c r="A6090" s="74" t="s">
        <v>2211</v>
      </c>
      <c r="B6090" s="74" t="s">
        <v>264</v>
      </c>
      <c r="C6090" s="74" t="s">
        <v>1608</v>
      </c>
      <c r="D6090" s="74" t="s">
        <v>89</v>
      </c>
      <c r="E6090" s="74">
        <v>2</v>
      </c>
      <c r="F6090" s="74">
        <v>5.9</v>
      </c>
      <c r="G6090" s="758">
        <f t="shared" si="380"/>
        <v>0.28999999999999998</v>
      </c>
      <c r="H6090" s="759">
        <f t="shared" si="381"/>
        <v>0.12</v>
      </c>
      <c r="I6090" s="758">
        <f t="shared" si="382"/>
        <v>2.66</v>
      </c>
      <c r="J6090" s="760">
        <f t="shared" si="383"/>
        <v>0.90169491525423728</v>
      </c>
    </row>
    <row r="6091" spans="1:10">
      <c r="A6091" s="74" t="s">
        <v>2212</v>
      </c>
      <c r="B6091" s="74" t="s">
        <v>264</v>
      </c>
      <c r="C6091" s="74" t="s">
        <v>1544</v>
      </c>
      <c r="D6091" s="74" t="s">
        <v>87</v>
      </c>
      <c r="E6091" s="74">
        <v>1</v>
      </c>
      <c r="F6091" s="74">
        <v>2.7</v>
      </c>
      <c r="G6091" s="758">
        <f t="shared" si="380"/>
        <v>0</v>
      </c>
      <c r="H6091" s="759">
        <f t="shared" si="381"/>
        <v>0</v>
      </c>
      <c r="I6091" s="758">
        <f t="shared" si="382"/>
        <v>2.7</v>
      </c>
      <c r="J6091" s="760">
        <f t="shared" si="383"/>
        <v>1</v>
      </c>
    </row>
    <row r="6092" spans="1:10">
      <c r="A6092" s="74" t="s">
        <v>2213</v>
      </c>
      <c r="B6092" s="74" t="s">
        <v>873</v>
      </c>
      <c r="C6092" s="74" t="s">
        <v>1547</v>
      </c>
      <c r="D6092" s="74" t="s">
        <v>89</v>
      </c>
      <c r="E6092" s="74">
        <v>11</v>
      </c>
      <c r="F6092" s="74">
        <v>0</v>
      </c>
      <c r="G6092" s="758">
        <f t="shared" si="380"/>
        <v>0</v>
      </c>
      <c r="H6092" s="759">
        <f t="shared" si="381"/>
        <v>0</v>
      </c>
      <c r="I6092" s="758">
        <f t="shared" si="382"/>
        <v>0</v>
      </c>
      <c r="J6092" s="760">
        <f t="shared" si="383"/>
        <v>0</v>
      </c>
    </row>
    <row r="6093" spans="1:10">
      <c r="A6093" s="74" t="s">
        <v>2214</v>
      </c>
      <c r="B6093" s="74" t="s">
        <v>873</v>
      </c>
      <c r="C6093" s="74" t="s">
        <v>1541</v>
      </c>
      <c r="D6093" s="74" t="s">
        <v>86</v>
      </c>
      <c r="E6093" s="74">
        <v>12</v>
      </c>
      <c r="F6093" s="74">
        <v>0</v>
      </c>
      <c r="G6093" s="758">
        <f t="shared" si="380"/>
        <v>0</v>
      </c>
      <c r="H6093" s="759">
        <f t="shared" si="381"/>
        <v>0</v>
      </c>
      <c r="I6093" s="758">
        <f t="shared" si="382"/>
        <v>0</v>
      </c>
      <c r="J6093" s="760">
        <f t="shared" si="383"/>
        <v>0</v>
      </c>
    </row>
    <row r="6094" spans="1:10">
      <c r="A6094" s="74" t="s">
        <v>248</v>
      </c>
      <c r="B6094" s="74" t="s">
        <v>249</v>
      </c>
      <c r="C6094" s="74" t="s">
        <v>1528</v>
      </c>
      <c r="D6094" s="74" t="s">
        <v>78</v>
      </c>
      <c r="E6094" s="74">
        <v>96</v>
      </c>
      <c r="F6094" s="74">
        <v>142.06</v>
      </c>
      <c r="G6094" s="758">
        <f t="shared" si="380"/>
        <v>0.16</v>
      </c>
      <c r="H6094" s="759">
        <f t="shared" si="381"/>
        <v>0.24</v>
      </c>
      <c r="I6094" s="758">
        <f t="shared" si="382"/>
        <v>1.3197916666666667</v>
      </c>
      <c r="J6094" s="760">
        <f t="shared" si="383"/>
        <v>0.8918766718288047</v>
      </c>
    </row>
    <row r="6095" spans="1:10">
      <c r="A6095" s="74" t="s">
        <v>248</v>
      </c>
      <c r="B6095" s="74" t="s">
        <v>249</v>
      </c>
      <c r="C6095" s="74" t="s">
        <v>1508</v>
      </c>
      <c r="D6095" s="74" t="s">
        <v>78</v>
      </c>
      <c r="E6095" s="74">
        <v>124</v>
      </c>
      <c r="F6095" s="74">
        <v>184.63</v>
      </c>
      <c r="G6095" s="758">
        <f t="shared" si="380"/>
        <v>0.16</v>
      </c>
      <c r="H6095" s="759">
        <f t="shared" si="381"/>
        <v>0.24</v>
      </c>
      <c r="I6095" s="758">
        <f t="shared" si="382"/>
        <v>1.3289516129032259</v>
      </c>
      <c r="J6095" s="760">
        <f t="shared" si="383"/>
        <v>0.89254184043763196</v>
      </c>
    </row>
    <row r="6096" spans="1:10">
      <c r="A6096" s="74" t="s">
        <v>248</v>
      </c>
      <c r="B6096" s="74" t="s">
        <v>249</v>
      </c>
      <c r="C6096" s="74" t="s">
        <v>1509</v>
      </c>
      <c r="D6096" s="74" t="s">
        <v>78</v>
      </c>
      <c r="E6096" s="74">
        <v>148.5</v>
      </c>
      <c r="F6096" s="74">
        <v>218.88</v>
      </c>
      <c r="G6096" s="758">
        <f t="shared" si="380"/>
        <v>0.16</v>
      </c>
      <c r="H6096" s="759">
        <f t="shared" si="381"/>
        <v>0.24</v>
      </c>
      <c r="I6096" s="758">
        <f t="shared" si="382"/>
        <v>1.313939393939394</v>
      </c>
      <c r="J6096" s="760">
        <f t="shared" si="383"/>
        <v>0.89144736842105265</v>
      </c>
    </row>
    <row r="6097" spans="1:10">
      <c r="A6097" s="74" t="s">
        <v>248</v>
      </c>
      <c r="B6097" s="74" t="s">
        <v>249</v>
      </c>
      <c r="C6097" s="74" t="s">
        <v>1565</v>
      </c>
      <c r="D6097" s="74" t="s">
        <v>78</v>
      </c>
      <c r="E6097" s="74">
        <v>175</v>
      </c>
      <c r="F6097" s="74">
        <v>257.18</v>
      </c>
      <c r="G6097" s="758">
        <f t="shared" si="380"/>
        <v>0.16</v>
      </c>
      <c r="H6097" s="759">
        <f t="shared" si="381"/>
        <v>0.24</v>
      </c>
      <c r="I6097" s="758">
        <f t="shared" si="382"/>
        <v>1.3096000000000001</v>
      </c>
      <c r="J6097" s="760">
        <f t="shared" si="383"/>
        <v>0.89112683723462172</v>
      </c>
    </row>
    <row r="6098" spans="1:10">
      <c r="A6098" s="74" t="s">
        <v>248</v>
      </c>
      <c r="B6098" s="74" t="s">
        <v>249</v>
      </c>
      <c r="C6098" s="74" t="s">
        <v>1530</v>
      </c>
      <c r="D6098" s="74" t="s">
        <v>80</v>
      </c>
      <c r="E6098" s="74">
        <v>129</v>
      </c>
      <c r="F6098" s="74">
        <v>185.63</v>
      </c>
      <c r="G6098" s="758">
        <f t="shared" si="380"/>
        <v>0.16</v>
      </c>
      <c r="H6098" s="759">
        <f t="shared" si="381"/>
        <v>0.24</v>
      </c>
      <c r="I6098" s="758">
        <f t="shared" si="382"/>
        <v>1.2789922480620155</v>
      </c>
      <c r="J6098" s="760">
        <f t="shared" si="383"/>
        <v>0.88881107579593821</v>
      </c>
    </row>
    <row r="6099" spans="1:10">
      <c r="A6099" s="74" t="s">
        <v>248</v>
      </c>
      <c r="B6099" s="74" t="s">
        <v>249</v>
      </c>
      <c r="C6099" s="74" t="s">
        <v>1532</v>
      </c>
      <c r="D6099" s="74" t="s">
        <v>80</v>
      </c>
      <c r="E6099" s="74">
        <v>199</v>
      </c>
      <c r="F6099" s="74">
        <v>296.31</v>
      </c>
      <c r="G6099" s="758">
        <f t="shared" si="380"/>
        <v>0.16</v>
      </c>
      <c r="H6099" s="759">
        <f t="shared" si="381"/>
        <v>0.24</v>
      </c>
      <c r="I6099" s="758">
        <f t="shared" si="382"/>
        <v>1.3289949748743719</v>
      </c>
      <c r="J6099" s="760">
        <f t="shared" si="383"/>
        <v>0.89254496979514697</v>
      </c>
    </row>
    <row r="6100" spans="1:10">
      <c r="A6100" s="74" t="s">
        <v>248</v>
      </c>
      <c r="B6100" s="74" t="s">
        <v>249</v>
      </c>
      <c r="C6100" s="74" t="s">
        <v>1511</v>
      </c>
      <c r="D6100" s="74" t="s">
        <v>80</v>
      </c>
      <c r="E6100" s="74">
        <v>202</v>
      </c>
      <c r="F6100" s="74">
        <v>301.05</v>
      </c>
      <c r="G6100" s="758">
        <f t="shared" si="380"/>
        <v>0.16</v>
      </c>
      <c r="H6100" s="759">
        <f t="shared" si="381"/>
        <v>0.24</v>
      </c>
      <c r="I6100" s="758">
        <f t="shared" si="382"/>
        <v>1.3303465346534655</v>
      </c>
      <c r="J6100" s="760">
        <f t="shared" si="383"/>
        <v>0.89264241820295631</v>
      </c>
    </row>
    <row r="6101" spans="1:10">
      <c r="A6101" s="74" t="s">
        <v>248</v>
      </c>
      <c r="B6101" s="74" t="s">
        <v>249</v>
      </c>
      <c r="C6101" s="74" t="s">
        <v>1512</v>
      </c>
      <c r="D6101" s="74" t="s">
        <v>80</v>
      </c>
      <c r="E6101" s="74">
        <v>185</v>
      </c>
      <c r="F6101" s="74">
        <v>282.95</v>
      </c>
      <c r="G6101" s="758">
        <f t="shared" si="380"/>
        <v>0.16</v>
      </c>
      <c r="H6101" s="759">
        <f t="shared" si="381"/>
        <v>0.24</v>
      </c>
      <c r="I6101" s="758">
        <f t="shared" si="382"/>
        <v>1.3694594594594596</v>
      </c>
      <c r="J6101" s="760">
        <f t="shared" si="383"/>
        <v>0.89538787771691108</v>
      </c>
    </row>
    <row r="6102" spans="1:10">
      <c r="A6102" s="74" t="s">
        <v>248</v>
      </c>
      <c r="B6102" s="74" t="s">
        <v>249</v>
      </c>
      <c r="C6102" s="74" t="s">
        <v>1534</v>
      </c>
      <c r="D6102" s="74" t="s">
        <v>81</v>
      </c>
      <c r="E6102" s="74">
        <v>129</v>
      </c>
      <c r="F6102" s="74">
        <v>204.2</v>
      </c>
      <c r="G6102" s="758">
        <f t="shared" si="380"/>
        <v>0.16</v>
      </c>
      <c r="H6102" s="759">
        <f t="shared" si="381"/>
        <v>0.24</v>
      </c>
      <c r="I6102" s="758">
        <f t="shared" si="382"/>
        <v>1.4229457364341085</v>
      </c>
      <c r="J6102" s="760">
        <f t="shared" si="383"/>
        <v>0.89892262487757102</v>
      </c>
    </row>
    <row r="6103" spans="1:10">
      <c r="A6103" s="74" t="s">
        <v>248</v>
      </c>
      <c r="B6103" s="74" t="s">
        <v>249</v>
      </c>
      <c r="C6103" s="74" t="s">
        <v>1513</v>
      </c>
      <c r="D6103" s="74" t="s">
        <v>81</v>
      </c>
      <c r="E6103" s="74">
        <v>205</v>
      </c>
      <c r="F6103" s="74">
        <v>346.12</v>
      </c>
      <c r="G6103" s="758">
        <f t="shared" si="380"/>
        <v>0.16</v>
      </c>
      <c r="H6103" s="759">
        <f t="shared" si="381"/>
        <v>0.24</v>
      </c>
      <c r="I6103" s="758">
        <f t="shared" si="382"/>
        <v>1.528390243902439</v>
      </c>
      <c r="J6103" s="760">
        <f t="shared" si="383"/>
        <v>0.90523517855079161</v>
      </c>
    </row>
    <row r="6104" spans="1:10">
      <c r="A6104" s="74" t="s">
        <v>248</v>
      </c>
      <c r="B6104" s="74" t="s">
        <v>249</v>
      </c>
      <c r="C6104" s="74" t="s">
        <v>1514</v>
      </c>
      <c r="D6104" s="74" t="s">
        <v>81</v>
      </c>
      <c r="E6104" s="74">
        <v>144</v>
      </c>
      <c r="F6104" s="74">
        <v>230.69</v>
      </c>
      <c r="G6104" s="758">
        <f t="shared" si="380"/>
        <v>0.16</v>
      </c>
      <c r="H6104" s="759">
        <f t="shared" si="381"/>
        <v>0.24</v>
      </c>
      <c r="I6104" s="758">
        <f t="shared" si="382"/>
        <v>1.4420138888888889</v>
      </c>
      <c r="J6104" s="760">
        <f t="shared" si="383"/>
        <v>0.90012570982704065</v>
      </c>
    </row>
    <row r="6105" spans="1:10">
      <c r="A6105" s="74" t="s">
        <v>248</v>
      </c>
      <c r="B6105" s="74" t="s">
        <v>249</v>
      </c>
      <c r="C6105" s="74" t="s">
        <v>1515</v>
      </c>
      <c r="D6105" s="74" t="s">
        <v>81</v>
      </c>
      <c r="E6105" s="74">
        <v>137</v>
      </c>
      <c r="F6105" s="74">
        <v>499.07</v>
      </c>
      <c r="G6105" s="758">
        <f t="shared" si="380"/>
        <v>0.16</v>
      </c>
      <c r="H6105" s="759">
        <f t="shared" si="381"/>
        <v>0.24</v>
      </c>
      <c r="I6105" s="758">
        <f t="shared" si="382"/>
        <v>3.482846715328467</v>
      </c>
      <c r="J6105" s="760">
        <f t="shared" si="383"/>
        <v>0.95607830564850627</v>
      </c>
    </row>
    <row r="6106" spans="1:10">
      <c r="A6106" s="74" t="s">
        <v>248</v>
      </c>
      <c r="B6106" s="74" t="s">
        <v>249</v>
      </c>
      <c r="C6106" s="74" t="s">
        <v>1516</v>
      </c>
      <c r="D6106" s="74" t="s">
        <v>82</v>
      </c>
      <c r="E6106" s="74">
        <v>64</v>
      </c>
      <c r="F6106" s="74">
        <v>259.64999999999998</v>
      </c>
      <c r="G6106" s="758">
        <f t="shared" si="380"/>
        <v>0.16</v>
      </c>
      <c r="H6106" s="759">
        <f t="shared" si="381"/>
        <v>0.24</v>
      </c>
      <c r="I6106" s="758">
        <f t="shared" si="382"/>
        <v>3.8970312499999995</v>
      </c>
      <c r="J6106" s="760">
        <f t="shared" si="383"/>
        <v>0.9605622953976507</v>
      </c>
    </row>
    <row r="6107" spans="1:10">
      <c r="A6107" s="74" t="s">
        <v>248</v>
      </c>
      <c r="B6107" s="74" t="s">
        <v>249</v>
      </c>
      <c r="C6107" s="74" t="s">
        <v>1517</v>
      </c>
      <c r="D6107" s="74" t="s">
        <v>82</v>
      </c>
      <c r="E6107" s="74">
        <v>78</v>
      </c>
      <c r="F6107" s="74">
        <v>125.5</v>
      </c>
      <c r="G6107" s="758">
        <f t="shared" si="380"/>
        <v>0.16</v>
      </c>
      <c r="H6107" s="759">
        <f t="shared" si="381"/>
        <v>0.24</v>
      </c>
      <c r="I6107" s="758">
        <f t="shared" si="382"/>
        <v>1.4489743589743591</v>
      </c>
      <c r="J6107" s="760">
        <f t="shared" si="383"/>
        <v>0.90055776892430273</v>
      </c>
    </row>
    <row r="6108" spans="1:10">
      <c r="A6108" s="74" t="s">
        <v>248</v>
      </c>
      <c r="B6108" s="74" t="s">
        <v>249</v>
      </c>
      <c r="C6108" s="74" t="s">
        <v>1527</v>
      </c>
      <c r="D6108" s="74" t="s">
        <v>82</v>
      </c>
      <c r="E6108" s="74">
        <v>92</v>
      </c>
      <c r="F6108" s="74">
        <v>145.05000000000001</v>
      </c>
      <c r="G6108" s="758">
        <f t="shared" si="380"/>
        <v>0.16</v>
      </c>
      <c r="H6108" s="759">
        <f t="shared" si="381"/>
        <v>0.24</v>
      </c>
      <c r="I6108" s="758">
        <f t="shared" si="382"/>
        <v>1.4166304347826089</v>
      </c>
      <c r="J6108" s="760">
        <f t="shared" si="383"/>
        <v>0.89851775249913823</v>
      </c>
    </row>
    <row r="6109" spans="1:10">
      <c r="A6109" s="74" t="s">
        <v>248</v>
      </c>
      <c r="B6109" s="74" t="s">
        <v>249</v>
      </c>
      <c r="C6109" s="74" t="s">
        <v>1518</v>
      </c>
      <c r="D6109" s="74" t="s">
        <v>82</v>
      </c>
      <c r="E6109" s="74">
        <v>94</v>
      </c>
      <c r="F6109" s="74">
        <v>176.7</v>
      </c>
      <c r="G6109" s="758">
        <f t="shared" si="380"/>
        <v>0.16</v>
      </c>
      <c r="H6109" s="759">
        <f t="shared" si="381"/>
        <v>0.24</v>
      </c>
      <c r="I6109" s="758">
        <f t="shared" si="382"/>
        <v>1.7197872340425531</v>
      </c>
      <c r="J6109" s="760">
        <f t="shared" si="383"/>
        <v>0.91488398415393324</v>
      </c>
    </row>
    <row r="6110" spans="1:10">
      <c r="A6110" s="74" t="s">
        <v>248</v>
      </c>
      <c r="B6110" s="74" t="s">
        <v>249</v>
      </c>
      <c r="C6110" s="74" t="s">
        <v>1519</v>
      </c>
      <c r="D6110" s="74" t="s">
        <v>84</v>
      </c>
      <c r="E6110" s="74">
        <v>46</v>
      </c>
      <c r="F6110" s="74">
        <v>70.650000000000006</v>
      </c>
      <c r="G6110" s="758">
        <f t="shared" si="380"/>
        <v>0.16</v>
      </c>
      <c r="H6110" s="759">
        <f t="shared" si="381"/>
        <v>0.24</v>
      </c>
      <c r="I6110" s="758">
        <f t="shared" si="382"/>
        <v>1.3758695652173916</v>
      </c>
      <c r="J6110" s="760">
        <f t="shared" si="383"/>
        <v>0.89582448690728944</v>
      </c>
    </row>
    <row r="6111" spans="1:10">
      <c r="A6111" s="74" t="s">
        <v>248</v>
      </c>
      <c r="B6111" s="74" t="s">
        <v>249</v>
      </c>
      <c r="C6111" s="74" t="s">
        <v>1540</v>
      </c>
      <c r="D6111" s="74" t="s">
        <v>84</v>
      </c>
      <c r="E6111" s="74">
        <v>20</v>
      </c>
      <c r="F6111" s="74">
        <v>30.3</v>
      </c>
      <c r="G6111" s="758">
        <f t="shared" si="380"/>
        <v>0.16</v>
      </c>
      <c r="H6111" s="759">
        <f t="shared" si="381"/>
        <v>0.24</v>
      </c>
      <c r="I6111" s="758">
        <f t="shared" si="382"/>
        <v>1.3550000000000002</v>
      </c>
      <c r="J6111" s="760">
        <f t="shared" si="383"/>
        <v>0.89438943894389444</v>
      </c>
    </row>
    <row r="6112" spans="1:10">
      <c r="A6112" s="74" t="s">
        <v>248</v>
      </c>
      <c r="B6112" s="74" t="s">
        <v>249</v>
      </c>
      <c r="C6112" s="74" t="s">
        <v>1520</v>
      </c>
      <c r="D6112" s="74" t="s">
        <v>84</v>
      </c>
      <c r="E6112" s="74">
        <v>42</v>
      </c>
      <c r="F6112" s="74">
        <v>62.7</v>
      </c>
      <c r="G6112" s="758">
        <f t="shared" si="380"/>
        <v>0.16</v>
      </c>
      <c r="H6112" s="759">
        <f t="shared" si="381"/>
        <v>0.24</v>
      </c>
      <c r="I6112" s="758">
        <f t="shared" si="382"/>
        <v>1.332857142857143</v>
      </c>
      <c r="J6112" s="760">
        <f t="shared" si="383"/>
        <v>0.89282296650717707</v>
      </c>
    </row>
    <row r="6113" spans="1:10">
      <c r="A6113" s="74" t="s">
        <v>248</v>
      </c>
      <c r="B6113" s="74" t="s">
        <v>249</v>
      </c>
      <c r="C6113" s="74" t="s">
        <v>1577</v>
      </c>
      <c r="D6113" s="74" t="s">
        <v>84</v>
      </c>
      <c r="E6113" s="74">
        <v>29</v>
      </c>
      <c r="F6113" s="74">
        <v>43.65</v>
      </c>
      <c r="G6113" s="758">
        <f t="shared" si="380"/>
        <v>0.16</v>
      </c>
      <c r="H6113" s="759">
        <f t="shared" si="381"/>
        <v>0.24</v>
      </c>
      <c r="I6113" s="758">
        <f t="shared" si="382"/>
        <v>1.3451724137931034</v>
      </c>
      <c r="J6113" s="760">
        <f t="shared" si="383"/>
        <v>0.89369988545246282</v>
      </c>
    </row>
    <row r="6114" spans="1:10">
      <c r="A6114" s="74" t="s">
        <v>248</v>
      </c>
      <c r="B6114" s="74" t="s">
        <v>249</v>
      </c>
      <c r="C6114" s="74" t="s">
        <v>1507</v>
      </c>
      <c r="D6114" s="74" t="s">
        <v>86</v>
      </c>
      <c r="E6114" s="74">
        <v>43</v>
      </c>
      <c r="F6114" s="74">
        <v>65.849999999999994</v>
      </c>
      <c r="G6114" s="758">
        <f t="shared" si="380"/>
        <v>0.16</v>
      </c>
      <c r="H6114" s="759">
        <f t="shared" si="381"/>
        <v>0.24</v>
      </c>
      <c r="I6114" s="758">
        <f t="shared" si="382"/>
        <v>1.3713953488372093</v>
      </c>
      <c r="J6114" s="760">
        <f t="shared" si="383"/>
        <v>0.89552012148823079</v>
      </c>
    </row>
    <row r="6115" spans="1:10">
      <c r="A6115" s="74" t="s">
        <v>248</v>
      </c>
      <c r="B6115" s="74" t="s">
        <v>249</v>
      </c>
      <c r="C6115" s="74" t="s">
        <v>1644</v>
      </c>
      <c r="D6115" s="74" t="s">
        <v>86</v>
      </c>
      <c r="E6115" s="74">
        <v>34</v>
      </c>
      <c r="F6115" s="74">
        <v>50.25</v>
      </c>
      <c r="G6115" s="758">
        <f t="shared" si="380"/>
        <v>0.16</v>
      </c>
      <c r="H6115" s="759">
        <f t="shared" si="381"/>
        <v>0.24</v>
      </c>
      <c r="I6115" s="758">
        <f t="shared" si="382"/>
        <v>1.3179411764705884</v>
      </c>
      <c r="J6115" s="760">
        <f t="shared" si="383"/>
        <v>0.89174129353233833</v>
      </c>
    </row>
    <row r="6116" spans="1:10">
      <c r="A6116" s="74" t="s">
        <v>248</v>
      </c>
      <c r="B6116" s="74" t="s">
        <v>249</v>
      </c>
      <c r="C6116" s="74" t="s">
        <v>1578</v>
      </c>
      <c r="D6116" s="74" t="s">
        <v>86</v>
      </c>
      <c r="E6116" s="74">
        <v>19</v>
      </c>
      <c r="F6116" s="74">
        <v>25.05</v>
      </c>
      <c r="G6116" s="758">
        <f t="shared" si="380"/>
        <v>0.16</v>
      </c>
      <c r="H6116" s="759">
        <f t="shared" si="381"/>
        <v>0.24</v>
      </c>
      <c r="I6116" s="758">
        <f t="shared" si="382"/>
        <v>1.158421052631579</v>
      </c>
      <c r="J6116" s="760">
        <f t="shared" si="383"/>
        <v>0.8786427145708583</v>
      </c>
    </row>
    <row r="6117" spans="1:10">
      <c r="A6117" s="74" t="s">
        <v>248</v>
      </c>
      <c r="B6117" s="74" t="s">
        <v>249</v>
      </c>
      <c r="C6117" s="74" t="s">
        <v>1646</v>
      </c>
      <c r="D6117" s="74" t="s">
        <v>86</v>
      </c>
      <c r="E6117" s="74">
        <v>27</v>
      </c>
      <c r="F6117" s="74">
        <v>41.4</v>
      </c>
      <c r="G6117" s="758">
        <f t="shared" si="380"/>
        <v>0.16</v>
      </c>
      <c r="H6117" s="759">
        <f t="shared" si="381"/>
        <v>0.24</v>
      </c>
      <c r="I6117" s="758">
        <f t="shared" si="382"/>
        <v>1.3733333333333333</v>
      </c>
      <c r="J6117" s="760">
        <f t="shared" si="383"/>
        <v>0.89565217391304341</v>
      </c>
    </row>
    <row r="6118" spans="1:10">
      <c r="A6118" s="74" t="s">
        <v>248</v>
      </c>
      <c r="B6118" s="74" t="s">
        <v>249</v>
      </c>
      <c r="C6118" s="74" t="s">
        <v>1541</v>
      </c>
      <c r="D6118" s="74" t="s">
        <v>86</v>
      </c>
      <c r="E6118" s="74">
        <v>40</v>
      </c>
      <c r="F6118" s="74">
        <v>61.35</v>
      </c>
      <c r="G6118" s="758">
        <f t="shared" si="380"/>
        <v>0.16</v>
      </c>
      <c r="H6118" s="759">
        <f t="shared" si="381"/>
        <v>0.24</v>
      </c>
      <c r="I6118" s="758">
        <f t="shared" si="382"/>
        <v>1.37375</v>
      </c>
      <c r="J6118" s="760">
        <f t="shared" si="383"/>
        <v>0.89568052159739198</v>
      </c>
    </row>
    <row r="6119" spans="1:10">
      <c r="A6119" s="74" t="s">
        <v>248</v>
      </c>
      <c r="B6119" s="74" t="s">
        <v>249</v>
      </c>
      <c r="C6119" s="74" t="s">
        <v>1543</v>
      </c>
      <c r="D6119" s="74" t="s">
        <v>87</v>
      </c>
      <c r="E6119" s="74">
        <v>38</v>
      </c>
      <c r="F6119" s="74">
        <v>54</v>
      </c>
      <c r="G6119" s="758">
        <f t="shared" si="380"/>
        <v>0.16</v>
      </c>
      <c r="H6119" s="759">
        <f t="shared" si="381"/>
        <v>0.24</v>
      </c>
      <c r="I6119" s="758">
        <f t="shared" si="382"/>
        <v>1.2610526315789474</v>
      </c>
      <c r="J6119" s="760">
        <f t="shared" si="383"/>
        <v>0.88740740740740742</v>
      </c>
    </row>
    <row r="6120" spans="1:10">
      <c r="A6120" s="74" t="s">
        <v>248</v>
      </c>
      <c r="B6120" s="74" t="s">
        <v>249</v>
      </c>
      <c r="C6120" s="74" t="s">
        <v>1544</v>
      </c>
      <c r="D6120" s="74" t="s">
        <v>87</v>
      </c>
      <c r="E6120" s="74">
        <v>38</v>
      </c>
      <c r="F6120" s="74">
        <v>57.75</v>
      </c>
      <c r="G6120" s="758">
        <f t="shared" si="380"/>
        <v>0.16</v>
      </c>
      <c r="H6120" s="759">
        <f t="shared" si="381"/>
        <v>0.24</v>
      </c>
      <c r="I6120" s="758">
        <f t="shared" si="382"/>
        <v>1.3597368421052631</v>
      </c>
      <c r="J6120" s="760">
        <f t="shared" si="383"/>
        <v>0.89471861471861469</v>
      </c>
    </row>
    <row r="6121" spans="1:10">
      <c r="A6121" s="74" t="s">
        <v>248</v>
      </c>
      <c r="B6121" s="74" t="s">
        <v>249</v>
      </c>
      <c r="C6121" s="74" t="s">
        <v>1605</v>
      </c>
      <c r="D6121" s="74" t="s">
        <v>87</v>
      </c>
      <c r="E6121" s="74">
        <v>29</v>
      </c>
      <c r="F6121" s="74">
        <v>43.5</v>
      </c>
      <c r="G6121" s="758">
        <f t="shared" si="380"/>
        <v>0.16</v>
      </c>
      <c r="H6121" s="759">
        <f t="shared" si="381"/>
        <v>0.24</v>
      </c>
      <c r="I6121" s="758">
        <f t="shared" si="382"/>
        <v>1.34</v>
      </c>
      <c r="J6121" s="760">
        <f t="shared" si="383"/>
        <v>0.89333333333333331</v>
      </c>
    </row>
    <row r="6122" spans="1:10">
      <c r="A6122" s="74" t="s">
        <v>248</v>
      </c>
      <c r="B6122" s="74" t="s">
        <v>249</v>
      </c>
      <c r="C6122" s="74" t="s">
        <v>1561</v>
      </c>
      <c r="D6122" s="74" t="s">
        <v>87</v>
      </c>
      <c r="E6122" s="74">
        <v>33</v>
      </c>
      <c r="F6122" s="74">
        <v>49.65</v>
      </c>
      <c r="G6122" s="758">
        <f t="shared" si="380"/>
        <v>0.16</v>
      </c>
      <c r="H6122" s="759">
        <f t="shared" si="381"/>
        <v>0.24</v>
      </c>
      <c r="I6122" s="758">
        <f t="shared" si="382"/>
        <v>1.3445454545454545</v>
      </c>
      <c r="J6122" s="760">
        <f t="shared" si="383"/>
        <v>0.89365558912386711</v>
      </c>
    </row>
    <row r="6123" spans="1:10">
      <c r="A6123" s="74" t="s">
        <v>248</v>
      </c>
      <c r="B6123" s="74" t="s">
        <v>249</v>
      </c>
      <c r="C6123" s="74" t="s">
        <v>1608</v>
      </c>
      <c r="D6123" s="74" t="s">
        <v>89</v>
      </c>
      <c r="E6123" s="74">
        <v>24</v>
      </c>
      <c r="F6123" s="74">
        <v>37.35</v>
      </c>
      <c r="G6123" s="758">
        <f t="shared" si="380"/>
        <v>0.16</v>
      </c>
      <c r="H6123" s="759">
        <f t="shared" si="381"/>
        <v>0.24</v>
      </c>
      <c r="I6123" s="758">
        <f t="shared" si="382"/>
        <v>1.3962500000000002</v>
      </c>
      <c r="J6123" s="760">
        <f t="shared" si="383"/>
        <v>0.89718875502008033</v>
      </c>
    </row>
    <row r="6124" spans="1:10">
      <c r="A6124" s="74" t="s">
        <v>248</v>
      </c>
      <c r="B6124" s="74" t="s">
        <v>249</v>
      </c>
      <c r="C6124" s="74" t="s">
        <v>1610</v>
      </c>
      <c r="D6124" s="74" t="s">
        <v>89</v>
      </c>
      <c r="E6124" s="74">
        <v>38</v>
      </c>
      <c r="F6124" s="74">
        <v>55.05</v>
      </c>
      <c r="G6124" s="758">
        <f t="shared" si="380"/>
        <v>0.16</v>
      </c>
      <c r="H6124" s="759">
        <f t="shared" si="381"/>
        <v>0.24</v>
      </c>
      <c r="I6124" s="758">
        <f t="shared" si="382"/>
        <v>1.2886842105263159</v>
      </c>
      <c r="J6124" s="760">
        <f t="shared" si="383"/>
        <v>0.8895549500454133</v>
      </c>
    </row>
    <row r="6125" spans="1:10">
      <c r="A6125" s="74" t="s">
        <v>248</v>
      </c>
      <c r="B6125" s="74" t="s">
        <v>249</v>
      </c>
      <c r="C6125" s="74" t="s">
        <v>1546</v>
      </c>
      <c r="D6125" s="74" t="s">
        <v>89</v>
      </c>
      <c r="E6125" s="74">
        <v>32</v>
      </c>
      <c r="F6125" s="74">
        <v>48.15</v>
      </c>
      <c r="G6125" s="758">
        <f t="shared" si="380"/>
        <v>0.16</v>
      </c>
      <c r="H6125" s="759">
        <f t="shared" si="381"/>
        <v>0.24</v>
      </c>
      <c r="I6125" s="758">
        <f t="shared" si="382"/>
        <v>1.3446875</v>
      </c>
      <c r="J6125" s="760">
        <f t="shared" si="383"/>
        <v>0.89366562824506746</v>
      </c>
    </row>
    <row r="6126" spans="1:10">
      <c r="A6126" s="74" t="s">
        <v>248</v>
      </c>
      <c r="B6126" s="74" t="s">
        <v>249</v>
      </c>
      <c r="C6126" s="74" t="s">
        <v>1547</v>
      </c>
      <c r="D6126" s="74" t="s">
        <v>89</v>
      </c>
      <c r="E6126" s="74">
        <v>34</v>
      </c>
      <c r="F6126" s="74">
        <v>51.3</v>
      </c>
      <c r="G6126" s="758">
        <f t="shared" si="380"/>
        <v>0.16</v>
      </c>
      <c r="H6126" s="759">
        <f t="shared" si="381"/>
        <v>0.24</v>
      </c>
      <c r="I6126" s="758">
        <f t="shared" si="382"/>
        <v>1.3488235294117648</v>
      </c>
      <c r="J6126" s="760">
        <f t="shared" si="383"/>
        <v>0.89395711500974662</v>
      </c>
    </row>
    <row r="6127" spans="1:10">
      <c r="A6127" s="74" t="s">
        <v>248</v>
      </c>
      <c r="B6127" s="74" t="s">
        <v>249</v>
      </c>
      <c r="C6127" s="74" t="s">
        <v>1582</v>
      </c>
      <c r="D6127" s="74" t="s">
        <v>89</v>
      </c>
      <c r="E6127" s="74">
        <v>38</v>
      </c>
      <c r="F6127" s="74">
        <v>56.1</v>
      </c>
      <c r="G6127" s="758">
        <f t="shared" si="380"/>
        <v>0.16</v>
      </c>
      <c r="H6127" s="759">
        <f t="shared" si="381"/>
        <v>0.24</v>
      </c>
      <c r="I6127" s="758">
        <f t="shared" si="382"/>
        <v>1.3163157894736843</v>
      </c>
      <c r="J6127" s="760">
        <f t="shared" si="383"/>
        <v>0.89162210338680925</v>
      </c>
    </row>
    <row r="6128" spans="1:10">
      <c r="A6128" s="74" t="s">
        <v>248</v>
      </c>
      <c r="B6128" s="74" t="s">
        <v>249</v>
      </c>
      <c r="C6128" s="74" t="s">
        <v>1522</v>
      </c>
      <c r="D6128" s="74" t="s">
        <v>91</v>
      </c>
      <c r="E6128" s="74">
        <v>36</v>
      </c>
      <c r="F6128" s="74">
        <v>52.2</v>
      </c>
      <c r="G6128" s="758">
        <f t="shared" si="380"/>
        <v>0.16</v>
      </c>
      <c r="H6128" s="759">
        <f t="shared" si="381"/>
        <v>0.24</v>
      </c>
      <c r="I6128" s="758">
        <f t="shared" si="382"/>
        <v>1.2900000000000003</v>
      </c>
      <c r="J6128" s="760">
        <f t="shared" si="383"/>
        <v>0.8896551724137931</v>
      </c>
    </row>
    <row r="6129" spans="1:10">
      <c r="A6129" s="74" t="s">
        <v>248</v>
      </c>
      <c r="B6129" s="74" t="s">
        <v>249</v>
      </c>
      <c r="C6129" s="74" t="s">
        <v>1550</v>
      </c>
      <c r="D6129" s="74" t="s">
        <v>91</v>
      </c>
      <c r="E6129" s="74">
        <v>26</v>
      </c>
      <c r="F6129" s="74">
        <v>36</v>
      </c>
      <c r="G6129" s="758">
        <f t="shared" si="380"/>
        <v>0.16</v>
      </c>
      <c r="H6129" s="759">
        <f t="shared" si="381"/>
        <v>0.24</v>
      </c>
      <c r="I6129" s="758">
        <f t="shared" si="382"/>
        <v>1.2246153846153847</v>
      </c>
      <c r="J6129" s="760">
        <f t="shared" si="383"/>
        <v>0.88444444444444448</v>
      </c>
    </row>
    <row r="6130" spans="1:10">
      <c r="A6130" s="74" t="s">
        <v>248</v>
      </c>
      <c r="B6130" s="74" t="s">
        <v>249</v>
      </c>
      <c r="C6130" s="74" t="s">
        <v>1675</v>
      </c>
      <c r="D6130" s="74" t="s">
        <v>91</v>
      </c>
      <c r="E6130" s="74">
        <v>44</v>
      </c>
      <c r="F6130" s="74">
        <v>67.3</v>
      </c>
      <c r="G6130" s="758">
        <f t="shared" si="380"/>
        <v>0.16</v>
      </c>
      <c r="H6130" s="759">
        <f t="shared" si="381"/>
        <v>0.24</v>
      </c>
      <c r="I6130" s="758">
        <f t="shared" si="382"/>
        <v>1.3695454545454546</v>
      </c>
      <c r="J6130" s="760">
        <f t="shared" si="383"/>
        <v>0.89539375928677567</v>
      </c>
    </row>
    <row r="6131" spans="1:10">
      <c r="A6131" s="74" t="s">
        <v>248</v>
      </c>
      <c r="B6131" s="74" t="s">
        <v>249</v>
      </c>
      <c r="C6131" s="74" t="s">
        <v>1524</v>
      </c>
      <c r="D6131" s="74" t="s">
        <v>91</v>
      </c>
      <c r="E6131" s="74">
        <v>45</v>
      </c>
      <c r="F6131" s="74">
        <v>62.85</v>
      </c>
      <c r="G6131" s="758">
        <f t="shared" si="380"/>
        <v>0.16</v>
      </c>
      <c r="H6131" s="759">
        <f t="shared" si="381"/>
        <v>0.24</v>
      </c>
      <c r="I6131" s="758">
        <f t="shared" si="382"/>
        <v>1.2366666666666668</v>
      </c>
      <c r="J6131" s="760">
        <f t="shared" si="383"/>
        <v>0.88544152744630067</v>
      </c>
    </row>
    <row r="6132" spans="1:10">
      <c r="A6132" s="74" t="s">
        <v>248</v>
      </c>
      <c r="B6132" s="74" t="s">
        <v>249</v>
      </c>
      <c r="C6132" s="74" t="s">
        <v>1584</v>
      </c>
      <c r="D6132" s="74" t="s">
        <v>92</v>
      </c>
      <c r="E6132" s="74">
        <v>49</v>
      </c>
      <c r="F6132" s="74">
        <v>73.349999999999994</v>
      </c>
      <c r="G6132" s="758">
        <f t="shared" si="380"/>
        <v>0.16</v>
      </c>
      <c r="H6132" s="759">
        <f t="shared" si="381"/>
        <v>0.24</v>
      </c>
      <c r="I6132" s="758">
        <f t="shared" si="382"/>
        <v>1.336938775510204</v>
      </c>
      <c r="J6132" s="760">
        <f t="shared" si="383"/>
        <v>0.89311520109066123</v>
      </c>
    </row>
    <row r="6133" spans="1:10">
      <c r="A6133" s="74" t="s">
        <v>248</v>
      </c>
      <c r="B6133" s="74" t="s">
        <v>249</v>
      </c>
      <c r="C6133" s="74" t="s">
        <v>1614</v>
      </c>
      <c r="D6133" s="74" t="s">
        <v>92</v>
      </c>
      <c r="E6133" s="74">
        <v>62</v>
      </c>
      <c r="F6133" s="74">
        <v>91.95</v>
      </c>
      <c r="G6133" s="758">
        <f t="shared" si="380"/>
        <v>0.16</v>
      </c>
      <c r="H6133" s="759">
        <f t="shared" si="381"/>
        <v>0.24</v>
      </c>
      <c r="I6133" s="758">
        <f t="shared" si="382"/>
        <v>1.3230645161290324</v>
      </c>
      <c r="J6133" s="760">
        <f t="shared" si="383"/>
        <v>0.89211528004350193</v>
      </c>
    </row>
    <row r="6134" spans="1:10">
      <c r="A6134" s="74" t="s">
        <v>248</v>
      </c>
      <c r="B6134" s="74" t="s">
        <v>249</v>
      </c>
      <c r="C6134" s="74" t="s">
        <v>1631</v>
      </c>
      <c r="D6134" s="74" t="s">
        <v>92</v>
      </c>
      <c r="E6134" s="74">
        <v>55</v>
      </c>
      <c r="F6134" s="74">
        <v>78.150000000000006</v>
      </c>
      <c r="G6134" s="758">
        <f t="shared" si="380"/>
        <v>0.16</v>
      </c>
      <c r="H6134" s="759">
        <f t="shared" si="381"/>
        <v>0.24</v>
      </c>
      <c r="I6134" s="758">
        <f t="shared" si="382"/>
        <v>1.2609090909090912</v>
      </c>
      <c r="J6134" s="760">
        <f t="shared" si="383"/>
        <v>0.88739603326935379</v>
      </c>
    </row>
    <row r="6135" spans="1:10">
      <c r="A6135" s="74" t="s">
        <v>248</v>
      </c>
      <c r="B6135" s="74" t="s">
        <v>249</v>
      </c>
      <c r="C6135" s="74" t="s">
        <v>1552</v>
      </c>
      <c r="D6135" s="74" t="s">
        <v>92</v>
      </c>
      <c r="E6135" s="74">
        <v>43</v>
      </c>
      <c r="F6135" s="74">
        <v>61.95</v>
      </c>
      <c r="G6135" s="758">
        <f t="shared" si="380"/>
        <v>0.16</v>
      </c>
      <c r="H6135" s="759">
        <f t="shared" si="381"/>
        <v>0.24</v>
      </c>
      <c r="I6135" s="758">
        <f t="shared" si="382"/>
        <v>1.2806976744186047</v>
      </c>
      <c r="J6135" s="760">
        <f t="shared" si="383"/>
        <v>0.88894269572235673</v>
      </c>
    </row>
    <row r="6136" spans="1:10">
      <c r="A6136" s="74" t="s">
        <v>248</v>
      </c>
      <c r="B6136" s="74" t="s">
        <v>249</v>
      </c>
      <c r="C6136" s="74" t="s">
        <v>1617</v>
      </c>
      <c r="D6136" s="74" t="s">
        <v>94</v>
      </c>
      <c r="E6136" s="74">
        <v>40</v>
      </c>
      <c r="F6136" s="74">
        <v>58.5</v>
      </c>
      <c r="G6136" s="758">
        <f t="shared" si="380"/>
        <v>0.16</v>
      </c>
      <c r="H6136" s="759">
        <f t="shared" si="381"/>
        <v>0.24</v>
      </c>
      <c r="I6136" s="758">
        <f t="shared" si="382"/>
        <v>1.3025</v>
      </c>
      <c r="J6136" s="760">
        <f t="shared" si="383"/>
        <v>0.89059829059829054</v>
      </c>
    </row>
    <row r="6137" spans="1:10">
      <c r="A6137" s="74" t="s">
        <v>248</v>
      </c>
      <c r="B6137" s="74" t="s">
        <v>249</v>
      </c>
      <c r="C6137" s="74" t="s">
        <v>1553</v>
      </c>
      <c r="D6137" s="74" t="s">
        <v>94</v>
      </c>
      <c r="E6137" s="74">
        <v>47</v>
      </c>
      <c r="F6137" s="74">
        <v>70.8</v>
      </c>
      <c r="G6137" s="758">
        <f t="shared" si="380"/>
        <v>0.16</v>
      </c>
      <c r="H6137" s="759">
        <f t="shared" si="381"/>
        <v>0.24</v>
      </c>
      <c r="I6137" s="758">
        <f t="shared" si="382"/>
        <v>1.3463829787234043</v>
      </c>
      <c r="J6137" s="760">
        <f t="shared" si="383"/>
        <v>0.89378531073446332</v>
      </c>
    </row>
    <row r="6138" spans="1:10">
      <c r="A6138" s="74" t="s">
        <v>248</v>
      </c>
      <c r="B6138" s="74" t="s">
        <v>249</v>
      </c>
      <c r="C6138" s="74" t="s">
        <v>1555</v>
      </c>
      <c r="D6138" s="74" t="s">
        <v>94</v>
      </c>
      <c r="E6138" s="74">
        <v>37</v>
      </c>
      <c r="F6138" s="74">
        <v>48.75</v>
      </c>
      <c r="G6138" s="758">
        <f t="shared" si="380"/>
        <v>0.16</v>
      </c>
      <c r="H6138" s="759">
        <f t="shared" si="381"/>
        <v>0.24</v>
      </c>
      <c r="I6138" s="758">
        <f t="shared" si="382"/>
        <v>1.1575675675675676</v>
      </c>
      <c r="J6138" s="760">
        <f t="shared" si="383"/>
        <v>0.87856410256410256</v>
      </c>
    </row>
    <row r="6139" spans="1:10">
      <c r="A6139" s="74" t="s">
        <v>248</v>
      </c>
      <c r="B6139" s="74" t="s">
        <v>249</v>
      </c>
      <c r="C6139" s="74" t="s">
        <v>1557</v>
      </c>
      <c r="D6139" s="74" t="s">
        <v>95</v>
      </c>
      <c r="E6139" s="74">
        <v>51</v>
      </c>
      <c r="F6139" s="74">
        <v>73.650000000000006</v>
      </c>
      <c r="G6139" s="758">
        <f t="shared" si="380"/>
        <v>0.16</v>
      </c>
      <c r="H6139" s="759">
        <f t="shared" si="381"/>
        <v>0.24</v>
      </c>
      <c r="I6139" s="758">
        <f t="shared" si="382"/>
        <v>1.2841176470588238</v>
      </c>
      <c r="J6139" s="760">
        <f t="shared" si="383"/>
        <v>0.88920570264765786</v>
      </c>
    </row>
    <row r="6140" spans="1:10">
      <c r="A6140" s="74" t="s">
        <v>248</v>
      </c>
      <c r="B6140" s="74" t="s">
        <v>249</v>
      </c>
      <c r="C6140" s="74" t="s">
        <v>1526</v>
      </c>
      <c r="D6140" s="74" t="s">
        <v>95</v>
      </c>
      <c r="E6140" s="74">
        <v>28</v>
      </c>
      <c r="F6140" s="74">
        <v>41.3</v>
      </c>
      <c r="G6140" s="758">
        <f t="shared" si="380"/>
        <v>0.16</v>
      </c>
      <c r="H6140" s="759">
        <f t="shared" si="381"/>
        <v>0.24</v>
      </c>
      <c r="I6140" s="758">
        <f t="shared" si="382"/>
        <v>1.3149999999999999</v>
      </c>
      <c r="J6140" s="760">
        <f t="shared" si="383"/>
        <v>0.89152542372881349</v>
      </c>
    </row>
    <row r="6141" spans="1:10">
      <c r="A6141" s="74" t="s">
        <v>248</v>
      </c>
      <c r="B6141" s="74" t="s">
        <v>249</v>
      </c>
      <c r="C6141" s="74" t="s">
        <v>1930</v>
      </c>
      <c r="D6141" s="74" t="s">
        <v>95</v>
      </c>
      <c r="E6141" s="74">
        <v>14</v>
      </c>
      <c r="F6141" s="74">
        <v>19.5</v>
      </c>
      <c r="G6141" s="758">
        <f t="shared" si="380"/>
        <v>0.16</v>
      </c>
      <c r="H6141" s="759">
        <f t="shared" si="381"/>
        <v>0.24</v>
      </c>
      <c r="I6141" s="758">
        <f t="shared" si="382"/>
        <v>1.2328571428571429</v>
      </c>
      <c r="J6141" s="760">
        <f t="shared" si="383"/>
        <v>0.88512820512820511</v>
      </c>
    </row>
    <row r="6142" spans="1:10">
      <c r="A6142" s="74" t="s">
        <v>2215</v>
      </c>
      <c r="B6142" s="74" t="s">
        <v>247</v>
      </c>
      <c r="C6142" s="74" t="s">
        <v>1527</v>
      </c>
      <c r="D6142" s="74" t="s">
        <v>82</v>
      </c>
      <c r="E6142" s="74">
        <v>2</v>
      </c>
      <c r="F6142" s="74">
        <v>0</v>
      </c>
      <c r="G6142" s="758">
        <f t="shared" si="380"/>
        <v>0.34</v>
      </c>
      <c r="H6142" s="759">
        <f t="shared" si="381"/>
        <v>0</v>
      </c>
      <c r="I6142" s="758">
        <f t="shared" si="382"/>
        <v>-0.34</v>
      </c>
      <c r="J6142" s="760">
        <f t="shared" si="383"/>
        <v>0</v>
      </c>
    </row>
    <row r="6143" spans="1:10">
      <c r="A6143" s="74" t="s">
        <v>2215</v>
      </c>
      <c r="B6143" s="74" t="s">
        <v>247</v>
      </c>
      <c r="C6143" s="74" t="s">
        <v>1540</v>
      </c>
      <c r="D6143" s="74" t="s">
        <v>84</v>
      </c>
      <c r="E6143" s="74">
        <v>1</v>
      </c>
      <c r="F6143" s="74">
        <v>0</v>
      </c>
      <c r="G6143" s="758">
        <f t="shared" si="380"/>
        <v>0.34</v>
      </c>
      <c r="H6143" s="759">
        <f t="shared" si="381"/>
        <v>0</v>
      </c>
      <c r="I6143" s="758">
        <f t="shared" si="382"/>
        <v>-0.34</v>
      </c>
      <c r="J6143" s="760">
        <f t="shared" si="383"/>
        <v>0</v>
      </c>
    </row>
    <row r="6144" spans="1:10">
      <c r="A6144" s="74" t="s">
        <v>2216</v>
      </c>
      <c r="B6144" s="74" t="s">
        <v>247</v>
      </c>
      <c r="C6144" s="74" t="s">
        <v>1578</v>
      </c>
      <c r="D6144" s="74" t="s">
        <v>86</v>
      </c>
      <c r="E6144" s="74">
        <v>1</v>
      </c>
      <c r="F6144" s="74">
        <v>0</v>
      </c>
      <c r="G6144" s="758">
        <f t="shared" si="380"/>
        <v>0</v>
      </c>
      <c r="H6144" s="759">
        <f t="shared" si="381"/>
        <v>0</v>
      </c>
      <c r="I6144" s="758">
        <f t="shared" si="382"/>
        <v>0</v>
      </c>
      <c r="J6144" s="760">
        <f t="shared" si="383"/>
        <v>0</v>
      </c>
    </row>
    <row r="6145" spans="1:10">
      <c r="A6145" s="74" t="s">
        <v>2316</v>
      </c>
      <c r="B6145" s="74" t="s">
        <v>247</v>
      </c>
      <c r="C6145" s="74" t="s">
        <v>1555</v>
      </c>
      <c r="D6145" s="74" t="s">
        <v>94</v>
      </c>
      <c r="E6145" s="74">
        <v>2</v>
      </c>
      <c r="F6145" s="74">
        <v>0</v>
      </c>
      <c r="G6145" s="758">
        <f t="shared" si="380"/>
        <v>0</v>
      </c>
      <c r="H6145" s="759">
        <f t="shared" si="381"/>
        <v>0</v>
      </c>
      <c r="I6145" s="758">
        <f t="shared" si="382"/>
        <v>0</v>
      </c>
      <c r="J6145" s="760">
        <f t="shared" si="383"/>
        <v>0</v>
      </c>
    </row>
    <row r="6146" spans="1:10">
      <c r="A6146" s="74" t="s">
        <v>2217</v>
      </c>
      <c r="B6146" s="74" t="s">
        <v>258</v>
      </c>
      <c r="C6146" s="74" t="s">
        <v>1675</v>
      </c>
      <c r="D6146" s="74" t="s">
        <v>91</v>
      </c>
      <c r="E6146" s="74">
        <v>1</v>
      </c>
      <c r="F6146" s="74">
        <v>0</v>
      </c>
      <c r="G6146" s="758">
        <f t="shared" ref="G6146:G6209" si="384">IFERROR(VLOOKUP(A6146,$M$1:$P$1014,2,FALSE),0)</f>
        <v>0</v>
      </c>
      <c r="H6146" s="759">
        <f t="shared" ref="H6146:H6209" si="385">IFERROR(VLOOKUP(A6146,$M$1:$P$1014,3,FALSE),0)</f>
        <v>0</v>
      </c>
      <c r="I6146" s="758">
        <f t="shared" ref="I6146:I6209" si="386">IFERROR(F6146/E6146-G6146,0)</f>
        <v>0</v>
      </c>
      <c r="J6146" s="760">
        <f t="shared" ref="J6146:J6209" si="387">IFERROR(1-G6146*E6146/F6146,0)</f>
        <v>0</v>
      </c>
    </row>
    <row r="6147" spans="1:10">
      <c r="A6147" s="74" t="s">
        <v>2218</v>
      </c>
      <c r="B6147" s="74" t="s">
        <v>258</v>
      </c>
      <c r="C6147" s="74" t="s">
        <v>1507</v>
      </c>
      <c r="D6147" s="74" t="s">
        <v>86</v>
      </c>
      <c r="E6147" s="74">
        <v>4</v>
      </c>
      <c r="F6147" s="74">
        <v>0</v>
      </c>
      <c r="G6147" s="758">
        <f t="shared" si="384"/>
        <v>0</v>
      </c>
      <c r="H6147" s="759">
        <f t="shared" si="385"/>
        <v>0</v>
      </c>
      <c r="I6147" s="758">
        <f t="shared" si="386"/>
        <v>0</v>
      </c>
      <c r="J6147" s="760">
        <f t="shared" si="387"/>
        <v>0</v>
      </c>
    </row>
    <row r="6148" spans="1:10">
      <c r="A6148" s="74" t="s">
        <v>2218</v>
      </c>
      <c r="B6148" s="74" t="s">
        <v>258</v>
      </c>
      <c r="C6148" s="74" t="s">
        <v>1646</v>
      </c>
      <c r="D6148" s="74" t="s">
        <v>86</v>
      </c>
      <c r="E6148" s="74">
        <v>2</v>
      </c>
      <c r="F6148" s="74">
        <v>0</v>
      </c>
      <c r="G6148" s="758">
        <f t="shared" si="384"/>
        <v>0</v>
      </c>
      <c r="H6148" s="759">
        <f t="shared" si="385"/>
        <v>0</v>
      </c>
      <c r="I6148" s="758">
        <f t="shared" si="386"/>
        <v>0</v>
      </c>
      <c r="J6148" s="760">
        <f t="shared" si="387"/>
        <v>0</v>
      </c>
    </row>
    <row r="6149" spans="1:10">
      <c r="A6149" s="74" t="s">
        <v>2218</v>
      </c>
      <c r="B6149" s="74" t="s">
        <v>258</v>
      </c>
      <c r="C6149" s="74" t="s">
        <v>1541</v>
      </c>
      <c r="D6149" s="74" t="s">
        <v>86</v>
      </c>
      <c r="E6149" s="74">
        <v>2</v>
      </c>
      <c r="F6149" s="74">
        <v>0</v>
      </c>
      <c r="G6149" s="758">
        <f t="shared" si="384"/>
        <v>0</v>
      </c>
      <c r="H6149" s="759">
        <f t="shared" si="385"/>
        <v>0</v>
      </c>
      <c r="I6149" s="758">
        <f t="shared" si="386"/>
        <v>0</v>
      </c>
      <c r="J6149" s="760">
        <f t="shared" si="387"/>
        <v>0</v>
      </c>
    </row>
    <row r="6150" spans="1:10">
      <c r="A6150" s="74" t="s">
        <v>2218</v>
      </c>
      <c r="B6150" s="74" t="s">
        <v>258</v>
      </c>
      <c r="C6150" s="74" t="s">
        <v>1543</v>
      </c>
      <c r="D6150" s="74" t="s">
        <v>87</v>
      </c>
      <c r="E6150" s="74">
        <v>3</v>
      </c>
      <c r="F6150" s="74">
        <v>0</v>
      </c>
      <c r="G6150" s="758">
        <f t="shared" si="384"/>
        <v>0</v>
      </c>
      <c r="H6150" s="759">
        <f t="shared" si="385"/>
        <v>0</v>
      </c>
      <c r="I6150" s="758">
        <f t="shared" si="386"/>
        <v>0</v>
      </c>
      <c r="J6150" s="760">
        <f t="shared" si="387"/>
        <v>0</v>
      </c>
    </row>
    <row r="6151" spans="1:10">
      <c r="A6151" s="74" t="s">
        <v>2218</v>
      </c>
      <c r="B6151" s="74" t="s">
        <v>258</v>
      </c>
      <c r="C6151" s="74" t="s">
        <v>1605</v>
      </c>
      <c r="D6151" s="74" t="s">
        <v>87</v>
      </c>
      <c r="E6151" s="74">
        <v>3</v>
      </c>
      <c r="F6151" s="74">
        <v>0</v>
      </c>
      <c r="G6151" s="758">
        <f t="shared" si="384"/>
        <v>0</v>
      </c>
      <c r="H6151" s="759">
        <f t="shared" si="385"/>
        <v>0</v>
      </c>
      <c r="I6151" s="758">
        <f t="shared" si="386"/>
        <v>0</v>
      </c>
      <c r="J6151" s="760">
        <f t="shared" si="387"/>
        <v>0</v>
      </c>
    </row>
    <row r="6152" spans="1:10">
      <c r="A6152" s="74" t="s">
        <v>2218</v>
      </c>
      <c r="B6152" s="74" t="s">
        <v>258</v>
      </c>
      <c r="C6152" s="74" t="s">
        <v>1561</v>
      </c>
      <c r="D6152" s="74" t="s">
        <v>87</v>
      </c>
      <c r="E6152" s="74">
        <v>1</v>
      </c>
      <c r="F6152" s="74">
        <v>0</v>
      </c>
      <c r="G6152" s="758">
        <f t="shared" si="384"/>
        <v>0</v>
      </c>
      <c r="H6152" s="759">
        <f t="shared" si="385"/>
        <v>0</v>
      </c>
      <c r="I6152" s="758">
        <f t="shared" si="386"/>
        <v>0</v>
      </c>
      <c r="J6152" s="760">
        <f t="shared" si="387"/>
        <v>0</v>
      </c>
    </row>
    <row r="6153" spans="1:10">
      <c r="A6153" s="74" t="s">
        <v>2218</v>
      </c>
      <c r="B6153" s="74" t="s">
        <v>258</v>
      </c>
      <c r="C6153" s="74" t="s">
        <v>1522</v>
      </c>
      <c r="D6153" s="74" t="s">
        <v>91</v>
      </c>
      <c r="E6153" s="74">
        <v>1</v>
      </c>
      <c r="F6153" s="74">
        <v>0</v>
      </c>
      <c r="G6153" s="758">
        <f t="shared" si="384"/>
        <v>0</v>
      </c>
      <c r="H6153" s="759">
        <f t="shared" si="385"/>
        <v>0</v>
      </c>
      <c r="I6153" s="758">
        <f t="shared" si="386"/>
        <v>0</v>
      </c>
      <c r="J6153" s="760">
        <f t="shared" si="387"/>
        <v>0</v>
      </c>
    </row>
    <row r="6154" spans="1:10">
      <c r="A6154" s="74" t="s">
        <v>2218</v>
      </c>
      <c r="B6154" s="74" t="s">
        <v>258</v>
      </c>
      <c r="C6154" s="74" t="s">
        <v>1617</v>
      </c>
      <c r="D6154" s="74" t="s">
        <v>94</v>
      </c>
      <c r="E6154" s="74">
        <v>1</v>
      </c>
      <c r="F6154" s="74">
        <v>0</v>
      </c>
      <c r="G6154" s="758">
        <f t="shared" si="384"/>
        <v>0</v>
      </c>
      <c r="H6154" s="759">
        <f t="shared" si="385"/>
        <v>0</v>
      </c>
      <c r="I6154" s="758">
        <f t="shared" si="386"/>
        <v>0</v>
      </c>
      <c r="J6154" s="760">
        <f t="shared" si="387"/>
        <v>0</v>
      </c>
    </row>
    <row r="6155" spans="1:10">
      <c r="A6155" s="74" t="s">
        <v>2219</v>
      </c>
      <c r="B6155" s="74" t="s">
        <v>258</v>
      </c>
      <c r="C6155" s="74" t="s">
        <v>1577</v>
      </c>
      <c r="D6155" s="74" t="s">
        <v>84</v>
      </c>
      <c r="E6155" s="74">
        <v>2</v>
      </c>
      <c r="F6155" s="74">
        <v>0</v>
      </c>
      <c r="G6155" s="758">
        <f t="shared" si="384"/>
        <v>0</v>
      </c>
      <c r="H6155" s="759">
        <f t="shared" si="385"/>
        <v>0</v>
      </c>
      <c r="I6155" s="758">
        <f t="shared" si="386"/>
        <v>0</v>
      </c>
      <c r="J6155" s="760">
        <f t="shared" si="387"/>
        <v>0</v>
      </c>
    </row>
    <row r="6156" spans="1:10">
      <c r="A6156" s="74" t="s">
        <v>2219</v>
      </c>
      <c r="B6156" s="74" t="s">
        <v>258</v>
      </c>
      <c r="C6156" s="74" t="s">
        <v>1644</v>
      </c>
      <c r="D6156" s="74" t="s">
        <v>86</v>
      </c>
      <c r="E6156" s="74">
        <v>2</v>
      </c>
      <c r="F6156" s="74">
        <v>0</v>
      </c>
      <c r="G6156" s="758">
        <f t="shared" si="384"/>
        <v>0</v>
      </c>
      <c r="H6156" s="759">
        <f t="shared" si="385"/>
        <v>0</v>
      </c>
      <c r="I6156" s="758">
        <f t="shared" si="386"/>
        <v>0</v>
      </c>
      <c r="J6156" s="760">
        <f t="shared" si="387"/>
        <v>0</v>
      </c>
    </row>
    <row r="6157" spans="1:10">
      <c r="A6157" s="74" t="s">
        <v>2219</v>
      </c>
      <c r="B6157" s="74" t="s">
        <v>258</v>
      </c>
      <c r="C6157" s="74" t="s">
        <v>1541</v>
      </c>
      <c r="D6157" s="74" t="s">
        <v>86</v>
      </c>
      <c r="E6157" s="74">
        <v>1</v>
      </c>
      <c r="F6157" s="74">
        <v>6.5</v>
      </c>
      <c r="G6157" s="758">
        <f t="shared" si="384"/>
        <v>0</v>
      </c>
      <c r="H6157" s="759">
        <f t="shared" si="385"/>
        <v>0</v>
      </c>
      <c r="I6157" s="758">
        <f t="shared" si="386"/>
        <v>6.5</v>
      </c>
      <c r="J6157" s="760">
        <f t="shared" si="387"/>
        <v>1</v>
      </c>
    </row>
    <row r="6158" spans="1:10">
      <c r="A6158" s="74" t="s">
        <v>2219</v>
      </c>
      <c r="B6158" s="74" t="s">
        <v>258</v>
      </c>
      <c r="C6158" s="74" t="s">
        <v>1543</v>
      </c>
      <c r="D6158" s="74" t="s">
        <v>87</v>
      </c>
      <c r="E6158" s="74">
        <v>2</v>
      </c>
      <c r="F6158" s="74">
        <v>0</v>
      </c>
      <c r="G6158" s="758">
        <f t="shared" si="384"/>
        <v>0</v>
      </c>
      <c r="H6158" s="759">
        <f t="shared" si="385"/>
        <v>0</v>
      </c>
      <c r="I6158" s="758">
        <f t="shared" si="386"/>
        <v>0</v>
      </c>
      <c r="J6158" s="760">
        <f t="shared" si="387"/>
        <v>0</v>
      </c>
    </row>
    <row r="6159" spans="1:10">
      <c r="A6159" s="74" t="s">
        <v>2219</v>
      </c>
      <c r="B6159" s="74" t="s">
        <v>258</v>
      </c>
      <c r="C6159" s="74" t="s">
        <v>1605</v>
      </c>
      <c r="D6159" s="74" t="s">
        <v>87</v>
      </c>
      <c r="E6159" s="74">
        <v>1</v>
      </c>
      <c r="F6159" s="74">
        <v>0</v>
      </c>
      <c r="G6159" s="758">
        <f t="shared" si="384"/>
        <v>0</v>
      </c>
      <c r="H6159" s="759">
        <f t="shared" si="385"/>
        <v>0</v>
      </c>
      <c r="I6159" s="758">
        <f t="shared" si="386"/>
        <v>0</v>
      </c>
      <c r="J6159" s="760">
        <f t="shared" si="387"/>
        <v>0</v>
      </c>
    </row>
    <row r="6160" spans="1:10">
      <c r="A6160" s="74" t="s">
        <v>1081</v>
      </c>
      <c r="B6160" s="74" t="s">
        <v>258</v>
      </c>
      <c r="C6160" s="74" t="s">
        <v>1520</v>
      </c>
      <c r="D6160" s="74" t="s">
        <v>84</v>
      </c>
      <c r="E6160" s="74">
        <v>1</v>
      </c>
      <c r="F6160" s="74">
        <v>0</v>
      </c>
      <c r="G6160" s="758">
        <f t="shared" si="384"/>
        <v>0</v>
      </c>
      <c r="H6160" s="759">
        <f t="shared" si="385"/>
        <v>0</v>
      </c>
      <c r="I6160" s="758">
        <f t="shared" si="386"/>
        <v>0</v>
      </c>
      <c r="J6160" s="760">
        <f t="shared" si="387"/>
        <v>0</v>
      </c>
    </row>
    <row r="6161" spans="1:10">
      <c r="A6161" s="74" t="s">
        <v>1081</v>
      </c>
      <c r="B6161" s="74" t="s">
        <v>258</v>
      </c>
      <c r="C6161" s="74" t="s">
        <v>1577</v>
      </c>
      <c r="D6161" s="74" t="s">
        <v>84</v>
      </c>
      <c r="E6161" s="74">
        <v>3</v>
      </c>
      <c r="F6161" s="74">
        <v>0</v>
      </c>
      <c r="G6161" s="758">
        <f t="shared" si="384"/>
        <v>0</v>
      </c>
      <c r="H6161" s="759">
        <f t="shared" si="385"/>
        <v>0</v>
      </c>
      <c r="I6161" s="758">
        <f t="shared" si="386"/>
        <v>0</v>
      </c>
      <c r="J6161" s="760">
        <f t="shared" si="387"/>
        <v>0</v>
      </c>
    </row>
    <row r="6162" spans="1:10">
      <c r="A6162" s="74" t="s">
        <v>1081</v>
      </c>
      <c r="B6162" s="74" t="s">
        <v>258</v>
      </c>
      <c r="C6162" s="74" t="s">
        <v>1507</v>
      </c>
      <c r="D6162" s="74" t="s">
        <v>86</v>
      </c>
      <c r="E6162" s="74">
        <v>1</v>
      </c>
      <c r="F6162" s="74">
        <v>0</v>
      </c>
      <c r="G6162" s="758">
        <f t="shared" si="384"/>
        <v>0</v>
      </c>
      <c r="H6162" s="759">
        <f t="shared" si="385"/>
        <v>0</v>
      </c>
      <c r="I6162" s="758">
        <f t="shared" si="386"/>
        <v>0</v>
      </c>
      <c r="J6162" s="760">
        <f t="shared" si="387"/>
        <v>0</v>
      </c>
    </row>
    <row r="6163" spans="1:10">
      <c r="A6163" s="74" t="s">
        <v>1081</v>
      </c>
      <c r="B6163" s="74" t="s">
        <v>258</v>
      </c>
      <c r="C6163" s="74" t="s">
        <v>1541</v>
      </c>
      <c r="D6163" s="74" t="s">
        <v>86</v>
      </c>
      <c r="E6163" s="74">
        <v>2</v>
      </c>
      <c r="F6163" s="74">
        <v>0</v>
      </c>
      <c r="G6163" s="758">
        <f t="shared" si="384"/>
        <v>0</v>
      </c>
      <c r="H6163" s="759">
        <f t="shared" si="385"/>
        <v>0</v>
      </c>
      <c r="I6163" s="758">
        <f t="shared" si="386"/>
        <v>0</v>
      </c>
      <c r="J6163" s="760">
        <f t="shared" si="387"/>
        <v>0</v>
      </c>
    </row>
    <row r="6164" spans="1:10">
      <c r="A6164" s="74" t="s">
        <v>1081</v>
      </c>
      <c r="B6164" s="74" t="s">
        <v>258</v>
      </c>
      <c r="C6164" s="74" t="s">
        <v>1544</v>
      </c>
      <c r="D6164" s="74" t="s">
        <v>87</v>
      </c>
      <c r="E6164" s="74">
        <v>1</v>
      </c>
      <c r="F6164" s="74">
        <v>0</v>
      </c>
      <c r="G6164" s="758">
        <f t="shared" si="384"/>
        <v>0</v>
      </c>
      <c r="H6164" s="759">
        <f t="shared" si="385"/>
        <v>0</v>
      </c>
      <c r="I6164" s="758">
        <f t="shared" si="386"/>
        <v>0</v>
      </c>
      <c r="J6164" s="760">
        <f t="shared" si="387"/>
        <v>0</v>
      </c>
    </row>
    <row r="6165" spans="1:10">
      <c r="A6165" s="74" t="s">
        <v>1081</v>
      </c>
      <c r="B6165" s="74" t="s">
        <v>258</v>
      </c>
      <c r="C6165" s="74" t="s">
        <v>1561</v>
      </c>
      <c r="D6165" s="74" t="s">
        <v>87</v>
      </c>
      <c r="E6165" s="74">
        <v>1</v>
      </c>
      <c r="F6165" s="74">
        <v>0</v>
      </c>
      <c r="G6165" s="758">
        <f t="shared" si="384"/>
        <v>0</v>
      </c>
      <c r="H6165" s="759">
        <f t="shared" si="385"/>
        <v>0</v>
      </c>
      <c r="I6165" s="758">
        <f t="shared" si="386"/>
        <v>0</v>
      </c>
      <c r="J6165" s="760">
        <f t="shared" si="387"/>
        <v>0</v>
      </c>
    </row>
    <row r="6166" spans="1:10">
      <c r="A6166" s="74" t="s">
        <v>1081</v>
      </c>
      <c r="B6166" s="74" t="s">
        <v>258</v>
      </c>
      <c r="C6166" s="74" t="s">
        <v>1546</v>
      </c>
      <c r="D6166" s="74" t="s">
        <v>89</v>
      </c>
      <c r="E6166" s="74">
        <v>4</v>
      </c>
      <c r="F6166" s="74">
        <v>0</v>
      </c>
      <c r="G6166" s="758">
        <f t="shared" si="384"/>
        <v>0</v>
      </c>
      <c r="H6166" s="759">
        <f t="shared" si="385"/>
        <v>0</v>
      </c>
      <c r="I6166" s="758">
        <f t="shared" si="386"/>
        <v>0</v>
      </c>
      <c r="J6166" s="760">
        <f t="shared" si="387"/>
        <v>0</v>
      </c>
    </row>
    <row r="6167" spans="1:10">
      <c r="A6167" s="74" t="s">
        <v>1081</v>
      </c>
      <c r="B6167" s="74" t="s">
        <v>258</v>
      </c>
      <c r="C6167" s="74" t="s">
        <v>1582</v>
      </c>
      <c r="D6167" s="74" t="s">
        <v>89</v>
      </c>
      <c r="E6167" s="74">
        <v>3</v>
      </c>
      <c r="F6167" s="74">
        <v>0</v>
      </c>
      <c r="G6167" s="758">
        <f t="shared" si="384"/>
        <v>0</v>
      </c>
      <c r="H6167" s="759">
        <f t="shared" si="385"/>
        <v>0</v>
      </c>
      <c r="I6167" s="758">
        <f t="shared" si="386"/>
        <v>0</v>
      </c>
      <c r="J6167" s="760">
        <f t="shared" si="387"/>
        <v>0</v>
      </c>
    </row>
    <row r="6168" spans="1:10">
      <c r="A6168" s="74" t="s">
        <v>1081</v>
      </c>
      <c r="B6168" s="74" t="s">
        <v>258</v>
      </c>
      <c r="C6168" s="74" t="s">
        <v>1675</v>
      </c>
      <c r="D6168" s="74" t="s">
        <v>91</v>
      </c>
      <c r="E6168" s="74">
        <v>1</v>
      </c>
      <c r="F6168" s="74">
        <v>0</v>
      </c>
      <c r="G6168" s="758">
        <f t="shared" si="384"/>
        <v>0</v>
      </c>
      <c r="H6168" s="759">
        <f t="shared" si="385"/>
        <v>0</v>
      </c>
      <c r="I6168" s="758">
        <f t="shared" si="386"/>
        <v>0</v>
      </c>
      <c r="J6168" s="760">
        <f t="shared" si="387"/>
        <v>0</v>
      </c>
    </row>
    <row r="6169" spans="1:10">
      <c r="A6169" s="74" t="s">
        <v>1081</v>
      </c>
      <c r="B6169" s="74" t="s">
        <v>258</v>
      </c>
      <c r="C6169" s="74" t="s">
        <v>1614</v>
      </c>
      <c r="D6169" s="74" t="s">
        <v>92</v>
      </c>
      <c r="E6169" s="74">
        <v>1</v>
      </c>
      <c r="F6169" s="74">
        <v>0</v>
      </c>
      <c r="G6169" s="758">
        <f t="shared" si="384"/>
        <v>0</v>
      </c>
      <c r="H6169" s="759">
        <f t="shared" si="385"/>
        <v>0</v>
      </c>
      <c r="I6169" s="758">
        <f t="shared" si="386"/>
        <v>0</v>
      </c>
      <c r="J6169" s="760">
        <f t="shared" si="387"/>
        <v>0</v>
      </c>
    </row>
    <row r="6170" spans="1:10">
      <c r="A6170" s="74" t="s">
        <v>1081</v>
      </c>
      <c r="B6170" s="74" t="s">
        <v>258</v>
      </c>
      <c r="C6170" s="74" t="s">
        <v>1553</v>
      </c>
      <c r="D6170" s="74" t="s">
        <v>94</v>
      </c>
      <c r="E6170" s="74">
        <v>1</v>
      </c>
      <c r="F6170" s="74">
        <v>0</v>
      </c>
      <c r="G6170" s="758">
        <f t="shared" si="384"/>
        <v>0</v>
      </c>
      <c r="H6170" s="759">
        <f t="shared" si="385"/>
        <v>0</v>
      </c>
      <c r="I6170" s="758">
        <f t="shared" si="386"/>
        <v>0</v>
      </c>
      <c r="J6170" s="760">
        <f t="shared" si="387"/>
        <v>0</v>
      </c>
    </row>
    <row r="6171" spans="1:10">
      <c r="A6171" s="74" t="s">
        <v>1081</v>
      </c>
      <c r="B6171" s="74" t="s">
        <v>258</v>
      </c>
      <c r="C6171" s="74" t="s">
        <v>1555</v>
      </c>
      <c r="D6171" s="74" t="s">
        <v>94</v>
      </c>
      <c r="E6171" s="74">
        <v>1</v>
      </c>
      <c r="F6171" s="74">
        <v>0</v>
      </c>
      <c r="G6171" s="758">
        <f t="shared" si="384"/>
        <v>0</v>
      </c>
      <c r="H6171" s="759">
        <f t="shared" si="385"/>
        <v>0</v>
      </c>
      <c r="I6171" s="758">
        <f t="shared" si="386"/>
        <v>0</v>
      </c>
      <c r="J6171" s="760">
        <f t="shared" si="387"/>
        <v>0</v>
      </c>
    </row>
    <row r="6172" spans="1:10">
      <c r="A6172" s="74" t="s">
        <v>1081</v>
      </c>
      <c r="B6172" s="74" t="s">
        <v>258</v>
      </c>
      <c r="C6172" s="74" t="s">
        <v>1526</v>
      </c>
      <c r="D6172" s="74" t="s">
        <v>95</v>
      </c>
      <c r="E6172" s="74">
        <v>2</v>
      </c>
      <c r="F6172" s="74">
        <v>0</v>
      </c>
      <c r="G6172" s="758">
        <f t="shared" si="384"/>
        <v>0</v>
      </c>
      <c r="H6172" s="759">
        <f t="shared" si="385"/>
        <v>0</v>
      </c>
      <c r="I6172" s="758">
        <f t="shared" si="386"/>
        <v>0</v>
      </c>
      <c r="J6172" s="760">
        <f t="shared" si="387"/>
        <v>0</v>
      </c>
    </row>
    <row r="6173" spans="1:10">
      <c r="A6173" s="74" t="s">
        <v>1081</v>
      </c>
      <c r="B6173" s="74" t="s">
        <v>258</v>
      </c>
      <c r="C6173" s="74" t="s">
        <v>1930</v>
      </c>
      <c r="D6173" s="74" t="s">
        <v>95</v>
      </c>
      <c r="E6173" s="74">
        <v>1</v>
      </c>
      <c r="F6173" s="74">
        <v>0</v>
      </c>
      <c r="G6173" s="758">
        <f t="shared" si="384"/>
        <v>0</v>
      </c>
      <c r="H6173" s="759">
        <f t="shared" si="385"/>
        <v>0</v>
      </c>
      <c r="I6173" s="758">
        <f t="shared" si="386"/>
        <v>0</v>
      </c>
      <c r="J6173" s="760">
        <f t="shared" si="387"/>
        <v>0</v>
      </c>
    </row>
    <row r="6174" spans="1:10">
      <c r="A6174" s="74" t="s">
        <v>2220</v>
      </c>
      <c r="B6174" s="74" t="s">
        <v>258</v>
      </c>
      <c r="C6174" s="74" t="s">
        <v>1552</v>
      </c>
      <c r="D6174" s="74" t="s">
        <v>92</v>
      </c>
      <c r="E6174" s="74">
        <v>1</v>
      </c>
      <c r="F6174" s="74">
        <v>0</v>
      </c>
      <c r="G6174" s="758">
        <f t="shared" si="384"/>
        <v>0</v>
      </c>
      <c r="H6174" s="759">
        <f t="shared" si="385"/>
        <v>0</v>
      </c>
      <c r="I6174" s="758">
        <f t="shared" si="386"/>
        <v>0</v>
      </c>
      <c r="J6174" s="760">
        <f t="shared" si="387"/>
        <v>0</v>
      </c>
    </row>
    <row r="6175" spans="1:10">
      <c r="A6175" s="74" t="s">
        <v>734</v>
      </c>
      <c r="B6175" s="74" t="s">
        <v>695</v>
      </c>
      <c r="C6175" s="74" t="s">
        <v>1528</v>
      </c>
      <c r="D6175" s="74" t="s">
        <v>78</v>
      </c>
      <c r="E6175" s="74">
        <v>3</v>
      </c>
      <c r="F6175" s="74">
        <v>46.14</v>
      </c>
      <c r="G6175" s="758">
        <f t="shared" si="384"/>
        <v>5.59</v>
      </c>
      <c r="H6175" s="759">
        <f t="shared" si="385"/>
        <v>0.48</v>
      </c>
      <c r="I6175" s="758">
        <f t="shared" si="386"/>
        <v>9.7900000000000009</v>
      </c>
      <c r="J6175" s="760">
        <f t="shared" si="387"/>
        <v>0.63654096228868662</v>
      </c>
    </row>
    <row r="6176" spans="1:10">
      <c r="A6176" s="74" t="s">
        <v>734</v>
      </c>
      <c r="B6176" s="74" t="s">
        <v>695</v>
      </c>
      <c r="C6176" s="74" t="s">
        <v>1509</v>
      </c>
      <c r="D6176" s="74" t="s">
        <v>78</v>
      </c>
      <c r="E6176" s="74">
        <v>8</v>
      </c>
      <c r="F6176" s="74">
        <v>118.09</v>
      </c>
      <c r="G6176" s="758">
        <f t="shared" si="384"/>
        <v>5.59</v>
      </c>
      <c r="H6176" s="759">
        <f t="shared" si="385"/>
        <v>0.48</v>
      </c>
      <c r="I6176" s="758">
        <f t="shared" si="386"/>
        <v>9.1712500000000006</v>
      </c>
      <c r="J6176" s="760">
        <f t="shared" si="387"/>
        <v>0.62130578372427814</v>
      </c>
    </row>
    <row r="6177" spans="1:10">
      <c r="A6177" s="74" t="s">
        <v>734</v>
      </c>
      <c r="B6177" s="74" t="s">
        <v>695</v>
      </c>
      <c r="C6177" s="74" t="s">
        <v>1565</v>
      </c>
      <c r="D6177" s="74" t="s">
        <v>78</v>
      </c>
      <c r="E6177" s="74">
        <v>2</v>
      </c>
      <c r="F6177" s="74">
        <v>32.340000000000003</v>
      </c>
      <c r="G6177" s="758">
        <f t="shared" si="384"/>
        <v>5.59</v>
      </c>
      <c r="H6177" s="759">
        <f t="shared" si="385"/>
        <v>0.48</v>
      </c>
      <c r="I6177" s="758">
        <f t="shared" si="386"/>
        <v>10.580000000000002</v>
      </c>
      <c r="J6177" s="760">
        <f t="shared" si="387"/>
        <v>0.65429808286951152</v>
      </c>
    </row>
    <row r="6178" spans="1:10">
      <c r="A6178" s="74" t="s">
        <v>734</v>
      </c>
      <c r="B6178" s="74" t="s">
        <v>695</v>
      </c>
      <c r="C6178" s="74" t="s">
        <v>1530</v>
      </c>
      <c r="D6178" s="74" t="s">
        <v>80</v>
      </c>
      <c r="E6178" s="74">
        <v>2</v>
      </c>
      <c r="F6178" s="74">
        <v>32.43</v>
      </c>
      <c r="G6178" s="758">
        <f t="shared" si="384"/>
        <v>5.59</v>
      </c>
      <c r="H6178" s="759">
        <f t="shared" si="385"/>
        <v>0.48</v>
      </c>
      <c r="I6178" s="758">
        <f t="shared" si="386"/>
        <v>10.625</v>
      </c>
      <c r="J6178" s="760">
        <f t="shared" si="387"/>
        <v>0.65525747764415665</v>
      </c>
    </row>
    <row r="6179" spans="1:10">
      <c r="A6179" s="74" t="s">
        <v>734</v>
      </c>
      <c r="B6179" s="74" t="s">
        <v>695</v>
      </c>
      <c r="C6179" s="74" t="s">
        <v>1532</v>
      </c>
      <c r="D6179" s="74" t="s">
        <v>80</v>
      </c>
      <c r="E6179" s="74">
        <v>1</v>
      </c>
      <c r="F6179" s="74">
        <v>18.18</v>
      </c>
      <c r="G6179" s="758">
        <f t="shared" si="384"/>
        <v>5.59</v>
      </c>
      <c r="H6179" s="759">
        <f t="shared" si="385"/>
        <v>0.48</v>
      </c>
      <c r="I6179" s="758">
        <f t="shared" si="386"/>
        <v>12.59</v>
      </c>
      <c r="J6179" s="760">
        <f t="shared" si="387"/>
        <v>0.69251925192519259</v>
      </c>
    </row>
    <row r="6180" spans="1:10">
      <c r="A6180" s="74" t="s">
        <v>734</v>
      </c>
      <c r="B6180" s="74" t="s">
        <v>695</v>
      </c>
      <c r="C6180" s="74" t="s">
        <v>1511</v>
      </c>
      <c r="D6180" s="74" t="s">
        <v>80</v>
      </c>
      <c r="E6180" s="74">
        <v>4</v>
      </c>
      <c r="F6180" s="74">
        <v>61.44</v>
      </c>
      <c r="G6180" s="758">
        <f t="shared" si="384"/>
        <v>5.59</v>
      </c>
      <c r="H6180" s="759">
        <f t="shared" si="385"/>
        <v>0.48</v>
      </c>
      <c r="I6180" s="758">
        <f t="shared" si="386"/>
        <v>9.77</v>
      </c>
      <c r="J6180" s="760">
        <f t="shared" si="387"/>
        <v>0.63606770833333326</v>
      </c>
    </row>
    <row r="6181" spans="1:10">
      <c r="A6181" s="74" t="s">
        <v>734</v>
      </c>
      <c r="B6181" s="74" t="s">
        <v>695</v>
      </c>
      <c r="C6181" s="74" t="s">
        <v>1512</v>
      </c>
      <c r="D6181" s="74" t="s">
        <v>80</v>
      </c>
      <c r="E6181" s="74">
        <v>3</v>
      </c>
      <c r="F6181" s="74">
        <v>43.01</v>
      </c>
      <c r="G6181" s="758">
        <f t="shared" si="384"/>
        <v>5.59</v>
      </c>
      <c r="H6181" s="759">
        <f t="shared" si="385"/>
        <v>0.48</v>
      </c>
      <c r="I6181" s="758">
        <f t="shared" si="386"/>
        <v>8.7466666666666661</v>
      </c>
      <c r="J6181" s="760">
        <f t="shared" si="387"/>
        <v>0.61009067658684024</v>
      </c>
    </row>
    <row r="6182" spans="1:10">
      <c r="A6182" s="74" t="s">
        <v>734</v>
      </c>
      <c r="B6182" s="74" t="s">
        <v>695</v>
      </c>
      <c r="C6182" s="74" t="s">
        <v>1534</v>
      </c>
      <c r="D6182" s="74" t="s">
        <v>81</v>
      </c>
      <c r="E6182" s="74">
        <v>2</v>
      </c>
      <c r="F6182" s="74">
        <v>28.5</v>
      </c>
      <c r="G6182" s="758">
        <f t="shared" si="384"/>
        <v>5.59</v>
      </c>
      <c r="H6182" s="759">
        <f t="shared" si="385"/>
        <v>0.48</v>
      </c>
      <c r="I6182" s="758">
        <f t="shared" si="386"/>
        <v>8.66</v>
      </c>
      <c r="J6182" s="760">
        <f t="shared" si="387"/>
        <v>0.6077192982456141</v>
      </c>
    </row>
    <row r="6183" spans="1:10">
      <c r="A6183" s="74" t="s">
        <v>734</v>
      </c>
      <c r="B6183" s="74" t="s">
        <v>695</v>
      </c>
      <c r="C6183" s="74" t="s">
        <v>1513</v>
      </c>
      <c r="D6183" s="74" t="s">
        <v>81</v>
      </c>
      <c r="E6183" s="74">
        <v>7</v>
      </c>
      <c r="F6183" s="74">
        <v>123.95</v>
      </c>
      <c r="G6183" s="758">
        <f t="shared" si="384"/>
        <v>5.59</v>
      </c>
      <c r="H6183" s="759">
        <f t="shared" si="385"/>
        <v>0.48</v>
      </c>
      <c r="I6183" s="758">
        <f t="shared" si="386"/>
        <v>12.117142857142859</v>
      </c>
      <c r="J6183" s="760">
        <f t="shared" si="387"/>
        <v>0.6843081887858008</v>
      </c>
    </row>
    <row r="6184" spans="1:10">
      <c r="A6184" s="74" t="s">
        <v>734</v>
      </c>
      <c r="B6184" s="74" t="s">
        <v>695</v>
      </c>
      <c r="C6184" s="74" t="s">
        <v>1514</v>
      </c>
      <c r="D6184" s="74" t="s">
        <v>81</v>
      </c>
      <c r="E6184" s="74">
        <v>3</v>
      </c>
      <c r="F6184" s="74">
        <v>43.05</v>
      </c>
      <c r="G6184" s="758">
        <f t="shared" si="384"/>
        <v>5.59</v>
      </c>
      <c r="H6184" s="759">
        <f t="shared" si="385"/>
        <v>0.48</v>
      </c>
      <c r="I6184" s="758">
        <f t="shared" si="386"/>
        <v>8.76</v>
      </c>
      <c r="J6184" s="760">
        <f t="shared" si="387"/>
        <v>0.61045296167247387</v>
      </c>
    </row>
    <row r="6185" spans="1:10">
      <c r="A6185" s="74" t="s">
        <v>734</v>
      </c>
      <c r="B6185" s="74" t="s">
        <v>695</v>
      </c>
      <c r="C6185" s="74" t="s">
        <v>1515</v>
      </c>
      <c r="D6185" s="74" t="s">
        <v>81</v>
      </c>
      <c r="E6185" s="74">
        <v>11</v>
      </c>
      <c r="F6185" s="74">
        <v>170.2</v>
      </c>
      <c r="G6185" s="758">
        <f t="shared" si="384"/>
        <v>5.59</v>
      </c>
      <c r="H6185" s="759">
        <f t="shared" si="385"/>
        <v>0.48</v>
      </c>
      <c r="I6185" s="758">
        <f t="shared" si="386"/>
        <v>9.882727272727271</v>
      </c>
      <c r="J6185" s="760">
        <f t="shared" si="387"/>
        <v>0.63871915393654533</v>
      </c>
    </row>
    <row r="6186" spans="1:10">
      <c r="A6186" s="74" t="s">
        <v>734</v>
      </c>
      <c r="B6186" s="74" t="s">
        <v>695</v>
      </c>
      <c r="C6186" s="74" t="s">
        <v>1516</v>
      </c>
      <c r="D6186" s="74" t="s">
        <v>82</v>
      </c>
      <c r="E6186" s="74">
        <v>7</v>
      </c>
      <c r="F6186" s="74">
        <v>100.5</v>
      </c>
      <c r="G6186" s="758">
        <f t="shared" si="384"/>
        <v>5.59</v>
      </c>
      <c r="H6186" s="759">
        <f t="shared" si="385"/>
        <v>0.48</v>
      </c>
      <c r="I6186" s="758">
        <f t="shared" si="386"/>
        <v>8.7671428571428578</v>
      </c>
      <c r="J6186" s="760">
        <f t="shared" si="387"/>
        <v>0.61064676616915425</v>
      </c>
    </row>
    <row r="6187" spans="1:10">
      <c r="A6187" s="74" t="s">
        <v>734</v>
      </c>
      <c r="B6187" s="74" t="s">
        <v>695</v>
      </c>
      <c r="C6187" s="74" t="s">
        <v>1517</v>
      </c>
      <c r="D6187" s="74" t="s">
        <v>82</v>
      </c>
      <c r="E6187" s="74">
        <v>2</v>
      </c>
      <c r="F6187" s="74">
        <v>28.65</v>
      </c>
      <c r="G6187" s="758">
        <f t="shared" si="384"/>
        <v>5.59</v>
      </c>
      <c r="H6187" s="759">
        <f t="shared" si="385"/>
        <v>0.48</v>
      </c>
      <c r="I6187" s="758">
        <f t="shared" si="386"/>
        <v>8.7349999999999994</v>
      </c>
      <c r="J6187" s="760">
        <f t="shared" si="387"/>
        <v>0.60977312390924954</v>
      </c>
    </row>
    <row r="6188" spans="1:10">
      <c r="A6188" s="74" t="s">
        <v>734</v>
      </c>
      <c r="B6188" s="74" t="s">
        <v>695</v>
      </c>
      <c r="C6188" s="74" t="s">
        <v>1527</v>
      </c>
      <c r="D6188" s="74" t="s">
        <v>82</v>
      </c>
      <c r="E6188" s="74">
        <v>2</v>
      </c>
      <c r="F6188" s="74">
        <v>28.8</v>
      </c>
      <c r="G6188" s="758">
        <f t="shared" si="384"/>
        <v>5.59</v>
      </c>
      <c r="H6188" s="759">
        <f t="shared" si="385"/>
        <v>0.48</v>
      </c>
      <c r="I6188" s="758">
        <f t="shared" si="386"/>
        <v>8.81</v>
      </c>
      <c r="J6188" s="760">
        <f t="shared" si="387"/>
        <v>0.6118055555555556</v>
      </c>
    </row>
    <row r="6189" spans="1:10">
      <c r="A6189" s="74" t="s">
        <v>734</v>
      </c>
      <c r="B6189" s="74" t="s">
        <v>695</v>
      </c>
      <c r="C6189" s="74" t="s">
        <v>1518</v>
      </c>
      <c r="D6189" s="74" t="s">
        <v>82</v>
      </c>
      <c r="E6189" s="74">
        <v>5</v>
      </c>
      <c r="F6189" s="74">
        <v>72</v>
      </c>
      <c r="G6189" s="758">
        <f t="shared" si="384"/>
        <v>5.59</v>
      </c>
      <c r="H6189" s="759">
        <f t="shared" si="385"/>
        <v>0.48</v>
      </c>
      <c r="I6189" s="758">
        <f t="shared" si="386"/>
        <v>8.81</v>
      </c>
      <c r="J6189" s="760">
        <f t="shared" si="387"/>
        <v>0.61180555555555549</v>
      </c>
    </row>
    <row r="6190" spans="1:10">
      <c r="A6190" s="74" t="s">
        <v>734</v>
      </c>
      <c r="B6190" s="74" t="s">
        <v>695</v>
      </c>
      <c r="C6190" s="74" t="s">
        <v>1577</v>
      </c>
      <c r="D6190" s="74" t="s">
        <v>84</v>
      </c>
      <c r="E6190" s="74">
        <v>1</v>
      </c>
      <c r="F6190" s="74">
        <v>14.25</v>
      </c>
      <c r="G6190" s="758">
        <f t="shared" si="384"/>
        <v>5.59</v>
      </c>
      <c r="H6190" s="759">
        <f t="shared" si="385"/>
        <v>0.48</v>
      </c>
      <c r="I6190" s="758">
        <f t="shared" si="386"/>
        <v>8.66</v>
      </c>
      <c r="J6190" s="760">
        <f t="shared" si="387"/>
        <v>0.6077192982456141</v>
      </c>
    </row>
    <row r="6191" spans="1:10">
      <c r="A6191" s="74" t="s">
        <v>734</v>
      </c>
      <c r="B6191" s="74" t="s">
        <v>695</v>
      </c>
      <c r="C6191" s="74" t="s">
        <v>1507</v>
      </c>
      <c r="D6191" s="74" t="s">
        <v>86</v>
      </c>
      <c r="E6191" s="74">
        <v>1</v>
      </c>
      <c r="F6191" s="74">
        <v>14.5</v>
      </c>
      <c r="G6191" s="758">
        <f t="shared" si="384"/>
        <v>5.59</v>
      </c>
      <c r="H6191" s="759">
        <f t="shared" si="385"/>
        <v>0.48</v>
      </c>
      <c r="I6191" s="758">
        <f t="shared" si="386"/>
        <v>8.91</v>
      </c>
      <c r="J6191" s="760">
        <f t="shared" si="387"/>
        <v>0.61448275862068968</v>
      </c>
    </row>
    <row r="6192" spans="1:10">
      <c r="A6192" s="74" t="s">
        <v>734</v>
      </c>
      <c r="B6192" s="74" t="s">
        <v>695</v>
      </c>
      <c r="C6192" s="74" t="s">
        <v>1578</v>
      </c>
      <c r="D6192" s="74" t="s">
        <v>86</v>
      </c>
      <c r="E6192" s="74">
        <v>1</v>
      </c>
      <c r="F6192" s="74">
        <v>14.5</v>
      </c>
      <c r="G6192" s="758">
        <f t="shared" si="384"/>
        <v>5.59</v>
      </c>
      <c r="H6192" s="759">
        <f t="shared" si="385"/>
        <v>0.48</v>
      </c>
      <c r="I6192" s="758">
        <f t="shared" si="386"/>
        <v>8.91</v>
      </c>
      <c r="J6192" s="760">
        <f t="shared" si="387"/>
        <v>0.61448275862068968</v>
      </c>
    </row>
    <row r="6193" spans="1:10">
      <c r="A6193" s="74" t="s">
        <v>734</v>
      </c>
      <c r="B6193" s="74" t="s">
        <v>695</v>
      </c>
      <c r="C6193" s="74" t="s">
        <v>1522</v>
      </c>
      <c r="D6193" s="74" t="s">
        <v>91</v>
      </c>
      <c r="E6193" s="74">
        <v>2</v>
      </c>
      <c r="F6193" s="74">
        <v>40.299999999999997</v>
      </c>
      <c r="G6193" s="758">
        <f t="shared" si="384"/>
        <v>5.59</v>
      </c>
      <c r="H6193" s="759">
        <f t="shared" si="385"/>
        <v>0.48</v>
      </c>
      <c r="I6193" s="758">
        <f t="shared" si="386"/>
        <v>14.559999999999999</v>
      </c>
      <c r="J6193" s="760">
        <f t="shared" si="387"/>
        <v>0.72258064516129039</v>
      </c>
    </row>
    <row r="6194" spans="1:10">
      <c r="A6194" s="74" t="s">
        <v>2221</v>
      </c>
      <c r="B6194" s="74" t="s">
        <v>256</v>
      </c>
      <c r="C6194" s="74" t="s">
        <v>1610</v>
      </c>
      <c r="D6194" s="74" t="s">
        <v>89</v>
      </c>
      <c r="E6194" s="74">
        <v>1</v>
      </c>
      <c r="F6194" s="74">
        <v>13.9</v>
      </c>
      <c r="G6194" s="758">
        <f t="shared" si="384"/>
        <v>0</v>
      </c>
      <c r="H6194" s="759">
        <f t="shared" si="385"/>
        <v>0</v>
      </c>
      <c r="I6194" s="758">
        <f t="shared" si="386"/>
        <v>13.9</v>
      </c>
      <c r="J6194" s="760">
        <f t="shared" si="387"/>
        <v>1</v>
      </c>
    </row>
    <row r="6195" spans="1:10">
      <c r="A6195" s="74" t="s">
        <v>2221</v>
      </c>
      <c r="B6195" s="74" t="s">
        <v>256</v>
      </c>
      <c r="C6195" s="74" t="s">
        <v>1524</v>
      </c>
      <c r="D6195" s="74" t="s">
        <v>91</v>
      </c>
      <c r="E6195" s="74">
        <v>1</v>
      </c>
      <c r="F6195" s="74">
        <v>13.9</v>
      </c>
      <c r="G6195" s="758">
        <f t="shared" si="384"/>
        <v>0</v>
      </c>
      <c r="H6195" s="759">
        <f t="shared" si="385"/>
        <v>0</v>
      </c>
      <c r="I6195" s="758">
        <f t="shared" si="386"/>
        <v>13.9</v>
      </c>
      <c r="J6195" s="760">
        <f t="shared" si="387"/>
        <v>1</v>
      </c>
    </row>
    <row r="6196" spans="1:10">
      <c r="A6196" s="74" t="s">
        <v>2221</v>
      </c>
      <c r="B6196" s="74" t="s">
        <v>256</v>
      </c>
      <c r="C6196" s="74" t="s">
        <v>1557</v>
      </c>
      <c r="D6196" s="74" t="s">
        <v>95</v>
      </c>
      <c r="E6196" s="74">
        <v>1</v>
      </c>
      <c r="F6196" s="74">
        <v>13.9</v>
      </c>
      <c r="G6196" s="758">
        <f t="shared" si="384"/>
        <v>0</v>
      </c>
      <c r="H6196" s="759">
        <f t="shared" si="385"/>
        <v>0</v>
      </c>
      <c r="I6196" s="758">
        <f t="shared" si="386"/>
        <v>13.9</v>
      </c>
      <c r="J6196" s="760">
        <f t="shared" si="387"/>
        <v>1</v>
      </c>
    </row>
    <row r="6197" spans="1:10">
      <c r="A6197" s="74" t="s">
        <v>2317</v>
      </c>
      <c r="B6197" s="74" t="s">
        <v>256</v>
      </c>
      <c r="C6197" s="74" t="s">
        <v>1646</v>
      </c>
      <c r="D6197" s="74" t="s">
        <v>86</v>
      </c>
      <c r="E6197" s="74">
        <v>1</v>
      </c>
      <c r="F6197" s="74">
        <v>13.9</v>
      </c>
      <c r="G6197" s="758">
        <f t="shared" si="384"/>
        <v>0</v>
      </c>
      <c r="H6197" s="759">
        <f t="shared" si="385"/>
        <v>0</v>
      </c>
      <c r="I6197" s="758">
        <f t="shared" si="386"/>
        <v>13.9</v>
      </c>
      <c r="J6197" s="760">
        <f t="shared" si="387"/>
        <v>1</v>
      </c>
    </row>
    <row r="6198" spans="1:10">
      <c r="A6198" s="74" t="s">
        <v>706</v>
      </c>
      <c r="B6198" s="74" t="s">
        <v>256</v>
      </c>
      <c r="C6198" s="74" t="s">
        <v>1528</v>
      </c>
      <c r="D6198" s="74" t="s">
        <v>78</v>
      </c>
      <c r="E6198" s="74">
        <v>3</v>
      </c>
      <c r="F6198" s="74">
        <v>37.909999999999997</v>
      </c>
      <c r="G6198" s="758">
        <f t="shared" si="384"/>
        <v>0</v>
      </c>
      <c r="H6198" s="759">
        <f t="shared" si="385"/>
        <v>0</v>
      </c>
      <c r="I6198" s="758">
        <f t="shared" si="386"/>
        <v>12.636666666666665</v>
      </c>
      <c r="J6198" s="760">
        <f t="shared" si="387"/>
        <v>1</v>
      </c>
    </row>
    <row r="6199" spans="1:10">
      <c r="A6199" s="74" t="s">
        <v>706</v>
      </c>
      <c r="B6199" s="74" t="s">
        <v>256</v>
      </c>
      <c r="C6199" s="74" t="s">
        <v>1508</v>
      </c>
      <c r="D6199" s="74" t="s">
        <v>78</v>
      </c>
      <c r="E6199" s="74">
        <v>4</v>
      </c>
      <c r="F6199" s="74">
        <v>50.55</v>
      </c>
      <c r="G6199" s="758">
        <f t="shared" si="384"/>
        <v>0</v>
      </c>
      <c r="H6199" s="759">
        <f t="shared" si="385"/>
        <v>0</v>
      </c>
      <c r="I6199" s="758">
        <f t="shared" si="386"/>
        <v>12.637499999999999</v>
      </c>
      <c r="J6199" s="760">
        <f t="shared" si="387"/>
        <v>1</v>
      </c>
    </row>
    <row r="6200" spans="1:10">
      <c r="A6200" s="74" t="s">
        <v>706</v>
      </c>
      <c r="B6200" s="74" t="s">
        <v>256</v>
      </c>
      <c r="C6200" s="74" t="s">
        <v>1509</v>
      </c>
      <c r="D6200" s="74" t="s">
        <v>78</v>
      </c>
      <c r="E6200" s="74">
        <v>7</v>
      </c>
      <c r="F6200" s="74">
        <v>88.45</v>
      </c>
      <c r="G6200" s="758">
        <f t="shared" si="384"/>
        <v>0</v>
      </c>
      <c r="H6200" s="759">
        <f t="shared" si="385"/>
        <v>0</v>
      </c>
      <c r="I6200" s="758">
        <f t="shared" si="386"/>
        <v>12.635714285714286</v>
      </c>
      <c r="J6200" s="760">
        <f t="shared" si="387"/>
        <v>1</v>
      </c>
    </row>
    <row r="6201" spans="1:10">
      <c r="A6201" s="74" t="s">
        <v>706</v>
      </c>
      <c r="B6201" s="74" t="s">
        <v>256</v>
      </c>
      <c r="C6201" s="74" t="s">
        <v>1565</v>
      </c>
      <c r="D6201" s="74" t="s">
        <v>78</v>
      </c>
      <c r="E6201" s="74">
        <v>3</v>
      </c>
      <c r="F6201" s="74">
        <v>37.909999999999997</v>
      </c>
      <c r="G6201" s="758">
        <f t="shared" si="384"/>
        <v>0</v>
      </c>
      <c r="H6201" s="759">
        <f t="shared" si="385"/>
        <v>0</v>
      </c>
      <c r="I6201" s="758">
        <f t="shared" si="386"/>
        <v>12.636666666666665</v>
      </c>
      <c r="J6201" s="760">
        <f t="shared" si="387"/>
        <v>1</v>
      </c>
    </row>
    <row r="6202" spans="1:10">
      <c r="A6202" s="74" t="s">
        <v>706</v>
      </c>
      <c r="B6202" s="74" t="s">
        <v>256</v>
      </c>
      <c r="C6202" s="74" t="s">
        <v>1532</v>
      </c>
      <c r="D6202" s="74" t="s">
        <v>80</v>
      </c>
      <c r="E6202" s="74">
        <v>3</v>
      </c>
      <c r="F6202" s="74">
        <v>41.7</v>
      </c>
      <c r="G6202" s="758">
        <f t="shared" si="384"/>
        <v>0</v>
      </c>
      <c r="H6202" s="759">
        <f t="shared" si="385"/>
        <v>0</v>
      </c>
      <c r="I6202" s="758">
        <f t="shared" si="386"/>
        <v>13.9</v>
      </c>
      <c r="J6202" s="760">
        <f t="shared" si="387"/>
        <v>1</v>
      </c>
    </row>
    <row r="6203" spans="1:10">
      <c r="A6203" s="74" t="s">
        <v>706</v>
      </c>
      <c r="B6203" s="74" t="s">
        <v>256</v>
      </c>
      <c r="C6203" s="74" t="s">
        <v>1511</v>
      </c>
      <c r="D6203" s="74" t="s">
        <v>80</v>
      </c>
      <c r="E6203" s="74">
        <v>16</v>
      </c>
      <c r="F6203" s="74">
        <v>213.18</v>
      </c>
      <c r="G6203" s="758">
        <f t="shared" si="384"/>
        <v>0</v>
      </c>
      <c r="H6203" s="759">
        <f t="shared" si="385"/>
        <v>0</v>
      </c>
      <c r="I6203" s="758">
        <f t="shared" si="386"/>
        <v>13.32375</v>
      </c>
      <c r="J6203" s="760">
        <f t="shared" si="387"/>
        <v>1</v>
      </c>
    </row>
    <row r="6204" spans="1:10">
      <c r="A6204" s="74" t="s">
        <v>706</v>
      </c>
      <c r="B6204" s="74" t="s">
        <v>256</v>
      </c>
      <c r="C6204" s="74" t="s">
        <v>1512</v>
      </c>
      <c r="D6204" s="74" t="s">
        <v>80</v>
      </c>
      <c r="E6204" s="74">
        <v>8</v>
      </c>
      <c r="F6204" s="74">
        <v>107.98</v>
      </c>
      <c r="G6204" s="758">
        <f t="shared" si="384"/>
        <v>0</v>
      </c>
      <c r="H6204" s="759">
        <f t="shared" si="385"/>
        <v>0</v>
      </c>
      <c r="I6204" s="758">
        <f t="shared" si="386"/>
        <v>13.4975</v>
      </c>
      <c r="J6204" s="760">
        <f t="shared" si="387"/>
        <v>1</v>
      </c>
    </row>
    <row r="6205" spans="1:10">
      <c r="A6205" s="74" t="s">
        <v>706</v>
      </c>
      <c r="B6205" s="74" t="s">
        <v>256</v>
      </c>
      <c r="C6205" s="74" t="s">
        <v>1534</v>
      </c>
      <c r="D6205" s="74" t="s">
        <v>81</v>
      </c>
      <c r="E6205" s="74">
        <v>8</v>
      </c>
      <c r="F6205" s="74">
        <v>111.35</v>
      </c>
      <c r="G6205" s="758">
        <f t="shared" si="384"/>
        <v>0</v>
      </c>
      <c r="H6205" s="759">
        <f t="shared" si="385"/>
        <v>0</v>
      </c>
      <c r="I6205" s="758">
        <f t="shared" si="386"/>
        <v>13.918749999999999</v>
      </c>
      <c r="J6205" s="760">
        <f t="shared" si="387"/>
        <v>1</v>
      </c>
    </row>
    <row r="6206" spans="1:10">
      <c r="A6206" s="74" t="s">
        <v>706</v>
      </c>
      <c r="B6206" s="74" t="s">
        <v>256</v>
      </c>
      <c r="C6206" s="74" t="s">
        <v>1513</v>
      </c>
      <c r="D6206" s="74" t="s">
        <v>81</v>
      </c>
      <c r="E6206" s="74">
        <v>15</v>
      </c>
      <c r="F6206" s="74">
        <v>212.26</v>
      </c>
      <c r="G6206" s="758">
        <f t="shared" si="384"/>
        <v>0</v>
      </c>
      <c r="H6206" s="759">
        <f t="shared" si="385"/>
        <v>0</v>
      </c>
      <c r="I6206" s="758">
        <f t="shared" si="386"/>
        <v>14.150666666666666</v>
      </c>
      <c r="J6206" s="760">
        <f t="shared" si="387"/>
        <v>1</v>
      </c>
    </row>
    <row r="6207" spans="1:10">
      <c r="A6207" s="74" t="s">
        <v>706</v>
      </c>
      <c r="B6207" s="74" t="s">
        <v>256</v>
      </c>
      <c r="C6207" s="74" t="s">
        <v>1514</v>
      </c>
      <c r="D6207" s="74" t="s">
        <v>81</v>
      </c>
      <c r="E6207" s="74">
        <v>2</v>
      </c>
      <c r="F6207" s="74">
        <v>25.45</v>
      </c>
      <c r="G6207" s="758">
        <f t="shared" si="384"/>
        <v>0</v>
      </c>
      <c r="H6207" s="759">
        <f t="shared" si="385"/>
        <v>0</v>
      </c>
      <c r="I6207" s="758">
        <f t="shared" si="386"/>
        <v>12.725</v>
      </c>
      <c r="J6207" s="760">
        <f t="shared" si="387"/>
        <v>1</v>
      </c>
    </row>
    <row r="6208" spans="1:10">
      <c r="A6208" s="74" t="s">
        <v>706</v>
      </c>
      <c r="B6208" s="74" t="s">
        <v>256</v>
      </c>
      <c r="C6208" s="74" t="s">
        <v>1515</v>
      </c>
      <c r="D6208" s="74" t="s">
        <v>81</v>
      </c>
      <c r="E6208" s="74">
        <v>15</v>
      </c>
      <c r="F6208" s="74">
        <v>202.6</v>
      </c>
      <c r="G6208" s="758">
        <f t="shared" si="384"/>
        <v>0</v>
      </c>
      <c r="H6208" s="759">
        <f t="shared" si="385"/>
        <v>0</v>
      </c>
      <c r="I6208" s="758">
        <f t="shared" si="386"/>
        <v>13.506666666666666</v>
      </c>
      <c r="J6208" s="760">
        <f t="shared" si="387"/>
        <v>1</v>
      </c>
    </row>
    <row r="6209" spans="1:10">
      <c r="A6209" s="74" t="s">
        <v>706</v>
      </c>
      <c r="B6209" s="74" t="s">
        <v>256</v>
      </c>
      <c r="C6209" s="74" t="s">
        <v>1516</v>
      </c>
      <c r="D6209" s="74" t="s">
        <v>82</v>
      </c>
      <c r="E6209" s="74">
        <v>3</v>
      </c>
      <c r="F6209" s="74">
        <v>48.1</v>
      </c>
      <c r="G6209" s="758">
        <f t="shared" si="384"/>
        <v>0</v>
      </c>
      <c r="H6209" s="759">
        <f t="shared" si="385"/>
        <v>0</v>
      </c>
      <c r="I6209" s="758">
        <f t="shared" si="386"/>
        <v>16.033333333333335</v>
      </c>
      <c r="J6209" s="760">
        <f t="shared" si="387"/>
        <v>1</v>
      </c>
    </row>
    <row r="6210" spans="1:10">
      <c r="A6210" s="74" t="s">
        <v>706</v>
      </c>
      <c r="B6210" s="74" t="s">
        <v>256</v>
      </c>
      <c r="C6210" s="74" t="s">
        <v>1517</v>
      </c>
      <c r="D6210" s="74" t="s">
        <v>82</v>
      </c>
      <c r="E6210" s="74">
        <v>7</v>
      </c>
      <c r="F6210" s="74">
        <v>97.6</v>
      </c>
      <c r="G6210" s="758">
        <f t="shared" ref="G6210:G6273" si="388">IFERROR(VLOOKUP(A6210,$M$1:$P$1014,2,FALSE),0)</f>
        <v>0</v>
      </c>
      <c r="H6210" s="759">
        <f t="shared" ref="H6210:H6273" si="389">IFERROR(VLOOKUP(A6210,$M$1:$P$1014,3,FALSE),0)</f>
        <v>0</v>
      </c>
      <c r="I6210" s="758">
        <f t="shared" ref="I6210:I6273" si="390">IFERROR(F6210/E6210-G6210,0)</f>
        <v>13.942857142857141</v>
      </c>
      <c r="J6210" s="760">
        <f t="shared" ref="J6210:J6273" si="391">IFERROR(1-G6210*E6210/F6210,0)</f>
        <v>1</v>
      </c>
    </row>
    <row r="6211" spans="1:10">
      <c r="A6211" s="74" t="s">
        <v>706</v>
      </c>
      <c r="B6211" s="74" t="s">
        <v>256</v>
      </c>
      <c r="C6211" s="74" t="s">
        <v>1527</v>
      </c>
      <c r="D6211" s="74" t="s">
        <v>82</v>
      </c>
      <c r="E6211" s="74">
        <v>12</v>
      </c>
      <c r="F6211" s="74">
        <v>175.3</v>
      </c>
      <c r="G6211" s="758">
        <f t="shared" si="388"/>
        <v>0</v>
      </c>
      <c r="H6211" s="759">
        <f t="shared" si="389"/>
        <v>0</v>
      </c>
      <c r="I6211" s="758">
        <f t="shared" si="390"/>
        <v>14.608333333333334</v>
      </c>
      <c r="J6211" s="760">
        <f t="shared" si="391"/>
        <v>1</v>
      </c>
    </row>
    <row r="6212" spans="1:10">
      <c r="A6212" s="74" t="s">
        <v>706</v>
      </c>
      <c r="B6212" s="74" t="s">
        <v>256</v>
      </c>
      <c r="C6212" s="74" t="s">
        <v>1518</v>
      </c>
      <c r="D6212" s="74" t="s">
        <v>82</v>
      </c>
      <c r="E6212" s="74">
        <v>7</v>
      </c>
      <c r="F6212" s="74">
        <v>125.4</v>
      </c>
      <c r="G6212" s="758">
        <f t="shared" si="388"/>
        <v>0</v>
      </c>
      <c r="H6212" s="759">
        <f t="shared" si="389"/>
        <v>0</v>
      </c>
      <c r="I6212" s="758">
        <f t="shared" si="390"/>
        <v>17.914285714285715</v>
      </c>
      <c r="J6212" s="760">
        <f t="shared" si="391"/>
        <v>1</v>
      </c>
    </row>
    <row r="6213" spans="1:10">
      <c r="A6213" s="74" t="s">
        <v>706</v>
      </c>
      <c r="B6213" s="74" t="s">
        <v>256</v>
      </c>
      <c r="C6213" s="74" t="s">
        <v>1519</v>
      </c>
      <c r="D6213" s="74" t="s">
        <v>84</v>
      </c>
      <c r="E6213" s="74">
        <v>3</v>
      </c>
      <c r="F6213" s="74">
        <v>42</v>
      </c>
      <c r="G6213" s="758">
        <f t="shared" si="388"/>
        <v>0</v>
      </c>
      <c r="H6213" s="759">
        <f t="shared" si="389"/>
        <v>0</v>
      </c>
      <c r="I6213" s="758">
        <f t="shared" si="390"/>
        <v>14</v>
      </c>
      <c r="J6213" s="760">
        <f t="shared" si="391"/>
        <v>1</v>
      </c>
    </row>
    <row r="6214" spans="1:10">
      <c r="A6214" s="74" t="s">
        <v>706</v>
      </c>
      <c r="B6214" s="74" t="s">
        <v>256</v>
      </c>
      <c r="C6214" s="74" t="s">
        <v>1520</v>
      </c>
      <c r="D6214" s="74" t="s">
        <v>84</v>
      </c>
      <c r="E6214" s="74">
        <v>1</v>
      </c>
      <c r="F6214" s="74">
        <v>14.05</v>
      </c>
      <c r="G6214" s="758">
        <f t="shared" si="388"/>
        <v>0</v>
      </c>
      <c r="H6214" s="759">
        <f t="shared" si="389"/>
        <v>0</v>
      </c>
      <c r="I6214" s="758">
        <f t="shared" si="390"/>
        <v>14.05</v>
      </c>
      <c r="J6214" s="760">
        <f t="shared" si="391"/>
        <v>1</v>
      </c>
    </row>
    <row r="6215" spans="1:10">
      <c r="A6215" s="74" t="s">
        <v>706</v>
      </c>
      <c r="B6215" s="74" t="s">
        <v>256</v>
      </c>
      <c r="C6215" s="74" t="s">
        <v>1646</v>
      </c>
      <c r="D6215" s="74" t="s">
        <v>86</v>
      </c>
      <c r="E6215" s="74">
        <v>1</v>
      </c>
      <c r="F6215" s="74">
        <v>14.05</v>
      </c>
      <c r="G6215" s="758">
        <f t="shared" si="388"/>
        <v>0</v>
      </c>
      <c r="H6215" s="759">
        <f t="shared" si="389"/>
        <v>0</v>
      </c>
      <c r="I6215" s="758">
        <f t="shared" si="390"/>
        <v>14.05</v>
      </c>
      <c r="J6215" s="760">
        <f t="shared" si="391"/>
        <v>1</v>
      </c>
    </row>
    <row r="6216" spans="1:10">
      <c r="A6216" s="74" t="s">
        <v>706</v>
      </c>
      <c r="B6216" s="74" t="s">
        <v>256</v>
      </c>
      <c r="C6216" s="74" t="s">
        <v>1541</v>
      </c>
      <c r="D6216" s="74" t="s">
        <v>86</v>
      </c>
      <c r="E6216" s="74">
        <v>1</v>
      </c>
      <c r="F6216" s="74">
        <v>13.9</v>
      </c>
      <c r="G6216" s="758">
        <f t="shared" si="388"/>
        <v>0</v>
      </c>
      <c r="H6216" s="759">
        <f t="shared" si="389"/>
        <v>0</v>
      </c>
      <c r="I6216" s="758">
        <f t="shared" si="390"/>
        <v>13.9</v>
      </c>
      <c r="J6216" s="760">
        <f t="shared" si="391"/>
        <v>1</v>
      </c>
    </row>
    <row r="6217" spans="1:10">
      <c r="A6217" s="74" t="s">
        <v>706</v>
      </c>
      <c r="B6217" s="74" t="s">
        <v>256</v>
      </c>
      <c r="C6217" s="74" t="s">
        <v>1544</v>
      </c>
      <c r="D6217" s="74" t="s">
        <v>87</v>
      </c>
      <c r="E6217" s="74">
        <v>1</v>
      </c>
      <c r="F6217" s="74">
        <v>13.9</v>
      </c>
      <c r="G6217" s="758">
        <f t="shared" si="388"/>
        <v>0</v>
      </c>
      <c r="H6217" s="759">
        <f t="shared" si="389"/>
        <v>0</v>
      </c>
      <c r="I6217" s="758">
        <f t="shared" si="390"/>
        <v>13.9</v>
      </c>
      <c r="J6217" s="760">
        <f t="shared" si="391"/>
        <v>1</v>
      </c>
    </row>
    <row r="6218" spans="1:10">
      <c r="A6218" s="74" t="s">
        <v>706</v>
      </c>
      <c r="B6218" s="74" t="s">
        <v>256</v>
      </c>
      <c r="C6218" s="74" t="s">
        <v>1610</v>
      </c>
      <c r="D6218" s="74" t="s">
        <v>89</v>
      </c>
      <c r="E6218" s="74">
        <v>1</v>
      </c>
      <c r="F6218" s="74">
        <v>13.9</v>
      </c>
      <c r="G6218" s="758">
        <f t="shared" si="388"/>
        <v>0</v>
      </c>
      <c r="H6218" s="759">
        <f t="shared" si="389"/>
        <v>0</v>
      </c>
      <c r="I6218" s="758">
        <f t="shared" si="390"/>
        <v>13.9</v>
      </c>
      <c r="J6218" s="760">
        <f t="shared" si="391"/>
        <v>1</v>
      </c>
    </row>
    <row r="6219" spans="1:10">
      <c r="A6219" s="74" t="s">
        <v>706</v>
      </c>
      <c r="B6219" s="74" t="s">
        <v>256</v>
      </c>
      <c r="C6219" s="74" t="s">
        <v>1522</v>
      </c>
      <c r="D6219" s="74" t="s">
        <v>91</v>
      </c>
      <c r="E6219" s="74">
        <v>1</v>
      </c>
      <c r="F6219" s="74">
        <v>14.15</v>
      </c>
      <c r="G6219" s="758">
        <f t="shared" si="388"/>
        <v>0</v>
      </c>
      <c r="H6219" s="759">
        <f t="shared" si="389"/>
        <v>0</v>
      </c>
      <c r="I6219" s="758">
        <f t="shared" si="390"/>
        <v>14.15</v>
      </c>
      <c r="J6219" s="760">
        <f t="shared" si="391"/>
        <v>1</v>
      </c>
    </row>
    <row r="6220" spans="1:10">
      <c r="A6220" s="74" t="s">
        <v>2223</v>
      </c>
      <c r="B6220" s="74" t="s">
        <v>873</v>
      </c>
      <c r="C6220" s="74" t="s">
        <v>1610</v>
      </c>
      <c r="D6220" s="74" t="s">
        <v>89</v>
      </c>
      <c r="E6220" s="74">
        <v>1</v>
      </c>
      <c r="F6220" s="74">
        <v>4</v>
      </c>
      <c r="G6220" s="758">
        <f t="shared" si="388"/>
        <v>0</v>
      </c>
      <c r="H6220" s="759">
        <f t="shared" si="389"/>
        <v>0</v>
      </c>
      <c r="I6220" s="758">
        <f t="shared" si="390"/>
        <v>4</v>
      </c>
      <c r="J6220" s="760">
        <f t="shared" si="391"/>
        <v>1</v>
      </c>
    </row>
    <row r="6221" spans="1:10">
      <c r="A6221" s="74" t="s">
        <v>2318</v>
      </c>
      <c r="B6221" s="74" t="s">
        <v>873</v>
      </c>
      <c r="C6221" s="74" t="s">
        <v>1582</v>
      </c>
      <c r="D6221" s="74" t="s">
        <v>89</v>
      </c>
      <c r="E6221" s="74">
        <v>1</v>
      </c>
      <c r="F6221" s="74">
        <v>4</v>
      </c>
      <c r="G6221" s="758">
        <f t="shared" si="388"/>
        <v>0</v>
      </c>
      <c r="H6221" s="759">
        <f t="shared" si="389"/>
        <v>0</v>
      </c>
      <c r="I6221" s="758">
        <f t="shared" si="390"/>
        <v>4</v>
      </c>
      <c r="J6221" s="760">
        <f t="shared" si="391"/>
        <v>1</v>
      </c>
    </row>
    <row r="6222" spans="1:10">
      <c r="A6222" s="74" t="s">
        <v>2225</v>
      </c>
      <c r="B6222" s="74" t="s">
        <v>256</v>
      </c>
      <c r="C6222" s="74" t="s">
        <v>1528</v>
      </c>
      <c r="D6222" s="74" t="s">
        <v>78</v>
      </c>
      <c r="E6222" s="74">
        <v>11</v>
      </c>
      <c r="F6222" s="74">
        <v>153.05000000000001</v>
      </c>
      <c r="G6222" s="758">
        <f t="shared" si="388"/>
        <v>2.8</v>
      </c>
      <c r="H6222" s="759">
        <f t="shared" si="389"/>
        <v>0.22</v>
      </c>
      <c r="I6222" s="758">
        <f t="shared" si="390"/>
        <v>11.113636363636363</v>
      </c>
      <c r="J6222" s="760">
        <f t="shared" si="391"/>
        <v>0.79875857562887953</v>
      </c>
    </row>
    <row r="6223" spans="1:10">
      <c r="A6223" s="74" t="s">
        <v>2225</v>
      </c>
      <c r="B6223" s="74" t="s">
        <v>256</v>
      </c>
      <c r="C6223" s="74" t="s">
        <v>1508</v>
      </c>
      <c r="D6223" s="74" t="s">
        <v>78</v>
      </c>
      <c r="E6223" s="74">
        <v>8</v>
      </c>
      <c r="F6223" s="74">
        <v>111.49</v>
      </c>
      <c r="G6223" s="758">
        <f t="shared" si="388"/>
        <v>2.8</v>
      </c>
      <c r="H6223" s="759">
        <f t="shared" si="389"/>
        <v>0.22</v>
      </c>
      <c r="I6223" s="758">
        <f t="shared" si="390"/>
        <v>11.13625</v>
      </c>
      <c r="J6223" s="760">
        <f t="shared" si="391"/>
        <v>0.79908511974168084</v>
      </c>
    </row>
    <row r="6224" spans="1:10">
      <c r="A6224" s="74" t="s">
        <v>2225</v>
      </c>
      <c r="B6224" s="74" t="s">
        <v>256</v>
      </c>
      <c r="C6224" s="74" t="s">
        <v>1509</v>
      </c>
      <c r="D6224" s="74" t="s">
        <v>78</v>
      </c>
      <c r="E6224" s="74">
        <v>8</v>
      </c>
      <c r="F6224" s="74">
        <v>111.35</v>
      </c>
      <c r="G6224" s="758">
        <f t="shared" si="388"/>
        <v>2.8</v>
      </c>
      <c r="H6224" s="759">
        <f t="shared" si="389"/>
        <v>0.22</v>
      </c>
      <c r="I6224" s="758">
        <f t="shared" si="390"/>
        <v>11.118749999999999</v>
      </c>
      <c r="J6224" s="760">
        <f t="shared" si="391"/>
        <v>0.79883251010327794</v>
      </c>
    </row>
    <row r="6225" spans="1:10">
      <c r="A6225" s="74" t="s">
        <v>2225</v>
      </c>
      <c r="B6225" s="74" t="s">
        <v>256</v>
      </c>
      <c r="C6225" s="74" t="s">
        <v>1565</v>
      </c>
      <c r="D6225" s="74" t="s">
        <v>78</v>
      </c>
      <c r="E6225" s="74">
        <v>2</v>
      </c>
      <c r="F6225" s="74">
        <v>27.8</v>
      </c>
      <c r="G6225" s="758">
        <f t="shared" si="388"/>
        <v>2.8</v>
      </c>
      <c r="H6225" s="759">
        <f t="shared" si="389"/>
        <v>0.22</v>
      </c>
      <c r="I6225" s="758">
        <f t="shared" si="390"/>
        <v>11.100000000000001</v>
      </c>
      <c r="J6225" s="760">
        <f t="shared" si="391"/>
        <v>0.79856115107913672</v>
      </c>
    </row>
    <row r="6226" spans="1:10">
      <c r="A6226" s="74" t="s">
        <v>2225</v>
      </c>
      <c r="B6226" s="74" t="s">
        <v>256</v>
      </c>
      <c r="C6226" s="74" t="s">
        <v>1532</v>
      </c>
      <c r="D6226" s="74" t="s">
        <v>80</v>
      </c>
      <c r="E6226" s="74">
        <v>1</v>
      </c>
      <c r="F6226" s="74">
        <v>13.9</v>
      </c>
      <c r="G6226" s="758">
        <f t="shared" si="388"/>
        <v>2.8</v>
      </c>
      <c r="H6226" s="759">
        <f t="shared" si="389"/>
        <v>0.22</v>
      </c>
      <c r="I6226" s="758">
        <f t="shared" si="390"/>
        <v>11.100000000000001</v>
      </c>
      <c r="J6226" s="760">
        <f t="shared" si="391"/>
        <v>0.79856115107913672</v>
      </c>
    </row>
    <row r="6227" spans="1:10">
      <c r="A6227" s="74" t="s">
        <v>2225</v>
      </c>
      <c r="B6227" s="74" t="s">
        <v>256</v>
      </c>
      <c r="C6227" s="74" t="s">
        <v>1512</v>
      </c>
      <c r="D6227" s="74" t="s">
        <v>80</v>
      </c>
      <c r="E6227" s="74">
        <v>1</v>
      </c>
      <c r="F6227" s="74">
        <v>13.9</v>
      </c>
      <c r="G6227" s="758">
        <f t="shared" si="388"/>
        <v>2.8</v>
      </c>
      <c r="H6227" s="759">
        <f t="shared" si="389"/>
        <v>0.22</v>
      </c>
      <c r="I6227" s="758">
        <f t="shared" si="390"/>
        <v>11.100000000000001</v>
      </c>
      <c r="J6227" s="760">
        <f t="shared" si="391"/>
        <v>0.79856115107913672</v>
      </c>
    </row>
    <row r="6228" spans="1:10">
      <c r="A6228" s="74" t="s">
        <v>1096</v>
      </c>
      <c r="B6228" s="74" t="s">
        <v>877</v>
      </c>
      <c r="C6228" s="74" t="s">
        <v>1546</v>
      </c>
      <c r="D6228" s="74" t="s">
        <v>89</v>
      </c>
      <c r="E6228" s="74">
        <v>11</v>
      </c>
      <c r="F6228" s="74">
        <v>0</v>
      </c>
      <c r="G6228" s="758">
        <f t="shared" si="388"/>
        <v>0</v>
      </c>
      <c r="H6228" s="759">
        <f t="shared" si="389"/>
        <v>0</v>
      </c>
      <c r="I6228" s="758">
        <f t="shared" si="390"/>
        <v>0</v>
      </c>
      <c r="J6228" s="760">
        <f t="shared" si="391"/>
        <v>0</v>
      </c>
    </row>
    <row r="6229" spans="1:10">
      <c r="A6229" s="74" t="s">
        <v>2226</v>
      </c>
      <c r="B6229" s="74" t="s">
        <v>258</v>
      </c>
      <c r="C6229" s="74" t="s">
        <v>1584</v>
      </c>
      <c r="D6229" s="74" t="s">
        <v>92</v>
      </c>
      <c r="E6229" s="74">
        <v>1</v>
      </c>
      <c r="F6229" s="74">
        <v>3</v>
      </c>
      <c r="G6229" s="758">
        <f t="shared" si="388"/>
        <v>0</v>
      </c>
      <c r="H6229" s="759">
        <f t="shared" si="389"/>
        <v>0</v>
      </c>
      <c r="I6229" s="758">
        <f t="shared" si="390"/>
        <v>3</v>
      </c>
      <c r="J6229" s="760">
        <f t="shared" si="391"/>
        <v>1</v>
      </c>
    </row>
    <row r="6230" spans="1:10">
      <c r="A6230" s="74" t="s">
        <v>2226</v>
      </c>
      <c r="B6230" s="74" t="s">
        <v>258</v>
      </c>
      <c r="C6230" s="74" t="s">
        <v>1614</v>
      </c>
      <c r="D6230" s="74" t="s">
        <v>92</v>
      </c>
      <c r="E6230" s="74">
        <v>1</v>
      </c>
      <c r="F6230" s="74">
        <v>3</v>
      </c>
      <c r="G6230" s="758">
        <f t="shared" si="388"/>
        <v>0</v>
      </c>
      <c r="H6230" s="759">
        <f t="shared" si="389"/>
        <v>0</v>
      </c>
      <c r="I6230" s="758">
        <f t="shared" si="390"/>
        <v>3</v>
      </c>
      <c r="J6230" s="760">
        <f t="shared" si="391"/>
        <v>1</v>
      </c>
    </row>
    <row r="6231" spans="1:10">
      <c r="A6231" s="74" t="s">
        <v>2227</v>
      </c>
      <c r="B6231" s="74" t="s">
        <v>275</v>
      </c>
      <c r="C6231" s="74" t="s">
        <v>1547</v>
      </c>
      <c r="D6231" s="74" t="s">
        <v>89</v>
      </c>
      <c r="E6231" s="74">
        <v>1</v>
      </c>
      <c r="F6231" s="74">
        <v>1.5</v>
      </c>
      <c r="G6231" s="758">
        <f t="shared" si="388"/>
        <v>0</v>
      </c>
      <c r="H6231" s="759">
        <f t="shared" si="389"/>
        <v>0</v>
      </c>
      <c r="I6231" s="758">
        <f t="shared" si="390"/>
        <v>1.5</v>
      </c>
      <c r="J6231" s="760">
        <f t="shared" si="391"/>
        <v>1</v>
      </c>
    </row>
    <row r="6232" spans="1:10">
      <c r="A6232" s="74" t="s">
        <v>2228</v>
      </c>
      <c r="B6232" s="74" t="s">
        <v>276</v>
      </c>
      <c r="C6232" s="74" t="s">
        <v>1528</v>
      </c>
      <c r="D6232" s="74" t="s">
        <v>78</v>
      </c>
      <c r="E6232" s="74">
        <v>1</v>
      </c>
      <c r="F6232" s="74">
        <v>18.149999999999999</v>
      </c>
      <c r="G6232" s="758">
        <f t="shared" si="388"/>
        <v>4.55</v>
      </c>
      <c r="H6232" s="759">
        <f t="shared" si="389"/>
        <v>0.28000000000000003</v>
      </c>
      <c r="I6232" s="758">
        <f t="shared" si="390"/>
        <v>13.599999999999998</v>
      </c>
      <c r="J6232" s="760">
        <f t="shared" si="391"/>
        <v>0.74931129476584024</v>
      </c>
    </row>
    <row r="6233" spans="1:10">
      <c r="A6233" s="74" t="s">
        <v>2228</v>
      </c>
      <c r="B6233" s="74" t="s">
        <v>276</v>
      </c>
      <c r="C6233" s="74" t="s">
        <v>1509</v>
      </c>
      <c r="D6233" s="74" t="s">
        <v>78</v>
      </c>
      <c r="E6233" s="74">
        <v>1</v>
      </c>
      <c r="F6233" s="74">
        <v>18.149999999999999</v>
      </c>
      <c r="G6233" s="758">
        <f t="shared" si="388"/>
        <v>4.55</v>
      </c>
      <c r="H6233" s="759">
        <f t="shared" si="389"/>
        <v>0.28000000000000003</v>
      </c>
      <c r="I6233" s="758">
        <f t="shared" si="390"/>
        <v>13.599999999999998</v>
      </c>
      <c r="J6233" s="760">
        <f t="shared" si="391"/>
        <v>0.74931129476584024</v>
      </c>
    </row>
    <row r="6234" spans="1:10">
      <c r="A6234" s="74" t="s">
        <v>929</v>
      </c>
      <c r="B6234" s="74" t="s">
        <v>276</v>
      </c>
      <c r="C6234" s="74" t="s">
        <v>1528</v>
      </c>
      <c r="D6234" s="74" t="s">
        <v>78</v>
      </c>
      <c r="E6234" s="74">
        <v>4</v>
      </c>
      <c r="F6234" s="74">
        <v>15.15</v>
      </c>
      <c r="G6234" s="758">
        <f t="shared" si="388"/>
        <v>0.75</v>
      </c>
      <c r="H6234" s="759">
        <f t="shared" si="389"/>
        <v>0.27</v>
      </c>
      <c r="I6234" s="758">
        <f t="shared" si="390"/>
        <v>3.0375000000000001</v>
      </c>
      <c r="J6234" s="760">
        <f t="shared" si="391"/>
        <v>0.80198019801980203</v>
      </c>
    </row>
    <row r="6235" spans="1:10">
      <c r="A6235" s="74" t="s">
        <v>929</v>
      </c>
      <c r="B6235" s="74" t="s">
        <v>276</v>
      </c>
      <c r="C6235" s="74" t="s">
        <v>1508</v>
      </c>
      <c r="D6235" s="74" t="s">
        <v>78</v>
      </c>
      <c r="E6235" s="74">
        <v>3</v>
      </c>
      <c r="F6235" s="74">
        <v>11.25</v>
      </c>
      <c r="G6235" s="758">
        <f t="shared" si="388"/>
        <v>0.75</v>
      </c>
      <c r="H6235" s="759">
        <f t="shared" si="389"/>
        <v>0.27</v>
      </c>
      <c r="I6235" s="758">
        <f t="shared" si="390"/>
        <v>3</v>
      </c>
      <c r="J6235" s="760">
        <f t="shared" si="391"/>
        <v>0.8</v>
      </c>
    </row>
    <row r="6236" spans="1:10">
      <c r="A6236" s="74" t="s">
        <v>929</v>
      </c>
      <c r="B6236" s="74" t="s">
        <v>276</v>
      </c>
      <c r="C6236" s="74" t="s">
        <v>1509</v>
      </c>
      <c r="D6236" s="74" t="s">
        <v>78</v>
      </c>
      <c r="E6236" s="74">
        <v>3</v>
      </c>
      <c r="F6236" s="74">
        <v>11.25</v>
      </c>
      <c r="G6236" s="758">
        <f t="shared" si="388"/>
        <v>0.75</v>
      </c>
      <c r="H6236" s="759">
        <f t="shared" si="389"/>
        <v>0.27</v>
      </c>
      <c r="I6236" s="758">
        <f t="shared" si="390"/>
        <v>3</v>
      </c>
      <c r="J6236" s="760">
        <f t="shared" si="391"/>
        <v>0.8</v>
      </c>
    </row>
    <row r="6237" spans="1:10">
      <c r="A6237" s="74" t="s">
        <v>929</v>
      </c>
      <c r="B6237" s="74" t="s">
        <v>276</v>
      </c>
      <c r="C6237" s="74" t="s">
        <v>1565</v>
      </c>
      <c r="D6237" s="74" t="s">
        <v>78</v>
      </c>
      <c r="E6237" s="74">
        <v>3</v>
      </c>
      <c r="F6237" s="74">
        <v>11.25</v>
      </c>
      <c r="G6237" s="758">
        <f t="shared" si="388"/>
        <v>0.75</v>
      </c>
      <c r="H6237" s="759">
        <f t="shared" si="389"/>
        <v>0.27</v>
      </c>
      <c r="I6237" s="758">
        <f t="shared" si="390"/>
        <v>3</v>
      </c>
      <c r="J6237" s="760">
        <f t="shared" si="391"/>
        <v>0.8</v>
      </c>
    </row>
    <row r="6238" spans="1:10">
      <c r="A6238" s="74" t="s">
        <v>929</v>
      </c>
      <c r="B6238" s="74" t="s">
        <v>276</v>
      </c>
      <c r="C6238" s="74" t="s">
        <v>1511</v>
      </c>
      <c r="D6238" s="74" t="s">
        <v>80</v>
      </c>
      <c r="E6238" s="74">
        <v>1</v>
      </c>
      <c r="F6238" s="74">
        <v>3.75</v>
      </c>
      <c r="G6238" s="758">
        <f t="shared" si="388"/>
        <v>0.75</v>
      </c>
      <c r="H6238" s="759">
        <f t="shared" si="389"/>
        <v>0.27</v>
      </c>
      <c r="I6238" s="758">
        <f t="shared" si="390"/>
        <v>3</v>
      </c>
      <c r="J6238" s="760">
        <f t="shared" si="391"/>
        <v>0.8</v>
      </c>
    </row>
    <row r="6239" spans="1:10">
      <c r="A6239" s="74" t="s">
        <v>929</v>
      </c>
      <c r="B6239" s="74" t="s">
        <v>276</v>
      </c>
      <c r="C6239" s="74" t="s">
        <v>1646</v>
      </c>
      <c r="D6239" s="74" t="s">
        <v>86</v>
      </c>
      <c r="E6239" s="74">
        <v>1</v>
      </c>
      <c r="F6239" s="74">
        <v>3.75</v>
      </c>
      <c r="G6239" s="758">
        <f t="shared" si="388"/>
        <v>0.75</v>
      </c>
      <c r="H6239" s="759">
        <f t="shared" si="389"/>
        <v>0.27</v>
      </c>
      <c r="I6239" s="758">
        <f t="shared" si="390"/>
        <v>3</v>
      </c>
      <c r="J6239" s="760">
        <f t="shared" si="391"/>
        <v>0.8</v>
      </c>
    </row>
    <row r="6240" spans="1:10">
      <c r="A6240" s="74" t="s">
        <v>929</v>
      </c>
      <c r="B6240" s="74" t="s">
        <v>276</v>
      </c>
      <c r="C6240" s="74" t="s">
        <v>1675</v>
      </c>
      <c r="D6240" s="74" t="s">
        <v>91</v>
      </c>
      <c r="E6240" s="74">
        <v>1</v>
      </c>
      <c r="F6240" s="74">
        <v>3.75</v>
      </c>
      <c r="G6240" s="758">
        <f t="shared" si="388"/>
        <v>0.75</v>
      </c>
      <c r="H6240" s="759">
        <f t="shared" si="389"/>
        <v>0.27</v>
      </c>
      <c r="I6240" s="758">
        <f t="shared" si="390"/>
        <v>3</v>
      </c>
      <c r="J6240" s="760">
        <f t="shared" si="391"/>
        <v>0.8</v>
      </c>
    </row>
    <row r="6241" spans="1:10">
      <c r="A6241" s="74" t="s">
        <v>929</v>
      </c>
      <c r="B6241" s="74" t="s">
        <v>276</v>
      </c>
      <c r="C6241" s="74" t="s">
        <v>1555</v>
      </c>
      <c r="D6241" s="74" t="s">
        <v>94</v>
      </c>
      <c r="E6241" s="74">
        <v>1</v>
      </c>
      <c r="F6241" s="74">
        <v>3.75</v>
      </c>
      <c r="G6241" s="758">
        <f t="shared" si="388"/>
        <v>0.75</v>
      </c>
      <c r="H6241" s="759">
        <f t="shared" si="389"/>
        <v>0.27</v>
      </c>
      <c r="I6241" s="758">
        <f t="shared" si="390"/>
        <v>3</v>
      </c>
      <c r="J6241" s="760">
        <f t="shared" si="391"/>
        <v>0.8</v>
      </c>
    </row>
    <row r="6242" spans="1:10">
      <c r="A6242" s="74" t="s">
        <v>2229</v>
      </c>
      <c r="B6242" s="74" t="s">
        <v>276</v>
      </c>
      <c r="C6242" s="74" t="s">
        <v>1518</v>
      </c>
      <c r="D6242" s="74" t="s">
        <v>82</v>
      </c>
      <c r="E6242" s="74">
        <v>3</v>
      </c>
      <c r="F6242" s="74">
        <v>11.25</v>
      </c>
      <c r="G6242" s="758">
        <f t="shared" si="388"/>
        <v>0.91</v>
      </c>
      <c r="H6242" s="759">
        <f t="shared" si="389"/>
        <v>0.27</v>
      </c>
      <c r="I6242" s="758">
        <f t="shared" si="390"/>
        <v>2.84</v>
      </c>
      <c r="J6242" s="760">
        <f t="shared" si="391"/>
        <v>0.7573333333333333</v>
      </c>
    </row>
    <row r="6243" spans="1:10">
      <c r="A6243" s="74" t="s">
        <v>2230</v>
      </c>
      <c r="B6243" s="74" t="s">
        <v>276</v>
      </c>
      <c r="C6243" s="74" t="s">
        <v>1512</v>
      </c>
      <c r="D6243" s="74" t="s">
        <v>80</v>
      </c>
      <c r="E6243" s="74">
        <v>1</v>
      </c>
      <c r="F6243" s="74">
        <v>3.75</v>
      </c>
      <c r="G6243" s="758">
        <f t="shared" si="388"/>
        <v>0.91</v>
      </c>
      <c r="H6243" s="759">
        <f t="shared" si="389"/>
        <v>0.26</v>
      </c>
      <c r="I6243" s="758">
        <f t="shared" si="390"/>
        <v>2.84</v>
      </c>
      <c r="J6243" s="760">
        <f t="shared" si="391"/>
        <v>0.7573333333333333</v>
      </c>
    </row>
    <row r="6244" spans="1:10">
      <c r="A6244" s="74" t="s">
        <v>2230</v>
      </c>
      <c r="B6244" s="74" t="s">
        <v>276</v>
      </c>
      <c r="C6244" s="74" t="s">
        <v>1514</v>
      </c>
      <c r="D6244" s="74" t="s">
        <v>81</v>
      </c>
      <c r="E6244" s="74">
        <v>3</v>
      </c>
      <c r="F6244" s="74">
        <v>11.55</v>
      </c>
      <c r="G6244" s="758">
        <f t="shared" si="388"/>
        <v>0.91</v>
      </c>
      <c r="H6244" s="759">
        <f t="shared" si="389"/>
        <v>0.26</v>
      </c>
      <c r="I6244" s="758">
        <f t="shared" si="390"/>
        <v>2.94</v>
      </c>
      <c r="J6244" s="760">
        <f t="shared" si="391"/>
        <v>0.76363636363636367</v>
      </c>
    </row>
    <row r="6245" spans="1:10">
      <c r="A6245" s="74" t="s">
        <v>2230</v>
      </c>
      <c r="B6245" s="74" t="s">
        <v>276</v>
      </c>
      <c r="C6245" s="74" t="s">
        <v>1517</v>
      </c>
      <c r="D6245" s="74" t="s">
        <v>82</v>
      </c>
      <c r="E6245" s="74">
        <v>4</v>
      </c>
      <c r="F6245" s="74">
        <v>15.15</v>
      </c>
      <c r="G6245" s="758">
        <f t="shared" si="388"/>
        <v>0.91</v>
      </c>
      <c r="H6245" s="759">
        <f t="shared" si="389"/>
        <v>0.26</v>
      </c>
      <c r="I6245" s="758">
        <f t="shared" si="390"/>
        <v>2.8774999999999999</v>
      </c>
      <c r="J6245" s="760">
        <f t="shared" si="391"/>
        <v>0.75973597359735967</v>
      </c>
    </row>
    <row r="6246" spans="1:10">
      <c r="A6246" s="74" t="s">
        <v>2230</v>
      </c>
      <c r="B6246" s="74" t="s">
        <v>276</v>
      </c>
      <c r="C6246" s="74" t="s">
        <v>1527</v>
      </c>
      <c r="D6246" s="74" t="s">
        <v>82</v>
      </c>
      <c r="E6246" s="74">
        <v>9</v>
      </c>
      <c r="F6246" s="74">
        <v>34.35</v>
      </c>
      <c r="G6246" s="758">
        <f t="shared" si="388"/>
        <v>0.91</v>
      </c>
      <c r="H6246" s="759">
        <f t="shared" si="389"/>
        <v>0.26</v>
      </c>
      <c r="I6246" s="758">
        <f t="shared" si="390"/>
        <v>2.9066666666666667</v>
      </c>
      <c r="J6246" s="760">
        <f t="shared" si="391"/>
        <v>0.76157205240174675</v>
      </c>
    </row>
    <row r="6247" spans="1:10">
      <c r="A6247" s="74" t="s">
        <v>2230</v>
      </c>
      <c r="B6247" s="74" t="s">
        <v>276</v>
      </c>
      <c r="C6247" s="74" t="s">
        <v>1518</v>
      </c>
      <c r="D6247" s="74" t="s">
        <v>82</v>
      </c>
      <c r="E6247" s="74">
        <v>6</v>
      </c>
      <c r="F6247" s="74">
        <v>22.8</v>
      </c>
      <c r="G6247" s="758">
        <f t="shared" si="388"/>
        <v>0.91</v>
      </c>
      <c r="H6247" s="759">
        <f t="shared" si="389"/>
        <v>0.26</v>
      </c>
      <c r="I6247" s="758">
        <f t="shared" si="390"/>
        <v>2.89</v>
      </c>
      <c r="J6247" s="760">
        <f t="shared" si="391"/>
        <v>0.76052631578947372</v>
      </c>
    </row>
    <row r="6248" spans="1:10">
      <c r="A6248" s="74" t="s">
        <v>2231</v>
      </c>
      <c r="B6248" s="74" t="s">
        <v>276</v>
      </c>
      <c r="C6248" s="74" t="s">
        <v>1532</v>
      </c>
      <c r="D6248" s="74" t="s">
        <v>80</v>
      </c>
      <c r="E6248" s="74">
        <v>2</v>
      </c>
      <c r="F6248" s="74">
        <v>36.299999999999997</v>
      </c>
      <c r="G6248" s="758">
        <f t="shared" si="388"/>
        <v>4.55</v>
      </c>
      <c r="H6248" s="759">
        <f t="shared" si="389"/>
        <v>0.28000000000000003</v>
      </c>
      <c r="I6248" s="758">
        <f t="shared" si="390"/>
        <v>13.599999999999998</v>
      </c>
      <c r="J6248" s="760">
        <f t="shared" si="391"/>
        <v>0.74931129476584024</v>
      </c>
    </row>
    <row r="6249" spans="1:10">
      <c r="A6249" s="74" t="s">
        <v>2232</v>
      </c>
      <c r="B6249" s="74" t="s">
        <v>276</v>
      </c>
      <c r="C6249" s="74" t="s">
        <v>1530</v>
      </c>
      <c r="D6249" s="74" t="s">
        <v>80</v>
      </c>
      <c r="E6249" s="74">
        <v>1</v>
      </c>
      <c r="F6249" s="74">
        <v>3.75</v>
      </c>
      <c r="G6249" s="758">
        <f t="shared" si="388"/>
        <v>0.91</v>
      </c>
      <c r="H6249" s="759">
        <f t="shared" si="389"/>
        <v>0.27</v>
      </c>
      <c r="I6249" s="758">
        <f t="shared" si="390"/>
        <v>2.84</v>
      </c>
      <c r="J6249" s="760">
        <f t="shared" si="391"/>
        <v>0.7573333333333333</v>
      </c>
    </row>
    <row r="6250" spans="1:10">
      <c r="A6250" s="74" t="s">
        <v>2232</v>
      </c>
      <c r="B6250" s="74" t="s">
        <v>276</v>
      </c>
      <c r="C6250" s="74" t="s">
        <v>1532</v>
      </c>
      <c r="D6250" s="74" t="s">
        <v>80</v>
      </c>
      <c r="E6250" s="74">
        <v>5</v>
      </c>
      <c r="F6250" s="74">
        <v>18.75</v>
      </c>
      <c r="G6250" s="758">
        <f t="shared" si="388"/>
        <v>0.91</v>
      </c>
      <c r="H6250" s="759">
        <f t="shared" si="389"/>
        <v>0.27</v>
      </c>
      <c r="I6250" s="758">
        <f t="shared" si="390"/>
        <v>2.84</v>
      </c>
      <c r="J6250" s="760">
        <f t="shared" si="391"/>
        <v>0.7573333333333333</v>
      </c>
    </row>
    <row r="6251" spans="1:10">
      <c r="A6251" s="74" t="s">
        <v>2232</v>
      </c>
      <c r="B6251" s="74" t="s">
        <v>276</v>
      </c>
      <c r="C6251" s="74" t="s">
        <v>1511</v>
      </c>
      <c r="D6251" s="74" t="s">
        <v>80</v>
      </c>
      <c r="E6251" s="74">
        <v>1</v>
      </c>
      <c r="F6251" s="74">
        <v>3.75</v>
      </c>
      <c r="G6251" s="758">
        <f t="shared" si="388"/>
        <v>0.91</v>
      </c>
      <c r="H6251" s="759">
        <f t="shared" si="389"/>
        <v>0.27</v>
      </c>
      <c r="I6251" s="758">
        <f t="shared" si="390"/>
        <v>2.84</v>
      </c>
      <c r="J6251" s="760">
        <f t="shared" si="391"/>
        <v>0.7573333333333333</v>
      </c>
    </row>
    <row r="6252" spans="1:10">
      <c r="A6252" s="74" t="s">
        <v>2233</v>
      </c>
      <c r="B6252" s="74" t="s">
        <v>276</v>
      </c>
      <c r="C6252" s="74" t="s">
        <v>1608</v>
      </c>
      <c r="D6252" s="74" t="s">
        <v>89</v>
      </c>
      <c r="E6252" s="74">
        <v>1</v>
      </c>
      <c r="F6252" s="74">
        <v>4.75</v>
      </c>
      <c r="G6252" s="758">
        <f t="shared" si="388"/>
        <v>0</v>
      </c>
      <c r="H6252" s="759">
        <f t="shared" si="389"/>
        <v>0</v>
      </c>
      <c r="I6252" s="758">
        <f t="shared" si="390"/>
        <v>4.75</v>
      </c>
      <c r="J6252" s="760">
        <f t="shared" si="391"/>
        <v>1</v>
      </c>
    </row>
    <row r="6253" spans="1:10">
      <c r="A6253" s="74" t="s">
        <v>2234</v>
      </c>
      <c r="B6253" s="74" t="s">
        <v>266</v>
      </c>
      <c r="C6253" s="74" t="s">
        <v>1675</v>
      </c>
      <c r="D6253" s="74" t="s">
        <v>91</v>
      </c>
      <c r="E6253" s="74">
        <v>1</v>
      </c>
      <c r="F6253" s="74">
        <v>0</v>
      </c>
      <c r="G6253" s="758">
        <f t="shared" si="388"/>
        <v>0</v>
      </c>
      <c r="H6253" s="759">
        <f t="shared" si="389"/>
        <v>0</v>
      </c>
      <c r="I6253" s="758">
        <f t="shared" si="390"/>
        <v>0</v>
      </c>
      <c r="J6253" s="760">
        <f t="shared" si="391"/>
        <v>0</v>
      </c>
    </row>
    <row r="6254" spans="1:10">
      <c r="A6254" s="74" t="s">
        <v>709</v>
      </c>
      <c r="B6254" s="74" t="s">
        <v>276</v>
      </c>
      <c r="C6254" s="74" t="s">
        <v>1528</v>
      </c>
      <c r="D6254" s="74" t="s">
        <v>78</v>
      </c>
      <c r="E6254" s="74">
        <v>3</v>
      </c>
      <c r="F6254" s="74">
        <v>9.68</v>
      </c>
      <c r="G6254" s="758">
        <f t="shared" si="388"/>
        <v>0.49</v>
      </c>
      <c r="H6254" s="759">
        <f t="shared" si="389"/>
        <v>0.26</v>
      </c>
      <c r="I6254" s="758">
        <f t="shared" si="390"/>
        <v>2.7366666666666664</v>
      </c>
      <c r="J6254" s="760">
        <f t="shared" si="391"/>
        <v>0.84814049586776863</v>
      </c>
    </row>
    <row r="6255" spans="1:10">
      <c r="A6255" s="74" t="s">
        <v>709</v>
      </c>
      <c r="B6255" s="74" t="s">
        <v>276</v>
      </c>
      <c r="C6255" s="74" t="s">
        <v>1508</v>
      </c>
      <c r="D6255" s="74" t="s">
        <v>78</v>
      </c>
      <c r="E6255" s="74">
        <v>8</v>
      </c>
      <c r="F6255" s="74">
        <v>20.85</v>
      </c>
      <c r="G6255" s="758">
        <f t="shared" si="388"/>
        <v>0.49</v>
      </c>
      <c r="H6255" s="759">
        <f t="shared" si="389"/>
        <v>0.26</v>
      </c>
      <c r="I6255" s="758">
        <f t="shared" si="390"/>
        <v>2.11625</v>
      </c>
      <c r="J6255" s="760">
        <f t="shared" si="391"/>
        <v>0.81199040767386088</v>
      </c>
    </row>
    <row r="6256" spans="1:10">
      <c r="A6256" s="74" t="s">
        <v>709</v>
      </c>
      <c r="B6256" s="74" t="s">
        <v>276</v>
      </c>
      <c r="C6256" s="74" t="s">
        <v>1509</v>
      </c>
      <c r="D6256" s="74" t="s">
        <v>78</v>
      </c>
      <c r="E6256" s="74">
        <v>2</v>
      </c>
      <c r="F6256" s="74">
        <v>5.78</v>
      </c>
      <c r="G6256" s="758">
        <f t="shared" si="388"/>
        <v>0.49</v>
      </c>
      <c r="H6256" s="759">
        <f t="shared" si="389"/>
        <v>0.26</v>
      </c>
      <c r="I6256" s="758">
        <f t="shared" si="390"/>
        <v>2.4000000000000004</v>
      </c>
      <c r="J6256" s="760">
        <f t="shared" si="391"/>
        <v>0.83044982698961944</v>
      </c>
    </row>
    <row r="6257" spans="1:10">
      <c r="A6257" s="74" t="s">
        <v>709</v>
      </c>
      <c r="B6257" s="74" t="s">
        <v>276</v>
      </c>
      <c r="C6257" s="74" t="s">
        <v>1530</v>
      </c>
      <c r="D6257" s="74" t="s">
        <v>80</v>
      </c>
      <c r="E6257" s="74">
        <v>4</v>
      </c>
      <c r="F6257" s="74">
        <v>12.91</v>
      </c>
      <c r="G6257" s="758">
        <f t="shared" si="388"/>
        <v>0.49</v>
      </c>
      <c r="H6257" s="759">
        <f t="shared" si="389"/>
        <v>0.26</v>
      </c>
      <c r="I6257" s="758">
        <f t="shared" si="390"/>
        <v>2.7374999999999998</v>
      </c>
      <c r="J6257" s="760">
        <f t="shared" si="391"/>
        <v>0.84817970565453138</v>
      </c>
    </row>
    <row r="6258" spans="1:10">
      <c r="A6258" s="74" t="s">
        <v>709</v>
      </c>
      <c r="B6258" s="74" t="s">
        <v>276</v>
      </c>
      <c r="C6258" s="74" t="s">
        <v>1532</v>
      </c>
      <c r="D6258" s="74" t="s">
        <v>80</v>
      </c>
      <c r="E6258" s="74">
        <v>5</v>
      </c>
      <c r="F6258" s="74">
        <v>15.46</v>
      </c>
      <c r="G6258" s="758">
        <f t="shared" si="388"/>
        <v>0.49</v>
      </c>
      <c r="H6258" s="759">
        <f t="shared" si="389"/>
        <v>0.26</v>
      </c>
      <c r="I6258" s="758">
        <f t="shared" si="390"/>
        <v>2.6020000000000003</v>
      </c>
      <c r="J6258" s="760">
        <f t="shared" si="391"/>
        <v>0.84152652005174644</v>
      </c>
    </row>
    <row r="6259" spans="1:10">
      <c r="A6259" s="74" t="s">
        <v>709</v>
      </c>
      <c r="B6259" s="74" t="s">
        <v>276</v>
      </c>
      <c r="C6259" s="74" t="s">
        <v>1511</v>
      </c>
      <c r="D6259" s="74" t="s">
        <v>80</v>
      </c>
      <c r="E6259" s="74">
        <v>5</v>
      </c>
      <c r="F6259" s="74">
        <v>13.43</v>
      </c>
      <c r="G6259" s="758">
        <f t="shared" si="388"/>
        <v>0.49</v>
      </c>
      <c r="H6259" s="759">
        <f t="shared" si="389"/>
        <v>0.26</v>
      </c>
      <c r="I6259" s="758">
        <f t="shared" si="390"/>
        <v>2.1959999999999997</v>
      </c>
      <c r="J6259" s="760">
        <f t="shared" si="391"/>
        <v>0.8175725986597171</v>
      </c>
    </row>
    <row r="6260" spans="1:10">
      <c r="A6260" s="74" t="s">
        <v>709</v>
      </c>
      <c r="B6260" s="74" t="s">
        <v>276</v>
      </c>
      <c r="C6260" s="74" t="s">
        <v>1512</v>
      </c>
      <c r="D6260" s="74" t="s">
        <v>80</v>
      </c>
      <c r="E6260" s="74">
        <v>4</v>
      </c>
      <c r="F6260" s="74">
        <v>11.33</v>
      </c>
      <c r="G6260" s="758">
        <f t="shared" si="388"/>
        <v>0.49</v>
      </c>
      <c r="H6260" s="759">
        <f t="shared" si="389"/>
        <v>0.26</v>
      </c>
      <c r="I6260" s="758">
        <f t="shared" si="390"/>
        <v>2.3425000000000002</v>
      </c>
      <c r="J6260" s="760">
        <f t="shared" si="391"/>
        <v>0.82700794351279794</v>
      </c>
    </row>
    <row r="6261" spans="1:10">
      <c r="A6261" s="74" t="s">
        <v>709</v>
      </c>
      <c r="B6261" s="74" t="s">
        <v>276</v>
      </c>
      <c r="C6261" s="74" t="s">
        <v>1534</v>
      </c>
      <c r="D6261" s="74" t="s">
        <v>81</v>
      </c>
      <c r="E6261" s="74">
        <v>6</v>
      </c>
      <c r="F6261" s="74">
        <v>15.3</v>
      </c>
      <c r="G6261" s="758">
        <f t="shared" si="388"/>
        <v>0.49</v>
      </c>
      <c r="H6261" s="759">
        <f t="shared" si="389"/>
        <v>0.26</v>
      </c>
      <c r="I6261" s="758">
        <f t="shared" si="390"/>
        <v>2.0600000000000005</v>
      </c>
      <c r="J6261" s="760">
        <f t="shared" si="391"/>
        <v>0.80784313725490198</v>
      </c>
    </row>
    <row r="6262" spans="1:10">
      <c r="A6262" s="74" t="s">
        <v>709</v>
      </c>
      <c r="B6262" s="74" t="s">
        <v>276</v>
      </c>
      <c r="C6262" s="74" t="s">
        <v>1513</v>
      </c>
      <c r="D6262" s="74" t="s">
        <v>81</v>
      </c>
      <c r="E6262" s="74">
        <v>6</v>
      </c>
      <c r="F6262" s="74">
        <v>16.2</v>
      </c>
      <c r="G6262" s="758">
        <f t="shared" si="388"/>
        <v>0.49</v>
      </c>
      <c r="H6262" s="759">
        <f t="shared" si="389"/>
        <v>0.26</v>
      </c>
      <c r="I6262" s="758">
        <f t="shared" si="390"/>
        <v>2.21</v>
      </c>
      <c r="J6262" s="760">
        <f t="shared" si="391"/>
        <v>0.81851851851851853</v>
      </c>
    </row>
    <row r="6263" spans="1:10">
      <c r="A6263" s="74" t="s">
        <v>709</v>
      </c>
      <c r="B6263" s="74" t="s">
        <v>276</v>
      </c>
      <c r="C6263" s="74" t="s">
        <v>1514</v>
      </c>
      <c r="D6263" s="74" t="s">
        <v>81</v>
      </c>
      <c r="E6263" s="74">
        <v>2</v>
      </c>
      <c r="F6263" s="74">
        <v>6.73</v>
      </c>
      <c r="G6263" s="758">
        <f t="shared" si="388"/>
        <v>0.49</v>
      </c>
      <c r="H6263" s="759">
        <f t="shared" si="389"/>
        <v>0.26</v>
      </c>
      <c r="I6263" s="758">
        <f t="shared" si="390"/>
        <v>2.875</v>
      </c>
      <c r="J6263" s="760">
        <f t="shared" si="391"/>
        <v>0.85438335809806842</v>
      </c>
    </row>
    <row r="6264" spans="1:10">
      <c r="A6264" s="74" t="s">
        <v>709</v>
      </c>
      <c r="B6264" s="74" t="s">
        <v>276</v>
      </c>
      <c r="C6264" s="74" t="s">
        <v>1515</v>
      </c>
      <c r="D6264" s="74" t="s">
        <v>81</v>
      </c>
      <c r="E6264" s="74">
        <v>2</v>
      </c>
      <c r="F6264" s="74">
        <v>6.78</v>
      </c>
      <c r="G6264" s="758">
        <f t="shared" si="388"/>
        <v>0.49</v>
      </c>
      <c r="H6264" s="759">
        <f t="shared" si="389"/>
        <v>0.26</v>
      </c>
      <c r="I6264" s="758">
        <f t="shared" si="390"/>
        <v>2.9000000000000004</v>
      </c>
      <c r="J6264" s="760">
        <f t="shared" si="391"/>
        <v>0.85545722713864314</v>
      </c>
    </row>
    <row r="6265" spans="1:10">
      <c r="A6265" s="74" t="s">
        <v>709</v>
      </c>
      <c r="B6265" s="74" t="s">
        <v>276</v>
      </c>
      <c r="C6265" s="74" t="s">
        <v>1516</v>
      </c>
      <c r="D6265" s="74" t="s">
        <v>82</v>
      </c>
      <c r="E6265" s="74">
        <v>1</v>
      </c>
      <c r="F6265" s="74">
        <v>3.55</v>
      </c>
      <c r="G6265" s="758">
        <f t="shared" si="388"/>
        <v>0.49</v>
      </c>
      <c r="H6265" s="759">
        <f t="shared" si="389"/>
        <v>0.26</v>
      </c>
      <c r="I6265" s="758">
        <f t="shared" si="390"/>
        <v>3.0599999999999996</v>
      </c>
      <c r="J6265" s="760">
        <f t="shared" si="391"/>
        <v>0.86197183098591545</v>
      </c>
    </row>
    <row r="6266" spans="1:10">
      <c r="A6266" s="74" t="s">
        <v>709</v>
      </c>
      <c r="B6266" s="74" t="s">
        <v>276</v>
      </c>
      <c r="C6266" s="74" t="s">
        <v>1517</v>
      </c>
      <c r="D6266" s="74" t="s">
        <v>82</v>
      </c>
      <c r="E6266" s="74">
        <v>3</v>
      </c>
      <c r="F6266" s="74">
        <v>7.65</v>
      </c>
      <c r="G6266" s="758">
        <f t="shared" si="388"/>
        <v>0.49</v>
      </c>
      <c r="H6266" s="759">
        <f t="shared" si="389"/>
        <v>0.26</v>
      </c>
      <c r="I6266" s="758">
        <f t="shared" si="390"/>
        <v>2.0600000000000005</v>
      </c>
      <c r="J6266" s="760">
        <f t="shared" si="391"/>
        <v>0.80784313725490198</v>
      </c>
    </row>
    <row r="6267" spans="1:10">
      <c r="A6267" s="74" t="s">
        <v>709</v>
      </c>
      <c r="B6267" s="74" t="s">
        <v>276</v>
      </c>
      <c r="C6267" s="74" t="s">
        <v>1527</v>
      </c>
      <c r="D6267" s="74" t="s">
        <v>82</v>
      </c>
      <c r="E6267" s="74">
        <v>2</v>
      </c>
      <c r="F6267" s="74">
        <v>5.0999999999999996</v>
      </c>
      <c r="G6267" s="758">
        <f t="shared" si="388"/>
        <v>0.49</v>
      </c>
      <c r="H6267" s="759">
        <f t="shared" si="389"/>
        <v>0.26</v>
      </c>
      <c r="I6267" s="758">
        <f t="shared" si="390"/>
        <v>2.0599999999999996</v>
      </c>
      <c r="J6267" s="760">
        <f t="shared" si="391"/>
        <v>0.80784313725490198</v>
      </c>
    </row>
    <row r="6268" spans="1:10">
      <c r="A6268" s="74" t="s">
        <v>709</v>
      </c>
      <c r="B6268" s="74" t="s">
        <v>276</v>
      </c>
      <c r="C6268" s="74" t="s">
        <v>1578</v>
      </c>
      <c r="D6268" s="74" t="s">
        <v>86</v>
      </c>
      <c r="E6268" s="74">
        <v>4</v>
      </c>
      <c r="F6268" s="74">
        <v>10.8</v>
      </c>
      <c r="G6268" s="758">
        <f t="shared" si="388"/>
        <v>0.49</v>
      </c>
      <c r="H6268" s="759">
        <f t="shared" si="389"/>
        <v>0.26</v>
      </c>
      <c r="I6268" s="758">
        <f t="shared" si="390"/>
        <v>2.21</v>
      </c>
      <c r="J6268" s="760">
        <f t="shared" si="391"/>
        <v>0.81851851851851853</v>
      </c>
    </row>
    <row r="6269" spans="1:10">
      <c r="A6269" s="74" t="s">
        <v>709</v>
      </c>
      <c r="B6269" s="74" t="s">
        <v>276</v>
      </c>
      <c r="C6269" s="74" t="s">
        <v>1543</v>
      </c>
      <c r="D6269" s="74" t="s">
        <v>87</v>
      </c>
      <c r="E6269" s="74">
        <v>1</v>
      </c>
      <c r="F6269" s="74">
        <v>3.55</v>
      </c>
      <c r="G6269" s="758">
        <f t="shared" si="388"/>
        <v>0.49</v>
      </c>
      <c r="H6269" s="759">
        <f t="shared" si="389"/>
        <v>0.26</v>
      </c>
      <c r="I6269" s="758">
        <f t="shared" si="390"/>
        <v>3.0599999999999996</v>
      </c>
      <c r="J6269" s="760">
        <f t="shared" si="391"/>
        <v>0.86197183098591545</v>
      </c>
    </row>
    <row r="6270" spans="1:10">
      <c r="A6270" s="74" t="s">
        <v>709</v>
      </c>
      <c r="B6270" s="74" t="s">
        <v>276</v>
      </c>
      <c r="C6270" s="74" t="s">
        <v>1610</v>
      </c>
      <c r="D6270" s="74" t="s">
        <v>89</v>
      </c>
      <c r="E6270" s="74">
        <v>1</v>
      </c>
      <c r="F6270" s="74">
        <v>3.55</v>
      </c>
      <c r="G6270" s="758">
        <f t="shared" si="388"/>
        <v>0.49</v>
      </c>
      <c r="H6270" s="759">
        <f t="shared" si="389"/>
        <v>0.26</v>
      </c>
      <c r="I6270" s="758">
        <f t="shared" si="390"/>
        <v>3.0599999999999996</v>
      </c>
      <c r="J6270" s="760">
        <f t="shared" si="391"/>
        <v>0.86197183098591545</v>
      </c>
    </row>
    <row r="6271" spans="1:10">
      <c r="A6271" s="74" t="s">
        <v>709</v>
      </c>
      <c r="B6271" s="74" t="s">
        <v>276</v>
      </c>
      <c r="C6271" s="74" t="s">
        <v>1522</v>
      </c>
      <c r="D6271" s="74" t="s">
        <v>91</v>
      </c>
      <c r="E6271" s="74">
        <v>1</v>
      </c>
      <c r="F6271" s="74">
        <v>3.7</v>
      </c>
      <c r="G6271" s="758">
        <f t="shared" si="388"/>
        <v>0.49</v>
      </c>
      <c r="H6271" s="759">
        <f t="shared" si="389"/>
        <v>0.26</v>
      </c>
      <c r="I6271" s="758">
        <f t="shared" si="390"/>
        <v>3.21</v>
      </c>
      <c r="J6271" s="760">
        <f t="shared" si="391"/>
        <v>0.86756756756756759</v>
      </c>
    </row>
    <row r="6272" spans="1:10">
      <c r="A6272" s="74" t="s">
        <v>709</v>
      </c>
      <c r="B6272" s="74" t="s">
        <v>276</v>
      </c>
      <c r="C6272" s="74" t="s">
        <v>1526</v>
      </c>
      <c r="D6272" s="74" t="s">
        <v>95</v>
      </c>
      <c r="E6272" s="74">
        <v>2</v>
      </c>
      <c r="F6272" s="74">
        <v>7.4</v>
      </c>
      <c r="G6272" s="758">
        <f t="shared" si="388"/>
        <v>0.49</v>
      </c>
      <c r="H6272" s="759">
        <f t="shared" si="389"/>
        <v>0.26</v>
      </c>
      <c r="I6272" s="758">
        <f t="shared" si="390"/>
        <v>3.21</v>
      </c>
      <c r="J6272" s="760">
        <f t="shared" si="391"/>
        <v>0.86756756756756759</v>
      </c>
    </row>
    <row r="6273" spans="1:10">
      <c r="A6273" s="74" t="s">
        <v>2235</v>
      </c>
      <c r="B6273" s="74" t="s">
        <v>258</v>
      </c>
      <c r="C6273" s="74" t="s">
        <v>1524</v>
      </c>
      <c r="D6273" s="74" t="s">
        <v>91</v>
      </c>
      <c r="E6273" s="74">
        <v>8</v>
      </c>
      <c r="F6273" s="74">
        <v>0</v>
      </c>
      <c r="G6273" s="758">
        <f t="shared" si="388"/>
        <v>0</v>
      </c>
      <c r="H6273" s="759">
        <f t="shared" si="389"/>
        <v>0</v>
      </c>
      <c r="I6273" s="758">
        <f t="shared" si="390"/>
        <v>0</v>
      </c>
      <c r="J6273" s="760">
        <f t="shared" si="391"/>
        <v>0</v>
      </c>
    </row>
    <row r="6274" spans="1:10">
      <c r="A6274" s="74" t="s">
        <v>900</v>
      </c>
      <c r="B6274" s="74" t="s">
        <v>251</v>
      </c>
      <c r="C6274" s="74" t="s">
        <v>1528</v>
      </c>
      <c r="D6274" s="74" t="s">
        <v>78</v>
      </c>
      <c r="E6274" s="74">
        <v>2</v>
      </c>
      <c r="F6274" s="74">
        <v>5.2</v>
      </c>
      <c r="G6274" s="758">
        <f t="shared" ref="G6274:G6337" si="392">IFERROR(VLOOKUP(A6274,$M$1:$P$1014,2,FALSE),0)</f>
        <v>0.12</v>
      </c>
      <c r="H6274" s="759">
        <f t="shared" ref="H6274:H6337" si="393">IFERROR(VLOOKUP(A6274,$M$1:$P$1014,3,FALSE),0)</f>
        <v>0.26</v>
      </c>
      <c r="I6274" s="758">
        <f t="shared" ref="I6274:I6337" si="394">IFERROR(F6274/E6274-G6274,0)</f>
        <v>2.48</v>
      </c>
      <c r="J6274" s="760">
        <f t="shared" ref="J6274:J6337" si="395">IFERROR(1-G6274*E6274/F6274,0)</f>
        <v>0.9538461538461539</v>
      </c>
    </row>
    <row r="6275" spans="1:10">
      <c r="A6275" s="74" t="s">
        <v>900</v>
      </c>
      <c r="B6275" s="74" t="s">
        <v>251</v>
      </c>
      <c r="C6275" s="74" t="s">
        <v>1527</v>
      </c>
      <c r="D6275" s="74" t="s">
        <v>82</v>
      </c>
      <c r="E6275" s="74">
        <v>2</v>
      </c>
      <c r="F6275" s="74">
        <v>5.3</v>
      </c>
      <c r="G6275" s="758">
        <f t="shared" si="392"/>
        <v>0.12</v>
      </c>
      <c r="H6275" s="759">
        <f t="shared" si="393"/>
        <v>0.26</v>
      </c>
      <c r="I6275" s="758">
        <f t="shared" si="394"/>
        <v>2.5299999999999998</v>
      </c>
      <c r="J6275" s="760">
        <f t="shared" si="395"/>
        <v>0.95471698113207548</v>
      </c>
    </row>
    <row r="6276" spans="1:10">
      <c r="A6276" s="74" t="s">
        <v>900</v>
      </c>
      <c r="B6276" s="74" t="s">
        <v>251</v>
      </c>
      <c r="C6276" s="74" t="s">
        <v>1518</v>
      </c>
      <c r="D6276" s="74" t="s">
        <v>82</v>
      </c>
      <c r="E6276" s="74">
        <v>1</v>
      </c>
      <c r="F6276" s="74">
        <v>2.8</v>
      </c>
      <c r="G6276" s="758">
        <f t="shared" si="392"/>
        <v>0.12</v>
      </c>
      <c r="H6276" s="759">
        <f t="shared" si="393"/>
        <v>0.26</v>
      </c>
      <c r="I6276" s="758">
        <f t="shared" si="394"/>
        <v>2.6799999999999997</v>
      </c>
      <c r="J6276" s="760">
        <f t="shared" si="395"/>
        <v>0.95714285714285718</v>
      </c>
    </row>
    <row r="6277" spans="1:10">
      <c r="A6277" s="74" t="s">
        <v>900</v>
      </c>
      <c r="B6277" s="74" t="s">
        <v>251</v>
      </c>
      <c r="C6277" s="74" t="s">
        <v>1520</v>
      </c>
      <c r="D6277" s="74" t="s">
        <v>84</v>
      </c>
      <c r="E6277" s="74">
        <v>2</v>
      </c>
      <c r="F6277" s="74">
        <v>2.65</v>
      </c>
      <c r="G6277" s="758">
        <f t="shared" si="392"/>
        <v>0.12</v>
      </c>
      <c r="H6277" s="759">
        <f t="shared" si="393"/>
        <v>0.26</v>
      </c>
      <c r="I6277" s="758">
        <f t="shared" si="394"/>
        <v>1.2050000000000001</v>
      </c>
      <c r="J6277" s="760">
        <f t="shared" si="395"/>
        <v>0.90943396226415096</v>
      </c>
    </row>
    <row r="6278" spans="1:10">
      <c r="A6278" s="74" t="s">
        <v>900</v>
      </c>
      <c r="B6278" s="74" t="s">
        <v>251</v>
      </c>
      <c r="C6278" s="74" t="s">
        <v>1507</v>
      </c>
      <c r="D6278" s="74" t="s">
        <v>86</v>
      </c>
      <c r="E6278" s="74">
        <v>1</v>
      </c>
      <c r="F6278" s="74">
        <v>2.65</v>
      </c>
      <c r="G6278" s="758">
        <f t="shared" si="392"/>
        <v>0.12</v>
      </c>
      <c r="H6278" s="759">
        <f t="shared" si="393"/>
        <v>0.26</v>
      </c>
      <c r="I6278" s="758">
        <f t="shared" si="394"/>
        <v>2.5299999999999998</v>
      </c>
      <c r="J6278" s="760">
        <f t="shared" si="395"/>
        <v>0.95471698113207548</v>
      </c>
    </row>
    <row r="6279" spans="1:10">
      <c r="A6279" s="74" t="s">
        <v>900</v>
      </c>
      <c r="B6279" s="74" t="s">
        <v>251</v>
      </c>
      <c r="C6279" s="74" t="s">
        <v>1578</v>
      </c>
      <c r="D6279" s="74" t="s">
        <v>86</v>
      </c>
      <c r="E6279" s="74">
        <v>1</v>
      </c>
      <c r="F6279" s="74">
        <v>2.65</v>
      </c>
      <c r="G6279" s="758">
        <f t="shared" si="392"/>
        <v>0.12</v>
      </c>
      <c r="H6279" s="759">
        <f t="shared" si="393"/>
        <v>0.26</v>
      </c>
      <c r="I6279" s="758">
        <f t="shared" si="394"/>
        <v>2.5299999999999998</v>
      </c>
      <c r="J6279" s="760">
        <f t="shared" si="395"/>
        <v>0.95471698113207548</v>
      </c>
    </row>
    <row r="6280" spans="1:10">
      <c r="A6280" s="74" t="s">
        <v>900</v>
      </c>
      <c r="B6280" s="74" t="s">
        <v>251</v>
      </c>
      <c r="C6280" s="74" t="s">
        <v>1646</v>
      </c>
      <c r="D6280" s="74" t="s">
        <v>86</v>
      </c>
      <c r="E6280" s="74">
        <v>1</v>
      </c>
      <c r="F6280" s="74">
        <v>2.65</v>
      </c>
      <c r="G6280" s="758">
        <f t="shared" si="392"/>
        <v>0.12</v>
      </c>
      <c r="H6280" s="759">
        <f t="shared" si="393"/>
        <v>0.26</v>
      </c>
      <c r="I6280" s="758">
        <f t="shared" si="394"/>
        <v>2.5299999999999998</v>
      </c>
      <c r="J6280" s="760">
        <f t="shared" si="395"/>
        <v>0.95471698113207548</v>
      </c>
    </row>
    <row r="6281" spans="1:10">
      <c r="A6281" s="74" t="s">
        <v>900</v>
      </c>
      <c r="B6281" s="74" t="s">
        <v>251</v>
      </c>
      <c r="C6281" s="74" t="s">
        <v>1541</v>
      </c>
      <c r="D6281" s="74" t="s">
        <v>86</v>
      </c>
      <c r="E6281" s="74">
        <v>3</v>
      </c>
      <c r="F6281" s="74">
        <v>7.95</v>
      </c>
      <c r="G6281" s="758">
        <f t="shared" si="392"/>
        <v>0.12</v>
      </c>
      <c r="H6281" s="759">
        <f t="shared" si="393"/>
        <v>0.26</v>
      </c>
      <c r="I6281" s="758">
        <f t="shared" si="394"/>
        <v>2.5299999999999998</v>
      </c>
      <c r="J6281" s="760">
        <f t="shared" si="395"/>
        <v>0.95471698113207548</v>
      </c>
    </row>
    <row r="6282" spans="1:10">
      <c r="A6282" s="74" t="s">
        <v>900</v>
      </c>
      <c r="B6282" s="74" t="s">
        <v>251</v>
      </c>
      <c r="C6282" s="74" t="s">
        <v>1543</v>
      </c>
      <c r="D6282" s="74" t="s">
        <v>87</v>
      </c>
      <c r="E6282" s="74">
        <v>1</v>
      </c>
      <c r="F6282" s="74">
        <v>2.65</v>
      </c>
      <c r="G6282" s="758">
        <f t="shared" si="392"/>
        <v>0.12</v>
      </c>
      <c r="H6282" s="759">
        <f t="shared" si="393"/>
        <v>0.26</v>
      </c>
      <c r="I6282" s="758">
        <f t="shared" si="394"/>
        <v>2.5299999999999998</v>
      </c>
      <c r="J6282" s="760">
        <f t="shared" si="395"/>
        <v>0.95471698113207548</v>
      </c>
    </row>
    <row r="6283" spans="1:10">
      <c r="A6283" s="74" t="s">
        <v>900</v>
      </c>
      <c r="B6283" s="74" t="s">
        <v>251</v>
      </c>
      <c r="C6283" s="74" t="s">
        <v>1544</v>
      </c>
      <c r="D6283" s="74" t="s">
        <v>87</v>
      </c>
      <c r="E6283" s="74">
        <v>1</v>
      </c>
      <c r="F6283" s="74">
        <v>2.65</v>
      </c>
      <c r="G6283" s="758">
        <f t="shared" si="392"/>
        <v>0.12</v>
      </c>
      <c r="H6283" s="759">
        <f t="shared" si="393"/>
        <v>0.26</v>
      </c>
      <c r="I6283" s="758">
        <f t="shared" si="394"/>
        <v>2.5299999999999998</v>
      </c>
      <c r="J6283" s="760">
        <f t="shared" si="395"/>
        <v>0.95471698113207548</v>
      </c>
    </row>
    <row r="6284" spans="1:10">
      <c r="A6284" s="74" t="s">
        <v>900</v>
      </c>
      <c r="B6284" s="74" t="s">
        <v>251</v>
      </c>
      <c r="C6284" s="74" t="s">
        <v>1608</v>
      </c>
      <c r="D6284" s="74" t="s">
        <v>89</v>
      </c>
      <c r="E6284" s="74">
        <v>1</v>
      </c>
      <c r="F6284" s="74">
        <v>2.65</v>
      </c>
      <c r="G6284" s="758">
        <f t="shared" si="392"/>
        <v>0.12</v>
      </c>
      <c r="H6284" s="759">
        <f t="shared" si="393"/>
        <v>0.26</v>
      </c>
      <c r="I6284" s="758">
        <f t="shared" si="394"/>
        <v>2.5299999999999998</v>
      </c>
      <c r="J6284" s="760">
        <f t="shared" si="395"/>
        <v>0.95471698113207548</v>
      </c>
    </row>
    <row r="6285" spans="1:10">
      <c r="A6285" s="74" t="s">
        <v>900</v>
      </c>
      <c r="B6285" s="74" t="s">
        <v>251</v>
      </c>
      <c r="C6285" s="74" t="s">
        <v>1610</v>
      </c>
      <c r="D6285" s="74" t="s">
        <v>89</v>
      </c>
      <c r="E6285" s="74">
        <v>2</v>
      </c>
      <c r="F6285" s="74">
        <v>5.45</v>
      </c>
      <c r="G6285" s="758">
        <f t="shared" si="392"/>
        <v>0.12</v>
      </c>
      <c r="H6285" s="759">
        <f t="shared" si="393"/>
        <v>0.26</v>
      </c>
      <c r="I6285" s="758">
        <f t="shared" si="394"/>
        <v>2.605</v>
      </c>
      <c r="J6285" s="760">
        <f t="shared" si="395"/>
        <v>0.95596330275229358</v>
      </c>
    </row>
    <row r="6286" spans="1:10">
      <c r="A6286" s="74" t="s">
        <v>900</v>
      </c>
      <c r="B6286" s="74" t="s">
        <v>251</v>
      </c>
      <c r="C6286" s="74" t="s">
        <v>1546</v>
      </c>
      <c r="D6286" s="74" t="s">
        <v>89</v>
      </c>
      <c r="E6286" s="74">
        <v>1</v>
      </c>
      <c r="F6286" s="74">
        <v>2.65</v>
      </c>
      <c r="G6286" s="758">
        <f t="shared" si="392"/>
        <v>0.12</v>
      </c>
      <c r="H6286" s="759">
        <f t="shared" si="393"/>
        <v>0.26</v>
      </c>
      <c r="I6286" s="758">
        <f t="shared" si="394"/>
        <v>2.5299999999999998</v>
      </c>
      <c r="J6286" s="760">
        <f t="shared" si="395"/>
        <v>0.95471698113207548</v>
      </c>
    </row>
    <row r="6287" spans="1:10">
      <c r="A6287" s="74" t="s">
        <v>900</v>
      </c>
      <c r="B6287" s="74" t="s">
        <v>251</v>
      </c>
      <c r="C6287" s="74" t="s">
        <v>1582</v>
      </c>
      <c r="D6287" s="74" t="s">
        <v>89</v>
      </c>
      <c r="E6287" s="74">
        <v>1</v>
      </c>
      <c r="F6287" s="74">
        <v>2.8</v>
      </c>
      <c r="G6287" s="758">
        <f t="shared" si="392"/>
        <v>0.12</v>
      </c>
      <c r="H6287" s="759">
        <f t="shared" si="393"/>
        <v>0.26</v>
      </c>
      <c r="I6287" s="758">
        <f t="shared" si="394"/>
        <v>2.6799999999999997</v>
      </c>
      <c r="J6287" s="760">
        <f t="shared" si="395"/>
        <v>0.95714285714285718</v>
      </c>
    </row>
    <row r="6288" spans="1:10">
      <c r="A6288" s="74" t="s">
        <v>900</v>
      </c>
      <c r="B6288" s="74" t="s">
        <v>251</v>
      </c>
      <c r="C6288" s="74" t="s">
        <v>1675</v>
      </c>
      <c r="D6288" s="74" t="s">
        <v>91</v>
      </c>
      <c r="E6288" s="74">
        <v>2</v>
      </c>
      <c r="F6288" s="74">
        <v>5.6</v>
      </c>
      <c r="G6288" s="758">
        <f t="shared" si="392"/>
        <v>0.12</v>
      </c>
      <c r="H6288" s="759">
        <f t="shared" si="393"/>
        <v>0.26</v>
      </c>
      <c r="I6288" s="758">
        <f t="shared" si="394"/>
        <v>2.6799999999999997</v>
      </c>
      <c r="J6288" s="760">
        <f t="shared" si="395"/>
        <v>0.95714285714285718</v>
      </c>
    </row>
    <row r="6289" spans="1:10">
      <c r="A6289" s="74" t="s">
        <v>900</v>
      </c>
      <c r="B6289" s="74" t="s">
        <v>251</v>
      </c>
      <c r="C6289" s="74" t="s">
        <v>1614</v>
      </c>
      <c r="D6289" s="74" t="s">
        <v>92</v>
      </c>
      <c r="E6289" s="74">
        <v>1</v>
      </c>
      <c r="F6289" s="74">
        <v>2.8</v>
      </c>
      <c r="G6289" s="758">
        <f t="shared" si="392"/>
        <v>0.12</v>
      </c>
      <c r="H6289" s="759">
        <f t="shared" si="393"/>
        <v>0.26</v>
      </c>
      <c r="I6289" s="758">
        <f t="shared" si="394"/>
        <v>2.6799999999999997</v>
      </c>
      <c r="J6289" s="760">
        <f t="shared" si="395"/>
        <v>0.95714285714285718</v>
      </c>
    </row>
    <row r="6290" spans="1:10">
      <c r="A6290" s="74" t="s">
        <v>900</v>
      </c>
      <c r="B6290" s="74" t="s">
        <v>251</v>
      </c>
      <c r="C6290" s="74" t="s">
        <v>1631</v>
      </c>
      <c r="D6290" s="74" t="s">
        <v>92</v>
      </c>
      <c r="E6290" s="74">
        <v>1</v>
      </c>
      <c r="F6290" s="74">
        <v>2.65</v>
      </c>
      <c r="G6290" s="758">
        <f t="shared" si="392"/>
        <v>0.12</v>
      </c>
      <c r="H6290" s="759">
        <f t="shared" si="393"/>
        <v>0.26</v>
      </c>
      <c r="I6290" s="758">
        <f t="shared" si="394"/>
        <v>2.5299999999999998</v>
      </c>
      <c r="J6290" s="760">
        <f t="shared" si="395"/>
        <v>0.95471698113207548</v>
      </c>
    </row>
    <row r="6291" spans="1:10">
      <c r="A6291" s="74" t="s">
        <v>900</v>
      </c>
      <c r="B6291" s="74" t="s">
        <v>251</v>
      </c>
      <c r="C6291" s="74" t="s">
        <v>1552</v>
      </c>
      <c r="D6291" s="74" t="s">
        <v>92</v>
      </c>
      <c r="E6291" s="74">
        <v>1</v>
      </c>
      <c r="F6291" s="74">
        <v>2.65</v>
      </c>
      <c r="G6291" s="758">
        <f t="shared" si="392"/>
        <v>0.12</v>
      </c>
      <c r="H6291" s="759">
        <f t="shared" si="393"/>
        <v>0.26</v>
      </c>
      <c r="I6291" s="758">
        <f t="shared" si="394"/>
        <v>2.5299999999999998</v>
      </c>
      <c r="J6291" s="760">
        <f t="shared" si="395"/>
        <v>0.95471698113207548</v>
      </c>
    </row>
    <row r="6292" spans="1:10">
      <c r="A6292" s="74" t="s">
        <v>900</v>
      </c>
      <c r="B6292" s="74" t="s">
        <v>251</v>
      </c>
      <c r="C6292" s="74" t="s">
        <v>1617</v>
      </c>
      <c r="D6292" s="74" t="s">
        <v>94</v>
      </c>
      <c r="E6292" s="74">
        <v>1</v>
      </c>
      <c r="F6292" s="74">
        <v>2.8</v>
      </c>
      <c r="G6292" s="758">
        <f t="shared" si="392"/>
        <v>0.12</v>
      </c>
      <c r="H6292" s="759">
        <f t="shared" si="393"/>
        <v>0.26</v>
      </c>
      <c r="I6292" s="758">
        <f t="shared" si="394"/>
        <v>2.6799999999999997</v>
      </c>
      <c r="J6292" s="760">
        <f t="shared" si="395"/>
        <v>0.95714285714285718</v>
      </c>
    </row>
    <row r="6293" spans="1:10">
      <c r="A6293" s="74" t="s">
        <v>908</v>
      </c>
      <c r="B6293" s="74" t="s">
        <v>264</v>
      </c>
      <c r="C6293" s="74" t="s">
        <v>1507</v>
      </c>
      <c r="D6293" s="74" t="s">
        <v>86</v>
      </c>
      <c r="E6293" s="74">
        <v>1</v>
      </c>
      <c r="F6293" s="74">
        <v>1</v>
      </c>
      <c r="G6293" s="758">
        <f t="shared" si="392"/>
        <v>0</v>
      </c>
      <c r="H6293" s="759">
        <f t="shared" si="393"/>
        <v>0</v>
      </c>
      <c r="I6293" s="758">
        <f t="shared" si="394"/>
        <v>1</v>
      </c>
      <c r="J6293" s="760">
        <f t="shared" si="395"/>
        <v>1</v>
      </c>
    </row>
    <row r="6294" spans="1:10">
      <c r="A6294" s="74" t="s">
        <v>908</v>
      </c>
      <c r="B6294" s="74" t="s">
        <v>264</v>
      </c>
      <c r="C6294" s="74" t="s">
        <v>1543</v>
      </c>
      <c r="D6294" s="74" t="s">
        <v>87</v>
      </c>
      <c r="E6294" s="74">
        <v>2</v>
      </c>
      <c r="F6294" s="74">
        <v>2</v>
      </c>
      <c r="G6294" s="758">
        <f t="shared" si="392"/>
        <v>0</v>
      </c>
      <c r="H6294" s="759">
        <f t="shared" si="393"/>
        <v>0</v>
      </c>
      <c r="I6294" s="758">
        <f t="shared" si="394"/>
        <v>1</v>
      </c>
      <c r="J6294" s="760">
        <f t="shared" si="395"/>
        <v>1</v>
      </c>
    </row>
    <row r="6295" spans="1:10">
      <c r="A6295" s="74" t="s">
        <v>908</v>
      </c>
      <c r="B6295" s="74" t="s">
        <v>264</v>
      </c>
      <c r="C6295" s="74" t="s">
        <v>1584</v>
      </c>
      <c r="D6295" s="74" t="s">
        <v>92</v>
      </c>
      <c r="E6295" s="74">
        <v>1</v>
      </c>
      <c r="F6295" s="74">
        <v>1</v>
      </c>
      <c r="G6295" s="758">
        <f t="shared" si="392"/>
        <v>0</v>
      </c>
      <c r="H6295" s="759">
        <f t="shared" si="393"/>
        <v>0</v>
      </c>
      <c r="I6295" s="758">
        <f t="shared" si="394"/>
        <v>1</v>
      </c>
      <c r="J6295" s="760">
        <f t="shared" si="395"/>
        <v>1</v>
      </c>
    </row>
    <row r="6296" spans="1:10">
      <c r="A6296" s="74" t="s">
        <v>908</v>
      </c>
      <c r="B6296" s="74" t="s">
        <v>264</v>
      </c>
      <c r="C6296" s="74" t="s">
        <v>1552</v>
      </c>
      <c r="D6296" s="74" t="s">
        <v>92</v>
      </c>
      <c r="E6296" s="74">
        <v>1</v>
      </c>
      <c r="F6296" s="74">
        <v>1</v>
      </c>
      <c r="G6296" s="758">
        <f t="shared" si="392"/>
        <v>0</v>
      </c>
      <c r="H6296" s="759">
        <f t="shared" si="393"/>
        <v>0</v>
      </c>
      <c r="I6296" s="758">
        <f t="shared" si="394"/>
        <v>1</v>
      </c>
      <c r="J6296" s="760">
        <f t="shared" si="395"/>
        <v>1</v>
      </c>
    </row>
    <row r="6297" spans="1:10">
      <c r="A6297" s="74" t="s">
        <v>908</v>
      </c>
      <c r="B6297" s="74" t="s">
        <v>264</v>
      </c>
      <c r="C6297" s="74" t="s">
        <v>1553</v>
      </c>
      <c r="D6297" s="74" t="s">
        <v>94</v>
      </c>
      <c r="E6297" s="74">
        <v>1</v>
      </c>
      <c r="F6297" s="74">
        <v>1</v>
      </c>
      <c r="G6297" s="758">
        <f t="shared" si="392"/>
        <v>0</v>
      </c>
      <c r="H6297" s="759">
        <f t="shared" si="393"/>
        <v>0</v>
      </c>
      <c r="I6297" s="758">
        <f t="shared" si="394"/>
        <v>1</v>
      </c>
      <c r="J6297" s="760">
        <f t="shared" si="395"/>
        <v>1</v>
      </c>
    </row>
    <row r="6298" spans="1:10">
      <c r="A6298" s="74" t="s">
        <v>908</v>
      </c>
      <c r="B6298" s="74" t="s">
        <v>264</v>
      </c>
      <c r="C6298" s="74" t="s">
        <v>1930</v>
      </c>
      <c r="D6298" s="74" t="s">
        <v>95</v>
      </c>
      <c r="E6298" s="74">
        <v>2</v>
      </c>
      <c r="F6298" s="74">
        <v>2.5</v>
      </c>
      <c r="G6298" s="758">
        <f t="shared" si="392"/>
        <v>0</v>
      </c>
      <c r="H6298" s="759">
        <f t="shared" si="393"/>
        <v>0</v>
      </c>
      <c r="I6298" s="758">
        <f t="shared" si="394"/>
        <v>1.25</v>
      </c>
      <c r="J6298" s="760">
        <f t="shared" si="395"/>
        <v>1</v>
      </c>
    </row>
    <row r="6299" spans="1:10">
      <c r="A6299" s="74" t="s">
        <v>956</v>
      </c>
      <c r="B6299" s="74" t="s">
        <v>955</v>
      </c>
      <c r="C6299" s="74" t="s">
        <v>1528</v>
      </c>
      <c r="D6299" s="74" t="s">
        <v>78</v>
      </c>
      <c r="E6299" s="74">
        <v>1</v>
      </c>
      <c r="F6299" s="74">
        <v>2.1</v>
      </c>
      <c r="G6299" s="758">
        <f t="shared" si="392"/>
        <v>0.17</v>
      </c>
      <c r="H6299" s="759">
        <f t="shared" si="393"/>
        <v>0.28999999999999998</v>
      </c>
      <c r="I6299" s="758">
        <f t="shared" si="394"/>
        <v>1.9300000000000002</v>
      </c>
      <c r="J6299" s="760">
        <f t="shared" si="395"/>
        <v>0.919047619047619</v>
      </c>
    </row>
    <row r="6300" spans="1:10">
      <c r="A6300" s="74" t="s">
        <v>956</v>
      </c>
      <c r="B6300" s="74" t="s">
        <v>955</v>
      </c>
      <c r="C6300" s="74" t="s">
        <v>1508</v>
      </c>
      <c r="D6300" s="74" t="s">
        <v>78</v>
      </c>
      <c r="E6300" s="74">
        <v>1</v>
      </c>
      <c r="F6300" s="74">
        <v>2.1</v>
      </c>
      <c r="G6300" s="758">
        <f t="shared" si="392"/>
        <v>0.17</v>
      </c>
      <c r="H6300" s="759">
        <f t="shared" si="393"/>
        <v>0.28999999999999998</v>
      </c>
      <c r="I6300" s="758">
        <f t="shared" si="394"/>
        <v>1.9300000000000002</v>
      </c>
      <c r="J6300" s="760">
        <f t="shared" si="395"/>
        <v>0.919047619047619</v>
      </c>
    </row>
    <row r="6301" spans="1:10">
      <c r="A6301" s="74" t="s">
        <v>956</v>
      </c>
      <c r="B6301" s="74" t="s">
        <v>955</v>
      </c>
      <c r="C6301" s="74" t="s">
        <v>1509</v>
      </c>
      <c r="D6301" s="74" t="s">
        <v>78</v>
      </c>
      <c r="E6301" s="74">
        <v>5</v>
      </c>
      <c r="F6301" s="74">
        <v>9.5</v>
      </c>
      <c r="G6301" s="758">
        <f t="shared" si="392"/>
        <v>0.17</v>
      </c>
      <c r="H6301" s="759">
        <f t="shared" si="393"/>
        <v>0.28999999999999998</v>
      </c>
      <c r="I6301" s="758">
        <f t="shared" si="394"/>
        <v>1.73</v>
      </c>
      <c r="J6301" s="760">
        <f t="shared" si="395"/>
        <v>0.91052631578947363</v>
      </c>
    </row>
    <row r="6302" spans="1:10">
      <c r="A6302" s="74" t="s">
        <v>956</v>
      </c>
      <c r="B6302" s="74" t="s">
        <v>955</v>
      </c>
      <c r="C6302" s="74" t="s">
        <v>1565</v>
      </c>
      <c r="D6302" s="74" t="s">
        <v>78</v>
      </c>
      <c r="E6302" s="74">
        <v>1</v>
      </c>
      <c r="F6302" s="74">
        <v>2.1</v>
      </c>
      <c r="G6302" s="758">
        <f t="shared" si="392"/>
        <v>0.17</v>
      </c>
      <c r="H6302" s="759">
        <f t="shared" si="393"/>
        <v>0.28999999999999998</v>
      </c>
      <c r="I6302" s="758">
        <f t="shared" si="394"/>
        <v>1.9300000000000002</v>
      </c>
      <c r="J6302" s="760">
        <f t="shared" si="395"/>
        <v>0.919047619047619</v>
      </c>
    </row>
    <row r="6303" spans="1:10">
      <c r="A6303" s="74" t="s">
        <v>956</v>
      </c>
      <c r="B6303" s="74" t="s">
        <v>955</v>
      </c>
      <c r="C6303" s="74" t="s">
        <v>1530</v>
      </c>
      <c r="D6303" s="74" t="s">
        <v>80</v>
      </c>
      <c r="E6303" s="74">
        <v>1</v>
      </c>
      <c r="F6303" s="74">
        <v>2.1</v>
      </c>
      <c r="G6303" s="758">
        <f t="shared" si="392"/>
        <v>0.17</v>
      </c>
      <c r="H6303" s="759">
        <f t="shared" si="393"/>
        <v>0.28999999999999998</v>
      </c>
      <c r="I6303" s="758">
        <f t="shared" si="394"/>
        <v>1.9300000000000002</v>
      </c>
      <c r="J6303" s="760">
        <f t="shared" si="395"/>
        <v>0.919047619047619</v>
      </c>
    </row>
    <row r="6304" spans="1:10">
      <c r="A6304" s="74" t="s">
        <v>956</v>
      </c>
      <c r="B6304" s="74" t="s">
        <v>955</v>
      </c>
      <c r="C6304" s="74" t="s">
        <v>1532</v>
      </c>
      <c r="D6304" s="74" t="s">
        <v>80</v>
      </c>
      <c r="E6304" s="74">
        <v>3</v>
      </c>
      <c r="F6304" s="74">
        <v>6.3</v>
      </c>
      <c r="G6304" s="758">
        <f t="shared" si="392"/>
        <v>0.17</v>
      </c>
      <c r="H6304" s="759">
        <f t="shared" si="393"/>
        <v>0.28999999999999998</v>
      </c>
      <c r="I6304" s="758">
        <f t="shared" si="394"/>
        <v>1.9300000000000002</v>
      </c>
      <c r="J6304" s="760">
        <f t="shared" si="395"/>
        <v>0.919047619047619</v>
      </c>
    </row>
    <row r="6305" spans="1:10">
      <c r="A6305" s="74" t="s">
        <v>956</v>
      </c>
      <c r="B6305" s="74" t="s">
        <v>955</v>
      </c>
      <c r="C6305" s="74" t="s">
        <v>1512</v>
      </c>
      <c r="D6305" s="74" t="s">
        <v>80</v>
      </c>
      <c r="E6305" s="74">
        <v>2</v>
      </c>
      <c r="F6305" s="74">
        <v>3.85</v>
      </c>
      <c r="G6305" s="758">
        <f t="shared" si="392"/>
        <v>0.17</v>
      </c>
      <c r="H6305" s="759">
        <f t="shared" si="393"/>
        <v>0.28999999999999998</v>
      </c>
      <c r="I6305" s="758">
        <f t="shared" si="394"/>
        <v>1.7550000000000001</v>
      </c>
      <c r="J6305" s="760">
        <f t="shared" si="395"/>
        <v>0.91168831168831166</v>
      </c>
    </row>
    <row r="6306" spans="1:10">
      <c r="A6306" s="74" t="s">
        <v>956</v>
      </c>
      <c r="B6306" s="74" t="s">
        <v>955</v>
      </c>
      <c r="C6306" s="74" t="s">
        <v>1534</v>
      </c>
      <c r="D6306" s="74" t="s">
        <v>81</v>
      </c>
      <c r="E6306" s="74">
        <v>1</v>
      </c>
      <c r="F6306" s="74">
        <v>1.75</v>
      </c>
      <c r="G6306" s="758">
        <f t="shared" si="392"/>
        <v>0.17</v>
      </c>
      <c r="H6306" s="759">
        <f t="shared" si="393"/>
        <v>0.28999999999999998</v>
      </c>
      <c r="I6306" s="758">
        <f t="shared" si="394"/>
        <v>1.58</v>
      </c>
      <c r="J6306" s="760">
        <f t="shared" si="395"/>
        <v>0.9028571428571428</v>
      </c>
    </row>
    <row r="6307" spans="1:10">
      <c r="A6307" s="74" t="s">
        <v>956</v>
      </c>
      <c r="B6307" s="74" t="s">
        <v>955</v>
      </c>
      <c r="C6307" s="74" t="s">
        <v>1515</v>
      </c>
      <c r="D6307" s="74" t="s">
        <v>81</v>
      </c>
      <c r="E6307" s="74">
        <v>2</v>
      </c>
      <c r="F6307" s="74">
        <v>3.5</v>
      </c>
      <c r="G6307" s="758">
        <f t="shared" si="392"/>
        <v>0.17</v>
      </c>
      <c r="H6307" s="759">
        <f t="shared" si="393"/>
        <v>0.28999999999999998</v>
      </c>
      <c r="I6307" s="758">
        <f t="shared" si="394"/>
        <v>1.58</v>
      </c>
      <c r="J6307" s="760">
        <f t="shared" si="395"/>
        <v>0.9028571428571428</v>
      </c>
    </row>
    <row r="6308" spans="1:10">
      <c r="A6308" s="74" t="s">
        <v>956</v>
      </c>
      <c r="B6308" s="74" t="s">
        <v>955</v>
      </c>
      <c r="C6308" s="74" t="s">
        <v>1517</v>
      </c>
      <c r="D6308" s="74" t="s">
        <v>82</v>
      </c>
      <c r="E6308" s="74">
        <v>3</v>
      </c>
      <c r="F6308" s="74">
        <v>5.25</v>
      </c>
      <c r="G6308" s="758">
        <f t="shared" si="392"/>
        <v>0.17</v>
      </c>
      <c r="H6308" s="759">
        <f t="shared" si="393"/>
        <v>0.28999999999999998</v>
      </c>
      <c r="I6308" s="758">
        <f t="shared" si="394"/>
        <v>1.58</v>
      </c>
      <c r="J6308" s="760">
        <f t="shared" si="395"/>
        <v>0.9028571428571428</v>
      </c>
    </row>
    <row r="6309" spans="1:10">
      <c r="A6309" s="74" t="s">
        <v>956</v>
      </c>
      <c r="B6309" s="74" t="s">
        <v>955</v>
      </c>
      <c r="C6309" s="74" t="s">
        <v>1518</v>
      </c>
      <c r="D6309" s="74" t="s">
        <v>82</v>
      </c>
      <c r="E6309" s="74">
        <v>1</v>
      </c>
      <c r="F6309" s="74">
        <v>2.1</v>
      </c>
      <c r="G6309" s="758">
        <f t="shared" si="392"/>
        <v>0.17</v>
      </c>
      <c r="H6309" s="759">
        <f t="shared" si="393"/>
        <v>0.28999999999999998</v>
      </c>
      <c r="I6309" s="758">
        <f t="shared" si="394"/>
        <v>1.9300000000000002</v>
      </c>
      <c r="J6309" s="760">
        <f t="shared" si="395"/>
        <v>0.919047619047619</v>
      </c>
    </row>
    <row r="6310" spans="1:10">
      <c r="A6310" s="74" t="s">
        <v>956</v>
      </c>
      <c r="B6310" s="74" t="s">
        <v>955</v>
      </c>
      <c r="C6310" s="74" t="s">
        <v>1577</v>
      </c>
      <c r="D6310" s="74" t="s">
        <v>84</v>
      </c>
      <c r="E6310" s="74">
        <v>1</v>
      </c>
      <c r="F6310" s="74">
        <v>1.75</v>
      </c>
      <c r="G6310" s="758">
        <f t="shared" si="392"/>
        <v>0.17</v>
      </c>
      <c r="H6310" s="759">
        <f t="shared" si="393"/>
        <v>0.28999999999999998</v>
      </c>
      <c r="I6310" s="758">
        <f t="shared" si="394"/>
        <v>1.58</v>
      </c>
      <c r="J6310" s="760">
        <f t="shared" si="395"/>
        <v>0.9028571428571428</v>
      </c>
    </row>
    <row r="6311" spans="1:10">
      <c r="A6311" s="74" t="s">
        <v>956</v>
      </c>
      <c r="B6311" s="74" t="s">
        <v>955</v>
      </c>
      <c r="C6311" s="74" t="s">
        <v>1507</v>
      </c>
      <c r="D6311" s="74" t="s">
        <v>86</v>
      </c>
      <c r="E6311" s="74">
        <v>3</v>
      </c>
      <c r="F6311" s="74">
        <v>5.25</v>
      </c>
      <c r="G6311" s="758">
        <f t="shared" si="392"/>
        <v>0.17</v>
      </c>
      <c r="H6311" s="759">
        <f t="shared" si="393"/>
        <v>0.28999999999999998</v>
      </c>
      <c r="I6311" s="758">
        <f t="shared" si="394"/>
        <v>1.58</v>
      </c>
      <c r="J6311" s="760">
        <f t="shared" si="395"/>
        <v>0.9028571428571428</v>
      </c>
    </row>
    <row r="6312" spans="1:10">
      <c r="A6312" s="74" t="s">
        <v>956</v>
      </c>
      <c r="B6312" s="74" t="s">
        <v>955</v>
      </c>
      <c r="C6312" s="74" t="s">
        <v>1644</v>
      </c>
      <c r="D6312" s="74" t="s">
        <v>86</v>
      </c>
      <c r="E6312" s="74">
        <v>1</v>
      </c>
      <c r="F6312" s="74">
        <v>2.1</v>
      </c>
      <c r="G6312" s="758">
        <f t="shared" si="392"/>
        <v>0.17</v>
      </c>
      <c r="H6312" s="759">
        <f t="shared" si="393"/>
        <v>0.28999999999999998</v>
      </c>
      <c r="I6312" s="758">
        <f t="shared" si="394"/>
        <v>1.9300000000000002</v>
      </c>
      <c r="J6312" s="760">
        <f t="shared" si="395"/>
        <v>0.919047619047619</v>
      </c>
    </row>
    <row r="6313" spans="1:10">
      <c r="A6313" s="74" t="s">
        <v>956</v>
      </c>
      <c r="B6313" s="74" t="s">
        <v>955</v>
      </c>
      <c r="C6313" s="74" t="s">
        <v>1578</v>
      </c>
      <c r="D6313" s="74" t="s">
        <v>86</v>
      </c>
      <c r="E6313" s="74">
        <v>1</v>
      </c>
      <c r="F6313" s="74">
        <v>1.75</v>
      </c>
      <c r="G6313" s="758">
        <f t="shared" si="392"/>
        <v>0.17</v>
      </c>
      <c r="H6313" s="759">
        <f t="shared" si="393"/>
        <v>0.28999999999999998</v>
      </c>
      <c r="I6313" s="758">
        <f t="shared" si="394"/>
        <v>1.58</v>
      </c>
      <c r="J6313" s="760">
        <f t="shared" si="395"/>
        <v>0.9028571428571428</v>
      </c>
    </row>
    <row r="6314" spans="1:10">
      <c r="A6314" s="74" t="s">
        <v>956</v>
      </c>
      <c r="B6314" s="74" t="s">
        <v>955</v>
      </c>
      <c r="C6314" s="74" t="s">
        <v>1646</v>
      </c>
      <c r="D6314" s="74" t="s">
        <v>86</v>
      </c>
      <c r="E6314" s="74">
        <v>2</v>
      </c>
      <c r="F6314" s="74">
        <v>3.5</v>
      </c>
      <c r="G6314" s="758">
        <f t="shared" si="392"/>
        <v>0.17</v>
      </c>
      <c r="H6314" s="759">
        <f t="shared" si="393"/>
        <v>0.28999999999999998</v>
      </c>
      <c r="I6314" s="758">
        <f t="shared" si="394"/>
        <v>1.58</v>
      </c>
      <c r="J6314" s="760">
        <f t="shared" si="395"/>
        <v>0.9028571428571428</v>
      </c>
    </row>
    <row r="6315" spans="1:10">
      <c r="A6315" s="74" t="s">
        <v>956</v>
      </c>
      <c r="B6315" s="74" t="s">
        <v>955</v>
      </c>
      <c r="C6315" s="74" t="s">
        <v>1543</v>
      </c>
      <c r="D6315" s="74" t="s">
        <v>87</v>
      </c>
      <c r="E6315" s="74">
        <v>2</v>
      </c>
      <c r="F6315" s="74">
        <v>3.5</v>
      </c>
      <c r="G6315" s="758">
        <f t="shared" si="392"/>
        <v>0.17</v>
      </c>
      <c r="H6315" s="759">
        <f t="shared" si="393"/>
        <v>0.28999999999999998</v>
      </c>
      <c r="I6315" s="758">
        <f t="shared" si="394"/>
        <v>1.58</v>
      </c>
      <c r="J6315" s="760">
        <f t="shared" si="395"/>
        <v>0.9028571428571428</v>
      </c>
    </row>
    <row r="6316" spans="1:10">
      <c r="A6316" s="74" t="s">
        <v>956</v>
      </c>
      <c r="B6316" s="74" t="s">
        <v>955</v>
      </c>
      <c r="C6316" s="74" t="s">
        <v>1544</v>
      </c>
      <c r="D6316" s="74" t="s">
        <v>87</v>
      </c>
      <c r="E6316" s="74">
        <v>1</v>
      </c>
      <c r="F6316" s="74">
        <v>1.75</v>
      </c>
      <c r="G6316" s="758">
        <f t="shared" si="392"/>
        <v>0.17</v>
      </c>
      <c r="H6316" s="759">
        <f t="shared" si="393"/>
        <v>0.28999999999999998</v>
      </c>
      <c r="I6316" s="758">
        <f t="shared" si="394"/>
        <v>1.58</v>
      </c>
      <c r="J6316" s="760">
        <f t="shared" si="395"/>
        <v>0.9028571428571428</v>
      </c>
    </row>
    <row r="6317" spans="1:10">
      <c r="A6317" s="74" t="s">
        <v>956</v>
      </c>
      <c r="B6317" s="74" t="s">
        <v>955</v>
      </c>
      <c r="C6317" s="74" t="s">
        <v>1605</v>
      </c>
      <c r="D6317" s="74" t="s">
        <v>87</v>
      </c>
      <c r="E6317" s="74">
        <v>1</v>
      </c>
      <c r="F6317" s="74">
        <v>1.75</v>
      </c>
      <c r="G6317" s="758">
        <f t="shared" si="392"/>
        <v>0.17</v>
      </c>
      <c r="H6317" s="759">
        <f t="shared" si="393"/>
        <v>0.28999999999999998</v>
      </c>
      <c r="I6317" s="758">
        <f t="shared" si="394"/>
        <v>1.58</v>
      </c>
      <c r="J6317" s="760">
        <f t="shared" si="395"/>
        <v>0.9028571428571428</v>
      </c>
    </row>
    <row r="6318" spans="1:10">
      <c r="A6318" s="74" t="s">
        <v>956</v>
      </c>
      <c r="B6318" s="74" t="s">
        <v>955</v>
      </c>
      <c r="C6318" s="74" t="s">
        <v>1561</v>
      </c>
      <c r="D6318" s="74" t="s">
        <v>87</v>
      </c>
      <c r="E6318" s="74">
        <v>2</v>
      </c>
      <c r="F6318" s="74">
        <v>3.5</v>
      </c>
      <c r="G6318" s="758">
        <f t="shared" si="392"/>
        <v>0.17</v>
      </c>
      <c r="H6318" s="759">
        <f t="shared" si="393"/>
        <v>0.28999999999999998</v>
      </c>
      <c r="I6318" s="758">
        <f t="shared" si="394"/>
        <v>1.58</v>
      </c>
      <c r="J6318" s="760">
        <f t="shared" si="395"/>
        <v>0.9028571428571428</v>
      </c>
    </row>
    <row r="6319" spans="1:10">
      <c r="A6319" s="74" t="s">
        <v>956</v>
      </c>
      <c r="B6319" s="74" t="s">
        <v>955</v>
      </c>
      <c r="C6319" s="74" t="s">
        <v>1610</v>
      </c>
      <c r="D6319" s="74" t="s">
        <v>89</v>
      </c>
      <c r="E6319" s="74">
        <v>2</v>
      </c>
      <c r="F6319" s="74">
        <v>3.5</v>
      </c>
      <c r="G6319" s="758">
        <f t="shared" si="392"/>
        <v>0.17</v>
      </c>
      <c r="H6319" s="759">
        <f t="shared" si="393"/>
        <v>0.28999999999999998</v>
      </c>
      <c r="I6319" s="758">
        <f t="shared" si="394"/>
        <v>1.58</v>
      </c>
      <c r="J6319" s="760">
        <f t="shared" si="395"/>
        <v>0.9028571428571428</v>
      </c>
    </row>
    <row r="6320" spans="1:10">
      <c r="A6320" s="74" t="s">
        <v>956</v>
      </c>
      <c r="B6320" s="74" t="s">
        <v>955</v>
      </c>
      <c r="C6320" s="74" t="s">
        <v>1546</v>
      </c>
      <c r="D6320" s="74" t="s">
        <v>89</v>
      </c>
      <c r="E6320" s="74">
        <v>3</v>
      </c>
      <c r="F6320" s="74">
        <v>5.6</v>
      </c>
      <c r="G6320" s="758">
        <f t="shared" si="392"/>
        <v>0.17</v>
      </c>
      <c r="H6320" s="759">
        <f t="shared" si="393"/>
        <v>0.28999999999999998</v>
      </c>
      <c r="I6320" s="758">
        <f t="shared" si="394"/>
        <v>1.6966666666666665</v>
      </c>
      <c r="J6320" s="760">
        <f t="shared" si="395"/>
        <v>0.90892857142857142</v>
      </c>
    </row>
    <row r="6321" spans="1:10">
      <c r="A6321" s="74" t="s">
        <v>956</v>
      </c>
      <c r="B6321" s="74" t="s">
        <v>955</v>
      </c>
      <c r="C6321" s="74" t="s">
        <v>1547</v>
      </c>
      <c r="D6321" s="74" t="s">
        <v>89</v>
      </c>
      <c r="E6321" s="74">
        <v>4</v>
      </c>
      <c r="F6321" s="74">
        <v>7</v>
      </c>
      <c r="G6321" s="758">
        <f t="shared" si="392"/>
        <v>0.17</v>
      </c>
      <c r="H6321" s="759">
        <f t="shared" si="393"/>
        <v>0.28999999999999998</v>
      </c>
      <c r="I6321" s="758">
        <f t="shared" si="394"/>
        <v>1.58</v>
      </c>
      <c r="J6321" s="760">
        <f t="shared" si="395"/>
        <v>0.9028571428571428</v>
      </c>
    </row>
    <row r="6322" spans="1:10">
      <c r="A6322" s="74" t="s">
        <v>956</v>
      </c>
      <c r="B6322" s="74" t="s">
        <v>955</v>
      </c>
      <c r="C6322" s="74" t="s">
        <v>1582</v>
      </c>
      <c r="D6322" s="74" t="s">
        <v>89</v>
      </c>
      <c r="E6322" s="74">
        <v>2</v>
      </c>
      <c r="F6322" s="74">
        <v>3.5</v>
      </c>
      <c r="G6322" s="758">
        <f t="shared" si="392"/>
        <v>0.17</v>
      </c>
      <c r="H6322" s="759">
        <f t="shared" si="393"/>
        <v>0.28999999999999998</v>
      </c>
      <c r="I6322" s="758">
        <f t="shared" si="394"/>
        <v>1.58</v>
      </c>
      <c r="J6322" s="760">
        <f t="shared" si="395"/>
        <v>0.9028571428571428</v>
      </c>
    </row>
    <row r="6323" spans="1:10">
      <c r="A6323" s="74" t="s">
        <v>956</v>
      </c>
      <c r="B6323" s="74" t="s">
        <v>955</v>
      </c>
      <c r="C6323" s="74" t="s">
        <v>1522</v>
      </c>
      <c r="D6323" s="74" t="s">
        <v>91</v>
      </c>
      <c r="E6323" s="74">
        <v>1</v>
      </c>
      <c r="F6323" s="74">
        <v>1.75</v>
      </c>
      <c r="G6323" s="758">
        <f t="shared" si="392"/>
        <v>0.17</v>
      </c>
      <c r="H6323" s="759">
        <f t="shared" si="393"/>
        <v>0.28999999999999998</v>
      </c>
      <c r="I6323" s="758">
        <f t="shared" si="394"/>
        <v>1.58</v>
      </c>
      <c r="J6323" s="760">
        <f t="shared" si="395"/>
        <v>0.9028571428571428</v>
      </c>
    </row>
    <row r="6324" spans="1:10">
      <c r="A6324" s="74" t="s">
        <v>956</v>
      </c>
      <c r="B6324" s="74" t="s">
        <v>955</v>
      </c>
      <c r="C6324" s="74" t="s">
        <v>1550</v>
      </c>
      <c r="D6324" s="74" t="s">
        <v>91</v>
      </c>
      <c r="E6324" s="74">
        <v>4</v>
      </c>
      <c r="F6324" s="74">
        <v>7.35</v>
      </c>
      <c r="G6324" s="758">
        <f t="shared" si="392"/>
        <v>0.17</v>
      </c>
      <c r="H6324" s="759">
        <f t="shared" si="393"/>
        <v>0.28999999999999998</v>
      </c>
      <c r="I6324" s="758">
        <f t="shared" si="394"/>
        <v>1.6675</v>
      </c>
      <c r="J6324" s="760">
        <f t="shared" si="395"/>
        <v>0.90748299319727888</v>
      </c>
    </row>
    <row r="6325" spans="1:10">
      <c r="A6325" s="74" t="s">
        <v>956</v>
      </c>
      <c r="B6325" s="74" t="s">
        <v>955</v>
      </c>
      <c r="C6325" s="74" t="s">
        <v>1675</v>
      </c>
      <c r="D6325" s="74" t="s">
        <v>91</v>
      </c>
      <c r="E6325" s="74">
        <v>1</v>
      </c>
      <c r="F6325" s="74">
        <v>1.75</v>
      </c>
      <c r="G6325" s="758">
        <f t="shared" si="392"/>
        <v>0.17</v>
      </c>
      <c r="H6325" s="759">
        <f t="shared" si="393"/>
        <v>0.28999999999999998</v>
      </c>
      <c r="I6325" s="758">
        <f t="shared" si="394"/>
        <v>1.58</v>
      </c>
      <c r="J6325" s="760">
        <f t="shared" si="395"/>
        <v>0.9028571428571428</v>
      </c>
    </row>
    <row r="6326" spans="1:10">
      <c r="A6326" s="74" t="s">
        <v>956</v>
      </c>
      <c r="B6326" s="74" t="s">
        <v>955</v>
      </c>
      <c r="C6326" s="74" t="s">
        <v>1584</v>
      </c>
      <c r="D6326" s="74" t="s">
        <v>92</v>
      </c>
      <c r="E6326" s="74">
        <v>1</v>
      </c>
      <c r="F6326" s="74">
        <v>1.75</v>
      </c>
      <c r="G6326" s="758">
        <f t="shared" si="392"/>
        <v>0.17</v>
      </c>
      <c r="H6326" s="759">
        <f t="shared" si="393"/>
        <v>0.28999999999999998</v>
      </c>
      <c r="I6326" s="758">
        <f t="shared" si="394"/>
        <v>1.58</v>
      </c>
      <c r="J6326" s="760">
        <f t="shared" si="395"/>
        <v>0.9028571428571428</v>
      </c>
    </row>
    <row r="6327" spans="1:10">
      <c r="A6327" s="74" t="s">
        <v>956</v>
      </c>
      <c r="B6327" s="74" t="s">
        <v>955</v>
      </c>
      <c r="C6327" s="74" t="s">
        <v>1614</v>
      </c>
      <c r="D6327" s="74" t="s">
        <v>92</v>
      </c>
      <c r="E6327" s="74">
        <v>1</v>
      </c>
      <c r="F6327" s="74">
        <v>1.75</v>
      </c>
      <c r="G6327" s="758">
        <f t="shared" si="392"/>
        <v>0.17</v>
      </c>
      <c r="H6327" s="759">
        <f t="shared" si="393"/>
        <v>0.28999999999999998</v>
      </c>
      <c r="I6327" s="758">
        <f t="shared" si="394"/>
        <v>1.58</v>
      </c>
      <c r="J6327" s="760">
        <f t="shared" si="395"/>
        <v>0.9028571428571428</v>
      </c>
    </row>
    <row r="6328" spans="1:10">
      <c r="A6328" s="74" t="s">
        <v>956</v>
      </c>
      <c r="B6328" s="74" t="s">
        <v>955</v>
      </c>
      <c r="C6328" s="74" t="s">
        <v>1631</v>
      </c>
      <c r="D6328" s="74" t="s">
        <v>92</v>
      </c>
      <c r="E6328" s="74">
        <v>2</v>
      </c>
      <c r="F6328" s="74">
        <v>3.85</v>
      </c>
      <c r="G6328" s="758">
        <f t="shared" si="392"/>
        <v>0.17</v>
      </c>
      <c r="H6328" s="759">
        <f t="shared" si="393"/>
        <v>0.28999999999999998</v>
      </c>
      <c r="I6328" s="758">
        <f t="shared" si="394"/>
        <v>1.7550000000000001</v>
      </c>
      <c r="J6328" s="760">
        <f t="shared" si="395"/>
        <v>0.91168831168831166</v>
      </c>
    </row>
    <row r="6329" spans="1:10">
      <c r="A6329" s="74" t="s">
        <v>956</v>
      </c>
      <c r="B6329" s="74" t="s">
        <v>955</v>
      </c>
      <c r="C6329" s="74" t="s">
        <v>1552</v>
      </c>
      <c r="D6329" s="74" t="s">
        <v>92</v>
      </c>
      <c r="E6329" s="74">
        <v>1</v>
      </c>
      <c r="F6329" s="74">
        <v>1.75</v>
      </c>
      <c r="G6329" s="758">
        <f t="shared" si="392"/>
        <v>0.17</v>
      </c>
      <c r="H6329" s="759">
        <f t="shared" si="393"/>
        <v>0.28999999999999998</v>
      </c>
      <c r="I6329" s="758">
        <f t="shared" si="394"/>
        <v>1.58</v>
      </c>
      <c r="J6329" s="760">
        <f t="shared" si="395"/>
        <v>0.9028571428571428</v>
      </c>
    </row>
    <row r="6330" spans="1:10">
      <c r="A6330" s="74" t="s">
        <v>956</v>
      </c>
      <c r="B6330" s="74" t="s">
        <v>955</v>
      </c>
      <c r="C6330" s="74" t="s">
        <v>1553</v>
      </c>
      <c r="D6330" s="74" t="s">
        <v>94</v>
      </c>
      <c r="E6330" s="74">
        <v>1</v>
      </c>
      <c r="F6330" s="74">
        <v>1.75</v>
      </c>
      <c r="G6330" s="758">
        <f t="shared" si="392"/>
        <v>0.17</v>
      </c>
      <c r="H6330" s="759">
        <f t="shared" si="393"/>
        <v>0.28999999999999998</v>
      </c>
      <c r="I6330" s="758">
        <f t="shared" si="394"/>
        <v>1.58</v>
      </c>
      <c r="J6330" s="760">
        <f t="shared" si="395"/>
        <v>0.9028571428571428</v>
      </c>
    </row>
    <row r="6331" spans="1:10">
      <c r="A6331" s="74" t="s">
        <v>956</v>
      </c>
      <c r="B6331" s="74" t="s">
        <v>955</v>
      </c>
      <c r="C6331" s="74" t="s">
        <v>1555</v>
      </c>
      <c r="D6331" s="74" t="s">
        <v>94</v>
      </c>
      <c r="E6331" s="74">
        <v>1</v>
      </c>
      <c r="F6331" s="74">
        <v>1.75</v>
      </c>
      <c r="G6331" s="758">
        <f t="shared" si="392"/>
        <v>0.17</v>
      </c>
      <c r="H6331" s="759">
        <f t="shared" si="393"/>
        <v>0.28999999999999998</v>
      </c>
      <c r="I6331" s="758">
        <f t="shared" si="394"/>
        <v>1.58</v>
      </c>
      <c r="J6331" s="760">
        <f t="shared" si="395"/>
        <v>0.9028571428571428</v>
      </c>
    </row>
    <row r="6332" spans="1:10">
      <c r="A6332" s="74" t="s">
        <v>956</v>
      </c>
      <c r="B6332" s="74" t="s">
        <v>955</v>
      </c>
      <c r="C6332" s="74" t="s">
        <v>1557</v>
      </c>
      <c r="D6332" s="74" t="s">
        <v>95</v>
      </c>
      <c r="E6332" s="74">
        <v>2</v>
      </c>
      <c r="F6332" s="74">
        <v>3.5</v>
      </c>
      <c r="G6332" s="758">
        <f t="shared" si="392"/>
        <v>0.17</v>
      </c>
      <c r="H6332" s="759">
        <f t="shared" si="393"/>
        <v>0.28999999999999998</v>
      </c>
      <c r="I6332" s="758">
        <f t="shared" si="394"/>
        <v>1.58</v>
      </c>
      <c r="J6332" s="760">
        <f t="shared" si="395"/>
        <v>0.9028571428571428</v>
      </c>
    </row>
    <row r="6333" spans="1:10">
      <c r="A6333" s="74" t="s">
        <v>2236</v>
      </c>
      <c r="B6333" s="74" t="s">
        <v>955</v>
      </c>
      <c r="C6333" s="74" t="s">
        <v>1610</v>
      </c>
      <c r="D6333" s="74" t="s">
        <v>89</v>
      </c>
      <c r="E6333" s="74">
        <v>1</v>
      </c>
      <c r="F6333" s="74">
        <v>0</v>
      </c>
      <c r="G6333" s="758">
        <f t="shared" si="392"/>
        <v>0</v>
      </c>
      <c r="H6333" s="759">
        <f t="shared" si="393"/>
        <v>0</v>
      </c>
      <c r="I6333" s="758">
        <f t="shared" si="394"/>
        <v>0</v>
      </c>
      <c r="J6333" s="760">
        <f t="shared" si="395"/>
        <v>0</v>
      </c>
    </row>
    <row r="6334" spans="1:10">
      <c r="A6334" s="74" t="s">
        <v>2237</v>
      </c>
      <c r="B6334" s="74" t="s">
        <v>877</v>
      </c>
      <c r="C6334" s="74" t="s">
        <v>1577</v>
      </c>
      <c r="D6334" s="74" t="s">
        <v>84</v>
      </c>
      <c r="E6334" s="74">
        <v>1</v>
      </c>
      <c r="F6334" s="74">
        <v>0</v>
      </c>
      <c r="G6334" s="758">
        <f t="shared" si="392"/>
        <v>0</v>
      </c>
      <c r="H6334" s="759">
        <f t="shared" si="393"/>
        <v>0</v>
      </c>
      <c r="I6334" s="758">
        <f t="shared" si="394"/>
        <v>0</v>
      </c>
      <c r="J6334" s="760">
        <f t="shared" si="395"/>
        <v>0</v>
      </c>
    </row>
    <row r="6335" spans="1:10">
      <c r="A6335" s="74" t="s">
        <v>2238</v>
      </c>
      <c r="B6335" s="74" t="s">
        <v>877</v>
      </c>
      <c r="C6335" s="74" t="s">
        <v>1507</v>
      </c>
      <c r="D6335" s="74" t="s">
        <v>86</v>
      </c>
      <c r="E6335" s="74">
        <v>4</v>
      </c>
      <c r="F6335" s="74">
        <v>0</v>
      </c>
      <c r="G6335" s="758">
        <f t="shared" si="392"/>
        <v>0</v>
      </c>
      <c r="H6335" s="759">
        <f t="shared" si="393"/>
        <v>0</v>
      </c>
      <c r="I6335" s="758">
        <f t="shared" si="394"/>
        <v>0</v>
      </c>
      <c r="J6335" s="760">
        <f t="shared" si="395"/>
        <v>0</v>
      </c>
    </row>
    <row r="6336" spans="1:10">
      <c r="A6336" s="74" t="s">
        <v>2239</v>
      </c>
      <c r="B6336" s="74" t="s">
        <v>877</v>
      </c>
      <c r="C6336" s="74" t="s">
        <v>1546</v>
      </c>
      <c r="D6336" s="74" t="s">
        <v>89</v>
      </c>
      <c r="E6336" s="74">
        <v>4</v>
      </c>
      <c r="F6336" s="74">
        <v>0</v>
      </c>
      <c r="G6336" s="758">
        <f t="shared" si="392"/>
        <v>0</v>
      </c>
      <c r="H6336" s="759">
        <f t="shared" si="393"/>
        <v>0</v>
      </c>
      <c r="I6336" s="758">
        <f t="shared" si="394"/>
        <v>0</v>
      </c>
      <c r="J6336" s="760">
        <f t="shared" si="395"/>
        <v>0</v>
      </c>
    </row>
    <row r="6337" spans="1:10">
      <c r="A6337" s="74" t="s">
        <v>2239</v>
      </c>
      <c r="B6337" s="74" t="s">
        <v>877</v>
      </c>
      <c r="C6337" s="74" t="s">
        <v>1550</v>
      </c>
      <c r="D6337" s="74" t="s">
        <v>91</v>
      </c>
      <c r="E6337" s="74">
        <v>3</v>
      </c>
      <c r="F6337" s="74">
        <v>0</v>
      </c>
      <c r="G6337" s="758">
        <f t="shared" si="392"/>
        <v>0</v>
      </c>
      <c r="H6337" s="759">
        <f t="shared" si="393"/>
        <v>0</v>
      </c>
      <c r="I6337" s="758">
        <f t="shared" si="394"/>
        <v>0</v>
      </c>
      <c r="J6337" s="760">
        <f t="shared" si="395"/>
        <v>0</v>
      </c>
    </row>
    <row r="6338" spans="1:10">
      <c r="A6338" s="74" t="s">
        <v>2240</v>
      </c>
      <c r="B6338" s="74" t="s">
        <v>877</v>
      </c>
      <c r="C6338" s="74" t="s">
        <v>1546</v>
      </c>
      <c r="D6338" s="74" t="s">
        <v>89</v>
      </c>
      <c r="E6338" s="74">
        <v>3</v>
      </c>
      <c r="F6338" s="74">
        <v>0</v>
      </c>
      <c r="G6338" s="758">
        <f t="shared" ref="G6338:G6401" si="396">IFERROR(VLOOKUP(A6338,$M$1:$P$1014,2,FALSE),0)</f>
        <v>0</v>
      </c>
      <c r="H6338" s="759">
        <f t="shared" ref="H6338:H6401" si="397">IFERROR(VLOOKUP(A6338,$M$1:$P$1014,3,FALSE),0)</f>
        <v>0</v>
      </c>
      <c r="I6338" s="758">
        <f t="shared" ref="I6338:I6401" si="398">IFERROR(F6338/E6338-G6338,0)</f>
        <v>0</v>
      </c>
      <c r="J6338" s="760">
        <f t="shared" ref="J6338:J6401" si="399">IFERROR(1-G6338*E6338/F6338,0)</f>
        <v>0</v>
      </c>
    </row>
    <row r="6339" spans="1:10">
      <c r="A6339" s="74" t="s">
        <v>1314</v>
      </c>
      <c r="B6339" s="74" t="s">
        <v>258</v>
      </c>
      <c r="C6339" s="74" t="s">
        <v>1617</v>
      </c>
      <c r="D6339" s="74" t="s">
        <v>94</v>
      </c>
      <c r="E6339" s="74">
        <v>1</v>
      </c>
      <c r="F6339" s="74">
        <v>0</v>
      </c>
      <c r="G6339" s="758">
        <f t="shared" si="396"/>
        <v>0</v>
      </c>
      <c r="H6339" s="759">
        <f t="shared" si="397"/>
        <v>0</v>
      </c>
      <c r="I6339" s="758">
        <f t="shared" si="398"/>
        <v>0</v>
      </c>
      <c r="J6339" s="760">
        <f t="shared" si="399"/>
        <v>0</v>
      </c>
    </row>
    <row r="6340" spans="1:10">
      <c r="A6340" s="74" t="s">
        <v>1054</v>
      </c>
      <c r="B6340" s="74" t="s">
        <v>258</v>
      </c>
      <c r="C6340" s="74" t="s">
        <v>1617</v>
      </c>
      <c r="D6340" s="74" t="s">
        <v>94</v>
      </c>
      <c r="E6340" s="74">
        <v>5</v>
      </c>
      <c r="F6340" s="74">
        <v>0</v>
      </c>
      <c r="G6340" s="758">
        <f t="shared" si="396"/>
        <v>0</v>
      </c>
      <c r="H6340" s="759">
        <f t="shared" si="397"/>
        <v>0</v>
      </c>
      <c r="I6340" s="758">
        <f t="shared" si="398"/>
        <v>0</v>
      </c>
      <c r="J6340" s="760">
        <f t="shared" si="399"/>
        <v>0</v>
      </c>
    </row>
    <row r="6341" spans="1:10">
      <c r="A6341" s="74" t="s">
        <v>2319</v>
      </c>
      <c r="B6341" s="74" t="s">
        <v>258</v>
      </c>
      <c r="C6341" s="74" t="s">
        <v>1557</v>
      </c>
      <c r="D6341" s="74" t="s">
        <v>95</v>
      </c>
      <c r="E6341" s="74">
        <v>3</v>
      </c>
      <c r="F6341" s="74">
        <v>0</v>
      </c>
      <c r="G6341" s="758">
        <f t="shared" si="396"/>
        <v>0</v>
      </c>
      <c r="H6341" s="759">
        <f t="shared" si="397"/>
        <v>0</v>
      </c>
      <c r="I6341" s="758">
        <f t="shared" si="398"/>
        <v>0</v>
      </c>
      <c r="J6341" s="760">
        <f t="shared" si="399"/>
        <v>0</v>
      </c>
    </row>
    <row r="6342" spans="1:10">
      <c r="A6342" s="74" t="s">
        <v>674</v>
      </c>
      <c r="B6342" s="74" t="s">
        <v>275</v>
      </c>
      <c r="C6342" s="74" t="s">
        <v>1528</v>
      </c>
      <c r="D6342" s="74" t="s">
        <v>78</v>
      </c>
      <c r="E6342" s="74">
        <v>17</v>
      </c>
      <c r="F6342" s="74">
        <v>83.64</v>
      </c>
      <c r="G6342" s="758">
        <f t="shared" si="396"/>
        <v>0.77</v>
      </c>
      <c r="H6342" s="759">
        <f t="shared" si="397"/>
        <v>0.19</v>
      </c>
      <c r="I6342" s="758">
        <f t="shared" si="398"/>
        <v>4.1500000000000004</v>
      </c>
      <c r="J6342" s="760">
        <f t="shared" si="399"/>
        <v>0.8434959349593496</v>
      </c>
    </row>
    <row r="6343" spans="1:10">
      <c r="A6343" s="74" t="s">
        <v>674</v>
      </c>
      <c r="B6343" s="74" t="s">
        <v>275</v>
      </c>
      <c r="C6343" s="74" t="s">
        <v>1508</v>
      </c>
      <c r="D6343" s="74" t="s">
        <v>78</v>
      </c>
      <c r="E6343" s="74">
        <v>16</v>
      </c>
      <c r="F6343" s="74">
        <v>83.64</v>
      </c>
      <c r="G6343" s="758">
        <f t="shared" si="396"/>
        <v>0.77</v>
      </c>
      <c r="H6343" s="759">
        <f t="shared" si="397"/>
        <v>0.19</v>
      </c>
      <c r="I6343" s="758">
        <f t="shared" si="398"/>
        <v>4.4574999999999996</v>
      </c>
      <c r="J6343" s="760">
        <f t="shared" si="399"/>
        <v>0.85270205643232899</v>
      </c>
    </row>
    <row r="6344" spans="1:10">
      <c r="A6344" s="74" t="s">
        <v>674</v>
      </c>
      <c r="B6344" s="74" t="s">
        <v>275</v>
      </c>
      <c r="C6344" s="74" t="s">
        <v>1509</v>
      </c>
      <c r="D6344" s="74" t="s">
        <v>78</v>
      </c>
      <c r="E6344" s="74">
        <v>9</v>
      </c>
      <c r="F6344" s="74">
        <v>41.82</v>
      </c>
      <c r="G6344" s="758">
        <f t="shared" si="396"/>
        <v>0.77</v>
      </c>
      <c r="H6344" s="759">
        <f t="shared" si="397"/>
        <v>0.19</v>
      </c>
      <c r="I6344" s="758">
        <f t="shared" si="398"/>
        <v>3.8766666666666665</v>
      </c>
      <c r="J6344" s="760">
        <f t="shared" si="399"/>
        <v>0.8342898134863701</v>
      </c>
    </row>
    <row r="6345" spans="1:10">
      <c r="A6345" s="74" t="s">
        <v>674</v>
      </c>
      <c r="B6345" s="74" t="s">
        <v>275</v>
      </c>
      <c r="C6345" s="74" t="s">
        <v>1565</v>
      </c>
      <c r="D6345" s="74" t="s">
        <v>78</v>
      </c>
      <c r="E6345" s="74">
        <v>10</v>
      </c>
      <c r="F6345" s="74">
        <v>52.5</v>
      </c>
      <c r="G6345" s="758">
        <f t="shared" si="396"/>
        <v>0.77</v>
      </c>
      <c r="H6345" s="759">
        <f t="shared" si="397"/>
        <v>0.19</v>
      </c>
      <c r="I6345" s="758">
        <f t="shared" si="398"/>
        <v>4.4800000000000004</v>
      </c>
      <c r="J6345" s="760">
        <f t="shared" si="399"/>
        <v>0.85333333333333328</v>
      </c>
    </row>
    <row r="6346" spans="1:10">
      <c r="A6346" s="74" t="s">
        <v>674</v>
      </c>
      <c r="B6346" s="74" t="s">
        <v>275</v>
      </c>
      <c r="C6346" s="74" t="s">
        <v>1530</v>
      </c>
      <c r="D6346" s="74" t="s">
        <v>80</v>
      </c>
      <c r="E6346" s="74">
        <v>11</v>
      </c>
      <c r="F6346" s="74">
        <v>57.95</v>
      </c>
      <c r="G6346" s="758">
        <f t="shared" si="396"/>
        <v>0.77</v>
      </c>
      <c r="H6346" s="759">
        <f t="shared" si="397"/>
        <v>0.19</v>
      </c>
      <c r="I6346" s="758">
        <f t="shared" si="398"/>
        <v>4.4981818181818181</v>
      </c>
      <c r="J6346" s="760">
        <f t="shared" si="399"/>
        <v>0.85383951682484904</v>
      </c>
    </row>
    <row r="6347" spans="1:10">
      <c r="A6347" s="74" t="s">
        <v>674</v>
      </c>
      <c r="B6347" s="74" t="s">
        <v>275</v>
      </c>
      <c r="C6347" s="74" t="s">
        <v>1532</v>
      </c>
      <c r="D6347" s="74" t="s">
        <v>80</v>
      </c>
      <c r="E6347" s="74">
        <v>25</v>
      </c>
      <c r="F6347" s="74">
        <v>124.45</v>
      </c>
      <c r="G6347" s="758">
        <f t="shared" si="396"/>
        <v>0.77</v>
      </c>
      <c r="H6347" s="759">
        <f t="shared" si="397"/>
        <v>0.19</v>
      </c>
      <c r="I6347" s="758">
        <f t="shared" si="398"/>
        <v>4.2080000000000002</v>
      </c>
      <c r="J6347" s="760">
        <f t="shared" si="399"/>
        <v>0.84531940538368822</v>
      </c>
    </row>
    <row r="6348" spans="1:10">
      <c r="A6348" s="74" t="s">
        <v>674</v>
      </c>
      <c r="B6348" s="74" t="s">
        <v>275</v>
      </c>
      <c r="C6348" s="74" t="s">
        <v>1511</v>
      </c>
      <c r="D6348" s="74" t="s">
        <v>80</v>
      </c>
      <c r="E6348" s="74">
        <v>32</v>
      </c>
      <c r="F6348" s="74">
        <v>149.19999999999999</v>
      </c>
      <c r="G6348" s="758">
        <f t="shared" si="396"/>
        <v>0.77</v>
      </c>
      <c r="H6348" s="759">
        <f t="shared" si="397"/>
        <v>0.19</v>
      </c>
      <c r="I6348" s="758">
        <f t="shared" si="398"/>
        <v>3.8924999999999996</v>
      </c>
      <c r="J6348" s="760">
        <f t="shared" si="399"/>
        <v>0.83485254691689004</v>
      </c>
    </row>
    <row r="6349" spans="1:10">
      <c r="A6349" s="74" t="s">
        <v>674</v>
      </c>
      <c r="B6349" s="74" t="s">
        <v>275</v>
      </c>
      <c r="C6349" s="74" t="s">
        <v>1512</v>
      </c>
      <c r="D6349" s="74" t="s">
        <v>80</v>
      </c>
      <c r="E6349" s="74">
        <v>25</v>
      </c>
      <c r="F6349" s="74">
        <v>117.82</v>
      </c>
      <c r="G6349" s="758">
        <f t="shared" si="396"/>
        <v>0.77</v>
      </c>
      <c r="H6349" s="759">
        <f t="shared" si="397"/>
        <v>0.19</v>
      </c>
      <c r="I6349" s="758">
        <f t="shared" si="398"/>
        <v>3.9427999999999996</v>
      </c>
      <c r="J6349" s="760">
        <f t="shared" si="399"/>
        <v>0.83661517569173316</v>
      </c>
    </row>
    <row r="6350" spans="1:10">
      <c r="A6350" s="74" t="s">
        <v>674</v>
      </c>
      <c r="B6350" s="74" t="s">
        <v>275</v>
      </c>
      <c r="C6350" s="74" t="s">
        <v>1534</v>
      </c>
      <c r="D6350" s="74" t="s">
        <v>81</v>
      </c>
      <c r="E6350" s="74">
        <v>12</v>
      </c>
      <c r="F6350" s="74">
        <v>33.5</v>
      </c>
      <c r="G6350" s="758">
        <f t="shared" si="396"/>
        <v>0.77</v>
      </c>
      <c r="H6350" s="759">
        <f t="shared" si="397"/>
        <v>0.19</v>
      </c>
      <c r="I6350" s="758">
        <f t="shared" si="398"/>
        <v>2.0216666666666665</v>
      </c>
      <c r="J6350" s="760">
        <f t="shared" si="399"/>
        <v>0.72417910447761191</v>
      </c>
    </row>
    <row r="6351" spans="1:10">
      <c r="A6351" s="74" t="s">
        <v>674</v>
      </c>
      <c r="B6351" s="74" t="s">
        <v>275</v>
      </c>
      <c r="C6351" s="74" t="s">
        <v>1513</v>
      </c>
      <c r="D6351" s="74" t="s">
        <v>81</v>
      </c>
      <c r="E6351" s="74">
        <v>33</v>
      </c>
      <c r="F6351" s="74">
        <v>172.73</v>
      </c>
      <c r="G6351" s="758">
        <f t="shared" si="396"/>
        <v>0.77</v>
      </c>
      <c r="H6351" s="759">
        <f t="shared" si="397"/>
        <v>0.19</v>
      </c>
      <c r="I6351" s="758">
        <f t="shared" si="398"/>
        <v>4.4642424242424248</v>
      </c>
      <c r="J6351" s="760">
        <f t="shared" si="399"/>
        <v>0.85289179644531932</v>
      </c>
    </row>
    <row r="6352" spans="1:10">
      <c r="A6352" s="74" t="s">
        <v>674</v>
      </c>
      <c r="B6352" s="74" t="s">
        <v>275</v>
      </c>
      <c r="C6352" s="74" t="s">
        <v>1514</v>
      </c>
      <c r="D6352" s="74" t="s">
        <v>81</v>
      </c>
      <c r="E6352" s="74">
        <v>27</v>
      </c>
      <c r="F6352" s="74">
        <v>132.19999999999999</v>
      </c>
      <c r="G6352" s="758">
        <f t="shared" si="396"/>
        <v>0.77</v>
      </c>
      <c r="H6352" s="759">
        <f t="shared" si="397"/>
        <v>0.19</v>
      </c>
      <c r="I6352" s="758">
        <f t="shared" si="398"/>
        <v>4.1262962962962959</v>
      </c>
      <c r="J6352" s="760">
        <f t="shared" si="399"/>
        <v>0.84273827534039336</v>
      </c>
    </row>
    <row r="6353" spans="1:10">
      <c r="A6353" s="74" t="s">
        <v>674</v>
      </c>
      <c r="B6353" s="74" t="s">
        <v>275</v>
      </c>
      <c r="C6353" s="74" t="s">
        <v>1515</v>
      </c>
      <c r="D6353" s="74" t="s">
        <v>81</v>
      </c>
      <c r="E6353" s="74">
        <v>17</v>
      </c>
      <c r="F6353" s="74">
        <v>82.74</v>
      </c>
      <c r="G6353" s="758">
        <f t="shared" si="396"/>
        <v>0.77</v>
      </c>
      <c r="H6353" s="759">
        <f t="shared" si="397"/>
        <v>0.19</v>
      </c>
      <c r="I6353" s="758">
        <f t="shared" si="398"/>
        <v>4.0970588235294123</v>
      </c>
      <c r="J6353" s="760">
        <f t="shared" si="399"/>
        <v>0.84179357021996615</v>
      </c>
    </row>
    <row r="6354" spans="1:10">
      <c r="A6354" s="74" t="s">
        <v>674</v>
      </c>
      <c r="B6354" s="74" t="s">
        <v>275</v>
      </c>
      <c r="C6354" s="74" t="s">
        <v>1516</v>
      </c>
      <c r="D6354" s="74" t="s">
        <v>82</v>
      </c>
      <c r="E6354" s="74">
        <v>5</v>
      </c>
      <c r="F6354" s="74">
        <v>29</v>
      </c>
      <c r="G6354" s="758">
        <f t="shared" si="396"/>
        <v>0.77</v>
      </c>
      <c r="H6354" s="759">
        <f t="shared" si="397"/>
        <v>0.19</v>
      </c>
      <c r="I6354" s="758">
        <f t="shared" si="398"/>
        <v>5.0299999999999994</v>
      </c>
      <c r="J6354" s="760">
        <f t="shared" si="399"/>
        <v>0.86724137931034484</v>
      </c>
    </row>
    <row r="6355" spans="1:10">
      <c r="A6355" s="74" t="s">
        <v>674</v>
      </c>
      <c r="B6355" s="74" t="s">
        <v>275</v>
      </c>
      <c r="C6355" s="74" t="s">
        <v>1517</v>
      </c>
      <c r="D6355" s="74" t="s">
        <v>82</v>
      </c>
      <c r="E6355" s="74">
        <v>13</v>
      </c>
      <c r="F6355" s="74">
        <v>74.75</v>
      </c>
      <c r="G6355" s="758">
        <f t="shared" si="396"/>
        <v>0.77</v>
      </c>
      <c r="H6355" s="759">
        <f t="shared" si="397"/>
        <v>0.19</v>
      </c>
      <c r="I6355" s="758">
        <f t="shared" si="398"/>
        <v>4.9800000000000004</v>
      </c>
      <c r="J6355" s="760">
        <f t="shared" si="399"/>
        <v>0.86608695652173917</v>
      </c>
    </row>
    <row r="6356" spans="1:10">
      <c r="A6356" s="74" t="s">
        <v>674</v>
      </c>
      <c r="B6356" s="74" t="s">
        <v>275</v>
      </c>
      <c r="C6356" s="74" t="s">
        <v>1527</v>
      </c>
      <c r="D6356" s="74" t="s">
        <v>82</v>
      </c>
      <c r="E6356" s="74">
        <v>15</v>
      </c>
      <c r="F6356" s="74">
        <v>87</v>
      </c>
      <c r="G6356" s="758">
        <f t="shared" si="396"/>
        <v>0.77</v>
      </c>
      <c r="H6356" s="759">
        <f t="shared" si="397"/>
        <v>0.19</v>
      </c>
      <c r="I6356" s="758">
        <f t="shared" si="398"/>
        <v>5.0299999999999994</v>
      </c>
      <c r="J6356" s="760">
        <f t="shared" si="399"/>
        <v>0.86724137931034484</v>
      </c>
    </row>
    <row r="6357" spans="1:10">
      <c r="A6357" s="74" t="s">
        <v>674</v>
      </c>
      <c r="B6357" s="74" t="s">
        <v>275</v>
      </c>
      <c r="C6357" s="74" t="s">
        <v>1518</v>
      </c>
      <c r="D6357" s="74" t="s">
        <v>82</v>
      </c>
      <c r="E6357" s="74">
        <v>6</v>
      </c>
      <c r="F6357" s="74">
        <v>35.25</v>
      </c>
      <c r="G6357" s="758">
        <f t="shared" si="396"/>
        <v>0.77</v>
      </c>
      <c r="H6357" s="759">
        <f t="shared" si="397"/>
        <v>0.19</v>
      </c>
      <c r="I6357" s="758">
        <f t="shared" si="398"/>
        <v>5.1050000000000004</v>
      </c>
      <c r="J6357" s="760">
        <f t="shared" si="399"/>
        <v>0.86893617021276592</v>
      </c>
    </row>
    <row r="6358" spans="1:10">
      <c r="A6358" s="74" t="s">
        <v>674</v>
      </c>
      <c r="B6358" s="74" t="s">
        <v>275</v>
      </c>
      <c r="C6358" s="74" t="s">
        <v>1540</v>
      </c>
      <c r="D6358" s="74" t="s">
        <v>84</v>
      </c>
      <c r="E6358" s="74">
        <v>2</v>
      </c>
      <c r="F6358" s="74">
        <v>11.5</v>
      </c>
      <c r="G6358" s="758">
        <f t="shared" si="396"/>
        <v>0.77</v>
      </c>
      <c r="H6358" s="759">
        <f t="shared" si="397"/>
        <v>0.19</v>
      </c>
      <c r="I6358" s="758">
        <f t="shared" si="398"/>
        <v>4.9800000000000004</v>
      </c>
      <c r="J6358" s="760">
        <f t="shared" si="399"/>
        <v>0.86608695652173906</v>
      </c>
    </row>
    <row r="6359" spans="1:10">
      <c r="A6359" s="74" t="s">
        <v>674</v>
      </c>
      <c r="B6359" s="74" t="s">
        <v>275</v>
      </c>
      <c r="C6359" s="74" t="s">
        <v>1577</v>
      </c>
      <c r="D6359" s="74" t="s">
        <v>84</v>
      </c>
      <c r="E6359" s="74">
        <v>1</v>
      </c>
      <c r="F6359" s="74">
        <v>5.75</v>
      </c>
      <c r="G6359" s="758">
        <f t="shared" si="396"/>
        <v>0.77</v>
      </c>
      <c r="H6359" s="759">
        <f t="shared" si="397"/>
        <v>0.19</v>
      </c>
      <c r="I6359" s="758">
        <f t="shared" si="398"/>
        <v>4.9800000000000004</v>
      </c>
      <c r="J6359" s="760">
        <f t="shared" si="399"/>
        <v>0.86608695652173906</v>
      </c>
    </row>
    <row r="6360" spans="1:10">
      <c r="A6360" s="74" t="s">
        <v>674</v>
      </c>
      <c r="B6360" s="74" t="s">
        <v>275</v>
      </c>
      <c r="C6360" s="74" t="s">
        <v>1507</v>
      </c>
      <c r="D6360" s="74" t="s">
        <v>86</v>
      </c>
      <c r="E6360" s="74">
        <v>1</v>
      </c>
      <c r="F6360" s="74">
        <v>4</v>
      </c>
      <c r="G6360" s="758">
        <f t="shared" si="396"/>
        <v>0.77</v>
      </c>
      <c r="H6360" s="759">
        <f t="shared" si="397"/>
        <v>0.19</v>
      </c>
      <c r="I6360" s="758">
        <f t="shared" si="398"/>
        <v>3.23</v>
      </c>
      <c r="J6360" s="760">
        <f t="shared" si="399"/>
        <v>0.8075</v>
      </c>
    </row>
    <row r="6361" spans="1:10">
      <c r="A6361" s="74" t="s">
        <v>674</v>
      </c>
      <c r="B6361" s="74" t="s">
        <v>275</v>
      </c>
      <c r="C6361" s="74" t="s">
        <v>1610</v>
      </c>
      <c r="D6361" s="74" t="s">
        <v>89</v>
      </c>
      <c r="E6361" s="74">
        <v>2</v>
      </c>
      <c r="F6361" s="74">
        <v>12</v>
      </c>
      <c r="G6361" s="758">
        <f t="shared" si="396"/>
        <v>0.77</v>
      </c>
      <c r="H6361" s="759">
        <f t="shared" si="397"/>
        <v>0.19</v>
      </c>
      <c r="I6361" s="758">
        <f t="shared" si="398"/>
        <v>5.23</v>
      </c>
      <c r="J6361" s="760">
        <f t="shared" si="399"/>
        <v>0.8716666666666667</v>
      </c>
    </row>
    <row r="6362" spans="1:10">
      <c r="A6362" s="74" t="s">
        <v>674</v>
      </c>
      <c r="B6362" s="74" t="s">
        <v>275</v>
      </c>
      <c r="C6362" s="74" t="s">
        <v>1546</v>
      </c>
      <c r="D6362" s="74" t="s">
        <v>89</v>
      </c>
      <c r="E6362" s="74">
        <v>1</v>
      </c>
      <c r="F6362" s="74">
        <v>5.75</v>
      </c>
      <c r="G6362" s="758">
        <f t="shared" si="396"/>
        <v>0.77</v>
      </c>
      <c r="H6362" s="759">
        <f t="shared" si="397"/>
        <v>0.19</v>
      </c>
      <c r="I6362" s="758">
        <f t="shared" si="398"/>
        <v>4.9800000000000004</v>
      </c>
      <c r="J6362" s="760">
        <f t="shared" si="399"/>
        <v>0.86608695652173906</v>
      </c>
    </row>
    <row r="6363" spans="1:10">
      <c r="A6363" s="74" t="s">
        <v>674</v>
      </c>
      <c r="B6363" s="74" t="s">
        <v>275</v>
      </c>
      <c r="C6363" s="74" t="s">
        <v>1547</v>
      </c>
      <c r="D6363" s="74" t="s">
        <v>89</v>
      </c>
      <c r="E6363" s="74">
        <v>1</v>
      </c>
      <c r="F6363" s="74">
        <v>5.75</v>
      </c>
      <c r="G6363" s="758">
        <f t="shared" si="396"/>
        <v>0.77</v>
      </c>
      <c r="H6363" s="759">
        <f t="shared" si="397"/>
        <v>0.19</v>
      </c>
      <c r="I6363" s="758">
        <f t="shared" si="398"/>
        <v>4.9800000000000004</v>
      </c>
      <c r="J6363" s="760">
        <f t="shared" si="399"/>
        <v>0.86608695652173906</v>
      </c>
    </row>
    <row r="6364" spans="1:10">
      <c r="A6364" s="74" t="s">
        <v>674</v>
      </c>
      <c r="B6364" s="74" t="s">
        <v>275</v>
      </c>
      <c r="C6364" s="74" t="s">
        <v>1675</v>
      </c>
      <c r="D6364" s="74" t="s">
        <v>91</v>
      </c>
      <c r="E6364" s="74">
        <v>1</v>
      </c>
      <c r="F6364" s="74">
        <v>6</v>
      </c>
      <c r="G6364" s="758">
        <f t="shared" si="396"/>
        <v>0.77</v>
      </c>
      <c r="H6364" s="759">
        <f t="shared" si="397"/>
        <v>0.19</v>
      </c>
      <c r="I6364" s="758">
        <f t="shared" si="398"/>
        <v>5.23</v>
      </c>
      <c r="J6364" s="760">
        <f t="shared" si="399"/>
        <v>0.8716666666666667</v>
      </c>
    </row>
    <row r="6365" spans="1:10">
      <c r="A6365" s="74" t="s">
        <v>674</v>
      </c>
      <c r="B6365" s="74" t="s">
        <v>275</v>
      </c>
      <c r="C6365" s="74" t="s">
        <v>1584</v>
      </c>
      <c r="D6365" s="74" t="s">
        <v>92</v>
      </c>
      <c r="E6365" s="74">
        <v>5</v>
      </c>
      <c r="F6365" s="74">
        <v>11.5</v>
      </c>
      <c r="G6365" s="758">
        <f t="shared" si="396"/>
        <v>0.77</v>
      </c>
      <c r="H6365" s="759">
        <f t="shared" si="397"/>
        <v>0.19</v>
      </c>
      <c r="I6365" s="758">
        <f t="shared" si="398"/>
        <v>1.5299999999999998</v>
      </c>
      <c r="J6365" s="760">
        <f t="shared" si="399"/>
        <v>0.66521739130434776</v>
      </c>
    </row>
    <row r="6366" spans="1:10">
      <c r="A6366" s="74" t="s">
        <v>674</v>
      </c>
      <c r="B6366" s="74" t="s">
        <v>275</v>
      </c>
      <c r="C6366" s="74" t="s">
        <v>1555</v>
      </c>
      <c r="D6366" s="74" t="s">
        <v>94</v>
      </c>
      <c r="E6366" s="74">
        <v>1</v>
      </c>
      <c r="F6366" s="74">
        <v>5.75</v>
      </c>
      <c r="G6366" s="758">
        <f t="shared" si="396"/>
        <v>0.77</v>
      </c>
      <c r="H6366" s="759">
        <f t="shared" si="397"/>
        <v>0.19</v>
      </c>
      <c r="I6366" s="758">
        <f t="shared" si="398"/>
        <v>4.9800000000000004</v>
      </c>
      <c r="J6366" s="760">
        <f t="shared" si="399"/>
        <v>0.86608695652173906</v>
      </c>
    </row>
    <row r="6367" spans="1:10">
      <c r="A6367" s="74" t="s">
        <v>674</v>
      </c>
      <c r="B6367" s="74" t="s">
        <v>275</v>
      </c>
      <c r="C6367" s="74" t="s">
        <v>1526</v>
      </c>
      <c r="D6367" s="74" t="s">
        <v>95</v>
      </c>
      <c r="E6367" s="74">
        <v>1</v>
      </c>
      <c r="F6367" s="74">
        <v>5.75</v>
      </c>
      <c r="G6367" s="758">
        <f t="shared" si="396"/>
        <v>0.77</v>
      </c>
      <c r="H6367" s="759">
        <f t="shared" si="397"/>
        <v>0.19</v>
      </c>
      <c r="I6367" s="758">
        <f t="shared" si="398"/>
        <v>4.9800000000000004</v>
      </c>
      <c r="J6367" s="760">
        <f t="shared" si="399"/>
        <v>0.86608695652173906</v>
      </c>
    </row>
    <row r="6368" spans="1:10">
      <c r="A6368" s="74" t="s">
        <v>674</v>
      </c>
      <c r="B6368" s="74" t="s">
        <v>275</v>
      </c>
      <c r="C6368" s="74" t="s">
        <v>1930</v>
      </c>
      <c r="D6368" s="74" t="s">
        <v>95</v>
      </c>
      <c r="E6368" s="74">
        <v>1</v>
      </c>
      <c r="F6368" s="74">
        <v>0</v>
      </c>
      <c r="G6368" s="758">
        <f t="shared" si="396"/>
        <v>0.77</v>
      </c>
      <c r="H6368" s="759">
        <f t="shared" si="397"/>
        <v>0.19</v>
      </c>
      <c r="I6368" s="758">
        <f t="shared" si="398"/>
        <v>-0.77</v>
      </c>
      <c r="J6368" s="760">
        <f t="shared" si="399"/>
        <v>0</v>
      </c>
    </row>
    <row r="6369" spans="1:10">
      <c r="A6369" s="74" t="s">
        <v>2242</v>
      </c>
      <c r="B6369" s="74" t="s">
        <v>275</v>
      </c>
      <c r="C6369" s="74" t="s">
        <v>1527</v>
      </c>
      <c r="D6369" s="74" t="s">
        <v>82</v>
      </c>
      <c r="E6369" s="74">
        <v>1</v>
      </c>
      <c r="F6369" s="74">
        <v>0</v>
      </c>
      <c r="G6369" s="758">
        <f t="shared" si="396"/>
        <v>0</v>
      </c>
      <c r="H6369" s="759">
        <f t="shared" si="397"/>
        <v>0</v>
      </c>
      <c r="I6369" s="758">
        <f t="shared" si="398"/>
        <v>0</v>
      </c>
      <c r="J6369" s="760">
        <f t="shared" si="399"/>
        <v>0</v>
      </c>
    </row>
    <row r="6370" spans="1:10">
      <c r="A6370" s="74" t="s">
        <v>753</v>
      </c>
      <c r="B6370" s="74" t="s">
        <v>275</v>
      </c>
      <c r="C6370" s="74" t="s">
        <v>1508</v>
      </c>
      <c r="D6370" s="74" t="s">
        <v>78</v>
      </c>
      <c r="E6370" s="74">
        <v>2</v>
      </c>
      <c r="F6370" s="74">
        <v>0</v>
      </c>
      <c r="G6370" s="758">
        <f t="shared" si="396"/>
        <v>0</v>
      </c>
      <c r="H6370" s="759">
        <f t="shared" si="397"/>
        <v>0</v>
      </c>
      <c r="I6370" s="758">
        <f t="shared" si="398"/>
        <v>0</v>
      </c>
      <c r="J6370" s="760">
        <f t="shared" si="399"/>
        <v>0</v>
      </c>
    </row>
    <row r="6371" spans="1:10">
      <c r="A6371" s="74" t="s">
        <v>753</v>
      </c>
      <c r="B6371" s="74" t="s">
        <v>275</v>
      </c>
      <c r="C6371" s="74" t="s">
        <v>1509</v>
      </c>
      <c r="D6371" s="74" t="s">
        <v>78</v>
      </c>
      <c r="E6371" s="74">
        <v>1</v>
      </c>
      <c r="F6371" s="74">
        <v>0</v>
      </c>
      <c r="G6371" s="758">
        <f t="shared" si="396"/>
        <v>0</v>
      </c>
      <c r="H6371" s="759">
        <f t="shared" si="397"/>
        <v>0</v>
      </c>
      <c r="I6371" s="758">
        <f t="shared" si="398"/>
        <v>0</v>
      </c>
      <c r="J6371" s="760">
        <f t="shared" si="399"/>
        <v>0</v>
      </c>
    </row>
    <row r="6372" spans="1:10">
      <c r="A6372" s="74" t="s">
        <v>753</v>
      </c>
      <c r="B6372" s="74" t="s">
        <v>275</v>
      </c>
      <c r="C6372" s="74" t="s">
        <v>1565</v>
      </c>
      <c r="D6372" s="74" t="s">
        <v>78</v>
      </c>
      <c r="E6372" s="74">
        <v>1</v>
      </c>
      <c r="F6372" s="74">
        <v>0</v>
      </c>
      <c r="G6372" s="758">
        <f t="shared" si="396"/>
        <v>0</v>
      </c>
      <c r="H6372" s="759">
        <f t="shared" si="397"/>
        <v>0</v>
      </c>
      <c r="I6372" s="758">
        <f t="shared" si="398"/>
        <v>0</v>
      </c>
      <c r="J6372" s="760">
        <f t="shared" si="399"/>
        <v>0</v>
      </c>
    </row>
    <row r="6373" spans="1:10">
      <c r="A6373" s="74" t="s">
        <v>753</v>
      </c>
      <c r="B6373" s="74" t="s">
        <v>275</v>
      </c>
      <c r="C6373" s="74" t="s">
        <v>1530</v>
      </c>
      <c r="D6373" s="74" t="s">
        <v>80</v>
      </c>
      <c r="E6373" s="74">
        <v>2</v>
      </c>
      <c r="F6373" s="74">
        <v>0</v>
      </c>
      <c r="G6373" s="758">
        <f t="shared" si="396"/>
        <v>0</v>
      </c>
      <c r="H6373" s="759">
        <f t="shared" si="397"/>
        <v>0</v>
      </c>
      <c r="I6373" s="758">
        <f t="shared" si="398"/>
        <v>0</v>
      </c>
      <c r="J6373" s="760">
        <f t="shared" si="399"/>
        <v>0</v>
      </c>
    </row>
    <row r="6374" spans="1:10">
      <c r="A6374" s="74" t="s">
        <v>753</v>
      </c>
      <c r="B6374" s="74" t="s">
        <v>275</v>
      </c>
      <c r="C6374" s="74" t="s">
        <v>1532</v>
      </c>
      <c r="D6374" s="74" t="s">
        <v>80</v>
      </c>
      <c r="E6374" s="74">
        <v>2</v>
      </c>
      <c r="F6374" s="74">
        <v>0</v>
      </c>
      <c r="G6374" s="758">
        <f t="shared" si="396"/>
        <v>0</v>
      </c>
      <c r="H6374" s="759">
        <f t="shared" si="397"/>
        <v>0</v>
      </c>
      <c r="I6374" s="758">
        <f t="shared" si="398"/>
        <v>0</v>
      </c>
      <c r="J6374" s="760">
        <f t="shared" si="399"/>
        <v>0</v>
      </c>
    </row>
    <row r="6375" spans="1:10">
      <c r="A6375" s="74" t="s">
        <v>753</v>
      </c>
      <c r="B6375" s="74" t="s">
        <v>275</v>
      </c>
      <c r="C6375" s="74" t="s">
        <v>1512</v>
      </c>
      <c r="D6375" s="74" t="s">
        <v>80</v>
      </c>
      <c r="E6375" s="74">
        <v>1</v>
      </c>
      <c r="F6375" s="74">
        <v>5.45</v>
      </c>
      <c r="G6375" s="758">
        <f t="shared" si="396"/>
        <v>0</v>
      </c>
      <c r="H6375" s="759">
        <f t="shared" si="397"/>
        <v>0</v>
      </c>
      <c r="I6375" s="758">
        <f t="shared" si="398"/>
        <v>5.45</v>
      </c>
      <c r="J6375" s="760">
        <f t="shared" si="399"/>
        <v>1</v>
      </c>
    </row>
    <row r="6376" spans="1:10">
      <c r="A6376" s="74" t="s">
        <v>2243</v>
      </c>
      <c r="B6376" s="74" t="s">
        <v>877</v>
      </c>
      <c r="C6376" s="74" t="s">
        <v>1555</v>
      </c>
      <c r="D6376" s="74" t="s">
        <v>94</v>
      </c>
      <c r="E6376" s="74">
        <v>7</v>
      </c>
      <c r="F6376" s="74">
        <v>0</v>
      </c>
      <c r="G6376" s="758">
        <f t="shared" si="396"/>
        <v>0</v>
      </c>
      <c r="H6376" s="759">
        <f t="shared" si="397"/>
        <v>0</v>
      </c>
      <c r="I6376" s="758">
        <f t="shared" si="398"/>
        <v>0</v>
      </c>
      <c r="J6376" s="760">
        <f t="shared" si="399"/>
        <v>0</v>
      </c>
    </row>
    <row r="6377" spans="1:10">
      <c r="A6377" s="74" t="s">
        <v>2244</v>
      </c>
      <c r="B6377" s="74" t="s">
        <v>247</v>
      </c>
      <c r="C6377" s="74" t="s">
        <v>1528</v>
      </c>
      <c r="D6377" s="74" t="s">
        <v>78</v>
      </c>
      <c r="E6377" s="74">
        <v>2</v>
      </c>
      <c r="F6377" s="74">
        <v>5.0999999999999996</v>
      </c>
      <c r="G6377" s="758">
        <f t="shared" si="396"/>
        <v>0.68</v>
      </c>
      <c r="H6377" s="759">
        <f t="shared" si="397"/>
        <v>0.28999999999999998</v>
      </c>
      <c r="I6377" s="758">
        <f t="shared" si="398"/>
        <v>1.8699999999999997</v>
      </c>
      <c r="J6377" s="760">
        <f t="shared" si="399"/>
        <v>0.73333333333333328</v>
      </c>
    </row>
    <row r="6378" spans="1:10">
      <c r="A6378" s="74" t="s">
        <v>2244</v>
      </c>
      <c r="B6378" s="74" t="s">
        <v>247</v>
      </c>
      <c r="C6378" s="74" t="s">
        <v>1565</v>
      </c>
      <c r="D6378" s="74" t="s">
        <v>78</v>
      </c>
      <c r="E6378" s="74">
        <v>4</v>
      </c>
      <c r="F6378" s="74">
        <v>10.199999999999999</v>
      </c>
      <c r="G6378" s="758">
        <f t="shared" si="396"/>
        <v>0.68</v>
      </c>
      <c r="H6378" s="759">
        <f t="shared" si="397"/>
        <v>0.28999999999999998</v>
      </c>
      <c r="I6378" s="758">
        <f t="shared" si="398"/>
        <v>1.8699999999999997</v>
      </c>
      <c r="J6378" s="760">
        <f t="shared" si="399"/>
        <v>0.73333333333333328</v>
      </c>
    </row>
    <row r="6379" spans="1:10">
      <c r="A6379" s="74" t="s">
        <v>1173</v>
      </c>
      <c r="B6379" s="74" t="s">
        <v>251</v>
      </c>
      <c r="C6379" s="74" t="s">
        <v>1509</v>
      </c>
      <c r="D6379" s="74" t="s">
        <v>78</v>
      </c>
      <c r="E6379" s="74">
        <v>3</v>
      </c>
      <c r="F6379" s="74">
        <v>7.2</v>
      </c>
      <c r="G6379" s="758">
        <f t="shared" si="396"/>
        <v>0.33</v>
      </c>
      <c r="H6379" s="759">
        <f t="shared" si="397"/>
        <v>0.24</v>
      </c>
      <c r="I6379" s="758">
        <f t="shared" si="398"/>
        <v>2.0699999999999998</v>
      </c>
      <c r="J6379" s="760">
        <f t="shared" si="399"/>
        <v>0.86250000000000004</v>
      </c>
    </row>
    <row r="6380" spans="1:10">
      <c r="A6380" s="74" t="s">
        <v>1173</v>
      </c>
      <c r="B6380" s="74" t="s">
        <v>251</v>
      </c>
      <c r="C6380" s="74" t="s">
        <v>1565</v>
      </c>
      <c r="D6380" s="74" t="s">
        <v>78</v>
      </c>
      <c r="E6380" s="74">
        <v>2</v>
      </c>
      <c r="F6380" s="74">
        <v>2.35</v>
      </c>
      <c r="G6380" s="758">
        <f t="shared" si="396"/>
        <v>0.33</v>
      </c>
      <c r="H6380" s="759">
        <f t="shared" si="397"/>
        <v>0.24</v>
      </c>
      <c r="I6380" s="758">
        <f t="shared" si="398"/>
        <v>0.84499999999999997</v>
      </c>
      <c r="J6380" s="760">
        <f t="shared" si="399"/>
        <v>0.7191489361702128</v>
      </c>
    </row>
    <row r="6381" spans="1:10">
      <c r="A6381" s="74" t="s">
        <v>1173</v>
      </c>
      <c r="B6381" s="74" t="s">
        <v>251</v>
      </c>
      <c r="C6381" s="74" t="s">
        <v>1512</v>
      </c>
      <c r="D6381" s="74" t="s">
        <v>80</v>
      </c>
      <c r="E6381" s="74">
        <v>2</v>
      </c>
      <c r="F6381" s="74">
        <v>4.7</v>
      </c>
      <c r="G6381" s="758">
        <f t="shared" si="396"/>
        <v>0.33</v>
      </c>
      <c r="H6381" s="759">
        <f t="shared" si="397"/>
        <v>0.24</v>
      </c>
      <c r="I6381" s="758">
        <f t="shared" si="398"/>
        <v>2.02</v>
      </c>
      <c r="J6381" s="760">
        <f t="shared" si="399"/>
        <v>0.8595744680851064</v>
      </c>
    </row>
    <row r="6382" spans="1:10">
      <c r="A6382" s="74" t="s">
        <v>1173</v>
      </c>
      <c r="B6382" s="74" t="s">
        <v>251</v>
      </c>
      <c r="C6382" s="74" t="s">
        <v>1534</v>
      </c>
      <c r="D6382" s="74" t="s">
        <v>81</v>
      </c>
      <c r="E6382" s="74">
        <v>2</v>
      </c>
      <c r="F6382" s="74">
        <v>2.35</v>
      </c>
      <c r="G6382" s="758">
        <f t="shared" si="396"/>
        <v>0.33</v>
      </c>
      <c r="H6382" s="759">
        <f t="shared" si="397"/>
        <v>0.24</v>
      </c>
      <c r="I6382" s="758">
        <f t="shared" si="398"/>
        <v>0.84499999999999997</v>
      </c>
      <c r="J6382" s="760">
        <f t="shared" si="399"/>
        <v>0.7191489361702128</v>
      </c>
    </row>
    <row r="6383" spans="1:10">
      <c r="A6383" s="74" t="s">
        <v>1173</v>
      </c>
      <c r="B6383" s="74" t="s">
        <v>251</v>
      </c>
      <c r="C6383" s="74" t="s">
        <v>1514</v>
      </c>
      <c r="D6383" s="74" t="s">
        <v>81</v>
      </c>
      <c r="E6383" s="74">
        <v>4</v>
      </c>
      <c r="F6383" s="74">
        <v>9.6999999999999993</v>
      </c>
      <c r="G6383" s="758">
        <f t="shared" si="396"/>
        <v>0.33</v>
      </c>
      <c r="H6383" s="759">
        <f t="shared" si="397"/>
        <v>0.24</v>
      </c>
      <c r="I6383" s="758">
        <f t="shared" si="398"/>
        <v>2.0949999999999998</v>
      </c>
      <c r="J6383" s="760">
        <f t="shared" si="399"/>
        <v>0.86391752577319592</v>
      </c>
    </row>
    <row r="6384" spans="1:10">
      <c r="A6384" s="74" t="s">
        <v>1173</v>
      </c>
      <c r="B6384" s="74" t="s">
        <v>251</v>
      </c>
      <c r="C6384" s="74" t="s">
        <v>1515</v>
      </c>
      <c r="D6384" s="74" t="s">
        <v>81</v>
      </c>
      <c r="E6384" s="74">
        <v>2</v>
      </c>
      <c r="F6384" s="74">
        <v>5</v>
      </c>
      <c r="G6384" s="758">
        <f t="shared" si="396"/>
        <v>0.33</v>
      </c>
      <c r="H6384" s="759">
        <f t="shared" si="397"/>
        <v>0.24</v>
      </c>
      <c r="I6384" s="758">
        <f t="shared" si="398"/>
        <v>2.17</v>
      </c>
      <c r="J6384" s="760">
        <f t="shared" si="399"/>
        <v>0.86799999999999999</v>
      </c>
    </row>
    <row r="6385" spans="1:10">
      <c r="A6385" s="74" t="s">
        <v>1173</v>
      </c>
      <c r="B6385" s="74" t="s">
        <v>251</v>
      </c>
      <c r="C6385" s="74" t="s">
        <v>1516</v>
      </c>
      <c r="D6385" s="74" t="s">
        <v>82</v>
      </c>
      <c r="E6385" s="74">
        <v>1</v>
      </c>
      <c r="F6385" s="74">
        <v>3.35</v>
      </c>
      <c r="G6385" s="758">
        <f t="shared" si="396"/>
        <v>0.33</v>
      </c>
      <c r="H6385" s="759">
        <f t="shared" si="397"/>
        <v>0.24</v>
      </c>
      <c r="I6385" s="758">
        <f t="shared" si="398"/>
        <v>3.02</v>
      </c>
      <c r="J6385" s="760">
        <f t="shared" si="399"/>
        <v>0.90149253731343282</v>
      </c>
    </row>
    <row r="6386" spans="1:10">
      <c r="A6386" s="74" t="s">
        <v>1173</v>
      </c>
      <c r="B6386" s="74" t="s">
        <v>251</v>
      </c>
      <c r="C6386" s="74" t="s">
        <v>1517</v>
      </c>
      <c r="D6386" s="74" t="s">
        <v>82</v>
      </c>
      <c r="E6386" s="74">
        <v>3</v>
      </c>
      <c r="F6386" s="74">
        <v>7.05</v>
      </c>
      <c r="G6386" s="758">
        <f t="shared" si="396"/>
        <v>0.33</v>
      </c>
      <c r="H6386" s="759">
        <f t="shared" si="397"/>
        <v>0.24</v>
      </c>
      <c r="I6386" s="758">
        <f t="shared" si="398"/>
        <v>2.02</v>
      </c>
      <c r="J6386" s="760">
        <f t="shared" si="399"/>
        <v>0.8595744680851064</v>
      </c>
    </row>
    <row r="6387" spans="1:10">
      <c r="A6387" s="74" t="s">
        <v>1173</v>
      </c>
      <c r="B6387" s="74" t="s">
        <v>251</v>
      </c>
      <c r="C6387" s="74" t="s">
        <v>1527</v>
      </c>
      <c r="D6387" s="74" t="s">
        <v>82</v>
      </c>
      <c r="E6387" s="74">
        <v>3</v>
      </c>
      <c r="F6387" s="74">
        <v>4.8499999999999996</v>
      </c>
      <c r="G6387" s="758">
        <f t="shared" si="396"/>
        <v>0.33</v>
      </c>
      <c r="H6387" s="759">
        <f t="shared" si="397"/>
        <v>0.24</v>
      </c>
      <c r="I6387" s="758">
        <f t="shared" si="398"/>
        <v>1.2866666666666664</v>
      </c>
      <c r="J6387" s="760">
        <f t="shared" si="399"/>
        <v>0.79587628865979376</v>
      </c>
    </row>
    <row r="6388" spans="1:10">
      <c r="A6388" s="74" t="s">
        <v>1173</v>
      </c>
      <c r="B6388" s="74" t="s">
        <v>251</v>
      </c>
      <c r="C6388" s="74" t="s">
        <v>1540</v>
      </c>
      <c r="D6388" s="74" t="s">
        <v>84</v>
      </c>
      <c r="E6388" s="74">
        <v>1</v>
      </c>
      <c r="F6388" s="74">
        <v>2.35</v>
      </c>
      <c r="G6388" s="758">
        <f t="shared" si="396"/>
        <v>0.33</v>
      </c>
      <c r="H6388" s="759">
        <f t="shared" si="397"/>
        <v>0.24</v>
      </c>
      <c r="I6388" s="758">
        <f t="shared" si="398"/>
        <v>2.02</v>
      </c>
      <c r="J6388" s="760">
        <f t="shared" si="399"/>
        <v>0.8595744680851064</v>
      </c>
    </row>
    <row r="6389" spans="1:10">
      <c r="A6389" s="74" t="s">
        <v>1173</v>
      </c>
      <c r="B6389" s="74" t="s">
        <v>251</v>
      </c>
      <c r="C6389" s="74" t="s">
        <v>1577</v>
      </c>
      <c r="D6389" s="74" t="s">
        <v>84</v>
      </c>
      <c r="E6389" s="74">
        <v>1</v>
      </c>
      <c r="F6389" s="74">
        <v>2.5</v>
      </c>
      <c r="G6389" s="758">
        <f t="shared" si="396"/>
        <v>0.33</v>
      </c>
      <c r="H6389" s="759">
        <f t="shared" si="397"/>
        <v>0.24</v>
      </c>
      <c r="I6389" s="758">
        <f t="shared" si="398"/>
        <v>2.17</v>
      </c>
      <c r="J6389" s="760">
        <f t="shared" si="399"/>
        <v>0.86799999999999999</v>
      </c>
    </row>
    <row r="6390" spans="1:10">
      <c r="A6390" s="74" t="s">
        <v>1173</v>
      </c>
      <c r="B6390" s="74" t="s">
        <v>251</v>
      </c>
      <c r="C6390" s="74" t="s">
        <v>1644</v>
      </c>
      <c r="D6390" s="74" t="s">
        <v>86</v>
      </c>
      <c r="E6390" s="74">
        <v>1</v>
      </c>
      <c r="F6390" s="74">
        <v>0</v>
      </c>
      <c r="G6390" s="758">
        <f t="shared" si="396"/>
        <v>0.33</v>
      </c>
      <c r="H6390" s="759">
        <f t="shared" si="397"/>
        <v>0.24</v>
      </c>
      <c r="I6390" s="758">
        <f t="shared" si="398"/>
        <v>-0.33</v>
      </c>
      <c r="J6390" s="760">
        <f t="shared" si="399"/>
        <v>0</v>
      </c>
    </row>
    <row r="6391" spans="1:10">
      <c r="A6391" s="74" t="s">
        <v>1173</v>
      </c>
      <c r="B6391" s="74" t="s">
        <v>251</v>
      </c>
      <c r="C6391" s="74" t="s">
        <v>1578</v>
      </c>
      <c r="D6391" s="74" t="s">
        <v>86</v>
      </c>
      <c r="E6391" s="74">
        <v>2</v>
      </c>
      <c r="F6391" s="74">
        <v>4.8499999999999996</v>
      </c>
      <c r="G6391" s="758">
        <f t="shared" si="396"/>
        <v>0.33</v>
      </c>
      <c r="H6391" s="759">
        <f t="shared" si="397"/>
        <v>0.24</v>
      </c>
      <c r="I6391" s="758">
        <f t="shared" si="398"/>
        <v>2.0949999999999998</v>
      </c>
      <c r="J6391" s="760">
        <f t="shared" si="399"/>
        <v>0.86391752577319592</v>
      </c>
    </row>
    <row r="6392" spans="1:10">
      <c r="A6392" s="74" t="s">
        <v>1173</v>
      </c>
      <c r="B6392" s="74" t="s">
        <v>251</v>
      </c>
      <c r="C6392" s="74" t="s">
        <v>1646</v>
      </c>
      <c r="D6392" s="74" t="s">
        <v>86</v>
      </c>
      <c r="E6392" s="74">
        <v>1</v>
      </c>
      <c r="F6392" s="74">
        <v>2.35</v>
      </c>
      <c r="G6392" s="758">
        <f t="shared" si="396"/>
        <v>0.33</v>
      </c>
      <c r="H6392" s="759">
        <f t="shared" si="397"/>
        <v>0.24</v>
      </c>
      <c r="I6392" s="758">
        <f t="shared" si="398"/>
        <v>2.02</v>
      </c>
      <c r="J6392" s="760">
        <f t="shared" si="399"/>
        <v>0.8595744680851064</v>
      </c>
    </row>
    <row r="6393" spans="1:10">
      <c r="A6393" s="74" t="s">
        <v>1173</v>
      </c>
      <c r="B6393" s="74" t="s">
        <v>251</v>
      </c>
      <c r="C6393" s="74" t="s">
        <v>1544</v>
      </c>
      <c r="D6393" s="74" t="s">
        <v>87</v>
      </c>
      <c r="E6393" s="74">
        <v>1</v>
      </c>
      <c r="F6393" s="74">
        <v>2.35</v>
      </c>
      <c r="G6393" s="758">
        <f t="shared" si="396"/>
        <v>0.33</v>
      </c>
      <c r="H6393" s="759">
        <f t="shared" si="397"/>
        <v>0.24</v>
      </c>
      <c r="I6393" s="758">
        <f t="shared" si="398"/>
        <v>2.02</v>
      </c>
      <c r="J6393" s="760">
        <f t="shared" si="399"/>
        <v>0.8595744680851064</v>
      </c>
    </row>
    <row r="6394" spans="1:10">
      <c r="A6394" s="74" t="s">
        <v>1173</v>
      </c>
      <c r="B6394" s="74" t="s">
        <v>251</v>
      </c>
      <c r="C6394" s="74" t="s">
        <v>1610</v>
      </c>
      <c r="D6394" s="74" t="s">
        <v>89</v>
      </c>
      <c r="E6394" s="74">
        <v>1</v>
      </c>
      <c r="F6394" s="74">
        <v>0</v>
      </c>
      <c r="G6394" s="758">
        <f t="shared" si="396"/>
        <v>0.33</v>
      </c>
      <c r="H6394" s="759">
        <f t="shared" si="397"/>
        <v>0.24</v>
      </c>
      <c r="I6394" s="758">
        <f t="shared" si="398"/>
        <v>-0.33</v>
      </c>
      <c r="J6394" s="760">
        <f t="shared" si="399"/>
        <v>0</v>
      </c>
    </row>
    <row r="6395" spans="1:10">
      <c r="A6395" s="74" t="s">
        <v>1173</v>
      </c>
      <c r="B6395" s="74" t="s">
        <v>251</v>
      </c>
      <c r="C6395" s="74" t="s">
        <v>1582</v>
      </c>
      <c r="D6395" s="74" t="s">
        <v>89</v>
      </c>
      <c r="E6395" s="74">
        <v>1</v>
      </c>
      <c r="F6395" s="74">
        <v>2.5</v>
      </c>
      <c r="G6395" s="758">
        <f t="shared" si="396"/>
        <v>0.33</v>
      </c>
      <c r="H6395" s="759">
        <f t="shared" si="397"/>
        <v>0.24</v>
      </c>
      <c r="I6395" s="758">
        <f t="shared" si="398"/>
        <v>2.17</v>
      </c>
      <c r="J6395" s="760">
        <f t="shared" si="399"/>
        <v>0.86799999999999999</v>
      </c>
    </row>
    <row r="6396" spans="1:10">
      <c r="A6396" s="74" t="s">
        <v>1173</v>
      </c>
      <c r="B6396" s="74" t="s">
        <v>251</v>
      </c>
      <c r="C6396" s="74" t="s">
        <v>1522</v>
      </c>
      <c r="D6396" s="74" t="s">
        <v>91</v>
      </c>
      <c r="E6396" s="74">
        <v>2</v>
      </c>
      <c r="F6396" s="74">
        <v>5</v>
      </c>
      <c r="G6396" s="758">
        <f t="shared" si="396"/>
        <v>0.33</v>
      </c>
      <c r="H6396" s="759">
        <f t="shared" si="397"/>
        <v>0.24</v>
      </c>
      <c r="I6396" s="758">
        <f t="shared" si="398"/>
        <v>2.17</v>
      </c>
      <c r="J6396" s="760">
        <f t="shared" si="399"/>
        <v>0.86799999999999999</v>
      </c>
    </row>
    <row r="6397" spans="1:10">
      <c r="A6397" s="74" t="s">
        <v>1173</v>
      </c>
      <c r="B6397" s="74" t="s">
        <v>251</v>
      </c>
      <c r="C6397" s="74" t="s">
        <v>1550</v>
      </c>
      <c r="D6397" s="74" t="s">
        <v>91</v>
      </c>
      <c r="E6397" s="74">
        <v>2</v>
      </c>
      <c r="F6397" s="74">
        <v>4.7</v>
      </c>
      <c r="G6397" s="758">
        <f t="shared" si="396"/>
        <v>0.33</v>
      </c>
      <c r="H6397" s="759">
        <f t="shared" si="397"/>
        <v>0.24</v>
      </c>
      <c r="I6397" s="758">
        <f t="shared" si="398"/>
        <v>2.02</v>
      </c>
      <c r="J6397" s="760">
        <f t="shared" si="399"/>
        <v>0.8595744680851064</v>
      </c>
    </row>
    <row r="6398" spans="1:10">
      <c r="A6398" s="74" t="s">
        <v>1173</v>
      </c>
      <c r="B6398" s="74" t="s">
        <v>251</v>
      </c>
      <c r="C6398" s="74" t="s">
        <v>1553</v>
      </c>
      <c r="D6398" s="74" t="s">
        <v>94</v>
      </c>
      <c r="E6398" s="74">
        <v>1</v>
      </c>
      <c r="F6398" s="74">
        <v>2.5</v>
      </c>
      <c r="G6398" s="758">
        <f t="shared" si="396"/>
        <v>0.33</v>
      </c>
      <c r="H6398" s="759">
        <f t="shared" si="397"/>
        <v>0.24</v>
      </c>
      <c r="I6398" s="758">
        <f t="shared" si="398"/>
        <v>2.17</v>
      </c>
      <c r="J6398" s="760">
        <f t="shared" si="399"/>
        <v>0.86799999999999999</v>
      </c>
    </row>
    <row r="6399" spans="1:10">
      <c r="A6399" s="74" t="s">
        <v>1173</v>
      </c>
      <c r="B6399" s="74" t="s">
        <v>251</v>
      </c>
      <c r="C6399" s="74" t="s">
        <v>1555</v>
      </c>
      <c r="D6399" s="74" t="s">
        <v>94</v>
      </c>
      <c r="E6399" s="74">
        <v>1</v>
      </c>
      <c r="F6399" s="74">
        <v>2.35</v>
      </c>
      <c r="G6399" s="758">
        <f t="shared" si="396"/>
        <v>0.33</v>
      </c>
      <c r="H6399" s="759">
        <f t="shared" si="397"/>
        <v>0.24</v>
      </c>
      <c r="I6399" s="758">
        <f t="shared" si="398"/>
        <v>2.02</v>
      </c>
      <c r="J6399" s="760">
        <f t="shared" si="399"/>
        <v>0.8595744680851064</v>
      </c>
    </row>
    <row r="6400" spans="1:10">
      <c r="A6400" s="74" t="s">
        <v>736</v>
      </c>
      <c r="B6400" s="74" t="s">
        <v>251</v>
      </c>
      <c r="C6400" s="74" t="s">
        <v>1528</v>
      </c>
      <c r="D6400" s="74" t="s">
        <v>78</v>
      </c>
      <c r="E6400" s="74">
        <v>1</v>
      </c>
      <c r="F6400" s="74">
        <v>2.14</v>
      </c>
      <c r="G6400" s="758">
        <f t="shared" si="396"/>
        <v>0</v>
      </c>
      <c r="H6400" s="759">
        <f t="shared" si="397"/>
        <v>0</v>
      </c>
      <c r="I6400" s="758">
        <f t="shared" si="398"/>
        <v>2.14</v>
      </c>
      <c r="J6400" s="760">
        <f t="shared" si="399"/>
        <v>1</v>
      </c>
    </row>
    <row r="6401" spans="1:10">
      <c r="A6401" s="74" t="s">
        <v>736</v>
      </c>
      <c r="B6401" s="74" t="s">
        <v>251</v>
      </c>
      <c r="C6401" s="74" t="s">
        <v>1530</v>
      </c>
      <c r="D6401" s="74" t="s">
        <v>80</v>
      </c>
      <c r="E6401" s="74">
        <v>2</v>
      </c>
      <c r="F6401" s="74">
        <v>4.2699999999999996</v>
      </c>
      <c r="G6401" s="758">
        <f t="shared" si="396"/>
        <v>0</v>
      </c>
      <c r="H6401" s="759">
        <f t="shared" si="397"/>
        <v>0</v>
      </c>
      <c r="I6401" s="758">
        <f t="shared" si="398"/>
        <v>2.1349999999999998</v>
      </c>
      <c r="J6401" s="760">
        <f t="shared" si="399"/>
        <v>1</v>
      </c>
    </row>
    <row r="6402" spans="1:10">
      <c r="A6402" s="74" t="s">
        <v>736</v>
      </c>
      <c r="B6402" s="74" t="s">
        <v>251</v>
      </c>
      <c r="C6402" s="74" t="s">
        <v>1532</v>
      </c>
      <c r="D6402" s="74" t="s">
        <v>80</v>
      </c>
      <c r="E6402" s="74">
        <v>2</v>
      </c>
      <c r="F6402" s="74">
        <v>4.2699999999999996</v>
      </c>
      <c r="G6402" s="758">
        <f t="shared" ref="G6402:G6465" si="400">IFERROR(VLOOKUP(A6402,$M$1:$P$1014,2,FALSE),0)</f>
        <v>0</v>
      </c>
      <c r="H6402" s="759">
        <f t="shared" ref="H6402:H6465" si="401">IFERROR(VLOOKUP(A6402,$M$1:$P$1014,3,FALSE),0)</f>
        <v>0</v>
      </c>
      <c r="I6402" s="758">
        <f t="shared" ref="I6402:I6465" si="402">IFERROR(F6402/E6402-G6402,0)</f>
        <v>2.1349999999999998</v>
      </c>
      <c r="J6402" s="760">
        <f t="shared" ref="J6402:J6465" si="403">IFERROR(1-G6402*E6402/F6402,0)</f>
        <v>1</v>
      </c>
    </row>
    <row r="6403" spans="1:10">
      <c r="A6403" s="74" t="s">
        <v>736</v>
      </c>
      <c r="B6403" s="74" t="s">
        <v>251</v>
      </c>
      <c r="C6403" s="74" t="s">
        <v>1511</v>
      </c>
      <c r="D6403" s="74" t="s">
        <v>80</v>
      </c>
      <c r="E6403" s="74">
        <v>1</v>
      </c>
      <c r="F6403" s="74">
        <v>2.23</v>
      </c>
      <c r="G6403" s="758">
        <f t="shared" si="400"/>
        <v>0</v>
      </c>
      <c r="H6403" s="759">
        <f t="shared" si="401"/>
        <v>0</v>
      </c>
      <c r="I6403" s="758">
        <f t="shared" si="402"/>
        <v>2.23</v>
      </c>
      <c r="J6403" s="760">
        <f t="shared" si="403"/>
        <v>1</v>
      </c>
    </row>
    <row r="6404" spans="1:10">
      <c r="A6404" s="74" t="s">
        <v>736</v>
      </c>
      <c r="B6404" s="74" t="s">
        <v>251</v>
      </c>
      <c r="C6404" s="74" t="s">
        <v>1513</v>
      </c>
      <c r="D6404" s="74" t="s">
        <v>81</v>
      </c>
      <c r="E6404" s="74">
        <v>4</v>
      </c>
      <c r="F6404" s="74">
        <v>8.4499999999999993</v>
      </c>
      <c r="G6404" s="758">
        <f t="shared" si="400"/>
        <v>0</v>
      </c>
      <c r="H6404" s="759">
        <f t="shared" si="401"/>
        <v>0</v>
      </c>
      <c r="I6404" s="758">
        <f t="shared" si="402"/>
        <v>2.1124999999999998</v>
      </c>
      <c r="J6404" s="760">
        <f t="shared" si="403"/>
        <v>1</v>
      </c>
    </row>
    <row r="6405" spans="1:10">
      <c r="A6405" s="74" t="s">
        <v>2245</v>
      </c>
      <c r="B6405" s="74" t="s">
        <v>256</v>
      </c>
      <c r="C6405" s="74" t="s">
        <v>1527</v>
      </c>
      <c r="D6405" s="74" t="s">
        <v>82</v>
      </c>
      <c r="E6405" s="74">
        <v>1</v>
      </c>
      <c r="F6405" s="74">
        <v>5.25</v>
      </c>
      <c r="G6405" s="758">
        <f t="shared" si="400"/>
        <v>0</v>
      </c>
      <c r="H6405" s="759">
        <f t="shared" si="401"/>
        <v>0</v>
      </c>
      <c r="I6405" s="758">
        <f t="shared" si="402"/>
        <v>5.25</v>
      </c>
      <c r="J6405" s="760">
        <f t="shared" si="403"/>
        <v>1</v>
      </c>
    </row>
    <row r="6406" spans="1:10">
      <c r="A6406" s="74" t="s">
        <v>2246</v>
      </c>
      <c r="B6406" s="74" t="s">
        <v>2301</v>
      </c>
      <c r="C6406" s="74" t="s">
        <v>1516</v>
      </c>
      <c r="D6406" s="74" t="s">
        <v>82</v>
      </c>
      <c r="E6406" s="74">
        <v>1</v>
      </c>
      <c r="F6406" s="74">
        <v>1</v>
      </c>
      <c r="G6406" s="758">
        <f t="shared" si="400"/>
        <v>0</v>
      </c>
      <c r="H6406" s="759">
        <f t="shared" si="401"/>
        <v>0.24</v>
      </c>
      <c r="I6406" s="758">
        <f t="shared" si="402"/>
        <v>1</v>
      </c>
      <c r="J6406" s="760">
        <f t="shared" si="403"/>
        <v>1</v>
      </c>
    </row>
    <row r="6407" spans="1:10">
      <c r="A6407" s="74" t="s">
        <v>2247</v>
      </c>
      <c r="B6407" s="74" t="s">
        <v>877</v>
      </c>
      <c r="C6407" s="74" t="s">
        <v>1534</v>
      </c>
      <c r="D6407" s="74" t="s">
        <v>81</v>
      </c>
      <c r="E6407" s="74">
        <v>4</v>
      </c>
      <c r="F6407" s="74">
        <v>0</v>
      </c>
      <c r="G6407" s="758">
        <f t="shared" si="400"/>
        <v>0</v>
      </c>
      <c r="H6407" s="759">
        <f t="shared" si="401"/>
        <v>0</v>
      </c>
      <c r="I6407" s="758">
        <f t="shared" si="402"/>
        <v>0</v>
      </c>
      <c r="J6407" s="760">
        <f t="shared" si="403"/>
        <v>0</v>
      </c>
    </row>
    <row r="6408" spans="1:10">
      <c r="A6408" s="74" t="s">
        <v>2248</v>
      </c>
      <c r="B6408" s="74" t="s">
        <v>873</v>
      </c>
      <c r="C6408" s="74" t="s">
        <v>1511</v>
      </c>
      <c r="D6408" s="74" t="s">
        <v>80</v>
      </c>
      <c r="E6408" s="74">
        <v>1</v>
      </c>
      <c r="F6408" s="74">
        <v>0</v>
      </c>
      <c r="G6408" s="758">
        <f t="shared" si="400"/>
        <v>0</v>
      </c>
      <c r="H6408" s="759">
        <f t="shared" si="401"/>
        <v>0</v>
      </c>
      <c r="I6408" s="758">
        <f t="shared" si="402"/>
        <v>0</v>
      </c>
      <c r="J6408" s="760">
        <f t="shared" si="403"/>
        <v>0</v>
      </c>
    </row>
    <row r="6409" spans="1:10">
      <c r="A6409" s="74" t="s">
        <v>2249</v>
      </c>
      <c r="B6409" s="74" t="s">
        <v>873</v>
      </c>
      <c r="C6409" s="74" t="s">
        <v>1582</v>
      </c>
      <c r="D6409" s="74" t="s">
        <v>89</v>
      </c>
      <c r="E6409" s="74">
        <v>4</v>
      </c>
      <c r="F6409" s="74">
        <v>0</v>
      </c>
      <c r="G6409" s="758">
        <f t="shared" si="400"/>
        <v>0</v>
      </c>
      <c r="H6409" s="759">
        <f t="shared" si="401"/>
        <v>0</v>
      </c>
      <c r="I6409" s="758">
        <f t="shared" si="402"/>
        <v>0</v>
      </c>
      <c r="J6409" s="760">
        <f t="shared" si="403"/>
        <v>0</v>
      </c>
    </row>
    <row r="6410" spans="1:10">
      <c r="A6410" s="74" t="s">
        <v>2250</v>
      </c>
      <c r="B6410" s="74" t="s">
        <v>877</v>
      </c>
      <c r="C6410" s="74" t="s">
        <v>1541</v>
      </c>
      <c r="D6410" s="74" t="s">
        <v>86</v>
      </c>
      <c r="E6410" s="74">
        <v>6</v>
      </c>
      <c r="F6410" s="74">
        <v>0</v>
      </c>
      <c r="G6410" s="758">
        <f t="shared" si="400"/>
        <v>0</v>
      </c>
      <c r="H6410" s="759">
        <f t="shared" si="401"/>
        <v>0</v>
      </c>
      <c r="I6410" s="758">
        <f t="shared" si="402"/>
        <v>0</v>
      </c>
      <c r="J6410" s="760">
        <f t="shared" si="403"/>
        <v>0</v>
      </c>
    </row>
    <row r="6411" spans="1:10">
      <c r="A6411" s="74" t="s">
        <v>2251</v>
      </c>
      <c r="B6411" s="74" t="s">
        <v>877</v>
      </c>
      <c r="C6411" s="74" t="s">
        <v>1524</v>
      </c>
      <c r="D6411" s="74" t="s">
        <v>91</v>
      </c>
      <c r="E6411" s="74">
        <v>10</v>
      </c>
      <c r="F6411" s="74">
        <v>0</v>
      </c>
      <c r="G6411" s="758">
        <f t="shared" si="400"/>
        <v>0</v>
      </c>
      <c r="H6411" s="759">
        <f t="shared" si="401"/>
        <v>0</v>
      </c>
      <c r="I6411" s="758">
        <f t="shared" si="402"/>
        <v>0</v>
      </c>
      <c r="J6411" s="760">
        <f t="shared" si="403"/>
        <v>0</v>
      </c>
    </row>
    <row r="6412" spans="1:10">
      <c r="A6412" s="74" t="s">
        <v>1072</v>
      </c>
      <c r="B6412" s="74" t="s">
        <v>877</v>
      </c>
      <c r="C6412" s="74" t="s">
        <v>1546</v>
      </c>
      <c r="D6412" s="74" t="s">
        <v>89</v>
      </c>
      <c r="E6412" s="74">
        <v>2</v>
      </c>
      <c r="F6412" s="74">
        <v>0</v>
      </c>
      <c r="G6412" s="758">
        <f t="shared" si="400"/>
        <v>0</v>
      </c>
      <c r="H6412" s="759">
        <f t="shared" si="401"/>
        <v>0</v>
      </c>
      <c r="I6412" s="758">
        <f t="shared" si="402"/>
        <v>0</v>
      </c>
      <c r="J6412" s="760">
        <f t="shared" si="403"/>
        <v>0</v>
      </c>
    </row>
    <row r="6413" spans="1:10">
      <c r="A6413" s="74" t="s">
        <v>1072</v>
      </c>
      <c r="B6413" s="74" t="s">
        <v>877</v>
      </c>
      <c r="C6413" s="74" t="s">
        <v>1552</v>
      </c>
      <c r="D6413" s="74" t="s">
        <v>92</v>
      </c>
      <c r="E6413" s="74">
        <v>3</v>
      </c>
      <c r="F6413" s="74">
        <v>0</v>
      </c>
      <c r="G6413" s="758">
        <f t="shared" si="400"/>
        <v>0</v>
      </c>
      <c r="H6413" s="759">
        <f t="shared" si="401"/>
        <v>0</v>
      </c>
      <c r="I6413" s="758">
        <f t="shared" si="402"/>
        <v>0</v>
      </c>
      <c r="J6413" s="760">
        <f t="shared" si="403"/>
        <v>0</v>
      </c>
    </row>
    <row r="6414" spans="1:10">
      <c r="A6414" s="74" t="s">
        <v>1072</v>
      </c>
      <c r="B6414" s="74" t="s">
        <v>877</v>
      </c>
      <c r="C6414" s="74" t="s">
        <v>1557</v>
      </c>
      <c r="D6414" s="74" t="s">
        <v>95</v>
      </c>
      <c r="E6414" s="74">
        <v>7</v>
      </c>
      <c r="F6414" s="74">
        <v>0</v>
      </c>
      <c r="G6414" s="758">
        <f t="shared" si="400"/>
        <v>0</v>
      </c>
      <c r="H6414" s="759">
        <f t="shared" si="401"/>
        <v>0</v>
      </c>
      <c r="I6414" s="758">
        <f t="shared" si="402"/>
        <v>0</v>
      </c>
      <c r="J6414" s="760">
        <f t="shared" si="403"/>
        <v>0</v>
      </c>
    </row>
    <row r="6415" spans="1:10">
      <c r="A6415" s="74" t="s">
        <v>2252</v>
      </c>
      <c r="B6415" s="74" t="s">
        <v>877</v>
      </c>
      <c r="C6415" s="74" t="s">
        <v>1644</v>
      </c>
      <c r="D6415" s="74" t="s">
        <v>86</v>
      </c>
      <c r="E6415" s="74">
        <v>12</v>
      </c>
      <c r="F6415" s="74">
        <v>0</v>
      </c>
      <c r="G6415" s="758">
        <f t="shared" si="400"/>
        <v>0</v>
      </c>
      <c r="H6415" s="759">
        <f t="shared" si="401"/>
        <v>0</v>
      </c>
      <c r="I6415" s="758">
        <f t="shared" si="402"/>
        <v>0</v>
      </c>
      <c r="J6415" s="760">
        <f t="shared" si="403"/>
        <v>0</v>
      </c>
    </row>
    <row r="6416" spans="1:10">
      <c r="A6416" s="74" t="s">
        <v>2253</v>
      </c>
      <c r="B6416" s="74" t="s">
        <v>877</v>
      </c>
      <c r="C6416" s="74" t="s">
        <v>1546</v>
      </c>
      <c r="D6416" s="74" t="s">
        <v>89</v>
      </c>
      <c r="E6416" s="74">
        <v>3</v>
      </c>
      <c r="F6416" s="74">
        <v>0</v>
      </c>
      <c r="G6416" s="758">
        <f t="shared" si="400"/>
        <v>0</v>
      </c>
      <c r="H6416" s="759">
        <f t="shared" si="401"/>
        <v>0</v>
      </c>
      <c r="I6416" s="758">
        <f t="shared" si="402"/>
        <v>0</v>
      </c>
      <c r="J6416" s="760">
        <f t="shared" si="403"/>
        <v>0</v>
      </c>
    </row>
    <row r="6417" spans="1:10">
      <c r="A6417" s="74" t="s">
        <v>2254</v>
      </c>
      <c r="B6417" s="74" t="s">
        <v>877</v>
      </c>
      <c r="C6417" s="74" t="s">
        <v>1516</v>
      </c>
      <c r="D6417" s="74" t="s">
        <v>82</v>
      </c>
      <c r="E6417" s="74">
        <v>5</v>
      </c>
      <c r="F6417" s="74">
        <v>0</v>
      </c>
      <c r="G6417" s="758">
        <f t="shared" si="400"/>
        <v>1.59</v>
      </c>
      <c r="H6417" s="759">
        <f t="shared" si="401"/>
        <v>0</v>
      </c>
      <c r="I6417" s="758">
        <f t="shared" si="402"/>
        <v>-1.59</v>
      </c>
      <c r="J6417" s="760">
        <f t="shared" si="403"/>
        <v>0</v>
      </c>
    </row>
    <row r="6418" spans="1:10">
      <c r="A6418" s="74" t="s">
        <v>2255</v>
      </c>
      <c r="B6418" s="74" t="s">
        <v>256</v>
      </c>
      <c r="C6418" s="74" t="s">
        <v>1543</v>
      </c>
      <c r="D6418" s="74" t="s">
        <v>87</v>
      </c>
      <c r="E6418" s="74">
        <v>1</v>
      </c>
      <c r="F6418" s="74">
        <v>16</v>
      </c>
      <c r="G6418" s="758">
        <f t="shared" si="400"/>
        <v>0</v>
      </c>
      <c r="H6418" s="759">
        <f t="shared" si="401"/>
        <v>0</v>
      </c>
      <c r="I6418" s="758">
        <f t="shared" si="402"/>
        <v>16</v>
      </c>
      <c r="J6418" s="760">
        <f t="shared" si="403"/>
        <v>1</v>
      </c>
    </row>
    <row r="6419" spans="1:10">
      <c r="A6419" s="74" t="s">
        <v>2256</v>
      </c>
      <c r="B6419" s="74" t="s">
        <v>251</v>
      </c>
      <c r="C6419" s="74" t="s">
        <v>1532</v>
      </c>
      <c r="D6419" s="74" t="s">
        <v>80</v>
      </c>
      <c r="E6419" s="74">
        <v>2</v>
      </c>
      <c r="F6419" s="74">
        <v>5.3</v>
      </c>
      <c r="G6419" s="758">
        <f t="shared" si="400"/>
        <v>0.63</v>
      </c>
      <c r="H6419" s="759">
        <f t="shared" si="401"/>
        <v>0.25</v>
      </c>
      <c r="I6419" s="758">
        <f t="shared" si="402"/>
        <v>2.02</v>
      </c>
      <c r="J6419" s="760">
        <f t="shared" si="403"/>
        <v>0.76226415094339628</v>
      </c>
    </row>
    <row r="6420" spans="1:10">
      <c r="A6420" s="74" t="s">
        <v>2256</v>
      </c>
      <c r="B6420" s="74" t="s">
        <v>251</v>
      </c>
      <c r="C6420" s="74" t="s">
        <v>1511</v>
      </c>
      <c r="D6420" s="74" t="s">
        <v>80</v>
      </c>
      <c r="E6420" s="74">
        <v>3</v>
      </c>
      <c r="F6420" s="74">
        <v>7.95</v>
      </c>
      <c r="G6420" s="758">
        <f t="shared" si="400"/>
        <v>0.63</v>
      </c>
      <c r="H6420" s="759">
        <f t="shared" si="401"/>
        <v>0.25</v>
      </c>
      <c r="I6420" s="758">
        <f t="shared" si="402"/>
        <v>2.02</v>
      </c>
      <c r="J6420" s="760">
        <f t="shared" si="403"/>
        <v>0.76226415094339628</v>
      </c>
    </row>
    <row r="6421" spans="1:10">
      <c r="A6421" s="74" t="s">
        <v>2256</v>
      </c>
      <c r="B6421" s="74" t="s">
        <v>251</v>
      </c>
      <c r="C6421" s="74" t="s">
        <v>1512</v>
      </c>
      <c r="D6421" s="74" t="s">
        <v>80</v>
      </c>
      <c r="E6421" s="74">
        <v>1</v>
      </c>
      <c r="F6421" s="74">
        <v>2.65</v>
      </c>
      <c r="G6421" s="758">
        <f t="shared" si="400"/>
        <v>0.63</v>
      </c>
      <c r="H6421" s="759">
        <f t="shared" si="401"/>
        <v>0.25</v>
      </c>
      <c r="I6421" s="758">
        <f t="shared" si="402"/>
        <v>2.02</v>
      </c>
      <c r="J6421" s="760">
        <f t="shared" si="403"/>
        <v>0.76226415094339628</v>
      </c>
    </row>
    <row r="6422" spans="1:10">
      <c r="A6422" s="74" t="s">
        <v>2256</v>
      </c>
      <c r="B6422" s="74" t="s">
        <v>251</v>
      </c>
      <c r="C6422" s="74" t="s">
        <v>1534</v>
      </c>
      <c r="D6422" s="74" t="s">
        <v>81</v>
      </c>
      <c r="E6422" s="74">
        <v>2</v>
      </c>
      <c r="F6422" s="74">
        <v>5.45</v>
      </c>
      <c r="G6422" s="758">
        <f t="shared" si="400"/>
        <v>0.63</v>
      </c>
      <c r="H6422" s="759">
        <f t="shared" si="401"/>
        <v>0.25</v>
      </c>
      <c r="I6422" s="758">
        <f t="shared" si="402"/>
        <v>2.0950000000000002</v>
      </c>
      <c r="J6422" s="760">
        <f t="shared" si="403"/>
        <v>0.76880733944954127</v>
      </c>
    </row>
    <row r="6423" spans="1:10">
      <c r="A6423" s="74" t="s">
        <v>2256</v>
      </c>
      <c r="B6423" s="74" t="s">
        <v>251</v>
      </c>
      <c r="C6423" s="74" t="s">
        <v>1513</v>
      </c>
      <c r="D6423" s="74" t="s">
        <v>81</v>
      </c>
      <c r="E6423" s="74">
        <v>3</v>
      </c>
      <c r="F6423" s="74">
        <v>8.4</v>
      </c>
      <c r="G6423" s="758">
        <f t="shared" si="400"/>
        <v>0.63</v>
      </c>
      <c r="H6423" s="759">
        <f t="shared" si="401"/>
        <v>0.25</v>
      </c>
      <c r="I6423" s="758">
        <f t="shared" si="402"/>
        <v>2.1700000000000004</v>
      </c>
      <c r="J6423" s="760">
        <f t="shared" si="403"/>
        <v>0.77500000000000002</v>
      </c>
    </row>
    <row r="6424" spans="1:10">
      <c r="A6424" s="74" t="s">
        <v>2256</v>
      </c>
      <c r="B6424" s="74" t="s">
        <v>251</v>
      </c>
      <c r="C6424" s="74" t="s">
        <v>1514</v>
      </c>
      <c r="D6424" s="74" t="s">
        <v>81</v>
      </c>
      <c r="E6424" s="74">
        <v>2</v>
      </c>
      <c r="F6424" s="74">
        <v>5.3</v>
      </c>
      <c r="G6424" s="758">
        <f t="shared" si="400"/>
        <v>0.63</v>
      </c>
      <c r="H6424" s="759">
        <f t="shared" si="401"/>
        <v>0.25</v>
      </c>
      <c r="I6424" s="758">
        <f t="shared" si="402"/>
        <v>2.02</v>
      </c>
      <c r="J6424" s="760">
        <f t="shared" si="403"/>
        <v>0.76226415094339628</v>
      </c>
    </row>
    <row r="6425" spans="1:10">
      <c r="A6425" s="74" t="s">
        <v>2256</v>
      </c>
      <c r="B6425" s="74" t="s">
        <v>251</v>
      </c>
      <c r="C6425" s="74" t="s">
        <v>1515</v>
      </c>
      <c r="D6425" s="74" t="s">
        <v>81</v>
      </c>
      <c r="E6425" s="74">
        <v>1</v>
      </c>
      <c r="F6425" s="74">
        <v>2.65</v>
      </c>
      <c r="G6425" s="758">
        <f t="shared" si="400"/>
        <v>0.63</v>
      </c>
      <c r="H6425" s="759">
        <f t="shared" si="401"/>
        <v>0.25</v>
      </c>
      <c r="I6425" s="758">
        <f t="shared" si="402"/>
        <v>2.02</v>
      </c>
      <c r="J6425" s="760">
        <f t="shared" si="403"/>
        <v>0.76226415094339628</v>
      </c>
    </row>
    <row r="6426" spans="1:10">
      <c r="A6426" s="74" t="s">
        <v>2256</v>
      </c>
      <c r="B6426" s="74" t="s">
        <v>251</v>
      </c>
      <c r="C6426" s="74" t="s">
        <v>1516</v>
      </c>
      <c r="D6426" s="74" t="s">
        <v>82</v>
      </c>
      <c r="E6426" s="74">
        <v>2</v>
      </c>
      <c r="F6426" s="74">
        <v>15.2</v>
      </c>
      <c r="G6426" s="758">
        <f t="shared" si="400"/>
        <v>0.63</v>
      </c>
      <c r="H6426" s="759">
        <f t="shared" si="401"/>
        <v>0.25</v>
      </c>
      <c r="I6426" s="758">
        <f t="shared" si="402"/>
        <v>6.97</v>
      </c>
      <c r="J6426" s="760">
        <f t="shared" si="403"/>
        <v>0.91710526315789476</v>
      </c>
    </row>
    <row r="6427" spans="1:10">
      <c r="A6427" s="74" t="s">
        <v>2256</v>
      </c>
      <c r="B6427" s="74" t="s">
        <v>251</v>
      </c>
      <c r="C6427" s="74" t="s">
        <v>1517</v>
      </c>
      <c r="D6427" s="74" t="s">
        <v>82</v>
      </c>
      <c r="E6427" s="74">
        <v>4</v>
      </c>
      <c r="F6427" s="74">
        <v>11.2</v>
      </c>
      <c r="G6427" s="758">
        <f t="shared" si="400"/>
        <v>0.63</v>
      </c>
      <c r="H6427" s="759">
        <f t="shared" si="401"/>
        <v>0.25</v>
      </c>
      <c r="I6427" s="758">
        <f t="shared" si="402"/>
        <v>2.17</v>
      </c>
      <c r="J6427" s="760">
        <f t="shared" si="403"/>
        <v>0.77500000000000002</v>
      </c>
    </row>
    <row r="6428" spans="1:10">
      <c r="A6428" s="74" t="s">
        <v>2256</v>
      </c>
      <c r="B6428" s="74" t="s">
        <v>251</v>
      </c>
      <c r="C6428" s="74" t="s">
        <v>1527</v>
      </c>
      <c r="D6428" s="74" t="s">
        <v>82</v>
      </c>
      <c r="E6428" s="74">
        <v>4</v>
      </c>
      <c r="F6428" s="74">
        <v>11.2</v>
      </c>
      <c r="G6428" s="758">
        <f t="shared" si="400"/>
        <v>0.63</v>
      </c>
      <c r="H6428" s="759">
        <f t="shared" si="401"/>
        <v>0.25</v>
      </c>
      <c r="I6428" s="758">
        <f t="shared" si="402"/>
        <v>2.17</v>
      </c>
      <c r="J6428" s="760">
        <f t="shared" si="403"/>
        <v>0.77500000000000002</v>
      </c>
    </row>
    <row r="6429" spans="1:10">
      <c r="A6429" s="74" t="s">
        <v>2256</v>
      </c>
      <c r="B6429" s="74" t="s">
        <v>251</v>
      </c>
      <c r="C6429" s="74" t="s">
        <v>1518</v>
      </c>
      <c r="D6429" s="74" t="s">
        <v>82</v>
      </c>
      <c r="E6429" s="74">
        <v>2</v>
      </c>
      <c r="F6429" s="74">
        <v>5.6</v>
      </c>
      <c r="G6429" s="758">
        <f t="shared" si="400"/>
        <v>0.63</v>
      </c>
      <c r="H6429" s="759">
        <f t="shared" si="401"/>
        <v>0.25</v>
      </c>
      <c r="I6429" s="758">
        <f t="shared" si="402"/>
        <v>2.17</v>
      </c>
      <c r="J6429" s="760">
        <f t="shared" si="403"/>
        <v>0.77500000000000002</v>
      </c>
    </row>
    <row r="6430" spans="1:10">
      <c r="A6430" s="74" t="s">
        <v>767</v>
      </c>
      <c r="B6430" s="74" t="s">
        <v>251</v>
      </c>
      <c r="C6430" s="74" t="s">
        <v>1509</v>
      </c>
      <c r="D6430" s="74" t="s">
        <v>78</v>
      </c>
      <c r="E6430" s="74">
        <v>1</v>
      </c>
      <c r="F6430" s="74">
        <v>2.41</v>
      </c>
      <c r="G6430" s="758">
        <f t="shared" si="400"/>
        <v>0</v>
      </c>
      <c r="H6430" s="759">
        <f t="shared" si="401"/>
        <v>0</v>
      </c>
      <c r="I6430" s="758">
        <f t="shared" si="402"/>
        <v>2.41</v>
      </c>
      <c r="J6430" s="760">
        <f t="shared" si="403"/>
        <v>1</v>
      </c>
    </row>
    <row r="6431" spans="1:10">
      <c r="A6431" s="74" t="s">
        <v>767</v>
      </c>
      <c r="B6431" s="74" t="s">
        <v>251</v>
      </c>
      <c r="C6431" s="74" t="s">
        <v>1530</v>
      </c>
      <c r="D6431" s="74" t="s">
        <v>80</v>
      </c>
      <c r="E6431" s="74">
        <v>3</v>
      </c>
      <c r="F6431" s="74">
        <v>7.64</v>
      </c>
      <c r="G6431" s="758">
        <f t="shared" si="400"/>
        <v>0</v>
      </c>
      <c r="H6431" s="759">
        <f t="shared" si="401"/>
        <v>0</v>
      </c>
      <c r="I6431" s="758">
        <f t="shared" si="402"/>
        <v>2.5466666666666664</v>
      </c>
      <c r="J6431" s="760">
        <f t="shared" si="403"/>
        <v>1</v>
      </c>
    </row>
    <row r="6432" spans="1:10">
      <c r="A6432" s="74" t="s">
        <v>767</v>
      </c>
      <c r="B6432" s="74" t="s">
        <v>251</v>
      </c>
      <c r="C6432" s="74" t="s">
        <v>1532</v>
      </c>
      <c r="D6432" s="74" t="s">
        <v>80</v>
      </c>
      <c r="E6432" s="74">
        <v>3</v>
      </c>
      <c r="F6432" s="74">
        <v>7.64</v>
      </c>
      <c r="G6432" s="758">
        <f t="shared" si="400"/>
        <v>0</v>
      </c>
      <c r="H6432" s="759">
        <f t="shared" si="401"/>
        <v>0</v>
      </c>
      <c r="I6432" s="758">
        <f t="shared" si="402"/>
        <v>2.5466666666666664</v>
      </c>
      <c r="J6432" s="760">
        <f t="shared" si="403"/>
        <v>1</v>
      </c>
    </row>
    <row r="6433" spans="1:10">
      <c r="A6433" s="74" t="s">
        <v>767</v>
      </c>
      <c r="B6433" s="74" t="s">
        <v>251</v>
      </c>
      <c r="C6433" s="74" t="s">
        <v>1511</v>
      </c>
      <c r="D6433" s="74" t="s">
        <v>80</v>
      </c>
      <c r="E6433" s="74">
        <v>1</v>
      </c>
      <c r="F6433" s="74">
        <v>2.41</v>
      </c>
      <c r="G6433" s="758">
        <f t="shared" si="400"/>
        <v>0</v>
      </c>
      <c r="H6433" s="759">
        <f t="shared" si="401"/>
        <v>0</v>
      </c>
      <c r="I6433" s="758">
        <f t="shared" si="402"/>
        <v>2.41</v>
      </c>
      <c r="J6433" s="760">
        <f t="shared" si="403"/>
        <v>1</v>
      </c>
    </row>
    <row r="6434" spans="1:10">
      <c r="A6434" s="74" t="s">
        <v>767</v>
      </c>
      <c r="B6434" s="74" t="s">
        <v>251</v>
      </c>
      <c r="C6434" s="74" t="s">
        <v>1512</v>
      </c>
      <c r="D6434" s="74" t="s">
        <v>80</v>
      </c>
      <c r="E6434" s="74">
        <v>2</v>
      </c>
      <c r="F6434" s="74">
        <v>4.82</v>
      </c>
      <c r="G6434" s="758">
        <f t="shared" si="400"/>
        <v>0</v>
      </c>
      <c r="H6434" s="759">
        <f t="shared" si="401"/>
        <v>0</v>
      </c>
      <c r="I6434" s="758">
        <f t="shared" si="402"/>
        <v>2.41</v>
      </c>
      <c r="J6434" s="760">
        <f t="shared" si="403"/>
        <v>1</v>
      </c>
    </row>
    <row r="6435" spans="1:10">
      <c r="A6435" s="74" t="s">
        <v>767</v>
      </c>
      <c r="B6435" s="74" t="s">
        <v>251</v>
      </c>
      <c r="C6435" s="74" t="s">
        <v>1513</v>
      </c>
      <c r="D6435" s="74" t="s">
        <v>81</v>
      </c>
      <c r="E6435" s="74">
        <v>4</v>
      </c>
      <c r="F6435" s="74">
        <v>10.09</v>
      </c>
      <c r="G6435" s="758">
        <f t="shared" si="400"/>
        <v>0</v>
      </c>
      <c r="H6435" s="759">
        <f t="shared" si="401"/>
        <v>0</v>
      </c>
      <c r="I6435" s="758">
        <f t="shared" si="402"/>
        <v>2.5225</v>
      </c>
      <c r="J6435" s="760">
        <f t="shared" si="403"/>
        <v>1</v>
      </c>
    </row>
    <row r="6436" spans="1:10">
      <c r="A6436" s="74" t="s">
        <v>767</v>
      </c>
      <c r="B6436" s="74" t="s">
        <v>251</v>
      </c>
      <c r="C6436" s="74" t="s">
        <v>1515</v>
      </c>
      <c r="D6436" s="74" t="s">
        <v>81</v>
      </c>
      <c r="E6436" s="74">
        <v>1</v>
      </c>
      <c r="F6436" s="74">
        <v>2.64</v>
      </c>
      <c r="G6436" s="758">
        <f t="shared" si="400"/>
        <v>0</v>
      </c>
      <c r="H6436" s="759">
        <f t="shared" si="401"/>
        <v>0</v>
      </c>
      <c r="I6436" s="758">
        <f t="shared" si="402"/>
        <v>2.64</v>
      </c>
      <c r="J6436" s="760">
        <f t="shared" si="403"/>
        <v>1</v>
      </c>
    </row>
    <row r="6437" spans="1:10">
      <c r="A6437" s="74" t="s">
        <v>744</v>
      </c>
      <c r="B6437" s="74" t="s">
        <v>253</v>
      </c>
      <c r="C6437" s="74" t="s">
        <v>1528</v>
      </c>
      <c r="D6437" s="74" t="s">
        <v>78</v>
      </c>
      <c r="E6437" s="74">
        <v>1</v>
      </c>
      <c r="F6437" s="74">
        <v>3.55</v>
      </c>
      <c r="G6437" s="758">
        <f t="shared" si="400"/>
        <v>1.75</v>
      </c>
      <c r="H6437" s="759">
        <f t="shared" si="401"/>
        <v>0.49</v>
      </c>
      <c r="I6437" s="758">
        <f t="shared" si="402"/>
        <v>1.7999999999999998</v>
      </c>
      <c r="J6437" s="760">
        <f t="shared" si="403"/>
        <v>0.50704225352112675</v>
      </c>
    </row>
    <row r="6438" spans="1:10">
      <c r="A6438" s="74" t="s">
        <v>744</v>
      </c>
      <c r="B6438" s="74" t="s">
        <v>253</v>
      </c>
      <c r="C6438" s="74" t="s">
        <v>1532</v>
      </c>
      <c r="D6438" s="74" t="s">
        <v>80</v>
      </c>
      <c r="E6438" s="74">
        <v>1</v>
      </c>
      <c r="F6438" s="74">
        <v>3.9</v>
      </c>
      <c r="G6438" s="758">
        <f t="shared" si="400"/>
        <v>1.75</v>
      </c>
      <c r="H6438" s="759">
        <f t="shared" si="401"/>
        <v>0.49</v>
      </c>
      <c r="I6438" s="758">
        <f t="shared" si="402"/>
        <v>2.15</v>
      </c>
      <c r="J6438" s="760">
        <f t="shared" si="403"/>
        <v>0.55128205128205132</v>
      </c>
    </row>
    <row r="6439" spans="1:10">
      <c r="A6439" s="74" t="s">
        <v>744</v>
      </c>
      <c r="B6439" s="74" t="s">
        <v>253</v>
      </c>
      <c r="C6439" s="74" t="s">
        <v>1512</v>
      </c>
      <c r="D6439" s="74" t="s">
        <v>80</v>
      </c>
      <c r="E6439" s="74">
        <v>1</v>
      </c>
      <c r="F6439" s="74">
        <v>3.55</v>
      </c>
      <c r="G6439" s="758">
        <f t="shared" si="400"/>
        <v>1.75</v>
      </c>
      <c r="H6439" s="759">
        <f t="shared" si="401"/>
        <v>0.49</v>
      </c>
      <c r="I6439" s="758">
        <f t="shared" si="402"/>
        <v>1.7999999999999998</v>
      </c>
      <c r="J6439" s="760">
        <f t="shared" si="403"/>
        <v>0.50704225352112675</v>
      </c>
    </row>
    <row r="6440" spans="1:10">
      <c r="A6440" s="74" t="s">
        <v>744</v>
      </c>
      <c r="B6440" s="74" t="s">
        <v>253</v>
      </c>
      <c r="C6440" s="74" t="s">
        <v>1534</v>
      </c>
      <c r="D6440" s="74" t="s">
        <v>81</v>
      </c>
      <c r="E6440" s="74">
        <v>2</v>
      </c>
      <c r="F6440" s="74">
        <v>7.8</v>
      </c>
      <c r="G6440" s="758">
        <f t="shared" si="400"/>
        <v>1.75</v>
      </c>
      <c r="H6440" s="759">
        <f t="shared" si="401"/>
        <v>0.49</v>
      </c>
      <c r="I6440" s="758">
        <f t="shared" si="402"/>
        <v>2.15</v>
      </c>
      <c r="J6440" s="760">
        <f t="shared" si="403"/>
        <v>0.55128205128205132</v>
      </c>
    </row>
    <row r="6441" spans="1:10">
      <c r="A6441" s="74" t="s">
        <v>2320</v>
      </c>
      <c r="B6441" s="74" t="s">
        <v>253</v>
      </c>
      <c r="C6441" s="74" t="s">
        <v>1543</v>
      </c>
      <c r="D6441" s="74" t="s">
        <v>87</v>
      </c>
      <c r="E6441" s="74">
        <v>2</v>
      </c>
      <c r="F6441" s="74">
        <v>8</v>
      </c>
      <c r="G6441" s="758">
        <f t="shared" si="400"/>
        <v>1.75</v>
      </c>
      <c r="H6441" s="759">
        <f t="shared" si="401"/>
        <v>0.49</v>
      </c>
      <c r="I6441" s="758">
        <f t="shared" si="402"/>
        <v>2.25</v>
      </c>
      <c r="J6441" s="760">
        <f t="shared" si="403"/>
        <v>0.5625</v>
      </c>
    </row>
    <row r="6442" spans="1:10">
      <c r="A6442" s="74" t="s">
        <v>2257</v>
      </c>
      <c r="B6442" s="74" t="s">
        <v>275</v>
      </c>
      <c r="C6442" s="74" t="s">
        <v>1582</v>
      </c>
      <c r="D6442" s="74" t="s">
        <v>89</v>
      </c>
      <c r="E6442" s="74">
        <v>1</v>
      </c>
      <c r="F6442" s="74">
        <v>6</v>
      </c>
      <c r="G6442" s="758">
        <f t="shared" si="400"/>
        <v>0</v>
      </c>
      <c r="H6442" s="759">
        <f t="shared" si="401"/>
        <v>0</v>
      </c>
      <c r="I6442" s="758">
        <f t="shared" si="402"/>
        <v>6</v>
      </c>
      <c r="J6442" s="760">
        <f t="shared" si="403"/>
        <v>1</v>
      </c>
    </row>
    <row r="6443" spans="1:10">
      <c r="A6443" s="74" t="s">
        <v>2257</v>
      </c>
      <c r="B6443" s="74" t="s">
        <v>275</v>
      </c>
      <c r="C6443" s="74" t="s">
        <v>1617</v>
      </c>
      <c r="D6443" s="74" t="s">
        <v>94</v>
      </c>
      <c r="E6443" s="74">
        <v>1</v>
      </c>
      <c r="F6443" s="74">
        <v>5.75</v>
      </c>
      <c r="G6443" s="758">
        <f t="shared" si="400"/>
        <v>0</v>
      </c>
      <c r="H6443" s="759">
        <f t="shared" si="401"/>
        <v>0</v>
      </c>
      <c r="I6443" s="758">
        <f t="shared" si="402"/>
        <v>5.75</v>
      </c>
      <c r="J6443" s="760">
        <f t="shared" si="403"/>
        <v>1</v>
      </c>
    </row>
    <row r="6444" spans="1:10">
      <c r="A6444" s="74" t="s">
        <v>718</v>
      </c>
      <c r="B6444" s="74" t="s">
        <v>275</v>
      </c>
      <c r="C6444" s="74" t="s">
        <v>1528</v>
      </c>
      <c r="D6444" s="74" t="s">
        <v>78</v>
      </c>
      <c r="E6444" s="74">
        <v>2</v>
      </c>
      <c r="F6444" s="74">
        <v>10.45</v>
      </c>
      <c r="G6444" s="758">
        <f t="shared" si="400"/>
        <v>0</v>
      </c>
      <c r="H6444" s="759">
        <f t="shared" si="401"/>
        <v>0</v>
      </c>
      <c r="I6444" s="758">
        <f t="shared" si="402"/>
        <v>5.2249999999999996</v>
      </c>
      <c r="J6444" s="760">
        <f t="shared" si="403"/>
        <v>1</v>
      </c>
    </row>
    <row r="6445" spans="1:10">
      <c r="A6445" s="74" t="s">
        <v>718</v>
      </c>
      <c r="B6445" s="74" t="s">
        <v>275</v>
      </c>
      <c r="C6445" s="74" t="s">
        <v>1509</v>
      </c>
      <c r="D6445" s="74" t="s">
        <v>78</v>
      </c>
      <c r="E6445" s="74">
        <v>1</v>
      </c>
      <c r="F6445" s="74">
        <v>5.23</v>
      </c>
      <c r="G6445" s="758">
        <f t="shared" si="400"/>
        <v>0</v>
      </c>
      <c r="H6445" s="759">
        <f t="shared" si="401"/>
        <v>0</v>
      </c>
      <c r="I6445" s="758">
        <f t="shared" si="402"/>
        <v>5.23</v>
      </c>
      <c r="J6445" s="760">
        <f t="shared" si="403"/>
        <v>1</v>
      </c>
    </row>
    <row r="6446" spans="1:10">
      <c r="A6446" s="74" t="s">
        <v>718</v>
      </c>
      <c r="B6446" s="74" t="s">
        <v>275</v>
      </c>
      <c r="C6446" s="74" t="s">
        <v>1511</v>
      </c>
      <c r="D6446" s="74" t="s">
        <v>80</v>
      </c>
      <c r="E6446" s="74">
        <v>1</v>
      </c>
      <c r="F6446" s="74">
        <v>5.23</v>
      </c>
      <c r="G6446" s="758">
        <f t="shared" si="400"/>
        <v>0</v>
      </c>
      <c r="H6446" s="759">
        <f t="shared" si="401"/>
        <v>0</v>
      </c>
      <c r="I6446" s="758">
        <f t="shared" si="402"/>
        <v>5.23</v>
      </c>
      <c r="J6446" s="760">
        <f t="shared" si="403"/>
        <v>1</v>
      </c>
    </row>
    <row r="6447" spans="1:10">
      <c r="A6447" s="74" t="s">
        <v>1080</v>
      </c>
      <c r="B6447" s="74" t="s">
        <v>1079</v>
      </c>
      <c r="C6447" s="74" t="s">
        <v>1540</v>
      </c>
      <c r="D6447" s="74" t="s">
        <v>84</v>
      </c>
      <c r="E6447" s="74">
        <v>1</v>
      </c>
      <c r="F6447" s="74">
        <v>15</v>
      </c>
      <c r="G6447" s="758">
        <f t="shared" si="400"/>
        <v>0</v>
      </c>
      <c r="H6447" s="759">
        <f t="shared" si="401"/>
        <v>0</v>
      </c>
      <c r="I6447" s="758">
        <f t="shared" si="402"/>
        <v>15</v>
      </c>
      <c r="J6447" s="760">
        <f t="shared" si="403"/>
        <v>1</v>
      </c>
    </row>
    <row r="6448" spans="1:10">
      <c r="A6448" s="74" t="s">
        <v>1080</v>
      </c>
      <c r="B6448" s="74" t="s">
        <v>1079</v>
      </c>
      <c r="C6448" s="74" t="s">
        <v>1520</v>
      </c>
      <c r="D6448" s="74" t="s">
        <v>84</v>
      </c>
      <c r="E6448" s="74">
        <v>1</v>
      </c>
      <c r="F6448" s="74">
        <v>19</v>
      </c>
      <c r="G6448" s="758">
        <f t="shared" si="400"/>
        <v>0</v>
      </c>
      <c r="H6448" s="759">
        <f t="shared" si="401"/>
        <v>0</v>
      </c>
      <c r="I6448" s="758">
        <f t="shared" si="402"/>
        <v>19</v>
      </c>
      <c r="J6448" s="760">
        <f t="shared" si="403"/>
        <v>1</v>
      </c>
    </row>
    <row r="6449" spans="1:10">
      <c r="A6449" s="74" t="s">
        <v>1080</v>
      </c>
      <c r="B6449" s="74" t="s">
        <v>1079</v>
      </c>
      <c r="C6449" s="74" t="s">
        <v>1578</v>
      </c>
      <c r="D6449" s="74" t="s">
        <v>86</v>
      </c>
      <c r="E6449" s="74">
        <v>1</v>
      </c>
      <c r="F6449" s="74">
        <v>1</v>
      </c>
      <c r="G6449" s="758">
        <f t="shared" si="400"/>
        <v>0</v>
      </c>
      <c r="H6449" s="759">
        <f t="shared" si="401"/>
        <v>0</v>
      </c>
      <c r="I6449" s="758">
        <f t="shared" si="402"/>
        <v>1</v>
      </c>
      <c r="J6449" s="760">
        <f t="shared" si="403"/>
        <v>1</v>
      </c>
    </row>
    <row r="6450" spans="1:10">
      <c r="A6450" s="74" t="s">
        <v>1080</v>
      </c>
      <c r="B6450" s="74" t="s">
        <v>1079</v>
      </c>
      <c r="C6450" s="74" t="s">
        <v>1561</v>
      </c>
      <c r="D6450" s="74" t="s">
        <v>87</v>
      </c>
      <c r="E6450" s="74">
        <v>1</v>
      </c>
      <c r="F6450" s="74">
        <v>0.55000000000000004</v>
      </c>
      <c r="G6450" s="758">
        <f t="shared" si="400"/>
        <v>0</v>
      </c>
      <c r="H6450" s="759">
        <f t="shared" si="401"/>
        <v>0</v>
      </c>
      <c r="I6450" s="758">
        <f t="shared" si="402"/>
        <v>0.55000000000000004</v>
      </c>
      <c r="J6450" s="760">
        <f t="shared" si="403"/>
        <v>1</v>
      </c>
    </row>
    <row r="6451" spans="1:10">
      <c r="A6451" s="74" t="s">
        <v>1080</v>
      </c>
      <c r="B6451" s="74" t="s">
        <v>1079</v>
      </c>
      <c r="C6451" s="74" t="s">
        <v>1546</v>
      </c>
      <c r="D6451" s="74" t="s">
        <v>89</v>
      </c>
      <c r="E6451" s="74">
        <v>1</v>
      </c>
      <c r="F6451" s="74">
        <v>0.15</v>
      </c>
      <c r="G6451" s="758">
        <f t="shared" si="400"/>
        <v>0</v>
      </c>
      <c r="H6451" s="759">
        <f t="shared" si="401"/>
        <v>0</v>
      </c>
      <c r="I6451" s="758">
        <f t="shared" si="402"/>
        <v>0.15</v>
      </c>
      <c r="J6451" s="760">
        <f t="shared" si="403"/>
        <v>1</v>
      </c>
    </row>
    <row r="6452" spans="1:10">
      <c r="A6452" s="74" t="s">
        <v>2258</v>
      </c>
      <c r="B6452" s="74" t="s">
        <v>247</v>
      </c>
      <c r="C6452" s="74" t="s">
        <v>1644</v>
      </c>
      <c r="D6452" s="74" t="s">
        <v>86</v>
      </c>
      <c r="E6452" s="74">
        <v>1</v>
      </c>
      <c r="F6452" s="74">
        <v>26.5</v>
      </c>
      <c r="G6452" s="758">
        <f t="shared" si="400"/>
        <v>0</v>
      </c>
      <c r="H6452" s="759">
        <f t="shared" si="401"/>
        <v>0</v>
      </c>
      <c r="I6452" s="758">
        <f t="shared" si="402"/>
        <v>26.5</v>
      </c>
      <c r="J6452" s="760">
        <f t="shared" si="403"/>
        <v>1</v>
      </c>
    </row>
    <row r="6453" spans="1:10">
      <c r="A6453" s="74" t="s">
        <v>935</v>
      </c>
      <c r="B6453" s="74" t="s">
        <v>266</v>
      </c>
      <c r="C6453" s="74" t="s">
        <v>1520</v>
      </c>
      <c r="D6453" s="74" t="s">
        <v>84</v>
      </c>
      <c r="E6453" s="74">
        <v>2</v>
      </c>
      <c r="F6453" s="74">
        <v>0</v>
      </c>
      <c r="G6453" s="758">
        <f t="shared" si="400"/>
        <v>0</v>
      </c>
      <c r="H6453" s="759">
        <f t="shared" si="401"/>
        <v>0</v>
      </c>
      <c r="I6453" s="758">
        <f t="shared" si="402"/>
        <v>0</v>
      </c>
      <c r="J6453" s="760">
        <f t="shared" si="403"/>
        <v>0</v>
      </c>
    </row>
    <row r="6454" spans="1:10">
      <c r="A6454" s="74" t="s">
        <v>935</v>
      </c>
      <c r="B6454" s="74" t="s">
        <v>266</v>
      </c>
      <c r="C6454" s="74" t="s">
        <v>1644</v>
      </c>
      <c r="D6454" s="74" t="s">
        <v>86</v>
      </c>
      <c r="E6454" s="74">
        <v>2</v>
      </c>
      <c r="F6454" s="74">
        <v>0</v>
      </c>
      <c r="G6454" s="758">
        <f t="shared" si="400"/>
        <v>0</v>
      </c>
      <c r="H6454" s="759">
        <f t="shared" si="401"/>
        <v>0</v>
      </c>
      <c r="I6454" s="758">
        <f t="shared" si="402"/>
        <v>0</v>
      </c>
      <c r="J6454" s="760">
        <f t="shared" si="403"/>
        <v>0</v>
      </c>
    </row>
    <row r="6455" spans="1:10">
      <c r="A6455" s="74" t="s">
        <v>2259</v>
      </c>
      <c r="B6455" s="74" t="s">
        <v>276</v>
      </c>
      <c r="C6455" s="74" t="s">
        <v>1547</v>
      </c>
      <c r="D6455" s="74" t="s">
        <v>89</v>
      </c>
      <c r="E6455" s="74">
        <v>1</v>
      </c>
      <c r="F6455" s="74">
        <v>16.3</v>
      </c>
      <c r="G6455" s="758">
        <f t="shared" si="400"/>
        <v>0</v>
      </c>
      <c r="H6455" s="759">
        <f t="shared" si="401"/>
        <v>0</v>
      </c>
      <c r="I6455" s="758">
        <f t="shared" si="402"/>
        <v>16.3</v>
      </c>
      <c r="J6455" s="760">
        <f t="shared" si="403"/>
        <v>1</v>
      </c>
    </row>
    <row r="6456" spans="1:10">
      <c r="A6456" s="74" t="s">
        <v>1052</v>
      </c>
      <c r="B6456" s="74" t="s">
        <v>276</v>
      </c>
      <c r="C6456" s="74" t="s">
        <v>1520</v>
      </c>
      <c r="D6456" s="74" t="s">
        <v>84</v>
      </c>
      <c r="E6456" s="74">
        <v>2</v>
      </c>
      <c r="F6456" s="74">
        <v>6.8</v>
      </c>
      <c r="G6456" s="758">
        <f t="shared" si="400"/>
        <v>0</v>
      </c>
      <c r="H6456" s="759">
        <f t="shared" si="401"/>
        <v>0</v>
      </c>
      <c r="I6456" s="758">
        <f t="shared" si="402"/>
        <v>3.4</v>
      </c>
      <c r="J6456" s="760">
        <f t="shared" si="403"/>
        <v>1</v>
      </c>
    </row>
    <row r="6457" spans="1:10">
      <c r="A6457" s="74" t="s">
        <v>1052</v>
      </c>
      <c r="B6457" s="74" t="s">
        <v>276</v>
      </c>
      <c r="C6457" s="74" t="s">
        <v>1507</v>
      </c>
      <c r="D6457" s="74" t="s">
        <v>86</v>
      </c>
      <c r="E6457" s="74">
        <v>1</v>
      </c>
      <c r="F6457" s="74">
        <v>3.4</v>
      </c>
      <c r="G6457" s="758">
        <f t="shared" si="400"/>
        <v>0</v>
      </c>
      <c r="H6457" s="759">
        <f t="shared" si="401"/>
        <v>0</v>
      </c>
      <c r="I6457" s="758">
        <f t="shared" si="402"/>
        <v>3.4</v>
      </c>
      <c r="J6457" s="760">
        <f t="shared" si="403"/>
        <v>1</v>
      </c>
    </row>
    <row r="6458" spans="1:10">
      <c r="A6458" s="74" t="s">
        <v>1052</v>
      </c>
      <c r="B6458" s="74" t="s">
        <v>276</v>
      </c>
      <c r="C6458" s="74" t="s">
        <v>1644</v>
      </c>
      <c r="D6458" s="74" t="s">
        <v>86</v>
      </c>
      <c r="E6458" s="74">
        <v>2</v>
      </c>
      <c r="F6458" s="74">
        <v>6.8</v>
      </c>
      <c r="G6458" s="758">
        <f t="shared" si="400"/>
        <v>0</v>
      </c>
      <c r="H6458" s="759">
        <f t="shared" si="401"/>
        <v>0</v>
      </c>
      <c r="I6458" s="758">
        <f t="shared" si="402"/>
        <v>3.4</v>
      </c>
      <c r="J6458" s="760">
        <f t="shared" si="403"/>
        <v>1</v>
      </c>
    </row>
    <row r="6459" spans="1:10">
      <c r="A6459" s="74" t="s">
        <v>1052</v>
      </c>
      <c r="B6459" s="74" t="s">
        <v>276</v>
      </c>
      <c r="C6459" s="74" t="s">
        <v>1578</v>
      </c>
      <c r="D6459" s="74" t="s">
        <v>86</v>
      </c>
      <c r="E6459" s="74">
        <v>1</v>
      </c>
      <c r="F6459" s="74">
        <v>3.4</v>
      </c>
      <c r="G6459" s="758">
        <f t="shared" si="400"/>
        <v>0</v>
      </c>
      <c r="H6459" s="759">
        <f t="shared" si="401"/>
        <v>0</v>
      </c>
      <c r="I6459" s="758">
        <f t="shared" si="402"/>
        <v>3.4</v>
      </c>
      <c r="J6459" s="760">
        <f t="shared" si="403"/>
        <v>1</v>
      </c>
    </row>
    <row r="6460" spans="1:10">
      <c r="A6460" s="74" t="s">
        <v>1052</v>
      </c>
      <c r="B6460" s="74" t="s">
        <v>276</v>
      </c>
      <c r="C6460" s="74" t="s">
        <v>1541</v>
      </c>
      <c r="D6460" s="74" t="s">
        <v>86</v>
      </c>
      <c r="E6460" s="74">
        <v>2</v>
      </c>
      <c r="F6460" s="74">
        <v>6.5</v>
      </c>
      <c r="G6460" s="758">
        <f t="shared" si="400"/>
        <v>0</v>
      </c>
      <c r="H6460" s="759">
        <f t="shared" si="401"/>
        <v>0</v>
      </c>
      <c r="I6460" s="758">
        <f t="shared" si="402"/>
        <v>3.25</v>
      </c>
      <c r="J6460" s="760">
        <f t="shared" si="403"/>
        <v>1</v>
      </c>
    </row>
    <row r="6461" spans="1:10">
      <c r="A6461" s="74" t="s">
        <v>1052</v>
      </c>
      <c r="B6461" s="74" t="s">
        <v>276</v>
      </c>
      <c r="C6461" s="74" t="s">
        <v>1543</v>
      </c>
      <c r="D6461" s="74" t="s">
        <v>87</v>
      </c>
      <c r="E6461" s="74">
        <v>3</v>
      </c>
      <c r="F6461" s="74">
        <v>9.9</v>
      </c>
      <c r="G6461" s="758">
        <f t="shared" si="400"/>
        <v>0</v>
      </c>
      <c r="H6461" s="759">
        <f t="shared" si="401"/>
        <v>0</v>
      </c>
      <c r="I6461" s="758">
        <f t="shared" si="402"/>
        <v>3.3000000000000003</v>
      </c>
      <c r="J6461" s="760">
        <f t="shared" si="403"/>
        <v>1</v>
      </c>
    </row>
    <row r="6462" spans="1:10">
      <c r="A6462" s="74" t="s">
        <v>1052</v>
      </c>
      <c r="B6462" s="74" t="s">
        <v>276</v>
      </c>
      <c r="C6462" s="74" t="s">
        <v>1608</v>
      </c>
      <c r="D6462" s="74" t="s">
        <v>89</v>
      </c>
      <c r="E6462" s="74">
        <v>1</v>
      </c>
      <c r="F6462" s="74">
        <v>3.4</v>
      </c>
      <c r="G6462" s="758">
        <f t="shared" si="400"/>
        <v>0</v>
      </c>
      <c r="H6462" s="759">
        <f t="shared" si="401"/>
        <v>0</v>
      </c>
      <c r="I6462" s="758">
        <f t="shared" si="402"/>
        <v>3.4</v>
      </c>
      <c r="J6462" s="760">
        <f t="shared" si="403"/>
        <v>1</v>
      </c>
    </row>
    <row r="6463" spans="1:10">
      <c r="A6463" s="74" t="s">
        <v>1052</v>
      </c>
      <c r="B6463" s="74" t="s">
        <v>276</v>
      </c>
      <c r="C6463" s="74" t="s">
        <v>1610</v>
      </c>
      <c r="D6463" s="74" t="s">
        <v>89</v>
      </c>
      <c r="E6463" s="74">
        <v>2</v>
      </c>
      <c r="F6463" s="74">
        <v>6.5</v>
      </c>
      <c r="G6463" s="758">
        <f t="shared" si="400"/>
        <v>0</v>
      </c>
      <c r="H6463" s="759">
        <f t="shared" si="401"/>
        <v>0</v>
      </c>
      <c r="I6463" s="758">
        <f t="shared" si="402"/>
        <v>3.25</v>
      </c>
      <c r="J6463" s="760">
        <f t="shared" si="403"/>
        <v>1</v>
      </c>
    </row>
    <row r="6464" spans="1:10">
      <c r="A6464" s="74" t="s">
        <v>1052</v>
      </c>
      <c r="B6464" s="74" t="s">
        <v>276</v>
      </c>
      <c r="C6464" s="74" t="s">
        <v>1547</v>
      </c>
      <c r="D6464" s="74" t="s">
        <v>89</v>
      </c>
      <c r="E6464" s="74">
        <v>2</v>
      </c>
      <c r="F6464" s="74">
        <v>6.8</v>
      </c>
      <c r="G6464" s="758">
        <f t="shared" si="400"/>
        <v>0</v>
      </c>
      <c r="H6464" s="759">
        <f t="shared" si="401"/>
        <v>0</v>
      </c>
      <c r="I6464" s="758">
        <f t="shared" si="402"/>
        <v>3.4</v>
      </c>
      <c r="J6464" s="760">
        <f t="shared" si="403"/>
        <v>1</v>
      </c>
    </row>
    <row r="6465" spans="1:10">
      <c r="A6465" s="74" t="s">
        <v>1052</v>
      </c>
      <c r="B6465" s="74" t="s">
        <v>276</v>
      </c>
      <c r="C6465" s="74" t="s">
        <v>1522</v>
      </c>
      <c r="D6465" s="74" t="s">
        <v>91</v>
      </c>
      <c r="E6465" s="74">
        <v>1</v>
      </c>
      <c r="F6465" s="74">
        <v>3.25</v>
      </c>
      <c r="G6465" s="758">
        <f t="shared" si="400"/>
        <v>0</v>
      </c>
      <c r="H6465" s="759">
        <f t="shared" si="401"/>
        <v>0</v>
      </c>
      <c r="I6465" s="758">
        <f t="shared" si="402"/>
        <v>3.25</v>
      </c>
      <c r="J6465" s="760">
        <f t="shared" si="403"/>
        <v>1</v>
      </c>
    </row>
    <row r="6466" spans="1:10">
      <c r="A6466" s="74" t="s">
        <v>1052</v>
      </c>
      <c r="B6466" s="74" t="s">
        <v>276</v>
      </c>
      <c r="C6466" s="74" t="s">
        <v>1631</v>
      </c>
      <c r="D6466" s="74" t="s">
        <v>92</v>
      </c>
      <c r="E6466" s="74">
        <v>2</v>
      </c>
      <c r="F6466" s="74">
        <v>6.5</v>
      </c>
      <c r="G6466" s="758">
        <f t="shared" ref="G6466:G6529" si="404">IFERROR(VLOOKUP(A6466,$M$1:$P$1014,2,FALSE),0)</f>
        <v>0</v>
      </c>
      <c r="H6466" s="759">
        <f t="shared" ref="H6466:H6529" si="405">IFERROR(VLOOKUP(A6466,$M$1:$P$1014,3,FALSE),0)</f>
        <v>0</v>
      </c>
      <c r="I6466" s="758">
        <f t="shared" ref="I6466:I6529" si="406">IFERROR(F6466/E6466-G6466,0)</f>
        <v>3.25</v>
      </c>
      <c r="J6466" s="760">
        <f t="shared" ref="J6466:J6529" si="407">IFERROR(1-G6466*E6466/F6466,0)</f>
        <v>1</v>
      </c>
    </row>
    <row r="6467" spans="1:10">
      <c r="A6467" s="74" t="s">
        <v>1052</v>
      </c>
      <c r="B6467" s="74" t="s">
        <v>276</v>
      </c>
      <c r="C6467" s="74" t="s">
        <v>1552</v>
      </c>
      <c r="D6467" s="74" t="s">
        <v>92</v>
      </c>
      <c r="E6467" s="74">
        <v>1</v>
      </c>
      <c r="F6467" s="74">
        <v>3.25</v>
      </c>
      <c r="G6467" s="758">
        <f t="shared" si="404"/>
        <v>0</v>
      </c>
      <c r="H6467" s="759">
        <f t="shared" si="405"/>
        <v>0</v>
      </c>
      <c r="I6467" s="758">
        <f t="shared" si="406"/>
        <v>3.25</v>
      </c>
      <c r="J6467" s="760">
        <f t="shared" si="407"/>
        <v>1</v>
      </c>
    </row>
    <row r="6468" spans="1:10">
      <c r="A6468" s="74" t="s">
        <v>2260</v>
      </c>
      <c r="B6468" s="74" t="s">
        <v>276</v>
      </c>
      <c r="C6468" s="74" t="s">
        <v>1509</v>
      </c>
      <c r="D6468" s="74" t="s">
        <v>78</v>
      </c>
      <c r="E6468" s="74">
        <v>2</v>
      </c>
      <c r="F6468" s="74">
        <v>32.299999999999997</v>
      </c>
      <c r="G6468" s="758">
        <f t="shared" si="404"/>
        <v>3.41</v>
      </c>
      <c r="H6468" s="759">
        <f t="shared" si="405"/>
        <v>0.23</v>
      </c>
      <c r="I6468" s="758">
        <f t="shared" si="406"/>
        <v>12.739999999999998</v>
      </c>
      <c r="J6468" s="760">
        <f t="shared" si="407"/>
        <v>0.78885448916408663</v>
      </c>
    </row>
    <row r="6469" spans="1:10">
      <c r="A6469" s="74" t="s">
        <v>2260</v>
      </c>
      <c r="B6469" s="74" t="s">
        <v>276</v>
      </c>
      <c r="C6469" s="74" t="s">
        <v>1565</v>
      </c>
      <c r="D6469" s="74" t="s">
        <v>78</v>
      </c>
      <c r="E6469" s="74">
        <v>2</v>
      </c>
      <c r="F6469" s="74">
        <v>32.299999999999997</v>
      </c>
      <c r="G6469" s="758">
        <f t="shared" si="404"/>
        <v>3.41</v>
      </c>
      <c r="H6469" s="759">
        <f t="shared" si="405"/>
        <v>0.23</v>
      </c>
      <c r="I6469" s="758">
        <f t="shared" si="406"/>
        <v>12.739999999999998</v>
      </c>
      <c r="J6469" s="760">
        <f t="shared" si="407"/>
        <v>0.78885448916408663</v>
      </c>
    </row>
    <row r="6470" spans="1:10">
      <c r="A6470" s="74" t="s">
        <v>2260</v>
      </c>
      <c r="B6470" s="74" t="s">
        <v>276</v>
      </c>
      <c r="C6470" s="74" t="s">
        <v>1532</v>
      </c>
      <c r="D6470" s="74" t="s">
        <v>80</v>
      </c>
      <c r="E6470" s="74">
        <v>2</v>
      </c>
      <c r="F6470" s="74">
        <v>32.450000000000003</v>
      </c>
      <c r="G6470" s="758">
        <f t="shared" si="404"/>
        <v>3.41</v>
      </c>
      <c r="H6470" s="759">
        <f t="shared" si="405"/>
        <v>0.23</v>
      </c>
      <c r="I6470" s="758">
        <f t="shared" si="406"/>
        <v>12.815000000000001</v>
      </c>
      <c r="J6470" s="760">
        <f t="shared" si="407"/>
        <v>0.78983050847457625</v>
      </c>
    </row>
    <row r="6471" spans="1:10">
      <c r="A6471" s="74" t="s">
        <v>2260</v>
      </c>
      <c r="B6471" s="74" t="s">
        <v>276</v>
      </c>
      <c r="C6471" s="74" t="s">
        <v>1511</v>
      </c>
      <c r="D6471" s="74" t="s">
        <v>80</v>
      </c>
      <c r="E6471" s="74">
        <v>6</v>
      </c>
      <c r="F6471" s="74">
        <v>96.9</v>
      </c>
      <c r="G6471" s="758">
        <f t="shared" si="404"/>
        <v>3.41</v>
      </c>
      <c r="H6471" s="759">
        <f t="shared" si="405"/>
        <v>0.23</v>
      </c>
      <c r="I6471" s="758">
        <f t="shared" si="406"/>
        <v>12.740000000000002</v>
      </c>
      <c r="J6471" s="760">
        <f t="shared" si="407"/>
        <v>0.78885448916408674</v>
      </c>
    </row>
    <row r="6472" spans="1:10">
      <c r="A6472" s="74" t="s">
        <v>2260</v>
      </c>
      <c r="B6472" s="74" t="s">
        <v>276</v>
      </c>
      <c r="C6472" s="74" t="s">
        <v>1512</v>
      </c>
      <c r="D6472" s="74" t="s">
        <v>80</v>
      </c>
      <c r="E6472" s="74">
        <v>1</v>
      </c>
      <c r="F6472" s="74">
        <v>16.149999999999999</v>
      </c>
      <c r="G6472" s="758">
        <f t="shared" si="404"/>
        <v>3.41</v>
      </c>
      <c r="H6472" s="759">
        <f t="shared" si="405"/>
        <v>0.23</v>
      </c>
      <c r="I6472" s="758">
        <f t="shared" si="406"/>
        <v>12.739999999999998</v>
      </c>
      <c r="J6472" s="760">
        <f t="shared" si="407"/>
        <v>0.78885448916408663</v>
      </c>
    </row>
    <row r="6473" spans="1:10">
      <c r="A6473" s="74" t="s">
        <v>2260</v>
      </c>
      <c r="B6473" s="74" t="s">
        <v>276</v>
      </c>
      <c r="C6473" s="74" t="s">
        <v>1534</v>
      </c>
      <c r="D6473" s="74" t="s">
        <v>81</v>
      </c>
      <c r="E6473" s="74">
        <v>1</v>
      </c>
      <c r="F6473" s="74">
        <v>16.149999999999999</v>
      </c>
      <c r="G6473" s="758">
        <f t="shared" si="404"/>
        <v>3.41</v>
      </c>
      <c r="H6473" s="759">
        <f t="shared" si="405"/>
        <v>0.23</v>
      </c>
      <c r="I6473" s="758">
        <f t="shared" si="406"/>
        <v>12.739999999999998</v>
      </c>
      <c r="J6473" s="760">
        <f t="shared" si="407"/>
        <v>0.78885448916408663</v>
      </c>
    </row>
    <row r="6474" spans="1:10">
      <c r="A6474" s="74" t="s">
        <v>2260</v>
      </c>
      <c r="B6474" s="74" t="s">
        <v>276</v>
      </c>
      <c r="C6474" s="74" t="s">
        <v>1514</v>
      </c>
      <c r="D6474" s="74" t="s">
        <v>81</v>
      </c>
      <c r="E6474" s="74">
        <v>1</v>
      </c>
      <c r="F6474" s="74">
        <v>16.149999999999999</v>
      </c>
      <c r="G6474" s="758">
        <f t="shared" si="404"/>
        <v>3.41</v>
      </c>
      <c r="H6474" s="759">
        <f t="shared" si="405"/>
        <v>0.23</v>
      </c>
      <c r="I6474" s="758">
        <f t="shared" si="406"/>
        <v>12.739999999999998</v>
      </c>
      <c r="J6474" s="760">
        <f t="shared" si="407"/>
        <v>0.78885448916408663</v>
      </c>
    </row>
    <row r="6475" spans="1:10">
      <c r="A6475" s="74" t="s">
        <v>2260</v>
      </c>
      <c r="B6475" s="74" t="s">
        <v>276</v>
      </c>
      <c r="C6475" s="74" t="s">
        <v>1515</v>
      </c>
      <c r="D6475" s="74" t="s">
        <v>81</v>
      </c>
      <c r="E6475" s="74">
        <v>1</v>
      </c>
      <c r="F6475" s="74">
        <v>16.149999999999999</v>
      </c>
      <c r="G6475" s="758">
        <f t="shared" si="404"/>
        <v>3.41</v>
      </c>
      <c r="H6475" s="759">
        <f t="shared" si="405"/>
        <v>0.23</v>
      </c>
      <c r="I6475" s="758">
        <f t="shared" si="406"/>
        <v>12.739999999999998</v>
      </c>
      <c r="J6475" s="760">
        <f t="shared" si="407"/>
        <v>0.78885448916408663</v>
      </c>
    </row>
    <row r="6476" spans="1:10">
      <c r="A6476" s="74" t="s">
        <v>2260</v>
      </c>
      <c r="B6476" s="74" t="s">
        <v>276</v>
      </c>
      <c r="C6476" s="74" t="s">
        <v>1516</v>
      </c>
      <c r="D6476" s="74" t="s">
        <v>82</v>
      </c>
      <c r="E6476" s="74">
        <v>2</v>
      </c>
      <c r="F6476" s="74">
        <v>32.299999999999997</v>
      </c>
      <c r="G6476" s="758">
        <f t="shared" si="404"/>
        <v>3.41</v>
      </c>
      <c r="H6476" s="759">
        <f t="shared" si="405"/>
        <v>0.23</v>
      </c>
      <c r="I6476" s="758">
        <f t="shared" si="406"/>
        <v>12.739999999999998</v>
      </c>
      <c r="J6476" s="760">
        <f t="shared" si="407"/>
        <v>0.78885448916408663</v>
      </c>
    </row>
    <row r="6477" spans="1:10">
      <c r="A6477" s="74" t="s">
        <v>2260</v>
      </c>
      <c r="B6477" s="74" t="s">
        <v>276</v>
      </c>
      <c r="C6477" s="74" t="s">
        <v>1517</v>
      </c>
      <c r="D6477" s="74" t="s">
        <v>82</v>
      </c>
      <c r="E6477" s="74">
        <v>1</v>
      </c>
      <c r="F6477" s="74">
        <v>16.149999999999999</v>
      </c>
      <c r="G6477" s="758">
        <f t="shared" si="404"/>
        <v>3.41</v>
      </c>
      <c r="H6477" s="759">
        <f t="shared" si="405"/>
        <v>0.23</v>
      </c>
      <c r="I6477" s="758">
        <f t="shared" si="406"/>
        <v>12.739999999999998</v>
      </c>
      <c r="J6477" s="760">
        <f t="shared" si="407"/>
        <v>0.78885448916408663</v>
      </c>
    </row>
    <row r="6478" spans="1:10">
      <c r="A6478" s="74" t="s">
        <v>2260</v>
      </c>
      <c r="B6478" s="74" t="s">
        <v>276</v>
      </c>
      <c r="C6478" s="74" t="s">
        <v>1527</v>
      </c>
      <c r="D6478" s="74" t="s">
        <v>82</v>
      </c>
      <c r="E6478" s="74">
        <v>2</v>
      </c>
      <c r="F6478" s="74">
        <v>32.299999999999997</v>
      </c>
      <c r="G6478" s="758">
        <f t="shared" si="404"/>
        <v>3.41</v>
      </c>
      <c r="H6478" s="759">
        <f t="shared" si="405"/>
        <v>0.23</v>
      </c>
      <c r="I6478" s="758">
        <f t="shared" si="406"/>
        <v>12.739999999999998</v>
      </c>
      <c r="J6478" s="760">
        <f t="shared" si="407"/>
        <v>0.78885448916408663</v>
      </c>
    </row>
    <row r="6479" spans="1:10">
      <c r="A6479" s="74" t="s">
        <v>1237</v>
      </c>
      <c r="B6479" s="74" t="s">
        <v>276</v>
      </c>
      <c r="C6479" s="74" t="s">
        <v>1528</v>
      </c>
      <c r="D6479" s="74" t="s">
        <v>78</v>
      </c>
      <c r="E6479" s="74">
        <v>10</v>
      </c>
      <c r="F6479" s="74">
        <v>32.85</v>
      </c>
      <c r="G6479" s="758">
        <f t="shared" si="404"/>
        <v>0.68</v>
      </c>
      <c r="H6479" s="759">
        <f t="shared" si="405"/>
        <v>0.22</v>
      </c>
      <c r="I6479" s="758">
        <f t="shared" si="406"/>
        <v>2.605</v>
      </c>
      <c r="J6479" s="760">
        <f t="shared" si="407"/>
        <v>0.79299847792998479</v>
      </c>
    </row>
    <row r="6480" spans="1:10">
      <c r="A6480" s="74" t="s">
        <v>1237</v>
      </c>
      <c r="B6480" s="74" t="s">
        <v>276</v>
      </c>
      <c r="C6480" s="74" t="s">
        <v>1508</v>
      </c>
      <c r="D6480" s="74" t="s">
        <v>78</v>
      </c>
      <c r="E6480" s="74">
        <v>7</v>
      </c>
      <c r="F6480" s="74">
        <v>23.35</v>
      </c>
      <c r="G6480" s="758">
        <f t="shared" si="404"/>
        <v>0.68</v>
      </c>
      <c r="H6480" s="759">
        <f t="shared" si="405"/>
        <v>0.22</v>
      </c>
      <c r="I6480" s="758">
        <f t="shared" si="406"/>
        <v>2.6557142857142857</v>
      </c>
      <c r="J6480" s="760">
        <f t="shared" si="407"/>
        <v>0.79614561027837261</v>
      </c>
    </row>
    <row r="6481" spans="1:10">
      <c r="A6481" s="74" t="s">
        <v>1237</v>
      </c>
      <c r="B6481" s="74" t="s">
        <v>276</v>
      </c>
      <c r="C6481" s="74" t="s">
        <v>1509</v>
      </c>
      <c r="D6481" s="74" t="s">
        <v>78</v>
      </c>
      <c r="E6481" s="74">
        <v>18</v>
      </c>
      <c r="F6481" s="74">
        <v>59.1</v>
      </c>
      <c r="G6481" s="758">
        <f t="shared" si="404"/>
        <v>0.68</v>
      </c>
      <c r="H6481" s="759">
        <f t="shared" si="405"/>
        <v>0.22</v>
      </c>
      <c r="I6481" s="758">
        <f t="shared" si="406"/>
        <v>2.6033333333333331</v>
      </c>
      <c r="J6481" s="760">
        <f t="shared" si="407"/>
        <v>0.79289340101522843</v>
      </c>
    </row>
    <row r="6482" spans="1:10">
      <c r="A6482" s="74" t="s">
        <v>1237</v>
      </c>
      <c r="B6482" s="74" t="s">
        <v>276</v>
      </c>
      <c r="C6482" s="74" t="s">
        <v>1565</v>
      </c>
      <c r="D6482" s="74" t="s">
        <v>78</v>
      </c>
      <c r="E6482" s="74">
        <v>10</v>
      </c>
      <c r="F6482" s="74">
        <v>32.5</v>
      </c>
      <c r="G6482" s="758">
        <f t="shared" si="404"/>
        <v>0.68</v>
      </c>
      <c r="H6482" s="759">
        <f t="shared" si="405"/>
        <v>0.22</v>
      </c>
      <c r="I6482" s="758">
        <f t="shared" si="406"/>
        <v>2.57</v>
      </c>
      <c r="J6482" s="760">
        <f t="shared" si="407"/>
        <v>0.79076923076923078</v>
      </c>
    </row>
    <row r="6483" spans="1:10">
      <c r="A6483" s="74" t="s">
        <v>1237</v>
      </c>
      <c r="B6483" s="74" t="s">
        <v>276</v>
      </c>
      <c r="C6483" s="74" t="s">
        <v>1530</v>
      </c>
      <c r="D6483" s="74" t="s">
        <v>80</v>
      </c>
      <c r="E6483" s="74">
        <v>4</v>
      </c>
      <c r="F6483" s="74">
        <v>13</v>
      </c>
      <c r="G6483" s="758">
        <f t="shared" si="404"/>
        <v>0.68</v>
      </c>
      <c r="H6483" s="759">
        <f t="shared" si="405"/>
        <v>0.22</v>
      </c>
      <c r="I6483" s="758">
        <f t="shared" si="406"/>
        <v>2.57</v>
      </c>
      <c r="J6483" s="760">
        <f t="shared" si="407"/>
        <v>0.79076923076923078</v>
      </c>
    </row>
    <row r="6484" spans="1:10">
      <c r="A6484" s="74" t="s">
        <v>1237</v>
      </c>
      <c r="B6484" s="74" t="s">
        <v>276</v>
      </c>
      <c r="C6484" s="74" t="s">
        <v>1532</v>
      </c>
      <c r="D6484" s="74" t="s">
        <v>80</v>
      </c>
      <c r="E6484" s="74">
        <v>14</v>
      </c>
      <c r="F6484" s="74">
        <v>45.8</v>
      </c>
      <c r="G6484" s="758">
        <f t="shared" si="404"/>
        <v>0.68</v>
      </c>
      <c r="H6484" s="759">
        <f t="shared" si="405"/>
        <v>0.22</v>
      </c>
      <c r="I6484" s="758">
        <f t="shared" si="406"/>
        <v>2.5914285714285712</v>
      </c>
      <c r="J6484" s="760">
        <f t="shared" si="407"/>
        <v>0.79213973799126636</v>
      </c>
    </row>
    <row r="6485" spans="1:10">
      <c r="A6485" s="74" t="s">
        <v>1237</v>
      </c>
      <c r="B6485" s="74" t="s">
        <v>276</v>
      </c>
      <c r="C6485" s="74" t="s">
        <v>1511</v>
      </c>
      <c r="D6485" s="74" t="s">
        <v>80</v>
      </c>
      <c r="E6485" s="74">
        <v>18</v>
      </c>
      <c r="F6485" s="74">
        <v>59.1</v>
      </c>
      <c r="G6485" s="758">
        <f t="shared" si="404"/>
        <v>0.68</v>
      </c>
      <c r="H6485" s="759">
        <f t="shared" si="405"/>
        <v>0.22</v>
      </c>
      <c r="I6485" s="758">
        <f t="shared" si="406"/>
        <v>2.6033333333333331</v>
      </c>
      <c r="J6485" s="760">
        <f t="shared" si="407"/>
        <v>0.79289340101522843</v>
      </c>
    </row>
    <row r="6486" spans="1:10">
      <c r="A6486" s="74" t="s">
        <v>1237</v>
      </c>
      <c r="B6486" s="74" t="s">
        <v>276</v>
      </c>
      <c r="C6486" s="74" t="s">
        <v>1512</v>
      </c>
      <c r="D6486" s="74" t="s">
        <v>80</v>
      </c>
      <c r="E6486" s="74">
        <v>11</v>
      </c>
      <c r="F6486" s="74">
        <v>35.75</v>
      </c>
      <c r="G6486" s="758">
        <f t="shared" si="404"/>
        <v>0.68</v>
      </c>
      <c r="H6486" s="759">
        <f t="shared" si="405"/>
        <v>0.22</v>
      </c>
      <c r="I6486" s="758">
        <f t="shared" si="406"/>
        <v>2.57</v>
      </c>
      <c r="J6486" s="760">
        <f t="shared" si="407"/>
        <v>0.79076923076923078</v>
      </c>
    </row>
    <row r="6487" spans="1:10">
      <c r="A6487" s="74" t="s">
        <v>1237</v>
      </c>
      <c r="B6487" s="74" t="s">
        <v>276</v>
      </c>
      <c r="C6487" s="74" t="s">
        <v>1534</v>
      </c>
      <c r="D6487" s="74" t="s">
        <v>81</v>
      </c>
      <c r="E6487" s="74">
        <v>12</v>
      </c>
      <c r="F6487" s="74">
        <v>36.799999999999997</v>
      </c>
      <c r="G6487" s="758">
        <f t="shared" si="404"/>
        <v>0.68</v>
      </c>
      <c r="H6487" s="759">
        <f t="shared" si="405"/>
        <v>0.22</v>
      </c>
      <c r="I6487" s="758">
        <f t="shared" si="406"/>
        <v>2.3866666666666663</v>
      </c>
      <c r="J6487" s="760">
        <f t="shared" si="407"/>
        <v>0.77826086956521734</v>
      </c>
    </row>
    <row r="6488" spans="1:10">
      <c r="A6488" s="74" t="s">
        <v>1237</v>
      </c>
      <c r="B6488" s="74" t="s">
        <v>276</v>
      </c>
      <c r="C6488" s="74" t="s">
        <v>1513</v>
      </c>
      <c r="D6488" s="74" t="s">
        <v>81</v>
      </c>
      <c r="E6488" s="74">
        <v>9</v>
      </c>
      <c r="F6488" s="74">
        <v>30.6</v>
      </c>
      <c r="G6488" s="758">
        <f t="shared" si="404"/>
        <v>0.68</v>
      </c>
      <c r="H6488" s="759">
        <f t="shared" si="405"/>
        <v>0.22</v>
      </c>
      <c r="I6488" s="758">
        <f t="shared" si="406"/>
        <v>2.72</v>
      </c>
      <c r="J6488" s="760">
        <f t="shared" si="407"/>
        <v>0.8</v>
      </c>
    </row>
    <row r="6489" spans="1:10">
      <c r="A6489" s="74" t="s">
        <v>1237</v>
      </c>
      <c r="B6489" s="74" t="s">
        <v>276</v>
      </c>
      <c r="C6489" s="74" t="s">
        <v>1514</v>
      </c>
      <c r="D6489" s="74" t="s">
        <v>81</v>
      </c>
      <c r="E6489" s="74">
        <v>13</v>
      </c>
      <c r="F6489" s="74">
        <v>39.9</v>
      </c>
      <c r="G6489" s="758">
        <f t="shared" si="404"/>
        <v>0.68</v>
      </c>
      <c r="H6489" s="759">
        <f t="shared" si="405"/>
        <v>0.22</v>
      </c>
      <c r="I6489" s="758">
        <f t="shared" si="406"/>
        <v>2.3892307692307688</v>
      </c>
      <c r="J6489" s="760">
        <f t="shared" si="407"/>
        <v>0.7784461152882205</v>
      </c>
    </row>
    <row r="6490" spans="1:10">
      <c r="A6490" s="74" t="s">
        <v>1237</v>
      </c>
      <c r="B6490" s="74" t="s">
        <v>276</v>
      </c>
      <c r="C6490" s="74" t="s">
        <v>1515</v>
      </c>
      <c r="D6490" s="74" t="s">
        <v>81</v>
      </c>
      <c r="E6490" s="74">
        <v>19</v>
      </c>
      <c r="F6490" s="74">
        <v>117.05</v>
      </c>
      <c r="G6490" s="758">
        <f t="shared" si="404"/>
        <v>0.68</v>
      </c>
      <c r="H6490" s="759">
        <f t="shared" si="405"/>
        <v>0.22</v>
      </c>
      <c r="I6490" s="758">
        <f t="shared" si="406"/>
        <v>5.4805263157894739</v>
      </c>
      <c r="J6490" s="760">
        <f t="shared" si="407"/>
        <v>0.88961982058949163</v>
      </c>
    </row>
    <row r="6491" spans="1:10">
      <c r="A6491" s="74" t="s">
        <v>1237</v>
      </c>
      <c r="B6491" s="74" t="s">
        <v>276</v>
      </c>
      <c r="C6491" s="74" t="s">
        <v>1516</v>
      </c>
      <c r="D6491" s="74" t="s">
        <v>82</v>
      </c>
      <c r="E6491" s="74">
        <v>22</v>
      </c>
      <c r="F6491" s="74">
        <v>162.4</v>
      </c>
      <c r="G6491" s="758">
        <f t="shared" si="404"/>
        <v>0.68</v>
      </c>
      <c r="H6491" s="759">
        <f t="shared" si="405"/>
        <v>0.22</v>
      </c>
      <c r="I6491" s="758">
        <f t="shared" si="406"/>
        <v>6.7018181818181821</v>
      </c>
      <c r="J6491" s="760">
        <f t="shared" si="407"/>
        <v>0.90788177339901477</v>
      </c>
    </row>
    <row r="6492" spans="1:10">
      <c r="A6492" s="74" t="s">
        <v>1237</v>
      </c>
      <c r="B6492" s="74" t="s">
        <v>276</v>
      </c>
      <c r="C6492" s="74" t="s">
        <v>1517</v>
      </c>
      <c r="D6492" s="74" t="s">
        <v>82</v>
      </c>
      <c r="E6492" s="74">
        <v>6</v>
      </c>
      <c r="F6492" s="74">
        <v>20.100000000000001</v>
      </c>
      <c r="G6492" s="758">
        <f t="shared" si="404"/>
        <v>0.68</v>
      </c>
      <c r="H6492" s="759">
        <f t="shared" si="405"/>
        <v>0.22</v>
      </c>
      <c r="I6492" s="758">
        <f t="shared" si="406"/>
        <v>2.67</v>
      </c>
      <c r="J6492" s="760">
        <f t="shared" si="407"/>
        <v>0.79701492537313434</v>
      </c>
    </row>
    <row r="6493" spans="1:10">
      <c r="A6493" s="74" t="s">
        <v>1237</v>
      </c>
      <c r="B6493" s="74" t="s">
        <v>276</v>
      </c>
      <c r="C6493" s="74" t="s">
        <v>1527</v>
      </c>
      <c r="D6493" s="74" t="s">
        <v>82</v>
      </c>
      <c r="E6493" s="74">
        <v>29</v>
      </c>
      <c r="F6493" s="74">
        <v>96.5</v>
      </c>
      <c r="G6493" s="758">
        <f t="shared" si="404"/>
        <v>0.68</v>
      </c>
      <c r="H6493" s="759">
        <f t="shared" si="405"/>
        <v>0.22</v>
      </c>
      <c r="I6493" s="758">
        <f t="shared" si="406"/>
        <v>2.6475862068965514</v>
      </c>
      <c r="J6493" s="760">
        <f t="shared" si="407"/>
        <v>0.79564766839378231</v>
      </c>
    </row>
    <row r="6494" spans="1:10">
      <c r="A6494" s="74" t="s">
        <v>1237</v>
      </c>
      <c r="B6494" s="74" t="s">
        <v>276</v>
      </c>
      <c r="C6494" s="74" t="s">
        <v>1518</v>
      </c>
      <c r="D6494" s="74" t="s">
        <v>82</v>
      </c>
      <c r="E6494" s="74">
        <v>12</v>
      </c>
      <c r="F6494" s="74">
        <v>46.25</v>
      </c>
      <c r="G6494" s="758">
        <f t="shared" si="404"/>
        <v>0.68</v>
      </c>
      <c r="H6494" s="759">
        <f t="shared" si="405"/>
        <v>0.22</v>
      </c>
      <c r="I6494" s="758">
        <f t="shared" si="406"/>
        <v>3.1741666666666664</v>
      </c>
      <c r="J6494" s="760">
        <f t="shared" si="407"/>
        <v>0.82356756756756755</v>
      </c>
    </row>
    <row r="6495" spans="1:10">
      <c r="A6495" s="74" t="s">
        <v>866</v>
      </c>
      <c r="B6495" s="74" t="s">
        <v>276</v>
      </c>
      <c r="C6495" s="74" t="s">
        <v>1608</v>
      </c>
      <c r="D6495" s="74" t="s">
        <v>89</v>
      </c>
      <c r="E6495" s="74">
        <v>1</v>
      </c>
      <c r="F6495" s="74">
        <v>4.5</v>
      </c>
      <c r="G6495" s="758">
        <f t="shared" si="404"/>
        <v>0</v>
      </c>
      <c r="H6495" s="759">
        <f t="shared" si="405"/>
        <v>0</v>
      </c>
      <c r="I6495" s="758">
        <f t="shared" si="406"/>
        <v>4.5</v>
      </c>
      <c r="J6495" s="760">
        <f t="shared" si="407"/>
        <v>1</v>
      </c>
    </row>
    <row r="6496" spans="1:10">
      <c r="A6496" s="74" t="s">
        <v>2261</v>
      </c>
      <c r="B6496" s="74" t="s">
        <v>253</v>
      </c>
      <c r="C6496" s="74" t="s">
        <v>1507</v>
      </c>
      <c r="D6496" s="74" t="s">
        <v>86</v>
      </c>
      <c r="E6496" s="74">
        <v>1</v>
      </c>
      <c r="F6496" s="74">
        <v>3.35</v>
      </c>
      <c r="G6496" s="758">
        <f t="shared" si="404"/>
        <v>0</v>
      </c>
      <c r="H6496" s="759">
        <f t="shared" si="405"/>
        <v>0</v>
      </c>
      <c r="I6496" s="758">
        <f t="shared" si="406"/>
        <v>3.35</v>
      </c>
      <c r="J6496" s="760">
        <f t="shared" si="407"/>
        <v>1</v>
      </c>
    </row>
    <row r="6497" spans="1:10">
      <c r="A6497" s="74" t="s">
        <v>2262</v>
      </c>
      <c r="B6497" s="74" t="s">
        <v>266</v>
      </c>
      <c r="C6497" s="74" t="s">
        <v>1561</v>
      </c>
      <c r="D6497" s="74" t="s">
        <v>87</v>
      </c>
      <c r="E6497" s="74">
        <v>1</v>
      </c>
      <c r="F6497" s="74">
        <v>0</v>
      </c>
      <c r="G6497" s="758">
        <f t="shared" si="404"/>
        <v>0</v>
      </c>
      <c r="H6497" s="759">
        <f t="shared" si="405"/>
        <v>0</v>
      </c>
      <c r="I6497" s="758">
        <f t="shared" si="406"/>
        <v>0</v>
      </c>
      <c r="J6497" s="760">
        <f t="shared" si="407"/>
        <v>0</v>
      </c>
    </row>
    <row r="6498" spans="1:10">
      <c r="A6498" s="74" t="s">
        <v>671</v>
      </c>
      <c r="B6498" s="74" t="s">
        <v>276</v>
      </c>
      <c r="C6498" s="74" t="s">
        <v>1528</v>
      </c>
      <c r="D6498" s="74" t="s">
        <v>78</v>
      </c>
      <c r="E6498" s="74">
        <v>22</v>
      </c>
      <c r="F6498" s="74">
        <v>61</v>
      </c>
      <c r="G6498" s="758">
        <f t="shared" si="404"/>
        <v>1.6</v>
      </c>
      <c r="H6498" s="759">
        <f t="shared" si="405"/>
        <v>0.47</v>
      </c>
      <c r="I6498" s="758">
        <f t="shared" si="406"/>
        <v>1.1727272727272728</v>
      </c>
      <c r="J6498" s="760">
        <f t="shared" si="407"/>
        <v>0.42295081967213111</v>
      </c>
    </row>
    <row r="6499" spans="1:10">
      <c r="A6499" s="74" t="s">
        <v>671</v>
      </c>
      <c r="B6499" s="74" t="s">
        <v>276</v>
      </c>
      <c r="C6499" s="74" t="s">
        <v>1508</v>
      </c>
      <c r="D6499" s="74" t="s">
        <v>78</v>
      </c>
      <c r="E6499" s="74">
        <v>13</v>
      </c>
      <c r="F6499" s="74">
        <v>38.090000000000003</v>
      </c>
      <c r="G6499" s="758">
        <f t="shared" si="404"/>
        <v>1.6</v>
      </c>
      <c r="H6499" s="759">
        <f t="shared" si="405"/>
        <v>0.47</v>
      </c>
      <c r="I6499" s="758">
        <f t="shared" si="406"/>
        <v>1.33</v>
      </c>
      <c r="J6499" s="760">
        <f t="shared" si="407"/>
        <v>0.4539249146757679</v>
      </c>
    </row>
    <row r="6500" spans="1:10">
      <c r="A6500" s="74" t="s">
        <v>671</v>
      </c>
      <c r="B6500" s="74" t="s">
        <v>276</v>
      </c>
      <c r="C6500" s="74" t="s">
        <v>1509</v>
      </c>
      <c r="D6500" s="74" t="s">
        <v>78</v>
      </c>
      <c r="E6500" s="74">
        <v>20</v>
      </c>
      <c r="F6500" s="74">
        <v>57.27</v>
      </c>
      <c r="G6500" s="758">
        <f t="shared" si="404"/>
        <v>1.6</v>
      </c>
      <c r="H6500" s="759">
        <f t="shared" si="405"/>
        <v>0.47</v>
      </c>
      <c r="I6500" s="758">
        <f t="shared" si="406"/>
        <v>1.2635000000000001</v>
      </c>
      <c r="J6500" s="760">
        <f t="shared" si="407"/>
        <v>0.44124323380478436</v>
      </c>
    </row>
    <row r="6501" spans="1:10">
      <c r="A6501" s="74" t="s">
        <v>671</v>
      </c>
      <c r="B6501" s="74" t="s">
        <v>276</v>
      </c>
      <c r="C6501" s="74" t="s">
        <v>1565</v>
      </c>
      <c r="D6501" s="74" t="s">
        <v>78</v>
      </c>
      <c r="E6501" s="74">
        <v>16</v>
      </c>
      <c r="F6501" s="74">
        <v>46.28</v>
      </c>
      <c r="G6501" s="758">
        <f t="shared" si="404"/>
        <v>1.6</v>
      </c>
      <c r="H6501" s="759">
        <f t="shared" si="405"/>
        <v>0.47</v>
      </c>
      <c r="I6501" s="758">
        <f t="shared" si="406"/>
        <v>1.2925</v>
      </c>
      <c r="J6501" s="760">
        <f t="shared" si="407"/>
        <v>0.44684528954191871</v>
      </c>
    </row>
    <row r="6502" spans="1:10">
      <c r="A6502" s="74" t="s">
        <v>671</v>
      </c>
      <c r="B6502" s="74" t="s">
        <v>276</v>
      </c>
      <c r="C6502" s="74" t="s">
        <v>1530</v>
      </c>
      <c r="D6502" s="74" t="s">
        <v>80</v>
      </c>
      <c r="E6502" s="74">
        <v>11</v>
      </c>
      <c r="F6502" s="74">
        <v>31.86</v>
      </c>
      <c r="G6502" s="758">
        <f t="shared" si="404"/>
        <v>1.6</v>
      </c>
      <c r="H6502" s="759">
        <f t="shared" si="405"/>
        <v>0.47</v>
      </c>
      <c r="I6502" s="758">
        <f t="shared" si="406"/>
        <v>1.2963636363636364</v>
      </c>
      <c r="J6502" s="760">
        <f t="shared" si="407"/>
        <v>0.44758317639673562</v>
      </c>
    </row>
    <row r="6503" spans="1:10">
      <c r="A6503" s="74" t="s">
        <v>671</v>
      </c>
      <c r="B6503" s="74" t="s">
        <v>276</v>
      </c>
      <c r="C6503" s="74" t="s">
        <v>1532</v>
      </c>
      <c r="D6503" s="74" t="s">
        <v>80</v>
      </c>
      <c r="E6503" s="74">
        <v>11</v>
      </c>
      <c r="F6503" s="74">
        <v>31.86</v>
      </c>
      <c r="G6503" s="758">
        <f t="shared" si="404"/>
        <v>1.6</v>
      </c>
      <c r="H6503" s="759">
        <f t="shared" si="405"/>
        <v>0.47</v>
      </c>
      <c r="I6503" s="758">
        <f t="shared" si="406"/>
        <v>1.2963636363636364</v>
      </c>
      <c r="J6503" s="760">
        <f t="shared" si="407"/>
        <v>0.44758317639673562</v>
      </c>
    </row>
    <row r="6504" spans="1:10">
      <c r="A6504" s="74" t="s">
        <v>671</v>
      </c>
      <c r="B6504" s="74" t="s">
        <v>276</v>
      </c>
      <c r="C6504" s="74" t="s">
        <v>1511</v>
      </c>
      <c r="D6504" s="74" t="s">
        <v>80</v>
      </c>
      <c r="E6504" s="74">
        <v>5</v>
      </c>
      <c r="F6504" s="74">
        <v>14.55</v>
      </c>
      <c r="G6504" s="758">
        <f t="shared" si="404"/>
        <v>1.6</v>
      </c>
      <c r="H6504" s="759">
        <f t="shared" si="405"/>
        <v>0.47</v>
      </c>
      <c r="I6504" s="758">
        <f t="shared" si="406"/>
        <v>1.31</v>
      </c>
      <c r="J6504" s="760">
        <f t="shared" si="407"/>
        <v>0.45017182130584199</v>
      </c>
    </row>
    <row r="6505" spans="1:10">
      <c r="A6505" s="74" t="s">
        <v>671</v>
      </c>
      <c r="B6505" s="74" t="s">
        <v>276</v>
      </c>
      <c r="C6505" s="74" t="s">
        <v>1512</v>
      </c>
      <c r="D6505" s="74" t="s">
        <v>80</v>
      </c>
      <c r="E6505" s="74">
        <v>9</v>
      </c>
      <c r="F6505" s="74">
        <v>26.09</v>
      </c>
      <c r="G6505" s="758">
        <f t="shared" si="404"/>
        <v>1.6</v>
      </c>
      <c r="H6505" s="759">
        <f t="shared" si="405"/>
        <v>0.47</v>
      </c>
      <c r="I6505" s="758">
        <f t="shared" si="406"/>
        <v>1.298888888888889</v>
      </c>
      <c r="J6505" s="760">
        <f t="shared" si="407"/>
        <v>0.44806439248754315</v>
      </c>
    </row>
    <row r="6506" spans="1:10">
      <c r="A6506" s="74" t="s">
        <v>671</v>
      </c>
      <c r="B6506" s="74" t="s">
        <v>276</v>
      </c>
      <c r="C6506" s="74" t="s">
        <v>1513</v>
      </c>
      <c r="D6506" s="74" t="s">
        <v>81</v>
      </c>
      <c r="E6506" s="74">
        <v>20</v>
      </c>
      <c r="F6506" s="74">
        <v>57.73</v>
      </c>
      <c r="G6506" s="758">
        <f t="shared" si="404"/>
        <v>1.6</v>
      </c>
      <c r="H6506" s="759">
        <f t="shared" si="405"/>
        <v>0.47</v>
      </c>
      <c r="I6506" s="758">
        <f t="shared" si="406"/>
        <v>1.2864999999999998</v>
      </c>
      <c r="J6506" s="760">
        <f t="shared" si="407"/>
        <v>0.44569547895375017</v>
      </c>
    </row>
    <row r="6507" spans="1:10">
      <c r="A6507" s="74" t="s">
        <v>671</v>
      </c>
      <c r="B6507" s="74" t="s">
        <v>276</v>
      </c>
      <c r="C6507" s="74" t="s">
        <v>1514</v>
      </c>
      <c r="D6507" s="74" t="s">
        <v>81</v>
      </c>
      <c r="E6507" s="74">
        <v>10</v>
      </c>
      <c r="F6507" s="74">
        <v>29.77</v>
      </c>
      <c r="G6507" s="758">
        <f t="shared" si="404"/>
        <v>1.6</v>
      </c>
      <c r="H6507" s="759">
        <f t="shared" si="405"/>
        <v>0.47</v>
      </c>
      <c r="I6507" s="758">
        <f t="shared" si="406"/>
        <v>1.3769999999999998</v>
      </c>
      <c r="J6507" s="760">
        <f t="shared" si="407"/>
        <v>0.46254618743701714</v>
      </c>
    </row>
    <row r="6508" spans="1:10">
      <c r="A6508" s="74" t="s">
        <v>671</v>
      </c>
      <c r="B6508" s="74" t="s">
        <v>276</v>
      </c>
      <c r="C6508" s="74" t="s">
        <v>1515</v>
      </c>
      <c r="D6508" s="74" t="s">
        <v>81</v>
      </c>
      <c r="E6508" s="74">
        <v>16</v>
      </c>
      <c r="F6508" s="74">
        <v>46.18</v>
      </c>
      <c r="G6508" s="758">
        <f t="shared" si="404"/>
        <v>1.6</v>
      </c>
      <c r="H6508" s="759">
        <f t="shared" si="405"/>
        <v>0.47</v>
      </c>
      <c r="I6508" s="758">
        <f t="shared" si="406"/>
        <v>1.2862499999999999</v>
      </c>
      <c r="J6508" s="760">
        <f t="shared" si="407"/>
        <v>0.44564746643568642</v>
      </c>
    </row>
    <row r="6509" spans="1:10">
      <c r="A6509" s="74" t="s">
        <v>995</v>
      </c>
      <c r="B6509" s="74" t="s">
        <v>276</v>
      </c>
      <c r="C6509" s="74" t="s">
        <v>1528</v>
      </c>
      <c r="D6509" s="74" t="s">
        <v>78</v>
      </c>
      <c r="E6509" s="74">
        <v>1</v>
      </c>
      <c r="F6509" s="74">
        <v>3</v>
      </c>
      <c r="G6509" s="758">
        <f t="shared" si="404"/>
        <v>0.81</v>
      </c>
      <c r="H6509" s="759">
        <f t="shared" si="405"/>
        <v>0.21</v>
      </c>
      <c r="I6509" s="758">
        <f t="shared" si="406"/>
        <v>2.19</v>
      </c>
      <c r="J6509" s="760">
        <f t="shared" si="407"/>
        <v>0.73</v>
      </c>
    </row>
    <row r="6510" spans="1:10">
      <c r="A6510" s="74" t="s">
        <v>995</v>
      </c>
      <c r="B6510" s="74" t="s">
        <v>276</v>
      </c>
      <c r="C6510" s="74" t="s">
        <v>1508</v>
      </c>
      <c r="D6510" s="74" t="s">
        <v>78</v>
      </c>
      <c r="E6510" s="74">
        <v>10</v>
      </c>
      <c r="F6510" s="74">
        <v>30</v>
      </c>
      <c r="G6510" s="758">
        <f t="shared" si="404"/>
        <v>0.81</v>
      </c>
      <c r="H6510" s="759">
        <f t="shared" si="405"/>
        <v>0.21</v>
      </c>
      <c r="I6510" s="758">
        <f t="shared" si="406"/>
        <v>2.19</v>
      </c>
      <c r="J6510" s="760">
        <f t="shared" si="407"/>
        <v>0.73</v>
      </c>
    </row>
    <row r="6511" spans="1:10">
      <c r="A6511" s="74" t="s">
        <v>995</v>
      </c>
      <c r="B6511" s="74" t="s">
        <v>276</v>
      </c>
      <c r="C6511" s="74" t="s">
        <v>1509</v>
      </c>
      <c r="D6511" s="74" t="s">
        <v>78</v>
      </c>
      <c r="E6511" s="74">
        <v>12</v>
      </c>
      <c r="F6511" s="74">
        <v>37.6</v>
      </c>
      <c r="G6511" s="758">
        <f t="shared" si="404"/>
        <v>0.81</v>
      </c>
      <c r="H6511" s="759">
        <f t="shared" si="405"/>
        <v>0.21</v>
      </c>
      <c r="I6511" s="758">
        <f t="shared" si="406"/>
        <v>2.3233333333333333</v>
      </c>
      <c r="J6511" s="760">
        <f t="shared" si="407"/>
        <v>0.74148936170212765</v>
      </c>
    </row>
    <row r="6512" spans="1:10">
      <c r="A6512" s="74" t="s">
        <v>995</v>
      </c>
      <c r="B6512" s="74" t="s">
        <v>276</v>
      </c>
      <c r="C6512" s="74" t="s">
        <v>1565</v>
      </c>
      <c r="D6512" s="74" t="s">
        <v>78</v>
      </c>
      <c r="E6512" s="74">
        <v>13</v>
      </c>
      <c r="F6512" s="74">
        <v>40.4</v>
      </c>
      <c r="G6512" s="758">
        <f t="shared" si="404"/>
        <v>0.81</v>
      </c>
      <c r="H6512" s="759">
        <f t="shared" si="405"/>
        <v>0.21</v>
      </c>
      <c r="I6512" s="758">
        <f t="shared" si="406"/>
        <v>2.2976923076923077</v>
      </c>
      <c r="J6512" s="760">
        <f t="shared" si="407"/>
        <v>0.73935643564356424</v>
      </c>
    </row>
    <row r="6513" spans="1:10">
      <c r="A6513" s="74" t="s">
        <v>995</v>
      </c>
      <c r="B6513" s="74" t="s">
        <v>276</v>
      </c>
      <c r="C6513" s="74" t="s">
        <v>1532</v>
      </c>
      <c r="D6513" s="74" t="s">
        <v>80</v>
      </c>
      <c r="E6513" s="74">
        <v>27</v>
      </c>
      <c r="F6513" s="74">
        <v>87.6</v>
      </c>
      <c r="G6513" s="758">
        <f t="shared" si="404"/>
        <v>0.81</v>
      </c>
      <c r="H6513" s="759">
        <f t="shared" si="405"/>
        <v>0.21</v>
      </c>
      <c r="I6513" s="758">
        <f t="shared" si="406"/>
        <v>2.434444444444444</v>
      </c>
      <c r="J6513" s="760">
        <f t="shared" si="407"/>
        <v>0.75034246575342467</v>
      </c>
    </row>
    <row r="6514" spans="1:10">
      <c r="A6514" s="74" t="s">
        <v>995</v>
      </c>
      <c r="B6514" s="74" t="s">
        <v>276</v>
      </c>
      <c r="C6514" s="74" t="s">
        <v>1511</v>
      </c>
      <c r="D6514" s="74" t="s">
        <v>80</v>
      </c>
      <c r="E6514" s="74">
        <v>9</v>
      </c>
      <c r="F6514" s="74">
        <v>29.7</v>
      </c>
      <c r="G6514" s="758">
        <f t="shared" si="404"/>
        <v>0.81</v>
      </c>
      <c r="H6514" s="759">
        <f t="shared" si="405"/>
        <v>0.21</v>
      </c>
      <c r="I6514" s="758">
        <f t="shared" si="406"/>
        <v>2.4899999999999998</v>
      </c>
      <c r="J6514" s="760">
        <f t="shared" si="407"/>
        <v>0.75454545454545452</v>
      </c>
    </row>
    <row r="6515" spans="1:10">
      <c r="A6515" s="74" t="s">
        <v>995</v>
      </c>
      <c r="B6515" s="74" t="s">
        <v>276</v>
      </c>
      <c r="C6515" s="74" t="s">
        <v>1512</v>
      </c>
      <c r="D6515" s="74" t="s">
        <v>80</v>
      </c>
      <c r="E6515" s="74">
        <v>18</v>
      </c>
      <c r="F6515" s="74">
        <v>58.4</v>
      </c>
      <c r="G6515" s="758">
        <f t="shared" si="404"/>
        <v>0.81</v>
      </c>
      <c r="H6515" s="759">
        <f t="shared" si="405"/>
        <v>0.21</v>
      </c>
      <c r="I6515" s="758">
        <f t="shared" si="406"/>
        <v>2.4344444444444444</v>
      </c>
      <c r="J6515" s="760">
        <f t="shared" si="407"/>
        <v>0.75034246575342456</v>
      </c>
    </row>
    <row r="6516" spans="1:10">
      <c r="A6516" s="74" t="s">
        <v>995</v>
      </c>
      <c r="B6516" s="74" t="s">
        <v>276</v>
      </c>
      <c r="C6516" s="74" t="s">
        <v>1534</v>
      </c>
      <c r="D6516" s="74" t="s">
        <v>81</v>
      </c>
      <c r="E6516" s="74">
        <v>18</v>
      </c>
      <c r="F6516" s="74">
        <v>57.65</v>
      </c>
      <c r="G6516" s="758">
        <f t="shared" si="404"/>
        <v>0.81</v>
      </c>
      <c r="H6516" s="759">
        <f t="shared" si="405"/>
        <v>0.21</v>
      </c>
      <c r="I6516" s="758">
        <f t="shared" si="406"/>
        <v>2.3927777777777774</v>
      </c>
      <c r="J6516" s="760">
        <f t="shared" si="407"/>
        <v>0.74709453599306153</v>
      </c>
    </row>
    <row r="6517" spans="1:10">
      <c r="A6517" s="74" t="s">
        <v>995</v>
      </c>
      <c r="B6517" s="74" t="s">
        <v>276</v>
      </c>
      <c r="C6517" s="74" t="s">
        <v>1513</v>
      </c>
      <c r="D6517" s="74" t="s">
        <v>81</v>
      </c>
      <c r="E6517" s="74">
        <v>8</v>
      </c>
      <c r="F6517" s="74">
        <v>26.4</v>
      </c>
      <c r="G6517" s="758">
        <f t="shared" si="404"/>
        <v>0.81</v>
      </c>
      <c r="H6517" s="759">
        <f t="shared" si="405"/>
        <v>0.21</v>
      </c>
      <c r="I6517" s="758">
        <f t="shared" si="406"/>
        <v>2.4899999999999998</v>
      </c>
      <c r="J6517" s="760">
        <f t="shared" si="407"/>
        <v>0.75454545454545452</v>
      </c>
    </row>
    <row r="6518" spans="1:10">
      <c r="A6518" s="74" t="s">
        <v>995</v>
      </c>
      <c r="B6518" s="74" t="s">
        <v>276</v>
      </c>
      <c r="C6518" s="74" t="s">
        <v>1514</v>
      </c>
      <c r="D6518" s="74" t="s">
        <v>81</v>
      </c>
      <c r="E6518" s="74">
        <v>3</v>
      </c>
      <c r="F6518" s="74">
        <v>9.9</v>
      </c>
      <c r="G6518" s="758">
        <f t="shared" si="404"/>
        <v>0.81</v>
      </c>
      <c r="H6518" s="759">
        <f t="shared" si="405"/>
        <v>0.21</v>
      </c>
      <c r="I6518" s="758">
        <f t="shared" si="406"/>
        <v>2.4900000000000002</v>
      </c>
      <c r="J6518" s="760">
        <f t="shared" si="407"/>
        <v>0.75454545454545452</v>
      </c>
    </row>
    <row r="6519" spans="1:10">
      <c r="A6519" s="74" t="s">
        <v>995</v>
      </c>
      <c r="B6519" s="74" t="s">
        <v>276</v>
      </c>
      <c r="C6519" s="74" t="s">
        <v>1515</v>
      </c>
      <c r="D6519" s="74" t="s">
        <v>81</v>
      </c>
      <c r="E6519" s="74">
        <v>22</v>
      </c>
      <c r="F6519" s="74">
        <v>72.599999999999994</v>
      </c>
      <c r="G6519" s="758">
        <f t="shared" si="404"/>
        <v>0.81</v>
      </c>
      <c r="H6519" s="759">
        <f t="shared" si="405"/>
        <v>0.21</v>
      </c>
      <c r="I6519" s="758">
        <f t="shared" si="406"/>
        <v>2.4899999999999998</v>
      </c>
      <c r="J6519" s="760">
        <f t="shared" si="407"/>
        <v>0.75454545454545452</v>
      </c>
    </row>
    <row r="6520" spans="1:10">
      <c r="A6520" s="74" t="s">
        <v>995</v>
      </c>
      <c r="B6520" s="74" t="s">
        <v>276</v>
      </c>
      <c r="C6520" s="74" t="s">
        <v>1516</v>
      </c>
      <c r="D6520" s="74" t="s">
        <v>82</v>
      </c>
      <c r="E6520" s="74">
        <v>7</v>
      </c>
      <c r="F6520" s="74">
        <v>25.1</v>
      </c>
      <c r="G6520" s="758">
        <f t="shared" si="404"/>
        <v>0.81</v>
      </c>
      <c r="H6520" s="759">
        <f t="shared" si="405"/>
        <v>0.21</v>
      </c>
      <c r="I6520" s="758">
        <f t="shared" si="406"/>
        <v>2.7757142857142858</v>
      </c>
      <c r="J6520" s="760">
        <f t="shared" si="407"/>
        <v>0.77410358565737059</v>
      </c>
    </row>
    <row r="6521" spans="1:10">
      <c r="A6521" s="74" t="s">
        <v>995</v>
      </c>
      <c r="B6521" s="74" t="s">
        <v>276</v>
      </c>
      <c r="C6521" s="74" t="s">
        <v>1517</v>
      </c>
      <c r="D6521" s="74" t="s">
        <v>82</v>
      </c>
      <c r="E6521" s="74">
        <v>5</v>
      </c>
      <c r="F6521" s="74">
        <v>15.75</v>
      </c>
      <c r="G6521" s="758">
        <f t="shared" si="404"/>
        <v>0.81</v>
      </c>
      <c r="H6521" s="759">
        <f t="shared" si="405"/>
        <v>0.21</v>
      </c>
      <c r="I6521" s="758">
        <f t="shared" si="406"/>
        <v>2.34</v>
      </c>
      <c r="J6521" s="760">
        <f t="shared" si="407"/>
        <v>0.74285714285714288</v>
      </c>
    </row>
    <row r="6522" spans="1:10">
      <c r="A6522" s="74" t="s">
        <v>995</v>
      </c>
      <c r="B6522" s="74" t="s">
        <v>276</v>
      </c>
      <c r="C6522" s="74" t="s">
        <v>1527</v>
      </c>
      <c r="D6522" s="74" t="s">
        <v>82</v>
      </c>
      <c r="E6522" s="74">
        <v>21</v>
      </c>
      <c r="F6522" s="74">
        <v>69.05</v>
      </c>
      <c r="G6522" s="758">
        <f t="shared" si="404"/>
        <v>0.81</v>
      </c>
      <c r="H6522" s="759">
        <f t="shared" si="405"/>
        <v>0.21</v>
      </c>
      <c r="I6522" s="758">
        <f t="shared" si="406"/>
        <v>2.4780952380952379</v>
      </c>
      <c r="J6522" s="760">
        <f t="shared" si="407"/>
        <v>0.75365677045619117</v>
      </c>
    </row>
    <row r="6523" spans="1:10">
      <c r="A6523" s="74" t="s">
        <v>995</v>
      </c>
      <c r="B6523" s="74" t="s">
        <v>276</v>
      </c>
      <c r="C6523" s="74" t="s">
        <v>1518</v>
      </c>
      <c r="D6523" s="74" t="s">
        <v>82</v>
      </c>
      <c r="E6523" s="74">
        <v>4</v>
      </c>
      <c r="F6523" s="74">
        <v>13.2</v>
      </c>
      <c r="G6523" s="758">
        <f t="shared" si="404"/>
        <v>0.81</v>
      </c>
      <c r="H6523" s="759">
        <f t="shared" si="405"/>
        <v>0.21</v>
      </c>
      <c r="I6523" s="758">
        <f t="shared" si="406"/>
        <v>2.4899999999999998</v>
      </c>
      <c r="J6523" s="760">
        <f t="shared" si="407"/>
        <v>0.75454545454545452</v>
      </c>
    </row>
    <row r="6524" spans="1:10">
      <c r="A6524" s="74" t="s">
        <v>995</v>
      </c>
      <c r="B6524" s="74" t="s">
        <v>276</v>
      </c>
      <c r="C6524" s="74" t="s">
        <v>1519</v>
      </c>
      <c r="D6524" s="74" t="s">
        <v>84</v>
      </c>
      <c r="E6524" s="74">
        <v>1</v>
      </c>
      <c r="F6524" s="74">
        <v>3.05</v>
      </c>
      <c r="G6524" s="758">
        <f t="shared" si="404"/>
        <v>0.81</v>
      </c>
      <c r="H6524" s="759">
        <f t="shared" si="405"/>
        <v>0.21</v>
      </c>
      <c r="I6524" s="758">
        <f t="shared" si="406"/>
        <v>2.2399999999999998</v>
      </c>
      <c r="J6524" s="760">
        <f t="shared" si="407"/>
        <v>0.73442622950819669</v>
      </c>
    </row>
    <row r="6525" spans="1:10">
      <c r="A6525" s="74" t="s">
        <v>995</v>
      </c>
      <c r="B6525" s="74" t="s">
        <v>276</v>
      </c>
      <c r="C6525" s="74" t="s">
        <v>1577</v>
      </c>
      <c r="D6525" s="74" t="s">
        <v>84</v>
      </c>
      <c r="E6525" s="74">
        <v>1</v>
      </c>
      <c r="F6525" s="74">
        <v>3.05</v>
      </c>
      <c r="G6525" s="758">
        <f t="shared" si="404"/>
        <v>0.81</v>
      </c>
      <c r="H6525" s="759">
        <f t="shared" si="405"/>
        <v>0.21</v>
      </c>
      <c r="I6525" s="758">
        <f t="shared" si="406"/>
        <v>2.2399999999999998</v>
      </c>
      <c r="J6525" s="760">
        <f t="shared" si="407"/>
        <v>0.73442622950819669</v>
      </c>
    </row>
    <row r="6526" spans="1:10">
      <c r="A6526" s="74" t="s">
        <v>995</v>
      </c>
      <c r="B6526" s="74" t="s">
        <v>276</v>
      </c>
      <c r="C6526" s="74" t="s">
        <v>1507</v>
      </c>
      <c r="D6526" s="74" t="s">
        <v>86</v>
      </c>
      <c r="E6526" s="74">
        <v>1</v>
      </c>
      <c r="F6526" s="74">
        <v>3.3</v>
      </c>
      <c r="G6526" s="758">
        <f t="shared" si="404"/>
        <v>0.81</v>
      </c>
      <c r="H6526" s="759">
        <f t="shared" si="405"/>
        <v>0.21</v>
      </c>
      <c r="I6526" s="758">
        <f t="shared" si="406"/>
        <v>2.4899999999999998</v>
      </c>
      <c r="J6526" s="760">
        <f t="shared" si="407"/>
        <v>0.75454545454545452</v>
      </c>
    </row>
    <row r="6527" spans="1:10">
      <c r="A6527" s="74" t="s">
        <v>995</v>
      </c>
      <c r="B6527" s="74" t="s">
        <v>276</v>
      </c>
      <c r="C6527" s="74" t="s">
        <v>1644</v>
      </c>
      <c r="D6527" s="74" t="s">
        <v>86</v>
      </c>
      <c r="E6527" s="74">
        <v>2</v>
      </c>
      <c r="F6527" s="74">
        <v>6.35</v>
      </c>
      <c r="G6527" s="758">
        <f t="shared" si="404"/>
        <v>0.81</v>
      </c>
      <c r="H6527" s="759">
        <f t="shared" si="405"/>
        <v>0.21</v>
      </c>
      <c r="I6527" s="758">
        <f t="shared" si="406"/>
        <v>2.3649999999999998</v>
      </c>
      <c r="J6527" s="760">
        <f t="shared" si="407"/>
        <v>0.74488188976377945</v>
      </c>
    </row>
    <row r="6528" spans="1:10">
      <c r="A6528" s="74" t="s">
        <v>995</v>
      </c>
      <c r="B6528" s="74" t="s">
        <v>276</v>
      </c>
      <c r="C6528" s="74" t="s">
        <v>1578</v>
      </c>
      <c r="D6528" s="74" t="s">
        <v>86</v>
      </c>
      <c r="E6528" s="74">
        <v>2</v>
      </c>
      <c r="F6528" s="74">
        <v>6.1</v>
      </c>
      <c r="G6528" s="758">
        <f t="shared" si="404"/>
        <v>0.81</v>
      </c>
      <c r="H6528" s="759">
        <f t="shared" si="405"/>
        <v>0.21</v>
      </c>
      <c r="I6528" s="758">
        <f t="shared" si="406"/>
        <v>2.2399999999999998</v>
      </c>
      <c r="J6528" s="760">
        <f t="shared" si="407"/>
        <v>0.73442622950819669</v>
      </c>
    </row>
    <row r="6529" spans="1:10">
      <c r="A6529" s="74" t="s">
        <v>995</v>
      </c>
      <c r="B6529" s="74" t="s">
        <v>276</v>
      </c>
      <c r="C6529" s="74" t="s">
        <v>1646</v>
      </c>
      <c r="D6529" s="74" t="s">
        <v>86</v>
      </c>
      <c r="E6529" s="74">
        <v>2</v>
      </c>
      <c r="F6529" s="74">
        <v>6.6</v>
      </c>
      <c r="G6529" s="758">
        <f t="shared" si="404"/>
        <v>0.81</v>
      </c>
      <c r="H6529" s="759">
        <f t="shared" si="405"/>
        <v>0.21</v>
      </c>
      <c r="I6529" s="758">
        <f t="shared" si="406"/>
        <v>2.4899999999999998</v>
      </c>
      <c r="J6529" s="760">
        <f t="shared" si="407"/>
        <v>0.75454545454545452</v>
      </c>
    </row>
    <row r="6530" spans="1:10">
      <c r="A6530" s="74" t="s">
        <v>995</v>
      </c>
      <c r="B6530" s="74" t="s">
        <v>276</v>
      </c>
      <c r="C6530" s="74" t="s">
        <v>1543</v>
      </c>
      <c r="D6530" s="74" t="s">
        <v>87</v>
      </c>
      <c r="E6530" s="74">
        <v>4</v>
      </c>
      <c r="F6530" s="74">
        <v>12.2</v>
      </c>
      <c r="G6530" s="758">
        <f t="shared" ref="G6530:G6593" si="408">IFERROR(VLOOKUP(A6530,$M$1:$P$1014,2,FALSE),0)</f>
        <v>0.81</v>
      </c>
      <c r="H6530" s="759">
        <f t="shared" ref="H6530:H6593" si="409">IFERROR(VLOOKUP(A6530,$M$1:$P$1014,3,FALSE),0)</f>
        <v>0.21</v>
      </c>
      <c r="I6530" s="758">
        <f t="shared" ref="I6530:I6593" si="410">IFERROR(F6530/E6530-G6530,0)</f>
        <v>2.2399999999999998</v>
      </c>
      <c r="J6530" s="760">
        <f t="shared" ref="J6530:J6593" si="411">IFERROR(1-G6530*E6530/F6530,0)</f>
        <v>0.73442622950819669</v>
      </c>
    </row>
    <row r="6531" spans="1:10">
      <c r="A6531" s="74" t="s">
        <v>995</v>
      </c>
      <c r="B6531" s="74" t="s">
        <v>276</v>
      </c>
      <c r="C6531" s="74" t="s">
        <v>1561</v>
      </c>
      <c r="D6531" s="74" t="s">
        <v>87</v>
      </c>
      <c r="E6531" s="74">
        <v>2</v>
      </c>
      <c r="F6531" s="74">
        <v>6.6</v>
      </c>
      <c r="G6531" s="758">
        <f t="shared" si="408"/>
        <v>0.81</v>
      </c>
      <c r="H6531" s="759">
        <f t="shared" si="409"/>
        <v>0.21</v>
      </c>
      <c r="I6531" s="758">
        <f t="shared" si="410"/>
        <v>2.4899999999999998</v>
      </c>
      <c r="J6531" s="760">
        <f t="shared" si="411"/>
        <v>0.75454545454545452</v>
      </c>
    </row>
    <row r="6532" spans="1:10">
      <c r="A6532" s="74" t="s">
        <v>995</v>
      </c>
      <c r="B6532" s="74" t="s">
        <v>276</v>
      </c>
      <c r="C6532" s="74" t="s">
        <v>1610</v>
      </c>
      <c r="D6532" s="74" t="s">
        <v>89</v>
      </c>
      <c r="E6532" s="74">
        <v>4</v>
      </c>
      <c r="F6532" s="74">
        <v>12.2</v>
      </c>
      <c r="G6532" s="758">
        <f t="shared" si="408"/>
        <v>0.81</v>
      </c>
      <c r="H6532" s="759">
        <f t="shared" si="409"/>
        <v>0.21</v>
      </c>
      <c r="I6532" s="758">
        <f t="shared" si="410"/>
        <v>2.2399999999999998</v>
      </c>
      <c r="J6532" s="760">
        <f t="shared" si="411"/>
        <v>0.73442622950819669</v>
      </c>
    </row>
    <row r="6533" spans="1:10">
      <c r="A6533" s="74" t="s">
        <v>995</v>
      </c>
      <c r="B6533" s="74" t="s">
        <v>276</v>
      </c>
      <c r="C6533" s="74" t="s">
        <v>1522</v>
      </c>
      <c r="D6533" s="74" t="s">
        <v>91</v>
      </c>
      <c r="E6533" s="74">
        <v>1</v>
      </c>
      <c r="F6533" s="74">
        <v>3.05</v>
      </c>
      <c r="G6533" s="758">
        <f t="shared" si="408"/>
        <v>0.81</v>
      </c>
      <c r="H6533" s="759">
        <f t="shared" si="409"/>
        <v>0.21</v>
      </c>
      <c r="I6533" s="758">
        <f t="shared" si="410"/>
        <v>2.2399999999999998</v>
      </c>
      <c r="J6533" s="760">
        <f t="shared" si="411"/>
        <v>0.73442622950819669</v>
      </c>
    </row>
    <row r="6534" spans="1:10">
      <c r="A6534" s="74" t="s">
        <v>995</v>
      </c>
      <c r="B6534" s="74" t="s">
        <v>276</v>
      </c>
      <c r="C6534" s="74" t="s">
        <v>1675</v>
      </c>
      <c r="D6534" s="74" t="s">
        <v>91</v>
      </c>
      <c r="E6534" s="74">
        <v>2</v>
      </c>
      <c r="F6534" s="74">
        <v>6.6</v>
      </c>
      <c r="G6534" s="758">
        <f t="shared" si="408"/>
        <v>0.81</v>
      </c>
      <c r="H6534" s="759">
        <f t="shared" si="409"/>
        <v>0.21</v>
      </c>
      <c r="I6534" s="758">
        <f t="shared" si="410"/>
        <v>2.4899999999999998</v>
      </c>
      <c r="J6534" s="760">
        <f t="shared" si="411"/>
        <v>0.75454545454545452</v>
      </c>
    </row>
    <row r="6535" spans="1:10">
      <c r="A6535" s="74" t="s">
        <v>995</v>
      </c>
      <c r="B6535" s="74" t="s">
        <v>276</v>
      </c>
      <c r="C6535" s="74" t="s">
        <v>1584</v>
      </c>
      <c r="D6535" s="74" t="s">
        <v>92</v>
      </c>
      <c r="E6535" s="74">
        <v>1</v>
      </c>
      <c r="F6535" s="74">
        <v>3.3</v>
      </c>
      <c r="G6535" s="758">
        <f t="shared" si="408"/>
        <v>0.81</v>
      </c>
      <c r="H6535" s="759">
        <f t="shared" si="409"/>
        <v>0.21</v>
      </c>
      <c r="I6535" s="758">
        <f t="shared" si="410"/>
        <v>2.4899999999999998</v>
      </c>
      <c r="J6535" s="760">
        <f t="shared" si="411"/>
        <v>0.75454545454545452</v>
      </c>
    </row>
    <row r="6536" spans="1:10">
      <c r="A6536" s="74" t="s">
        <v>995</v>
      </c>
      <c r="B6536" s="74" t="s">
        <v>276</v>
      </c>
      <c r="C6536" s="74" t="s">
        <v>1552</v>
      </c>
      <c r="D6536" s="74" t="s">
        <v>92</v>
      </c>
      <c r="E6536" s="74">
        <v>1</v>
      </c>
      <c r="F6536" s="74">
        <v>3.3</v>
      </c>
      <c r="G6536" s="758">
        <f t="shared" si="408"/>
        <v>0.81</v>
      </c>
      <c r="H6536" s="759">
        <f t="shared" si="409"/>
        <v>0.21</v>
      </c>
      <c r="I6536" s="758">
        <f t="shared" si="410"/>
        <v>2.4899999999999998</v>
      </c>
      <c r="J6536" s="760">
        <f t="shared" si="411"/>
        <v>0.75454545454545452</v>
      </c>
    </row>
    <row r="6537" spans="1:10">
      <c r="A6537" s="74" t="s">
        <v>995</v>
      </c>
      <c r="B6537" s="74" t="s">
        <v>276</v>
      </c>
      <c r="C6537" s="74" t="s">
        <v>1617</v>
      </c>
      <c r="D6537" s="74" t="s">
        <v>94</v>
      </c>
      <c r="E6537" s="74">
        <v>1</v>
      </c>
      <c r="F6537" s="74">
        <v>3.05</v>
      </c>
      <c r="G6537" s="758">
        <f t="shared" si="408"/>
        <v>0.81</v>
      </c>
      <c r="H6537" s="759">
        <f t="shared" si="409"/>
        <v>0.21</v>
      </c>
      <c r="I6537" s="758">
        <f t="shared" si="410"/>
        <v>2.2399999999999998</v>
      </c>
      <c r="J6537" s="760">
        <f t="shared" si="411"/>
        <v>0.73442622950819669</v>
      </c>
    </row>
    <row r="6538" spans="1:10">
      <c r="A6538" s="74" t="s">
        <v>995</v>
      </c>
      <c r="B6538" s="74" t="s">
        <v>276</v>
      </c>
      <c r="C6538" s="74" t="s">
        <v>1553</v>
      </c>
      <c r="D6538" s="74" t="s">
        <v>94</v>
      </c>
      <c r="E6538" s="74">
        <v>1</v>
      </c>
      <c r="F6538" s="74">
        <v>3.05</v>
      </c>
      <c r="G6538" s="758">
        <f t="shared" si="408"/>
        <v>0.81</v>
      </c>
      <c r="H6538" s="759">
        <f t="shared" si="409"/>
        <v>0.21</v>
      </c>
      <c r="I6538" s="758">
        <f t="shared" si="410"/>
        <v>2.2399999999999998</v>
      </c>
      <c r="J6538" s="760">
        <f t="shared" si="411"/>
        <v>0.73442622950819669</v>
      </c>
    </row>
    <row r="6539" spans="1:10">
      <c r="A6539" s="74" t="s">
        <v>995</v>
      </c>
      <c r="B6539" s="74" t="s">
        <v>276</v>
      </c>
      <c r="C6539" s="74" t="s">
        <v>1557</v>
      </c>
      <c r="D6539" s="74" t="s">
        <v>95</v>
      </c>
      <c r="E6539" s="74">
        <v>3</v>
      </c>
      <c r="F6539" s="74">
        <v>9.15</v>
      </c>
      <c r="G6539" s="758">
        <f t="shared" si="408"/>
        <v>0.81</v>
      </c>
      <c r="H6539" s="759">
        <f t="shared" si="409"/>
        <v>0.21</v>
      </c>
      <c r="I6539" s="758">
        <f t="shared" si="410"/>
        <v>2.2400000000000002</v>
      </c>
      <c r="J6539" s="760">
        <f t="shared" si="411"/>
        <v>0.73442622950819669</v>
      </c>
    </row>
    <row r="6540" spans="1:10">
      <c r="A6540" s="74" t="s">
        <v>2263</v>
      </c>
      <c r="B6540" s="74" t="s">
        <v>725</v>
      </c>
      <c r="C6540" s="74" t="s">
        <v>1577</v>
      </c>
      <c r="D6540" s="74" t="s">
        <v>84</v>
      </c>
      <c r="E6540" s="74">
        <v>1</v>
      </c>
      <c r="F6540" s="74">
        <v>3.1</v>
      </c>
      <c r="G6540" s="758">
        <f t="shared" si="408"/>
        <v>0</v>
      </c>
      <c r="H6540" s="759">
        <f t="shared" si="409"/>
        <v>0</v>
      </c>
      <c r="I6540" s="758">
        <f t="shared" si="410"/>
        <v>3.1</v>
      </c>
      <c r="J6540" s="760">
        <f t="shared" si="411"/>
        <v>1</v>
      </c>
    </row>
    <row r="6541" spans="1:10">
      <c r="A6541" s="74" t="s">
        <v>1230</v>
      </c>
      <c r="B6541" s="74" t="s">
        <v>266</v>
      </c>
      <c r="C6541" s="74" t="s">
        <v>1608</v>
      </c>
      <c r="D6541" s="74" t="s">
        <v>89</v>
      </c>
      <c r="E6541" s="74">
        <v>1</v>
      </c>
      <c r="F6541" s="74">
        <v>0</v>
      </c>
      <c r="G6541" s="758">
        <f t="shared" si="408"/>
        <v>0</v>
      </c>
      <c r="H6541" s="759">
        <f t="shared" si="409"/>
        <v>0</v>
      </c>
      <c r="I6541" s="758">
        <f t="shared" si="410"/>
        <v>0</v>
      </c>
      <c r="J6541" s="760">
        <f t="shared" si="411"/>
        <v>0</v>
      </c>
    </row>
    <row r="6542" spans="1:10">
      <c r="A6542" s="74" t="s">
        <v>1230</v>
      </c>
      <c r="B6542" s="74" t="s">
        <v>266</v>
      </c>
      <c r="C6542" s="74" t="s">
        <v>1584</v>
      </c>
      <c r="D6542" s="74" t="s">
        <v>92</v>
      </c>
      <c r="E6542" s="74">
        <v>1</v>
      </c>
      <c r="F6542" s="74">
        <v>0</v>
      </c>
      <c r="G6542" s="758">
        <f t="shared" si="408"/>
        <v>0</v>
      </c>
      <c r="H6542" s="759">
        <f t="shared" si="409"/>
        <v>0</v>
      </c>
      <c r="I6542" s="758">
        <f t="shared" si="410"/>
        <v>0</v>
      </c>
      <c r="J6542" s="760">
        <f t="shared" si="411"/>
        <v>0</v>
      </c>
    </row>
    <row r="6543" spans="1:10">
      <c r="A6543" s="74" t="s">
        <v>1230</v>
      </c>
      <c r="B6543" s="74" t="s">
        <v>266</v>
      </c>
      <c r="C6543" s="74" t="s">
        <v>1557</v>
      </c>
      <c r="D6543" s="74" t="s">
        <v>95</v>
      </c>
      <c r="E6543" s="74">
        <v>1</v>
      </c>
      <c r="F6543" s="74">
        <v>0</v>
      </c>
      <c r="G6543" s="758">
        <f t="shared" si="408"/>
        <v>0</v>
      </c>
      <c r="H6543" s="759">
        <f t="shared" si="409"/>
        <v>0</v>
      </c>
      <c r="I6543" s="758">
        <f t="shared" si="410"/>
        <v>0</v>
      </c>
      <c r="J6543" s="760">
        <f t="shared" si="411"/>
        <v>0</v>
      </c>
    </row>
    <row r="6544" spans="1:10">
      <c r="A6544" s="74" t="s">
        <v>1184</v>
      </c>
      <c r="B6544" s="74" t="s">
        <v>266</v>
      </c>
      <c r="C6544" s="74" t="s">
        <v>1584</v>
      </c>
      <c r="D6544" s="74" t="s">
        <v>92</v>
      </c>
      <c r="E6544" s="74">
        <v>1</v>
      </c>
      <c r="F6544" s="74">
        <v>0</v>
      </c>
      <c r="G6544" s="758">
        <f t="shared" si="408"/>
        <v>0</v>
      </c>
      <c r="H6544" s="759">
        <f t="shared" si="409"/>
        <v>0</v>
      </c>
      <c r="I6544" s="758">
        <f t="shared" si="410"/>
        <v>0</v>
      </c>
      <c r="J6544" s="760">
        <f t="shared" si="411"/>
        <v>0</v>
      </c>
    </row>
    <row r="6545" spans="1:10">
      <c r="A6545" s="74" t="s">
        <v>1184</v>
      </c>
      <c r="B6545" s="74" t="s">
        <v>266</v>
      </c>
      <c r="C6545" s="74" t="s">
        <v>1930</v>
      </c>
      <c r="D6545" s="74" t="s">
        <v>95</v>
      </c>
      <c r="E6545" s="74">
        <v>1</v>
      </c>
      <c r="F6545" s="74">
        <v>0</v>
      </c>
      <c r="G6545" s="758">
        <f t="shared" si="408"/>
        <v>0</v>
      </c>
      <c r="H6545" s="759">
        <f t="shared" si="409"/>
        <v>0</v>
      </c>
      <c r="I6545" s="758">
        <f t="shared" si="410"/>
        <v>0</v>
      </c>
      <c r="J6545" s="760">
        <f t="shared" si="411"/>
        <v>0</v>
      </c>
    </row>
    <row r="6546" spans="1:10">
      <c r="A6546" s="74" t="s">
        <v>1125</v>
      </c>
      <c r="B6546" s="74" t="s">
        <v>266</v>
      </c>
      <c r="C6546" s="74" t="s">
        <v>1507</v>
      </c>
      <c r="D6546" s="74" t="s">
        <v>86</v>
      </c>
      <c r="E6546" s="74">
        <v>1</v>
      </c>
      <c r="F6546" s="74">
        <v>0</v>
      </c>
      <c r="G6546" s="758">
        <f t="shared" si="408"/>
        <v>0</v>
      </c>
      <c r="H6546" s="759">
        <f t="shared" si="409"/>
        <v>0</v>
      </c>
      <c r="I6546" s="758">
        <f t="shared" si="410"/>
        <v>0</v>
      </c>
      <c r="J6546" s="760">
        <f t="shared" si="411"/>
        <v>0</v>
      </c>
    </row>
    <row r="6547" spans="1:10">
      <c r="A6547" s="74" t="s">
        <v>1125</v>
      </c>
      <c r="B6547" s="74" t="s">
        <v>266</v>
      </c>
      <c r="C6547" s="74" t="s">
        <v>1522</v>
      </c>
      <c r="D6547" s="74" t="s">
        <v>91</v>
      </c>
      <c r="E6547" s="74">
        <v>1</v>
      </c>
      <c r="F6547" s="74">
        <v>0</v>
      </c>
      <c r="G6547" s="758">
        <f t="shared" si="408"/>
        <v>0</v>
      </c>
      <c r="H6547" s="759">
        <f t="shared" si="409"/>
        <v>0</v>
      </c>
      <c r="I6547" s="758">
        <f t="shared" si="410"/>
        <v>0</v>
      </c>
      <c r="J6547" s="760">
        <f t="shared" si="411"/>
        <v>0</v>
      </c>
    </row>
    <row r="6548" spans="1:10">
      <c r="A6548" s="74" t="s">
        <v>2266</v>
      </c>
      <c r="B6548" s="74" t="s">
        <v>266</v>
      </c>
      <c r="C6548" s="74" t="s">
        <v>1631</v>
      </c>
      <c r="D6548" s="74" t="s">
        <v>92</v>
      </c>
      <c r="E6548" s="74">
        <v>1</v>
      </c>
      <c r="F6548" s="74">
        <v>0</v>
      </c>
      <c r="G6548" s="758">
        <f t="shared" si="408"/>
        <v>0</v>
      </c>
      <c r="H6548" s="759">
        <f t="shared" si="409"/>
        <v>0</v>
      </c>
      <c r="I6548" s="758">
        <f t="shared" si="410"/>
        <v>0</v>
      </c>
      <c r="J6548" s="760">
        <f t="shared" si="411"/>
        <v>0</v>
      </c>
    </row>
    <row r="6549" spans="1:10">
      <c r="A6549" s="74" t="s">
        <v>996</v>
      </c>
      <c r="B6549" s="74" t="s">
        <v>266</v>
      </c>
      <c r="C6549" s="74" t="s">
        <v>1507</v>
      </c>
      <c r="D6549" s="74" t="s">
        <v>86</v>
      </c>
      <c r="E6549" s="74">
        <v>2</v>
      </c>
      <c r="F6549" s="74">
        <v>0</v>
      </c>
      <c r="G6549" s="758">
        <f t="shared" si="408"/>
        <v>0</v>
      </c>
      <c r="H6549" s="759">
        <f t="shared" si="409"/>
        <v>0</v>
      </c>
      <c r="I6549" s="758">
        <f t="shared" si="410"/>
        <v>0</v>
      </c>
      <c r="J6549" s="760">
        <f t="shared" si="411"/>
        <v>0</v>
      </c>
    </row>
    <row r="6550" spans="1:10">
      <c r="A6550" s="74" t="s">
        <v>996</v>
      </c>
      <c r="B6550" s="74" t="s">
        <v>266</v>
      </c>
      <c r="C6550" s="74" t="s">
        <v>1644</v>
      </c>
      <c r="D6550" s="74" t="s">
        <v>86</v>
      </c>
      <c r="E6550" s="74">
        <v>2</v>
      </c>
      <c r="F6550" s="74">
        <v>4.2</v>
      </c>
      <c r="G6550" s="758">
        <f t="shared" si="408"/>
        <v>0</v>
      </c>
      <c r="H6550" s="759">
        <f t="shared" si="409"/>
        <v>0</v>
      </c>
      <c r="I6550" s="758">
        <f t="shared" si="410"/>
        <v>2.1</v>
      </c>
      <c r="J6550" s="760">
        <f t="shared" si="411"/>
        <v>1</v>
      </c>
    </row>
    <row r="6551" spans="1:10">
      <c r="A6551" s="74" t="s">
        <v>996</v>
      </c>
      <c r="B6551" s="74" t="s">
        <v>266</v>
      </c>
      <c r="C6551" s="74" t="s">
        <v>1578</v>
      </c>
      <c r="D6551" s="74" t="s">
        <v>86</v>
      </c>
      <c r="E6551" s="74">
        <v>2</v>
      </c>
      <c r="F6551" s="74">
        <v>0</v>
      </c>
      <c r="G6551" s="758">
        <f t="shared" si="408"/>
        <v>0</v>
      </c>
      <c r="H6551" s="759">
        <f t="shared" si="409"/>
        <v>0</v>
      </c>
      <c r="I6551" s="758">
        <f t="shared" si="410"/>
        <v>0</v>
      </c>
      <c r="J6551" s="760">
        <f t="shared" si="411"/>
        <v>0</v>
      </c>
    </row>
    <row r="6552" spans="1:10">
      <c r="A6552" s="74" t="s">
        <v>996</v>
      </c>
      <c r="B6552" s="74" t="s">
        <v>266</v>
      </c>
      <c r="C6552" s="74" t="s">
        <v>1610</v>
      </c>
      <c r="D6552" s="74" t="s">
        <v>89</v>
      </c>
      <c r="E6552" s="74">
        <v>2</v>
      </c>
      <c r="F6552" s="74">
        <v>0</v>
      </c>
      <c r="G6552" s="758">
        <f t="shared" si="408"/>
        <v>0</v>
      </c>
      <c r="H6552" s="759">
        <f t="shared" si="409"/>
        <v>0</v>
      </c>
      <c r="I6552" s="758">
        <f t="shared" si="410"/>
        <v>0</v>
      </c>
      <c r="J6552" s="760">
        <f t="shared" si="411"/>
        <v>0</v>
      </c>
    </row>
    <row r="6553" spans="1:10">
      <c r="A6553" s="74" t="s">
        <v>996</v>
      </c>
      <c r="B6553" s="74" t="s">
        <v>266</v>
      </c>
      <c r="C6553" s="74" t="s">
        <v>1930</v>
      </c>
      <c r="D6553" s="74" t="s">
        <v>95</v>
      </c>
      <c r="E6553" s="74">
        <v>1</v>
      </c>
      <c r="F6553" s="74">
        <v>0</v>
      </c>
      <c r="G6553" s="758">
        <f t="shared" si="408"/>
        <v>0</v>
      </c>
      <c r="H6553" s="759">
        <f t="shared" si="409"/>
        <v>0</v>
      </c>
      <c r="I6553" s="758">
        <f t="shared" si="410"/>
        <v>0</v>
      </c>
      <c r="J6553" s="760">
        <f t="shared" si="411"/>
        <v>0</v>
      </c>
    </row>
    <row r="6554" spans="1:10">
      <c r="A6554" s="74" t="s">
        <v>2267</v>
      </c>
      <c r="B6554" s="74" t="s">
        <v>276</v>
      </c>
      <c r="C6554" s="74" t="s">
        <v>1520</v>
      </c>
      <c r="D6554" s="74" t="s">
        <v>84</v>
      </c>
      <c r="E6554" s="74">
        <v>2</v>
      </c>
      <c r="F6554" s="74">
        <v>3.3</v>
      </c>
      <c r="G6554" s="758">
        <f t="shared" si="408"/>
        <v>0</v>
      </c>
      <c r="H6554" s="759">
        <f t="shared" si="409"/>
        <v>0</v>
      </c>
      <c r="I6554" s="758">
        <f t="shared" si="410"/>
        <v>1.65</v>
      </c>
      <c r="J6554" s="760">
        <f t="shared" si="411"/>
        <v>1</v>
      </c>
    </row>
    <row r="6555" spans="1:10">
      <c r="A6555" s="74" t="s">
        <v>2268</v>
      </c>
      <c r="B6555" s="74" t="s">
        <v>266</v>
      </c>
      <c r="C6555" s="74" t="s">
        <v>1631</v>
      </c>
      <c r="D6555" s="74" t="s">
        <v>92</v>
      </c>
      <c r="E6555" s="74">
        <v>2</v>
      </c>
      <c r="F6555" s="74">
        <v>0</v>
      </c>
      <c r="G6555" s="758">
        <f t="shared" si="408"/>
        <v>0</v>
      </c>
      <c r="H6555" s="759">
        <f t="shared" si="409"/>
        <v>0</v>
      </c>
      <c r="I6555" s="758">
        <f t="shared" si="410"/>
        <v>0</v>
      </c>
      <c r="J6555" s="760">
        <f t="shared" si="411"/>
        <v>0</v>
      </c>
    </row>
    <row r="6556" spans="1:10">
      <c r="A6556" s="74" t="s">
        <v>922</v>
      </c>
      <c r="B6556" s="74" t="s">
        <v>266</v>
      </c>
      <c r="C6556" s="74" t="s">
        <v>1552</v>
      </c>
      <c r="D6556" s="74" t="s">
        <v>92</v>
      </c>
      <c r="E6556" s="74">
        <v>1</v>
      </c>
      <c r="F6556" s="74">
        <v>0</v>
      </c>
      <c r="G6556" s="758">
        <f t="shared" si="408"/>
        <v>0</v>
      </c>
      <c r="H6556" s="759">
        <f t="shared" si="409"/>
        <v>0</v>
      </c>
      <c r="I6556" s="758">
        <f t="shared" si="410"/>
        <v>0</v>
      </c>
      <c r="J6556" s="760">
        <f t="shared" si="411"/>
        <v>0</v>
      </c>
    </row>
    <row r="6557" spans="1:10">
      <c r="A6557" s="74" t="s">
        <v>922</v>
      </c>
      <c r="B6557" s="74" t="s">
        <v>266</v>
      </c>
      <c r="C6557" s="74" t="s">
        <v>1617</v>
      </c>
      <c r="D6557" s="74" t="s">
        <v>94</v>
      </c>
      <c r="E6557" s="74">
        <v>2</v>
      </c>
      <c r="F6557" s="74">
        <v>0</v>
      </c>
      <c r="G6557" s="758">
        <f t="shared" si="408"/>
        <v>0</v>
      </c>
      <c r="H6557" s="759">
        <f t="shared" si="409"/>
        <v>0</v>
      </c>
      <c r="I6557" s="758">
        <f t="shared" si="410"/>
        <v>0</v>
      </c>
      <c r="J6557" s="760">
        <f t="shared" si="411"/>
        <v>0</v>
      </c>
    </row>
    <row r="6558" spans="1:10">
      <c r="A6558" s="74" t="s">
        <v>1034</v>
      </c>
      <c r="B6558" s="74" t="s">
        <v>266</v>
      </c>
      <c r="C6558" s="74" t="s">
        <v>1577</v>
      </c>
      <c r="D6558" s="74" t="s">
        <v>84</v>
      </c>
      <c r="E6558" s="74">
        <v>3</v>
      </c>
      <c r="F6558" s="74">
        <v>0</v>
      </c>
      <c r="G6558" s="758">
        <f t="shared" si="408"/>
        <v>0</v>
      </c>
      <c r="H6558" s="759">
        <f t="shared" si="409"/>
        <v>0</v>
      </c>
      <c r="I6558" s="758">
        <f t="shared" si="410"/>
        <v>0</v>
      </c>
      <c r="J6558" s="760">
        <f t="shared" si="411"/>
        <v>0</v>
      </c>
    </row>
    <row r="6559" spans="1:10">
      <c r="A6559" s="74" t="s">
        <v>1034</v>
      </c>
      <c r="B6559" s="74" t="s">
        <v>266</v>
      </c>
      <c r="C6559" s="74" t="s">
        <v>1507</v>
      </c>
      <c r="D6559" s="74" t="s">
        <v>86</v>
      </c>
      <c r="E6559" s="74">
        <v>2</v>
      </c>
      <c r="F6559" s="74">
        <v>0</v>
      </c>
      <c r="G6559" s="758">
        <f t="shared" si="408"/>
        <v>0</v>
      </c>
      <c r="H6559" s="759">
        <f t="shared" si="409"/>
        <v>0</v>
      </c>
      <c r="I6559" s="758">
        <f t="shared" si="410"/>
        <v>0</v>
      </c>
      <c r="J6559" s="760">
        <f t="shared" si="411"/>
        <v>0</v>
      </c>
    </row>
    <row r="6560" spans="1:10">
      <c r="A6560" s="74" t="s">
        <v>1034</v>
      </c>
      <c r="B6560" s="74" t="s">
        <v>266</v>
      </c>
      <c r="C6560" s="74" t="s">
        <v>1544</v>
      </c>
      <c r="D6560" s="74" t="s">
        <v>87</v>
      </c>
      <c r="E6560" s="74">
        <v>1</v>
      </c>
      <c r="F6560" s="74">
        <v>0</v>
      </c>
      <c r="G6560" s="758">
        <f t="shared" si="408"/>
        <v>0</v>
      </c>
      <c r="H6560" s="759">
        <f t="shared" si="409"/>
        <v>0</v>
      </c>
      <c r="I6560" s="758">
        <f t="shared" si="410"/>
        <v>0</v>
      </c>
      <c r="J6560" s="760">
        <f t="shared" si="411"/>
        <v>0</v>
      </c>
    </row>
    <row r="6561" spans="1:10">
      <c r="A6561" s="74" t="s">
        <v>1034</v>
      </c>
      <c r="B6561" s="74" t="s">
        <v>266</v>
      </c>
      <c r="C6561" s="74" t="s">
        <v>1522</v>
      </c>
      <c r="D6561" s="74" t="s">
        <v>91</v>
      </c>
      <c r="E6561" s="74">
        <v>1</v>
      </c>
      <c r="F6561" s="74">
        <v>0</v>
      </c>
      <c r="G6561" s="758">
        <f t="shared" si="408"/>
        <v>0</v>
      </c>
      <c r="H6561" s="759">
        <f t="shared" si="409"/>
        <v>0</v>
      </c>
      <c r="I6561" s="758">
        <f t="shared" si="410"/>
        <v>0</v>
      </c>
      <c r="J6561" s="760">
        <f t="shared" si="411"/>
        <v>0</v>
      </c>
    </row>
    <row r="6562" spans="1:10">
      <c r="A6562" s="74" t="s">
        <v>1034</v>
      </c>
      <c r="B6562" s="74" t="s">
        <v>266</v>
      </c>
      <c r="C6562" s="74" t="s">
        <v>1550</v>
      </c>
      <c r="D6562" s="74" t="s">
        <v>91</v>
      </c>
      <c r="E6562" s="74">
        <v>2</v>
      </c>
      <c r="F6562" s="74">
        <v>0</v>
      </c>
      <c r="G6562" s="758">
        <f t="shared" si="408"/>
        <v>0</v>
      </c>
      <c r="H6562" s="759">
        <f t="shared" si="409"/>
        <v>0</v>
      </c>
      <c r="I6562" s="758">
        <f t="shared" si="410"/>
        <v>0</v>
      </c>
      <c r="J6562" s="760">
        <f t="shared" si="411"/>
        <v>0</v>
      </c>
    </row>
    <row r="6563" spans="1:10">
      <c r="A6563" s="74" t="s">
        <v>1034</v>
      </c>
      <c r="B6563" s="74" t="s">
        <v>266</v>
      </c>
      <c r="C6563" s="74" t="s">
        <v>1526</v>
      </c>
      <c r="D6563" s="74" t="s">
        <v>95</v>
      </c>
      <c r="E6563" s="74">
        <v>1</v>
      </c>
      <c r="F6563" s="74">
        <v>0</v>
      </c>
      <c r="G6563" s="758">
        <f t="shared" si="408"/>
        <v>0</v>
      </c>
      <c r="H6563" s="759">
        <f t="shared" si="409"/>
        <v>0</v>
      </c>
      <c r="I6563" s="758">
        <f t="shared" si="410"/>
        <v>0</v>
      </c>
      <c r="J6563" s="760">
        <f t="shared" si="411"/>
        <v>0</v>
      </c>
    </row>
    <row r="6564" spans="1:10">
      <c r="A6564" s="74" t="s">
        <v>1147</v>
      </c>
      <c r="B6564" s="74" t="s">
        <v>264</v>
      </c>
      <c r="C6564" s="74" t="s">
        <v>1610</v>
      </c>
      <c r="D6564" s="74" t="s">
        <v>89</v>
      </c>
      <c r="E6564" s="74">
        <v>1</v>
      </c>
      <c r="F6564" s="74">
        <v>2.35</v>
      </c>
      <c r="G6564" s="758">
        <f t="shared" si="408"/>
        <v>0</v>
      </c>
      <c r="H6564" s="759">
        <f t="shared" si="409"/>
        <v>0</v>
      </c>
      <c r="I6564" s="758">
        <f t="shared" si="410"/>
        <v>2.35</v>
      </c>
      <c r="J6564" s="760">
        <f t="shared" si="411"/>
        <v>1</v>
      </c>
    </row>
    <row r="6565" spans="1:10">
      <c r="A6565" s="74" t="s">
        <v>1147</v>
      </c>
      <c r="B6565" s="74" t="s">
        <v>264</v>
      </c>
      <c r="C6565" s="74" t="s">
        <v>1547</v>
      </c>
      <c r="D6565" s="74" t="s">
        <v>89</v>
      </c>
      <c r="E6565" s="74">
        <v>2</v>
      </c>
      <c r="F6565" s="74">
        <v>4.7</v>
      </c>
      <c r="G6565" s="758">
        <f t="shared" si="408"/>
        <v>0</v>
      </c>
      <c r="H6565" s="759">
        <f t="shared" si="409"/>
        <v>0</v>
      </c>
      <c r="I6565" s="758">
        <f t="shared" si="410"/>
        <v>2.35</v>
      </c>
      <c r="J6565" s="760">
        <f t="shared" si="411"/>
        <v>1</v>
      </c>
    </row>
    <row r="6566" spans="1:10">
      <c r="A6566" s="74" t="s">
        <v>1147</v>
      </c>
      <c r="B6566" s="74" t="s">
        <v>264</v>
      </c>
      <c r="C6566" s="74" t="s">
        <v>1553</v>
      </c>
      <c r="D6566" s="74" t="s">
        <v>94</v>
      </c>
      <c r="E6566" s="74">
        <v>1</v>
      </c>
      <c r="F6566" s="74">
        <v>2.35</v>
      </c>
      <c r="G6566" s="758">
        <f t="shared" si="408"/>
        <v>0</v>
      </c>
      <c r="H6566" s="759">
        <f t="shared" si="409"/>
        <v>0</v>
      </c>
      <c r="I6566" s="758">
        <f t="shared" si="410"/>
        <v>2.35</v>
      </c>
      <c r="J6566" s="760">
        <f t="shared" si="411"/>
        <v>1</v>
      </c>
    </row>
    <row r="6567" spans="1:10">
      <c r="A6567" s="74" t="s">
        <v>843</v>
      </c>
      <c r="B6567" s="74" t="s">
        <v>247</v>
      </c>
      <c r="C6567" s="74" t="s">
        <v>1557</v>
      </c>
      <c r="D6567" s="74" t="s">
        <v>95</v>
      </c>
      <c r="E6567" s="74">
        <v>4</v>
      </c>
      <c r="F6567" s="74">
        <v>14.4</v>
      </c>
      <c r="G6567" s="758">
        <f t="shared" si="408"/>
        <v>0</v>
      </c>
      <c r="H6567" s="759">
        <f t="shared" si="409"/>
        <v>0</v>
      </c>
      <c r="I6567" s="758">
        <f t="shared" si="410"/>
        <v>3.6</v>
      </c>
      <c r="J6567" s="760">
        <f t="shared" si="411"/>
        <v>1</v>
      </c>
    </row>
    <row r="6568" spans="1:10">
      <c r="A6568" s="74" t="s">
        <v>843</v>
      </c>
      <c r="B6568" s="74" t="s">
        <v>247</v>
      </c>
      <c r="C6568" s="74" t="s">
        <v>1526</v>
      </c>
      <c r="D6568" s="74" t="s">
        <v>95</v>
      </c>
      <c r="E6568" s="74">
        <v>1</v>
      </c>
      <c r="F6568" s="74">
        <v>3.6</v>
      </c>
      <c r="G6568" s="758">
        <f t="shared" si="408"/>
        <v>0</v>
      </c>
      <c r="H6568" s="759">
        <f t="shared" si="409"/>
        <v>0</v>
      </c>
      <c r="I6568" s="758">
        <f t="shared" si="410"/>
        <v>3.6</v>
      </c>
      <c r="J6568" s="760">
        <f t="shared" si="411"/>
        <v>1</v>
      </c>
    </row>
    <row r="6569" spans="1:10">
      <c r="A6569" s="74" t="s">
        <v>972</v>
      </c>
      <c r="B6569" s="74" t="s">
        <v>258</v>
      </c>
      <c r="C6569" s="74" t="s">
        <v>1514</v>
      </c>
      <c r="D6569" s="74" t="s">
        <v>81</v>
      </c>
      <c r="E6569" s="74">
        <v>1</v>
      </c>
      <c r="F6569" s="74">
        <v>0</v>
      </c>
      <c r="G6569" s="758">
        <f t="shared" si="408"/>
        <v>0.08</v>
      </c>
      <c r="H6569" s="759">
        <f t="shared" si="409"/>
        <v>0</v>
      </c>
      <c r="I6569" s="758">
        <f t="shared" si="410"/>
        <v>-0.08</v>
      </c>
      <c r="J6569" s="760">
        <f t="shared" si="411"/>
        <v>0</v>
      </c>
    </row>
    <row r="6570" spans="1:10">
      <c r="A6570" s="74" t="s">
        <v>972</v>
      </c>
      <c r="B6570" s="74" t="s">
        <v>258</v>
      </c>
      <c r="C6570" s="74" t="s">
        <v>1515</v>
      </c>
      <c r="D6570" s="74" t="s">
        <v>81</v>
      </c>
      <c r="E6570" s="74">
        <v>1</v>
      </c>
      <c r="F6570" s="74">
        <v>0</v>
      </c>
      <c r="G6570" s="758">
        <f t="shared" si="408"/>
        <v>0.08</v>
      </c>
      <c r="H6570" s="759">
        <f t="shared" si="409"/>
        <v>0</v>
      </c>
      <c r="I6570" s="758">
        <f t="shared" si="410"/>
        <v>-0.08</v>
      </c>
      <c r="J6570" s="760">
        <f t="shared" si="411"/>
        <v>0</v>
      </c>
    </row>
    <row r="6571" spans="1:10">
      <c r="A6571" s="74" t="s">
        <v>972</v>
      </c>
      <c r="B6571" s="74" t="s">
        <v>258</v>
      </c>
      <c r="C6571" s="74" t="s">
        <v>1516</v>
      </c>
      <c r="D6571" s="74" t="s">
        <v>82</v>
      </c>
      <c r="E6571" s="74">
        <v>1</v>
      </c>
      <c r="F6571" s="74">
        <v>0</v>
      </c>
      <c r="G6571" s="758">
        <f t="shared" si="408"/>
        <v>0.08</v>
      </c>
      <c r="H6571" s="759">
        <f t="shared" si="409"/>
        <v>0</v>
      </c>
      <c r="I6571" s="758">
        <f t="shared" si="410"/>
        <v>-0.08</v>
      </c>
      <c r="J6571" s="760">
        <f t="shared" si="411"/>
        <v>0</v>
      </c>
    </row>
    <row r="6572" spans="1:10">
      <c r="A6572" s="74" t="s">
        <v>972</v>
      </c>
      <c r="B6572" s="74" t="s">
        <v>258</v>
      </c>
      <c r="C6572" s="74" t="s">
        <v>1518</v>
      </c>
      <c r="D6572" s="74" t="s">
        <v>82</v>
      </c>
      <c r="E6572" s="74">
        <v>6</v>
      </c>
      <c r="F6572" s="74">
        <v>0</v>
      </c>
      <c r="G6572" s="758">
        <f t="shared" si="408"/>
        <v>0.08</v>
      </c>
      <c r="H6572" s="759">
        <f t="shared" si="409"/>
        <v>0</v>
      </c>
      <c r="I6572" s="758">
        <f t="shared" si="410"/>
        <v>-0.08</v>
      </c>
      <c r="J6572" s="760">
        <f t="shared" si="411"/>
        <v>0</v>
      </c>
    </row>
    <row r="6573" spans="1:10">
      <c r="A6573" s="74" t="s">
        <v>972</v>
      </c>
      <c r="B6573" s="74" t="s">
        <v>258</v>
      </c>
      <c r="C6573" s="74" t="s">
        <v>1519</v>
      </c>
      <c r="D6573" s="74" t="s">
        <v>84</v>
      </c>
      <c r="E6573" s="74">
        <v>1</v>
      </c>
      <c r="F6573" s="74">
        <v>0</v>
      </c>
      <c r="G6573" s="758">
        <f t="shared" si="408"/>
        <v>0.08</v>
      </c>
      <c r="H6573" s="759">
        <f t="shared" si="409"/>
        <v>0</v>
      </c>
      <c r="I6573" s="758">
        <f t="shared" si="410"/>
        <v>-0.08</v>
      </c>
      <c r="J6573" s="760">
        <f t="shared" si="411"/>
        <v>0</v>
      </c>
    </row>
    <row r="6574" spans="1:10">
      <c r="A6574" s="74" t="s">
        <v>972</v>
      </c>
      <c r="B6574" s="74" t="s">
        <v>258</v>
      </c>
      <c r="C6574" s="74" t="s">
        <v>1520</v>
      </c>
      <c r="D6574" s="74" t="s">
        <v>84</v>
      </c>
      <c r="E6574" s="74">
        <v>3</v>
      </c>
      <c r="F6574" s="74">
        <v>0</v>
      </c>
      <c r="G6574" s="758">
        <f t="shared" si="408"/>
        <v>0.08</v>
      </c>
      <c r="H6574" s="759">
        <f t="shared" si="409"/>
        <v>0</v>
      </c>
      <c r="I6574" s="758">
        <f t="shared" si="410"/>
        <v>-0.08</v>
      </c>
      <c r="J6574" s="760">
        <f t="shared" si="411"/>
        <v>0</v>
      </c>
    </row>
    <row r="6575" spans="1:10">
      <c r="A6575" s="74" t="s">
        <v>972</v>
      </c>
      <c r="B6575" s="74" t="s">
        <v>258</v>
      </c>
      <c r="C6575" s="74" t="s">
        <v>1577</v>
      </c>
      <c r="D6575" s="74" t="s">
        <v>84</v>
      </c>
      <c r="E6575" s="74">
        <v>1</v>
      </c>
      <c r="F6575" s="74">
        <v>0</v>
      </c>
      <c r="G6575" s="758">
        <f t="shared" si="408"/>
        <v>0.08</v>
      </c>
      <c r="H6575" s="759">
        <f t="shared" si="409"/>
        <v>0</v>
      </c>
      <c r="I6575" s="758">
        <f t="shared" si="410"/>
        <v>-0.08</v>
      </c>
      <c r="J6575" s="760">
        <f t="shared" si="411"/>
        <v>0</v>
      </c>
    </row>
    <row r="6576" spans="1:10">
      <c r="A6576" s="74" t="s">
        <v>972</v>
      </c>
      <c r="B6576" s="74" t="s">
        <v>258</v>
      </c>
      <c r="C6576" s="74" t="s">
        <v>1543</v>
      </c>
      <c r="D6576" s="74" t="s">
        <v>87</v>
      </c>
      <c r="E6576" s="74">
        <v>3</v>
      </c>
      <c r="F6576" s="74">
        <v>0</v>
      </c>
      <c r="G6576" s="758">
        <f t="shared" si="408"/>
        <v>0.08</v>
      </c>
      <c r="H6576" s="759">
        <f t="shared" si="409"/>
        <v>0</v>
      </c>
      <c r="I6576" s="758">
        <f t="shared" si="410"/>
        <v>-0.08</v>
      </c>
      <c r="J6576" s="760">
        <f t="shared" si="411"/>
        <v>0</v>
      </c>
    </row>
    <row r="6577" spans="1:10">
      <c r="A6577" s="74" t="s">
        <v>972</v>
      </c>
      <c r="B6577" s="74" t="s">
        <v>258</v>
      </c>
      <c r="C6577" s="74" t="s">
        <v>1561</v>
      </c>
      <c r="D6577" s="74" t="s">
        <v>87</v>
      </c>
      <c r="E6577" s="74">
        <v>1</v>
      </c>
      <c r="F6577" s="74">
        <v>0</v>
      </c>
      <c r="G6577" s="758">
        <f t="shared" si="408"/>
        <v>0.08</v>
      </c>
      <c r="H6577" s="759">
        <f t="shared" si="409"/>
        <v>0</v>
      </c>
      <c r="I6577" s="758">
        <f t="shared" si="410"/>
        <v>-0.08</v>
      </c>
      <c r="J6577" s="760">
        <f t="shared" si="411"/>
        <v>0</v>
      </c>
    </row>
    <row r="6578" spans="1:10">
      <c r="A6578" s="74" t="s">
        <v>972</v>
      </c>
      <c r="B6578" s="74" t="s">
        <v>258</v>
      </c>
      <c r="C6578" s="74" t="s">
        <v>1608</v>
      </c>
      <c r="D6578" s="74" t="s">
        <v>89</v>
      </c>
      <c r="E6578" s="74">
        <v>1</v>
      </c>
      <c r="F6578" s="74">
        <v>0</v>
      </c>
      <c r="G6578" s="758">
        <f t="shared" si="408"/>
        <v>0.08</v>
      </c>
      <c r="H6578" s="759">
        <f t="shared" si="409"/>
        <v>0</v>
      </c>
      <c r="I6578" s="758">
        <f t="shared" si="410"/>
        <v>-0.08</v>
      </c>
      <c r="J6578" s="760">
        <f t="shared" si="411"/>
        <v>0</v>
      </c>
    </row>
    <row r="6579" spans="1:10">
      <c r="A6579" s="74" t="s">
        <v>972</v>
      </c>
      <c r="B6579" s="74" t="s">
        <v>258</v>
      </c>
      <c r="C6579" s="74" t="s">
        <v>1610</v>
      </c>
      <c r="D6579" s="74" t="s">
        <v>89</v>
      </c>
      <c r="E6579" s="74">
        <v>3</v>
      </c>
      <c r="F6579" s="74">
        <v>0</v>
      </c>
      <c r="G6579" s="758">
        <f t="shared" si="408"/>
        <v>0.08</v>
      </c>
      <c r="H6579" s="759">
        <f t="shared" si="409"/>
        <v>0</v>
      </c>
      <c r="I6579" s="758">
        <f t="shared" si="410"/>
        <v>-0.08</v>
      </c>
      <c r="J6579" s="760">
        <f t="shared" si="411"/>
        <v>0</v>
      </c>
    </row>
    <row r="6580" spans="1:10">
      <c r="A6580" s="74" t="s">
        <v>972</v>
      </c>
      <c r="B6580" s="74" t="s">
        <v>258</v>
      </c>
      <c r="C6580" s="74" t="s">
        <v>1546</v>
      </c>
      <c r="D6580" s="74" t="s">
        <v>89</v>
      </c>
      <c r="E6580" s="74">
        <v>1</v>
      </c>
      <c r="F6580" s="74">
        <v>0</v>
      </c>
      <c r="G6580" s="758">
        <f t="shared" si="408"/>
        <v>0.08</v>
      </c>
      <c r="H6580" s="759">
        <f t="shared" si="409"/>
        <v>0</v>
      </c>
      <c r="I6580" s="758">
        <f t="shared" si="410"/>
        <v>-0.08</v>
      </c>
      <c r="J6580" s="760">
        <f t="shared" si="411"/>
        <v>0</v>
      </c>
    </row>
    <row r="6581" spans="1:10">
      <c r="A6581" s="74" t="s">
        <v>972</v>
      </c>
      <c r="B6581" s="74" t="s">
        <v>258</v>
      </c>
      <c r="C6581" s="74" t="s">
        <v>1582</v>
      </c>
      <c r="D6581" s="74" t="s">
        <v>89</v>
      </c>
      <c r="E6581" s="74">
        <v>3</v>
      </c>
      <c r="F6581" s="74">
        <v>0</v>
      </c>
      <c r="G6581" s="758">
        <f t="shared" si="408"/>
        <v>0.08</v>
      </c>
      <c r="H6581" s="759">
        <f t="shared" si="409"/>
        <v>0</v>
      </c>
      <c r="I6581" s="758">
        <f t="shared" si="410"/>
        <v>-0.08</v>
      </c>
      <c r="J6581" s="760">
        <f t="shared" si="411"/>
        <v>0</v>
      </c>
    </row>
    <row r="6582" spans="1:10">
      <c r="A6582" s="74" t="s">
        <v>972</v>
      </c>
      <c r="B6582" s="74" t="s">
        <v>258</v>
      </c>
      <c r="C6582" s="74" t="s">
        <v>1522</v>
      </c>
      <c r="D6582" s="74" t="s">
        <v>91</v>
      </c>
      <c r="E6582" s="74">
        <v>2</v>
      </c>
      <c r="F6582" s="74">
        <v>0</v>
      </c>
      <c r="G6582" s="758">
        <f t="shared" si="408"/>
        <v>0.08</v>
      </c>
      <c r="H6582" s="759">
        <f t="shared" si="409"/>
        <v>0</v>
      </c>
      <c r="I6582" s="758">
        <f t="shared" si="410"/>
        <v>-0.08</v>
      </c>
      <c r="J6582" s="760">
        <f t="shared" si="411"/>
        <v>0</v>
      </c>
    </row>
    <row r="6583" spans="1:10">
      <c r="A6583" s="74" t="s">
        <v>972</v>
      </c>
      <c r="B6583" s="74" t="s">
        <v>258</v>
      </c>
      <c r="C6583" s="74" t="s">
        <v>1550</v>
      </c>
      <c r="D6583" s="74" t="s">
        <v>91</v>
      </c>
      <c r="E6583" s="74">
        <v>7</v>
      </c>
      <c r="F6583" s="74">
        <v>0</v>
      </c>
      <c r="G6583" s="758">
        <f t="shared" si="408"/>
        <v>0.08</v>
      </c>
      <c r="H6583" s="759">
        <f t="shared" si="409"/>
        <v>0</v>
      </c>
      <c r="I6583" s="758">
        <f t="shared" si="410"/>
        <v>-0.08</v>
      </c>
      <c r="J6583" s="760">
        <f t="shared" si="411"/>
        <v>0</v>
      </c>
    </row>
    <row r="6584" spans="1:10">
      <c r="A6584" s="74" t="s">
        <v>972</v>
      </c>
      <c r="B6584" s="74" t="s">
        <v>258</v>
      </c>
      <c r="C6584" s="74" t="s">
        <v>1675</v>
      </c>
      <c r="D6584" s="74" t="s">
        <v>91</v>
      </c>
      <c r="E6584" s="74">
        <v>2</v>
      </c>
      <c r="F6584" s="74">
        <v>0</v>
      </c>
      <c r="G6584" s="758">
        <f t="shared" si="408"/>
        <v>0.08</v>
      </c>
      <c r="H6584" s="759">
        <f t="shared" si="409"/>
        <v>0</v>
      </c>
      <c r="I6584" s="758">
        <f t="shared" si="410"/>
        <v>-0.08</v>
      </c>
      <c r="J6584" s="760">
        <f t="shared" si="411"/>
        <v>0</v>
      </c>
    </row>
    <row r="6585" spans="1:10">
      <c r="A6585" s="74" t="s">
        <v>972</v>
      </c>
      <c r="B6585" s="74" t="s">
        <v>258</v>
      </c>
      <c r="C6585" s="74" t="s">
        <v>1524</v>
      </c>
      <c r="D6585" s="74" t="s">
        <v>91</v>
      </c>
      <c r="E6585" s="74">
        <v>6</v>
      </c>
      <c r="F6585" s="74">
        <v>0</v>
      </c>
      <c r="G6585" s="758">
        <f t="shared" si="408"/>
        <v>0.08</v>
      </c>
      <c r="H6585" s="759">
        <f t="shared" si="409"/>
        <v>0</v>
      </c>
      <c r="I6585" s="758">
        <f t="shared" si="410"/>
        <v>-0.08</v>
      </c>
      <c r="J6585" s="760">
        <f t="shared" si="411"/>
        <v>0</v>
      </c>
    </row>
    <row r="6586" spans="1:10">
      <c r="A6586" s="74" t="s">
        <v>972</v>
      </c>
      <c r="B6586" s="74" t="s">
        <v>258</v>
      </c>
      <c r="C6586" s="74" t="s">
        <v>1614</v>
      </c>
      <c r="D6586" s="74" t="s">
        <v>92</v>
      </c>
      <c r="E6586" s="74">
        <v>1</v>
      </c>
      <c r="F6586" s="74">
        <v>0</v>
      </c>
      <c r="G6586" s="758">
        <f t="shared" si="408"/>
        <v>0.08</v>
      </c>
      <c r="H6586" s="759">
        <f t="shared" si="409"/>
        <v>0</v>
      </c>
      <c r="I6586" s="758">
        <f t="shared" si="410"/>
        <v>-0.08</v>
      </c>
      <c r="J6586" s="760">
        <f t="shared" si="411"/>
        <v>0</v>
      </c>
    </row>
    <row r="6587" spans="1:10">
      <c r="A6587" s="74" t="s">
        <v>972</v>
      </c>
      <c r="B6587" s="74" t="s">
        <v>258</v>
      </c>
      <c r="C6587" s="74" t="s">
        <v>1631</v>
      </c>
      <c r="D6587" s="74" t="s">
        <v>92</v>
      </c>
      <c r="E6587" s="74">
        <v>2</v>
      </c>
      <c r="F6587" s="74">
        <v>0</v>
      </c>
      <c r="G6587" s="758">
        <f t="shared" si="408"/>
        <v>0.08</v>
      </c>
      <c r="H6587" s="759">
        <f t="shared" si="409"/>
        <v>0</v>
      </c>
      <c r="I6587" s="758">
        <f t="shared" si="410"/>
        <v>-0.08</v>
      </c>
      <c r="J6587" s="760">
        <f t="shared" si="411"/>
        <v>0</v>
      </c>
    </row>
    <row r="6588" spans="1:10">
      <c r="A6588" s="74" t="s">
        <v>972</v>
      </c>
      <c r="B6588" s="74" t="s">
        <v>258</v>
      </c>
      <c r="C6588" s="74" t="s">
        <v>1552</v>
      </c>
      <c r="D6588" s="74" t="s">
        <v>92</v>
      </c>
      <c r="E6588" s="74">
        <v>1</v>
      </c>
      <c r="F6588" s="74">
        <v>0</v>
      </c>
      <c r="G6588" s="758">
        <f t="shared" si="408"/>
        <v>0.08</v>
      </c>
      <c r="H6588" s="759">
        <f t="shared" si="409"/>
        <v>0</v>
      </c>
      <c r="I6588" s="758">
        <f t="shared" si="410"/>
        <v>-0.08</v>
      </c>
      <c r="J6588" s="760">
        <f t="shared" si="411"/>
        <v>0</v>
      </c>
    </row>
    <row r="6589" spans="1:10">
      <c r="A6589" s="74" t="s">
        <v>972</v>
      </c>
      <c r="B6589" s="74" t="s">
        <v>258</v>
      </c>
      <c r="C6589" s="74" t="s">
        <v>1617</v>
      </c>
      <c r="D6589" s="74" t="s">
        <v>94</v>
      </c>
      <c r="E6589" s="74">
        <v>1</v>
      </c>
      <c r="F6589" s="74">
        <v>0</v>
      </c>
      <c r="G6589" s="758">
        <f t="shared" si="408"/>
        <v>0.08</v>
      </c>
      <c r="H6589" s="759">
        <f t="shared" si="409"/>
        <v>0</v>
      </c>
      <c r="I6589" s="758">
        <f t="shared" si="410"/>
        <v>-0.08</v>
      </c>
      <c r="J6589" s="760">
        <f t="shared" si="411"/>
        <v>0</v>
      </c>
    </row>
    <row r="6590" spans="1:10">
      <c r="A6590" s="74" t="s">
        <v>972</v>
      </c>
      <c r="B6590" s="74" t="s">
        <v>258</v>
      </c>
      <c r="C6590" s="74" t="s">
        <v>1553</v>
      </c>
      <c r="D6590" s="74" t="s">
        <v>94</v>
      </c>
      <c r="E6590" s="74">
        <v>1</v>
      </c>
      <c r="F6590" s="74">
        <v>0</v>
      </c>
      <c r="G6590" s="758">
        <f t="shared" si="408"/>
        <v>0.08</v>
      </c>
      <c r="H6590" s="759">
        <f t="shared" si="409"/>
        <v>0</v>
      </c>
      <c r="I6590" s="758">
        <f t="shared" si="410"/>
        <v>-0.08</v>
      </c>
      <c r="J6590" s="760">
        <f t="shared" si="411"/>
        <v>0</v>
      </c>
    </row>
    <row r="6591" spans="1:10">
      <c r="A6591" s="74" t="s">
        <v>972</v>
      </c>
      <c r="B6591" s="74" t="s">
        <v>258</v>
      </c>
      <c r="C6591" s="74" t="s">
        <v>1555</v>
      </c>
      <c r="D6591" s="74" t="s">
        <v>94</v>
      </c>
      <c r="E6591" s="74">
        <v>2</v>
      </c>
      <c r="F6591" s="74">
        <v>0</v>
      </c>
      <c r="G6591" s="758">
        <f t="shared" si="408"/>
        <v>0.08</v>
      </c>
      <c r="H6591" s="759">
        <f t="shared" si="409"/>
        <v>0</v>
      </c>
      <c r="I6591" s="758">
        <f t="shared" si="410"/>
        <v>-0.08</v>
      </c>
      <c r="J6591" s="760">
        <f t="shared" si="411"/>
        <v>0</v>
      </c>
    </row>
    <row r="6592" spans="1:10">
      <c r="A6592" s="74" t="s">
        <v>972</v>
      </c>
      <c r="B6592" s="74" t="s">
        <v>258</v>
      </c>
      <c r="C6592" s="74" t="s">
        <v>1557</v>
      </c>
      <c r="D6592" s="74" t="s">
        <v>95</v>
      </c>
      <c r="E6592" s="74">
        <v>4</v>
      </c>
      <c r="F6592" s="74">
        <v>0</v>
      </c>
      <c r="G6592" s="758">
        <f t="shared" si="408"/>
        <v>0.08</v>
      </c>
      <c r="H6592" s="759">
        <f t="shared" si="409"/>
        <v>0</v>
      </c>
      <c r="I6592" s="758">
        <f t="shared" si="410"/>
        <v>-0.08</v>
      </c>
      <c r="J6592" s="760">
        <f t="shared" si="411"/>
        <v>0</v>
      </c>
    </row>
    <row r="6593" spans="1:10">
      <c r="A6593" s="74" t="s">
        <v>972</v>
      </c>
      <c r="B6593" s="74" t="s">
        <v>258</v>
      </c>
      <c r="C6593" s="74" t="s">
        <v>1526</v>
      </c>
      <c r="D6593" s="74" t="s">
        <v>95</v>
      </c>
      <c r="E6593" s="74">
        <v>4</v>
      </c>
      <c r="F6593" s="74">
        <v>0</v>
      </c>
      <c r="G6593" s="758">
        <f t="shared" si="408"/>
        <v>0.08</v>
      </c>
      <c r="H6593" s="759">
        <f t="shared" si="409"/>
        <v>0</v>
      </c>
      <c r="I6593" s="758">
        <f t="shared" si="410"/>
        <v>-0.08</v>
      </c>
      <c r="J6593" s="760">
        <f t="shared" si="411"/>
        <v>0</v>
      </c>
    </row>
    <row r="6594" spans="1:10">
      <c r="A6594" s="74" t="s">
        <v>972</v>
      </c>
      <c r="B6594" s="74" t="s">
        <v>258</v>
      </c>
      <c r="C6594" s="74" t="s">
        <v>1930</v>
      </c>
      <c r="D6594" s="74" t="s">
        <v>95</v>
      </c>
      <c r="E6594" s="74">
        <v>2</v>
      </c>
      <c r="F6594" s="74">
        <v>0</v>
      </c>
      <c r="G6594" s="758">
        <f t="shared" ref="G6594:G6660" si="412">IFERROR(VLOOKUP(A6594,$M$1:$P$1014,2,FALSE),0)</f>
        <v>0.08</v>
      </c>
      <c r="H6594" s="759">
        <f t="shared" ref="H6594:H6660" si="413">IFERROR(VLOOKUP(A6594,$M$1:$P$1014,3,FALSE),0)</f>
        <v>0</v>
      </c>
      <c r="I6594" s="758">
        <f t="shared" ref="I6594:I6660" si="414">IFERROR(F6594/E6594-G6594,0)</f>
        <v>-0.08</v>
      </c>
      <c r="J6594" s="760">
        <f t="shared" ref="J6594:J6660" si="415">IFERROR(1-G6594*E6594/F6594,0)</f>
        <v>0</v>
      </c>
    </row>
    <row r="6595" spans="1:10">
      <c r="A6595" s="74" t="s">
        <v>2269</v>
      </c>
      <c r="B6595" s="74" t="s">
        <v>258</v>
      </c>
      <c r="C6595" s="74" t="s">
        <v>1507</v>
      </c>
      <c r="D6595" s="74" t="s">
        <v>86</v>
      </c>
      <c r="E6595" s="74">
        <v>3</v>
      </c>
      <c r="F6595" s="74">
        <v>0</v>
      </c>
      <c r="G6595" s="758">
        <f t="shared" si="412"/>
        <v>0</v>
      </c>
      <c r="H6595" s="759">
        <f t="shared" si="413"/>
        <v>0</v>
      </c>
      <c r="I6595" s="758">
        <f t="shared" si="414"/>
        <v>0</v>
      </c>
      <c r="J6595" s="760">
        <f t="shared" si="415"/>
        <v>0</v>
      </c>
    </row>
    <row r="6596" spans="1:10">
      <c r="A6596" s="74" t="s">
        <v>2269</v>
      </c>
      <c r="B6596" s="74" t="s">
        <v>258</v>
      </c>
      <c r="C6596" s="74" t="s">
        <v>1646</v>
      </c>
      <c r="D6596" s="74" t="s">
        <v>86</v>
      </c>
      <c r="E6596" s="74">
        <v>2</v>
      </c>
      <c r="F6596" s="74">
        <v>0</v>
      </c>
      <c r="G6596" s="758">
        <f t="shared" si="412"/>
        <v>0</v>
      </c>
      <c r="H6596" s="759">
        <f t="shared" si="413"/>
        <v>0</v>
      </c>
      <c r="I6596" s="758">
        <f t="shared" si="414"/>
        <v>0</v>
      </c>
      <c r="J6596" s="760">
        <f t="shared" si="415"/>
        <v>0</v>
      </c>
    </row>
    <row r="6597" spans="1:10">
      <c r="A6597" s="74" t="s">
        <v>2270</v>
      </c>
      <c r="B6597" s="74" t="s">
        <v>258</v>
      </c>
      <c r="C6597" s="74" t="s">
        <v>1519</v>
      </c>
      <c r="D6597" s="74" t="s">
        <v>84</v>
      </c>
      <c r="E6597" s="74">
        <v>1</v>
      </c>
      <c r="F6597" s="74">
        <v>0</v>
      </c>
      <c r="G6597" s="758">
        <f t="shared" si="412"/>
        <v>0.33</v>
      </c>
      <c r="H6597" s="759">
        <f t="shared" si="413"/>
        <v>0</v>
      </c>
      <c r="I6597" s="758">
        <f t="shared" si="414"/>
        <v>-0.33</v>
      </c>
      <c r="J6597" s="760">
        <f t="shared" si="415"/>
        <v>0</v>
      </c>
    </row>
    <row r="6598" spans="1:10">
      <c r="A6598" s="74" t="s">
        <v>691</v>
      </c>
      <c r="B6598" s="74" t="s">
        <v>251</v>
      </c>
      <c r="C6598" s="74" t="s">
        <v>1528</v>
      </c>
      <c r="D6598" s="74" t="s">
        <v>78</v>
      </c>
      <c r="E6598" s="74">
        <v>5</v>
      </c>
      <c r="F6598" s="74">
        <v>12.05</v>
      </c>
      <c r="G6598" s="758">
        <f t="shared" si="412"/>
        <v>0</v>
      </c>
      <c r="H6598" s="759">
        <f t="shared" si="413"/>
        <v>0</v>
      </c>
      <c r="I6598" s="758">
        <f t="shared" si="414"/>
        <v>2.41</v>
      </c>
      <c r="J6598" s="760">
        <f t="shared" si="415"/>
        <v>1</v>
      </c>
    </row>
    <row r="6599" spans="1:10">
      <c r="A6599" s="74" t="s">
        <v>691</v>
      </c>
      <c r="B6599" s="74" t="s">
        <v>251</v>
      </c>
      <c r="C6599" s="74" t="s">
        <v>1508</v>
      </c>
      <c r="D6599" s="74" t="s">
        <v>78</v>
      </c>
      <c r="E6599" s="74">
        <v>6</v>
      </c>
      <c r="F6599" s="74">
        <v>10.95</v>
      </c>
      <c r="G6599" s="758">
        <f t="shared" si="412"/>
        <v>0</v>
      </c>
      <c r="H6599" s="759">
        <f t="shared" si="413"/>
        <v>0</v>
      </c>
      <c r="I6599" s="758">
        <f t="shared" si="414"/>
        <v>1.825</v>
      </c>
      <c r="J6599" s="760">
        <f t="shared" si="415"/>
        <v>1</v>
      </c>
    </row>
    <row r="6600" spans="1:10">
      <c r="A6600" s="74" t="s">
        <v>691</v>
      </c>
      <c r="B6600" s="74" t="s">
        <v>251</v>
      </c>
      <c r="C6600" s="74" t="s">
        <v>1509</v>
      </c>
      <c r="D6600" s="74" t="s">
        <v>78</v>
      </c>
      <c r="E6600" s="74">
        <v>2</v>
      </c>
      <c r="F6600" s="74">
        <v>2.41</v>
      </c>
      <c r="G6600" s="758">
        <f t="shared" si="412"/>
        <v>0</v>
      </c>
      <c r="H6600" s="759">
        <f t="shared" si="413"/>
        <v>0</v>
      </c>
      <c r="I6600" s="758">
        <f t="shared" si="414"/>
        <v>1.2050000000000001</v>
      </c>
      <c r="J6600" s="760">
        <f t="shared" si="415"/>
        <v>1</v>
      </c>
    </row>
    <row r="6601" spans="1:10">
      <c r="A6601" s="74" t="s">
        <v>691</v>
      </c>
      <c r="B6601" s="74" t="s">
        <v>251</v>
      </c>
      <c r="C6601" s="74" t="s">
        <v>1565</v>
      </c>
      <c r="D6601" s="74" t="s">
        <v>78</v>
      </c>
      <c r="E6601" s="74">
        <v>13</v>
      </c>
      <c r="F6601" s="74">
        <v>30.09</v>
      </c>
      <c r="G6601" s="758">
        <f t="shared" si="412"/>
        <v>0</v>
      </c>
      <c r="H6601" s="759">
        <f t="shared" si="413"/>
        <v>0</v>
      </c>
      <c r="I6601" s="758">
        <f t="shared" si="414"/>
        <v>2.3146153846153847</v>
      </c>
      <c r="J6601" s="760">
        <f t="shared" si="415"/>
        <v>1</v>
      </c>
    </row>
    <row r="6602" spans="1:10">
      <c r="A6602" s="74" t="s">
        <v>691</v>
      </c>
      <c r="B6602" s="74" t="s">
        <v>251</v>
      </c>
      <c r="C6602" s="74" t="s">
        <v>1530</v>
      </c>
      <c r="D6602" s="74" t="s">
        <v>80</v>
      </c>
      <c r="E6602" s="74">
        <v>9</v>
      </c>
      <c r="F6602" s="74">
        <v>22.09</v>
      </c>
      <c r="G6602" s="758">
        <f t="shared" si="412"/>
        <v>0</v>
      </c>
      <c r="H6602" s="759">
        <f t="shared" si="413"/>
        <v>0</v>
      </c>
      <c r="I6602" s="758">
        <f t="shared" si="414"/>
        <v>2.4544444444444444</v>
      </c>
      <c r="J6602" s="760">
        <f t="shared" si="415"/>
        <v>1</v>
      </c>
    </row>
    <row r="6603" spans="1:10">
      <c r="A6603" s="74" t="s">
        <v>691</v>
      </c>
      <c r="B6603" s="74" t="s">
        <v>251</v>
      </c>
      <c r="C6603" s="74" t="s">
        <v>1532</v>
      </c>
      <c r="D6603" s="74" t="s">
        <v>80</v>
      </c>
      <c r="E6603" s="74">
        <v>9</v>
      </c>
      <c r="F6603" s="74">
        <v>22.09</v>
      </c>
      <c r="G6603" s="758">
        <f t="shared" si="412"/>
        <v>0</v>
      </c>
      <c r="H6603" s="759">
        <f t="shared" si="413"/>
        <v>0</v>
      </c>
      <c r="I6603" s="758">
        <f t="shared" si="414"/>
        <v>2.4544444444444444</v>
      </c>
      <c r="J6603" s="760">
        <f t="shared" si="415"/>
        <v>1</v>
      </c>
    </row>
    <row r="6604" spans="1:10">
      <c r="A6604" s="74" t="s">
        <v>691</v>
      </c>
      <c r="B6604" s="74" t="s">
        <v>251</v>
      </c>
      <c r="C6604" s="74" t="s">
        <v>1511</v>
      </c>
      <c r="D6604" s="74" t="s">
        <v>80</v>
      </c>
      <c r="E6604" s="74">
        <v>9</v>
      </c>
      <c r="F6604" s="74">
        <v>18.82</v>
      </c>
      <c r="G6604" s="758">
        <f t="shared" si="412"/>
        <v>0</v>
      </c>
      <c r="H6604" s="759">
        <f t="shared" si="413"/>
        <v>0</v>
      </c>
      <c r="I6604" s="758">
        <f t="shared" si="414"/>
        <v>2.0911111111111111</v>
      </c>
      <c r="J6604" s="760">
        <f t="shared" si="415"/>
        <v>1</v>
      </c>
    </row>
    <row r="6605" spans="1:10">
      <c r="A6605" s="74" t="s">
        <v>691</v>
      </c>
      <c r="B6605" s="74" t="s">
        <v>251</v>
      </c>
      <c r="C6605" s="74" t="s">
        <v>1512</v>
      </c>
      <c r="D6605" s="74" t="s">
        <v>80</v>
      </c>
      <c r="E6605" s="74">
        <v>4</v>
      </c>
      <c r="F6605" s="74">
        <v>9.64</v>
      </c>
      <c r="G6605" s="758">
        <f t="shared" si="412"/>
        <v>0</v>
      </c>
      <c r="H6605" s="759">
        <f t="shared" si="413"/>
        <v>0</v>
      </c>
      <c r="I6605" s="758">
        <f t="shared" si="414"/>
        <v>2.41</v>
      </c>
      <c r="J6605" s="760">
        <f t="shared" si="415"/>
        <v>1</v>
      </c>
    </row>
    <row r="6606" spans="1:10">
      <c r="A6606" s="74" t="s">
        <v>691</v>
      </c>
      <c r="B6606" s="74" t="s">
        <v>251</v>
      </c>
      <c r="C6606" s="74" t="s">
        <v>1513</v>
      </c>
      <c r="D6606" s="74" t="s">
        <v>81</v>
      </c>
      <c r="E6606" s="74">
        <v>18</v>
      </c>
      <c r="F6606" s="74">
        <v>41.18</v>
      </c>
      <c r="G6606" s="758">
        <f t="shared" si="412"/>
        <v>0</v>
      </c>
      <c r="H6606" s="759">
        <f t="shared" si="413"/>
        <v>0</v>
      </c>
      <c r="I6606" s="758">
        <f t="shared" si="414"/>
        <v>2.2877777777777779</v>
      </c>
      <c r="J6606" s="760">
        <f t="shared" si="415"/>
        <v>1</v>
      </c>
    </row>
    <row r="6607" spans="1:10">
      <c r="A6607" s="74" t="s">
        <v>691</v>
      </c>
      <c r="B6607" s="74" t="s">
        <v>251</v>
      </c>
      <c r="C6607" s="74" t="s">
        <v>1514</v>
      </c>
      <c r="D6607" s="74" t="s">
        <v>81</v>
      </c>
      <c r="E6607" s="74">
        <v>12</v>
      </c>
      <c r="F6607" s="74">
        <v>24.36</v>
      </c>
      <c r="G6607" s="758">
        <f t="shared" si="412"/>
        <v>0</v>
      </c>
      <c r="H6607" s="759">
        <f t="shared" si="413"/>
        <v>0</v>
      </c>
      <c r="I6607" s="758">
        <f t="shared" si="414"/>
        <v>2.0299999999999998</v>
      </c>
      <c r="J6607" s="760">
        <f t="shared" si="415"/>
        <v>1</v>
      </c>
    </row>
    <row r="6608" spans="1:10">
      <c r="A6608" s="74" t="s">
        <v>691</v>
      </c>
      <c r="B6608" s="74" t="s">
        <v>251</v>
      </c>
      <c r="C6608" s="74" t="s">
        <v>1515</v>
      </c>
      <c r="D6608" s="74" t="s">
        <v>81</v>
      </c>
      <c r="E6608" s="74">
        <v>7</v>
      </c>
      <c r="F6608" s="74">
        <v>17.27</v>
      </c>
      <c r="G6608" s="758">
        <f t="shared" si="412"/>
        <v>0</v>
      </c>
      <c r="H6608" s="759">
        <f t="shared" si="413"/>
        <v>0</v>
      </c>
      <c r="I6608" s="758">
        <f t="shared" si="414"/>
        <v>2.4671428571428571</v>
      </c>
      <c r="J6608" s="760">
        <f t="shared" si="415"/>
        <v>1</v>
      </c>
    </row>
    <row r="6609" spans="1:10">
      <c r="A6609" s="74" t="s">
        <v>2321</v>
      </c>
      <c r="B6609" s="74" t="s">
        <v>247</v>
      </c>
      <c r="C6609" s="74" t="s">
        <v>1605</v>
      </c>
      <c r="D6609" s="74" t="s">
        <v>87</v>
      </c>
      <c r="E6609" s="74">
        <v>1</v>
      </c>
      <c r="F6609" s="74">
        <v>1.7</v>
      </c>
      <c r="G6609" s="758">
        <f t="shared" si="412"/>
        <v>0.19</v>
      </c>
      <c r="H6609" s="759">
        <f t="shared" si="413"/>
        <v>0.26</v>
      </c>
      <c r="I6609" s="758">
        <f t="shared" si="414"/>
        <v>1.51</v>
      </c>
      <c r="J6609" s="760">
        <f t="shared" si="415"/>
        <v>0.88823529411764701</v>
      </c>
    </row>
    <row r="6610" spans="1:10">
      <c r="A6610" s="74" t="s">
        <v>2321</v>
      </c>
      <c r="B6610" s="74" t="s">
        <v>247</v>
      </c>
      <c r="C6610" s="74" t="s">
        <v>1526</v>
      </c>
      <c r="D6610" s="74" t="s">
        <v>95</v>
      </c>
      <c r="E6610" s="74">
        <v>13</v>
      </c>
      <c r="F6610" s="74">
        <v>22.25</v>
      </c>
      <c r="G6610" s="758">
        <f t="shared" si="412"/>
        <v>0.19</v>
      </c>
      <c r="H6610" s="759">
        <f t="shared" si="413"/>
        <v>0.26</v>
      </c>
      <c r="I6610" s="758">
        <f t="shared" si="414"/>
        <v>1.5215384615384615</v>
      </c>
      <c r="J6610" s="760">
        <f t="shared" si="415"/>
        <v>0.88898876404494387</v>
      </c>
    </row>
    <row r="6611" spans="1:10">
      <c r="A6611" s="74" t="s">
        <v>2321</v>
      </c>
      <c r="B6611" s="74" t="s">
        <v>247</v>
      </c>
      <c r="C6611" s="74" t="s">
        <v>1930</v>
      </c>
      <c r="D6611" s="74" t="s">
        <v>95</v>
      </c>
      <c r="E6611" s="74">
        <v>2</v>
      </c>
      <c r="F6611" s="74">
        <v>3.4</v>
      </c>
      <c r="G6611" s="758">
        <f t="shared" si="412"/>
        <v>0.19</v>
      </c>
      <c r="H6611" s="759">
        <f t="shared" si="413"/>
        <v>0.26</v>
      </c>
      <c r="I6611" s="758">
        <f t="shared" si="414"/>
        <v>1.51</v>
      </c>
      <c r="J6611" s="760">
        <f t="shared" si="415"/>
        <v>0.88823529411764701</v>
      </c>
    </row>
    <row r="6612" spans="1:10">
      <c r="A6612" s="74" t="s">
        <v>755</v>
      </c>
      <c r="B6612" s="74" t="s">
        <v>251</v>
      </c>
      <c r="C6612" s="74" t="s">
        <v>1508</v>
      </c>
      <c r="D6612" s="74" t="s">
        <v>78</v>
      </c>
      <c r="E6612" s="74">
        <v>1</v>
      </c>
      <c r="F6612" s="74">
        <v>2.41</v>
      </c>
      <c r="G6612" s="758">
        <f t="shared" si="412"/>
        <v>0</v>
      </c>
      <c r="H6612" s="759">
        <f t="shared" si="413"/>
        <v>0</v>
      </c>
      <c r="I6612" s="758">
        <f t="shared" si="414"/>
        <v>2.41</v>
      </c>
      <c r="J6612" s="760">
        <f t="shared" si="415"/>
        <v>1</v>
      </c>
    </row>
    <row r="6613" spans="1:10">
      <c r="A6613" s="74" t="s">
        <v>755</v>
      </c>
      <c r="B6613" s="74" t="s">
        <v>251</v>
      </c>
      <c r="C6613" s="74" t="s">
        <v>1509</v>
      </c>
      <c r="D6613" s="74" t="s">
        <v>78</v>
      </c>
      <c r="E6613" s="74">
        <v>3</v>
      </c>
      <c r="F6613" s="74">
        <v>5.73</v>
      </c>
      <c r="G6613" s="758">
        <f t="shared" si="412"/>
        <v>0</v>
      </c>
      <c r="H6613" s="759">
        <f t="shared" si="413"/>
        <v>0</v>
      </c>
      <c r="I6613" s="758">
        <f t="shared" si="414"/>
        <v>1.9100000000000001</v>
      </c>
      <c r="J6613" s="760">
        <f t="shared" si="415"/>
        <v>1</v>
      </c>
    </row>
    <row r="6614" spans="1:10">
      <c r="A6614" s="74" t="s">
        <v>755</v>
      </c>
      <c r="B6614" s="74" t="s">
        <v>251</v>
      </c>
      <c r="C6614" s="74" t="s">
        <v>1565</v>
      </c>
      <c r="D6614" s="74" t="s">
        <v>78</v>
      </c>
      <c r="E6614" s="74">
        <v>5</v>
      </c>
      <c r="F6614" s="74">
        <v>7.36</v>
      </c>
      <c r="G6614" s="758">
        <f t="shared" si="412"/>
        <v>0</v>
      </c>
      <c r="H6614" s="759">
        <f t="shared" si="413"/>
        <v>0</v>
      </c>
      <c r="I6614" s="758">
        <f t="shared" si="414"/>
        <v>1.472</v>
      </c>
      <c r="J6614" s="760">
        <f t="shared" si="415"/>
        <v>1</v>
      </c>
    </row>
    <row r="6615" spans="1:10">
      <c r="A6615" s="74" t="s">
        <v>755</v>
      </c>
      <c r="B6615" s="74" t="s">
        <v>251</v>
      </c>
      <c r="C6615" s="74" t="s">
        <v>1530</v>
      </c>
      <c r="D6615" s="74" t="s">
        <v>80</v>
      </c>
      <c r="E6615" s="74">
        <v>3</v>
      </c>
      <c r="F6615" s="74">
        <v>7.5</v>
      </c>
      <c r="G6615" s="758">
        <f t="shared" si="412"/>
        <v>0</v>
      </c>
      <c r="H6615" s="759">
        <f t="shared" si="413"/>
        <v>0</v>
      </c>
      <c r="I6615" s="758">
        <f t="shared" si="414"/>
        <v>2.5</v>
      </c>
      <c r="J6615" s="760">
        <f t="shared" si="415"/>
        <v>1</v>
      </c>
    </row>
    <row r="6616" spans="1:10">
      <c r="A6616" s="74" t="s">
        <v>755</v>
      </c>
      <c r="B6616" s="74" t="s">
        <v>251</v>
      </c>
      <c r="C6616" s="74" t="s">
        <v>1532</v>
      </c>
      <c r="D6616" s="74" t="s">
        <v>80</v>
      </c>
      <c r="E6616" s="74">
        <v>3</v>
      </c>
      <c r="F6616" s="74">
        <v>7.5</v>
      </c>
      <c r="G6616" s="758">
        <f t="shared" si="412"/>
        <v>0</v>
      </c>
      <c r="H6616" s="759">
        <f t="shared" si="413"/>
        <v>0</v>
      </c>
      <c r="I6616" s="758">
        <f t="shared" si="414"/>
        <v>2.5</v>
      </c>
      <c r="J6616" s="760">
        <f t="shared" si="415"/>
        <v>1</v>
      </c>
    </row>
    <row r="6617" spans="1:10">
      <c r="A6617" s="74" t="s">
        <v>755</v>
      </c>
      <c r="B6617" s="74" t="s">
        <v>251</v>
      </c>
      <c r="C6617" s="74" t="s">
        <v>1511</v>
      </c>
      <c r="D6617" s="74" t="s">
        <v>80</v>
      </c>
      <c r="E6617" s="74">
        <v>4</v>
      </c>
      <c r="F6617" s="74">
        <v>9.77</v>
      </c>
      <c r="G6617" s="758">
        <f t="shared" si="412"/>
        <v>0</v>
      </c>
      <c r="H6617" s="759">
        <f t="shared" si="413"/>
        <v>0</v>
      </c>
      <c r="I6617" s="758">
        <f t="shared" si="414"/>
        <v>2.4424999999999999</v>
      </c>
      <c r="J6617" s="760">
        <f t="shared" si="415"/>
        <v>1</v>
      </c>
    </row>
    <row r="6618" spans="1:10">
      <c r="A6618" s="74" t="s">
        <v>755</v>
      </c>
      <c r="B6618" s="74" t="s">
        <v>251</v>
      </c>
      <c r="C6618" s="74" t="s">
        <v>1512</v>
      </c>
      <c r="D6618" s="74" t="s">
        <v>80</v>
      </c>
      <c r="E6618" s="74">
        <v>2</v>
      </c>
      <c r="F6618" s="74">
        <v>4.95</v>
      </c>
      <c r="G6618" s="758">
        <f t="shared" si="412"/>
        <v>0</v>
      </c>
      <c r="H6618" s="759">
        <f t="shared" si="413"/>
        <v>0</v>
      </c>
      <c r="I6618" s="758">
        <f t="shared" si="414"/>
        <v>2.4750000000000001</v>
      </c>
      <c r="J6618" s="760">
        <f t="shared" si="415"/>
        <v>1</v>
      </c>
    </row>
    <row r="6619" spans="1:10">
      <c r="A6619" s="74" t="s">
        <v>755</v>
      </c>
      <c r="B6619" s="74" t="s">
        <v>251</v>
      </c>
      <c r="C6619" s="74" t="s">
        <v>1513</v>
      </c>
      <c r="D6619" s="74" t="s">
        <v>81</v>
      </c>
      <c r="E6619" s="74">
        <v>10</v>
      </c>
      <c r="F6619" s="74">
        <v>24.64</v>
      </c>
      <c r="G6619" s="758">
        <f t="shared" si="412"/>
        <v>0</v>
      </c>
      <c r="H6619" s="759">
        <f t="shared" si="413"/>
        <v>0</v>
      </c>
      <c r="I6619" s="758">
        <f t="shared" si="414"/>
        <v>2.464</v>
      </c>
      <c r="J6619" s="760">
        <f t="shared" si="415"/>
        <v>1</v>
      </c>
    </row>
    <row r="6620" spans="1:10">
      <c r="A6620" s="74" t="s">
        <v>755</v>
      </c>
      <c r="B6620" s="74" t="s">
        <v>251</v>
      </c>
      <c r="C6620" s="74" t="s">
        <v>1514</v>
      </c>
      <c r="D6620" s="74" t="s">
        <v>81</v>
      </c>
      <c r="E6620" s="74">
        <v>2</v>
      </c>
      <c r="F6620" s="74">
        <v>4.82</v>
      </c>
      <c r="G6620" s="758">
        <f t="shared" si="412"/>
        <v>0</v>
      </c>
      <c r="H6620" s="759">
        <f t="shared" si="413"/>
        <v>0</v>
      </c>
      <c r="I6620" s="758">
        <f t="shared" si="414"/>
        <v>2.41</v>
      </c>
      <c r="J6620" s="760">
        <f t="shared" si="415"/>
        <v>1</v>
      </c>
    </row>
    <row r="6621" spans="1:10">
      <c r="A6621" s="74" t="s">
        <v>755</v>
      </c>
      <c r="B6621" s="74" t="s">
        <v>251</v>
      </c>
      <c r="C6621" s="74" t="s">
        <v>1515</v>
      </c>
      <c r="D6621" s="74" t="s">
        <v>81</v>
      </c>
      <c r="E6621" s="74">
        <v>2</v>
      </c>
      <c r="F6621" s="74">
        <v>4.95</v>
      </c>
      <c r="G6621" s="758">
        <f t="shared" si="412"/>
        <v>0</v>
      </c>
      <c r="H6621" s="759">
        <f t="shared" si="413"/>
        <v>0</v>
      </c>
      <c r="I6621" s="758">
        <f t="shared" si="414"/>
        <v>2.4750000000000001</v>
      </c>
      <c r="J6621" s="760">
        <f t="shared" si="415"/>
        <v>1</v>
      </c>
    </row>
    <row r="6622" spans="1:10">
      <c r="A6622" s="74" t="s">
        <v>702</v>
      </c>
      <c r="B6622" s="74" t="s">
        <v>251</v>
      </c>
      <c r="C6622" s="74" t="s">
        <v>1528</v>
      </c>
      <c r="D6622" s="74" t="s">
        <v>78</v>
      </c>
      <c r="E6622" s="74">
        <v>4</v>
      </c>
      <c r="F6622" s="74">
        <v>9.91</v>
      </c>
      <c r="G6622" s="758">
        <f t="shared" si="412"/>
        <v>0.14000000000000001</v>
      </c>
      <c r="H6622" s="759">
        <f t="shared" si="413"/>
        <v>0</v>
      </c>
      <c r="I6622" s="758">
        <f t="shared" si="414"/>
        <v>2.3374999999999999</v>
      </c>
      <c r="J6622" s="760">
        <f t="shared" si="415"/>
        <v>0.94349142280524723</v>
      </c>
    </row>
    <row r="6623" spans="1:10">
      <c r="A6623" s="74" t="s">
        <v>702</v>
      </c>
      <c r="B6623" s="74" t="s">
        <v>251</v>
      </c>
      <c r="C6623" s="74" t="s">
        <v>1508</v>
      </c>
      <c r="D6623" s="74" t="s">
        <v>78</v>
      </c>
      <c r="E6623" s="74">
        <v>2</v>
      </c>
      <c r="F6623" s="74">
        <v>4.82</v>
      </c>
      <c r="G6623" s="758">
        <f t="shared" si="412"/>
        <v>0.14000000000000001</v>
      </c>
      <c r="H6623" s="759">
        <f t="shared" si="413"/>
        <v>0</v>
      </c>
      <c r="I6623" s="758">
        <f t="shared" si="414"/>
        <v>2.27</v>
      </c>
      <c r="J6623" s="760">
        <f t="shared" si="415"/>
        <v>0.94190871369294604</v>
      </c>
    </row>
    <row r="6624" spans="1:10">
      <c r="A6624" s="74" t="s">
        <v>702</v>
      </c>
      <c r="B6624" s="74" t="s">
        <v>251</v>
      </c>
      <c r="C6624" s="74" t="s">
        <v>1509</v>
      </c>
      <c r="D6624" s="74" t="s">
        <v>78</v>
      </c>
      <c r="E6624" s="74">
        <v>3</v>
      </c>
      <c r="F6624" s="74">
        <v>7.23</v>
      </c>
      <c r="G6624" s="758">
        <f t="shared" si="412"/>
        <v>0.14000000000000001</v>
      </c>
      <c r="H6624" s="759">
        <f t="shared" si="413"/>
        <v>0</v>
      </c>
      <c r="I6624" s="758">
        <f t="shared" si="414"/>
        <v>2.27</v>
      </c>
      <c r="J6624" s="760">
        <f t="shared" si="415"/>
        <v>0.94190871369294604</v>
      </c>
    </row>
    <row r="6625" spans="1:10">
      <c r="A6625" s="74" t="s">
        <v>702</v>
      </c>
      <c r="B6625" s="74" t="s">
        <v>251</v>
      </c>
      <c r="C6625" s="74" t="s">
        <v>1565</v>
      </c>
      <c r="D6625" s="74" t="s">
        <v>78</v>
      </c>
      <c r="E6625" s="74">
        <v>1</v>
      </c>
      <c r="F6625" s="74">
        <v>2.41</v>
      </c>
      <c r="G6625" s="758">
        <f t="shared" si="412"/>
        <v>0.14000000000000001</v>
      </c>
      <c r="H6625" s="759">
        <f t="shared" si="413"/>
        <v>0</v>
      </c>
      <c r="I6625" s="758">
        <f t="shared" si="414"/>
        <v>2.27</v>
      </c>
      <c r="J6625" s="760">
        <f t="shared" si="415"/>
        <v>0.94190871369294604</v>
      </c>
    </row>
    <row r="6626" spans="1:10">
      <c r="A6626" s="74" t="s">
        <v>702</v>
      </c>
      <c r="B6626" s="74" t="s">
        <v>251</v>
      </c>
      <c r="C6626" s="74" t="s">
        <v>1530</v>
      </c>
      <c r="D6626" s="74" t="s">
        <v>80</v>
      </c>
      <c r="E6626" s="74">
        <v>10</v>
      </c>
      <c r="F6626" s="74">
        <v>24.23</v>
      </c>
      <c r="G6626" s="758">
        <f t="shared" si="412"/>
        <v>0.14000000000000001</v>
      </c>
      <c r="H6626" s="759">
        <f t="shared" si="413"/>
        <v>0</v>
      </c>
      <c r="I6626" s="758">
        <f t="shared" si="414"/>
        <v>2.2829999999999999</v>
      </c>
      <c r="J6626" s="760">
        <f t="shared" si="415"/>
        <v>0.94222038794882379</v>
      </c>
    </row>
    <row r="6627" spans="1:10">
      <c r="A6627" s="74" t="s">
        <v>702</v>
      </c>
      <c r="B6627" s="74" t="s">
        <v>251</v>
      </c>
      <c r="C6627" s="74" t="s">
        <v>1532</v>
      </c>
      <c r="D6627" s="74" t="s">
        <v>80</v>
      </c>
      <c r="E6627" s="74">
        <v>10</v>
      </c>
      <c r="F6627" s="74">
        <v>24.23</v>
      </c>
      <c r="G6627" s="758">
        <f t="shared" si="412"/>
        <v>0.14000000000000001</v>
      </c>
      <c r="H6627" s="759">
        <f t="shared" si="413"/>
        <v>0</v>
      </c>
      <c r="I6627" s="758">
        <f t="shared" si="414"/>
        <v>2.2829999999999999</v>
      </c>
      <c r="J6627" s="760">
        <f t="shared" si="415"/>
        <v>0.94222038794882379</v>
      </c>
    </row>
    <row r="6628" spans="1:10">
      <c r="A6628" s="74" t="s">
        <v>702</v>
      </c>
      <c r="B6628" s="74" t="s">
        <v>251</v>
      </c>
      <c r="C6628" s="74" t="s">
        <v>1511</v>
      </c>
      <c r="D6628" s="74" t="s">
        <v>80</v>
      </c>
      <c r="E6628" s="74">
        <v>5</v>
      </c>
      <c r="F6628" s="74">
        <v>12.18</v>
      </c>
      <c r="G6628" s="758">
        <f t="shared" si="412"/>
        <v>0.14000000000000001</v>
      </c>
      <c r="H6628" s="759">
        <f t="shared" si="413"/>
        <v>0</v>
      </c>
      <c r="I6628" s="758">
        <f t="shared" si="414"/>
        <v>2.2959999999999998</v>
      </c>
      <c r="J6628" s="760">
        <f t="shared" si="415"/>
        <v>0.94252873563218387</v>
      </c>
    </row>
    <row r="6629" spans="1:10">
      <c r="A6629" s="74" t="s">
        <v>702</v>
      </c>
      <c r="B6629" s="74" t="s">
        <v>251</v>
      </c>
      <c r="C6629" s="74" t="s">
        <v>1512</v>
      </c>
      <c r="D6629" s="74" t="s">
        <v>80</v>
      </c>
      <c r="E6629" s="74">
        <v>5</v>
      </c>
      <c r="F6629" s="74">
        <v>12.32</v>
      </c>
      <c r="G6629" s="758">
        <f t="shared" si="412"/>
        <v>0.14000000000000001</v>
      </c>
      <c r="H6629" s="759">
        <f t="shared" si="413"/>
        <v>0</v>
      </c>
      <c r="I6629" s="758">
        <f t="shared" si="414"/>
        <v>2.3239999999999998</v>
      </c>
      <c r="J6629" s="760">
        <f t="shared" si="415"/>
        <v>0.94318181818181812</v>
      </c>
    </row>
    <row r="6630" spans="1:10">
      <c r="A6630" s="74" t="s">
        <v>702</v>
      </c>
      <c r="B6630" s="74" t="s">
        <v>251</v>
      </c>
      <c r="C6630" s="74" t="s">
        <v>1513</v>
      </c>
      <c r="D6630" s="74" t="s">
        <v>81</v>
      </c>
      <c r="E6630" s="74">
        <v>18</v>
      </c>
      <c r="F6630" s="74">
        <v>44.18</v>
      </c>
      <c r="G6630" s="758">
        <f t="shared" si="412"/>
        <v>0.14000000000000001</v>
      </c>
      <c r="H6630" s="759">
        <f t="shared" si="413"/>
        <v>0</v>
      </c>
      <c r="I6630" s="758">
        <f t="shared" si="414"/>
        <v>2.3144444444444443</v>
      </c>
      <c r="J6630" s="760">
        <f t="shared" si="415"/>
        <v>0.942960615663196</v>
      </c>
    </row>
    <row r="6631" spans="1:10">
      <c r="A6631" s="74" t="s">
        <v>702</v>
      </c>
      <c r="B6631" s="74" t="s">
        <v>251</v>
      </c>
      <c r="C6631" s="74" t="s">
        <v>1514</v>
      </c>
      <c r="D6631" s="74" t="s">
        <v>81</v>
      </c>
      <c r="E6631" s="74">
        <v>1</v>
      </c>
      <c r="F6631" s="74">
        <v>2.5499999999999998</v>
      </c>
      <c r="G6631" s="758">
        <f t="shared" si="412"/>
        <v>0.14000000000000001</v>
      </c>
      <c r="H6631" s="759">
        <f t="shared" si="413"/>
        <v>0</v>
      </c>
      <c r="I6631" s="758">
        <f t="shared" si="414"/>
        <v>2.4099999999999997</v>
      </c>
      <c r="J6631" s="760">
        <f t="shared" si="415"/>
        <v>0.94509803921568625</v>
      </c>
    </row>
    <row r="6632" spans="1:10">
      <c r="A6632" s="74" t="s">
        <v>702</v>
      </c>
      <c r="B6632" s="74" t="s">
        <v>251</v>
      </c>
      <c r="C6632" s="74" t="s">
        <v>1515</v>
      </c>
      <c r="D6632" s="74" t="s">
        <v>81</v>
      </c>
      <c r="E6632" s="74">
        <v>6</v>
      </c>
      <c r="F6632" s="74">
        <v>14.73</v>
      </c>
      <c r="G6632" s="758">
        <f t="shared" si="412"/>
        <v>0.14000000000000001</v>
      </c>
      <c r="H6632" s="759">
        <f t="shared" si="413"/>
        <v>0</v>
      </c>
      <c r="I6632" s="758">
        <f t="shared" si="414"/>
        <v>2.3149999999999999</v>
      </c>
      <c r="J6632" s="760">
        <f t="shared" si="415"/>
        <v>0.94297352342158858</v>
      </c>
    </row>
    <row r="6633" spans="1:10">
      <c r="A6633" s="74" t="s">
        <v>2322</v>
      </c>
      <c r="B6633" s="74" t="s">
        <v>256</v>
      </c>
      <c r="C6633" s="74" t="s">
        <v>1610</v>
      </c>
      <c r="D6633" s="74" t="s">
        <v>89</v>
      </c>
      <c r="E6633" s="74">
        <v>1</v>
      </c>
      <c r="F6633" s="74">
        <v>9.9499999999999993</v>
      </c>
      <c r="G6633" s="758">
        <f t="shared" si="412"/>
        <v>2.34</v>
      </c>
      <c r="H6633" s="759">
        <f t="shared" si="413"/>
        <v>0.28000000000000003</v>
      </c>
      <c r="I6633" s="758">
        <f t="shared" si="414"/>
        <v>7.6099999999999994</v>
      </c>
      <c r="J6633" s="760">
        <f t="shared" si="415"/>
        <v>0.76482412060301508</v>
      </c>
    </row>
    <row r="6634" spans="1:10">
      <c r="A6634" s="74" t="s">
        <v>2323</v>
      </c>
      <c r="B6634" s="74" t="s">
        <v>264</v>
      </c>
      <c r="C6634" s="74" t="s">
        <v>1555</v>
      </c>
      <c r="D6634" s="74" t="s">
        <v>94</v>
      </c>
      <c r="E6634" s="74">
        <v>1</v>
      </c>
      <c r="F6634" s="74">
        <v>1.25</v>
      </c>
      <c r="G6634" s="758">
        <f t="shared" si="412"/>
        <v>0</v>
      </c>
      <c r="H6634" s="759">
        <f t="shared" si="413"/>
        <v>0</v>
      </c>
      <c r="I6634" s="758">
        <f t="shared" si="414"/>
        <v>1.25</v>
      </c>
      <c r="J6634" s="760">
        <f t="shared" si="415"/>
        <v>1</v>
      </c>
    </row>
    <row r="6635" spans="1:10">
      <c r="A6635" s="74" t="s">
        <v>889</v>
      </c>
      <c r="B6635" s="74" t="s">
        <v>247</v>
      </c>
      <c r="C6635" s="74" t="s">
        <v>1646</v>
      </c>
      <c r="D6635" s="74" t="s">
        <v>86</v>
      </c>
      <c r="E6635" s="74">
        <v>1</v>
      </c>
      <c r="F6635" s="74">
        <v>1.95</v>
      </c>
      <c r="G6635" s="758">
        <f t="shared" si="412"/>
        <v>0.31</v>
      </c>
      <c r="H6635" s="759">
        <f t="shared" si="413"/>
        <v>0.24</v>
      </c>
      <c r="I6635" s="758">
        <f t="shared" si="414"/>
        <v>1.64</v>
      </c>
      <c r="J6635" s="760">
        <f t="shared" si="415"/>
        <v>0.84102564102564104</v>
      </c>
    </row>
    <row r="6636" spans="1:10">
      <c r="A6636" s="74" t="s">
        <v>889</v>
      </c>
      <c r="B6636" s="74" t="s">
        <v>247</v>
      </c>
      <c r="C6636" s="74" t="s">
        <v>1543</v>
      </c>
      <c r="D6636" s="74" t="s">
        <v>87</v>
      </c>
      <c r="E6636" s="74">
        <v>2</v>
      </c>
      <c r="F6636" s="74">
        <v>3.9</v>
      </c>
      <c r="G6636" s="758">
        <f t="shared" si="412"/>
        <v>0.31</v>
      </c>
      <c r="H6636" s="759">
        <f t="shared" si="413"/>
        <v>0.24</v>
      </c>
      <c r="I6636" s="758">
        <f t="shared" si="414"/>
        <v>1.64</v>
      </c>
      <c r="J6636" s="760">
        <f t="shared" si="415"/>
        <v>0.84102564102564104</v>
      </c>
    </row>
    <row r="6637" spans="1:10">
      <c r="A6637" s="74" t="s">
        <v>807</v>
      </c>
      <c r="B6637" s="74" t="s">
        <v>253</v>
      </c>
      <c r="C6637" s="74" t="s">
        <v>1512</v>
      </c>
      <c r="D6637" s="74" t="s">
        <v>80</v>
      </c>
      <c r="E6637" s="74">
        <v>6</v>
      </c>
      <c r="F6637" s="74">
        <v>16.5</v>
      </c>
      <c r="G6637" s="758">
        <f t="shared" si="412"/>
        <v>0</v>
      </c>
      <c r="H6637" s="759">
        <f t="shared" si="413"/>
        <v>0</v>
      </c>
      <c r="I6637" s="758">
        <f t="shared" si="414"/>
        <v>2.75</v>
      </c>
      <c r="J6637" s="760">
        <f t="shared" si="415"/>
        <v>1</v>
      </c>
    </row>
    <row r="6638" spans="1:10">
      <c r="A6638" s="74" t="s">
        <v>807</v>
      </c>
      <c r="B6638" s="74" t="s">
        <v>253</v>
      </c>
      <c r="C6638" s="74" t="s">
        <v>1513</v>
      </c>
      <c r="D6638" s="74" t="s">
        <v>81</v>
      </c>
      <c r="E6638" s="74">
        <v>4</v>
      </c>
      <c r="F6638" s="74">
        <v>10.73</v>
      </c>
      <c r="G6638" s="758">
        <f t="shared" si="412"/>
        <v>0</v>
      </c>
      <c r="H6638" s="759">
        <f t="shared" si="413"/>
        <v>0</v>
      </c>
      <c r="I6638" s="758">
        <f t="shared" si="414"/>
        <v>2.6825000000000001</v>
      </c>
      <c r="J6638" s="760">
        <f t="shared" si="415"/>
        <v>1</v>
      </c>
    </row>
    <row r="6639" spans="1:10">
      <c r="A6639" s="74" t="s">
        <v>807</v>
      </c>
      <c r="B6639" s="74" t="s">
        <v>253</v>
      </c>
      <c r="C6639" s="74" t="s">
        <v>1515</v>
      </c>
      <c r="D6639" s="74" t="s">
        <v>81</v>
      </c>
      <c r="E6639" s="74">
        <v>1</v>
      </c>
      <c r="F6639" s="74">
        <v>2.82</v>
      </c>
      <c r="G6639" s="758">
        <f t="shared" si="412"/>
        <v>0</v>
      </c>
      <c r="H6639" s="759">
        <f t="shared" si="413"/>
        <v>0</v>
      </c>
      <c r="I6639" s="758">
        <f t="shared" si="414"/>
        <v>2.82</v>
      </c>
      <c r="J6639" s="760">
        <f t="shared" si="415"/>
        <v>1</v>
      </c>
    </row>
    <row r="6640" spans="1:10">
      <c r="A6640" s="74" t="s">
        <v>715</v>
      </c>
      <c r="B6640" s="74" t="s">
        <v>693</v>
      </c>
      <c r="C6640" s="74" t="s">
        <v>1528</v>
      </c>
      <c r="D6640" s="74" t="s">
        <v>78</v>
      </c>
      <c r="E6640" s="74">
        <v>2</v>
      </c>
      <c r="F6640" s="74">
        <v>0</v>
      </c>
      <c r="G6640" s="758">
        <f t="shared" si="412"/>
        <v>0</v>
      </c>
      <c r="H6640" s="759">
        <f t="shared" si="413"/>
        <v>0</v>
      </c>
      <c r="I6640" s="758">
        <f t="shared" si="414"/>
        <v>0</v>
      </c>
      <c r="J6640" s="760">
        <f t="shared" si="415"/>
        <v>0</v>
      </c>
    </row>
    <row r="6641" spans="1:10">
      <c r="A6641" s="74" t="s">
        <v>715</v>
      </c>
      <c r="B6641" s="74" t="s">
        <v>693</v>
      </c>
      <c r="C6641" s="74" t="s">
        <v>1508</v>
      </c>
      <c r="D6641" s="74" t="s">
        <v>78</v>
      </c>
      <c r="E6641" s="74">
        <v>2</v>
      </c>
      <c r="F6641" s="74">
        <v>0</v>
      </c>
      <c r="G6641" s="758">
        <f t="shared" si="412"/>
        <v>0</v>
      </c>
      <c r="H6641" s="759">
        <f t="shared" si="413"/>
        <v>0</v>
      </c>
      <c r="I6641" s="758">
        <f t="shared" si="414"/>
        <v>0</v>
      </c>
      <c r="J6641" s="760">
        <f t="shared" si="415"/>
        <v>0</v>
      </c>
    </row>
    <row r="6642" spans="1:10">
      <c r="A6642" s="74" t="s">
        <v>715</v>
      </c>
      <c r="B6642" s="74" t="s">
        <v>693</v>
      </c>
      <c r="C6642" s="74" t="s">
        <v>1565</v>
      </c>
      <c r="D6642" s="74" t="s">
        <v>78</v>
      </c>
      <c r="E6642" s="74">
        <v>2</v>
      </c>
      <c r="F6642" s="74">
        <v>0</v>
      </c>
      <c r="G6642" s="758">
        <f t="shared" si="412"/>
        <v>0</v>
      </c>
      <c r="H6642" s="759">
        <f t="shared" si="413"/>
        <v>0</v>
      </c>
      <c r="I6642" s="758">
        <f t="shared" si="414"/>
        <v>0</v>
      </c>
      <c r="J6642" s="760">
        <f t="shared" si="415"/>
        <v>0</v>
      </c>
    </row>
    <row r="6643" spans="1:10">
      <c r="A6643" s="74" t="s">
        <v>715</v>
      </c>
      <c r="B6643" s="74" t="s">
        <v>693</v>
      </c>
      <c r="C6643" s="74" t="s">
        <v>1511</v>
      </c>
      <c r="D6643" s="74" t="s">
        <v>80</v>
      </c>
      <c r="E6643" s="74">
        <v>4</v>
      </c>
      <c r="F6643" s="74">
        <v>0</v>
      </c>
      <c r="G6643" s="758">
        <f t="shared" si="412"/>
        <v>0</v>
      </c>
      <c r="H6643" s="759">
        <f t="shared" si="413"/>
        <v>0</v>
      </c>
      <c r="I6643" s="758">
        <f t="shared" si="414"/>
        <v>0</v>
      </c>
      <c r="J6643" s="760">
        <f t="shared" si="415"/>
        <v>0</v>
      </c>
    </row>
    <row r="6644" spans="1:10">
      <c r="A6644" s="74" t="s">
        <v>715</v>
      </c>
      <c r="B6644" s="74" t="s">
        <v>693</v>
      </c>
      <c r="C6644" s="74" t="s">
        <v>1512</v>
      </c>
      <c r="D6644" s="74" t="s">
        <v>80</v>
      </c>
      <c r="E6644" s="74">
        <v>3</v>
      </c>
      <c r="F6644" s="74">
        <v>0</v>
      </c>
      <c r="G6644" s="758">
        <f t="shared" si="412"/>
        <v>0</v>
      </c>
      <c r="H6644" s="759">
        <f t="shared" si="413"/>
        <v>0</v>
      </c>
      <c r="I6644" s="758">
        <f t="shared" si="414"/>
        <v>0</v>
      </c>
      <c r="J6644" s="760">
        <f t="shared" si="415"/>
        <v>0</v>
      </c>
    </row>
    <row r="6645" spans="1:10">
      <c r="A6645" s="74" t="s">
        <v>715</v>
      </c>
      <c r="B6645" s="74" t="s">
        <v>693</v>
      </c>
      <c r="C6645" s="74" t="s">
        <v>1513</v>
      </c>
      <c r="D6645" s="74" t="s">
        <v>81</v>
      </c>
      <c r="E6645" s="74">
        <v>2</v>
      </c>
      <c r="F6645" s="74">
        <v>0</v>
      </c>
      <c r="G6645" s="758">
        <f t="shared" si="412"/>
        <v>0</v>
      </c>
      <c r="H6645" s="759">
        <f t="shared" si="413"/>
        <v>0</v>
      </c>
      <c r="I6645" s="758">
        <f t="shared" si="414"/>
        <v>0</v>
      </c>
      <c r="J6645" s="760">
        <f t="shared" si="415"/>
        <v>0</v>
      </c>
    </row>
    <row r="6646" spans="1:10">
      <c r="A6646" s="74" t="s">
        <v>715</v>
      </c>
      <c r="B6646" s="74" t="s">
        <v>693</v>
      </c>
      <c r="C6646" s="74" t="s">
        <v>1514</v>
      </c>
      <c r="D6646" s="74" t="s">
        <v>81</v>
      </c>
      <c r="E6646" s="74">
        <v>2</v>
      </c>
      <c r="F6646" s="74">
        <v>0</v>
      </c>
      <c r="G6646" s="758">
        <f t="shared" si="412"/>
        <v>0</v>
      </c>
      <c r="H6646" s="759">
        <f t="shared" si="413"/>
        <v>0</v>
      </c>
      <c r="I6646" s="758">
        <f t="shared" si="414"/>
        <v>0</v>
      </c>
      <c r="J6646" s="760">
        <f t="shared" si="415"/>
        <v>0</v>
      </c>
    </row>
    <row r="6647" spans="1:10">
      <c r="A6647" s="74" t="s">
        <v>2324</v>
      </c>
      <c r="B6647" s="74" t="s">
        <v>321</v>
      </c>
      <c r="C6647" s="74" t="s">
        <v>1543</v>
      </c>
      <c r="D6647" s="74" t="s">
        <v>87</v>
      </c>
      <c r="E6647" s="74">
        <v>1</v>
      </c>
      <c r="F6647" s="74">
        <v>3.95</v>
      </c>
      <c r="G6647" s="758">
        <f t="shared" si="412"/>
        <v>0</v>
      </c>
      <c r="H6647" s="759">
        <f t="shared" si="413"/>
        <v>0</v>
      </c>
      <c r="I6647" s="758">
        <f t="shared" si="414"/>
        <v>3.95</v>
      </c>
      <c r="J6647" s="760">
        <f t="shared" si="415"/>
        <v>1</v>
      </c>
    </row>
    <row r="6648" spans="1:10">
      <c r="A6648" s="74" t="s">
        <v>699</v>
      </c>
      <c r="B6648" s="74" t="s">
        <v>249</v>
      </c>
      <c r="C6648" s="74" t="s">
        <v>1528</v>
      </c>
      <c r="D6648" s="74" t="s">
        <v>78</v>
      </c>
      <c r="E6648" s="74">
        <v>4</v>
      </c>
      <c r="F6648" s="74">
        <v>0</v>
      </c>
      <c r="G6648" s="758">
        <f t="shared" si="412"/>
        <v>0</v>
      </c>
      <c r="H6648" s="759">
        <f t="shared" si="413"/>
        <v>0</v>
      </c>
      <c r="I6648" s="758">
        <f t="shared" si="414"/>
        <v>0</v>
      </c>
      <c r="J6648" s="760">
        <f t="shared" si="415"/>
        <v>0</v>
      </c>
    </row>
    <row r="6649" spans="1:10">
      <c r="A6649" s="74" t="s">
        <v>699</v>
      </c>
      <c r="B6649" s="74" t="s">
        <v>249</v>
      </c>
      <c r="C6649" s="74" t="s">
        <v>1508</v>
      </c>
      <c r="D6649" s="74" t="s">
        <v>78</v>
      </c>
      <c r="E6649" s="74">
        <v>2</v>
      </c>
      <c r="F6649" s="74">
        <v>0</v>
      </c>
      <c r="G6649" s="758">
        <f t="shared" si="412"/>
        <v>0</v>
      </c>
      <c r="H6649" s="759">
        <f t="shared" si="413"/>
        <v>0</v>
      </c>
      <c r="I6649" s="758">
        <f t="shared" si="414"/>
        <v>0</v>
      </c>
      <c r="J6649" s="760">
        <f t="shared" si="415"/>
        <v>0</v>
      </c>
    </row>
    <row r="6650" spans="1:10">
      <c r="A6650" s="74" t="s">
        <v>699</v>
      </c>
      <c r="B6650" s="74" t="s">
        <v>249</v>
      </c>
      <c r="C6650" s="74" t="s">
        <v>1565</v>
      </c>
      <c r="D6650" s="74" t="s">
        <v>78</v>
      </c>
      <c r="E6650" s="74">
        <v>1</v>
      </c>
      <c r="F6650" s="74">
        <v>0</v>
      </c>
      <c r="G6650" s="758">
        <f t="shared" si="412"/>
        <v>0</v>
      </c>
      <c r="H6650" s="759">
        <f t="shared" si="413"/>
        <v>0</v>
      </c>
      <c r="I6650" s="758">
        <f t="shared" si="414"/>
        <v>0</v>
      </c>
      <c r="J6650" s="760">
        <f t="shared" si="415"/>
        <v>0</v>
      </c>
    </row>
    <row r="6651" spans="1:10">
      <c r="A6651" s="74" t="s">
        <v>699</v>
      </c>
      <c r="B6651" s="74" t="s">
        <v>249</v>
      </c>
      <c r="C6651" s="74" t="s">
        <v>1530</v>
      </c>
      <c r="D6651" s="74" t="s">
        <v>80</v>
      </c>
      <c r="E6651" s="74">
        <v>1</v>
      </c>
      <c r="F6651" s="74">
        <v>0</v>
      </c>
      <c r="G6651" s="758">
        <f t="shared" si="412"/>
        <v>0</v>
      </c>
      <c r="H6651" s="759">
        <f t="shared" si="413"/>
        <v>0</v>
      </c>
      <c r="I6651" s="758">
        <f t="shared" si="414"/>
        <v>0</v>
      </c>
      <c r="J6651" s="760">
        <f t="shared" si="415"/>
        <v>0</v>
      </c>
    </row>
    <row r="6652" spans="1:10">
      <c r="A6652" s="74" t="s">
        <v>699</v>
      </c>
      <c r="B6652" s="74" t="s">
        <v>249</v>
      </c>
      <c r="C6652" s="74" t="s">
        <v>1532</v>
      </c>
      <c r="D6652" s="74" t="s">
        <v>80</v>
      </c>
      <c r="E6652" s="74">
        <v>1</v>
      </c>
      <c r="F6652" s="74">
        <v>0</v>
      </c>
      <c r="G6652" s="758">
        <f t="shared" si="412"/>
        <v>0</v>
      </c>
      <c r="H6652" s="759">
        <f t="shared" si="413"/>
        <v>0</v>
      </c>
      <c r="I6652" s="758">
        <f t="shared" si="414"/>
        <v>0</v>
      </c>
      <c r="J6652" s="760">
        <f t="shared" si="415"/>
        <v>0</v>
      </c>
    </row>
    <row r="6653" spans="1:10">
      <c r="A6653" s="74" t="s">
        <v>699</v>
      </c>
      <c r="B6653" s="74" t="s">
        <v>249</v>
      </c>
      <c r="C6653" s="74" t="s">
        <v>1511</v>
      </c>
      <c r="D6653" s="74" t="s">
        <v>80</v>
      </c>
      <c r="E6653" s="74">
        <v>2</v>
      </c>
      <c r="F6653" s="74">
        <v>0</v>
      </c>
      <c r="G6653" s="758">
        <f t="shared" si="412"/>
        <v>0</v>
      </c>
      <c r="H6653" s="759">
        <f t="shared" si="413"/>
        <v>0</v>
      </c>
      <c r="I6653" s="758">
        <f t="shared" si="414"/>
        <v>0</v>
      </c>
      <c r="J6653" s="760">
        <f t="shared" si="415"/>
        <v>0</v>
      </c>
    </row>
    <row r="6654" spans="1:10">
      <c r="A6654" s="74" t="s">
        <v>699</v>
      </c>
      <c r="B6654" s="74" t="s">
        <v>249</v>
      </c>
      <c r="C6654" s="74" t="s">
        <v>1513</v>
      </c>
      <c r="D6654" s="74" t="s">
        <v>81</v>
      </c>
      <c r="E6654" s="74">
        <v>4</v>
      </c>
      <c r="F6654" s="74">
        <v>0</v>
      </c>
      <c r="G6654" s="758">
        <f t="shared" si="412"/>
        <v>0</v>
      </c>
      <c r="H6654" s="759">
        <f t="shared" si="413"/>
        <v>0</v>
      </c>
      <c r="I6654" s="758">
        <f t="shared" si="414"/>
        <v>0</v>
      </c>
      <c r="J6654" s="760">
        <f t="shared" si="415"/>
        <v>0</v>
      </c>
    </row>
    <row r="6655" spans="1:10">
      <c r="A6655" s="74" t="s">
        <v>699</v>
      </c>
      <c r="B6655" s="74" t="s">
        <v>249</v>
      </c>
      <c r="C6655" s="74" t="s">
        <v>1514</v>
      </c>
      <c r="D6655" s="74" t="s">
        <v>81</v>
      </c>
      <c r="E6655" s="74">
        <v>2</v>
      </c>
      <c r="F6655" s="74">
        <v>0</v>
      </c>
      <c r="G6655" s="758">
        <f t="shared" si="412"/>
        <v>0</v>
      </c>
      <c r="H6655" s="759">
        <f t="shared" si="413"/>
        <v>0</v>
      </c>
      <c r="I6655" s="758">
        <f t="shared" si="414"/>
        <v>0</v>
      </c>
      <c r="J6655" s="760">
        <f t="shared" si="415"/>
        <v>0</v>
      </c>
    </row>
    <row r="6656" spans="1:10">
      <c r="A6656" s="74" t="s">
        <v>699</v>
      </c>
      <c r="B6656" s="74" t="s">
        <v>249</v>
      </c>
      <c r="C6656" s="74" t="s">
        <v>1515</v>
      </c>
      <c r="D6656" s="74" t="s">
        <v>81</v>
      </c>
      <c r="E6656" s="74">
        <v>1</v>
      </c>
      <c r="F6656" s="74">
        <v>0</v>
      </c>
      <c r="G6656" s="758">
        <f t="shared" si="412"/>
        <v>0</v>
      </c>
      <c r="H6656" s="759">
        <f t="shared" si="413"/>
        <v>0</v>
      </c>
      <c r="I6656" s="758">
        <f t="shared" si="414"/>
        <v>0</v>
      </c>
      <c r="J6656" s="760">
        <f t="shared" si="415"/>
        <v>0</v>
      </c>
    </row>
    <row r="6657" spans="1:16">
      <c r="A6657" s="74" t="s">
        <v>2325</v>
      </c>
      <c r="B6657" s="74" t="s">
        <v>258</v>
      </c>
      <c r="C6657" s="74" t="s">
        <v>1526</v>
      </c>
      <c r="D6657" s="74" t="s">
        <v>95</v>
      </c>
      <c r="E6657" s="74">
        <v>1</v>
      </c>
      <c r="F6657" s="74">
        <v>0</v>
      </c>
      <c r="G6657" s="758">
        <f t="shared" si="412"/>
        <v>0</v>
      </c>
      <c r="H6657" s="759">
        <f t="shared" si="413"/>
        <v>0</v>
      </c>
      <c r="I6657" s="758">
        <f t="shared" si="414"/>
        <v>0</v>
      </c>
      <c r="J6657" s="760">
        <f t="shared" si="415"/>
        <v>0</v>
      </c>
    </row>
    <row r="6658" spans="1:16">
      <c r="A6658" s="74" t="s">
        <v>2271</v>
      </c>
      <c r="B6658" s="74" t="s">
        <v>258</v>
      </c>
      <c r="C6658" s="74" t="s">
        <v>1540</v>
      </c>
      <c r="D6658" s="74" t="s">
        <v>84</v>
      </c>
      <c r="E6658" s="74">
        <v>1</v>
      </c>
      <c r="F6658" s="74">
        <v>0</v>
      </c>
      <c r="G6658" s="758">
        <f t="shared" si="412"/>
        <v>0.08</v>
      </c>
      <c r="H6658" s="759">
        <f t="shared" si="413"/>
        <v>0</v>
      </c>
      <c r="I6658" s="758">
        <f t="shared" si="414"/>
        <v>-0.08</v>
      </c>
      <c r="J6658" s="760">
        <f t="shared" si="415"/>
        <v>0</v>
      </c>
    </row>
    <row r="6659" spans="1:16">
      <c r="A6659" s="74" t="s">
        <v>2271</v>
      </c>
      <c r="B6659" s="74" t="s">
        <v>258</v>
      </c>
      <c r="C6659" s="74" t="s">
        <v>1520</v>
      </c>
      <c r="D6659" s="74" t="s">
        <v>84</v>
      </c>
      <c r="E6659" s="74">
        <v>1</v>
      </c>
      <c r="F6659" s="74">
        <v>0</v>
      </c>
      <c r="G6659" s="758">
        <f t="shared" si="412"/>
        <v>0.08</v>
      </c>
      <c r="H6659" s="759">
        <f t="shared" si="413"/>
        <v>0</v>
      </c>
      <c r="I6659" s="758">
        <f t="shared" si="414"/>
        <v>-0.08</v>
      </c>
      <c r="J6659" s="760">
        <f t="shared" si="415"/>
        <v>0</v>
      </c>
    </row>
    <row r="6660" spans="1:16">
      <c r="A6660" s="74" t="s">
        <v>2271</v>
      </c>
      <c r="B6660" s="74" t="s">
        <v>258</v>
      </c>
      <c r="C6660" s="74" t="s">
        <v>1578</v>
      </c>
      <c r="D6660" s="74" t="s">
        <v>86</v>
      </c>
      <c r="E6660" s="74">
        <v>2</v>
      </c>
      <c r="F6660" s="74">
        <v>0</v>
      </c>
      <c r="G6660" s="758">
        <f t="shared" si="412"/>
        <v>0.08</v>
      </c>
      <c r="H6660" s="759">
        <f t="shared" si="413"/>
        <v>0</v>
      </c>
      <c r="I6660" s="758">
        <f t="shared" si="414"/>
        <v>-0.08</v>
      </c>
      <c r="J6660" s="760">
        <f t="shared" si="415"/>
        <v>0</v>
      </c>
    </row>
    <row r="6661" spans="1:16">
      <c r="A6661" s="1129" t="s">
        <v>792</v>
      </c>
      <c r="B6661" s="1129" t="s">
        <v>256</v>
      </c>
      <c r="C6661" s="1129" t="s">
        <v>1516</v>
      </c>
      <c r="D6661" s="1129" t="s">
        <v>81</v>
      </c>
      <c r="E6661" s="1129">
        <v>25</v>
      </c>
      <c r="F6661" s="1129">
        <v>318.18181818181802</v>
      </c>
      <c r="G6661" s="1129">
        <v>0</v>
      </c>
      <c r="H6661" s="1129">
        <v>0</v>
      </c>
      <c r="I6661" s="1129">
        <v>12.72727272727272</v>
      </c>
      <c r="J6661" s="1129">
        <v>1</v>
      </c>
      <c r="K6661" s="1129"/>
      <c r="L6661" s="1129"/>
      <c r="M6661" s="1129"/>
      <c r="N6661" s="1129"/>
      <c r="O6661" s="1129"/>
      <c r="P6661" s="1129"/>
    </row>
    <row r="6662" spans="1:16">
      <c r="A6662" s="1129" t="s">
        <v>790</v>
      </c>
      <c r="B6662" s="1129" t="s">
        <v>264</v>
      </c>
      <c r="C6662" s="1129" t="s">
        <v>1516</v>
      </c>
      <c r="D6662" s="1129" t="s">
        <v>81</v>
      </c>
      <c r="E6662" s="1129">
        <v>77</v>
      </c>
      <c r="F6662" s="1129">
        <v>250</v>
      </c>
      <c r="G6662" s="1129">
        <v>0</v>
      </c>
      <c r="H6662" s="1129">
        <v>0</v>
      </c>
      <c r="I6662" s="1129">
        <v>3.2467532467532472</v>
      </c>
      <c r="J6662" s="1129">
        <v>1</v>
      </c>
      <c r="K6662" s="1129"/>
      <c r="L6662" s="1129"/>
      <c r="M6662" s="1129"/>
      <c r="N6662" s="1129"/>
      <c r="O6662" s="1129"/>
      <c r="P6662" s="1129"/>
    </row>
    <row r="6663" spans="1:16">
      <c r="A6663" s="1129" t="s">
        <v>791</v>
      </c>
      <c r="B6663" s="1129" t="s">
        <v>256</v>
      </c>
      <c r="C6663" s="1129" t="s">
        <v>1516</v>
      </c>
      <c r="D6663" s="1129" t="s">
        <v>81</v>
      </c>
      <c r="E6663" s="1129">
        <v>34</v>
      </c>
      <c r="F6663" s="1129">
        <v>172.272727272727</v>
      </c>
      <c r="G6663" s="1129">
        <v>0</v>
      </c>
      <c r="H6663" s="1129">
        <v>0</v>
      </c>
      <c r="I6663" s="1129">
        <v>5.0668449197860879</v>
      </c>
      <c r="J6663" s="1129">
        <v>1</v>
      </c>
      <c r="K6663" s="1129"/>
      <c r="L6663" s="1129"/>
      <c r="M6663" s="1129"/>
      <c r="N6663" s="1129"/>
      <c r="O6663" s="1129"/>
      <c r="P6663" s="1129"/>
    </row>
    <row r="6664" spans="1:16">
      <c r="A6664" s="1129" t="s">
        <v>781</v>
      </c>
      <c r="B6664" s="1129" t="s">
        <v>764</v>
      </c>
      <c r="C6664" s="1129" t="s">
        <v>1516</v>
      </c>
      <c r="D6664" s="1129" t="s">
        <v>81</v>
      </c>
      <c r="E6664" s="1129">
        <v>9</v>
      </c>
      <c r="F6664" s="1129">
        <v>131</v>
      </c>
      <c r="G6664" s="1129">
        <v>0</v>
      </c>
      <c r="H6664" s="1129">
        <v>0</v>
      </c>
      <c r="I6664" s="1129">
        <v>14.555555555555561</v>
      </c>
      <c r="J6664" s="1129">
        <v>1</v>
      </c>
      <c r="K6664" s="1129"/>
      <c r="L6664" s="1129"/>
      <c r="M6664" s="1129"/>
      <c r="N6664" s="1129"/>
      <c r="O6664" s="1129"/>
      <c r="P6664" s="1129"/>
    </row>
    <row r="6665" spans="1:16">
      <c r="A6665" s="1129" t="s">
        <v>837</v>
      </c>
      <c r="B6665" s="1129" t="s">
        <v>282</v>
      </c>
      <c r="C6665" s="1129" t="s">
        <v>1516</v>
      </c>
      <c r="D6665" s="1129" t="s">
        <v>81</v>
      </c>
      <c r="E6665" s="1129">
        <v>10</v>
      </c>
      <c r="F6665" s="1129">
        <v>117.727272727273</v>
      </c>
      <c r="G6665" s="1129">
        <v>0</v>
      </c>
      <c r="H6665" s="1129">
        <v>0</v>
      </c>
      <c r="I6665" s="1129">
        <v>11.7727272727273</v>
      </c>
      <c r="J6665" s="1129">
        <v>1</v>
      </c>
      <c r="K6665" s="1129"/>
      <c r="L6665" s="1129"/>
      <c r="M6665" s="1129"/>
      <c r="N6665" s="1129"/>
      <c r="O6665" s="1129"/>
      <c r="P6665" s="1129"/>
    </row>
    <row r="6666" spans="1:16">
      <c r="A6666" s="1129" t="s">
        <v>794</v>
      </c>
      <c r="B6666" s="1129" t="s">
        <v>256</v>
      </c>
      <c r="C6666" s="1129" t="s">
        <v>1516</v>
      </c>
      <c r="D6666" s="1129" t="s">
        <v>81</v>
      </c>
      <c r="E6666" s="1129">
        <v>17</v>
      </c>
      <c r="F6666" s="1129">
        <v>117.045454545455</v>
      </c>
      <c r="G6666" s="1129">
        <v>0</v>
      </c>
      <c r="H6666" s="1129">
        <v>0</v>
      </c>
      <c r="I6666" s="1129">
        <v>6.8850267379679408</v>
      </c>
      <c r="J6666" s="1129">
        <v>1</v>
      </c>
      <c r="K6666" s="1129"/>
      <c r="L6666" s="1129"/>
      <c r="M6666" s="1129"/>
      <c r="N6666" s="1129"/>
      <c r="O6666" s="1129"/>
      <c r="P6666" s="1129"/>
    </row>
    <row r="6667" spans="1:16">
      <c r="A6667" s="1129" t="s">
        <v>259</v>
      </c>
      <c r="B6667" s="1129" t="s">
        <v>249</v>
      </c>
      <c r="C6667" s="1129" t="s">
        <v>1516</v>
      </c>
      <c r="D6667" s="1129" t="s">
        <v>81</v>
      </c>
      <c r="E6667" s="1129">
        <v>88</v>
      </c>
      <c r="F6667" s="1129">
        <v>116.681818181818</v>
      </c>
      <c r="G6667" s="1129">
        <v>0.19</v>
      </c>
      <c r="H6667" s="1129">
        <v>0.26</v>
      </c>
      <c r="I6667" s="1129">
        <v>1.135929752066114</v>
      </c>
      <c r="J6667" s="1129">
        <v>0.8567043241137513</v>
      </c>
      <c r="K6667" s="1129"/>
      <c r="L6667" s="1129"/>
      <c r="M6667" s="1129"/>
      <c r="N6667" s="1129"/>
      <c r="O6667" s="1129"/>
      <c r="P6667" s="1129"/>
    </row>
    <row r="6668" spans="1:16">
      <c r="A6668" s="1129" t="s">
        <v>793</v>
      </c>
      <c r="B6668" s="1129" t="s">
        <v>695</v>
      </c>
      <c r="C6668" s="1129" t="s">
        <v>1516</v>
      </c>
      <c r="D6668" s="1129" t="s">
        <v>81</v>
      </c>
      <c r="E6668" s="1129">
        <v>18</v>
      </c>
      <c r="F6668" s="1129">
        <v>114.863636363636</v>
      </c>
      <c r="G6668" s="1129">
        <v>1.02</v>
      </c>
      <c r="H6668" s="1129">
        <v>0.2</v>
      </c>
      <c r="I6668" s="1129">
        <v>5.3613131313131106</v>
      </c>
      <c r="J6668" s="1129">
        <v>0.84015829046299917</v>
      </c>
      <c r="K6668" s="1129"/>
      <c r="L6668" s="1129"/>
      <c r="M6668" s="1129"/>
      <c r="N6668" s="1129"/>
      <c r="O6668" s="1129"/>
      <c r="P6668" s="1129"/>
    </row>
    <row r="6669" spans="1:16">
      <c r="A6669" s="1129" t="s">
        <v>796</v>
      </c>
      <c r="B6669" s="1129" t="s">
        <v>282</v>
      </c>
      <c r="C6669" s="1129" t="s">
        <v>1516</v>
      </c>
      <c r="D6669" s="1129" t="s">
        <v>81</v>
      </c>
      <c r="E6669" s="1129">
        <v>10</v>
      </c>
      <c r="F6669" s="1129">
        <v>108.863636363636</v>
      </c>
      <c r="G6669" s="1129">
        <v>2.66</v>
      </c>
      <c r="H6669" s="1129">
        <v>0.28000000000000003</v>
      </c>
      <c r="I6669" s="1129">
        <v>8.226363636363601</v>
      </c>
      <c r="J6669" s="1129">
        <v>0.75565762004175285</v>
      </c>
      <c r="K6669" s="1129"/>
      <c r="L6669" s="1129"/>
      <c r="M6669" s="1129"/>
      <c r="N6669" s="1129"/>
      <c r="O6669" s="1129"/>
      <c r="P6669" s="1129"/>
    </row>
    <row r="6670" spans="1:16">
      <c r="A6670" s="1129" t="s">
        <v>763</v>
      </c>
      <c r="B6670" s="1129" t="s">
        <v>764</v>
      </c>
      <c r="C6670" s="1129" t="s">
        <v>1516</v>
      </c>
      <c r="D6670" s="1129" t="s">
        <v>81</v>
      </c>
      <c r="E6670" s="1129">
        <v>10</v>
      </c>
      <c r="F6670" s="1129">
        <v>105.227272727273</v>
      </c>
      <c r="G6670" s="1129">
        <v>0</v>
      </c>
      <c r="H6670" s="1129">
        <v>0</v>
      </c>
      <c r="I6670" s="1129">
        <v>10.5227272727273</v>
      </c>
      <c r="J6670" s="1129">
        <v>1</v>
      </c>
      <c r="K6670" s="1129"/>
      <c r="L6670" s="1129"/>
      <c r="M6670" s="1129"/>
      <c r="N6670" s="1129"/>
      <c r="O6670" s="1129"/>
      <c r="P6670" s="1129"/>
    </row>
    <row r="6671" spans="1:16">
      <c r="A6671" s="1129" t="s">
        <v>680</v>
      </c>
      <c r="B6671" s="1129" t="s">
        <v>251</v>
      </c>
      <c r="C6671" s="1129" t="s">
        <v>1516</v>
      </c>
      <c r="D6671" s="1129" t="s">
        <v>81</v>
      </c>
      <c r="E6671" s="1129">
        <v>42</v>
      </c>
      <c r="F6671" s="1129">
        <v>103.772727272727</v>
      </c>
      <c r="G6671" s="1129">
        <v>0.53</v>
      </c>
      <c r="H6671" s="1129">
        <v>0.32</v>
      </c>
      <c r="I6671" s="1129">
        <v>1.9407792207792141</v>
      </c>
      <c r="J6671" s="1129">
        <v>0.78549277266754214</v>
      </c>
      <c r="K6671" s="1129"/>
      <c r="L6671" s="1129"/>
      <c r="M6671" s="1129"/>
      <c r="N6671" s="1129"/>
      <c r="O6671" s="1129"/>
      <c r="P6671" s="1129"/>
    </row>
    <row r="6672" spans="1:16">
      <c r="A6672" s="1129" t="s">
        <v>688</v>
      </c>
      <c r="B6672" s="1129" t="s">
        <v>689</v>
      </c>
      <c r="C6672" s="1129" t="s">
        <v>1516</v>
      </c>
      <c r="D6672" s="1129" t="s">
        <v>81</v>
      </c>
      <c r="E6672" s="1129">
        <v>10</v>
      </c>
      <c r="F6672" s="1129">
        <v>99.772727272727295</v>
      </c>
      <c r="G6672" s="1129">
        <v>0</v>
      </c>
      <c r="H6672" s="1129">
        <v>0</v>
      </c>
      <c r="I6672" s="1129">
        <v>9.9772727272727302</v>
      </c>
      <c r="J6672" s="1129">
        <v>1</v>
      </c>
      <c r="K6672" s="1129"/>
      <c r="L6672" s="1129"/>
      <c r="M6672" s="1129"/>
      <c r="N6672" s="1129"/>
      <c r="O6672" s="1129"/>
      <c r="P6672" s="1129"/>
    </row>
    <row r="6673" spans="1:16">
      <c r="A6673" s="1129" t="s">
        <v>707</v>
      </c>
      <c r="B6673" s="1129" t="s">
        <v>256</v>
      </c>
      <c r="C6673" s="1129" t="s">
        <v>1516</v>
      </c>
      <c r="D6673" s="1129" t="s">
        <v>81</v>
      </c>
      <c r="E6673" s="1129">
        <v>11</v>
      </c>
      <c r="F6673" s="1129">
        <v>95.681818181818201</v>
      </c>
      <c r="G6673" s="1129">
        <v>0.53</v>
      </c>
      <c r="H6673" s="1129">
        <v>0.22</v>
      </c>
      <c r="I6673" s="1129">
        <v>8.1683471074380183</v>
      </c>
      <c r="J6673" s="1129">
        <v>0.93906888361045127</v>
      </c>
      <c r="K6673" s="1129"/>
      <c r="L6673" s="1129"/>
      <c r="M6673" s="1129"/>
      <c r="N6673" s="1129"/>
      <c r="O6673" s="1129"/>
      <c r="P6673" s="1129"/>
    </row>
    <row r="6674" spans="1:16">
      <c r="A6674" s="1129" t="s">
        <v>701</v>
      </c>
      <c r="B6674" s="1129" t="s">
        <v>689</v>
      </c>
      <c r="C6674" s="1129" t="s">
        <v>1516</v>
      </c>
      <c r="D6674" s="1129" t="s">
        <v>81</v>
      </c>
      <c r="E6674" s="1129">
        <v>8</v>
      </c>
      <c r="F6674" s="1129">
        <v>79.954545454545496</v>
      </c>
      <c r="G6674" s="1129">
        <v>0.22</v>
      </c>
      <c r="H6674" s="1129">
        <v>0</v>
      </c>
      <c r="I6674" s="1129">
        <v>9.7743181818181863</v>
      </c>
      <c r="J6674" s="1129">
        <v>0.97798749289368958</v>
      </c>
      <c r="K6674" s="1129"/>
      <c r="L6674" s="1129"/>
      <c r="M6674" s="1129"/>
      <c r="N6674" s="1129"/>
      <c r="O6674" s="1129"/>
      <c r="P6674" s="1129"/>
    </row>
    <row r="6675" spans="1:16">
      <c r="A6675" s="1129" t="s">
        <v>784</v>
      </c>
      <c r="B6675" s="1129" t="s">
        <v>764</v>
      </c>
      <c r="C6675" s="1129" t="s">
        <v>1516</v>
      </c>
      <c r="D6675" s="1129" t="s">
        <v>81</v>
      </c>
      <c r="E6675" s="1129">
        <v>4</v>
      </c>
      <c r="F6675" s="1129">
        <v>53.181818181818201</v>
      </c>
      <c r="G6675" s="1129">
        <v>0</v>
      </c>
      <c r="H6675" s="1129">
        <v>0</v>
      </c>
      <c r="I6675" s="1129">
        <v>13.29545454545455</v>
      </c>
      <c r="J6675" s="1129">
        <v>1</v>
      </c>
      <c r="K6675" s="1129"/>
      <c r="L6675" s="1129"/>
      <c r="M6675" s="1129"/>
      <c r="N6675" s="1129"/>
      <c r="O6675" s="1129"/>
      <c r="P6675" s="1129"/>
    </row>
    <row r="6676" spans="1:16">
      <c r="A6676" s="1129" t="s">
        <v>745</v>
      </c>
      <c r="B6676" s="1129" t="s">
        <v>275</v>
      </c>
      <c r="C6676" s="1129" t="s">
        <v>1516</v>
      </c>
      <c r="D6676" s="1129" t="s">
        <v>81</v>
      </c>
      <c r="E6676" s="1129">
        <v>11</v>
      </c>
      <c r="F6676" s="1129">
        <v>52.954545454545503</v>
      </c>
      <c r="G6676" s="1129">
        <v>0.41</v>
      </c>
      <c r="H6676" s="1129">
        <v>0.09</v>
      </c>
      <c r="I6676" s="1129">
        <v>4.4040495867768641</v>
      </c>
      <c r="J6676" s="1129">
        <v>0.91483261802575111</v>
      </c>
      <c r="K6676" s="1129"/>
      <c r="L6676" s="1129"/>
      <c r="M6676" s="1129"/>
      <c r="N6676" s="1129"/>
      <c r="O6676" s="1129"/>
      <c r="P6676" s="1129"/>
    </row>
    <row r="6677" spans="1:16">
      <c r="A6677" s="1129" t="s">
        <v>673</v>
      </c>
      <c r="B6677" s="1129" t="s">
        <v>251</v>
      </c>
      <c r="C6677" s="1129" t="s">
        <v>1516</v>
      </c>
      <c r="D6677" s="1129" t="s">
        <v>81</v>
      </c>
      <c r="E6677" s="1129">
        <v>20</v>
      </c>
      <c r="F6677" s="1129">
        <v>49.545454545454497</v>
      </c>
      <c r="G6677" s="1129">
        <v>0.53</v>
      </c>
      <c r="H6677" s="1129">
        <v>0.28999999999999998</v>
      </c>
      <c r="I6677" s="1129">
        <v>1.947272727272725</v>
      </c>
      <c r="J6677" s="1129">
        <v>0.78605504587155939</v>
      </c>
      <c r="K6677" s="1129"/>
      <c r="L6677" s="1129"/>
      <c r="M6677" s="1129"/>
      <c r="N6677" s="1129"/>
      <c r="O6677" s="1129"/>
      <c r="P6677" s="1129"/>
    </row>
    <row r="6678" spans="1:16">
      <c r="A6678" s="1129" t="s">
        <v>700</v>
      </c>
      <c r="B6678" s="1129" t="s">
        <v>274</v>
      </c>
      <c r="C6678" s="1129" t="s">
        <v>1516</v>
      </c>
      <c r="D6678" s="1129" t="s">
        <v>81</v>
      </c>
      <c r="E6678" s="1129">
        <v>5</v>
      </c>
      <c r="F6678" s="1129">
        <v>45.909090909090899</v>
      </c>
      <c r="G6678" s="1129">
        <v>1.79</v>
      </c>
      <c r="H6678" s="1129">
        <v>0.21</v>
      </c>
      <c r="I6678" s="1129">
        <v>7.3918181818181798</v>
      </c>
      <c r="J6678" s="1129">
        <v>0.80504950495049499</v>
      </c>
      <c r="K6678" s="1129"/>
      <c r="L6678" s="1129"/>
      <c r="M6678" s="1129"/>
      <c r="N6678" s="1129"/>
      <c r="O6678" s="1129"/>
      <c r="P6678" s="1129"/>
    </row>
    <row r="6679" spans="1:16">
      <c r="A6679" s="1129" t="s">
        <v>783</v>
      </c>
      <c r="B6679" s="1129" t="s">
        <v>764</v>
      </c>
      <c r="C6679" s="1129" t="s">
        <v>1516</v>
      </c>
      <c r="D6679" s="1129" t="s">
        <v>81</v>
      </c>
      <c r="E6679" s="1129">
        <v>5</v>
      </c>
      <c r="F6679" s="1129">
        <v>45.454545454545503</v>
      </c>
      <c r="G6679" s="1129">
        <v>0</v>
      </c>
      <c r="H6679" s="1129">
        <v>0</v>
      </c>
      <c r="I6679" s="1129">
        <v>9.0909090909091006</v>
      </c>
      <c r="J6679" s="1129">
        <v>1</v>
      </c>
      <c r="K6679" s="1129"/>
      <c r="L6679" s="1129"/>
      <c r="M6679" s="1129"/>
      <c r="N6679" s="1129"/>
      <c r="O6679" s="1129"/>
      <c r="P6679" s="1129"/>
    </row>
    <row r="6680" spans="1:16">
      <c r="A6680" s="1129" t="s">
        <v>691</v>
      </c>
      <c r="B6680" s="1129" t="s">
        <v>251</v>
      </c>
      <c r="C6680" s="1129" t="s">
        <v>1516</v>
      </c>
      <c r="D6680" s="1129" t="s">
        <v>81</v>
      </c>
      <c r="E6680" s="1129">
        <v>14</v>
      </c>
      <c r="F6680" s="1129">
        <v>34.272727272727302</v>
      </c>
      <c r="G6680" s="1129">
        <v>0</v>
      </c>
      <c r="H6680" s="1129">
        <v>0</v>
      </c>
      <c r="I6680" s="1129">
        <v>2.4480519480519498</v>
      </c>
      <c r="J6680" s="1129">
        <v>1</v>
      </c>
      <c r="K6680" s="1129"/>
      <c r="L6680" s="1129"/>
      <c r="M6680" s="1129"/>
      <c r="N6680" s="1129"/>
      <c r="O6680" s="1129"/>
      <c r="P6680" s="1129"/>
    </row>
    <row r="6681" spans="1:16">
      <c r="A6681" s="1129" t="s">
        <v>743</v>
      </c>
      <c r="B6681" s="1129" t="s">
        <v>251</v>
      </c>
      <c r="C6681" s="1129" t="s">
        <v>1516</v>
      </c>
      <c r="D6681" s="1129" t="s">
        <v>81</v>
      </c>
      <c r="E6681" s="1129">
        <v>13</v>
      </c>
      <c r="F6681" s="1129">
        <v>32.136363636363598</v>
      </c>
      <c r="G6681" s="1129">
        <v>0</v>
      </c>
      <c r="H6681" s="1129">
        <v>0</v>
      </c>
      <c r="I6681" s="1129">
        <v>2.472027972027969</v>
      </c>
      <c r="J6681" s="1129">
        <v>1</v>
      </c>
      <c r="K6681" s="1129"/>
      <c r="L6681" s="1129"/>
      <c r="M6681" s="1129"/>
      <c r="N6681" s="1129"/>
      <c r="O6681" s="1129"/>
      <c r="P6681" s="1129"/>
    </row>
    <row r="6682" spans="1:16">
      <c r="A6682" s="1129" t="s">
        <v>747</v>
      </c>
      <c r="B6682" s="1129" t="s">
        <v>256</v>
      </c>
      <c r="C6682" s="1129" t="s">
        <v>1516</v>
      </c>
      <c r="D6682" s="1129" t="s">
        <v>81</v>
      </c>
      <c r="E6682" s="1129">
        <v>4</v>
      </c>
      <c r="F6682" s="1129">
        <v>30.909090909090899</v>
      </c>
      <c r="G6682" s="1129">
        <v>2.34</v>
      </c>
      <c r="H6682" s="1129">
        <v>0.24</v>
      </c>
      <c r="I6682" s="1129">
        <v>5.387272727272725</v>
      </c>
      <c r="J6682" s="1129">
        <v>0.69717647058823529</v>
      </c>
      <c r="K6682" s="1129"/>
      <c r="L6682" s="1129"/>
      <c r="M6682" s="1129"/>
      <c r="N6682" s="1129"/>
      <c r="O6682" s="1129"/>
      <c r="P6682" s="1129"/>
    </row>
    <row r="6683" spans="1:16">
      <c r="A6683" s="1129" t="s">
        <v>804</v>
      </c>
      <c r="B6683" s="1129" t="s">
        <v>253</v>
      </c>
      <c r="C6683" s="1129" t="s">
        <v>1516</v>
      </c>
      <c r="D6683" s="1129" t="s">
        <v>81</v>
      </c>
      <c r="E6683" s="1129">
        <v>11</v>
      </c>
      <c r="F6683" s="1129">
        <v>30.454545454545499</v>
      </c>
      <c r="G6683" s="1129">
        <v>0</v>
      </c>
      <c r="H6683" s="1129">
        <v>0</v>
      </c>
      <c r="I6683" s="1129">
        <v>2.7685950413223179</v>
      </c>
      <c r="J6683" s="1129">
        <v>1</v>
      </c>
      <c r="K6683" s="1129"/>
      <c r="L6683" s="1129"/>
      <c r="M6683" s="1129"/>
      <c r="N6683" s="1129"/>
      <c r="O6683" s="1129"/>
      <c r="P6683" s="1129"/>
    </row>
    <row r="6684" spans="1:16">
      <c r="A6684" s="1129" t="s">
        <v>748</v>
      </c>
      <c r="B6684" s="1129" t="s">
        <v>274</v>
      </c>
      <c r="C6684" s="1129" t="s">
        <v>1516</v>
      </c>
      <c r="D6684" s="1129" t="s">
        <v>81</v>
      </c>
      <c r="E6684" s="1129">
        <v>3</v>
      </c>
      <c r="F6684" s="1129">
        <v>27.272727272727298</v>
      </c>
      <c r="G6684" s="1129">
        <v>1.66</v>
      </c>
      <c r="H6684" s="1129">
        <v>0.21</v>
      </c>
      <c r="I6684" s="1129">
        <v>7.4309090909090987</v>
      </c>
      <c r="J6684" s="1129">
        <v>0.81740000000000013</v>
      </c>
      <c r="K6684" s="1129"/>
      <c r="L6684" s="1129"/>
      <c r="M6684" s="1129"/>
      <c r="N6684" s="1129"/>
      <c r="O6684" s="1129"/>
      <c r="P6684" s="1129"/>
    </row>
    <row r="6685" spans="1:16">
      <c r="A6685" s="1129" t="s">
        <v>671</v>
      </c>
      <c r="B6685" s="1129" t="s">
        <v>276</v>
      </c>
      <c r="C6685" s="1129" t="s">
        <v>1516</v>
      </c>
      <c r="D6685" s="1129" t="s">
        <v>81</v>
      </c>
      <c r="E6685" s="1129">
        <v>8</v>
      </c>
      <c r="F6685" s="1129">
        <v>23.545454545454501</v>
      </c>
      <c r="G6685" s="1129">
        <v>1.6</v>
      </c>
      <c r="H6685" s="1129">
        <v>0.47</v>
      </c>
      <c r="I6685" s="1129">
        <v>1.343181818181812</v>
      </c>
      <c r="J6685" s="1129">
        <v>0.45637065637065533</v>
      </c>
      <c r="K6685" s="1129"/>
      <c r="L6685" s="1129"/>
      <c r="M6685" s="1129"/>
      <c r="N6685" s="1129"/>
      <c r="O6685" s="1129"/>
      <c r="P6685" s="1129"/>
    </row>
    <row r="6686" spans="1:16">
      <c r="A6686" s="1129" t="s">
        <v>740</v>
      </c>
      <c r="B6686" s="1129" t="s">
        <v>264</v>
      </c>
      <c r="C6686" s="1129" t="s">
        <v>1516</v>
      </c>
      <c r="D6686" s="1129" t="s">
        <v>81</v>
      </c>
      <c r="E6686" s="1129">
        <v>9</v>
      </c>
      <c r="F6686" s="1129">
        <v>23.181818181818201</v>
      </c>
      <c r="G6686" s="1129">
        <v>0.16</v>
      </c>
      <c r="H6686" s="1129">
        <v>0.13</v>
      </c>
      <c r="I6686" s="1129">
        <v>2.4157575757575782</v>
      </c>
      <c r="J6686" s="1129">
        <v>0.9378823529411765</v>
      </c>
      <c r="K6686" s="1129"/>
      <c r="L6686" s="1129"/>
      <c r="M6686" s="1129"/>
      <c r="N6686" s="1129"/>
      <c r="O6686" s="1129"/>
      <c r="P6686" s="1129"/>
    </row>
    <row r="6687" spans="1:16">
      <c r="A6687" s="1129" t="s">
        <v>698</v>
      </c>
      <c r="B6687" s="1129" t="s">
        <v>249</v>
      </c>
      <c r="C6687" s="1129" t="s">
        <v>1516</v>
      </c>
      <c r="D6687" s="1129" t="s">
        <v>81</v>
      </c>
      <c r="E6687" s="1129">
        <v>9</v>
      </c>
      <c r="F6687" s="1129">
        <v>21.272727272727298</v>
      </c>
      <c r="G6687" s="1129">
        <v>0.32</v>
      </c>
      <c r="H6687" s="1129">
        <v>0.25</v>
      </c>
      <c r="I6687" s="1129">
        <v>2.043636363636367</v>
      </c>
      <c r="J6687" s="1129">
        <v>0.86461538461538479</v>
      </c>
      <c r="K6687" s="1129"/>
      <c r="L6687" s="1129"/>
      <c r="M6687" s="1129"/>
      <c r="N6687" s="1129"/>
      <c r="O6687" s="1129"/>
      <c r="P6687" s="1129"/>
    </row>
    <row r="6688" spans="1:16">
      <c r="A6688" s="1129" t="s">
        <v>677</v>
      </c>
      <c r="B6688" s="1129" t="s">
        <v>249</v>
      </c>
      <c r="C6688" s="1129" t="s">
        <v>1516</v>
      </c>
      <c r="D6688" s="1129" t="s">
        <v>81</v>
      </c>
      <c r="E6688" s="1129">
        <v>11</v>
      </c>
      <c r="F6688" s="1129">
        <v>19.681818181818201</v>
      </c>
      <c r="G6688" s="1129">
        <v>0.31</v>
      </c>
      <c r="H6688" s="1129">
        <v>0.24</v>
      </c>
      <c r="I6688" s="1129">
        <v>1.4792561983471091</v>
      </c>
      <c r="J6688" s="1129">
        <v>0.82674364896073915</v>
      </c>
      <c r="K6688" s="1129"/>
      <c r="L6688" s="1129"/>
      <c r="M6688" s="1129"/>
      <c r="N6688" s="1129"/>
      <c r="O6688" s="1129"/>
      <c r="P6688" s="1129"/>
    </row>
    <row r="6689" spans="1:16">
      <c r="A6689" s="1129" t="s">
        <v>803</v>
      </c>
      <c r="B6689" s="1129" t="s">
        <v>764</v>
      </c>
      <c r="C6689" s="1129" t="s">
        <v>1516</v>
      </c>
      <c r="D6689" s="1129" t="s">
        <v>81</v>
      </c>
      <c r="E6689" s="1129">
        <v>2</v>
      </c>
      <c r="F6689" s="1129">
        <v>18.181818181818201</v>
      </c>
      <c r="G6689" s="1129">
        <v>0</v>
      </c>
      <c r="H6689" s="1129">
        <v>0</v>
      </c>
      <c r="I6689" s="1129">
        <v>9.0909090909091006</v>
      </c>
      <c r="J6689" s="1129">
        <v>1</v>
      </c>
      <c r="K6689" s="1129"/>
      <c r="L6689" s="1129"/>
      <c r="M6689" s="1129"/>
      <c r="N6689" s="1129"/>
      <c r="O6689" s="1129"/>
      <c r="P6689" s="1129"/>
    </row>
    <row r="6690" spans="1:16">
      <c r="A6690" s="1129" t="s">
        <v>780</v>
      </c>
      <c r="B6690" s="1129" t="s">
        <v>268</v>
      </c>
      <c r="C6690" s="1129" t="s">
        <v>1516</v>
      </c>
      <c r="D6690" s="1129" t="s">
        <v>81</v>
      </c>
      <c r="E6690" s="1129">
        <v>13</v>
      </c>
      <c r="F6690" s="1129">
        <v>17.363636363636399</v>
      </c>
      <c r="G6690" s="1129">
        <v>0</v>
      </c>
      <c r="H6690" s="1129">
        <v>0</v>
      </c>
      <c r="I6690" s="1129">
        <v>1.3356643356643381</v>
      </c>
      <c r="J6690" s="1129">
        <v>1</v>
      </c>
      <c r="K6690" s="1129"/>
      <c r="L6690" s="1129"/>
      <c r="M6690" s="1129"/>
      <c r="N6690" s="1129"/>
      <c r="O6690" s="1129"/>
      <c r="P6690" s="1129"/>
    </row>
    <row r="6691" spans="1:16">
      <c r="A6691" s="1129" t="s">
        <v>732</v>
      </c>
      <c r="B6691" s="1129" t="s">
        <v>695</v>
      </c>
      <c r="C6691" s="1129" t="s">
        <v>1516</v>
      </c>
      <c r="D6691" s="1129" t="s">
        <v>81</v>
      </c>
      <c r="E6691" s="1129">
        <v>2</v>
      </c>
      <c r="F6691" s="1129">
        <v>16.409090909090899</v>
      </c>
      <c r="G6691" s="1129">
        <v>0</v>
      </c>
      <c r="H6691" s="1129">
        <v>0</v>
      </c>
      <c r="I6691" s="1129">
        <v>8.2045454545454497</v>
      </c>
      <c r="J6691" s="1129">
        <v>1</v>
      </c>
      <c r="K6691" s="1129"/>
      <c r="L6691" s="1129"/>
      <c r="M6691" s="1129"/>
      <c r="N6691" s="1129"/>
      <c r="O6691" s="1129"/>
      <c r="P6691" s="1129"/>
    </row>
    <row r="6692" spans="1:16">
      <c r="A6692" s="1129" t="s">
        <v>830</v>
      </c>
      <c r="B6692" s="1129" t="s">
        <v>820</v>
      </c>
      <c r="C6692" s="1129" t="s">
        <v>1516</v>
      </c>
      <c r="D6692" s="1129" t="s">
        <v>81</v>
      </c>
      <c r="E6692" s="1129">
        <v>2</v>
      </c>
      <c r="F6692" s="1129">
        <v>15.818181818181801</v>
      </c>
      <c r="G6692" s="1129">
        <v>0.88</v>
      </c>
      <c r="H6692" s="1129">
        <v>0.27</v>
      </c>
      <c r="I6692" s="1129">
        <v>7.0290909090909004</v>
      </c>
      <c r="J6692" s="1129">
        <v>0.88873563218390794</v>
      </c>
      <c r="K6692" s="1129"/>
      <c r="L6692" s="1129"/>
      <c r="M6692" s="1129"/>
      <c r="N6692" s="1129"/>
      <c r="O6692" s="1129"/>
      <c r="P6692" s="1129"/>
    </row>
    <row r="6693" spans="1:16">
      <c r="A6693" s="1129" t="s">
        <v>702</v>
      </c>
      <c r="B6693" s="1129" t="s">
        <v>251</v>
      </c>
      <c r="C6693" s="1129" t="s">
        <v>1516</v>
      </c>
      <c r="D6693" s="1129" t="s">
        <v>81</v>
      </c>
      <c r="E6693" s="1129">
        <v>6</v>
      </c>
      <c r="F6693" s="1129">
        <v>14.863636363636401</v>
      </c>
      <c r="G6693" s="1129">
        <v>0.14000000000000001</v>
      </c>
      <c r="H6693" s="1129">
        <v>0</v>
      </c>
      <c r="I6693" s="1129">
        <v>2.3372727272727332</v>
      </c>
      <c r="J6693" s="1129">
        <v>0.94348623853211022</v>
      </c>
      <c r="K6693" s="1129"/>
      <c r="L6693" s="1129"/>
      <c r="M6693" s="1129"/>
      <c r="N6693" s="1129"/>
      <c r="O6693" s="1129"/>
      <c r="P6693" s="1129"/>
    </row>
    <row r="6694" spans="1:16">
      <c r="A6694" s="1129" t="s">
        <v>690</v>
      </c>
      <c r="B6694" s="1129" t="s">
        <v>275</v>
      </c>
      <c r="C6694" s="1129" t="s">
        <v>1516</v>
      </c>
      <c r="D6694" s="1129" t="s">
        <v>81</v>
      </c>
      <c r="E6694" s="1129">
        <v>2</v>
      </c>
      <c r="F6694" s="1129">
        <v>12.045454545454501</v>
      </c>
      <c r="G6694" s="1129">
        <v>0</v>
      </c>
      <c r="H6694" s="1129">
        <v>0</v>
      </c>
      <c r="I6694" s="1129">
        <v>6.0227272727272503</v>
      </c>
      <c r="J6694" s="1129">
        <v>1</v>
      </c>
      <c r="K6694" s="1129"/>
      <c r="L6694" s="1129"/>
      <c r="M6694" s="1129"/>
      <c r="N6694" s="1129"/>
      <c r="O6694" s="1129"/>
      <c r="P6694" s="1129"/>
    </row>
    <row r="6695" spans="1:16">
      <c r="A6695" s="1129" t="s">
        <v>798</v>
      </c>
      <c r="B6695" s="1129" t="s">
        <v>713</v>
      </c>
      <c r="C6695" s="1129" t="s">
        <v>1516</v>
      </c>
      <c r="D6695" s="1129" t="s">
        <v>81</v>
      </c>
      <c r="E6695" s="1129">
        <v>2</v>
      </c>
      <c r="F6695" s="1129">
        <v>10.818181818181801</v>
      </c>
      <c r="G6695" s="1129">
        <v>0</v>
      </c>
      <c r="H6695" s="1129">
        <v>0</v>
      </c>
      <c r="I6695" s="1129">
        <v>5.4090909090909003</v>
      </c>
      <c r="J6695" s="1129">
        <v>1</v>
      </c>
      <c r="K6695" s="1129"/>
      <c r="L6695" s="1129"/>
      <c r="M6695" s="1129"/>
      <c r="N6695" s="1129"/>
      <c r="O6695" s="1129"/>
      <c r="P6695" s="1129"/>
    </row>
    <row r="6696" spans="1:16">
      <c r="A6696" s="1129" t="s">
        <v>755</v>
      </c>
      <c r="B6696" s="1129" t="s">
        <v>251</v>
      </c>
      <c r="C6696" s="1129" t="s">
        <v>1516</v>
      </c>
      <c r="D6696" s="1129" t="s">
        <v>81</v>
      </c>
      <c r="E6696" s="1129">
        <v>4</v>
      </c>
      <c r="F6696" s="1129">
        <v>9.7727272727272698</v>
      </c>
      <c r="G6696" s="1129">
        <v>0</v>
      </c>
      <c r="H6696" s="1129">
        <v>0</v>
      </c>
      <c r="I6696" s="1129">
        <v>2.443181818181817</v>
      </c>
      <c r="J6696" s="1129">
        <v>1</v>
      </c>
      <c r="K6696" s="1129"/>
      <c r="L6696" s="1129"/>
      <c r="M6696" s="1129"/>
      <c r="N6696" s="1129"/>
      <c r="O6696" s="1129"/>
      <c r="P6696" s="1129"/>
    </row>
    <row r="6697" spans="1:16">
      <c r="A6697" s="1129" t="s">
        <v>797</v>
      </c>
      <c r="B6697" s="1129" t="s">
        <v>253</v>
      </c>
      <c r="C6697" s="1129" t="s">
        <v>1516</v>
      </c>
      <c r="D6697" s="1129" t="s">
        <v>81</v>
      </c>
      <c r="E6697" s="1129">
        <v>3</v>
      </c>
      <c r="F6697" s="1129">
        <v>9.6818181818181799</v>
      </c>
      <c r="G6697" s="1129">
        <v>0</v>
      </c>
      <c r="H6697" s="1129">
        <v>0</v>
      </c>
      <c r="I6697" s="1129">
        <v>3.2272727272727271</v>
      </c>
      <c r="J6697" s="1129">
        <v>1</v>
      </c>
      <c r="K6697" s="1129"/>
      <c r="L6697" s="1129"/>
      <c r="M6697" s="1129"/>
      <c r="N6697" s="1129"/>
      <c r="O6697" s="1129"/>
      <c r="P6697" s="1129"/>
    </row>
    <row r="6698" spans="1:16">
      <c r="A6698" s="1129" t="s">
        <v>703</v>
      </c>
      <c r="B6698" s="1129" t="s">
        <v>256</v>
      </c>
      <c r="C6698" s="1129" t="s">
        <v>1516</v>
      </c>
      <c r="D6698" s="1129" t="s">
        <v>81</v>
      </c>
      <c r="E6698" s="1129">
        <v>5</v>
      </c>
      <c r="F6698" s="1129">
        <v>9.3181818181818201</v>
      </c>
      <c r="G6698" s="1129">
        <v>0</v>
      </c>
      <c r="H6698" s="1129">
        <v>0</v>
      </c>
      <c r="I6698" s="1129">
        <v>1.863636363636364</v>
      </c>
      <c r="J6698" s="1129">
        <v>1</v>
      </c>
      <c r="K6698" s="1129"/>
      <c r="L6698" s="1129"/>
      <c r="M6698" s="1129"/>
      <c r="N6698" s="1129"/>
      <c r="O6698" s="1129"/>
      <c r="P6698" s="1129"/>
    </row>
    <row r="6699" spans="1:16">
      <c r="A6699" s="1129" t="s">
        <v>746</v>
      </c>
      <c r="B6699" s="1129" t="s">
        <v>251</v>
      </c>
      <c r="C6699" s="1129" t="s">
        <v>1516</v>
      </c>
      <c r="D6699" s="1129" t="s">
        <v>81</v>
      </c>
      <c r="E6699" s="1129">
        <v>4</v>
      </c>
      <c r="F6699" s="1129">
        <v>8.5454545454545396</v>
      </c>
      <c r="G6699" s="1129">
        <v>0</v>
      </c>
      <c r="H6699" s="1129">
        <v>0</v>
      </c>
      <c r="I6699" s="1129">
        <v>2.1363636363636349</v>
      </c>
      <c r="J6699" s="1129">
        <v>1</v>
      </c>
      <c r="K6699" s="1129"/>
      <c r="L6699" s="1129"/>
      <c r="M6699" s="1129"/>
      <c r="N6699" s="1129"/>
      <c r="O6699" s="1129"/>
      <c r="P6699" s="1129"/>
    </row>
    <row r="6700" spans="1:16">
      <c r="A6700" s="1129" t="s">
        <v>836</v>
      </c>
      <c r="B6700" s="1129" t="s">
        <v>713</v>
      </c>
      <c r="C6700" s="1129" t="s">
        <v>1516</v>
      </c>
      <c r="D6700" s="1129" t="s">
        <v>81</v>
      </c>
      <c r="E6700" s="1129">
        <v>1</v>
      </c>
      <c r="F6700" s="1129">
        <v>7.9090909090909101</v>
      </c>
      <c r="G6700" s="1129">
        <v>1.66</v>
      </c>
      <c r="H6700" s="1129">
        <v>0.31</v>
      </c>
      <c r="I6700" s="1129">
        <v>6.2490909090909099</v>
      </c>
      <c r="J6700" s="1129">
        <v>0.79011494252873571</v>
      </c>
      <c r="K6700" s="1129"/>
      <c r="L6700" s="1129"/>
      <c r="M6700" s="1129"/>
      <c r="N6700" s="1129"/>
      <c r="O6700" s="1129"/>
      <c r="P6700" s="1129"/>
    </row>
    <row r="6701" spans="1:16">
      <c r="A6701" s="1129" t="s">
        <v>720</v>
      </c>
      <c r="B6701" s="1129" t="s">
        <v>251</v>
      </c>
      <c r="C6701" s="1129" t="s">
        <v>1516</v>
      </c>
      <c r="D6701" s="1129" t="s">
        <v>81</v>
      </c>
      <c r="E6701" s="1129">
        <v>3</v>
      </c>
      <c r="F6701" s="1129">
        <v>7.5</v>
      </c>
      <c r="G6701" s="1129">
        <v>0</v>
      </c>
      <c r="H6701" s="1129">
        <v>0</v>
      </c>
      <c r="I6701" s="1129">
        <v>2.5</v>
      </c>
      <c r="J6701" s="1129">
        <v>1</v>
      </c>
      <c r="K6701" s="1129"/>
      <c r="L6701" s="1129"/>
      <c r="M6701" s="1129"/>
      <c r="N6701" s="1129"/>
      <c r="O6701" s="1129"/>
      <c r="P6701" s="1129"/>
    </row>
    <row r="6702" spans="1:16">
      <c r="A6702" s="1129" t="s">
        <v>752</v>
      </c>
      <c r="B6702" s="1129" t="s">
        <v>264</v>
      </c>
      <c r="C6702" s="1129" t="s">
        <v>1516</v>
      </c>
      <c r="D6702" s="1129" t="s">
        <v>81</v>
      </c>
      <c r="E6702" s="1129">
        <v>4</v>
      </c>
      <c r="F6702" s="1129">
        <v>6.2272727272727302</v>
      </c>
      <c r="G6702" s="1129">
        <v>0</v>
      </c>
      <c r="H6702" s="1129">
        <v>0</v>
      </c>
      <c r="I6702" s="1129">
        <v>1.556818181818183</v>
      </c>
      <c r="J6702" s="1129">
        <v>1</v>
      </c>
      <c r="K6702" s="1129"/>
      <c r="L6702" s="1129"/>
      <c r="M6702" s="1129"/>
      <c r="N6702" s="1129"/>
      <c r="O6702" s="1129"/>
      <c r="P6702" s="1129"/>
    </row>
    <row r="6703" spans="1:16">
      <c r="A6703" s="1129" t="s">
        <v>718</v>
      </c>
      <c r="B6703" s="1129" t="s">
        <v>275</v>
      </c>
      <c r="C6703" s="1129" t="s">
        <v>1516</v>
      </c>
      <c r="D6703" s="1129" t="s">
        <v>81</v>
      </c>
      <c r="E6703" s="1129">
        <v>1</v>
      </c>
      <c r="F6703" s="1129">
        <v>5.2272727272727302</v>
      </c>
      <c r="G6703" s="1129">
        <v>0</v>
      </c>
      <c r="H6703" s="1129">
        <v>0</v>
      </c>
      <c r="I6703" s="1129">
        <v>5.2272727272727302</v>
      </c>
      <c r="J6703" s="1129">
        <v>1</v>
      </c>
      <c r="K6703" s="1129"/>
      <c r="L6703" s="1129"/>
      <c r="M6703" s="1129"/>
      <c r="N6703" s="1129"/>
      <c r="O6703" s="1129"/>
      <c r="P6703" s="1129"/>
    </row>
    <row r="6704" spans="1:16">
      <c r="A6704" s="1129" t="s">
        <v>757</v>
      </c>
      <c r="B6704" s="1129" t="s">
        <v>251</v>
      </c>
      <c r="C6704" s="1129" t="s">
        <v>1516</v>
      </c>
      <c r="D6704" s="1129" t="s">
        <v>81</v>
      </c>
      <c r="E6704" s="1129">
        <v>2</v>
      </c>
      <c r="F6704" s="1129">
        <v>5.1363636363636402</v>
      </c>
      <c r="G6704" s="1129">
        <v>0.5</v>
      </c>
      <c r="H6704" s="1129">
        <v>0.28000000000000003</v>
      </c>
      <c r="I6704" s="1129">
        <v>2.0681818181818201</v>
      </c>
      <c r="J6704" s="1129">
        <v>0.80530973451327448</v>
      </c>
      <c r="K6704" s="1129"/>
      <c r="L6704" s="1129"/>
      <c r="M6704" s="1129"/>
      <c r="N6704" s="1129"/>
      <c r="O6704" s="1129"/>
      <c r="P6704" s="1129"/>
    </row>
    <row r="6705" spans="1:16">
      <c r="A6705" s="1129" t="s">
        <v>767</v>
      </c>
      <c r="B6705" s="1129" t="s">
        <v>251</v>
      </c>
      <c r="C6705" s="1129" t="s">
        <v>1516</v>
      </c>
      <c r="D6705" s="1129" t="s">
        <v>81</v>
      </c>
      <c r="E6705" s="1129">
        <v>2</v>
      </c>
      <c r="F6705" s="1129">
        <v>5.0454545454545396</v>
      </c>
      <c r="G6705" s="1129">
        <v>0</v>
      </c>
      <c r="H6705" s="1129">
        <v>0</v>
      </c>
      <c r="I6705" s="1129">
        <v>2.5227272727272698</v>
      </c>
      <c r="J6705" s="1129">
        <v>1</v>
      </c>
      <c r="K6705" s="1129"/>
      <c r="L6705" s="1129"/>
      <c r="M6705" s="1129"/>
      <c r="N6705" s="1129"/>
      <c r="O6705" s="1129"/>
      <c r="P6705" s="1129"/>
    </row>
    <row r="6706" spans="1:16">
      <c r="A6706" s="1129" t="s">
        <v>731</v>
      </c>
      <c r="B6706" s="1129" t="s">
        <v>251</v>
      </c>
      <c r="C6706" s="1129" t="s">
        <v>1516</v>
      </c>
      <c r="D6706" s="1129" t="s">
        <v>81</v>
      </c>
      <c r="E6706" s="1129">
        <v>2</v>
      </c>
      <c r="F6706" s="1129">
        <v>4.9545454545454497</v>
      </c>
      <c r="G6706" s="1129">
        <v>0</v>
      </c>
      <c r="H6706" s="1129">
        <v>0</v>
      </c>
      <c r="I6706" s="1129">
        <v>2.4772727272727249</v>
      </c>
      <c r="J6706" s="1129">
        <v>1</v>
      </c>
      <c r="K6706" s="1129"/>
      <c r="L6706" s="1129"/>
      <c r="M6706" s="1129"/>
      <c r="N6706" s="1129"/>
      <c r="O6706" s="1129"/>
      <c r="P6706" s="1129"/>
    </row>
    <row r="6707" spans="1:16">
      <c r="A6707" s="1129" t="s">
        <v>710</v>
      </c>
      <c r="B6707" s="1129" t="s">
        <v>249</v>
      </c>
      <c r="C6707" s="1129" t="s">
        <v>1516</v>
      </c>
      <c r="D6707" s="1129" t="s">
        <v>81</v>
      </c>
      <c r="E6707" s="1129">
        <v>2</v>
      </c>
      <c r="F6707" s="1129">
        <v>4.8181818181818201</v>
      </c>
      <c r="G6707" s="1129">
        <v>0.74</v>
      </c>
      <c r="H6707" s="1129">
        <v>0.4</v>
      </c>
      <c r="I6707" s="1129">
        <v>1.6690909090909101</v>
      </c>
      <c r="J6707" s="1129">
        <v>0.6928301886792454</v>
      </c>
      <c r="K6707" s="1129"/>
      <c r="L6707" s="1129"/>
      <c r="M6707" s="1129"/>
      <c r="N6707" s="1129"/>
      <c r="O6707" s="1129"/>
      <c r="P6707" s="1129"/>
    </row>
    <row r="6708" spans="1:16">
      <c r="A6708" s="1129" t="s">
        <v>756</v>
      </c>
      <c r="B6708" s="1129" t="s">
        <v>251</v>
      </c>
      <c r="C6708" s="1129" t="s">
        <v>1516</v>
      </c>
      <c r="D6708" s="1129" t="s">
        <v>81</v>
      </c>
      <c r="E6708" s="1129">
        <v>2</v>
      </c>
      <c r="F6708" s="1129">
        <v>4.2727272727272698</v>
      </c>
      <c r="G6708" s="1129">
        <v>0.76</v>
      </c>
      <c r="H6708" s="1129">
        <v>0.42</v>
      </c>
      <c r="I6708" s="1129">
        <v>1.3763636363636349</v>
      </c>
      <c r="J6708" s="1129">
        <v>0.64425531914893597</v>
      </c>
      <c r="K6708" s="1129"/>
      <c r="L6708" s="1129"/>
      <c r="M6708" s="1129"/>
      <c r="N6708" s="1129"/>
      <c r="O6708" s="1129"/>
      <c r="P6708" s="1129"/>
    </row>
    <row r="6709" spans="1:16">
      <c r="A6709" s="1129" t="s">
        <v>736</v>
      </c>
      <c r="B6709" s="1129" t="s">
        <v>251</v>
      </c>
      <c r="C6709" s="1129" t="s">
        <v>1516</v>
      </c>
      <c r="D6709" s="1129" t="s">
        <v>81</v>
      </c>
      <c r="E6709" s="1129">
        <v>2</v>
      </c>
      <c r="F6709" s="1129">
        <v>4.2272727272727302</v>
      </c>
      <c r="G6709" s="1129">
        <v>0</v>
      </c>
      <c r="H6709" s="1129">
        <v>0</v>
      </c>
      <c r="I6709" s="1129">
        <v>2.1136363636363651</v>
      </c>
      <c r="J6709" s="1129">
        <v>1</v>
      </c>
      <c r="K6709" s="1129"/>
      <c r="L6709" s="1129"/>
      <c r="M6709" s="1129"/>
      <c r="N6709" s="1129"/>
      <c r="O6709" s="1129"/>
      <c r="P6709" s="1129"/>
    </row>
    <row r="6710" spans="1:16">
      <c r="A6710" s="1129" t="s">
        <v>838</v>
      </c>
      <c r="B6710" s="1129" t="s">
        <v>730</v>
      </c>
      <c r="C6710" s="1129" t="s">
        <v>1516</v>
      </c>
      <c r="D6710" s="1129" t="s">
        <v>81</v>
      </c>
      <c r="E6710" s="1129">
        <v>1</v>
      </c>
      <c r="F6710" s="1129">
        <v>4.0909090909090899</v>
      </c>
      <c r="G6710" s="1129">
        <v>0</v>
      </c>
      <c r="H6710" s="1129">
        <v>0</v>
      </c>
      <c r="I6710" s="1129">
        <v>4.0909090909090899</v>
      </c>
      <c r="J6710" s="1129">
        <v>1</v>
      </c>
      <c r="K6710" s="1129"/>
      <c r="L6710" s="1129"/>
      <c r="M6710" s="1129"/>
      <c r="N6710" s="1129"/>
      <c r="O6710" s="1129"/>
      <c r="P6710" s="1129"/>
    </row>
    <row r="6711" spans="1:16">
      <c r="A6711" s="1129" t="s">
        <v>762</v>
      </c>
      <c r="B6711" s="1129" t="s">
        <v>323</v>
      </c>
      <c r="C6711" s="1129" t="s">
        <v>1516</v>
      </c>
      <c r="D6711" s="1129" t="s">
        <v>81</v>
      </c>
      <c r="E6711" s="1129">
        <v>1</v>
      </c>
      <c r="F6711" s="1129">
        <v>2.7272727272727302</v>
      </c>
      <c r="G6711" s="1129">
        <v>0</v>
      </c>
      <c r="H6711" s="1129">
        <v>0</v>
      </c>
      <c r="I6711" s="1129">
        <v>2.7272727272727302</v>
      </c>
      <c r="J6711" s="1129">
        <v>1</v>
      </c>
      <c r="K6711" s="1129"/>
      <c r="L6711" s="1129"/>
      <c r="M6711" s="1129"/>
      <c r="N6711" s="1129"/>
      <c r="O6711" s="1129"/>
      <c r="P6711" s="1129"/>
    </row>
    <row r="6712" spans="1:16">
      <c r="A6712" s="1129" t="s">
        <v>808</v>
      </c>
      <c r="B6712" s="1129" t="s">
        <v>268</v>
      </c>
      <c r="C6712" s="1129" t="s">
        <v>1516</v>
      </c>
      <c r="D6712" s="1129" t="s">
        <v>81</v>
      </c>
      <c r="E6712" s="1129">
        <v>3</v>
      </c>
      <c r="F6712" s="1129">
        <v>1.77272727272727</v>
      </c>
      <c r="G6712" s="1129">
        <v>0</v>
      </c>
      <c r="H6712" s="1129">
        <v>0</v>
      </c>
      <c r="I6712" s="1129">
        <v>0.59090909090909005</v>
      </c>
      <c r="J6712" s="1129">
        <v>1</v>
      </c>
      <c r="K6712" s="1129"/>
      <c r="L6712" s="1129"/>
      <c r="M6712" s="1129"/>
      <c r="N6712" s="1129"/>
      <c r="O6712" s="1129"/>
      <c r="P6712" s="1129"/>
    </row>
    <row r="6713" spans="1:16">
      <c r="A6713" s="1129" t="s">
        <v>711</v>
      </c>
      <c r="B6713" s="1129" t="s">
        <v>251</v>
      </c>
      <c r="C6713" s="1129" t="s">
        <v>1516</v>
      </c>
      <c r="D6713" s="1129" t="s">
        <v>81</v>
      </c>
      <c r="E6713" s="1129">
        <v>1</v>
      </c>
      <c r="F6713" s="1129">
        <v>1.77272727272727</v>
      </c>
      <c r="G6713" s="1129">
        <v>0.11</v>
      </c>
      <c r="H6713" s="1129">
        <v>0.22</v>
      </c>
      <c r="I6713" s="1129">
        <v>1.6627272727272699</v>
      </c>
      <c r="J6713" s="1129">
        <v>0.93794871794871781</v>
      </c>
      <c r="K6713" s="1129"/>
      <c r="L6713" s="1129"/>
      <c r="M6713" s="1129"/>
      <c r="N6713" s="1129"/>
      <c r="O6713" s="1129"/>
      <c r="P6713" s="1129"/>
    </row>
    <row r="6714" spans="1:16">
      <c r="A6714" s="1129" t="s">
        <v>737</v>
      </c>
      <c r="B6714" s="1129" t="s">
        <v>249</v>
      </c>
      <c r="C6714" s="1129" t="s">
        <v>1516</v>
      </c>
      <c r="D6714" s="1129" t="s">
        <v>81</v>
      </c>
      <c r="E6714" s="1129">
        <v>1</v>
      </c>
      <c r="F6714" s="1129">
        <v>1.5454545454545501</v>
      </c>
      <c r="G6714" s="1129">
        <v>0.26</v>
      </c>
      <c r="H6714" s="1129">
        <v>0.19</v>
      </c>
      <c r="I6714" s="1129">
        <v>1.2854545454545501</v>
      </c>
      <c r="J6714" s="1129">
        <v>0.83176470588235341</v>
      </c>
      <c r="K6714" s="1129"/>
      <c r="L6714" s="1129"/>
      <c r="M6714" s="1129"/>
      <c r="N6714" s="1129"/>
      <c r="O6714" s="1129"/>
      <c r="P6714" s="1129"/>
    </row>
    <row r="6715" spans="1:16">
      <c r="A6715" s="1129" t="s">
        <v>681</v>
      </c>
      <c r="B6715" s="1129" t="s">
        <v>282</v>
      </c>
      <c r="C6715" s="1129" t="s">
        <v>1516</v>
      </c>
      <c r="D6715" s="1129" t="s">
        <v>81</v>
      </c>
      <c r="E6715" s="1129">
        <v>17</v>
      </c>
      <c r="F6715" s="1129">
        <v>0.77272727272727304</v>
      </c>
      <c r="G6715" s="1129">
        <v>0</v>
      </c>
      <c r="H6715" s="1129">
        <v>0.22</v>
      </c>
      <c r="I6715" s="1129">
        <v>4.545454545454547E-2</v>
      </c>
      <c r="J6715" s="1129">
        <v>1</v>
      </c>
      <c r="K6715" s="1129"/>
      <c r="L6715" s="1129"/>
      <c r="M6715" s="1129"/>
      <c r="N6715" s="1129"/>
      <c r="O6715" s="1129"/>
      <c r="P6715" s="1129"/>
    </row>
    <row r="6716" spans="1:16">
      <c r="A6716" s="1129" t="s">
        <v>715</v>
      </c>
      <c r="B6716" s="1129" t="s">
        <v>693</v>
      </c>
      <c r="C6716" s="1129" t="s">
        <v>1516</v>
      </c>
      <c r="D6716" s="1129" t="s">
        <v>81</v>
      </c>
      <c r="E6716" s="1129">
        <v>2</v>
      </c>
      <c r="F6716" s="1129">
        <v>0</v>
      </c>
      <c r="G6716" s="1129">
        <v>0</v>
      </c>
      <c r="H6716" s="1129">
        <v>0</v>
      </c>
      <c r="I6716" s="1129">
        <v>0</v>
      </c>
      <c r="J6716" s="1129">
        <v>0</v>
      </c>
      <c r="K6716" s="1129"/>
      <c r="L6716" s="1129"/>
      <c r="M6716" s="1129"/>
      <c r="N6716" s="1129"/>
      <c r="O6716" s="1129"/>
      <c r="P6716" s="1129"/>
    </row>
    <row r="6717" spans="1:16">
      <c r="A6717" s="1129" t="s">
        <v>692</v>
      </c>
      <c r="B6717" s="1129" t="s">
        <v>693</v>
      </c>
      <c r="C6717" s="1129" t="s">
        <v>1516</v>
      </c>
      <c r="D6717" s="1129" t="s">
        <v>81</v>
      </c>
      <c r="E6717" s="1129">
        <v>3</v>
      </c>
      <c r="F6717" s="1129">
        <v>0</v>
      </c>
      <c r="G6717" s="1129">
        <v>0</v>
      </c>
      <c r="H6717" s="1129">
        <v>0</v>
      </c>
      <c r="I6717" s="1129">
        <v>0</v>
      </c>
      <c r="J6717" s="1129">
        <v>0</v>
      </c>
      <c r="K6717" s="1129"/>
      <c r="L6717" s="1129"/>
      <c r="M6717" s="1129"/>
      <c r="N6717" s="1129"/>
      <c r="O6717" s="1129"/>
      <c r="P6717" s="1129"/>
    </row>
    <row r="6718" spans="1:16">
      <c r="A6718" s="1129" t="s">
        <v>699</v>
      </c>
      <c r="B6718" s="1129" t="s">
        <v>249</v>
      </c>
      <c r="C6718" s="1129" t="s">
        <v>1516</v>
      </c>
      <c r="D6718" s="1129" t="s">
        <v>81</v>
      </c>
      <c r="E6718" s="1129">
        <v>3</v>
      </c>
      <c r="F6718" s="1129">
        <v>0</v>
      </c>
      <c r="G6718" s="1129">
        <v>0</v>
      </c>
      <c r="H6718" s="1129">
        <v>0</v>
      </c>
      <c r="I6718" s="1129">
        <v>0</v>
      </c>
      <c r="J6718" s="1129">
        <v>0</v>
      </c>
      <c r="K6718" s="1129"/>
      <c r="L6718" s="1129"/>
      <c r="M6718" s="1129"/>
      <c r="N6718" s="1129"/>
      <c r="O6718" s="1129"/>
      <c r="P6718" s="1129"/>
    </row>
    <row r="6719" spans="1:16">
      <c r="A6719" s="1129" t="s">
        <v>727</v>
      </c>
      <c r="B6719" s="1129" t="s">
        <v>275</v>
      </c>
      <c r="C6719" s="1129" t="s">
        <v>1516</v>
      </c>
      <c r="D6719" s="1129" t="s">
        <v>81</v>
      </c>
      <c r="E6719" s="1129">
        <v>4</v>
      </c>
      <c r="F6719" s="1129">
        <v>0</v>
      </c>
      <c r="G6719" s="1129">
        <v>0.41</v>
      </c>
      <c r="H6719" s="1129">
        <v>0.09</v>
      </c>
      <c r="I6719" s="1129">
        <v>-0.41</v>
      </c>
      <c r="J6719" s="1129">
        <v>0</v>
      </c>
      <c r="K6719" s="1129"/>
      <c r="L6719" s="1129"/>
      <c r="M6719" s="1129"/>
      <c r="N6719" s="1129"/>
      <c r="O6719" s="1129"/>
      <c r="P6719" s="1129"/>
    </row>
    <row r="6720" spans="1:16">
      <c r="A6720" s="1129" t="s">
        <v>716</v>
      </c>
      <c r="B6720" s="1129" t="s">
        <v>251</v>
      </c>
      <c r="C6720" s="1129" t="s">
        <v>1516</v>
      </c>
      <c r="D6720" s="1129" t="s">
        <v>81</v>
      </c>
      <c r="E6720" s="1129">
        <v>6</v>
      </c>
      <c r="F6720" s="1129">
        <v>0</v>
      </c>
      <c r="G6720" s="1129">
        <v>0.05</v>
      </c>
      <c r="H6720" s="1129">
        <v>0.21</v>
      </c>
      <c r="I6720" s="1129">
        <v>-0.05</v>
      </c>
      <c r="J6720" s="1129">
        <v>0</v>
      </c>
      <c r="K6720" s="1129"/>
      <c r="L6720" s="1129"/>
      <c r="M6720" s="1129"/>
      <c r="N6720" s="1129"/>
      <c r="O6720" s="1129"/>
      <c r="P6720" s="1129"/>
    </row>
    <row r="6721" spans="1:16">
      <c r="A6721" s="1129" t="s">
        <v>840</v>
      </c>
      <c r="B6721" s="1129" t="s">
        <v>689</v>
      </c>
      <c r="C6721" s="1129" t="s">
        <v>1516</v>
      </c>
      <c r="D6721" s="1129" t="s">
        <v>81</v>
      </c>
      <c r="E6721" s="1129">
        <v>2</v>
      </c>
      <c r="F6721" s="1129">
        <v>0</v>
      </c>
      <c r="G6721" s="1129">
        <v>0</v>
      </c>
      <c r="H6721" s="1129">
        <v>0</v>
      </c>
      <c r="I6721" s="1129">
        <v>0</v>
      </c>
      <c r="J6721" s="1129">
        <v>0</v>
      </c>
      <c r="K6721" s="1129"/>
      <c r="L6721" s="1129"/>
      <c r="M6721" s="1129"/>
      <c r="N6721" s="1129"/>
      <c r="O6721" s="1129"/>
      <c r="P6721" s="1129"/>
    </row>
    <row r="6722" spans="1:16">
      <c r="A6722" s="1129" t="s">
        <v>806</v>
      </c>
      <c r="B6722" s="1129" t="s">
        <v>256</v>
      </c>
      <c r="C6722" s="1129" t="s">
        <v>1516</v>
      </c>
      <c r="D6722" s="1129" t="s">
        <v>81</v>
      </c>
      <c r="E6722" s="1129">
        <v>34</v>
      </c>
      <c r="F6722" s="1129">
        <v>-3.2272727272727302</v>
      </c>
      <c r="G6722" s="1129">
        <v>0</v>
      </c>
      <c r="H6722" s="1129">
        <v>0</v>
      </c>
      <c r="I6722" s="1129">
        <v>-9.4919786096256772E-2</v>
      </c>
      <c r="J6722" s="1129">
        <v>1</v>
      </c>
      <c r="K6722" s="1129"/>
      <c r="L6722" s="1129"/>
      <c r="M6722" s="1129"/>
      <c r="N6722" s="1129"/>
      <c r="O6722" s="1129"/>
      <c r="P6722" s="1129"/>
    </row>
    <row r="6723" spans="1:16">
      <c r="A6723" s="1129" t="s">
        <v>248</v>
      </c>
      <c r="B6723" s="1129" t="s">
        <v>247</v>
      </c>
      <c r="C6723" s="1129" t="s">
        <v>1517</v>
      </c>
      <c r="D6723" s="1129" t="s">
        <v>82</v>
      </c>
      <c r="E6723" s="1129">
        <v>1</v>
      </c>
      <c r="F6723" s="1129">
        <v>1.5</v>
      </c>
      <c r="G6723" s="1129">
        <v>0.16</v>
      </c>
      <c r="H6723" s="1129">
        <v>0.24</v>
      </c>
      <c r="I6723" s="1129">
        <v>1.34</v>
      </c>
      <c r="J6723" s="1129">
        <v>0.89333333333333331</v>
      </c>
      <c r="K6723" s="1129"/>
      <c r="L6723" s="1129"/>
      <c r="M6723" s="1129"/>
      <c r="N6723" s="1129"/>
      <c r="O6723" s="1129"/>
      <c r="P6723" s="1129"/>
    </row>
    <row r="6724" spans="1:16">
      <c r="A6724" s="1129" t="s">
        <v>248</v>
      </c>
      <c r="B6724" s="1129" t="s">
        <v>247</v>
      </c>
      <c r="C6724" s="1129" t="s">
        <v>1517</v>
      </c>
      <c r="D6724" s="1129" t="s">
        <v>82</v>
      </c>
      <c r="E6724" s="1129">
        <v>1</v>
      </c>
      <c r="F6724" s="1129">
        <v>1.5</v>
      </c>
      <c r="G6724" s="1129">
        <v>0.16</v>
      </c>
      <c r="H6724" s="1129">
        <v>0.24</v>
      </c>
      <c r="I6724" s="1129">
        <v>1.34</v>
      </c>
      <c r="J6724" s="1129">
        <v>0.89333333333333331</v>
      </c>
      <c r="K6724" s="1129"/>
      <c r="L6724" s="1129"/>
      <c r="M6724" s="1129"/>
      <c r="N6724" s="1129"/>
      <c r="O6724" s="1129"/>
      <c r="P6724" s="1129"/>
    </row>
    <row r="6725" spans="1:16">
      <c r="A6725" s="1129" t="s">
        <v>1268</v>
      </c>
      <c r="B6725" s="1129" t="s">
        <v>264</v>
      </c>
      <c r="C6725" s="1129" t="s">
        <v>1517</v>
      </c>
      <c r="D6725" s="1129" t="s">
        <v>82</v>
      </c>
      <c r="E6725" s="1129">
        <v>1</v>
      </c>
      <c r="F6725" s="1129">
        <v>4.5454545454545497E-2</v>
      </c>
      <c r="G6725" s="1129">
        <v>0</v>
      </c>
      <c r="H6725" s="1129">
        <v>0.22</v>
      </c>
      <c r="I6725" s="1129">
        <v>4.5454545454545497E-2</v>
      </c>
      <c r="J6725" s="1129">
        <v>1</v>
      </c>
      <c r="K6725" s="1129"/>
      <c r="L6725" s="1129"/>
      <c r="M6725" s="1129"/>
      <c r="N6725" s="1129"/>
      <c r="O6725" s="1129"/>
      <c r="P6725" s="1129"/>
    </row>
    <row r="6726" spans="1:16">
      <c r="A6726" s="1129" t="s">
        <v>763</v>
      </c>
      <c r="B6726" s="1129" t="s">
        <v>764</v>
      </c>
      <c r="C6726" s="1129" t="s">
        <v>1517</v>
      </c>
      <c r="D6726" s="1129" t="s">
        <v>82</v>
      </c>
      <c r="E6726" s="1129">
        <v>1</v>
      </c>
      <c r="F6726" s="1129">
        <v>10.45</v>
      </c>
      <c r="G6726" s="1129">
        <v>0</v>
      </c>
      <c r="H6726" s="1129">
        <v>0</v>
      </c>
      <c r="I6726" s="1129">
        <v>10.45</v>
      </c>
      <c r="J6726" s="1129">
        <v>1</v>
      </c>
      <c r="K6726" s="1129"/>
      <c r="L6726" s="1129"/>
      <c r="M6726" s="1129"/>
      <c r="N6726" s="1129"/>
      <c r="O6726" s="1129"/>
      <c r="P6726" s="1129"/>
    </row>
    <row r="6727" spans="1:16">
      <c r="A6727" s="1129" t="s">
        <v>930</v>
      </c>
      <c r="B6727" s="1129" t="s">
        <v>264</v>
      </c>
      <c r="C6727" s="1129" t="s">
        <v>1517</v>
      </c>
      <c r="D6727" s="1129" t="s">
        <v>82</v>
      </c>
      <c r="E6727" s="1129">
        <v>1</v>
      </c>
      <c r="F6727" s="1129">
        <v>3.18</v>
      </c>
      <c r="G6727" s="1129">
        <v>0</v>
      </c>
      <c r="H6727" s="1129">
        <v>0</v>
      </c>
      <c r="I6727" s="1129">
        <v>3.18</v>
      </c>
      <c r="J6727" s="1129">
        <v>1</v>
      </c>
      <c r="K6727" s="1129"/>
      <c r="L6727" s="1129"/>
      <c r="M6727" s="1129"/>
      <c r="N6727" s="1129"/>
      <c r="O6727" s="1129"/>
      <c r="P6727" s="1129"/>
    </row>
    <row r="6728" spans="1:16">
      <c r="A6728" s="1129" t="s">
        <v>986</v>
      </c>
      <c r="B6728" s="1129" t="s">
        <v>256</v>
      </c>
      <c r="C6728" s="1129" t="s">
        <v>1517</v>
      </c>
      <c r="D6728" s="1129" t="s">
        <v>82</v>
      </c>
      <c r="E6728" s="1129">
        <v>1</v>
      </c>
      <c r="F6728" s="1129">
        <v>12.73</v>
      </c>
      <c r="G6728" s="1129">
        <v>0</v>
      </c>
      <c r="H6728" s="1129">
        <v>0</v>
      </c>
      <c r="I6728" s="1129">
        <v>12.73</v>
      </c>
      <c r="J6728" s="1129">
        <v>1</v>
      </c>
      <c r="K6728" s="1129"/>
      <c r="L6728" s="1129"/>
      <c r="M6728" s="1129"/>
      <c r="N6728" s="1129"/>
      <c r="O6728" s="1129"/>
      <c r="P6728" s="1129"/>
    </row>
    <row r="6729" spans="1:16">
      <c r="A6729" s="1129" t="s">
        <v>260</v>
      </c>
      <c r="B6729" s="1129" t="s">
        <v>247</v>
      </c>
      <c r="C6729" s="1129" t="s">
        <v>1517</v>
      </c>
      <c r="D6729" s="1129" t="s">
        <v>82</v>
      </c>
      <c r="E6729" s="1129">
        <v>1</v>
      </c>
      <c r="F6729" s="1129">
        <v>1.55</v>
      </c>
      <c r="G6729" s="1129">
        <v>0.25</v>
      </c>
      <c r="H6729" s="1129">
        <v>0.21</v>
      </c>
      <c r="I6729" s="1129">
        <v>1.3</v>
      </c>
      <c r="J6729" s="1129">
        <v>0.83870967741935487</v>
      </c>
      <c r="K6729" s="1129"/>
      <c r="L6729" s="1129"/>
      <c r="M6729" s="1129"/>
      <c r="N6729" s="1129"/>
      <c r="O6729" s="1129"/>
      <c r="P6729" s="1129"/>
    </row>
    <row r="6730" spans="1:16">
      <c r="A6730" s="1129" t="s">
        <v>248</v>
      </c>
      <c r="B6730" s="1129" t="s">
        <v>247</v>
      </c>
      <c r="C6730" s="1129" t="s">
        <v>1517</v>
      </c>
      <c r="D6730" s="1129" t="s">
        <v>82</v>
      </c>
      <c r="E6730" s="1129">
        <v>1</v>
      </c>
      <c r="F6730" s="1129">
        <v>1.65</v>
      </c>
      <c r="G6730" s="1129">
        <v>0.16</v>
      </c>
      <c r="H6730" s="1129">
        <v>0.24</v>
      </c>
      <c r="I6730" s="1129">
        <v>1.49</v>
      </c>
      <c r="J6730" s="1129">
        <v>0.90303030303030307</v>
      </c>
      <c r="K6730" s="1129"/>
      <c r="L6730" s="1129"/>
      <c r="M6730" s="1129"/>
      <c r="N6730" s="1129"/>
      <c r="O6730" s="1129"/>
      <c r="P6730" s="1129"/>
    </row>
    <row r="6731" spans="1:16">
      <c r="A6731" s="1129" t="s">
        <v>714</v>
      </c>
      <c r="B6731" s="1129" t="s">
        <v>1270</v>
      </c>
      <c r="C6731" s="1129" t="s">
        <v>1517</v>
      </c>
      <c r="D6731" s="1129" t="s">
        <v>82</v>
      </c>
      <c r="E6731" s="1129">
        <v>1</v>
      </c>
      <c r="F6731" s="1129">
        <v>1.55</v>
      </c>
      <c r="G6731" s="1129">
        <v>0</v>
      </c>
      <c r="H6731" s="1129">
        <v>0.2</v>
      </c>
      <c r="I6731" s="1129">
        <v>1.55</v>
      </c>
      <c r="J6731" s="1129">
        <v>1</v>
      </c>
      <c r="K6731" s="1129"/>
      <c r="L6731" s="1129"/>
      <c r="M6731" s="1129"/>
      <c r="N6731" s="1129"/>
      <c r="O6731" s="1129"/>
      <c r="P6731" s="1129"/>
    </row>
    <row r="6732" spans="1:16">
      <c r="A6732" s="1129" t="s">
        <v>260</v>
      </c>
      <c r="B6732" s="1129" t="s">
        <v>247</v>
      </c>
      <c r="C6732" s="1129" t="s">
        <v>1517</v>
      </c>
      <c r="D6732" s="1129" t="s">
        <v>82</v>
      </c>
      <c r="E6732" s="1129">
        <v>1</v>
      </c>
      <c r="F6732" s="1129">
        <v>1.4</v>
      </c>
      <c r="G6732" s="1129">
        <v>0.25</v>
      </c>
      <c r="H6732" s="1129">
        <v>0.21</v>
      </c>
      <c r="I6732" s="1129">
        <v>1.1499999999999999</v>
      </c>
      <c r="J6732" s="1129">
        <v>0.8214285714285714</v>
      </c>
      <c r="K6732" s="1129"/>
      <c r="L6732" s="1129"/>
      <c r="M6732" s="1129"/>
      <c r="N6732" s="1129"/>
      <c r="O6732" s="1129"/>
      <c r="P6732" s="1129"/>
    </row>
    <row r="6733" spans="1:16">
      <c r="A6733" s="1129" t="s">
        <v>248</v>
      </c>
      <c r="B6733" s="1129" t="s">
        <v>247</v>
      </c>
      <c r="C6733" s="1129" t="s">
        <v>1517</v>
      </c>
      <c r="D6733" s="1129" t="s">
        <v>82</v>
      </c>
      <c r="E6733" s="1129">
        <v>1</v>
      </c>
      <c r="F6733" s="1129">
        <v>1.5</v>
      </c>
      <c r="G6733" s="1129">
        <v>0.16</v>
      </c>
      <c r="H6733" s="1129">
        <v>0.24</v>
      </c>
      <c r="I6733" s="1129">
        <v>1.34</v>
      </c>
      <c r="J6733" s="1129">
        <v>0.89333333333333331</v>
      </c>
      <c r="K6733" s="1129"/>
      <c r="L6733" s="1129"/>
      <c r="M6733" s="1129"/>
      <c r="N6733" s="1129"/>
      <c r="O6733" s="1129"/>
      <c r="P6733" s="1129"/>
    </row>
    <row r="6734" spans="1:16">
      <c r="A6734" s="1129" t="s">
        <v>1271</v>
      </c>
      <c r="B6734" s="1129" t="s">
        <v>268</v>
      </c>
      <c r="C6734" s="1129" t="s">
        <v>1517</v>
      </c>
      <c r="D6734" s="1129" t="s">
        <v>82</v>
      </c>
      <c r="E6734" s="1129">
        <v>1</v>
      </c>
      <c r="F6734" s="1129">
        <v>2.25</v>
      </c>
      <c r="G6734" s="1129">
        <v>0</v>
      </c>
      <c r="H6734" s="1129">
        <v>0</v>
      </c>
      <c r="I6734" s="1129">
        <v>2.25</v>
      </c>
      <c r="J6734" s="1129">
        <v>1</v>
      </c>
      <c r="K6734" s="1129"/>
      <c r="L6734" s="1129"/>
      <c r="M6734" s="1129"/>
      <c r="N6734" s="1129"/>
      <c r="O6734" s="1129"/>
      <c r="P6734" s="1129"/>
    </row>
    <row r="6735" spans="1:16">
      <c r="A6735" s="1129" t="s">
        <v>248</v>
      </c>
      <c r="B6735" s="1129" t="s">
        <v>247</v>
      </c>
      <c r="C6735" s="1129" t="s">
        <v>1517</v>
      </c>
      <c r="D6735" s="1129" t="s">
        <v>82</v>
      </c>
      <c r="E6735" s="1129">
        <v>1</v>
      </c>
      <c r="F6735" s="1129">
        <v>1.5</v>
      </c>
      <c r="G6735" s="1129">
        <v>0.16</v>
      </c>
      <c r="H6735" s="1129">
        <v>0.24</v>
      </c>
      <c r="I6735" s="1129">
        <v>1.34</v>
      </c>
      <c r="J6735" s="1129">
        <v>0.89333333333333331</v>
      </c>
      <c r="K6735" s="1129"/>
      <c r="L6735" s="1129"/>
      <c r="M6735" s="1129"/>
      <c r="N6735" s="1129"/>
      <c r="O6735" s="1129"/>
      <c r="P6735" s="1129"/>
    </row>
    <row r="6736" spans="1:16">
      <c r="A6736" s="1129" t="s">
        <v>248</v>
      </c>
      <c r="B6736" s="1129" t="s">
        <v>247</v>
      </c>
      <c r="C6736" s="1129" t="s">
        <v>1517</v>
      </c>
      <c r="D6736" s="1129" t="s">
        <v>82</v>
      </c>
      <c r="E6736" s="1129">
        <v>1</v>
      </c>
      <c r="F6736" s="1129">
        <v>1.5</v>
      </c>
      <c r="G6736" s="1129">
        <v>0.16</v>
      </c>
      <c r="H6736" s="1129">
        <v>0.24</v>
      </c>
      <c r="I6736" s="1129">
        <v>1.34</v>
      </c>
      <c r="J6736" s="1129">
        <v>0.89333333333333331</v>
      </c>
      <c r="K6736" s="1129"/>
      <c r="L6736" s="1129"/>
      <c r="M6736" s="1129"/>
      <c r="N6736" s="1129"/>
      <c r="O6736" s="1129"/>
      <c r="P6736" s="1129"/>
    </row>
    <row r="6737" spans="1:16">
      <c r="A6737" s="1129" t="s">
        <v>1244</v>
      </c>
      <c r="B6737" s="1129" t="s">
        <v>268</v>
      </c>
      <c r="C6737" s="1129" t="s">
        <v>1517</v>
      </c>
      <c r="D6737" s="1129" t="s">
        <v>82</v>
      </c>
      <c r="E6737" s="1129">
        <v>2</v>
      </c>
      <c r="F6737" s="1129">
        <v>3</v>
      </c>
      <c r="G6737" s="1129">
        <v>0</v>
      </c>
      <c r="H6737" s="1129">
        <v>0</v>
      </c>
      <c r="I6737" s="1129">
        <v>1.5</v>
      </c>
      <c r="J6737" s="1129">
        <v>1</v>
      </c>
      <c r="K6737" s="1129"/>
      <c r="L6737" s="1129"/>
      <c r="M6737" s="1129"/>
      <c r="N6737" s="1129"/>
      <c r="O6737" s="1129"/>
      <c r="P6737" s="1129"/>
    </row>
    <row r="6738" spans="1:16">
      <c r="A6738" s="1129" t="s">
        <v>248</v>
      </c>
      <c r="B6738" s="1129" t="s">
        <v>247</v>
      </c>
      <c r="C6738" s="1129" t="s">
        <v>1517</v>
      </c>
      <c r="D6738" s="1129" t="s">
        <v>82</v>
      </c>
      <c r="E6738" s="1129">
        <v>2</v>
      </c>
      <c r="F6738" s="1129">
        <v>3</v>
      </c>
      <c r="G6738" s="1129">
        <v>0.16</v>
      </c>
      <c r="H6738" s="1129">
        <v>0.24</v>
      </c>
      <c r="I6738" s="1129">
        <v>1.34</v>
      </c>
      <c r="J6738" s="1129">
        <v>0.89333333333333331</v>
      </c>
      <c r="K6738" s="1129"/>
      <c r="L6738" s="1129"/>
      <c r="M6738" s="1129"/>
      <c r="N6738" s="1129"/>
      <c r="O6738" s="1129"/>
      <c r="P6738" s="1129"/>
    </row>
    <row r="6739" spans="1:16">
      <c r="A6739" s="1129" t="s">
        <v>677</v>
      </c>
      <c r="B6739" s="1129" t="s">
        <v>247</v>
      </c>
      <c r="C6739" s="1129" t="s">
        <v>1517</v>
      </c>
      <c r="D6739" s="1129" t="s">
        <v>82</v>
      </c>
      <c r="E6739" s="1129">
        <v>1</v>
      </c>
      <c r="F6739" s="1129">
        <v>0.75</v>
      </c>
      <c r="G6739" s="1129">
        <v>0.31</v>
      </c>
      <c r="H6739" s="1129">
        <v>0.24</v>
      </c>
      <c r="I6739" s="1129">
        <v>0.44</v>
      </c>
      <c r="J6739" s="1129">
        <v>0.58666666666666667</v>
      </c>
      <c r="K6739" s="1129"/>
      <c r="L6739" s="1129"/>
      <c r="M6739" s="1129"/>
      <c r="N6739" s="1129"/>
      <c r="O6739" s="1129"/>
      <c r="P6739" s="1129"/>
    </row>
    <row r="6740" spans="1:16">
      <c r="A6740" s="1129" t="s">
        <v>863</v>
      </c>
      <c r="B6740" s="1129" t="s">
        <v>264</v>
      </c>
      <c r="C6740" s="1129" t="s">
        <v>1517</v>
      </c>
      <c r="D6740" s="1129" t="s">
        <v>82</v>
      </c>
      <c r="E6740" s="1129">
        <v>1</v>
      </c>
      <c r="F6740" s="1129">
        <v>1.35</v>
      </c>
      <c r="G6740" s="1129">
        <v>0.04</v>
      </c>
      <c r="H6740" s="1129">
        <v>0.95</v>
      </c>
      <c r="I6740" s="1129">
        <v>1.31</v>
      </c>
      <c r="J6740" s="1129">
        <v>0.97037037037037033</v>
      </c>
      <c r="K6740" s="1129"/>
      <c r="L6740" s="1129"/>
      <c r="M6740" s="1129"/>
      <c r="N6740" s="1129"/>
      <c r="O6740" s="1129"/>
      <c r="P6740" s="1129"/>
    </row>
    <row r="6741" spans="1:16">
      <c r="A6741" s="1129" t="s">
        <v>1271</v>
      </c>
      <c r="B6741" s="1129" t="s">
        <v>268</v>
      </c>
      <c r="C6741" s="1129" t="s">
        <v>1517</v>
      </c>
      <c r="D6741" s="1129" t="s">
        <v>82</v>
      </c>
      <c r="E6741" s="1129">
        <v>1</v>
      </c>
      <c r="F6741" s="1129">
        <v>2.25</v>
      </c>
      <c r="G6741" s="1129">
        <v>0</v>
      </c>
      <c r="H6741" s="1129">
        <v>0</v>
      </c>
      <c r="I6741" s="1129">
        <v>2.25</v>
      </c>
      <c r="J6741" s="1129">
        <v>1</v>
      </c>
      <c r="K6741" s="1129"/>
      <c r="L6741" s="1129"/>
      <c r="M6741" s="1129"/>
      <c r="N6741" s="1129"/>
      <c r="O6741" s="1129"/>
      <c r="P6741" s="1129"/>
    </row>
    <row r="6742" spans="1:16">
      <c r="A6742" s="1129" t="s">
        <v>248</v>
      </c>
      <c r="B6742" s="1129" t="s">
        <v>247</v>
      </c>
      <c r="C6742" s="1129" t="s">
        <v>1517</v>
      </c>
      <c r="D6742" s="1129" t="s">
        <v>82</v>
      </c>
      <c r="E6742" s="1129">
        <v>1</v>
      </c>
      <c r="F6742" s="1129">
        <v>1.5</v>
      </c>
      <c r="G6742" s="1129">
        <v>0.16</v>
      </c>
      <c r="H6742" s="1129">
        <v>0.24</v>
      </c>
      <c r="I6742" s="1129">
        <v>1.34</v>
      </c>
      <c r="J6742" s="1129">
        <v>0.89333333333333331</v>
      </c>
      <c r="K6742" s="1129"/>
      <c r="L6742" s="1129"/>
      <c r="M6742" s="1129"/>
      <c r="N6742" s="1129"/>
      <c r="O6742" s="1129"/>
      <c r="P6742" s="1129"/>
    </row>
    <row r="6743" spans="1:16">
      <c r="A6743" s="1129" t="s">
        <v>773</v>
      </c>
      <c r="B6743" s="1129" t="s">
        <v>328</v>
      </c>
      <c r="C6743" s="1129" t="s">
        <v>1517</v>
      </c>
      <c r="D6743" s="1129" t="s">
        <v>82</v>
      </c>
      <c r="E6743" s="1129">
        <v>1</v>
      </c>
      <c r="F6743" s="1129">
        <v>3.1</v>
      </c>
      <c r="G6743" s="1129">
        <v>0.2</v>
      </c>
      <c r="H6743" s="1129">
        <v>0.19</v>
      </c>
      <c r="I6743" s="1129">
        <v>2.9</v>
      </c>
      <c r="J6743" s="1129">
        <v>0.93548387096774199</v>
      </c>
      <c r="K6743" s="1129"/>
      <c r="L6743" s="1129"/>
      <c r="M6743" s="1129"/>
      <c r="N6743" s="1129"/>
      <c r="O6743" s="1129"/>
      <c r="P6743" s="1129"/>
    </row>
    <row r="6744" spans="1:16">
      <c r="A6744" s="1129" t="s">
        <v>1248</v>
      </c>
      <c r="B6744" s="1129" t="s">
        <v>264</v>
      </c>
      <c r="C6744" s="1129" t="s">
        <v>1517</v>
      </c>
      <c r="D6744" s="1129" t="s">
        <v>82</v>
      </c>
      <c r="E6744" s="1129">
        <v>1</v>
      </c>
      <c r="F6744" s="1129">
        <v>0.05</v>
      </c>
      <c r="G6744" s="1129">
        <v>0</v>
      </c>
      <c r="H6744" s="1129">
        <v>0</v>
      </c>
      <c r="I6744" s="1129">
        <v>0.05</v>
      </c>
      <c r="J6744" s="1129">
        <v>1</v>
      </c>
      <c r="K6744" s="1129"/>
      <c r="L6744" s="1129"/>
      <c r="M6744" s="1129"/>
      <c r="N6744" s="1129"/>
      <c r="O6744" s="1129"/>
      <c r="P6744" s="1129"/>
    </row>
    <row r="6745" spans="1:16">
      <c r="A6745" s="1129" t="s">
        <v>260</v>
      </c>
      <c r="B6745" s="1129" t="s">
        <v>247</v>
      </c>
      <c r="C6745" s="1129" t="s">
        <v>1517</v>
      </c>
      <c r="D6745" s="1129" t="s">
        <v>82</v>
      </c>
      <c r="E6745" s="1129">
        <v>1</v>
      </c>
      <c r="F6745" s="1129">
        <v>1.4</v>
      </c>
      <c r="G6745" s="1129">
        <v>0.25</v>
      </c>
      <c r="H6745" s="1129">
        <v>0.21</v>
      </c>
      <c r="I6745" s="1129">
        <v>1.1499999999999999</v>
      </c>
      <c r="J6745" s="1129">
        <v>0.8214285714285714</v>
      </c>
      <c r="K6745" s="1129"/>
      <c r="L6745" s="1129"/>
      <c r="M6745" s="1129"/>
      <c r="N6745" s="1129"/>
      <c r="O6745" s="1129"/>
      <c r="P6745" s="1129"/>
    </row>
    <row r="6746" spans="1:16">
      <c r="A6746" s="1129" t="s">
        <v>1268</v>
      </c>
      <c r="B6746" s="1129" t="s">
        <v>264</v>
      </c>
      <c r="C6746" s="1129" t="s">
        <v>1517</v>
      </c>
      <c r="D6746" s="1129" t="s">
        <v>82</v>
      </c>
      <c r="E6746" s="1129">
        <v>1</v>
      </c>
      <c r="F6746" s="1129">
        <v>0.05</v>
      </c>
      <c r="G6746" s="1129">
        <v>0</v>
      </c>
      <c r="H6746" s="1129">
        <v>0.22</v>
      </c>
      <c r="I6746" s="1129">
        <v>0.05</v>
      </c>
      <c r="J6746" s="1129">
        <v>1</v>
      </c>
      <c r="K6746" s="1129"/>
      <c r="L6746" s="1129"/>
      <c r="M6746" s="1129"/>
      <c r="N6746" s="1129"/>
      <c r="O6746" s="1129"/>
      <c r="P6746" s="1129"/>
    </row>
    <row r="6747" spans="1:16">
      <c r="A6747" s="1129" t="s">
        <v>773</v>
      </c>
      <c r="B6747" s="1129" t="s">
        <v>328</v>
      </c>
      <c r="C6747" s="1129" t="s">
        <v>1517</v>
      </c>
      <c r="D6747" s="1129" t="s">
        <v>82</v>
      </c>
      <c r="E6747" s="1129">
        <v>1</v>
      </c>
      <c r="F6747" s="1129">
        <v>3.1</v>
      </c>
      <c r="G6747" s="1129">
        <v>0.2</v>
      </c>
      <c r="H6747" s="1129">
        <v>0.19</v>
      </c>
      <c r="I6747" s="1129">
        <v>2.9</v>
      </c>
      <c r="J6747" s="1129">
        <v>0.93548387096774199</v>
      </c>
      <c r="K6747" s="1129"/>
      <c r="L6747" s="1129"/>
      <c r="M6747" s="1129"/>
      <c r="N6747" s="1129"/>
      <c r="O6747" s="1129"/>
      <c r="P6747" s="1129"/>
    </row>
    <row r="6748" spans="1:16">
      <c r="A6748" s="1129" t="s">
        <v>1248</v>
      </c>
      <c r="B6748" s="1129" t="s">
        <v>264</v>
      </c>
      <c r="C6748" s="1129" t="s">
        <v>1517</v>
      </c>
      <c r="D6748" s="1129" t="s">
        <v>82</v>
      </c>
      <c r="E6748" s="1129">
        <v>1</v>
      </c>
      <c r="F6748" s="1129">
        <v>0.05</v>
      </c>
      <c r="G6748" s="1129">
        <v>0</v>
      </c>
      <c r="H6748" s="1129">
        <v>0</v>
      </c>
      <c r="I6748" s="1129">
        <v>0.05</v>
      </c>
      <c r="J6748" s="1129">
        <v>1</v>
      </c>
      <c r="K6748" s="1129"/>
      <c r="L6748" s="1129"/>
      <c r="M6748" s="1129"/>
      <c r="N6748" s="1129"/>
      <c r="O6748" s="1129"/>
      <c r="P6748" s="1129"/>
    </row>
    <row r="6749" spans="1:16">
      <c r="A6749" s="1129" t="s">
        <v>265</v>
      </c>
      <c r="B6749" s="1129" t="s">
        <v>251</v>
      </c>
      <c r="C6749" s="1129" t="s">
        <v>1517</v>
      </c>
      <c r="D6749" s="1129" t="s">
        <v>82</v>
      </c>
      <c r="E6749" s="1129">
        <v>1</v>
      </c>
      <c r="F6749" s="1129">
        <v>2.65</v>
      </c>
      <c r="G6749" s="1129">
        <v>0.53</v>
      </c>
      <c r="H6749" s="1129">
        <v>0.32</v>
      </c>
      <c r="I6749" s="1129">
        <v>2.12</v>
      </c>
      <c r="J6749" s="1129">
        <v>0.8</v>
      </c>
      <c r="K6749" s="1129"/>
      <c r="L6749" s="1129"/>
      <c r="M6749" s="1129"/>
      <c r="N6749" s="1129"/>
      <c r="O6749" s="1129"/>
      <c r="P6749" s="1129"/>
    </row>
    <row r="6750" spans="1:16">
      <c r="A6750" s="1129" t="s">
        <v>260</v>
      </c>
      <c r="B6750" s="1129" t="s">
        <v>247</v>
      </c>
      <c r="C6750" s="1129" t="s">
        <v>1517</v>
      </c>
      <c r="D6750" s="1129" t="s">
        <v>82</v>
      </c>
      <c r="E6750" s="1129">
        <v>1</v>
      </c>
      <c r="F6750" s="1129">
        <v>1.4</v>
      </c>
      <c r="G6750" s="1129">
        <v>0.25</v>
      </c>
      <c r="H6750" s="1129">
        <v>0.21</v>
      </c>
      <c r="I6750" s="1129">
        <v>1.1499999999999999</v>
      </c>
      <c r="J6750" s="1129">
        <v>0.8214285714285714</v>
      </c>
      <c r="K6750" s="1129"/>
      <c r="L6750" s="1129"/>
      <c r="M6750" s="1129"/>
      <c r="N6750" s="1129"/>
      <c r="O6750" s="1129"/>
      <c r="P6750" s="1129"/>
    </row>
    <row r="6751" spans="1:16">
      <c r="A6751" s="1129" t="s">
        <v>830</v>
      </c>
      <c r="B6751" s="1129" t="s">
        <v>256</v>
      </c>
      <c r="C6751" s="1129" t="s">
        <v>1517</v>
      </c>
      <c r="D6751" s="1129" t="s">
        <v>82</v>
      </c>
      <c r="E6751" s="1129">
        <v>1</v>
      </c>
      <c r="F6751" s="1129">
        <v>8.6999999999999993</v>
      </c>
      <c r="G6751" s="1129">
        <v>0.88</v>
      </c>
      <c r="H6751" s="1129">
        <v>0.27</v>
      </c>
      <c r="I6751" s="1129">
        <v>7.8199999999999994</v>
      </c>
      <c r="J6751" s="1129">
        <v>0.89885057471264362</v>
      </c>
      <c r="K6751" s="1129"/>
      <c r="L6751" s="1129"/>
      <c r="M6751" s="1129"/>
      <c r="N6751" s="1129"/>
      <c r="O6751" s="1129"/>
      <c r="P6751" s="1129"/>
    </row>
    <row r="6752" spans="1:16">
      <c r="A6752" s="1129" t="s">
        <v>1272</v>
      </c>
      <c r="B6752" s="1129" t="s">
        <v>268</v>
      </c>
      <c r="C6752" s="1129" t="s">
        <v>1517</v>
      </c>
      <c r="D6752" s="1129" t="s">
        <v>82</v>
      </c>
      <c r="E6752" s="1129">
        <v>1</v>
      </c>
      <c r="F6752" s="1129">
        <v>0.65</v>
      </c>
      <c r="G6752" s="1129">
        <v>0</v>
      </c>
      <c r="H6752" s="1129">
        <v>0</v>
      </c>
      <c r="I6752" s="1129">
        <v>0.65</v>
      </c>
      <c r="J6752" s="1129">
        <v>1</v>
      </c>
      <c r="K6752" s="1129"/>
      <c r="L6752" s="1129"/>
      <c r="M6752" s="1129"/>
      <c r="N6752" s="1129"/>
      <c r="O6752" s="1129"/>
      <c r="P6752" s="1129"/>
    </row>
    <row r="6753" spans="1:16">
      <c r="A6753" s="1129" t="s">
        <v>260</v>
      </c>
      <c r="B6753" s="1129" t="s">
        <v>247</v>
      </c>
      <c r="C6753" s="1129" t="s">
        <v>1517</v>
      </c>
      <c r="D6753" s="1129" t="s">
        <v>82</v>
      </c>
      <c r="E6753" s="1129">
        <v>1</v>
      </c>
      <c r="F6753" s="1129">
        <v>1.4</v>
      </c>
      <c r="G6753" s="1129">
        <v>0.25</v>
      </c>
      <c r="H6753" s="1129">
        <v>0.21</v>
      </c>
      <c r="I6753" s="1129">
        <v>1.1499999999999999</v>
      </c>
      <c r="J6753" s="1129">
        <v>0.8214285714285714</v>
      </c>
      <c r="K6753" s="1129"/>
      <c r="L6753" s="1129"/>
      <c r="M6753" s="1129"/>
      <c r="N6753" s="1129"/>
      <c r="O6753" s="1129"/>
      <c r="P6753" s="1129"/>
    </row>
    <row r="6754" spans="1:16">
      <c r="A6754" s="1129" t="s">
        <v>248</v>
      </c>
      <c r="B6754" s="1129" t="s">
        <v>247</v>
      </c>
      <c r="C6754" s="1129" t="s">
        <v>1517</v>
      </c>
      <c r="D6754" s="1129" t="s">
        <v>82</v>
      </c>
      <c r="E6754" s="1129">
        <v>1</v>
      </c>
      <c r="F6754" s="1129">
        <v>1.5</v>
      </c>
      <c r="G6754" s="1129">
        <v>0.16</v>
      </c>
      <c r="H6754" s="1129">
        <v>0.24</v>
      </c>
      <c r="I6754" s="1129">
        <v>1.34</v>
      </c>
      <c r="J6754" s="1129">
        <v>0.89333333333333331</v>
      </c>
      <c r="K6754" s="1129"/>
      <c r="L6754" s="1129"/>
      <c r="M6754" s="1129"/>
      <c r="N6754" s="1129"/>
      <c r="O6754" s="1129"/>
      <c r="P6754" s="1129"/>
    </row>
    <row r="6755" spans="1:16">
      <c r="A6755" s="1129" t="s">
        <v>2326</v>
      </c>
      <c r="B6755" s="1129" t="s">
        <v>1273</v>
      </c>
      <c r="C6755" s="1129" t="s">
        <v>1517</v>
      </c>
      <c r="D6755" s="1129" t="s">
        <v>82</v>
      </c>
      <c r="E6755" s="1129">
        <v>1</v>
      </c>
      <c r="F6755" s="1129">
        <v>5.7</v>
      </c>
      <c r="G6755" s="1129">
        <v>0</v>
      </c>
      <c r="H6755" s="1129">
        <v>0</v>
      </c>
      <c r="I6755" s="1129">
        <v>5.7</v>
      </c>
      <c r="J6755" s="1129">
        <v>1</v>
      </c>
      <c r="K6755" s="1129"/>
      <c r="L6755" s="1129"/>
      <c r="M6755" s="1129"/>
      <c r="N6755" s="1129"/>
      <c r="O6755" s="1129"/>
      <c r="P6755" s="1129"/>
    </row>
    <row r="6756" spans="1:16">
      <c r="A6756" s="1129" t="s">
        <v>260</v>
      </c>
      <c r="B6756" s="1129" t="s">
        <v>247</v>
      </c>
      <c r="C6756" s="1129" t="s">
        <v>1517</v>
      </c>
      <c r="D6756" s="1129" t="s">
        <v>82</v>
      </c>
      <c r="E6756" s="1129">
        <v>1</v>
      </c>
      <c r="F6756" s="1129">
        <v>1.4</v>
      </c>
      <c r="G6756" s="1129">
        <v>0.25</v>
      </c>
      <c r="H6756" s="1129">
        <v>0.21</v>
      </c>
      <c r="I6756" s="1129">
        <v>1.1499999999999999</v>
      </c>
      <c r="J6756" s="1129">
        <v>0.8214285714285714</v>
      </c>
      <c r="K6756" s="1129"/>
      <c r="L6756" s="1129"/>
      <c r="M6756" s="1129"/>
      <c r="N6756" s="1129"/>
      <c r="O6756" s="1129"/>
      <c r="P6756" s="1129"/>
    </row>
    <row r="6757" spans="1:16">
      <c r="A6757" s="1129" t="s">
        <v>1244</v>
      </c>
      <c r="B6757" s="1129" t="s">
        <v>268</v>
      </c>
      <c r="C6757" s="1129" t="s">
        <v>1517</v>
      </c>
      <c r="D6757" s="1129" t="s">
        <v>82</v>
      </c>
      <c r="E6757" s="1129">
        <v>1</v>
      </c>
      <c r="F6757" s="1129">
        <v>1.5</v>
      </c>
      <c r="G6757" s="1129">
        <v>0</v>
      </c>
      <c r="H6757" s="1129">
        <v>0</v>
      </c>
      <c r="I6757" s="1129">
        <v>1.5</v>
      </c>
      <c r="J6757" s="1129">
        <v>1</v>
      </c>
      <c r="K6757" s="1129"/>
      <c r="L6757" s="1129"/>
      <c r="M6757" s="1129"/>
      <c r="N6757" s="1129"/>
      <c r="O6757" s="1129"/>
      <c r="P6757" s="1129"/>
    </row>
    <row r="6758" spans="1:16">
      <c r="A6758" s="1129" t="s">
        <v>761</v>
      </c>
      <c r="B6758" s="1129" t="s">
        <v>328</v>
      </c>
      <c r="C6758" s="1129" t="s">
        <v>1517</v>
      </c>
      <c r="D6758" s="1129" t="s">
        <v>82</v>
      </c>
      <c r="E6758" s="1129">
        <v>1</v>
      </c>
      <c r="F6758" s="1129">
        <v>3.1</v>
      </c>
      <c r="G6758" s="1129">
        <v>0.18</v>
      </c>
      <c r="H6758" s="1129">
        <v>0.11</v>
      </c>
      <c r="I6758" s="1129">
        <v>2.92</v>
      </c>
      <c r="J6758" s="1129">
        <v>0.9419354838709677</v>
      </c>
      <c r="K6758" s="1129"/>
      <c r="L6758" s="1129"/>
      <c r="M6758" s="1129"/>
      <c r="N6758" s="1129"/>
      <c r="O6758" s="1129"/>
      <c r="P6758" s="1129"/>
    </row>
    <row r="6759" spans="1:16">
      <c r="A6759" s="1129" t="s">
        <v>1276</v>
      </c>
      <c r="B6759" s="1129" t="s">
        <v>327</v>
      </c>
      <c r="C6759" s="1129" t="s">
        <v>1517</v>
      </c>
      <c r="D6759" s="1129" t="s">
        <v>82</v>
      </c>
      <c r="E6759" s="1129">
        <v>1</v>
      </c>
      <c r="F6759" s="1129">
        <v>1.75</v>
      </c>
      <c r="G6759" s="1129">
        <v>0</v>
      </c>
      <c r="H6759" s="1129">
        <v>0</v>
      </c>
      <c r="I6759" s="1129">
        <v>1.75</v>
      </c>
      <c r="J6759" s="1129">
        <v>1</v>
      </c>
      <c r="K6759" s="1129"/>
      <c r="L6759" s="1129"/>
      <c r="M6759" s="1129"/>
      <c r="N6759" s="1129"/>
      <c r="O6759" s="1129"/>
      <c r="P6759" s="1129"/>
    </row>
    <row r="6760" spans="1:16">
      <c r="A6760" s="1129" t="s">
        <v>260</v>
      </c>
      <c r="B6760" s="1129" t="s">
        <v>247</v>
      </c>
      <c r="C6760" s="1129" t="s">
        <v>1517</v>
      </c>
      <c r="D6760" s="1129" t="s">
        <v>82</v>
      </c>
      <c r="E6760" s="1129">
        <v>2</v>
      </c>
      <c r="F6760" s="1129">
        <v>2.8</v>
      </c>
      <c r="G6760" s="1129">
        <v>0.25</v>
      </c>
      <c r="H6760" s="1129">
        <v>0.21</v>
      </c>
      <c r="I6760" s="1129">
        <v>1.1499999999999999</v>
      </c>
      <c r="J6760" s="1129">
        <v>0.8214285714285714</v>
      </c>
      <c r="K6760" s="1129"/>
      <c r="L6760" s="1129"/>
      <c r="M6760" s="1129"/>
      <c r="N6760" s="1129"/>
      <c r="O6760" s="1129"/>
      <c r="P6760" s="1129"/>
    </row>
    <row r="6761" spans="1:16">
      <c r="A6761" s="1129" t="s">
        <v>2327</v>
      </c>
      <c r="B6761" s="1129" t="s">
        <v>873</v>
      </c>
      <c r="C6761" s="1129" t="s">
        <v>1517</v>
      </c>
      <c r="D6761" s="1129" t="s">
        <v>82</v>
      </c>
      <c r="E6761" s="1129">
        <v>1</v>
      </c>
      <c r="F6761" s="1129">
        <v>4.2</v>
      </c>
      <c r="G6761" s="1129">
        <v>0</v>
      </c>
      <c r="H6761" s="1129">
        <v>0</v>
      </c>
      <c r="I6761" s="1129">
        <v>4.2</v>
      </c>
      <c r="J6761" s="1129">
        <v>1</v>
      </c>
      <c r="K6761" s="1129"/>
      <c r="L6761" s="1129"/>
      <c r="M6761" s="1129"/>
      <c r="N6761" s="1129"/>
      <c r="O6761" s="1129"/>
      <c r="P6761" s="1129"/>
    </row>
    <row r="6762" spans="1:16">
      <c r="A6762" s="1129" t="s">
        <v>1268</v>
      </c>
      <c r="B6762" s="1129" t="s">
        <v>264</v>
      </c>
      <c r="C6762" s="1129" t="s">
        <v>1517</v>
      </c>
      <c r="D6762" s="1129" t="s">
        <v>82</v>
      </c>
      <c r="E6762" s="1129">
        <v>1</v>
      </c>
      <c r="F6762" s="1129">
        <v>0.05</v>
      </c>
      <c r="G6762" s="1129">
        <v>0</v>
      </c>
      <c r="H6762" s="1129">
        <v>0.22</v>
      </c>
      <c r="I6762" s="1129">
        <v>0.05</v>
      </c>
      <c r="J6762" s="1129">
        <v>1</v>
      </c>
      <c r="K6762" s="1129"/>
      <c r="L6762" s="1129"/>
      <c r="M6762" s="1129"/>
      <c r="N6762" s="1129"/>
      <c r="O6762" s="1129"/>
      <c r="P6762" s="1129"/>
    </row>
    <row r="6763" spans="1:16">
      <c r="A6763" s="1129" t="s">
        <v>1246</v>
      </c>
      <c r="B6763" s="1129" t="s">
        <v>275</v>
      </c>
      <c r="C6763" s="1129" t="s">
        <v>1517</v>
      </c>
      <c r="D6763" s="1129" t="s">
        <v>82</v>
      </c>
      <c r="E6763" s="1129">
        <v>2</v>
      </c>
      <c r="F6763" s="1129">
        <v>0.75</v>
      </c>
      <c r="G6763" s="1129">
        <v>0</v>
      </c>
      <c r="H6763" s="1129">
        <v>0</v>
      </c>
      <c r="I6763" s="1129">
        <v>0.375</v>
      </c>
      <c r="J6763" s="1129">
        <v>1</v>
      </c>
      <c r="K6763" s="1129"/>
      <c r="L6763" s="1129"/>
      <c r="M6763" s="1129"/>
      <c r="N6763" s="1129"/>
      <c r="O6763" s="1129"/>
      <c r="P6763" s="1129"/>
    </row>
    <row r="6764" spans="1:16">
      <c r="A6764" s="1129" t="s">
        <v>265</v>
      </c>
      <c r="B6764" s="1129" t="s">
        <v>251</v>
      </c>
      <c r="C6764" s="1129" t="s">
        <v>1517</v>
      </c>
      <c r="D6764" s="1129" t="s">
        <v>82</v>
      </c>
      <c r="E6764" s="1129">
        <v>1</v>
      </c>
      <c r="F6764" s="1129">
        <v>2.65</v>
      </c>
      <c r="G6764" s="1129">
        <v>0.53</v>
      </c>
      <c r="H6764" s="1129">
        <v>0.32</v>
      </c>
      <c r="I6764" s="1129">
        <v>2.12</v>
      </c>
      <c r="J6764" s="1129">
        <v>0.8</v>
      </c>
      <c r="K6764" s="1129"/>
      <c r="L6764" s="1129"/>
      <c r="M6764" s="1129"/>
      <c r="N6764" s="1129"/>
      <c r="O6764" s="1129"/>
      <c r="P6764" s="1129"/>
    </row>
    <row r="6765" spans="1:16">
      <c r="A6765" s="1129" t="s">
        <v>1268</v>
      </c>
      <c r="B6765" s="1129" t="s">
        <v>264</v>
      </c>
      <c r="C6765" s="1129" t="s">
        <v>1517</v>
      </c>
      <c r="D6765" s="1129" t="s">
        <v>82</v>
      </c>
      <c r="E6765" s="1129">
        <v>1</v>
      </c>
      <c r="F6765" s="1129">
        <v>0.05</v>
      </c>
      <c r="G6765" s="1129">
        <v>0</v>
      </c>
      <c r="H6765" s="1129">
        <v>0.22</v>
      </c>
      <c r="I6765" s="1129">
        <v>0.05</v>
      </c>
      <c r="J6765" s="1129">
        <v>1</v>
      </c>
      <c r="K6765" s="1129"/>
      <c r="L6765" s="1129"/>
      <c r="M6765" s="1129"/>
      <c r="N6765" s="1129"/>
      <c r="O6765" s="1129"/>
      <c r="P6765" s="1129"/>
    </row>
    <row r="6766" spans="1:16">
      <c r="A6766" s="1129" t="s">
        <v>830</v>
      </c>
      <c r="B6766" s="1129" t="s">
        <v>256</v>
      </c>
      <c r="C6766" s="1129" t="s">
        <v>1517</v>
      </c>
      <c r="D6766" s="1129" t="s">
        <v>82</v>
      </c>
      <c r="E6766" s="1129">
        <v>1</v>
      </c>
      <c r="F6766" s="1129">
        <v>8.6999999999999993</v>
      </c>
      <c r="G6766" s="1129">
        <v>0.88</v>
      </c>
      <c r="H6766" s="1129">
        <v>0.27</v>
      </c>
      <c r="I6766" s="1129">
        <v>7.8199999999999994</v>
      </c>
      <c r="J6766" s="1129">
        <v>0.89885057471264362</v>
      </c>
      <c r="K6766" s="1129"/>
      <c r="L6766" s="1129"/>
      <c r="M6766" s="1129"/>
      <c r="N6766" s="1129"/>
      <c r="O6766" s="1129"/>
      <c r="P6766" s="1129"/>
    </row>
    <row r="6767" spans="1:16">
      <c r="A6767" s="1129" t="s">
        <v>1278</v>
      </c>
      <c r="B6767" s="1129" t="s">
        <v>323</v>
      </c>
      <c r="C6767" s="1129" t="s">
        <v>1517</v>
      </c>
      <c r="D6767" s="1129" t="s">
        <v>82</v>
      </c>
      <c r="E6767" s="1129">
        <v>1</v>
      </c>
      <c r="F6767" s="1129">
        <v>5.65</v>
      </c>
      <c r="G6767" s="1129">
        <v>0</v>
      </c>
      <c r="H6767" s="1129">
        <v>0</v>
      </c>
      <c r="I6767" s="1129">
        <v>5.65</v>
      </c>
      <c r="J6767" s="1129">
        <v>1</v>
      </c>
      <c r="K6767" s="1129"/>
      <c r="L6767" s="1129"/>
      <c r="M6767" s="1129"/>
      <c r="N6767" s="1129"/>
      <c r="O6767" s="1129"/>
      <c r="P6767" s="1129"/>
    </row>
    <row r="6768" spans="1:16">
      <c r="A6768" s="1129" t="s">
        <v>790</v>
      </c>
      <c r="B6768" s="1129" t="s">
        <v>264</v>
      </c>
      <c r="C6768" s="1129" t="s">
        <v>1517</v>
      </c>
      <c r="D6768" s="1129" t="s">
        <v>82</v>
      </c>
      <c r="E6768" s="1129">
        <v>34</v>
      </c>
      <c r="F6768" s="1129">
        <v>112.27</v>
      </c>
      <c r="G6768" s="1129">
        <v>0</v>
      </c>
      <c r="H6768" s="1129">
        <v>0</v>
      </c>
      <c r="I6768" s="1129">
        <v>3.302058823529411</v>
      </c>
      <c r="J6768" s="1129">
        <v>1</v>
      </c>
      <c r="K6768" s="1129"/>
      <c r="L6768" s="1129"/>
      <c r="M6768" s="1129"/>
      <c r="N6768" s="1129"/>
      <c r="O6768" s="1129"/>
      <c r="P6768" s="1129"/>
    </row>
    <row r="6769" spans="1:16">
      <c r="A6769" s="1129" t="s">
        <v>791</v>
      </c>
      <c r="B6769" s="1129" t="s">
        <v>256</v>
      </c>
      <c r="C6769" s="1129" t="s">
        <v>1517</v>
      </c>
      <c r="D6769" s="1129" t="s">
        <v>82</v>
      </c>
      <c r="E6769" s="1129">
        <v>20</v>
      </c>
      <c r="F6769" s="1129">
        <v>102.5</v>
      </c>
      <c r="G6769" s="1129">
        <v>0</v>
      </c>
      <c r="H6769" s="1129">
        <v>0</v>
      </c>
      <c r="I6769" s="1129">
        <v>5.125</v>
      </c>
      <c r="J6769" s="1129">
        <v>1</v>
      </c>
      <c r="K6769" s="1129"/>
      <c r="L6769" s="1129"/>
      <c r="M6769" s="1129"/>
      <c r="N6769" s="1129"/>
      <c r="O6769" s="1129"/>
      <c r="P6769" s="1129"/>
    </row>
    <row r="6770" spans="1:16">
      <c r="A6770" s="1129" t="s">
        <v>794</v>
      </c>
      <c r="B6770" s="1129" t="s">
        <v>256</v>
      </c>
      <c r="C6770" s="1129" t="s">
        <v>1517</v>
      </c>
      <c r="D6770" s="1129" t="s">
        <v>82</v>
      </c>
      <c r="E6770" s="1129">
        <v>12</v>
      </c>
      <c r="F6770" s="1129">
        <v>82.95</v>
      </c>
      <c r="G6770" s="1129">
        <v>0</v>
      </c>
      <c r="H6770" s="1129">
        <v>0</v>
      </c>
      <c r="I6770" s="1129">
        <v>6.9125000000000014</v>
      </c>
      <c r="J6770" s="1129">
        <v>1</v>
      </c>
      <c r="K6770" s="1129"/>
      <c r="L6770" s="1129"/>
      <c r="M6770" s="1129"/>
      <c r="N6770" s="1129"/>
      <c r="O6770" s="1129"/>
      <c r="P6770" s="1129"/>
    </row>
    <row r="6771" spans="1:16">
      <c r="A6771" s="1129" t="s">
        <v>793</v>
      </c>
      <c r="B6771" s="1129" t="s">
        <v>695</v>
      </c>
      <c r="C6771" s="1129" t="s">
        <v>1517</v>
      </c>
      <c r="D6771" s="1129" t="s">
        <v>82</v>
      </c>
      <c r="E6771" s="1129">
        <v>12</v>
      </c>
      <c r="F6771" s="1129">
        <v>76.73</v>
      </c>
      <c r="G6771" s="1129">
        <v>1.02</v>
      </c>
      <c r="H6771" s="1129">
        <v>0.2</v>
      </c>
      <c r="I6771" s="1129">
        <v>5.3741666666666674</v>
      </c>
      <c r="J6771" s="1129">
        <v>0.84047960380555198</v>
      </c>
      <c r="K6771" s="1129"/>
      <c r="L6771" s="1129"/>
      <c r="M6771" s="1129"/>
      <c r="N6771" s="1129"/>
      <c r="O6771" s="1129"/>
      <c r="P6771" s="1129"/>
    </row>
    <row r="6772" spans="1:16">
      <c r="A6772" s="1129" t="s">
        <v>707</v>
      </c>
      <c r="B6772" s="1129" t="s">
        <v>256</v>
      </c>
      <c r="C6772" s="1129" t="s">
        <v>1517</v>
      </c>
      <c r="D6772" s="1129" t="s">
        <v>82</v>
      </c>
      <c r="E6772" s="1129">
        <v>7</v>
      </c>
      <c r="F6772" s="1129">
        <v>61.14</v>
      </c>
      <c r="G6772" s="1129">
        <v>0.53</v>
      </c>
      <c r="H6772" s="1129">
        <v>0.22</v>
      </c>
      <c r="I6772" s="1129">
        <v>8.2042857142857155</v>
      </c>
      <c r="J6772" s="1129">
        <v>0.93931959437356882</v>
      </c>
      <c r="K6772" s="1129"/>
      <c r="L6772" s="1129"/>
      <c r="M6772" s="1129"/>
      <c r="N6772" s="1129"/>
      <c r="O6772" s="1129"/>
      <c r="P6772" s="1129"/>
    </row>
    <row r="6773" spans="1:16">
      <c r="A6773" s="1129" t="s">
        <v>781</v>
      </c>
      <c r="B6773" s="1129" t="s">
        <v>764</v>
      </c>
      <c r="C6773" s="1129" t="s">
        <v>1517</v>
      </c>
      <c r="D6773" s="1129" t="s">
        <v>82</v>
      </c>
      <c r="E6773" s="1129">
        <v>4</v>
      </c>
      <c r="F6773" s="1129">
        <v>58.05</v>
      </c>
      <c r="G6773" s="1129">
        <v>0</v>
      </c>
      <c r="H6773" s="1129">
        <v>0</v>
      </c>
      <c r="I6773" s="1129">
        <v>14.512499999999999</v>
      </c>
      <c r="J6773" s="1129">
        <v>1</v>
      </c>
      <c r="K6773" s="1129"/>
      <c r="L6773" s="1129"/>
      <c r="M6773" s="1129"/>
      <c r="N6773" s="1129"/>
      <c r="O6773" s="1129"/>
      <c r="P6773" s="1129"/>
    </row>
    <row r="6774" spans="1:16">
      <c r="A6774" s="1129" t="s">
        <v>259</v>
      </c>
      <c r="B6774" s="1129" t="s">
        <v>249</v>
      </c>
      <c r="C6774" s="1129" t="s">
        <v>1517</v>
      </c>
      <c r="D6774" s="1129" t="s">
        <v>82</v>
      </c>
      <c r="E6774" s="1129">
        <v>43</v>
      </c>
      <c r="F6774" s="1129">
        <v>53.5</v>
      </c>
      <c r="G6774" s="1129">
        <v>0.19</v>
      </c>
      <c r="H6774" s="1129">
        <v>0.26</v>
      </c>
      <c r="I6774" s="1129">
        <v>1.0541860465116279</v>
      </c>
      <c r="J6774" s="1129">
        <v>0.84728971962616817</v>
      </c>
      <c r="K6774" s="1129"/>
      <c r="L6774" s="1129"/>
      <c r="M6774" s="1129"/>
      <c r="N6774" s="1129"/>
      <c r="O6774" s="1129"/>
      <c r="P6774" s="1129"/>
    </row>
    <row r="6775" spans="1:16">
      <c r="A6775" s="1129" t="s">
        <v>792</v>
      </c>
      <c r="B6775" s="1129" t="s">
        <v>256</v>
      </c>
      <c r="C6775" s="1129" t="s">
        <v>1517</v>
      </c>
      <c r="D6775" s="1129" t="s">
        <v>82</v>
      </c>
      <c r="E6775" s="1129">
        <v>4</v>
      </c>
      <c r="F6775" s="1129">
        <v>51.18</v>
      </c>
      <c r="G6775" s="1129">
        <v>0</v>
      </c>
      <c r="H6775" s="1129">
        <v>0</v>
      </c>
      <c r="I6775" s="1129">
        <v>12.795</v>
      </c>
      <c r="J6775" s="1129">
        <v>1</v>
      </c>
      <c r="K6775" s="1129"/>
      <c r="L6775" s="1129"/>
      <c r="M6775" s="1129"/>
      <c r="N6775" s="1129"/>
      <c r="O6775" s="1129"/>
      <c r="P6775" s="1129"/>
    </row>
    <row r="6776" spans="1:16">
      <c r="A6776" s="1129" t="s">
        <v>837</v>
      </c>
      <c r="B6776" s="1129" t="s">
        <v>282</v>
      </c>
      <c r="C6776" s="1129" t="s">
        <v>1517</v>
      </c>
      <c r="D6776" s="1129" t="s">
        <v>82</v>
      </c>
      <c r="E6776" s="1129">
        <v>4</v>
      </c>
      <c r="F6776" s="1129">
        <v>47.14</v>
      </c>
      <c r="G6776" s="1129">
        <v>0</v>
      </c>
      <c r="H6776" s="1129">
        <v>0</v>
      </c>
      <c r="I6776" s="1129">
        <v>11.785</v>
      </c>
      <c r="J6776" s="1129">
        <v>1</v>
      </c>
      <c r="K6776" s="1129"/>
      <c r="L6776" s="1129"/>
      <c r="M6776" s="1129"/>
      <c r="N6776" s="1129"/>
      <c r="O6776" s="1129"/>
      <c r="P6776" s="1129"/>
    </row>
    <row r="6777" spans="1:16">
      <c r="A6777" s="1129" t="s">
        <v>763</v>
      </c>
      <c r="B6777" s="1129" t="s">
        <v>764</v>
      </c>
      <c r="C6777" s="1129" t="s">
        <v>1517</v>
      </c>
      <c r="D6777" s="1129" t="s">
        <v>82</v>
      </c>
      <c r="E6777" s="1129">
        <v>4</v>
      </c>
      <c r="F6777" s="1129">
        <v>42.5</v>
      </c>
      <c r="G6777" s="1129">
        <v>0</v>
      </c>
      <c r="H6777" s="1129">
        <v>0</v>
      </c>
      <c r="I6777" s="1129">
        <v>10.625</v>
      </c>
      <c r="J6777" s="1129">
        <v>1</v>
      </c>
      <c r="K6777" s="1129"/>
      <c r="L6777" s="1129"/>
      <c r="M6777" s="1129"/>
      <c r="N6777" s="1129"/>
      <c r="O6777" s="1129"/>
      <c r="P6777" s="1129"/>
    </row>
    <row r="6778" spans="1:16">
      <c r="A6778" s="1129" t="s">
        <v>673</v>
      </c>
      <c r="B6778" s="1129" t="s">
        <v>251</v>
      </c>
      <c r="C6778" s="1129" t="s">
        <v>1517</v>
      </c>
      <c r="D6778" s="1129" t="s">
        <v>82</v>
      </c>
      <c r="E6778" s="1129">
        <v>18</v>
      </c>
      <c r="F6778" s="1129">
        <v>39.770000000000003</v>
      </c>
      <c r="G6778" s="1129">
        <v>0.53</v>
      </c>
      <c r="H6778" s="1129">
        <v>0.28999999999999998</v>
      </c>
      <c r="I6778" s="1129">
        <v>1.679444444444445</v>
      </c>
      <c r="J6778" s="1129">
        <v>0.76012069399044502</v>
      </c>
      <c r="K6778" s="1129"/>
      <c r="L6778" s="1129"/>
      <c r="M6778" s="1129"/>
      <c r="N6778" s="1129"/>
      <c r="O6778" s="1129"/>
      <c r="P6778" s="1129"/>
    </row>
    <row r="6779" spans="1:16">
      <c r="A6779" s="1129" t="s">
        <v>784</v>
      </c>
      <c r="B6779" s="1129" t="s">
        <v>764</v>
      </c>
      <c r="C6779" s="1129" t="s">
        <v>1517</v>
      </c>
      <c r="D6779" s="1129" t="s">
        <v>82</v>
      </c>
      <c r="E6779" s="1129">
        <v>3</v>
      </c>
      <c r="F6779" s="1129">
        <v>39.770000000000003</v>
      </c>
      <c r="G6779" s="1129">
        <v>0</v>
      </c>
      <c r="H6779" s="1129">
        <v>0</v>
      </c>
      <c r="I6779" s="1129">
        <v>13.256666666666669</v>
      </c>
      <c r="J6779" s="1129">
        <v>1</v>
      </c>
      <c r="K6779" s="1129"/>
      <c r="L6779" s="1129"/>
      <c r="M6779" s="1129"/>
      <c r="N6779" s="1129"/>
      <c r="O6779" s="1129"/>
      <c r="P6779" s="1129"/>
    </row>
    <row r="6780" spans="1:16">
      <c r="A6780" s="1129" t="s">
        <v>796</v>
      </c>
      <c r="B6780" s="1129" t="s">
        <v>282</v>
      </c>
      <c r="C6780" s="1129" t="s">
        <v>1517</v>
      </c>
      <c r="D6780" s="1129" t="s">
        <v>82</v>
      </c>
      <c r="E6780" s="1129">
        <v>3</v>
      </c>
      <c r="F6780" s="1129">
        <v>32.909999999999997</v>
      </c>
      <c r="G6780" s="1129">
        <v>2.66</v>
      </c>
      <c r="H6780" s="1129">
        <v>0.28000000000000003</v>
      </c>
      <c r="I6780" s="1129">
        <v>8.3099999999999987</v>
      </c>
      <c r="J6780" s="1129">
        <v>0.75752051048313573</v>
      </c>
      <c r="K6780" s="1129"/>
      <c r="L6780" s="1129"/>
      <c r="M6780" s="1129"/>
      <c r="N6780" s="1129"/>
      <c r="O6780" s="1129"/>
      <c r="P6780" s="1129"/>
    </row>
    <row r="6781" spans="1:16">
      <c r="A6781" s="1129" t="s">
        <v>680</v>
      </c>
      <c r="B6781" s="1129" t="s">
        <v>251</v>
      </c>
      <c r="C6781" s="1129" t="s">
        <v>1517</v>
      </c>
      <c r="D6781" s="1129" t="s">
        <v>82</v>
      </c>
      <c r="E6781" s="1129">
        <v>14</v>
      </c>
      <c r="F6781" s="1129">
        <v>32.229999999999997</v>
      </c>
      <c r="G6781" s="1129">
        <v>0.53</v>
      </c>
      <c r="H6781" s="1129">
        <v>0.32</v>
      </c>
      <c r="I6781" s="1129">
        <v>1.772142857142857</v>
      </c>
      <c r="J6781" s="1129">
        <v>0.76977970834626119</v>
      </c>
      <c r="K6781" s="1129"/>
      <c r="L6781" s="1129"/>
      <c r="M6781" s="1129"/>
      <c r="N6781" s="1129"/>
      <c r="O6781" s="1129"/>
      <c r="P6781" s="1129"/>
    </row>
    <row r="6782" spans="1:16">
      <c r="A6782" s="1129" t="s">
        <v>688</v>
      </c>
      <c r="B6782" s="1129" t="s">
        <v>689</v>
      </c>
      <c r="C6782" s="1129" t="s">
        <v>1517</v>
      </c>
      <c r="D6782" s="1129" t="s">
        <v>82</v>
      </c>
      <c r="E6782" s="1129">
        <v>3</v>
      </c>
      <c r="F6782" s="1129">
        <v>30.41</v>
      </c>
      <c r="G6782" s="1129">
        <v>0</v>
      </c>
      <c r="H6782" s="1129">
        <v>0</v>
      </c>
      <c r="I6782" s="1129">
        <v>10.13666666666667</v>
      </c>
      <c r="J6782" s="1129">
        <v>1</v>
      </c>
      <c r="K6782" s="1129"/>
      <c r="L6782" s="1129"/>
      <c r="M6782" s="1129"/>
      <c r="N6782" s="1129"/>
      <c r="O6782" s="1129"/>
      <c r="P6782" s="1129"/>
    </row>
    <row r="6783" spans="1:16">
      <c r="A6783" s="1129" t="s">
        <v>701</v>
      </c>
      <c r="B6783" s="1129" t="s">
        <v>689</v>
      </c>
      <c r="C6783" s="1129" t="s">
        <v>1517</v>
      </c>
      <c r="D6783" s="1129" t="s">
        <v>82</v>
      </c>
      <c r="E6783" s="1129">
        <v>3</v>
      </c>
      <c r="F6783" s="1129">
        <v>29.95</v>
      </c>
      <c r="G6783" s="1129">
        <v>0.22</v>
      </c>
      <c r="H6783" s="1129">
        <v>0</v>
      </c>
      <c r="I6783" s="1129">
        <v>9.7633333333333319</v>
      </c>
      <c r="J6783" s="1129">
        <v>0.97796327212020029</v>
      </c>
      <c r="K6783" s="1129"/>
      <c r="L6783" s="1129"/>
      <c r="M6783" s="1129"/>
      <c r="N6783" s="1129"/>
      <c r="O6783" s="1129"/>
      <c r="P6783" s="1129"/>
    </row>
    <row r="6784" spans="1:16">
      <c r="A6784" s="1129" t="s">
        <v>778</v>
      </c>
      <c r="B6784" s="1129" t="s">
        <v>256</v>
      </c>
      <c r="C6784" s="1129" t="s">
        <v>1517</v>
      </c>
      <c r="D6784" s="1129" t="s">
        <v>82</v>
      </c>
      <c r="E6784" s="1129">
        <v>4</v>
      </c>
      <c r="F6784" s="1129">
        <v>27.73</v>
      </c>
      <c r="G6784" s="1129">
        <v>0</v>
      </c>
      <c r="H6784" s="1129">
        <v>0</v>
      </c>
      <c r="I6784" s="1129">
        <v>6.9325000000000001</v>
      </c>
      <c r="J6784" s="1129">
        <v>1</v>
      </c>
      <c r="K6784" s="1129"/>
      <c r="L6784" s="1129"/>
      <c r="M6784" s="1129"/>
      <c r="N6784" s="1129"/>
      <c r="O6784" s="1129"/>
      <c r="P6784" s="1129"/>
    </row>
    <row r="6785" spans="1:16">
      <c r="A6785" s="1129" t="s">
        <v>700</v>
      </c>
      <c r="B6785" s="1129" t="s">
        <v>274</v>
      </c>
      <c r="C6785" s="1129" t="s">
        <v>1517</v>
      </c>
      <c r="D6785" s="1129" t="s">
        <v>82</v>
      </c>
      <c r="E6785" s="1129">
        <v>3</v>
      </c>
      <c r="F6785" s="1129">
        <v>27.73</v>
      </c>
      <c r="G6785" s="1129">
        <v>1.79</v>
      </c>
      <c r="H6785" s="1129">
        <v>0.21</v>
      </c>
      <c r="I6785" s="1129">
        <v>7.453333333333334</v>
      </c>
      <c r="J6785" s="1129">
        <v>0.80634691669671832</v>
      </c>
      <c r="K6785" s="1129"/>
      <c r="L6785" s="1129"/>
      <c r="M6785" s="1129"/>
      <c r="N6785" s="1129"/>
      <c r="O6785" s="1129"/>
      <c r="P6785" s="1129"/>
    </row>
    <row r="6786" spans="1:16">
      <c r="A6786" s="1129" t="s">
        <v>671</v>
      </c>
      <c r="B6786" s="1129" t="s">
        <v>276</v>
      </c>
      <c r="C6786" s="1129" t="s">
        <v>1517</v>
      </c>
      <c r="D6786" s="1129" t="s">
        <v>82</v>
      </c>
      <c r="E6786" s="1129">
        <v>9</v>
      </c>
      <c r="F6786" s="1129">
        <v>26.77</v>
      </c>
      <c r="G6786" s="1129">
        <v>1.6</v>
      </c>
      <c r="H6786" s="1129">
        <v>0.47</v>
      </c>
      <c r="I6786" s="1129">
        <v>1.3744444444444439</v>
      </c>
      <c r="J6786" s="1129">
        <v>0.46208442286141199</v>
      </c>
      <c r="K6786" s="1129"/>
      <c r="L6786" s="1129"/>
      <c r="M6786" s="1129"/>
      <c r="N6786" s="1129"/>
      <c r="O6786" s="1129"/>
      <c r="P6786" s="1129"/>
    </row>
    <row r="6787" spans="1:16">
      <c r="A6787" s="1129" t="s">
        <v>748</v>
      </c>
      <c r="B6787" s="1129" t="s">
        <v>274</v>
      </c>
      <c r="C6787" s="1129" t="s">
        <v>1517</v>
      </c>
      <c r="D6787" s="1129" t="s">
        <v>82</v>
      </c>
      <c r="E6787" s="1129">
        <v>2</v>
      </c>
      <c r="F6787" s="1129">
        <v>18.41</v>
      </c>
      <c r="G6787" s="1129">
        <v>1.66</v>
      </c>
      <c r="H6787" s="1129">
        <v>0.21</v>
      </c>
      <c r="I6787" s="1129">
        <v>7.5449999999999999</v>
      </c>
      <c r="J6787" s="1129">
        <v>0.81966322650733292</v>
      </c>
      <c r="K6787" s="1129"/>
      <c r="L6787" s="1129"/>
      <c r="M6787" s="1129"/>
      <c r="N6787" s="1129"/>
      <c r="O6787" s="1129"/>
      <c r="P6787" s="1129"/>
    </row>
    <row r="6788" spans="1:16">
      <c r="A6788" s="1129" t="s">
        <v>691</v>
      </c>
      <c r="B6788" s="1129" t="s">
        <v>251</v>
      </c>
      <c r="C6788" s="1129" t="s">
        <v>1517</v>
      </c>
      <c r="D6788" s="1129" t="s">
        <v>82</v>
      </c>
      <c r="E6788" s="1129">
        <v>7</v>
      </c>
      <c r="F6788" s="1129">
        <v>17.41</v>
      </c>
      <c r="G6788" s="1129">
        <v>0</v>
      </c>
      <c r="H6788" s="1129">
        <v>0</v>
      </c>
      <c r="I6788" s="1129">
        <v>2.4871428571428571</v>
      </c>
      <c r="J6788" s="1129">
        <v>1</v>
      </c>
      <c r="K6788" s="1129"/>
      <c r="L6788" s="1129"/>
      <c r="M6788" s="1129"/>
      <c r="N6788" s="1129"/>
      <c r="O6788" s="1129"/>
      <c r="P6788" s="1129"/>
    </row>
    <row r="6789" spans="1:16">
      <c r="A6789" s="1129" t="s">
        <v>747</v>
      </c>
      <c r="B6789" s="1129" t="s">
        <v>256</v>
      </c>
      <c r="C6789" s="1129" t="s">
        <v>1517</v>
      </c>
      <c r="D6789" s="1129" t="s">
        <v>82</v>
      </c>
      <c r="E6789" s="1129">
        <v>2</v>
      </c>
      <c r="F6789" s="1129">
        <v>15.45</v>
      </c>
      <c r="G6789" s="1129">
        <v>2.34</v>
      </c>
      <c r="H6789" s="1129">
        <v>0.24</v>
      </c>
      <c r="I6789" s="1129">
        <v>5.3849999999999998</v>
      </c>
      <c r="J6789" s="1129">
        <v>0.69708737864077674</v>
      </c>
      <c r="K6789" s="1129"/>
      <c r="L6789" s="1129"/>
      <c r="M6789" s="1129"/>
      <c r="N6789" s="1129"/>
      <c r="O6789" s="1129"/>
      <c r="P6789" s="1129"/>
    </row>
    <row r="6790" spans="1:16">
      <c r="A6790" s="1129" t="s">
        <v>745</v>
      </c>
      <c r="B6790" s="1129" t="s">
        <v>275</v>
      </c>
      <c r="C6790" s="1129" t="s">
        <v>1517</v>
      </c>
      <c r="D6790" s="1129" t="s">
        <v>82</v>
      </c>
      <c r="E6790" s="1129">
        <v>3</v>
      </c>
      <c r="F6790" s="1129">
        <v>14.32</v>
      </c>
      <c r="G6790" s="1129">
        <v>0.41</v>
      </c>
      <c r="H6790" s="1129">
        <v>0.09</v>
      </c>
      <c r="I6790" s="1129">
        <v>4.3633333333333333</v>
      </c>
      <c r="J6790" s="1129">
        <v>0.91410614525139666</v>
      </c>
      <c r="K6790" s="1129"/>
      <c r="L6790" s="1129"/>
      <c r="M6790" s="1129"/>
      <c r="N6790" s="1129"/>
      <c r="O6790" s="1129"/>
      <c r="P6790" s="1129"/>
    </row>
    <row r="6791" spans="1:16">
      <c r="A6791" s="1129" t="s">
        <v>740</v>
      </c>
      <c r="B6791" s="1129" t="s">
        <v>264</v>
      </c>
      <c r="C6791" s="1129" t="s">
        <v>1517</v>
      </c>
      <c r="D6791" s="1129" t="s">
        <v>82</v>
      </c>
      <c r="E6791" s="1129">
        <v>5</v>
      </c>
      <c r="F6791" s="1129">
        <v>12.95</v>
      </c>
      <c r="G6791" s="1129">
        <v>0.16</v>
      </c>
      <c r="H6791" s="1129">
        <v>0.13</v>
      </c>
      <c r="I6791" s="1129">
        <v>2.4300000000000002</v>
      </c>
      <c r="J6791" s="1129">
        <v>0.93822393822393824</v>
      </c>
      <c r="K6791" s="1129"/>
      <c r="L6791" s="1129"/>
      <c r="M6791" s="1129"/>
      <c r="N6791" s="1129"/>
      <c r="O6791" s="1129"/>
      <c r="P6791" s="1129"/>
    </row>
    <row r="6792" spans="1:16">
      <c r="A6792" s="1129" t="s">
        <v>720</v>
      </c>
      <c r="B6792" s="1129" t="s">
        <v>251</v>
      </c>
      <c r="C6792" s="1129" t="s">
        <v>1517</v>
      </c>
      <c r="D6792" s="1129" t="s">
        <v>82</v>
      </c>
      <c r="E6792" s="1129">
        <v>5</v>
      </c>
      <c r="F6792" s="1129">
        <v>12.32</v>
      </c>
      <c r="G6792" s="1129">
        <v>0</v>
      </c>
      <c r="H6792" s="1129">
        <v>0</v>
      </c>
      <c r="I6792" s="1129">
        <v>2.464</v>
      </c>
      <c r="J6792" s="1129">
        <v>1</v>
      </c>
      <c r="K6792" s="1129"/>
      <c r="L6792" s="1129"/>
      <c r="M6792" s="1129"/>
      <c r="N6792" s="1129"/>
      <c r="O6792" s="1129"/>
      <c r="P6792" s="1129"/>
    </row>
    <row r="6793" spans="1:16">
      <c r="A6793" s="1129" t="s">
        <v>780</v>
      </c>
      <c r="B6793" s="1129" t="s">
        <v>268</v>
      </c>
      <c r="C6793" s="1129" t="s">
        <v>1517</v>
      </c>
      <c r="D6793" s="1129" t="s">
        <v>82</v>
      </c>
      <c r="E6793" s="1129">
        <v>8</v>
      </c>
      <c r="F6793" s="1129">
        <v>10.91</v>
      </c>
      <c r="G6793" s="1129">
        <v>0</v>
      </c>
      <c r="H6793" s="1129">
        <v>0</v>
      </c>
      <c r="I6793" s="1129">
        <v>1.36375</v>
      </c>
      <c r="J6793" s="1129">
        <v>1</v>
      </c>
      <c r="K6793" s="1129"/>
      <c r="L6793" s="1129"/>
      <c r="M6793" s="1129"/>
      <c r="N6793" s="1129"/>
      <c r="O6793" s="1129"/>
      <c r="P6793" s="1129"/>
    </row>
    <row r="6794" spans="1:16">
      <c r="A6794" s="1129" t="s">
        <v>698</v>
      </c>
      <c r="B6794" s="1129" t="s">
        <v>249</v>
      </c>
      <c r="C6794" s="1129" t="s">
        <v>1517</v>
      </c>
      <c r="D6794" s="1129" t="s">
        <v>82</v>
      </c>
      <c r="E6794" s="1129">
        <v>4</v>
      </c>
      <c r="F6794" s="1129">
        <v>9.82</v>
      </c>
      <c r="G6794" s="1129">
        <v>0.32</v>
      </c>
      <c r="H6794" s="1129">
        <v>0.25</v>
      </c>
      <c r="I6794" s="1129">
        <v>2.1349999999999998</v>
      </c>
      <c r="J6794" s="1129">
        <v>0.86965376782077397</v>
      </c>
      <c r="K6794" s="1129"/>
      <c r="L6794" s="1129"/>
      <c r="M6794" s="1129"/>
      <c r="N6794" s="1129"/>
      <c r="O6794" s="1129"/>
      <c r="P6794" s="1129"/>
    </row>
    <row r="6795" spans="1:16">
      <c r="A6795" s="1129" t="s">
        <v>783</v>
      </c>
      <c r="B6795" s="1129" t="s">
        <v>764</v>
      </c>
      <c r="C6795" s="1129" t="s">
        <v>1517</v>
      </c>
      <c r="D6795" s="1129" t="s">
        <v>82</v>
      </c>
      <c r="E6795" s="1129">
        <v>1</v>
      </c>
      <c r="F6795" s="1129">
        <v>9.09</v>
      </c>
      <c r="G6795" s="1129">
        <v>0</v>
      </c>
      <c r="H6795" s="1129">
        <v>0</v>
      </c>
      <c r="I6795" s="1129">
        <v>9.09</v>
      </c>
      <c r="J6795" s="1129">
        <v>1</v>
      </c>
      <c r="K6795" s="1129"/>
      <c r="L6795" s="1129"/>
      <c r="M6795" s="1129"/>
      <c r="N6795" s="1129"/>
      <c r="O6795" s="1129"/>
      <c r="P6795" s="1129"/>
    </row>
    <row r="6796" spans="1:16">
      <c r="A6796" s="1129" t="s">
        <v>743</v>
      </c>
      <c r="B6796" s="1129" t="s">
        <v>251</v>
      </c>
      <c r="C6796" s="1129" t="s">
        <v>1517</v>
      </c>
      <c r="D6796" s="1129" t="s">
        <v>82</v>
      </c>
      <c r="E6796" s="1129">
        <v>4</v>
      </c>
      <c r="F6796" s="1129">
        <v>8.41</v>
      </c>
      <c r="G6796" s="1129">
        <v>0</v>
      </c>
      <c r="H6796" s="1129">
        <v>0</v>
      </c>
      <c r="I6796" s="1129">
        <v>2.1025</v>
      </c>
      <c r="J6796" s="1129">
        <v>1</v>
      </c>
      <c r="K6796" s="1129"/>
      <c r="L6796" s="1129"/>
      <c r="M6796" s="1129"/>
      <c r="N6796" s="1129"/>
      <c r="O6796" s="1129"/>
      <c r="P6796" s="1129"/>
    </row>
    <row r="6797" spans="1:16">
      <c r="A6797" s="1129" t="s">
        <v>703</v>
      </c>
      <c r="B6797" s="1129" t="s">
        <v>256</v>
      </c>
      <c r="C6797" s="1129" t="s">
        <v>1517</v>
      </c>
      <c r="D6797" s="1129" t="s">
        <v>82</v>
      </c>
      <c r="E6797" s="1129">
        <v>4</v>
      </c>
      <c r="F6797" s="1129">
        <v>7.5</v>
      </c>
      <c r="G6797" s="1129">
        <v>0</v>
      </c>
      <c r="H6797" s="1129">
        <v>0</v>
      </c>
      <c r="I6797" s="1129">
        <v>1.875</v>
      </c>
      <c r="J6797" s="1129">
        <v>1</v>
      </c>
      <c r="K6797" s="1129"/>
      <c r="L6797" s="1129"/>
      <c r="M6797" s="1129"/>
      <c r="N6797" s="1129"/>
      <c r="O6797" s="1129"/>
      <c r="P6797" s="1129"/>
    </row>
    <row r="6798" spans="1:16">
      <c r="A6798" s="1129" t="s">
        <v>690</v>
      </c>
      <c r="B6798" s="1129" t="s">
        <v>275</v>
      </c>
      <c r="C6798" s="1129" t="s">
        <v>1517</v>
      </c>
      <c r="D6798" s="1129" t="s">
        <v>82</v>
      </c>
      <c r="E6798" s="1129">
        <v>1</v>
      </c>
      <c r="F6798" s="1129">
        <v>5.91</v>
      </c>
      <c r="G6798" s="1129">
        <v>0</v>
      </c>
      <c r="H6798" s="1129">
        <v>0</v>
      </c>
      <c r="I6798" s="1129">
        <v>5.91</v>
      </c>
      <c r="J6798" s="1129">
        <v>1</v>
      </c>
      <c r="K6798" s="1129"/>
      <c r="L6798" s="1129"/>
      <c r="M6798" s="1129"/>
      <c r="N6798" s="1129"/>
      <c r="O6798" s="1129"/>
      <c r="P6798" s="1129"/>
    </row>
    <row r="6799" spans="1:16">
      <c r="A6799" s="1129" t="s">
        <v>702</v>
      </c>
      <c r="B6799" s="1129" t="s">
        <v>251</v>
      </c>
      <c r="C6799" s="1129" t="s">
        <v>1517</v>
      </c>
      <c r="D6799" s="1129" t="s">
        <v>82</v>
      </c>
      <c r="E6799" s="1129">
        <v>2</v>
      </c>
      <c r="F6799" s="1129">
        <v>4.95</v>
      </c>
      <c r="G6799" s="1129">
        <v>0.14000000000000001</v>
      </c>
      <c r="H6799" s="1129">
        <v>0</v>
      </c>
      <c r="I6799" s="1129">
        <v>2.335</v>
      </c>
      <c r="J6799" s="1129">
        <v>0.9434343434343434</v>
      </c>
      <c r="K6799" s="1129"/>
      <c r="L6799" s="1129"/>
      <c r="M6799" s="1129"/>
      <c r="N6799" s="1129"/>
      <c r="O6799" s="1129"/>
      <c r="P6799" s="1129"/>
    </row>
    <row r="6800" spans="1:16">
      <c r="A6800" s="1129" t="s">
        <v>808</v>
      </c>
      <c r="B6800" s="1129" t="s">
        <v>268</v>
      </c>
      <c r="C6800" s="1129" t="s">
        <v>1517</v>
      </c>
      <c r="D6800" s="1129" t="s">
        <v>82</v>
      </c>
      <c r="E6800" s="1129">
        <v>7</v>
      </c>
      <c r="F6800" s="1129">
        <v>4.1399999999999997</v>
      </c>
      <c r="G6800" s="1129">
        <v>0</v>
      </c>
      <c r="H6800" s="1129">
        <v>0</v>
      </c>
      <c r="I6800" s="1129">
        <v>0.59142857142857141</v>
      </c>
      <c r="J6800" s="1129">
        <v>1</v>
      </c>
      <c r="K6800" s="1129"/>
      <c r="L6800" s="1129"/>
      <c r="M6800" s="1129"/>
      <c r="N6800" s="1129"/>
      <c r="O6800" s="1129"/>
      <c r="P6800" s="1129"/>
    </row>
    <row r="6801" spans="1:16">
      <c r="A6801" s="1129" t="s">
        <v>717</v>
      </c>
      <c r="B6801" s="1129" t="s">
        <v>249</v>
      </c>
      <c r="C6801" s="1129" t="s">
        <v>1517</v>
      </c>
      <c r="D6801" s="1129" t="s">
        <v>82</v>
      </c>
      <c r="E6801" s="1129">
        <v>2</v>
      </c>
      <c r="F6801" s="1129">
        <v>4</v>
      </c>
      <c r="G6801" s="1129">
        <v>0.51</v>
      </c>
      <c r="H6801" s="1129">
        <v>0.27</v>
      </c>
      <c r="I6801" s="1129">
        <v>1.49</v>
      </c>
      <c r="J6801" s="1129">
        <v>0.745</v>
      </c>
      <c r="K6801" s="1129"/>
      <c r="L6801" s="1129"/>
      <c r="M6801" s="1129"/>
      <c r="N6801" s="1129"/>
      <c r="O6801" s="1129"/>
      <c r="P6801" s="1129"/>
    </row>
    <row r="6802" spans="1:16">
      <c r="A6802" s="1129" t="s">
        <v>677</v>
      </c>
      <c r="B6802" s="1129" t="s">
        <v>249</v>
      </c>
      <c r="C6802" s="1129" t="s">
        <v>1517</v>
      </c>
      <c r="D6802" s="1129" t="s">
        <v>82</v>
      </c>
      <c r="E6802" s="1129">
        <v>2</v>
      </c>
      <c r="F6802" s="1129">
        <v>3.55</v>
      </c>
      <c r="G6802" s="1129">
        <v>0.31</v>
      </c>
      <c r="H6802" s="1129">
        <v>0.24</v>
      </c>
      <c r="I6802" s="1129">
        <v>1.4650000000000001</v>
      </c>
      <c r="J6802" s="1129">
        <v>0.82535211267605635</v>
      </c>
      <c r="K6802" s="1129"/>
      <c r="L6802" s="1129"/>
      <c r="M6802" s="1129"/>
      <c r="N6802" s="1129"/>
      <c r="O6802" s="1129"/>
      <c r="P6802" s="1129"/>
    </row>
    <row r="6803" spans="1:16">
      <c r="A6803" s="1129" t="s">
        <v>786</v>
      </c>
      <c r="B6803" s="1129" t="s">
        <v>249</v>
      </c>
      <c r="C6803" s="1129" t="s">
        <v>1517</v>
      </c>
      <c r="D6803" s="1129" t="s">
        <v>82</v>
      </c>
      <c r="E6803" s="1129">
        <v>2</v>
      </c>
      <c r="F6803" s="1129">
        <v>3.27</v>
      </c>
      <c r="G6803" s="1129">
        <v>0</v>
      </c>
      <c r="H6803" s="1129">
        <v>0</v>
      </c>
      <c r="I6803" s="1129">
        <v>1.635</v>
      </c>
      <c r="J6803" s="1129">
        <v>1</v>
      </c>
      <c r="K6803" s="1129"/>
      <c r="L6803" s="1129"/>
      <c r="M6803" s="1129"/>
      <c r="N6803" s="1129"/>
      <c r="O6803" s="1129"/>
      <c r="P6803" s="1129"/>
    </row>
    <row r="6804" spans="1:16">
      <c r="A6804" s="1129" t="s">
        <v>797</v>
      </c>
      <c r="B6804" s="1129" t="s">
        <v>253</v>
      </c>
      <c r="C6804" s="1129" t="s">
        <v>1517</v>
      </c>
      <c r="D6804" s="1129" t="s">
        <v>82</v>
      </c>
      <c r="E6804" s="1129">
        <v>1</v>
      </c>
      <c r="F6804" s="1129">
        <v>3.18</v>
      </c>
      <c r="G6804" s="1129">
        <v>0</v>
      </c>
      <c r="H6804" s="1129">
        <v>0</v>
      </c>
      <c r="I6804" s="1129">
        <v>3.18</v>
      </c>
      <c r="J6804" s="1129">
        <v>1</v>
      </c>
      <c r="K6804" s="1129"/>
      <c r="L6804" s="1129"/>
      <c r="M6804" s="1129"/>
      <c r="N6804" s="1129"/>
      <c r="O6804" s="1129"/>
      <c r="P6804" s="1129"/>
    </row>
    <row r="6805" spans="1:16">
      <c r="A6805" s="1129" t="s">
        <v>807</v>
      </c>
      <c r="B6805" s="1129" t="s">
        <v>253</v>
      </c>
      <c r="C6805" s="1129" t="s">
        <v>1517</v>
      </c>
      <c r="D6805" s="1129" t="s">
        <v>82</v>
      </c>
      <c r="E6805" s="1129">
        <v>1</v>
      </c>
      <c r="F6805" s="1129">
        <v>2.82</v>
      </c>
      <c r="G6805" s="1129">
        <v>0</v>
      </c>
      <c r="H6805" s="1129">
        <v>0</v>
      </c>
      <c r="I6805" s="1129">
        <v>2.82</v>
      </c>
      <c r="J6805" s="1129">
        <v>1</v>
      </c>
      <c r="K6805" s="1129"/>
      <c r="L6805" s="1129"/>
      <c r="M6805" s="1129"/>
      <c r="N6805" s="1129"/>
      <c r="O6805" s="1129"/>
      <c r="P6805" s="1129"/>
    </row>
    <row r="6806" spans="1:16">
      <c r="A6806" s="1129" t="s">
        <v>804</v>
      </c>
      <c r="B6806" s="1129" t="s">
        <v>253</v>
      </c>
      <c r="C6806" s="1129" t="s">
        <v>1517</v>
      </c>
      <c r="D6806" s="1129" t="s">
        <v>82</v>
      </c>
      <c r="E6806" s="1129">
        <v>1</v>
      </c>
      <c r="F6806" s="1129">
        <v>2.82</v>
      </c>
      <c r="G6806" s="1129">
        <v>0</v>
      </c>
      <c r="H6806" s="1129">
        <v>0</v>
      </c>
      <c r="I6806" s="1129">
        <v>2.82</v>
      </c>
      <c r="J6806" s="1129">
        <v>1</v>
      </c>
      <c r="K6806" s="1129"/>
      <c r="L6806" s="1129"/>
      <c r="M6806" s="1129"/>
      <c r="N6806" s="1129"/>
      <c r="O6806" s="1129"/>
      <c r="P6806" s="1129"/>
    </row>
    <row r="6807" spans="1:16">
      <c r="A6807" s="1129" t="s">
        <v>757</v>
      </c>
      <c r="B6807" s="1129" t="s">
        <v>251</v>
      </c>
      <c r="C6807" s="1129" t="s">
        <v>1517</v>
      </c>
      <c r="D6807" s="1129" t="s">
        <v>82</v>
      </c>
      <c r="E6807" s="1129">
        <v>1</v>
      </c>
      <c r="F6807" s="1129">
        <v>2.64</v>
      </c>
      <c r="G6807" s="1129">
        <v>0.5</v>
      </c>
      <c r="H6807" s="1129">
        <v>0.28000000000000003</v>
      </c>
      <c r="I6807" s="1129">
        <v>2.14</v>
      </c>
      <c r="J6807" s="1129">
        <v>0.81060606060606055</v>
      </c>
      <c r="K6807" s="1129"/>
      <c r="L6807" s="1129"/>
      <c r="M6807" s="1129"/>
      <c r="N6807" s="1129"/>
      <c r="O6807" s="1129"/>
      <c r="P6807" s="1129"/>
    </row>
    <row r="6808" spans="1:16">
      <c r="A6808" s="1129" t="s">
        <v>731</v>
      </c>
      <c r="B6808" s="1129" t="s">
        <v>251</v>
      </c>
      <c r="C6808" s="1129" t="s">
        <v>1517</v>
      </c>
      <c r="D6808" s="1129" t="s">
        <v>82</v>
      </c>
      <c r="E6808" s="1129">
        <v>1</v>
      </c>
      <c r="F6808" s="1129">
        <v>2.41</v>
      </c>
      <c r="G6808" s="1129">
        <v>0</v>
      </c>
      <c r="H6808" s="1129">
        <v>0</v>
      </c>
      <c r="I6808" s="1129">
        <v>2.41</v>
      </c>
      <c r="J6808" s="1129">
        <v>1</v>
      </c>
      <c r="K6808" s="1129"/>
      <c r="L6808" s="1129"/>
      <c r="M6808" s="1129"/>
      <c r="N6808" s="1129"/>
      <c r="O6808" s="1129"/>
      <c r="P6808" s="1129"/>
    </row>
    <row r="6809" spans="1:16">
      <c r="A6809" s="1129" t="s">
        <v>746</v>
      </c>
      <c r="B6809" s="1129" t="s">
        <v>251</v>
      </c>
      <c r="C6809" s="1129" t="s">
        <v>1517</v>
      </c>
      <c r="D6809" s="1129" t="s">
        <v>82</v>
      </c>
      <c r="E6809" s="1129">
        <v>1</v>
      </c>
      <c r="F6809" s="1129">
        <v>2.14</v>
      </c>
      <c r="G6809" s="1129">
        <v>0</v>
      </c>
      <c r="H6809" s="1129">
        <v>0</v>
      </c>
      <c r="I6809" s="1129">
        <v>2.14</v>
      </c>
      <c r="J6809" s="1129">
        <v>1</v>
      </c>
      <c r="K6809" s="1129"/>
      <c r="L6809" s="1129"/>
      <c r="M6809" s="1129"/>
      <c r="N6809" s="1129"/>
      <c r="O6809" s="1129"/>
      <c r="P6809" s="1129"/>
    </row>
    <row r="6810" spans="1:16">
      <c r="A6810" s="1129" t="s">
        <v>716</v>
      </c>
      <c r="B6810" s="1129" t="s">
        <v>251</v>
      </c>
      <c r="C6810" s="1129" t="s">
        <v>1517</v>
      </c>
      <c r="D6810" s="1129" t="s">
        <v>82</v>
      </c>
      <c r="E6810" s="1129">
        <v>5</v>
      </c>
      <c r="F6810" s="1129">
        <v>1.86</v>
      </c>
      <c r="G6810" s="1129">
        <v>0.05</v>
      </c>
      <c r="H6810" s="1129">
        <v>0.21</v>
      </c>
      <c r="I6810" s="1129">
        <v>0.32200000000000001</v>
      </c>
      <c r="J6810" s="1129">
        <v>0.86559139784946237</v>
      </c>
      <c r="K6810" s="1129"/>
      <c r="L6810" s="1129"/>
      <c r="M6810" s="1129"/>
      <c r="N6810" s="1129"/>
      <c r="O6810" s="1129"/>
      <c r="P6810" s="1129"/>
    </row>
    <row r="6811" spans="1:16">
      <c r="A6811" s="1129" t="s">
        <v>737</v>
      </c>
      <c r="B6811" s="1129" t="s">
        <v>249</v>
      </c>
      <c r="C6811" s="1129" t="s">
        <v>1517</v>
      </c>
      <c r="D6811" s="1129" t="s">
        <v>82</v>
      </c>
      <c r="E6811" s="1129">
        <v>1</v>
      </c>
      <c r="F6811" s="1129">
        <v>1.68</v>
      </c>
      <c r="G6811" s="1129">
        <v>0.26</v>
      </c>
      <c r="H6811" s="1129">
        <v>0.19</v>
      </c>
      <c r="I6811" s="1129">
        <v>1.42</v>
      </c>
      <c r="J6811" s="1129">
        <v>0.84523809523809523</v>
      </c>
      <c r="K6811" s="1129"/>
      <c r="L6811" s="1129"/>
      <c r="M6811" s="1129"/>
      <c r="N6811" s="1129"/>
      <c r="O6811" s="1129"/>
      <c r="P6811" s="1129"/>
    </row>
    <row r="6812" spans="1:16">
      <c r="A6812" s="1129" t="s">
        <v>681</v>
      </c>
      <c r="B6812" s="1129" t="s">
        <v>282</v>
      </c>
      <c r="C6812" s="1129" t="s">
        <v>1517</v>
      </c>
      <c r="D6812" s="1129" t="s">
        <v>82</v>
      </c>
      <c r="E6812" s="1129">
        <v>7</v>
      </c>
      <c r="F6812" s="1129">
        <v>0.32</v>
      </c>
      <c r="G6812" s="1129">
        <v>0</v>
      </c>
      <c r="H6812" s="1129">
        <v>0.22</v>
      </c>
      <c r="I6812" s="1129">
        <v>4.5714285714285707E-2</v>
      </c>
      <c r="J6812" s="1129">
        <v>1</v>
      </c>
      <c r="K6812" s="1129"/>
      <c r="L6812" s="1129"/>
      <c r="M6812" s="1129"/>
      <c r="N6812" s="1129"/>
      <c r="O6812" s="1129"/>
      <c r="P6812" s="1129"/>
    </row>
    <row r="6813" spans="1:16">
      <c r="A6813" s="1129" t="s">
        <v>806</v>
      </c>
      <c r="B6813" s="1129" t="s">
        <v>256</v>
      </c>
      <c r="C6813" s="1129" t="s">
        <v>1517</v>
      </c>
      <c r="D6813" s="1129" t="s">
        <v>82</v>
      </c>
      <c r="E6813" s="1129">
        <v>13</v>
      </c>
      <c r="F6813" s="1129">
        <v>-0.77</v>
      </c>
      <c r="G6813" s="1129">
        <v>0</v>
      </c>
      <c r="H6813" s="1129">
        <v>0</v>
      </c>
      <c r="I6813" s="1129">
        <v>-5.9230769230769233E-2</v>
      </c>
      <c r="J6813" s="1129">
        <v>1</v>
      </c>
      <c r="K6813" s="1129"/>
      <c r="L6813" s="1129"/>
      <c r="M6813" s="1129"/>
      <c r="N6813" s="1129"/>
      <c r="O6813" s="1129"/>
      <c r="P6813" s="1129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238"/>
  <sheetViews>
    <sheetView zoomScale="150" workbookViewId="0">
      <pane ySplit="5" topLeftCell="A230" activePane="bottomLeft" state="frozen"/>
      <selection pane="bottomLeft" activeCell="B217" sqref="B217"/>
    </sheetView>
  </sheetViews>
  <sheetFormatPr baseColWidth="10" defaultColWidth="11.5" defaultRowHeight="15"/>
  <cols>
    <col min="1" max="1" width="5.83203125" customWidth="1"/>
    <col min="2" max="2" width="30" customWidth="1"/>
    <col min="3" max="3" width="21.6640625" customWidth="1"/>
    <col min="4" max="4" width="15" customWidth="1"/>
    <col min="5" max="5" width="16.6640625" customWidth="1"/>
    <col min="6" max="6" width="13.33203125" customWidth="1"/>
    <col min="7" max="7" width="15.83203125" customWidth="1"/>
    <col min="8" max="8" width="16.6640625" customWidth="1"/>
    <col min="9" max="9" width="15.83203125" customWidth="1"/>
    <col min="10" max="10" width="14.1640625" customWidth="1"/>
    <col min="11" max="11" width="13.33203125" customWidth="1"/>
    <col min="12" max="12" width="11.6640625" customWidth="1"/>
    <col min="13" max="13" width="9.1640625" customWidth="1"/>
    <col min="14" max="14" width="10" customWidth="1"/>
    <col min="15" max="15" width="10.83203125" customWidth="1"/>
    <col min="16" max="16" width="14.1640625" customWidth="1"/>
    <col min="17" max="17" width="12.5" customWidth="1"/>
    <col min="18" max="18" width="14.1640625" customWidth="1"/>
    <col min="20" max="23" width="0" hidden="1"/>
  </cols>
  <sheetData>
    <row r="1" spans="1:23" ht="21" customHeight="1">
      <c r="A1" s="1208" t="s">
        <v>2328</v>
      </c>
      <c r="B1" s="1140"/>
      <c r="C1" s="1140"/>
      <c r="D1" s="1140"/>
      <c r="E1" s="1140"/>
      <c r="F1" s="1140"/>
      <c r="G1" s="1140"/>
      <c r="H1" s="1140"/>
      <c r="I1" s="1140"/>
      <c r="J1" s="1140"/>
      <c r="K1" s="74"/>
      <c r="L1" s="74"/>
      <c r="M1" s="74"/>
      <c r="N1" s="74"/>
      <c r="O1" s="74"/>
      <c r="P1" s="74"/>
      <c r="Q1" s="74"/>
      <c r="R1" s="74"/>
      <c r="S1" s="74"/>
      <c r="T1" s="74" t="s">
        <v>140</v>
      </c>
      <c r="U1" s="74" t="s">
        <v>140</v>
      </c>
      <c r="V1" s="74" t="s">
        <v>140</v>
      </c>
      <c r="W1" s="74" t="s">
        <v>140</v>
      </c>
    </row>
    <row r="2" spans="1:23">
      <c r="A2" s="1209" t="s">
        <v>2329</v>
      </c>
      <c r="B2" s="1140"/>
      <c r="C2" s="1140"/>
      <c r="D2" s="1140"/>
      <c r="E2" s="1140"/>
      <c r="F2" s="1140"/>
      <c r="G2" s="1140"/>
      <c r="H2" s="1140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 t="s">
        <v>1528</v>
      </c>
      <c r="U2" s="74" t="s">
        <v>78</v>
      </c>
      <c r="V2" s="74"/>
      <c r="W2" s="74" t="str">
        <f t="shared" ref="W2:W33" si="0">IF($B$3="Semanal",IF(T2&lt;&gt;"",T2,""),IF($B$3="Mensual",IF(U2&lt;&gt;"",U2,""),""))</f>
        <v>S01</v>
      </c>
    </row>
    <row r="3" spans="1:23">
      <c r="A3" s="549" t="s">
        <v>2330</v>
      </c>
      <c r="B3" s="763" t="s">
        <v>2331</v>
      </c>
      <c r="C3" s="74"/>
      <c r="D3" s="549" t="s">
        <v>2332</v>
      </c>
      <c r="E3" s="763" t="s">
        <v>1528</v>
      </c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 t="s">
        <v>1508</v>
      </c>
      <c r="U3" s="74" t="s">
        <v>80</v>
      </c>
      <c r="V3" s="74"/>
      <c r="W3" s="74" t="str">
        <f t="shared" si="0"/>
        <v>S02</v>
      </c>
    </row>
    <row r="4" spans="1:23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 t="s">
        <v>1509</v>
      </c>
      <c r="U4" s="74" t="s">
        <v>81</v>
      </c>
      <c r="V4" s="74"/>
      <c r="W4" s="74" t="str">
        <f t="shared" si="0"/>
        <v>S03</v>
      </c>
    </row>
    <row r="5" spans="1:23">
      <c r="A5" s="764" t="s">
        <v>239</v>
      </c>
      <c r="B5" s="764" t="s">
        <v>240</v>
      </c>
      <c r="C5" s="764" t="s">
        <v>241</v>
      </c>
      <c r="D5" s="764" t="s">
        <v>356</v>
      </c>
      <c r="E5" s="764" t="s">
        <v>243</v>
      </c>
      <c r="F5" s="764" t="s">
        <v>244</v>
      </c>
      <c r="G5" s="764" t="s">
        <v>2333</v>
      </c>
      <c r="H5" s="764" t="s">
        <v>2334</v>
      </c>
      <c r="I5" s="310" t="s">
        <v>2335</v>
      </c>
      <c r="J5" s="310" t="s">
        <v>1498</v>
      </c>
      <c r="K5" s="310" t="s">
        <v>358</v>
      </c>
      <c r="L5" s="310" t="s">
        <v>1501</v>
      </c>
      <c r="M5" s="312" t="s">
        <v>2336</v>
      </c>
      <c r="N5" s="310" t="s">
        <v>2337</v>
      </c>
      <c r="O5" s="310" t="s">
        <v>2338</v>
      </c>
      <c r="P5" s="310" t="s">
        <v>2339</v>
      </c>
      <c r="Q5" s="310" t="s">
        <v>2340</v>
      </c>
      <c r="R5" s="317" t="s">
        <v>2341</v>
      </c>
      <c r="S5" s="74"/>
      <c r="T5" s="74" t="s">
        <v>1565</v>
      </c>
      <c r="U5" s="74" t="s">
        <v>82</v>
      </c>
      <c r="V5" s="74"/>
      <c r="W5" s="74" t="str">
        <f t="shared" si="0"/>
        <v>S04</v>
      </c>
    </row>
    <row r="6" spans="1:23" hidden="1">
      <c r="A6" s="765">
        <v>1</v>
      </c>
      <c r="B6" s="765" t="s">
        <v>246</v>
      </c>
      <c r="C6" s="765" t="s">
        <v>247</v>
      </c>
      <c r="D6" s="766">
        <f>IF($B$3="Acumulado",SUMIF(TBL_Ventas[Producto],B6,TBL_Ventas[Uds]),IF($B$3="Semanal",IF($E$3="Todos",SUMIF(TBL_Ventas[Producto],B6,TBL_Ventas[Uds]),SUMIFS(TBL_Ventas[Uds],TBL_Ventas[Producto],B6,TBL_Ventas[Semana],$E$3)),IF($E$3="Todos",SUMIF(TBL_Ventas[Producto],B6,TBL_Ventas[Uds]),SUMIFS(TBL_Ventas[Uds],TBL_Ventas[Producto],B6,TBL_Ventas[Mes],$E$3))))</f>
        <v>118</v>
      </c>
      <c r="E6" s="767">
        <f>IF($B$3="Acumulado",SUMIF(TBL_Ventas[Producto],B6,TBL_Ventas[Importe]),IF($B$3="Semanal",IF($E$3="Todos",SUMIF(TBL_Ventas[Producto],B6,TBL_Ventas[Importe]),SUMIFS(TBL_Ventas[Importe],TBL_Ventas[Producto],B6,TBL_Ventas[Semana],$E$3)),IF($E$3="Todos",SUMIF(TBL_Ventas[Producto],B6,TBL_Ventas[Importe]),SUMIFS(TBL_Ventas[Importe],TBL_Ventas[Producto],B6,TBL_Ventas[Mes],$E$3))))</f>
        <v>203.2</v>
      </c>
      <c r="F6" s="768">
        <f t="shared" ref="F6:F37" si="1">IF(SUM(D$6:D$205)=0,0,D6/SUM(D$6:D$205))</f>
        <v>6.4622124863088715E-2</v>
      </c>
      <c r="G6" s="768">
        <f t="shared" ref="G6:G37" si="2">IF(SUM(E$6:E$205)=0,0,E6/SUM(E$6:E$205))</f>
        <v>2.6754478939406114E-2</v>
      </c>
      <c r="H6" s="767">
        <f t="shared" ref="H6:H69" si="3">IF(D6=0,0,E6/D6)</f>
        <v>1.7220338983050847</v>
      </c>
      <c r="I6" s="765">
        <f t="shared" ref="I6:I37" si="4">J6*D6</f>
        <v>22.42</v>
      </c>
      <c r="J6" s="765">
        <f>IFERROR(VLOOKUP(B6,BD_Datos!$M$1:$N$1014,2,FALSE),0)</f>
        <v>0.19</v>
      </c>
      <c r="K6" s="769">
        <f t="shared" ref="K6:K37" si="5">E6-I6</f>
        <v>180.77999999999997</v>
      </c>
      <c r="L6" s="765">
        <f t="shared" ref="L6:L69" si="6">IF(E6=0,0,K6/E6)</f>
        <v>0.88966535433070859</v>
      </c>
      <c r="M6" s="313">
        <f t="shared" ref="M6:M69" si="7">IF(E6=0,0,I6/E6)</f>
        <v>0.11033464566929135</v>
      </c>
      <c r="N6" s="313">
        <f t="shared" ref="N6:N37" si="8">IF(SUM(I$6:I$205)=0,0,I6/SUM(I$6:I$205))</f>
        <v>1.4809432591320431E-2</v>
      </c>
      <c r="O6" s="314">
        <f t="shared" ref="O6:O69" si="9">IF(D6=0,0,K6/D6)</f>
        <v>1.5320338983050845</v>
      </c>
      <c r="P6" s="313">
        <f t="shared" ref="P6:P37" si="10">IF(SUM(K$6:K$205)=0,0,K6/SUM(K$6:K$205))</f>
        <v>2.9728223065272813E-2</v>
      </c>
      <c r="Q6" s="313">
        <f>SUM(F$6:F6)</f>
        <v>6.4622124863088715E-2</v>
      </c>
      <c r="R6" s="313">
        <f>SUM(P$6:P6)</f>
        <v>2.9728223065272813E-2</v>
      </c>
      <c r="S6" s="74"/>
      <c r="T6" s="74" t="s">
        <v>1530</v>
      </c>
      <c r="U6" s="74" t="s">
        <v>84</v>
      </c>
      <c r="V6" s="74"/>
      <c r="W6" s="74" t="str">
        <f t="shared" si="0"/>
        <v>S05</v>
      </c>
    </row>
    <row r="7" spans="1:23" hidden="1">
      <c r="A7" s="74">
        <v>2</v>
      </c>
      <c r="B7" s="74" t="s">
        <v>248</v>
      </c>
      <c r="C7" s="74" t="s">
        <v>249</v>
      </c>
      <c r="D7" s="770">
        <f>IF($B$3="Acumulado",SUMIF(TBL_Ventas[Producto],B7,TBL_Ventas[Uds]),IF($B$3="Semanal",IF($E$3="Todos",SUMIF(TBL_Ventas[Producto],B7,TBL_Ventas[Uds]),SUMIFS(TBL_Ventas[Uds],TBL_Ventas[Producto],B7,TBL_Ventas[Semana],$E$3)),IF($E$3="Todos",SUMIF(TBL_Ventas[Producto],B7,TBL_Ventas[Uds]),SUMIFS(TBL_Ventas[Uds],TBL_Ventas[Producto],B7,TBL_Ventas[Mes],$E$3))))</f>
        <v>96</v>
      </c>
      <c r="E7" s="771">
        <f>IF($B$3="Acumulado",SUMIF(TBL_Ventas[Producto],B7,TBL_Ventas[Importe]),IF($B$3="Semanal",IF($E$3="Todos",SUMIF(TBL_Ventas[Producto],B7,TBL_Ventas[Importe]),SUMIFS(TBL_Ventas[Importe],TBL_Ventas[Producto],B7,TBL_Ventas[Semana],$E$3)),IF($E$3="Todos",SUMIF(TBL_Ventas[Producto],B7,TBL_Ventas[Importe]),SUMIFS(TBL_Ventas[Importe],TBL_Ventas[Producto],B7,TBL_Ventas[Mes],$E$3))))</f>
        <v>142.06</v>
      </c>
      <c r="F7" s="760">
        <f t="shared" si="1"/>
        <v>5.257393209200438E-2</v>
      </c>
      <c r="G7" s="760">
        <f t="shared" si="2"/>
        <v>1.8704435423878115E-2</v>
      </c>
      <c r="H7" s="771">
        <f t="shared" si="3"/>
        <v>1.4797916666666666</v>
      </c>
      <c r="I7" s="772">
        <f t="shared" si="4"/>
        <v>15.36</v>
      </c>
      <c r="J7" s="765">
        <f>IFERROR(VLOOKUP(B7,BD_Datos!$M$1:$N$1014,2,FALSE),0)</f>
        <v>0.16</v>
      </c>
      <c r="K7" s="773">
        <f t="shared" si="5"/>
        <v>126.7</v>
      </c>
      <c r="L7" s="772">
        <f t="shared" si="6"/>
        <v>0.8918766718288047</v>
      </c>
      <c r="M7" s="313">
        <f t="shared" si="7"/>
        <v>0.10812332817119526</v>
      </c>
      <c r="N7" s="313">
        <f t="shared" si="8"/>
        <v>1.0145980579959045E-2</v>
      </c>
      <c r="O7" s="314">
        <f t="shared" si="9"/>
        <v>1.3197916666666667</v>
      </c>
      <c r="P7" s="313">
        <f t="shared" si="10"/>
        <v>2.0835080552992956E-2</v>
      </c>
      <c r="Q7" s="313">
        <f>SUM(F$6:F7)</f>
        <v>0.11719605695509309</v>
      </c>
      <c r="R7" s="313">
        <f>SUM(P$6:P7)</f>
        <v>5.0563303618265769E-2</v>
      </c>
      <c r="S7" s="74"/>
      <c r="T7" s="74" t="s">
        <v>1532</v>
      </c>
      <c r="U7" s="74" t="s">
        <v>86</v>
      </c>
      <c r="V7" s="74"/>
      <c r="W7" s="74" t="str">
        <f t="shared" si="0"/>
        <v>S06</v>
      </c>
    </row>
    <row r="8" spans="1:23" hidden="1">
      <c r="A8" s="765">
        <v>3</v>
      </c>
      <c r="B8" s="765" t="s">
        <v>250</v>
      </c>
      <c r="C8" s="765" t="s">
        <v>251</v>
      </c>
      <c r="D8" s="766">
        <f>IF($B$3="Acumulado",SUMIF(TBL_Ventas[Producto],B8,TBL_Ventas[Uds]),IF($B$3="Semanal",IF($E$3="Todos",SUMIF(TBL_Ventas[Producto],B8,TBL_Ventas[Uds]),SUMIFS(TBL_Ventas[Uds],TBL_Ventas[Producto],B8,TBL_Ventas[Semana],$E$3)),IF($E$3="Todos",SUMIF(TBL_Ventas[Producto],B8,TBL_Ventas[Uds]),SUMIFS(TBL_Ventas[Uds],TBL_Ventas[Producto],B8,TBL_Ventas[Mes],$E$3))))</f>
        <v>53</v>
      </c>
      <c r="E8" s="767">
        <f>IF($B$3="Acumulado",SUMIF(TBL_Ventas[Producto],B8,TBL_Ventas[Importe]),IF($B$3="Semanal",IF($E$3="Todos",SUMIF(TBL_Ventas[Producto],B8,TBL_Ventas[Importe]),SUMIFS(TBL_Ventas[Importe],TBL_Ventas[Producto],B8,TBL_Ventas[Semana],$E$3)),IF($E$3="Todos",SUMIF(TBL_Ventas[Producto],B8,TBL_Ventas[Importe]),SUMIFS(TBL_Ventas[Importe],TBL_Ventas[Producto],B8,TBL_Ventas[Mes],$E$3))))</f>
        <v>91.08</v>
      </c>
      <c r="F8" s="768">
        <f t="shared" si="1"/>
        <v>2.9025191675794086E-2</v>
      </c>
      <c r="G8" s="768">
        <f t="shared" si="2"/>
        <v>1.1992115855320418E-2</v>
      </c>
      <c r="H8" s="767">
        <f t="shared" si="3"/>
        <v>1.7184905660377359</v>
      </c>
      <c r="I8" s="765">
        <f t="shared" si="4"/>
        <v>2.6500000000000004</v>
      </c>
      <c r="J8" s="765">
        <f>IFERROR(VLOOKUP(B8,BD_Datos!$M$1:$N$1014,2,FALSE),0)</f>
        <v>0.05</v>
      </c>
      <c r="K8" s="769">
        <f t="shared" si="5"/>
        <v>88.429999999999993</v>
      </c>
      <c r="L8" s="765">
        <f t="shared" si="6"/>
        <v>0.97090469916556865</v>
      </c>
      <c r="M8" s="313">
        <f t="shared" si="7"/>
        <v>2.9095300834431275E-2</v>
      </c>
      <c r="N8" s="313">
        <f t="shared" si="8"/>
        <v>1.7504458682872054E-3</v>
      </c>
      <c r="O8" s="314">
        <f t="shared" si="9"/>
        <v>1.6684905660377356</v>
      </c>
      <c r="P8" s="313">
        <f t="shared" si="10"/>
        <v>1.4541800894247567E-2</v>
      </c>
      <c r="Q8" s="313">
        <f>SUM(F$6:F8)</f>
        <v>0.14622124863088717</v>
      </c>
      <c r="R8" s="313">
        <f>SUM(P$6:P8)</f>
        <v>6.5105104512513334E-2</v>
      </c>
      <c r="S8" s="74"/>
      <c r="T8" s="74" t="s">
        <v>1511</v>
      </c>
      <c r="U8" s="74" t="s">
        <v>87</v>
      </c>
      <c r="V8" s="74"/>
      <c r="W8" s="74" t="str">
        <f t="shared" si="0"/>
        <v>S07</v>
      </c>
    </row>
    <row r="9" spans="1:23" hidden="1">
      <c r="A9" s="74">
        <v>4</v>
      </c>
      <c r="B9" s="74" t="s">
        <v>252</v>
      </c>
      <c r="C9" s="74" t="s">
        <v>253</v>
      </c>
      <c r="D9" s="770">
        <f>IF($B$3="Acumulado",SUMIF(TBL_Ventas[Producto],B9,TBL_Ventas[Uds]),IF($B$3="Semanal",IF($E$3="Todos",SUMIF(TBL_Ventas[Producto],B9,TBL_Ventas[Uds]),SUMIFS(TBL_Ventas[Uds],TBL_Ventas[Producto],B9,TBL_Ventas[Semana],$E$3)),IF($E$3="Todos",SUMIF(TBL_Ventas[Producto],B9,TBL_Ventas[Uds]),SUMIFS(TBL_Ventas[Uds],TBL_Ventas[Producto],B9,TBL_Ventas[Mes],$E$3))))</f>
        <v>130</v>
      </c>
      <c r="E9" s="771">
        <f>IF($B$3="Acumulado",SUMIF(TBL_Ventas[Producto],B9,TBL_Ventas[Importe]),IF($B$3="Semanal",IF($E$3="Todos",SUMIF(TBL_Ventas[Producto],B9,TBL_Ventas[Importe]),SUMIFS(TBL_Ventas[Importe],TBL_Ventas[Producto],B9,TBL_Ventas[Semana],$E$3)),IF($E$3="Todos",SUMIF(TBL_Ventas[Producto],B9,TBL_Ventas[Importe]),SUMIFS(TBL_Ventas[Importe],TBL_Ventas[Producto],B9,TBL_Ventas[Mes],$E$3))))</f>
        <v>330.1</v>
      </c>
      <c r="F9" s="760">
        <f t="shared" si="1"/>
        <v>7.1193866374589271E-2</v>
      </c>
      <c r="G9" s="760">
        <f t="shared" si="2"/>
        <v>4.346286170225374E-2</v>
      </c>
      <c r="H9" s="771">
        <f t="shared" si="3"/>
        <v>2.5392307692307696</v>
      </c>
      <c r="I9" s="772">
        <f t="shared" si="4"/>
        <v>137.80000000000001</v>
      </c>
      <c r="J9" s="765">
        <f>IFERROR(VLOOKUP(B9,BD_Datos!$M$1:$N$1014,2,FALSE),0)</f>
        <v>1.06</v>
      </c>
      <c r="K9" s="773">
        <f t="shared" si="5"/>
        <v>192.3</v>
      </c>
      <c r="L9" s="772">
        <f t="shared" si="6"/>
        <v>0.58255074219933356</v>
      </c>
      <c r="M9" s="313">
        <f t="shared" si="7"/>
        <v>0.4174492578006665</v>
      </c>
      <c r="N9" s="313">
        <f t="shared" si="8"/>
        <v>9.1023185150934674E-2</v>
      </c>
      <c r="O9" s="314">
        <f t="shared" si="9"/>
        <v>1.4792307692307693</v>
      </c>
      <c r="P9" s="313">
        <f t="shared" si="10"/>
        <v>3.1622620286823562E-2</v>
      </c>
      <c r="Q9" s="313">
        <f>SUM(F$6:F9)</f>
        <v>0.21741511500547644</v>
      </c>
      <c r="R9" s="313">
        <f>SUM(P$6:P9)</f>
        <v>9.6727724799336889E-2</v>
      </c>
      <c r="S9" s="74"/>
      <c r="T9" s="74" t="s">
        <v>1512</v>
      </c>
      <c r="U9" s="74" t="s">
        <v>89</v>
      </c>
      <c r="V9" s="74"/>
      <c r="W9" s="74" t="str">
        <f t="shared" si="0"/>
        <v>S08</v>
      </c>
    </row>
    <row r="10" spans="1:23" hidden="1">
      <c r="A10" s="765">
        <v>5</v>
      </c>
      <c r="B10" s="765" t="s">
        <v>254</v>
      </c>
      <c r="C10" s="765" t="s">
        <v>254</v>
      </c>
      <c r="D10" s="766">
        <f>IF($B$3="Acumulado",SUMIF(TBL_Ventas[Producto],B10,TBL_Ventas[Uds]),IF($B$3="Semanal",IF($E$3="Todos",SUMIF(TBL_Ventas[Producto],B10,TBL_Ventas[Uds]),SUMIFS(TBL_Ventas[Uds],TBL_Ventas[Producto],B10,TBL_Ventas[Semana],$E$3)),IF($E$3="Todos",SUMIF(TBL_Ventas[Producto],B10,TBL_Ventas[Uds]),SUMIFS(TBL_Ventas[Uds],TBL_Ventas[Producto],B10,TBL_Ventas[Mes],$E$3))))</f>
        <v>6</v>
      </c>
      <c r="E10" s="767">
        <f>IF($B$3="Acumulado",SUMIF(TBL_Ventas[Producto],B10,TBL_Ventas[Importe]),IF($B$3="Semanal",IF($E$3="Todos",SUMIF(TBL_Ventas[Producto],B10,TBL_Ventas[Importe]),SUMIFS(TBL_Ventas[Importe],TBL_Ventas[Producto],B10,TBL_Ventas[Semana],$E$3)),IF($E$3="Todos",SUMIF(TBL_Ventas[Producto],B10,TBL_Ventas[Importe]),SUMIFS(TBL_Ventas[Importe],TBL_Ventas[Producto],B10,TBL_Ventas[Mes],$E$3))))</f>
        <v>83.98</v>
      </c>
      <c r="F10" s="768">
        <f t="shared" si="1"/>
        <v>3.2858707557502738E-3</v>
      </c>
      <c r="G10" s="768">
        <f t="shared" si="2"/>
        <v>1.1057289081354948E-2</v>
      </c>
      <c r="H10" s="767">
        <f t="shared" si="3"/>
        <v>13.996666666666668</v>
      </c>
      <c r="I10" s="765">
        <f t="shared" si="4"/>
        <v>0</v>
      </c>
      <c r="J10" s="765">
        <f>IFERROR(VLOOKUP(B10,BD_Datos!$M$1:$N$1014,2,FALSE),0)</f>
        <v>0</v>
      </c>
      <c r="K10" s="769">
        <f t="shared" si="5"/>
        <v>83.98</v>
      </c>
      <c r="L10" s="765">
        <f t="shared" si="6"/>
        <v>1</v>
      </c>
      <c r="M10" s="313">
        <f t="shared" si="7"/>
        <v>0</v>
      </c>
      <c r="N10" s="313">
        <f t="shared" si="8"/>
        <v>0</v>
      </c>
      <c r="O10" s="314">
        <f t="shared" si="9"/>
        <v>13.996666666666668</v>
      </c>
      <c r="P10" s="313">
        <f t="shared" si="10"/>
        <v>1.3810024189742292E-2</v>
      </c>
      <c r="Q10" s="313">
        <f>SUM(F$6:F10)</f>
        <v>0.22070098576122671</v>
      </c>
      <c r="R10" s="313">
        <f>SUM(P$6:P10)</f>
        <v>0.11053774898907918</v>
      </c>
      <c r="S10" s="74"/>
      <c r="T10" s="74" t="s">
        <v>1534</v>
      </c>
      <c r="U10" s="74" t="s">
        <v>91</v>
      </c>
      <c r="V10" s="74"/>
      <c r="W10" s="74" t="str">
        <f t="shared" si="0"/>
        <v>S09</v>
      </c>
    </row>
    <row r="11" spans="1:23" hidden="1">
      <c r="A11" s="74">
        <v>6</v>
      </c>
      <c r="B11" s="74" t="s">
        <v>255</v>
      </c>
      <c r="C11" s="74" t="s">
        <v>256</v>
      </c>
      <c r="D11" s="770">
        <f>IF($B$3="Acumulado",SUMIF(TBL_Ventas[Producto],B11,TBL_Ventas[Uds]),IF($B$3="Semanal",IF($E$3="Todos",SUMIF(TBL_Ventas[Producto],B11,TBL_Ventas[Uds]),SUMIFS(TBL_Ventas[Uds],TBL_Ventas[Producto],B11,TBL_Ventas[Semana],$E$3)),IF($E$3="Todos",SUMIF(TBL_Ventas[Producto],B11,TBL_Ventas[Uds]),SUMIFS(TBL_Ventas[Uds],TBL_Ventas[Producto],B11,TBL_Ventas[Mes],$E$3))))</f>
        <v>73</v>
      </c>
      <c r="E11" s="771">
        <f>IF($B$3="Acumulado",SUMIF(TBL_Ventas[Producto],B11,TBL_Ventas[Importe]),IF($B$3="Semanal",IF($E$3="Todos",SUMIF(TBL_Ventas[Producto],B11,TBL_Ventas[Importe]),SUMIFS(TBL_Ventas[Importe],TBL_Ventas[Producto],B11,TBL_Ventas[Semana],$E$3)),IF($E$3="Todos",SUMIF(TBL_Ventas[Producto],B11,TBL_Ventas[Importe]),SUMIFS(TBL_Ventas[Importe],TBL_Ventas[Producto],B11,TBL_Ventas[Mes],$E$3))))</f>
        <v>397.55</v>
      </c>
      <c r="F11" s="760">
        <f t="shared" si="1"/>
        <v>3.9978094194961664E-2</v>
      </c>
      <c r="G11" s="760">
        <f t="shared" si="2"/>
        <v>5.2343716054925694E-2</v>
      </c>
      <c r="H11" s="771">
        <f t="shared" si="3"/>
        <v>5.4458904109589046</v>
      </c>
      <c r="I11" s="772">
        <f t="shared" si="4"/>
        <v>70.08</v>
      </c>
      <c r="J11" s="765">
        <f>IFERROR(VLOOKUP(B11,BD_Datos!$M$1:$N$1014,2,FALSE),0)</f>
        <v>0.96</v>
      </c>
      <c r="K11" s="773">
        <f t="shared" si="5"/>
        <v>327.47000000000003</v>
      </c>
      <c r="L11" s="772">
        <f t="shared" si="6"/>
        <v>0.82372028675638287</v>
      </c>
      <c r="M11" s="313">
        <f t="shared" si="7"/>
        <v>0.17627971324361716</v>
      </c>
      <c r="N11" s="313">
        <f t="shared" si="8"/>
        <v>4.6291036396063141E-2</v>
      </c>
      <c r="O11" s="314">
        <f t="shared" si="9"/>
        <v>4.4858904109589046</v>
      </c>
      <c r="P11" s="313">
        <f t="shared" si="10"/>
        <v>5.3850543241425436E-2</v>
      </c>
      <c r="Q11" s="313">
        <f>SUM(F$6:F11)</f>
        <v>0.26067907995618839</v>
      </c>
      <c r="R11" s="313">
        <f>SUM(P$6:P11)</f>
        <v>0.16438829223050461</v>
      </c>
      <c r="S11" s="74"/>
      <c r="T11" s="74" t="s">
        <v>2342</v>
      </c>
      <c r="U11" s="74" t="s">
        <v>92</v>
      </c>
      <c r="V11" s="74"/>
      <c r="W11" s="74" t="str">
        <f t="shared" si="0"/>
        <v>S10</v>
      </c>
    </row>
    <row r="12" spans="1:23" hidden="1">
      <c r="A12" s="765">
        <v>7</v>
      </c>
      <c r="B12" s="765" t="s">
        <v>257</v>
      </c>
      <c r="C12" s="765" t="s">
        <v>258</v>
      </c>
      <c r="D12" s="766">
        <f>IF($B$3="Acumulado",SUMIF(TBL_Ventas[Producto],B12,TBL_Ventas[Uds]),IF($B$3="Semanal",IF($E$3="Todos",SUMIF(TBL_Ventas[Producto],B12,TBL_Ventas[Uds]),SUMIFS(TBL_Ventas[Uds],TBL_Ventas[Producto],B12,TBL_Ventas[Semana],$E$3)),IF($E$3="Todos",SUMIF(TBL_Ventas[Producto],B12,TBL_Ventas[Uds]),SUMIFS(TBL_Ventas[Uds],TBL_Ventas[Producto],B12,TBL_Ventas[Mes],$E$3))))</f>
        <v>50</v>
      </c>
      <c r="E12" s="767">
        <f>IF($B$3="Acumulado",SUMIF(TBL_Ventas[Producto],B12,TBL_Ventas[Importe]),IF($B$3="Semanal",IF($E$3="Todos",SUMIF(TBL_Ventas[Producto],B12,TBL_Ventas[Importe]),SUMIFS(TBL_Ventas[Importe],TBL_Ventas[Producto],B12,TBL_Ventas[Semana],$E$3)),IF($E$3="Todos",SUMIF(TBL_Ventas[Producto],B12,TBL_Ventas[Importe]),SUMIFS(TBL_Ventas[Importe],TBL_Ventas[Producto],B12,TBL_Ventas[Mes],$E$3))))</f>
        <v>74.95</v>
      </c>
      <c r="F12" s="768">
        <f t="shared" si="1"/>
        <v>2.7382256297918947E-2</v>
      </c>
      <c r="G12" s="768">
        <f t="shared" si="2"/>
        <v>9.8683474237622471E-3</v>
      </c>
      <c r="H12" s="767">
        <f t="shared" si="3"/>
        <v>1.4990000000000001</v>
      </c>
      <c r="I12" s="765">
        <f t="shared" si="4"/>
        <v>12.5</v>
      </c>
      <c r="J12" s="765">
        <f>IFERROR(VLOOKUP(B12,BD_Datos!$M$1:$N$1014,2,FALSE),0)</f>
        <v>0.25</v>
      </c>
      <c r="K12" s="769">
        <f t="shared" si="5"/>
        <v>62.45</v>
      </c>
      <c r="L12" s="765">
        <f t="shared" si="6"/>
        <v>0.83322214809873252</v>
      </c>
      <c r="M12" s="313">
        <f t="shared" si="7"/>
        <v>0.16677785190126751</v>
      </c>
      <c r="N12" s="313">
        <f t="shared" si="8"/>
        <v>8.2568201334302128E-3</v>
      </c>
      <c r="O12" s="314">
        <f t="shared" si="9"/>
        <v>1.2490000000000001</v>
      </c>
      <c r="P12" s="313">
        <f t="shared" si="10"/>
        <v>1.0269540493562825E-2</v>
      </c>
      <c r="Q12" s="313">
        <f>SUM(F$6:F12)</f>
        <v>0.28806133625410735</v>
      </c>
      <c r="R12" s="313">
        <f>SUM(P$6:P12)</f>
        <v>0.17465783272406743</v>
      </c>
      <c r="S12" s="74"/>
      <c r="T12" s="74" t="s">
        <v>1513</v>
      </c>
      <c r="U12" s="74" t="s">
        <v>94</v>
      </c>
      <c r="V12" s="74"/>
      <c r="W12" s="74" t="str">
        <f t="shared" si="0"/>
        <v>S11</v>
      </c>
    </row>
    <row r="13" spans="1:23" hidden="1">
      <c r="A13" s="74">
        <v>8</v>
      </c>
      <c r="B13" s="74" t="s">
        <v>259</v>
      </c>
      <c r="C13" s="74" t="s">
        <v>249</v>
      </c>
      <c r="D13" s="770">
        <f>IF($B$3="Acumulado",SUMIF(TBL_Ventas[Producto],B13,TBL_Ventas[Uds]),IF($B$3="Semanal",IF($E$3="Todos",SUMIF(TBL_Ventas[Producto],B13,TBL_Ventas[Uds]),SUMIFS(TBL_Ventas[Uds],TBL_Ventas[Producto],B13,TBL_Ventas[Semana],$E$3)),IF($E$3="Todos",SUMIF(TBL_Ventas[Producto],B13,TBL_Ventas[Uds]),SUMIFS(TBL_Ventas[Uds],TBL_Ventas[Producto],B13,TBL_Ventas[Mes],$E$3))))</f>
        <v>44</v>
      </c>
      <c r="E13" s="771">
        <f>IF($B$3="Acumulado",SUMIF(TBL_Ventas[Producto],B13,TBL_Ventas[Importe]),IF($B$3="Semanal",IF($E$3="Todos",SUMIF(TBL_Ventas[Producto],B13,TBL_Ventas[Importe]),SUMIFS(TBL_Ventas[Importe],TBL_Ventas[Producto],B13,TBL_Ventas[Semana],$E$3)),IF($E$3="Todos",SUMIF(TBL_Ventas[Producto],B13,TBL_Ventas[Importe]),SUMIFS(TBL_Ventas[Importe],TBL_Ventas[Producto],B13,TBL_Ventas[Mes],$E$3))))</f>
        <v>65.59</v>
      </c>
      <c r="F13" s="760">
        <f t="shared" si="1"/>
        <v>2.4096385542168676E-2</v>
      </c>
      <c r="G13" s="760">
        <f t="shared" si="2"/>
        <v>8.6359560710415704E-3</v>
      </c>
      <c r="H13" s="771">
        <f t="shared" si="3"/>
        <v>1.4906818181818182</v>
      </c>
      <c r="I13" s="772">
        <f t="shared" si="4"/>
        <v>8.36</v>
      </c>
      <c r="J13" s="765">
        <f>IFERROR(VLOOKUP(B13,BD_Datos!$M$1:$N$1014,2,FALSE),0)</f>
        <v>0.19</v>
      </c>
      <c r="K13" s="773">
        <f t="shared" si="5"/>
        <v>57.230000000000004</v>
      </c>
      <c r="L13" s="772">
        <f t="shared" si="6"/>
        <v>0.8725415459673731</v>
      </c>
      <c r="M13" s="313">
        <f t="shared" si="7"/>
        <v>0.1274584540326269</v>
      </c>
      <c r="N13" s="313">
        <f t="shared" si="8"/>
        <v>5.5221613052381258E-3</v>
      </c>
      <c r="O13" s="314">
        <f t="shared" si="9"/>
        <v>1.3006818181818183</v>
      </c>
      <c r="P13" s="313">
        <f t="shared" si="10"/>
        <v>9.4111417525476471E-3</v>
      </c>
      <c r="Q13" s="313">
        <f>SUM(F$6:F13)</f>
        <v>0.31215772179627604</v>
      </c>
      <c r="R13" s="313">
        <f>SUM(P$6:P13)</f>
        <v>0.18406897447661508</v>
      </c>
      <c r="S13" s="74"/>
      <c r="T13" s="74" t="s">
        <v>1514</v>
      </c>
      <c r="U13" s="74" t="s">
        <v>95</v>
      </c>
      <c r="V13" s="74"/>
      <c r="W13" s="74" t="str">
        <f t="shared" si="0"/>
        <v>S12</v>
      </c>
    </row>
    <row r="14" spans="1:23" hidden="1">
      <c r="A14" s="765">
        <v>9</v>
      </c>
      <c r="B14" s="765" t="s">
        <v>260</v>
      </c>
      <c r="C14" s="765" t="s">
        <v>247</v>
      </c>
      <c r="D14" s="766">
        <f>IF($B$3="Acumulado",SUMIF(TBL_Ventas[Producto],B14,TBL_Ventas[Uds]),IF($B$3="Semanal",IF($E$3="Todos",SUMIF(TBL_Ventas[Producto],B14,TBL_Ventas[Uds]),SUMIFS(TBL_Ventas[Uds],TBL_Ventas[Producto],B14,TBL_Ventas[Semana],$E$3)),IF($E$3="Todos",SUMIF(TBL_Ventas[Producto],B14,TBL_Ventas[Uds]),SUMIFS(TBL_Ventas[Uds],TBL_Ventas[Producto],B14,TBL_Ventas[Mes],$E$3))))</f>
        <v>50</v>
      </c>
      <c r="E14" s="767">
        <f>IF($B$3="Acumulado",SUMIF(TBL_Ventas[Producto],B14,TBL_Ventas[Importe]),IF($B$3="Semanal",IF($E$3="Todos",SUMIF(TBL_Ventas[Producto],B14,TBL_Ventas[Importe]),SUMIFS(TBL_Ventas[Importe],TBL_Ventas[Producto],B14,TBL_Ventas[Semana],$E$3)),IF($E$3="Todos",SUMIF(TBL_Ventas[Producto],B14,TBL_Ventas[Importe]),SUMIFS(TBL_Ventas[Importe],TBL_Ventas[Producto],B14,TBL_Ventas[Mes],$E$3))))</f>
        <v>74.95</v>
      </c>
      <c r="F14" s="768">
        <f t="shared" si="1"/>
        <v>2.7382256297918947E-2</v>
      </c>
      <c r="G14" s="768">
        <f t="shared" si="2"/>
        <v>9.8683474237622471E-3</v>
      </c>
      <c r="H14" s="767">
        <f t="shared" si="3"/>
        <v>1.4990000000000001</v>
      </c>
      <c r="I14" s="765">
        <f t="shared" si="4"/>
        <v>12.5</v>
      </c>
      <c r="J14" s="765">
        <f>IFERROR(VLOOKUP(B14,BD_Datos!$M$1:$N$1014,2,FALSE),0)</f>
        <v>0.25</v>
      </c>
      <c r="K14" s="769">
        <f t="shared" si="5"/>
        <v>62.45</v>
      </c>
      <c r="L14" s="765">
        <f t="shared" si="6"/>
        <v>0.83322214809873252</v>
      </c>
      <c r="M14" s="313">
        <f t="shared" si="7"/>
        <v>0.16677785190126751</v>
      </c>
      <c r="N14" s="313">
        <f t="shared" si="8"/>
        <v>8.2568201334302128E-3</v>
      </c>
      <c r="O14" s="314">
        <f t="shared" si="9"/>
        <v>1.2490000000000001</v>
      </c>
      <c r="P14" s="313">
        <f t="shared" si="10"/>
        <v>1.0269540493562825E-2</v>
      </c>
      <c r="Q14" s="313">
        <f>SUM(F$6:F14)</f>
        <v>0.33953997809419501</v>
      </c>
      <c r="R14" s="313">
        <f>SUM(P$6:P14)</f>
        <v>0.1943385149701779</v>
      </c>
      <c r="S14" s="74"/>
      <c r="T14" s="74" t="s">
        <v>1515</v>
      </c>
      <c r="U14" s="74"/>
      <c r="V14" s="74"/>
      <c r="W14" s="74" t="str">
        <f t="shared" si="0"/>
        <v>S13</v>
      </c>
    </row>
    <row r="15" spans="1:23" hidden="1">
      <c r="A15" s="74">
        <v>10</v>
      </c>
      <c r="B15" s="74" t="s">
        <v>261</v>
      </c>
      <c r="C15" s="74" t="s">
        <v>256</v>
      </c>
      <c r="D15" s="770">
        <f>IF($B$3="Acumulado",SUMIF(TBL_Ventas[Producto],B15,TBL_Ventas[Uds]),IF($B$3="Semanal",IF($E$3="Todos",SUMIF(TBL_Ventas[Producto],B15,TBL_Ventas[Uds]),SUMIFS(TBL_Ventas[Uds],TBL_Ventas[Producto],B15,TBL_Ventas[Semana],$E$3)),IF($E$3="Todos",SUMIF(TBL_Ventas[Producto],B15,TBL_Ventas[Uds]),SUMIFS(TBL_Ventas[Uds],TBL_Ventas[Producto],B15,TBL_Ventas[Mes],$E$3))))</f>
        <v>45</v>
      </c>
      <c r="E15" s="771">
        <f>IF($B$3="Acumulado",SUMIF(TBL_Ventas[Producto],B15,TBL_Ventas[Importe]),IF($B$3="Semanal",IF($E$3="Todos",SUMIF(TBL_Ventas[Producto],B15,TBL_Ventas[Importe]),SUMIFS(TBL_Ventas[Importe],TBL_Ventas[Producto],B15,TBL_Ventas[Semana],$E$3)),IF($E$3="Todos",SUMIF(TBL_Ventas[Producto],B15,TBL_Ventas[Importe]),SUMIFS(TBL_Ventas[Importe],TBL_Ventas[Producto],B15,TBL_Ventas[Mes],$E$3))))</f>
        <v>97.5</v>
      </c>
      <c r="F15" s="760">
        <f t="shared" si="1"/>
        <v>2.4644030668127054E-2</v>
      </c>
      <c r="G15" s="760">
        <f t="shared" si="2"/>
        <v>1.2837409924173702E-2</v>
      </c>
      <c r="H15" s="771">
        <f t="shared" si="3"/>
        <v>2.1666666666666665</v>
      </c>
      <c r="I15" s="772">
        <f t="shared" si="4"/>
        <v>63.9</v>
      </c>
      <c r="J15" s="765">
        <f>IFERROR(VLOOKUP(B15,BD_Datos!$M$1:$N$1014,2,FALSE),0)</f>
        <v>1.42</v>
      </c>
      <c r="K15" s="773">
        <f t="shared" si="5"/>
        <v>33.6</v>
      </c>
      <c r="L15" s="772">
        <f t="shared" si="6"/>
        <v>0.34461538461538466</v>
      </c>
      <c r="M15" s="313">
        <f t="shared" si="7"/>
        <v>0.65538461538461534</v>
      </c>
      <c r="N15" s="313">
        <f t="shared" si="8"/>
        <v>4.2208864522095248E-2</v>
      </c>
      <c r="O15" s="314">
        <f t="shared" si="9"/>
        <v>0.7466666666666667</v>
      </c>
      <c r="P15" s="313">
        <f t="shared" si="10"/>
        <v>5.5253252295229937E-3</v>
      </c>
      <c r="Q15" s="313">
        <f>SUM(F$6:F15)</f>
        <v>0.36418400876232204</v>
      </c>
      <c r="R15" s="313">
        <f>SUM(P$6:P15)</f>
        <v>0.19986384019970088</v>
      </c>
      <c r="S15" s="74"/>
      <c r="T15" s="74" t="s">
        <v>1516</v>
      </c>
      <c r="U15" s="74"/>
      <c r="V15" s="74"/>
      <c r="W15" s="74" t="str">
        <f t="shared" si="0"/>
        <v>S14</v>
      </c>
    </row>
    <row r="16" spans="1:23" hidden="1">
      <c r="A16" s="765">
        <v>11</v>
      </c>
      <c r="B16" s="765" t="s">
        <v>262</v>
      </c>
      <c r="C16" s="765" t="s">
        <v>256</v>
      </c>
      <c r="D16" s="766">
        <f>IF($B$3="Acumulado",SUMIF(TBL_Ventas[Producto],B16,TBL_Ventas[Uds]),IF($B$3="Semanal",IF($E$3="Todos",SUMIF(TBL_Ventas[Producto],B16,TBL_Ventas[Uds]),SUMIFS(TBL_Ventas[Uds],TBL_Ventas[Producto],B16,TBL_Ventas[Semana],$E$3)),IF($E$3="Todos",SUMIF(TBL_Ventas[Producto],B16,TBL_Ventas[Uds]),SUMIFS(TBL_Ventas[Uds],TBL_Ventas[Producto],B16,TBL_Ventas[Mes],$E$3))))</f>
        <v>29</v>
      </c>
      <c r="E16" s="767">
        <f>IF($B$3="Acumulado",SUMIF(TBL_Ventas[Producto],B16,TBL_Ventas[Importe]),IF($B$3="Semanal",IF($E$3="Todos",SUMIF(TBL_Ventas[Producto],B16,TBL_Ventas[Importe]),SUMIFS(TBL_Ventas[Importe],TBL_Ventas[Producto],B16,TBL_Ventas[Semana],$E$3)),IF($E$3="Todos",SUMIF(TBL_Ventas[Producto],B16,TBL_Ventas[Importe]),SUMIFS(TBL_Ventas[Importe],TBL_Ventas[Producto],B16,TBL_Ventas[Mes],$E$3))))</f>
        <v>326.3</v>
      </c>
      <c r="F16" s="768">
        <f t="shared" si="1"/>
        <v>1.5881708652792991E-2</v>
      </c>
      <c r="G16" s="768">
        <f t="shared" si="2"/>
        <v>4.2962531879567993E-2</v>
      </c>
      <c r="H16" s="767">
        <f t="shared" si="3"/>
        <v>11.251724137931035</v>
      </c>
      <c r="I16" s="765">
        <f t="shared" si="4"/>
        <v>78.010000000000005</v>
      </c>
      <c r="J16" s="765">
        <f>IFERROR(VLOOKUP(B16,BD_Datos!$M$1:$N$1014,2,FALSE),0)</f>
        <v>2.69</v>
      </c>
      <c r="K16" s="769">
        <f t="shared" si="5"/>
        <v>248.29000000000002</v>
      </c>
      <c r="L16" s="765">
        <f t="shared" si="6"/>
        <v>0.76092552865461238</v>
      </c>
      <c r="M16" s="313">
        <f t="shared" si="7"/>
        <v>0.23907447134538767</v>
      </c>
      <c r="N16" s="313">
        <f t="shared" si="8"/>
        <v>5.1529163088711277E-2</v>
      </c>
      <c r="O16" s="314">
        <f t="shared" si="9"/>
        <v>8.5617241379310354</v>
      </c>
      <c r="P16" s="313">
        <f t="shared" si="10"/>
        <v>4.0829851227329288E-2</v>
      </c>
      <c r="Q16" s="313">
        <f>SUM(F$6:F16)</f>
        <v>0.38006571741511502</v>
      </c>
      <c r="R16" s="313">
        <f>SUM(P$6:P16)</f>
        <v>0.24069369142703018</v>
      </c>
      <c r="S16" s="74"/>
      <c r="T16" s="74" t="s">
        <v>1517</v>
      </c>
      <c r="U16" s="74"/>
      <c r="V16" s="74"/>
      <c r="W16" s="74" t="str">
        <f t="shared" si="0"/>
        <v>S15</v>
      </c>
    </row>
    <row r="17" spans="1:23" hidden="1">
      <c r="A17" s="74">
        <v>12</v>
      </c>
      <c r="B17" s="74" t="s">
        <v>263</v>
      </c>
      <c r="C17" s="74" t="s">
        <v>264</v>
      </c>
      <c r="D17" s="770">
        <f>IF($B$3="Acumulado",SUMIF(TBL_Ventas[Producto],B17,TBL_Ventas[Uds]),IF($B$3="Semanal",IF($E$3="Todos",SUMIF(TBL_Ventas[Producto],B17,TBL_Ventas[Uds]),SUMIFS(TBL_Ventas[Uds],TBL_Ventas[Producto],B17,TBL_Ventas[Semana],$E$3)),IF($E$3="Todos",SUMIF(TBL_Ventas[Producto],B17,TBL_Ventas[Uds]),SUMIFS(TBL_Ventas[Uds],TBL_Ventas[Producto],B17,TBL_Ventas[Mes],$E$3))))</f>
        <v>0</v>
      </c>
      <c r="E17" s="771">
        <f>IF($B$3="Acumulado",SUMIF(TBL_Ventas[Producto],B17,TBL_Ventas[Importe]),IF($B$3="Semanal",IF($E$3="Todos",SUMIF(TBL_Ventas[Producto],B17,TBL_Ventas[Importe]),SUMIFS(TBL_Ventas[Importe],TBL_Ventas[Producto],B17,TBL_Ventas[Semana],$E$3)),IF($E$3="Todos",SUMIF(TBL_Ventas[Producto],B17,TBL_Ventas[Importe]),SUMIFS(TBL_Ventas[Importe],TBL_Ventas[Producto],B17,TBL_Ventas[Mes],$E$3))))</f>
        <v>0</v>
      </c>
      <c r="F17" s="760">
        <f t="shared" si="1"/>
        <v>0</v>
      </c>
      <c r="G17" s="760">
        <f t="shared" si="2"/>
        <v>0</v>
      </c>
      <c r="H17" s="771">
        <f t="shared" si="3"/>
        <v>0</v>
      </c>
      <c r="I17" s="772">
        <f t="shared" si="4"/>
        <v>0</v>
      </c>
      <c r="J17" s="765">
        <f>IFERROR(VLOOKUP(B17,BD_Datos!$M$1:$N$1014,2,FALSE),0)</f>
        <v>1.06</v>
      </c>
      <c r="K17" s="773">
        <f t="shared" si="5"/>
        <v>0</v>
      </c>
      <c r="L17" s="772">
        <f t="shared" si="6"/>
        <v>0</v>
      </c>
      <c r="M17" s="313">
        <f t="shared" si="7"/>
        <v>0</v>
      </c>
      <c r="N17" s="313">
        <f t="shared" si="8"/>
        <v>0</v>
      </c>
      <c r="O17" s="314">
        <f t="shared" si="9"/>
        <v>0</v>
      </c>
      <c r="P17" s="313">
        <f t="shared" si="10"/>
        <v>0</v>
      </c>
      <c r="Q17" s="313">
        <f>SUM(F$6:F17)</f>
        <v>0.38006571741511502</v>
      </c>
      <c r="R17" s="313">
        <f>SUM(P$6:P17)</f>
        <v>0.24069369142703018</v>
      </c>
      <c r="S17" s="74"/>
      <c r="T17" s="74" t="s">
        <v>1527</v>
      </c>
      <c r="U17" s="74"/>
      <c r="V17" s="74"/>
      <c r="W17" s="74" t="str">
        <f t="shared" si="0"/>
        <v>S16</v>
      </c>
    </row>
    <row r="18" spans="1:23" hidden="1">
      <c r="A18" s="765">
        <v>13</v>
      </c>
      <c r="B18" s="765" t="s">
        <v>265</v>
      </c>
      <c r="C18" s="765" t="s">
        <v>266</v>
      </c>
      <c r="D18" s="766">
        <f>IF($B$3="Acumulado",SUMIF(TBL_Ventas[Producto],B18,TBL_Ventas[Uds]),IF($B$3="Semanal",IF($E$3="Todos",SUMIF(TBL_Ventas[Producto],B18,TBL_Ventas[Uds]),SUMIFS(TBL_Ventas[Uds],TBL_Ventas[Producto],B18,TBL_Ventas[Semana],$E$3)),IF($E$3="Todos",SUMIF(TBL_Ventas[Producto],B18,TBL_Ventas[Uds]),SUMIFS(TBL_Ventas[Uds],TBL_Ventas[Producto],B18,TBL_Ventas[Mes],$E$3))))</f>
        <v>14</v>
      </c>
      <c r="E18" s="767">
        <f>IF($B$3="Acumulado",SUMIF(TBL_Ventas[Producto],B18,TBL_Ventas[Importe]),IF($B$3="Semanal",IF($E$3="Todos",SUMIF(TBL_Ventas[Producto],B18,TBL_Ventas[Importe]),SUMIFS(TBL_Ventas[Importe],TBL_Ventas[Producto],B18,TBL_Ventas[Semana],$E$3)),IF($E$3="Todos",SUMIF(TBL_Ventas[Producto],B18,TBL_Ventas[Importe]),SUMIFS(TBL_Ventas[Importe],TBL_Ventas[Producto],B18,TBL_Ventas[Mes],$E$3))))</f>
        <v>36.85</v>
      </c>
      <c r="F18" s="768">
        <f t="shared" si="1"/>
        <v>7.6670317634173054E-3</v>
      </c>
      <c r="G18" s="768">
        <f t="shared" si="2"/>
        <v>4.8518826226235994E-3</v>
      </c>
      <c r="H18" s="767">
        <f t="shared" si="3"/>
        <v>2.6321428571428571</v>
      </c>
      <c r="I18" s="765">
        <f t="shared" si="4"/>
        <v>7.42</v>
      </c>
      <c r="J18" s="765">
        <f>IFERROR(VLOOKUP(B18,BD_Datos!$M$1:$N$1014,2,FALSE),0)</f>
        <v>0.53</v>
      </c>
      <c r="K18" s="769">
        <f t="shared" si="5"/>
        <v>29.43</v>
      </c>
      <c r="L18" s="765">
        <f t="shared" si="6"/>
        <v>0.79864314789687918</v>
      </c>
      <c r="M18" s="313">
        <f t="shared" si="7"/>
        <v>0.20135685210312074</v>
      </c>
      <c r="N18" s="313">
        <f t="shared" si="8"/>
        <v>4.9012484312041743E-3</v>
      </c>
      <c r="O18" s="314">
        <f t="shared" si="9"/>
        <v>2.1021428571428573</v>
      </c>
      <c r="P18" s="313">
        <f t="shared" si="10"/>
        <v>4.8395929019304073E-3</v>
      </c>
      <c r="Q18" s="313">
        <f>SUM(F$6:F18)</f>
        <v>0.38773274917853234</v>
      </c>
      <c r="R18" s="313">
        <f>SUM(P$6:P18)</f>
        <v>0.24553328432896057</v>
      </c>
      <c r="S18" s="74"/>
      <c r="T18" s="74" t="s">
        <v>1518</v>
      </c>
      <c r="U18" s="74"/>
      <c r="V18" s="74"/>
      <c r="W18" s="74" t="str">
        <f t="shared" si="0"/>
        <v>S17</v>
      </c>
    </row>
    <row r="19" spans="1:23" hidden="1">
      <c r="A19" s="74">
        <v>14</v>
      </c>
      <c r="B19" s="74" t="s">
        <v>267</v>
      </c>
      <c r="C19" s="74" t="s">
        <v>268</v>
      </c>
      <c r="D19" s="770">
        <f>IF($B$3="Acumulado",SUMIF(TBL_Ventas[Producto],B19,TBL_Ventas[Uds]),IF($B$3="Semanal",IF($E$3="Todos",SUMIF(TBL_Ventas[Producto],B19,TBL_Ventas[Uds]),SUMIFS(TBL_Ventas[Uds],TBL_Ventas[Producto],B19,TBL_Ventas[Semana],$E$3)),IF($E$3="Todos",SUMIF(TBL_Ventas[Producto],B19,TBL_Ventas[Uds]),SUMIFS(TBL_Ventas[Uds],TBL_Ventas[Producto],B19,TBL_Ventas[Mes],$E$3))))</f>
        <v>18</v>
      </c>
      <c r="E19" s="771">
        <f>IF($B$3="Acumulado",SUMIF(TBL_Ventas[Producto],B19,TBL_Ventas[Importe]),IF($B$3="Semanal",IF($E$3="Todos",SUMIF(TBL_Ventas[Producto],B19,TBL_Ventas[Importe]),SUMIFS(TBL_Ventas[Importe],TBL_Ventas[Producto],B19,TBL_Ventas[Semana],$E$3)),IF($E$3="Todos",SUMIF(TBL_Ventas[Producto],B19,TBL_Ventas[Importe]),SUMIFS(TBL_Ventas[Importe],TBL_Ventas[Producto],B19,TBL_Ventas[Mes],$E$3))))</f>
        <v>27</v>
      </c>
      <c r="F19" s="760">
        <f t="shared" si="1"/>
        <v>9.8576122672508221E-3</v>
      </c>
      <c r="G19" s="760">
        <f t="shared" si="2"/>
        <v>3.5549750559250252E-3</v>
      </c>
      <c r="H19" s="771">
        <f t="shared" si="3"/>
        <v>1.5</v>
      </c>
      <c r="I19" s="772">
        <f t="shared" si="4"/>
        <v>4.5</v>
      </c>
      <c r="J19" s="765">
        <f>IFERROR(VLOOKUP(B19,BD_Datos!$M$1:$N$1014,2,FALSE),0)</f>
        <v>0.25</v>
      </c>
      <c r="K19" s="773">
        <f t="shared" si="5"/>
        <v>22.5</v>
      </c>
      <c r="L19" s="772">
        <f t="shared" si="6"/>
        <v>0.83333333333333337</v>
      </c>
      <c r="M19" s="313">
        <f t="shared" si="7"/>
        <v>0.16666666666666666</v>
      </c>
      <c r="N19" s="313">
        <f t="shared" si="8"/>
        <v>2.9724552480348766E-3</v>
      </c>
      <c r="O19" s="314">
        <f t="shared" si="9"/>
        <v>1.25</v>
      </c>
      <c r="P19" s="313">
        <f t="shared" si="10"/>
        <v>3.6999945733412901E-3</v>
      </c>
      <c r="Q19" s="313">
        <f>SUM(F$6:F19)</f>
        <v>0.39759036144578319</v>
      </c>
      <c r="R19" s="313">
        <f>SUM(P$6:P19)</f>
        <v>0.24923327890230187</v>
      </c>
      <c r="S19" s="74"/>
      <c r="T19" s="74" t="s">
        <v>1519</v>
      </c>
      <c r="U19" s="74"/>
      <c r="V19" s="74"/>
      <c r="W19" s="74" t="str">
        <f t="shared" si="0"/>
        <v>S18</v>
      </c>
    </row>
    <row r="20" spans="1:23" hidden="1">
      <c r="A20" s="765">
        <v>15</v>
      </c>
      <c r="B20" s="765" t="s">
        <v>269</v>
      </c>
      <c r="C20" s="765" t="s">
        <v>264</v>
      </c>
      <c r="D20" s="766">
        <f>IF($B$3="Acumulado",SUMIF(TBL_Ventas[Producto],B20,TBL_Ventas[Uds]),IF($B$3="Semanal",IF($E$3="Todos",SUMIF(TBL_Ventas[Producto],B20,TBL_Ventas[Uds]),SUMIFS(TBL_Ventas[Uds],TBL_Ventas[Producto],B20,TBL_Ventas[Semana],$E$3)),IF($E$3="Todos",SUMIF(TBL_Ventas[Producto],B20,TBL_Ventas[Uds]),SUMIFS(TBL_Ventas[Uds],TBL_Ventas[Producto],B20,TBL_Ventas[Mes],$E$3))))</f>
        <v>6</v>
      </c>
      <c r="E20" s="767">
        <f>IF($B$3="Acumulado",SUMIF(TBL_Ventas[Producto],B20,TBL_Ventas[Importe]),IF($B$3="Semanal",IF($E$3="Todos",SUMIF(TBL_Ventas[Producto],B20,TBL_Ventas[Importe]),SUMIFS(TBL_Ventas[Importe],TBL_Ventas[Producto],B20,TBL_Ventas[Semana],$E$3)),IF($E$3="Todos",SUMIF(TBL_Ventas[Producto],B20,TBL_Ventas[Importe]),SUMIFS(TBL_Ventas[Importe],TBL_Ventas[Producto],B20,TBL_Ventas[Mes],$E$3))))</f>
        <v>0.6</v>
      </c>
      <c r="F20" s="768">
        <f t="shared" si="1"/>
        <v>3.2858707557502738E-3</v>
      </c>
      <c r="G20" s="768">
        <f t="shared" si="2"/>
        <v>7.8999445687222785E-5</v>
      </c>
      <c r="H20" s="767">
        <f t="shared" si="3"/>
        <v>9.9999999999999992E-2</v>
      </c>
      <c r="I20" s="765">
        <f t="shared" si="4"/>
        <v>0</v>
      </c>
      <c r="J20" s="765">
        <f>IFERROR(VLOOKUP(B20,BD_Datos!$M$1:$N$1014,2,FALSE),0)</f>
        <v>0</v>
      </c>
      <c r="K20" s="769">
        <f t="shared" si="5"/>
        <v>0.6</v>
      </c>
      <c r="L20" s="765">
        <f t="shared" si="6"/>
        <v>1</v>
      </c>
      <c r="M20" s="313">
        <f t="shared" si="7"/>
        <v>0</v>
      </c>
      <c r="N20" s="313">
        <f t="shared" si="8"/>
        <v>0</v>
      </c>
      <c r="O20" s="314">
        <f t="shared" si="9"/>
        <v>9.9999999999999992E-2</v>
      </c>
      <c r="P20" s="313">
        <f t="shared" si="10"/>
        <v>9.8666521955767731E-5</v>
      </c>
      <c r="Q20" s="313">
        <f>SUM(F$6:F20)</f>
        <v>0.40087623220153346</v>
      </c>
      <c r="R20" s="313">
        <f>SUM(P$6:P20)</f>
        <v>0.24933194542425766</v>
      </c>
      <c r="S20" s="74"/>
      <c r="T20" s="74" t="s">
        <v>1540</v>
      </c>
      <c r="U20" s="74"/>
      <c r="V20" s="74"/>
      <c r="W20" s="74" t="str">
        <f t="shared" si="0"/>
        <v>S19</v>
      </c>
    </row>
    <row r="21" spans="1:23" hidden="1">
      <c r="A21" s="74">
        <v>16</v>
      </c>
      <c r="B21" s="74" t="s">
        <v>926</v>
      </c>
      <c r="C21" s="74" t="s">
        <v>266</v>
      </c>
      <c r="D21" s="770">
        <f>IF($B$3="Acumulado",SUMIF(TBL_Ventas[Producto],B21,TBL_Ventas[Uds]),IF($B$3="Semanal",IF($E$3="Todos",SUMIF(TBL_Ventas[Producto],B21,TBL_Ventas[Uds]),SUMIFS(TBL_Ventas[Uds],TBL_Ventas[Producto],B21,TBL_Ventas[Semana],$E$3)),IF($E$3="Todos",SUMIF(TBL_Ventas[Producto],B21,TBL_Ventas[Uds]),SUMIFS(TBL_Ventas[Uds],TBL_Ventas[Producto],B21,TBL_Ventas[Mes],$E$3))))</f>
        <v>42</v>
      </c>
      <c r="E21" s="771">
        <f>IF($B$3="Acumulado",SUMIF(TBL_Ventas[Producto],B21,TBL_Ventas[Importe]),IF($B$3="Semanal",IF($E$3="Todos",SUMIF(TBL_Ventas[Producto],B21,TBL_Ventas[Importe]),SUMIFS(TBL_Ventas[Importe],TBL_Ventas[Producto],B21,TBL_Ventas[Semana],$E$3)),IF($E$3="Todos",SUMIF(TBL_Ventas[Producto],B21,TBL_Ventas[Importe]),SUMIFS(TBL_Ventas[Importe],TBL_Ventas[Producto],B21,TBL_Ventas[Mes],$E$3))))</f>
        <v>105.89</v>
      </c>
      <c r="F21" s="760">
        <f t="shared" si="1"/>
        <v>2.3001095290251915E-2</v>
      </c>
      <c r="G21" s="760">
        <f t="shared" si="2"/>
        <v>1.39420855063667E-2</v>
      </c>
      <c r="H21" s="771">
        <f t="shared" si="3"/>
        <v>2.5211904761904762</v>
      </c>
      <c r="I21" s="772">
        <f t="shared" si="4"/>
        <v>22.26</v>
      </c>
      <c r="J21" s="765">
        <f>IFERROR(VLOOKUP(B21,BD_Datos!$M$1:$N$1014,2,FALSE),0)</f>
        <v>0.53</v>
      </c>
      <c r="K21" s="773">
        <f t="shared" si="5"/>
        <v>83.63</v>
      </c>
      <c r="L21" s="772">
        <f t="shared" si="6"/>
        <v>0.78978184908867688</v>
      </c>
      <c r="M21" s="313">
        <f t="shared" si="7"/>
        <v>0.21021815091132309</v>
      </c>
      <c r="N21" s="313">
        <f t="shared" si="8"/>
        <v>1.4703745293612524E-2</v>
      </c>
      <c r="O21" s="314">
        <f t="shared" si="9"/>
        <v>1.9911904761904762</v>
      </c>
      <c r="P21" s="313">
        <f t="shared" si="10"/>
        <v>1.3752468718601425E-2</v>
      </c>
      <c r="Q21" s="313">
        <f>SUM(F$6:F21)</f>
        <v>0.42387732749178536</v>
      </c>
      <c r="R21" s="313">
        <f>SUM(P$6:P21)</f>
        <v>0.2630844141428591</v>
      </c>
      <c r="S21" s="74"/>
      <c r="T21" s="74" t="s">
        <v>1520</v>
      </c>
      <c r="U21" s="74"/>
      <c r="V21" s="74"/>
      <c r="W21" s="74" t="str">
        <f t="shared" si="0"/>
        <v>S20</v>
      </c>
    </row>
    <row r="22" spans="1:23" hidden="1">
      <c r="A22" s="765">
        <v>17</v>
      </c>
      <c r="B22" s="765" t="s">
        <v>858</v>
      </c>
      <c r="C22" s="765" t="s">
        <v>268</v>
      </c>
      <c r="D22" s="766">
        <f>IF($B$3="Acumulado",SUMIF(TBL_Ventas[Producto],B22,TBL_Ventas[Uds]),IF($B$3="Semanal",IF($E$3="Todos",SUMIF(TBL_Ventas[Producto],B22,TBL_Ventas[Uds]),SUMIFS(TBL_Ventas[Uds],TBL_Ventas[Producto],B22,TBL_Ventas[Semana],$E$3)),IF($E$3="Todos",SUMIF(TBL_Ventas[Producto],B22,TBL_Ventas[Uds]),SUMIFS(TBL_Ventas[Uds],TBL_Ventas[Producto],B22,TBL_Ventas[Mes],$E$3))))</f>
        <v>21</v>
      </c>
      <c r="E22" s="767">
        <f>IF($B$3="Acumulado",SUMIF(TBL_Ventas[Producto],B22,TBL_Ventas[Importe]),IF($B$3="Semanal",IF($E$3="Todos",SUMIF(TBL_Ventas[Producto],B22,TBL_Ventas[Importe]),SUMIFS(TBL_Ventas[Importe],TBL_Ventas[Producto],B22,TBL_Ventas[Semana],$E$3)),IF($E$3="Todos",SUMIF(TBL_Ventas[Producto],B22,TBL_Ventas[Importe]),SUMIFS(TBL_Ventas[Importe],TBL_Ventas[Producto],B22,TBL_Ventas[Mes],$E$3))))</f>
        <v>12.6</v>
      </c>
      <c r="F22" s="768">
        <f t="shared" si="1"/>
        <v>1.1500547645125958E-2</v>
      </c>
      <c r="G22" s="768">
        <f t="shared" si="2"/>
        <v>1.6589883594316783E-3</v>
      </c>
      <c r="H22" s="767">
        <f t="shared" si="3"/>
        <v>0.6</v>
      </c>
      <c r="I22" s="765">
        <f t="shared" si="4"/>
        <v>2.73</v>
      </c>
      <c r="J22" s="765">
        <f>IFERROR(VLOOKUP(B22,BD_Datos!$M$1:$N$1014,2,FALSE),0)</f>
        <v>0.13</v>
      </c>
      <c r="K22" s="769">
        <f t="shared" si="5"/>
        <v>9.8699999999999992</v>
      </c>
      <c r="L22" s="765">
        <f t="shared" si="6"/>
        <v>0.78333333333333333</v>
      </c>
      <c r="M22" s="313">
        <f t="shared" si="7"/>
        <v>0.21666666666666667</v>
      </c>
      <c r="N22" s="313">
        <f t="shared" si="8"/>
        <v>1.8032895171411585E-3</v>
      </c>
      <c r="O22" s="314">
        <f t="shared" si="9"/>
        <v>0.47</v>
      </c>
      <c r="P22" s="313">
        <f t="shared" si="10"/>
        <v>1.6230642861723792E-3</v>
      </c>
      <c r="Q22" s="313">
        <f>SUM(F$6:F22)</f>
        <v>0.43537787513691134</v>
      </c>
      <c r="R22" s="313">
        <f>SUM(P$6:P22)</f>
        <v>0.26470747842903147</v>
      </c>
      <c r="S22" s="74"/>
      <c r="T22" s="74" t="s">
        <v>1577</v>
      </c>
      <c r="U22" s="74"/>
      <c r="V22" s="74"/>
      <c r="W22" s="74" t="str">
        <f t="shared" si="0"/>
        <v>S21</v>
      </c>
    </row>
    <row r="23" spans="1:23" hidden="1">
      <c r="A23" s="74">
        <v>18</v>
      </c>
      <c r="B23" s="74" t="s">
        <v>679</v>
      </c>
      <c r="C23" s="74" t="s">
        <v>256</v>
      </c>
      <c r="D23" s="770">
        <f>IF($B$3="Acumulado",SUMIF(TBL_Ventas[Producto],B23,TBL_Ventas[Uds]),IF($B$3="Semanal",IF($E$3="Todos",SUMIF(TBL_Ventas[Producto],B23,TBL_Ventas[Uds]),SUMIFS(TBL_Ventas[Uds],TBL_Ventas[Producto],B23,TBL_Ventas[Semana],$E$3)),IF($E$3="Todos",SUMIF(TBL_Ventas[Producto],B23,TBL_Ventas[Uds]),SUMIFS(TBL_Ventas[Uds],TBL_Ventas[Producto],B23,TBL_Ventas[Mes],$E$3))))</f>
        <v>32</v>
      </c>
      <c r="E23" s="771">
        <f>IF($B$3="Acumulado",SUMIF(TBL_Ventas[Producto],B23,TBL_Ventas[Importe]),IF($B$3="Semanal",IF($E$3="Todos",SUMIF(TBL_Ventas[Producto],B23,TBL_Ventas[Importe]),SUMIFS(TBL_Ventas[Importe],TBL_Ventas[Producto],B23,TBL_Ventas[Semana],$E$3)),IF($E$3="Todos",SUMIF(TBL_Ventas[Producto],B23,TBL_Ventas[Importe]),SUMIFS(TBL_Ventas[Importe],TBL_Ventas[Producto],B23,TBL_Ventas[Mes],$E$3))))</f>
        <v>308.55</v>
      </c>
      <c r="F23" s="760">
        <f t="shared" si="1"/>
        <v>1.7524644030668127E-2</v>
      </c>
      <c r="G23" s="760">
        <f t="shared" si="2"/>
        <v>4.062546494465432E-2</v>
      </c>
      <c r="H23" s="771">
        <f t="shared" si="3"/>
        <v>9.6421875000000004</v>
      </c>
      <c r="I23" s="772">
        <f t="shared" si="4"/>
        <v>74.88</v>
      </c>
      <c r="J23" s="765">
        <f>IFERROR(VLOOKUP(B23,BD_Datos!$M$1:$N$1014,2,FALSE),0)</f>
        <v>2.34</v>
      </c>
      <c r="K23" s="773">
        <f t="shared" si="5"/>
        <v>233.67000000000002</v>
      </c>
      <c r="L23" s="772">
        <f t="shared" si="6"/>
        <v>0.75731648031113274</v>
      </c>
      <c r="M23" s="313">
        <f t="shared" si="7"/>
        <v>0.24268351968886726</v>
      </c>
      <c r="N23" s="313">
        <f t="shared" si="8"/>
        <v>4.9461655327300347E-2</v>
      </c>
      <c r="O23" s="314">
        <f t="shared" si="9"/>
        <v>7.3021875000000005</v>
      </c>
      <c r="P23" s="313">
        <f t="shared" si="10"/>
        <v>3.8425676975673749E-2</v>
      </c>
      <c r="Q23" s="313">
        <f>SUM(F$6:F23)</f>
        <v>0.45290251916757945</v>
      </c>
      <c r="R23" s="313">
        <f>SUM(P$6:P23)</f>
        <v>0.3031331554047052</v>
      </c>
      <c r="S23" s="74"/>
      <c r="T23" s="74" t="s">
        <v>1507</v>
      </c>
      <c r="U23" s="74"/>
      <c r="V23" s="74"/>
      <c r="W23" s="74" t="str">
        <f t="shared" si="0"/>
        <v>S22</v>
      </c>
    </row>
    <row r="24" spans="1:23" hidden="1">
      <c r="A24" s="765">
        <v>19</v>
      </c>
      <c r="B24" s="765" t="s">
        <v>676</v>
      </c>
      <c r="C24" s="765" t="s">
        <v>253</v>
      </c>
      <c r="D24" s="766">
        <f>IF($B$3="Acumulado",SUMIF(TBL_Ventas[Producto],B24,TBL_Ventas[Uds]),IF($B$3="Semanal",IF($E$3="Todos",SUMIF(TBL_Ventas[Producto],B24,TBL_Ventas[Uds]),SUMIFS(TBL_Ventas[Uds],TBL_Ventas[Producto],B24,TBL_Ventas[Semana],$E$3)),IF($E$3="Todos",SUMIF(TBL_Ventas[Producto],B24,TBL_Ventas[Uds]),SUMIFS(TBL_Ventas[Uds],TBL_Ventas[Producto],B24,TBL_Ventas[Mes],$E$3))))</f>
        <v>25</v>
      </c>
      <c r="E24" s="767">
        <f>IF($B$3="Acumulado",SUMIF(TBL_Ventas[Producto],B24,TBL_Ventas[Importe]),IF($B$3="Semanal",IF($E$3="Todos",SUMIF(TBL_Ventas[Producto],B24,TBL_Ventas[Importe]),SUMIFS(TBL_Ventas[Importe],TBL_Ventas[Producto],B24,TBL_Ventas[Semana],$E$3)),IF($E$3="Todos",SUMIF(TBL_Ventas[Producto],B24,TBL_Ventas[Importe]),SUMIFS(TBL_Ventas[Importe],TBL_Ventas[Producto],B24,TBL_Ventas[Mes],$E$3))))</f>
        <v>70.53</v>
      </c>
      <c r="F24" s="768">
        <f t="shared" si="1"/>
        <v>1.3691128148959474E-2</v>
      </c>
      <c r="G24" s="768">
        <f t="shared" si="2"/>
        <v>9.286384840533039E-3</v>
      </c>
      <c r="H24" s="767">
        <f t="shared" si="3"/>
        <v>2.8212000000000002</v>
      </c>
      <c r="I24" s="765">
        <f t="shared" si="4"/>
        <v>23</v>
      </c>
      <c r="J24" s="765">
        <f>IFERROR(VLOOKUP(B24,BD_Datos!$M$1:$N$1014,2,FALSE),0)</f>
        <v>0.92</v>
      </c>
      <c r="K24" s="769">
        <f t="shared" si="5"/>
        <v>47.53</v>
      </c>
      <c r="L24" s="765">
        <f t="shared" si="6"/>
        <v>0.67389763221324261</v>
      </c>
      <c r="M24" s="313">
        <f t="shared" si="7"/>
        <v>0.32610236778675739</v>
      </c>
      <c r="N24" s="313">
        <f t="shared" si="8"/>
        <v>1.5192549045511592E-2</v>
      </c>
      <c r="O24" s="314">
        <f t="shared" si="9"/>
        <v>1.9012</v>
      </c>
      <c r="P24" s="313">
        <f t="shared" si="10"/>
        <v>7.8160329809294007E-3</v>
      </c>
      <c r="Q24" s="313">
        <f>SUM(F$6:F24)</f>
        <v>0.46659364731653891</v>
      </c>
      <c r="R24" s="313">
        <f>SUM(P$6:P24)</f>
        <v>0.31094918838563462</v>
      </c>
      <c r="S24" s="74"/>
      <c r="T24" s="74" t="s">
        <v>1644</v>
      </c>
      <c r="U24" s="74"/>
      <c r="V24" s="74"/>
      <c r="W24" s="74" t="str">
        <f t="shared" si="0"/>
        <v>S23</v>
      </c>
    </row>
    <row r="25" spans="1:23" hidden="1">
      <c r="A25" s="74">
        <v>20</v>
      </c>
      <c r="B25" s="74" t="s">
        <v>912</v>
      </c>
      <c r="C25" s="74" t="s">
        <v>256</v>
      </c>
      <c r="D25" s="770">
        <f>IF($B$3="Acumulado",SUMIF(TBL_Ventas[Producto],B25,TBL_Ventas[Uds]),IF($B$3="Semanal",IF($E$3="Todos",SUMIF(TBL_Ventas[Producto],B25,TBL_Ventas[Uds]),SUMIFS(TBL_Ventas[Uds],TBL_Ventas[Producto],B25,TBL_Ventas[Semana],$E$3)),IF($E$3="Todos",SUMIF(TBL_Ventas[Producto],B25,TBL_Ventas[Uds]),SUMIFS(TBL_Ventas[Uds],TBL_Ventas[Producto],B25,TBL_Ventas[Mes],$E$3))))</f>
        <v>0</v>
      </c>
      <c r="E25" s="771">
        <f>IF($B$3="Acumulado",SUMIF(TBL_Ventas[Producto],B25,TBL_Ventas[Importe]),IF($B$3="Semanal",IF($E$3="Todos",SUMIF(TBL_Ventas[Producto],B25,TBL_Ventas[Importe]),SUMIFS(TBL_Ventas[Importe],TBL_Ventas[Producto],B25,TBL_Ventas[Semana],$E$3)),IF($E$3="Todos",SUMIF(TBL_Ventas[Producto],B25,TBL_Ventas[Importe]),SUMIFS(TBL_Ventas[Importe],TBL_Ventas[Producto],B25,TBL_Ventas[Mes],$E$3))))</f>
        <v>0</v>
      </c>
      <c r="F25" s="760">
        <f t="shared" si="1"/>
        <v>0</v>
      </c>
      <c r="G25" s="760">
        <f t="shared" si="2"/>
        <v>0</v>
      </c>
      <c r="H25" s="771">
        <f t="shared" si="3"/>
        <v>0</v>
      </c>
      <c r="I25" s="772">
        <f t="shared" si="4"/>
        <v>0</v>
      </c>
      <c r="J25" s="765">
        <f>IFERROR(VLOOKUP(B25,BD_Datos!$M$1:$N$1014,2,FALSE),0)</f>
        <v>1.25</v>
      </c>
      <c r="K25" s="773">
        <f t="shared" si="5"/>
        <v>0</v>
      </c>
      <c r="L25" s="772">
        <f t="shared" si="6"/>
        <v>0</v>
      </c>
      <c r="M25" s="313">
        <f t="shared" si="7"/>
        <v>0</v>
      </c>
      <c r="N25" s="313">
        <f t="shared" si="8"/>
        <v>0</v>
      </c>
      <c r="O25" s="314">
        <f t="shared" si="9"/>
        <v>0</v>
      </c>
      <c r="P25" s="313">
        <f t="shared" si="10"/>
        <v>0</v>
      </c>
      <c r="Q25" s="313">
        <f>SUM(F$6:F25)</f>
        <v>0.46659364731653891</v>
      </c>
      <c r="R25" s="313">
        <f>SUM(P$6:P25)</f>
        <v>0.31094918838563462</v>
      </c>
      <c r="S25" s="74"/>
      <c r="T25" s="74" t="s">
        <v>1578</v>
      </c>
      <c r="U25" s="74"/>
      <c r="V25" s="74"/>
      <c r="W25" s="74" t="str">
        <f t="shared" si="0"/>
        <v>S24</v>
      </c>
    </row>
    <row r="26" spans="1:23" hidden="1">
      <c r="A26" s="765">
        <v>21</v>
      </c>
      <c r="B26" s="765" t="s">
        <v>708</v>
      </c>
      <c r="C26" s="765" t="s">
        <v>251</v>
      </c>
      <c r="D26" s="766">
        <f>IF($B$3="Acumulado",SUMIF(TBL_Ventas[Producto],B26,TBL_Ventas[Uds]),IF($B$3="Semanal",IF($E$3="Todos",SUMIF(TBL_Ventas[Producto],B26,TBL_Ventas[Uds]),SUMIFS(TBL_Ventas[Uds],TBL_Ventas[Producto],B26,TBL_Ventas[Semana],$E$3)),IF($E$3="Todos",SUMIF(TBL_Ventas[Producto],B26,TBL_Ventas[Uds]),SUMIFS(TBL_Ventas[Uds],TBL_Ventas[Producto],B26,TBL_Ventas[Mes],$E$3))))</f>
        <v>16</v>
      </c>
      <c r="E26" s="767">
        <f>IF($B$3="Acumulado",SUMIF(TBL_Ventas[Producto],B26,TBL_Ventas[Importe]),IF($B$3="Semanal",IF($E$3="Todos",SUMIF(TBL_Ventas[Producto],B26,TBL_Ventas[Importe]),SUMIFS(TBL_Ventas[Importe],TBL_Ventas[Producto],B26,TBL_Ventas[Semana],$E$3)),IF($E$3="Todos",SUMIF(TBL_Ventas[Producto],B26,TBL_Ventas[Importe]),SUMIFS(TBL_Ventas[Importe],TBL_Ventas[Producto],B26,TBL_Ventas[Mes],$E$3))))</f>
        <v>30.47</v>
      </c>
      <c r="F26" s="768">
        <f t="shared" si="1"/>
        <v>8.7623220153340634E-3</v>
      </c>
      <c r="G26" s="768">
        <f t="shared" si="2"/>
        <v>4.0118551834827966E-3</v>
      </c>
      <c r="H26" s="767">
        <f t="shared" si="3"/>
        <v>1.9043749999999999</v>
      </c>
      <c r="I26" s="765">
        <f t="shared" si="4"/>
        <v>1.76</v>
      </c>
      <c r="J26" s="765">
        <f>IFERROR(VLOOKUP(B26,BD_Datos!$M$1:$N$1014,2,FALSE),0)</f>
        <v>0.11</v>
      </c>
      <c r="K26" s="769">
        <f t="shared" si="5"/>
        <v>28.709999999999997</v>
      </c>
      <c r="L26" s="765">
        <f t="shared" si="6"/>
        <v>0.9422382671480144</v>
      </c>
      <c r="M26" s="313">
        <f t="shared" si="7"/>
        <v>5.7761732851985562E-2</v>
      </c>
      <c r="N26" s="313">
        <f t="shared" si="8"/>
        <v>1.162560274786974E-3</v>
      </c>
      <c r="O26" s="314">
        <f t="shared" si="9"/>
        <v>1.7943749999999998</v>
      </c>
      <c r="P26" s="313">
        <f t="shared" si="10"/>
        <v>4.7211930755834859E-3</v>
      </c>
      <c r="Q26" s="313">
        <f>SUM(F$6:F26)</f>
        <v>0.47535596933187296</v>
      </c>
      <c r="R26" s="313">
        <f>SUM(P$6:P26)</f>
        <v>0.31567038146121812</v>
      </c>
      <c r="S26" s="74"/>
      <c r="T26" s="74" t="s">
        <v>1646</v>
      </c>
      <c r="U26" s="74"/>
      <c r="V26" s="74"/>
      <c r="W26" s="74" t="str">
        <f t="shared" si="0"/>
        <v>S25</v>
      </c>
    </row>
    <row r="27" spans="1:23" hidden="1">
      <c r="A27" s="74">
        <v>22</v>
      </c>
      <c r="B27" s="74" t="s">
        <v>678</v>
      </c>
      <c r="C27" s="74" t="s">
        <v>256</v>
      </c>
      <c r="D27" s="770">
        <f>IF($B$3="Acumulado",SUMIF(TBL_Ventas[Producto],B27,TBL_Ventas[Uds]),IF($B$3="Semanal",IF($E$3="Todos",SUMIF(TBL_Ventas[Producto],B27,TBL_Ventas[Uds]),SUMIFS(TBL_Ventas[Uds],TBL_Ventas[Producto],B27,TBL_Ventas[Semana],$E$3)),IF($E$3="Todos",SUMIF(TBL_Ventas[Producto],B27,TBL_Ventas[Uds]),SUMIFS(TBL_Ventas[Uds],TBL_Ventas[Producto],B27,TBL_Ventas[Mes],$E$3))))</f>
        <v>24</v>
      </c>
      <c r="E27" s="771">
        <f>IF($B$3="Acumulado",SUMIF(TBL_Ventas[Producto],B27,TBL_Ventas[Importe]),IF($B$3="Semanal",IF($E$3="Todos",SUMIF(TBL_Ventas[Producto],B27,TBL_Ventas[Importe]),SUMIFS(TBL_Ventas[Importe],TBL_Ventas[Producto],B27,TBL_Ventas[Semana],$E$3)),IF($E$3="Todos",SUMIF(TBL_Ventas[Producto],B27,TBL_Ventas[Importe]),SUMIFS(TBL_Ventas[Importe],TBL_Ventas[Producto],B27,TBL_Ventas[Mes],$E$3))))</f>
        <v>149.66</v>
      </c>
      <c r="F27" s="760">
        <f t="shared" si="1"/>
        <v>1.3143483023001095E-2</v>
      </c>
      <c r="G27" s="760">
        <f t="shared" si="2"/>
        <v>1.9705095069249601E-2</v>
      </c>
      <c r="H27" s="771">
        <f t="shared" si="3"/>
        <v>6.2358333333333329</v>
      </c>
      <c r="I27" s="772">
        <f t="shared" si="4"/>
        <v>37.44</v>
      </c>
      <c r="J27" s="765">
        <f>IFERROR(VLOOKUP(B27,BD_Datos!$M$1:$N$1014,2,FALSE),0)</f>
        <v>1.56</v>
      </c>
      <c r="K27" s="773">
        <f t="shared" si="5"/>
        <v>112.22</v>
      </c>
      <c r="L27" s="772">
        <f t="shared" si="6"/>
        <v>0.74983295469731392</v>
      </c>
      <c r="M27" s="313">
        <f t="shared" si="7"/>
        <v>0.25016704530268608</v>
      </c>
      <c r="N27" s="313">
        <f t="shared" si="8"/>
        <v>2.4730827663650173E-2</v>
      </c>
      <c r="O27" s="314">
        <f t="shared" si="9"/>
        <v>4.6758333333333333</v>
      </c>
      <c r="P27" s="313">
        <f t="shared" si="10"/>
        <v>1.8453928489793759E-2</v>
      </c>
      <c r="Q27" s="313">
        <f>SUM(F$6:F27)</f>
        <v>0.48849945235487408</v>
      </c>
      <c r="R27" s="313">
        <f>SUM(P$6:P27)</f>
        <v>0.33412430995101189</v>
      </c>
      <c r="S27" s="74"/>
      <c r="T27" s="74" t="s">
        <v>1541</v>
      </c>
      <c r="U27" s="74"/>
      <c r="V27" s="74"/>
      <c r="W27" s="74" t="str">
        <f t="shared" si="0"/>
        <v>S26</v>
      </c>
    </row>
    <row r="28" spans="1:23" hidden="1">
      <c r="A28" s="765">
        <v>23</v>
      </c>
      <c r="B28" s="765" t="s">
        <v>687</v>
      </c>
      <c r="C28" s="765" t="s">
        <v>253</v>
      </c>
      <c r="D28" s="766">
        <f>IF($B$3="Acumulado",SUMIF(TBL_Ventas[Producto],B28,TBL_Ventas[Uds]),IF($B$3="Semanal",IF($E$3="Todos",SUMIF(TBL_Ventas[Producto],B28,TBL_Ventas[Uds]),SUMIFS(TBL_Ventas[Uds],TBL_Ventas[Producto],B28,TBL_Ventas[Semana],$E$3)),IF($E$3="Todos",SUMIF(TBL_Ventas[Producto],B28,TBL_Ventas[Uds]),SUMIFS(TBL_Ventas[Uds],TBL_Ventas[Producto],B28,TBL_Ventas[Mes],$E$3))))</f>
        <v>16</v>
      </c>
      <c r="E28" s="767">
        <f>IF($B$3="Acumulado",SUMIF(TBL_Ventas[Producto],B28,TBL_Ventas[Importe]),IF($B$3="Semanal",IF($E$3="Todos",SUMIF(TBL_Ventas[Producto],B28,TBL_Ventas[Importe]),SUMIFS(TBL_Ventas[Importe],TBL_Ventas[Producto],B28,TBL_Ventas[Semana],$E$3)),IF($E$3="Todos",SUMIF(TBL_Ventas[Producto],B28,TBL_Ventas[Importe]),SUMIFS(TBL_Ventas[Importe],TBL_Ventas[Producto],B28,TBL_Ventas[Mes],$E$3))))</f>
        <v>46.65</v>
      </c>
      <c r="F28" s="768">
        <f t="shared" si="1"/>
        <v>8.7623220153340634E-3</v>
      </c>
      <c r="G28" s="768">
        <f t="shared" si="2"/>
        <v>6.1422069021815715E-3</v>
      </c>
      <c r="H28" s="767">
        <f t="shared" si="3"/>
        <v>2.9156249999999999</v>
      </c>
      <c r="I28" s="765">
        <f t="shared" si="4"/>
        <v>9.2799999999999994</v>
      </c>
      <c r="J28" s="765">
        <f>IFERROR(VLOOKUP(B28,BD_Datos!$M$1:$N$1014,2,FALSE),0)</f>
        <v>0.57999999999999996</v>
      </c>
      <c r="K28" s="769">
        <f t="shared" si="5"/>
        <v>37.369999999999997</v>
      </c>
      <c r="L28" s="765">
        <f t="shared" si="6"/>
        <v>0.80107181136120043</v>
      </c>
      <c r="M28" s="313">
        <f t="shared" si="7"/>
        <v>0.19892818863879957</v>
      </c>
      <c r="N28" s="313">
        <f t="shared" si="8"/>
        <v>6.1298632670585898E-3</v>
      </c>
      <c r="O28" s="314">
        <f t="shared" si="9"/>
        <v>2.3356249999999998</v>
      </c>
      <c r="P28" s="313">
        <f t="shared" si="10"/>
        <v>6.1452798758117331E-3</v>
      </c>
      <c r="Q28" s="313">
        <f>SUM(F$6:F28)</f>
        <v>0.49726177437020813</v>
      </c>
      <c r="R28" s="313">
        <f>SUM(P$6:P28)</f>
        <v>0.34026958982682365</v>
      </c>
      <c r="S28" s="74"/>
      <c r="T28" s="74" t="s">
        <v>1543</v>
      </c>
      <c r="U28" s="74"/>
      <c r="V28" s="74"/>
      <c r="W28" s="74" t="str">
        <f t="shared" si="0"/>
        <v>S27</v>
      </c>
    </row>
    <row r="29" spans="1:23" hidden="1">
      <c r="A29" s="74">
        <v>24</v>
      </c>
      <c r="B29" s="74" t="s">
        <v>899</v>
      </c>
      <c r="C29" s="74" t="s">
        <v>862</v>
      </c>
      <c r="D29" s="770">
        <f>IF($B$3="Acumulado",SUMIF(TBL_Ventas[Producto],B29,TBL_Ventas[Uds]),IF($B$3="Semanal",IF($E$3="Todos",SUMIF(TBL_Ventas[Producto],B29,TBL_Ventas[Uds]),SUMIFS(TBL_Ventas[Uds],TBL_Ventas[Producto],B29,TBL_Ventas[Semana],$E$3)),IF($E$3="Todos",SUMIF(TBL_Ventas[Producto],B29,TBL_Ventas[Uds]),SUMIFS(TBL_Ventas[Uds],TBL_Ventas[Producto],B29,TBL_Ventas[Mes],$E$3))))</f>
        <v>22</v>
      </c>
      <c r="E29" s="771">
        <f>IF($B$3="Acumulado",SUMIF(TBL_Ventas[Producto],B29,TBL_Ventas[Importe]),IF($B$3="Semanal",IF($E$3="Todos",SUMIF(TBL_Ventas[Producto],B29,TBL_Ventas[Importe]),SUMIFS(TBL_Ventas[Importe],TBL_Ventas[Producto],B29,TBL_Ventas[Semana],$E$3)),IF($E$3="Todos",SUMIF(TBL_Ventas[Producto],B29,TBL_Ventas[Importe]),SUMIFS(TBL_Ventas[Importe],TBL_Ventas[Producto],B29,TBL_Ventas[Mes],$E$3))))</f>
        <v>1.1000000000000001</v>
      </c>
      <c r="F29" s="760">
        <f t="shared" si="1"/>
        <v>1.2048192771084338E-2</v>
      </c>
      <c r="G29" s="760">
        <f t="shared" si="2"/>
        <v>1.4483231709324179E-4</v>
      </c>
      <c r="H29" s="771">
        <f t="shared" si="3"/>
        <v>0.05</v>
      </c>
      <c r="I29" s="772">
        <f t="shared" si="4"/>
        <v>0</v>
      </c>
      <c r="J29" s="765">
        <f>IFERROR(VLOOKUP(B29,BD_Datos!$M$1:$N$1014,2,FALSE),0)</f>
        <v>0</v>
      </c>
      <c r="K29" s="773">
        <f t="shared" si="5"/>
        <v>1.1000000000000001</v>
      </c>
      <c r="L29" s="772">
        <f t="shared" si="6"/>
        <v>1</v>
      </c>
      <c r="M29" s="313">
        <f t="shared" si="7"/>
        <v>0</v>
      </c>
      <c r="N29" s="313">
        <f t="shared" si="8"/>
        <v>0</v>
      </c>
      <c r="O29" s="314">
        <f t="shared" si="9"/>
        <v>0.05</v>
      </c>
      <c r="P29" s="313">
        <f t="shared" si="10"/>
        <v>1.8088862358557419E-4</v>
      </c>
      <c r="Q29" s="313">
        <f>SUM(F$6:F29)</f>
        <v>0.50930996714129251</v>
      </c>
      <c r="R29" s="313">
        <f>SUM(P$6:P29)</f>
        <v>0.34045047845040921</v>
      </c>
      <c r="S29" s="74"/>
      <c r="T29" s="74" t="s">
        <v>1544</v>
      </c>
      <c r="U29" s="74"/>
      <c r="V29" s="74"/>
      <c r="W29" s="74" t="str">
        <f t="shared" si="0"/>
        <v>S28</v>
      </c>
    </row>
    <row r="30" spans="1:23" hidden="1">
      <c r="A30" s="765">
        <v>25</v>
      </c>
      <c r="B30" s="765" t="s">
        <v>790</v>
      </c>
      <c r="C30" s="765" t="s">
        <v>264</v>
      </c>
      <c r="D30" s="766">
        <f>IF($B$3="Acumulado",SUMIF(TBL_Ventas[Producto],B30,TBL_Ventas[Uds]),IF($B$3="Semanal",IF($E$3="Todos",SUMIF(TBL_Ventas[Producto],B30,TBL_Ventas[Uds]),SUMIFS(TBL_Ventas[Uds],TBL_Ventas[Producto],B30,TBL_Ventas[Semana],$E$3)),IF($E$3="Todos",SUMIF(TBL_Ventas[Producto],B30,TBL_Ventas[Uds]),SUMIFS(TBL_Ventas[Uds],TBL_Ventas[Producto],B30,TBL_Ventas[Mes],$E$3))))</f>
        <v>0</v>
      </c>
      <c r="E30" s="767">
        <f>IF($B$3="Acumulado",SUMIF(TBL_Ventas[Producto],B30,TBL_Ventas[Importe]),IF($B$3="Semanal",IF($E$3="Todos",SUMIF(TBL_Ventas[Producto],B30,TBL_Ventas[Importe]),SUMIFS(TBL_Ventas[Importe],TBL_Ventas[Producto],B30,TBL_Ventas[Semana],$E$3)),IF($E$3="Todos",SUMIF(TBL_Ventas[Producto],B30,TBL_Ventas[Importe]),SUMIFS(TBL_Ventas[Importe],TBL_Ventas[Producto],B30,TBL_Ventas[Mes],$E$3))))</f>
        <v>0</v>
      </c>
      <c r="F30" s="768">
        <f t="shared" si="1"/>
        <v>0</v>
      </c>
      <c r="G30" s="768">
        <f t="shared" si="2"/>
        <v>0</v>
      </c>
      <c r="H30" s="767">
        <f t="shared" si="3"/>
        <v>0</v>
      </c>
      <c r="I30" s="765">
        <f t="shared" si="4"/>
        <v>0</v>
      </c>
      <c r="J30" s="765">
        <f>IFERROR(VLOOKUP(B30,BD_Datos!$M$1:$N$1014,2,FALSE),0)</f>
        <v>0</v>
      </c>
      <c r="K30" s="769">
        <f t="shared" si="5"/>
        <v>0</v>
      </c>
      <c r="L30" s="765">
        <f t="shared" si="6"/>
        <v>0</v>
      </c>
      <c r="M30" s="313">
        <f t="shared" si="7"/>
        <v>0</v>
      </c>
      <c r="N30" s="313">
        <f t="shared" si="8"/>
        <v>0</v>
      </c>
      <c r="O30" s="314">
        <f t="shared" si="9"/>
        <v>0</v>
      </c>
      <c r="P30" s="313">
        <f t="shared" si="10"/>
        <v>0</v>
      </c>
      <c r="Q30" s="313">
        <f>SUM(F$6:F30)</f>
        <v>0.50930996714129251</v>
      </c>
      <c r="R30" s="313">
        <f>SUM(P$6:P30)</f>
        <v>0.34045047845040921</v>
      </c>
      <c r="S30" s="74"/>
      <c r="T30" s="74" t="s">
        <v>1605</v>
      </c>
      <c r="U30" s="74"/>
      <c r="V30" s="74"/>
      <c r="W30" s="74" t="str">
        <f t="shared" si="0"/>
        <v>S29</v>
      </c>
    </row>
    <row r="31" spans="1:23" hidden="1">
      <c r="A31" s="74">
        <v>26</v>
      </c>
      <c r="B31" s="74" t="s">
        <v>869</v>
      </c>
      <c r="C31" s="74" t="s">
        <v>253</v>
      </c>
      <c r="D31" s="770">
        <f>IF($B$3="Acumulado",SUMIF(TBL_Ventas[Producto],B31,TBL_Ventas[Uds]),IF($B$3="Semanal",IF($E$3="Todos",SUMIF(TBL_Ventas[Producto],B31,TBL_Ventas[Uds]),SUMIFS(TBL_Ventas[Uds],TBL_Ventas[Producto],B31,TBL_Ventas[Semana],$E$3)),IF($E$3="Todos",SUMIF(TBL_Ventas[Producto],B31,TBL_Ventas[Uds]),SUMIFS(TBL_Ventas[Uds],TBL_Ventas[Producto],B31,TBL_Ventas[Mes],$E$3))))</f>
        <v>0</v>
      </c>
      <c r="E31" s="771">
        <f>IF($B$3="Acumulado",SUMIF(TBL_Ventas[Producto],B31,TBL_Ventas[Importe]),IF($B$3="Semanal",IF($E$3="Todos",SUMIF(TBL_Ventas[Producto],B31,TBL_Ventas[Importe]),SUMIFS(TBL_Ventas[Importe],TBL_Ventas[Producto],B31,TBL_Ventas[Semana],$E$3)),IF($E$3="Todos",SUMIF(TBL_Ventas[Producto],B31,TBL_Ventas[Importe]),SUMIFS(TBL_Ventas[Importe],TBL_Ventas[Producto],B31,TBL_Ventas[Mes],$E$3))))</f>
        <v>0</v>
      </c>
      <c r="F31" s="760">
        <f t="shared" si="1"/>
        <v>0</v>
      </c>
      <c r="G31" s="760">
        <f t="shared" si="2"/>
        <v>0</v>
      </c>
      <c r="H31" s="771">
        <f t="shared" si="3"/>
        <v>0</v>
      </c>
      <c r="I31" s="772">
        <f t="shared" si="4"/>
        <v>0</v>
      </c>
      <c r="J31" s="765">
        <f>IFERROR(VLOOKUP(B31,BD_Datos!$M$1:$N$1014,2,FALSE),0)</f>
        <v>0</v>
      </c>
      <c r="K31" s="773">
        <f t="shared" si="5"/>
        <v>0</v>
      </c>
      <c r="L31" s="772">
        <f t="shared" si="6"/>
        <v>0</v>
      </c>
      <c r="M31" s="313">
        <f t="shared" si="7"/>
        <v>0</v>
      </c>
      <c r="N31" s="313">
        <f t="shared" si="8"/>
        <v>0</v>
      </c>
      <c r="O31" s="314">
        <f t="shared" si="9"/>
        <v>0</v>
      </c>
      <c r="P31" s="313">
        <f t="shared" si="10"/>
        <v>0</v>
      </c>
      <c r="Q31" s="313">
        <f>SUM(F$6:F31)</f>
        <v>0.50930996714129251</v>
      </c>
      <c r="R31" s="313">
        <f>SUM(P$6:P31)</f>
        <v>0.34045047845040921</v>
      </c>
      <c r="S31" s="74"/>
      <c r="T31" s="74" t="s">
        <v>1561</v>
      </c>
      <c r="U31" s="74"/>
      <c r="V31" s="74"/>
      <c r="W31" s="74" t="str">
        <f t="shared" si="0"/>
        <v>S30</v>
      </c>
    </row>
    <row r="32" spans="1:23" hidden="1">
      <c r="A32" s="765">
        <v>27</v>
      </c>
      <c r="B32" s="765" t="s">
        <v>682</v>
      </c>
      <c r="C32" s="765" t="s">
        <v>275</v>
      </c>
      <c r="D32" s="766">
        <f>IF($B$3="Acumulado",SUMIF(TBL_Ventas[Producto],B32,TBL_Ventas[Uds]),IF($B$3="Semanal",IF($E$3="Todos",SUMIF(TBL_Ventas[Producto],B32,TBL_Ventas[Uds]),SUMIFS(TBL_Ventas[Uds],TBL_Ventas[Producto],B32,TBL_Ventas[Semana],$E$3)),IF($E$3="Todos",SUMIF(TBL_Ventas[Producto],B32,TBL_Ventas[Uds]),SUMIFS(TBL_Ventas[Uds],TBL_Ventas[Producto],B32,TBL_Ventas[Mes],$E$3))))</f>
        <v>10</v>
      </c>
      <c r="E32" s="767">
        <f>IF($B$3="Acumulado",SUMIF(TBL_Ventas[Producto],B32,TBL_Ventas[Importe]),IF($B$3="Semanal",IF($E$3="Todos",SUMIF(TBL_Ventas[Producto],B32,TBL_Ventas[Importe]),SUMIFS(TBL_Ventas[Importe],TBL_Ventas[Producto],B32,TBL_Ventas[Semana],$E$3)),IF($E$3="Todos",SUMIF(TBL_Ventas[Producto],B32,TBL_Ventas[Importe]),SUMIFS(TBL_Ventas[Importe],TBL_Ventas[Producto],B32,TBL_Ventas[Mes],$E$3))))</f>
        <v>53.86</v>
      </c>
      <c r="F32" s="768">
        <f t="shared" si="1"/>
        <v>5.4764512595837896E-3</v>
      </c>
      <c r="G32" s="768">
        <f t="shared" si="2"/>
        <v>7.0915169078563647E-3</v>
      </c>
      <c r="H32" s="767">
        <f t="shared" si="3"/>
        <v>5.3860000000000001</v>
      </c>
      <c r="I32" s="765">
        <f t="shared" si="4"/>
        <v>8.1000000000000014</v>
      </c>
      <c r="J32" s="765">
        <f>IFERROR(VLOOKUP(B32,BD_Datos!$M$1:$N$1014,2,FALSE),0)</f>
        <v>0.81</v>
      </c>
      <c r="K32" s="769">
        <f t="shared" si="5"/>
        <v>45.76</v>
      </c>
      <c r="L32" s="765">
        <f t="shared" si="6"/>
        <v>0.84961010025993311</v>
      </c>
      <c r="M32" s="313">
        <f t="shared" si="7"/>
        <v>0.15038989974006686</v>
      </c>
      <c r="N32" s="313">
        <f t="shared" si="8"/>
        <v>5.3504194464627786E-3</v>
      </c>
      <c r="O32" s="314">
        <f t="shared" si="9"/>
        <v>4.5759999999999996</v>
      </c>
      <c r="P32" s="313">
        <f t="shared" si="10"/>
        <v>7.5249667411598853E-3</v>
      </c>
      <c r="Q32" s="313">
        <f>SUM(F$6:F32)</f>
        <v>0.51478641840087624</v>
      </c>
      <c r="R32" s="313">
        <f>SUM(P$6:P32)</f>
        <v>0.34797544519156909</v>
      </c>
      <c r="S32" s="74"/>
      <c r="T32" s="74" t="s">
        <v>1608</v>
      </c>
      <c r="U32" s="74"/>
      <c r="V32" s="74"/>
      <c r="W32" s="74" t="str">
        <f t="shared" si="0"/>
        <v>S31</v>
      </c>
    </row>
    <row r="33" spans="1:23" hidden="1">
      <c r="A33" s="74">
        <v>28</v>
      </c>
      <c r="B33" s="74" t="s">
        <v>742</v>
      </c>
      <c r="C33" s="74" t="s">
        <v>251</v>
      </c>
      <c r="D33" s="770">
        <f>IF($B$3="Acumulado",SUMIF(TBL_Ventas[Producto],B33,TBL_Ventas[Uds]),IF($B$3="Semanal",IF($E$3="Todos",SUMIF(TBL_Ventas[Producto],B33,TBL_Ventas[Uds]),SUMIFS(TBL_Ventas[Uds],TBL_Ventas[Producto],B33,TBL_Ventas[Semana],$E$3)),IF($E$3="Todos",SUMIF(TBL_Ventas[Producto],B33,TBL_Ventas[Uds]),SUMIFS(TBL_Ventas[Uds],TBL_Ventas[Producto],B33,TBL_Ventas[Mes],$E$3))))</f>
        <v>7</v>
      </c>
      <c r="E33" s="771">
        <f>IF($B$3="Acumulado",SUMIF(TBL_Ventas[Producto],B33,TBL_Ventas[Importe]),IF($B$3="Semanal",IF($E$3="Todos",SUMIF(TBL_Ventas[Producto],B33,TBL_Ventas[Importe]),SUMIFS(TBL_Ventas[Importe],TBL_Ventas[Producto],B33,TBL_Ventas[Semana],$E$3)),IF($E$3="Todos",SUMIF(TBL_Ventas[Producto],B33,TBL_Ventas[Importe]),SUMIFS(TBL_Ventas[Importe],TBL_Ventas[Producto],B33,TBL_Ventas[Mes],$E$3))))</f>
        <v>19</v>
      </c>
      <c r="F33" s="760">
        <f t="shared" si="1"/>
        <v>3.8335158817086527E-3</v>
      </c>
      <c r="G33" s="760">
        <f t="shared" si="2"/>
        <v>2.5016491134287216E-3</v>
      </c>
      <c r="H33" s="771">
        <f t="shared" si="3"/>
        <v>2.7142857142857144</v>
      </c>
      <c r="I33" s="772">
        <f t="shared" si="4"/>
        <v>2.31</v>
      </c>
      <c r="J33" s="765">
        <f>IFERROR(VLOOKUP(B33,BD_Datos!$M$1:$N$1014,2,FALSE),0)</f>
        <v>0.33</v>
      </c>
      <c r="K33" s="773">
        <f t="shared" si="5"/>
        <v>16.690000000000001</v>
      </c>
      <c r="L33" s="772">
        <f t="shared" si="6"/>
        <v>0.87842105263157899</v>
      </c>
      <c r="M33" s="313">
        <f t="shared" si="7"/>
        <v>0.12157894736842105</v>
      </c>
      <c r="N33" s="313">
        <f t="shared" si="8"/>
        <v>1.5258603606579035E-3</v>
      </c>
      <c r="O33" s="314">
        <f t="shared" si="9"/>
        <v>2.3842857142857143</v>
      </c>
      <c r="P33" s="313">
        <f t="shared" si="10"/>
        <v>2.7445737524029396E-3</v>
      </c>
      <c r="Q33" s="313">
        <f>SUM(F$6:F33)</f>
        <v>0.5186199342825849</v>
      </c>
      <c r="R33" s="313">
        <f>SUM(P$6:P33)</f>
        <v>0.35072001894397203</v>
      </c>
      <c r="S33" s="74"/>
      <c r="T33" s="74" t="s">
        <v>1610</v>
      </c>
      <c r="U33" s="74"/>
      <c r="V33" s="74"/>
      <c r="W33" s="74" t="str">
        <f t="shared" si="0"/>
        <v>S32</v>
      </c>
    </row>
    <row r="34" spans="1:23" hidden="1">
      <c r="A34" s="765">
        <v>29</v>
      </c>
      <c r="B34" s="765" t="s">
        <v>859</v>
      </c>
      <c r="C34" s="765" t="s">
        <v>268</v>
      </c>
      <c r="D34" s="766">
        <f>IF($B$3="Acumulado",SUMIF(TBL_Ventas[Producto],B34,TBL_Ventas[Uds]),IF($B$3="Semanal",IF($E$3="Todos",SUMIF(TBL_Ventas[Producto],B34,TBL_Ventas[Uds]),SUMIFS(TBL_Ventas[Uds],TBL_Ventas[Producto],B34,TBL_Ventas[Semana],$E$3)),IF($E$3="Todos",SUMIF(TBL_Ventas[Producto],B34,TBL_Ventas[Uds]),SUMIFS(TBL_Ventas[Uds],TBL_Ventas[Producto],B34,TBL_Ventas[Mes],$E$3))))</f>
        <v>8</v>
      </c>
      <c r="E34" s="767">
        <f>IF($B$3="Acumulado",SUMIF(TBL_Ventas[Producto],B34,TBL_Ventas[Importe]),IF($B$3="Semanal",IF($E$3="Todos",SUMIF(TBL_Ventas[Producto],B34,TBL_Ventas[Importe]),SUMIFS(TBL_Ventas[Importe],TBL_Ventas[Producto],B34,TBL_Ventas[Semana],$E$3)),IF($E$3="Todos",SUMIF(TBL_Ventas[Producto],B34,TBL_Ventas[Importe]),SUMIFS(TBL_Ventas[Importe],TBL_Ventas[Producto],B34,TBL_Ventas[Mes],$E$3))))</f>
        <v>5.6</v>
      </c>
      <c r="F34" s="768">
        <f t="shared" si="1"/>
        <v>4.3811610076670317E-3</v>
      </c>
      <c r="G34" s="768">
        <f t="shared" si="2"/>
        <v>7.3732815974741255E-4</v>
      </c>
      <c r="H34" s="767">
        <f t="shared" si="3"/>
        <v>0.7</v>
      </c>
      <c r="I34" s="765">
        <f t="shared" si="4"/>
        <v>0.96</v>
      </c>
      <c r="J34" s="765">
        <f>IFERROR(VLOOKUP(B34,BD_Datos!$M$1:$N$1014,2,FALSE),0)</f>
        <v>0.12</v>
      </c>
      <c r="K34" s="769">
        <f t="shared" si="5"/>
        <v>4.6399999999999997</v>
      </c>
      <c r="L34" s="765">
        <f t="shared" si="6"/>
        <v>0.82857142857142851</v>
      </c>
      <c r="M34" s="313">
        <f t="shared" si="7"/>
        <v>0.17142857142857143</v>
      </c>
      <c r="N34" s="313">
        <f t="shared" si="8"/>
        <v>6.3412378624744031E-4</v>
      </c>
      <c r="O34" s="314">
        <f t="shared" si="9"/>
        <v>0.57999999999999996</v>
      </c>
      <c r="P34" s="313">
        <f t="shared" si="10"/>
        <v>7.6302110312460381E-4</v>
      </c>
      <c r="Q34" s="313">
        <f>SUM(F$6:F34)</f>
        <v>0.52300109529025196</v>
      </c>
      <c r="R34" s="313">
        <f>SUM(P$6:P34)</f>
        <v>0.35148304004709663</v>
      </c>
      <c r="S34" s="74"/>
      <c r="T34" s="74" t="s">
        <v>1546</v>
      </c>
      <c r="U34" s="74"/>
      <c r="V34" s="74"/>
      <c r="W34" s="74" t="str">
        <f t="shared" ref="W34:W53" si="11">IF($B$3="Semanal",IF(T34&lt;&gt;"",T34,""),IF($B$3="Mensual",IF(U34&lt;&gt;"",U34,""),""))</f>
        <v>S33</v>
      </c>
    </row>
    <row r="35" spans="1:23" hidden="1">
      <c r="A35" s="74">
        <v>30</v>
      </c>
      <c r="B35" s="74" t="s">
        <v>860</v>
      </c>
      <c r="C35" s="74" t="s">
        <v>268</v>
      </c>
      <c r="D35" s="770">
        <f>IF($B$3="Acumulado",SUMIF(TBL_Ventas[Producto],B35,TBL_Ventas[Uds]),IF($B$3="Semanal",IF($E$3="Todos",SUMIF(TBL_Ventas[Producto],B35,TBL_Ventas[Uds]),SUMIFS(TBL_Ventas[Uds],TBL_Ventas[Producto],B35,TBL_Ventas[Semana],$E$3)),IF($E$3="Todos",SUMIF(TBL_Ventas[Producto],B35,TBL_Ventas[Uds]),SUMIFS(TBL_Ventas[Uds],TBL_Ventas[Producto],B35,TBL_Ventas[Mes],$E$3))))</f>
        <v>6</v>
      </c>
      <c r="E35" s="771">
        <f>IF($B$3="Acumulado",SUMIF(TBL_Ventas[Producto],B35,TBL_Ventas[Importe]),IF($B$3="Semanal",IF($E$3="Todos",SUMIF(TBL_Ventas[Producto],B35,TBL_Ventas[Importe]),SUMIFS(TBL_Ventas[Importe],TBL_Ventas[Producto],B35,TBL_Ventas[Semana],$E$3)),IF($E$3="Todos",SUMIF(TBL_Ventas[Producto],B35,TBL_Ventas[Importe]),SUMIFS(TBL_Ventas[Importe],TBL_Ventas[Producto],B35,TBL_Ventas[Mes],$E$3))))</f>
        <v>12</v>
      </c>
      <c r="F35" s="760">
        <f t="shared" si="1"/>
        <v>3.2858707557502738E-3</v>
      </c>
      <c r="G35" s="760">
        <f t="shared" si="2"/>
        <v>1.5799889137444556E-3</v>
      </c>
      <c r="H35" s="771">
        <f t="shared" si="3"/>
        <v>2</v>
      </c>
      <c r="I35" s="772">
        <f t="shared" si="4"/>
        <v>2.2199999999999998</v>
      </c>
      <c r="J35" s="765">
        <f>IFERROR(VLOOKUP(B35,BD_Datos!$M$1:$N$1014,2,FALSE),0)</f>
        <v>0.37</v>
      </c>
      <c r="K35" s="773">
        <f t="shared" si="5"/>
        <v>9.7800000000000011</v>
      </c>
      <c r="L35" s="772">
        <f t="shared" si="6"/>
        <v>0.81500000000000006</v>
      </c>
      <c r="M35" s="313">
        <f t="shared" si="7"/>
        <v>0.18499999999999997</v>
      </c>
      <c r="N35" s="313">
        <f t="shared" si="8"/>
        <v>1.4664112556972057E-3</v>
      </c>
      <c r="O35" s="314">
        <f t="shared" si="9"/>
        <v>1.6300000000000001</v>
      </c>
      <c r="P35" s="313">
        <f t="shared" si="10"/>
        <v>1.6082643078790143E-3</v>
      </c>
      <c r="Q35" s="313">
        <f>SUM(F$6:F35)</f>
        <v>0.52628696604600222</v>
      </c>
      <c r="R35" s="313">
        <f>SUM(P$6:P35)</f>
        <v>0.35309130435497565</v>
      </c>
      <c r="S35" s="74"/>
      <c r="T35" s="74" t="s">
        <v>1547</v>
      </c>
      <c r="U35" s="74"/>
      <c r="V35" s="74"/>
      <c r="W35" s="74" t="str">
        <f t="shared" si="11"/>
        <v>S34</v>
      </c>
    </row>
    <row r="36" spans="1:23" hidden="1">
      <c r="A36" s="765">
        <v>31</v>
      </c>
      <c r="B36" s="765" t="s">
        <v>1264</v>
      </c>
      <c r="C36" s="765" t="s">
        <v>253</v>
      </c>
      <c r="D36" s="766">
        <f>IF($B$3="Acumulado",SUMIF(TBL_Ventas[Producto],B36,TBL_Ventas[Uds]),IF($B$3="Semanal",IF($E$3="Todos",SUMIF(TBL_Ventas[Producto],B36,TBL_Ventas[Uds]),SUMIFS(TBL_Ventas[Uds],TBL_Ventas[Producto],B36,TBL_Ventas[Semana],$E$3)),IF($E$3="Todos",SUMIF(TBL_Ventas[Producto],B36,TBL_Ventas[Uds]),SUMIFS(TBL_Ventas[Uds],TBL_Ventas[Producto],B36,TBL_Ventas[Mes],$E$3))))</f>
        <v>0</v>
      </c>
      <c r="E36" s="767">
        <f>IF($B$3="Acumulado",SUMIF(TBL_Ventas[Producto],B36,TBL_Ventas[Importe]),IF($B$3="Semanal",IF($E$3="Todos",SUMIF(TBL_Ventas[Producto],B36,TBL_Ventas[Importe]),SUMIFS(TBL_Ventas[Importe],TBL_Ventas[Producto],B36,TBL_Ventas[Semana],$E$3)),IF($E$3="Todos",SUMIF(TBL_Ventas[Producto],B36,TBL_Ventas[Importe]),SUMIFS(TBL_Ventas[Importe],TBL_Ventas[Producto],B36,TBL_Ventas[Mes],$E$3))))</f>
        <v>0</v>
      </c>
      <c r="F36" s="768">
        <f t="shared" si="1"/>
        <v>0</v>
      </c>
      <c r="G36" s="768">
        <f t="shared" si="2"/>
        <v>0</v>
      </c>
      <c r="H36" s="767">
        <f t="shared" si="3"/>
        <v>0</v>
      </c>
      <c r="I36" s="765">
        <f t="shared" si="4"/>
        <v>0</v>
      </c>
      <c r="J36" s="765">
        <f>IFERROR(VLOOKUP(B36,BD_Datos!$M$1:$N$1014,2,FALSE),0)</f>
        <v>0.8</v>
      </c>
      <c r="K36" s="769">
        <f t="shared" si="5"/>
        <v>0</v>
      </c>
      <c r="L36" s="765">
        <f t="shared" si="6"/>
        <v>0</v>
      </c>
      <c r="M36" s="313">
        <f t="shared" si="7"/>
        <v>0</v>
      </c>
      <c r="N36" s="313">
        <f t="shared" si="8"/>
        <v>0</v>
      </c>
      <c r="O36" s="314">
        <f t="shared" si="9"/>
        <v>0</v>
      </c>
      <c r="P36" s="313">
        <f t="shared" si="10"/>
        <v>0</v>
      </c>
      <c r="Q36" s="313">
        <f>SUM(F$6:F36)</f>
        <v>0.52628696604600222</v>
      </c>
      <c r="R36" s="313">
        <f>SUM(P$6:P36)</f>
        <v>0.35309130435497565</v>
      </c>
      <c r="S36" s="74"/>
      <c r="T36" s="74" t="s">
        <v>1582</v>
      </c>
      <c r="U36" s="74"/>
      <c r="V36" s="74"/>
      <c r="W36" s="74" t="str">
        <f t="shared" si="11"/>
        <v>S35</v>
      </c>
    </row>
    <row r="37" spans="1:23" hidden="1">
      <c r="A37" s="74">
        <v>32</v>
      </c>
      <c r="B37" s="74" t="s">
        <v>686</v>
      </c>
      <c r="C37" s="74" t="s">
        <v>274</v>
      </c>
      <c r="D37" s="770">
        <f>IF($B$3="Acumulado",SUMIF(TBL_Ventas[Producto],B37,TBL_Ventas[Uds]),IF($B$3="Semanal",IF($E$3="Todos",SUMIF(TBL_Ventas[Producto],B37,TBL_Ventas[Uds]),SUMIFS(TBL_Ventas[Uds],TBL_Ventas[Producto],B37,TBL_Ventas[Semana],$E$3)),IF($E$3="Todos",SUMIF(TBL_Ventas[Producto],B37,TBL_Ventas[Uds]),SUMIFS(TBL_Ventas[Uds],TBL_Ventas[Producto],B37,TBL_Ventas[Mes],$E$3))))</f>
        <v>24</v>
      </c>
      <c r="E37" s="771">
        <f>IF($B$3="Acumulado",SUMIF(TBL_Ventas[Producto],B37,TBL_Ventas[Importe]),IF($B$3="Semanal",IF($E$3="Todos",SUMIF(TBL_Ventas[Producto],B37,TBL_Ventas[Importe]),SUMIFS(TBL_Ventas[Importe],TBL_Ventas[Producto],B37,TBL_Ventas[Semana],$E$3)),IF($E$3="Todos",SUMIF(TBL_Ventas[Producto],B37,TBL_Ventas[Importe]),SUMIFS(TBL_Ventas[Importe],TBL_Ventas[Producto],B37,TBL_Ventas[Mes],$E$3))))</f>
        <v>347.22</v>
      </c>
      <c r="F37" s="760">
        <f t="shared" si="1"/>
        <v>1.3143483023001095E-2</v>
      </c>
      <c r="G37" s="760">
        <f t="shared" si="2"/>
        <v>4.5716979219195826E-2</v>
      </c>
      <c r="H37" s="771">
        <f t="shared" si="3"/>
        <v>14.467500000000001</v>
      </c>
      <c r="I37" s="772">
        <f t="shared" si="4"/>
        <v>84</v>
      </c>
      <c r="J37" s="765">
        <f>IFERROR(VLOOKUP(B37,BD_Datos!$M$1:$N$1014,2,FALSE),0)</f>
        <v>3.5</v>
      </c>
      <c r="K37" s="773">
        <f t="shared" si="5"/>
        <v>263.22000000000003</v>
      </c>
      <c r="L37" s="772">
        <f t="shared" si="6"/>
        <v>0.75807845170209087</v>
      </c>
      <c r="M37" s="313">
        <f t="shared" si="7"/>
        <v>0.2419215482979091</v>
      </c>
      <c r="N37" s="313">
        <f t="shared" si="8"/>
        <v>5.5485831296651029E-2</v>
      </c>
      <c r="O37" s="314">
        <f t="shared" si="9"/>
        <v>10.967500000000001</v>
      </c>
      <c r="P37" s="313">
        <f t="shared" si="10"/>
        <v>4.328500318199531E-2</v>
      </c>
      <c r="Q37" s="313">
        <f>SUM(F$6:F37)</f>
        <v>0.53943044906900328</v>
      </c>
      <c r="R37" s="313">
        <f>SUM(P$6:P37)</f>
        <v>0.39637630753697095</v>
      </c>
      <c r="S37" s="74"/>
      <c r="T37" s="74" t="s">
        <v>1522</v>
      </c>
      <c r="U37" s="74"/>
      <c r="V37" s="74"/>
      <c r="W37" s="74" t="str">
        <f t="shared" si="11"/>
        <v>S36</v>
      </c>
    </row>
    <row r="38" spans="1:23" hidden="1">
      <c r="A38" s="765">
        <v>33</v>
      </c>
      <c r="B38" s="765" t="s">
        <v>902</v>
      </c>
      <c r="C38" s="765" t="s">
        <v>247</v>
      </c>
      <c r="D38" s="766">
        <f>IF($B$3="Acumulado",SUMIF(TBL_Ventas[Producto],B38,TBL_Ventas[Uds]),IF($B$3="Semanal",IF($E$3="Todos",SUMIF(TBL_Ventas[Producto],B38,TBL_Ventas[Uds]),SUMIFS(TBL_Ventas[Uds],TBL_Ventas[Producto],B38,TBL_Ventas[Semana],$E$3)),IF($E$3="Todos",SUMIF(TBL_Ventas[Producto],B38,TBL_Ventas[Uds]),SUMIFS(TBL_Ventas[Uds],TBL_Ventas[Producto],B38,TBL_Ventas[Mes],$E$3))))</f>
        <v>5</v>
      </c>
      <c r="E38" s="767">
        <f>IF($B$3="Acumulado",SUMIF(TBL_Ventas[Producto],B38,TBL_Ventas[Importe]),IF($B$3="Semanal",IF($E$3="Todos",SUMIF(TBL_Ventas[Producto],B38,TBL_Ventas[Importe]),SUMIFS(TBL_Ventas[Importe],TBL_Ventas[Producto],B38,TBL_Ventas[Semana],$E$3)),IF($E$3="Todos",SUMIF(TBL_Ventas[Producto],B38,TBL_Ventas[Importe]),SUMIFS(TBL_Ventas[Importe],TBL_Ventas[Producto],B38,TBL_Ventas[Mes],$E$3))))</f>
        <v>9.65</v>
      </c>
      <c r="F38" s="768">
        <f t="shared" ref="F38:F69" si="12">IF(SUM(D$6:D$205)=0,0,D38/SUM(D$6:D$205))</f>
        <v>2.7382256297918948E-3</v>
      </c>
      <c r="G38" s="768">
        <f t="shared" ref="G38:G69" si="13">IF(SUM(E$6:E$205)=0,0,E38/SUM(E$6:E$205))</f>
        <v>1.2705744181361665E-3</v>
      </c>
      <c r="H38" s="767">
        <f t="shared" si="3"/>
        <v>1.9300000000000002</v>
      </c>
      <c r="I38" s="765">
        <f t="shared" ref="I38:I69" si="14">J38*D38</f>
        <v>1.55</v>
      </c>
      <c r="J38" s="765">
        <f>IFERROR(VLOOKUP(B38,BD_Datos!$M$1:$N$1014,2,FALSE),0)</f>
        <v>0.31</v>
      </c>
      <c r="K38" s="769">
        <f t="shared" ref="K38:K69" si="15">E38-I38</f>
        <v>8.1</v>
      </c>
      <c r="L38" s="765">
        <f t="shared" si="6"/>
        <v>0.8393782383419689</v>
      </c>
      <c r="M38" s="313">
        <f t="shared" si="7"/>
        <v>0.16062176165803108</v>
      </c>
      <c r="N38" s="313">
        <f t="shared" ref="N38:N69" si="16">IF(SUM(I$6:I$205)=0,0,I38/SUM(I$6:I$205))</f>
        <v>1.0238456965453464E-3</v>
      </c>
      <c r="O38" s="314">
        <f t="shared" si="9"/>
        <v>1.6199999999999999</v>
      </c>
      <c r="P38" s="313">
        <f t="shared" ref="P38:P69" si="17">IF(SUM(K$6:K$205)=0,0,K38/SUM(K$6:K$205))</f>
        <v>1.3319980464028644E-3</v>
      </c>
      <c r="Q38" s="313">
        <f>SUM(F$6:F38)</f>
        <v>0.54216867469879515</v>
      </c>
      <c r="R38" s="313">
        <f>SUM(P$6:P38)</f>
        <v>0.39770830558337383</v>
      </c>
      <c r="S38" s="74"/>
      <c r="T38" s="74" t="s">
        <v>1550</v>
      </c>
      <c r="U38" s="74"/>
      <c r="V38" s="74"/>
      <c r="W38" s="74" t="str">
        <f t="shared" si="11"/>
        <v>S37</v>
      </c>
    </row>
    <row r="39" spans="1:23" hidden="1">
      <c r="A39" s="74">
        <v>34</v>
      </c>
      <c r="B39" s="74" t="s">
        <v>680</v>
      </c>
      <c r="C39" s="74" t="s">
        <v>251</v>
      </c>
      <c r="D39" s="770">
        <f>IF($B$3="Acumulado",SUMIF(TBL_Ventas[Producto],B39,TBL_Ventas[Uds]),IF($B$3="Semanal",IF($E$3="Todos",SUMIF(TBL_Ventas[Producto],B39,TBL_Ventas[Uds]),SUMIFS(TBL_Ventas[Uds],TBL_Ventas[Producto],B39,TBL_Ventas[Semana],$E$3)),IF($E$3="Todos",SUMIF(TBL_Ventas[Producto],B39,TBL_Ventas[Uds]),SUMIFS(TBL_Ventas[Uds],TBL_Ventas[Producto],B39,TBL_Ventas[Mes],$E$3))))</f>
        <v>11</v>
      </c>
      <c r="E39" s="771">
        <f>IF($B$3="Acumulado",SUMIF(TBL_Ventas[Producto],B39,TBL_Ventas[Importe]),IF($B$3="Semanal",IF($E$3="Todos",SUMIF(TBL_Ventas[Producto],B39,TBL_Ventas[Importe]),SUMIFS(TBL_Ventas[Importe],TBL_Ventas[Producto],B39,TBL_Ventas[Semana],$E$3)),IF($E$3="Todos",SUMIF(TBL_Ventas[Producto],B39,TBL_Ventas[Importe]),SUMIFS(TBL_Ventas[Importe],TBL_Ventas[Producto],B39,TBL_Ventas[Mes],$E$3))))</f>
        <v>24.23</v>
      </c>
      <c r="F39" s="760">
        <f t="shared" si="12"/>
        <v>6.024096385542169E-3</v>
      </c>
      <c r="G39" s="760">
        <f t="shared" si="13"/>
        <v>3.1902609483356803E-3</v>
      </c>
      <c r="H39" s="771">
        <f t="shared" si="3"/>
        <v>2.2027272727272726</v>
      </c>
      <c r="I39" s="772">
        <f t="shared" si="14"/>
        <v>5.83</v>
      </c>
      <c r="J39" s="765">
        <f>IFERROR(VLOOKUP(B39,BD_Datos!$M$1:$N$1014,2,FALSE),0)</f>
        <v>0.53</v>
      </c>
      <c r="K39" s="773">
        <f t="shared" si="15"/>
        <v>18.399999999999999</v>
      </c>
      <c r="L39" s="772">
        <f t="shared" si="6"/>
        <v>0.75938918695831603</v>
      </c>
      <c r="M39" s="313">
        <f t="shared" si="7"/>
        <v>0.24061081304168386</v>
      </c>
      <c r="N39" s="313">
        <f t="shared" si="16"/>
        <v>3.8509809102318512E-3</v>
      </c>
      <c r="O39" s="314">
        <f t="shared" si="9"/>
        <v>1.6727272727272726</v>
      </c>
      <c r="P39" s="313">
        <f t="shared" si="17"/>
        <v>3.0257733399768772E-3</v>
      </c>
      <c r="Q39" s="313">
        <f>SUM(F$6:F39)</f>
        <v>0.54819277108433728</v>
      </c>
      <c r="R39" s="313">
        <f>SUM(P$6:P39)</f>
        <v>0.40073407892335072</v>
      </c>
      <c r="S39" s="74"/>
      <c r="T39" s="74" t="s">
        <v>1675</v>
      </c>
      <c r="U39" s="74"/>
      <c r="V39" s="74"/>
      <c r="W39" s="74" t="str">
        <f t="shared" si="11"/>
        <v>S38</v>
      </c>
    </row>
    <row r="40" spans="1:23" hidden="1">
      <c r="A40" s="765">
        <v>35</v>
      </c>
      <c r="B40" s="765" t="s">
        <v>675</v>
      </c>
      <c r="C40" s="765" t="s">
        <v>256</v>
      </c>
      <c r="D40" s="766">
        <f>IF($B$3="Acumulado",SUMIF(TBL_Ventas[Producto],B40,TBL_Ventas[Uds]),IF($B$3="Semanal",IF($E$3="Todos",SUMIF(TBL_Ventas[Producto],B40,TBL_Ventas[Uds]),SUMIFS(TBL_Ventas[Uds],TBL_Ventas[Producto],B40,TBL_Ventas[Semana],$E$3)),IF($E$3="Todos",SUMIF(TBL_Ventas[Producto],B40,TBL_Ventas[Uds]),SUMIFS(TBL_Ventas[Uds],TBL_Ventas[Producto],B40,TBL_Ventas[Mes],$E$3))))</f>
        <v>14</v>
      </c>
      <c r="E40" s="767">
        <f>IF($B$3="Acumulado",SUMIF(TBL_Ventas[Producto],B40,TBL_Ventas[Importe]),IF($B$3="Semanal",IF($E$3="Todos",SUMIF(TBL_Ventas[Producto],B40,TBL_Ventas[Importe]),SUMIFS(TBL_Ventas[Importe],TBL_Ventas[Producto],B40,TBL_Ventas[Semana],$E$3)),IF($E$3="Todos",SUMIF(TBL_Ventas[Producto],B40,TBL_Ventas[Importe]),SUMIFS(TBL_Ventas[Importe],TBL_Ventas[Producto],B40,TBL_Ventas[Mes],$E$3))))</f>
        <v>66.819999999999993</v>
      </c>
      <c r="F40" s="768">
        <f t="shared" si="12"/>
        <v>7.6670317634173054E-3</v>
      </c>
      <c r="G40" s="768">
        <f t="shared" si="13"/>
        <v>8.7979049347003766E-3</v>
      </c>
      <c r="H40" s="767">
        <f t="shared" si="3"/>
        <v>4.7728571428571422</v>
      </c>
      <c r="I40" s="765">
        <f t="shared" si="14"/>
        <v>9.5200000000000014</v>
      </c>
      <c r="J40" s="765">
        <f>IFERROR(VLOOKUP(B40,BD_Datos!$M$1:$N$1014,2,FALSE),0)</f>
        <v>0.68</v>
      </c>
      <c r="K40" s="769">
        <f t="shared" si="15"/>
        <v>57.29999999999999</v>
      </c>
      <c r="L40" s="765">
        <f t="shared" si="6"/>
        <v>0.85752768632146059</v>
      </c>
      <c r="M40" s="313">
        <f t="shared" si="7"/>
        <v>0.14247231367853938</v>
      </c>
      <c r="N40" s="313">
        <f t="shared" si="16"/>
        <v>6.2883942136204513E-3</v>
      </c>
      <c r="O40" s="314">
        <f t="shared" si="9"/>
        <v>4.0928571428571425</v>
      </c>
      <c r="P40" s="313">
        <f t="shared" si="17"/>
        <v>9.422652846775818E-3</v>
      </c>
      <c r="Q40" s="313">
        <f>SUM(F$6:F40)</f>
        <v>0.5558598028477546</v>
      </c>
      <c r="R40" s="313">
        <f>SUM(P$6:P40)</f>
        <v>0.41015673177012651</v>
      </c>
      <c r="S40" s="74"/>
      <c r="T40" s="74" t="s">
        <v>1524</v>
      </c>
      <c r="U40" s="74"/>
      <c r="V40" s="74"/>
      <c r="W40" s="74" t="str">
        <f t="shared" si="11"/>
        <v>S39</v>
      </c>
    </row>
    <row r="41" spans="1:23" hidden="1">
      <c r="A41" s="74">
        <v>36</v>
      </c>
      <c r="B41" s="74" t="s">
        <v>674</v>
      </c>
      <c r="C41" s="74" t="s">
        <v>275</v>
      </c>
      <c r="D41" s="770">
        <f>IF($B$3="Acumulado",SUMIF(TBL_Ventas[Producto],B41,TBL_Ventas[Uds]),IF($B$3="Semanal",IF($E$3="Todos",SUMIF(TBL_Ventas[Producto],B41,TBL_Ventas[Uds]),SUMIFS(TBL_Ventas[Uds],TBL_Ventas[Producto],B41,TBL_Ventas[Semana],$E$3)),IF($E$3="Todos",SUMIF(TBL_Ventas[Producto],B41,TBL_Ventas[Uds]),SUMIFS(TBL_Ventas[Uds],TBL_Ventas[Producto],B41,TBL_Ventas[Mes],$E$3))))</f>
        <v>17</v>
      </c>
      <c r="E41" s="771">
        <f>IF($B$3="Acumulado",SUMIF(TBL_Ventas[Producto],B41,TBL_Ventas[Importe]),IF($B$3="Semanal",IF($E$3="Todos",SUMIF(TBL_Ventas[Producto],B41,TBL_Ventas[Importe]),SUMIFS(TBL_Ventas[Importe],TBL_Ventas[Producto],B41,TBL_Ventas[Semana],$E$3)),IF($E$3="Todos",SUMIF(TBL_Ventas[Producto],B41,TBL_Ventas[Importe]),SUMIFS(TBL_Ventas[Importe],TBL_Ventas[Producto],B41,TBL_Ventas[Mes],$E$3))))</f>
        <v>83.64</v>
      </c>
      <c r="F41" s="760">
        <f t="shared" si="12"/>
        <v>9.3099671412924419E-3</v>
      </c>
      <c r="G41" s="760">
        <f t="shared" si="13"/>
        <v>1.1012522728798857E-2</v>
      </c>
      <c r="H41" s="771">
        <f t="shared" si="3"/>
        <v>4.92</v>
      </c>
      <c r="I41" s="772">
        <f t="shared" si="14"/>
        <v>13.09</v>
      </c>
      <c r="J41" s="765">
        <f>IFERROR(VLOOKUP(B41,BD_Datos!$M$1:$N$1014,2,FALSE),0)</f>
        <v>0.77</v>
      </c>
      <c r="K41" s="773">
        <f t="shared" si="15"/>
        <v>70.55</v>
      </c>
      <c r="L41" s="772">
        <f t="shared" si="6"/>
        <v>0.8434959349593496</v>
      </c>
      <c r="M41" s="313">
        <f t="shared" si="7"/>
        <v>0.1565040650406504</v>
      </c>
      <c r="N41" s="313">
        <f t="shared" si="16"/>
        <v>8.6465420437281185E-3</v>
      </c>
      <c r="O41" s="314">
        <f t="shared" si="9"/>
        <v>4.1499999999999995</v>
      </c>
      <c r="P41" s="313">
        <f t="shared" si="17"/>
        <v>1.160153853996569E-2</v>
      </c>
      <c r="Q41" s="313">
        <f>SUM(F$6:F41)</f>
        <v>0.565169769989047</v>
      </c>
      <c r="R41" s="313">
        <f>SUM(P$6:P41)</f>
        <v>0.42175827031009222</v>
      </c>
      <c r="S41" s="74"/>
      <c r="T41" s="74" t="s">
        <v>1584</v>
      </c>
      <c r="U41" s="74"/>
      <c r="V41" s="74"/>
      <c r="W41" s="74" t="str">
        <f t="shared" si="11"/>
        <v>S40</v>
      </c>
    </row>
    <row r="42" spans="1:23" hidden="1">
      <c r="A42" s="765">
        <v>37</v>
      </c>
      <c r="B42" s="765" t="s">
        <v>1256</v>
      </c>
      <c r="C42" s="765" t="s">
        <v>253</v>
      </c>
      <c r="D42" s="766">
        <f>IF($B$3="Acumulado",SUMIF(TBL_Ventas[Producto],B42,TBL_Ventas[Uds]),IF($B$3="Semanal",IF($E$3="Todos",SUMIF(TBL_Ventas[Producto],B42,TBL_Ventas[Uds]),SUMIFS(TBL_Ventas[Uds],TBL_Ventas[Producto],B42,TBL_Ventas[Semana],$E$3)),IF($E$3="Todos",SUMIF(TBL_Ventas[Producto],B42,TBL_Ventas[Uds]),SUMIFS(TBL_Ventas[Uds],TBL_Ventas[Producto],B42,TBL_Ventas[Mes],$E$3))))</f>
        <v>1</v>
      </c>
      <c r="E42" s="767">
        <f>IF($B$3="Acumulado",SUMIF(TBL_Ventas[Producto],B42,TBL_Ventas[Importe]),IF($B$3="Semanal",IF($E$3="Todos",SUMIF(TBL_Ventas[Producto],B42,TBL_Ventas[Importe]),SUMIFS(TBL_Ventas[Importe],TBL_Ventas[Producto],B42,TBL_Ventas[Semana],$E$3)),IF($E$3="Todos",SUMIF(TBL_Ventas[Producto],B42,TBL_Ventas[Importe]),SUMIFS(TBL_Ventas[Importe],TBL_Ventas[Producto],B42,TBL_Ventas[Mes],$E$3))))</f>
        <v>3.35</v>
      </c>
      <c r="F42" s="768">
        <f t="shared" si="12"/>
        <v>5.4764512595837896E-4</v>
      </c>
      <c r="G42" s="768">
        <f t="shared" si="13"/>
        <v>4.4108023842032721E-4</v>
      </c>
      <c r="H42" s="767">
        <f t="shared" si="3"/>
        <v>3.35</v>
      </c>
      <c r="I42" s="765">
        <f t="shared" si="14"/>
        <v>1.06</v>
      </c>
      <c r="J42" s="765">
        <f>IFERROR(VLOOKUP(B42,BD_Datos!$M$1:$N$1014,2,FALSE),0)</f>
        <v>1.06</v>
      </c>
      <c r="K42" s="769">
        <f t="shared" si="15"/>
        <v>2.29</v>
      </c>
      <c r="L42" s="765">
        <f t="shared" si="6"/>
        <v>0.68358208955223876</v>
      </c>
      <c r="M42" s="313">
        <f t="shared" si="7"/>
        <v>0.31641791044776119</v>
      </c>
      <c r="N42" s="313">
        <f t="shared" si="16"/>
        <v>7.0017834731488213E-4</v>
      </c>
      <c r="O42" s="314">
        <f t="shared" si="9"/>
        <v>2.29</v>
      </c>
      <c r="P42" s="313">
        <f t="shared" si="17"/>
        <v>3.7657722546451355E-4</v>
      </c>
      <c r="Q42" s="313">
        <f>SUM(F$6:F42)</f>
        <v>0.5657174151150054</v>
      </c>
      <c r="R42" s="313">
        <f>SUM(P$6:P42)</f>
        <v>0.42213484753555675</v>
      </c>
      <c r="S42" s="74"/>
      <c r="T42" s="74" t="s">
        <v>1614</v>
      </c>
      <c r="U42" s="74"/>
      <c r="V42" s="74"/>
      <c r="W42" s="74" t="str">
        <f t="shared" si="11"/>
        <v>S41</v>
      </c>
    </row>
    <row r="43" spans="1:23" hidden="1">
      <c r="A43" s="74">
        <v>38</v>
      </c>
      <c r="B43" s="74" t="s">
        <v>1269</v>
      </c>
      <c r="C43" s="74" t="s">
        <v>253</v>
      </c>
      <c r="D43" s="770">
        <f>IF($B$3="Acumulado",SUMIF(TBL_Ventas[Producto],B43,TBL_Ventas[Uds]),IF($B$3="Semanal",IF($E$3="Todos",SUMIF(TBL_Ventas[Producto],B43,TBL_Ventas[Uds]),SUMIFS(TBL_Ventas[Uds],TBL_Ventas[Producto],B43,TBL_Ventas[Semana],$E$3)),IF($E$3="Todos",SUMIF(TBL_Ventas[Producto],B43,TBL_Ventas[Uds]),SUMIFS(TBL_Ventas[Uds],TBL_Ventas[Producto],B43,TBL_Ventas[Mes],$E$3))))</f>
        <v>11</v>
      </c>
      <c r="E43" s="771">
        <f>IF($B$3="Acumulado",SUMIF(TBL_Ventas[Producto],B43,TBL_Ventas[Importe]),IF($B$3="Semanal",IF($E$3="Todos",SUMIF(TBL_Ventas[Producto],B43,TBL_Ventas[Importe]),SUMIFS(TBL_Ventas[Importe],TBL_Ventas[Producto],B43,TBL_Ventas[Semana],$E$3)),IF($E$3="Todos",SUMIF(TBL_Ventas[Producto],B43,TBL_Ventas[Importe]),SUMIFS(TBL_Ventas[Importe],TBL_Ventas[Producto],B43,TBL_Ventas[Mes],$E$3))))</f>
        <v>22.55</v>
      </c>
      <c r="F43" s="760">
        <f t="shared" si="12"/>
        <v>6.024096385542169E-3</v>
      </c>
      <c r="G43" s="760">
        <f t="shared" si="13"/>
        <v>2.9690625004114564E-3</v>
      </c>
      <c r="H43" s="771">
        <f t="shared" si="3"/>
        <v>2.0500000000000003</v>
      </c>
      <c r="I43" s="772">
        <f t="shared" si="14"/>
        <v>6.71</v>
      </c>
      <c r="J43" s="765">
        <f>IFERROR(VLOOKUP(B43,BD_Datos!$M$1:$N$1014,2,FALSE),0)</f>
        <v>0.61</v>
      </c>
      <c r="K43" s="773">
        <f t="shared" si="15"/>
        <v>15.84</v>
      </c>
      <c r="L43" s="772">
        <f t="shared" si="6"/>
        <v>0.70243902439024386</v>
      </c>
      <c r="M43" s="313">
        <f t="shared" si="7"/>
        <v>0.29756097560975608</v>
      </c>
      <c r="N43" s="313">
        <f t="shared" si="16"/>
        <v>4.4322610476253384E-3</v>
      </c>
      <c r="O43" s="314">
        <f t="shared" si="9"/>
        <v>1.44</v>
      </c>
      <c r="P43" s="313">
        <f t="shared" si="17"/>
        <v>2.6047961796322682E-3</v>
      </c>
      <c r="Q43" s="313">
        <f>SUM(F$6:F43)</f>
        <v>0.57174151150054753</v>
      </c>
      <c r="R43" s="313">
        <f>SUM(P$6:P43)</f>
        <v>0.42473964371518902</v>
      </c>
      <c r="S43" s="74"/>
      <c r="T43" s="74" t="s">
        <v>1631</v>
      </c>
      <c r="U43" s="74"/>
      <c r="V43" s="74"/>
      <c r="W43" s="74" t="str">
        <f t="shared" si="11"/>
        <v>S42</v>
      </c>
    </row>
    <row r="44" spans="1:23" hidden="1">
      <c r="A44" s="765">
        <v>39</v>
      </c>
      <c r="B44" s="765" t="s">
        <v>673</v>
      </c>
      <c r="C44" s="765" t="s">
        <v>251</v>
      </c>
      <c r="D44" s="766">
        <f>IF($B$3="Acumulado",SUMIF(TBL_Ventas[Producto],B44,TBL_Ventas[Uds]),IF($B$3="Semanal",IF($E$3="Todos",SUMIF(TBL_Ventas[Producto],B44,TBL_Ventas[Uds]),SUMIFS(TBL_Ventas[Uds],TBL_Ventas[Producto],B44,TBL_Ventas[Semana],$E$3)),IF($E$3="Todos",SUMIF(TBL_Ventas[Producto],B44,TBL_Ventas[Uds]),SUMIFS(TBL_Ventas[Uds],TBL_Ventas[Producto],B44,TBL_Ventas[Mes],$E$3))))</f>
        <v>42</v>
      </c>
      <c r="E44" s="767">
        <f>IF($B$3="Acumulado",SUMIF(TBL_Ventas[Producto],B44,TBL_Ventas[Importe]),IF($B$3="Semanal",IF($E$3="Todos",SUMIF(TBL_Ventas[Producto],B44,TBL_Ventas[Importe]),SUMIFS(TBL_Ventas[Importe],TBL_Ventas[Producto],B44,TBL_Ventas[Semana],$E$3)),IF($E$3="Todos",SUMIF(TBL_Ventas[Producto],B44,TBL_Ventas[Importe]),SUMIFS(TBL_Ventas[Importe],TBL_Ventas[Producto],B44,TBL_Ventas[Mes],$E$3))))</f>
        <v>105.89</v>
      </c>
      <c r="F44" s="768">
        <f t="shared" si="12"/>
        <v>2.3001095290251915E-2</v>
      </c>
      <c r="G44" s="768">
        <f t="shared" si="13"/>
        <v>1.39420855063667E-2</v>
      </c>
      <c r="H44" s="767">
        <f t="shared" si="3"/>
        <v>2.5211904761904762</v>
      </c>
      <c r="I44" s="765">
        <f t="shared" si="14"/>
        <v>22.26</v>
      </c>
      <c r="J44" s="765">
        <f>IFERROR(VLOOKUP(B44,BD_Datos!$M$1:$N$1014,2,FALSE),0)</f>
        <v>0.53</v>
      </c>
      <c r="K44" s="769">
        <f t="shared" si="15"/>
        <v>83.63</v>
      </c>
      <c r="L44" s="765">
        <f t="shared" si="6"/>
        <v>0.78978184908867688</v>
      </c>
      <c r="M44" s="313">
        <f t="shared" si="7"/>
        <v>0.21021815091132309</v>
      </c>
      <c r="N44" s="313">
        <f t="shared" si="16"/>
        <v>1.4703745293612524E-2</v>
      </c>
      <c r="O44" s="314">
        <f t="shared" si="9"/>
        <v>1.9911904761904762</v>
      </c>
      <c r="P44" s="313">
        <f t="shared" si="17"/>
        <v>1.3752468718601425E-2</v>
      </c>
      <c r="Q44" s="313">
        <f>SUM(F$6:F44)</f>
        <v>0.59474260679079949</v>
      </c>
      <c r="R44" s="313">
        <f>SUM(P$6:P44)</f>
        <v>0.43849211243379044</v>
      </c>
      <c r="S44" s="74"/>
      <c r="T44" s="74" t="s">
        <v>1552</v>
      </c>
      <c r="U44" s="74"/>
      <c r="V44" s="74"/>
      <c r="W44" s="74" t="str">
        <f t="shared" si="11"/>
        <v>S43</v>
      </c>
    </row>
    <row r="45" spans="1:23" hidden="1">
      <c r="A45" s="74">
        <v>40</v>
      </c>
      <c r="B45" s="74" t="s">
        <v>855</v>
      </c>
      <c r="C45" s="74" t="s">
        <v>247</v>
      </c>
      <c r="D45" s="770">
        <f>IF($B$3="Acumulado",SUMIF(TBL_Ventas[Producto],B45,TBL_Ventas[Uds]),IF($B$3="Semanal",IF($E$3="Todos",SUMIF(TBL_Ventas[Producto],B45,TBL_Ventas[Uds]),SUMIFS(TBL_Ventas[Uds],TBL_Ventas[Producto],B45,TBL_Ventas[Semana],$E$3)),IF($E$3="Todos",SUMIF(TBL_Ventas[Producto],B45,TBL_Ventas[Uds]),SUMIFS(TBL_Ventas[Uds],TBL_Ventas[Producto],B45,TBL_Ventas[Mes],$E$3))))</f>
        <v>5</v>
      </c>
      <c r="E45" s="771">
        <f>IF($B$3="Acumulado",SUMIF(TBL_Ventas[Producto],B45,TBL_Ventas[Importe]),IF($B$3="Semanal",IF($E$3="Todos",SUMIF(TBL_Ventas[Producto],B45,TBL_Ventas[Importe]),SUMIFS(TBL_Ventas[Importe],TBL_Ventas[Producto],B45,TBL_Ventas[Semana],$E$3)),IF($E$3="Todos",SUMIF(TBL_Ventas[Producto],B45,TBL_Ventas[Importe]),SUMIFS(TBL_Ventas[Importe],TBL_Ventas[Producto],B45,TBL_Ventas[Mes],$E$3))))</f>
        <v>12.75</v>
      </c>
      <c r="F45" s="760">
        <f t="shared" si="12"/>
        <v>2.7382256297918948E-3</v>
      </c>
      <c r="G45" s="760">
        <f t="shared" si="13"/>
        <v>1.6787382208534841E-3</v>
      </c>
      <c r="H45" s="771">
        <f t="shared" si="3"/>
        <v>2.5499999999999998</v>
      </c>
      <c r="I45" s="772">
        <f t="shared" si="14"/>
        <v>1.6</v>
      </c>
      <c r="J45" s="765">
        <f>IFERROR(VLOOKUP(B45,BD_Datos!$M$1:$N$1014,2,FALSE),0)</f>
        <v>0.32</v>
      </c>
      <c r="K45" s="773">
        <f t="shared" si="15"/>
        <v>11.15</v>
      </c>
      <c r="L45" s="772">
        <f t="shared" si="6"/>
        <v>0.87450980392156863</v>
      </c>
      <c r="M45" s="313">
        <f t="shared" si="7"/>
        <v>0.12549019607843137</v>
      </c>
      <c r="N45" s="313">
        <f t="shared" si="16"/>
        <v>1.0568729770790673E-3</v>
      </c>
      <c r="O45" s="314">
        <f t="shared" si="9"/>
        <v>2.23</v>
      </c>
      <c r="P45" s="313">
        <f t="shared" si="17"/>
        <v>1.8335528663446839E-3</v>
      </c>
      <c r="Q45" s="313">
        <f>SUM(F$6:F45)</f>
        <v>0.59748083242059136</v>
      </c>
      <c r="R45" s="313">
        <f>SUM(P$6:P45)</f>
        <v>0.44032566530013512</v>
      </c>
      <c r="S45" s="74"/>
      <c r="T45" s="74" t="s">
        <v>1617</v>
      </c>
      <c r="U45" s="74"/>
      <c r="V45" s="74"/>
      <c r="W45" s="74" t="str">
        <f t="shared" si="11"/>
        <v>S44</v>
      </c>
    </row>
    <row r="46" spans="1:23" hidden="1">
      <c r="A46" s="765">
        <v>41</v>
      </c>
      <c r="B46" s="765" t="s">
        <v>1809</v>
      </c>
      <c r="C46" s="765" t="s">
        <v>256</v>
      </c>
      <c r="D46" s="766">
        <f>IF($B$3="Acumulado",SUMIF(TBL_Ventas[Producto],B46,TBL_Ventas[Uds]),IF($B$3="Semanal",IF($E$3="Todos",SUMIF(TBL_Ventas[Producto],B46,TBL_Ventas[Uds]),SUMIFS(TBL_Ventas[Uds],TBL_Ventas[Producto],B46,TBL_Ventas[Semana],$E$3)),IF($E$3="Todos",SUMIF(TBL_Ventas[Producto],B46,TBL_Ventas[Uds]),SUMIFS(TBL_Ventas[Uds],TBL_Ventas[Producto],B46,TBL_Ventas[Mes],$E$3))))</f>
        <v>0</v>
      </c>
      <c r="E46" s="767">
        <f>IF($B$3="Acumulado",SUMIF(TBL_Ventas[Producto],B46,TBL_Ventas[Importe]),IF($B$3="Semanal",IF($E$3="Todos",SUMIF(TBL_Ventas[Producto],B46,TBL_Ventas[Importe]),SUMIFS(TBL_Ventas[Importe],TBL_Ventas[Producto],B46,TBL_Ventas[Semana],$E$3)),IF($E$3="Todos",SUMIF(TBL_Ventas[Producto],B46,TBL_Ventas[Importe]),SUMIFS(TBL_Ventas[Importe],TBL_Ventas[Producto],B46,TBL_Ventas[Mes],$E$3))))</f>
        <v>0</v>
      </c>
      <c r="F46" s="768">
        <f t="shared" si="12"/>
        <v>0</v>
      </c>
      <c r="G46" s="768">
        <f t="shared" si="13"/>
        <v>0</v>
      </c>
      <c r="H46" s="767">
        <f t="shared" si="3"/>
        <v>0</v>
      </c>
      <c r="I46" s="765">
        <f t="shared" si="14"/>
        <v>0</v>
      </c>
      <c r="J46" s="765">
        <f>IFERROR(VLOOKUP(B46,BD_Datos!$M$1:$N$1014,2,FALSE),0)</f>
        <v>0.28000000000000003</v>
      </c>
      <c r="K46" s="769">
        <f t="shared" si="15"/>
        <v>0</v>
      </c>
      <c r="L46" s="765">
        <f t="shared" si="6"/>
        <v>0</v>
      </c>
      <c r="M46" s="313">
        <f t="shared" si="7"/>
        <v>0</v>
      </c>
      <c r="N46" s="313">
        <f t="shared" si="16"/>
        <v>0</v>
      </c>
      <c r="O46" s="314">
        <f t="shared" si="9"/>
        <v>0</v>
      </c>
      <c r="P46" s="313">
        <f t="shared" si="17"/>
        <v>0</v>
      </c>
      <c r="Q46" s="313">
        <f>SUM(F$6:F46)</f>
        <v>0.59748083242059136</v>
      </c>
      <c r="R46" s="313">
        <f>SUM(P$6:P46)</f>
        <v>0.44032566530013512</v>
      </c>
      <c r="S46" s="74"/>
      <c r="T46" s="74" t="s">
        <v>1553</v>
      </c>
      <c r="U46" s="74"/>
      <c r="V46" s="74"/>
      <c r="W46" s="74" t="str">
        <f t="shared" si="11"/>
        <v>S45</v>
      </c>
    </row>
    <row r="47" spans="1:23" hidden="1">
      <c r="A47" s="74">
        <v>42</v>
      </c>
      <c r="B47" s="74" t="s">
        <v>1802</v>
      </c>
      <c r="C47" s="74" t="s">
        <v>256</v>
      </c>
      <c r="D47" s="770">
        <f>IF($B$3="Acumulado",SUMIF(TBL_Ventas[Producto],B47,TBL_Ventas[Uds]),IF($B$3="Semanal",IF($E$3="Todos",SUMIF(TBL_Ventas[Producto],B47,TBL_Ventas[Uds]),SUMIFS(TBL_Ventas[Uds],TBL_Ventas[Producto],B47,TBL_Ventas[Semana],$E$3)),IF($E$3="Todos",SUMIF(TBL_Ventas[Producto],B47,TBL_Ventas[Uds]),SUMIFS(TBL_Ventas[Uds],TBL_Ventas[Producto],B47,TBL_Ventas[Mes],$E$3))))</f>
        <v>0</v>
      </c>
      <c r="E47" s="771">
        <f>IF($B$3="Acumulado",SUMIF(TBL_Ventas[Producto],B47,TBL_Ventas[Importe]),IF($B$3="Semanal",IF($E$3="Todos",SUMIF(TBL_Ventas[Producto],B47,TBL_Ventas[Importe]),SUMIFS(TBL_Ventas[Importe],TBL_Ventas[Producto],B47,TBL_Ventas[Semana],$E$3)),IF($E$3="Todos",SUMIF(TBL_Ventas[Producto],B47,TBL_Ventas[Importe]),SUMIFS(TBL_Ventas[Importe],TBL_Ventas[Producto],B47,TBL_Ventas[Mes],$E$3))))</f>
        <v>0</v>
      </c>
      <c r="F47" s="760">
        <f t="shared" si="12"/>
        <v>0</v>
      </c>
      <c r="G47" s="760">
        <f t="shared" si="13"/>
        <v>0</v>
      </c>
      <c r="H47" s="771">
        <f t="shared" si="3"/>
        <v>0</v>
      </c>
      <c r="I47" s="772">
        <f t="shared" si="14"/>
        <v>0</v>
      </c>
      <c r="J47" s="765">
        <f>IFERROR(VLOOKUP(B47,BD_Datos!$M$1:$N$1014,2,FALSE),0)</f>
        <v>0.27</v>
      </c>
      <c r="K47" s="773">
        <f t="shared" si="15"/>
        <v>0</v>
      </c>
      <c r="L47" s="772">
        <f t="shared" si="6"/>
        <v>0</v>
      </c>
      <c r="M47" s="313">
        <f t="shared" si="7"/>
        <v>0</v>
      </c>
      <c r="N47" s="313">
        <f t="shared" si="16"/>
        <v>0</v>
      </c>
      <c r="O47" s="314">
        <f t="shared" si="9"/>
        <v>0</v>
      </c>
      <c r="P47" s="313">
        <f t="shared" si="17"/>
        <v>0</v>
      </c>
      <c r="Q47" s="313">
        <f>SUM(F$6:F47)</f>
        <v>0.59748083242059136</v>
      </c>
      <c r="R47" s="313">
        <f>SUM(P$6:P47)</f>
        <v>0.44032566530013512</v>
      </c>
      <c r="S47" s="74"/>
      <c r="T47" s="74" t="s">
        <v>2343</v>
      </c>
      <c r="U47" s="74"/>
      <c r="V47" s="74"/>
      <c r="W47" s="74" t="str">
        <f t="shared" si="11"/>
        <v>S46</v>
      </c>
    </row>
    <row r="48" spans="1:23" hidden="1">
      <c r="A48" s="765">
        <v>43</v>
      </c>
      <c r="B48" s="765" t="s">
        <v>738</v>
      </c>
      <c r="C48" s="765" t="s">
        <v>256</v>
      </c>
      <c r="D48" s="766">
        <f>IF($B$3="Acumulado",SUMIF(TBL_Ventas[Producto],B48,TBL_Ventas[Uds]),IF($B$3="Semanal",IF($E$3="Todos",SUMIF(TBL_Ventas[Producto],B48,TBL_Ventas[Uds]),SUMIFS(TBL_Ventas[Uds],TBL_Ventas[Producto],B48,TBL_Ventas[Semana],$E$3)),IF($E$3="Todos",SUMIF(TBL_Ventas[Producto],B48,TBL_Ventas[Uds]),SUMIFS(TBL_Ventas[Uds],TBL_Ventas[Producto],B48,TBL_Ventas[Mes],$E$3))))</f>
        <v>8</v>
      </c>
      <c r="E48" s="767">
        <f>IF($B$3="Acumulado",SUMIF(TBL_Ventas[Producto],B48,TBL_Ventas[Importe]),IF($B$3="Semanal",IF($E$3="Todos",SUMIF(TBL_Ventas[Producto],B48,TBL_Ventas[Importe]),SUMIFS(TBL_Ventas[Importe],TBL_Ventas[Producto],B48,TBL_Ventas[Semana],$E$3)),IF($E$3="Todos",SUMIF(TBL_Ventas[Producto],B48,TBL_Ventas[Importe]),SUMIFS(TBL_Ventas[Importe],TBL_Ventas[Producto],B48,TBL_Ventas[Mes],$E$3))))</f>
        <v>54.32</v>
      </c>
      <c r="F48" s="768">
        <f t="shared" si="12"/>
        <v>4.3811610076670317E-3</v>
      </c>
      <c r="G48" s="768">
        <f t="shared" si="13"/>
        <v>7.1520831495499029E-3</v>
      </c>
      <c r="H48" s="767">
        <f t="shared" si="3"/>
        <v>6.79</v>
      </c>
      <c r="I48" s="765">
        <f t="shared" si="14"/>
        <v>14.48</v>
      </c>
      <c r="J48" s="765">
        <f>IFERROR(VLOOKUP(B48,BD_Datos!$M$1:$N$1014,2,FALSE),0)</f>
        <v>1.81</v>
      </c>
      <c r="K48" s="769">
        <f t="shared" si="15"/>
        <v>39.840000000000003</v>
      </c>
      <c r="L48" s="765">
        <f t="shared" si="6"/>
        <v>0.73343151693667163</v>
      </c>
      <c r="M48" s="313">
        <f t="shared" si="7"/>
        <v>0.26656848306332842</v>
      </c>
      <c r="N48" s="313">
        <f t="shared" si="16"/>
        <v>9.5647004425655595E-3</v>
      </c>
      <c r="O48" s="314">
        <f t="shared" si="9"/>
        <v>4.9800000000000004</v>
      </c>
      <c r="P48" s="313">
        <f t="shared" si="17"/>
        <v>6.5514570578629784E-3</v>
      </c>
      <c r="Q48" s="313">
        <f>SUM(F$6:F48)</f>
        <v>0.60186199342825841</v>
      </c>
      <c r="R48" s="313">
        <f>SUM(P$6:P48)</f>
        <v>0.44687712235799809</v>
      </c>
      <c r="S48" s="74"/>
      <c r="T48" s="74" t="s">
        <v>2344</v>
      </c>
      <c r="U48" s="74"/>
      <c r="V48" s="74"/>
      <c r="W48" s="74" t="str">
        <f t="shared" si="11"/>
        <v>S47</v>
      </c>
    </row>
    <row r="49" spans="1:23" hidden="1">
      <c r="A49" s="74">
        <v>44</v>
      </c>
      <c r="B49" s="74" t="s">
        <v>1001</v>
      </c>
      <c r="C49" s="74" t="s">
        <v>894</v>
      </c>
      <c r="D49" s="770">
        <f>IF($B$3="Acumulado",SUMIF(TBL_Ventas[Producto],B49,TBL_Ventas[Uds]),IF($B$3="Semanal",IF($E$3="Todos",SUMIF(TBL_Ventas[Producto],B49,TBL_Ventas[Uds]),SUMIFS(TBL_Ventas[Uds],TBL_Ventas[Producto],B49,TBL_Ventas[Semana],$E$3)),IF($E$3="Todos",SUMIF(TBL_Ventas[Producto],B49,TBL_Ventas[Uds]),SUMIFS(TBL_Ventas[Uds],TBL_Ventas[Producto],B49,TBL_Ventas[Mes],$E$3))))</f>
        <v>5</v>
      </c>
      <c r="E49" s="771">
        <f>IF($B$3="Acumulado",SUMIF(TBL_Ventas[Producto],B49,TBL_Ventas[Importe]),IF($B$3="Semanal",IF($E$3="Todos",SUMIF(TBL_Ventas[Producto],B49,TBL_Ventas[Importe]),SUMIFS(TBL_Ventas[Importe],TBL_Ventas[Producto],B49,TBL_Ventas[Semana],$E$3)),IF($E$3="Todos",SUMIF(TBL_Ventas[Producto],B49,TBL_Ventas[Importe]),SUMIFS(TBL_Ventas[Importe],TBL_Ventas[Producto],B49,TBL_Ventas[Mes],$E$3))))</f>
        <v>30.1</v>
      </c>
      <c r="F49" s="760">
        <f t="shared" si="12"/>
        <v>2.7382256297918948E-3</v>
      </c>
      <c r="G49" s="760">
        <f t="shared" si="13"/>
        <v>3.9631388586423427E-3</v>
      </c>
      <c r="H49" s="771">
        <f t="shared" si="3"/>
        <v>6.0200000000000005</v>
      </c>
      <c r="I49" s="772">
        <f t="shared" si="14"/>
        <v>3.4000000000000004</v>
      </c>
      <c r="J49" s="765">
        <f>IFERROR(VLOOKUP(B49,BD_Datos!$M$1:$N$1014,2,FALSE),0)</f>
        <v>0.68</v>
      </c>
      <c r="K49" s="773">
        <f t="shared" si="15"/>
        <v>26.700000000000003</v>
      </c>
      <c r="L49" s="772">
        <f t="shared" si="6"/>
        <v>0.8870431893687708</v>
      </c>
      <c r="M49" s="313">
        <f t="shared" si="7"/>
        <v>0.11295681063122924</v>
      </c>
      <c r="N49" s="313">
        <f t="shared" si="16"/>
        <v>2.2458550762930181E-3</v>
      </c>
      <c r="O49" s="314">
        <f t="shared" si="9"/>
        <v>5.3400000000000007</v>
      </c>
      <c r="P49" s="313">
        <f t="shared" si="17"/>
        <v>4.3906602270316645E-3</v>
      </c>
      <c r="Q49" s="313">
        <f>SUM(F$6:F49)</f>
        <v>0.60460021905805028</v>
      </c>
      <c r="R49" s="313">
        <f>SUM(P$6:P49)</f>
        <v>0.45126778258502975</v>
      </c>
      <c r="S49" s="74"/>
      <c r="T49" s="74" t="s">
        <v>1555</v>
      </c>
      <c r="U49" s="74"/>
      <c r="V49" s="74"/>
      <c r="W49" s="74" t="str">
        <f t="shared" si="11"/>
        <v>S48</v>
      </c>
    </row>
    <row r="50" spans="1:23" hidden="1">
      <c r="A50" s="765">
        <v>45</v>
      </c>
      <c r="B50" s="765" t="s">
        <v>2091</v>
      </c>
      <c r="C50" s="765" t="s">
        <v>264</v>
      </c>
      <c r="D50" s="766">
        <f>IF($B$3="Acumulado",SUMIF(TBL_Ventas[Producto],B50,TBL_Ventas[Uds]),IF($B$3="Semanal",IF($E$3="Todos",SUMIF(TBL_Ventas[Producto],B50,TBL_Ventas[Uds]),SUMIFS(TBL_Ventas[Uds],TBL_Ventas[Producto],B50,TBL_Ventas[Semana],$E$3)),IF($E$3="Todos",SUMIF(TBL_Ventas[Producto],B50,TBL_Ventas[Uds]),SUMIFS(TBL_Ventas[Uds],TBL_Ventas[Producto],B50,TBL_Ventas[Mes],$E$3))))</f>
        <v>50</v>
      </c>
      <c r="E50" s="767">
        <f>IF($B$3="Acumulado",SUMIF(TBL_Ventas[Producto],B50,TBL_Ventas[Importe]),IF($B$3="Semanal",IF($E$3="Todos",SUMIF(TBL_Ventas[Producto],B50,TBL_Ventas[Importe]),SUMIFS(TBL_Ventas[Importe],TBL_Ventas[Producto],B50,TBL_Ventas[Semana],$E$3)),IF($E$3="Todos",SUMIF(TBL_Ventas[Producto],B50,TBL_Ventas[Importe]),SUMIFS(TBL_Ventas[Importe],TBL_Ventas[Producto],B50,TBL_Ventas[Mes],$E$3))))</f>
        <v>163.75</v>
      </c>
      <c r="F50" s="768">
        <f t="shared" si="12"/>
        <v>2.7382256297918947E-2</v>
      </c>
      <c r="G50" s="768">
        <f t="shared" si="13"/>
        <v>2.1560265385471216E-2</v>
      </c>
      <c r="H50" s="767">
        <f t="shared" si="3"/>
        <v>3.2749999999999999</v>
      </c>
      <c r="I50" s="765">
        <f t="shared" si="14"/>
        <v>51.5</v>
      </c>
      <c r="J50" s="765">
        <f>IFERROR(VLOOKUP(B50,BD_Datos!$M$1:$N$1014,2,FALSE),0)</f>
        <v>1.03</v>
      </c>
      <c r="K50" s="769">
        <f t="shared" si="15"/>
        <v>112.25</v>
      </c>
      <c r="L50" s="765">
        <f t="shared" si="6"/>
        <v>0.68549618320610683</v>
      </c>
      <c r="M50" s="313">
        <f t="shared" si="7"/>
        <v>0.31450381679389311</v>
      </c>
      <c r="N50" s="313">
        <f t="shared" si="16"/>
        <v>3.4018098949732477E-2</v>
      </c>
      <c r="O50" s="314">
        <f t="shared" si="9"/>
        <v>2.2450000000000001</v>
      </c>
      <c r="P50" s="313">
        <f t="shared" si="17"/>
        <v>1.8458861815891549E-2</v>
      </c>
      <c r="Q50" s="313">
        <f>SUM(F$6:F50)</f>
        <v>0.63198247535596919</v>
      </c>
      <c r="R50" s="313">
        <f>SUM(P$6:P50)</f>
        <v>0.46972664440092132</v>
      </c>
      <c r="S50" s="74"/>
      <c r="T50" s="74" t="s">
        <v>1557</v>
      </c>
      <c r="U50" s="74"/>
      <c r="V50" s="74"/>
      <c r="W50" s="74" t="str">
        <f t="shared" si="11"/>
        <v>S49</v>
      </c>
    </row>
    <row r="51" spans="1:23" hidden="1">
      <c r="A51" s="74">
        <v>46</v>
      </c>
      <c r="B51" s="74" t="s">
        <v>697</v>
      </c>
      <c r="C51" s="74" t="s">
        <v>256</v>
      </c>
      <c r="D51" s="770">
        <f>IF($B$3="Acumulado",SUMIF(TBL_Ventas[Producto],B51,TBL_Ventas[Uds]),IF($B$3="Semanal",IF($E$3="Todos",SUMIF(TBL_Ventas[Producto],B51,TBL_Ventas[Uds]),SUMIFS(TBL_Ventas[Uds],TBL_Ventas[Producto],B51,TBL_Ventas[Semana],$E$3)),IF($E$3="Todos",SUMIF(TBL_Ventas[Producto],B51,TBL_Ventas[Uds]),SUMIFS(TBL_Ventas[Uds],TBL_Ventas[Producto],B51,TBL_Ventas[Mes],$E$3))))</f>
        <v>11</v>
      </c>
      <c r="E51" s="771">
        <f>IF($B$3="Acumulado",SUMIF(TBL_Ventas[Producto],B51,TBL_Ventas[Importe]),IF($B$3="Semanal",IF($E$3="Todos",SUMIF(TBL_Ventas[Producto],B51,TBL_Ventas[Importe]),SUMIFS(TBL_Ventas[Importe],TBL_Ventas[Producto],B51,TBL_Ventas[Semana],$E$3)),IF($E$3="Todos",SUMIF(TBL_Ventas[Producto],B51,TBL_Ventas[Importe]),SUMIFS(TBL_Ventas[Importe],TBL_Ventas[Producto],B51,TBL_Ventas[Mes],$E$3))))</f>
        <v>114.87</v>
      </c>
      <c r="F51" s="760">
        <f t="shared" si="12"/>
        <v>6.024096385542169E-3</v>
      </c>
      <c r="G51" s="760">
        <f t="shared" si="13"/>
        <v>1.5124443876818803E-2</v>
      </c>
      <c r="H51" s="771">
        <f t="shared" si="3"/>
        <v>10.442727272727273</v>
      </c>
      <c r="I51" s="772">
        <f t="shared" si="14"/>
        <v>28.27</v>
      </c>
      <c r="J51" s="765">
        <f>IFERROR(VLOOKUP(B51,BD_Datos!$M$1:$N$1014,2,FALSE),0)</f>
        <v>2.57</v>
      </c>
      <c r="K51" s="773">
        <f t="shared" si="15"/>
        <v>86.600000000000009</v>
      </c>
      <c r="L51" s="772">
        <f t="shared" si="6"/>
        <v>0.75389570819186913</v>
      </c>
      <c r="M51" s="313">
        <f t="shared" si="7"/>
        <v>0.24610429180813093</v>
      </c>
      <c r="N51" s="313">
        <f t="shared" si="16"/>
        <v>1.8673624413765768E-2</v>
      </c>
      <c r="O51" s="314">
        <f t="shared" si="9"/>
        <v>7.8727272727272739</v>
      </c>
      <c r="P51" s="313">
        <f t="shared" si="17"/>
        <v>1.4240868002282478E-2</v>
      </c>
      <c r="Q51" s="313">
        <f>SUM(F$6:F51)</f>
        <v>0.63800657174151132</v>
      </c>
      <c r="R51" s="313">
        <f>SUM(P$6:P51)</f>
        <v>0.48396751240320379</v>
      </c>
      <c r="S51" s="74"/>
      <c r="T51" s="74" t="s">
        <v>1526</v>
      </c>
      <c r="U51" s="74"/>
      <c r="V51" s="74"/>
      <c r="W51" s="74" t="str">
        <f t="shared" si="11"/>
        <v>S50</v>
      </c>
    </row>
    <row r="52" spans="1:23" hidden="1">
      <c r="A52" s="765">
        <v>47</v>
      </c>
      <c r="B52" s="765" t="s">
        <v>932</v>
      </c>
      <c r="C52" s="765" t="s">
        <v>256</v>
      </c>
      <c r="D52" s="766">
        <f>IF($B$3="Acumulado",SUMIF(TBL_Ventas[Producto],B52,TBL_Ventas[Uds]),IF($B$3="Semanal",IF($E$3="Todos",SUMIF(TBL_Ventas[Producto],B52,TBL_Ventas[Uds]),SUMIFS(TBL_Ventas[Uds],TBL_Ventas[Producto],B52,TBL_Ventas[Semana],$E$3)),IF($E$3="Todos",SUMIF(TBL_Ventas[Producto],B52,TBL_Ventas[Uds]),SUMIFS(TBL_Ventas[Uds],TBL_Ventas[Producto],B52,TBL_Ventas[Mes],$E$3))))</f>
        <v>23</v>
      </c>
      <c r="E52" s="767">
        <f>IF($B$3="Acumulado",SUMIF(TBL_Ventas[Producto],B52,TBL_Ventas[Importe]),IF($B$3="Semanal",IF($E$3="Todos",SUMIF(TBL_Ventas[Producto],B52,TBL_Ventas[Importe]),SUMIFS(TBL_Ventas[Importe],TBL_Ventas[Producto],B52,TBL_Ventas[Semana],$E$3)),IF($E$3="Todos",SUMIF(TBL_Ventas[Producto],B52,TBL_Ventas[Importe]),SUMIFS(TBL_Ventas[Importe],TBL_Ventas[Producto],B52,TBL_Ventas[Mes],$E$3))))</f>
        <v>188.6</v>
      </c>
      <c r="F52" s="768">
        <f t="shared" si="12"/>
        <v>1.2595837897042717E-2</v>
      </c>
      <c r="G52" s="768">
        <f t="shared" si="13"/>
        <v>2.483215909435036E-2</v>
      </c>
      <c r="H52" s="767">
        <f t="shared" si="3"/>
        <v>8.1999999999999993</v>
      </c>
      <c r="I52" s="765">
        <f t="shared" si="14"/>
        <v>20.7</v>
      </c>
      <c r="J52" s="765">
        <f>IFERROR(VLOOKUP(B52,BD_Datos!$M$1:$N$1014,2,FALSE),0)</f>
        <v>0.9</v>
      </c>
      <c r="K52" s="769">
        <f t="shared" si="15"/>
        <v>167.9</v>
      </c>
      <c r="L52" s="765">
        <f t="shared" si="6"/>
        <v>0.8902439024390244</v>
      </c>
      <c r="M52" s="313">
        <f t="shared" si="7"/>
        <v>0.10975609756097561</v>
      </c>
      <c r="N52" s="313">
        <f t="shared" si="16"/>
        <v>1.3673294140960432E-2</v>
      </c>
      <c r="O52" s="314">
        <f t="shared" si="9"/>
        <v>7.3</v>
      </c>
      <c r="P52" s="313">
        <f t="shared" si="17"/>
        <v>2.7610181727289004E-2</v>
      </c>
      <c r="Q52" s="313">
        <f>SUM(F$6:F52)</f>
        <v>0.65060240963855409</v>
      </c>
      <c r="R52" s="313">
        <f>SUM(P$6:P52)</f>
        <v>0.51157769413049281</v>
      </c>
      <c r="S52" s="74"/>
      <c r="T52" s="74" t="s">
        <v>1930</v>
      </c>
      <c r="U52" s="74"/>
      <c r="V52" s="74"/>
      <c r="W52" s="74" t="str">
        <f t="shared" si="11"/>
        <v>S51</v>
      </c>
    </row>
    <row r="53" spans="1:23" hidden="1">
      <c r="A53" s="74">
        <v>48</v>
      </c>
      <c r="B53" s="74" t="s">
        <v>870</v>
      </c>
      <c r="C53" s="74" t="s">
        <v>256</v>
      </c>
      <c r="D53" s="770">
        <f>IF($B$3="Acumulado",SUMIF(TBL_Ventas[Producto],B53,TBL_Ventas[Uds]),IF($B$3="Semanal",IF($E$3="Todos",SUMIF(TBL_Ventas[Producto],B53,TBL_Ventas[Uds]),SUMIFS(TBL_Ventas[Uds],TBL_Ventas[Producto],B53,TBL_Ventas[Semana],$E$3)),IF($E$3="Todos",SUMIF(TBL_Ventas[Producto],B53,TBL_Ventas[Uds]),SUMIFS(TBL_Ventas[Uds],TBL_Ventas[Producto],B53,TBL_Ventas[Mes],$E$3))))</f>
        <v>21</v>
      </c>
      <c r="E53" s="771">
        <f>IF($B$3="Acumulado",SUMIF(TBL_Ventas[Producto],B53,TBL_Ventas[Importe]),IF($B$3="Semanal",IF($E$3="Todos",SUMIF(TBL_Ventas[Producto],B53,TBL_Ventas[Importe]),SUMIFS(TBL_Ventas[Importe],TBL_Ventas[Producto],B53,TBL_Ventas[Semana],$E$3)),IF($E$3="Todos",SUMIF(TBL_Ventas[Producto],B53,TBL_Ventas[Importe]),SUMIFS(TBL_Ventas[Importe],TBL_Ventas[Producto],B53,TBL_Ventas[Mes],$E$3))))</f>
        <v>172.2</v>
      </c>
      <c r="F53" s="760">
        <f t="shared" si="12"/>
        <v>1.1500547645125958E-2</v>
      </c>
      <c r="G53" s="760">
        <f t="shared" si="13"/>
        <v>2.2672840912232938E-2</v>
      </c>
      <c r="H53" s="771">
        <f t="shared" si="3"/>
        <v>8.1999999999999993</v>
      </c>
      <c r="I53" s="772">
        <f t="shared" si="14"/>
        <v>24.36</v>
      </c>
      <c r="J53" s="765">
        <f>IFERROR(VLOOKUP(B53,BD_Datos!$M$1:$N$1014,2,FALSE),0)</f>
        <v>1.1599999999999999</v>
      </c>
      <c r="K53" s="773">
        <f t="shared" si="15"/>
        <v>147.83999999999997</v>
      </c>
      <c r="L53" s="772">
        <f t="shared" si="6"/>
        <v>0.85853658536585353</v>
      </c>
      <c r="M53" s="313">
        <f t="shared" si="7"/>
        <v>0.14146341463414636</v>
      </c>
      <c r="N53" s="313">
        <f t="shared" si="16"/>
        <v>1.6090891076028797E-2</v>
      </c>
      <c r="O53" s="314">
        <f t="shared" si="9"/>
        <v>7.0399999999999991</v>
      </c>
      <c r="P53" s="313">
        <f t="shared" si="17"/>
        <v>2.4311431009901165E-2</v>
      </c>
      <c r="Q53" s="313">
        <f>SUM(F$6:F53)</f>
        <v>0.66210295728368007</v>
      </c>
      <c r="R53" s="313">
        <f>SUM(P$6:P53)</f>
        <v>0.535889125140394</v>
      </c>
      <c r="S53" s="74"/>
      <c r="T53" s="74" t="s">
        <v>2345</v>
      </c>
      <c r="U53" s="74"/>
      <c r="V53" s="74"/>
      <c r="W53" s="74" t="str">
        <f t="shared" si="11"/>
        <v>S52</v>
      </c>
    </row>
    <row r="54" spans="1:23" hidden="1">
      <c r="A54" s="765">
        <v>49</v>
      </c>
      <c r="B54" s="765" t="s">
        <v>1042</v>
      </c>
      <c r="C54" s="765" t="s">
        <v>256</v>
      </c>
      <c r="D54" s="766">
        <f>IF($B$3="Acumulado",SUMIF(TBL_Ventas[Producto],B54,TBL_Ventas[Uds]),IF($B$3="Semanal",IF($E$3="Todos",SUMIF(TBL_Ventas[Producto],B54,TBL_Ventas[Uds]),SUMIFS(TBL_Ventas[Uds],TBL_Ventas[Producto],B54,TBL_Ventas[Semana],$E$3)),IF($E$3="Todos",SUMIF(TBL_Ventas[Producto],B54,TBL_Ventas[Uds]),SUMIFS(TBL_Ventas[Uds],TBL_Ventas[Producto],B54,TBL_Ventas[Mes],$E$3))))</f>
        <v>0</v>
      </c>
      <c r="E54" s="767">
        <f>IF($B$3="Acumulado",SUMIF(TBL_Ventas[Producto],B54,TBL_Ventas[Importe]),IF($B$3="Semanal",IF($E$3="Todos",SUMIF(TBL_Ventas[Producto],B54,TBL_Ventas[Importe]),SUMIFS(TBL_Ventas[Importe],TBL_Ventas[Producto],B54,TBL_Ventas[Semana],$E$3)),IF($E$3="Todos",SUMIF(TBL_Ventas[Producto],B54,TBL_Ventas[Importe]),SUMIFS(TBL_Ventas[Importe],TBL_Ventas[Producto],B54,TBL_Ventas[Mes],$E$3))))</f>
        <v>0</v>
      </c>
      <c r="F54" s="768">
        <f t="shared" si="12"/>
        <v>0</v>
      </c>
      <c r="G54" s="768">
        <f t="shared" si="13"/>
        <v>0</v>
      </c>
      <c r="H54" s="767">
        <f t="shared" si="3"/>
        <v>0</v>
      </c>
      <c r="I54" s="765">
        <f t="shared" si="14"/>
        <v>0</v>
      </c>
      <c r="J54" s="765">
        <f>IFERROR(VLOOKUP(B54,BD_Datos!$M$1:$N$1014,2,FALSE),0)</f>
        <v>3.51</v>
      </c>
      <c r="K54" s="769">
        <f t="shared" si="15"/>
        <v>0</v>
      </c>
      <c r="L54" s="765">
        <f t="shared" si="6"/>
        <v>0</v>
      </c>
      <c r="M54" s="313">
        <f t="shared" si="7"/>
        <v>0</v>
      </c>
      <c r="N54" s="313">
        <f t="shared" si="16"/>
        <v>0</v>
      </c>
      <c r="O54" s="314">
        <f t="shared" si="9"/>
        <v>0</v>
      </c>
      <c r="P54" s="313">
        <f t="shared" si="17"/>
        <v>0</v>
      </c>
      <c r="Q54" s="313">
        <f>SUM(F$6:F54)</f>
        <v>0.66210295728368007</v>
      </c>
      <c r="R54" s="313">
        <f>SUM(P$6:P54)</f>
        <v>0.535889125140394</v>
      </c>
      <c r="S54" s="74"/>
      <c r="T54" s="74"/>
      <c r="U54" s="74"/>
      <c r="V54" s="74"/>
      <c r="W54" s="74"/>
    </row>
    <row r="55" spans="1:23" hidden="1">
      <c r="A55" s="74">
        <v>50</v>
      </c>
      <c r="B55" s="74" t="s">
        <v>1237</v>
      </c>
      <c r="C55" s="74" t="s">
        <v>276</v>
      </c>
      <c r="D55" s="770">
        <f>IF($B$3="Acumulado",SUMIF(TBL_Ventas[Producto],B55,TBL_Ventas[Uds]),IF($B$3="Semanal",IF($E$3="Todos",SUMIF(TBL_Ventas[Producto],B55,TBL_Ventas[Uds]),SUMIFS(TBL_Ventas[Uds],TBL_Ventas[Producto],B55,TBL_Ventas[Semana],$E$3)),IF($E$3="Todos",SUMIF(TBL_Ventas[Producto],B55,TBL_Ventas[Uds]),SUMIFS(TBL_Ventas[Uds],TBL_Ventas[Producto],B55,TBL_Ventas[Mes],$E$3))))</f>
        <v>10</v>
      </c>
      <c r="E55" s="771">
        <f>IF($B$3="Acumulado",SUMIF(TBL_Ventas[Producto],B55,TBL_Ventas[Importe]),IF($B$3="Semanal",IF($E$3="Todos",SUMIF(TBL_Ventas[Producto],B55,TBL_Ventas[Importe]),SUMIFS(TBL_Ventas[Importe],TBL_Ventas[Producto],B55,TBL_Ventas[Semana],$E$3)),IF($E$3="Todos",SUMIF(TBL_Ventas[Producto],B55,TBL_Ventas[Importe]),SUMIFS(TBL_Ventas[Importe],TBL_Ventas[Producto],B55,TBL_Ventas[Mes],$E$3))))</f>
        <v>32.85</v>
      </c>
      <c r="F55" s="760">
        <f t="shared" si="12"/>
        <v>5.4764512595837896E-3</v>
      </c>
      <c r="G55" s="760">
        <f t="shared" si="13"/>
        <v>4.3252196513754474E-3</v>
      </c>
      <c r="H55" s="771">
        <f t="shared" si="3"/>
        <v>3.2850000000000001</v>
      </c>
      <c r="I55" s="772">
        <f t="shared" si="14"/>
        <v>6.8000000000000007</v>
      </c>
      <c r="J55" s="765">
        <f>IFERROR(VLOOKUP(B55,BD_Datos!$M$1:$N$1014,2,FALSE),0)</f>
        <v>0.68</v>
      </c>
      <c r="K55" s="773">
        <f t="shared" si="15"/>
        <v>26.05</v>
      </c>
      <c r="L55" s="772">
        <f t="shared" si="6"/>
        <v>0.79299847792998479</v>
      </c>
      <c r="M55" s="313">
        <f t="shared" si="7"/>
        <v>0.20700152207001524</v>
      </c>
      <c r="N55" s="313">
        <f t="shared" si="16"/>
        <v>4.4917101525860361E-3</v>
      </c>
      <c r="O55" s="314">
        <f t="shared" si="9"/>
        <v>2.605</v>
      </c>
      <c r="P55" s="313">
        <f t="shared" si="17"/>
        <v>4.2837714949129158E-3</v>
      </c>
      <c r="Q55" s="313">
        <f>SUM(F$6:F55)</f>
        <v>0.66757940854326381</v>
      </c>
      <c r="R55" s="313">
        <f>SUM(P$6:P55)</f>
        <v>0.54017289663530688</v>
      </c>
      <c r="S55" s="74"/>
      <c r="T55" s="74"/>
      <c r="U55" s="74"/>
      <c r="V55" s="74"/>
      <c r="W55" s="74"/>
    </row>
    <row r="56" spans="1:23" hidden="1">
      <c r="A56" s="765">
        <v>51</v>
      </c>
      <c r="B56" s="765" t="s">
        <v>685</v>
      </c>
      <c r="C56" s="765" t="s">
        <v>256</v>
      </c>
      <c r="D56" s="766">
        <f>IF($B$3="Acumulado",SUMIF(TBL_Ventas[Producto],B56,TBL_Ventas[Uds]),IF($B$3="Semanal",IF($E$3="Todos",SUMIF(TBL_Ventas[Producto],B56,TBL_Ventas[Uds]),SUMIFS(TBL_Ventas[Uds],TBL_Ventas[Producto],B56,TBL_Ventas[Semana],$E$3)),IF($E$3="Todos",SUMIF(TBL_Ventas[Producto],B56,TBL_Ventas[Uds]),SUMIFS(TBL_Ventas[Uds],TBL_Ventas[Producto],B56,TBL_Ventas[Mes],$E$3))))</f>
        <v>17</v>
      </c>
      <c r="E56" s="767">
        <f>IF($B$3="Acumulado",SUMIF(TBL_Ventas[Producto],B56,TBL_Ventas[Importe]),IF($B$3="Semanal",IF($E$3="Todos",SUMIF(TBL_Ventas[Producto],B56,TBL_Ventas[Importe]),SUMIFS(TBL_Ventas[Importe],TBL_Ventas[Producto],B56,TBL_Ventas[Semana],$E$3)),IF($E$3="Todos",SUMIF(TBL_Ventas[Producto],B56,TBL_Ventas[Importe]),SUMIFS(TBL_Ventas[Importe],TBL_Ventas[Producto],B56,TBL_Ventas[Mes],$E$3))))</f>
        <v>145.63999999999999</v>
      </c>
      <c r="F56" s="768">
        <f t="shared" si="12"/>
        <v>9.3099671412924419E-3</v>
      </c>
      <c r="G56" s="768">
        <f t="shared" si="13"/>
        <v>1.9175798783145209E-2</v>
      </c>
      <c r="H56" s="767">
        <f t="shared" si="3"/>
        <v>8.5670588235294112</v>
      </c>
      <c r="I56" s="765">
        <f t="shared" si="14"/>
        <v>31.28</v>
      </c>
      <c r="J56" s="765">
        <f>IFERROR(VLOOKUP(B56,BD_Datos!$M$1:$N$1014,2,FALSE),0)</f>
        <v>1.84</v>
      </c>
      <c r="K56" s="769">
        <f t="shared" si="15"/>
        <v>114.35999999999999</v>
      </c>
      <c r="L56" s="765">
        <f t="shared" si="6"/>
        <v>0.78522383960450426</v>
      </c>
      <c r="M56" s="313">
        <f t="shared" si="7"/>
        <v>0.21477616039549577</v>
      </c>
      <c r="N56" s="313">
        <f t="shared" si="16"/>
        <v>2.0661866701895765E-2</v>
      </c>
      <c r="O56" s="314">
        <f t="shared" si="9"/>
        <v>6.7270588235294113</v>
      </c>
      <c r="P56" s="313">
        <f t="shared" si="17"/>
        <v>1.8805839084769328E-2</v>
      </c>
      <c r="Q56" s="313">
        <f>SUM(F$6:F56)</f>
        <v>0.6768893756845562</v>
      </c>
      <c r="R56" s="313">
        <f>SUM(P$6:P56)</f>
        <v>0.55897873572007617</v>
      </c>
      <c r="S56" s="74"/>
      <c r="T56" s="74"/>
      <c r="U56" s="74"/>
      <c r="V56" s="74"/>
      <c r="W56" s="74"/>
    </row>
    <row r="57" spans="1:23" hidden="1">
      <c r="A57" s="74">
        <v>52</v>
      </c>
      <c r="B57" s="74" t="s">
        <v>1791</v>
      </c>
      <c r="C57" s="74" t="s">
        <v>256</v>
      </c>
      <c r="D57" s="770">
        <f>IF($B$3="Acumulado",SUMIF(TBL_Ventas[Producto],B57,TBL_Ventas[Uds]),IF($B$3="Semanal",IF($E$3="Todos",SUMIF(TBL_Ventas[Producto],B57,TBL_Ventas[Uds]),SUMIFS(TBL_Ventas[Uds],TBL_Ventas[Producto],B57,TBL_Ventas[Semana],$E$3)),IF($E$3="Todos",SUMIF(TBL_Ventas[Producto],B57,TBL_Ventas[Uds]),SUMIFS(TBL_Ventas[Uds],TBL_Ventas[Producto],B57,TBL_Ventas[Mes],$E$3))))</f>
        <v>0</v>
      </c>
      <c r="E57" s="771">
        <f>IF($B$3="Acumulado",SUMIF(TBL_Ventas[Producto],B57,TBL_Ventas[Importe]),IF($B$3="Semanal",IF($E$3="Todos",SUMIF(TBL_Ventas[Producto],B57,TBL_Ventas[Importe]),SUMIFS(TBL_Ventas[Importe],TBL_Ventas[Producto],B57,TBL_Ventas[Semana],$E$3)),IF($E$3="Todos",SUMIF(TBL_Ventas[Producto],B57,TBL_Ventas[Importe]),SUMIFS(TBL_Ventas[Importe],TBL_Ventas[Producto],B57,TBL_Ventas[Mes],$E$3))))</f>
        <v>0</v>
      </c>
      <c r="F57" s="760">
        <f t="shared" si="12"/>
        <v>0</v>
      </c>
      <c r="G57" s="760">
        <f t="shared" si="13"/>
        <v>0</v>
      </c>
      <c r="H57" s="771">
        <f t="shared" si="3"/>
        <v>0</v>
      </c>
      <c r="I57" s="772">
        <f t="shared" si="14"/>
        <v>0</v>
      </c>
      <c r="J57" s="765">
        <f>IFERROR(VLOOKUP(B57,BD_Datos!$M$1:$N$1014,2,FALSE),0)</f>
        <v>0.34</v>
      </c>
      <c r="K57" s="773">
        <f t="shared" si="15"/>
        <v>0</v>
      </c>
      <c r="L57" s="772">
        <f t="shared" si="6"/>
        <v>0</v>
      </c>
      <c r="M57" s="313">
        <f t="shared" si="7"/>
        <v>0</v>
      </c>
      <c r="N57" s="313">
        <f t="shared" si="16"/>
        <v>0</v>
      </c>
      <c r="O57" s="314">
        <f t="shared" si="9"/>
        <v>0</v>
      </c>
      <c r="P57" s="313">
        <f t="shared" si="17"/>
        <v>0</v>
      </c>
      <c r="Q57" s="313">
        <f>SUM(F$6:F57)</f>
        <v>0.6768893756845562</v>
      </c>
      <c r="R57" s="313">
        <f>SUM(P$6:P57)</f>
        <v>0.55897873572007617</v>
      </c>
      <c r="S57" s="74"/>
      <c r="T57" s="74"/>
      <c r="U57" s="74"/>
      <c r="V57" s="74"/>
      <c r="W57" s="74"/>
    </row>
    <row r="58" spans="1:23" hidden="1">
      <c r="A58" s="765">
        <v>53</v>
      </c>
      <c r="B58" s="765" t="s">
        <v>995</v>
      </c>
      <c r="C58" s="765" t="s">
        <v>276</v>
      </c>
      <c r="D58" s="766">
        <f>IF($B$3="Acumulado",SUMIF(TBL_Ventas[Producto],B58,TBL_Ventas[Uds]),IF($B$3="Semanal",IF($E$3="Todos",SUMIF(TBL_Ventas[Producto],B58,TBL_Ventas[Uds]),SUMIFS(TBL_Ventas[Uds],TBL_Ventas[Producto],B58,TBL_Ventas[Semana],$E$3)),IF($E$3="Todos",SUMIF(TBL_Ventas[Producto],B58,TBL_Ventas[Uds]),SUMIFS(TBL_Ventas[Uds],TBL_Ventas[Producto],B58,TBL_Ventas[Mes],$E$3))))</f>
        <v>1</v>
      </c>
      <c r="E58" s="767">
        <f>IF($B$3="Acumulado",SUMIF(TBL_Ventas[Producto],B58,TBL_Ventas[Importe]),IF($B$3="Semanal",IF($E$3="Todos",SUMIF(TBL_Ventas[Producto],B58,TBL_Ventas[Importe]),SUMIFS(TBL_Ventas[Importe],TBL_Ventas[Producto],B58,TBL_Ventas[Semana],$E$3)),IF($E$3="Todos",SUMIF(TBL_Ventas[Producto],B58,TBL_Ventas[Importe]),SUMIFS(TBL_Ventas[Importe],TBL_Ventas[Producto],B58,TBL_Ventas[Mes],$E$3))))</f>
        <v>3</v>
      </c>
      <c r="F58" s="768">
        <f t="shared" si="12"/>
        <v>5.4764512595837896E-4</v>
      </c>
      <c r="G58" s="768">
        <f t="shared" si="13"/>
        <v>3.949972284361139E-4</v>
      </c>
      <c r="H58" s="767">
        <f t="shared" si="3"/>
        <v>3</v>
      </c>
      <c r="I58" s="765">
        <f t="shared" si="14"/>
        <v>0.81</v>
      </c>
      <c r="J58" s="765">
        <f>IFERROR(VLOOKUP(B58,BD_Datos!$M$1:$N$1014,2,FALSE),0)</f>
        <v>0.81</v>
      </c>
      <c r="K58" s="769">
        <f t="shared" si="15"/>
        <v>2.19</v>
      </c>
      <c r="L58" s="765">
        <f t="shared" si="6"/>
        <v>0.73</v>
      </c>
      <c r="M58" s="313">
        <f t="shared" si="7"/>
        <v>0.27</v>
      </c>
      <c r="N58" s="313">
        <f t="shared" si="16"/>
        <v>5.3504194464627786E-4</v>
      </c>
      <c r="O58" s="314">
        <f t="shared" si="9"/>
        <v>2.19</v>
      </c>
      <c r="P58" s="313">
        <f t="shared" si="17"/>
        <v>3.6013280513855222E-4</v>
      </c>
      <c r="Q58" s="313">
        <f>SUM(F$6:F58)</f>
        <v>0.6774370208105146</v>
      </c>
      <c r="R58" s="313">
        <f>SUM(P$6:P58)</f>
        <v>0.55933886852521475</v>
      </c>
      <c r="S58" s="74"/>
      <c r="T58" s="74"/>
      <c r="U58" s="74"/>
      <c r="V58" s="74"/>
      <c r="W58" s="74"/>
    </row>
    <row r="59" spans="1:23" hidden="1">
      <c r="A59" s="74">
        <v>54</v>
      </c>
      <c r="B59" s="74" t="s">
        <v>931</v>
      </c>
      <c r="C59" s="74" t="s">
        <v>256</v>
      </c>
      <c r="D59" s="770">
        <f>IF($B$3="Acumulado",SUMIF(TBL_Ventas[Producto],B59,TBL_Ventas[Uds]),IF($B$3="Semanal",IF($E$3="Todos",SUMIF(TBL_Ventas[Producto],B59,TBL_Ventas[Uds]),SUMIFS(TBL_Ventas[Uds],TBL_Ventas[Producto],B59,TBL_Ventas[Semana],$E$3)),IF($E$3="Todos",SUMIF(TBL_Ventas[Producto],B59,TBL_Ventas[Uds]),SUMIFS(TBL_Ventas[Uds],TBL_Ventas[Producto],B59,TBL_Ventas[Mes],$E$3))))</f>
        <v>27</v>
      </c>
      <c r="E59" s="771">
        <f>IF($B$3="Acumulado",SUMIF(TBL_Ventas[Producto],B59,TBL_Ventas[Importe]),IF($B$3="Semanal",IF($E$3="Todos",SUMIF(TBL_Ventas[Producto],B59,TBL_Ventas[Importe]),SUMIFS(TBL_Ventas[Importe],TBL_Ventas[Producto],B59,TBL_Ventas[Semana],$E$3)),IF($E$3="Todos",SUMIF(TBL_Ventas[Producto],B59,TBL_Ventas[Importe]),SUMIFS(TBL_Ventas[Importe],TBL_Ventas[Producto],B59,TBL_Ventas[Mes],$E$3))))</f>
        <v>218</v>
      </c>
      <c r="F59" s="760">
        <f t="shared" si="12"/>
        <v>1.4786418400876232E-2</v>
      </c>
      <c r="G59" s="760">
        <f t="shared" si="13"/>
        <v>2.8703131933024279E-2</v>
      </c>
      <c r="H59" s="771">
        <f t="shared" si="3"/>
        <v>8.0740740740740744</v>
      </c>
      <c r="I59" s="772">
        <f t="shared" si="14"/>
        <v>23.76</v>
      </c>
      <c r="J59" s="765">
        <f>IFERROR(VLOOKUP(B59,BD_Datos!$M$1:$N$1014,2,FALSE),0)</f>
        <v>0.88</v>
      </c>
      <c r="K59" s="773">
        <f t="shared" si="15"/>
        <v>194.24</v>
      </c>
      <c r="L59" s="772">
        <f t="shared" si="6"/>
        <v>0.89100917431192661</v>
      </c>
      <c r="M59" s="313">
        <f t="shared" si="7"/>
        <v>0.1089908256880734</v>
      </c>
      <c r="N59" s="313">
        <f t="shared" si="16"/>
        <v>1.5694563709624149E-2</v>
      </c>
      <c r="O59" s="314">
        <f t="shared" si="9"/>
        <v>7.1940740740740745</v>
      </c>
      <c r="P59" s="313">
        <f t="shared" si="17"/>
        <v>3.194164204114721E-2</v>
      </c>
      <c r="Q59" s="313">
        <f>SUM(F$6:F59)</f>
        <v>0.69222343921139085</v>
      </c>
      <c r="R59" s="313">
        <f>SUM(P$6:P59)</f>
        <v>0.59128051056636199</v>
      </c>
      <c r="S59" s="74"/>
      <c r="T59" s="74"/>
      <c r="U59" s="74"/>
      <c r="V59" s="74"/>
      <c r="W59" s="74"/>
    </row>
    <row r="60" spans="1:23" hidden="1">
      <c r="A60" s="765">
        <v>55</v>
      </c>
      <c r="B60" s="765" t="s">
        <v>2116</v>
      </c>
      <c r="C60" s="765" t="s">
        <v>275</v>
      </c>
      <c r="D60" s="766">
        <f>IF($B$3="Acumulado",SUMIF(TBL_Ventas[Producto],B60,TBL_Ventas[Uds]),IF($B$3="Semanal",IF($E$3="Todos",SUMIF(TBL_Ventas[Producto],B60,TBL_Ventas[Uds]),SUMIFS(TBL_Ventas[Uds],TBL_Ventas[Producto],B60,TBL_Ventas[Semana],$E$3)),IF($E$3="Todos",SUMIF(TBL_Ventas[Producto],B60,TBL_Ventas[Uds]),SUMIFS(TBL_Ventas[Uds],TBL_Ventas[Producto],B60,TBL_Ventas[Mes],$E$3))))</f>
        <v>5</v>
      </c>
      <c r="E60" s="767">
        <f>IF($B$3="Acumulado",SUMIF(TBL_Ventas[Producto],B60,TBL_Ventas[Importe]),IF($B$3="Semanal",IF($E$3="Todos",SUMIF(TBL_Ventas[Producto],B60,TBL_Ventas[Importe]),SUMIFS(TBL_Ventas[Importe],TBL_Ventas[Producto],B60,TBL_Ventas[Semana],$E$3)),IF($E$3="Todos",SUMIF(TBL_Ventas[Producto],B60,TBL_Ventas[Importe]),SUMIFS(TBL_Ventas[Importe],TBL_Ventas[Producto],B60,TBL_Ventas[Mes],$E$3))))</f>
        <v>25</v>
      </c>
      <c r="F60" s="768">
        <f t="shared" si="12"/>
        <v>2.7382256297918948E-3</v>
      </c>
      <c r="G60" s="768">
        <f t="shared" si="13"/>
        <v>3.2916435703009492E-3</v>
      </c>
      <c r="H60" s="767">
        <f t="shared" si="3"/>
        <v>5</v>
      </c>
      <c r="I60" s="765">
        <f t="shared" si="14"/>
        <v>5.0999999999999996</v>
      </c>
      <c r="J60" s="765">
        <f>IFERROR(VLOOKUP(B60,BD_Datos!$M$1:$N$1014,2,FALSE),0)</f>
        <v>1.02</v>
      </c>
      <c r="K60" s="769">
        <f t="shared" si="15"/>
        <v>19.899999999999999</v>
      </c>
      <c r="L60" s="765">
        <f t="shared" si="6"/>
        <v>0.79599999999999993</v>
      </c>
      <c r="M60" s="313">
        <f t="shared" si="7"/>
        <v>0.20399999999999999</v>
      </c>
      <c r="N60" s="313">
        <f t="shared" si="16"/>
        <v>3.3687826144395265E-3</v>
      </c>
      <c r="O60" s="314">
        <f t="shared" si="9"/>
        <v>3.9799999999999995</v>
      </c>
      <c r="P60" s="313">
        <f t="shared" si="17"/>
        <v>3.2724396448662965E-3</v>
      </c>
      <c r="Q60" s="313">
        <f>SUM(F$6:F60)</f>
        <v>0.69496166484118271</v>
      </c>
      <c r="R60" s="313">
        <f>SUM(P$6:P60)</f>
        <v>0.59455295021122834</v>
      </c>
      <c r="S60" s="74"/>
      <c r="T60" s="74"/>
      <c r="U60" s="74"/>
      <c r="V60" s="74"/>
      <c r="W60" s="74"/>
    </row>
    <row r="61" spans="1:23" hidden="1">
      <c r="A61" s="74">
        <v>56</v>
      </c>
      <c r="B61" s="74" t="s">
        <v>895</v>
      </c>
      <c r="C61" s="74" t="s">
        <v>894</v>
      </c>
      <c r="D61" s="770">
        <f>IF($B$3="Acumulado",SUMIF(TBL_Ventas[Producto],B61,TBL_Ventas[Uds]),IF($B$3="Semanal",IF($E$3="Todos",SUMIF(TBL_Ventas[Producto],B61,TBL_Ventas[Uds]),SUMIFS(TBL_Ventas[Uds],TBL_Ventas[Producto],B61,TBL_Ventas[Semana],$E$3)),IF($E$3="Todos",SUMIF(TBL_Ventas[Producto],B61,TBL_Ventas[Uds]),SUMIFS(TBL_Ventas[Uds],TBL_Ventas[Producto],B61,TBL_Ventas[Mes],$E$3))))</f>
        <v>13</v>
      </c>
      <c r="E61" s="771">
        <f>IF($B$3="Acumulado",SUMIF(TBL_Ventas[Producto],B61,TBL_Ventas[Importe]),IF($B$3="Semanal",IF($E$3="Todos",SUMIF(TBL_Ventas[Producto],B61,TBL_Ventas[Importe]),SUMIFS(TBL_Ventas[Importe],TBL_Ventas[Producto],B61,TBL_Ventas[Semana],$E$3)),IF($E$3="Todos",SUMIF(TBL_Ventas[Producto],B61,TBL_Ventas[Importe]),SUMIFS(TBL_Ventas[Importe],TBL_Ventas[Producto],B61,TBL_Ventas[Mes],$E$3))))</f>
        <v>95</v>
      </c>
      <c r="F61" s="760">
        <f t="shared" si="12"/>
        <v>7.1193866374589269E-3</v>
      </c>
      <c r="G61" s="760">
        <f t="shared" si="13"/>
        <v>1.2508245567143608E-2</v>
      </c>
      <c r="H61" s="771">
        <f t="shared" si="3"/>
        <v>7.3076923076923075</v>
      </c>
      <c r="I61" s="772">
        <f t="shared" si="14"/>
        <v>15.99</v>
      </c>
      <c r="J61" s="765">
        <f>IFERROR(VLOOKUP(B61,BD_Datos!$M$1:$N$1014,2,FALSE),0)</f>
        <v>1.23</v>
      </c>
      <c r="K61" s="773">
        <f t="shared" si="15"/>
        <v>79.010000000000005</v>
      </c>
      <c r="L61" s="772">
        <f t="shared" si="6"/>
        <v>0.8316842105263158</v>
      </c>
      <c r="M61" s="313">
        <f t="shared" si="7"/>
        <v>0.16831578947368422</v>
      </c>
      <c r="N61" s="313">
        <f t="shared" si="16"/>
        <v>1.0562124314683929E-2</v>
      </c>
      <c r="O61" s="314">
        <f t="shared" si="9"/>
        <v>6.0776923076923079</v>
      </c>
      <c r="P61" s="313">
        <f t="shared" si="17"/>
        <v>1.2992736499542015E-2</v>
      </c>
      <c r="Q61" s="313">
        <f>SUM(F$6:F61)</f>
        <v>0.70208105147864164</v>
      </c>
      <c r="R61" s="313">
        <f>SUM(P$6:P61)</f>
        <v>0.60754568671077036</v>
      </c>
      <c r="S61" s="74"/>
      <c r="T61" s="74"/>
      <c r="U61" s="74"/>
      <c r="V61" s="74"/>
      <c r="W61" s="74"/>
    </row>
    <row r="62" spans="1:23" hidden="1">
      <c r="A62" s="765">
        <v>57</v>
      </c>
      <c r="B62" s="765" t="s">
        <v>751</v>
      </c>
      <c r="C62" s="765" t="s">
        <v>256</v>
      </c>
      <c r="D62" s="766">
        <f>IF($B$3="Acumulado",SUMIF(TBL_Ventas[Producto],B62,TBL_Ventas[Uds]),IF($B$3="Semanal",IF($E$3="Todos",SUMIF(TBL_Ventas[Producto],B62,TBL_Ventas[Uds]),SUMIFS(TBL_Ventas[Uds],TBL_Ventas[Producto],B62,TBL_Ventas[Semana],$E$3)),IF($E$3="Todos",SUMIF(TBL_Ventas[Producto],B62,TBL_Ventas[Uds]),SUMIFS(TBL_Ventas[Uds],TBL_Ventas[Producto],B62,TBL_Ventas[Mes],$E$3))))</f>
        <v>13</v>
      </c>
      <c r="E62" s="767">
        <f>IF($B$3="Acumulado",SUMIF(TBL_Ventas[Producto],B62,TBL_Ventas[Importe]),IF($B$3="Semanal",IF($E$3="Todos",SUMIF(TBL_Ventas[Producto],B62,TBL_Ventas[Importe]),SUMIFS(TBL_Ventas[Importe],TBL_Ventas[Producto],B62,TBL_Ventas[Semana],$E$3)),IF($E$3="Todos",SUMIF(TBL_Ventas[Producto],B62,TBL_Ventas[Importe]),SUMIFS(TBL_Ventas[Importe],TBL_Ventas[Producto],B62,TBL_Ventas[Mes],$E$3))))</f>
        <v>100.05</v>
      </c>
      <c r="F62" s="768">
        <f t="shared" si="12"/>
        <v>7.1193866374589269E-3</v>
      </c>
      <c r="G62" s="768">
        <f t="shared" si="13"/>
        <v>1.3173157568344399E-2</v>
      </c>
      <c r="H62" s="767">
        <f t="shared" si="3"/>
        <v>7.6961538461538463</v>
      </c>
      <c r="I62" s="765">
        <f t="shared" si="14"/>
        <v>9.8800000000000008</v>
      </c>
      <c r="J62" s="765">
        <f>IFERROR(VLOOKUP(B62,BD_Datos!$M$1:$N$1014,2,FALSE),0)</f>
        <v>0.76</v>
      </c>
      <c r="K62" s="769">
        <f t="shared" si="15"/>
        <v>90.17</v>
      </c>
      <c r="L62" s="765">
        <f t="shared" si="6"/>
        <v>0.90124937531234384</v>
      </c>
      <c r="M62" s="313">
        <f t="shared" si="7"/>
        <v>9.8750624687656177E-2</v>
      </c>
      <c r="N62" s="313">
        <f t="shared" si="16"/>
        <v>6.5261906334632405E-3</v>
      </c>
      <c r="O62" s="314">
        <f t="shared" si="9"/>
        <v>6.9361538461538466</v>
      </c>
      <c r="P62" s="313">
        <f t="shared" si="17"/>
        <v>1.4827933807919295E-2</v>
      </c>
      <c r="Q62" s="313">
        <f>SUM(F$6:F62)</f>
        <v>0.70920043811610056</v>
      </c>
      <c r="R62" s="313">
        <f>SUM(P$6:P62)</f>
        <v>0.62237362051868961</v>
      </c>
      <c r="S62" s="74"/>
      <c r="T62" s="74"/>
      <c r="U62" s="74"/>
      <c r="V62" s="74"/>
      <c r="W62" s="74"/>
    </row>
    <row r="63" spans="1:23" hidden="1">
      <c r="A63" s="74">
        <v>58</v>
      </c>
      <c r="B63" s="74" t="s">
        <v>684</v>
      </c>
      <c r="C63" s="74" t="s">
        <v>323</v>
      </c>
      <c r="D63" s="770">
        <f>IF($B$3="Acumulado",SUMIF(TBL_Ventas[Producto],B63,TBL_Ventas[Uds]),IF($B$3="Semanal",IF($E$3="Todos",SUMIF(TBL_Ventas[Producto],B63,TBL_Ventas[Uds]),SUMIFS(TBL_Ventas[Uds],TBL_Ventas[Producto],B63,TBL_Ventas[Semana],$E$3)),IF($E$3="Todos",SUMIF(TBL_Ventas[Producto],B63,TBL_Ventas[Uds]),SUMIFS(TBL_Ventas[Uds],TBL_Ventas[Producto],B63,TBL_Ventas[Mes],$E$3))))</f>
        <v>12</v>
      </c>
      <c r="E63" s="771">
        <f>IF($B$3="Acumulado",SUMIF(TBL_Ventas[Producto],B63,TBL_Ventas[Importe]),IF($B$3="Semanal",IF($E$3="Todos",SUMIF(TBL_Ventas[Producto],B63,TBL_Ventas[Importe]),SUMIFS(TBL_Ventas[Importe],TBL_Ventas[Producto],B63,TBL_Ventas[Semana],$E$3)),IF($E$3="Todos",SUMIF(TBL_Ventas[Producto],B63,TBL_Ventas[Importe]),SUMIFS(TBL_Ventas[Importe],TBL_Ventas[Producto],B63,TBL_Ventas[Mes],$E$3))))</f>
        <v>109.58</v>
      </c>
      <c r="F63" s="760">
        <f t="shared" si="12"/>
        <v>6.5717415115005475E-3</v>
      </c>
      <c r="G63" s="760">
        <f t="shared" si="13"/>
        <v>1.4427932097343121E-2</v>
      </c>
      <c r="H63" s="771">
        <f t="shared" si="3"/>
        <v>9.1316666666666659</v>
      </c>
      <c r="I63" s="772">
        <f t="shared" si="14"/>
        <v>8.16</v>
      </c>
      <c r="J63" s="765">
        <f>IFERROR(VLOOKUP(B63,BD_Datos!$M$1:$N$1014,2,FALSE),0)</f>
        <v>0.68</v>
      </c>
      <c r="K63" s="773">
        <f t="shared" si="15"/>
        <v>101.42</v>
      </c>
      <c r="L63" s="772">
        <f t="shared" si="6"/>
        <v>0.92553385654316489</v>
      </c>
      <c r="M63" s="313">
        <f t="shared" si="7"/>
        <v>7.4466143456835193E-2</v>
      </c>
      <c r="N63" s="313">
        <f t="shared" si="16"/>
        <v>5.3900521831032428E-3</v>
      </c>
      <c r="O63" s="314">
        <f t="shared" si="9"/>
        <v>8.4516666666666662</v>
      </c>
      <c r="P63" s="313">
        <f t="shared" si="17"/>
        <v>1.667793109458994E-2</v>
      </c>
      <c r="Q63" s="313">
        <f>SUM(F$6:F63)</f>
        <v>0.71577217962760109</v>
      </c>
      <c r="R63" s="313">
        <f>SUM(P$6:P63)</f>
        <v>0.63905155161327953</v>
      </c>
      <c r="S63" s="74"/>
      <c r="T63" s="74"/>
      <c r="U63" s="74"/>
      <c r="V63" s="74"/>
      <c r="W63" s="74"/>
    </row>
    <row r="64" spans="1:23" hidden="1">
      <c r="A64" s="765">
        <v>59</v>
      </c>
      <c r="B64" s="765" t="s">
        <v>681</v>
      </c>
      <c r="C64" s="765" t="s">
        <v>282</v>
      </c>
      <c r="D64" s="766">
        <f>IF($B$3="Acumulado",SUMIF(TBL_Ventas[Producto],B64,TBL_Ventas[Uds]),IF($B$3="Semanal",IF($E$3="Todos",SUMIF(TBL_Ventas[Producto],B64,TBL_Ventas[Uds]),SUMIFS(TBL_Ventas[Uds],TBL_Ventas[Producto],B64,TBL_Ventas[Semana],$E$3)),IF($E$3="Todos",SUMIF(TBL_Ventas[Producto],B64,TBL_Ventas[Uds]),SUMIFS(TBL_Ventas[Uds],TBL_Ventas[Producto],B64,TBL_Ventas[Mes],$E$3))))</f>
        <v>10</v>
      </c>
      <c r="E64" s="767">
        <f>IF($B$3="Acumulado",SUMIF(TBL_Ventas[Producto],B64,TBL_Ventas[Importe]),IF($B$3="Semanal",IF($E$3="Todos",SUMIF(TBL_Ventas[Producto],B64,TBL_Ventas[Importe]),SUMIFS(TBL_Ventas[Importe],TBL_Ventas[Producto],B64,TBL_Ventas[Semana],$E$3)),IF($E$3="Todos",SUMIF(TBL_Ventas[Producto],B64,TBL_Ventas[Importe]),SUMIFS(TBL_Ventas[Importe],TBL_Ventas[Producto],B64,TBL_Ventas[Mes],$E$3))))</f>
        <v>0.45</v>
      </c>
      <c r="F64" s="768">
        <f t="shared" si="12"/>
        <v>5.4764512595837896E-3</v>
      </c>
      <c r="G64" s="768">
        <f t="shared" si="13"/>
        <v>5.9249584265417089E-5</v>
      </c>
      <c r="H64" s="767">
        <f t="shared" si="3"/>
        <v>4.4999999999999998E-2</v>
      </c>
      <c r="I64" s="765">
        <f t="shared" si="14"/>
        <v>0</v>
      </c>
      <c r="J64" s="765">
        <f>IFERROR(VLOOKUP(B64,BD_Datos!$M$1:$N$1014,2,FALSE),0)</f>
        <v>0</v>
      </c>
      <c r="K64" s="769">
        <f t="shared" si="15"/>
        <v>0.45</v>
      </c>
      <c r="L64" s="765">
        <f t="shared" si="6"/>
        <v>1</v>
      </c>
      <c r="M64" s="313">
        <f t="shared" si="7"/>
        <v>0</v>
      </c>
      <c r="N64" s="313">
        <f t="shared" si="16"/>
        <v>0</v>
      </c>
      <c r="O64" s="314">
        <f t="shared" si="9"/>
        <v>4.4999999999999998E-2</v>
      </c>
      <c r="P64" s="313">
        <f t="shared" si="17"/>
        <v>7.3999891466825808E-5</v>
      </c>
      <c r="Q64" s="313">
        <f>SUM(F$6:F64)</f>
        <v>0.72124863088718483</v>
      </c>
      <c r="R64" s="313">
        <f>SUM(P$6:P64)</f>
        <v>0.63912555150474637</v>
      </c>
      <c r="S64" s="74"/>
      <c r="T64" s="74"/>
      <c r="U64" s="74"/>
      <c r="V64" s="74"/>
      <c r="W64" s="74"/>
    </row>
    <row r="65" spans="1:18" hidden="1">
      <c r="A65" s="74">
        <v>60</v>
      </c>
      <c r="B65" s="74" t="s">
        <v>683</v>
      </c>
      <c r="C65" s="74" t="s">
        <v>274</v>
      </c>
      <c r="D65" s="770">
        <f>IF($B$3="Acumulado",SUMIF(TBL_Ventas[Producto],B65,TBL_Ventas[Uds]),IF($B$3="Semanal",IF($E$3="Todos",SUMIF(TBL_Ventas[Producto],B65,TBL_Ventas[Uds]),SUMIFS(TBL_Ventas[Uds],TBL_Ventas[Producto],B65,TBL_Ventas[Semana],$E$3)),IF($E$3="Todos",SUMIF(TBL_Ventas[Producto],B65,TBL_Ventas[Uds]),SUMIFS(TBL_Ventas[Uds],TBL_Ventas[Producto],B65,TBL_Ventas[Mes],$E$3))))</f>
        <v>16</v>
      </c>
      <c r="E65" s="771">
        <f>IF($B$3="Acumulado",SUMIF(TBL_Ventas[Producto],B65,TBL_Ventas[Importe]),IF($B$3="Semanal",IF($E$3="Todos",SUMIF(TBL_Ventas[Producto],B65,TBL_Ventas[Importe]),SUMIFS(TBL_Ventas[Importe],TBL_Ventas[Producto],B65,TBL_Ventas[Semana],$E$3)),IF($E$3="Todos",SUMIF(TBL_Ventas[Producto],B65,TBL_Ventas[Importe]),SUMIFS(TBL_Ventas[Importe],TBL_Ventas[Producto],B65,TBL_Ventas[Mes],$E$3))))</f>
        <v>180.86</v>
      </c>
      <c r="F65" s="760">
        <f t="shared" si="12"/>
        <v>8.7623220153340634E-3</v>
      </c>
      <c r="G65" s="760">
        <f t="shared" si="13"/>
        <v>2.3813066244985189E-2</v>
      </c>
      <c r="H65" s="771">
        <f t="shared" si="3"/>
        <v>11.303750000000001</v>
      </c>
      <c r="I65" s="772">
        <f t="shared" si="14"/>
        <v>40.32</v>
      </c>
      <c r="J65" s="765">
        <f>IFERROR(VLOOKUP(B65,BD_Datos!$M$1:$N$1014,2,FALSE),0)</f>
        <v>2.52</v>
      </c>
      <c r="K65" s="773">
        <f t="shared" si="15"/>
        <v>140.54000000000002</v>
      </c>
      <c r="L65" s="772">
        <f t="shared" si="6"/>
        <v>0.77706513325223936</v>
      </c>
      <c r="M65" s="313">
        <f t="shared" si="7"/>
        <v>0.2229348667477607</v>
      </c>
      <c r="N65" s="313">
        <f t="shared" si="16"/>
        <v>2.6633199022392494E-2</v>
      </c>
      <c r="O65" s="314">
        <f t="shared" si="9"/>
        <v>8.7837500000000013</v>
      </c>
      <c r="P65" s="313">
        <f t="shared" si="17"/>
        <v>2.3110988326105999E-2</v>
      </c>
      <c r="Q65" s="313">
        <f>SUM(F$6:F65)</f>
        <v>0.73001095290251894</v>
      </c>
      <c r="R65" s="313">
        <f>SUM(P$6:P65)</f>
        <v>0.6622365398308524</v>
      </c>
    </row>
    <row r="66" spans="1:18" hidden="1">
      <c r="A66" s="765">
        <v>61</v>
      </c>
      <c r="B66" s="765" t="s">
        <v>1115</v>
      </c>
      <c r="C66" s="765" t="s">
        <v>258</v>
      </c>
      <c r="D66" s="766">
        <f>IF($B$3="Acumulado",SUMIF(TBL_Ventas[Producto],B66,TBL_Ventas[Uds]),IF($B$3="Semanal",IF($E$3="Todos",SUMIF(TBL_Ventas[Producto],B66,TBL_Ventas[Uds]),SUMIFS(TBL_Ventas[Uds],TBL_Ventas[Producto],B66,TBL_Ventas[Semana],$E$3)),IF($E$3="Todos",SUMIF(TBL_Ventas[Producto],B66,TBL_Ventas[Uds]),SUMIFS(TBL_Ventas[Uds],TBL_Ventas[Producto],B66,TBL_Ventas[Mes],$E$3))))</f>
        <v>3</v>
      </c>
      <c r="E66" s="767">
        <f>IF($B$3="Acumulado",SUMIF(TBL_Ventas[Producto],B66,TBL_Ventas[Importe]),IF($B$3="Semanal",IF($E$3="Todos",SUMIF(TBL_Ventas[Producto],B66,TBL_Ventas[Importe]),SUMIFS(TBL_Ventas[Importe],TBL_Ventas[Producto],B66,TBL_Ventas[Semana],$E$3)),IF($E$3="Todos",SUMIF(TBL_Ventas[Producto],B66,TBL_Ventas[Importe]),SUMIFS(TBL_Ventas[Importe],TBL_Ventas[Producto],B66,TBL_Ventas[Mes],$E$3))))</f>
        <v>13.5</v>
      </c>
      <c r="F66" s="768">
        <f t="shared" si="12"/>
        <v>1.6429353778751369E-3</v>
      </c>
      <c r="G66" s="768">
        <f t="shared" si="13"/>
        <v>1.7774875279625126E-3</v>
      </c>
      <c r="H66" s="767">
        <f t="shared" si="3"/>
        <v>4.5</v>
      </c>
      <c r="I66" s="765">
        <f t="shared" si="14"/>
        <v>2.37</v>
      </c>
      <c r="J66" s="765">
        <f>IFERROR(VLOOKUP(B66,BD_Datos!$M$1:$N$1014,2,FALSE),0)</f>
        <v>0.79</v>
      </c>
      <c r="K66" s="769">
        <f t="shared" si="15"/>
        <v>11.129999999999999</v>
      </c>
      <c r="L66" s="765">
        <f t="shared" si="6"/>
        <v>0.82444444444444442</v>
      </c>
      <c r="M66" s="313">
        <f t="shared" si="7"/>
        <v>0.17555555555555558</v>
      </c>
      <c r="N66" s="313">
        <f t="shared" si="16"/>
        <v>1.5654930972983684E-3</v>
      </c>
      <c r="O66" s="314">
        <f t="shared" si="9"/>
        <v>3.7099999999999995</v>
      </c>
      <c r="P66" s="313">
        <f t="shared" si="17"/>
        <v>1.8302639822794914E-3</v>
      </c>
      <c r="Q66" s="313">
        <f>SUM(F$6:F66)</f>
        <v>0.73165388828039413</v>
      </c>
      <c r="R66" s="313">
        <f>SUM(P$6:P66)</f>
        <v>0.66406680381313188</v>
      </c>
    </row>
    <row r="67" spans="1:18" hidden="1">
      <c r="A67" s="74">
        <v>62</v>
      </c>
      <c r="B67" s="74" t="s">
        <v>927</v>
      </c>
      <c r="C67" s="74" t="s">
        <v>251</v>
      </c>
      <c r="D67" s="770">
        <f>IF($B$3="Acumulado",SUMIF(TBL_Ventas[Producto],B67,TBL_Ventas[Uds]),IF($B$3="Semanal",IF($E$3="Todos",SUMIF(TBL_Ventas[Producto],B67,TBL_Ventas[Uds]),SUMIFS(TBL_Ventas[Uds],TBL_Ventas[Producto],B67,TBL_Ventas[Semana],$E$3)),IF($E$3="Todos",SUMIF(TBL_Ventas[Producto],B67,TBL_Ventas[Uds]),SUMIFS(TBL_Ventas[Uds],TBL_Ventas[Producto],B67,TBL_Ventas[Mes],$E$3))))</f>
        <v>5</v>
      </c>
      <c r="E67" s="771">
        <f>IF($B$3="Acumulado",SUMIF(TBL_Ventas[Producto],B67,TBL_Ventas[Importe]),IF($B$3="Semanal",IF($E$3="Todos",SUMIF(TBL_Ventas[Producto],B67,TBL_Ventas[Importe]),SUMIFS(TBL_Ventas[Importe],TBL_Ventas[Producto],B67,TBL_Ventas[Semana],$E$3)),IF($E$3="Todos",SUMIF(TBL_Ventas[Producto],B67,TBL_Ventas[Importe]),SUMIFS(TBL_Ventas[Importe],TBL_Ventas[Producto],B67,TBL_Ventas[Mes],$E$3))))</f>
        <v>13</v>
      </c>
      <c r="F67" s="760">
        <f t="shared" si="12"/>
        <v>2.7382256297918948E-3</v>
      </c>
      <c r="G67" s="760">
        <f t="shared" si="13"/>
        <v>1.7116546565564936E-3</v>
      </c>
      <c r="H67" s="771">
        <f t="shared" si="3"/>
        <v>2.6</v>
      </c>
      <c r="I67" s="772">
        <f t="shared" si="14"/>
        <v>2.5</v>
      </c>
      <c r="J67" s="765">
        <f>IFERROR(VLOOKUP(B67,BD_Datos!$M$1:$N$1014,2,FALSE),0)</f>
        <v>0.5</v>
      </c>
      <c r="K67" s="773">
        <f t="shared" si="15"/>
        <v>10.5</v>
      </c>
      <c r="L67" s="772">
        <f t="shared" si="6"/>
        <v>0.80769230769230771</v>
      </c>
      <c r="M67" s="313">
        <f t="shared" si="7"/>
        <v>0.19230769230769232</v>
      </c>
      <c r="N67" s="313">
        <f t="shared" si="16"/>
        <v>1.6513640266860425E-3</v>
      </c>
      <c r="O67" s="314">
        <f t="shared" si="9"/>
        <v>2.1</v>
      </c>
      <c r="P67" s="313">
        <f t="shared" si="17"/>
        <v>1.7266641342259354E-3</v>
      </c>
      <c r="Q67" s="313">
        <f>SUM(F$6:F67)</f>
        <v>0.734392113910186</v>
      </c>
      <c r="R67" s="313">
        <f>SUM(P$6:P67)</f>
        <v>0.66579346794735783</v>
      </c>
    </row>
    <row r="68" spans="1:18" hidden="1">
      <c r="A68" s="765">
        <v>63</v>
      </c>
      <c r="B68" s="765" t="s">
        <v>2047</v>
      </c>
      <c r="C68" s="765" t="s">
        <v>251</v>
      </c>
      <c r="D68" s="766">
        <f>IF($B$3="Acumulado",SUMIF(TBL_Ventas[Producto],B68,TBL_Ventas[Uds]),IF($B$3="Semanal",IF($E$3="Todos",SUMIF(TBL_Ventas[Producto],B68,TBL_Ventas[Uds]),SUMIFS(TBL_Ventas[Uds],TBL_Ventas[Producto],B68,TBL_Ventas[Semana],$E$3)),IF($E$3="Todos",SUMIF(TBL_Ventas[Producto],B68,TBL_Ventas[Uds]),SUMIFS(TBL_Ventas[Uds],TBL_Ventas[Producto],B68,TBL_Ventas[Mes],$E$3))))</f>
        <v>9</v>
      </c>
      <c r="E68" s="767">
        <f>IF($B$3="Acumulado",SUMIF(TBL_Ventas[Producto],B68,TBL_Ventas[Importe]),IF($B$3="Semanal",IF($E$3="Todos",SUMIF(TBL_Ventas[Producto],B68,TBL_Ventas[Importe]),SUMIFS(TBL_Ventas[Importe],TBL_Ventas[Producto],B68,TBL_Ventas[Semana],$E$3)),IF($E$3="Todos",SUMIF(TBL_Ventas[Producto],B68,TBL_Ventas[Importe]),SUMIFS(TBL_Ventas[Importe],TBL_Ventas[Producto],B68,TBL_Ventas[Mes],$E$3))))</f>
        <v>23.55</v>
      </c>
      <c r="F68" s="768">
        <f t="shared" si="12"/>
        <v>4.9288061336254111E-3</v>
      </c>
      <c r="G68" s="768">
        <f t="shared" si="13"/>
        <v>3.1007282432234944E-3</v>
      </c>
      <c r="H68" s="767">
        <f t="shared" si="3"/>
        <v>2.6166666666666667</v>
      </c>
      <c r="I68" s="765">
        <f t="shared" si="14"/>
        <v>5.0400000000000009</v>
      </c>
      <c r="J68" s="765">
        <f>IFERROR(VLOOKUP(B68,BD_Datos!$M$1:$N$1014,2,FALSE),0)</f>
        <v>0.56000000000000005</v>
      </c>
      <c r="K68" s="769">
        <f t="shared" si="15"/>
        <v>18.509999999999998</v>
      </c>
      <c r="L68" s="765">
        <f t="shared" si="6"/>
        <v>0.78598726114649675</v>
      </c>
      <c r="M68" s="313">
        <f t="shared" si="7"/>
        <v>0.21401273885350322</v>
      </c>
      <c r="N68" s="313">
        <f t="shared" si="16"/>
        <v>3.3291498777990626E-3</v>
      </c>
      <c r="O68" s="314">
        <f t="shared" si="9"/>
        <v>2.0566666666666666</v>
      </c>
      <c r="P68" s="313">
        <f t="shared" si="17"/>
        <v>3.0438622023354345E-3</v>
      </c>
      <c r="Q68" s="313">
        <f>SUM(F$6:F68)</f>
        <v>0.73932092004381145</v>
      </c>
      <c r="R68" s="313">
        <f>SUM(P$6:P68)</f>
        <v>0.66883733014969327</v>
      </c>
    </row>
    <row r="69" spans="1:18">
      <c r="A69" s="74">
        <v>64</v>
      </c>
      <c r="B69" s="74" t="s">
        <v>814</v>
      </c>
      <c r="C69" s="74" t="s">
        <v>815</v>
      </c>
      <c r="D69" s="770">
        <f>IF($B$3="Acumulado",SUMIF(TBL_Ventas[Producto],B69,TBL_Ventas[Uds]),IF($B$3="Semanal",IF($E$3="Todos",SUMIF(TBL_Ventas[Producto],B69,TBL_Ventas[Uds]),SUMIFS(TBL_Ventas[Uds],TBL_Ventas[Producto],B69,TBL_Ventas[Semana],$E$3)),IF($E$3="Todos",SUMIF(TBL_Ventas[Producto],B69,TBL_Ventas[Uds]),SUMIFS(TBL_Ventas[Uds],TBL_Ventas[Producto],B69,TBL_Ventas[Mes],$E$3))))</f>
        <v>5</v>
      </c>
      <c r="E69" s="771">
        <f>IF($B$3="Acumulado",SUMIF(TBL_Ventas[Producto],B69,TBL_Ventas[Importe]),IF($B$3="Semanal",IF($E$3="Todos",SUMIF(TBL_Ventas[Producto],B69,TBL_Ventas[Importe]),SUMIFS(TBL_Ventas[Importe],TBL_Ventas[Producto],B69,TBL_Ventas[Semana],$E$3)),IF($E$3="Todos",SUMIF(TBL_Ventas[Producto],B69,TBL_Ventas[Importe]),SUMIFS(TBL_Ventas[Importe],TBL_Ventas[Producto],B69,TBL_Ventas[Mes],$E$3))))</f>
        <v>26.7</v>
      </c>
      <c r="F69" s="760">
        <f t="shared" si="12"/>
        <v>2.7382256297918948E-3</v>
      </c>
      <c r="G69" s="760">
        <f t="shared" si="13"/>
        <v>3.5154753330814137E-3</v>
      </c>
      <c r="H69" s="771">
        <f t="shared" si="3"/>
        <v>5.34</v>
      </c>
      <c r="I69" s="774">
        <f t="shared" si="14"/>
        <v>3</v>
      </c>
      <c r="J69" s="765">
        <f>IFERROR(VLOOKUP(B69,BD_Datos!$M$1:$N$1014,2,FALSE),0)</f>
        <v>0.6</v>
      </c>
      <c r="K69" s="774">
        <f t="shared" si="15"/>
        <v>23.7</v>
      </c>
      <c r="L69" s="775">
        <f t="shared" si="6"/>
        <v>0.88764044943820219</v>
      </c>
      <c r="M69" s="315">
        <f t="shared" si="7"/>
        <v>0.11235955056179775</v>
      </c>
      <c r="N69" s="315">
        <f t="shared" si="16"/>
        <v>1.9816368320232512E-3</v>
      </c>
      <c r="O69" s="316">
        <f t="shared" si="9"/>
        <v>4.74</v>
      </c>
      <c r="P69" s="315">
        <f t="shared" si="17"/>
        <v>3.8973276172528256E-3</v>
      </c>
      <c r="Q69" s="315">
        <f>SUM(F$6:F69)</f>
        <v>0.74205914567360332</v>
      </c>
      <c r="R69" s="318">
        <f>SUM(P$6:P69)</f>
        <v>0.67273465776694608</v>
      </c>
    </row>
    <row r="70" spans="1:18" hidden="1">
      <c r="A70" s="765">
        <v>65</v>
      </c>
      <c r="B70" s="765" t="s">
        <v>671</v>
      </c>
      <c r="C70" s="765" t="s">
        <v>276</v>
      </c>
      <c r="D70" s="766">
        <f>IF($B$3="Acumulado",SUMIF(TBL_Ventas[Producto],B70,TBL_Ventas[Uds]),IF($B$3="Semanal",IF($E$3="Todos",SUMIF(TBL_Ventas[Producto],B70,TBL_Ventas[Uds]),SUMIFS(TBL_Ventas[Uds],TBL_Ventas[Producto],B70,TBL_Ventas[Semana],$E$3)),IF($E$3="Todos",SUMIF(TBL_Ventas[Producto],B70,TBL_Ventas[Uds]),SUMIFS(TBL_Ventas[Uds],TBL_Ventas[Producto],B70,TBL_Ventas[Mes],$E$3))))</f>
        <v>22</v>
      </c>
      <c r="E70" s="767">
        <f>IF($B$3="Acumulado",SUMIF(TBL_Ventas[Producto],B70,TBL_Ventas[Importe]),IF($B$3="Semanal",IF($E$3="Todos",SUMIF(TBL_Ventas[Producto],B70,TBL_Ventas[Importe]),SUMIFS(TBL_Ventas[Importe],TBL_Ventas[Producto],B70,TBL_Ventas[Semana],$E$3)),IF($E$3="Todos",SUMIF(TBL_Ventas[Producto],B70,TBL_Ventas[Importe]),SUMIFS(TBL_Ventas[Importe],TBL_Ventas[Producto],B70,TBL_Ventas[Mes],$E$3))))</f>
        <v>61</v>
      </c>
      <c r="F70" s="768">
        <f t="shared" ref="F70:F101" si="18">IF(SUM(D$6:D$205)=0,0,D70/SUM(D$6:D$205))</f>
        <v>1.2048192771084338E-2</v>
      </c>
      <c r="G70" s="768">
        <f t="shared" ref="G70:G101" si="19">IF(SUM(E$6:E$205)=0,0,E70/SUM(E$6:E$205))</f>
        <v>8.0316103115343155E-3</v>
      </c>
      <c r="H70" s="767">
        <f t="shared" ref="H70:H133" si="20">IF(D70=0,0,E70/D70)</f>
        <v>2.7727272727272729</v>
      </c>
      <c r="I70" s="765">
        <f t="shared" ref="I70:I101" si="21">J70*D70</f>
        <v>35.200000000000003</v>
      </c>
      <c r="J70" s="765">
        <f>IFERROR(VLOOKUP(B70,BD_Datos!$M$1:$N$1014,2,FALSE),0)</f>
        <v>1.6</v>
      </c>
      <c r="K70" s="769">
        <f t="shared" ref="K70:K101" si="22">E70-I70</f>
        <v>25.799999999999997</v>
      </c>
      <c r="L70" s="765">
        <f t="shared" ref="L70:L133" si="23">IF(E70=0,0,K70/E70)</f>
        <v>0.42295081967213111</v>
      </c>
      <c r="M70" s="313">
        <f t="shared" ref="M70:M133" si="24">IF(E70=0,0,I70/E70)</f>
        <v>0.57704918032786889</v>
      </c>
      <c r="N70" s="313">
        <f t="shared" ref="N70:N101" si="25">IF(SUM(I$6:I$205)=0,0,I70/SUM(I$6:I$205))</f>
        <v>2.3251205495739481E-2</v>
      </c>
      <c r="O70" s="314">
        <f t="shared" ref="O70:O133" si="26">IF(D70=0,0,K70/D70)</f>
        <v>1.1727272727272726</v>
      </c>
      <c r="P70" s="313">
        <f t="shared" ref="P70:P101" si="27">IF(SUM(K$6:K$205)=0,0,K70/SUM(K$6:K$205))</f>
        <v>4.2426604440980124E-3</v>
      </c>
      <c r="Q70" s="313">
        <f>SUM(F$6:F70)</f>
        <v>0.75410733844468769</v>
      </c>
      <c r="R70" s="313">
        <f>SUM(P$6:P70)</f>
        <v>0.67697731821104412</v>
      </c>
    </row>
    <row r="71" spans="1:18" hidden="1">
      <c r="A71" s="74">
        <v>66</v>
      </c>
      <c r="B71" s="74" t="s">
        <v>696</v>
      </c>
      <c r="C71" s="74" t="s">
        <v>323</v>
      </c>
      <c r="D71" s="770">
        <f>IF($B$3="Acumulado",SUMIF(TBL_Ventas[Producto],B71,TBL_Ventas[Uds]),IF($B$3="Semanal",IF($E$3="Todos",SUMIF(TBL_Ventas[Producto],B71,TBL_Ventas[Uds]),SUMIFS(TBL_Ventas[Uds],TBL_Ventas[Producto],B71,TBL_Ventas[Semana],$E$3)),IF($E$3="Todos",SUMIF(TBL_Ventas[Producto],B71,TBL_Ventas[Uds]),SUMIFS(TBL_Ventas[Uds],TBL_Ventas[Producto],B71,TBL_Ventas[Mes],$E$3))))</f>
        <v>13</v>
      </c>
      <c r="E71" s="771">
        <f>IF($B$3="Acumulado",SUMIF(TBL_Ventas[Producto],B71,TBL_Ventas[Importe]),IF($B$3="Semanal",IF($E$3="Todos",SUMIF(TBL_Ventas[Producto],B71,TBL_Ventas[Importe]),SUMIFS(TBL_Ventas[Importe],TBL_Ventas[Producto],B71,TBL_Ventas[Semana],$E$3)),IF($E$3="Todos",SUMIF(TBL_Ventas[Producto],B71,TBL_Ventas[Importe]),SUMIFS(TBL_Ventas[Importe],TBL_Ventas[Producto],B71,TBL_Ventas[Mes],$E$3))))</f>
        <v>150.62</v>
      </c>
      <c r="F71" s="760">
        <f t="shared" si="18"/>
        <v>7.1193866374589269E-3</v>
      </c>
      <c r="G71" s="760">
        <f t="shared" si="19"/>
        <v>1.9831494182349158E-2</v>
      </c>
      <c r="H71" s="771">
        <f t="shared" si="20"/>
        <v>11.586153846153847</v>
      </c>
      <c r="I71" s="772">
        <f t="shared" si="21"/>
        <v>35.75</v>
      </c>
      <c r="J71" s="765">
        <f>IFERROR(VLOOKUP(B71,BD_Datos!$M$1:$N$1014,2,FALSE),0)</f>
        <v>2.75</v>
      </c>
      <c r="K71" s="773">
        <f t="shared" si="22"/>
        <v>114.87</v>
      </c>
      <c r="L71" s="772">
        <f t="shared" si="23"/>
        <v>0.76264772274598325</v>
      </c>
      <c r="M71" s="313">
        <f t="shared" si="24"/>
        <v>0.23735227725401672</v>
      </c>
      <c r="N71" s="313">
        <f t="shared" si="25"/>
        <v>2.361450558161041E-2</v>
      </c>
      <c r="O71" s="314">
        <f t="shared" si="26"/>
        <v>8.8361538461538469</v>
      </c>
      <c r="P71" s="313">
        <f t="shared" si="27"/>
        <v>1.8889705628431733E-2</v>
      </c>
      <c r="Q71" s="313">
        <f>SUM(F$6:F71)</f>
        <v>0.76122672508214662</v>
      </c>
      <c r="R71" s="313">
        <f>SUM(P$6:P71)</f>
        <v>0.69586702383947585</v>
      </c>
    </row>
    <row r="72" spans="1:18" hidden="1">
      <c r="A72" s="765">
        <v>67</v>
      </c>
      <c r="B72" s="765" t="s">
        <v>1114</v>
      </c>
      <c r="C72" s="765" t="s">
        <v>256</v>
      </c>
      <c r="D72" s="766">
        <f>IF($B$3="Acumulado",SUMIF(TBL_Ventas[Producto],B72,TBL_Ventas[Uds]),IF($B$3="Semanal",IF($E$3="Todos",SUMIF(TBL_Ventas[Producto],B72,TBL_Ventas[Uds]),SUMIFS(TBL_Ventas[Uds],TBL_Ventas[Producto],B72,TBL_Ventas[Semana],$E$3)),IF($E$3="Todos",SUMIF(TBL_Ventas[Producto],B72,TBL_Ventas[Uds]),SUMIFS(TBL_Ventas[Uds],TBL_Ventas[Producto],B72,TBL_Ventas[Mes],$E$3))))</f>
        <v>0</v>
      </c>
      <c r="E72" s="767">
        <f>IF($B$3="Acumulado",SUMIF(TBL_Ventas[Producto],B72,TBL_Ventas[Importe]),IF($B$3="Semanal",IF($E$3="Todos",SUMIF(TBL_Ventas[Producto],B72,TBL_Ventas[Importe]),SUMIFS(TBL_Ventas[Importe],TBL_Ventas[Producto],B72,TBL_Ventas[Semana],$E$3)),IF($E$3="Todos",SUMIF(TBL_Ventas[Producto],B72,TBL_Ventas[Importe]),SUMIFS(TBL_Ventas[Importe],TBL_Ventas[Producto],B72,TBL_Ventas[Mes],$E$3))))</f>
        <v>0</v>
      </c>
      <c r="F72" s="768">
        <f t="shared" si="18"/>
        <v>0</v>
      </c>
      <c r="G72" s="768">
        <f t="shared" si="19"/>
        <v>0</v>
      </c>
      <c r="H72" s="767">
        <f t="shared" si="20"/>
        <v>0</v>
      </c>
      <c r="I72" s="765">
        <f t="shared" si="21"/>
        <v>0</v>
      </c>
      <c r="J72" s="765">
        <f>IFERROR(VLOOKUP(B72,BD_Datos!$M$1:$N$1014,2,FALSE),0)</f>
        <v>1.71</v>
      </c>
      <c r="K72" s="769">
        <f t="shared" si="22"/>
        <v>0</v>
      </c>
      <c r="L72" s="765">
        <f t="shared" si="23"/>
        <v>0</v>
      </c>
      <c r="M72" s="313">
        <f t="shared" si="24"/>
        <v>0</v>
      </c>
      <c r="N72" s="313">
        <f t="shared" si="25"/>
        <v>0</v>
      </c>
      <c r="O72" s="314">
        <f t="shared" si="26"/>
        <v>0</v>
      </c>
      <c r="P72" s="313">
        <f t="shared" si="27"/>
        <v>0</v>
      </c>
      <c r="Q72" s="313">
        <f>SUM(F$6:F72)</f>
        <v>0.76122672508214662</v>
      </c>
      <c r="R72" s="313">
        <f>SUM(P$6:P72)</f>
        <v>0.69586702383947585</v>
      </c>
    </row>
    <row r="73" spans="1:18" hidden="1">
      <c r="A73" s="74">
        <v>68</v>
      </c>
      <c r="B73" s="74" t="s">
        <v>761</v>
      </c>
      <c r="C73" s="74" t="s">
        <v>730</v>
      </c>
      <c r="D73" s="770">
        <f>IF($B$3="Acumulado",SUMIF(TBL_Ventas[Producto],B73,TBL_Ventas[Uds]),IF($B$3="Semanal",IF($E$3="Todos",SUMIF(TBL_Ventas[Producto],B73,TBL_Ventas[Uds]),SUMIFS(TBL_Ventas[Uds],TBL_Ventas[Producto],B73,TBL_Ventas[Semana],$E$3)),IF($E$3="Todos",SUMIF(TBL_Ventas[Producto],B73,TBL_Ventas[Uds]),SUMIFS(TBL_Ventas[Uds],TBL_Ventas[Producto],B73,TBL_Ventas[Mes],$E$3))))</f>
        <v>2</v>
      </c>
      <c r="E73" s="771">
        <f>IF($B$3="Acumulado",SUMIF(TBL_Ventas[Producto],B73,TBL_Ventas[Importe]),IF($B$3="Semanal",IF($E$3="Todos",SUMIF(TBL_Ventas[Producto],B73,TBL_Ventas[Importe]),SUMIFS(TBL_Ventas[Importe],TBL_Ventas[Producto],B73,TBL_Ventas[Semana],$E$3)),IF($E$3="Todos",SUMIF(TBL_Ventas[Producto],B73,TBL_Ventas[Importe]),SUMIFS(TBL_Ventas[Importe],TBL_Ventas[Producto],B73,TBL_Ventas[Mes],$E$3))))</f>
        <v>6.1</v>
      </c>
      <c r="F73" s="760">
        <f t="shared" si="18"/>
        <v>1.0952902519167579E-3</v>
      </c>
      <c r="G73" s="760">
        <f t="shared" si="19"/>
        <v>8.0316103115343155E-4</v>
      </c>
      <c r="H73" s="771">
        <f t="shared" si="20"/>
        <v>3.05</v>
      </c>
      <c r="I73" s="772">
        <f t="shared" si="21"/>
        <v>0.36</v>
      </c>
      <c r="J73" s="765">
        <f>IFERROR(VLOOKUP(B73,BD_Datos!$M$1:$N$1014,2,FALSE),0)</f>
        <v>0.18</v>
      </c>
      <c r="K73" s="773">
        <f t="shared" si="22"/>
        <v>5.7399999999999993</v>
      </c>
      <c r="L73" s="772">
        <f t="shared" si="23"/>
        <v>0.94098360655737701</v>
      </c>
      <c r="M73" s="313">
        <f t="shared" si="24"/>
        <v>5.9016393442622953E-2</v>
      </c>
      <c r="N73" s="313">
        <f t="shared" si="25"/>
        <v>2.3779641984279012E-4</v>
      </c>
      <c r="O73" s="314">
        <f t="shared" si="26"/>
        <v>2.8699999999999997</v>
      </c>
      <c r="P73" s="313">
        <f t="shared" si="27"/>
        <v>9.4390972671017787E-4</v>
      </c>
      <c r="Q73" s="313">
        <f>SUM(F$6:F73)</f>
        <v>0.76232201533406341</v>
      </c>
      <c r="R73" s="313">
        <f>SUM(P$6:P73)</f>
        <v>0.69681093356618606</v>
      </c>
    </row>
    <row r="74" spans="1:18" hidden="1">
      <c r="A74" s="765">
        <v>69</v>
      </c>
      <c r="B74" s="765" t="s">
        <v>694</v>
      </c>
      <c r="C74" s="765" t="s">
        <v>695</v>
      </c>
      <c r="D74" s="766">
        <f>IF($B$3="Acumulado",SUMIF(TBL_Ventas[Producto],B74,TBL_Ventas[Uds]),IF($B$3="Semanal",IF($E$3="Todos",SUMIF(TBL_Ventas[Producto],B74,TBL_Ventas[Uds]),SUMIFS(TBL_Ventas[Uds],TBL_Ventas[Producto],B74,TBL_Ventas[Semana],$E$3)),IF($E$3="Todos",SUMIF(TBL_Ventas[Producto],B74,TBL_Ventas[Uds]),SUMIFS(TBL_Ventas[Uds],TBL_Ventas[Producto],B74,TBL_Ventas[Mes],$E$3))))</f>
        <v>8</v>
      </c>
      <c r="E74" s="767">
        <f>IF($B$3="Acumulado",SUMIF(TBL_Ventas[Producto],B74,TBL_Ventas[Importe]),IF($B$3="Semanal",IF($E$3="Todos",SUMIF(TBL_Ventas[Producto],B74,TBL_Ventas[Importe]),SUMIFS(TBL_Ventas[Importe],TBL_Ventas[Producto],B74,TBL_Ventas[Semana],$E$3)),IF($E$3="Todos",SUMIF(TBL_Ventas[Producto],B74,TBL_Ventas[Importe]),SUMIFS(TBL_Ventas[Importe],TBL_Ventas[Producto],B74,TBL_Ventas[Mes],$E$3))))</f>
        <v>30.21</v>
      </c>
      <c r="F74" s="768">
        <f t="shared" si="18"/>
        <v>4.3811610076670317E-3</v>
      </c>
      <c r="G74" s="768">
        <f t="shared" si="19"/>
        <v>3.9776220903516672E-3</v>
      </c>
      <c r="H74" s="767">
        <f t="shared" si="20"/>
        <v>3.7762500000000001</v>
      </c>
      <c r="I74" s="765">
        <f t="shared" si="21"/>
        <v>5.36</v>
      </c>
      <c r="J74" s="765">
        <f>IFERROR(VLOOKUP(B74,BD_Datos!$M$1:$N$1014,2,FALSE),0)</f>
        <v>0.67</v>
      </c>
      <c r="K74" s="769">
        <f t="shared" si="22"/>
        <v>24.85</v>
      </c>
      <c r="L74" s="765">
        <f t="shared" si="23"/>
        <v>0.8225753061900033</v>
      </c>
      <c r="M74" s="313">
        <f t="shared" si="24"/>
        <v>0.1774246938099967</v>
      </c>
      <c r="N74" s="313">
        <f t="shared" si="25"/>
        <v>3.5405244732148755E-3</v>
      </c>
      <c r="O74" s="314">
        <f t="shared" si="26"/>
        <v>3.1062500000000002</v>
      </c>
      <c r="P74" s="313">
        <f t="shared" si="27"/>
        <v>4.0864384510013807E-3</v>
      </c>
      <c r="Q74" s="313">
        <f>SUM(F$6:F74)</f>
        <v>0.76670317634173046</v>
      </c>
      <c r="R74" s="313">
        <f>SUM(P$6:P74)</f>
        <v>0.70089737201718749</v>
      </c>
    </row>
    <row r="75" spans="1:18" hidden="1">
      <c r="A75" s="74">
        <v>70</v>
      </c>
      <c r="B75" s="74" t="s">
        <v>1012</v>
      </c>
      <c r="C75" s="74" t="s">
        <v>256</v>
      </c>
      <c r="D75" s="770">
        <f>IF($B$3="Acumulado",SUMIF(TBL_Ventas[Producto],B75,TBL_Ventas[Uds]),IF($B$3="Semanal",IF($E$3="Todos",SUMIF(TBL_Ventas[Producto],B75,TBL_Ventas[Uds]),SUMIFS(TBL_Ventas[Uds],TBL_Ventas[Producto],B75,TBL_Ventas[Semana],$E$3)),IF($E$3="Todos",SUMIF(TBL_Ventas[Producto],B75,TBL_Ventas[Uds]),SUMIFS(TBL_Ventas[Uds],TBL_Ventas[Producto],B75,TBL_Ventas[Mes],$E$3))))</f>
        <v>10</v>
      </c>
      <c r="E75" s="771">
        <f>IF($B$3="Acumulado",SUMIF(TBL_Ventas[Producto],B75,TBL_Ventas[Importe]),IF($B$3="Semanal",IF($E$3="Todos",SUMIF(TBL_Ventas[Producto],B75,TBL_Ventas[Importe]),SUMIFS(TBL_Ventas[Importe],TBL_Ventas[Producto],B75,TBL_Ventas[Semana],$E$3)),IF($E$3="Todos",SUMIF(TBL_Ventas[Producto],B75,TBL_Ventas[Importe]),SUMIFS(TBL_Ventas[Importe],TBL_Ventas[Producto],B75,TBL_Ventas[Mes],$E$3))))</f>
        <v>115</v>
      </c>
      <c r="F75" s="760">
        <f t="shared" si="18"/>
        <v>5.4764512595837896E-3</v>
      </c>
      <c r="G75" s="760">
        <f t="shared" si="19"/>
        <v>1.5141560423384366E-2</v>
      </c>
      <c r="H75" s="771">
        <f t="shared" si="20"/>
        <v>11.5</v>
      </c>
      <c r="I75" s="772">
        <f t="shared" si="21"/>
        <v>26.6</v>
      </c>
      <c r="J75" s="765">
        <f>IFERROR(VLOOKUP(B75,BD_Datos!$M$1:$N$1014,2,FALSE),0)</f>
        <v>2.66</v>
      </c>
      <c r="K75" s="773">
        <f t="shared" si="22"/>
        <v>88.4</v>
      </c>
      <c r="L75" s="772">
        <f t="shared" si="23"/>
        <v>0.76869565217391311</v>
      </c>
      <c r="M75" s="313">
        <f t="shared" si="24"/>
        <v>0.23130434782608697</v>
      </c>
      <c r="N75" s="313">
        <f t="shared" si="25"/>
        <v>1.7570513243939493E-2</v>
      </c>
      <c r="O75" s="314">
        <f t="shared" si="26"/>
        <v>8.84</v>
      </c>
      <c r="P75" s="313">
        <f t="shared" si="27"/>
        <v>1.4536867568149781E-2</v>
      </c>
      <c r="Q75" s="313">
        <f>SUM(F$6:F75)</f>
        <v>0.7721796276013142</v>
      </c>
      <c r="R75" s="313">
        <f>SUM(P$6:P75)</f>
        <v>0.71543423958533725</v>
      </c>
    </row>
    <row r="76" spans="1:18" hidden="1">
      <c r="A76" s="765">
        <v>71</v>
      </c>
      <c r="B76" s="765" t="s">
        <v>915</v>
      </c>
      <c r="C76" s="765" t="s">
        <v>277</v>
      </c>
      <c r="D76" s="766">
        <f>IF($B$3="Acumulado",SUMIF(TBL_Ventas[Producto],B76,TBL_Ventas[Uds]),IF($B$3="Semanal",IF($E$3="Todos",SUMIF(TBL_Ventas[Producto],B76,TBL_Ventas[Uds]),SUMIFS(TBL_Ventas[Uds],TBL_Ventas[Producto],B76,TBL_Ventas[Semana],$E$3)),IF($E$3="Todos",SUMIF(TBL_Ventas[Producto],B76,TBL_Ventas[Uds]),SUMIFS(TBL_Ventas[Uds],TBL_Ventas[Producto],B76,TBL_Ventas[Mes],$E$3))))</f>
        <v>10</v>
      </c>
      <c r="E76" s="767">
        <f>IF($B$3="Acumulado",SUMIF(TBL_Ventas[Producto],B76,TBL_Ventas[Importe]),IF($B$3="Semanal",IF($E$3="Todos",SUMIF(TBL_Ventas[Producto],B76,TBL_Ventas[Importe]),SUMIFS(TBL_Ventas[Importe],TBL_Ventas[Producto],B76,TBL_Ventas[Semana],$E$3)),IF($E$3="Todos",SUMIF(TBL_Ventas[Producto],B76,TBL_Ventas[Importe]),SUMIFS(TBL_Ventas[Importe],TBL_Ventas[Producto],B76,TBL_Ventas[Mes],$E$3))))</f>
        <v>109.25</v>
      </c>
      <c r="F76" s="768">
        <f t="shared" si="18"/>
        <v>5.4764512595837896E-3</v>
      </c>
      <c r="G76" s="768">
        <f t="shared" si="19"/>
        <v>1.4384482402215149E-2</v>
      </c>
      <c r="H76" s="767">
        <f t="shared" si="20"/>
        <v>10.925000000000001</v>
      </c>
      <c r="I76" s="765">
        <f t="shared" si="21"/>
        <v>25.4</v>
      </c>
      <c r="J76" s="765">
        <f>IFERROR(VLOOKUP(B76,BD_Datos!$M$1:$N$1014,2,FALSE),0)</f>
        <v>2.54</v>
      </c>
      <c r="K76" s="769">
        <f t="shared" si="22"/>
        <v>83.85</v>
      </c>
      <c r="L76" s="765">
        <f t="shared" si="23"/>
        <v>0.76750572082379853</v>
      </c>
      <c r="M76" s="313">
        <f t="shared" si="24"/>
        <v>0.23249427917620136</v>
      </c>
      <c r="N76" s="313">
        <f t="shared" si="25"/>
        <v>1.677785851113019E-2</v>
      </c>
      <c r="O76" s="314">
        <f t="shared" si="26"/>
        <v>8.3849999999999998</v>
      </c>
      <c r="P76" s="313">
        <f t="shared" si="27"/>
        <v>1.378864644331854E-2</v>
      </c>
      <c r="Q76" s="313">
        <f>SUM(F$6:F76)</f>
        <v>0.77765607886089794</v>
      </c>
      <c r="R76" s="313">
        <f>SUM(P$6:P76)</f>
        <v>0.72922288602865581</v>
      </c>
    </row>
    <row r="77" spans="1:18" hidden="1">
      <c r="A77" s="74">
        <v>72</v>
      </c>
      <c r="B77" s="74" t="s">
        <v>933</v>
      </c>
      <c r="C77" s="74" t="s">
        <v>275</v>
      </c>
      <c r="D77" s="770">
        <f>IF($B$3="Acumulado",SUMIF(TBL_Ventas[Producto],B77,TBL_Ventas[Uds]),IF($B$3="Semanal",IF($E$3="Todos",SUMIF(TBL_Ventas[Producto],B77,TBL_Ventas[Uds]),SUMIFS(TBL_Ventas[Uds],TBL_Ventas[Producto],B77,TBL_Ventas[Semana],$E$3)),IF($E$3="Todos",SUMIF(TBL_Ventas[Producto],B77,TBL_Ventas[Uds]),SUMIFS(TBL_Ventas[Uds],TBL_Ventas[Producto],B77,TBL_Ventas[Mes],$E$3))))</f>
        <v>16</v>
      </c>
      <c r="E77" s="771">
        <f>IF($B$3="Acumulado",SUMIF(TBL_Ventas[Producto],B77,TBL_Ventas[Importe]),IF($B$3="Semanal",IF($E$3="Todos",SUMIF(TBL_Ventas[Producto],B77,TBL_Ventas[Importe]),SUMIFS(TBL_Ventas[Importe],TBL_Ventas[Producto],B77,TBL_Ventas[Semana],$E$3)),IF($E$3="Todos",SUMIF(TBL_Ventas[Producto],B77,TBL_Ventas[Importe]),SUMIFS(TBL_Ventas[Importe],TBL_Ventas[Producto],B77,TBL_Ventas[Mes],$E$3))))</f>
        <v>76.25</v>
      </c>
      <c r="F77" s="760">
        <f t="shared" si="18"/>
        <v>8.7623220153340634E-3</v>
      </c>
      <c r="G77" s="760">
        <f t="shared" si="19"/>
        <v>1.0039512889417896E-2</v>
      </c>
      <c r="H77" s="771">
        <f t="shared" si="20"/>
        <v>4.765625</v>
      </c>
      <c r="I77" s="772">
        <f t="shared" si="21"/>
        <v>6.56</v>
      </c>
      <c r="J77" s="765">
        <f>IFERROR(VLOOKUP(B77,BD_Datos!$M$1:$N$1014,2,FALSE),0)</f>
        <v>0.41</v>
      </c>
      <c r="K77" s="773">
        <f t="shared" si="22"/>
        <v>69.69</v>
      </c>
      <c r="L77" s="772">
        <f t="shared" si="23"/>
        <v>0.91396721311475404</v>
      </c>
      <c r="M77" s="313">
        <f t="shared" si="24"/>
        <v>8.603278688524589E-2</v>
      </c>
      <c r="N77" s="313">
        <f t="shared" si="25"/>
        <v>4.3331792060241755E-3</v>
      </c>
      <c r="O77" s="314">
        <f t="shared" si="26"/>
        <v>4.3556249999999999</v>
      </c>
      <c r="P77" s="313">
        <f t="shared" si="27"/>
        <v>1.1460116525162422E-2</v>
      </c>
      <c r="Q77" s="313">
        <f>SUM(F$6:F77)</f>
        <v>0.78641840087623205</v>
      </c>
      <c r="R77" s="313">
        <f>SUM(P$6:P77)</f>
        <v>0.74068300255381825</v>
      </c>
    </row>
    <row r="78" spans="1:18" hidden="1">
      <c r="A78" s="765">
        <v>73</v>
      </c>
      <c r="B78" s="765" t="s">
        <v>723</v>
      </c>
      <c r="C78" s="765" t="s">
        <v>713</v>
      </c>
      <c r="D78" s="766">
        <f>IF($B$3="Acumulado",SUMIF(TBL_Ventas[Producto],B78,TBL_Ventas[Uds]),IF($B$3="Semanal",IF($E$3="Todos",SUMIF(TBL_Ventas[Producto],B78,TBL_Ventas[Uds]),SUMIFS(TBL_Ventas[Uds],TBL_Ventas[Producto],B78,TBL_Ventas[Semana],$E$3)),IF($E$3="Todos",SUMIF(TBL_Ventas[Producto],B78,TBL_Ventas[Uds]),SUMIFS(TBL_Ventas[Uds],TBL_Ventas[Producto],B78,TBL_Ventas[Mes],$E$3))))</f>
        <v>4</v>
      </c>
      <c r="E78" s="767">
        <f>IF($B$3="Acumulado",SUMIF(TBL_Ventas[Producto],B78,TBL_Ventas[Importe]),IF($B$3="Semanal",IF($E$3="Todos",SUMIF(TBL_Ventas[Producto],B78,TBL_Ventas[Importe]),SUMIFS(TBL_Ventas[Importe],TBL_Ventas[Producto],B78,TBL_Ventas[Semana],$E$3)),IF($E$3="Todos",SUMIF(TBL_Ventas[Producto],B78,TBL_Ventas[Importe]),SUMIFS(TBL_Ventas[Importe],TBL_Ventas[Producto],B78,TBL_Ventas[Mes],$E$3))))</f>
        <v>11.74</v>
      </c>
      <c r="F78" s="768">
        <f t="shared" si="18"/>
        <v>2.1905805038335158E-3</v>
      </c>
      <c r="G78" s="768">
        <f t="shared" si="19"/>
        <v>1.5457558206133258E-3</v>
      </c>
      <c r="H78" s="767">
        <f t="shared" si="20"/>
        <v>2.9350000000000001</v>
      </c>
      <c r="I78" s="765">
        <f t="shared" si="21"/>
        <v>0.92</v>
      </c>
      <c r="J78" s="765">
        <f>IFERROR(VLOOKUP(B78,BD_Datos!$M$1:$N$1014,2,FALSE),0)</f>
        <v>0.23</v>
      </c>
      <c r="K78" s="769">
        <f t="shared" si="22"/>
        <v>10.82</v>
      </c>
      <c r="L78" s="765">
        <f t="shared" si="23"/>
        <v>0.92163543441226581</v>
      </c>
      <c r="M78" s="313">
        <f t="shared" si="24"/>
        <v>7.8364565587734247E-2</v>
      </c>
      <c r="N78" s="313">
        <f t="shared" si="25"/>
        <v>6.0770196182046365E-4</v>
      </c>
      <c r="O78" s="314">
        <f t="shared" si="26"/>
        <v>2.7050000000000001</v>
      </c>
      <c r="P78" s="313">
        <f t="shared" si="27"/>
        <v>1.7792862792690115E-3</v>
      </c>
      <c r="Q78" s="313">
        <f>SUM(F$6:F78)</f>
        <v>0.78860898138006552</v>
      </c>
      <c r="R78" s="313">
        <f>SUM(P$6:P78)</f>
        <v>0.74246228883308729</v>
      </c>
    </row>
    <row r="79" spans="1:18" hidden="1">
      <c r="A79" s="74">
        <v>74</v>
      </c>
      <c r="B79" s="74" t="s">
        <v>698</v>
      </c>
      <c r="C79" s="74" t="s">
        <v>249</v>
      </c>
      <c r="D79" s="770">
        <f>IF($B$3="Acumulado",SUMIF(TBL_Ventas[Producto],B79,TBL_Ventas[Uds]),IF($B$3="Semanal",IF($E$3="Todos",SUMIF(TBL_Ventas[Producto],B79,TBL_Ventas[Uds]),SUMIFS(TBL_Ventas[Uds],TBL_Ventas[Producto],B79,TBL_Ventas[Semana],$E$3)),IF($E$3="Todos",SUMIF(TBL_Ventas[Producto],B79,TBL_Ventas[Uds]),SUMIFS(TBL_Ventas[Uds],TBL_Ventas[Producto],B79,TBL_Ventas[Mes],$E$3))))</f>
        <v>4</v>
      </c>
      <c r="E79" s="771">
        <f>IF($B$3="Acumulado",SUMIF(TBL_Ventas[Producto],B79,TBL_Ventas[Importe]),IF($B$3="Semanal",IF($E$3="Todos",SUMIF(TBL_Ventas[Producto],B79,TBL_Ventas[Importe]),SUMIFS(TBL_Ventas[Importe],TBL_Ventas[Producto],B79,TBL_Ventas[Semana],$E$3)),IF($E$3="Todos",SUMIF(TBL_Ventas[Producto],B79,TBL_Ventas[Importe]),SUMIFS(TBL_Ventas[Importe],TBL_Ventas[Producto],B79,TBL_Ventas[Mes],$E$3))))</f>
        <v>9.27</v>
      </c>
      <c r="F79" s="760">
        <f t="shared" si="18"/>
        <v>2.1905805038335158E-3</v>
      </c>
      <c r="G79" s="760">
        <f t="shared" si="19"/>
        <v>1.2205414358675919E-3</v>
      </c>
      <c r="H79" s="771">
        <f t="shared" si="20"/>
        <v>2.3174999999999999</v>
      </c>
      <c r="I79" s="772">
        <f t="shared" si="21"/>
        <v>1.28</v>
      </c>
      <c r="J79" s="765">
        <f>IFERROR(VLOOKUP(B79,BD_Datos!$M$1:$N$1014,2,FALSE),0)</f>
        <v>0.32</v>
      </c>
      <c r="K79" s="773">
        <f t="shared" si="22"/>
        <v>7.9899999999999993</v>
      </c>
      <c r="L79" s="772">
        <f t="shared" si="23"/>
        <v>0.86192017259978426</v>
      </c>
      <c r="M79" s="313">
        <f t="shared" si="24"/>
        <v>0.13807982740021577</v>
      </c>
      <c r="N79" s="313">
        <f t="shared" si="25"/>
        <v>8.4549838166325382E-4</v>
      </c>
      <c r="O79" s="314">
        <f t="shared" si="26"/>
        <v>1.9974999999999998</v>
      </c>
      <c r="P79" s="313">
        <f t="shared" si="27"/>
        <v>1.313909184044307E-3</v>
      </c>
      <c r="Q79" s="313">
        <f>SUM(F$6:F79)</f>
        <v>0.79079956188389899</v>
      </c>
      <c r="R79" s="313">
        <f>SUM(P$6:P79)</f>
        <v>0.74377619801713157</v>
      </c>
    </row>
    <row r="80" spans="1:18" hidden="1">
      <c r="A80" s="765">
        <v>75</v>
      </c>
      <c r="B80" s="765" t="s">
        <v>791</v>
      </c>
      <c r="C80" s="765" t="s">
        <v>256</v>
      </c>
      <c r="D80" s="766">
        <f>IF($B$3="Acumulado",SUMIF(TBL_Ventas[Producto],B80,TBL_Ventas[Uds]),IF($B$3="Semanal",IF($E$3="Todos",SUMIF(TBL_Ventas[Producto],B80,TBL_Ventas[Uds]),SUMIFS(TBL_Ventas[Uds],TBL_Ventas[Producto],B80,TBL_Ventas[Semana],$E$3)),IF($E$3="Todos",SUMIF(TBL_Ventas[Producto],B80,TBL_Ventas[Uds]),SUMIFS(TBL_Ventas[Uds],TBL_Ventas[Producto],B80,TBL_Ventas[Mes],$E$3))))</f>
        <v>0</v>
      </c>
      <c r="E80" s="767">
        <f>IF($B$3="Acumulado",SUMIF(TBL_Ventas[Producto],B80,TBL_Ventas[Importe]),IF($B$3="Semanal",IF($E$3="Todos",SUMIF(TBL_Ventas[Producto],B80,TBL_Ventas[Importe]),SUMIFS(TBL_Ventas[Importe],TBL_Ventas[Producto],B80,TBL_Ventas[Semana],$E$3)),IF($E$3="Todos",SUMIF(TBL_Ventas[Producto],B80,TBL_Ventas[Importe]),SUMIFS(TBL_Ventas[Importe],TBL_Ventas[Producto],B80,TBL_Ventas[Mes],$E$3))))</f>
        <v>0</v>
      </c>
      <c r="F80" s="768">
        <f t="shared" si="18"/>
        <v>0</v>
      </c>
      <c r="G80" s="768">
        <f t="shared" si="19"/>
        <v>0</v>
      </c>
      <c r="H80" s="767">
        <f t="shared" si="20"/>
        <v>0</v>
      </c>
      <c r="I80" s="765">
        <f t="shared" si="21"/>
        <v>0</v>
      </c>
      <c r="J80" s="765">
        <f>IFERROR(VLOOKUP(B80,BD_Datos!$M$1:$N$1014,2,FALSE),0)</f>
        <v>0</v>
      </c>
      <c r="K80" s="769">
        <f t="shared" si="22"/>
        <v>0</v>
      </c>
      <c r="L80" s="765">
        <f t="shared" si="23"/>
        <v>0</v>
      </c>
      <c r="M80" s="313">
        <f t="shared" si="24"/>
        <v>0</v>
      </c>
      <c r="N80" s="313">
        <f t="shared" si="25"/>
        <v>0</v>
      </c>
      <c r="O80" s="314">
        <f t="shared" si="26"/>
        <v>0</v>
      </c>
      <c r="P80" s="313">
        <f t="shared" si="27"/>
        <v>0</v>
      </c>
      <c r="Q80" s="313">
        <f>SUM(F$6:F80)</f>
        <v>0.79079956188389899</v>
      </c>
      <c r="R80" s="313">
        <f>SUM(P$6:P80)</f>
        <v>0.74377619801713157</v>
      </c>
    </row>
    <row r="81" spans="1:18" hidden="1">
      <c r="A81" s="74">
        <v>76</v>
      </c>
      <c r="B81" s="74" t="s">
        <v>714</v>
      </c>
      <c r="C81" s="74" t="s">
        <v>251</v>
      </c>
      <c r="D81" s="770">
        <f>IF($B$3="Acumulado",SUMIF(TBL_Ventas[Producto],B81,TBL_Ventas[Uds]),IF($B$3="Semanal",IF($E$3="Todos",SUMIF(TBL_Ventas[Producto],B81,TBL_Ventas[Uds]),SUMIFS(TBL_Ventas[Uds],TBL_Ventas[Producto],B81,TBL_Ventas[Semana],$E$3)),IF($E$3="Todos",SUMIF(TBL_Ventas[Producto],B81,TBL_Ventas[Uds]),SUMIFS(TBL_Ventas[Uds],TBL_Ventas[Producto],B81,TBL_Ventas[Mes],$E$3))))</f>
        <v>2</v>
      </c>
      <c r="E81" s="771">
        <f>IF($B$3="Acumulado",SUMIF(TBL_Ventas[Producto],B81,TBL_Ventas[Importe]),IF($B$3="Semanal",IF($E$3="Todos",SUMIF(TBL_Ventas[Producto],B81,TBL_Ventas[Importe]),SUMIFS(TBL_Ventas[Importe],TBL_Ventas[Producto],B81,TBL_Ventas[Semana],$E$3)),IF($E$3="Todos",SUMIF(TBL_Ventas[Producto],B81,TBL_Ventas[Importe]),SUMIFS(TBL_Ventas[Importe],TBL_Ventas[Producto],B81,TBL_Ventas[Mes],$E$3))))</f>
        <v>1.41</v>
      </c>
      <c r="F81" s="760">
        <f t="shared" si="18"/>
        <v>1.0952902519167579E-3</v>
      </c>
      <c r="G81" s="760">
        <f t="shared" si="19"/>
        <v>1.8564869736497353E-4</v>
      </c>
      <c r="H81" s="771">
        <f t="shared" si="20"/>
        <v>0.70499999999999996</v>
      </c>
      <c r="I81" s="772">
        <f t="shared" si="21"/>
        <v>0</v>
      </c>
      <c r="J81" s="765">
        <f>IFERROR(VLOOKUP(B81,BD_Datos!$M$1:$N$1014,2,FALSE),0)</f>
        <v>0</v>
      </c>
      <c r="K81" s="773">
        <f t="shared" si="22"/>
        <v>1.41</v>
      </c>
      <c r="L81" s="772">
        <f t="shared" si="23"/>
        <v>1</v>
      </c>
      <c r="M81" s="313">
        <f t="shared" si="24"/>
        <v>0</v>
      </c>
      <c r="N81" s="313">
        <f t="shared" si="25"/>
        <v>0</v>
      </c>
      <c r="O81" s="314">
        <f t="shared" si="26"/>
        <v>0.70499999999999996</v>
      </c>
      <c r="P81" s="313">
        <f t="shared" si="27"/>
        <v>2.3186632659605416E-4</v>
      </c>
      <c r="Q81" s="313">
        <f>SUM(F$6:F81)</f>
        <v>0.79189485213581579</v>
      </c>
      <c r="R81" s="313">
        <f>SUM(P$6:P81)</f>
        <v>0.74400806434372768</v>
      </c>
    </row>
    <row r="82" spans="1:18" hidden="1">
      <c r="A82" s="765">
        <v>77</v>
      </c>
      <c r="B82" s="765" t="s">
        <v>991</v>
      </c>
      <c r="C82" s="765" t="s">
        <v>266</v>
      </c>
      <c r="D82" s="766">
        <f>IF($B$3="Acumulado",SUMIF(TBL_Ventas[Producto],B82,TBL_Ventas[Uds]),IF($B$3="Semanal",IF($E$3="Todos",SUMIF(TBL_Ventas[Producto],B82,TBL_Ventas[Uds]),SUMIFS(TBL_Ventas[Uds],TBL_Ventas[Producto],B82,TBL_Ventas[Semana],$E$3)),IF($E$3="Todos",SUMIF(TBL_Ventas[Producto],B82,TBL_Ventas[Uds]),SUMIFS(TBL_Ventas[Uds],TBL_Ventas[Producto],B82,TBL_Ventas[Mes],$E$3))))</f>
        <v>0</v>
      </c>
      <c r="E82" s="767">
        <f>IF($B$3="Acumulado",SUMIF(TBL_Ventas[Producto],B82,TBL_Ventas[Importe]),IF($B$3="Semanal",IF($E$3="Todos",SUMIF(TBL_Ventas[Producto],B82,TBL_Ventas[Importe]),SUMIFS(TBL_Ventas[Importe],TBL_Ventas[Producto],B82,TBL_Ventas[Semana],$E$3)),IF($E$3="Todos",SUMIF(TBL_Ventas[Producto],B82,TBL_Ventas[Importe]),SUMIFS(TBL_Ventas[Importe],TBL_Ventas[Producto],B82,TBL_Ventas[Mes],$E$3))))</f>
        <v>0</v>
      </c>
      <c r="F82" s="768">
        <f t="shared" si="18"/>
        <v>0</v>
      </c>
      <c r="G82" s="768">
        <f t="shared" si="19"/>
        <v>0</v>
      </c>
      <c r="H82" s="767">
        <f t="shared" si="20"/>
        <v>0</v>
      </c>
      <c r="I82" s="765">
        <f t="shared" si="21"/>
        <v>0</v>
      </c>
      <c r="J82" s="765">
        <f>IFERROR(VLOOKUP(B82,BD_Datos!$M$1:$N$1014,2,FALSE),0)</f>
        <v>0.32</v>
      </c>
      <c r="K82" s="769">
        <f t="shared" si="22"/>
        <v>0</v>
      </c>
      <c r="L82" s="765">
        <f t="shared" si="23"/>
        <v>0</v>
      </c>
      <c r="M82" s="313">
        <f t="shared" si="24"/>
        <v>0</v>
      </c>
      <c r="N82" s="313">
        <f t="shared" si="25"/>
        <v>0</v>
      </c>
      <c r="O82" s="314">
        <f t="shared" si="26"/>
        <v>0</v>
      </c>
      <c r="P82" s="313">
        <f t="shared" si="27"/>
        <v>0</v>
      </c>
      <c r="Q82" s="313">
        <f>SUM(F$6:F82)</f>
        <v>0.79189485213581579</v>
      </c>
      <c r="R82" s="313">
        <f>SUM(P$6:P82)</f>
        <v>0.74400806434372768</v>
      </c>
    </row>
    <row r="83" spans="1:18" hidden="1">
      <c r="A83" s="74">
        <v>78</v>
      </c>
      <c r="B83" s="74" t="s">
        <v>706</v>
      </c>
      <c r="C83" s="74" t="s">
        <v>256</v>
      </c>
      <c r="D83" s="770">
        <f>IF($B$3="Acumulado",SUMIF(TBL_Ventas[Producto],B83,TBL_Ventas[Uds]),IF($B$3="Semanal",IF($E$3="Todos",SUMIF(TBL_Ventas[Producto],B83,TBL_Ventas[Uds]),SUMIFS(TBL_Ventas[Uds],TBL_Ventas[Producto],B83,TBL_Ventas[Semana],$E$3)),IF($E$3="Todos",SUMIF(TBL_Ventas[Producto],B83,TBL_Ventas[Uds]),SUMIFS(TBL_Ventas[Uds],TBL_Ventas[Producto],B83,TBL_Ventas[Mes],$E$3))))</f>
        <v>3</v>
      </c>
      <c r="E83" s="771">
        <f>IF($B$3="Acumulado",SUMIF(TBL_Ventas[Producto],B83,TBL_Ventas[Importe]),IF($B$3="Semanal",IF($E$3="Todos",SUMIF(TBL_Ventas[Producto],B83,TBL_Ventas[Importe]),SUMIFS(TBL_Ventas[Importe],TBL_Ventas[Producto],B83,TBL_Ventas[Semana],$E$3)),IF($E$3="Todos",SUMIF(TBL_Ventas[Producto],B83,TBL_Ventas[Importe]),SUMIFS(TBL_Ventas[Importe],TBL_Ventas[Producto],B83,TBL_Ventas[Mes],$E$3))))</f>
        <v>37.909999999999997</v>
      </c>
      <c r="F83" s="760">
        <f t="shared" si="18"/>
        <v>1.6429353778751369E-3</v>
      </c>
      <c r="G83" s="760">
        <f t="shared" si="19"/>
        <v>4.9914483100043589E-3</v>
      </c>
      <c r="H83" s="771">
        <f t="shared" si="20"/>
        <v>12.636666666666665</v>
      </c>
      <c r="I83" s="772">
        <f t="shared" si="21"/>
        <v>0</v>
      </c>
      <c r="J83" s="765">
        <f>IFERROR(VLOOKUP(B83,BD_Datos!$M$1:$N$1014,2,FALSE),0)</f>
        <v>0</v>
      </c>
      <c r="K83" s="773">
        <f t="shared" si="22"/>
        <v>37.909999999999997</v>
      </c>
      <c r="L83" s="772">
        <f t="shared" si="23"/>
        <v>1</v>
      </c>
      <c r="M83" s="313">
        <f t="shared" si="24"/>
        <v>0</v>
      </c>
      <c r="N83" s="313">
        <f t="shared" si="25"/>
        <v>0</v>
      </c>
      <c r="O83" s="314">
        <f t="shared" si="26"/>
        <v>12.636666666666665</v>
      </c>
      <c r="P83" s="313">
        <f t="shared" si="27"/>
        <v>6.2340797455719245E-3</v>
      </c>
      <c r="Q83" s="313">
        <f>SUM(F$6:F83)</f>
        <v>0.79353778751369097</v>
      </c>
      <c r="R83" s="313">
        <f>SUM(P$6:P83)</f>
        <v>0.75024214408929957</v>
      </c>
    </row>
    <row r="84" spans="1:18" hidden="1">
      <c r="A84" s="765">
        <v>79</v>
      </c>
      <c r="B84" s="765" t="s">
        <v>854</v>
      </c>
      <c r="C84" s="765" t="s">
        <v>251</v>
      </c>
      <c r="D84" s="766">
        <f>IF($B$3="Acumulado",SUMIF(TBL_Ventas[Producto],B84,TBL_Ventas[Uds]),IF($B$3="Semanal",IF($E$3="Todos",SUMIF(TBL_Ventas[Producto],B84,TBL_Ventas[Uds]),SUMIFS(TBL_Ventas[Uds],TBL_Ventas[Producto],B84,TBL_Ventas[Semana],$E$3)),IF($E$3="Todos",SUMIF(TBL_Ventas[Producto],B84,TBL_Ventas[Uds]),SUMIFS(TBL_Ventas[Uds],TBL_Ventas[Producto],B84,TBL_Ventas[Mes],$E$3))))</f>
        <v>16</v>
      </c>
      <c r="E84" s="767">
        <f>IF($B$3="Acumulado",SUMIF(TBL_Ventas[Producto],B84,TBL_Ventas[Importe]),IF($B$3="Semanal",IF($E$3="Todos",SUMIF(TBL_Ventas[Producto],B84,TBL_Ventas[Importe]),SUMIFS(TBL_Ventas[Importe],TBL_Ventas[Producto],B84,TBL_Ventas[Semana],$E$3)),IF($E$3="Todos",SUMIF(TBL_Ventas[Producto],B84,TBL_Ventas[Importe]),SUMIFS(TBL_Ventas[Importe],TBL_Ventas[Producto],B84,TBL_Ventas[Mes],$E$3))))</f>
        <v>28.2</v>
      </c>
      <c r="F84" s="768">
        <f t="shared" si="18"/>
        <v>8.7623220153340634E-3</v>
      </c>
      <c r="G84" s="768">
        <f t="shared" si="19"/>
        <v>3.7129739472994707E-3</v>
      </c>
      <c r="H84" s="767">
        <f t="shared" si="20"/>
        <v>1.7625</v>
      </c>
      <c r="I84" s="765">
        <f t="shared" si="21"/>
        <v>3.68</v>
      </c>
      <c r="J84" s="765">
        <f>IFERROR(VLOOKUP(B84,BD_Datos!$M$1:$N$1014,2,FALSE),0)</f>
        <v>0.23</v>
      </c>
      <c r="K84" s="769">
        <f t="shared" si="22"/>
        <v>24.52</v>
      </c>
      <c r="L84" s="765">
        <f t="shared" si="23"/>
        <v>0.86950354609929081</v>
      </c>
      <c r="M84" s="313">
        <f t="shared" si="24"/>
        <v>0.13049645390070924</v>
      </c>
      <c r="N84" s="313">
        <f t="shared" si="25"/>
        <v>2.4308078472818546E-3</v>
      </c>
      <c r="O84" s="314">
        <f t="shared" si="26"/>
        <v>1.5325</v>
      </c>
      <c r="P84" s="313">
        <f t="shared" si="27"/>
        <v>4.0321718639257081E-3</v>
      </c>
      <c r="Q84" s="313">
        <f>SUM(F$6:F84)</f>
        <v>0.80230010952902509</v>
      </c>
      <c r="R84" s="313">
        <f>SUM(P$6:P84)</f>
        <v>0.75427431595322525</v>
      </c>
    </row>
    <row r="85" spans="1:18" hidden="1">
      <c r="A85" s="74">
        <v>80</v>
      </c>
      <c r="B85" s="74" t="s">
        <v>710</v>
      </c>
      <c r="C85" s="74" t="s">
        <v>249</v>
      </c>
      <c r="D85" s="770">
        <f>IF($B$3="Acumulado",SUMIF(TBL_Ventas[Producto],B85,TBL_Ventas[Uds]),IF($B$3="Semanal",IF($E$3="Todos",SUMIF(TBL_Ventas[Producto],B85,TBL_Ventas[Uds]),SUMIFS(TBL_Ventas[Uds],TBL_Ventas[Producto],B85,TBL_Ventas[Semana],$E$3)),IF($E$3="Todos",SUMIF(TBL_Ventas[Producto],B85,TBL_Ventas[Uds]),SUMIFS(TBL_Ventas[Uds],TBL_Ventas[Producto],B85,TBL_Ventas[Mes],$E$3))))</f>
        <v>2</v>
      </c>
      <c r="E85" s="771">
        <f>IF($B$3="Acumulado",SUMIF(TBL_Ventas[Producto],B85,TBL_Ventas[Importe]),IF($B$3="Semanal",IF($E$3="Todos",SUMIF(TBL_Ventas[Producto],B85,TBL_Ventas[Importe]),SUMIFS(TBL_Ventas[Importe],TBL_Ventas[Producto],B85,TBL_Ventas[Semana],$E$3)),IF($E$3="Todos",SUMIF(TBL_Ventas[Producto],B85,TBL_Ventas[Importe]),SUMIFS(TBL_Ventas[Importe],TBL_Ventas[Producto],B85,TBL_Ventas[Mes],$E$3))))</f>
        <v>4.82</v>
      </c>
      <c r="F85" s="760">
        <f t="shared" si="18"/>
        <v>1.0952902519167579E-3</v>
      </c>
      <c r="G85" s="760">
        <f t="shared" si="19"/>
        <v>6.3462888035402301E-4</v>
      </c>
      <c r="H85" s="771">
        <f t="shared" si="20"/>
        <v>2.41</v>
      </c>
      <c r="I85" s="772">
        <f t="shared" si="21"/>
        <v>1.48</v>
      </c>
      <c r="J85" s="765">
        <f>IFERROR(VLOOKUP(B85,BD_Datos!$M$1:$N$1014,2,FALSE),0)</f>
        <v>0.74</v>
      </c>
      <c r="K85" s="773">
        <f t="shared" si="22"/>
        <v>3.3400000000000003</v>
      </c>
      <c r="L85" s="772">
        <f t="shared" si="23"/>
        <v>0.69294605809128629</v>
      </c>
      <c r="M85" s="313">
        <f t="shared" si="24"/>
        <v>0.30705394190871366</v>
      </c>
      <c r="N85" s="313">
        <f t="shared" si="25"/>
        <v>9.7760750379813723E-4</v>
      </c>
      <c r="O85" s="314">
        <f t="shared" si="26"/>
        <v>1.6700000000000002</v>
      </c>
      <c r="P85" s="313">
        <f t="shared" si="27"/>
        <v>5.492436388871071E-4</v>
      </c>
      <c r="Q85" s="313">
        <f>SUM(F$6:F85)</f>
        <v>0.80339539978094188</v>
      </c>
      <c r="R85" s="313">
        <f>SUM(P$6:P85)</f>
        <v>0.75482355959211234</v>
      </c>
    </row>
    <row r="86" spans="1:18" hidden="1">
      <c r="A86" s="765">
        <v>81</v>
      </c>
      <c r="B86" s="765" t="s">
        <v>871</v>
      </c>
      <c r="C86" s="765" t="s">
        <v>256</v>
      </c>
      <c r="D86" s="766">
        <f>IF($B$3="Acumulado",SUMIF(TBL_Ventas[Producto],B86,TBL_Ventas[Uds]),IF($B$3="Semanal",IF($E$3="Todos",SUMIF(TBL_Ventas[Producto],B86,TBL_Ventas[Uds]),SUMIFS(TBL_Ventas[Uds],TBL_Ventas[Producto],B86,TBL_Ventas[Semana],$E$3)),IF($E$3="Todos",SUMIF(TBL_Ventas[Producto],B86,TBL_Ventas[Uds]),SUMIFS(TBL_Ventas[Uds],TBL_Ventas[Producto],B86,TBL_Ventas[Mes],$E$3))))</f>
        <v>0</v>
      </c>
      <c r="E86" s="767">
        <f>IF($B$3="Acumulado",SUMIF(TBL_Ventas[Producto],B86,TBL_Ventas[Importe]),IF($B$3="Semanal",IF($E$3="Todos",SUMIF(TBL_Ventas[Producto],B86,TBL_Ventas[Importe]),SUMIFS(TBL_Ventas[Importe],TBL_Ventas[Producto],B86,TBL_Ventas[Semana],$E$3)),IF($E$3="Todos",SUMIF(TBL_Ventas[Producto],B86,TBL_Ventas[Importe]),SUMIFS(TBL_Ventas[Importe],TBL_Ventas[Producto],B86,TBL_Ventas[Mes],$E$3))))</f>
        <v>0</v>
      </c>
      <c r="F86" s="768">
        <f t="shared" si="18"/>
        <v>0</v>
      </c>
      <c r="G86" s="768">
        <f t="shared" si="19"/>
        <v>0</v>
      </c>
      <c r="H86" s="767">
        <f t="shared" si="20"/>
        <v>0</v>
      </c>
      <c r="I86" s="765">
        <f t="shared" si="21"/>
        <v>0</v>
      </c>
      <c r="J86" s="765">
        <f>IFERROR(VLOOKUP(B86,BD_Datos!$M$1:$N$1014,2,FALSE),0)</f>
        <v>1.66</v>
      </c>
      <c r="K86" s="769">
        <f t="shared" si="22"/>
        <v>0</v>
      </c>
      <c r="L86" s="765">
        <f t="shared" si="23"/>
        <v>0</v>
      </c>
      <c r="M86" s="313">
        <f t="shared" si="24"/>
        <v>0</v>
      </c>
      <c r="N86" s="313">
        <f t="shared" si="25"/>
        <v>0</v>
      </c>
      <c r="O86" s="314">
        <f t="shared" si="26"/>
        <v>0</v>
      </c>
      <c r="P86" s="313">
        <f t="shared" si="27"/>
        <v>0</v>
      </c>
      <c r="Q86" s="313">
        <f>SUM(F$6:F86)</f>
        <v>0.80339539978094188</v>
      </c>
      <c r="R86" s="313">
        <f>SUM(P$6:P86)</f>
        <v>0.75482355959211234</v>
      </c>
    </row>
    <row r="87" spans="1:18" hidden="1">
      <c r="A87" s="74">
        <v>82</v>
      </c>
      <c r="B87" s="74" t="s">
        <v>865</v>
      </c>
      <c r="C87" s="74" t="s">
        <v>862</v>
      </c>
      <c r="D87" s="770">
        <f>IF($B$3="Acumulado",SUMIF(TBL_Ventas[Producto],B87,TBL_Ventas[Uds]),IF($B$3="Semanal",IF($E$3="Todos",SUMIF(TBL_Ventas[Producto],B87,TBL_Ventas[Uds]),SUMIFS(TBL_Ventas[Uds],TBL_Ventas[Producto],B87,TBL_Ventas[Semana],$E$3)),IF($E$3="Todos",SUMIF(TBL_Ventas[Producto],B87,TBL_Ventas[Uds]),SUMIFS(TBL_Ventas[Uds],TBL_Ventas[Producto],B87,TBL_Ventas[Mes],$E$3))))</f>
        <v>0</v>
      </c>
      <c r="E87" s="771">
        <f>IF($B$3="Acumulado",SUMIF(TBL_Ventas[Producto],B87,TBL_Ventas[Importe]),IF($B$3="Semanal",IF($E$3="Todos",SUMIF(TBL_Ventas[Producto],B87,TBL_Ventas[Importe]),SUMIFS(TBL_Ventas[Importe],TBL_Ventas[Producto],B87,TBL_Ventas[Semana],$E$3)),IF($E$3="Todos",SUMIF(TBL_Ventas[Producto],B87,TBL_Ventas[Importe]),SUMIFS(TBL_Ventas[Importe],TBL_Ventas[Producto],B87,TBL_Ventas[Mes],$E$3))))</f>
        <v>0</v>
      </c>
      <c r="F87" s="760">
        <f t="shared" si="18"/>
        <v>0</v>
      </c>
      <c r="G87" s="760">
        <f t="shared" si="19"/>
        <v>0</v>
      </c>
      <c r="H87" s="771">
        <f t="shared" si="20"/>
        <v>0</v>
      </c>
      <c r="I87" s="772">
        <f t="shared" si="21"/>
        <v>0</v>
      </c>
      <c r="J87" s="765">
        <f>IFERROR(VLOOKUP(B87,BD_Datos!$M$1:$N$1014,2,FALSE),0)</f>
        <v>0</v>
      </c>
      <c r="K87" s="773">
        <f t="shared" si="22"/>
        <v>0</v>
      </c>
      <c r="L87" s="772">
        <f t="shared" si="23"/>
        <v>0</v>
      </c>
      <c r="M87" s="313">
        <f t="shared" si="24"/>
        <v>0</v>
      </c>
      <c r="N87" s="313">
        <f t="shared" si="25"/>
        <v>0</v>
      </c>
      <c r="O87" s="314">
        <f t="shared" si="26"/>
        <v>0</v>
      </c>
      <c r="P87" s="313">
        <f t="shared" si="27"/>
        <v>0</v>
      </c>
      <c r="Q87" s="313">
        <f>SUM(F$6:F87)</f>
        <v>0.80339539978094188</v>
      </c>
      <c r="R87" s="313">
        <f>SUM(P$6:P87)</f>
        <v>0.75482355959211234</v>
      </c>
    </row>
    <row r="88" spans="1:18">
      <c r="A88" s="765">
        <v>83</v>
      </c>
      <c r="B88" s="765" t="s">
        <v>833</v>
      </c>
      <c r="C88" s="765" t="s">
        <v>815</v>
      </c>
      <c r="D88" s="766">
        <f>IF($B$3="Acumulado",SUMIF(TBL_Ventas[Producto],B88,TBL_Ventas[Uds]),IF($B$3="Semanal",IF($E$3="Todos",SUMIF(TBL_Ventas[Producto],B88,TBL_Ventas[Uds]),SUMIFS(TBL_Ventas[Uds],TBL_Ventas[Producto],B88,TBL_Ventas[Semana],$E$3)),IF($E$3="Todos",SUMIF(TBL_Ventas[Producto],B88,TBL_Ventas[Uds]),SUMIFS(TBL_Ventas[Uds],TBL_Ventas[Producto],B88,TBL_Ventas[Mes],$E$3))))</f>
        <v>18</v>
      </c>
      <c r="E88" s="767">
        <f>IF($B$3="Acumulado",SUMIF(TBL_Ventas[Producto],B88,TBL_Ventas[Importe]),IF($B$3="Semanal",IF($E$3="Todos",SUMIF(TBL_Ventas[Producto],B88,TBL_Ventas[Importe]),SUMIFS(TBL_Ventas[Importe],TBL_Ventas[Producto],B88,TBL_Ventas[Semana],$E$3)),IF($E$3="Todos",SUMIF(TBL_Ventas[Producto],B88,TBL_Ventas[Importe]),SUMIFS(TBL_Ventas[Importe],TBL_Ventas[Producto],B88,TBL_Ventas[Mes],$E$3))))</f>
        <v>96.35</v>
      </c>
      <c r="F88" s="768">
        <f t="shared" si="18"/>
        <v>9.8576122672508221E-3</v>
      </c>
      <c r="G88" s="768">
        <f t="shared" si="19"/>
        <v>1.2685994319939858E-2</v>
      </c>
      <c r="H88" s="767">
        <f t="shared" si="20"/>
        <v>5.3527777777777779</v>
      </c>
      <c r="I88" s="767">
        <f t="shared" si="21"/>
        <v>18.900000000000002</v>
      </c>
      <c r="J88" s="765">
        <f>IFERROR(VLOOKUP(B88,BD_Datos!$M$1:$N$1014,2,FALSE),0)</f>
        <v>1.05</v>
      </c>
      <c r="K88" s="767">
        <f t="shared" si="22"/>
        <v>77.449999999999989</v>
      </c>
      <c r="L88" s="768">
        <f t="shared" si="23"/>
        <v>0.80384016606123498</v>
      </c>
      <c r="M88" s="315">
        <f t="shared" si="24"/>
        <v>0.19615983393876496</v>
      </c>
      <c r="N88" s="315">
        <f t="shared" si="25"/>
        <v>1.2484312041746484E-2</v>
      </c>
      <c r="O88" s="316">
        <f t="shared" si="26"/>
        <v>4.3027777777777771</v>
      </c>
      <c r="P88" s="315">
        <f t="shared" si="27"/>
        <v>1.2736203542457017E-2</v>
      </c>
      <c r="Q88" s="315">
        <f>SUM(F$6:F88)</f>
        <v>0.81325301204819267</v>
      </c>
      <c r="R88" s="318">
        <f>SUM(P$6:P88)</f>
        <v>0.76755976313456931</v>
      </c>
    </row>
    <row r="89" spans="1:18" hidden="1">
      <c r="A89" s="74">
        <v>84</v>
      </c>
      <c r="B89" s="74" t="s">
        <v>716</v>
      </c>
      <c r="C89" s="74" t="s">
        <v>251</v>
      </c>
      <c r="D89" s="770">
        <f>IF($B$3="Acumulado",SUMIF(TBL_Ventas[Producto],B89,TBL_Ventas[Uds]),IF($B$3="Semanal",IF($E$3="Todos",SUMIF(TBL_Ventas[Producto],B89,TBL_Ventas[Uds]),SUMIFS(TBL_Ventas[Uds],TBL_Ventas[Producto],B89,TBL_Ventas[Semana],$E$3)),IF($E$3="Todos",SUMIF(TBL_Ventas[Producto],B89,TBL_Ventas[Uds]),SUMIFS(TBL_Ventas[Uds],TBL_Ventas[Producto],B89,TBL_Ventas[Mes],$E$3))))</f>
        <v>2</v>
      </c>
      <c r="E89" s="771">
        <f>IF($B$3="Acumulado",SUMIF(TBL_Ventas[Producto],B89,TBL_Ventas[Importe]),IF($B$3="Semanal",IF($E$3="Todos",SUMIF(TBL_Ventas[Producto],B89,TBL_Ventas[Importe]),SUMIFS(TBL_Ventas[Importe],TBL_Ventas[Producto],B89,TBL_Ventas[Semana],$E$3)),IF($E$3="Todos",SUMIF(TBL_Ventas[Producto],B89,TBL_Ventas[Importe]),SUMIFS(TBL_Ventas[Importe],TBL_Ventas[Producto],B89,TBL_Ventas[Mes],$E$3))))</f>
        <v>0</v>
      </c>
      <c r="F89" s="760">
        <f t="shared" si="18"/>
        <v>1.0952902519167579E-3</v>
      </c>
      <c r="G89" s="760">
        <f t="shared" si="19"/>
        <v>0</v>
      </c>
      <c r="H89" s="771">
        <f t="shared" si="20"/>
        <v>0</v>
      </c>
      <c r="I89" s="772">
        <f t="shared" si="21"/>
        <v>0.1</v>
      </c>
      <c r="J89" s="765">
        <f>IFERROR(VLOOKUP(B89,BD_Datos!$M$1:$N$1014,2,FALSE),0)</f>
        <v>0.05</v>
      </c>
      <c r="K89" s="773">
        <f t="shared" si="22"/>
        <v>-0.1</v>
      </c>
      <c r="L89" s="772">
        <f t="shared" si="23"/>
        <v>0</v>
      </c>
      <c r="M89" s="313">
        <f t="shared" si="24"/>
        <v>0</v>
      </c>
      <c r="N89" s="313">
        <f t="shared" si="25"/>
        <v>6.6054561067441708E-5</v>
      </c>
      <c r="O89" s="314">
        <f t="shared" si="26"/>
        <v>-0.05</v>
      </c>
      <c r="P89" s="313">
        <f t="shared" si="27"/>
        <v>-1.644442032596129E-5</v>
      </c>
      <c r="Q89" s="313">
        <f>SUM(F$6:F89)</f>
        <v>0.81434830230010946</v>
      </c>
      <c r="R89" s="313">
        <f>SUM(P$6:P89)</f>
        <v>0.76754331871424331</v>
      </c>
    </row>
    <row r="90" spans="1:18" hidden="1">
      <c r="A90" s="765">
        <v>85</v>
      </c>
      <c r="B90" s="765" t="s">
        <v>863</v>
      </c>
      <c r="C90" s="765" t="s">
        <v>862</v>
      </c>
      <c r="D90" s="766">
        <f>IF($B$3="Acumulado",SUMIF(TBL_Ventas[Producto],B90,TBL_Ventas[Uds]),IF($B$3="Semanal",IF($E$3="Todos",SUMIF(TBL_Ventas[Producto],B90,TBL_Ventas[Uds]),SUMIFS(TBL_Ventas[Uds],TBL_Ventas[Producto],B90,TBL_Ventas[Semana],$E$3)),IF($E$3="Todos",SUMIF(TBL_Ventas[Producto],B90,TBL_Ventas[Uds]),SUMIFS(TBL_Ventas[Uds],TBL_Ventas[Producto],B90,TBL_Ventas[Mes],$E$3))))</f>
        <v>1</v>
      </c>
      <c r="E90" s="767">
        <f>IF($B$3="Acumulado",SUMIF(TBL_Ventas[Producto],B90,TBL_Ventas[Importe]),IF($B$3="Semanal",IF($E$3="Todos",SUMIF(TBL_Ventas[Producto],B90,TBL_Ventas[Importe]),SUMIFS(TBL_Ventas[Importe],TBL_Ventas[Producto],B90,TBL_Ventas[Semana],$E$3)),IF($E$3="Todos",SUMIF(TBL_Ventas[Producto],B90,TBL_Ventas[Importe]),SUMIFS(TBL_Ventas[Importe],TBL_Ventas[Producto],B90,TBL_Ventas[Mes],$E$3))))</f>
        <v>0.15</v>
      </c>
      <c r="F90" s="768">
        <f t="shared" si="18"/>
        <v>5.4764512595837896E-4</v>
      </c>
      <c r="G90" s="768">
        <f t="shared" si="19"/>
        <v>1.9749861421805696E-5</v>
      </c>
      <c r="H90" s="767">
        <f t="shared" si="20"/>
        <v>0.15</v>
      </c>
      <c r="I90" s="765">
        <f t="shared" si="21"/>
        <v>0.04</v>
      </c>
      <c r="J90" s="765">
        <f>IFERROR(VLOOKUP(B90,BD_Datos!$M$1:$N$1014,2,FALSE),0)</f>
        <v>0.04</v>
      </c>
      <c r="K90" s="769">
        <f t="shared" si="22"/>
        <v>0.10999999999999999</v>
      </c>
      <c r="L90" s="765">
        <f t="shared" si="23"/>
        <v>0.73333333333333328</v>
      </c>
      <c r="M90" s="313">
        <f t="shared" si="24"/>
        <v>0.26666666666666666</v>
      </c>
      <c r="N90" s="313">
        <f t="shared" si="25"/>
        <v>2.6421824426976682E-5</v>
      </c>
      <c r="O90" s="314">
        <f t="shared" si="26"/>
        <v>0.10999999999999999</v>
      </c>
      <c r="P90" s="313">
        <f t="shared" si="27"/>
        <v>1.8088862358557417E-5</v>
      </c>
      <c r="Q90" s="313">
        <f>SUM(F$6:F90)</f>
        <v>0.81489594742606786</v>
      </c>
      <c r="R90" s="313">
        <f>SUM(P$6:P90)</f>
        <v>0.76756140757660185</v>
      </c>
    </row>
    <row r="91" spans="1:18" hidden="1">
      <c r="A91" s="74">
        <v>86</v>
      </c>
      <c r="B91" s="74" t="s">
        <v>891</v>
      </c>
      <c r="C91" s="74" t="s">
        <v>264</v>
      </c>
      <c r="D91" s="770">
        <f>IF($B$3="Acumulado",SUMIF(TBL_Ventas[Producto],B91,TBL_Ventas[Uds]),IF($B$3="Semanal",IF($E$3="Todos",SUMIF(TBL_Ventas[Producto],B91,TBL_Ventas[Uds]),SUMIFS(TBL_Ventas[Uds],TBL_Ventas[Producto],B91,TBL_Ventas[Semana],$E$3)),IF($E$3="Todos",SUMIF(TBL_Ventas[Producto],B91,TBL_Ventas[Uds]),SUMIFS(TBL_Ventas[Uds],TBL_Ventas[Producto],B91,TBL_Ventas[Mes],$E$3))))</f>
        <v>5</v>
      </c>
      <c r="E91" s="771">
        <f>IF($B$3="Acumulado",SUMIF(TBL_Ventas[Producto],B91,TBL_Ventas[Importe]),IF($B$3="Semanal",IF($E$3="Todos",SUMIF(TBL_Ventas[Producto],B91,TBL_Ventas[Importe]),SUMIFS(TBL_Ventas[Importe],TBL_Ventas[Producto],B91,TBL_Ventas[Semana],$E$3)),IF($E$3="Todos",SUMIF(TBL_Ventas[Producto],B91,TBL_Ventas[Importe]),SUMIFS(TBL_Ventas[Importe],TBL_Ventas[Producto],B91,TBL_Ventas[Mes],$E$3))))</f>
        <v>6.5</v>
      </c>
      <c r="F91" s="760">
        <f t="shared" si="18"/>
        <v>2.7382256297918948E-3</v>
      </c>
      <c r="G91" s="760">
        <f t="shared" si="19"/>
        <v>8.5582732827824679E-4</v>
      </c>
      <c r="H91" s="771">
        <f t="shared" si="20"/>
        <v>1.3</v>
      </c>
      <c r="I91" s="772">
        <f t="shared" si="21"/>
        <v>0.15</v>
      </c>
      <c r="J91" s="765">
        <f>IFERROR(VLOOKUP(B91,BD_Datos!$M$1:$N$1014,2,FALSE),0)</f>
        <v>0.03</v>
      </c>
      <c r="K91" s="773">
        <f t="shared" si="22"/>
        <v>6.35</v>
      </c>
      <c r="L91" s="772">
        <f t="shared" si="23"/>
        <v>0.97692307692307689</v>
      </c>
      <c r="M91" s="313">
        <f t="shared" si="24"/>
        <v>2.3076923076923075E-2</v>
      </c>
      <c r="N91" s="313">
        <f t="shared" si="25"/>
        <v>9.9081841601162548E-5</v>
      </c>
      <c r="O91" s="314">
        <f t="shared" si="26"/>
        <v>1.27</v>
      </c>
      <c r="P91" s="313">
        <f t="shared" si="27"/>
        <v>1.0442206906985418E-3</v>
      </c>
      <c r="Q91" s="313">
        <f>SUM(F$6:F91)</f>
        <v>0.81763417305585973</v>
      </c>
      <c r="R91" s="313">
        <f>SUM(P$6:P91)</f>
        <v>0.76860562826730039</v>
      </c>
    </row>
    <row r="92" spans="1:18" hidden="1">
      <c r="A92" s="765">
        <v>87</v>
      </c>
      <c r="B92" s="765" t="s">
        <v>897</v>
      </c>
      <c r="C92" s="765" t="s">
        <v>275</v>
      </c>
      <c r="D92" s="766">
        <f>IF($B$3="Acumulado",SUMIF(TBL_Ventas[Producto],B92,TBL_Ventas[Uds]),IF($B$3="Semanal",IF($E$3="Todos",SUMIF(TBL_Ventas[Producto],B92,TBL_Ventas[Uds]),SUMIFS(TBL_Ventas[Uds],TBL_Ventas[Producto],B92,TBL_Ventas[Semana],$E$3)),IF($E$3="Todos",SUMIF(TBL_Ventas[Producto],B92,TBL_Ventas[Uds]),SUMIFS(TBL_Ventas[Uds],TBL_Ventas[Producto],B92,TBL_Ventas[Mes],$E$3))))</f>
        <v>26</v>
      </c>
      <c r="E92" s="767">
        <f>IF($B$3="Acumulado",SUMIF(TBL_Ventas[Producto],B92,TBL_Ventas[Importe]),IF($B$3="Semanal",IF($E$3="Todos",SUMIF(TBL_Ventas[Producto],B92,TBL_Ventas[Importe]),SUMIFS(TBL_Ventas[Importe],TBL_Ventas[Producto],B92,TBL_Ventas[Semana],$E$3)),IF($E$3="Todos",SUMIF(TBL_Ventas[Producto],B92,TBL_Ventas[Importe]),SUMIFS(TBL_Ventas[Importe],TBL_Ventas[Producto],B92,TBL_Ventas[Mes],$E$3))))</f>
        <v>124.5</v>
      </c>
      <c r="F92" s="768">
        <f t="shared" si="18"/>
        <v>1.4238773274917854E-2</v>
      </c>
      <c r="G92" s="768">
        <f t="shared" si="19"/>
        <v>1.6392384980098727E-2</v>
      </c>
      <c r="H92" s="767">
        <f t="shared" si="20"/>
        <v>4.7884615384615383</v>
      </c>
      <c r="I92" s="765">
        <f t="shared" si="21"/>
        <v>17.420000000000002</v>
      </c>
      <c r="J92" s="765">
        <f>IFERROR(VLOOKUP(B92,BD_Datos!$M$1:$N$1014,2,FALSE),0)</f>
        <v>0.67</v>
      </c>
      <c r="K92" s="769">
        <f t="shared" si="22"/>
        <v>107.08</v>
      </c>
      <c r="L92" s="765">
        <f t="shared" si="23"/>
        <v>0.86008032128514056</v>
      </c>
      <c r="M92" s="313">
        <f t="shared" si="24"/>
        <v>0.13991967871485944</v>
      </c>
      <c r="N92" s="313">
        <f t="shared" si="25"/>
        <v>1.1506704537948345E-2</v>
      </c>
      <c r="O92" s="314">
        <f t="shared" si="26"/>
        <v>4.1184615384615384</v>
      </c>
      <c r="P92" s="313">
        <f t="shared" si="27"/>
        <v>1.7608685285039349E-2</v>
      </c>
      <c r="Q92" s="313">
        <f>SUM(F$6:F92)</f>
        <v>0.83187294633077757</v>
      </c>
      <c r="R92" s="313">
        <f>SUM(P$6:P92)</f>
        <v>0.78621431355233973</v>
      </c>
    </row>
    <row r="93" spans="1:18" hidden="1">
      <c r="A93" s="74">
        <v>88</v>
      </c>
      <c r="B93" s="74" t="s">
        <v>901</v>
      </c>
      <c r="C93" s="74" t="s">
        <v>253</v>
      </c>
      <c r="D93" s="770">
        <f>IF($B$3="Acumulado",SUMIF(TBL_Ventas[Producto],B93,TBL_Ventas[Uds]),IF($B$3="Semanal",IF($E$3="Todos",SUMIF(TBL_Ventas[Producto],B93,TBL_Ventas[Uds]),SUMIFS(TBL_Ventas[Uds],TBL_Ventas[Producto],B93,TBL_Ventas[Semana],$E$3)),IF($E$3="Todos",SUMIF(TBL_Ventas[Producto],B93,TBL_Ventas[Uds]),SUMIFS(TBL_Ventas[Uds],TBL_Ventas[Producto],B93,TBL_Ventas[Mes],$E$3))))</f>
        <v>0</v>
      </c>
      <c r="E93" s="771">
        <f>IF($B$3="Acumulado",SUMIF(TBL_Ventas[Producto],B93,TBL_Ventas[Importe]),IF($B$3="Semanal",IF($E$3="Todos",SUMIF(TBL_Ventas[Producto],B93,TBL_Ventas[Importe]),SUMIFS(TBL_Ventas[Importe],TBL_Ventas[Producto],B93,TBL_Ventas[Semana],$E$3)),IF($E$3="Todos",SUMIF(TBL_Ventas[Producto],B93,TBL_Ventas[Importe]),SUMIFS(TBL_Ventas[Importe],TBL_Ventas[Producto],B93,TBL_Ventas[Mes],$E$3))))</f>
        <v>0</v>
      </c>
      <c r="F93" s="760">
        <f t="shared" si="18"/>
        <v>0</v>
      </c>
      <c r="G93" s="760">
        <f t="shared" si="19"/>
        <v>0</v>
      </c>
      <c r="H93" s="771">
        <f t="shared" si="20"/>
        <v>0</v>
      </c>
      <c r="I93" s="772">
        <f t="shared" si="21"/>
        <v>0</v>
      </c>
      <c r="J93" s="765">
        <f>IFERROR(VLOOKUP(B93,BD_Datos!$M$1:$N$1014,2,FALSE),0)</f>
        <v>0</v>
      </c>
      <c r="K93" s="773">
        <f t="shared" si="22"/>
        <v>0</v>
      </c>
      <c r="L93" s="772">
        <f t="shared" si="23"/>
        <v>0</v>
      </c>
      <c r="M93" s="313">
        <f t="shared" si="24"/>
        <v>0</v>
      </c>
      <c r="N93" s="313">
        <f t="shared" si="25"/>
        <v>0</v>
      </c>
      <c r="O93" s="314">
        <f t="shared" si="26"/>
        <v>0</v>
      </c>
      <c r="P93" s="313">
        <f t="shared" si="27"/>
        <v>0</v>
      </c>
      <c r="Q93" s="313">
        <f>SUM(F$6:F93)</f>
        <v>0.83187294633077757</v>
      </c>
      <c r="R93" s="313">
        <f>SUM(P$6:P93)</f>
        <v>0.78621431355233973</v>
      </c>
    </row>
    <row r="94" spans="1:18" hidden="1">
      <c r="A94" s="765">
        <v>89</v>
      </c>
      <c r="B94" s="765" t="s">
        <v>806</v>
      </c>
      <c r="C94" s="765" t="s">
        <v>256</v>
      </c>
      <c r="D94" s="766">
        <f>IF($B$3="Acumulado",SUMIF(TBL_Ventas[Producto],B94,TBL_Ventas[Uds]),IF($B$3="Semanal",IF($E$3="Todos",SUMIF(TBL_Ventas[Producto],B94,TBL_Ventas[Uds]),SUMIFS(TBL_Ventas[Uds],TBL_Ventas[Producto],B94,TBL_Ventas[Semana],$E$3)),IF($E$3="Todos",SUMIF(TBL_Ventas[Producto],B94,TBL_Ventas[Uds]),SUMIFS(TBL_Ventas[Uds],TBL_Ventas[Producto],B94,TBL_Ventas[Mes],$E$3))))</f>
        <v>0</v>
      </c>
      <c r="E94" s="767">
        <f>IF($B$3="Acumulado",SUMIF(TBL_Ventas[Producto],B94,TBL_Ventas[Importe]),IF($B$3="Semanal",IF($E$3="Todos",SUMIF(TBL_Ventas[Producto],B94,TBL_Ventas[Importe]),SUMIFS(TBL_Ventas[Importe],TBL_Ventas[Producto],B94,TBL_Ventas[Semana],$E$3)),IF($E$3="Todos",SUMIF(TBL_Ventas[Producto],B94,TBL_Ventas[Importe]),SUMIFS(TBL_Ventas[Importe],TBL_Ventas[Producto],B94,TBL_Ventas[Mes],$E$3))))</f>
        <v>0</v>
      </c>
      <c r="F94" s="768">
        <f t="shared" si="18"/>
        <v>0</v>
      </c>
      <c r="G94" s="768">
        <f t="shared" si="19"/>
        <v>0</v>
      </c>
      <c r="H94" s="767">
        <f t="shared" si="20"/>
        <v>0</v>
      </c>
      <c r="I94" s="765">
        <f t="shared" si="21"/>
        <v>0</v>
      </c>
      <c r="J94" s="765">
        <f>IFERROR(VLOOKUP(B94,BD_Datos!$M$1:$N$1014,2,FALSE),0)</f>
        <v>0</v>
      </c>
      <c r="K94" s="769">
        <f t="shared" si="22"/>
        <v>0</v>
      </c>
      <c r="L94" s="765">
        <f t="shared" si="23"/>
        <v>0</v>
      </c>
      <c r="M94" s="313">
        <f t="shared" si="24"/>
        <v>0</v>
      </c>
      <c r="N94" s="313">
        <f t="shared" si="25"/>
        <v>0</v>
      </c>
      <c r="O94" s="314">
        <f t="shared" si="26"/>
        <v>0</v>
      </c>
      <c r="P94" s="313">
        <f t="shared" si="27"/>
        <v>0</v>
      </c>
      <c r="Q94" s="313">
        <f>SUM(F$6:F94)</f>
        <v>0.83187294633077757</v>
      </c>
      <c r="R94" s="313">
        <f>SUM(P$6:P94)</f>
        <v>0.78621431355233973</v>
      </c>
    </row>
    <row r="95" spans="1:18" hidden="1">
      <c r="A95" s="74">
        <v>90</v>
      </c>
      <c r="B95" s="74" t="s">
        <v>1011</v>
      </c>
      <c r="C95" s="74" t="s">
        <v>264</v>
      </c>
      <c r="D95" s="770">
        <f>IF($B$3="Acumulado",SUMIF(TBL_Ventas[Producto],B95,TBL_Ventas[Uds]),IF($B$3="Semanal",IF($E$3="Todos",SUMIF(TBL_Ventas[Producto],B95,TBL_Ventas[Uds]),SUMIFS(TBL_Ventas[Uds],TBL_Ventas[Producto],B95,TBL_Ventas[Semana],$E$3)),IF($E$3="Todos",SUMIF(TBL_Ventas[Producto],B95,TBL_Ventas[Uds]),SUMIFS(TBL_Ventas[Uds],TBL_Ventas[Producto],B95,TBL_Ventas[Mes],$E$3))))</f>
        <v>14</v>
      </c>
      <c r="E95" s="771">
        <f>IF($B$3="Acumulado",SUMIF(TBL_Ventas[Producto],B95,TBL_Ventas[Importe]),IF($B$3="Semanal",IF($E$3="Todos",SUMIF(TBL_Ventas[Producto],B95,TBL_Ventas[Importe]),SUMIFS(TBL_Ventas[Importe],TBL_Ventas[Producto],B95,TBL_Ventas[Semana],$E$3)),IF($E$3="Todos",SUMIF(TBL_Ventas[Producto],B95,TBL_Ventas[Importe]),SUMIFS(TBL_Ventas[Importe],TBL_Ventas[Producto],B95,TBL_Ventas[Mes],$E$3))))</f>
        <v>18.8</v>
      </c>
      <c r="F95" s="760">
        <f t="shared" si="18"/>
        <v>7.6670317634173054E-3</v>
      </c>
      <c r="G95" s="760">
        <f t="shared" si="19"/>
        <v>2.4753159648663141E-3</v>
      </c>
      <c r="H95" s="771">
        <f t="shared" si="20"/>
        <v>1.342857142857143</v>
      </c>
      <c r="I95" s="772">
        <f t="shared" si="21"/>
        <v>0.70000000000000007</v>
      </c>
      <c r="J95" s="765">
        <f>IFERROR(VLOOKUP(B95,BD_Datos!$M$1:$N$1014,2,FALSE),0)</f>
        <v>0.05</v>
      </c>
      <c r="K95" s="773">
        <f t="shared" si="22"/>
        <v>18.100000000000001</v>
      </c>
      <c r="L95" s="772">
        <f t="shared" si="23"/>
        <v>0.9627659574468086</v>
      </c>
      <c r="M95" s="313">
        <f t="shared" si="24"/>
        <v>3.7234042553191495E-2</v>
      </c>
      <c r="N95" s="313">
        <f t="shared" si="25"/>
        <v>4.6238192747209196E-4</v>
      </c>
      <c r="O95" s="314">
        <f t="shared" si="26"/>
        <v>1.2928571428571429</v>
      </c>
      <c r="P95" s="313">
        <f t="shared" si="27"/>
        <v>2.9764400789989934E-3</v>
      </c>
      <c r="Q95" s="313">
        <f>SUM(F$6:F95)</f>
        <v>0.83953997809419489</v>
      </c>
      <c r="R95" s="313">
        <f>SUM(P$6:P95)</f>
        <v>0.78919075363133873</v>
      </c>
    </row>
    <row r="96" spans="1:18" hidden="1">
      <c r="A96" s="765">
        <v>91</v>
      </c>
      <c r="B96" s="765" t="s">
        <v>1044</v>
      </c>
      <c r="C96" s="765" t="s">
        <v>277</v>
      </c>
      <c r="D96" s="766">
        <f>IF($B$3="Acumulado",SUMIF(TBL_Ventas[Producto],B96,TBL_Ventas[Uds]),IF($B$3="Semanal",IF($E$3="Todos",SUMIF(TBL_Ventas[Producto],B96,TBL_Ventas[Uds]),SUMIFS(TBL_Ventas[Uds],TBL_Ventas[Producto],B96,TBL_Ventas[Semana],$E$3)),IF($E$3="Todos",SUMIF(TBL_Ventas[Producto],B96,TBL_Ventas[Uds]),SUMIFS(TBL_Ventas[Uds],TBL_Ventas[Producto],B96,TBL_Ventas[Mes],$E$3))))</f>
        <v>9</v>
      </c>
      <c r="E96" s="767">
        <f>IF($B$3="Acumulado",SUMIF(TBL_Ventas[Producto],B96,TBL_Ventas[Importe]),IF($B$3="Semanal",IF($E$3="Todos",SUMIF(TBL_Ventas[Producto],B96,TBL_Ventas[Importe]),SUMIFS(TBL_Ventas[Importe],TBL_Ventas[Producto],B96,TBL_Ventas[Semana],$E$3)),IF($E$3="Todos",SUMIF(TBL_Ventas[Producto],B96,TBL_Ventas[Importe]),SUMIFS(TBL_Ventas[Importe],TBL_Ventas[Producto],B96,TBL_Ventas[Mes],$E$3))))</f>
        <v>83.25</v>
      </c>
      <c r="F96" s="768">
        <f t="shared" si="18"/>
        <v>4.9288061336254111E-3</v>
      </c>
      <c r="G96" s="768">
        <f t="shared" si="19"/>
        <v>1.0961173089102161E-2</v>
      </c>
      <c r="H96" s="767">
        <f t="shared" si="20"/>
        <v>9.25</v>
      </c>
      <c r="I96" s="765">
        <f t="shared" si="21"/>
        <v>4.7700000000000005</v>
      </c>
      <c r="J96" s="765">
        <f>IFERROR(VLOOKUP(B96,BD_Datos!$M$1:$N$1014,2,FALSE),0)</f>
        <v>0.53</v>
      </c>
      <c r="K96" s="769">
        <f t="shared" si="22"/>
        <v>78.48</v>
      </c>
      <c r="L96" s="765">
        <f t="shared" si="23"/>
        <v>0.94270270270270273</v>
      </c>
      <c r="M96" s="313">
        <f t="shared" si="24"/>
        <v>5.7297297297297302E-2</v>
      </c>
      <c r="N96" s="313">
        <f t="shared" si="25"/>
        <v>3.1508025629169694E-3</v>
      </c>
      <c r="O96" s="314">
        <f t="shared" si="26"/>
        <v>8.7200000000000006</v>
      </c>
      <c r="P96" s="313">
        <f t="shared" si="27"/>
        <v>1.290558107181442E-2</v>
      </c>
      <c r="Q96" s="313">
        <f>SUM(F$6:F96)</f>
        <v>0.84446878422782035</v>
      </c>
      <c r="R96" s="313">
        <f>SUM(P$6:P96)</f>
        <v>0.80209633470315311</v>
      </c>
    </row>
    <row r="97" spans="1:18" hidden="1">
      <c r="A97" s="74">
        <v>92</v>
      </c>
      <c r="B97" s="74" t="s">
        <v>1551</v>
      </c>
      <c r="C97" s="74" t="s">
        <v>251</v>
      </c>
      <c r="D97" s="770">
        <f>IF($B$3="Acumulado",SUMIF(TBL_Ventas[Producto],B97,TBL_Ventas[Uds]),IF($B$3="Semanal",IF($E$3="Todos",SUMIF(TBL_Ventas[Producto],B97,TBL_Ventas[Uds]),SUMIFS(TBL_Ventas[Uds],TBL_Ventas[Producto],B97,TBL_Ventas[Semana],$E$3)),IF($E$3="Todos",SUMIF(TBL_Ventas[Producto],B97,TBL_Ventas[Uds]),SUMIFS(TBL_Ventas[Uds],TBL_Ventas[Producto],B97,TBL_Ventas[Mes],$E$3))))</f>
        <v>16</v>
      </c>
      <c r="E97" s="771">
        <f>IF($B$3="Acumulado",SUMIF(TBL_Ventas[Producto],B97,TBL_Ventas[Importe]),IF($B$3="Semanal",IF($E$3="Todos",SUMIF(TBL_Ventas[Producto],B97,TBL_Ventas[Importe]),SUMIFS(TBL_Ventas[Importe],TBL_Ventas[Producto],B97,TBL_Ventas[Semana],$E$3)),IF($E$3="Todos",SUMIF(TBL_Ventas[Producto],B97,TBL_Ventas[Importe]),SUMIFS(TBL_Ventas[Importe],TBL_Ventas[Producto],B97,TBL_Ventas[Mes],$E$3))))</f>
        <v>28.2</v>
      </c>
      <c r="F97" s="760">
        <f t="shared" si="18"/>
        <v>8.7623220153340634E-3</v>
      </c>
      <c r="G97" s="760">
        <f t="shared" si="19"/>
        <v>3.7129739472994707E-3</v>
      </c>
      <c r="H97" s="771">
        <f t="shared" si="20"/>
        <v>1.7625</v>
      </c>
      <c r="I97" s="772">
        <f t="shared" si="21"/>
        <v>3.68</v>
      </c>
      <c r="J97" s="765">
        <f>IFERROR(VLOOKUP(B97,BD_Datos!$M$1:$N$1014,2,FALSE),0)</f>
        <v>0.23</v>
      </c>
      <c r="K97" s="773">
        <f t="shared" si="22"/>
        <v>24.52</v>
      </c>
      <c r="L97" s="772">
        <f t="shared" si="23"/>
        <v>0.86950354609929081</v>
      </c>
      <c r="M97" s="313">
        <f t="shared" si="24"/>
        <v>0.13049645390070924</v>
      </c>
      <c r="N97" s="313">
        <f t="shared" si="25"/>
        <v>2.4308078472818546E-3</v>
      </c>
      <c r="O97" s="314">
        <f t="shared" si="26"/>
        <v>1.5325</v>
      </c>
      <c r="P97" s="313">
        <f t="shared" si="27"/>
        <v>4.0321718639257081E-3</v>
      </c>
      <c r="Q97" s="313">
        <f>SUM(F$6:F97)</f>
        <v>0.85323110624315446</v>
      </c>
      <c r="R97" s="313">
        <f>SUM(P$6:P97)</f>
        <v>0.8061285065670788</v>
      </c>
    </row>
    <row r="98" spans="1:18" hidden="1">
      <c r="A98" s="765">
        <v>93</v>
      </c>
      <c r="B98" s="765" t="s">
        <v>792</v>
      </c>
      <c r="C98" s="765" t="s">
        <v>256</v>
      </c>
      <c r="D98" s="766">
        <f>IF($B$3="Acumulado",SUMIF(TBL_Ventas[Producto],B98,TBL_Ventas[Uds]),IF($B$3="Semanal",IF($E$3="Todos",SUMIF(TBL_Ventas[Producto],B98,TBL_Ventas[Uds]),SUMIFS(TBL_Ventas[Uds],TBL_Ventas[Producto],B98,TBL_Ventas[Semana],$E$3)),IF($E$3="Todos",SUMIF(TBL_Ventas[Producto],B98,TBL_Ventas[Uds]),SUMIFS(TBL_Ventas[Uds],TBL_Ventas[Producto],B98,TBL_Ventas[Mes],$E$3))))</f>
        <v>0</v>
      </c>
      <c r="E98" s="767">
        <f>IF($B$3="Acumulado",SUMIF(TBL_Ventas[Producto],B98,TBL_Ventas[Importe]),IF($B$3="Semanal",IF($E$3="Todos",SUMIF(TBL_Ventas[Producto],B98,TBL_Ventas[Importe]),SUMIFS(TBL_Ventas[Importe],TBL_Ventas[Producto],B98,TBL_Ventas[Semana],$E$3)),IF($E$3="Todos",SUMIF(TBL_Ventas[Producto],B98,TBL_Ventas[Importe]),SUMIFS(TBL_Ventas[Importe],TBL_Ventas[Producto],B98,TBL_Ventas[Mes],$E$3))))</f>
        <v>0</v>
      </c>
      <c r="F98" s="768">
        <f t="shared" si="18"/>
        <v>0</v>
      </c>
      <c r="G98" s="768">
        <f t="shared" si="19"/>
        <v>0</v>
      </c>
      <c r="H98" s="767">
        <f t="shared" si="20"/>
        <v>0</v>
      </c>
      <c r="I98" s="765">
        <f t="shared" si="21"/>
        <v>0</v>
      </c>
      <c r="J98" s="765">
        <f>IFERROR(VLOOKUP(B98,BD_Datos!$M$1:$N$1014,2,FALSE),0)</f>
        <v>0</v>
      </c>
      <c r="K98" s="769">
        <f t="shared" si="22"/>
        <v>0</v>
      </c>
      <c r="L98" s="765">
        <f t="shared" si="23"/>
        <v>0</v>
      </c>
      <c r="M98" s="313">
        <f t="shared" si="24"/>
        <v>0</v>
      </c>
      <c r="N98" s="313">
        <f t="shared" si="25"/>
        <v>0</v>
      </c>
      <c r="O98" s="314">
        <f t="shared" si="26"/>
        <v>0</v>
      </c>
      <c r="P98" s="313">
        <f t="shared" si="27"/>
        <v>0</v>
      </c>
      <c r="Q98" s="313">
        <f>SUM(F$6:F98)</f>
        <v>0.85323110624315446</v>
      </c>
      <c r="R98" s="313">
        <f>SUM(P$6:P98)</f>
        <v>0.8061285065670788</v>
      </c>
    </row>
    <row r="99" spans="1:18" hidden="1">
      <c r="A99" s="74">
        <v>94</v>
      </c>
      <c r="B99" s="74" t="s">
        <v>677</v>
      </c>
      <c r="C99" s="74" t="s">
        <v>249</v>
      </c>
      <c r="D99" s="770">
        <f>IF($B$3="Acumulado",SUMIF(TBL_Ventas[Producto],B99,TBL_Ventas[Uds]),IF($B$3="Semanal",IF($E$3="Todos",SUMIF(TBL_Ventas[Producto],B99,TBL_Ventas[Uds]),SUMIFS(TBL_Ventas[Uds],TBL_Ventas[Producto],B99,TBL_Ventas[Semana],$E$3)),IF($E$3="Todos",SUMIF(TBL_Ventas[Producto],B99,TBL_Ventas[Uds]),SUMIFS(TBL_Ventas[Uds],TBL_Ventas[Producto],B99,TBL_Ventas[Mes],$E$3))))</f>
        <v>12</v>
      </c>
      <c r="E99" s="771">
        <f>IF($B$3="Acumulado",SUMIF(TBL_Ventas[Producto],B99,TBL_Ventas[Importe]),IF($B$3="Semanal",IF($E$3="Todos",SUMIF(TBL_Ventas[Producto],B99,TBL_Ventas[Importe]),SUMIFS(TBL_Ventas[Importe],TBL_Ventas[Producto],B99,TBL_Ventas[Semana],$E$3)),IF($E$3="Todos",SUMIF(TBL_Ventas[Producto],B99,TBL_Ventas[Importe]),SUMIFS(TBL_Ventas[Importe],TBL_Ventas[Producto],B99,TBL_Ventas[Mes],$E$3))))</f>
        <v>17.82</v>
      </c>
      <c r="F99" s="760">
        <f t="shared" si="18"/>
        <v>6.5717415115005475E-3</v>
      </c>
      <c r="G99" s="760">
        <f t="shared" si="19"/>
        <v>2.3462835369105167E-3</v>
      </c>
      <c r="H99" s="771">
        <f t="shared" si="20"/>
        <v>1.4850000000000001</v>
      </c>
      <c r="I99" s="772">
        <f t="shared" si="21"/>
        <v>3.7199999999999998</v>
      </c>
      <c r="J99" s="765">
        <f>IFERROR(VLOOKUP(B99,BD_Datos!$M$1:$N$1014,2,FALSE),0)</f>
        <v>0.31</v>
      </c>
      <c r="K99" s="773">
        <f t="shared" si="22"/>
        <v>14.100000000000001</v>
      </c>
      <c r="L99" s="772">
        <f t="shared" si="23"/>
        <v>0.79124579124579131</v>
      </c>
      <c r="M99" s="313">
        <f t="shared" si="24"/>
        <v>0.20875420875420875</v>
      </c>
      <c r="N99" s="313">
        <f t="shared" si="25"/>
        <v>2.4572296717088314E-3</v>
      </c>
      <c r="O99" s="314">
        <f t="shared" si="26"/>
        <v>1.175</v>
      </c>
      <c r="P99" s="313">
        <f t="shared" si="27"/>
        <v>2.3186632659605421E-3</v>
      </c>
      <c r="Q99" s="313">
        <f>SUM(F$6:F99)</f>
        <v>0.85980284775465499</v>
      </c>
      <c r="R99" s="313">
        <f>SUM(P$6:P99)</f>
        <v>0.80844716983303933</v>
      </c>
    </row>
    <row r="100" spans="1:18" hidden="1">
      <c r="A100" s="765">
        <v>95</v>
      </c>
      <c r="B100" s="765" t="s">
        <v>722</v>
      </c>
      <c r="C100" s="765" t="s">
        <v>251</v>
      </c>
      <c r="D100" s="766">
        <f>IF($B$3="Acumulado",SUMIF(TBL_Ventas[Producto],B100,TBL_Ventas[Uds]),IF($B$3="Semanal",IF($E$3="Todos",SUMIF(TBL_Ventas[Producto],B100,TBL_Ventas[Uds]),SUMIFS(TBL_Ventas[Uds],TBL_Ventas[Producto],B100,TBL_Ventas[Semana],$E$3)),IF($E$3="Todos",SUMIF(TBL_Ventas[Producto],B100,TBL_Ventas[Uds]),SUMIFS(TBL_Ventas[Uds],TBL_Ventas[Producto],B100,TBL_Ventas[Mes],$E$3))))</f>
        <v>2</v>
      </c>
      <c r="E100" s="767">
        <f>IF($B$3="Acumulado",SUMIF(TBL_Ventas[Producto],B100,TBL_Ventas[Importe]),IF($B$3="Semanal",IF($E$3="Todos",SUMIF(TBL_Ventas[Producto],B100,TBL_Ventas[Importe]),SUMIFS(TBL_Ventas[Importe],TBL_Ventas[Producto],B100,TBL_Ventas[Semana],$E$3)),IF($E$3="Todos",SUMIF(TBL_Ventas[Producto],B100,TBL_Ventas[Importe]),SUMIFS(TBL_Ventas[Importe],TBL_Ventas[Producto],B100,TBL_Ventas[Mes],$E$3))))</f>
        <v>4.82</v>
      </c>
      <c r="F100" s="768">
        <f t="shared" si="18"/>
        <v>1.0952902519167579E-3</v>
      </c>
      <c r="G100" s="768">
        <f t="shared" si="19"/>
        <v>6.3462888035402301E-4</v>
      </c>
      <c r="H100" s="767">
        <f t="shared" si="20"/>
        <v>2.41</v>
      </c>
      <c r="I100" s="765">
        <f t="shared" si="21"/>
        <v>1.02</v>
      </c>
      <c r="J100" s="765">
        <f>IFERROR(VLOOKUP(B100,BD_Datos!$M$1:$N$1014,2,FALSE),0)</f>
        <v>0.51</v>
      </c>
      <c r="K100" s="769">
        <f t="shared" si="22"/>
        <v>3.8000000000000003</v>
      </c>
      <c r="L100" s="765">
        <f t="shared" si="23"/>
        <v>0.78838174273858919</v>
      </c>
      <c r="M100" s="313">
        <f t="shared" si="24"/>
        <v>0.21161825726141079</v>
      </c>
      <c r="N100" s="313">
        <f t="shared" si="25"/>
        <v>6.7375652288790536E-4</v>
      </c>
      <c r="O100" s="314">
        <f t="shared" si="26"/>
        <v>1.9000000000000001</v>
      </c>
      <c r="P100" s="313">
        <f t="shared" si="27"/>
        <v>6.2488797238652901E-4</v>
      </c>
      <c r="Q100" s="313">
        <f>SUM(F$6:F100)</f>
        <v>0.86089813800657178</v>
      </c>
      <c r="R100" s="313">
        <f>SUM(P$6:P100)</f>
        <v>0.8090720578054259</v>
      </c>
    </row>
    <row r="101" spans="1:18" hidden="1">
      <c r="A101" s="74">
        <v>96</v>
      </c>
      <c r="B101" s="74" t="s">
        <v>773</v>
      </c>
      <c r="C101" s="74" t="s">
        <v>730</v>
      </c>
      <c r="D101" s="770">
        <f>IF($B$3="Acumulado",SUMIF(TBL_Ventas[Producto],B101,TBL_Ventas[Uds]),IF($B$3="Semanal",IF($E$3="Todos",SUMIF(TBL_Ventas[Producto],B101,TBL_Ventas[Uds]),SUMIFS(TBL_Ventas[Uds],TBL_Ventas[Producto],B101,TBL_Ventas[Semana],$E$3)),IF($E$3="Todos",SUMIF(TBL_Ventas[Producto],B101,TBL_Ventas[Uds]),SUMIFS(TBL_Ventas[Uds],TBL_Ventas[Producto],B101,TBL_Ventas[Mes],$E$3))))</f>
        <v>2</v>
      </c>
      <c r="E101" s="771">
        <f>IF($B$3="Acumulado",SUMIF(TBL_Ventas[Producto],B101,TBL_Ventas[Importe]),IF($B$3="Semanal",IF($E$3="Todos",SUMIF(TBL_Ventas[Producto],B101,TBL_Ventas[Importe]),SUMIFS(TBL_Ventas[Importe],TBL_Ventas[Producto],B101,TBL_Ventas[Semana],$E$3)),IF($E$3="Todos",SUMIF(TBL_Ventas[Producto],B101,TBL_Ventas[Importe]),SUMIFS(TBL_Ventas[Importe],TBL_Ventas[Producto],B101,TBL_Ventas[Mes],$E$3))))</f>
        <v>5.9</v>
      </c>
      <c r="F101" s="760">
        <f t="shared" si="18"/>
        <v>1.0952902519167579E-3</v>
      </c>
      <c r="G101" s="760">
        <f t="shared" si="19"/>
        <v>7.7682788259102404E-4</v>
      </c>
      <c r="H101" s="771">
        <f t="shared" si="20"/>
        <v>2.95</v>
      </c>
      <c r="I101" s="772">
        <f t="shared" si="21"/>
        <v>0.4</v>
      </c>
      <c r="J101" s="765">
        <f>IFERROR(VLOOKUP(B101,BD_Datos!$M$1:$N$1014,2,FALSE),0)</f>
        <v>0.2</v>
      </c>
      <c r="K101" s="773">
        <f t="shared" si="22"/>
        <v>5.5</v>
      </c>
      <c r="L101" s="772">
        <f t="shared" si="23"/>
        <v>0.93220338983050843</v>
      </c>
      <c r="M101" s="313">
        <f t="shared" si="24"/>
        <v>6.7796610169491525E-2</v>
      </c>
      <c r="N101" s="313">
        <f t="shared" si="25"/>
        <v>2.6421824426976683E-4</v>
      </c>
      <c r="O101" s="314">
        <f t="shared" si="26"/>
        <v>2.75</v>
      </c>
      <c r="P101" s="313">
        <f t="shared" si="27"/>
        <v>9.0444311792787092E-4</v>
      </c>
      <c r="Q101" s="313">
        <f>SUM(F$6:F101)</f>
        <v>0.86199342825848857</v>
      </c>
      <c r="R101" s="313">
        <f>SUM(P$6:P101)</f>
        <v>0.80997650092335383</v>
      </c>
    </row>
    <row r="102" spans="1:18" hidden="1">
      <c r="A102" s="765">
        <v>97</v>
      </c>
      <c r="B102" s="765" t="s">
        <v>780</v>
      </c>
      <c r="C102" s="765" t="s">
        <v>268</v>
      </c>
      <c r="D102" s="766">
        <f>IF($B$3="Acumulado",SUMIF(TBL_Ventas[Producto],B102,TBL_Ventas[Uds]),IF($B$3="Semanal",IF($E$3="Todos",SUMIF(TBL_Ventas[Producto],B102,TBL_Ventas[Uds]),SUMIFS(TBL_Ventas[Uds],TBL_Ventas[Producto],B102,TBL_Ventas[Semana],$E$3)),IF($E$3="Todos",SUMIF(TBL_Ventas[Producto],B102,TBL_Ventas[Uds]),SUMIFS(TBL_Ventas[Uds],TBL_Ventas[Producto],B102,TBL_Ventas[Mes],$E$3))))</f>
        <v>0</v>
      </c>
      <c r="E102" s="767">
        <f>IF($B$3="Acumulado",SUMIF(TBL_Ventas[Producto],B102,TBL_Ventas[Importe]),IF($B$3="Semanal",IF($E$3="Todos",SUMIF(TBL_Ventas[Producto],B102,TBL_Ventas[Importe]),SUMIFS(TBL_Ventas[Importe],TBL_Ventas[Producto],B102,TBL_Ventas[Semana],$E$3)),IF($E$3="Todos",SUMIF(TBL_Ventas[Producto],B102,TBL_Ventas[Importe]),SUMIFS(TBL_Ventas[Importe],TBL_Ventas[Producto],B102,TBL_Ventas[Mes],$E$3))))</f>
        <v>0</v>
      </c>
      <c r="F102" s="768">
        <f t="shared" ref="F102:F133" si="28">IF(SUM(D$6:D$205)=0,0,D102/SUM(D$6:D$205))</f>
        <v>0</v>
      </c>
      <c r="G102" s="768">
        <f t="shared" ref="G102:G133" si="29">IF(SUM(E$6:E$205)=0,0,E102/SUM(E$6:E$205))</f>
        <v>0</v>
      </c>
      <c r="H102" s="767">
        <f t="shared" si="20"/>
        <v>0</v>
      </c>
      <c r="I102" s="765">
        <f t="shared" ref="I102:I133" si="30">J102*D102</f>
        <v>0</v>
      </c>
      <c r="J102" s="765">
        <f>IFERROR(VLOOKUP(B102,BD_Datos!$M$1:$N$1014,2,FALSE),0)</f>
        <v>0</v>
      </c>
      <c r="K102" s="769">
        <f t="shared" ref="K102:K133" si="31">E102-I102</f>
        <v>0</v>
      </c>
      <c r="L102" s="765">
        <f t="shared" si="23"/>
        <v>0</v>
      </c>
      <c r="M102" s="313">
        <f t="shared" si="24"/>
        <v>0</v>
      </c>
      <c r="N102" s="313">
        <f t="shared" ref="N102:N133" si="32">IF(SUM(I$6:I$205)=0,0,I102/SUM(I$6:I$205))</f>
        <v>0</v>
      </c>
      <c r="O102" s="314">
        <f t="shared" si="26"/>
        <v>0</v>
      </c>
      <c r="P102" s="313">
        <f t="shared" ref="P102:P133" si="33">IF(SUM(K$6:K$205)=0,0,K102/SUM(K$6:K$205))</f>
        <v>0</v>
      </c>
      <c r="Q102" s="313">
        <f>SUM(F$6:F102)</f>
        <v>0.86199342825848857</v>
      </c>
      <c r="R102" s="313">
        <f>SUM(P$6:P102)</f>
        <v>0.80997650092335383</v>
      </c>
    </row>
    <row r="103" spans="1:18" hidden="1">
      <c r="A103" s="74">
        <v>98</v>
      </c>
      <c r="B103" s="74" t="s">
        <v>1179</v>
      </c>
      <c r="C103" s="74" t="s">
        <v>277</v>
      </c>
      <c r="D103" s="770">
        <f>IF($B$3="Acumulado",SUMIF(TBL_Ventas[Producto],B103,TBL_Ventas[Uds]),IF($B$3="Semanal",IF($E$3="Todos",SUMIF(TBL_Ventas[Producto],B103,TBL_Ventas[Uds]),SUMIFS(TBL_Ventas[Uds],TBL_Ventas[Producto],B103,TBL_Ventas[Semana],$E$3)),IF($E$3="Todos",SUMIF(TBL_Ventas[Producto],B103,TBL_Ventas[Uds]),SUMIFS(TBL_Ventas[Uds],TBL_Ventas[Producto],B103,TBL_Ventas[Mes],$E$3))))</f>
        <v>0</v>
      </c>
      <c r="E103" s="771">
        <f>IF($B$3="Acumulado",SUMIF(TBL_Ventas[Producto],B103,TBL_Ventas[Importe]),IF($B$3="Semanal",IF($E$3="Todos",SUMIF(TBL_Ventas[Producto],B103,TBL_Ventas[Importe]),SUMIFS(TBL_Ventas[Importe],TBL_Ventas[Producto],B103,TBL_Ventas[Semana],$E$3)),IF($E$3="Todos",SUMIF(TBL_Ventas[Producto],B103,TBL_Ventas[Importe]),SUMIFS(TBL_Ventas[Importe],TBL_Ventas[Producto],B103,TBL_Ventas[Mes],$E$3))))</f>
        <v>0</v>
      </c>
      <c r="F103" s="760">
        <f t="shared" si="28"/>
        <v>0</v>
      </c>
      <c r="G103" s="760">
        <f t="shared" si="29"/>
        <v>0</v>
      </c>
      <c r="H103" s="771">
        <f t="shared" si="20"/>
        <v>0</v>
      </c>
      <c r="I103" s="772">
        <f t="shared" si="30"/>
        <v>0</v>
      </c>
      <c r="J103" s="765">
        <f>IFERROR(VLOOKUP(B103,BD_Datos!$M$1:$N$1014,2,FALSE),0)</f>
        <v>2.82</v>
      </c>
      <c r="K103" s="773">
        <f t="shared" si="31"/>
        <v>0</v>
      </c>
      <c r="L103" s="772">
        <f t="shared" si="23"/>
        <v>0</v>
      </c>
      <c r="M103" s="313">
        <f t="shared" si="24"/>
        <v>0</v>
      </c>
      <c r="N103" s="313">
        <f t="shared" si="32"/>
        <v>0</v>
      </c>
      <c r="O103" s="314">
        <f t="shared" si="26"/>
        <v>0</v>
      </c>
      <c r="P103" s="313">
        <f t="shared" si="33"/>
        <v>0</v>
      </c>
      <c r="Q103" s="313">
        <f>SUM(F$6:F103)</f>
        <v>0.86199342825848857</v>
      </c>
      <c r="R103" s="313">
        <f>SUM(P$6:P103)</f>
        <v>0.80997650092335383</v>
      </c>
    </row>
    <row r="104" spans="1:18" hidden="1">
      <c r="A104" s="765">
        <v>99</v>
      </c>
      <c r="B104" s="765" t="s">
        <v>705</v>
      </c>
      <c r="C104" s="765" t="s">
        <v>274</v>
      </c>
      <c r="D104" s="766">
        <f>IF($B$3="Acumulado",SUMIF(TBL_Ventas[Producto],B104,TBL_Ventas[Uds]),IF($B$3="Semanal",IF($E$3="Todos",SUMIF(TBL_Ventas[Producto],B104,TBL_Ventas[Uds]),SUMIFS(TBL_Ventas[Uds],TBL_Ventas[Producto],B104,TBL_Ventas[Semana],$E$3)),IF($E$3="Todos",SUMIF(TBL_Ventas[Producto],B104,TBL_Ventas[Uds]),SUMIFS(TBL_Ventas[Uds],TBL_Ventas[Producto],B104,TBL_Ventas[Mes],$E$3))))</f>
        <v>7</v>
      </c>
      <c r="E104" s="767">
        <f>IF($B$3="Acumulado",SUMIF(TBL_Ventas[Producto],B104,TBL_Ventas[Importe]),IF($B$3="Semanal",IF($E$3="Todos",SUMIF(TBL_Ventas[Producto],B104,TBL_Ventas[Importe]),SUMIFS(TBL_Ventas[Importe],TBL_Ventas[Producto],B104,TBL_Ventas[Semana],$E$3)),IF($E$3="Todos",SUMIF(TBL_Ventas[Producto],B104,TBL_Ventas[Importe]),SUMIFS(TBL_Ventas[Importe],TBL_Ventas[Producto],B104,TBL_Ventas[Mes],$E$3))))</f>
        <v>65.150000000000006</v>
      </c>
      <c r="F104" s="768">
        <f t="shared" si="28"/>
        <v>3.8335158817086527E-3</v>
      </c>
      <c r="G104" s="768">
        <f t="shared" si="29"/>
        <v>8.5780231442042741E-3</v>
      </c>
      <c r="H104" s="767">
        <f t="shared" si="20"/>
        <v>9.3071428571428587</v>
      </c>
      <c r="I104" s="765">
        <f t="shared" si="30"/>
        <v>12.88</v>
      </c>
      <c r="J104" s="765">
        <f>IFERROR(VLOOKUP(B104,BD_Datos!$M$1:$N$1014,2,FALSE),0)</f>
        <v>1.84</v>
      </c>
      <c r="K104" s="769">
        <f t="shared" si="31"/>
        <v>52.27</v>
      </c>
      <c r="L104" s="765">
        <f t="shared" si="23"/>
        <v>0.80230237912509594</v>
      </c>
      <c r="M104" s="313">
        <f t="shared" si="24"/>
        <v>0.19769762087490406</v>
      </c>
      <c r="N104" s="313">
        <f t="shared" si="32"/>
        <v>8.5078274654864922E-3</v>
      </c>
      <c r="O104" s="314">
        <f t="shared" si="26"/>
        <v>7.467142857142858</v>
      </c>
      <c r="P104" s="313">
        <f t="shared" si="33"/>
        <v>8.5954985043799666E-3</v>
      </c>
      <c r="Q104" s="313">
        <f>SUM(F$6:F104)</f>
        <v>0.86582694414019723</v>
      </c>
      <c r="R104" s="313">
        <f>SUM(P$6:P104)</f>
        <v>0.81857199942773384</v>
      </c>
    </row>
    <row r="105" spans="1:18" hidden="1">
      <c r="A105" s="74">
        <v>100</v>
      </c>
      <c r="B105" s="74" t="s">
        <v>691</v>
      </c>
      <c r="C105" s="74" t="s">
        <v>251</v>
      </c>
      <c r="D105" s="770">
        <f>IF($B$3="Acumulado",SUMIF(TBL_Ventas[Producto],B105,TBL_Ventas[Uds]),IF($B$3="Semanal",IF($E$3="Todos",SUMIF(TBL_Ventas[Producto],B105,TBL_Ventas[Uds]),SUMIFS(TBL_Ventas[Uds],TBL_Ventas[Producto],B105,TBL_Ventas[Semana],$E$3)),IF($E$3="Todos",SUMIF(TBL_Ventas[Producto],B105,TBL_Ventas[Uds]),SUMIFS(TBL_Ventas[Uds],TBL_Ventas[Producto],B105,TBL_Ventas[Mes],$E$3))))</f>
        <v>5</v>
      </c>
      <c r="E105" s="771">
        <f>IF($B$3="Acumulado",SUMIF(TBL_Ventas[Producto],B105,TBL_Ventas[Importe]),IF($B$3="Semanal",IF($E$3="Todos",SUMIF(TBL_Ventas[Producto],B105,TBL_Ventas[Importe]),SUMIFS(TBL_Ventas[Importe],TBL_Ventas[Producto],B105,TBL_Ventas[Semana],$E$3)),IF($E$3="Todos",SUMIF(TBL_Ventas[Producto],B105,TBL_Ventas[Importe]),SUMIFS(TBL_Ventas[Importe],TBL_Ventas[Producto],B105,TBL_Ventas[Mes],$E$3))))</f>
        <v>12.05</v>
      </c>
      <c r="F105" s="760">
        <f t="shared" si="28"/>
        <v>2.7382256297918948E-3</v>
      </c>
      <c r="G105" s="760">
        <f t="shared" si="29"/>
        <v>1.5865722008850576E-3</v>
      </c>
      <c r="H105" s="771">
        <f t="shared" si="20"/>
        <v>2.41</v>
      </c>
      <c r="I105" s="772">
        <f t="shared" si="30"/>
        <v>0</v>
      </c>
      <c r="J105" s="765">
        <f>IFERROR(VLOOKUP(B105,BD_Datos!$M$1:$N$1014,2,FALSE),0)</f>
        <v>0</v>
      </c>
      <c r="K105" s="773">
        <f t="shared" si="31"/>
        <v>12.05</v>
      </c>
      <c r="L105" s="772">
        <f t="shared" si="23"/>
        <v>1</v>
      </c>
      <c r="M105" s="313">
        <f t="shared" si="24"/>
        <v>0</v>
      </c>
      <c r="N105" s="313">
        <f t="shared" si="32"/>
        <v>0</v>
      </c>
      <c r="O105" s="314">
        <f t="shared" si="26"/>
        <v>2.41</v>
      </c>
      <c r="P105" s="313">
        <f t="shared" si="33"/>
        <v>1.9815526492783357E-3</v>
      </c>
      <c r="Q105" s="313">
        <f>SUM(F$6:F105)</f>
        <v>0.8685651697699891</v>
      </c>
      <c r="R105" s="313">
        <f>SUM(P$6:P105)</f>
        <v>0.82055355207701219</v>
      </c>
    </row>
    <row r="106" spans="1:18" hidden="1">
      <c r="A106" s="765">
        <v>101</v>
      </c>
      <c r="B106" s="765" t="s">
        <v>1319</v>
      </c>
      <c r="C106" s="765" t="s">
        <v>256</v>
      </c>
      <c r="D106" s="766">
        <f>IF($B$3="Acumulado",SUMIF(TBL_Ventas[Producto],B106,TBL_Ventas[Uds]),IF($B$3="Semanal",IF($E$3="Todos",SUMIF(TBL_Ventas[Producto],B106,TBL_Ventas[Uds]),SUMIFS(TBL_Ventas[Uds],TBL_Ventas[Producto],B106,TBL_Ventas[Semana],$E$3)),IF($E$3="Todos",SUMIF(TBL_Ventas[Producto],B106,TBL_Ventas[Uds]),SUMIFS(TBL_Ventas[Uds],TBL_Ventas[Producto],B106,TBL_Ventas[Mes],$E$3))))</f>
        <v>0</v>
      </c>
      <c r="E106" s="767">
        <f>IF($B$3="Acumulado",SUMIF(TBL_Ventas[Producto],B106,TBL_Ventas[Importe]),IF($B$3="Semanal",IF($E$3="Todos",SUMIF(TBL_Ventas[Producto],B106,TBL_Ventas[Importe]),SUMIFS(TBL_Ventas[Importe],TBL_Ventas[Producto],B106,TBL_Ventas[Semana],$E$3)),IF($E$3="Todos",SUMIF(TBL_Ventas[Producto],B106,TBL_Ventas[Importe]),SUMIFS(TBL_Ventas[Importe],TBL_Ventas[Producto],B106,TBL_Ventas[Mes],$E$3))))</f>
        <v>0</v>
      </c>
      <c r="F106" s="768">
        <f t="shared" si="28"/>
        <v>0</v>
      </c>
      <c r="G106" s="768">
        <f t="shared" si="29"/>
        <v>0</v>
      </c>
      <c r="H106" s="767">
        <f t="shared" si="20"/>
        <v>0</v>
      </c>
      <c r="I106" s="765">
        <f t="shared" si="30"/>
        <v>0</v>
      </c>
      <c r="J106" s="765">
        <f>IFERROR(VLOOKUP(B106,BD_Datos!$M$1:$N$1014,2,FALSE),0)</f>
        <v>0.5</v>
      </c>
      <c r="K106" s="769">
        <f t="shared" si="31"/>
        <v>0</v>
      </c>
      <c r="L106" s="765">
        <f t="shared" si="23"/>
        <v>0</v>
      </c>
      <c r="M106" s="313">
        <f t="shared" si="24"/>
        <v>0</v>
      </c>
      <c r="N106" s="313">
        <f t="shared" si="32"/>
        <v>0</v>
      </c>
      <c r="O106" s="314">
        <f t="shared" si="26"/>
        <v>0</v>
      </c>
      <c r="P106" s="313">
        <f t="shared" si="33"/>
        <v>0</v>
      </c>
      <c r="Q106" s="313">
        <f>SUM(F$6:F106)</f>
        <v>0.8685651697699891</v>
      </c>
      <c r="R106" s="313">
        <f>SUM(P$6:P106)</f>
        <v>0.82055355207701219</v>
      </c>
    </row>
    <row r="107" spans="1:18" hidden="1">
      <c r="A107" s="74">
        <v>102</v>
      </c>
      <c r="B107" s="74" t="s">
        <v>707</v>
      </c>
      <c r="C107" s="74" t="s">
        <v>256</v>
      </c>
      <c r="D107" s="770">
        <f>IF($B$3="Acumulado",SUMIF(TBL_Ventas[Producto],B107,TBL_Ventas[Uds]),IF($B$3="Semanal",IF($E$3="Todos",SUMIF(TBL_Ventas[Producto],B107,TBL_Ventas[Uds]),SUMIFS(TBL_Ventas[Uds],TBL_Ventas[Producto],B107,TBL_Ventas[Semana],$E$3)),IF($E$3="Todos",SUMIF(TBL_Ventas[Producto],B107,TBL_Ventas[Uds]),SUMIFS(TBL_Ventas[Uds],TBL_Ventas[Producto],B107,TBL_Ventas[Mes],$E$3))))</f>
        <v>3</v>
      </c>
      <c r="E107" s="771">
        <f>IF($B$3="Acumulado",SUMIF(TBL_Ventas[Producto],B107,TBL_Ventas[Importe]),IF($B$3="Semanal",IF($E$3="Todos",SUMIF(TBL_Ventas[Producto],B107,TBL_Ventas[Importe]),SUMIFS(TBL_Ventas[Importe],TBL_Ventas[Producto],B107,TBL_Ventas[Semana],$E$3)),IF($E$3="Todos",SUMIF(TBL_Ventas[Producto],B107,TBL_Ventas[Importe]),SUMIFS(TBL_Ventas[Importe],TBL_Ventas[Producto],B107,TBL_Ventas[Mes],$E$3))))</f>
        <v>25.23</v>
      </c>
      <c r="F107" s="760">
        <f t="shared" si="28"/>
        <v>1.6429353778751369E-3</v>
      </c>
      <c r="G107" s="760">
        <f t="shared" si="29"/>
        <v>3.3219266911477183E-3</v>
      </c>
      <c r="H107" s="771">
        <f t="shared" si="20"/>
        <v>8.41</v>
      </c>
      <c r="I107" s="772">
        <f t="shared" si="30"/>
        <v>1.59</v>
      </c>
      <c r="J107" s="765">
        <f>IFERROR(VLOOKUP(B107,BD_Datos!$M$1:$N$1014,2,FALSE),0)</f>
        <v>0.53</v>
      </c>
      <c r="K107" s="773">
        <f t="shared" si="31"/>
        <v>23.64</v>
      </c>
      <c r="L107" s="772">
        <f t="shared" si="23"/>
        <v>0.93697978596908438</v>
      </c>
      <c r="M107" s="313">
        <f t="shared" si="24"/>
        <v>6.3020214030915581E-2</v>
      </c>
      <c r="N107" s="313">
        <f t="shared" si="32"/>
        <v>1.0502675209723231E-3</v>
      </c>
      <c r="O107" s="314">
        <f t="shared" si="26"/>
        <v>7.88</v>
      </c>
      <c r="P107" s="313">
        <f t="shared" si="33"/>
        <v>3.8874609650572491E-3</v>
      </c>
      <c r="Q107" s="313">
        <f>SUM(F$6:F107)</f>
        <v>0.87020810514786429</v>
      </c>
      <c r="R107" s="313">
        <f>SUM(P$6:P107)</f>
        <v>0.8244410130420694</v>
      </c>
    </row>
    <row r="108" spans="1:18" hidden="1">
      <c r="A108" s="765">
        <v>103</v>
      </c>
      <c r="B108" s="765" t="s">
        <v>907</v>
      </c>
      <c r="C108" s="765" t="s">
        <v>862</v>
      </c>
      <c r="D108" s="766">
        <f>IF($B$3="Acumulado",SUMIF(TBL_Ventas[Producto],B108,TBL_Ventas[Uds]),IF($B$3="Semanal",IF($E$3="Todos",SUMIF(TBL_Ventas[Producto],B108,TBL_Ventas[Uds]),SUMIFS(TBL_Ventas[Uds],TBL_Ventas[Producto],B108,TBL_Ventas[Semana],$E$3)),IF($E$3="Todos",SUMIF(TBL_Ventas[Producto],B108,TBL_Ventas[Uds]),SUMIFS(TBL_Ventas[Uds],TBL_Ventas[Producto],B108,TBL_Ventas[Mes],$E$3))))</f>
        <v>7</v>
      </c>
      <c r="E108" s="767">
        <f>IF($B$3="Acumulado",SUMIF(TBL_Ventas[Producto],B108,TBL_Ventas[Importe]),IF($B$3="Semanal",IF($E$3="Todos",SUMIF(TBL_Ventas[Producto],B108,TBL_Ventas[Importe]),SUMIFS(TBL_Ventas[Importe],TBL_Ventas[Producto],B108,TBL_Ventas[Semana],$E$3)),IF($E$3="Todos",SUMIF(TBL_Ventas[Producto],B108,TBL_Ventas[Importe]),SUMIFS(TBL_Ventas[Importe],TBL_Ventas[Producto],B108,TBL_Ventas[Mes],$E$3))))</f>
        <v>1.05</v>
      </c>
      <c r="F108" s="768">
        <f t="shared" si="28"/>
        <v>3.8335158817086527E-3</v>
      </c>
      <c r="G108" s="768">
        <f t="shared" si="29"/>
        <v>1.3824902995263988E-4</v>
      </c>
      <c r="H108" s="767">
        <f t="shared" si="20"/>
        <v>0.15</v>
      </c>
      <c r="I108" s="765">
        <f t="shared" si="30"/>
        <v>0.84</v>
      </c>
      <c r="J108" s="765">
        <f>IFERROR(VLOOKUP(B108,BD_Datos!$M$1:$N$1014,2,FALSE),0)</f>
        <v>0.12</v>
      </c>
      <c r="K108" s="769">
        <f t="shared" si="31"/>
        <v>0.21000000000000008</v>
      </c>
      <c r="L108" s="765">
        <f t="shared" si="23"/>
        <v>0.20000000000000007</v>
      </c>
      <c r="M108" s="313">
        <f t="shared" si="24"/>
        <v>0.79999999999999993</v>
      </c>
      <c r="N108" s="313">
        <f t="shared" si="32"/>
        <v>5.5485831296651033E-4</v>
      </c>
      <c r="O108" s="314">
        <f t="shared" si="26"/>
        <v>3.0000000000000009E-2</v>
      </c>
      <c r="P108" s="313">
        <f t="shared" si="33"/>
        <v>3.453328268451872E-5</v>
      </c>
      <c r="Q108" s="313">
        <f>SUM(F$6:F108)</f>
        <v>0.87404162102957295</v>
      </c>
      <c r="R108" s="313">
        <f>SUM(P$6:P108)</f>
        <v>0.82447554632475395</v>
      </c>
    </row>
    <row r="109" spans="1:18" hidden="1">
      <c r="A109" s="74">
        <v>104</v>
      </c>
      <c r="B109" s="74" t="s">
        <v>2153</v>
      </c>
      <c r="C109" s="74" t="s">
        <v>256</v>
      </c>
      <c r="D109" s="770">
        <f>IF($B$3="Acumulado",SUMIF(TBL_Ventas[Producto],B109,TBL_Ventas[Uds]),IF($B$3="Semanal",IF($E$3="Todos",SUMIF(TBL_Ventas[Producto],B109,TBL_Ventas[Uds]),SUMIFS(TBL_Ventas[Uds],TBL_Ventas[Producto],B109,TBL_Ventas[Semana],$E$3)),IF($E$3="Todos",SUMIF(TBL_Ventas[Producto],B109,TBL_Ventas[Uds]),SUMIFS(TBL_Ventas[Uds],TBL_Ventas[Producto],B109,TBL_Ventas[Mes],$E$3))))</f>
        <v>0</v>
      </c>
      <c r="E109" s="771">
        <f>IF($B$3="Acumulado",SUMIF(TBL_Ventas[Producto],B109,TBL_Ventas[Importe]),IF($B$3="Semanal",IF($E$3="Todos",SUMIF(TBL_Ventas[Producto],B109,TBL_Ventas[Importe]),SUMIFS(TBL_Ventas[Importe],TBL_Ventas[Producto],B109,TBL_Ventas[Semana],$E$3)),IF($E$3="Todos",SUMIF(TBL_Ventas[Producto],B109,TBL_Ventas[Importe]),SUMIFS(TBL_Ventas[Importe],TBL_Ventas[Producto],B109,TBL_Ventas[Mes],$E$3))))</f>
        <v>0</v>
      </c>
      <c r="F109" s="760">
        <f t="shared" si="28"/>
        <v>0</v>
      </c>
      <c r="G109" s="760">
        <f t="shared" si="29"/>
        <v>0</v>
      </c>
      <c r="H109" s="771">
        <f t="shared" si="20"/>
        <v>0</v>
      </c>
      <c r="I109" s="772">
        <f t="shared" si="30"/>
        <v>0</v>
      </c>
      <c r="J109" s="765">
        <f>IFERROR(VLOOKUP(B109,BD_Datos!$M$1:$N$1014,2,FALSE),0)</f>
        <v>2.31</v>
      </c>
      <c r="K109" s="773">
        <f t="shared" si="31"/>
        <v>0</v>
      </c>
      <c r="L109" s="772">
        <f t="shared" si="23"/>
        <v>0</v>
      </c>
      <c r="M109" s="313">
        <f t="shared" si="24"/>
        <v>0</v>
      </c>
      <c r="N109" s="313">
        <f t="shared" si="32"/>
        <v>0</v>
      </c>
      <c r="O109" s="314">
        <f t="shared" si="26"/>
        <v>0</v>
      </c>
      <c r="P109" s="313">
        <f t="shared" si="33"/>
        <v>0</v>
      </c>
      <c r="Q109" s="313">
        <f>SUM(F$6:F109)</f>
        <v>0.87404162102957295</v>
      </c>
      <c r="R109" s="313">
        <f>SUM(P$6:P109)</f>
        <v>0.82447554632475395</v>
      </c>
    </row>
    <row r="110" spans="1:18" hidden="1">
      <c r="A110" s="765">
        <v>105</v>
      </c>
      <c r="B110" s="765" t="s">
        <v>945</v>
      </c>
      <c r="C110" s="765" t="s">
        <v>251</v>
      </c>
      <c r="D110" s="766">
        <f>IF($B$3="Acumulado",SUMIF(TBL_Ventas[Producto],B110,TBL_Ventas[Uds]),IF($B$3="Semanal",IF($E$3="Todos",SUMIF(TBL_Ventas[Producto],B110,TBL_Ventas[Uds]),SUMIFS(TBL_Ventas[Uds],TBL_Ventas[Producto],B110,TBL_Ventas[Semana],$E$3)),IF($E$3="Todos",SUMIF(TBL_Ventas[Producto],B110,TBL_Ventas[Uds]),SUMIFS(TBL_Ventas[Uds],TBL_Ventas[Producto],B110,TBL_Ventas[Mes],$E$3))))</f>
        <v>1</v>
      </c>
      <c r="E110" s="767">
        <f>IF($B$3="Acumulado",SUMIF(TBL_Ventas[Producto],B110,TBL_Ventas[Importe]),IF($B$3="Semanal",IF($E$3="Todos",SUMIF(TBL_Ventas[Producto],B110,TBL_Ventas[Importe]),SUMIFS(TBL_Ventas[Importe],TBL_Ventas[Producto],B110,TBL_Ventas[Semana],$E$3)),IF($E$3="Todos",SUMIF(TBL_Ventas[Producto],B110,TBL_Ventas[Importe]),SUMIFS(TBL_Ventas[Importe],TBL_Ventas[Producto],B110,TBL_Ventas[Mes],$E$3))))</f>
        <v>2.6</v>
      </c>
      <c r="F110" s="768">
        <f t="shared" si="28"/>
        <v>5.4764512595837896E-4</v>
      </c>
      <c r="G110" s="768">
        <f t="shared" si="29"/>
        <v>3.4233093131129876E-4</v>
      </c>
      <c r="H110" s="767">
        <f t="shared" si="20"/>
        <v>2.6</v>
      </c>
      <c r="I110" s="765">
        <f t="shared" si="30"/>
        <v>0.52</v>
      </c>
      <c r="J110" s="765">
        <f>IFERROR(VLOOKUP(B110,BD_Datos!$M$1:$N$1014,2,FALSE),0)</f>
        <v>0.52</v>
      </c>
      <c r="K110" s="769">
        <f t="shared" si="31"/>
        <v>2.08</v>
      </c>
      <c r="L110" s="765">
        <f t="shared" si="23"/>
        <v>0.8</v>
      </c>
      <c r="M110" s="313">
        <f t="shared" si="24"/>
        <v>0.2</v>
      </c>
      <c r="N110" s="313">
        <f t="shared" si="32"/>
        <v>3.4348371755069687E-4</v>
      </c>
      <c r="O110" s="314">
        <f t="shared" si="26"/>
        <v>2.08</v>
      </c>
      <c r="P110" s="313">
        <f t="shared" si="33"/>
        <v>3.4204394277999485E-4</v>
      </c>
      <c r="Q110" s="313">
        <f>SUM(F$6:F110)</f>
        <v>0.87458926615553134</v>
      </c>
      <c r="R110" s="313">
        <f>SUM(P$6:P110)</f>
        <v>0.82481759026753398</v>
      </c>
    </row>
    <row r="111" spans="1:18" hidden="1">
      <c r="A111" s="74">
        <v>106</v>
      </c>
      <c r="B111" s="74" t="s">
        <v>2179</v>
      </c>
      <c r="C111" s="74" t="s">
        <v>276</v>
      </c>
      <c r="D111" s="770">
        <f>IF($B$3="Acumulado",SUMIF(TBL_Ventas[Producto],B111,TBL_Ventas[Uds]),IF($B$3="Semanal",IF($E$3="Todos",SUMIF(TBL_Ventas[Producto],B111,TBL_Ventas[Uds]),SUMIFS(TBL_Ventas[Uds],TBL_Ventas[Producto],B111,TBL_Ventas[Semana],$E$3)),IF($E$3="Todos",SUMIF(TBL_Ventas[Producto],B111,TBL_Ventas[Uds]),SUMIFS(TBL_Ventas[Uds],TBL_Ventas[Producto],B111,TBL_Ventas[Mes],$E$3))))</f>
        <v>6</v>
      </c>
      <c r="E111" s="771">
        <f>IF($B$3="Acumulado",SUMIF(TBL_Ventas[Producto],B111,TBL_Ventas[Importe]),IF($B$3="Semanal",IF($E$3="Todos",SUMIF(TBL_Ventas[Producto],B111,TBL_Ventas[Importe]),SUMIFS(TBL_Ventas[Importe],TBL_Ventas[Producto],B111,TBL_Ventas[Semana],$E$3)),IF($E$3="Todos",SUMIF(TBL_Ventas[Producto],B111,TBL_Ventas[Importe]),SUMIFS(TBL_Ventas[Importe],TBL_Ventas[Producto],B111,TBL_Ventas[Mes],$E$3))))</f>
        <v>29.1</v>
      </c>
      <c r="F111" s="760">
        <f t="shared" si="28"/>
        <v>3.2858707557502738E-3</v>
      </c>
      <c r="G111" s="760">
        <f t="shared" si="29"/>
        <v>3.8314731158303052E-3</v>
      </c>
      <c r="H111" s="771">
        <f t="shared" si="20"/>
        <v>4.8500000000000005</v>
      </c>
      <c r="I111" s="772">
        <f t="shared" si="30"/>
        <v>5.58</v>
      </c>
      <c r="J111" s="765">
        <f>IFERROR(VLOOKUP(B111,BD_Datos!$M$1:$N$1014,2,FALSE),0)</f>
        <v>0.93</v>
      </c>
      <c r="K111" s="773">
        <f t="shared" si="31"/>
        <v>23.520000000000003</v>
      </c>
      <c r="L111" s="772">
        <f t="shared" si="23"/>
        <v>0.80824742268041239</v>
      </c>
      <c r="M111" s="313">
        <f t="shared" si="24"/>
        <v>0.19175257731958761</v>
      </c>
      <c r="N111" s="313">
        <f t="shared" si="32"/>
        <v>3.6858445075632473E-3</v>
      </c>
      <c r="O111" s="314">
        <f t="shared" si="26"/>
        <v>3.9200000000000004</v>
      </c>
      <c r="P111" s="313">
        <f t="shared" si="33"/>
        <v>3.8677276606660957E-3</v>
      </c>
      <c r="Q111" s="313">
        <f>SUM(F$6:F111)</f>
        <v>0.87787513691128161</v>
      </c>
      <c r="R111" s="313">
        <f>SUM(P$6:P111)</f>
        <v>0.8286853179282001</v>
      </c>
    </row>
    <row r="112" spans="1:18" hidden="1">
      <c r="A112" s="765">
        <v>107</v>
      </c>
      <c r="B112" s="765" t="s">
        <v>1538</v>
      </c>
      <c r="C112" s="765" t="s">
        <v>264</v>
      </c>
      <c r="D112" s="766">
        <f>IF($B$3="Acumulado",SUMIF(TBL_Ventas[Producto],B112,TBL_Ventas[Uds]),IF($B$3="Semanal",IF($E$3="Todos",SUMIF(TBL_Ventas[Producto],B112,TBL_Ventas[Uds]),SUMIFS(TBL_Ventas[Uds],TBL_Ventas[Producto],B112,TBL_Ventas[Semana],$E$3)),IF($E$3="Todos",SUMIF(TBL_Ventas[Producto],B112,TBL_Ventas[Uds]),SUMIFS(TBL_Ventas[Uds],TBL_Ventas[Producto],B112,TBL_Ventas[Mes],$E$3))))</f>
        <v>0</v>
      </c>
      <c r="E112" s="767">
        <f>IF($B$3="Acumulado",SUMIF(TBL_Ventas[Producto],B112,TBL_Ventas[Importe]),IF($B$3="Semanal",IF($E$3="Todos",SUMIF(TBL_Ventas[Producto],B112,TBL_Ventas[Importe]),SUMIFS(TBL_Ventas[Importe],TBL_Ventas[Producto],B112,TBL_Ventas[Semana],$E$3)),IF($E$3="Todos",SUMIF(TBL_Ventas[Producto],B112,TBL_Ventas[Importe]),SUMIFS(TBL_Ventas[Importe],TBL_Ventas[Producto],B112,TBL_Ventas[Mes],$E$3))))</f>
        <v>0</v>
      </c>
      <c r="F112" s="768">
        <f t="shared" si="28"/>
        <v>0</v>
      </c>
      <c r="G112" s="768">
        <f t="shared" si="29"/>
        <v>0</v>
      </c>
      <c r="H112" s="767">
        <f t="shared" si="20"/>
        <v>0</v>
      </c>
      <c r="I112" s="765">
        <f t="shared" si="30"/>
        <v>0</v>
      </c>
      <c r="J112" s="765">
        <f>IFERROR(VLOOKUP(B112,BD_Datos!$M$1:$N$1014,2,FALSE),0)</f>
        <v>0</v>
      </c>
      <c r="K112" s="769">
        <f t="shared" si="31"/>
        <v>0</v>
      </c>
      <c r="L112" s="765">
        <f t="shared" si="23"/>
        <v>0</v>
      </c>
      <c r="M112" s="313">
        <f t="shared" si="24"/>
        <v>0</v>
      </c>
      <c r="N112" s="313">
        <f t="shared" si="32"/>
        <v>0</v>
      </c>
      <c r="O112" s="314">
        <f t="shared" si="26"/>
        <v>0</v>
      </c>
      <c r="P112" s="313">
        <f t="shared" si="33"/>
        <v>0</v>
      </c>
      <c r="Q112" s="313">
        <f>SUM(F$6:F112)</f>
        <v>0.87787513691128161</v>
      </c>
      <c r="R112" s="313">
        <f>SUM(P$6:P112)</f>
        <v>0.8286853179282001</v>
      </c>
    </row>
    <row r="113" spans="1:18" hidden="1">
      <c r="A113" s="74">
        <v>108</v>
      </c>
      <c r="B113" s="74" t="s">
        <v>1174</v>
      </c>
      <c r="C113" s="74" t="s">
        <v>862</v>
      </c>
      <c r="D113" s="770">
        <f>IF($B$3="Acumulado",SUMIF(TBL_Ventas[Producto],B113,TBL_Ventas[Uds]),IF($B$3="Semanal",IF($E$3="Todos",SUMIF(TBL_Ventas[Producto],B113,TBL_Ventas[Uds]),SUMIFS(TBL_Ventas[Uds],TBL_Ventas[Producto],B113,TBL_Ventas[Semana],$E$3)),IF($E$3="Todos",SUMIF(TBL_Ventas[Producto],B113,TBL_Ventas[Uds]),SUMIFS(TBL_Ventas[Uds],TBL_Ventas[Producto],B113,TBL_Ventas[Mes],$E$3))))</f>
        <v>7</v>
      </c>
      <c r="E113" s="771">
        <f>IF($B$3="Acumulado",SUMIF(TBL_Ventas[Producto],B113,TBL_Ventas[Importe]),IF($B$3="Semanal",IF($E$3="Todos",SUMIF(TBL_Ventas[Producto],B113,TBL_Ventas[Importe]),SUMIFS(TBL_Ventas[Importe],TBL_Ventas[Producto],B113,TBL_Ventas[Semana],$E$3)),IF($E$3="Todos",SUMIF(TBL_Ventas[Producto],B113,TBL_Ventas[Importe]),SUMIFS(TBL_Ventas[Importe],TBL_Ventas[Producto],B113,TBL_Ventas[Mes],$E$3))))</f>
        <v>1.05</v>
      </c>
      <c r="F113" s="760">
        <f t="shared" si="28"/>
        <v>3.8335158817086527E-3</v>
      </c>
      <c r="G113" s="760">
        <f t="shared" si="29"/>
        <v>1.3824902995263988E-4</v>
      </c>
      <c r="H113" s="771">
        <f t="shared" si="20"/>
        <v>0.15</v>
      </c>
      <c r="I113" s="772">
        <f t="shared" si="30"/>
        <v>0.84</v>
      </c>
      <c r="J113" s="765">
        <f>IFERROR(VLOOKUP(B113,BD_Datos!$M$1:$N$1014,2,FALSE),0)</f>
        <v>0.12</v>
      </c>
      <c r="K113" s="773">
        <f t="shared" si="31"/>
        <v>0.21000000000000008</v>
      </c>
      <c r="L113" s="772">
        <f t="shared" si="23"/>
        <v>0.20000000000000007</v>
      </c>
      <c r="M113" s="313">
        <f t="shared" si="24"/>
        <v>0.79999999999999993</v>
      </c>
      <c r="N113" s="313">
        <f t="shared" si="32"/>
        <v>5.5485831296651033E-4</v>
      </c>
      <c r="O113" s="314">
        <f t="shared" si="26"/>
        <v>3.0000000000000009E-2</v>
      </c>
      <c r="P113" s="313">
        <f t="shared" si="33"/>
        <v>3.453328268451872E-5</v>
      </c>
      <c r="Q113" s="313">
        <f>SUM(F$6:F113)</f>
        <v>0.88170865279299027</v>
      </c>
      <c r="R113" s="313">
        <f>SUM(P$6:P113)</f>
        <v>0.82871985121088465</v>
      </c>
    </row>
    <row r="114" spans="1:18" hidden="1">
      <c r="A114" s="765">
        <v>109</v>
      </c>
      <c r="B114" s="765" t="s">
        <v>2053</v>
      </c>
      <c r="C114" s="765" t="s">
        <v>321</v>
      </c>
      <c r="D114" s="766">
        <f>IF($B$3="Acumulado",SUMIF(TBL_Ventas[Producto],B114,TBL_Ventas[Uds]),IF($B$3="Semanal",IF($E$3="Todos",SUMIF(TBL_Ventas[Producto],B114,TBL_Ventas[Uds]),SUMIFS(TBL_Ventas[Uds],TBL_Ventas[Producto],B114,TBL_Ventas[Semana],$E$3)),IF($E$3="Todos",SUMIF(TBL_Ventas[Producto],B114,TBL_Ventas[Uds]),SUMIFS(TBL_Ventas[Uds],TBL_Ventas[Producto],B114,TBL_Ventas[Mes],$E$3))))</f>
        <v>0</v>
      </c>
      <c r="E114" s="767">
        <f>IF($B$3="Acumulado",SUMIF(TBL_Ventas[Producto],B114,TBL_Ventas[Importe]),IF($B$3="Semanal",IF($E$3="Todos",SUMIF(TBL_Ventas[Producto],B114,TBL_Ventas[Importe]),SUMIFS(TBL_Ventas[Importe],TBL_Ventas[Producto],B114,TBL_Ventas[Semana],$E$3)),IF($E$3="Todos",SUMIF(TBL_Ventas[Producto],B114,TBL_Ventas[Importe]),SUMIFS(TBL_Ventas[Importe],TBL_Ventas[Producto],B114,TBL_Ventas[Mes],$E$3))))</f>
        <v>0</v>
      </c>
      <c r="F114" s="768">
        <f t="shared" si="28"/>
        <v>0</v>
      </c>
      <c r="G114" s="768">
        <f t="shared" si="29"/>
        <v>0</v>
      </c>
      <c r="H114" s="767">
        <f t="shared" si="20"/>
        <v>0</v>
      </c>
      <c r="I114" s="765">
        <f t="shared" si="30"/>
        <v>0</v>
      </c>
      <c r="J114" s="765">
        <f>IFERROR(VLOOKUP(B114,BD_Datos!$M$1:$N$1014,2,FALSE),0)</f>
        <v>0.55000000000000004</v>
      </c>
      <c r="K114" s="769">
        <f t="shared" si="31"/>
        <v>0</v>
      </c>
      <c r="L114" s="765">
        <f t="shared" si="23"/>
        <v>0</v>
      </c>
      <c r="M114" s="313">
        <f t="shared" si="24"/>
        <v>0</v>
      </c>
      <c r="N114" s="313">
        <f t="shared" si="32"/>
        <v>0</v>
      </c>
      <c r="O114" s="314">
        <f t="shared" si="26"/>
        <v>0</v>
      </c>
      <c r="P114" s="313">
        <f t="shared" si="33"/>
        <v>0</v>
      </c>
      <c r="Q114" s="313">
        <f>SUM(F$6:F114)</f>
        <v>0.88170865279299027</v>
      </c>
      <c r="R114" s="313">
        <f>SUM(P$6:P114)</f>
        <v>0.82871985121088465</v>
      </c>
    </row>
    <row r="115" spans="1:18" hidden="1">
      <c r="A115" s="74">
        <v>110</v>
      </c>
      <c r="B115" s="74" t="s">
        <v>1139</v>
      </c>
      <c r="C115" s="74" t="s">
        <v>326</v>
      </c>
      <c r="D115" s="770">
        <f>IF($B$3="Acumulado",SUMIF(TBL_Ventas[Producto],B115,TBL_Ventas[Uds]),IF($B$3="Semanal",IF($E$3="Todos",SUMIF(TBL_Ventas[Producto],B115,TBL_Ventas[Uds]),SUMIFS(TBL_Ventas[Uds],TBL_Ventas[Producto],B115,TBL_Ventas[Semana],$E$3)),IF($E$3="Todos",SUMIF(TBL_Ventas[Producto],B115,TBL_Ventas[Uds]),SUMIFS(TBL_Ventas[Uds],TBL_Ventas[Producto],B115,TBL_Ventas[Mes],$E$3))))</f>
        <v>4</v>
      </c>
      <c r="E115" s="771">
        <f>IF($B$3="Acumulado",SUMIF(TBL_Ventas[Producto],B115,TBL_Ventas[Importe]),IF($B$3="Semanal",IF($E$3="Todos",SUMIF(TBL_Ventas[Producto],B115,TBL_Ventas[Importe]),SUMIFS(TBL_Ventas[Importe],TBL_Ventas[Producto],B115,TBL_Ventas[Semana],$E$3)),IF($E$3="Todos",SUMIF(TBL_Ventas[Producto],B115,TBL_Ventas[Importe]),SUMIFS(TBL_Ventas[Importe],TBL_Ventas[Producto],B115,TBL_Ventas[Mes],$E$3))))</f>
        <v>39.15</v>
      </c>
      <c r="F115" s="760">
        <f t="shared" si="28"/>
        <v>2.1905805038335158E-3</v>
      </c>
      <c r="G115" s="760">
        <f t="shared" si="29"/>
        <v>5.1547138310912861E-3</v>
      </c>
      <c r="H115" s="771">
        <f t="shared" si="20"/>
        <v>9.7874999999999996</v>
      </c>
      <c r="I115" s="772">
        <f t="shared" si="30"/>
        <v>7.16</v>
      </c>
      <c r="J115" s="765">
        <f>IFERROR(VLOOKUP(B115,BD_Datos!$M$1:$N$1014,2,FALSE),0)</f>
        <v>1.79</v>
      </c>
      <c r="K115" s="773">
        <f t="shared" si="31"/>
        <v>31.99</v>
      </c>
      <c r="L115" s="772">
        <f t="shared" si="23"/>
        <v>0.81711366538952745</v>
      </c>
      <c r="M115" s="313">
        <f t="shared" si="24"/>
        <v>0.18288633461047255</v>
      </c>
      <c r="N115" s="313">
        <f t="shared" si="32"/>
        <v>4.7295065724288262E-3</v>
      </c>
      <c r="O115" s="314">
        <f t="shared" si="26"/>
        <v>7.9974999999999996</v>
      </c>
      <c r="P115" s="313">
        <f t="shared" si="33"/>
        <v>5.2605700622750159E-3</v>
      </c>
      <c r="Q115" s="313">
        <f>SUM(F$6:F115)</f>
        <v>0.88389923329682374</v>
      </c>
      <c r="R115" s="313">
        <f>SUM(P$6:P115)</f>
        <v>0.83398042127315963</v>
      </c>
    </row>
    <row r="116" spans="1:18" hidden="1">
      <c r="A116" s="765">
        <v>111</v>
      </c>
      <c r="B116" s="765" t="s">
        <v>1875</v>
      </c>
      <c r="C116" s="765" t="s">
        <v>275</v>
      </c>
      <c r="D116" s="766">
        <f>IF($B$3="Acumulado",SUMIF(TBL_Ventas[Producto],B116,TBL_Ventas[Uds]),IF($B$3="Semanal",IF($E$3="Todos",SUMIF(TBL_Ventas[Producto],B116,TBL_Ventas[Uds]),SUMIFS(TBL_Ventas[Uds],TBL_Ventas[Producto],B116,TBL_Ventas[Semana],$E$3)),IF($E$3="Todos",SUMIF(TBL_Ventas[Producto],B116,TBL_Ventas[Uds]),SUMIFS(TBL_Ventas[Uds],TBL_Ventas[Producto],B116,TBL_Ventas[Mes],$E$3))))</f>
        <v>4</v>
      </c>
      <c r="E116" s="767">
        <f>IF($B$3="Acumulado",SUMIF(TBL_Ventas[Producto],B116,TBL_Ventas[Importe]),IF($B$3="Semanal",IF($E$3="Todos",SUMIF(TBL_Ventas[Producto],B116,TBL_Ventas[Importe]),SUMIFS(TBL_Ventas[Importe],TBL_Ventas[Producto],B116,TBL_Ventas[Semana],$E$3)),IF($E$3="Todos",SUMIF(TBL_Ventas[Producto],B116,TBL_Ventas[Importe]),SUMIFS(TBL_Ventas[Importe],TBL_Ventas[Producto],B116,TBL_Ventas[Mes],$E$3))))</f>
        <v>18.27</v>
      </c>
      <c r="F116" s="768">
        <f t="shared" si="28"/>
        <v>2.1905805038335158E-3</v>
      </c>
      <c r="G116" s="768">
        <f t="shared" si="29"/>
        <v>2.4055331211759335E-3</v>
      </c>
      <c r="H116" s="767">
        <f t="shared" si="20"/>
        <v>4.5674999999999999</v>
      </c>
      <c r="I116" s="765">
        <f t="shared" si="30"/>
        <v>1.64</v>
      </c>
      <c r="J116" s="765">
        <f>IFERROR(VLOOKUP(B116,BD_Datos!$M$1:$N$1014,2,FALSE),0)</f>
        <v>0.41</v>
      </c>
      <c r="K116" s="769">
        <f t="shared" si="31"/>
        <v>16.63</v>
      </c>
      <c r="L116" s="765">
        <f t="shared" si="23"/>
        <v>0.9102353585112205</v>
      </c>
      <c r="M116" s="313">
        <f t="shared" si="24"/>
        <v>8.9764641488779412E-2</v>
      </c>
      <c r="N116" s="313">
        <f t="shared" si="32"/>
        <v>1.0832948015060439E-3</v>
      </c>
      <c r="O116" s="314">
        <f t="shared" si="26"/>
        <v>4.1574999999999998</v>
      </c>
      <c r="P116" s="313">
        <f t="shared" si="33"/>
        <v>2.7347071002073622E-3</v>
      </c>
      <c r="Q116" s="313">
        <f>SUM(F$6:F116)</f>
        <v>0.88608981380065721</v>
      </c>
      <c r="R116" s="313">
        <f>SUM(P$6:P116)</f>
        <v>0.83671512837336703</v>
      </c>
    </row>
    <row r="117" spans="1:18" hidden="1">
      <c r="A117" s="74">
        <v>112</v>
      </c>
      <c r="B117" s="74" t="s">
        <v>1188</v>
      </c>
      <c r="C117" s="74" t="s">
        <v>277</v>
      </c>
      <c r="D117" s="770">
        <f>IF($B$3="Acumulado",SUMIF(TBL_Ventas[Producto],B117,TBL_Ventas[Uds]),IF($B$3="Semanal",IF($E$3="Todos",SUMIF(TBL_Ventas[Producto],B117,TBL_Ventas[Uds]),SUMIFS(TBL_Ventas[Uds],TBL_Ventas[Producto],B117,TBL_Ventas[Semana],$E$3)),IF($E$3="Todos",SUMIF(TBL_Ventas[Producto],B117,TBL_Ventas[Uds]),SUMIFS(TBL_Ventas[Uds],TBL_Ventas[Producto],B117,TBL_Ventas[Mes],$E$3))))</f>
        <v>3</v>
      </c>
      <c r="E117" s="771">
        <f>IF($B$3="Acumulado",SUMIF(TBL_Ventas[Producto],B117,TBL_Ventas[Importe]),IF($B$3="Semanal",IF($E$3="Todos",SUMIF(TBL_Ventas[Producto],B117,TBL_Ventas[Importe]),SUMIFS(TBL_Ventas[Importe],TBL_Ventas[Producto],B117,TBL_Ventas[Semana],$E$3)),IF($E$3="Todos",SUMIF(TBL_Ventas[Producto],B117,TBL_Ventas[Importe]),SUMIFS(TBL_Ventas[Importe],TBL_Ventas[Producto],B117,TBL_Ventas[Mes],$E$3))))</f>
        <v>32.700000000000003</v>
      </c>
      <c r="F117" s="760">
        <f t="shared" si="28"/>
        <v>1.6429353778751369E-3</v>
      </c>
      <c r="G117" s="760">
        <f t="shared" si="29"/>
        <v>4.3054697899536417E-3</v>
      </c>
      <c r="H117" s="771">
        <f t="shared" si="20"/>
        <v>10.9</v>
      </c>
      <c r="I117" s="772">
        <f t="shared" si="30"/>
        <v>8.0400000000000009</v>
      </c>
      <c r="J117" s="765">
        <f>IFERROR(VLOOKUP(B117,BD_Datos!$M$1:$N$1014,2,FALSE),0)</f>
        <v>2.68</v>
      </c>
      <c r="K117" s="773">
        <f t="shared" si="31"/>
        <v>24.660000000000004</v>
      </c>
      <c r="L117" s="772">
        <f t="shared" si="23"/>
        <v>0.75412844036697257</v>
      </c>
      <c r="M117" s="313">
        <f t="shared" si="24"/>
        <v>0.24587155963302754</v>
      </c>
      <c r="N117" s="313">
        <f t="shared" si="32"/>
        <v>5.3107867098223134E-3</v>
      </c>
      <c r="O117" s="314">
        <f t="shared" si="26"/>
        <v>8.2200000000000006</v>
      </c>
      <c r="P117" s="313">
        <f t="shared" si="33"/>
        <v>4.0551940523820542E-3</v>
      </c>
      <c r="Q117" s="313">
        <f>SUM(F$6:F117)</f>
        <v>0.8877327491785324</v>
      </c>
      <c r="R117" s="313">
        <f>SUM(P$6:P117)</f>
        <v>0.84077032242574912</v>
      </c>
    </row>
    <row r="118" spans="1:18" hidden="1">
      <c r="A118" s="765">
        <v>113</v>
      </c>
      <c r="B118" s="765" t="s">
        <v>799</v>
      </c>
      <c r="C118" s="765" t="s">
        <v>713</v>
      </c>
      <c r="D118" s="766">
        <f>IF($B$3="Acumulado",SUMIF(TBL_Ventas[Producto],B118,TBL_Ventas[Uds]),IF($B$3="Semanal",IF($E$3="Todos",SUMIF(TBL_Ventas[Producto],B118,TBL_Ventas[Uds]),SUMIFS(TBL_Ventas[Uds],TBL_Ventas[Producto],B118,TBL_Ventas[Semana],$E$3)),IF($E$3="Todos",SUMIF(TBL_Ventas[Producto],B118,TBL_Ventas[Uds]),SUMIFS(TBL_Ventas[Uds],TBL_Ventas[Producto],B118,TBL_Ventas[Mes],$E$3))))</f>
        <v>0</v>
      </c>
      <c r="E118" s="767">
        <f>IF($B$3="Acumulado",SUMIF(TBL_Ventas[Producto],B118,TBL_Ventas[Importe]),IF($B$3="Semanal",IF($E$3="Todos",SUMIF(TBL_Ventas[Producto],B118,TBL_Ventas[Importe]),SUMIFS(TBL_Ventas[Importe],TBL_Ventas[Producto],B118,TBL_Ventas[Semana],$E$3)),IF($E$3="Todos",SUMIF(TBL_Ventas[Producto],B118,TBL_Ventas[Importe]),SUMIFS(TBL_Ventas[Importe],TBL_Ventas[Producto],B118,TBL_Ventas[Mes],$E$3))))</f>
        <v>0</v>
      </c>
      <c r="F118" s="768">
        <f t="shared" si="28"/>
        <v>0</v>
      </c>
      <c r="G118" s="768">
        <f t="shared" si="29"/>
        <v>0</v>
      </c>
      <c r="H118" s="767">
        <f t="shared" si="20"/>
        <v>0</v>
      </c>
      <c r="I118" s="765">
        <f t="shared" si="30"/>
        <v>0</v>
      </c>
      <c r="J118" s="765">
        <f>IFERROR(VLOOKUP(B118,BD_Datos!$M$1:$N$1014,2,FALSE),0)</f>
        <v>0.24</v>
      </c>
      <c r="K118" s="769">
        <f t="shared" si="31"/>
        <v>0</v>
      </c>
      <c r="L118" s="765">
        <f t="shared" si="23"/>
        <v>0</v>
      </c>
      <c r="M118" s="313">
        <f t="shared" si="24"/>
        <v>0</v>
      </c>
      <c r="N118" s="313">
        <f t="shared" si="32"/>
        <v>0</v>
      </c>
      <c r="O118" s="314">
        <f t="shared" si="26"/>
        <v>0</v>
      </c>
      <c r="P118" s="313">
        <f t="shared" si="33"/>
        <v>0</v>
      </c>
      <c r="Q118" s="313">
        <f>SUM(F$6:F118)</f>
        <v>0.8877327491785324</v>
      </c>
      <c r="R118" s="313">
        <f>SUM(P$6:P118)</f>
        <v>0.84077032242574912</v>
      </c>
    </row>
    <row r="119" spans="1:18" hidden="1">
      <c r="A119" s="74">
        <v>114</v>
      </c>
      <c r="B119" s="74" t="s">
        <v>756</v>
      </c>
      <c r="C119" s="74" t="s">
        <v>251</v>
      </c>
      <c r="D119" s="770">
        <f>IF($B$3="Acumulado",SUMIF(TBL_Ventas[Producto],B119,TBL_Ventas[Uds]),IF($B$3="Semanal",IF($E$3="Todos",SUMIF(TBL_Ventas[Producto],B119,TBL_Ventas[Uds]),SUMIFS(TBL_Ventas[Uds],TBL_Ventas[Producto],B119,TBL_Ventas[Semana],$E$3)),IF($E$3="Todos",SUMIF(TBL_Ventas[Producto],B119,TBL_Ventas[Uds]),SUMIFS(TBL_Ventas[Uds],TBL_Ventas[Producto],B119,TBL_Ventas[Mes],$E$3))))</f>
        <v>6</v>
      </c>
      <c r="E119" s="771">
        <f>IF($B$3="Acumulado",SUMIF(TBL_Ventas[Producto],B119,TBL_Ventas[Importe]),IF($B$3="Semanal",IF($E$3="Todos",SUMIF(TBL_Ventas[Producto],B119,TBL_Ventas[Importe]),SUMIFS(TBL_Ventas[Importe],TBL_Ventas[Producto],B119,TBL_Ventas[Semana],$E$3)),IF($E$3="Todos",SUMIF(TBL_Ventas[Producto],B119,TBL_Ventas[Importe]),SUMIFS(TBL_Ventas[Importe],TBL_Ventas[Producto],B119,TBL_Ventas[Mes],$E$3))))</f>
        <v>14.25</v>
      </c>
      <c r="F119" s="760">
        <f t="shared" si="28"/>
        <v>3.2858707557502738E-3</v>
      </c>
      <c r="G119" s="760">
        <f t="shared" si="29"/>
        <v>1.8762368350715411E-3</v>
      </c>
      <c r="H119" s="771">
        <f t="shared" si="20"/>
        <v>2.375</v>
      </c>
      <c r="I119" s="772">
        <f t="shared" si="30"/>
        <v>4.5600000000000005</v>
      </c>
      <c r="J119" s="765">
        <f>IFERROR(VLOOKUP(B119,BD_Datos!$M$1:$N$1014,2,FALSE),0)</f>
        <v>0.76</v>
      </c>
      <c r="K119" s="773">
        <f t="shared" si="31"/>
        <v>9.69</v>
      </c>
      <c r="L119" s="772">
        <f t="shared" si="23"/>
        <v>0.67999999999999994</v>
      </c>
      <c r="M119" s="313">
        <f t="shared" si="24"/>
        <v>0.32000000000000006</v>
      </c>
      <c r="N119" s="313">
        <f t="shared" si="32"/>
        <v>3.0120879846753418E-3</v>
      </c>
      <c r="O119" s="314">
        <f t="shared" si="26"/>
        <v>1.615</v>
      </c>
      <c r="P119" s="313">
        <f t="shared" si="33"/>
        <v>1.5934643295856489E-3</v>
      </c>
      <c r="Q119" s="313">
        <f>SUM(F$6:F119)</f>
        <v>0.89101861993428266</v>
      </c>
      <c r="R119" s="313">
        <f>SUM(P$6:P119)</f>
        <v>0.84236378675533474</v>
      </c>
    </row>
    <row r="120" spans="1:18" hidden="1">
      <c r="A120" s="765">
        <v>115</v>
      </c>
      <c r="B120" s="765" t="s">
        <v>735</v>
      </c>
      <c r="C120" s="765" t="s">
        <v>730</v>
      </c>
      <c r="D120" s="766">
        <f>IF($B$3="Acumulado",SUMIF(TBL_Ventas[Producto],B120,TBL_Ventas[Uds]),IF($B$3="Semanal",IF($E$3="Todos",SUMIF(TBL_Ventas[Producto],B120,TBL_Ventas[Uds]),SUMIFS(TBL_Ventas[Uds],TBL_Ventas[Producto],B120,TBL_Ventas[Semana],$E$3)),IF($E$3="Todos",SUMIF(TBL_Ventas[Producto],B120,TBL_Ventas[Uds]),SUMIFS(TBL_Ventas[Uds],TBL_Ventas[Producto],B120,TBL_Ventas[Mes],$E$3))))</f>
        <v>1</v>
      </c>
      <c r="E120" s="767">
        <f>IF($B$3="Acumulado",SUMIF(TBL_Ventas[Producto],B120,TBL_Ventas[Importe]),IF($B$3="Semanal",IF($E$3="Todos",SUMIF(TBL_Ventas[Producto],B120,TBL_Ventas[Importe]),SUMIFS(TBL_Ventas[Importe],TBL_Ventas[Producto],B120,TBL_Ventas[Semana],$E$3)),IF($E$3="Todos",SUMIF(TBL_Ventas[Producto],B120,TBL_Ventas[Importe]),SUMIFS(TBL_Ventas[Importe],TBL_Ventas[Producto],B120,TBL_Ventas[Mes],$E$3))))</f>
        <v>2.82</v>
      </c>
      <c r="F120" s="768">
        <f t="shared" si="28"/>
        <v>5.4764512595837896E-4</v>
      </c>
      <c r="G120" s="768">
        <f t="shared" si="29"/>
        <v>3.7129739472994706E-4</v>
      </c>
      <c r="H120" s="767">
        <f t="shared" si="20"/>
        <v>2.82</v>
      </c>
      <c r="I120" s="765">
        <f t="shared" si="30"/>
        <v>0.19</v>
      </c>
      <c r="J120" s="765">
        <f>IFERROR(VLOOKUP(B120,BD_Datos!$M$1:$N$1014,2,FALSE),0)</f>
        <v>0.19</v>
      </c>
      <c r="K120" s="769">
        <f t="shared" si="31"/>
        <v>2.63</v>
      </c>
      <c r="L120" s="765">
        <f t="shared" si="23"/>
        <v>0.93262411347517737</v>
      </c>
      <c r="M120" s="313">
        <f t="shared" si="24"/>
        <v>6.7375886524822695E-2</v>
      </c>
      <c r="N120" s="313">
        <f t="shared" si="32"/>
        <v>1.2550366602813922E-4</v>
      </c>
      <c r="O120" s="314">
        <f t="shared" si="26"/>
        <v>2.63</v>
      </c>
      <c r="P120" s="313">
        <f t="shared" si="33"/>
        <v>4.3248825457278188E-4</v>
      </c>
      <c r="Q120" s="313">
        <f>SUM(F$6:F120)</f>
        <v>0.89156626506024106</v>
      </c>
      <c r="R120" s="313">
        <f>SUM(P$6:P120)</f>
        <v>0.8427962750099075</v>
      </c>
    </row>
    <row r="121" spans="1:18" hidden="1">
      <c r="A121" s="74">
        <v>116</v>
      </c>
      <c r="B121" s="74" t="s">
        <v>802</v>
      </c>
      <c r="C121" s="74" t="s">
        <v>713</v>
      </c>
      <c r="D121" s="770">
        <f>IF($B$3="Acumulado",SUMIF(TBL_Ventas[Producto],B121,TBL_Ventas[Uds]),IF($B$3="Semanal",IF($E$3="Todos",SUMIF(TBL_Ventas[Producto],B121,TBL_Ventas[Uds]),SUMIFS(TBL_Ventas[Uds],TBL_Ventas[Producto],B121,TBL_Ventas[Semana],$E$3)),IF($E$3="Todos",SUMIF(TBL_Ventas[Producto],B121,TBL_Ventas[Uds]),SUMIFS(TBL_Ventas[Uds],TBL_Ventas[Producto],B121,TBL_Ventas[Mes],$E$3))))</f>
        <v>4</v>
      </c>
      <c r="E121" s="771">
        <f>IF($B$3="Acumulado",SUMIF(TBL_Ventas[Producto],B121,TBL_Ventas[Importe]),IF($B$3="Semanal",IF($E$3="Todos",SUMIF(TBL_Ventas[Producto],B121,TBL_Ventas[Importe]),SUMIFS(TBL_Ventas[Importe],TBL_Ventas[Producto],B121,TBL_Ventas[Semana],$E$3)),IF($E$3="Todos",SUMIF(TBL_Ventas[Producto],B121,TBL_Ventas[Importe]),SUMIFS(TBL_Ventas[Importe],TBL_Ventas[Producto],B121,TBL_Ventas[Mes],$E$3))))</f>
        <v>18.399999999999999</v>
      </c>
      <c r="F121" s="760">
        <f t="shared" si="28"/>
        <v>2.1905805038335158E-3</v>
      </c>
      <c r="G121" s="760">
        <f t="shared" si="29"/>
        <v>2.4226496677414986E-3</v>
      </c>
      <c r="H121" s="771">
        <f t="shared" si="20"/>
        <v>4.5999999999999996</v>
      </c>
      <c r="I121" s="772">
        <f t="shared" si="30"/>
        <v>3.44</v>
      </c>
      <c r="J121" s="765">
        <f>IFERROR(VLOOKUP(B121,BD_Datos!$M$1:$N$1014,2,FALSE),0)</f>
        <v>0.86</v>
      </c>
      <c r="K121" s="773">
        <f t="shared" si="31"/>
        <v>14.959999999999999</v>
      </c>
      <c r="L121" s="772">
        <f t="shared" si="23"/>
        <v>0.81304347826086953</v>
      </c>
      <c r="M121" s="313">
        <f t="shared" si="24"/>
        <v>0.18695652173913044</v>
      </c>
      <c r="N121" s="313">
        <f t="shared" si="32"/>
        <v>2.2722769007199944E-3</v>
      </c>
      <c r="O121" s="314">
        <f t="shared" si="26"/>
        <v>3.7399999999999998</v>
      </c>
      <c r="P121" s="313">
        <f t="shared" si="33"/>
        <v>2.4600852807638088E-3</v>
      </c>
      <c r="Q121" s="313">
        <f>SUM(F$6:F121)</f>
        <v>0.89375684556407453</v>
      </c>
      <c r="R121" s="313">
        <f>SUM(P$6:P121)</f>
        <v>0.8452563602906713</v>
      </c>
    </row>
    <row r="122" spans="1:18" hidden="1">
      <c r="A122" s="765">
        <v>117</v>
      </c>
      <c r="B122" s="765" t="s">
        <v>965</v>
      </c>
      <c r="C122" s="765" t="s">
        <v>253</v>
      </c>
      <c r="D122" s="766">
        <f>IF($B$3="Acumulado",SUMIF(TBL_Ventas[Producto],B122,TBL_Ventas[Uds]),IF($B$3="Semanal",IF($E$3="Todos",SUMIF(TBL_Ventas[Producto],B122,TBL_Ventas[Uds]),SUMIFS(TBL_Ventas[Uds],TBL_Ventas[Producto],B122,TBL_Ventas[Semana],$E$3)),IF($E$3="Todos",SUMIF(TBL_Ventas[Producto],B122,TBL_Ventas[Uds]),SUMIFS(TBL_Ventas[Uds],TBL_Ventas[Producto],B122,TBL_Ventas[Mes],$E$3))))</f>
        <v>0</v>
      </c>
      <c r="E122" s="767">
        <f>IF($B$3="Acumulado",SUMIF(TBL_Ventas[Producto],B122,TBL_Ventas[Importe]),IF($B$3="Semanal",IF($E$3="Todos",SUMIF(TBL_Ventas[Producto],B122,TBL_Ventas[Importe]),SUMIFS(TBL_Ventas[Importe],TBL_Ventas[Producto],B122,TBL_Ventas[Semana],$E$3)),IF($E$3="Todos",SUMIF(TBL_Ventas[Producto],B122,TBL_Ventas[Importe]),SUMIFS(TBL_Ventas[Importe],TBL_Ventas[Producto],B122,TBL_Ventas[Mes],$E$3))))</f>
        <v>0</v>
      </c>
      <c r="F122" s="768">
        <f t="shared" si="28"/>
        <v>0</v>
      </c>
      <c r="G122" s="768">
        <f t="shared" si="29"/>
        <v>0</v>
      </c>
      <c r="H122" s="767">
        <f t="shared" si="20"/>
        <v>0</v>
      </c>
      <c r="I122" s="765">
        <f t="shared" si="30"/>
        <v>0</v>
      </c>
      <c r="J122" s="765">
        <f>IFERROR(VLOOKUP(B122,BD_Datos!$M$1:$N$1014,2,FALSE),0)</f>
        <v>0</v>
      </c>
      <c r="K122" s="769">
        <f t="shared" si="31"/>
        <v>0</v>
      </c>
      <c r="L122" s="765">
        <f t="shared" si="23"/>
        <v>0</v>
      </c>
      <c r="M122" s="313">
        <f t="shared" si="24"/>
        <v>0</v>
      </c>
      <c r="N122" s="313">
        <f t="shared" si="32"/>
        <v>0</v>
      </c>
      <c r="O122" s="314">
        <f t="shared" si="26"/>
        <v>0</v>
      </c>
      <c r="P122" s="313">
        <f t="shared" si="33"/>
        <v>0</v>
      </c>
      <c r="Q122" s="313">
        <f>SUM(F$6:F122)</f>
        <v>0.89375684556407453</v>
      </c>
      <c r="R122" s="313">
        <f>SUM(P$6:P122)</f>
        <v>0.8452563602906713</v>
      </c>
    </row>
    <row r="123" spans="1:18" hidden="1">
      <c r="A123" s="74">
        <v>118</v>
      </c>
      <c r="B123" s="74" t="s">
        <v>728</v>
      </c>
      <c r="C123" s="74" t="s">
        <v>695</v>
      </c>
      <c r="D123" s="770">
        <f>IF($B$3="Acumulado",SUMIF(TBL_Ventas[Producto],B123,TBL_Ventas[Uds]),IF($B$3="Semanal",IF($E$3="Todos",SUMIF(TBL_Ventas[Producto],B123,TBL_Ventas[Uds]),SUMIFS(TBL_Ventas[Uds],TBL_Ventas[Producto],B123,TBL_Ventas[Semana],$E$3)),IF($E$3="Todos",SUMIF(TBL_Ventas[Producto],B123,TBL_Ventas[Uds]),SUMIFS(TBL_Ventas[Uds],TBL_Ventas[Producto],B123,TBL_Ventas[Mes],$E$3))))</f>
        <v>4</v>
      </c>
      <c r="E123" s="771">
        <f>IF($B$3="Acumulado",SUMIF(TBL_Ventas[Producto],B123,TBL_Ventas[Importe]),IF($B$3="Semanal",IF($E$3="Todos",SUMIF(TBL_Ventas[Producto],B123,TBL_Ventas[Importe]),SUMIFS(TBL_Ventas[Importe],TBL_Ventas[Producto],B123,TBL_Ventas[Semana],$E$3)),IF($E$3="Todos",SUMIF(TBL_Ventas[Producto],B123,TBL_Ventas[Importe]),SUMIFS(TBL_Ventas[Importe],TBL_Ventas[Producto],B123,TBL_Ventas[Mes],$E$3))))</f>
        <v>32.090000000000003</v>
      </c>
      <c r="F123" s="760">
        <f t="shared" si="28"/>
        <v>2.1905805038335158E-3</v>
      </c>
      <c r="G123" s="760">
        <f t="shared" si="29"/>
        <v>4.2251536868382986E-3</v>
      </c>
      <c r="H123" s="771">
        <f t="shared" si="20"/>
        <v>8.0225000000000009</v>
      </c>
      <c r="I123" s="772">
        <f t="shared" si="30"/>
        <v>6</v>
      </c>
      <c r="J123" s="765">
        <f>IFERROR(VLOOKUP(B123,BD_Datos!$M$1:$N$1014,2,FALSE),0)</f>
        <v>1.5</v>
      </c>
      <c r="K123" s="773">
        <f t="shared" si="31"/>
        <v>26.090000000000003</v>
      </c>
      <c r="L123" s="772">
        <f t="shared" si="23"/>
        <v>0.81302586475537553</v>
      </c>
      <c r="M123" s="313">
        <f t="shared" si="24"/>
        <v>0.18697413524462447</v>
      </c>
      <c r="N123" s="313">
        <f t="shared" si="32"/>
        <v>3.9632736640465025E-3</v>
      </c>
      <c r="O123" s="314">
        <f t="shared" si="26"/>
        <v>6.5225000000000009</v>
      </c>
      <c r="P123" s="313">
        <f t="shared" si="33"/>
        <v>4.2903492630433013E-3</v>
      </c>
      <c r="Q123" s="313">
        <f>SUM(F$6:F123)</f>
        <v>0.895947426067908</v>
      </c>
      <c r="R123" s="313">
        <f>SUM(P$6:P123)</f>
        <v>0.84954670955371459</v>
      </c>
    </row>
    <row r="124" spans="1:18" hidden="1">
      <c r="A124" s="765">
        <v>119</v>
      </c>
      <c r="B124" s="765" t="s">
        <v>2009</v>
      </c>
      <c r="C124" s="765" t="s">
        <v>276</v>
      </c>
      <c r="D124" s="766">
        <f>IF($B$3="Acumulado",SUMIF(TBL_Ventas[Producto],B124,TBL_Ventas[Uds]),IF($B$3="Semanal",IF($E$3="Todos",SUMIF(TBL_Ventas[Producto],B124,TBL_Ventas[Uds]),SUMIFS(TBL_Ventas[Uds],TBL_Ventas[Producto],B124,TBL_Ventas[Semana],$E$3)),IF($E$3="Todos",SUMIF(TBL_Ventas[Producto],B124,TBL_Ventas[Uds]),SUMIFS(TBL_Ventas[Uds],TBL_Ventas[Producto],B124,TBL_Ventas[Mes],$E$3))))</f>
        <v>13</v>
      </c>
      <c r="E124" s="767">
        <f>IF($B$3="Acumulado",SUMIF(TBL_Ventas[Producto],B124,TBL_Ventas[Importe]),IF($B$3="Semanal",IF($E$3="Todos",SUMIF(TBL_Ventas[Producto],B124,TBL_Ventas[Importe]),SUMIFS(TBL_Ventas[Importe],TBL_Ventas[Producto],B124,TBL_Ventas[Semana],$E$3)),IF($E$3="Todos",SUMIF(TBL_Ventas[Producto],B124,TBL_Ventas[Importe]),SUMIFS(TBL_Ventas[Importe],TBL_Ventas[Producto],B124,TBL_Ventas[Mes],$E$3))))</f>
        <v>54.7</v>
      </c>
      <c r="F124" s="768">
        <f t="shared" si="28"/>
        <v>7.1193866374589269E-3</v>
      </c>
      <c r="G124" s="768">
        <f t="shared" si="29"/>
        <v>7.2021161318184777E-3</v>
      </c>
      <c r="H124" s="767">
        <f t="shared" si="20"/>
        <v>4.2076923076923078</v>
      </c>
      <c r="I124" s="765">
        <f t="shared" si="30"/>
        <v>14.560000000000002</v>
      </c>
      <c r="J124" s="765">
        <f>IFERROR(VLOOKUP(B124,BD_Datos!$M$1:$N$1014,2,FALSE),0)</f>
        <v>1.1200000000000001</v>
      </c>
      <c r="K124" s="769">
        <f t="shared" si="31"/>
        <v>40.14</v>
      </c>
      <c r="L124" s="765">
        <f t="shared" si="23"/>
        <v>0.73382084095063982</v>
      </c>
      <c r="M124" s="313">
        <f t="shared" si="24"/>
        <v>0.26617915904936018</v>
      </c>
      <c r="N124" s="313">
        <f t="shared" si="32"/>
        <v>9.617544091419513E-3</v>
      </c>
      <c r="O124" s="314">
        <f t="shared" si="26"/>
        <v>3.0876923076923077</v>
      </c>
      <c r="P124" s="313">
        <f t="shared" si="33"/>
        <v>6.6007903188408613E-3</v>
      </c>
      <c r="Q124" s="313">
        <f>SUM(F$6:F124)</f>
        <v>0.90306681270536693</v>
      </c>
      <c r="R124" s="313">
        <f>SUM(P$6:P124)</f>
        <v>0.85614749987255545</v>
      </c>
    </row>
    <row r="125" spans="1:18" hidden="1">
      <c r="A125" s="74">
        <v>120</v>
      </c>
      <c r="B125" s="74" t="s">
        <v>1741</v>
      </c>
      <c r="C125" s="74" t="s">
        <v>253</v>
      </c>
      <c r="D125" s="770">
        <f>IF($B$3="Acumulado",SUMIF(TBL_Ventas[Producto],B125,TBL_Ventas[Uds]),IF($B$3="Semanal",IF($E$3="Todos",SUMIF(TBL_Ventas[Producto],B125,TBL_Ventas[Uds]),SUMIFS(TBL_Ventas[Uds],TBL_Ventas[Producto],B125,TBL_Ventas[Semana],$E$3)),IF($E$3="Todos",SUMIF(TBL_Ventas[Producto],B125,TBL_Ventas[Uds]),SUMIFS(TBL_Ventas[Uds],TBL_Ventas[Producto],B125,TBL_Ventas[Mes],$E$3))))</f>
        <v>7</v>
      </c>
      <c r="E125" s="771">
        <f>IF($B$3="Acumulado",SUMIF(TBL_Ventas[Producto],B125,TBL_Ventas[Importe]),IF($B$3="Semanal",IF($E$3="Todos",SUMIF(TBL_Ventas[Producto],B125,TBL_Ventas[Importe]),SUMIFS(TBL_Ventas[Importe],TBL_Ventas[Producto],B125,TBL_Ventas[Semana],$E$3)),IF($E$3="Todos",SUMIF(TBL_Ventas[Producto],B125,TBL_Ventas[Importe]),SUMIFS(TBL_Ventas[Importe],TBL_Ventas[Producto],B125,TBL_Ventas[Mes],$E$3))))</f>
        <v>18.55</v>
      </c>
      <c r="F125" s="760">
        <f t="shared" si="28"/>
        <v>3.8335158817086527E-3</v>
      </c>
      <c r="G125" s="760">
        <f t="shared" si="29"/>
        <v>2.4423995291633044E-3</v>
      </c>
      <c r="H125" s="771">
        <f t="shared" si="20"/>
        <v>2.65</v>
      </c>
      <c r="I125" s="772">
        <f t="shared" si="30"/>
        <v>0.77</v>
      </c>
      <c r="J125" s="765">
        <f>IFERROR(VLOOKUP(B125,BD_Datos!$M$1:$N$1014,2,FALSE),0)</f>
        <v>0.11</v>
      </c>
      <c r="K125" s="773">
        <f t="shared" si="31"/>
        <v>17.78</v>
      </c>
      <c r="L125" s="772">
        <f t="shared" si="23"/>
        <v>0.95849056603773586</v>
      </c>
      <c r="M125" s="313">
        <f t="shared" si="24"/>
        <v>4.1509433962264149E-2</v>
      </c>
      <c r="N125" s="313">
        <f t="shared" si="32"/>
        <v>5.0862012021930109E-4</v>
      </c>
      <c r="O125" s="314">
        <f t="shared" si="26"/>
        <v>2.54</v>
      </c>
      <c r="P125" s="313">
        <f t="shared" si="33"/>
        <v>2.9238179339559174E-3</v>
      </c>
      <c r="Q125" s="313">
        <f>SUM(F$6:F125)</f>
        <v>0.90690032858707559</v>
      </c>
      <c r="R125" s="313">
        <f>SUM(P$6:P125)</f>
        <v>0.85907131780651136</v>
      </c>
    </row>
    <row r="126" spans="1:18" hidden="1">
      <c r="A126" s="765">
        <v>121</v>
      </c>
      <c r="B126" s="765" t="s">
        <v>700</v>
      </c>
      <c r="C126" s="765" t="s">
        <v>274</v>
      </c>
      <c r="D126" s="766">
        <f>IF($B$3="Acumulado",SUMIF(TBL_Ventas[Producto],B126,TBL_Ventas[Uds]),IF($B$3="Semanal",IF($E$3="Todos",SUMIF(TBL_Ventas[Producto],B126,TBL_Ventas[Uds]),SUMIFS(TBL_Ventas[Uds],TBL_Ventas[Producto],B126,TBL_Ventas[Semana],$E$3)),IF($E$3="Todos",SUMIF(TBL_Ventas[Producto],B126,TBL_Ventas[Uds]),SUMIFS(TBL_Ventas[Uds],TBL_Ventas[Producto],B126,TBL_Ventas[Mes],$E$3))))</f>
        <v>4</v>
      </c>
      <c r="E126" s="767">
        <f>IF($B$3="Acumulado",SUMIF(TBL_Ventas[Producto],B126,TBL_Ventas[Importe]),IF($B$3="Semanal",IF($E$3="Todos",SUMIF(TBL_Ventas[Producto],B126,TBL_Ventas[Importe]),SUMIFS(TBL_Ventas[Importe],TBL_Ventas[Producto],B126,TBL_Ventas[Semana],$E$3)),IF($E$3="Todos",SUMIF(TBL_Ventas[Producto],B126,TBL_Ventas[Importe]),SUMIFS(TBL_Ventas[Importe],TBL_Ventas[Producto],B126,TBL_Ventas[Mes],$E$3))))</f>
        <v>27</v>
      </c>
      <c r="F126" s="768">
        <f t="shared" si="28"/>
        <v>2.1905805038335158E-3</v>
      </c>
      <c r="G126" s="768">
        <f t="shared" si="29"/>
        <v>3.5549750559250252E-3</v>
      </c>
      <c r="H126" s="767">
        <f t="shared" si="20"/>
        <v>6.75</v>
      </c>
      <c r="I126" s="765">
        <f t="shared" si="30"/>
        <v>7.16</v>
      </c>
      <c r="J126" s="765">
        <f>IFERROR(VLOOKUP(B126,BD_Datos!$M$1:$N$1014,2,FALSE),0)</f>
        <v>1.79</v>
      </c>
      <c r="K126" s="769">
        <f t="shared" si="31"/>
        <v>19.84</v>
      </c>
      <c r="L126" s="765">
        <f t="shared" si="23"/>
        <v>0.73481481481481481</v>
      </c>
      <c r="M126" s="313">
        <f t="shared" si="24"/>
        <v>0.26518518518518519</v>
      </c>
      <c r="N126" s="313">
        <f t="shared" si="32"/>
        <v>4.7295065724288262E-3</v>
      </c>
      <c r="O126" s="314">
        <f t="shared" si="26"/>
        <v>4.96</v>
      </c>
      <c r="P126" s="313">
        <f t="shared" si="33"/>
        <v>3.26257299267072E-3</v>
      </c>
      <c r="Q126" s="313">
        <f>SUM(F$6:F126)</f>
        <v>0.90909090909090906</v>
      </c>
      <c r="R126" s="313">
        <f>SUM(P$6:P126)</f>
        <v>0.8623338907991821</v>
      </c>
    </row>
    <row r="127" spans="1:18" hidden="1">
      <c r="A127" s="74">
        <v>122</v>
      </c>
      <c r="B127" s="74" t="s">
        <v>946</v>
      </c>
      <c r="C127" s="74" t="s">
        <v>894</v>
      </c>
      <c r="D127" s="770">
        <f>IF($B$3="Acumulado",SUMIF(TBL_Ventas[Producto],B127,TBL_Ventas[Uds]),IF($B$3="Semanal",IF($E$3="Todos",SUMIF(TBL_Ventas[Producto],B127,TBL_Ventas[Uds]),SUMIFS(TBL_Ventas[Uds],TBL_Ventas[Producto],B127,TBL_Ventas[Semana],$E$3)),IF($E$3="Todos",SUMIF(TBL_Ventas[Producto],B127,TBL_Ventas[Uds]),SUMIFS(TBL_Ventas[Uds],TBL_Ventas[Producto],B127,TBL_Ventas[Mes],$E$3))))</f>
        <v>0</v>
      </c>
      <c r="E127" s="771">
        <f>IF($B$3="Acumulado",SUMIF(TBL_Ventas[Producto],B127,TBL_Ventas[Importe]),IF($B$3="Semanal",IF($E$3="Todos",SUMIF(TBL_Ventas[Producto],B127,TBL_Ventas[Importe]),SUMIFS(TBL_Ventas[Importe],TBL_Ventas[Producto],B127,TBL_Ventas[Semana],$E$3)),IF($E$3="Todos",SUMIF(TBL_Ventas[Producto],B127,TBL_Ventas[Importe]),SUMIFS(TBL_Ventas[Importe],TBL_Ventas[Producto],B127,TBL_Ventas[Mes],$E$3))))</f>
        <v>0</v>
      </c>
      <c r="F127" s="760">
        <f t="shared" si="28"/>
        <v>0</v>
      </c>
      <c r="G127" s="760">
        <f t="shared" si="29"/>
        <v>0</v>
      </c>
      <c r="H127" s="771">
        <f t="shared" si="20"/>
        <v>0</v>
      </c>
      <c r="I127" s="772">
        <f t="shared" si="30"/>
        <v>0</v>
      </c>
      <c r="J127" s="765">
        <f>IFERROR(VLOOKUP(B127,BD_Datos!$M$1:$N$1014,2,FALSE),0)</f>
        <v>0.74</v>
      </c>
      <c r="K127" s="773">
        <f t="shared" si="31"/>
        <v>0</v>
      </c>
      <c r="L127" s="772">
        <f t="shared" si="23"/>
        <v>0</v>
      </c>
      <c r="M127" s="313">
        <f t="shared" si="24"/>
        <v>0</v>
      </c>
      <c r="N127" s="313">
        <f t="shared" si="32"/>
        <v>0</v>
      </c>
      <c r="O127" s="314">
        <f t="shared" si="26"/>
        <v>0</v>
      </c>
      <c r="P127" s="313">
        <f t="shared" si="33"/>
        <v>0</v>
      </c>
      <c r="Q127" s="313">
        <f>SUM(F$6:F127)</f>
        <v>0.90909090909090906</v>
      </c>
      <c r="R127" s="313">
        <f>SUM(P$6:P127)</f>
        <v>0.8623338907991821</v>
      </c>
    </row>
    <row r="128" spans="1:18" hidden="1">
      <c r="A128" s="765">
        <v>123</v>
      </c>
      <c r="B128" s="765" t="s">
        <v>930</v>
      </c>
      <c r="C128" s="765" t="s">
        <v>264</v>
      </c>
      <c r="D128" s="766">
        <f>IF($B$3="Acumulado",SUMIF(TBL_Ventas[Producto],B128,TBL_Ventas[Uds]),IF($B$3="Semanal",IF($E$3="Todos",SUMIF(TBL_Ventas[Producto],B128,TBL_Ventas[Uds]),SUMIFS(TBL_Ventas[Uds],TBL_Ventas[Producto],B128,TBL_Ventas[Semana],$E$3)),IF($E$3="Todos",SUMIF(TBL_Ventas[Producto],B128,TBL_Ventas[Uds]),SUMIFS(TBL_Ventas[Uds],TBL_Ventas[Producto],B128,TBL_Ventas[Mes],$E$3))))</f>
        <v>0</v>
      </c>
      <c r="E128" s="767">
        <f>IF($B$3="Acumulado",SUMIF(TBL_Ventas[Producto],B128,TBL_Ventas[Importe]),IF($B$3="Semanal",IF($E$3="Todos",SUMIF(TBL_Ventas[Producto],B128,TBL_Ventas[Importe]),SUMIFS(TBL_Ventas[Importe],TBL_Ventas[Producto],B128,TBL_Ventas[Semana],$E$3)),IF($E$3="Todos",SUMIF(TBL_Ventas[Producto],B128,TBL_Ventas[Importe]),SUMIFS(TBL_Ventas[Importe],TBL_Ventas[Producto],B128,TBL_Ventas[Mes],$E$3))))</f>
        <v>0</v>
      </c>
      <c r="F128" s="768">
        <f t="shared" si="28"/>
        <v>0</v>
      </c>
      <c r="G128" s="768">
        <f t="shared" si="29"/>
        <v>0</v>
      </c>
      <c r="H128" s="767">
        <f t="shared" si="20"/>
        <v>0</v>
      </c>
      <c r="I128" s="765">
        <f t="shared" si="30"/>
        <v>0</v>
      </c>
      <c r="J128" s="765">
        <f>IFERROR(VLOOKUP(B128,BD_Datos!$M$1:$N$1014,2,FALSE),0)</f>
        <v>0</v>
      </c>
      <c r="K128" s="769">
        <f t="shared" si="31"/>
        <v>0</v>
      </c>
      <c r="L128" s="765">
        <f t="shared" si="23"/>
        <v>0</v>
      </c>
      <c r="M128" s="313">
        <f t="shared" si="24"/>
        <v>0</v>
      </c>
      <c r="N128" s="313">
        <f t="shared" si="32"/>
        <v>0</v>
      </c>
      <c r="O128" s="314">
        <f t="shared" si="26"/>
        <v>0</v>
      </c>
      <c r="P128" s="313">
        <f t="shared" si="33"/>
        <v>0</v>
      </c>
      <c r="Q128" s="313">
        <f>SUM(F$6:F128)</f>
        <v>0.90909090909090906</v>
      </c>
      <c r="R128" s="313">
        <f>SUM(P$6:P128)</f>
        <v>0.8623338907991821</v>
      </c>
    </row>
    <row r="129" spans="1:18" hidden="1">
      <c r="A129" s="74">
        <v>124</v>
      </c>
      <c r="B129" s="74" t="s">
        <v>1239</v>
      </c>
      <c r="C129" s="74" t="s">
        <v>247</v>
      </c>
      <c r="D129" s="770">
        <f>IF($B$3="Acumulado",SUMIF(TBL_Ventas[Producto],B129,TBL_Ventas[Uds]),IF($B$3="Semanal",IF($E$3="Todos",SUMIF(TBL_Ventas[Producto],B129,TBL_Ventas[Uds]),SUMIFS(TBL_Ventas[Uds],TBL_Ventas[Producto],B129,TBL_Ventas[Semana],$E$3)),IF($E$3="Todos",SUMIF(TBL_Ventas[Producto],B129,TBL_Ventas[Uds]),SUMIFS(TBL_Ventas[Uds],TBL_Ventas[Producto],B129,TBL_Ventas[Mes],$E$3))))</f>
        <v>1</v>
      </c>
      <c r="E129" s="771">
        <f>IF($B$3="Acumulado",SUMIF(TBL_Ventas[Producto],B129,TBL_Ventas[Importe]),IF($B$3="Semanal",IF($E$3="Todos",SUMIF(TBL_Ventas[Producto],B129,TBL_Ventas[Importe]),SUMIFS(TBL_Ventas[Importe],TBL_Ventas[Producto],B129,TBL_Ventas[Semana],$E$3)),IF($E$3="Todos",SUMIF(TBL_Ventas[Producto],B129,TBL_Ventas[Importe]),SUMIFS(TBL_Ventas[Importe],TBL_Ventas[Producto],B129,TBL_Ventas[Mes],$E$3))))</f>
        <v>1.85</v>
      </c>
      <c r="F129" s="760">
        <f t="shared" si="28"/>
        <v>5.4764512595837896E-4</v>
      </c>
      <c r="G129" s="760">
        <f t="shared" si="29"/>
        <v>2.4358162420227026E-4</v>
      </c>
      <c r="H129" s="771">
        <f t="shared" si="20"/>
        <v>1.85</v>
      </c>
      <c r="I129" s="772">
        <f t="shared" si="30"/>
        <v>0.26</v>
      </c>
      <c r="J129" s="765">
        <f>IFERROR(VLOOKUP(B129,BD_Datos!$M$1:$N$1014,2,FALSE),0)</f>
        <v>0.26</v>
      </c>
      <c r="K129" s="773">
        <f t="shared" si="31"/>
        <v>1.59</v>
      </c>
      <c r="L129" s="772">
        <f t="shared" si="23"/>
        <v>0.85945945945945945</v>
      </c>
      <c r="M129" s="313">
        <f t="shared" si="24"/>
        <v>0.14054054054054055</v>
      </c>
      <c r="N129" s="313">
        <f t="shared" si="32"/>
        <v>1.7174185877534844E-4</v>
      </c>
      <c r="O129" s="314">
        <f t="shared" si="26"/>
        <v>1.59</v>
      </c>
      <c r="P129" s="313">
        <f t="shared" si="33"/>
        <v>2.6146628318278453E-4</v>
      </c>
      <c r="Q129" s="313">
        <f>SUM(F$6:F129)</f>
        <v>0.90963855421686746</v>
      </c>
      <c r="R129" s="313">
        <f>SUM(P$6:P129)</f>
        <v>0.8625953570823649</v>
      </c>
    </row>
    <row r="130" spans="1:18" hidden="1">
      <c r="A130" s="765">
        <v>125</v>
      </c>
      <c r="B130" s="765" t="s">
        <v>817</v>
      </c>
      <c r="C130" s="765" t="s">
        <v>713</v>
      </c>
      <c r="D130" s="766">
        <f>IF($B$3="Acumulado",SUMIF(TBL_Ventas[Producto],B130,TBL_Ventas[Uds]),IF($B$3="Semanal",IF($E$3="Todos",SUMIF(TBL_Ventas[Producto],B130,TBL_Ventas[Uds]),SUMIFS(TBL_Ventas[Uds],TBL_Ventas[Producto],B130,TBL_Ventas[Semana],$E$3)),IF($E$3="Todos",SUMIF(TBL_Ventas[Producto],B130,TBL_Ventas[Uds]),SUMIFS(TBL_Ventas[Uds],TBL_Ventas[Producto],B130,TBL_Ventas[Mes],$E$3))))</f>
        <v>1</v>
      </c>
      <c r="E130" s="767">
        <f>IF($B$3="Acumulado",SUMIF(TBL_Ventas[Producto],B130,TBL_Ventas[Importe]),IF($B$3="Semanal",IF($E$3="Todos",SUMIF(TBL_Ventas[Producto],B130,TBL_Ventas[Importe]),SUMIFS(TBL_Ventas[Importe],TBL_Ventas[Producto],B130,TBL_Ventas[Semana],$E$3)),IF($E$3="Todos",SUMIF(TBL_Ventas[Producto],B130,TBL_Ventas[Importe]),SUMIFS(TBL_Ventas[Importe],TBL_Ventas[Producto],B130,TBL_Ventas[Mes],$E$3))))</f>
        <v>4.9000000000000004</v>
      </c>
      <c r="F130" s="768">
        <f t="shared" si="28"/>
        <v>5.4764512595837896E-4</v>
      </c>
      <c r="G130" s="768">
        <f t="shared" si="29"/>
        <v>6.4516213977898614E-4</v>
      </c>
      <c r="H130" s="767">
        <f t="shared" si="20"/>
        <v>4.9000000000000004</v>
      </c>
      <c r="I130" s="765">
        <f t="shared" si="30"/>
        <v>0.78</v>
      </c>
      <c r="J130" s="765">
        <f>IFERROR(VLOOKUP(B130,BD_Datos!$M$1:$N$1014,2,FALSE),0)</f>
        <v>0.78</v>
      </c>
      <c r="K130" s="769">
        <f t="shared" si="31"/>
        <v>4.12</v>
      </c>
      <c r="L130" s="765">
        <f t="shared" si="23"/>
        <v>0.84081632653061222</v>
      </c>
      <c r="M130" s="313">
        <f t="shared" si="24"/>
        <v>0.15918367346938775</v>
      </c>
      <c r="N130" s="313">
        <f t="shared" si="32"/>
        <v>5.1522557632604528E-4</v>
      </c>
      <c r="O130" s="314">
        <f t="shared" si="26"/>
        <v>4.12</v>
      </c>
      <c r="P130" s="313">
        <f t="shared" si="33"/>
        <v>6.7751011742960519E-4</v>
      </c>
      <c r="Q130" s="313">
        <f>SUM(F$6:F130)</f>
        <v>0.91018619934282585</v>
      </c>
      <c r="R130" s="313">
        <f>SUM(P$6:P130)</f>
        <v>0.86327286719979446</v>
      </c>
    </row>
    <row r="131" spans="1:18" hidden="1">
      <c r="A131" s="74">
        <v>126</v>
      </c>
      <c r="B131" s="74" t="s">
        <v>739</v>
      </c>
      <c r="C131" s="74" t="s">
        <v>730</v>
      </c>
      <c r="D131" s="770">
        <f>IF($B$3="Acumulado",SUMIF(TBL_Ventas[Producto],B131,TBL_Ventas[Uds]),IF($B$3="Semanal",IF($E$3="Todos",SUMIF(TBL_Ventas[Producto],B131,TBL_Ventas[Uds]),SUMIFS(TBL_Ventas[Uds],TBL_Ventas[Producto],B131,TBL_Ventas[Semana],$E$3)),IF($E$3="Todos",SUMIF(TBL_Ventas[Producto],B131,TBL_Ventas[Uds]),SUMIFS(TBL_Ventas[Uds],TBL_Ventas[Producto],B131,TBL_Ventas[Mes],$E$3))))</f>
        <v>1</v>
      </c>
      <c r="E131" s="771">
        <f>IF($B$3="Acumulado",SUMIF(TBL_Ventas[Producto],B131,TBL_Ventas[Importe]),IF($B$3="Semanal",IF($E$3="Todos",SUMIF(TBL_Ventas[Producto],B131,TBL_Ventas[Importe]),SUMIFS(TBL_Ventas[Importe],TBL_Ventas[Producto],B131,TBL_Ventas[Semana],$E$3)),IF($E$3="Todos",SUMIF(TBL_Ventas[Producto],B131,TBL_Ventas[Importe]),SUMIFS(TBL_Ventas[Importe],TBL_Ventas[Producto],B131,TBL_Ventas[Mes],$E$3))))</f>
        <v>5.32</v>
      </c>
      <c r="F131" s="760">
        <f t="shared" si="28"/>
        <v>5.4764512595837896E-4</v>
      </c>
      <c r="G131" s="760">
        <f t="shared" si="29"/>
        <v>7.0046175176004201E-4</v>
      </c>
      <c r="H131" s="771">
        <f t="shared" si="20"/>
        <v>5.32</v>
      </c>
      <c r="I131" s="772">
        <f t="shared" si="30"/>
        <v>0.89</v>
      </c>
      <c r="J131" s="765">
        <f>IFERROR(VLOOKUP(B131,BD_Datos!$M$1:$N$1014,2,FALSE),0)</f>
        <v>0.89</v>
      </c>
      <c r="K131" s="773">
        <f t="shared" si="31"/>
        <v>4.4300000000000006</v>
      </c>
      <c r="L131" s="772">
        <f t="shared" si="23"/>
        <v>0.83270676691729328</v>
      </c>
      <c r="M131" s="313">
        <f t="shared" si="24"/>
        <v>0.16729323308270677</v>
      </c>
      <c r="N131" s="313">
        <f t="shared" si="32"/>
        <v>5.8788559350023118E-4</v>
      </c>
      <c r="O131" s="314">
        <f t="shared" si="26"/>
        <v>4.4300000000000006</v>
      </c>
      <c r="P131" s="313">
        <f t="shared" si="33"/>
        <v>7.2848782044008522E-4</v>
      </c>
      <c r="Q131" s="313">
        <f>SUM(F$6:F131)</f>
        <v>0.91073384446878425</v>
      </c>
      <c r="R131" s="313">
        <f>SUM(P$6:P131)</f>
        <v>0.86400135502023456</v>
      </c>
    </row>
    <row r="132" spans="1:18" hidden="1">
      <c r="A132" s="765">
        <v>127</v>
      </c>
      <c r="B132" s="765" t="s">
        <v>890</v>
      </c>
      <c r="C132" s="765" t="s">
        <v>251</v>
      </c>
      <c r="D132" s="766">
        <f>IF($B$3="Acumulado",SUMIF(TBL_Ventas[Producto],B132,TBL_Ventas[Uds]),IF($B$3="Semanal",IF($E$3="Todos",SUMIF(TBL_Ventas[Producto],B132,TBL_Ventas[Uds]),SUMIFS(TBL_Ventas[Uds],TBL_Ventas[Producto],B132,TBL_Ventas[Semana],$E$3)),IF($E$3="Todos",SUMIF(TBL_Ventas[Producto],B132,TBL_Ventas[Uds]),SUMIFS(TBL_Ventas[Uds],TBL_Ventas[Producto],B132,TBL_Ventas[Mes],$E$3))))</f>
        <v>1</v>
      </c>
      <c r="E132" s="767">
        <f>IF($B$3="Acumulado",SUMIF(TBL_Ventas[Producto],B132,TBL_Ventas[Importe]),IF($B$3="Semanal",IF($E$3="Todos",SUMIF(TBL_Ventas[Producto],B132,TBL_Ventas[Importe]),SUMIFS(TBL_Ventas[Importe],TBL_Ventas[Producto],B132,TBL_Ventas[Semana],$E$3)),IF($E$3="Todos",SUMIF(TBL_Ventas[Producto],B132,TBL_Ventas[Importe]),SUMIFS(TBL_Ventas[Importe],TBL_Ventas[Producto],B132,TBL_Ventas[Mes],$E$3))))</f>
        <v>2.6</v>
      </c>
      <c r="F132" s="768">
        <f t="shared" si="28"/>
        <v>5.4764512595837896E-4</v>
      </c>
      <c r="G132" s="768">
        <f t="shared" si="29"/>
        <v>3.4233093131129876E-4</v>
      </c>
      <c r="H132" s="767">
        <f t="shared" si="20"/>
        <v>2.6</v>
      </c>
      <c r="I132" s="765">
        <f t="shared" si="30"/>
        <v>0.59</v>
      </c>
      <c r="J132" s="765">
        <f>IFERROR(VLOOKUP(B132,BD_Datos!$M$1:$N$1014,2,FALSE),0)</f>
        <v>0.59</v>
      </c>
      <c r="K132" s="769">
        <f t="shared" si="31"/>
        <v>2.0100000000000002</v>
      </c>
      <c r="L132" s="765">
        <f t="shared" si="23"/>
        <v>0.77307692307692311</v>
      </c>
      <c r="M132" s="313">
        <f t="shared" si="24"/>
        <v>0.22692307692307689</v>
      </c>
      <c r="N132" s="313">
        <f t="shared" si="32"/>
        <v>3.89721910297906E-4</v>
      </c>
      <c r="O132" s="314">
        <f t="shared" si="26"/>
        <v>2.0100000000000002</v>
      </c>
      <c r="P132" s="313">
        <f t="shared" si="33"/>
        <v>3.3053284855182193E-4</v>
      </c>
      <c r="Q132" s="313">
        <f>SUM(F$6:F132)</f>
        <v>0.91128148959474264</v>
      </c>
      <c r="R132" s="313">
        <f>SUM(P$6:P132)</f>
        <v>0.86433188786878634</v>
      </c>
    </row>
    <row r="133" spans="1:18" hidden="1">
      <c r="A133" s="74">
        <v>128</v>
      </c>
      <c r="B133" s="74" t="s">
        <v>1007</v>
      </c>
      <c r="C133" s="74" t="s">
        <v>327</v>
      </c>
      <c r="D133" s="770">
        <f>IF($B$3="Acumulado",SUMIF(TBL_Ventas[Producto],B133,TBL_Ventas[Uds]),IF($B$3="Semanal",IF($E$3="Todos",SUMIF(TBL_Ventas[Producto],B133,TBL_Ventas[Uds]),SUMIFS(TBL_Ventas[Uds],TBL_Ventas[Producto],B133,TBL_Ventas[Semana],$E$3)),IF($E$3="Todos",SUMIF(TBL_Ventas[Producto],B133,TBL_Ventas[Uds]),SUMIFS(TBL_Ventas[Uds],TBL_Ventas[Producto],B133,TBL_Ventas[Mes],$E$3))))</f>
        <v>4</v>
      </c>
      <c r="E133" s="771">
        <f>IF($B$3="Acumulado",SUMIF(TBL_Ventas[Producto],B133,TBL_Ventas[Importe]),IF($B$3="Semanal",IF($E$3="Todos",SUMIF(TBL_Ventas[Producto],B133,TBL_Ventas[Importe]),SUMIFS(TBL_Ventas[Importe],TBL_Ventas[Producto],B133,TBL_Ventas[Semana],$E$3)),IF($E$3="Todos",SUMIF(TBL_Ventas[Producto],B133,TBL_Ventas[Importe]),SUMIFS(TBL_Ventas[Importe],TBL_Ventas[Producto],B133,TBL_Ventas[Mes],$E$3))))</f>
        <v>18.399999999999999</v>
      </c>
      <c r="F133" s="760">
        <f t="shared" si="28"/>
        <v>2.1905805038335158E-3</v>
      </c>
      <c r="G133" s="760">
        <f t="shared" si="29"/>
        <v>2.4226496677414986E-3</v>
      </c>
      <c r="H133" s="771">
        <f t="shared" si="20"/>
        <v>4.5999999999999996</v>
      </c>
      <c r="I133" s="772">
        <f t="shared" si="30"/>
        <v>3.44</v>
      </c>
      <c r="J133" s="765">
        <f>IFERROR(VLOOKUP(B133,BD_Datos!$M$1:$N$1014,2,FALSE),0)</f>
        <v>0.86</v>
      </c>
      <c r="K133" s="773">
        <f t="shared" si="31"/>
        <v>14.959999999999999</v>
      </c>
      <c r="L133" s="772">
        <f t="shared" si="23"/>
        <v>0.81304347826086953</v>
      </c>
      <c r="M133" s="313">
        <f t="shared" si="24"/>
        <v>0.18695652173913044</v>
      </c>
      <c r="N133" s="313">
        <f t="shared" si="32"/>
        <v>2.2722769007199944E-3</v>
      </c>
      <c r="O133" s="314">
        <f t="shared" si="26"/>
        <v>3.7399999999999998</v>
      </c>
      <c r="P133" s="313">
        <f t="shared" si="33"/>
        <v>2.4600852807638088E-3</v>
      </c>
      <c r="Q133" s="313">
        <f>SUM(F$6:F133)</f>
        <v>0.91347207009857612</v>
      </c>
      <c r="R133" s="313">
        <f>SUM(P$6:P133)</f>
        <v>0.86679197314955014</v>
      </c>
    </row>
    <row r="134" spans="1:18" hidden="1">
      <c r="A134" s="765">
        <v>129</v>
      </c>
      <c r="B134" s="765" t="s">
        <v>704</v>
      </c>
      <c r="C134" s="765" t="s">
        <v>689</v>
      </c>
      <c r="D134" s="766">
        <f>IF($B$3="Acumulado",SUMIF(TBL_Ventas[Producto],B134,TBL_Ventas[Uds]),IF($B$3="Semanal",IF($E$3="Todos",SUMIF(TBL_Ventas[Producto],B134,TBL_Ventas[Uds]),SUMIFS(TBL_Ventas[Uds],TBL_Ventas[Producto],B134,TBL_Ventas[Semana],$E$3)),IF($E$3="Todos",SUMIF(TBL_Ventas[Producto],B134,TBL_Ventas[Uds]),SUMIFS(TBL_Ventas[Uds],TBL_Ventas[Producto],B134,TBL_Ventas[Mes],$E$3))))</f>
        <v>4</v>
      </c>
      <c r="E134" s="767">
        <f>IF($B$3="Acumulado",SUMIF(TBL_Ventas[Producto],B134,TBL_Ventas[Importe]),IF($B$3="Semanal",IF($E$3="Todos",SUMIF(TBL_Ventas[Producto],B134,TBL_Ventas[Importe]),SUMIFS(TBL_Ventas[Importe],TBL_Ventas[Producto],B134,TBL_Ventas[Semana],$E$3)),IF($E$3="Todos",SUMIF(TBL_Ventas[Producto],B134,TBL_Ventas[Importe]),SUMIFS(TBL_Ventas[Importe],TBL_Ventas[Producto],B134,TBL_Ventas[Mes],$E$3))))</f>
        <v>46.91</v>
      </c>
      <c r="F134" s="768">
        <f t="shared" ref="F134:F165" si="34">IF(SUM(D$6:D$205)=0,0,D134/SUM(D$6:D$205))</f>
        <v>2.1905805038335158E-3</v>
      </c>
      <c r="G134" s="768">
        <f t="shared" ref="G134:G165" si="35">IF(SUM(E$6:E$205)=0,0,E134/SUM(E$6:E$205))</f>
        <v>6.1764399953127009E-3</v>
      </c>
      <c r="H134" s="767">
        <f t="shared" ref="H134:H197" si="36">IF(D134=0,0,E134/D134)</f>
        <v>11.727499999999999</v>
      </c>
      <c r="I134" s="765">
        <f t="shared" ref="I134:I165" si="37">J134*D134</f>
        <v>6.2</v>
      </c>
      <c r="J134" s="765">
        <f>IFERROR(VLOOKUP(B134,BD_Datos!$M$1:$N$1014,2,FALSE),0)</f>
        <v>1.55</v>
      </c>
      <c r="K134" s="769">
        <f t="shared" ref="K134:K165" si="38">E134-I134</f>
        <v>40.709999999999994</v>
      </c>
      <c r="L134" s="765">
        <f t="shared" ref="L134:L197" si="39">IF(E134=0,0,K134/E134)</f>
        <v>0.86783201875932625</v>
      </c>
      <c r="M134" s="313">
        <f t="shared" ref="M134:M197" si="40">IF(E134=0,0,I134/E134)</f>
        <v>0.13216798124067364</v>
      </c>
      <c r="N134" s="313">
        <f t="shared" ref="N134:N165" si="41">IF(SUM(I$6:I$205)=0,0,I134/SUM(I$6:I$205))</f>
        <v>4.0953827861813855E-3</v>
      </c>
      <c r="O134" s="314">
        <f t="shared" ref="O134:O197" si="42">IF(D134=0,0,K134/D134)</f>
        <v>10.177499999999998</v>
      </c>
      <c r="P134" s="313">
        <f t="shared" ref="P134:P165" si="43">IF(SUM(K$6:K$205)=0,0,K134/SUM(K$6:K$205))</f>
        <v>6.6945235146988399E-3</v>
      </c>
      <c r="Q134" s="313">
        <f>SUM(F$6:F134)</f>
        <v>0.91566265060240959</v>
      </c>
      <c r="R134" s="313">
        <f>SUM(P$6:P134)</f>
        <v>0.87348649666424893</v>
      </c>
    </row>
    <row r="135" spans="1:18" hidden="1">
      <c r="A135" s="74">
        <v>130</v>
      </c>
      <c r="B135" s="74" t="s">
        <v>734</v>
      </c>
      <c r="C135" s="74" t="s">
        <v>695</v>
      </c>
      <c r="D135" s="770">
        <f>IF($B$3="Acumulado",SUMIF(TBL_Ventas[Producto],B135,TBL_Ventas[Uds]),IF($B$3="Semanal",IF($E$3="Todos",SUMIF(TBL_Ventas[Producto],B135,TBL_Ventas[Uds]),SUMIFS(TBL_Ventas[Uds],TBL_Ventas[Producto],B135,TBL_Ventas[Semana],$E$3)),IF($E$3="Todos",SUMIF(TBL_Ventas[Producto],B135,TBL_Ventas[Uds]),SUMIFS(TBL_Ventas[Uds],TBL_Ventas[Producto],B135,TBL_Ventas[Mes],$E$3))))</f>
        <v>3</v>
      </c>
      <c r="E135" s="771">
        <f>IF($B$3="Acumulado",SUMIF(TBL_Ventas[Producto],B135,TBL_Ventas[Importe]),IF($B$3="Semanal",IF($E$3="Todos",SUMIF(TBL_Ventas[Producto],B135,TBL_Ventas[Importe]),SUMIFS(TBL_Ventas[Importe],TBL_Ventas[Producto],B135,TBL_Ventas[Semana],$E$3)),IF($E$3="Todos",SUMIF(TBL_Ventas[Producto],B135,TBL_Ventas[Importe]),SUMIFS(TBL_Ventas[Importe],TBL_Ventas[Producto],B135,TBL_Ventas[Mes],$E$3))))</f>
        <v>46.14</v>
      </c>
      <c r="F135" s="760">
        <f t="shared" si="34"/>
        <v>1.6429353778751369E-3</v>
      </c>
      <c r="G135" s="760">
        <f t="shared" si="35"/>
        <v>6.075057373347432E-3</v>
      </c>
      <c r="H135" s="771">
        <f t="shared" si="36"/>
        <v>15.38</v>
      </c>
      <c r="I135" s="772">
        <f t="shared" si="37"/>
        <v>16.77</v>
      </c>
      <c r="J135" s="765">
        <f>IFERROR(VLOOKUP(B135,BD_Datos!$M$1:$N$1014,2,FALSE),0)</f>
        <v>5.59</v>
      </c>
      <c r="K135" s="773">
        <f t="shared" si="38"/>
        <v>29.37</v>
      </c>
      <c r="L135" s="772">
        <f t="shared" si="39"/>
        <v>0.63654096228868662</v>
      </c>
      <c r="M135" s="313">
        <f t="shared" si="40"/>
        <v>0.36345903771131338</v>
      </c>
      <c r="N135" s="313">
        <f t="shared" si="41"/>
        <v>1.1077349891009973E-2</v>
      </c>
      <c r="O135" s="314">
        <f t="shared" si="42"/>
        <v>9.7900000000000009</v>
      </c>
      <c r="P135" s="313">
        <f t="shared" si="43"/>
        <v>4.8297262497348312E-3</v>
      </c>
      <c r="Q135" s="313">
        <f>SUM(F$6:F135)</f>
        <v>0.91730558598028478</v>
      </c>
      <c r="R135" s="313">
        <f>SUM(P$6:P135)</f>
        <v>0.87831622291398381</v>
      </c>
    </row>
    <row r="136" spans="1:18" hidden="1">
      <c r="A136" s="765">
        <v>131</v>
      </c>
      <c r="B136" s="765" t="s">
        <v>1073</v>
      </c>
      <c r="C136" s="765" t="s">
        <v>326</v>
      </c>
      <c r="D136" s="766">
        <f>IF($B$3="Acumulado",SUMIF(TBL_Ventas[Producto],B136,TBL_Ventas[Uds]),IF($B$3="Semanal",IF($E$3="Todos",SUMIF(TBL_Ventas[Producto],B136,TBL_Ventas[Uds]),SUMIFS(TBL_Ventas[Uds],TBL_Ventas[Producto],B136,TBL_Ventas[Semana],$E$3)),IF($E$3="Todos",SUMIF(TBL_Ventas[Producto],B136,TBL_Ventas[Uds]),SUMIFS(TBL_Ventas[Uds],TBL_Ventas[Producto],B136,TBL_Ventas[Mes],$E$3))))</f>
        <v>2</v>
      </c>
      <c r="E136" s="767">
        <f>IF($B$3="Acumulado",SUMIF(TBL_Ventas[Producto],B136,TBL_Ventas[Importe]),IF($B$3="Semanal",IF($E$3="Todos",SUMIF(TBL_Ventas[Producto],B136,TBL_Ventas[Importe]),SUMIFS(TBL_Ventas[Importe],TBL_Ventas[Producto],B136,TBL_Ventas[Semana],$E$3)),IF($E$3="Todos",SUMIF(TBL_Ventas[Producto],B136,TBL_Ventas[Importe]),SUMIFS(TBL_Ventas[Importe],TBL_Ventas[Producto],B136,TBL_Ventas[Mes],$E$3))))</f>
        <v>19</v>
      </c>
      <c r="F136" s="768">
        <f t="shared" si="34"/>
        <v>1.0952902519167579E-3</v>
      </c>
      <c r="G136" s="768">
        <f t="shared" si="35"/>
        <v>2.5016491134287216E-3</v>
      </c>
      <c r="H136" s="767">
        <f t="shared" si="36"/>
        <v>9.5</v>
      </c>
      <c r="I136" s="765">
        <f t="shared" si="37"/>
        <v>3.32</v>
      </c>
      <c r="J136" s="765">
        <f>IFERROR(VLOOKUP(B136,BD_Datos!$M$1:$N$1014,2,FALSE),0)</f>
        <v>1.66</v>
      </c>
      <c r="K136" s="769">
        <f t="shared" si="38"/>
        <v>15.68</v>
      </c>
      <c r="L136" s="765">
        <f t="shared" si="39"/>
        <v>0.82526315789473681</v>
      </c>
      <c r="M136" s="313">
        <f t="shared" si="40"/>
        <v>0.17473684210526316</v>
      </c>
      <c r="N136" s="313">
        <f t="shared" si="41"/>
        <v>2.1930114274390645E-3</v>
      </c>
      <c r="O136" s="314">
        <f t="shared" si="42"/>
        <v>7.84</v>
      </c>
      <c r="P136" s="313">
        <f t="shared" si="43"/>
        <v>2.5784851071107302E-3</v>
      </c>
      <c r="Q136" s="313">
        <f>SUM(F$6:F136)</f>
        <v>0.91840087623220157</v>
      </c>
      <c r="R136" s="313">
        <f>SUM(P$6:P136)</f>
        <v>0.8808947080210946</v>
      </c>
    </row>
    <row r="137" spans="1:18" hidden="1">
      <c r="A137" s="74">
        <v>132</v>
      </c>
      <c r="B137" s="74" t="s">
        <v>2183</v>
      </c>
      <c r="C137" s="74" t="s">
        <v>276</v>
      </c>
      <c r="D137" s="770">
        <f>IF($B$3="Acumulado",SUMIF(TBL_Ventas[Producto],B137,TBL_Ventas[Uds]),IF($B$3="Semanal",IF($E$3="Todos",SUMIF(TBL_Ventas[Producto],B137,TBL_Ventas[Uds]),SUMIFS(TBL_Ventas[Uds],TBL_Ventas[Producto],B137,TBL_Ventas[Semana],$E$3)),IF($E$3="Todos",SUMIF(TBL_Ventas[Producto],B137,TBL_Ventas[Uds]),SUMIFS(TBL_Ventas[Uds],TBL_Ventas[Producto],B137,TBL_Ventas[Mes],$E$3))))</f>
        <v>11</v>
      </c>
      <c r="E137" s="771">
        <f>IF($B$3="Acumulado",SUMIF(TBL_Ventas[Producto],B137,TBL_Ventas[Importe]),IF($B$3="Semanal",IF($E$3="Todos",SUMIF(TBL_Ventas[Producto],B137,TBL_Ventas[Importe]),SUMIFS(TBL_Ventas[Importe],TBL_Ventas[Producto],B137,TBL_Ventas[Semana],$E$3)),IF($E$3="Todos",SUMIF(TBL_Ventas[Producto],B137,TBL_Ventas[Importe]),SUMIFS(TBL_Ventas[Importe],TBL_Ventas[Producto],B137,TBL_Ventas[Mes],$E$3))))</f>
        <v>52.4</v>
      </c>
      <c r="F137" s="760">
        <f t="shared" si="34"/>
        <v>6.024096385542169E-3</v>
      </c>
      <c r="G137" s="760">
        <f t="shared" si="35"/>
        <v>6.8992849233507894E-3</v>
      </c>
      <c r="H137" s="771">
        <f t="shared" si="36"/>
        <v>4.7636363636363637</v>
      </c>
      <c r="I137" s="772">
        <f t="shared" si="37"/>
        <v>6.0500000000000007</v>
      </c>
      <c r="J137" s="765">
        <f>IFERROR(VLOOKUP(B137,BD_Datos!$M$1:$N$1014,2,FALSE),0)</f>
        <v>0.55000000000000004</v>
      </c>
      <c r="K137" s="773">
        <f t="shared" si="38"/>
        <v>46.349999999999994</v>
      </c>
      <c r="L137" s="772">
        <f t="shared" si="39"/>
        <v>0.8845419847328243</v>
      </c>
      <c r="M137" s="313">
        <f t="shared" si="40"/>
        <v>0.11545801526717558</v>
      </c>
      <c r="N137" s="313">
        <f t="shared" si="41"/>
        <v>3.9963009445802234E-3</v>
      </c>
      <c r="O137" s="314">
        <f t="shared" si="42"/>
        <v>4.213636363636363</v>
      </c>
      <c r="P137" s="313">
        <f t="shared" si="43"/>
        <v>7.6219888210830571E-3</v>
      </c>
      <c r="Q137" s="313">
        <f>SUM(F$6:F137)</f>
        <v>0.9244249726177437</v>
      </c>
      <c r="R137" s="313">
        <f>SUM(P$6:P137)</f>
        <v>0.8885166968421776</v>
      </c>
    </row>
    <row r="138" spans="1:18" hidden="1">
      <c r="A138" s="765">
        <v>133</v>
      </c>
      <c r="B138" s="765" t="s">
        <v>2014</v>
      </c>
      <c r="C138" s="765" t="s">
        <v>276</v>
      </c>
      <c r="D138" s="766">
        <f>IF($B$3="Acumulado",SUMIF(TBL_Ventas[Producto],B138,TBL_Ventas[Uds]),IF($B$3="Semanal",IF($E$3="Todos",SUMIF(TBL_Ventas[Producto],B138,TBL_Ventas[Uds]),SUMIFS(TBL_Ventas[Uds],TBL_Ventas[Producto],B138,TBL_Ventas[Semana],$E$3)),IF($E$3="Todos",SUMIF(TBL_Ventas[Producto],B138,TBL_Ventas[Uds]),SUMIFS(TBL_Ventas[Uds],TBL_Ventas[Producto],B138,TBL_Ventas[Mes],$E$3))))</f>
        <v>0</v>
      </c>
      <c r="E138" s="767">
        <f>IF($B$3="Acumulado",SUMIF(TBL_Ventas[Producto],B138,TBL_Ventas[Importe]),IF($B$3="Semanal",IF($E$3="Todos",SUMIF(TBL_Ventas[Producto],B138,TBL_Ventas[Importe]),SUMIFS(TBL_Ventas[Importe],TBL_Ventas[Producto],B138,TBL_Ventas[Semana],$E$3)),IF($E$3="Todos",SUMIF(TBL_Ventas[Producto],B138,TBL_Ventas[Importe]),SUMIFS(TBL_Ventas[Importe],TBL_Ventas[Producto],B138,TBL_Ventas[Mes],$E$3))))</f>
        <v>0</v>
      </c>
      <c r="F138" s="768">
        <f t="shared" si="34"/>
        <v>0</v>
      </c>
      <c r="G138" s="768">
        <f t="shared" si="35"/>
        <v>0</v>
      </c>
      <c r="H138" s="767">
        <f t="shared" si="36"/>
        <v>0</v>
      </c>
      <c r="I138" s="765">
        <f t="shared" si="37"/>
        <v>0</v>
      </c>
      <c r="J138" s="765">
        <f>IFERROR(VLOOKUP(B138,BD_Datos!$M$1:$N$1014,2,FALSE),0)</f>
        <v>1.1200000000000001</v>
      </c>
      <c r="K138" s="769">
        <f t="shared" si="38"/>
        <v>0</v>
      </c>
      <c r="L138" s="765">
        <f t="shared" si="39"/>
        <v>0</v>
      </c>
      <c r="M138" s="313">
        <f t="shared" si="40"/>
        <v>0</v>
      </c>
      <c r="N138" s="313">
        <f t="shared" si="41"/>
        <v>0</v>
      </c>
      <c r="O138" s="314">
        <f t="shared" si="42"/>
        <v>0</v>
      </c>
      <c r="P138" s="313">
        <f t="shared" si="43"/>
        <v>0</v>
      </c>
      <c r="Q138" s="313">
        <f>SUM(F$6:F138)</f>
        <v>0.9244249726177437</v>
      </c>
      <c r="R138" s="313">
        <f>SUM(P$6:P138)</f>
        <v>0.8885166968421776</v>
      </c>
    </row>
    <row r="139" spans="1:18" hidden="1">
      <c r="A139" s="74">
        <v>134</v>
      </c>
      <c r="B139" s="74" t="s">
        <v>702</v>
      </c>
      <c r="C139" s="74" t="s">
        <v>251</v>
      </c>
      <c r="D139" s="770">
        <f>IF($B$3="Acumulado",SUMIF(TBL_Ventas[Producto],B139,TBL_Ventas[Uds]),IF($B$3="Semanal",IF($E$3="Todos",SUMIF(TBL_Ventas[Producto],B139,TBL_Ventas[Uds]),SUMIFS(TBL_Ventas[Uds],TBL_Ventas[Producto],B139,TBL_Ventas[Semana],$E$3)),IF($E$3="Todos",SUMIF(TBL_Ventas[Producto],B139,TBL_Ventas[Uds]),SUMIFS(TBL_Ventas[Uds],TBL_Ventas[Producto],B139,TBL_Ventas[Mes],$E$3))))</f>
        <v>4</v>
      </c>
      <c r="E139" s="771">
        <f>IF($B$3="Acumulado",SUMIF(TBL_Ventas[Producto],B139,TBL_Ventas[Importe]),IF($B$3="Semanal",IF($E$3="Todos",SUMIF(TBL_Ventas[Producto],B139,TBL_Ventas[Importe]),SUMIFS(TBL_Ventas[Importe],TBL_Ventas[Producto],B139,TBL_Ventas[Semana],$E$3)),IF($E$3="Todos",SUMIF(TBL_Ventas[Producto],B139,TBL_Ventas[Importe]),SUMIFS(TBL_Ventas[Importe],TBL_Ventas[Producto],B139,TBL_Ventas[Mes],$E$3))))</f>
        <v>9.91</v>
      </c>
      <c r="F139" s="760">
        <f t="shared" si="34"/>
        <v>2.1905805038335158E-3</v>
      </c>
      <c r="G139" s="760">
        <f t="shared" si="35"/>
        <v>1.3048075112672964E-3</v>
      </c>
      <c r="H139" s="771">
        <f t="shared" si="36"/>
        <v>2.4775</v>
      </c>
      <c r="I139" s="772">
        <f t="shared" si="37"/>
        <v>0.56000000000000005</v>
      </c>
      <c r="J139" s="765">
        <f>IFERROR(VLOOKUP(B139,BD_Datos!$M$1:$N$1014,2,FALSE),0)</f>
        <v>0.14000000000000001</v>
      </c>
      <c r="K139" s="773">
        <f t="shared" si="38"/>
        <v>9.35</v>
      </c>
      <c r="L139" s="772">
        <f t="shared" si="39"/>
        <v>0.94349142280524723</v>
      </c>
      <c r="M139" s="313">
        <f t="shared" si="40"/>
        <v>5.6508577194752781E-2</v>
      </c>
      <c r="N139" s="313">
        <f t="shared" si="41"/>
        <v>3.6990554197767359E-4</v>
      </c>
      <c r="O139" s="314">
        <f t="shared" si="42"/>
        <v>2.3374999999999999</v>
      </c>
      <c r="P139" s="313">
        <f t="shared" si="43"/>
        <v>1.5375533004773805E-3</v>
      </c>
      <c r="Q139" s="313">
        <f>SUM(F$6:F139)</f>
        <v>0.92661555312157717</v>
      </c>
      <c r="R139" s="313">
        <f>SUM(P$6:P139)</f>
        <v>0.89005425014265493</v>
      </c>
    </row>
    <row r="140" spans="1:18" hidden="1">
      <c r="A140" s="765">
        <v>135</v>
      </c>
      <c r="B140" s="765" t="s">
        <v>703</v>
      </c>
      <c r="C140" s="765" t="s">
        <v>256</v>
      </c>
      <c r="D140" s="766">
        <f>IF($B$3="Acumulado",SUMIF(TBL_Ventas[Producto],B140,TBL_Ventas[Uds]),IF($B$3="Semanal",IF($E$3="Todos",SUMIF(TBL_Ventas[Producto],B140,TBL_Ventas[Uds]),SUMIFS(TBL_Ventas[Uds],TBL_Ventas[Producto],B140,TBL_Ventas[Semana],$E$3)),IF($E$3="Todos",SUMIF(TBL_Ventas[Producto],B140,TBL_Ventas[Uds]),SUMIFS(TBL_Ventas[Uds],TBL_Ventas[Producto],B140,TBL_Ventas[Mes],$E$3))))</f>
        <v>4</v>
      </c>
      <c r="E140" s="767">
        <f>IF($B$3="Acumulado",SUMIF(TBL_Ventas[Producto],B140,TBL_Ventas[Importe]),IF($B$3="Semanal",IF($E$3="Todos",SUMIF(TBL_Ventas[Producto],B140,TBL_Ventas[Importe]),SUMIFS(TBL_Ventas[Importe],TBL_Ventas[Producto],B140,TBL_Ventas[Semana],$E$3)),IF($E$3="Todos",SUMIF(TBL_Ventas[Producto],B140,TBL_Ventas[Importe]),SUMIFS(TBL_Ventas[Importe],TBL_Ventas[Producto],B140,TBL_Ventas[Mes],$E$3))))</f>
        <v>7.95</v>
      </c>
      <c r="F140" s="768">
        <f t="shared" si="34"/>
        <v>2.1905805038335158E-3</v>
      </c>
      <c r="G140" s="768">
        <f t="shared" si="35"/>
        <v>1.0467426553557018E-3</v>
      </c>
      <c r="H140" s="767">
        <f t="shared" si="36"/>
        <v>1.9875</v>
      </c>
      <c r="I140" s="765">
        <f t="shared" si="37"/>
        <v>0</v>
      </c>
      <c r="J140" s="765">
        <f>IFERROR(VLOOKUP(B140,BD_Datos!$M$1:$N$1014,2,FALSE),0)</f>
        <v>0</v>
      </c>
      <c r="K140" s="769">
        <f t="shared" si="38"/>
        <v>7.95</v>
      </c>
      <c r="L140" s="765">
        <f t="shared" si="39"/>
        <v>1</v>
      </c>
      <c r="M140" s="313">
        <f t="shared" si="40"/>
        <v>0</v>
      </c>
      <c r="N140" s="313">
        <f t="shared" si="41"/>
        <v>0</v>
      </c>
      <c r="O140" s="314">
        <f t="shared" si="42"/>
        <v>1.9875</v>
      </c>
      <c r="P140" s="313">
        <f t="shared" si="43"/>
        <v>1.3073314159139226E-3</v>
      </c>
      <c r="Q140" s="313">
        <f>SUM(F$6:F140)</f>
        <v>0.92880613362541065</v>
      </c>
      <c r="R140" s="313">
        <f>SUM(P$6:P140)</f>
        <v>0.89136158155856882</v>
      </c>
    </row>
    <row r="141" spans="1:18" hidden="1">
      <c r="A141" s="74">
        <v>136</v>
      </c>
      <c r="B141" s="74" t="s">
        <v>1065</v>
      </c>
      <c r="C141" s="74" t="s">
        <v>251</v>
      </c>
      <c r="D141" s="770">
        <f>IF($B$3="Acumulado",SUMIF(TBL_Ventas[Producto],B141,TBL_Ventas[Uds]),IF($B$3="Semanal",IF($E$3="Todos",SUMIF(TBL_Ventas[Producto],B141,TBL_Ventas[Uds]),SUMIFS(TBL_Ventas[Uds],TBL_Ventas[Producto],B141,TBL_Ventas[Semana],$E$3)),IF($E$3="Todos",SUMIF(TBL_Ventas[Producto],B141,TBL_Ventas[Uds]),SUMIFS(TBL_Ventas[Uds],TBL_Ventas[Producto],B141,TBL_Ventas[Mes],$E$3))))</f>
        <v>1</v>
      </c>
      <c r="E141" s="771">
        <f>IF($B$3="Acumulado",SUMIF(TBL_Ventas[Producto],B141,TBL_Ventas[Importe]),IF($B$3="Semanal",IF($E$3="Todos",SUMIF(TBL_Ventas[Producto],B141,TBL_Ventas[Importe]),SUMIFS(TBL_Ventas[Importe],TBL_Ventas[Producto],B141,TBL_Ventas[Semana],$E$3)),IF($E$3="Todos",SUMIF(TBL_Ventas[Producto],B141,TBL_Ventas[Importe]),SUMIFS(TBL_Ventas[Importe],TBL_Ventas[Producto],B141,TBL_Ventas[Mes],$E$3))))</f>
        <v>2.75</v>
      </c>
      <c r="F141" s="760">
        <f t="shared" si="34"/>
        <v>5.4764512595837896E-4</v>
      </c>
      <c r="G141" s="760">
        <f t="shared" si="35"/>
        <v>3.620807927331044E-4</v>
      </c>
      <c r="H141" s="771">
        <f t="shared" si="36"/>
        <v>2.75</v>
      </c>
      <c r="I141" s="772">
        <f t="shared" si="37"/>
        <v>0.5</v>
      </c>
      <c r="J141" s="765">
        <f>IFERROR(VLOOKUP(B141,BD_Datos!$M$1:$N$1014,2,FALSE),0)</f>
        <v>0.5</v>
      </c>
      <c r="K141" s="773">
        <f t="shared" si="38"/>
        <v>2.25</v>
      </c>
      <c r="L141" s="772">
        <f t="shared" si="39"/>
        <v>0.81818181818181823</v>
      </c>
      <c r="M141" s="313">
        <f t="shared" si="40"/>
        <v>0.18181818181818182</v>
      </c>
      <c r="N141" s="313">
        <f t="shared" si="41"/>
        <v>3.3027280533720854E-4</v>
      </c>
      <c r="O141" s="314">
        <f t="shared" si="42"/>
        <v>2.25</v>
      </c>
      <c r="P141" s="313">
        <f t="shared" si="43"/>
        <v>3.6999945733412899E-4</v>
      </c>
      <c r="Q141" s="313">
        <f>SUM(F$6:F141)</f>
        <v>0.92935377875136904</v>
      </c>
      <c r="R141" s="313">
        <f>SUM(P$6:P141)</f>
        <v>0.891731581015903</v>
      </c>
    </row>
    <row r="142" spans="1:18" hidden="1">
      <c r="A142" s="765">
        <v>137</v>
      </c>
      <c r="B142" s="765" t="s">
        <v>953</v>
      </c>
      <c r="C142" s="765" t="s">
        <v>321</v>
      </c>
      <c r="D142" s="766">
        <f>IF($B$3="Acumulado",SUMIF(TBL_Ventas[Producto],B142,TBL_Ventas[Uds]),IF($B$3="Semanal",IF($E$3="Todos",SUMIF(TBL_Ventas[Producto],B142,TBL_Ventas[Uds]),SUMIFS(TBL_Ventas[Uds],TBL_Ventas[Producto],B142,TBL_Ventas[Semana],$E$3)),IF($E$3="Todos",SUMIF(TBL_Ventas[Producto],B142,TBL_Ventas[Uds]),SUMIFS(TBL_Ventas[Uds],TBL_Ventas[Producto],B142,TBL_Ventas[Mes],$E$3))))</f>
        <v>4</v>
      </c>
      <c r="E142" s="767">
        <f>IF($B$3="Acumulado",SUMIF(TBL_Ventas[Producto],B142,TBL_Ventas[Importe]),IF($B$3="Semanal",IF($E$3="Todos",SUMIF(TBL_Ventas[Producto],B142,TBL_Ventas[Importe]),SUMIFS(TBL_Ventas[Importe],TBL_Ventas[Producto],B142,TBL_Ventas[Semana],$E$3)),IF($E$3="Todos",SUMIF(TBL_Ventas[Producto],B142,TBL_Ventas[Importe]),SUMIFS(TBL_Ventas[Importe],TBL_Ventas[Producto],B142,TBL_Ventas[Mes],$E$3))))</f>
        <v>39.6</v>
      </c>
      <c r="F142" s="768">
        <f t="shared" si="34"/>
        <v>2.1905805038335158E-3</v>
      </c>
      <c r="G142" s="768">
        <f t="shared" si="35"/>
        <v>5.2139634153567042E-3</v>
      </c>
      <c r="H142" s="767">
        <f t="shared" si="36"/>
        <v>9.9</v>
      </c>
      <c r="I142" s="765">
        <f t="shared" si="37"/>
        <v>12</v>
      </c>
      <c r="J142" s="765">
        <f>IFERROR(VLOOKUP(B142,BD_Datos!$M$1:$N$1014,2,FALSE),0)</f>
        <v>3</v>
      </c>
      <c r="K142" s="769">
        <f t="shared" si="38"/>
        <v>27.6</v>
      </c>
      <c r="L142" s="765">
        <f t="shared" si="39"/>
        <v>0.69696969696969702</v>
      </c>
      <c r="M142" s="313">
        <f t="shared" si="40"/>
        <v>0.30303030303030304</v>
      </c>
      <c r="N142" s="313">
        <f t="shared" si="41"/>
        <v>7.926547328093005E-3</v>
      </c>
      <c r="O142" s="314">
        <f t="shared" si="42"/>
        <v>6.9</v>
      </c>
      <c r="P142" s="313">
        <f t="shared" si="43"/>
        <v>4.5386600099653158E-3</v>
      </c>
      <c r="Q142" s="313">
        <f>SUM(F$6:F142)</f>
        <v>0.93154435925520251</v>
      </c>
      <c r="R142" s="313">
        <f>SUM(P$6:P142)</f>
        <v>0.89627024102586828</v>
      </c>
    </row>
    <row r="143" spans="1:18" hidden="1">
      <c r="A143" s="74">
        <v>138</v>
      </c>
      <c r="B143" s="74" t="s">
        <v>832</v>
      </c>
      <c r="C143" s="74" t="s">
        <v>256</v>
      </c>
      <c r="D143" s="770">
        <f>IF($B$3="Acumulado",SUMIF(TBL_Ventas[Producto],B143,TBL_Ventas[Uds]),IF($B$3="Semanal",IF($E$3="Todos",SUMIF(TBL_Ventas[Producto],B143,TBL_Ventas[Uds]),SUMIFS(TBL_Ventas[Uds],TBL_Ventas[Producto],B143,TBL_Ventas[Semana],$E$3)),IF($E$3="Todos",SUMIF(TBL_Ventas[Producto],B143,TBL_Ventas[Uds]),SUMIFS(TBL_Ventas[Uds],TBL_Ventas[Producto],B143,TBL_Ventas[Mes],$E$3))))</f>
        <v>0</v>
      </c>
      <c r="E143" s="771">
        <f>IF($B$3="Acumulado",SUMIF(TBL_Ventas[Producto],B143,TBL_Ventas[Importe]),IF($B$3="Semanal",IF($E$3="Todos",SUMIF(TBL_Ventas[Producto],B143,TBL_Ventas[Importe]),SUMIFS(TBL_Ventas[Importe],TBL_Ventas[Producto],B143,TBL_Ventas[Semana],$E$3)),IF($E$3="Todos",SUMIF(TBL_Ventas[Producto],B143,TBL_Ventas[Importe]),SUMIFS(TBL_Ventas[Importe],TBL_Ventas[Producto],B143,TBL_Ventas[Mes],$E$3))))</f>
        <v>0</v>
      </c>
      <c r="F143" s="760">
        <f t="shared" si="34"/>
        <v>0</v>
      </c>
      <c r="G143" s="760">
        <f t="shared" si="35"/>
        <v>0</v>
      </c>
      <c r="H143" s="771">
        <f t="shared" si="36"/>
        <v>0</v>
      </c>
      <c r="I143" s="772">
        <f t="shared" si="37"/>
        <v>0</v>
      </c>
      <c r="J143" s="765">
        <f>IFERROR(VLOOKUP(B143,BD_Datos!$M$1:$N$1014,2,FALSE),0)</f>
        <v>1.85</v>
      </c>
      <c r="K143" s="773">
        <f t="shared" si="38"/>
        <v>0</v>
      </c>
      <c r="L143" s="772">
        <f t="shared" si="39"/>
        <v>0</v>
      </c>
      <c r="M143" s="313">
        <f t="shared" si="40"/>
        <v>0</v>
      </c>
      <c r="N143" s="313">
        <f t="shared" si="41"/>
        <v>0</v>
      </c>
      <c r="O143" s="314">
        <f t="shared" si="42"/>
        <v>0</v>
      </c>
      <c r="P143" s="313">
        <f t="shared" si="43"/>
        <v>0</v>
      </c>
      <c r="Q143" s="313">
        <f>SUM(F$6:F143)</f>
        <v>0.93154435925520251</v>
      </c>
      <c r="R143" s="313">
        <f>SUM(P$6:P143)</f>
        <v>0.89627024102586828</v>
      </c>
    </row>
    <row r="144" spans="1:18" hidden="1">
      <c r="A144" s="765">
        <v>139</v>
      </c>
      <c r="B144" s="765" t="s">
        <v>920</v>
      </c>
      <c r="C144" s="765" t="s">
        <v>877</v>
      </c>
      <c r="D144" s="766">
        <f>IF($B$3="Acumulado",SUMIF(TBL_Ventas[Producto],B144,TBL_Ventas[Uds]),IF($B$3="Semanal",IF($E$3="Todos",SUMIF(TBL_Ventas[Producto],B144,TBL_Ventas[Uds]),SUMIFS(TBL_Ventas[Uds],TBL_Ventas[Producto],B144,TBL_Ventas[Semana],$E$3)),IF($E$3="Todos",SUMIF(TBL_Ventas[Producto],B144,TBL_Ventas[Uds]),SUMIFS(TBL_Ventas[Uds],TBL_Ventas[Producto],B144,TBL_Ventas[Mes],$E$3))))</f>
        <v>0</v>
      </c>
      <c r="E144" s="767">
        <f>IF($B$3="Acumulado",SUMIF(TBL_Ventas[Producto],B144,TBL_Ventas[Importe]),IF($B$3="Semanal",IF($E$3="Todos",SUMIF(TBL_Ventas[Producto],B144,TBL_Ventas[Importe]),SUMIFS(TBL_Ventas[Importe],TBL_Ventas[Producto],B144,TBL_Ventas[Semana],$E$3)),IF($E$3="Todos",SUMIF(TBL_Ventas[Producto],B144,TBL_Ventas[Importe]),SUMIFS(TBL_Ventas[Importe],TBL_Ventas[Producto],B144,TBL_Ventas[Mes],$E$3))))</f>
        <v>0</v>
      </c>
      <c r="F144" s="768">
        <f t="shared" si="34"/>
        <v>0</v>
      </c>
      <c r="G144" s="768">
        <f t="shared" si="35"/>
        <v>0</v>
      </c>
      <c r="H144" s="767">
        <f t="shared" si="36"/>
        <v>0</v>
      </c>
      <c r="I144" s="765">
        <f t="shared" si="37"/>
        <v>0</v>
      </c>
      <c r="J144" s="765">
        <f>IFERROR(VLOOKUP(B144,BD_Datos!$M$1:$N$1014,2,FALSE),0)</f>
        <v>0</v>
      </c>
      <c r="K144" s="769">
        <f t="shared" si="38"/>
        <v>0</v>
      </c>
      <c r="L144" s="765">
        <f t="shared" si="39"/>
        <v>0</v>
      </c>
      <c r="M144" s="313">
        <f t="shared" si="40"/>
        <v>0</v>
      </c>
      <c r="N144" s="313">
        <f t="shared" si="41"/>
        <v>0</v>
      </c>
      <c r="O144" s="314">
        <f t="shared" si="42"/>
        <v>0</v>
      </c>
      <c r="P144" s="313">
        <f t="shared" si="43"/>
        <v>0</v>
      </c>
      <c r="Q144" s="313">
        <f>SUM(F$6:F144)</f>
        <v>0.93154435925520251</v>
      </c>
      <c r="R144" s="313">
        <f>SUM(P$6:P144)</f>
        <v>0.89627024102586828</v>
      </c>
    </row>
    <row r="145" spans="1:18" hidden="1">
      <c r="A145" s="74">
        <v>140</v>
      </c>
      <c r="B145" s="74" t="s">
        <v>688</v>
      </c>
      <c r="C145" s="74" t="s">
        <v>689</v>
      </c>
      <c r="D145" s="770">
        <f>IF($B$3="Acumulado",SUMIF(TBL_Ventas[Producto],B145,TBL_Ventas[Uds]),IF($B$3="Semanal",IF($E$3="Todos",SUMIF(TBL_Ventas[Producto],B145,TBL_Ventas[Uds]),SUMIFS(TBL_Ventas[Uds],TBL_Ventas[Producto],B145,TBL_Ventas[Semana],$E$3)),IF($E$3="Todos",SUMIF(TBL_Ventas[Producto],B145,TBL_Ventas[Uds]),SUMIFS(TBL_Ventas[Uds],TBL_Ventas[Producto],B145,TBL_Ventas[Mes],$E$3))))</f>
        <v>6</v>
      </c>
      <c r="E145" s="771">
        <f>IF($B$3="Acumulado",SUMIF(TBL_Ventas[Producto],B145,TBL_Ventas[Importe]),IF($B$3="Semanal",IF($E$3="Todos",SUMIF(TBL_Ventas[Producto],B145,TBL_Ventas[Importe]),SUMIFS(TBL_Ventas[Importe],TBL_Ventas[Producto],B145,TBL_Ventas[Semana],$E$3)),IF($E$3="Todos",SUMIF(TBL_Ventas[Producto],B145,TBL_Ventas[Importe]),SUMIFS(TBL_Ventas[Importe],TBL_Ventas[Producto],B145,TBL_Ventas[Mes],$E$3))))</f>
        <v>59.45</v>
      </c>
      <c r="F145" s="760">
        <f t="shared" si="34"/>
        <v>3.2858707557502738E-3</v>
      </c>
      <c r="G145" s="760">
        <f t="shared" si="35"/>
        <v>7.8275284101756576E-3</v>
      </c>
      <c r="H145" s="771">
        <f t="shared" si="36"/>
        <v>9.9083333333333332</v>
      </c>
      <c r="I145" s="772">
        <f t="shared" si="37"/>
        <v>0</v>
      </c>
      <c r="J145" s="765">
        <f>IFERROR(VLOOKUP(B145,BD_Datos!$M$1:$N$1014,2,FALSE),0)</f>
        <v>0</v>
      </c>
      <c r="K145" s="773">
        <f t="shared" si="38"/>
        <v>59.45</v>
      </c>
      <c r="L145" s="772">
        <f t="shared" si="39"/>
        <v>1</v>
      </c>
      <c r="M145" s="313">
        <f t="shared" si="40"/>
        <v>0</v>
      </c>
      <c r="N145" s="313">
        <f t="shared" si="41"/>
        <v>0</v>
      </c>
      <c r="O145" s="314">
        <f t="shared" si="42"/>
        <v>9.9083333333333332</v>
      </c>
      <c r="P145" s="313">
        <f t="shared" si="43"/>
        <v>9.7762078837839873E-3</v>
      </c>
      <c r="Q145" s="313">
        <f>SUM(F$6:F145)</f>
        <v>0.93483023001095278</v>
      </c>
      <c r="R145" s="313">
        <f>SUM(P$6:P145)</f>
        <v>0.90604644890965225</v>
      </c>
    </row>
    <row r="146" spans="1:18" hidden="1">
      <c r="A146" s="765">
        <v>141</v>
      </c>
      <c r="B146" s="765" t="s">
        <v>709</v>
      </c>
      <c r="C146" s="765" t="s">
        <v>276</v>
      </c>
      <c r="D146" s="766">
        <f>IF($B$3="Acumulado",SUMIF(TBL_Ventas[Producto],B146,TBL_Ventas[Uds]),IF($B$3="Semanal",IF($E$3="Todos",SUMIF(TBL_Ventas[Producto],B146,TBL_Ventas[Uds]),SUMIFS(TBL_Ventas[Uds],TBL_Ventas[Producto],B146,TBL_Ventas[Semana],$E$3)),IF($E$3="Todos",SUMIF(TBL_Ventas[Producto],B146,TBL_Ventas[Uds]),SUMIFS(TBL_Ventas[Uds],TBL_Ventas[Producto],B146,TBL_Ventas[Mes],$E$3))))</f>
        <v>3</v>
      </c>
      <c r="E146" s="767">
        <f>IF($B$3="Acumulado",SUMIF(TBL_Ventas[Producto],B146,TBL_Ventas[Importe]),IF($B$3="Semanal",IF($E$3="Todos",SUMIF(TBL_Ventas[Producto],B146,TBL_Ventas[Importe]),SUMIFS(TBL_Ventas[Importe],TBL_Ventas[Producto],B146,TBL_Ventas[Semana],$E$3)),IF($E$3="Todos",SUMIF(TBL_Ventas[Producto],B146,TBL_Ventas[Importe]),SUMIFS(TBL_Ventas[Importe],TBL_Ventas[Producto],B146,TBL_Ventas[Mes],$E$3))))</f>
        <v>9.68</v>
      </c>
      <c r="F146" s="768">
        <f t="shared" si="34"/>
        <v>1.6429353778751369E-3</v>
      </c>
      <c r="G146" s="768">
        <f t="shared" si="35"/>
        <v>1.2745243904205275E-3</v>
      </c>
      <c r="H146" s="767">
        <f t="shared" si="36"/>
        <v>3.2266666666666666</v>
      </c>
      <c r="I146" s="765">
        <f t="shared" si="37"/>
        <v>1.47</v>
      </c>
      <c r="J146" s="765">
        <f>IFERROR(VLOOKUP(B146,BD_Datos!$M$1:$N$1014,2,FALSE),0)</f>
        <v>0.49</v>
      </c>
      <c r="K146" s="769">
        <f t="shared" si="38"/>
        <v>8.2099999999999991</v>
      </c>
      <c r="L146" s="765">
        <f t="shared" si="39"/>
        <v>0.84814049586776852</v>
      </c>
      <c r="M146" s="313">
        <f t="shared" si="40"/>
        <v>0.1518595041322314</v>
      </c>
      <c r="N146" s="313">
        <f t="shared" si="41"/>
        <v>9.7100204769139304E-4</v>
      </c>
      <c r="O146" s="314">
        <f t="shared" si="42"/>
        <v>2.7366666666666664</v>
      </c>
      <c r="P146" s="313">
        <f t="shared" si="43"/>
        <v>1.3500869087614217E-3</v>
      </c>
      <c r="Q146" s="313">
        <f>SUM(F$6:F146)</f>
        <v>0.93647316538882797</v>
      </c>
      <c r="R146" s="313">
        <f>SUM(P$6:P146)</f>
        <v>0.90739653581841362</v>
      </c>
    </row>
    <row r="147" spans="1:18" hidden="1">
      <c r="A147" s="74">
        <v>142</v>
      </c>
      <c r="B147" s="74" t="s">
        <v>727</v>
      </c>
      <c r="C147" s="74" t="s">
        <v>275</v>
      </c>
      <c r="D147" s="770">
        <f>IF($B$3="Acumulado",SUMIF(TBL_Ventas[Producto],B147,TBL_Ventas[Uds]),IF($B$3="Semanal",IF($E$3="Todos",SUMIF(TBL_Ventas[Producto],B147,TBL_Ventas[Uds]),SUMIFS(TBL_Ventas[Uds],TBL_Ventas[Producto],B147,TBL_Ventas[Semana],$E$3)),IF($E$3="Todos",SUMIF(TBL_Ventas[Producto],B147,TBL_Ventas[Uds]),SUMIFS(TBL_Ventas[Uds],TBL_Ventas[Producto],B147,TBL_Ventas[Mes],$E$3))))</f>
        <v>1</v>
      </c>
      <c r="E147" s="771">
        <f>IF($B$3="Acumulado",SUMIF(TBL_Ventas[Producto],B147,TBL_Ventas[Importe]),IF($B$3="Semanal",IF($E$3="Todos",SUMIF(TBL_Ventas[Producto],B147,TBL_Ventas[Importe]),SUMIFS(TBL_Ventas[Importe],TBL_Ventas[Producto],B147,TBL_Ventas[Semana],$E$3)),IF($E$3="Todos",SUMIF(TBL_Ventas[Producto],B147,TBL_Ventas[Importe]),SUMIFS(TBL_Ventas[Importe],TBL_Ventas[Producto],B147,TBL_Ventas[Mes],$E$3))))</f>
        <v>0</v>
      </c>
      <c r="F147" s="760">
        <f t="shared" si="34"/>
        <v>5.4764512595837896E-4</v>
      </c>
      <c r="G147" s="760">
        <f t="shared" si="35"/>
        <v>0</v>
      </c>
      <c r="H147" s="771">
        <f t="shared" si="36"/>
        <v>0</v>
      </c>
      <c r="I147" s="772">
        <f t="shared" si="37"/>
        <v>0.41</v>
      </c>
      <c r="J147" s="765">
        <f>IFERROR(VLOOKUP(B147,BD_Datos!$M$1:$N$1014,2,FALSE),0)</f>
        <v>0.41</v>
      </c>
      <c r="K147" s="773">
        <f t="shared" si="38"/>
        <v>-0.41</v>
      </c>
      <c r="L147" s="772">
        <f t="shared" si="39"/>
        <v>0</v>
      </c>
      <c r="M147" s="313">
        <f t="shared" si="40"/>
        <v>0</v>
      </c>
      <c r="N147" s="313">
        <f t="shared" si="41"/>
        <v>2.7082370037651097E-4</v>
      </c>
      <c r="O147" s="314">
        <f t="shared" si="42"/>
        <v>-0.41</v>
      </c>
      <c r="P147" s="313">
        <f t="shared" si="43"/>
        <v>-6.7422123336441286E-5</v>
      </c>
      <c r="Q147" s="313">
        <f>SUM(F$6:F147)</f>
        <v>0.93702081051478636</v>
      </c>
      <c r="R147" s="313">
        <f>SUM(P$6:P147)</f>
        <v>0.90732911369507718</v>
      </c>
    </row>
    <row r="148" spans="1:18" hidden="1">
      <c r="A148" s="765">
        <v>143</v>
      </c>
      <c r="B148" s="765" t="s">
        <v>2211</v>
      </c>
      <c r="C148" s="765" t="s">
        <v>264</v>
      </c>
      <c r="D148" s="766">
        <f>IF($B$3="Acumulado",SUMIF(TBL_Ventas[Producto],B148,TBL_Ventas[Uds]),IF($B$3="Semanal",IF($E$3="Todos",SUMIF(TBL_Ventas[Producto],B148,TBL_Ventas[Uds]),SUMIFS(TBL_Ventas[Uds],TBL_Ventas[Producto],B148,TBL_Ventas[Semana],$E$3)),IF($E$3="Todos",SUMIF(TBL_Ventas[Producto],B148,TBL_Ventas[Uds]),SUMIFS(TBL_Ventas[Uds],TBL_Ventas[Producto],B148,TBL_Ventas[Mes],$E$3))))</f>
        <v>0</v>
      </c>
      <c r="E148" s="767">
        <f>IF($B$3="Acumulado",SUMIF(TBL_Ventas[Producto],B148,TBL_Ventas[Importe]),IF($B$3="Semanal",IF($E$3="Todos",SUMIF(TBL_Ventas[Producto],B148,TBL_Ventas[Importe]),SUMIFS(TBL_Ventas[Importe],TBL_Ventas[Producto],B148,TBL_Ventas[Semana],$E$3)),IF($E$3="Todos",SUMIF(TBL_Ventas[Producto],B148,TBL_Ventas[Importe]),SUMIFS(TBL_Ventas[Importe],TBL_Ventas[Producto],B148,TBL_Ventas[Mes],$E$3))))</f>
        <v>0</v>
      </c>
      <c r="F148" s="768">
        <f t="shared" si="34"/>
        <v>0</v>
      </c>
      <c r="G148" s="768">
        <f t="shared" si="35"/>
        <v>0</v>
      </c>
      <c r="H148" s="767">
        <f t="shared" si="36"/>
        <v>0</v>
      </c>
      <c r="I148" s="765">
        <f t="shared" si="37"/>
        <v>0</v>
      </c>
      <c r="J148" s="765">
        <f>IFERROR(VLOOKUP(B148,BD_Datos!$M$1:$N$1014,2,FALSE),0)</f>
        <v>0.28999999999999998</v>
      </c>
      <c r="K148" s="769">
        <f t="shared" si="38"/>
        <v>0</v>
      </c>
      <c r="L148" s="765">
        <f t="shared" si="39"/>
        <v>0</v>
      </c>
      <c r="M148" s="313">
        <f t="shared" si="40"/>
        <v>0</v>
      </c>
      <c r="N148" s="313">
        <f t="shared" si="41"/>
        <v>0</v>
      </c>
      <c r="O148" s="314">
        <f t="shared" si="42"/>
        <v>0</v>
      </c>
      <c r="P148" s="313">
        <f t="shared" si="43"/>
        <v>0</v>
      </c>
      <c r="Q148" s="313">
        <f>SUM(F$6:F148)</f>
        <v>0.93702081051478636</v>
      </c>
      <c r="R148" s="313">
        <f>SUM(P$6:P148)</f>
        <v>0.90732911369507718</v>
      </c>
    </row>
    <row r="149" spans="1:18" hidden="1">
      <c r="A149" s="74">
        <v>144</v>
      </c>
      <c r="B149" s="74" t="s">
        <v>956</v>
      </c>
      <c r="C149" s="74" t="s">
        <v>955</v>
      </c>
      <c r="D149" s="770">
        <f>IF($B$3="Acumulado",SUMIF(TBL_Ventas[Producto],B149,TBL_Ventas[Uds]),IF($B$3="Semanal",IF($E$3="Todos",SUMIF(TBL_Ventas[Producto],B149,TBL_Ventas[Uds]),SUMIFS(TBL_Ventas[Uds],TBL_Ventas[Producto],B149,TBL_Ventas[Semana],$E$3)),IF($E$3="Todos",SUMIF(TBL_Ventas[Producto],B149,TBL_Ventas[Uds]),SUMIFS(TBL_Ventas[Uds],TBL_Ventas[Producto],B149,TBL_Ventas[Mes],$E$3))))</f>
        <v>1</v>
      </c>
      <c r="E149" s="771">
        <f>IF($B$3="Acumulado",SUMIF(TBL_Ventas[Producto],B149,TBL_Ventas[Importe]),IF($B$3="Semanal",IF($E$3="Todos",SUMIF(TBL_Ventas[Producto],B149,TBL_Ventas[Importe]),SUMIFS(TBL_Ventas[Importe],TBL_Ventas[Producto],B149,TBL_Ventas[Semana],$E$3)),IF($E$3="Todos",SUMIF(TBL_Ventas[Producto],B149,TBL_Ventas[Importe]),SUMIFS(TBL_Ventas[Importe],TBL_Ventas[Producto],B149,TBL_Ventas[Mes],$E$3))))</f>
        <v>2.1</v>
      </c>
      <c r="F149" s="760">
        <f t="shared" si="34"/>
        <v>5.4764512595837896E-4</v>
      </c>
      <c r="G149" s="760">
        <f t="shared" si="35"/>
        <v>2.7649805990527976E-4</v>
      </c>
      <c r="H149" s="771">
        <f t="shared" si="36"/>
        <v>2.1</v>
      </c>
      <c r="I149" s="772">
        <f t="shared" si="37"/>
        <v>0.17</v>
      </c>
      <c r="J149" s="765">
        <f>IFERROR(VLOOKUP(B149,BD_Datos!$M$1:$N$1014,2,FALSE),0)</f>
        <v>0.17</v>
      </c>
      <c r="K149" s="773">
        <f t="shared" si="38"/>
        <v>1.9300000000000002</v>
      </c>
      <c r="L149" s="772">
        <f t="shared" si="39"/>
        <v>0.91904761904761911</v>
      </c>
      <c r="M149" s="313">
        <f t="shared" si="40"/>
        <v>8.0952380952380956E-2</v>
      </c>
      <c r="N149" s="313">
        <f t="shared" si="41"/>
        <v>1.1229275381465091E-4</v>
      </c>
      <c r="O149" s="314">
        <f t="shared" si="42"/>
        <v>1.9300000000000002</v>
      </c>
      <c r="P149" s="313">
        <f t="shared" si="43"/>
        <v>3.1737731229105292E-4</v>
      </c>
      <c r="Q149" s="313">
        <f>SUM(F$6:F149)</f>
        <v>0.93756845564074476</v>
      </c>
      <c r="R149" s="313">
        <f>SUM(P$6:P149)</f>
        <v>0.90764649100736827</v>
      </c>
    </row>
    <row r="150" spans="1:18" hidden="1">
      <c r="A150" s="765">
        <v>145</v>
      </c>
      <c r="B150" s="765" t="s">
        <v>972</v>
      </c>
      <c r="C150" s="765" t="s">
        <v>258</v>
      </c>
      <c r="D150" s="766">
        <f>IF($B$3="Acumulado",SUMIF(TBL_Ventas[Producto],B150,TBL_Ventas[Uds]),IF($B$3="Semanal",IF($E$3="Todos",SUMIF(TBL_Ventas[Producto],B150,TBL_Ventas[Uds]),SUMIFS(TBL_Ventas[Uds],TBL_Ventas[Producto],B150,TBL_Ventas[Semana],$E$3)),IF($E$3="Todos",SUMIF(TBL_Ventas[Producto],B150,TBL_Ventas[Uds]),SUMIFS(TBL_Ventas[Uds],TBL_Ventas[Producto],B150,TBL_Ventas[Mes],$E$3))))</f>
        <v>0</v>
      </c>
      <c r="E150" s="767">
        <f>IF($B$3="Acumulado",SUMIF(TBL_Ventas[Producto],B150,TBL_Ventas[Importe]),IF($B$3="Semanal",IF($E$3="Todos",SUMIF(TBL_Ventas[Producto],B150,TBL_Ventas[Importe]),SUMIFS(TBL_Ventas[Importe],TBL_Ventas[Producto],B150,TBL_Ventas[Semana],$E$3)),IF($E$3="Todos",SUMIF(TBL_Ventas[Producto],B150,TBL_Ventas[Importe]),SUMIFS(TBL_Ventas[Importe],TBL_Ventas[Producto],B150,TBL_Ventas[Mes],$E$3))))</f>
        <v>0</v>
      </c>
      <c r="F150" s="768">
        <f t="shared" si="34"/>
        <v>0</v>
      </c>
      <c r="G150" s="768">
        <f t="shared" si="35"/>
        <v>0</v>
      </c>
      <c r="H150" s="767">
        <f t="shared" si="36"/>
        <v>0</v>
      </c>
      <c r="I150" s="765">
        <f t="shared" si="37"/>
        <v>0</v>
      </c>
      <c r="J150" s="765">
        <f>IFERROR(VLOOKUP(B150,BD_Datos!$M$1:$N$1014,2,FALSE),0)</f>
        <v>0.08</v>
      </c>
      <c r="K150" s="769">
        <f t="shared" si="38"/>
        <v>0</v>
      </c>
      <c r="L150" s="765">
        <f t="shared" si="39"/>
        <v>0</v>
      </c>
      <c r="M150" s="313">
        <f t="shared" si="40"/>
        <v>0</v>
      </c>
      <c r="N150" s="313">
        <f t="shared" si="41"/>
        <v>0</v>
      </c>
      <c r="O150" s="314">
        <f t="shared" si="42"/>
        <v>0</v>
      </c>
      <c r="P150" s="313">
        <f t="shared" si="43"/>
        <v>0</v>
      </c>
      <c r="Q150" s="313">
        <f>SUM(F$6:F150)</f>
        <v>0.93756845564074476</v>
      </c>
      <c r="R150" s="313">
        <f>SUM(P$6:P150)</f>
        <v>0.90764649100736827</v>
      </c>
    </row>
    <row r="151" spans="1:18" hidden="1">
      <c r="A151" s="74">
        <v>146</v>
      </c>
      <c r="B151" s="74" t="s">
        <v>701</v>
      </c>
      <c r="C151" s="74" t="s">
        <v>689</v>
      </c>
      <c r="D151" s="770">
        <f>IF($B$3="Acumulado",SUMIF(TBL_Ventas[Producto],B151,TBL_Ventas[Uds]),IF($B$3="Semanal",IF($E$3="Todos",SUMIF(TBL_Ventas[Producto],B151,TBL_Ventas[Uds]),SUMIFS(TBL_Ventas[Uds],TBL_Ventas[Producto],B151,TBL_Ventas[Semana],$E$3)),IF($E$3="Todos",SUMIF(TBL_Ventas[Producto],B151,TBL_Ventas[Uds]),SUMIFS(TBL_Ventas[Uds],TBL_Ventas[Producto],B151,TBL_Ventas[Mes],$E$3))))</f>
        <v>4</v>
      </c>
      <c r="E151" s="771">
        <f>IF($B$3="Acumulado",SUMIF(TBL_Ventas[Producto],B151,TBL_Ventas[Importe]),IF($B$3="Semanal",IF($E$3="Todos",SUMIF(TBL_Ventas[Producto],B151,TBL_Ventas[Importe]),SUMIFS(TBL_Ventas[Importe],TBL_Ventas[Producto],B151,TBL_Ventas[Semana],$E$3)),IF($E$3="Todos",SUMIF(TBL_Ventas[Producto],B151,TBL_Ventas[Importe]),SUMIFS(TBL_Ventas[Importe],TBL_Ventas[Producto],B151,TBL_Ventas[Mes],$E$3))))</f>
        <v>39.64</v>
      </c>
      <c r="F151" s="760">
        <f t="shared" si="34"/>
        <v>2.1905805038335158E-3</v>
      </c>
      <c r="G151" s="760">
        <f t="shared" si="35"/>
        <v>5.2192300450691854E-3</v>
      </c>
      <c r="H151" s="771">
        <f t="shared" si="36"/>
        <v>9.91</v>
      </c>
      <c r="I151" s="772">
        <f t="shared" si="37"/>
        <v>0.88</v>
      </c>
      <c r="J151" s="765">
        <f>IFERROR(VLOOKUP(B151,BD_Datos!$M$1:$N$1014,2,FALSE),0)</f>
        <v>0.22</v>
      </c>
      <c r="K151" s="773">
        <f t="shared" si="38"/>
        <v>38.76</v>
      </c>
      <c r="L151" s="772">
        <f t="shared" si="39"/>
        <v>0.97780020181634708</v>
      </c>
      <c r="M151" s="313">
        <f t="shared" si="40"/>
        <v>2.2199798183652877E-2</v>
      </c>
      <c r="N151" s="313">
        <f t="shared" si="41"/>
        <v>5.8128013739348699E-4</v>
      </c>
      <c r="O151" s="314">
        <f t="shared" si="42"/>
        <v>9.69</v>
      </c>
      <c r="P151" s="313">
        <f t="shared" si="43"/>
        <v>6.3738573183425955E-3</v>
      </c>
      <c r="Q151" s="313">
        <f>SUM(F$6:F151)</f>
        <v>0.93975903614457823</v>
      </c>
      <c r="R151" s="313">
        <f>SUM(P$6:P151)</f>
        <v>0.91402034832571089</v>
      </c>
    </row>
    <row r="152" spans="1:18" hidden="1">
      <c r="A152" s="765">
        <v>147</v>
      </c>
      <c r="B152" s="765" t="s">
        <v>969</v>
      </c>
      <c r="C152" s="765" t="s">
        <v>253</v>
      </c>
      <c r="D152" s="766">
        <f>IF($B$3="Acumulado",SUMIF(TBL_Ventas[Producto],B152,TBL_Ventas[Uds]),IF($B$3="Semanal",IF($E$3="Todos",SUMIF(TBL_Ventas[Producto],B152,TBL_Ventas[Uds]),SUMIFS(TBL_Ventas[Uds],TBL_Ventas[Producto],B152,TBL_Ventas[Semana],$E$3)),IF($E$3="Todos",SUMIF(TBL_Ventas[Producto],B152,TBL_Ventas[Uds]),SUMIFS(TBL_Ventas[Uds],TBL_Ventas[Producto],B152,TBL_Ventas[Mes],$E$3))))</f>
        <v>0</v>
      </c>
      <c r="E152" s="767">
        <f>IF($B$3="Acumulado",SUMIF(TBL_Ventas[Producto],B152,TBL_Ventas[Importe]),IF($B$3="Semanal",IF($E$3="Todos",SUMIF(TBL_Ventas[Producto],B152,TBL_Ventas[Importe]),SUMIFS(TBL_Ventas[Importe],TBL_Ventas[Producto],B152,TBL_Ventas[Semana],$E$3)),IF($E$3="Todos",SUMIF(TBL_Ventas[Producto],B152,TBL_Ventas[Importe]),SUMIFS(TBL_Ventas[Importe],TBL_Ventas[Producto],B152,TBL_Ventas[Mes],$E$3))))</f>
        <v>0</v>
      </c>
      <c r="F152" s="768">
        <f t="shared" si="34"/>
        <v>0</v>
      </c>
      <c r="G152" s="768">
        <f t="shared" si="35"/>
        <v>0</v>
      </c>
      <c r="H152" s="767">
        <f t="shared" si="36"/>
        <v>0</v>
      </c>
      <c r="I152" s="765">
        <f t="shared" si="37"/>
        <v>0</v>
      </c>
      <c r="J152" s="765">
        <f>IFERROR(VLOOKUP(B152,BD_Datos!$M$1:$N$1014,2,FALSE),0)</f>
        <v>0.04</v>
      </c>
      <c r="K152" s="769">
        <f t="shared" si="38"/>
        <v>0</v>
      </c>
      <c r="L152" s="765">
        <f t="shared" si="39"/>
        <v>0</v>
      </c>
      <c r="M152" s="313">
        <f t="shared" si="40"/>
        <v>0</v>
      </c>
      <c r="N152" s="313">
        <f t="shared" si="41"/>
        <v>0</v>
      </c>
      <c r="O152" s="314">
        <f t="shared" si="42"/>
        <v>0</v>
      </c>
      <c r="P152" s="313">
        <f t="shared" si="43"/>
        <v>0</v>
      </c>
      <c r="Q152" s="313">
        <f>SUM(F$6:F152)</f>
        <v>0.93975903614457823</v>
      </c>
      <c r="R152" s="313">
        <f>SUM(P$6:P152)</f>
        <v>0.91402034832571089</v>
      </c>
    </row>
    <row r="153" spans="1:18" hidden="1">
      <c r="A153" s="74">
        <v>148</v>
      </c>
      <c r="B153" s="74" t="s">
        <v>2094</v>
      </c>
      <c r="C153" s="74" t="s">
        <v>275</v>
      </c>
      <c r="D153" s="770">
        <f>IF($B$3="Acumulado",SUMIF(TBL_Ventas[Producto],B153,TBL_Ventas[Uds]),IF($B$3="Semanal",IF($E$3="Todos",SUMIF(TBL_Ventas[Producto],B153,TBL_Ventas[Uds]),SUMIFS(TBL_Ventas[Uds],TBL_Ventas[Producto],B153,TBL_Ventas[Semana],$E$3)),IF($E$3="Todos",SUMIF(TBL_Ventas[Producto],B153,TBL_Ventas[Uds]),SUMIFS(TBL_Ventas[Uds],TBL_Ventas[Producto],B153,TBL_Ventas[Mes],$E$3))))</f>
        <v>6</v>
      </c>
      <c r="E153" s="771">
        <f>IF($B$3="Acumulado",SUMIF(TBL_Ventas[Producto],B153,TBL_Ventas[Importe]),IF($B$3="Semanal",IF($E$3="Todos",SUMIF(TBL_Ventas[Producto],B153,TBL_Ventas[Importe]),SUMIFS(TBL_Ventas[Importe],TBL_Ventas[Producto],B153,TBL_Ventas[Semana],$E$3)),IF($E$3="Todos",SUMIF(TBL_Ventas[Producto],B153,TBL_Ventas[Importe]),SUMIFS(TBL_Ventas[Importe],TBL_Ventas[Producto],B153,TBL_Ventas[Mes],$E$3))))</f>
        <v>27.55</v>
      </c>
      <c r="F153" s="760">
        <f t="shared" si="34"/>
        <v>3.2858707557502738E-3</v>
      </c>
      <c r="G153" s="760">
        <f t="shared" si="35"/>
        <v>3.6273912144716464E-3</v>
      </c>
      <c r="H153" s="771">
        <f t="shared" si="36"/>
        <v>4.5916666666666668</v>
      </c>
      <c r="I153" s="772">
        <f t="shared" si="37"/>
        <v>4.0200000000000005</v>
      </c>
      <c r="J153" s="765">
        <f>IFERROR(VLOOKUP(B153,BD_Datos!$M$1:$N$1014,2,FALSE),0)</f>
        <v>0.67</v>
      </c>
      <c r="K153" s="773">
        <f t="shared" si="38"/>
        <v>23.53</v>
      </c>
      <c r="L153" s="772">
        <f t="shared" si="39"/>
        <v>0.85408348457350269</v>
      </c>
      <c r="M153" s="313">
        <f t="shared" si="40"/>
        <v>0.14591651542649728</v>
      </c>
      <c r="N153" s="313">
        <f t="shared" si="41"/>
        <v>2.6553933549111567E-3</v>
      </c>
      <c r="O153" s="314">
        <f t="shared" si="42"/>
        <v>3.9216666666666669</v>
      </c>
      <c r="P153" s="313">
        <f t="shared" si="43"/>
        <v>3.8693721026986914E-3</v>
      </c>
      <c r="Q153" s="313">
        <f>SUM(F$6:F153)</f>
        <v>0.94304490690032849</v>
      </c>
      <c r="R153" s="313">
        <f>SUM(P$6:P153)</f>
        <v>0.91788972042840955</v>
      </c>
    </row>
    <row r="154" spans="1:18" hidden="1">
      <c r="A154" s="765">
        <v>149</v>
      </c>
      <c r="B154" s="765" t="s">
        <v>801</v>
      </c>
      <c r="C154" s="765" t="s">
        <v>713</v>
      </c>
      <c r="D154" s="766">
        <f>IF($B$3="Acumulado",SUMIF(TBL_Ventas[Producto],B154,TBL_Ventas[Uds]),IF($B$3="Semanal",IF($E$3="Todos",SUMIF(TBL_Ventas[Producto],B154,TBL_Ventas[Uds]),SUMIFS(TBL_Ventas[Uds],TBL_Ventas[Producto],B154,TBL_Ventas[Semana],$E$3)),IF($E$3="Todos",SUMIF(TBL_Ventas[Producto],B154,TBL_Ventas[Uds]),SUMIFS(TBL_Ventas[Uds],TBL_Ventas[Producto],B154,TBL_Ventas[Mes],$E$3))))</f>
        <v>1</v>
      </c>
      <c r="E154" s="767">
        <f>IF($B$3="Acumulado",SUMIF(TBL_Ventas[Producto],B154,TBL_Ventas[Importe]),IF($B$3="Semanal",IF($E$3="Todos",SUMIF(TBL_Ventas[Producto],B154,TBL_Ventas[Importe]),SUMIFS(TBL_Ventas[Importe],TBL_Ventas[Producto],B154,TBL_Ventas[Semana],$E$3)),IF($E$3="Todos",SUMIF(TBL_Ventas[Producto],B154,TBL_Ventas[Importe]),SUMIFS(TBL_Ventas[Importe],TBL_Ventas[Producto],B154,TBL_Ventas[Mes],$E$3))))</f>
        <v>4.8499999999999996</v>
      </c>
      <c r="F154" s="768">
        <f t="shared" si="34"/>
        <v>5.4764512595837896E-4</v>
      </c>
      <c r="G154" s="768">
        <f t="shared" si="35"/>
        <v>6.3857885263838416E-4</v>
      </c>
      <c r="H154" s="767">
        <f t="shared" si="36"/>
        <v>4.8499999999999996</v>
      </c>
      <c r="I154" s="765">
        <f t="shared" si="37"/>
        <v>1.26</v>
      </c>
      <c r="J154" s="765">
        <f>IFERROR(VLOOKUP(B154,BD_Datos!$M$1:$N$1014,2,FALSE),0)</f>
        <v>1.26</v>
      </c>
      <c r="K154" s="769">
        <f t="shared" si="38"/>
        <v>3.59</v>
      </c>
      <c r="L154" s="765">
        <f t="shared" si="39"/>
        <v>0.74020618556701034</v>
      </c>
      <c r="M154" s="313">
        <f t="shared" si="40"/>
        <v>0.25979381443298971</v>
      </c>
      <c r="N154" s="313">
        <f t="shared" si="41"/>
        <v>8.3228746944976543E-4</v>
      </c>
      <c r="O154" s="314">
        <f t="shared" si="42"/>
        <v>3.59</v>
      </c>
      <c r="P154" s="313">
        <f t="shared" si="43"/>
        <v>5.9035468970201031E-4</v>
      </c>
      <c r="Q154" s="313">
        <f>SUM(F$6:F154)</f>
        <v>0.94359255202628689</v>
      </c>
      <c r="R154" s="313">
        <f>SUM(P$6:P154)</f>
        <v>0.91848007511811158</v>
      </c>
    </row>
    <row r="155" spans="1:18" hidden="1">
      <c r="A155" s="74">
        <v>150</v>
      </c>
      <c r="B155" s="74" t="s">
        <v>2049</v>
      </c>
      <c r="C155" s="74" t="s">
        <v>266</v>
      </c>
      <c r="D155" s="770">
        <f>IF($B$3="Acumulado",SUMIF(TBL_Ventas[Producto],B155,TBL_Ventas[Uds]),IF($B$3="Semanal",IF($E$3="Todos",SUMIF(TBL_Ventas[Producto],B155,TBL_Ventas[Uds]),SUMIFS(TBL_Ventas[Uds],TBL_Ventas[Producto],B155,TBL_Ventas[Semana],$E$3)),IF($E$3="Todos",SUMIF(TBL_Ventas[Producto],B155,TBL_Ventas[Uds]),SUMIFS(TBL_Ventas[Uds],TBL_Ventas[Producto],B155,TBL_Ventas[Mes],$E$3))))</f>
        <v>0</v>
      </c>
      <c r="E155" s="771">
        <f>IF($B$3="Acumulado",SUMIF(TBL_Ventas[Producto],B155,TBL_Ventas[Importe]),IF($B$3="Semanal",IF($E$3="Todos",SUMIF(TBL_Ventas[Producto],B155,TBL_Ventas[Importe]),SUMIFS(TBL_Ventas[Importe],TBL_Ventas[Producto],B155,TBL_Ventas[Semana],$E$3)),IF($E$3="Todos",SUMIF(TBL_Ventas[Producto],B155,TBL_Ventas[Importe]),SUMIFS(TBL_Ventas[Importe],TBL_Ventas[Producto],B155,TBL_Ventas[Mes],$E$3))))</f>
        <v>0</v>
      </c>
      <c r="F155" s="760">
        <f t="shared" si="34"/>
        <v>0</v>
      </c>
      <c r="G155" s="760">
        <f t="shared" si="35"/>
        <v>0</v>
      </c>
      <c r="H155" s="771">
        <f t="shared" si="36"/>
        <v>0</v>
      </c>
      <c r="I155" s="772">
        <f t="shared" si="37"/>
        <v>0</v>
      </c>
      <c r="J155" s="765">
        <f>IFERROR(VLOOKUP(B155,BD_Datos!$M$1:$N$1014,2,FALSE),0)</f>
        <v>0.51</v>
      </c>
      <c r="K155" s="773">
        <f t="shared" si="38"/>
        <v>0</v>
      </c>
      <c r="L155" s="772">
        <f t="shared" si="39"/>
        <v>0</v>
      </c>
      <c r="M155" s="313">
        <f t="shared" si="40"/>
        <v>0</v>
      </c>
      <c r="N155" s="313">
        <f t="shared" si="41"/>
        <v>0</v>
      </c>
      <c r="O155" s="314">
        <f t="shared" si="42"/>
        <v>0</v>
      </c>
      <c r="P155" s="313">
        <f t="shared" si="43"/>
        <v>0</v>
      </c>
      <c r="Q155" s="313">
        <f>SUM(F$6:F155)</f>
        <v>0.94359255202628689</v>
      </c>
      <c r="R155" s="313">
        <f>SUM(P$6:P155)</f>
        <v>0.91848007511811158</v>
      </c>
    </row>
    <row r="156" spans="1:18" hidden="1">
      <c r="A156" s="765">
        <v>151</v>
      </c>
      <c r="B156" s="765" t="s">
        <v>906</v>
      </c>
      <c r="C156" s="765" t="s">
        <v>268</v>
      </c>
      <c r="D156" s="766">
        <f>IF($B$3="Acumulado",SUMIF(TBL_Ventas[Producto],B156,TBL_Ventas[Uds]),IF($B$3="Semanal",IF($E$3="Todos",SUMIF(TBL_Ventas[Producto],B156,TBL_Ventas[Uds]),SUMIFS(TBL_Ventas[Uds],TBL_Ventas[Producto],B156,TBL_Ventas[Semana],$E$3)),IF($E$3="Todos",SUMIF(TBL_Ventas[Producto],B156,TBL_Ventas[Uds]),SUMIFS(TBL_Ventas[Uds],TBL_Ventas[Producto],B156,TBL_Ventas[Mes],$E$3))))</f>
        <v>4</v>
      </c>
      <c r="E156" s="767">
        <f>IF($B$3="Acumulado",SUMIF(TBL_Ventas[Producto],B156,TBL_Ventas[Importe]),IF($B$3="Semanal",IF($E$3="Todos",SUMIF(TBL_Ventas[Producto],B156,TBL_Ventas[Importe]),SUMIFS(TBL_Ventas[Importe],TBL_Ventas[Producto],B156,TBL_Ventas[Semana],$E$3)),IF($E$3="Todos",SUMIF(TBL_Ventas[Producto],B156,TBL_Ventas[Importe]),SUMIFS(TBL_Ventas[Importe],TBL_Ventas[Producto],B156,TBL_Ventas[Mes],$E$3))))</f>
        <v>6</v>
      </c>
      <c r="F156" s="768">
        <f t="shared" si="34"/>
        <v>2.1905805038335158E-3</v>
      </c>
      <c r="G156" s="768">
        <f t="shared" si="35"/>
        <v>7.8999445687222779E-4</v>
      </c>
      <c r="H156" s="767">
        <f t="shared" si="36"/>
        <v>1.5</v>
      </c>
      <c r="I156" s="765">
        <f t="shared" si="37"/>
        <v>1.76</v>
      </c>
      <c r="J156" s="765">
        <f>IFERROR(VLOOKUP(B156,BD_Datos!$M$1:$N$1014,2,FALSE),0)</f>
        <v>0.44</v>
      </c>
      <c r="K156" s="769">
        <f t="shared" si="38"/>
        <v>4.24</v>
      </c>
      <c r="L156" s="765">
        <f t="shared" si="39"/>
        <v>0.70666666666666667</v>
      </c>
      <c r="M156" s="313">
        <f t="shared" si="40"/>
        <v>0.29333333333333333</v>
      </c>
      <c r="N156" s="313">
        <f t="shared" si="41"/>
        <v>1.162560274786974E-3</v>
      </c>
      <c r="O156" s="314">
        <f t="shared" si="42"/>
        <v>1.06</v>
      </c>
      <c r="P156" s="313">
        <f t="shared" si="43"/>
        <v>6.9724342182075872E-4</v>
      </c>
      <c r="Q156" s="313">
        <f>SUM(F$6:F156)</f>
        <v>0.94578313253012036</v>
      </c>
      <c r="R156" s="313">
        <f>SUM(P$6:P156)</f>
        <v>0.91917731853993234</v>
      </c>
    </row>
    <row r="157" spans="1:18" hidden="1">
      <c r="A157" s="74">
        <v>152</v>
      </c>
      <c r="B157" s="74" t="s">
        <v>950</v>
      </c>
      <c r="C157" s="74" t="s">
        <v>894</v>
      </c>
      <c r="D157" s="770">
        <f>IF($B$3="Acumulado",SUMIF(TBL_Ventas[Producto],B157,TBL_Ventas[Uds]),IF($B$3="Semanal",IF($E$3="Todos",SUMIF(TBL_Ventas[Producto],B157,TBL_Ventas[Uds]),SUMIFS(TBL_Ventas[Uds],TBL_Ventas[Producto],B157,TBL_Ventas[Semana],$E$3)),IF($E$3="Todos",SUMIF(TBL_Ventas[Producto],B157,TBL_Ventas[Uds]),SUMIFS(TBL_Ventas[Uds],TBL_Ventas[Producto],B157,TBL_Ventas[Mes],$E$3))))</f>
        <v>0</v>
      </c>
      <c r="E157" s="771">
        <f>IF($B$3="Acumulado",SUMIF(TBL_Ventas[Producto],B157,TBL_Ventas[Importe]),IF($B$3="Semanal",IF($E$3="Todos",SUMIF(TBL_Ventas[Producto],B157,TBL_Ventas[Importe]),SUMIFS(TBL_Ventas[Importe],TBL_Ventas[Producto],B157,TBL_Ventas[Semana],$E$3)),IF($E$3="Todos",SUMIF(TBL_Ventas[Producto],B157,TBL_Ventas[Importe]),SUMIFS(TBL_Ventas[Importe],TBL_Ventas[Producto],B157,TBL_Ventas[Mes],$E$3))))</f>
        <v>0</v>
      </c>
      <c r="F157" s="760">
        <f t="shared" si="34"/>
        <v>0</v>
      </c>
      <c r="G157" s="760">
        <f t="shared" si="35"/>
        <v>0</v>
      </c>
      <c r="H157" s="771">
        <f t="shared" si="36"/>
        <v>0</v>
      </c>
      <c r="I157" s="772">
        <f t="shared" si="37"/>
        <v>0</v>
      </c>
      <c r="J157" s="765">
        <f>IFERROR(VLOOKUP(B157,BD_Datos!$M$1:$N$1014,2,FALSE),0)</f>
        <v>0</v>
      </c>
      <c r="K157" s="773">
        <f t="shared" si="38"/>
        <v>0</v>
      </c>
      <c r="L157" s="772">
        <f t="shared" si="39"/>
        <v>0</v>
      </c>
      <c r="M157" s="313">
        <f t="shared" si="40"/>
        <v>0</v>
      </c>
      <c r="N157" s="313">
        <f t="shared" si="41"/>
        <v>0</v>
      </c>
      <c r="O157" s="314">
        <f t="shared" si="42"/>
        <v>0</v>
      </c>
      <c r="P157" s="313">
        <f t="shared" si="43"/>
        <v>0</v>
      </c>
      <c r="Q157" s="313">
        <f>SUM(F$6:F157)</f>
        <v>0.94578313253012036</v>
      </c>
      <c r="R157" s="313">
        <f>SUM(P$6:P157)</f>
        <v>0.91917731853993234</v>
      </c>
    </row>
    <row r="158" spans="1:18" hidden="1">
      <c r="A158" s="765">
        <v>153</v>
      </c>
      <c r="B158" s="765" t="s">
        <v>787</v>
      </c>
      <c r="C158" s="765" t="s">
        <v>713</v>
      </c>
      <c r="D158" s="766">
        <f>IF($B$3="Acumulado",SUMIF(TBL_Ventas[Producto],B158,TBL_Ventas[Uds]),IF($B$3="Semanal",IF($E$3="Todos",SUMIF(TBL_Ventas[Producto],B158,TBL_Ventas[Uds]),SUMIFS(TBL_Ventas[Uds],TBL_Ventas[Producto],B158,TBL_Ventas[Semana],$E$3)),IF($E$3="Todos",SUMIF(TBL_Ventas[Producto],B158,TBL_Ventas[Uds]),SUMIFS(TBL_Ventas[Uds],TBL_Ventas[Producto],B158,TBL_Ventas[Mes],$E$3))))</f>
        <v>2</v>
      </c>
      <c r="E158" s="767">
        <f>IF($B$3="Acumulado",SUMIF(TBL_Ventas[Producto],B158,TBL_Ventas[Importe]),IF($B$3="Semanal",IF($E$3="Todos",SUMIF(TBL_Ventas[Producto],B158,TBL_Ventas[Importe]),SUMIFS(TBL_Ventas[Importe],TBL_Ventas[Producto],B158,TBL_Ventas[Semana],$E$3)),IF($E$3="Todos",SUMIF(TBL_Ventas[Producto],B158,TBL_Ventas[Importe]),SUMIFS(TBL_Ventas[Importe],TBL_Ventas[Producto],B158,TBL_Ventas[Mes],$E$3))))</f>
        <v>6.4</v>
      </c>
      <c r="F158" s="768">
        <f t="shared" si="34"/>
        <v>1.0952902519167579E-3</v>
      </c>
      <c r="G158" s="768">
        <f t="shared" si="35"/>
        <v>8.4266075399704304E-4</v>
      </c>
      <c r="H158" s="767">
        <f t="shared" si="36"/>
        <v>3.2</v>
      </c>
      <c r="I158" s="765">
        <f t="shared" si="37"/>
        <v>1.54</v>
      </c>
      <c r="J158" s="765">
        <f>IFERROR(VLOOKUP(B158,BD_Datos!$M$1:$N$1014,2,FALSE),0)</f>
        <v>0.77</v>
      </c>
      <c r="K158" s="769">
        <f t="shared" si="38"/>
        <v>4.8600000000000003</v>
      </c>
      <c r="L158" s="765">
        <f t="shared" si="39"/>
        <v>0.75937500000000002</v>
      </c>
      <c r="M158" s="313">
        <f t="shared" si="40"/>
        <v>0.24062500000000001</v>
      </c>
      <c r="N158" s="313">
        <f t="shared" si="41"/>
        <v>1.0172402404386022E-3</v>
      </c>
      <c r="O158" s="314">
        <f t="shared" si="42"/>
        <v>2.4300000000000002</v>
      </c>
      <c r="P158" s="313">
        <f t="shared" si="43"/>
        <v>7.9919882784171877E-4</v>
      </c>
      <c r="Q158" s="313">
        <f>SUM(F$6:F158)</f>
        <v>0.94687842278203715</v>
      </c>
      <c r="R158" s="313">
        <f>SUM(P$6:P158)</f>
        <v>0.91997651736777408</v>
      </c>
    </row>
    <row r="159" spans="1:18" hidden="1">
      <c r="A159" s="74">
        <v>154</v>
      </c>
      <c r="B159" s="74" t="s">
        <v>1570</v>
      </c>
      <c r="C159" s="74" t="s">
        <v>276</v>
      </c>
      <c r="D159" s="770">
        <f>IF($B$3="Acumulado",SUMIF(TBL_Ventas[Producto],B159,TBL_Ventas[Uds]),IF($B$3="Semanal",IF($E$3="Todos",SUMIF(TBL_Ventas[Producto],B159,TBL_Ventas[Uds]),SUMIFS(TBL_Ventas[Uds],TBL_Ventas[Producto],B159,TBL_Ventas[Semana],$E$3)),IF($E$3="Todos",SUMIF(TBL_Ventas[Producto],B159,TBL_Ventas[Uds]),SUMIFS(TBL_Ventas[Uds],TBL_Ventas[Producto],B159,TBL_Ventas[Mes],$E$3))))</f>
        <v>0</v>
      </c>
      <c r="E159" s="771">
        <f>IF($B$3="Acumulado",SUMIF(TBL_Ventas[Producto],B159,TBL_Ventas[Importe]),IF($B$3="Semanal",IF($E$3="Todos",SUMIF(TBL_Ventas[Producto],B159,TBL_Ventas[Importe]),SUMIFS(TBL_Ventas[Importe],TBL_Ventas[Producto],B159,TBL_Ventas[Semana],$E$3)),IF($E$3="Todos",SUMIF(TBL_Ventas[Producto],B159,TBL_Ventas[Importe]),SUMIFS(TBL_Ventas[Importe],TBL_Ventas[Producto],B159,TBL_Ventas[Mes],$E$3))))</f>
        <v>0</v>
      </c>
      <c r="F159" s="760">
        <f t="shared" si="34"/>
        <v>0</v>
      </c>
      <c r="G159" s="760">
        <f t="shared" si="35"/>
        <v>0</v>
      </c>
      <c r="H159" s="771">
        <f t="shared" si="36"/>
        <v>0</v>
      </c>
      <c r="I159" s="772">
        <f t="shared" si="37"/>
        <v>0</v>
      </c>
      <c r="J159" s="765">
        <f>IFERROR(VLOOKUP(B159,BD_Datos!$M$1:$N$1014,2,FALSE),0)</f>
        <v>0</v>
      </c>
      <c r="K159" s="773">
        <f t="shared" si="38"/>
        <v>0</v>
      </c>
      <c r="L159" s="772">
        <f t="shared" si="39"/>
        <v>0</v>
      </c>
      <c r="M159" s="313">
        <f t="shared" si="40"/>
        <v>0</v>
      </c>
      <c r="N159" s="313">
        <f t="shared" si="41"/>
        <v>0</v>
      </c>
      <c r="O159" s="314">
        <f t="shared" si="42"/>
        <v>0</v>
      </c>
      <c r="P159" s="313">
        <f t="shared" si="43"/>
        <v>0</v>
      </c>
      <c r="Q159" s="313">
        <f>SUM(F$6:F159)</f>
        <v>0.94687842278203715</v>
      </c>
      <c r="R159" s="313">
        <f>SUM(P$6:P159)</f>
        <v>0.91997651736777408</v>
      </c>
    </row>
    <row r="160" spans="1:18" hidden="1">
      <c r="A160" s="765">
        <v>155</v>
      </c>
      <c r="B160" s="765" t="s">
        <v>1633</v>
      </c>
      <c r="C160" s="765" t="s">
        <v>277</v>
      </c>
      <c r="D160" s="766">
        <f>IF($B$3="Acumulado",SUMIF(TBL_Ventas[Producto],B160,TBL_Ventas[Uds]),IF($B$3="Semanal",IF($E$3="Todos",SUMIF(TBL_Ventas[Producto],B160,TBL_Ventas[Uds]),SUMIFS(TBL_Ventas[Uds],TBL_Ventas[Producto],B160,TBL_Ventas[Semana],$E$3)),IF($E$3="Todos",SUMIF(TBL_Ventas[Producto],B160,TBL_Ventas[Uds]),SUMIFS(TBL_Ventas[Uds],TBL_Ventas[Producto],B160,TBL_Ventas[Mes],$E$3))))</f>
        <v>5</v>
      </c>
      <c r="E160" s="767">
        <f>IF($B$3="Acumulado",SUMIF(TBL_Ventas[Producto],B160,TBL_Ventas[Importe]),IF($B$3="Semanal",IF($E$3="Todos",SUMIF(TBL_Ventas[Producto],B160,TBL_Ventas[Importe]),SUMIFS(TBL_Ventas[Importe],TBL_Ventas[Producto],B160,TBL_Ventas[Semana],$E$3)),IF($E$3="Todos",SUMIF(TBL_Ventas[Producto],B160,TBL_Ventas[Importe]),SUMIFS(TBL_Ventas[Importe],TBL_Ventas[Producto],B160,TBL_Ventas[Mes],$E$3))))</f>
        <v>64.5</v>
      </c>
      <c r="F160" s="768">
        <f t="shared" si="34"/>
        <v>2.7382256297918948E-3</v>
      </c>
      <c r="G160" s="768">
        <f t="shared" si="35"/>
        <v>8.4924404113764489E-3</v>
      </c>
      <c r="H160" s="767">
        <f t="shared" si="36"/>
        <v>12.9</v>
      </c>
      <c r="I160" s="765">
        <f t="shared" si="37"/>
        <v>14.399999999999999</v>
      </c>
      <c r="J160" s="765">
        <f>IFERROR(VLOOKUP(B160,BD_Datos!$M$1:$N$1014,2,FALSE),0)</f>
        <v>2.88</v>
      </c>
      <c r="K160" s="769">
        <f t="shared" si="38"/>
        <v>50.1</v>
      </c>
      <c r="L160" s="765">
        <f t="shared" si="39"/>
        <v>0.77674418604651163</v>
      </c>
      <c r="M160" s="313">
        <f t="shared" si="40"/>
        <v>0.22325581395348834</v>
      </c>
      <c r="N160" s="313">
        <f t="shared" si="41"/>
        <v>9.5118567937116042E-3</v>
      </c>
      <c r="O160" s="314">
        <f t="shared" si="42"/>
        <v>10.02</v>
      </c>
      <c r="P160" s="313">
        <f t="shared" si="43"/>
        <v>8.2386545833066059E-3</v>
      </c>
      <c r="Q160" s="313">
        <f>SUM(F$6:F160)</f>
        <v>0.94961664841182902</v>
      </c>
      <c r="R160" s="313">
        <f>SUM(P$6:P160)</f>
        <v>0.92821517195108072</v>
      </c>
    </row>
    <row r="161" spans="1:18" hidden="1">
      <c r="A161" s="74">
        <v>156</v>
      </c>
      <c r="B161" s="74" t="s">
        <v>861</v>
      </c>
      <c r="C161" s="74" t="s">
        <v>328</v>
      </c>
      <c r="D161" s="770">
        <f>IF($B$3="Acumulado",SUMIF(TBL_Ventas[Producto],B161,TBL_Ventas[Uds]),IF($B$3="Semanal",IF($E$3="Todos",SUMIF(TBL_Ventas[Producto],B161,TBL_Ventas[Uds]),SUMIFS(TBL_Ventas[Uds],TBL_Ventas[Producto],B161,TBL_Ventas[Semana],$E$3)),IF($E$3="Todos",SUMIF(TBL_Ventas[Producto],B161,TBL_Ventas[Uds]),SUMIFS(TBL_Ventas[Uds],TBL_Ventas[Producto],B161,TBL_Ventas[Mes],$E$3))))</f>
        <v>4</v>
      </c>
      <c r="E161" s="771">
        <f>IF($B$3="Acumulado",SUMIF(TBL_Ventas[Producto],B161,TBL_Ventas[Importe]),IF($B$3="Semanal",IF($E$3="Todos",SUMIF(TBL_Ventas[Producto],B161,TBL_Ventas[Importe]),SUMIFS(TBL_Ventas[Importe],TBL_Ventas[Producto],B161,TBL_Ventas[Semana],$E$3)),IF($E$3="Todos",SUMIF(TBL_Ventas[Producto],B161,TBL_Ventas[Importe]),SUMIFS(TBL_Ventas[Importe],TBL_Ventas[Producto],B161,TBL_Ventas[Mes],$E$3))))</f>
        <v>12.4</v>
      </c>
      <c r="F161" s="760">
        <f t="shared" si="34"/>
        <v>2.1905805038335158E-3</v>
      </c>
      <c r="G161" s="760">
        <f t="shared" si="35"/>
        <v>1.6326552108692708E-3</v>
      </c>
      <c r="H161" s="771">
        <f t="shared" si="36"/>
        <v>3.1</v>
      </c>
      <c r="I161" s="772">
        <f t="shared" si="37"/>
        <v>1.4</v>
      </c>
      <c r="J161" s="765">
        <f>IFERROR(VLOOKUP(B161,BD_Datos!$M$1:$N$1014,2,FALSE),0)</f>
        <v>0.35</v>
      </c>
      <c r="K161" s="773">
        <f t="shared" si="38"/>
        <v>11</v>
      </c>
      <c r="L161" s="772">
        <f t="shared" si="39"/>
        <v>0.88709677419354838</v>
      </c>
      <c r="M161" s="313">
        <f t="shared" si="40"/>
        <v>0.1129032258064516</v>
      </c>
      <c r="N161" s="313">
        <f t="shared" si="41"/>
        <v>9.247638549441838E-4</v>
      </c>
      <c r="O161" s="314">
        <f t="shared" si="42"/>
        <v>2.75</v>
      </c>
      <c r="P161" s="313">
        <f t="shared" si="43"/>
        <v>1.8088862358557418E-3</v>
      </c>
      <c r="Q161" s="313">
        <f>SUM(F$6:F161)</f>
        <v>0.9518072289156625</v>
      </c>
      <c r="R161" s="313">
        <f>SUM(P$6:P161)</f>
        <v>0.93002405818693645</v>
      </c>
    </row>
    <row r="162" spans="1:18" hidden="1">
      <c r="A162" s="765">
        <v>157</v>
      </c>
      <c r="B162" s="765" t="s">
        <v>917</v>
      </c>
      <c r="C162" s="765" t="s">
        <v>258</v>
      </c>
      <c r="D162" s="766">
        <f>IF($B$3="Acumulado",SUMIF(TBL_Ventas[Producto],B162,TBL_Ventas[Uds]),IF($B$3="Semanal",IF($E$3="Todos",SUMIF(TBL_Ventas[Producto],B162,TBL_Ventas[Uds]),SUMIFS(TBL_Ventas[Uds],TBL_Ventas[Producto],B162,TBL_Ventas[Semana],$E$3)),IF($E$3="Todos",SUMIF(TBL_Ventas[Producto],B162,TBL_Ventas[Uds]),SUMIFS(TBL_Ventas[Uds],TBL_Ventas[Producto],B162,TBL_Ventas[Mes],$E$3))))</f>
        <v>0</v>
      </c>
      <c r="E162" s="767">
        <f>IF($B$3="Acumulado",SUMIF(TBL_Ventas[Producto],B162,TBL_Ventas[Importe]),IF($B$3="Semanal",IF($E$3="Todos",SUMIF(TBL_Ventas[Producto],B162,TBL_Ventas[Importe]),SUMIFS(TBL_Ventas[Importe],TBL_Ventas[Producto],B162,TBL_Ventas[Semana],$E$3)),IF($E$3="Todos",SUMIF(TBL_Ventas[Producto],B162,TBL_Ventas[Importe]),SUMIFS(TBL_Ventas[Importe],TBL_Ventas[Producto],B162,TBL_Ventas[Mes],$E$3))))</f>
        <v>0</v>
      </c>
      <c r="F162" s="768">
        <f t="shared" si="34"/>
        <v>0</v>
      </c>
      <c r="G162" s="768">
        <f t="shared" si="35"/>
        <v>0</v>
      </c>
      <c r="H162" s="767">
        <f t="shared" si="36"/>
        <v>0</v>
      </c>
      <c r="I162" s="765">
        <f t="shared" si="37"/>
        <v>0</v>
      </c>
      <c r="J162" s="765">
        <f>IFERROR(VLOOKUP(B162,BD_Datos!$M$1:$N$1014,2,FALSE),0)</f>
        <v>0.04</v>
      </c>
      <c r="K162" s="769">
        <f t="shared" si="38"/>
        <v>0</v>
      </c>
      <c r="L162" s="765">
        <f t="shared" si="39"/>
        <v>0</v>
      </c>
      <c r="M162" s="313">
        <f t="shared" si="40"/>
        <v>0</v>
      </c>
      <c r="N162" s="313">
        <f t="shared" si="41"/>
        <v>0</v>
      </c>
      <c r="O162" s="314">
        <f t="shared" si="42"/>
        <v>0</v>
      </c>
      <c r="P162" s="313">
        <f t="shared" si="43"/>
        <v>0</v>
      </c>
      <c r="Q162" s="313">
        <f>SUM(F$6:F162)</f>
        <v>0.9518072289156625</v>
      </c>
      <c r="R162" s="313">
        <f>SUM(P$6:P162)</f>
        <v>0.93002405818693645</v>
      </c>
    </row>
    <row r="163" spans="1:18" hidden="1">
      <c r="A163" s="74">
        <v>158</v>
      </c>
      <c r="B163" s="74" t="s">
        <v>1587</v>
      </c>
      <c r="C163" s="74" t="s">
        <v>323</v>
      </c>
      <c r="D163" s="770">
        <f>IF($B$3="Acumulado",SUMIF(TBL_Ventas[Producto],B163,TBL_Ventas[Uds]),IF($B$3="Semanal",IF($E$3="Todos",SUMIF(TBL_Ventas[Producto],B163,TBL_Ventas[Uds]),SUMIFS(TBL_Ventas[Uds],TBL_Ventas[Producto],B163,TBL_Ventas[Semana],$E$3)),IF($E$3="Todos",SUMIF(TBL_Ventas[Producto],B163,TBL_Ventas[Uds]),SUMIFS(TBL_Ventas[Uds],TBL_Ventas[Producto],B163,TBL_Ventas[Mes],$E$3))))</f>
        <v>2</v>
      </c>
      <c r="E163" s="771">
        <f>IF($B$3="Acumulado",SUMIF(TBL_Ventas[Producto],B163,TBL_Ventas[Importe]),IF($B$3="Semanal",IF($E$3="Todos",SUMIF(TBL_Ventas[Producto],B163,TBL_Ventas[Importe]),SUMIFS(TBL_Ventas[Importe],TBL_Ventas[Producto],B163,TBL_Ventas[Semana],$E$3)),IF($E$3="Todos",SUMIF(TBL_Ventas[Producto],B163,TBL_Ventas[Importe]),SUMIFS(TBL_Ventas[Importe],TBL_Ventas[Producto],B163,TBL_Ventas[Mes],$E$3))))</f>
        <v>25.3</v>
      </c>
      <c r="F163" s="760">
        <f t="shared" si="34"/>
        <v>1.0952902519167579E-3</v>
      </c>
      <c r="G163" s="760">
        <f t="shared" si="35"/>
        <v>3.3311432931445607E-3</v>
      </c>
      <c r="H163" s="771">
        <f t="shared" si="36"/>
        <v>12.65</v>
      </c>
      <c r="I163" s="772">
        <f t="shared" si="37"/>
        <v>5.38</v>
      </c>
      <c r="J163" s="765">
        <f>IFERROR(VLOOKUP(B163,BD_Datos!$M$1:$N$1014,2,FALSE),0)</f>
        <v>2.69</v>
      </c>
      <c r="K163" s="773">
        <f t="shared" si="38"/>
        <v>19.920000000000002</v>
      </c>
      <c r="L163" s="772">
        <f t="shared" si="39"/>
        <v>0.78735177865612649</v>
      </c>
      <c r="M163" s="313">
        <f t="shared" si="40"/>
        <v>0.21264822134387351</v>
      </c>
      <c r="N163" s="313">
        <f t="shared" si="41"/>
        <v>3.5537353854283634E-3</v>
      </c>
      <c r="O163" s="314">
        <f t="shared" si="42"/>
        <v>9.9600000000000009</v>
      </c>
      <c r="P163" s="313">
        <f t="shared" si="43"/>
        <v>3.2757285289314892E-3</v>
      </c>
      <c r="Q163" s="313">
        <f>SUM(F$6:F163)</f>
        <v>0.95290251916757929</v>
      </c>
      <c r="R163" s="313">
        <f>SUM(P$6:P163)</f>
        <v>0.933299786715868</v>
      </c>
    </row>
    <row r="164" spans="1:18" hidden="1">
      <c r="A164" s="765">
        <v>159</v>
      </c>
      <c r="B164" s="765" t="s">
        <v>712</v>
      </c>
      <c r="C164" s="765" t="s">
        <v>713</v>
      </c>
      <c r="D164" s="766">
        <f>IF($B$3="Acumulado",SUMIF(TBL_Ventas[Producto],B164,TBL_Ventas[Uds]),IF($B$3="Semanal",IF($E$3="Todos",SUMIF(TBL_Ventas[Producto],B164,TBL_Ventas[Uds]),SUMIFS(TBL_Ventas[Uds],TBL_Ventas[Producto],B164,TBL_Ventas[Semana],$E$3)),IF($E$3="Todos",SUMIF(TBL_Ventas[Producto],B164,TBL_Ventas[Uds]),SUMIFS(TBL_Ventas[Uds],TBL_Ventas[Producto],B164,TBL_Ventas[Mes],$E$3))))</f>
        <v>4</v>
      </c>
      <c r="E164" s="767">
        <f>IF($B$3="Acumulado",SUMIF(TBL_Ventas[Producto],B164,TBL_Ventas[Importe]),IF($B$3="Semanal",IF($E$3="Todos",SUMIF(TBL_Ventas[Producto],B164,TBL_Ventas[Importe]),SUMIFS(TBL_Ventas[Importe],TBL_Ventas[Producto],B164,TBL_Ventas[Semana],$E$3)),IF($E$3="Todos",SUMIF(TBL_Ventas[Producto],B164,TBL_Ventas[Importe]),SUMIFS(TBL_Ventas[Importe],TBL_Ventas[Producto],B164,TBL_Ventas[Mes],$E$3))))</f>
        <v>13.21</v>
      </c>
      <c r="F164" s="768">
        <f t="shared" si="34"/>
        <v>2.1905805038335158E-3</v>
      </c>
      <c r="G164" s="768">
        <f t="shared" si="35"/>
        <v>1.7393044625470216E-3</v>
      </c>
      <c r="H164" s="767">
        <f t="shared" si="36"/>
        <v>3.3025000000000002</v>
      </c>
      <c r="I164" s="765">
        <f t="shared" si="37"/>
        <v>1.36</v>
      </c>
      <c r="J164" s="765">
        <f>IFERROR(VLOOKUP(B164,BD_Datos!$M$1:$N$1014,2,FALSE),0)</f>
        <v>0.34</v>
      </c>
      <c r="K164" s="769">
        <f t="shared" si="38"/>
        <v>11.850000000000001</v>
      </c>
      <c r="L164" s="765">
        <f t="shared" si="39"/>
        <v>0.89704769114307348</v>
      </c>
      <c r="M164" s="313">
        <f t="shared" si="40"/>
        <v>0.10295230885692658</v>
      </c>
      <c r="N164" s="313">
        <f t="shared" si="41"/>
        <v>8.9834203051720725E-4</v>
      </c>
      <c r="O164" s="314">
        <f t="shared" si="42"/>
        <v>2.9625000000000004</v>
      </c>
      <c r="P164" s="313">
        <f t="shared" si="43"/>
        <v>1.948663808626413E-3</v>
      </c>
      <c r="Q164" s="313">
        <f>SUM(F$6:F164)</f>
        <v>0.95509309967141276</v>
      </c>
      <c r="R164" s="313">
        <f>SUM(P$6:P164)</f>
        <v>0.93524845052449446</v>
      </c>
    </row>
    <row r="165" spans="1:18" hidden="1">
      <c r="A165" s="74">
        <v>160</v>
      </c>
      <c r="B165" s="74" t="s">
        <v>2105</v>
      </c>
      <c r="C165" s="74" t="s">
        <v>275</v>
      </c>
      <c r="D165" s="770">
        <f>IF($B$3="Acumulado",SUMIF(TBL_Ventas[Producto],B165,TBL_Ventas[Uds]),IF($B$3="Semanal",IF($E$3="Todos",SUMIF(TBL_Ventas[Producto],B165,TBL_Ventas[Uds]),SUMIFS(TBL_Ventas[Uds],TBL_Ventas[Producto],B165,TBL_Ventas[Semana],$E$3)),IF($E$3="Todos",SUMIF(TBL_Ventas[Producto],B165,TBL_Ventas[Uds]),SUMIFS(TBL_Ventas[Uds],TBL_Ventas[Producto],B165,TBL_Ventas[Mes],$E$3))))</f>
        <v>0</v>
      </c>
      <c r="E165" s="771">
        <f>IF($B$3="Acumulado",SUMIF(TBL_Ventas[Producto],B165,TBL_Ventas[Importe]),IF($B$3="Semanal",IF($E$3="Todos",SUMIF(TBL_Ventas[Producto],B165,TBL_Ventas[Importe]),SUMIFS(TBL_Ventas[Importe],TBL_Ventas[Producto],B165,TBL_Ventas[Semana],$E$3)),IF($E$3="Todos",SUMIF(TBL_Ventas[Producto],B165,TBL_Ventas[Importe]),SUMIFS(TBL_Ventas[Importe],TBL_Ventas[Producto],B165,TBL_Ventas[Mes],$E$3))))</f>
        <v>0</v>
      </c>
      <c r="F165" s="760">
        <f t="shared" si="34"/>
        <v>0</v>
      </c>
      <c r="G165" s="760">
        <f t="shared" si="35"/>
        <v>0</v>
      </c>
      <c r="H165" s="771">
        <f t="shared" si="36"/>
        <v>0</v>
      </c>
      <c r="I165" s="772">
        <f t="shared" si="37"/>
        <v>0</v>
      </c>
      <c r="J165" s="765">
        <f>IFERROR(VLOOKUP(B165,BD_Datos!$M$1:$N$1014,2,FALSE),0)</f>
        <v>1.06</v>
      </c>
      <c r="K165" s="773">
        <f t="shared" si="38"/>
        <v>0</v>
      </c>
      <c r="L165" s="772">
        <f t="shared" si="39"/>
        <v>0</v>
      </c>
      <c r="M165" s="313">
        <f t="shared" si="40"/>
        <v>0</v>
      </c>
      <c r="N165" s="313">
        <f t="shared" si="41"/>
        <v>0</v>
      </c>
      <c r="O165" s="314">
        <f t="shared" si="42"/>
        <v>0</v>
      </c>
      <c r="P165" s="313">
        <f t="shared" si="43"/>
        <v>0</v>
      </c>
      <c r="Q165" s="313">
        <f>SUM(F$6:F165)</f>
        <v>0.95509309967141276</v>
      </c>
      <c r="R165" s="313">
        <f>SUM(P$6:P165)</f>
        <v>0.93524845052449446</v>
      </c>
    </row>
    <row r="166" spans="1:18" hidden="1">
      <c r="A166" s="765">
        <v>161</v>
      </c>
      <c r="B166" s="765" t="s">
        <v>911</v>
      </c>
      <c r="C166" s="765" t="s">
        <v>873</v>
      </c>
      <c r="D166" s="766">
        <f>IF($B$3="Acumulado",SUMIF(TBL_Ventas[Producto],B166,TBL_Ventas[Uds]),IF($B$3="Semanal",IF($E$3="Todos",SUMIF(TBL_Ventas[Producto],B166,TBL_Ventas[Uds]),SUMIFS(TBL_Ventas[Uds],TBL_Ventas[Producto],B166,TBL_Ventas[Semana],$E$3)),IF($E$3="Todos",SUMIF(TBL_Ventas[Producto],B166,TBL_Ventas[Uds]),SUMIFS(TBL_Ventas[Uds],TBL_Ventas[Producto],B166,TBL_Ventas[Mes],$E$3))))</f>
        <v>0</v>
      </c>
      <c r="E166" s="767">
        <f>IF($B$3="Acumulado",SUMIF(TBL_Ventas[Producto],B166,TBL_Ventas[Importe]),IF($B$3="Semanal",IF($E$3="Todos",SUMIF(TBL_Ventas[Producto],B166,TBL_Ventas[Importe]),SUMIFS(TBL_Ventas[Importe],TBL_Ventas[Producto],B166,TBL_Ventas[Semana],$E$3)),IF($E$3="Todos",SUMIF(TBL_Ventas[Producto],B166,TBL_Ventas[Importe]),SUMIFS(TBL_Ventas[Importe],TBL_Ventas[Producto],B166,TBL_Ventas[Mes],$E$3))))</f>
        <v>0</v>
      </c>
      <c r="F166" s="768">
        <f t="shared" ref="F166:F197" si="44">IF(SUM(D$6:D$205)=0,0,D166/SUM(D$6:D$205))</f>
        <v>0</v>
      </c>
      <c r="G166" s="768">
        <f t="shared" ref="G166:G197" si="45">IF(SUM(E$6:E$205)=0,0,E166/SUM(E$6:E$205))</f>
        <v>0</v>
      </c>
      <c r="H166" s="767">
        <f t="shared" si="36"/>
        <v>0</v>
      </c>
      <c r="I166" s="765">
        <f t="shared" ref="I166:I197" si="46">J166*D166</f>
        <v>0</v>
      </c>
      <c r="J166" s="765">
        <f>IFERROR(VLOOKUP(B166,BD_Datos!$M$1:$N$1014,2,FALSE),0)</f>
        <v>0</v>
      </c>
      <c r="K166" s="769">
        <f t="shared" ref="K166:K197" si="47">E166-I166</f>
        <v>0</v>
      </c>
      <c r="L166" s="765">
        <f t="shared" si="39"/>
        <v>0</v>
      </c>
      <c r="M166" s="313">
        <f t="shared" si="40"/>
        <v>0</v>
      </c>
      <c r="N166" s="313">
        <f t="shared" ref="N166:N197" si="48">IF(SUM(I$6:I$205)=0,0,I166/SUM(I$6:I$205))</f>
        <v>0</v>
      </c>
      <c r="O166" s="314">
        <f t="shared" si="42"/>
        <v>0</v>
      </c>
      <c r="P166" s="313">
        <f t="shared" ref="P166:P197" si="49">IF(SUM(K$6:K$205)=0,0,K166/SUM(K$6:K$205))</f>
        <v>0</v>
      </c>
      <c r="Q166" s="313">
        <f>SUM(F$6:F166)</f>
        <v>0.95509309967141276</v>
      </c>
      <c r="R166" s="313">
        <f>SUM(P$6:P166)</f>
        <v>0.93524845052449446</v>
      </c>
    </row>
    <row r="167" spans="1:18" hidden="1">
      <c r="A167" s="74">
        <v>162</v>
      </c>
      <c r="B167" s="74" t="s">
        <v>954</v>
      </c>
      <c r="C167" s="74" t="s">
        <v>277</v>
      </c>
      <c r="D167" s="770">
        <f>IF($B$3="Acumulado",SUMIF(TBL_Ventas[Producto],B167,TBL_Ventas[Uds]),IF($B$3="Semanal",IF($E$3="Todos",SUMIF(TBL_Ventas[Producto],B167,TBL_Ventas[Uds]),SUMIFS(TBL_Ventas[Uds],TBL_Ventas[Producto],B167,TBL_Ventas[Semana],$E$3)),IF($E$3="Todos",SUMIF(TBL_Ventas[Producto],B167,TBL_Ventas[Uds]),SUMIFS(TBL_Ventas[Uds],TBL_Ventas[Producto],B167,TBL_Ventas[Mes],$E$3))))</f>
        <v>15</v>
      </c>
      <c r="E167" s="771">
        <f>IF($B$3="Acumulado",SUMIF(TBL_Ventas[Producto],B167,TBL_Ventas[Importe]),IF($B$3="Semanal",IF($E$3="Todos",SUMIF(TBL_Ventas[Producto],B167,TBL_Ventas[Importe]),SUMIFS(TBL_Ventas[Importe],TBL_Ventas[Producto],B167,TBL_Ventas[Semana],$E$3)),IF($E$3="Todos",SUMIF(TBL_Ventas[Producto],B167,TBL_Ventas[Importe]),SUMIFS(TBL_Ventas[Importe],TBL_Ventas[Producto],B167,TBL_Ventas[Mes],$E$3))))</f>
        <v>193.5</v>
      </c>
      <c r="F167" s="760">
        <f t="shared" si="44"/>
        <v>8.2146768893756848E-3</v>
      </c>
      <c r="G167" s="760">
        <f t="shared" si="45"/>
        <v>2.5477321234129349E-2</v>
      </c>
      <c r="H167" s="771">
        <f t="shared" si="36"/>
        <v>12.9</v>
      </c>
      <c r="I167" s="772">
        <f t="shared" si="46"/>
        <v>35.85</v>
      </c>
      <c r="J167" s="765">
        <f>IFERROR(VLOOKUP(B167,BD_Datos!$M$1:$N$1014,2,FALSE),0)</f>
        <v>2.39</v>
      </c>
      <c r="K167" s="773">
        <f t="shared" si="47"/>
        <v>157.65</v>
      </c>
      <c r="L167" s="772">
        <f t="shared" si="39"/>
        <v>0.81472868217054262</v>
      </c>
      <c r="M167" s="313">
        <f t="shared" si="40"/>
        <v>0.18527131782945738</v>
      </c>
      <c r="N167" s="313">
        <f t="shared" si="48"/>
        <v>2.3680560142677852E-2</v>
      </c>
      <c r="O167" s="314">
        <f t="shared" si="42"/>
        <v>10.51</v>
      </c>
      <c r="P167" s="313">
        <f t="shared" si="49"/>
        <v>2.5924628643877973E-2</v>
      </c>
      <c r="Q167" s="313">
        <f>SUM(F$6:F167)</f>
        <v>0.96330777656078848</v>
      </c>
      <c r="R167" s="313">
        <f>SUM(P$6:P167)</f>
        <v>0.96117307916837247</v>
      </c>
    </row>
    <row r="168" spans="1:18" hidden="1">
      <c r="A168" s="765">
        <v>163</v>
      </c>
      <c r="B168" s="765" t="s">
        <v>857</v>
      </c>
      <c r="C168" s="765" t="s">
        <v>276</v>
      </c>
      <c r="D168" s="766">
        <f>IF($B$3="Acumulado",SUMIF(TBL_Ventas[Producto],B168,TBL_Ventas[Uds]),IF($B$3="Semanal",IF($E$3="Todos",SUMIF(TBL_Ventas[Producto],B168,TBL_Ventas[Uds]),SUMIFS(TBL_Ventas[Uds],TBL_Ventas[Producto],B168,TBL_Ventas[Semana],$E$3)),IF($E$3="Todos",SUMIF(TBL_Ventas[Producto],B168,TBL_Ventas[Uds]),SUMIFS(TBL_Ventas[Uds],TBL_Ventas[Producto],B168,TBL_Ventas[Mes],$E$3))))</f>
        <v>4</v>
      </c>
      <c r="E168" s="767">
        <f>IF($B$3="Acumulado",SUMIF(TBL_Ventas[Producto],B168,TBL_Ventas[Importe]),IF($B$3="Semanal",IF($E$3="Todos",SUMIF(TBL_Ventas[Producto],B168,TBL_Ventas[Importe]),SUMIFS(TBL_Ventas[Importe],TBL_Ventas[Producto],B168,TBL_Ventas[Semana],$E$3)),IF($E$3="Todos",SUMIF(TBL_Ventas[Producto],B168,TBL_Ventas[Importe]),SUMIFS(TBL_Ventas[Importe],TBL_Ventas[Producto],B168,TBL_Ventas[Mes],$E$3))))</f>
        <v>13.2</v>
      </c>
      <c r="F168" s="768">
        <f t="shared" si="44"/>
        <v>2.1905805038335158E-3</v>
      </c>
      <c r="G168" s="768">
        <f t="shared" si="45"/>
        <v>1.7379878051189011E-3</v>
      </c>
      <c r="H168" s="767">
        <f t="shared" si="36"/>
        <v>3.3</v>
      </c>
      <c r="I168" s="765">
        <f t="shared" si="46"/>
        <v>1</v>
      </c>
      <c r="J168" s="765">
        <f>IFERROR(VLOOKUP(B168,BD_Datos!$M$1:$N$1014,2,FALSE),0)</f>
        <v>0.25</v>
      </c>
      <c r="K168" s="769">
        <f t="shared" si="47"/>
        <v>12.2</v>
      </c>
      <c r="L168" s="765">
        <f t="shared" si="39"/>
        <v>0.9242424242424242</v>
      </c>
      <c r="M168" s="313">
        <f t="shared" si="40"/>
        <v>7.575757575757576E-2</v>
      </c>
      <c r="N168" s="313">
        <f t="shared" si="48"/>
        <v>6.6054561067441708E-4</v>
      </c>
      <c r="O168" s="314">
        <f t="shared" si="42"/>
        <v>3.05</v>
      </c>
      <c r="P168" s="313">
        <f t="shared" si="49"/>
        <v>2.0062192797672771E-3</v>
      </c>
      <c r="Q168" s="313">
        <f>SUM(F$6:F168)</f>
        <v>0.96549835706462195</v>
      </c>
      <c r="R168" s="313">
        <f>SUM(P$6:P168)</f>
        <v>0.96317929844813976</v>
      </c>
    </row>
    <row r="169" spans="1:18" hidden="1">
      <c r="A169" s="74">
        <v>164</v>
      </c>
      <c r="B169" s="74" t="s">
        <v>743</v>
      </c>
      <c r="C169" s="74" t="s">
        <v>251</v>
      </c>
      <c r="D169" s="770">
        <f>IF($B$3="Acumulado",SUMIF(TBL_Ventas[Producto],B169,TBL_Ventas[Uds]),IF($B$3="Semanal",IF($E$3="Todos",SUMIF(TBL_Ventas[Producto],B169,TBL_Ventas[Uds]),SUMIFS(TBL_Ventas[Uds],TBL_Ventas[Producto],B169,TBL_Ventas[Semana],$E$3)),IF($E$3="Todos",SUMIF(TBL_Ventas[Producto],B169,TBL_Ventas[Uds]),SUMIFS(TBL_Ventas[Uds],TBL_Ventas[Producto],B169,TBL_Ventas[Mes],$E$3))))</f>
        <v>1</v>
      </c>
      <c r="E169" s="771">
        <f>IF($B$3="Acumulado",SUMIF(TBL_Ventas[Producto],B169,TBL_Ventas[Importe]),IF($B$3="Semanal",IF($E$3="Todos",SUMIF(TBL_Ventas[Producto],B169,TBL_Ventas[Importe]),SUMIFS(TBL_Ventas[Importe],TBL_Ventas[Producto],B169,TBL_Ventas[Semana],$E$3)),IF($E$3="Todos",SUMIF(TBL_Ventas[Producto],B169,TBL_Ventas[Importe]),SUMIFS(TBL_Ventas[Importe],TBL_Ventas[Producto],B169,TBL_Ventas[Mes],$E$3))))</f>
        <v>2.5499999999999998</v>
      </c>
      <c r="F169" s="760">
        <f t="shared" si="44"/>
        <v>5.4764512595837896E-4</v>
      </c>
      <c r="G169" s="760">
        <f t="shared" si="45"/>
        <v>3.3574764417069683E-4</v>
      </c>
      <c r="H169" s="771">
        <f t="shared" si="36"/>
        <v>2.5499999999999998</v>
      </c>
      <c r="I169" s="772">
        <f t="shared" si="46"/>
        <v>0</v>
      </c>
      <c r="J169" s="765">
        <f>IFERROR(VLOOKUP(B169,BD_Datos!$M$1:$N$1014,2,FALSE),0)</f>
        <v>0</v>
      </c>
      <c r="K169" s="773">
        <f t="shared" si="47"/>
        <v>2.5499999999999998</v>
      </c>
      <c r="L169" s="772">
        <f t="shared" si="39"/>
        <v>1</v>
      </c>
      <c r="M169" s="313">
        <f t="shared" si="40"/>
        <v>0</v>
      </c>
      <c r="N169" s="313">
        <f t="shared" si="48"/>
        <v>0</v>
      </c>
      <c r="O169" s="314">
        <f t="shared" si="42"/>
        <v>2.5499999999999998</v>
      </c>
      <c r="P169" s="313">
        <f t="shared" si="49"/>
        <v>4.1933271831201286E-4</v>
      </c>
      <c r="Q169" s="313">
        <f>SUM(F$6:F169)</f>
        <v>0.96604600219058034</v>
      </c>
      <c r="R169" s="313">
        <f>SUM(P$6:P169)</f>
        <v>0.96359863116645172</v>
      </c>
    </row>
    <row r="170" spans="1:18" hidden="1">
      <c r="A170" s="765">
        <v>165</v>
      </c>
      <c r="B170" s="765" t="s">
        <v>794</v>
      </c>
      <c r="C170" s="765" t="s">
        <v>256</v>
      </c>
      <c r="D170" s="766">
        <f>IF($B$3="Acumulado",SUMIF(TBL_Ventas[Producto],B170,TBL_Ventas[Uds]),IF($B$3="Semanal",IF($E$3="Todos",SUMIF(TBL_Ventas[Producto],B170,TBL_Ventas[Uds]),SUMIFS(TBL_Ventas[Uds],TBL_Ventas[Producto],B170,TBL_Ventas[Semana],$E$3)),IF($E$3="Todos",SUMIF(TBL_Ventas[Producto],B170,TBL_Ventas[Uds]),SUMIFS(TBL_Ventas[Uds],TBL_Ventas[Producto],B170,TBL_Ventas[Mes],$E$3))))</f>
        <v>0</v>
      </c>
      <c r="E170" s="767">
        <f>IF($B$3="Acumulado",SUMIF(TBL_Ventas[Producto],B170,TBL_Ventas[Importe]),IF($B$3="Semanal",IF($E$3="Todos",SUMIF(TBL_Ventas[Producto],B170,TBL_Ventas[Importe]),SUMIFS(TBL_Ventas[Importe],TBL_Ventas[Producto],B170,TBL_Ventas[Semana],$E$3)),IF($E$3="Todos",SUMIF(TBL_Ventas[Producto],B170,TBL_Ventas[Importe]),SUMIFS(TBL_Ventas[Importe],TBL_Ventas[Producto],B170,TBL_Ventas[Mes],$E$3))))</f>
        <v>0</v>
      </c>
      <c r="F170" s="768">
        <f t="shared" si="44"/>
        <v>0</v>
      </c>
      <c r="G170" s="768">
        <f t="shared" si="45"/>
        <v>0</v>
      </c>
      <c r="H170" s="767">
        <f t="shared" si="36"/>
        <v>0</v>
      </c>
      <c r="I170" s="765">
        <f t="shared" si="46"/>
        <v>0</v>
      </c>
      <c r="J170" s="765">
        <f>IFERROR(VLOOKUP(B170,BD_Datos!$M$1:$N$1014,2,FALSE),0)</f>
        <v>0</v>
      </c>
      <c r="K170" s="769">
        <f t="shared" si="47"/>
        <v>0</v>
      </c>
      <c r="L170" s="765">
        <f t="shared" si="39"/>
        <v>0</v>
      </c>
      <c r="M170" s="313">
        <f t="shared" si="40"/>
        <v>0</v>
      </c>
      <c r="N170" s="313">
        <f t="shared" si="48"/>
        <v>0</v>
      </c>
      <c r="O170" s="314">
        <f t="shared" si="42"/>
        <v>0</v>
      </c>
      <c r="P170" s="313">
        <f t="shared" si="49"/>
        <v>0</v>
      </c>
      <c r="Q170" s="313">
        <f>SUM(F$6:F170)</f>
        <v>0.96604600219058034</v>
      </c>
      <c r="R170" s="313">
        <f>SUM(P$6:P170)</f>
        <v>0.96359863116645172</v>
      </c>
    </row>
    <row r="171" spans="1:18" hidden="1">
      <c r="A171" s="74">
        <v>166</v>
      </c>
      <c r="B171" s="74" t="s">
        <v>1066</v>
      </c>
      <c r="C171" s="74" t="s">
        <v>266</v>
      </c>
      <c r="D171" s="770">
        <f>IF($B$3="Acumulado",SUMIF(TBL_Ventas[Producto],B171,TBL_Ventas[Uds]),IF($B$3="Semanal",IF($E$3="Todos",SUMIF(TBL_Ventas[Producto],B171,TBL_Ventas[Uds]),SUMIFS(TBL_Ventas[Uds],TBL_Ventas[Producto],B171,TBL_Ventas[Semana],$E$3)),IF($E$3="Todos",SUMIF(TBL_Ventas[Producto],B171,TBL_Ventas[Uds]),SUMIFS(TBL_Ventas[Uds],TBL_Ventas[Producto],B171,TBL_Ventas[Mes],$E$3))))</f>
        <v>0</v>
      </c>
      <c r="E171" s="771">
        <f>IF($B$3="Acumulado",SUMIF(TBL_Ventas[Producto],B171,TBL_Ventas[Importe]),IF($B$3="Semanal",IF($E$3="Todos",SUMIF(TBL_Ventas[Producto],B171,TBL_Ventas[Importe]),SUMIFS(TBL_Ventas[Importe],TBL_Ventas[Producto],B171,TBL_Ventas[Semana],$E$3)),IF($E$3="Todos",SUMIF(TBL_Ventas[Producto],B171,TBL_Ventas[Importe]),SUMIFS(TBL_Ventas[Importe],TBL_Ventas[Producto],B171,TBL_Ventas[Mes],$E$3))))</f>
        <v>0</v>
      </c>
      <c r="F171" s="760">
        <f t="shared" si="44"/>
        <v>0</v>
      </c>
      <c r="G171" s="760">
        <f t="shared" si="45"/>
        <v>0</v>
      </c>
      <c r="H171" s="771">
        <f t="shared" si="36"/>
        <v>0</v>
      </c>
      <c r="I171" s="772">
        <f t="shared" si="46"/>
        <v>0</v>
      </c>
      <c r="J171" s="765">
        <f>IFERROR(VLOOKUP(B171,BD_Datos!$M$1:$N$1014,2,FALSE),0)</f>
        <v>0</v>
      </c>
      <c r="K171" s="773">
        <f t="shared" si="47"/>
        <v>0</v>
      </c>
      <c r="L171" s="772">
        <f t="shared" si="39"/>
        <v>0</v>
      </c>
      <c r="M171" s="313">
        <f t="shared" si="40"/>
        <v>0</v>
      </c>
      <c r="N171" s="313">
        <f t="shared" si="48"/>
        <v>0</v>
      </c>
      <c r="O171" s="314">
        <f t="shared" si="42"/>
        <v>0</v>
      </c>
      <c r="P171" s="313">
        <f t="shared" si="49"/>
        <v>0</v>
      </c>
      <c r="Q171" s="313">
        <f>SUM(F$6:F171)</f>
        <v>0.96604600219058034</v>
      </c>
      <c r="R171" s="313">
        <f>SUM(P$6:P171)</f>
        <v>0.96359863116645172</v>
      </c>
    </row>
    <row r="172" spans="1:18" hidden="1">
      <c r="A172" s="765">
        <v>167</v>
      </c>
      <c r="B172" s="765" t="s">
        <v>952</v>
      </c>
      <c r="C172" s="765" t="s">
        <v>256</v>
      </c>
      <c r="D172" s="766">
        <f>IF($B$3="Acumulado",SUMIF(TBL_Ventas[Producto],B172,TBL_Ventas[Uds]),IF($B$3="Semanal",IF($E$3="Todos",SUMIF(TBL_Ventas[Producto],B172,TBL_Ventas[Uds]),SUMIFS(TBL_Ventas[Uds],TBL_Ventas[Producto],B172,TBL_Ventas[Semana],$E$3)),IF($E$3="Todos",SUMIF(TBL_Ventas[Producto],B172,TBL_Ventas[Uds]),SUMIFS(TBL_Ventas[Uds],TBL_Ventas[Producto],B172,TBL_Ventas[Mes],$E$3))))</f>
        <v>2</v>
      </c>
      <c r="E172" s="767">
        <f>IF($B$3="Acumulado",SUMIF(TBL_Ventas[Producto],B172,TBL_Ventas[Importe]),IF($B$3="Semanal",IF($E$3="Todos",SUMIF(TBL_Ventas[Producto],B172,TBL_Ventas[Importe]),SUMIFS(TBL_Ventas[Importe],TBL_Ventas[Producto],B172,TBL_Ventas[Semana],$E$3)),IF($E$3="Todos",SUMIF(TBL_Ventas[Producto],B172,TBL_Ventas[Importe]),SUMIFS(TBL_Ventas[Importe],TBL_Ventas[Producto],B172,TBL_Ventas[Mes],$E$3))))</f>
        <v>14.5</v>
      </c>
      <c r="F172" s="768">
        <f t="shared" si="44"/>
        <v>1.0952902519167579E-3</v>
      </c>
      <c r="G172" s="768">
        <f t="shared" si="45"/>
        <v>1.9091532707745506E-3</v>
      </c>
      <c r="H172" s="767">
        <f t="shared" si="36"/>
        <v>7.25</v>
      </c>
      <c r="I172" s="765">
        <f t="shared" si="46"/>
        <v>2.1</v>
      </c>
      <c r="J172" s="765">
        <f>IFERROR(VLOOKUP(B172,BD_Datos!$M$1:$N$1014,2,FALSE),0)</f>
        <v>1.05</v>
      </c>
      <c r="K172" s="769">
        <f t="shared" si="47"/>
        <v>12.4</v>
      </c>
      <c r="L172" s="765">
        <f t="shared" si="39"/>
        <v>0.85517241379310349</v>
      </c>
      <c r="M172" s="313">
        <f t="shared" si="40"/>
        <v>0.14482758620689656</v>
      </c>
      <c r="N172" s="313">
        <f t="shared" si="48"/>
        <v>1.3871457824162759E-3</v>
      </c>
      <c r="O172" s="314">
        <f t="shared" si="42"/>
        <v>6.2</v>
      </c>
      <c r="P172" s="313">
        <f t="shared" si="49"/>
        <v>2.0391081204191998E-3</v>
      </c>
      <c r="Q172" s="313">
        <f>SUM(F$6:F172)</f>
        <v>0.96714129244249714</v>
      </c>
      <c r="R172" s="313">
        <f>SUM(P$6:P172)</f>
        <v>0.96563773928687091</v>
      </c>
    </row>
    <row r="173" spans="1:18" hidden="1">
      <c r="A173" s="74">
        <v>168</v>
      </c>
      <c r="B173" s="74" t="s">
        <v>883</v>
      </c>
      <c r="C173" s="74" t="s">
        <v>275</v>
      </c>
      <c r="D173" s="770">
        <f>IF($B$3="Acumulado",SUMIF(TBL_Ventas[Producto],B173,TBL_Ventas[Uds]),IF($B$3="Semanal",IF($E$3="Todos",SUMIF(TBL_Ventas[Producto],B173,TBL_Ventas[Uds]),SUMIFS(TBL_Ventas[Uds],TBL_Ventas[Producto],B173,TBL_Ventas[Semana],$E$3)),IF($E$3="Todos",SUMIF(TBL_Ventas[Producto],B173,TBL_Ventas[Uds]),SUMIFS(TBL_Ventas[Uds],TBL_Ventas[Producto],B173,TBL_Ventas[Mes],$E$3))))</f>
        <v>0</v>
      </c>
      <c r="E173" s="771">
        <f>IF($B$3="Acumulado",SUMIF(TBL_Ventas[Producto],B173,TBL_Ventas[Importe]),IF($B$3="Semanal",IF($E$3="Todos",SUMIF(TBL_Ventas[Producto],B173,TBL_Ventas[Importe]),SUMIFS(TBL_Ventas[Importe],TBL_Ventas[Producto],B173,TBL_Ventas[Semana],$E$3)),IF($E$3="Todos",SUMIF(TBL_Ventas[Producto],B173,TBL_Ventas[Importe]),SUMIFS(TBL_Ventas[Importe],TBL_Ventas[Producto],B173,TBL_Ventas[Mes],$E$3))))</f>
        <v>0</v>
      </c>
      <c r="F173" s="760">
        <f t="shared" si="44"/>
        <v>0</v>
      </c>
      <c r="G173" s="760">
        <f t="shared" si="45"/>
        <v>0</v>
      </c>
      <c r="H173" s="771">
        <f t="shared" si="36"/>
        <v>0</v>
      </c>
      <c r="I173" s="772">
        <f t="shared" si="46"/>
        <v>0</v>
      </c>
      <c r="J173" s="765">
        <f>IFERROR(VLOOKUP(B173,BD_Datos!$M$1:$N$1014,2,FALSE),0)</f>
        <v>0</v>
      </c>
      <c r="K173" s="773">
        <f t="shared" si="47"/>
        <v>0</v>
      </c>
      <c r="L173" s="772">
        <f t="shared" si="39"/>
        <v>0</v>
      </c>
      <c r="M173" s="313">
        <f t="shared" si="40"/>
        <v>0</v>
      </c>
      <c r="N173" s="313">
        <f t="shared" si="48"/>
        <v>0</v>
      </c>
      <c r="O173" s="314">
        <f t="shared" si="42"/>
        <v>0</v>
      </c>
      <c r="P173" s="313">
        <f t="shared" si="49"/>
        <v>0</v>
      </c>
      <c r="Q173" s="313">
        <f>SUM(F$6:F173)</f>
        <v>0.96714129244249714</v>
      </c>
      <c r="R173" s="313">
        <f>SUM(P$6:P173)</f>
        <v>0.96563773928687091</v>
      </c>
    </row>
    <row r="174" spans="1:18" hidden="1">
      <c r="A174" s="765">
        <v>169</v>
      </c>
      <c r="B174" s="765" t="s">
        <v>745</v>
      </c>
      <c r="C174" s="765" t="s">
        <v>275</v>
      </c>
      <c r="D174" s="766">
        <f>IF($B$3="Acumulado",SUMIF(TBL_Ventas[Producto],B174,TBL_Ventas[Uds]),IF($B$3="Semanal",IF($E$3="Todos",SUMIF(TBL_Ventas[Producto],B174,TBL_Ventas[Uds]),SUMIFS(TBL_Ventas[Uds],TBL_Ventas[Producto],B174,TBL_Ventas[Semana],$E$3)),IF($E$3="Todos",SUMIF(TBL_Ventas[Producto],B174,TBL_Ventas[Uds]),SUMIFS(TBL_Ventas[Uds],TBL_Ventas[Producto],B174,TBL_Ventas[Mes],$E$3))))</f>
        <v>4</v>
      </c>
      <c r="E174" s="767">
        <f>IF($B$3="Acumulado",SUMIF(TBL_Ventas[Producto],B174,TBL_Ventas[Importe]),IF($B$3="Semanal",IF($E$3="Todos",SUMIF(TBL_Ventas[Producto],B174,TBL_Ventas[Importe]),SUMIFS(TBL_Ventas[Importe],TBL_Ventas[Producto],B174,TBL_Ventas[Semana],$E$3)),IF($E$3="Todos",SUMIF(TBL_Ventas[Producto],B174,TBL_Ventas[Importe]),SUMIFS(TBL_Ventas[Importe],TBL_Ventas[Producto],B174,TBL_Ventas[Mes],$E$3))))</f>
        <v>18.27</v>
      </c>
      <c r="F174" s="768">
        <f t="shared" si="44"/>
        <v>2.1905805038335158E-3</v>
      </c>
      <c r="G174" s="768">
        <f t="shared" si="45"/>
        <v>2.4055331211759335E-3</v>
      </c>
      <c r="H174" s="767">
        <f t="shared" si="36"/>
        <v>4.5674999999999999</v>
      </c>
      <c r="I174" s="765">
        <f t="shared" si="46"/>
        <v>1.64</v>
      </c>
      <c r="J174" s="765">
        <f>IFERROR(VLOOKUP(B174,BD_Datos!$M$1:$N$1014,2,FALSE),0)</f>
        <v>0.41</v>
      </c>
      <c r="K174" s="769">
        <f t="shared" si="47"/>
        <v>16.63</v>
      </c>
      <c r="L174" s="765">
        <f t="shared" si="39"/>
        <v>0.9102353585112205</v>
      </c>
      <c r="M174" s="313">
        <f t="shared" si="40"/>
        <v>8.9764641488779412E-2</v>
      </c>
      <c r="N174" s="313">
        <f t="shared" si="48"/>
        <v>1.0832948015060439E-3</v>
      </c>
      <c r="O174" s="314">
        <f t="shared" si="42"/>
        <v>4.1574999999999998</v>
      </c>
      <c r="P174" s="313">
        <f t="shared" si="49"/>
        <v>2.7347071002073622E-3</v>
      </c>
      <c r="Q174" s="313">
        <f>SUM(F$6:F174)</f>
        <v>0.96933187294633061</v>
      </c>
      <c r="R174" s="313">
        <f>SUM(P$6:P174)</f>
        <v>0.96837244638707831</v>
      </c>
    </row>
    <row r="175" spans="1:18" hidden="1">
      <c r="A175" s="74">
        <v>170</v>
      </c>
      <c r="B175" s="74" t="s">
        <v>796</v>
      </c>
      <c r="C175" s="74" t="s">
        <v>282</v>
      </c>
      <c r="D175" s="770">
        <f>IF($B$3="Acumulado",SUMIF(TBL_Ventas[Producto],B175,TBL_Ventas[Uds]),IF($B$3="Semanal",IF($E$3="Todos",SUMIF(TBL_Ventas[Producto],B175,TBL_Ventas[Uds]),SUMIFS(TBL_Ventas[Uds],TBL_Ventas[Producto],B175,TBL_Ventas[Semana],$E$3)),IF($E$3="Todos",SUMIF(TBL_Ventas[Producto],B175,TBL_Ventas[Uds]),SUMIFS(TBL_Ventas[Uds],TBL_Ventas[Producto],B175,TBL_Ventas[Mes],$E$3))))</f>
        <v>2</v>
      </c>
      <c r="E175" s="771">
        <f>IF($B$3="Acumulado",SUMIF(TBL_Ventas[Producto],B175,TBL_Ventas[Importe]),IF($B$3="Semanal",IF($E$3="Todos",SUMIF(TBL_Ventas[Producto],B175,TBL_Ventas[Importe]),SUMIFS(TBL_Ventas[Importe],TBL_Ventas[Producto],B175,TBL_Ventas[Semana],$E$3)),IF($E$3="Todos",SUMIF(TBL_Ventas[Producto],B175,TBL_Ventas[Importe]),SUMIFS(TBL_Ventas[Importe],TBL_Ventas[Producto],B175,TBL_Ventas[Mes],$E$3))))</f>
        <v>20.91</v>
      </c>
      <c r="F175" s="760">
        <f t="shared" si="44"/>
        <v>1.0952902519167579E-3</v>
      </c>
      <c r="G175" s="760">
        <f t="shared" si="45"/>
        <v>2.7531306821997142E-3</v>
      </c>
      <c r="H175" s="771">
        <f t="shared" si="36"/>
        <v>10.455</v>
      </c>
      <c r="I175" s="772">
        <f t="shared" si="46"/>
        <v>5.32</v>
      </c>
      <c r="J175" s="765">
        <f>IFERROR(VLOOKUP(B175,BD_Datos!$M$1:$N$1014,2,FALSE),0)</f>
        <v>2.66</v>
      </c>
      <c r="K175" s="773">
        <f t="shared" si="47"/>
        <v>15.59</v>
      </c>
      <c r="L175" s="772">
        <f t="shared" si="39"/>
        <v>0.74557627929220471</v>
      </c>
      <c r="M175" s="313">
        <f t="shared" si="40"/>
        <v>0.25442372070779534</v>
      </c>
      <c r="N175" s="313">
        <f t="shared" si="48"/>
        <v>3.5141026487878987E-3</v>
      </c>
      <c r="O175" s="314">
        <f t="shared" si="42"/>
        <v>7.7949999999999999</v>
      </c>
      <c r="P175" s="313">
        <f t="shared" si="49"/>
        <v>2.5636851288173652E-3</v>
      </c>
      <c r="Q175" s="313">
        <f>SUM(F$6:F175)</f>
        <v>0.9704271631982474</v>
      </c>
      <c r="R175" s="313">
        <f>SUM(P$6:P175)</f>
        <v>0.97093613151589564</v>
      </c>
    </row>
    <row r="176" spans="1:18" hidden="1">
      <c r="A176" s="765">
        <v>171</v>
      </c>
      <c r="B176" s="765" t="s">
        <v>752</v>
      </c>
      <c r="C176" s="765" t="s">
        <v>264</v>
      </c>
      <c r="D176" s="766">
        <f>IF($B$3="Acumulado",SUMIF(TBL_Ventas[Producto],B176,TBL_Ventas[Uds]),IF($B$3="Semanal",IF($E$3="Todos",SUMIF(TBL_Ventas[Producto],B176,TBL_Ventas[Uds]),SUMIFS(TBL_Ventas[Uds],TBL_Ventas[Producto],B176,TBL_Ventas[Semana],$E$3)),IF($E$3="Todos",SUMIF(TBL_Ventas[Producto],B176,TBL_Ventas[Uds]),SUMIFS(TBL_Ventas[Uds],TBL_Ventas[Producto],B176,TBL_Ventas[Mes],$E$3))))</f>
        <v>0</v>
      </c>
      <c r="E176" s="767">
        <f>IF($B$3="Acumulado",SUMIF(TBL_Ventas[Producto],B176,TBL_Ventas[Importe]),IF($B$3="Semanal",IF($E$3="Todos",SUMIF(TBL_Ventas[Producto],B176,TBL_Ventas[Importe]),SUMIFS(TBL_Ventas[Importe],TBL_Ventas[Producto],B176,TBL_Ventas[Semana],$E$3)),IF($E$3="Todos",SUMIF(TBL_Ventas[Producto],B176,TBL_Ventas[Importe]),SUMIFS(TBL_Ventas[Importe],TBL_Ventas[Producto],B176,TBL_Ventas[Mes],$E$3))))</f>
        <v>0</v>
      </c>
      <c r="F176" s="768">
        <f t="shared" si="44"/>
        <v>0</v>
      </c>
      <c r="G176" s="768">
        <f t="shared" si="45"/>
        <v>0</v>
      </c>
      <c r="H176" s="767">
        <f t="shared" si="36"/>
        <v>0</v>
      </c>
      <c r="I176" s="765">
        <f t="shared" si="46"/>
        <v>0</v>
      </c>
      <c r="J176" s="765">
        <f>IFERROR(VLOOKUP(B176,BD_Datos!$M$1:$N$1014,2,FALSE),0)</f>
        <v>0</v>
      </c>
      <c r="K176" s="769">
        <f t="shared" si="47"/>
        <v>0</v>
      </c>
      <c r="L176" s="765">
        <f t="shared" si="39"/>
        <v>0</v>
      </c>
      <c r="M176" s="313">
        <f t="shared" si="40"/>
        <v>0</v>
      </c>
      <c r="N176" s="313">
        <f t="shared" si="48"/>
        <v>0</v>
      </c>
      <c r="O176" s="314">
        <f t="shared" si="42"/>
        <v>0</v>
      </c>
      <c r="P176" s="313">
        <f t="shared" si="49"/>
        <v>0</v>
      </c>
      <c r="Q176" s="313">
        <f>SUM(F$6:F176)</f>
        <v>0.9704271631982474</v>
      </c>
      <c r="R176" s="313">
        <f>SUM(P$6:P176)</f>
        <v>0.97093613151589564</v>
      </c>
    </row>
    <row r="177" spans="1:18" hidden="1">
      <c r="A177" s="74">
        <v>172</v>
      </c>
      <c r="B177" s="74" t="s">
        <v>1047</v>
      </c>
      <c r="C177" s="74" t="s">
        <v>877</v>
      </c>
      <c r="D177" s="770">
        <f>IF($B$3="Acumulado",SUMIF(TBL_Ventas[Producto],B177,TBL_Ventas[Uds]),IF($B$3="Semanal",IF($E$3="Todos",SUMIF(TBL_Ventas[Producto],B177,TBL_Ventas[Uds]),SUMIFS(TBL_Ventas[Uds],TBL_Ventas[Producto],B177,TBL_Ventas[Semana],$E$3)),IF($E$3="Todos",SUMIF(TBL_Ventas[Producto],B177,TBL_Ventas[Uds]),SUMIFS(TBL_Ventas[Uds],TBL_Ventas[Producto],B177,TBL_Ventas[Mes],$E$3))))</f>
        <v>0</v>
      </c>
      <c r="E177" s="771">
        <f>IF($B$3="Acumulado",SUMIF(TBL_Ventas[Producto],B177,TBL_Ventas[Importe]),IF($B$3="Semanal",IF($E$3="Todos",SUMIF(TBL_Ventas[Producto],B177,TBL_Ventas[Importe]),SUMIFS(TBL_Ventas[Importe],TBL_Ventas[Producto],B177,TBL_Ventas[Semana],$E$3)),IF($E$3="Todos",SUMIF(TBL_Ventas[Producto],B177,TBL_Ventas[Importe]),SUMIFS(TBL_Ventas[Importe],TBL_Ventas[Producto],B177,TBL_Ventas[Mes],$E$3))))</f>
        <v>0</v>
      </c>
      <c r="F177" s="760">
        <f t="shared" si="44"/>
        <v>0</v>
      </c>
      <c r="G177" s="760">
        <f t="shared" si="45"/>
        <v>0</v>
      </c>
      <c r="H177" s="771">
        <f t="shared" si="36"/>
        <v>0</v>
      </c>
      <c r="I177" s="772">
        <f t="shared" si="46"/>
        <v>0</v>
      </c>
      <c r="J177" s="765">
        <f>IFERROR(VLOOKUP(B177,BD_Datos!$M$1:$N$1014,2,FALSE),0)</f>
        <v>0</v>
      </c>
      <c r="K177" s="773">
        <f t="shared" si="47"/>
        <v>0</v>
      </c>
      <c r="L177" s="772">
        <f t="shared" si="39"/>
        <v>0</v>
      </c>
      <c r="M177" s="313">
        <f t="shared" si="40"/>
        <v>0</v>
      </c>
      <c r="N177" s="313">
        <f t="shared" si="48"/>
        <v>0</v>
      </c>
      <c r="O177" s="314">
        <f t="shared" si="42"/>
        <v>0</v>
      </c>
      <c r="P177" s="313">
        <f t="shared" si="49"/>
        <v>0</v>
      </c>
      <c r="Q177" s="313">
        <f>SUM(F$6:F177)</f>
        <v>0.9704271631982474</v>
      </c>
      <c r="R177" s="313">
        <f>SUM(P$6:P177)</f>
        <v>0.97093613151589564</v>
      </c>
    </row>
    <row r="178" spans="1:18" hidden="1">
      <c r="A178" s="765">
        <v>173</v>
      </c>
      <c r="B178" s="765" t="s">
        <v>1798</v>
      </c>
      <c r="C178" s="765" t="s">
        <v>256</v>
      </c>
      <c r="D178" s="766">
        <f>IF($B$3="Acumulado",SUMIF(TBL_Ventas[Producto],B178,TBL_Ventas[Uds]),IF($B$3="Semanal",IF($E$3="Todos",SUMIF(TBL_Ventas[Producto],B178,TBL_Ventas[Uds]),SUMIFS(TBL_Ventas[Uds],TBL_Ventas[Producto],B178,TBL_Ventas[Semana],$E$3)),IF($E$3="Todos",SUMIF(TBL_Ventas[Producto],B178,TBL_Ventas[Uds]),SUMIFS(TBL_Ventas[Uds],TBL_Ventas[Producto],B178,TBL_Ventas[Mes],$E$3))))</f>
        <v>0</v>
      </c>
      <c r="E178" s="767">
        <f>IF($B$3="Acumulado",SUMIF(TBL_Ventas[Producto],B178,TBL_Ventas[Importe]),IF($B$3="Semanal",IF($E$3="Todos",SUMIF(TBL_Ventas[Producto],B178,TBL_Ventas[Importe]),SUMIFS(TBL_Ventas[Importe],TBL_Ventas[Producto],B178,TBL_Ventas[Semana],$E$3)),IF($E$3="Todos",SUMIF(TBL_Ventas[Producto],B178,TBL_Ventas[Importe]),SUMIFS(TBL_Ventas[Importe],TBL_Ventas[Producto],B178,TBL_Ventas[Mes],$E$3))))</f>
        <v>0</v>
      </c>
      <c r="F178" s="768">
        <f t="shared" si="44"/>
        <v>0</v>
      </c>
      <c r="G178" s="768">
        <f t="shared" si="45"/>
        <v>0</v>
      </c>
      <c r="H178" s="767">
        <f t="shared" si="36"/>
        <v>0</v>
      </c>
      <c r="I178" s="765">
        <f t="shared" si="46"/>
        <v>0</v>
      </c>
      <c r="J178" s="765">
        <f>IFERROR(VLOOKUP(B178,BD_Datos!$M$1:$N$1014,2,FALSE),0)</f>
        <v>0.49</v>
      </c>
      <c r="K178" s="769">
        <f t="shared" si="47"/>
        <v>0</v>
      </c>
      <c r="L178" s="765">
        <f t="shared" si="39"/>
        <v>0</v>
      </c>
      <c r="M178" s="313">
        <f t="shared" si="40"/>
        <v>0</v>
      </c>
      <c r="N178" s="313">
        <f t="shared" si="48"/>
        <v>0</v>
      </c>
      <c r="O178" s="314">
        <f t="shared" si="42"/>
        <v>0</v>
      </c>
      <c r="P178" s="313">
        <f t="shared" si="49"/>
        <v>0</v>
      </c>
      <c r="Q178" s="313">
        <f>SUM(F$6:F178)</f>
        <v>0.9704271631982474</v>
      </c>
      <c r="R178" s="313">
        <f>SUM(P$6:P178)</f>
        <v>0.97093613151589564</v>
      </c>
    </row>
    <row r="179" spans="1:18" hidden="1">
      <c r="A179" s="74">
        <v>174</v>
      </c>
      <c r="B179" s="74" t="s">
        <v>769</v>
      </c>
      <c r="C179" s="74" t="s">
        <v>730</v>
      </c>
      <c r="D179" s="770">
        <f>IF($B$3="Acumulado",SUMIF(TBL_Ventas[Producto],B179,TBL_Ventas[Uds]),IF($B$3="Semanal",IF($E$3="Todos",SUMIF(TBL_Ventas[Producto],B179,TBL_Ventas[Uds]),SUMIFS(TBL_Ventas[Uds],TBL_Ventas[Producto],B179,TBL_Ventas[Semana],$E$3)),IF($E$3="Todos",SUMIF(TBL_Ventas[Producto],B179,TBL_Ventas[Uds]),SUMIFS(TBL_Ventas[Uds],TBL_Ventas[Producto],B179,TBL_Ventas[Mes],$E$3))))</f>
        <v>1</v>
      </c>
      <c r="E179" s="771">
        <f>IF($B$3="Acumulado",SUMIF(TBL_Ventas[Producto],B179,TBL_Ventas[Importe]),IF($B$3="Semanal",IF($E$3="Todos",SUMIF(TBL_Ventas[Producto],B179,TBL_Ventas[Importe]),SUMIFS(TBL_Ventas[Importe],TBL_Ventas[Producto],B179,TBL_Ventas[Semana],$E$3)),IF($E$3="Todos",SUMIF(TBL_Ventas[Producto],B179,TBL_Ventas[Importe]),SUMIFS(TBL_Ventas[Importe],TBL_Ventas[Producto],B179,TBL_Ventas[Mes],$E$3))))</f>
        <v>5.15</v>
      </c>
      <c r="F179" s="760">
        <f t="shared" si="44"/>
        <v>5.4764512595837896E-4</v>
      </c>
      <c r="G179" s="760">
        <f t="shared" si="45"/>
        <v>6.7807857548199564E-4</v>
      </c>
      <c r="H179" s="771">
        <f t="shared" si="36"/>
        <v>5.15</v>
      </c>
      <c r="I179" s="772">
        <f t="shared" si="46"/>
        <v>0.95</v>
      </c>
      <c r="J179" s="765">
        <f>IFERROR(VLOOKUP(B179,BD_Datos!$M$1:$N$1014,2,FALSE),0)</f>
        <v>0.95</v>
      </c>
      <c r="K179" s="773">
        <f t="shared" si="47"/>
        <v>4.2</v>
      </c>
      <c r="L179" s="772">
        <f t="shared" si="39"/>
        <v>0.81553398058252424</v>
      </c>
      <c r="M179" s="313">
        <f t="shared" si="40"/>
        <v>0.1844660194174757</v>
      </c>
      <c r="N179" s="313">
        <f t="shared" si="48"/>
        <v>6.2751833014069612E-4</v>
      </c>
      <c r="O179" s="314">
        <f t="shared" si="42"/>
        <v>4.2</v>
      </c>
      <c r="P179" s="313">
        <f t="shared" si="49"/>
        <v>6.9066565369037421E-4</v>
      </c>
      <c r="Q179" s="313">
        <f>SUM(F$6:F179)</f>
        <v>0.9709748083242058</v>
      </c>
      <c r="R179" s="313">
        <f>SUM(P$6:P179)</f>
        <v>0.971626797169586</v>
      </c>
    </row>
    <row r="180" spans="1:18" hidden="1">
      <c r="A180" s="765">
        <v>175</v>
      </c>
      <c r="B180" s="765" t="s">
        <v>919</v>
      </c>
      <c r="C180" s="765" t="s">
        <v>247</v>
      </c>
      <c r="D180" s="766">
        <f>IF($B$3="Acumulado",SUMIF(TBL_Ventas[Producto],B180,TBL_Ventas[Uds]),IF($B$3="Semanal",IF($E$3="Todos",SUMIF(TBL_Ventas[Producto],B180,TBL_Ventas[Uds]),SUMIFS(TBL_Ventas[Uds],TBL_Ventas[Producto],B180,TBL_Ventas[Semana],$E$3)),IF($E$3="Todos",SUMIF(TBL_Ventas[Producto],B180,TBL_Ventas[Uds]),SUMIFS(TBL_Ventas[Uds],TBL_Ventas[Producto],B180,TBL_Ventas[Mes],$E$3))))</f>
        <v>0</v>
      </c>
      <c r="E180" s="767">
        <f>IF($B$3="Acumulado",SUMIF(TBL_Ventas[Producto],B180,TBL_Ventas[Importe]),IF($B$3="Semanal",IF($E$3="Todos",SUMIF(TBL_Ventas[Producto],B180,TBL_Ventas[Importe]),SUMIFS(TBL_Ventas[Importe],TBL_Ventas[Producto],B180,TBL_Ventas[Semana],$E$3)),IF($E$3="Todos",SUMIF(TBL_Ventas[Producto],B180,TBL_Ventas[Importe]),SUMIFS(TBL_Ventas[Importe],TBL_Ventas[Producto],B180,TBL_Ventas[Mes],$E$3))))</f>
        <v>0</v>
      </c>
      <c r="F180" s="768">
        <f t="shared" si="44"/>
        <v>0</v>
      </c>
      <c r="G180" s="768">
        <f t="shared" si="45"/>
        <v>0</v>
      </c>
      <c r="H180" s="767">
        <f t="shared" si="36"/>
        <v>0</v>
      </c>
      <c r="I180" s="765">
        <f t="shared" si="46"/>
        <v>0</v>
      </c>
      <c r="J180" s="765">
        <f>IFERROR(VLOOKUP(B180,BD_Datos!$M$1:$N$1014,2,FALSE),0)</f>
        <v>0</v>
      </c>
      <c r="K180" s="769">
        <f t="shared" si="47"/>
        <v>0</v>
      </c>
      <c r="L180" s="765">
        <f t="shared" si="39"/>
        <v>0</v>
      </c>
      <c r="M180" s="313">
        <f t="shared" si="40"/>
        <v>0</v>
      </c>
      <c r="N180" s="313">
        <f t="shared" si="48"/>
        <v>0</v>
      </c>
      <c r="O180" s="314">
        <f t="shared" si="42"/>
        <v>0</v>
      </c>
      <c r="P180" s="313">
        <f t="shared" si="49"/>
        <v>0</v>
      </c>
      <c r="Q180" s="313">
        <f>SUM(F$6:F180)</f>
        <v>0.9709748083242058</v>
      </c>
      <c r="R180" s="313">
        <f>SUM(P$6:P180)</f>
        <v>0.971626797169586</v>
      </c>
    </row>
    <row r="181" spans="1:18" hidden="1">
      <c r="A181" s="74">
        <v>176</v>
      </c>
      <c r="B181" s="74" t="s">
        <v>942</v>
      </c>
      <c r="C181" s="74" t="s">
        <v>266</v>
      </c>
      <c r="D181" s="770">
        <f>IF($B$3="Acumulado",SUMIF(TBL_Ventas[Producto],B181,TBL_Ventas[Uds]),IF($B$3="Semanal",IF($E$3="Todos",SUMIF(TBL_Ventas[Producto],B181,TBL_Ventas[Uds]),SUMIFS(TBL_Ventas[Uds],TBL_Ventas[Producto],B181,TBL_Ventas[Semana],$E$3)),IF($E$3="Todos",SUMIF(TBL_Ventas[Producto],B181,TBL_Ventas[Uds]),SUMIFS(TBL_Ventas[Uds],TBL_Ventas[Producto],B181,TBL_Ventas[Mes],$E$3))))</f>
        <v>0</v>
      </c>
      <c r="E181" s="771">
        <f>IF($B$3="Acumulado",SUMIF(TBL_Ventas[Producto],B181,TBL_Ventas[Importe]),IF($B$3="Semanal",IF($E$3="Todos",SUMIF(TBL_Ventas[Producto],B181,TBL_Ventas[Importe]),SUMIFS(TBL_Ventas[Importe],TBL_Ventas[Producto],B181,TBL_Ventas[Semana],$E$3)),IF($E$3="Todos",SUMIF(TBL_Ventas[Producto],B181,TBL_Ventas[Importe]),SUMIFS(TBL_Ventas[Importe],TBL_Ventas[Producto],B181,TBL_Ventas[Mes],$E$3))))</f>
        <v>0</v>
      </c>
      <c r="F181" s="760">
        <f t="shared" si="44"/>
        <v>0</v>
      </c>
      <c r="G181" s="760">
        <f t="shared" si="45"/>
        <v>0</v>
      </c>
      <c r="H181" s="771">
        <f t="shared" si="36"/>
        <v>0</v>
      </c>
      <c r="I181" s="772">
        <f t="shared" si="46"/>
        <v>0</v>
      </c>
      <c r="J181" s="765">
        <f>IFERROR(VLOOKUP(B181,BD_Datos!$M$1:$N$1014,2,FALSE),0)</f>
        <v>0</v>
      </c>
      <c r="K181" s="773">
        <f t="shared" si="47"/>
        <v>0</v>
      </c>
      <c r="L181" s="772">
        <f t="shared" si="39"/>
        <v>0</v>
      </c>
      <c r="M181" s="313">
        <f t="shared" si="40"/>
        <v>0</v>
      </c>
      <c r="N181" s="313">
        <f t="shared" si="48"/>
        <v>0</v>
      </c>
      <c r="O181" s="314">
        <f t="shared" si="42"/>
        <v>0</v>
      </c>
      <c r="P181" s="313">
        <f t="shared" si="49"/>
        <v>0</v>
      </c>
      <c r="Q181" s="313">
        <f>SUM(F$6:F181)</f>
        <v>0.9709748083242058</v>
      </c>
      <c r="R181" s="313">
        <f>SUM(P$6:P181)</f>
        <v>0.971626797169586</v>
      </c>
    </row>
    <row r="182" spans="1:18" hidden="1">
      <c r="A182" s="765">
        <v>177</v>
      </c>
      <c r="B182" s="765" t="s">
        <v>2170</v>
      </c>
      <c r="C182" s="765" t="s">
        <v>253</v>
      </c>
      <c r="D182" s="766">
        <f>IF($B$3="Acumulado",SUMIF(TBL_Ventas[Producto],B182,TBL_Ventas[Uds]),IF($B$3="Semanal",IF($E$3="Todos",SUMIF(TBL_Ventas[Producto],B182,TBL_Ventas[Uds]),SUMIFS(TBL_Ventas[Uds],TBL_Ventas[Producto],B182,TBL_Ventas[Semana],$E$3)),IF($E$3="Todos",SUMIF(TBL_Ventas[Producto],B182,TBL_Ventas[Uds]),SUMIFS(TBL_Ventas[Uds],TBL_Ventas[Producto],B182,TBL_Ventas[Mes],$E$3))))</f>
        <v>31</v>
      </c>
      <c r="E182" s="767">
        <f>IF($B$3="Acumulado",SUMIF(TBL_Ventas[Producto],B182,TBL_Ventas[Importe]),IF($B$3="Semanal",IF($E$3="Todos",SUMIF(TBL_Ventas[Producto],B182,TBL_Ventas[Importe]),SUMIFS(TBL_Ventas[Importe],TBL_Ventas[Producto],B182,TBL_Ventas[Semana],$E$3)),IF($E$3="Todos",SUMIF(TBL_Ventas[Producto],B182,TBL_Ventas[Importe]),SUMIFS(TBL_Ventas[Importe],TBL_Ventas[Producto],B182,TBL_Ventas[Mes],$E$3))))</f>
        <v>103.9</v>
      </c>
      <c r="F182" s="768">
        <f t="shared" si="44"/>
        <v>1.6976998904709748E-2</v>
      </c>
      <c r="G182" s="768">
        <f t="shared" si="45"/>
        <v>1.3680070678170746E-2</v>
      </c>
      <c r="H182" s="767">
        <f t="shared" si="36"/>
        <v>3.3516129032258068</v>
      </c>
      <c r="I182" s="765">
        <f t="shared" si="46"/>
        <v>24.490000000000002</v>
      </c>
      <c r="J182" s="765">
        <f>IFERROR(VLOOKUP(B182,BD_Datos!$M$1:$N$1014,2,FALSE),0)</f>
        <v>0.79</v>
      </c>
      <c r="K182" s="769">
        <f t="shared" si="47"/>
        <v>79.41</v>
      </c>
      <c r="L182" s="765">
        <f t="shared" si="39"/>
        <v>0.76429258902791142</v>
      </c>
      <c r="M182" s="313">
        <f t="shared" si="40"/>
        <v>0.23570741097208855</v>
      </c>
      <c r="N182" s="313">
        <f t="shared" si="48"/>
        <v>1.6176762005416474E-2</v>
      </c>
      <c r="O182" s="314">
        <f t="shared" si="42"/>
        <v>2.5616129032258064</v>
      </c>
      <c r="P182" s="313">
        <f t="shared" si="49"/>
        <v>1.3058514180845859E-2</v>
      </c>
      <c r="Q182" s="313">
        <f>SUM(F$6:F182)</f>
        <v>0.98795180722891551</v>
      </c>
      <c r="R182" s="313">
        <f>SUM(P$6:P182)</f>
        <v>0.98468531135043191</v>
      </c>
    </row>
    <row r="183" spans="1:18" hidden="1">
      <c r="A183" s="74">
        <v>178</v>
      </c>
      <c r="B183" s="74" t="s">
        <v>1098</v>
      </c>
      <c r="C183" s="74" t="s">
        <v>894</v>
      </c>
      <c r="D183" s="770">
        <f>IF($B$3="Acumulado",SUMIF(TBL_Ventas[Producto],B183,TBL_Ventas[Uds]),IF($B$3="Semanal",IF($E$3="Todos",SUMIF(TBL_Ventas[Producto],B183,TBL_Ventas[Uds]),SUMIFS(TBL_Ventas[Uds],TBL_Ventas[Producto],B183,TBL_Ventas[Semana],$E$3)),IF($E$3="Todos",SUMIF(TBL_Ventas[Producto],B183,TBL_Ventas[Uds]),SUMIFS(TBL_Ventas[Uds],TBL_Ventas[Producto],B183,TBL_Ventas[Mes],$E$3))))</f>
        <v>1</v>
      </c>
      <c r="E183" s="771">
        <f>IF($B$3="Acumulado",SUMIF(TBL_Ventas[Producto],B183,TBL_Ventas[Importe]),IF($B$3="Semanal",IF($E$3="Todos",SUMIF(TBL_Ventas[Producto],B183,TBL_Ventas[Importe]),SUMIFS(TBL_Ventas[Importe],TBL_Ventas[Producto],B183,TBL_Ventas[Semana],$E$3)),IF($E$3="Todos",SUMIF(TBL_Ventas[Producto],B183,TBL_Ventas[Importe]),SUMIFS(TBL_Ventas[Importe],TBL_Ventas[Producto],B183,TBL_Ventas[Mes],$E$3))))</f>
        <v>5.65</v>
      </c>
      <c r="F183" s="760">
        <f t="shared" si="44"/>
        <v>5.4764512595837896E-4</v>
      </c>
      <c r="G183" s="760">
        <f t="shared" si="45"/>
        <v>7.4391144688801454E-4</v>
      </c>
      <c r="H183" s="771">
        <f t="shared" si="36"/>
        <v>5.65</v>
      </c>
      <c r="I183" s="772">
        <f t="shared" si="46"/>
        <v>0.57999999999999996</v>
      </c>
      <c r="J183" s="765">
        <f>IFERROR(VLOOKUP(B183,BD_Datos!$M$1:$N$1014,2,FALSE),0)</f>
        <v>0.57999999999999996</v>
      </c>
      <c r="K183" s="773">
        <f t="shared" si="47"/>
        <v>5.07</v>
      </c>
      <c r="L183" s="772">
        <f t="shared" si="39"/>
        <v>0.89734513274336281</v>
      </c>
      <c r="M183" s="313">
        <f t="shared" si="40"/>
        <v>0.10265486725663715</v>
      </c>
      <c r="N183" s="313">
        <f t="shared" si="48"/>
        <v>3.8311645419116186E-4</v>
      </c>
      <c r="O183" s="314">
        <f t="shared" si="42"/>
        <v>5.07</v>
      </c>
      <c r="P183" s="313">
        <f t="shared" si="49"/>
        <v>8.3373211052623747E-4</v>
      </c>
      <c r="Q183" s="313">
        <f>SUM(F$6:F183)</f>
        <v>0.98849945235487391</v>
      </c>
      <c r="R183" s="313">
        <f>SUM(P$6:P183)</f>
        <v>0.9855190434609582</v>
      </c>
    </row>
    <row r="184" spans="1:18" hidden="1">
      <c r="A184" s="765">
        <v>179</v>
      </c>
      <c r="B184" s="765" t="s">
        <v>2086</v>
      </c>
      <c r="C184" s="765" t="s">
        <v>326</v>
      </c>
      <c r="D184" s="766">
        <f>IF($B$3="Acumulado",SUMIF(TBL_Ventas[Producto],B184,TBL_Ventas[Uds]),IF($B$3="Semanal",IF($E$3="Todos",SUMIF(TBL_Ventas[Producto],B184,TBL_Ventas[Uds]),SUMIFS(TBL_Ventas[Uds],TBL_Ventas[Producto],B184,TBL_Ventas[Semana],$E$3)),IF($E$3="Todos",SUMIF(TBL_Ventas[Producto],B184,TBL_Ventas[Uds]),SUMIFS(TBL_Ventas[Uds],TBL_Ventas[Producto],B184,TBL_Ventas[Mes],$E$3))))</f>
        <v>1</v>
      </c>
      <c r="E184" s="767">
        <f>IF($B$3="Acumulado",SUMIF(TBL_Ventas[Producto],B184,TBL_Ventas[Importe]),IF($B$3="Semanal",IF($E$3="Todos",SUMIF(TBL_Ventas[Producto],B184,TBL_Ventas[Importe]),SUMIFS(TBL_Ventas[Importe],TBL_Ventas[Producto],B184,TBL_Ventas[Semana],$E$3)),IF($E$3="Todos",SUMIF(TBL_Ventas[Producto],B184,TBL_Ventas[Importe]),SUMIFS(TBL_Ventas[Importe],TBL_Ventas[Producto],B184,TBL_Ventas[Mes],$E$3))))</f>
        <v>12.5</v>
      </c>
      <c r="F184" s="768">
        <f t="shared" si="44"/>
        <v>5.4764512595837896E-4</v>
      </c>
      <c r="G184" s="768">
        <f t="shared" si="45"/>
        <v>1.6458217851504746E-3</v>
      </c>
      <c r="H184" s="767">
        <f t="shared" si="36"/>
        <v>12.5</v>
      </c>
      <c r="I184" s="765">
        <f t="shared" si="46"/>
        <v>2.81</v>
      </c>
      <c r="J184" s="765">
        <f>IFERROR(VLOOKUP(B184,BD_Datos!$M$1:$N$1014,2,FALSE),0)</f>
        <v>2.81</v>
      </c>
      <c r="K184" s="769">
        <f t="shared" si="47"/>
        <v>9.69</v>
      </c>
      <c r="L184" s="765">
        <f t="shared" si="39"/>
        <v>0.7752</v>
      </c>
      <c r="M184" s="313">
        <f t="shared" si="40"/>
        <v>0.2248</v>
      </c>
      <c r="N184" s="313">
        <f t="shared" si="48"/>
        <v>1.8561331659951118E-3</v>
      </c>
      <c r="O184" s="314">
        <f t="shared" si="42"/>
        <v>9.69</v>
      </c>
      <c r="P184" s="313">
        <f t="shared" si="49"/>
        <v>1.5934643295856489E-3</v>
      </c>
      <c r="Q184" s="313">
        <f>SUM(F$6:F184)</f>
        <v>0.9890470974808323</v>
      </c>
      <c r="R184" s="313">
        <f>SUM(P$6:P184)</f>
        <v>0.98711250779054382</v>
      </c>
    </row>
    <row r="185" spans="1:18" hidden="1">
      <c r="A185" s="74">
        <v>180</v>
      </c>
      <c r="B185" s="74" t="s">
        <v>1913</v>
      </c>
      <c r="C185" s="74" t="s">
        <v>877</v>
      </c>
      <c r="D185" s="770">
        <f>IF($B$3="Acumulado",SUMIF(TBL_Ventas[Producto],B185,TBL_Ventas[Uds]),IF($B$3="Semanal",IF($E$3="Todos",SUMIF(TBL_Ventas[Producto],B185,TBL_Ventas[Uds]),SUMIFS(TBL_Ventas[Uds],TBL_Ventas[Producto],B185,TBL_Ventas[Semana],$E$3)),IF($E$3="Todos",SUMIF(TBL_Ventas[Producto],B185,TBL_Ventas[Uds]),SUMIFS(TBL_Ventas[Uds],TBL_Ventas[Producto],B185,TBL_Ventas[Mes],$E$3))))</f>
        <v>0</v>
      </c>
      <c r="E185" s="771">
        <f>IF($B$3="Acumulado",SUMIF(TBL_Ventas[Producto],B185,TBL_Ventas[Importe]),IF($B$3="Semanal",IF($E$3="Todos",SUMIF(TBL_Ventas[Producto],B185,TBL_Ventas[Importe]),SUMIFS(TBL_Ventas[Importe],TBL_Ventas[Producto],B185,TBL_Ventas[Semana],$E$3)),IF($E$3="Todos",SUMIF(TBL_Ventas[Producto],B185,TBL_Ventas[Importe]),SUMIFS(TBL_Ventas[Importe],TBL_Ventas[Producto],B185,TBL_Ventas[Mes],$E$3))))</f>
        <v>0</v>
      </c>
      <c r="F185" s="760">
        <f t="shared" si="44"/>
        <v>0</v>
      </c>
      <c r="G185" s="760">
        <f t="shared" si="45"/>
        <v>0</v>
      </c>
      <c r="H185" s="771">
        <f t="shared" si="36"/>
        <v>0</v>
      </c>
      <c r="I185" s="772">
        <f t="shared" si="46"/>
        <v>0</v>
      </c>
      <c r="J185" s="765">
        <f>IFERROR(VLOOKUP(B185,BD_Datos!$M$1:$N$1014,2,FALSE),0)</f>
        <v>0</v>
      </c>
      <c r="K185" s="773">
        <f t="shared" si="47"/>
        <v>0</v>
      </c>
      <c r="L185" s="772">
        <f t="shared" si="39"/>
        <v>0</v>
      </c>
      <c r="M185" s="313">
        <f t="shared" si="40"/>
        <v>0</v>
      </c>
      <c r="N185" s="313">
        <f t="shared" si="48"/>
        <v>0</v>
      </c>
      <c r="O185" s="314">
        <f t="shared" si="42"/>
        <v>0</v>
      </c>
      <c r="P185" s="313">
        <f t="shared" si="49"/>
        <v>0</v>
      </c>
      <c r="Q185" s="313">
        <f>SUM(F$6:F185)</f>
        <v>0.9890470974808323</v>
      </c>
      <c r="R185" s="313">
        <f>SUM(P$6:P185)</f>
        <v>0.98711250779054382</v>
      </c>
    </row>
    <row r="186" spans="1:18" hidden="1">
      <c r="A186" s="765">
        <v>181</v>
      </c>
      <c r="B186" s="765" t="s">
        <v>1671</v>
      </c>
      <c r="C186" s="765" t="s">
        <v>247</v>
      </c>
      <c r="D186" s="766">
        <f>IF($B$3="Acumulado",SUMIF(TBL_Ventas[Producto],B186,TBL_Ventas[Uds]),IF($B$3="Semanal",IF($E$3="Todos",SUMIF(TBL_Ventas[Producto],B186,TBL_Ventas[Uds]),SUMIFS(TBL_Ventas[Uds],TBL_Ventas[Producto],B186,TBL_Ventas[Semana],$E$3)),IF($E$3="Todos",SUMIF(TBL_Ventas[Producto],B186,TBL_Ventas[Uds]),SUMIFS(TBL_Ventas[Uds],TBL_Ventas[Producto],B186,TBL_Ventas[Mes],$E$3))))</f>
        <v>0</v>
      </c>
      <c r="E186" s="767">
        <f>IF($B$3="Acumulado",SUMIF(TBL_Ventas[Producto],B186,TBL_Ventas[Importe]),IF($B$3="Semanal",IF($E$3="Todos",SUMIF(TBL_Ventas[Producto],B186,TBL_Ventas[Importe]),SUMIFS(TBL_Ventas[Importe],TBL_Ventas[Producto],B186,TBL_Ventas[Semana],$E$3)),IF($E$3="Todos",SUMIF(TBL_Ventas[Producto],B186,TBL_Ventas[Importe]),SUMIFS(TBL_Ventas[Importe],TBL_Ventas[Producto],B186,TBL_Ventas[Mes],$E$3))))</f>
        <v>0</v>
      </c>
      <c r="F186" s="768">
        <f t="shared" si="44"/>
        <v>0</v>
      </c>
      <c r="G186" s="768">
        <f t="shared" si="45"/>
        <v>0</v>
      </c>
      <c r="H186" s="767">
        <f t="shared" si="36"/>
        <v>0</v>
      </c>
      <c r="I186" s="765">
        <f t="shared" si="46"/>
        <v>0</v>
      </c>
      <c r="J186" s="765">
        <f>IFERROR(VLOOKUP(B186,BD_Datos!$M$1:$N$1014,2,FALSE),0)</f>
        <v>0</v>
      </c>
      <c r="K186" s="769">
        <f t="shared" si="47"/>
        <v>0</v>
      </c>
      <c r="L186" s="765">
        <f t="shared" si="39"/>
        <v>0</v>
      </c>
      <c r="M186" s="313">
        <f t="shared" si="40"/>
        <v>0</v>
      </c>
      <c r="N186" s="313">
        <f t="shared" si="48"/>
        <v>0</v>
      </c>
      <c r="O186" s="314">
        <f t="shared" si="42"/>
        <v>0</v>
      </c>
      <c r="P186" s="313">
        <f t="shared" si="49"/>
        <v>0</v>
      </c>
      <c r="Q186" s="313">
        <f>SUM(F$6:F186)</f>
        <v>0.9890470974808323</v>
      </c>
      <c r="R186" s="313">
        <f>SUM(P$6:P186)</f>
        <v>0.98711250779054382</v>
      </c>
    </row>
    <row r="187" spans="1:18" hidden="1">
      <c r="A187" s="74">
        <v>182</v>
      </c>
      <c r="B187" s="74" t="s">
        <v>737</v>
      </c>
      <c r="C187" s="74" t="s">
        <v>249</v>
      </c>
      <c r="D187" s="770">
        <f>IF($B$3="Acumulado",SUMIF(TBL_Ventas[Producto],B187,TBL_Ventas[Uds]),IF($B$3="Semanal",IF($E$3="Todos",SUMIF(TBL_Ventas[Producto],B187,TBL_Ventas[Uds]),SUMIFS(TBL_Ventas[Uds],TBL_Ventas[Producto],B187,TBL_Ventas[Semana],$E$3)),IF($E$3="Todos",SUMIF(TBL_Ventas[Producto],B187,TBL_Ventas[Uds]),SUMIFS(TBL_Ventas[Uds],TBL_Ventas[Producto],B187,TBL_Ventas[Mes],$E$3))))</f>
        <v>1</v>
      </c>
      <c r="E187" s="771">
        <f>IF($B$3="Acumulado",SUMIF(TBL_Ventas[Producto],B187,TBL_Ventas[Importe]),IF($B$3="Semanal",IF($E$3="Todos",SUMIF(TBL_Ventas[Producto],B187,TBL_Ventas[Importe]),SUMIFS(TBL_Ventas[Importe],TBL_Ventas[Producto],B187,TBL_Ventas[Semana],$E$3)),IF($E$3="Todos",SUMIF(TBL_Ventas[Producto],B187,TBL_Ventas[Importe]),SUMIFS(TBL_Ventas[Importe],TBL_Ventas[Producto],B187,TBL_Ventas[Mes],$E$3))))</f>
        <v>1.68</v>
      </c>
      <c r="F187" s="760">
        <f t="shared" si="44"/>
        <v>5.4764512595837896E-4</v>
      </c>
      <c r="G187" s="760">
        <f t="shared" si="45"/>
        <v>2.2119844792422379E-4</v>
      </c>
      <c r="H187" s="771">
        <f t="shared" si="36"/>
        <v>1.68</v>
      </c>
      <c r="I187" s="772">
        <f t="shared" si="46"/>
        <v>0.26</v>
      </c>
      <c r="J187" s="765">
        <f>IFERROR(VLOOKUP(B187,BD_Datos!$M$1:$N$1014,2,FALSE),0)</f>
        <v>0.26</v>
      </c>
      <c r="K187" s="773">
        <f t="shared" si="47"/>
        <v>1.42</v>
      </c>
      <c r="L187" s="772">
        <f t="shared" si="39"/>
        <v>0.84523809523809523</v>
      </c>
      <c r="M187" s="313">
        <f t="shared" si="40"/>
        <v>0.15476190476190477</v>
      </c>
      <c r="N187" s="313">
        <f t="shared" si="48"/>
        <v>1.7174185877534844E-4</v>
      </c>
      <c r="O187" s="314">
        <f t="shared" si="42"/>
        <v>1.42</v>
      </c>
      <c r="P187" s="313">
        <f t="shared" si="49"/>
        <v>2.3351076862865029E-4</v>
      </c>
      <c r="Q187" s="313">
        <f>SUM(F$6:F187)</f>
        <v>0.9895947426067907</v>
      </c>
      <c r="R187" s="313">
        <f>SUM(P$6:P187)</f>
        <v>0.98734601855917248</v>
      </c>
    </row>
    <row r="188" spans="1:18" hidden="1">
      <c r="A188" s="765">
        <v>183</v>
      </c>
      <c r="B188" s="765" t="s">
        <v>1946</v>
      </c>
      <c r="C188" s="765" t="s">
        <v>725</v>
      </c>
      <c r="D188" s="766">
        <f>IF($B$3="Acumulado",SUMIF(TBL_Ventas[Producto],B188,TBL_Ventas[Uds]),IF($B$3="Semanal",IF($E$3="Todos",SUMIF(TBL_Ventas[Producto],B188,TBL_Ventas[Uds]),SUMIFS(TBL_Ventas[Uds],TBL_Ventas[Producto],B188,TBL_Ventas[Semana],$E$3)),IF($E$3="Todos",SUMIF(TBL_Ventas[Producto],B188,TBL_Ventas[Uds]),SUMIFS(TBL_Ventas[Uds],TBL_Ventas[Producto],B188,TBL_Ventas[Mes],$E$3))))</f>
        <v>1</v>
      </c>
      <c r="E188" s="767">
        <f>IF($B$3="Acumulado",SUMIF(TBL_Ventas[Producto],B188,TBL_Ventas[Importe]),IF($B$3="Semanal",IF($E$3="Todos",SUMIF(TBL_Ventas[Producto],B188,TBL_Ventas[Importe]),SUMIFS(TBL_Ventas[Importe],TBL_Ventas[Producto],B188,TBL_Ventas[Semana],$E$3)),IF($E$3="Todos",SUMIF(TBL_Ventas[Producto],B188,TBL_Ventas[Importe]),SUMIFS(TBL_Ventas[Importe],TBL_Ventas[Producto],B188,TBL_Ventas[Mes],$E$3))))</f>
        <v>1.75</v>
      </c>
      <c r="F188" s="768">
        <f t="shared" si="44"/>
        <v>5.4764512595837896E-4</v>
      </c>
      <c r="G188" s="768">
        <f t="shared" si="45"/>
        <v>2.3041504992106645E-4</v>
      </c>
      <c r="H188" s="767">
        <f t="shared" si="36"/>
        <v>1.75</v>
      </c>
      <c r="I188" s="765">
        <f t="shared" si="46"/>
        <v>0.56999999999999995</v>
      </c>
      <c r="J188" s="765">
        <f>IFERROR(VLOOKUP(B188,BD_Datos!$M$1:$N$1014,2,FALSE),0)</f>
        <v>0.56999999999999995</v>
      </c>
      <c r="K188" s="769">
        <f t="shared" si="47"/>
        <v>1.1800000000000002</v>
      </c>
      <c r="L188" s="765">
        <f t="shared" si="39"/>
        <v>0.67428571428571438</v>
      </c>
      <c r="M188" s="313">
        <f t="shared" si="40"/>
        <v>0.32571428571428568</v>
      </c>
      <c r="N188" s="313">
        <f t="shared" si="48"/>
        <v>3.7651099808441767E-4</v>
      </c>
      <c r="O188" s="314">
        <f t="shared" si="42"/>
        <v>1.1800000000000002</v>
      </c>
      <c r="P188" s="313">
        <f t="shared" si="49"/>
        <v>1.9404415984634323E-4</v>
      </c>
      <c r="Q188" s="313">
        <f>SUM(F$6:F188)</f>
        <v>0.9901423877327491</v>
      </c>
      <c r="R188" s="313">
        <f>SUM(P$6:P188)</f>
        <v>0.98754006271901884</v>
      </c>
    </row>
    <row r="189" spans="1:18" hidden="1">
      <c r="A189" s="74">
        <v>184</v>
      </c>
      <c r="B189" s="74" t="s">
        <v>2113</v>
      </c>
      <c r="C189" s="74" t="s">
        <v>275</v>
      </c>
      <c r="D189" s="770">
        <f>IF($B$3="Acumulado",SUMIF(TBL_Ventas[Producto],B189,TBL_Ventas[Uds]),IF($B$3="Semanal",IF($E$3="Todos",SUMIF(TBL_Ventas[Producto],B189,TBL_Ventas[Uds]),SUMIFS(TBL_Ventas[Uds],TBL_Ventas[Producto],B189,TBL_Ventas[Semana],$E$3)),IF($E$3="Todos",SUMIF(TBL_Ventas[Producto],B189,TBL_Ventas[Uds]),SUMIFS(TBL_Ventas[Uds],TBL_Ventas[Producto],B189,TBL_Ventas[Mes],$E$3))))</f>
        <v>0</v>
      </c>
      <c r="E189" s="771">
        <f>IF($B$3="Acumulado",SUMIF(TBL_Ventas[Producto],B189,TBL_Ventas[Importe]),IF($B$3="Semanal",IF($E$3="Todos",SUMIF(TBL_Ventas[Producto],B189,TBL_Ventas[Importe]),SUMIFS(TBL_Ventas[Importe],TBL_Ventas[Producto],B189,TBL_Ventas[Semana],$E$3)),IF($E$3="Todos",SUMIF(TBL_Ventas[Producto],B189,TBL_Ventas[Importe]),SUMIFS(TBL_Ventas[Importe],TBL_Ventas[Producto],B189,TBL_Ventas[Mes],$E$3))))</f>
        <v>0</v>
      </c>
      <c r="F189" s="760">
        <f t="shared" si="44"/>
        <v>0</v>
      </c>
      <c r="G189" s="760">
        <f t="shared" si="45"/>
        <v>0</v>
      </c>
      <c r="H189" s="771">
        <f t="shared" si="36"/>
        <v>0</v>
      </c>
      <c r="I189" s="772">
        <f t="shared" si="46"/>
        <v>0</v>
      </c>
      <c r="J189" s="765">
        <f>IFERROR(VLOOKUP(B189,BD_Datos!$M$1:$N$1014,2,FALSE),0)</f>
        <v>1.08</v>
      </c>
      <c r="K189" s="773">
        <f t="shared" si="47"/>
        <v>0</v>
      </c>
      <c r="L189" s="772">
        <f t="shared" si="39"/>
        <v>0</v>
      </c>
      <c r="M189" s="313">
        <f t="shared" si="40"/>
        <v>0</v>
      </c>
      <c r="N189" s="313">
        <f t="shared" si="48"/>
        <v>0</v>
      </c>
      <c r="O189" s="314">
        <f t="shared" si="42"/>
        <v>0</v>
      </c>
      <c r="P189" s="313">
        <f t="shared" si="49"/>
        <v>0</v>
      </c>
      <c r="Q189" s="313">
        <f>SUM(F$6:F189)</f>
        <v>0.9901423877327491</v>
      </c>
      <c r="R189" s="313">
        <f>SUM(P$6:P189)</f>
        <v>0.98754006271901884</v>
      </c>
    </row>
    <row r="190" spans="1:18" hidden="1">
      <c r="A190" s="765">
        <v>185</v>
      </c>
      <c r="B190" s="765" t="s">
        <v>2151</v>
      </c>
      <c r="C190" s="765" t="s">
        <v>256</v>
      </c>
      <c r="D190" s="766">
        <f>IF($B$3="Acumulado",SUMIF(TBL_Ventas[Producto],B190,TBL_Ventas[Uds]),IF($B$3="Semanal",IF($E$3="Todos",SUMIF(TBL_Ventas[Producto],B190,TBL_Ventas[Uds]),SUMIFS(TBL_Ventas[Uds],TBL_Ventas[Producto],B190,TBL_Ventas[Semana],$E$3)),IF($E$3="Todos",SUMIF(TBL_Ventas[Producto],B190,TBL_Ventas[Uds]),SUMIFS(TBL_Ventas[Uds],TBL_Ventas[Producto],B190,TBL_Ventas[Mes],$E$3))))</f>
        <v>5</v>
      </c>
      <c r="E190" s="767">
        <f>IF($B$3="Acumulado",SUMIF(TBL_Ventas[Producto],B190,TBL_Ventas[Importe]),IF($B$3="Semanal",IF($E$3="Todos",SUMIF(TBL_Ventas[Producto],B190,TBL_Ventas[Importe]),SUMIFS(TBL_Ventas[Importe],TBL_Ventas[Producto],B190,TBL_Ventas[Semana],$E$3)),IF($E$3="Todos",SUMIF(TBL_Ventas[Producto],B190,TBL_Ventas[Importe]),SUMIFS(TBL_Ventas[Importe],TBL_Ventas[Producto],B190,TBL_Ventas[Mes],$E$3))))</f>
        <v>49</v>
      </c>
      <c r="F190" s="768">
        <f t="shared" si="44"/>
        <v>2.7382256297918948E-3</v>
      </c>
      <c r="G190" s="768">
        <f t="shared" si="45"/>
        <v>6.4516213977898603E-3</v>
      </c>
      <c r="H190" s="767">
        <f t="shared" si="36"/>
        <v>9.8000000000000007</v>
      </c>
      <c r="I190" s="765">
        <f t="shared" si="46"/>
        <v>9.3999999999999986</v>
      </c>
      <c r="J190" s="765">
        <f>IFERROR(VLOOKUP(B190,BD_Datos!$M$1:$N$1014,2,FALSE),0)</f>
        <v>1.88</v>
      </c>
      <c r="K190" s="769">
        <f t="shared" si="47"/>
        <v>39.6</v>
      </c>
      <c r="L190" s="765">
        <f t="shared" si="39"/>
        <v>0.80816326530612248</v>
      </c>
      <c r="M190" s="313">
        <f t="shared" si="40"/>
        <v>0.19183673469387752</v>
      </c>
      <c r="N190" s="313">
        <f t="shared" si="48"/>
        <v>6.2091287403395192E-3</v>
      </c>
      <c r="O190" s="314">
        <f t="shared" si="42"/>
        <v>7.92</v>
      </c>
      <c r="P190" s="313">
        <f t="shared" si="49"/>
        <v>6.5119904490806707E-3</v>
      </c>
      <c r="Q190" s="313">
        <f>SUM(F$6:F190)</f>
        <v>0.99288061336254096</v>
      </c>
      <c r="R190" s="313">
        <f>SUM(P$6:P190)</f>
        <v>0.99405205316809953</v>
      </c>
    </row>
    <row r="191" spans="1:18" hidden="1">
      <c r="A191" s="74">
        <v>186</v>
      </c>
      <c r="B191" s="74" t="s">
        <v>1198</v>
      </c>
      <c r="C191" s="74" t="s">
        <v>275</v>
      </c>
      <c r="D191" s="770">
        <f>IF($B$3="Acumulado",SUMIF(TBL_Ventas[Producto],B191,TBL_Ventas[Uds]),IF($B$3="Semanal",IF($E$3="Todos",SUMIF(TBL_Ventas[Producto],B191,TBL_Ventas[Uds]),SUMIFS(TBL_Ventas[Uds],TBL_Ventas[Producto],B191,TBL_Ventas[Semana],$E$3)),IF($E$3="Todos",SUMIF(TBL_Ventas[Producto],B191,TBL_Ventas[Uds]),SUMIFS(TBL_Ventas[Uds],TBL_Ventas[Producto],B191,TBL_Ventas[Mes],$E$3))))</f>
        <v>0</v>
      </c>
      <c r="E191" s="771">
        <f>IF($B$3="Acumulado",SUMIF(TBL_Ventas[Producto],B191,TBL_Ventas[Importe]),IF($B$3="Semanal",IF($E$3="Todos",SUMIF(TBL_Ventas[Producto],B191,TBL_Ventas[Importe]),SUMIFS(TBL_Ventas[Importe],TBL_Ventas[Producto],B191,TBL_Ventas[Semana],$E$3)),IF($E$3="Todos",SUMIF(TBL_Ventas[Producto],B191,TBL_Ventas[Importe]),SUMIFS(TBL_Ventas[Importe],TBL_Ventas[Producto],B191,TBL_Ventas[Mes],$E$3))))</f>
        <v>0</v>
      </c>
      <c r="F191" s="760">
        <f t="shared" si="44"/>
        <v>0</v>
      </c>
      <c r="G191" s="760">
        <f t="shared" si="45"/>
        <v>0</v>
      </c>
      <c r="H191" s="771">
        <f t="shared" si="36"/>
        <v>0</v>
      </c>
      <c r="I191" s="772">
        <f t="shared" si="46"/>
        <v>0</v>
      </c>
      <c r="J191" s="765">
        <f>IFERROR(VLOOKUP(B191,BD_Datos!$M$1:$N$1014,2,FALSE),0)</f>
        <v>0.53</v>
      </c>
      <c r="K191" s="773">
        <f t="shared" si="47"/>
        <v>0</v>
      </c>
      <c r="L191" s="772">
        <f t="shared" si="39"/>
        <v>0</v>
      </c>
      <c r="M191" s="313">
        <f t="shared" si="40"/>
        <v>0</v>
      </c>
      <c r="N191" s="313">
        <f t="shared" si="48"/>
        <v>0</v>
      </c>
      <c r="O191" s="314">
        <f t="shared" si="42"/>
        <v>0</v>
      </c>
      <c r="P191" s="313">
        <f t="shared" si="49"/>
        <v>0</v>
      </c>
      <c r="Q191" s="313">
        <f>SUM(F$6:F191)</f>
        <v>0.99288061336254096</v>
      </c>
      <c r="R191" s="313">
        <f>SUM(P$6:P191)</f>
        <v>0.99405205316809953</v>
      </c>
    </row>
    <row r="192" spans="1:18" hidden="1">
      <c r="A192" s="765">
        <v>187</v>
      </c>
      <c r="B192" s="765" t="s">
        <v>748</v>
      </c>
      <c r="C192" s="765" t="s">
        <v>274</v>
      </c>
      <c r="D192" s="766">
        <f>IF($B$3="Acumulado",SUMIF(TBL_Ventas[Producto],B192,TBL_Ventas[Uds]),IF($B$3="Semanal",IF($E$3="Todos",SUMIF(TBL_Ventas[Producto],B192,TBL_Ventas[Uds]),SUMIFS(TBL_Ventas[Uds],TBL_Ventas[Producto],B192,TBL_Ventas[Semana],$E$3)),IF($E$3="Todos",SUMIF(TBL_Ventas[Producto],B192,TBL_Ventas[Uds]),SUMIFS(TBL_Ventas[Uds],TBL_Ventas[Producto],B192,TBL_Ventas[Mes],$E$3))))</f>
        <v>1</v>
      </c>
      <c r="E192" s="767">
        <f>IF($B$3="Acumulado",SUMIF(TBL_Ventas[Producto],B192,TBL_Ventas[Importe]),IF($B$3="Semanal",IF($E$3="Todos",SUMIF(TBL_Ventas[Producto],B192,TBL_Ventas[Importe]),SUMIFS(TBL_Ventas[Importe],TBL_Ventas[Producto],B192,TBL_Ventas[Semana],$E$3)),IF($E$3="Todos",SUMIF(TBL_Ventas[Producto],B192,TBL_Ventas[Importe]),SUMIFS(TBL_Ventas[Importe],TBL_Ventas[Producto],B192,TBL_Ventas[Mes],$E$3))))</f>
        <v>9</v>
      </c>
      <c r="F192" s="768">
        <f t="shared" si="44"/>
        <v>5.4764512595837896E-4</v>
      </c>
      <c r="G192" s="768">
        <f t="shared" si="45"/>
        <v>1.1849916853083418E-3</v>
      </c>
      <c r="H192" s="767">
        <f t="shared" si="36"/>
        <v>9</v>
      </c>
      <c r="I192" s="765">
        <f t="shared" si="46"/>
        <v>1.66</v>
      </c>
      <c r="J192" s="765">
        <f>IFERROR(VLOOKUP(B192,BD_Datos!$M$1:$N$1014,2,FALSE),0)</f>
        <v>1.66</v>
      </c>
      <c r="K192" s="769">
        <f t="shared" si="47"/>
        <v>7.34</v>
      </c>
      <c r="L192" s="765">
        <f t="shared" si="39"/>
        <v>0.81555555555555559</v>
      </c>
      <c r="M192" s="313">
        <f t="shared" si="40"/>
        <v>0.18444444444444444</v>
      </c>
      <c r="N192" s="313">
        <f t="shared" si="48"/>
        <v>1.0965057137195323E-3</v>
      </c>
      <c r="O192" s="314">
        <f t="shared" si="42"/>
        <v>7.34</v>
      </c>
      <c r="P192" s="313">
        <f t="shared" si="49"/>
        <v>1.2070204519255587E-3</v>
      </c>
      <c r="Q192" s="313">
        <f>SUM(F$6:F192)</f>
        <v>0.99342825848849936</v>
      </c>
      <c r="R192" s="313">
        <f>SUM(P$6:P192)</f>
        <v>0.99525907362002508</v>
      </c>
    </row>
    <row r="193" spans="1:18" hidden="1">
      <c r="A193" s="74">
        <v>188</v>
      </c>
      <c r="B193" s="74" t="s">
        <v>1173</v>
      </c>
      <c r="C193" s="74" t="s">
        <v>251</v>
      </c>
      <c r="D193" s="770">
        <f>IF($B$3="Acumulado",SUMIF(TBL_Ventas[Producto],B193,TBL_Ventas[Uds]),IF($B$3="Semanal",IF($E$3="Todos",SUMIF(TBL_Ventas[Producto],B193,TBL_Ventas[Uds]),SUMIFS(TBL_Ventas[Uds],TBL_Ventas[Producto],B193,TBL_Ventas[Semana],$E$3)),IF($E$3="Todos",SUMIF(TBL_Ventas[Producto],B193,TBL_Ventas[Uds]),SUMIFS(TBL_Ventas[Uds],TBL_Ventas[Producto],B193,TBL_Ventas[Mes],$E$3))))</f>
        <v>0</v>
      </c>
      <c r="E193" s="771">
        <f>IF($B$3="Acumulado",SUMIF(TBL_Ventas[Producto],B193,TBL_Ventas[Importe]),IF($B$3="Semanal",IF($E$3="Todos",SUMIF(TBL_Ventas[Producto],B193,TBL_Ventas[Importe]),SUMIFS(TBL_Ventas[Importe],TBL_Ventas[Producto],B193,TBL_Ventas[Semana],$E$3)),IF($E$3="Todos",SUMIF(TBL_Ventas[Producto],B193,TBL_Ventas[Importe]),SUMIFS(TBL_Ventas[Importe],TBL_Ventas[Producto],B193,TBL_Ventas[Mes],$E$3))))</f>
        <v>0</v>
      </c>
      <c r="F193" s="760">
        <f t="shared" si="44"/>
        <v>0</v>
      </c>
      <c r="G193" s="760">
        <f t="shared" si="45"/>
        <v>0</v>
      </c>
      <c r="H193" s="771">
        <f t="shared" si="36"/>
        <v>0</v>
      </c>
      <c r="I193" s="772">
        <f t="shared" si="46"/>
        <v>0</v>
      </c>
      <c r="J193" s="765">
        <f>IFERROR(VLOOKUP(B193,BD_Datos!$M$1:$N$1014,2,FALSE),0)</f>
        <v>0.33</v>
      </c>
      <c r="K193" s="773">
        <f t="shared" si="47"/>
        <v>0</v>
      </c>
      <c r="L193" s="772">
        <f t="shared" si="39"/>
        <v>0</v>
      </c>
      <c r="M193" s="313">
        <f t="shared" si="40"/>
        <v>0</v>
      </c>
      <c r="N193" s="313">
        <f t="shared" si="48"/>
        <v>0</v>
      </c>
      <c r="O193" s="314">
        <f t="shared" si="42"/>
        <v>0</v>
      </c>
      <c r="P193" s="313">
        <f t="shared" si="49"/>
        <v>0</v>
      </c>
      <c r="Q193" s="313">
        <f>SUM(F$6:F193)</f>
        <v>0.99342825848849936</v>
      </c>
      <c r="R193" s="313">
        <f>SUM(P$6:P193)</f>
        <v>0.99525907362002508</v>
      </c>
    </row>
    <row r="194" spans="1:18" hidden="1">
      <c r="A194" s="765">
        <v>189</v>
      </c>
      <c r="B194" s="765" t="s">
        <v>711</v>
      </c>
      <c r="C194" s="765" t="s">
        <v>251</v>
      </c>
      <c r="D194" s="766">
        <f>IF($B$3="Acumulado",SUMIF(TBL_Ventas[Producto],B194,TBL_Ventas[Uds]),IF($B$3="Semanal",IF($E$3="Todos",SUMIF(TBL_Ventas[Producto],B194,TBL_Ventas[Uds]),SUMIFS(TBL_Ventas[Uds],TBL_Ventas[Producto],B194,TBL_Ventas[Semana],$E$3)),IF($E$3="Todos",SUMIF(TBL_Ventas[Producto],B194,TBL_Ventas[Uds]),SUMIFS(TBL_Ventas[Uds],TBL_Ventas[Producto],B194,TBL_Ventas[Mes],$E$3))))</f>
        <v>2</v>
      </c>
      <c r="E194" s="767">
        <f>IF($B$3="Acumulado",SUMIF(TBL_Ventas[Producto],B194,TBL_Ventas[Importe]),IF($B$3="Semanal",IF($E$3="Todos",SUMIF(TBL_Ventas[Producto],B194,TBL_Ventas[Importe]),SUMIFS(TBL_Ventas[Importe],TBL_Ventas[Producto],B194,TBL_Ventas[Semana],$E$3)),IF($E$3="Todos",SUMIF(TBL_Ventas[Producto],B194,TBL_Ventas[Importe]),SUMIFS(TBL_Ventas[Importe],TBL_Ventas[Producto],B194,TBL_Ventas[Mes],$E$3))))</f>
        <v>0</v>
      </c>
      <c r="F194" s="768">
        <f t="shared" si="44"/>
        <v>1.0952902519167579E-3</v>
      </c>
      <c r="G194" s="768">
        <f t="shared" si="45"/>
        <v>0</v>
      </c>
      <c r="H194" s="767">
        <f t="shared" si="36"/>
        <v>0</v>
      </c>
      <c r="I194" s="765">
        <f t="shared" si="46"/>
        <v>0.22</v>
      </c>
      <c r="J194" s="765">
        <f>IFERROR(VLOOKUP(B194,BD_Datos!$M$1:$N$1014,2,FALSE),0)</f>
        <v>0.11</v>
      </c>
      <c r="K194" s="769">
        <f t="shared" si="47"/>
        <v>-0.22</v>
      </c>
      <c r="L194" s="765">
        <f t="shared" si="39"/>
        <v>0</v>
      </c>
      <c r="M194" s="313">
        <f t="shared" si="40"/>
        <v>0</v>
      </c>
      <c r="N194" s="313">
        <f t="shared" si="48"/>
        <v>1.4532003434837175E-4</v>
      </c>
      <c r="O194" s="314">
        <f t="shared" si="42"/>
        <v>-0.11</v>
      </c>
      <c r="P194" s="313">
        <f t="shared" si="49"/>
        <v>-3.6177724717114834E-5</v>
      </c>
      <c r="Q194" s="313">
        <f>SUM(F$6:F194)</f>
        <v>0.99452354874041615</v>
      </c>
      <c r="R194" s="313">
        <f>SUM(P$6:P194)</f>
        <v>0.99522289589530799</v>
      </c>
    </row>
    <row r="195" spans="1:18" hidden="1">
      <c r="A195" s="74">
        <v>190</v>
      </c>
      <c r="B195" s="74" t="s">
        <v>720</v>
      </c>
      <c r="C195" s="74" t="s">
        <v>251</v>
      </c>
      <c r="D195" s="770">
        <f>IF($B$3="Acumulado",SUMIF(TBL_Ventas[Producto],B195,TBL_Ventas[Uds]),IF($B$3="Semanal",IF($E$3="Todos",SUMIF(TBL_Ventas[Producto],B195,TBL_Ventas[Uds]),SUMIFS(TBL_Ventas[Uds],TBL_Ventas[Producto],B195,TBL_Ventas[Semana],$E$3)),IF($E$3="Todos",SUMIF(TBL_Ventas[Producto],B195,TBL_Ventas[Uds]),SUMIFS(TBL_Ventas[Uds],TBL_Ventas[Producto],B195,TBL_Ventas[Mes],$E$3))))</f>
        <v>2</v>
      </c>
      <c r="E195" s="771">
        <f>IF($B$3="Acumulado",SUMIF(TBL_Ventas[Producto],B195,TBL_Ventas[Importe]),IF($B$3="Semanal",IF($E$3="Todos",SUMIF(TBL_Ventas[Producto],B195,TBL_Ventas[Importe]),SUMIFS(TBL_Ventas[Importe],TBL_Ventas[Producto],B195,TBL_Ventas[Semana],$E$3)),IF($E$3="Todos",SUMIF(TBL_Ventas[Producto],B195,TBL_Ventas[Importe]),SUMIFS(TBL_Ventas[Importe],TBL_Ventas[Producto],B195,TBL_Ventas[Mes],$E$3))))</f>
        <v>4.82</v>
      </c>
      <c r="F195" s="760">
        <f t="shared" si="44"/>
        <v>1.0952902519167579E-3</v>
      </c>
      <c r="G195" s="760">
        <f t="shared" si="45"/>
        <v>6.3462888035402301E-4</v>
      </c>
      <c r="H195" s="771">
        <f t="shared" si="36"/>
        <v>2.41</v>
      </c>
      <c r="I195" s="772">
        <f t="shared" si="46"/>
        <v>0</v>
      </c>
      <c r="J195" s="765">
        <f>IFERROR(VLOOKUP(B195,BD_Datos!$M$1:$N$1014,2,FALSE),0)</f>
        <v>0</v>
      </c>
      <c r="K195" s="773">
        <f t="shared" si="47"/>
        <v>4.82</v>
      </c>
      <c r="L195" s="772">
        <f t="shared" si="39"/>
        <v>1</v>
      </c>
      <c r="M195" s="313">
        <f t="shared" si="40"/>
        <v>0</v>
      </c>
      <c r="N195" s="313">
        <f t="shared" si="48"/>
        <v>0</v>
      </c>
      <c r="O195" s="314">
        <f t="shared" si="42"/>
        <v>2.41</v>
      </c>
      <c r="P195" s="313">
        <f t="shared" si="49"/>
        <v>7.9262105971133416E-4</v>
      </c>
      <c r="Q195" s="313">
        <f>SUM(F$6:F195)</f>
        <v>0.99561883899233294</v>
      </c>
      <c r="R195" s="313">
        <f>SUM(P$6:P195)</f>
        <v>0.99601551695501933</v>
      </c>
    </row>
    <row r="196" spans="1:18" hidden="1">
      <c r="A196" s="765">
        <v>191</v>
      </c>
      <c r="B196" s="765" t="s">
        <v>1862</v>
      </c>
      <c r="C196" s="765" t="s">
        <v>877</v>
      </c>
      <c r="D196" s="766">
        <f>IF($B$3="Acumulado",SUMIF(TBL_Ventas[Producto],B196,TBL_Ventas[Uds]),IF($B$3="Semanal",IF($E$3="Todos",SUMIF(TBL_Ventas[Producto],B196,TBL_Ventas[Uds]),SUMIFS(TBL_Ventas[Uds],TBL_Ventas[Producto],B196,TBL_Ventas[Semana],$E$3)),IF($E$3="Todos",SUMIF(TBL_Ventas[Producto],B196,TBL_Ventas[Uds]),SUMIFS(TBL_Ventas[Uds],TBL_Ventas[Producto],B196,TBL_Ventas[Mes],$E$3))))</f>
        <v>0</v>
      </c>
      <c r="E196" s="767">
        <f>IF($B$3="Acumulado",SUMIF(TBL_Ventas[Producto],B196,TBL_Ventas[Importe]),IF($B$3="Semanal",IF($E$3="Todos",SUMIF(TBL_Ventas[Producto],B196,TBL_Ventas[Importe]),SUMIFS(TBL_Ventas[Importe],TBL_Ventas[Producto],B196,TBL_Ventas[Semana],$E$3)),IF($E$3="Todos",SUMIF(TBL_Ventas[Producto],B196,TBL_Ventas[Importe]),SUMIFS(TBL_Ventas[Importe],TBL_Ventas[Producto],B196,TBL_Ventas[Mes],$E$3))))</f>
        <v>0</v>
      </c>
      <c r="F196" s="768">
        <f t="shared" si="44"/>
        <v>0</v>
      </c>
      <c r="G196" s="768">
        <f t="shared" si="45"/>
        <v>0</v>
      </c>
      <c r="H196" s="767">
        <f t="shared" si="36"/>
        <v>0</v>
      </c>
      <c r="I196" s="765">
        <f t="shared" si="46"/>
        <v>0</v>
      </c>
      <c r="J196" s="765">
        <f>IFERROR(VLOOKUP(B196,BD_Datos!$M$1:$N$1014,2,FALSE),0)</f>
        <v>0</v>
      </c>
      <c r="K196" s="769">
        <f t="shared" si="47"/>
        <v>0</v>
      </c>
      <c r="L196" s="765">
        <f t="shared" si="39"/>
        <v>0</v>
      </c>
      <c r="M196" s="313">
        <f t="shared" si="40"/>
        <v>0</v>
      </c>
      <c r="N196" s="313">
        <f t="shared" si="48"/>
        <v>0</v>
      </c>
      <c r="O196" s="314">
        <f t="shared" si="42"/>
        <v>0</v>
      </c>
      <c r="P196" s="313">
        <f t="shared" si="49"/>
        <v>0</v>
      </c>
      <c r="Q196" s="313">
        <f>SUM(F$6:F196)</f>
        <v>0.99561883899233294</v>
      </c>
      <c r="R196" s="313">
        <f>SUM(P$6:P196)</f>
        <v>0.99601551695501933</v>
      </c>
    </row>
    <row r="197" spans="1:18" hidden="1">
      <c r="A197" s="74">
        <v>192</v>
      </c>
      <c r="B197" s="74" t="s">
        <v>740</v>
      </c>
      <c r="C197" s="74" t="s">
        <v>264</v>
      </c>
      <c r="D197" s="770">
        <f>IF($B$3="Acumulado",SUMIF(TBL_Ventas[Producto],B197,TBL_Ventas[Uds]),IF($B$3="Semanal",IF($E$3="Todos",SUMIF(TBL_Ventas[Producto],B197,TBL_Ventas[Uds]),SUMIFS(TBL_Ventas[Uds],TBL_Ventas[Producto],B197,TBL_Ventas[Semana],$E$3)),IF($E$3="Todos",SUMIF(TBL_Ventas[Producto],B197,TBL_Ventas[Uds]),SUMIFS(TBL_Ventas[Uds],TBL_Ventas[Producto],B197,TBL_Ventas[Mes],$E$3))))</f>
        <v>1</v>
      </c>
      <c r="E197" s="771">
        <f>IF($B$3="Acumulado",SUMIF(TBL_Ventas[Producto],B197,TBL_Ventas[Importe]),IF($B$3="Semanal",IF($E$3="Todos",SUMIF(TBL_Ventas[Producto],B197,TBL_Ventas[Importe]),SUMIFS(TBL_Ventas[Importe],TBL_Ventas[Producto],B197,TBL_Ventas[Semana],$E$3)),IF($E$3="Todos",SUMIF(TBL_Ventas[Producto],B197,TBL_Ventas[Importe]),SUMIFS(TBL_Ventas[Importe],TBL_Ventas[Producto],B197,TBL_Ventas[Mes],$E$3))))</f>
        <v>2.73</v>
      </c>
      <c r="F197" s="760">
        <f t="shared" si="44"/>
        <v>5.4764512595837896E-4</v>
      </c>
      <c r="G197" s="760">
        <f t="shared" si="45"/>
        <v>3.5944747787686367E-4</v>
      </c>
      <c r="H197" s="771">
        <f t="shared" si="36"/>
        <v>2.73</v>
      </c>
      <c r="I197" s="772">
        <f t="shared" si="46"/>
        <v>0.16</v>
      </c>
      <c r="J197" s="765">
        <f>IFERROR(VLOOKUP(B197,BD_Datos!$M$1:$N$1014,2,FALSE),0)</f>
        <v>0.16</v>
      </c>
      <c r="K197" s="773">
        <f t="shared" si="47"/>
        <v>2.57</v>
      </c>
      <c r="L197" s="772">
        <f t="shared" si="39"/>
        <v>0.94139194139194138</v>
      </c>
      <c r="M197" s="313">
        <f t="shared" si="40"/>
        <v>5.8608058608058608E-2</v>
      </c>
      <c r="N197" s="313">
        <f t="shared" si="48"/>
        <v>1.0568729770790673E-4</v>
      </c>
      <c r="O197" s="314">
        <f t="shared" si="42"/>
        <v>2.57</v>
      </c>
      <c r="P197" s="313">
        <f t="shared" si="49"/>
        <v>4.2262160237720511E-4</v>
      </c>
      <c r="Q197" s="313">
        <f>SUM(F$6:F197)</f>
        <v>0.99616648411829134</v>
      </c>
      <c r="R197" s="313">
        <f>SUM(P$6:P197)</f>
        <v>0.99643813855739649</v>
      </c>
    </row>
    <row r="198" spans="1:18" hidden="1">
      <c r="A198" s="765">
        <v>193</v>
      </c>
      <c r="B198" s="765" t="s">
        <v>755</v>
      </c>
      <c r="C198" s="765" t="s">
        <v>251</v>
      </c>
      <c r="D198" s="766">
        <f>IF($B$3="Acumulado",SUMIF(TBL_Ventas[Producto],B198,TBL_Ventas[Uds]),IF($B$3="Semanal",IF($E$3="Todos",SUMIF(TBL_Ventas[Producto],B198,TBL_Ventas[Uds]),SUMIFS(TBL_Ventas[Uds],TBL_Ventas[Producto],B198,TBL_Ventas[Semana],$E$3)),IF($E$3="Todos",SUMIF(TBL_Ventas[Producto],B198,TBL_Ventas[Uds]),SUMIFS(TBL_Ventas[Uds],TBL_Ventas[Producto],B198,TBL_Ventas[Mes],$E$3))))</f>
        <v>0</v>
      </c>
      <c r="E198" s="767">
        <f>IF($B$3="Acumulado",SUMIF(TBL_Ventas[Producto],B198,TBL_Ventas[Importe]),IF($B$3="Semanal",IF($E$3="Todos",SUMIF(TBL_Ventas[Producto],B198,TBL_Ventas[Importe]),SUMIFS(TBL_Ventas[Importe],TBL_Ventas[Producto],B198,TBL_Ventas[Semana],$E$3)),IF($E$3="Todos",SUMIF(TBL_Ventas[Producto],B198,TBL_Ventas[Importe]),SUMIFS(TBL_Ventas[Importe],TBL_Ventas[Producto],B198,TBL_Ventas[Mes],$E$3))))</f>
        <v>0</v>
      </c>
      <c r="F198" s="768">
        <f t="shared" ref="F198:F205" si="50">IF(SUM(D$6:D$205)=0,0,D198/SUM(D$6:D$205))</f>
        <v>0</v>
      </c>
      <c r="G198" s="768">
        <f t="shared" ref="G198:G205" si="51">IF(SUM(E$6:E$205)=0,0,E198/SUM(E$6:E$205))</f>
        <v>0</v>
      </c>
      <c r="H198" s="767">
        <f t="shared" ref="H198:H206" si="52">IF(D198=0,0,E198/D198)</f>
        <v>0</v>
      </c>
      <c r="I198" s="765">
        <f t="shared" ref="I198:I205" si="53">J198*D198</f>
        <v>0</v>
      </c>
      <c r="J198" s="765">
        <f>IFERROR(VLOOKUP(B198,BD_Datos!$M$1:$N$1014,2,FALSE),0)</f>
        <v>0</v>
      </c>
      <c r="K198" s="769">
        <f t="shared" ref="K198:K205" si="54">E198-I198</f>
        <v>0</v>
      </c>
      <c r="L198" s="765">
        <f t="shared" ref="L198:L206" si="55">IF(E198=0,0,K198/E198)</f>
        <v>0</v>
      </c>
      <c r="M198" s="313">
        <f t="shared" ref="M198:M206" si="56">IF(E198=0,0,I198/E198)</f>
        <v>0</v>
      </c>
      <c r="N198" s="313">
        <f t="shared" ref="N198:N205" si="57">IF(SUM(I$6:I$205)=0,0,I198/SUM(I$6:I$205))</f>
        <v>0</v>
      </c>
      <c r="O198" s="314">
        <f t="shared" ref="O198:O206" si="58">IF(D198=0,0,K198/D198)</f>
        <v>0</v>
      </c>
      <c r="P198" s="313">
        <f t="shared" ref="P198:P205" si="59">IF(SUM(K$6:K$205)=0,0,K198/SUM(K$6:K$205))</f>
        <v>0</v>
      </c>
      <c r="Q198" s="313">
        <f>SUM(F$6:F198)</f>
        <v>0.99616648411829134</v>
      </c>
      <c r="R198" s="313">
        <f>SUM(P$6:P198)</f>
        <v>0.99643813855739649</v>
      </c>
    </row>
    <row r="199" spans="1:18" hidden="1">
      <c r="A199" s="74">
        <v>194</v>
      </c>
      <c r="B199" s="74" t="s">
        <v>856</v>
      </c>
      <c r="C199" s="74" t="s">
        <v>327</v>
      </c>
      <c r="D199" s="770">
        <f>IF($B$3="Acumulado",SUMIF(TBL_Ventas[Producto],B199,TBL_Ventas[Uds]),IF($B$3="Semanal",IF($E$3="Todos",SUMIF(TBL_Ventas[Producto],B199,TBL_Ventas[Uds]),SUMIFS(TBL_Ventas[Uds],TBL_Ventas[Producto],B199,TBL_Ventas[Semana],$E$3)),IF($E$3="Todos",SUMIF(TBL_Ventas[Producto],B199,TBL_Ventas[Uds]),SUMIFS(TBL_Ventas[Uds],TBL_Ventas[Producto],B199,TBL_Ventas[Mes],$E$3))))</f>
        <v>1</v>
      </c>
      <c r="E199" s="771">
        <f>IF($B$3="Acumulado",SUMIF(TBL_Ventas[Producto],B199,TBL_Ventas[Importe]),IF($B$3="Semanal",IF($E$3="Todos",SUMIF(TBL_Ventas[Producto],B199,TBL_Ventas[Importe]),SUMIFS(TBL_Ventas[Importe],TBL_Ventas[Producto],B199,TBL_Ventas[Semana],$E$3)),IF($E$3="Todos",SUMIF(TBL_Ventas[Producto],B199,TBL_Ventas[Importe]),SUMIFS(TBL_Ventas[Importe],TBL_Ventas[Producto],B199,TBL_Ventas[Mes],$E$3))))</f>
        <v>3.5</v>
      </c>
      <c r="F199" s="760">
        <f t="shared" si="50"/>
        <v>5.4764512595837896E-4</v>
      </c>
      <c r="G199" s="760">
        <f t="shared" si="51"/>
        <v>4.608300998421329E-4</v>
      </c>
      <c r="H199" s="771">
        <f t="shared" si="52"/>
        <v>3.5</v>
      </c>
      <c r="I199" s="772">
        <f t="shared" si="53"/>
        <v>0.32</v>
      </c>
      <c r="J199" s="765">
        <f>IFERROR(VLOOKUP(B199,BD_Datos!$M$1:$N$1014,2,FALSE),0)</f>
        <v>0.32</v>
      </c>
      <c r="K199" s="773">
        <f t="shared" si="54"/>
        <v>3.18</v>
      </c>
      <c r="L199" s="772">
        <f t="shared" si="55"/>
        <v>0.90857142857142859</v>
      </c>
      <c r="M199" s="313">
        <f t="shared" si="56"/>
        <v>9.1428571428571428E-2</v>
      </c>
      <c r="N199" s="313">
        <f t="shared" si="57"/>
        <v>2.1137459541581345E-4</v>
      </c>
      <c r="O199" s="314">
        <f t="shared" si="58"/>
        <v>3.18</v>
      </c>
      <c r="P199" s="313">
        <f t="shared" si="59"/>
        <v>5.2293256636556907E-4</v>
      </c>
      <c r="Q199" s="313">
        <f>SUM(F$6:F199)</f>
        <v>0.99671412924424974</v>
      </c>
      <c r="R199" s="313">
        <f>SUM(P$6:P199)</f>
        <v>0.99696107112376209</v>
      </c>
    </row>
    <row r="200" spans="1:18" hidden="1">
      <c r="A200" s="765">
        <v>195</v>
      </c>
      <c r="B200" s="765" t="s">
        <v>1623</v>
      </c>
      <c r="C200" s="765" t="s">
        <v>873</v>
      </c>
      <c r="D200" s="766">
        <f>IF($B$3="Acumulado",SUMIF(TBL_Ventas[Producto],B200,TBL_Ventas[Uds]),IF($B$3="Semanal",IF($E$3="Todos",SUMIF(TBL_Ventas[Producto],B200,TBL_Ventas[Uds]),SUMIFS(TBL_Ventas[Uds],TBL_Ventas[Producto],B200,TBL_Ventas[Semana],$E$3)),IF($E$3="Todos",SUMIF(TBL_Ventas[Producto],B200,TBL_Ventas[Uds]),SUMIFS(TBL_Ventas[Uds],TBL_Ventas[Producto],B200,TBL_Ventas[Mes],$E$3))))</f>
        <v>0</v>
      </c>
      <c r="E200" s="767">
        <f>IF($B$3="Acumulado",SUMIF(TBL_Ventas[Producto],B200,TBL_Ventas[Importe]),IF($B$3="Semanal",IF($E$3="Todos",SUMIF(TBL_Ventas[Producto],B200,TBL_Ventas[Importe]),SUMIFS(TBL_Ventas[Importe],TBL_Ventas[Producto],B200,TBL_Ventas[Semana],$E$3)),IF($E$3="Todos",SUMIF(TBL_Ventas[Producto],B200,TBL_Ventas[Importe]),SUMIFS(TBL_Ventas[Importe],TBL_Ventas[Producto],B200,TBL_Ventas[Mes],$E$3))))</f>
        <v>0</v>
      </c>
      <c r="F200" s="768">
        <f t="shared" si="50"/>
        <v>0</v>
      </c>
      <c r="G200" s="768">
        <f t="shared" si="51"/>
        <v>0</v>
      </c>
      <c r="H200" s="767">
        <f t="shared" si="52"/>
        <v>0</v>
      </c>
      <c r="I200" s="765">
        <f t="shared" si="53"/>
        <v>0</v>
      </c>
      <c r="J200" s="765">
        <f>IFERROR(VLOOKUP(B200,BD_Datos!$M$1:$N$1014,2,FALSE),0)</f>
        <v>0</v>
      </c>
      <c r="K200" s="769">
        <f t="shared" si="54"/>
        <v>0</v>
      </c>
      <c r="L200" s="765">
        <f t="shared" si="55"/>
        <v>0</v>
      </c>
      <c r="M200" s="313">
        <f t="shared" si="56"/>
        <v>0</v>
      </c>
      <c r="N200" s="313">
        <f t="shared" si="57"/>
        <v>0</v>
      </c>
      <c r="O200" s="314">
        <f t="shared" si="58"/>
        <v>0</v>
      </c>
      <c r="P200" s="313">
        <f t="shared" si="59"/>
        <v>0</v>
      </c>
      <c r="Q200" s="313">
        <f>SUM(F$6:F200)</f>
        <v>0.99671412924424974</v>
      </c>
      <c r="R200" s="313">
        <f>SUM(P$6:P200)</f>
        <v>0.99696107112376209</v>
      </c>
    </row>
    <row r="201" spans="1:18" hidden="1">
      <c r="A201" s="74">
        <v>196</v>
      </c>
      <c r="B201" s="74" t="s">
        <v>1140</v>
      </c>
      <c r="C201" s="74" t="s">
        <v>276</v>
      </c>
      <c r="D201" s="770">
        <f>IF($B$3="Acumulado",SUMIF(TBL_Ventas[Producto],B201,TBL_Ventas[Uds]),IF($B$3="Semanal",IF($E$3="Todos",SUMIF(TBL_Ventas[Producto],B201,TBL_Ventas[Uds]),SUMIFS(TBL_Ventas[Uds],TBL_Ventas[Producto],B201,TBL_Ventas[Semana],$E$3)),IF($E$3="Todos",SUMIF(TBL_Ventas[Producto],B201,TBL_Ventas[Uds]),SUMIFS(TBL_Ventas[Uds],TBL_Ventas[Producto],B201,TBL_Ventas[Mes],$E$3))))</f>
        <v>0</v>
      </c>
      <c r="E201" s="771">
        <f>IF($B$3="Acumulado",SUMIF(TBL_Ventas[Producto],B201,TBL_Ventas[Importe]),IF($B$3="Semanal",IF($E$3="Todos",SUMIF(TBL_Ventas[Producto],B201,TBL_Ventas[Importe]),SUMIFS(TBL_Ventas[Importe],TBL_Ventas[Producto],B201,TBL_Ventas[Semana],$E$3)),IF($E$3="Todos",SUMIF(TBL_Ventas[Producto],B201,TBL_Ventas[Importe]),SUMIFS(TBL_Ventas[Importe],TBL_Ventas[Producto],B201,TBL_Ventas[Mes],$E$3))))</f>
        <v>0</v>
      </c>
      <c r="F201" s="760">
        <f t="shared" si="50"/>
        <v>0</v>
      </c>
      <c r="G201" s="760">
        <f t="shared" si="51"/>
        <v>0</v>
      </c>
      <c r="H201" s="771">
        <f t="shared" si="52"/>
        <v>0</v>
      </c>
      <c r="I201" s="772">
        <f t="shared" si="53"/>
        <v>0</v>
      </c>
      <c r="J201" s="765">
        <f>IFERROR(VLOOKUP(B201,BD_Datos!$M$1:$N$1014,2,FALSE),0)</f>
        <v>0.66</v>
      </c>
      <c r="K201" s="773">
        <f t="shared" si="54"/>
        <v>0</v>
      </c>
      <c r="L201" s="772">
        <f t="shared" si="55"/>
        <v>0</v>
      </c>
      <c r="M201" s="313">
        <f t="shared" si="56"/>
        <v>0</v>
      </c>
      <c r="N201" s="313">
        <f t="shared" si="57"/>
        <v>0</v>
      </c>
      <c r="O201" s="314">
        <f t="shared" si="58"/>
        <v>0</v>
      </c>
      <c r="P201" s="313">
        <f t="shared" si="59"/>
        <v>0</v>
      </c>
      <c r="Q201" s="313">
        <f>SUM(F$6:F201)</f>
        <v>0.99671412924424974</v>
      </c>
      <c r="R201" s="313">
        <f>SUM(P$6:P201)</f>
        <v>0.99696107112376209</v>
      </c>
    </row>
    <row r="202" spans="1:18" hidden="1">
      <c r="A202" s="765">
        <v>197</v>
      </c>
      <c r="B202" s="765" t="s">
        <v>781</v>
      </c>
      <c r="C202" s="765" t="s">
        <v>764</v>
      </c>
      <c r="D202" s="766">
        <f>IF($B$3="Acumulado",SUMIF(TBL_Ventas[Producto],B202,TBL_Ventas[Uds]),IF($B$3="Semanal",IF($E$3="Todos",SUMIF(TBL_Ventas[Producto],B202,TBL_Ventas[Uds]),SUMIFS(TBL_Ventas[Uds],TBL_Ventas[Producto],B202,TBL_Ventas[Semana],$E$3)),IF($E$3="Todos",SUMIF(TBL_Ventas[Producto],B202,TBL_Ventas[Uds]),SUMIFS(TBL_Ventas[Uds],TBL_Ventas[Producto],B202,TBL_Ventas[Mes],$E$3))))</f>
        <v>0</v>
      </c>
      <c r="E202" s="767">
        <f>IF($B$3="Acumulado",SUMIF(TBL_Ventas[Producto],B202,TBL_Ventas[Importe]),IF($B$3="Semanal",IF($E$3="Todos",SUMIF(TBL_Ventas[Producto],B202,TBL_Ventas[Importe]),SUMIFS(TBL_Ventas[Importe],TBL_Ventas[Producto],B202,TBL_Ventas[Semana],$E$3)),IF($E$3="Todos",SUMIF(TBL_Ventas[Producto],B202,TBL_Ventas[Importe]),SUMIFS(TBL_Ventas[Importe],TBL_Ventas[Producto],B202,TBL_Ventas[Mes],$E$3))))</f>
        <v>0</v>
      </c>
      <c r="F202" s="768">
        <f t="shared" si="50"/>
        <v>0</v>
      </c>
      <c r="G202" s="768">
        <f t="shared" si="51"/>
        <v>0</v>
      </c>
      <c r="H202" s="767">
        <f t="shared" si="52"/>
        <v>0</v>
      </c>
      <c r="I202" s="765">
        <f t="shared" si="53"/>
        <v>0</v>
      </c>
      <c r="J202" s="765">
        <f>IFERROR(VLOOKUP(B202,BD_Datos!$M$1:$N$1014,2,FALSE),0)</f>
        <v>0</v>
      </c>
      <c r="K202" s="769">
        <f t="shared" si="54"/>
        <v>0</v>
      </c>
      <c r="L202" s="765">
        <f t="shared" si="55"/>
        <v>0</v>
      </c>
      <c r="M202" s="313">
        <f t="shared" si="56"/>
        <v>0</v>
      </c>
      <c r="N202" s="313">
        <f t="shared" si="57"/>
        <v>0</v>
      </c>
      <c r="O202" s="314">
        <f t="shared" si="58"/>
        <v>0</v>
      </c>
      <c r="P202" s="313">
        <f t="shared" si="59"/>
        <v>0</v>
      </c>
      <c r="Q202" s="313">
        <f>SUM(F$6:F202)</f>
        <v>0.99671412924424974</v>
      </c>
      <c r="R202" s="313">
        <f>SUM(P$6:P202)</f>
        <v>0.99696107112376209</v>
      </c>
    </row>
    <row r="203" spans="1:18" hidden="1">
      <c r="A203" s="74">
        <v>198</v>
      </c>
      <c r="B203" s="74" t="s">
        <v>1035</v>
      </c>
      <c r="C203" s="74" t="s">
        <v>251</v>
      </c>
      <c r="D203" s="770">
        <f>IF($B$3="Acumulado",SUMIF(TBL_Ventas[Producto],B203,TBL_Ventas[Uds]),IF($B$3="Semanal",IF($E$3="Todos",SUMIF(TBL_Ventas[Producto],B203,TBL_Ventas[Uds]),SUMIFS(TBL_Ventas[Uds],TBL_Ventas[Producto],B203,TBL_Ventas[Semana],$E$3)),IF($E$3="Todos",SUMIF(TBL_Ventas[Producto],B203,TBL_Ventas[Uds]),SUMIFS(TBL_Ventas[Uds],TBL_Ventas[Producto],B203,TBL_Ventas[Mes],$E$3))))</f>
        <v>4</v>
      </c>
      <c r="E203" s="771">
        <f>IF($B$3="Acumulado",SUMIF(TBL_Ventas[Producto],B203,TBL_Ventas[Importe]),IF($B$3="Semanal",IF($E$3="Todos",SUMIF(TBL_Ventas[Producto],B203,TBL_Ventas[Importe]),SUMIFS(TBL_Ventas[Importe],TBL_Ventas[Producto],B203,TBL_Ventas[Semana],$E$3)),IF($E$3="Todos",SUMIF(TBL_Ventas[Producto],B203,TBL_Ventas[Importe]),SUMIFS(TBL_Ventas[Importe],TBL_Ventas[Producto],B203,TBL_Ventas[Mes],$E$3))))</f>
        <v>9.4</v>
      </c>
      <c r="F203" s="760">
        <f t="shared" si="50"/>
        <v>2.1905805038335158E-3</v>
      </c>
      <c r="G203" s="760">
        <f t="shared" si="51"/>
        <v>1.237657982433157E-3</v>
      </c>
      <c r="H203" s="771">
        <f t="shared" si="52"/>
        <v>2.35</v>
      </c>
      <c r="I203" s="772">
        <f t="shared" si="53"/>
        <v>4.32</v>
      </c>
      <c r="J203" s="765">
        <f>IFERROR(VLOOKUP(B203,BD_Datos!$M$1:$N$1014,2,FALSE),0)</f>
        <v>1.08</v>
      </c>
      <c r="K203" s="773">
        <f t="shared" si="54"/>
        <v>5.08</v>
      </c>
      <c r="L203" s="772">
        <f t="shared" si="55"/>
        <v>0.54042553191489362</v>
      </c>
      <c r="M203" s="313">
        <f t="shared" si="56"/>
        <v>0.45957446808510638</v>
      </c>
      <c r="N203" s="313">
        <f t="shared" si="57"/>
        <v>2.8535570381134816E-3</v>
      </c>
      <c r="O203" s="314">
        <f t="shared" si="58"/>
        <v>1.27</v>
      </c>
      <c r="P203" s="313">
        <f t="shared" si="59"/>
        <v>8.3537655255883352E-4</v>
      </c>
      <c r="Q203" s="313">
        <f>SUM(F$6:F203)</f>
        <v>0.99890470974808321</v>
      </c>
      <c r="R203" s="313">
        <f>SUM(P$6:P203)</f>
        <v>0.99779644767632092</v>
      </c>
    </row>
    <row r="204" spans="1:18" hidden="1">
      <c r="A204" s="765">
        <v>199</v>
      </c>
      <c r="B204" s="765" t="s">
        <v>1589</v>
      </c>
      <c r="C204" s="765" t="s">
        <v>873</v>
      </c>
      <c r="D204" s="766">
        <f>IF($B$3="Acumulado",SUMIF(TBL_Ventas[Producto],B204,TBL_Ventas[Uds]),IF($B$3="Semanal",IF($E$3="Todos",SUMIF(TBL_Ventas[Producto],B204,TBL_Ventas[Uds]),SUMIFS(TBL_Ventas[Uds],TBL_Ventas[Producto],B204,TBL_Ventas[Semana],$E$3)),IF($E$3="Todos",SUMIF(TBL_Ventas[Producto],B204,TBL_Ventas[Uds]),SUMIFS(TBL_Ventas[Uds],TBL_Ventas[Producto],B204,TBL_Ventas[Mes],$E$3))))</f>
        <v>0</v>
      </c>
      <c r="E204" s="767">
        <f>IF($B$3="Acumulado",SUMIF(TBL_Ventas[Producto],B204,TBL_Ventas[Importe]),IF($B$3="Semanal",IF($E$3="Todos",SUMIF(TBL_Ventas[Producto],B204,TBL_Ventas[Importe]),SUMIFS(TBL_Ventas[Importe],TBL_Ventas[Producto],B204,TBL_Ventas[Semana],$E$3)),IF($E$3="Todos",SUMIF(TBL_Ventas[Producto],B204,TBL_Ventas[Importe]),SUMIFS(TBL_Ventas[Importe],TBL_Ventas[Producto],B204,TBL_Ventas[Mes],$E$3))))</f>
        <v>0</v>
      </c>
      <c r="F204" s="768">
        <f t="shared" si="50"/>
        <v>0</v>
      </c>
      <c r="G204" s="768">
        <f t="shared" si="51"/>
        <v>0</v>
      </c>
      <c r="H204" s="767">
        <f t="shared" si="52"/>
        <v>0</v>
      </c>
      <c r="I204" s="765">
        <f t="shared" si="53"/>
        <v>0</v>
      </c>
      <c r="J204" s="765">
        <f>IFERROR(VLOOKUP(B204,BD_Datos!$M$1:$N$1014,2,FALSE),0)</f>
        <v>1.02</v>
      </c>
      <c r="K204" s="769">
        <f t="shared" si="54"/>
        <v>0</v>
      </c>
      <c r="L204" s="765">
        <f t="shared" si="55"/>
        <v>0</v>
      </c>
      <c r="M204" s="313">
        <f t="shared" si="56"/>
        <v>0</v>
      </c>
      <c r="N204" s="313">
        <f t="shared" si="57"/>
        <v>0</v>
      </c>
      <c r="O204" s="314">
        <f t="shared" si="58"/>
        <v>0</v>
      </c>
      <c r="P204" s="313">
        <f t="shared" si="59"/>
        <v>0</v>
      </c>
      <c r="Q204" s="313">
        <f>SUM(F$6:F204)</f>
        <v>0.99890470974808321</v>
      </c>
      <c r="R204" s="313">
        <f>SUM(P$6:P204)</f>
        <v>0.99779644767632092</v>
      </c>
    </row>
    <row r="205" spans="1:18" hidden="1">
      <c r="A205" s="74">
        <v>200</v>
      </c>
      <c r="B205" s="74" t="s">
        <v>829</v>
      </c>
      <c r="C205" s="74" t="s">
        <v>820</v>
      </c>
      <c r="D205" s="770">
        <f>IF($B$3="Acumulado",SUMIF(TBL_Ventas[Producto],B205,TBL_Ventas[Uds]),IF($B$3="Semanal",IF($E$3="Todos",SUMIF(TBL_Ventas[Producto],B205,TBL_Ventas[Uds]),SUMIFS(TBL_Ventas[Uds],TBL_Ventas[Producto],B205,TBL_Ventas[Semana],$E$3)),IF($E$3="Todos",SUMIF(TBL_Ventas[Producto],B205,TBL_Ventas[Uds]),SUMIFS(TBL_Ventas[Uds],TBL_Ventas[Producto],B205,TBL_Ventas[Mes],$E$3))))</f>
        <v>2</v>
      </c>
      <c r="E205" s="771">
        <f>IF($B$3="Acumulado",SUMIF(TBL_Ventas[Producto],B205,TBL_Ventas[Importe]),IF($B$3="Semanal",IF($E$3="Todos",SUMIF(TBL_Ventas[Producto],B205,TBL_Ventas[Importe]),SUMIFS(TBL_Ventas[Importe],TBL_Ventas[Producto],B205,TBL_Ventas[Semana],$E$3)),IF($E$3="Todos",SUMIF(TBL_Ventas[Producto],B205,TBL_Ventas[Importe]),SUMIFS(TBL_Ventas[Importe],TBL_Ventas[Producto],B205,TBL_Ventas[Mes],$E$3))))</f>
        <v>17.2</v>
      </c>
      <c r="F205" s="760">
        <f t="shared" si="50"/>
        <v>1.0952902519167579E-3</v>
      </c>
      <c r="G205" s="760">
        <f t="shared" si="51"/>
        <v>2.2646507763670531E-3</v>
      </c>
      <c r="H205" s="771">
        <f t="shared" si="52"/>
        <v>8.6</v>
      </c>
      <c r="I205" s="772">
        <f t="shared" si="53"/>
        <v>3.8</v>
      </c>
      <c r="J205" s="765">
        <f>IFERROR(VLOOKUP(B205,BD_Datos!$M$1:$N$1014,2,FALSE),0)</f>
        <v>1.9</v>
      </c>
      <c r="K205" s="773">
        <f t="shared" si="54"/>
        <v>13.399999999999999</v>
      </c>
      <c r="L205" s="772">
        <f t="shared" si="55"/>
        <v>0.77906976744186041</v>
      </c>
      <c r="M205" s="313">
        <f t="shared" si="56"/>
        <v>0.22093023255813954</v>
      </c>
      <c r="N205" s="313">
        <f t="shared" si="57"/>
        <v>2.5100733205627845E-3</v>
      </c>
      <c r="O205" s="314">
        <f t="shared" si="58"/>
        <v>6.6999999999999993</v>
      </c>
      <c r="P205" s="313">
        <f t="shared" si="59"/>
        <v>2.2035523236788126E-3</v>
      </c>
      <c r="Q205" s="313">
        <f>SUM(F$6:F205)</f>
        <v>1</v>
      </c>
      <c r="R205" s="313">
        <f>SUM(P$6:P205)</f>
        <v>0.99999999999999978</v>
      </c>
    </row>
    <row r="206" spans="1:18">
      <c r="A206" s="776"/>
      <c r="B206" s="776" t="s">
        <v>562</v>
      </c>
      <c r="C206" s="776"/>
      <c r="D206" s="777">
        <f>SUM(D6:D205)</f>
        <v>1826</v>
      </c>
      <c r="E206" s="778">
        <f>SUM(E6:E205)</f>
        <v>7594.989999999998</v>
      </c>
      <c r="F206" s="779">
        <f>SUM(F6:F205)</f>
        <v>1</v>
      </c>
      <c r="G206" s="779">
        <f>SUM(G6:G205)</f>
        <v>1.0000000000000007</v>
      </c>
      <c r="H206" s="778">
        <f t="shared" si="52"/>
        <v>4.1593592552026273</v>
      </c>
      <c r="I206" s="778">
        <f>SUM(I6:I205)</f>
        <v>1513.9</v>
      </c>
      <c r="J206" s="776"/>
      <c r="K206" s="778">
        <f>SUM(K6:K205)</f>
        <v>6081.0900000000038</v>
      </c>
      <c r="L206" s="779">
        <f t="shared" si="55"/>
        <v>0.80067123195685652</v>
      </c>
      <c r="M206" s="320">
        <f t="shared" si="56"/>
        <v>0.19932876804314428</v>
      </c>
      <c r="N206" s="320">
        <f>SUM(N6:N205)</f>
        <v>1.0000000000000004</v>
      </c>
      <c r="O206" s="321">
        <f t="shared" si="58"/>
        <v>3.3302792990142409</v>
      </c>
      <c r="P206" s="320">
        <f>SUM(P6:P205)</f>
        <v>0.99999999999999978</v>
      </c>
      <c r="Q206" s="322"/>
      <c r="R206" s="319"/>
    </row>
    <row r="208" spans="1:18" ht="19" customHeight="1">
      <c r="A208" s="780" t="s">
        <v>2346</v>
      </c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</row>
    <row r="209" spans="1:16">
      <c r="A209" s="311" t="s">
        <v>239</v>
      </c>
      <c r="B209" s="309" t="s">
        <v>309</v>
      </c>
      <c r="C209" s="309" t="s">
        <v>2347</v>
      </c>
      <c r="D209" s="309" t="s">
        <v>356</v>
      </c>
      <c r="E209" s="309" t="s">
        <v>2348</v>
      </c>
      <c r="F209" s="309" t="s">
        <v>243</v>
      </c>
      <c r="G209" s="309" t="s">
        <v>2349</v>
      </c>
      <c r="H209" s="309" t="s">
        <v>2334</v>
      </c>
      <c r="I209" s="309" t="s">
        <v>2350</v>
      </c>
      <c r="J209" s="309" t="s">
        <v>2336</v>
      </c>
      <c r="K209" s="309" t="s">
        <v>2337</v>
      </c>
      <c r="L209" s="309" t="s">
        <v>358</v>
      </c>
      <c r="M209" s="309" t="s">
        <v>2338</v>
      </c>
      <c r="N209" s="309" t="s">
        <v>2339</v>
      </c>
      <c r="O209" s="309" t="s">
        <v>2340</v>
      </c>
      <c r="P209" s="317" t="s">
        <v>2341</v>
      </c>
    </row>
    <row r="210" spans="1:16">
      <c r="A210" s="335">
        <v>1</v>
      </c>
      <c r="B210" s="329" t="s">
        <v>256</v>
      </c>
      <c r="C210" s="323">
        <f>COUNTIF($C$6:$C$205,B210)</f>
        <v>34</v>
      </c>
      <c r="D210" s="323">
        <f>SUMIF($C$6:$C$205,B210,$D$6:$D$205)</f>
        <v>364</v>
      </c>
      <c r="E210" s="324">
        <f t="shared" ref="E210:E237" si="60">IF(D$238=0,0,D210/D$238)</f>
        <v>0.19934282584884994</v>
      </c>
      <c r="F210" s="325">
        <f>SUMIF($C$6:$C$205,B210,$E$6:$E$205)</f>
        <v>2589.65</v>
      </c>
      <c r="G210" s="324">
        <f t="shared" ref="G210:G237" si="61">IF(F$238=0,0,F210/F$238)</f>
        <v>0.34096819087319408</v>
      </c>
      <c r="H210" s="325">
        <f t="shared" ref="H210:H238" si="62">IF(D210=0,0,F210/D210)</f>
        <v>7.1144230769230772</v>
      </c>
      <c r="I210" s="325">
        <f>SUMIF($C$6:$C$205,B210,$I$6:$I$205)</f>
        <v>526.25</v>
      </c>
      <c r="J210" s="324">
        <f t="shared" ref="J210:J238" si="63">IF(F210=0,0,I210/F210)</f>
        <v>0.20321278937308129</v>
      </c>
      <c r="K210" s="324">
        <f t="shared" ref="K210:K237" si="64">IF(I$238=0,0,I210/I$238)</f>
        <v>0.347612127617412</v>
      </c>
      <c r="L210" s="325">
        <f t="shared" ref="L210:L237" si="65">F210-I210</f>
        <v>2063.4</v>
      </c>
      <c r="M210" s="325">
        <f t="shared" ref="M210:M238" si="66">IF(D210=0,0,L210/D210)</f>
        <v>5.668681318681319</v>
      </c>
      <c r="N210" s="324">
        <f t="shared" ref="N210:N237" si="67">IF(L$238=0,0,L210/L$238)</f>
        <v>0.3393141690058854</v>
      </c>
      <c r="O210" s="324">
        <f>SUM(E$210:E210)</f>
        <v>0.19934282584884994</v>
      </c>
      <c r="P210" s="338">
        <f>SUM(N$210:N210)</f>
        <v>0.3393141690058854</v>
      </c>
    </row>
    <row r="211" spans="1:16">
      <c r="A211" s="336">
        <v>2</v>
      </c>
      <c r="B211" s="330" t="s">
        <v>2351</v>
      </c>
      <c r="C211" s="326">
        <f>COUNTIF($C$6:$C$205,"Tapas Frias")+COUNTIF($C$6:$C$205,"Tapas frías")</f>
        <v>5</v>
      </c>
      <c r="D211" s="326">
        <f>SUMIF($C$6:$C$205,"Tapas Frias",$D$6:$D$205)+SUMIF($C$6:$C$205,"Tapas frías",$D$6:$D$205)</f>
        <v>19</v>
      </c>
      <c r="E211" s="327">
        <f t="shared" si="60"/>
        <v>1.0405257393209201E-2</v>
      </c>
      <c r="F211" s="328">
        <f>SUMIF($C$6:$C$205,"Tapas Frias",$E$6:$E$205)+SUMIF($C$6:$C$205,"Tapas frías",$E$6:$E$205)</f>
        <v>148.04</v>
      </c>
      <c r="G211" s="327">
        <f t="shared" si="61"/>
        <v>1.9491796565894094E-2</v>
      </c>
      <c r="H211" s="328">
        <f t="shared" si="62"/>
        <v>7.7915789473684205</v>
      </c>
      <c r="I211" s="328">
        <f>SUMIF($C$6:$C$205,"Tapas Frias",$I$6:$I$205)+SUMIF($C$6:$C$205,"Tapas frías",$I$6:$I$205)</f>
        <v>40.129999999999995</v>
      </c>
      <c r="J211" s="327">
        <f t="shared" si="63"/>
        <v>0.27107538503107265</v>
      </c>
      <c r="K211" s="327">
        <f t="shared" si="64"/>
        <v>2.6507695356364356E-2</v>
      </c>
      <c r="L211" s="328">
        <f t="shared" si="65"/>
        <v>107.91</v>
      </c>
      <c r="M211" s="328">
        <f t="shared" si="66"/>
        <v>5.6794736842105262</v>
      </c>
      <c r="N211" s="327">
        <f t="shared" si="67"/>
        <v>1.7745173973744834E-2</v>
      </c>
      <c r="O211" s="327">
        <f>SUM(E$210:E211)</f>
        <v>0.20974808324205912</v>
      </c>
      <c r="P211" s="339">
        <f>SUM(N$210:N211)</f>
        <v>0.35705934297963021</v>
      </c>
    </row>
    <row r="212" spans="1:16">
      <c r="A212" s="335">
        <v>3</v>
      </c>
      <c r="B212" s="329" t="s">
        <v>323</v>
      </c>
      <c r="C212" s="323">
        <f>COUNTIF($C$6:$C$205,B212)</f>
        <v>3</v>
      </c>
      <c r="D212" s="323">
        <f>SUMIF($C$6:$C$205,B212,$D$6:$D$205)</f>
        <v>27</v>
      </c>
      <c r="E212" s="324">
        <f t="shared" si="60"/>
        <v>1.4786418400876232E-2</v>
      </c>
      <c r="F212" s="325">
        <f>SUMIF($C$6:$C$205,B212,$E$6:$E$205)</f>
        <v>285.5</v>
      </c>
      <c r="G212" s="324">
        <f t="shared" si="61"/>
        <v>3.7590569572836831E-2</v>
      </c>
      <c r="H212" s="325">
        <f t="shared" si="62"/>
        <v>10.574074074074074</v>
      </c>
      <c r="I212" s="325">
        <f>SUMIF($C$6:$C$205,B212,$I$6:$I$205)</f>
        <v>49.29</v>
      </c>
      <c r="J212" s="324">
        <f t="shared" si="63"/>
        <v>0.17264448336252189</v>
      </c>
      <c r="K212" s="324">
        <f t="shared" si="64"/>
        <v>3.2558293150142019E-2</v>
      </c>
      <c r="L212" s="325">
        <f t="shared" si="65"/>
        <v>236.21</v>
      </c>
      <c r="M212" s="325">
        <f t="shared" si="66"/>
        <v>8.7485185185185195</v>
      </c>
      <c r="N212" s="324">
        <f t="shared" si="67"/>
        <v>3.8843365251953178E-2</v>
      </c>
      <c r="O212" s="324">
        <f>SUM(E$210:E212)</f>
        <v>0.22453450164293537</v>
      </c>
      <c r="P212" s="338">
        <f>SUM(N$210:N212)</f>
        <v>0.39590270823158341</v>
      </c>
    </row>
    <row r="213" spans="1:16">
      <c r="A213" s="336">
        <v>4</v>
      </c>
      <c r="B213" s="330" t="s">
        <v>326</v>
      </c>
      <c r="C213" s="326">
        <f>COUNTIF($C$6:$C$205,B213)</f>
        <v>8</v>
      </c>
      <c r="D213" s="326">
        <f>SUMIF($C$6:$C$205,B213,$D$6:$D$205)</f>
        <v>59</v>
      </c>
      <c r="E213" s="327">
        <f t="shared" si="60"/>
        <v>3.2311062431544357E-2</v>
      </c>
      <c r="F213" s="328">
        <f>SUMIF($C$6:$C$205,B213,$E$6:$E$205)</f>
        <v>699.88</v>
      </c>
      <c r="G213" s="327">
        <f t="shared" si="61"/>
        <v>9.2150220079289108E-2</v>
      </c>
      <c r="H213" s="328">
        <f t="shared" si="62"/>
        <v>11.862372881355933</v>
      </c>
      <c r="I213" s="328">
        <f>SUMIF($C$6:$C$205,B213,$I$6:$I$205)</f>
        <v>159.30999999999997</v>
      </c>
      <c r="J213" s="327">
        <f t="shared" si="63"/>
        <v>0.22762473566897179</v>
      </c>
      <c r="K213" s="327">
        <f t="shared" si="64"/>
        <v>0.10523152123654138</v>
      </c>
      <c r="L213" s="328">
        <f t="shared" si="65"/>
        <v>540.57000000000005</v>
      </c>
      <c r="M213" s="328">
        <f t="shared" si="66"/>
        <v>9.1622033898305091</v>
      </c>
      <c r="N213" s="327">
        <f t="shared" si="67"/>
        <v>8.8893602956048992E-2</v>
      </c>
      <c r="O213" s="327">
        <f>SUM(E$210:E213)</f>
        <v>0.25684556407447973</v>
      </c>
      <c r="P213" s="339">
        <f>SUM(N$210:N213)</f>
        <v>0.48479631118763239</v>
      </c>
    </row>
    <row r="214" spans="1:16">
      <c r="A214" s="335">
        <v>5</v>
      </c>
      <c r="B214" s="329" t="s">
        <v>277</v>
      </c>
      <c r="C214" s="323">
        <f>COUNTIF($C$6:$C$205,B214)</f>
        <v>6</v>
      </c>
      <c r="D214" s="323">
        <f>SUMIF($C$6:$C$205,B214,$D$6:$D$205)</f>
        <v>42</v>
      </c>
      <c r="E214" s="324">
        <f t="shared" si="60"/>
        <v>2.3001095290251915E-2</v>
      </c>
      <c r="F214" s="325">
        <f>SUMIF($C$6:$C$205,B214,$E$6:$E$205)</f>
        <v>483.2</v>
      </c>
      <c r="G214" s="324">
        <f t="shared" si="61"/>
        <v>6.3620886926776726E-2</v>
      </c>
      <c r="H214" s="325">
        <f t="shared" si="62"/>
        <v>11.504761904761905</v>
      </c>
      <c r="I214" s="325">
        <f>SUMIF($C$6:$C$205,B214,$I$6:$I$205)</f>
        <v>88.460000000000008</v>
      </c>
      <c r="J214" s="324">
        <f t="shared" si="63"/>
        <v>0.18307119205298014</v>
      </c>
      <c r="K214" s="324">
        <f t="shared" si="64"/>
        <v>5.8431864720258943E-2</v>
      </c>
      <c r="L214" s="325">
        <f t="shared" si="65"/>
        <v>394.74</v>
      </c>
      <c r="M214" s="325">
        <f t="shared" si="66"/>
        <v>9.3985714285714295</v>
      </c>
      <c r="N214" s="324">
        <f t="shared" si="67"/>
        <v>6.4912704794699627E-2</v>
      </c>
      <c r="O214" s="324">
        <f>SUM(E$210:E214)</f>
        <v>0.27984665936473163</v>
      </c>
      <c r="P214" s="338">
        <f>SUM(N$210:N214)</f>
        <v>0.54970901598233202</v>
      </c>
    </row>
    <row r="215" spans="1:16">
      <c r="A215" s="336">
        <v>6</v>
      </c>
      <c r="B215" s="330" t="s">
        <v>689</v>
      </c>
      <c r="C215" s="326">
        <f>COUNTIF($C$6:$C$205,B215)</f>
        <v>3</v>
      </c>
      <c r="D215" s="326">
        <f>SUMIF($C$6:$C$205,B215,$D$6:$D$205)</f>
        <v>14</v>
      </c>
      <c r="E215" s="327">
        <f t="shared" si="60"/>
        <v>7.6670317634173054E-3</v>
      </c>
      <c r="F215" s="328">
        <f>SUMIF($C$6:$C$205,B215,$E$6:$E$205)</f>
        <v>146</v>
      </c>
      <c r="G215" s="327">
        <f t="shared" si="61"/>
        <v>1.922319845055754E-2</v>
      </c>
      <c r="H215" s="328">
        <f t="shared" si="62"/>
        <v>10.428571428571429</v>
      </c>
      <c r="I215" s="328">
        <f>SUMIF($C$6:$C$205,B215,$I$6:$I$205)</f>
        <v>7.08</v>
      </c>
      <c r="J215" s="327">
        <f t="shared" si="63"/>
        <v>4.8493150684931506E-2</v>
      </c>
      <c r="K215" s="327">
        <f t="shared" si="64"/>
        <v>4.6766629235748735E-3</v>
      </c>
      <c r="L215" s="328">
        <f t="shared" si="65"/>
        <v>138.91999999999999</v>
      </c>
      <c r="M215" s="328">
        <f t="shared" si="66"/>
        <v>9.9228571428571417</v>
      </c>
      <c r="N215" s="327">
        <f t="shared" si="67"/>
        <v>2.2844588716825431E-2</v>
      </c>
      <c r="O215" s="327">
        <f>SUM(E$210:E215)</f>
        <v>0.28751369112814895</v>
      </c>
      <c r="P215" s="339">
        <f>SUM(N$210:N215)</f>
        <v>0.5725536046991575</v>
      </c>
    </row>
    <row r="216" spans="1:16">
      <c r="A216" s="335">
        <v>7</v>
      </c>
      <c r="B216" s="329" t="s">
        <v>327</v>
      </c>
      <c r="C216" s="323">
        <f>COUNTIF($C$6:$C$205,B216)</f>
        <v>9</v>
      </c>
      <c r="D216" s="323">
        <f>SUMIF($C$6:$C$205,B216,$D$6:$D$205)</f>
        <v>21</v>
      </c>
      <c r="E216" s="324">
        <f t="shared" si="60"/>
        <v>1.1500547645125958E-2</v>
      </c>
      <c r="F216" s="325">
        <f>SUMIF($C$6:$C$205,B216,$E$6:$E$205)</f>
        <v>81.400000000000006</v>
      </c>
      <c r="G216" s="324">
        <f t="shared" si="61"/>
        <v>1.071759146489989E-2</v>
      </c>
      <c r="H216" s="325">
        <f t="shared" si="62"/>
        <v>3.8761904761904766</v>
      </c>
      <c r="I216" s="325">
        <f>SUMIF($C$6:$C$205,B216,$I$6:$I$205)</f>
        <v>13.059999999999999</v>
      </c>
      <c r="J216" s="324">
        <f t="shared" si="63"/>
        <v>0.16044226044226043</v>
      </c>
      <c r="K216" s="324">
        <f t="shared" si="64"/>
        <v>8.6267256754078876E-3</v>
      </c>
      <c r="L216" s="325">
        <f t="shared" si="65"/>
        <v>68.34</v>
      </c>
      <c r="M216" s="325">
        <f t="shared" si="66"/>
        <v>3.2542857142857144</v>
      </c>
      <c r="N216" s="324">
        <f t="shared" si="67"/>
        <v>1.1238116850761952E-2</v>
      </c>
      <c r="O216" s="324">
        <f>SUM(E$210:E216)</f>
        <v>0.29901423877327493</v>
      </c>
      <c r="P216" s="338">
        <f>SUM(N$210:N216)</f>
        <v>0.58379172154991943</v>
      </c>
    </row>
    <row r="217" spans="1:16">
      <c r="A217" s="336">
        <v>8</v>
      </c>
      <c r="B217" s="330" t="s">
        <v>2352</v>
      </c>
      <c r="C217" s="326">
        <f>COUNTIF($C$6:$C$205,"Bocadillos Frios")+COUNTIF($C$6:$C$205,"Bocadillos fríos")</f>
        <v>6</v>
      </c>
      <c r="D217" s="326">
        <f>SUMIF($C$6:$C$205,"Bocadillos Frios",$D$6:$D$205)+SUMIF($C$6:$C$205,"Bocadillos fríos",$D$6:$D$205)</f>
        <v>11</v>
      </c>
      <c r="E217" s="327">
        <f t="shared" si="60"/>
        <v>6.024096385542169E-3</v>
      </c>
      <c r="F217" s="328">
        <f>SUMIF($C$6:$C$205,"Bocadillos Frios",$E$6:$E$205)+SUMIF($C$6:$C$205,"Bocadillos fríos",$E$6:$E$205)</f>
        <v>37.69</v>
      </c>
      <c r="G217" s="327">
        <f t="shared" si="61"/>
        <v>4.9624818465857099E-3</v>
      </c>
      <c r="H217" s="328">
        <f t="shared" si="62"/>
        <v>3.4263636363636363</v>
      </c>
      <c r="I217" s="328">
        <f>SUMIF($C$6:$C$205,"Bocadillos Frios",$I$6:$I$205)+SUMIF($C$6:$C$205,"Bocadillos fríos",$I$6:$I$205)</f>
        <v>4.1899999999999995</v>
      </c>
      <c r="J217" s="327">
        <f t="shared" si="63"/>
        <v>0.111170071637039</v>
      </c>
      <c r="K217" s="327">
        <f t="shared" si="64"/>
        <v>2.7676861087258075E-3</v>
      </c>
      <c r="L217" s="328">
        <f t="shared" si="65"/>
        <v>33.5</v>
      </c>
      <c r="M217" s="328">
        <f t="shared" si="66"/>
        <v>3.0454545454545454</v>
      </c>
      <c r="N217" s="327">
        <f t="shared" si="67"/>
        <v>5.5088808091970348E-3</v>
      </c>
      <c r="O217" s="327">
        <f>SUM(E$210:E217)</f>
        <v>0.30503833515881712</v>
      </c>
      <c r="P217" s="339">
        <f>SUM(N$210:N217)</f>
        <v>0.58930060235911641</v>
      </c>
    </row>
    <row r="218" spans="1:16">
      <c r="A218" s="335">
        <v>9</v>
      </c>
      <c r="B218" s="329" t="s">
        <v>820</v>
      </c>
      <c r="C218" s="323">
        <f t="shared" ref="C218:C223" si="68">COUNTIF($C$6:$C$205,B218)</f>
        <v>1</v>
      </c>
      <c r="D218" s="323">
        <f t="shared" ref="D218:D223" si="69">SUMIF($C$6:$C$205,B218,$D$6:$D$205)</f>
        <v>2</v>
      </c>
      <c r="E218" s="324">
        <f t="shared" si="60"/>
        <v>1.0952902519167579E-3</v>
      </c>
      <c r="F218" s="325">
        <f t="shared" ref="F218:F223" si="70">SUMIF($C$6:$C$205,B218,$E$6:$E$205)</f>
        <v>17.2</v>
      </c>
      <c r="G218" s="324">
        <f t="shared" si="61"/>
        <v>2.2646507763670527E-3</v>
      </c>
      <c r="H218" s="325">
        <f t="shared" si="62"/>
        <v>8.6</v>
      </c>
      <c r="I218" s="325">
        <f t="shared" ref="I218:I223" si="71">SUMIF($C$6:$C$205,B218,$I$6:$I$205)</f>
        <v>3.8</v>
      </c>
      <c r="J218" s="324">
        <f t="shared" si="63"/>
        <v>0.22093023255813954</v>
      </c>
      <c r="K218" s="324">
        <f t="shared" si="64"/>
        <v>2.5100733205627849E-3</v>
      </c>
      <c r="L218" s="325">
        <f t="shared" si="65"/>
        <v>13.399999999999999</v>
      </c>
      <c r="M218" s="325">
        <f t="shared" si="66"/>
        <v>6.6999999999999993</v>
      </c>
      <c r="N218" s="324">
        <f t="shared" si="67"/>
        <v>2.2035523236788135E-3</v>
      </c>
      <c r="O218" s="324">
        <f>SUM(E$210:E218)</f>
        <v>0.30613362541073386</v>
      </c>
      <c r="P218" s="338">
        <f>SUM(N$210:N218)</f>
        <v>0.59150415468279527</v>
      </c>
    </row>
    <row r="219" spans="1:16">
      <c r="A219" s="336">
        <v>10</v>
      </c>
      <c r="B219" s="330" t="s">
        <v>764</v>
      </c>
      <c r="C219" s="326">
        <f t="shared" si="68"/>
        <v>1</v>
      </c>
      <c r="D219" s="326">
        <f t="shared" si="69"/>
        <v>0</v>
      </c>
      <c r="E219" s="327">
        <f t="shared" si="60"/>
        <v>0</v>
      </c>
      <c r="F219" s="328">
        <f t="shared" si="70"/>
        <v>0</v>
      </c>
      <c r="G219" s="327">
        <f t="shared" si="61"/>
        <v>0</v>
      </c>
      <c r="H219" s="328">
        <f t="shared" si="62"/>
        <v>0</v>
      </c>
      <c r="I219" s="328">
        <f t="shared" si="71"/>
        <v>0</v>
      </c>
      <c r="J219" s="327">
        <f t="shared" si="63"/>
        <v>0</v>
      </c>
      <c r="K219" s="327">
        <f t="shared" si="64"/>
        <v>0</v>
      </c>
      <c r="L219" s="328">
        <f t="shared" si="65"/>
        <v>0</v>
      </c>
      <c r="M219" s="328">
        <f t="shared" si="66"/>
        <v>0</v>
      </c>
      <c r="N219" s="327">
        <f t="shared" si="67"/>
        <v>0</v>
      </c>
      <c r="O219" s="327">
        <f>SUM(E$210:E219)</f>
        <v>0.30613362541073386</v>
      </c>
      <c r="P219" s="339">
        <f>SUM(N$210:N219)</f>
        <v>0.59150415468279527</v>
      </c>
    </row>
    <row r="220" spans="1:16">
      <c r="A220" s="335">
        <v>11</v>
      </c>
      <c r="B220" s="329" t="s">
        <v>275</v>
      </c>
      <c r="C220" s="323">
        <f t="shared" si="68"/>
        <v>13</v>
      </c>
      <c r="D220" s="323">
        <f t="shared" si="69"/>
        <v>89</v>
      </c>
      <c r="E220" s="324">
        <f t="shared" si="60"/>
        <v>4.8740416210295727E-2</v>
      </c>
      <c r="F220" s="325">
        <f t="shared" si="70"/>
        <v>427.34</v>
      </c>
      <c r="G220" s="324">
        <f t="shared" si="61"/>
        <v>5.6266038533296286E-2</v>
      </c>
      <c r="H220" s="325">
        <f t="shared" si="62"/>
        <v>4.8015730337078653</v>
      </c>
      <c r="I220" s="325">
        <f t="shared" si="71"/>
        <v>57.980000000000004</v>
      </c>
      <c r="J220" s="324">
        <f t="shared" si="63"/>
        <v>0.13567651050685639</v>
      </c>
      <c r="K220" s="324">
        <f t="shared" si="64"/>
        <v>3.8298434506902707E-2</v>
      </c>
      <c r="L220" s="325">
        <f t="shared" si="65"/>
        <v>369.35999999999996</v>
      </c>
      <c r="M220" s="325">
        <f t="shared" si="66"/>
        <v>4.1501123595505609</v>
      </c>
      <c r="N220" s="324">
        <f t="shared" si="67"/>
        <v>6.0739110915970639E-2</v>
      </c>
      <c r="O220" s="324">
        <f>SUM(E$210:E220)</f>
        <v>0.35487404162102959</v>
      </c>
      <c r="P220" s="338">
        <f>SUM(N$210:N220)</f>
        <v>0.65224326559876589</v>
      </c>
    </row>
    <row r="221" spans="1:16">
      <c r="A221" s="336">
        <v>12</v>
      </c>
      <c r="B221" s="330" t="s">
        <v>268</v>
      </c>
      <c r="C221" s="326">
        <f t="shared" si="68"/>
        <v>6</v>
      </c>
      <c r="D221" s="326">
        <f t="shared" si="69"/>
        <v>57</v>
      </c>
      <c r="E221" s="327">
        <f t="shared" si="60"/>
        <v>3.12157721796276E-2</v>
      </c>
      <c r="F221" s="328">
        <f t="shared" si="70"/>
        <v>63.2</v>
      </c>
      <c r="G221" s="327">
        <f t="shared" si="61"/>
        <v>8.3212749457207986E-3</v>
      </c>
      <c r="H221" s="328">
        <f t="shared" si="62"/>
        <v>1.1087719298245615</v>
      </c>
      <c r="I221" s="328">
        <f t="shared" si="71"/>
        <v>12.17</v>
      </c>
      <c r="J221" s="327">
        <f t="shared" si="63"/>
        <v>0.19256329113924051</v>
      </c>
      <c r="K221" s="327">
        <f t="shared" si="64"/>
        <v>8.0388400819076562E-3</v>
      </c>
      <c r="L221" s="328">
        <f t="shared" si="65"/>
        <v>51.03</v>
      </c>
      <c r="M221" s="328">
        <f t="shared" si="66"/>
        <v>0.89526315789473687</v>
      </c>
      <c r="N221" s="327">
        <f t="shared" si="67"/>
        <v>8.3915876923380504E-3</v>
      </c>
      <c r="O221" s="327">
        <f>SUM(E$210:E221)</f>
        <v>0.38608981380065721</v>
      </c>
      <c r="P221" s="339">
        <f>SUM(N$210:N221)</f>
        <v>0.66063485329110394</v>
      </c>
    </row>
    <row r="222" spans="1:16">
      <c r="A222" s="335">
        <v>13</v>
      </c>
      <c r="B222" s="329" t="s">
        <v>894</v>
      </c>
      <c r="C222" s="323">
        <f t="shared" si="68"/>
        <v>5</v>
      </c>
      <c r="D222" s="323">
        <f t="shared" si="69"/>
        <v>19</v>
      </c>
      <c r="E222" s="324">
        <f t="shared" si="60"/>
        <v>1.0405257393209201E-2</v>
      </c>
      <c r="F222" s="325">
        <f t="shared" si="70"/>
        <v>130.75</v>
      </c>
      <c r="G222" s="324">
        <f t="shared" si="61"/>
        <v>1.7215295872673959E-2</v>
      </c>
      <c r="H222" s="325">
        <f t="shared" si="62"/>
        <v>6.8815789473684212</v>
      </c>
      <c r="I222" s="325">
        <f t="shared" si="71"/>
        <v>19.97</v>
      </c>
      <c r="J222" s="324">
        <f t="shared" si="63"/>
        <v>0.15273422562141489</v>
      </c>
      <c r="K222" s="324">
        <f t="shared" si="64"/>
        <v>1.3191095845168109E-2</v>
      </c>
      <c r="L222" s="325">
        <f t="shared" si="65"/>
        <v>110.78</v>
      </c>
      <c r="M222" s="325">
        <f t="shared" si="66"/>
        <v>5.8305263157894736</v>
      </c>
      <c r="N222" s="324">
        <f t="shared" si="67"/>
        <v>1.8217128837099923E-2</v>
      </c>
      <c r="O222" s="324">
        <f>SUM(E$210:E222)</f>
        <v>0.3964950711938664</v>
      </c>
      <c r="P222" s="338">
        <f>SUM(N$210:N222)</f>
        <v>0.67885198212820386</v>
      </c>
    </row>
    <row r="223" spans="1:16">
      <c r="A223" s="336">
        <v>14</v>
      </c>
      <c r="B223" s="330" t="s">
        <v>955</v>
      </c>
      <c r="C223" s="326">
        <f t="shared" si="68"/>
        <v>1</v>
      </c>
      <c r="D223" s="326">
        <f t="shared" si="69"/>
        <v>1</v>
      </c>
      <c r="E223" s="327">
        <f t="shared" si="60"/>
        <v>5.4764512595837896E-4</v>
      </c>
      <c r="F223" s="328">
        <f t="shared" si="70"/>
        <v>2.1</v>
      </c>
      <c r="G223" s="327">
        <f t="shared" si="61"/>
        <v>2.7649805990527971E-4</v>
      </c>
      <c r="H223" s="328">
        <f t="shared" si="62"/>
        <v>2.1</v>
      </c>
      <c r="I223" s="328">
        <f t="shared" si="71"/>
        <v>0.17</v>
      </c>
      <c r="J223" s="327">
        <f t="shared" si="63"/>
        <v>8.0952380952380956E-2</v>
      </c>
      <c r="K223" s="327">
        <f t="shared" si="64"/>
        <v>1.1229275381465092E-4</v>
      </c>
      <c r="L223" s="328">
        <f t="shared" si="65"/>
        <v>1.9300000000000002</v>
      </c>
      <c r="M223" s="328">
        <f t="shared" si="66"/>
        <v>1.9300000000000002</v>
      </c>
      <c r="N223" s="327">
        <f t="shared" si="67"/>
        <v>3.1737731229105308E-4</v>
      </c>
      <c r="O223" s="327">
        <f>SUM(E$210:E223)</f>
        <v>0.3970427163198248</v>
      </c>
      <c r="P223" s="339">
        <f>SUM(N$210:N223)</f>
        <v>0.67916935944049495</v>
      </c>
    </row>
    <row r="224" spans="1:16">
      <c r="A224" s="335">
        <v>15</v>
      </c>
      <c r="B224" s="329" t="s">
        <v>2353</v>
      </c>
      <c r="C224" s="323">
        <f>COUNTIF($C$6:$C$205,"Cafe")+COUNTIF($C$6:$C$205,"Café")</f>
        <v>13</v>
      </c>
      <c r="D224" s="323">
        <f>SUMIF($C$6:$C$205,"Cafe",$D$6:$D$205)+SUMIF($C$6:$C$205,"Café",$D$6:$D$205)</f>
        <v>338</v>
      </c>
      <c r="E224" s="324">
        <f t="shared" si="60"/>
        <v>0.18510405257393209</v>
      </c>
      <c r="F224" s="325">
        <f>SUMIF($C$6:$C$205,"Cafe",$E$6:$E$205)+SUMIF($C$6:$C$205,"Café",$E$6:$E$205)</f>
        <v>543.64</v>
      </c>
      <c r="G224" s="324">
        <f t="shared" si="61"/>
        <v>7.1578764422336308E-2</v>
      </c>
      <c r="H224" s="325">
        <f t="shared" si="62"/>
        <v>1.6084023668639054</v>
      </c>
      <c r="I224" s="325">
        <f>SUMIF($C$6:$C$205,"Cafe",$I$6:$I$205)+SUMIF($C$6:$C$205,"Café",$I$6:$I$205)</f>
        <v>68.789999999999992</v>
      </c>
      <c r="J224" s="324">
        <f t="shared" si="63"/>
        <v>0.12653594290339193</v>
      </c>
      <c r="K224" s="324">
        <f t="shared" si="64"/>
        <v>4.5438932558293149E-2</v>
      </c>
      <c r="L224" s="325">
        <f t="shared" si="65"/>
        <v>474.85</v>
      </c>
      <c r="M224" s="325">
        <f t="shared" si="66"/>
        <v>1.4048816568047338</v>
      </c>
      <c r="N224" s="324">
        <f t="shared" si="67"/>
        <v>7.8086329917827227E-2</v>
      </c>
      <c r="O224" s="324">
        <f>SUM(E$210:E224)</f>
        <v>0.58214676889375694</v>
      </c>
      <c r="P224" s="338">
        <f>SUM(N$210:N224)</f>
        <v>0.75725568935832221</v>
      </c>
    </row>
    <row r="225" spans="1:16">
      <c r="A225" s="336">
        <v>16</v>
      </c>
      <c r="B225" s="330" t="s">
        <v>253</v>
      </c>
      <c r="C225" s="326">
        <f t="shared" ref="C225:C237" si="72">COUNTIF($C$6:$C$205,B225)</f>
        <v>12</v>
      </c>
      <c r="D225" s="326">
        <f t="shared" ref="D225:D237" si="73">SUMIF($C$6:$C$205,B225,$D$6:$D$205)</f>
        <v>221</v>
      </c>
      <c r="E225" s="327">
        <f t="shared" si="60"/>
        <v>0.12102957283680175</v>
      </c>
      <c r="F225" s="328">
        <f t="shared" ref="F225:F237" si="74">SUMIF($C$6:$C$205,B225,$E$6:$E$205)</f>
        <v>595.63</v>
      </c>
      <c r="G225" s="327">
        <f t="shared" si="61"/>
        <v>7.8424066391134153E-2</v>
      </c>
      <c r="H225" s="328">
        <f t="shared" si="62"/>
        <v>2.6951583710407241</v>
      </c>
      <c r="I225" s="328">
        <f t="shared" ref="I225:I237" si="75">SUMIF($C$6:$C$205,B225,$I$6:$I$205)</f>
        <v>203.11000000000004</v>
      </c>
      <c r="J225" s="327">
        <f t="shared" si="63"/>
        <v>0.34100028541208477</v>
      </c>
      <c r="K225" s="327">
        <f t="shared" si="64"/>
        <v>0.13416341898408088</v>
      </c>
      <c r="L225" s="328">
        <f t="shared" si="65"/>
        <v>392.52</v>
      </c>
      <c r="M225" s="328">
        <f t="shared" si="66"/>
        <v>1.7761085972850679</v>
      </c>
      <c r="N225" s="327">
        <f t="shared" si="67"/>
        <v>6.4547638663463275E-2</v>
      </c>
      <c r="O225" s="327">
        <f>SUM(E$210:E225)</f>
        <v>0.70317634173055865</v>
      </c>
      <c r="P225" s="339">
        <f>SUM(N$210:N225)</f>
        <v>0.82180332802178546</v>
      </c>
    </row>
    <row r="226" spans="1:16">
      <c r="A226" s="335">
        <v>17</v>
      </c>
      <c r="B226" s="329" t="s">
        <v>276</v>
      </c>
      <c r="C226" s="323">
        <f t="shared" si="72"/>
        <v>11</v>
      </c>
      <c r="D226" s="323">
        <f t="shared" si="73"/>
        <v>70</v>
      </c>
      <c r="E226" s="324">
        <f t="shared" si="60"/>
        <v>3.8335158817086525E-2</v>
      </c>
      <c r="F226" s="325">
        <f t="shared" si="74"/>
        <v>255.92999999999998</v>
      </c>
      <c r="G226" s="324">
        <f t="shared" si="61"/>
        <v>3.3697213557884867E-2</v>
      </c>
      <c r="H226" s="325">
        <f t="shared" si="62"/>
        <v>3.6561428571428567</v>
      </c>
      <c r="I226" s="325">
        <f t="shared" si="75"/>
        <v>71.47</v>
      </c>
      <c r="J226" s="324">
        <f t="shared" si="63"/>
        <v>0.27925604657523545</v>
      </c>
      <c r="K226" s="324">
        <f t="shared" si="64"/>
        <v>4.7209194794900593E-2</v>
      </c>
      <c r="L226" s="325">
        <f t="shared" si="65"/>
        <v>184.45999999999998</v>
      </c>
      <c r="M226" s="325">
        <f t="shared" si="66"/>
        <v>2.6351428571428568</v>
      </c>
      <c r="N226" s="324">
        <f t="shared" si="67"/>
        <v>3.0333377733268205E-2</v>
      </c>
      <c r="O226" s="324">
        <f>SUM(E$210:E226)</f>
        <v>0.74151150054764514</v>
      </c>
      <c r="P226" s="338">
        <f>SUM(N$210:N226)</f>
        <v>0.85213670575505363</v>
      </c>
    </row>
    <row r="227" spans="1:16">
      <c r="A227" s="336">
        <v>18</v>
      </c>
      <c r="B227" s="330" t="s">
        <v>251</v>
      </c>
      <c r="C227" s="326">
        <f t="shared" si="72"/>
        <v>24</v>
      </c>
      <c r="D227" s="326">
        <f t="shared" si="73"/>
        <v>208</v>
      </c>
      <c r="E227" s="327">
        <f t="shared" si="60"/>
        <v>0.11391018619934283</v>
      </c>
      <c r="F227" s="328">
        <f t="shared" si="74"/>
        <v>430.78000000000009</v>
      </c>
      <c r="G227" s="327">
        <f t="shared" si="61"/>
        <v>5.6718968688569717E-2</v>
      </c>
      <c r="H227" s="328">
        <f t="shared" si="62"/>
        <v>2.0710576923076927</v>
      </c>
      <c r="I227" s="328">
        <f t="shared" si="75"/>
        <v>62.100000000000016</v>
      </c>
      <c r="J227" s="327">
        <f t="shared" si="63"/>
        <v>0.14415711035795534</v>
      </c>
      <c r="K227" s="327">
        <f t="shared" si="64"/>
        <v>4.1019882422881314E-2</v>
      </c>
      <c r="L227" s="328">
        <f t="shared" si="65"/>
        <v>368.68000000000006</v>
      </c>
      <c r="M227" s="328">
        <f t="shared" si="66"/>
        <v>1.7725000000000004</v>
      </c>
      <c r="N227" s="327">
        <f t="shared" si="67"/>
        <v>6.0627288857754119E-2</v>
      </c>
      <c r="O227" s="327">
        <f>SUM(E$210:E227)</f>
        <v>0.85542168674698793</v>
      </c>
      <c r="P227" s="339">
        <f>SUM(N$210:N227)</f>
        <v>0.91276399461280777</v>
      </c>
    </row>
    <row r="228" spans="1:16">
      <c r="A228" s="335">
        <v>19</v>
      </c>
      <c r="B228" s="329" t="s">
        <v>725</v>
      </c>
      <c r="C228" s="323">
        <f t="shared" si="72"/>
        <v>1</v>
      </c>
      <c r="D228" s="323">
        <f t="shared" si="73"/>
        <v>1</v>
      </c>
      <c r="E228" s="324">
        <f t="shared" si="60"/>
        <v>5.4764512595837896E-4</v>
      </c>
      <c r="F228" s="325">
        <f t="shared" si="74"/>
        <v>1.75</v>
      </c>
      <c r="G228" s="324">
        <f t="shared" si="61"/>
        <v>2.3041504992106639E-4</v>
      </c>
      <c r="H228" s="325">
        <f t="shared" si="62"/>
        <v>1.75</v>
      </c>
      <c r="I228" s="325">
        <f t="shared" si="75"/>
        <v>0.56999999999999995</v>
      </c>
      <c r="J228" s="324">
        <f t="shared" si="63"/>
        <v>0.32571428571428568</v>
      </c>
      <c r="K228" s="324">
        <f t="shared" si="64"/>
        <v>3.7651099808441772E-4</v>
      </c>
      <c r="L228" s="325">
        <f t="shared" si="65"/>
        <v>1.1800000000000002</v>
      </c>
      <c r="M228" s="325">
        <f t="shared" si="66"/>
        <v>1.1800000000000002</v>
      </c>
      <c r="N228" s="324">
        <f t="shared" si="67"/>
        <v>1.9404415984634332E-4</v>
      </c>
      <c r="O228" s="324">
        <f>SUM(E$210:E228)</f>
        <v>0.85596933187294633</v>
      </c>
      <c r="P228" s="338">
        <f>SUM(N$210:N228)</f>
        <v>0.91295803877265413</v>
      </c>
    </row>
    <row r="229" spans="1:16">
      <c r="A229" s="336">
        <v>20</v>
      </c>
      <c r="B229" s="330" t="s">
        <v>254</v>
      </c>
      <c r="C229" s="326">
        <f t="shared" si="72"/>
        <v>1</v>
      </c>
      <c r="D229" s="326">
        <f t="shared" si="73"/>
        <v>6</v>
      </c>
      <c r="E229" s="327">
        <f t="shared" si="60"/>
        <v>3.2858707557502738E-3</v>
      </c>
      <c r="F229" s="328">
        <f t="shared" si="74"/>
        <v>83.98</v>
      </c>
      <c r="G229" s="327">
        <f t="shared" si="61"/>
        <v>1.1057289081354947E-2</v>
      </c>
      <c r="H229" s="328">
        <f t="shared" si="62"/>
        <v>13.996666666666668</v>
      </c>
      <c r="I229" s="328">
        <f t="shared" si="75"/>
        <v>0</v>
      </c>
      <c r="J229" s="327">
        <f t="shared" si="63"/>
        <v>0</v>
      </c>
      <c r="K229" s="327">
        <f t="shared" si="64"/>
        <v>0</v>
      </c>
      <c r="L229" s="328">
        <f t="shared" si="65"/>
        <v>83.98</v>
      </c>
      <c r="M229" s="328">
        <f t="shared" si="66"/>
        <v>13.996666666666668</v>
      </c>
      <c r="N229" s="327">
        <f t="shared" si="67"/>
        <v>1.3810024189742297E-2</v>
      </c>
      <c r="O229" s="327">
        <f>SUM(E$210:E229)</f>
        <v>0.85925520262869659</v>
      </c>
      <c r="P229" s="339">
        <f>SUM(N$210:N229)</f>
        <v>0.92676806296239644</v>
      </c>
    </row>
    <row r="230" spans="1:16">
      <c r="A230" s="335">
        <v>21</v>
      </c>
      <c r="B230" s="329" t="s">
        <v>873</v>
      </c>
      <c r="C230" s="323">
        <f t="shared" si="72"/>
        <v>3</v>
      </c>
      <c r="D230" s="323">
        <f t="shared" si="73"/>
        <v>0</v>
      </c>
      <c r="E230" s="324">
        <f t="shared" si="60"/>
        <v>0</v>
      </c>
      <c r="F230" s="325">
        <f t="shared" si="74"/>
        <v>0</v>
      </c>
      <c r="G230" s="324">
        <f t="shared" si="61"/>
        <v>0</v>
      </c>
      <c r="H230" s="325">
        <f t="shared" si="62"/>
        <v>0</v>
      </c>
      <c r="I230" s="325">
        <f t="shared" si="75"/>
        <v>0</v>
      </c>
      <c r="J230" s="324">
        <f t="shared" si="63"/>
        <v>0</v>
      </c>
      <c r="K230" s="324">
        <f t="shared" si="64"/>
        <v>0</v>
      </c>
      <c r="L230" s="325">
        <f t="shared" si="65"/>
        <v>0</v>
      </c>
      <c r="M230" s="325">
        <f t="shared" si="66"/>
        <v>0</v>
      </c>
      <c r="N230" s="324">
        <f t="shared" si="67"/>
        <v>0</v>
      </c>
      <c r="O230" s="324">
        <f>SUM(E$210:E230)</f>
        <v>0.85925520262869659</v>
      </c>
      <c r="P230" s="338">
        <f>SUM(N$210:N230)</f>
        <v>0.92676806296239644</v>
      </c>
    </row>
    <row r="231" spans="1:16">
      <c r="A231" s="336">
        <v>22</v>
      </c>
      <c r="B231" s="330" t="s">
        <v>877</v>
      </c>
      <c r="C231" s="326">
        <f t="shared" si="72"/>
        <v>4</v>
      </c>
      <c r="D231" s="326">
        <f t="shared" si="73"/>
        <v>0</v>
      </c>
      <c r="E231" s="327">
        <f t="shared" si="60"/>
        <v>0</v>
      </c>
      <c r="F231" s="328">
        <f t="shared" si="74"/>
        <v>0</v>
      </c>
      <c r="G231" s="327">
        <f t="shared" si="61"/>
        <v>0</v>
      </c>
      <c r="H231" s="328">
        <f t="shared" si="62"/>
        <v>0</v>
      </c>
      <c r="I231" s="328">
        <f t="shared" si="75"/>
        <v>0</v>
      </c>
      <c r="J231" s="327">
        <f t="shared" si="63"/>
        <v>0</v>
      </c>
      <c r="K231" s="327">
        <f t="shared" si="64"/>
        <v>0</v>
      </c>
      <c r="L231" s="328">
        <f t="shared" si="65"/>
        <v>0</v>
      </c>
      <c r="M231" s="328">
        <f t="shared" si="66"/>
        <v>0</v>
      </c>
      <c r="N231" s="327">
        <f t="shared" si="67"/>
        <v>0</v>
      </c>
      <c r="O231" s="327">
        <f>SUM(E$210:E231)</f>
        <v>0.85925520262869659</v>
      </c>
      <c r="P231" s="339">
        <f>SUM(N$210:N231)</f>
        <v>0.92676806296239644</v>
      </c>
    </row>
    <row r="232" spans="1:16">
      <c r="A232" s="335">
        <v>23</v>
      </c>
      <c r="B232" s="329" t="s">
        <v>258</v>
      </c>
      <c r="C232" s="323">
        <f t="shared" si="72"/>
        <v>4</v>
      </c>
      <c r="D232" s="323">
        <f t="shared" si="73"/>
        <v>53</v>
      </c>
      <c r="E232" s="324">
        <f t="shared" si="60"/>
        <v>2.9025191675794086E-2</v>
      </c>
      <c r="F232" s="325">
        <f t="shared" si="74"/>
        <v>88.45</v>
      </c>
      <c r="G232" s="324">
        <f t="shared" si="61"/>
        <v>1.1645834951724755E-2</v>
      </c>
      <c r="H232" s="325">
        <f t="shared" si="62"/>
        <v>1.668867924528302</v>
      </c>
      <c r="I232" s="325">
        <f t="shared" si="75"/>
        <v>14.870000000000001</v>
      </c>
      <c r="J232" s="324">
        <f t="shared" si="63"/>
        <v>0.16811758055398532</v>
      </c>
      <c r="K232" s="324">
        <f t="shared" si="64"/>
        <v>9.822313230728583E-3</v>
      </c>
      <c r="L232" s="325">
        <f t="shared" si="65"/>
        <v>73.58</v>
      </c>
      <c r="M232" s="325">
        <f t="shared" si="66"/>
        <v>1.3883018867924528</v>
      </c>
      <c r="N232" s="324">
        <f t="shared" si="67"/>
        <v>1.2099804475842323E-2</v>
      </c>
      <c r="O232" s="324">
        <f>SUM(E$210:E232)</f>
        <v>0.88828039430449068</v>
      </c>
      <c r="P232" s="338">
        <f>SUM(N$210:N232)</f>
        <v>0.9388678674382388</v>
      </c>
    </row>
    <row r="233" spans="1:16">
      <c r="A233" s="336">
        <v>24</v>
      </c>
      <c r="B233" s="330" t="s">
        <v>266</v>
      </c>
      <c r="C233" s="326">
        <f t="shared" si="72"/>
        <v>6</v>
      </c>
      <c r="D233" s="326">
        <f t="shared" si="73"/>
        <v>56</v>
      </c>
      <c r="E233" s="327">
        <f t="shared" si="60"/>
        <v>3.0668127053669222E-2</v>
      </c>
      <c r="F233" s="328">
        <f t="shared" si="74"/>
        <v>142.74</v>
      </c>
      <c r="G233" s="327">
        <f t="shared" si="61"/>
        <v>1.8793968128990295E-2</v>
      </c>
      <c r="H233" s="328">
        <f t="shared" si="62"/>
        <v>2.5489285714285717</v>
      </c>
      <c r="I233" s="328">
        <f t="shared" si="75"/>
        <v>29.68</v>
      </c>
      <c r="J233" s="327">
        <f t="shared" si="63"/>
        <v>0.20793050301247021</v>
      </c>
      <c r="K233" s="327">
        <f t="shared" si="64"/>
        <v>1.9604993724816701E-2</v>
      </c>
      <c r="L233" s="328">
        <f t="shared" si="65"/>
        <v>113.06</v>
      </c>
      <c r="M233" s="328">
        <f t="shared" si="66"/>
        <v>2.0189285714285714</v>
      </c>
      <c r="N233" s="327">
        <f t="shared" si="67"/>
        <v>1.8592061620531841E-2</v>
      </c>
      <c r="O233" s="327">
        <f>SUM(E$210:E233)</f>
        <v>0.91894852135815985</v>
      </c>
      <c r="P233" s="339">
        <f>SUM(N$210:N233)</f>
        <v>0.95745992905877064</v>
      </c>
    </row>
    <row r="234" spans="1:16">
      <c r="A234" s="335">
        <v>25</v>
      </c>
      <c r="B234" s="329" t="s">
        <v>815</v>
      </c>
      <c r="C234" s="323">
        <f t="shared" si="72"/>
        <v>2</v>
      </c>
      <c r="D234" s="323">
        <f t="shared" si="73"/>
        <v>23</v>
      </c>
      <c r="E234" s="324">
        <f t="shared" si="60"/>
        <v>1.2595837897042717E-2</v>
      </c>
      <c r="F234" s="325">
        <f t="shared" si="74"/>
        <v>123.05</v>
      </c>
      <c r="G234" s="324">
        <f t="shared" si="61"/>
        <v>1.6201469653021269E-2</v>
      </c>
      <c r="H234" s="325">
        <f t="shared" si="62"/>
        <v>5.35</v>
      </c>
      <c r="I234" s="325">
        <f t="shared" si="75"/>
        <v>21.900000000000002</v>
      </c>
      <c r="J234" s="324">
        <f t="shared" si="63"/>
        <v>0.17797643234457539</v>
      </c>
      <c r="K234" s="324">
        <f t="shared" si="64"/>
        <v>1.4465948873769736E-2</v>
      </c>
      <c r="L234" s="325">
        <f t="shared" si="65"/>
        <v>101.14999999999999</v>
      </c>
      <c r="M234" s="325">
        <f t="shared" si="66"/>
        <v>4.3978260869565213</v>
      </c>
      <c r="N234" s="324">
        <f t="shared" si="67"/>
        <v>1.663353115970985E-2</v>
      </c>
      <c r="O234" s="324">
        <f>SUM(E$210:E234)</f>
        <v>0.93154435925520263</v>
      </c>
      <c r="P234" s="338">
        <f>SUM(N$210:N234)</f>
        <v>0.97409346021848053</v>
      </c>
    </row>
    <row r="235" spans="1:16">
      <c r="A235" s="336">
        <v>26</v>
      </c>
      <c r="B235" s="330" t="s">
        <v>264</v>
      </c>
      <c r="C235" s="326">
        <f t="shared" si="72"/>
        <v>11</v>
      </c>
      <c r="D235" s="326">
        <f t="shared" si="73"/>
        <v>76</v>
      </c>
      <c r="E235" s="327">
        <f t="shared" si="60"/>
        <v>4.1621029572836803E-2</v>
      </c>
      <c r="F235" s="328">
        <f t="shared" si="74"/>
        <v>192.38</v>
      </c>
      <c r="G235" s="327">
        <f t="shared" si="61"/>
        <v>2.532985560217986E-2</v>
      </c>
      <c r="H235" s="328">
        <f t="shared" si="62"/>
        <v>2.531315789473684</v>
      </c>
      <c r="I235" s="328">
        <f t="shared" si="75"/>
        <v>52.51</v>
      </c>
      <c r="J235" s="327">
        <f t="shared" si="63"/>
        <v>0.27294937103649025</v>
      </c>
      <c r="K235" s="327">
        <f t="shared" si="64"/>
        <v>3.4685250016513645E-2</v>
      </c>
      <c r="L235" s="328">
        <f t="shared" si="65"/>
        <v>139.87</v>
      </c>
      <c r="M235" s="328">
        <f t="shared" si="66"/>
        <v>1.8403947368421054</v>
      </c>
      <c r="N235" s="327">
        <f t="shared" si="67"/>
        <v>2.3000810709922066E-2</v>
      </c>
      <c r="O235" s="327">
        <f>SUM(E$210:E235)</f>
        <v>0.97316538882803938</v>
      </c>
      <c r="P235" s="339">
        <f>SUM(N$210:N235)</f>
        <v>0.99709427092840264</v>
      </c>
    </row>
    <row r="236" spans="1:16">
      <c r="A236" s="335">
        <v>27</v>
      </c>
      <c r="B236" s="329" t="s">
        <v>862</v>
      </c>
      <c r="C236" s="323">
        <f t="shared" si="72"/>
        <v>5</v>
      </c>
      <c r="D236" s="323">
        <f t="shared" si="73"/>
        <v>37</v>
      </c>
      <c r="E236" s="324">
        <f t="shared" si="60"/>
        <v>2.0262869660460023E-2</v>
      </c>
      <c r="F236" s="325">
        <f t="shared" si="74"/>
        <v>3.3499999999999996</v>
      </c>
      <c r="G236" s="324">
        <f t="shared" si="61"/>
        <v>4.4108023842032705E-4</v>
      </c>
      <c r="H236" s="325">
        <f t="shared" si="62"/>
        <v>9.0540540540540532E-2</v>
      </c>
      <c r="I236" s="325">
        <f t="shared" si="75"/>
        <v>1.72</v>
      </c>
      <c r="J236" s="324">
        <f t="shared" si="63"/>
        <v>0.51343283582089561</v>
      </c>
      <c r="K236" s="324">
        <f t="shared" si="64"/>
        <v>1.1361384503599974E-3</v>
      </c>
      <c r="L236" s="325">
        <f t="shared" si="65"/>
        <v>1.6299999999999997</v>
      </c>
      <c r="M236" s="325">
        <f t="shared" si="66"/>
        <v>4.4054054054054048E-2</v>
      </c>
      <c r="N236" s="324">
        <f t="shared" si="67"/>
        <v>2.680440513131691E-4</v>
      </c>
      <c r="O236" s="324">
        <f>SUM(E$210:E236)</f>
        <v>0.99342825848849936</v>
      </c>
      <c r="P236" s="338">
        <f>SUM(N$210:N236)</f>
        <v>0.99736231497971584</v>
      </c>
    </row>
    <row r="237" spans="1:16" ht="16" customHeight="1" thickBot="1">
      <c r="A237" s="336">
        <v>28</v>
      </c>
      <c r="B237" s="330" t="s">
        <v>282</v>
      </c>
      <c r="C237" s="326">
        <f t="shared" si="72"/>
        <v>2</v>
      </c>
      <c r="D237" s="326">
        <f t="shared" si="73"/>
        <v>12</v>
      </c>
      <c r="E237" s="327">
        <f t="shared" si="60"/>
        <v>6.5717415115005475E-3</v>
      </c>
      <c r="F237" s="328">
        <f t="shared" si="74"/>
        <v>21.36</v>
      </c>
      <c r="G237" s="327">
        <f t="shared" si="61"/>
        <v>2.8123802664651305E-3</v>
      </c>
      <c r="H237" s="328">
        <f t="shared" si="62"/>
        <v>1.78</v>
      </c>
      <c r="I237" s="328">
        <f t="shared" si="75"/>
        <v>5.32</v>
      </c>
      <c r="J237" s="327">
        <f t="shared" si="63"/>
        <v>0.24906367041198504</v>
      </c>
      <c r="K237" s="327">
        <f t="shared" si="64"/>
        <v>3.5141026487878991E-3</v>
      </c>
      <c r="L237" s="328">
        <f t="shared" si="65"/>
        <v>16.04</v>
      </c>
      <c r="M237" s="328">
        <f t="shared" si="66"/>
        <v>1.3366666666666667</v>
      </c>
      <c r="N237" s="327">
        <f t="shared" si="67"/>
        <v>2.6376850202841917E-3</v>
      </c>
      <c r="O237" s="327">
        <f>SUM(E$210:E237)</f>
        <v>0.99999999999999989</v>
      </c>
      <c r="P237" s="339">
        <f>SUM(N$210:N237)</f>
        <v>1</v>
      </c>
    </row>
    <row r="238" spans="1:16" ht="16" customHeight="1" thickTop="1">
      <c r="A238" s="337"/>
      <c r="B238" s="331" t="s">
        <v>562</v>
      </c>
      <c r="C238" s="332">
        <f>SUM(C210:C237)</f>
        <v>200</v>
      </c>
      <c r="D238" s="332">
        <f>SUM(D210:D237)</f>
        <v>1826</v>
      </c>
      <c r="E238" s="333">
        <f>SUM(E210:E237)</f>
        <v>0.99999999999999989</v>
      </c>
      <c r="F238" s="334">
        <f>SUM(F210:F237)</f>
        <v>7594.99</v>
      </c>
      <c r="G238" s="333">
        <f>SUM(G210:G237)</f>
        <v>1.0000000000000002</v>
      </c>
      <c r="H238" s="334">
        <f t="shared" si="62"/>
        <v>4.1593592552026282</v>
      </c>
      <c r="I238" s="334">
        <f>SUM(I210:I237)</f>
        <v>1513.8999999999999</v>
      </c>
      <c r="J238" s="333">
        <f t="shared" si="63"/>
        <v>0.19932876804314423</v>
      </c>
      <c r="K238" s="333">
        <f>SUM(K210:K237)</f>
        <v>1.0000000000000002</v>
      </c>
      <c r="L238" s="334">
        <f>SUM(L210:L237)</f>
        <v>6081.0900000000011</v>
      </c>
      <c r="M238" s="334">
        <f t="shared" si="66"/>
        <v>3.3302792990142391</v>
      </c>
      <c r="N238" s="333">
        <f>SUM(N210:N237)</f>
        <v>1</v>
      </c>
      <c r="O238" s="331"/>
      <c r="P238" s="340"/>
    </row>
  </sheetData>
  <mergeCells count="2">
    <mergeCell ref="A1:J1"/>
    <mergeCell ref="A2:H2"/>
  </mergeCells>
  <conditionalFormatting sqref="D6:D205">
    <cfRule type="dataBar" priority="1">
      <dataBar>
        <cfvo type="min"/>
        <cfvo type="max"/>
        <color rgb="FF4472C4"/>
      </dataBar>
    </cfRule>
  </conditionalFormatting>
  <dataValidations count="2">
    <dataValidation type="list" allowBlank="1" showInputMessage="1" showErrorMessage="1" sqref="B3" xr:uid="{00000000-0002-0000-0F00-000000000000}">
      <formula1>"Semanal,Mensual,Acumulado"</formula1>
    </dataValidation>
    <dataValidation type="list" allowBlank="1" showInputMessage="1" showErrorMessage="1" sqref="E3" xr:uid="{00000000-0002-0000-0F00-000001000000}">
      <formula1>$W$1:$W$53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17"/>
  <sheetViews>
    <sheetView topLeftCell="A7" zoomScale="133" workbookViewId="0">
      <pane xSplit="1" ySplit="1" topLeftCell="B99" activePane="bottomRight" state="frozen"/>
      <selection pane="topRight" activeCell="B7" sqref="B7"/>
      <selection pane="bottomLeft" activeCell="A8" sqref="A8"/>
      <selection pane="bottomRight" activeCell="A59" sqref="A59"/>
    </sheetView>
  </sheetViews>
  <sheetFormatPr baseColWidth="10" defaultColWidth="11.5" defaultRowHeight="15"/>
  <cols>
    <col min="1" max="1" width="35" customWidth="1"/>
    <col min="2" max="2" width="16.6640625" customWidth="1"/>
    <col min="3" max="3" width="11.6640625" customWidth="1"/>
    <col min="4" max="4" width="16.6640625" customWidth="1"/>
    <col min="5" max="5" width="15" customWidth="1"/>
    <col min="6" max="6" width="13.33203125" customWidth="1"/>
    <col min="7" max="7" width="14.1640625" customWidth="1"/>
    <col min="8" max="8" width="16.6640625" customWidth="1"/>
    <col min="9" max="19" width="9.1640625" customWidth="1"/>
    <col min="26" max="26" width="0" hidden="1"/>
  </cols>
  <sheetData>
    <row r="1" spans="1:26" ht="40" customHeight="1">
      <c r="A1" s="1212" t="s">
        <v>2354</v>
      </c>
      <c r="B1" s="1140"/>
      <c r="C1" s="1140"/>
      <c r="D1" s="1140"/>
      <c r="E1" s="1140"/>
      <c r="F1" s="1140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 t="s">
        <v>1528</v>
      </c>
    </row>
    <row r="2" spans="1:26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 t="s">
        <v>1508</v>
      </c>
    </row>
    <row r="3" spans="1:26" ht="19" customHeight="1">
      <c r="A3" s="781" t="s">
        <v>2355</v>
      </c>
      <c r="B3" s="782" t="s">
        <v>2356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 t="s">
        <v>1509</v>
      </c>
    </row>
    <row r="4" spans="1:26">
      <c r="A4" s="1213" t="s">
        <v>2357</v>
      </c>
      <c r="B4" s="1140"/>
      <c r="C4" s="1140"/>
      <c r="D4" s="1140"/>
      <c r="E4" s="1140"/>
      <c r="F4" s="1140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 t="s">
        <v>1565</v>
      </c>
    </row>
    <row r="5" spans="1:26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 t="s">
        <v>1530</v>
      </c>
    </row>
    <row r="6" spans="1:26" ht="45" customHeight="1">
      <c r="A6" s="200" t="s">
        <v>2358</v>
      </c>
      <c r="B6" s="200" t="s">
        <v>2359</v>
      </c>
      <c r="C6" s="200" t="s">
        <v>2360</v>
      </c>
      <c r="D6" s="200" t="s">
        <v>2361</v>
      </c>
      <c r="E6" s="200" t="s">
        <v>2362</v>
      </c>
      <c r="F6" s="200" t="s">
        <v>2363</v>
      </c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 t="s">
        <v>1532</v>
      </c>
    </row>
    <row r="7" spans="1:26" ht="30" customHeight="1">
      <c r="A7" s="1210" t="s">
        <v>2364</v>
      </c>
      <c r="B7" s="1211"/>
      <c r="C7" s="1211"/>
      <c r="D7" s="1211"/>
      <c r="E7" s="1211"/>
      <c r="F7" s="1211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 t="s">
        <v>1511</v>
      </c>
    </row>
    <row r="8" spans="1:26" ht="40" customHeight="1">
      <c r="A8" s="203" t="s">
        <v>261</v>
      </c>
      <c r="B8" s="201">
        <f t="shared" ref="B8:B19" si="0">ROUNDUP(E8*IF($B$3="2 semanas",2,1)*1.1, 0)</f>
        <v>49</v>
      </c>
      <c r="C8" s="201">
        <f t="shared" ref="C8:C19" si="1">ROUNDUP(B8/7, 0)</f>
        <v>7</v>
      </c>
      <c r="D8" s="201">
        <f t="array" ref="D8">IFERROR(MAX(SUMIFS(TBL_Ventas[Uds],TBL_Ventas[Producto],A8,TBL_Ventas[Semana],$Z$1:$Z$48)),0)</f>
        <v>126</v>
      </c>
      <c r="E8" s="202">
        <f t="array" ref="E8">IFERROR(SUMIF(TBL_Ventas[Producto],A8,TBL_Ventas[Uds])/SUMPRODUCT((COUNTIFS(TBL_Ventas[Producto],A8,TBL_Ventas[Semana],$Z$1:$Z$48)&gt;0)*1),0)</f>
        <v>44.352941176470587</v>
      </c>
      <c r="F8" s="201">
        <f t="array" ref="F8">SUMPRODUCT((COUNTIFS(TBL_Ventas[Producto],A8,TBL_Ventas[Semana],$Z$1:$Z$48)&gt;0)*1)</f>
        <v>17</v>
      </c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 t="s">
        <v>1512</v>
      </c>
    </row>
    <row r="9" spans="1:26">
      <c r="A9" s="204" t="s">
        <v>255</v>
      </c>
      <c r="B9" s="205">
        <f t="shared" si="0"/>
        <v>38</v>
      </c>
      <c r="C9" s="205">
        <f t="shared" si="1"/>
        <v>6</v>
      </c>
      <c r="D9" s="205">
        <f t="array" ref="D9">IFERROR(MAX(SUMIFS(TBL_Ventas[Uds],TBL_Ventas[Producto],A9,TBL_Ventas[Semana],$Z$1:$Z$48)),0)</f>
        <v>186</v>
      </c>
      <c r="E9" s="206">
        <f t="array" ref="E9">IFERROR(SUMIF(TBL_Ventas[Producto],A9,TBL_Ventas[Uds])/SUMPRODUCT((COUNTIFS(TBL_Ventas[Producto],A9,TBL_Ventas[Semana],$Z$1:$Z$48)&gt;0)*1),0)</f>
        <v>34.200000000000003</v>
      </c>
      <c r="F9" s="205">
        <f t="array" ref="F9">SUMPRODUCT((COUNTIFS(TBL_Ventas[Producto],A9,TBL_Ventas[Semana],$Z$1:$Z$48)&gt;0)*1)</f>
        <v>40</v>
      </c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 t="s">
        <v>1534</v>
      </c>
    </row>
    <row r="10" spans="1:26">
      <c r="A10" s="203" t="s">
        <v>806</v>
      </c>
      <c r="B10" s="201">
        <f t="shared" si="0"/>
        <v>29</v>
      </c>
      <c r="C10" s="201">
        <f t="shared" si="1"/>
        <v>5</v>
      </c>
      <c r="D10" s="201">
        <f t="array" ref="D10">IFERROR(MAX(SUMIFS(TBL_Ventas[Uds],TBL_Ventas[Producto],A10,TBL_Ventas[Semana],$Z$1:$Z$48)),0)</f>
        <v>42</v>
      </c>
      <c r="E10" s="202">
        <f t="array" ref="E10">IFERROR(SUMIF(TBL_Ventas[Producto],A10,TBL_Ventas[Uds])/SUMPRODUCT((COUNTIFS(TBL_Ventas[Producto],A10,TBL_Ventas[Semana],$Z$1:$Z$48)&gt;0)*1),0)</f>
        <v>26</v>
      </c>
      <c r="F10" s="201">
        <f t="array" ref="F10">SUMPRODUCT((COUNTIFS(TBL_Ventas[Producto],A10,TBL_Ventas[Semana],$Z$1:$Z$48)&gt;0)*1)</f>
        <v>4</v>
      </c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 t="s">
        <v>1513</v>
      </c>
    </row>
    <row r="11" spans="1:26">
      <c r="A11" s="204" t="s">
        <v>791</v>
      </c>
      <c r="B11" s="205">
        <f t="shared" si="0"/>
        <v>28</v>
      </c>
      <c r="C11" s="205">
        <f t="shared" si="1"/>
        <v>4</v>
      </c>
      <c r="D11" s="205">
        <f t="array" ref="D11">IFERROR(MAX(SUMIFS(TBL_Ventas[Uds],TBL_Ventas[Producto],A11,TBL_Ventas[Semana],$Z$1:$Z$48)),0)</f>
        <v>42</v>
      </c>
      <c r="E11" s="206">
        <f t="array" ref="E11">IFERROR(SUMIF(TBL_Ventas[Producto],A11,TBL_Ventas[Uds])/SUMPRODUCT((COUNTIFS(TBL_Ventas[Producto],A11,TBL_Ventas[Semana],$Z$1:$Z$48)&gt;0)*1),0)</f>
        <v>25.2</v>
      </c>
      <c r="F11" s="205">
        <f t="array" ref="F11">SUMPRODUCT((COUNTIFS(TBL_Ventas[Producto],A11,TBL_Ventas[Semana],$Z$1:$Z$48)&gt;0)*1)</f>
        <v>5</v>
      </c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 t="s">
        <v>1514</v>
      </c>
    </row>
    <row r="12" spans="1:26">
      <c r="A12" s="203" t="s">
        <v>792</v>
      </c>
      <c r="B12" s="201">
        <f t="shared" si="0"/>
        <v>23</v>
      </c>
      <c r="C12" s="201">
        <f t="shared" si="1"/>
        <v>4</v>
      </c>
      <c r="D12" s="201">
        <f t="array" ref="D12">IFERROR(MAX(SUMIFS(TBL_Ventas[Uds],TBL_Ventas[Producto],A12,TBL_Ventas[Semana],$Z$1:$Z$48)),0)</f>
        <v>40</v>
      </c>
      <c r="E12" s="202">
        <f t="array" ref="E12">IFERROR(SUMIF(TBL_Ventas[Producto],A12,TBL_Ventas[Uds])/SUMPRODUCT((COUNTIFS(TBL_Ventas[Producto],A12,TBL_Ventas[Semana],$Z$1:$Z$48)&gt;0)*1),0)</f>
        <v>20.2</v>
      </c>
      <c r="F12" s="201">
        <f t="array" ref="F12">SUMPRODUCT((COUNTIFS(TBL_Ventas[Producto],A12,TBL_Ventas[Semana],$Z$1:$Z$48)&gt;0)*1)</f>
        <v>5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 t="s">
        <v>1515</v>
      </c>
    </row>
    <row r="13" spans="1:26">
      <c r="A13" s="204" t="s">
        <v>262</v>
      </c>
      <c r="B13" s="205">
        <f t="shared" si="0"/>
        <v>22</v>
      </c>
      <c r="C13" s="205">
        <f t="shared" si="1"/>
        <v>4</v>
      </c>
      <c r="D13" s="205">
        <f t="array" ref="D13">IFERROR(MAX(SUMIFS(TBL_Ventas[Uds],TBL_Ventas[Producto],A13,TBL_Ventas[Semana],$Z$1:$Z$48)),0)</f>
        <v>85</v>
      </c>
      <c r="E13" s="206">
        <f t="array" ref="E13">IFERROR(SUMIF(TBL_Ventas[Producto],A13,TBL_Ventas[Uds])/SUMPRODUCT((COUNTIFS(TBL_Ventas[Producto],A13,TBL_Ventas[Semana],$Z$1:$Z$48)&gt;0)*1),0)</f>
        <v>19.263157894736842</v>
      </c>
      <c r="F13" s="205">
        <f t="array" ref="F13">SUMPRODUCT((COUNTIFS(TBL_Ventas[Producto],A13,TBL_Ventas[Semana],$Z$1:$Z$48)&gt;0)*1)</f>
        <v>38</v>
      </c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 t="s">
        <v>1516</v>
      </c>
    </row>
    <row r="14" spans="1:26">
      <c r="A14" s="203" t="s">
        <v>1722</v>
      </c>
      <c r="B14" s="201">
        <f t="shared" si="0"/>
        <v>21</v>
      </c>
      <c r="C14" s="201">
        <f t="shared" si="1"/>
        <v>3</v>
      </c>
      <c r="D14" s="201">
        <f t="array" ref="D14">IFERROR(MAX(SUMIFS(TBL_Ventas[Uds],TBL_Ventas[Producto],A14,TBL_Ventas[Semana],$Z$1:$Z$48)),0)</f>
        <v>19</v>
      </c>
      <c r="E14" s="202">
        <f t="array" ref="E14">IFERROR(SUMIF(TBL_Ventas[Producto],A14,TBL_Ventas[Uds])/SUMPRODUCT((COUNTIFS(TBL_Ventas[Producto],A14,TBL_Ventas[Semana],$Z$1:$Z$48)&gt;0)*1),0)</f>
        <v>19</v>
      </c>
      <c r="F14" s="201">
        <f t="array" ref="F14">SUMPRODUCT((COUNTIFS(TBL_Ventas[Producto],A14,TBL_Ventas[Semana],$Z$1:$Z$48)&gt;0)*1)</f>
        <v>1</v>
      </c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 t="s">
        <v>1517</v>
      </c>
    </row>
    <row r="15" spans="1:26">
      <c r="A15" s="204" t="s">
        <v>1809</v>
      </c>
      <c r="B15" s="205">
        <f t="shared" si="0"/>
        <v>20</v>
      </c>
      <c r="C15" s="205">
        <f t="shared" si="1"/>
        <v>3</v>
      </c>
      <c r="D15" s="205">
        <f t="array" ref="D15">IFERROR(MAX(SUMIFS(TBL_Ventas[Uds],TBL_Ventas[Producto],A15,TBL_Ventas[Semana],$Z$1:$Z$48)),0)</f>
        <v>37</v>
      </c>
      <c r="E15" s="206">
        <f t="array" ref="E15">IFERROR(SUMIF(TBL_Ventas[Producto],A15,TBL_Ventas[Uds])/SUMPRODUCT((COUNTIFS(TBL_Ventas[Producto],A15,TBL_Ventas[Semana],$Z$1:$Z$48)&gt;0)*1),0)</f>
        <v>17.642857142857142</v>
      </c>
      <c r="F15" s="205">
        <f t="array" ref="F15">SUMPRODUCT((COUNTIFS(TBL_Ventas[Producto],A15,TBL_Ventas[Semana],$Z$1:$Z$48)&gt;0)*1)</f>
        <v>14</v>
      </c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 t="s">
        <v>1527</v>
      </c>
    </row>
    <row r="16" spans="1:26">
      <c r="A16" s="203" t="s">
        <v>1802</v>
      </c>
      <c r="B16" s="201">
        <f t="shared" si="0"/>
        <v>19</v>
      </c>
      <c r="C16" s="201">
        <f t="shared" si="1"/>
        <v>3</v>
      </c>
      <c r="D16" s="201">
        <f t="array" ref="D16">IFERROR(MAX(SUMIFS(TBL_Ventas[Uds],TBL_Ventas[Producto],A16,TBL_Ventas[Semana],$Z$1:$Z$48)),0)</f>
        <v>30</v>
      </c>
      <c r="E16" s="202">
        <f t="array" ref="E16">IFERROR(SUMIF(TBL_Ventas[Producto],A16,TBL_Ventas[Uds])/SUMPRODUCT((COUNTIFS(TBL_Ventas[Producto],A16,TBL_Ventas[Semana],$Z$1:$Z$48)&gt;0)*1),0)</f>
        <v>16.857142857142858</v>
      </c>
      <c r="F16" s="201">
        <f t="array" ref="F16">SUMPRODUCT((COUNTIFS(TBL_Ventas[Producto],A16,TBL_Ventas[Semana],$Z$1:$Z$48)&gt;0)*1)</f>
        <v>14</v>
      </c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 t="s">
        <v>1518</v>
      </c>
    </row>
    <row r="17" spans="1:26">
      <c r="A17" s="204" t="s">
        <v>679</v>
      </c>
      <c r="B17" s="205">
        <f t="shared" si="0"/>
        <v>17</v>
      </c>
      <c r="C17" s="205">
        <f t="shared" si="1"/>
        <v>3</v>
      </c>
      <c r="D17" s="205">
        <f t="array" ref="D17">IFERROR(MAX(SUMIFS(TBL_Ventas[Uds],TBL_Ventas[Producto],A17,TBL_Ventas[Semana],$Z$1:$Z$48)),0)</f>
        <v>58</v>
      </c>
      <c r="E17" s="206">
        <f t="array" ref="E17">IFERROR(SUMIF(TBL_Ventas[Producto],A17,TBL_Ventas[Uds])/SUMPRODUCT((COUNTIFS(TBL_Ventas[Producto],A17,TBL_Ventas[Semana],$Z$1:$Z$48)&gt;0)*1),0)</f>
        <v>15.029411764705882</v>
      </c>
      <c r="F17" s="205">
        <f t="array" ref="F17">SUMPRODUCT((COUNTIFS(TBL_Ventas[Producto],A17,TBL_Ventas[Semana],$Z$1:$Z$48)&gt;0)*1)</f>
        <v>34</v>
      </c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 t="s">
        <v>1519</v>
      </c>
    </row>
    <row r="18" spans="1:26">
      <c r="A18" s="203" t="s">
        <v>678</v>
      </c>
      <c r="B18" s="201">
        <f t="shared" si="0"/>
        <v>17</v>
      </c>
      <c r="C18" s="201">
        <f t="shared" si="1"/>
        <v>3</v>
      </c>
      <c r="D18" s="201">
        <f t="array" ref="D18">IFERROR(MAX(SUMIFS(TBL_Ventas[Uds],TBL_Ventas[Producto],A18,TBL_Ventas[Semana],$Z$1:$Z$48)),0)</f>
        <v>43</v>
      </c>
      <c r="E18" s="202">
        <f t="array" ref="E18">IFERROR(SUMIF(TBL_Ventas[Producto],A18,TBL_Ventas[Uds])/SUMPRODUCT((COUNTIFS(TBL_Ventas[Producto],A18,TBL_Ventas[Semana],$Z$1:$Z$48)&gt;0)*1),0)</f>
        <v>14.571428571428571</v>
      </c>
      <c r="F18" s="201">
        <f t="array" ref="F18">SUMPRODUCT((COUNTIFS(TBL_Ventas[Producto],A18,TBL_Ventas[Semana],$Z$1:$Z$48)&gt;0)*1)</f>
        <v>28</v>
      </c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 t="s">
        <v>1540</v>
      </c>
    </row>
    <row r="19" spans="1:26">
      <c r="A19" s="204" t="s">
        <v>1791</v>
      </c>
      <c r="B19" s="205">
        <f t="shared" si="0"/>
        <v>17</v>
      </c>
      <c r="C19" s="205">
        <f t="shared" si="1"/>
        <v>3</v>
      </c>
      <c r="D19" s="205">
        <f t="array" ref="D19">IFERROR(MAX(SUMIFS(TBL_Ventas[Uds],TBL_Ventas[Producto],A19,TBL_Ventas[Semana],$Z$1:$Z$48)),0)</f>
        <v>34</v>
      </c>
      <c r="E19" s="206">
        <f t="array" ref="E19">IFERROR(SUMIF(TBL_Ventas[Producto],A19,TBL_Ventas[Uds])/SUMPRODUCT((COUNTIFS(TBL_Ventas[Producto],A19,TBL_Ventas[Semana],$Z$1:$Z$48)&gt;0)*1),0)</f>
        <v>14.857142857142858</v>
      </c>
      <c r="F19" s="205">
        <f t="array" ref="F19">SUMPRODUCT((COUNTIFS(TBL_Ventas[Producto],A19,TBL_Ventas[Semana],$Z$1:$Z$48)&gt;0)*1)</f>
        <v>14</v>
      </c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 t="s">
        <v>1520</v>
      </c>
    </row>
    <row r="20" spans="1:26">
      <c r="A20" s="207" t="s">
        <v>2365</v>
      </c>
      <c r="B20" s="208">
        <f>SUM(B8:B19)</f>
        <v>300</v>
      </c>
      <c r="C20" s="208">
        <f>SUM(C8:C19)</f>
        <v>48</v>
      </c>
      <c r="D20" s="209"/>
      <c r="E20" s="210"/>
      <c r="F20" s="209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 t="s">
        <v>1577</v>
      </c>
    </row>
    <row r="21" spans="1:26" ht="8" customHeight="1">
      <c r="A21" s="211"/>
      <c r="B21" s="201"/>
      <c r="C21" s="201"/>
      <c r="D21" s="201"/>
      <c r="E21" s="202"/>
      <c r="F21" s="201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 t="s">
        <v>1507</v>
      </c>
    </row>
    <row r="22" spans="1:26" ht="30" customHeight="1">
      <c r="A22" s="1210" t="s">
        <v>2366</v>
      </c>
      <c r="B22" s="1211"/>
      <c r="C22" s="1211"/>
      <c r="D22" s="1211"/>
      <c r="E22" s="1211"/>
      <c r="F22" s="1211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 t="s">
        <v>1644</v>
      </c>
    </row>
    <row r="23" spans="1:26">
      <c r="A23" s="203" t="s">
        <v>686</v>
      </c>
      <c r="B23" s="201">
        <f t="shared" ref="B23:B33" si="2">ROUNDUP(E23*IF($B$3="2 semanas",2,1)*1.1, 0)</f>
        <v>20</v>
      </c>
      <c r="C23" s="201">
        <f t="shared" ref="C23:C33" si="3">ROUNDUP(B23/7, 0)</f>
        <v>3</v>
      </c>
      <c r="D23" s="201">
        <f t="array" ref="D23">IFERROR(MAX(SUMIFS(TBL_Ventas[Uds],TBL_Ventas[Producto],A23,TBL_Ventas[Semana],$Z$1:$Z$48)),0)</f>
        <v>39</v>
      </c>
      <c r="E23" s="202">
        <f t="array" ref="E23">IFERROR(SUMIF(TBL_Ventas[Producto],A23,TBL_Ventas[Uds])/SUMPRODUCT((COUNTIFS(TBL_Ventas[Producto],A23,TBL_Ventas[Semana],$Z$1:$Z$48)&gt;0)*1),0)</f>
        <v>17.882352941176471</v>
      </c>
      <c r="F23" s="201">
        <f t="array" ref="F23">SUMPRODUCT((COUNTIFS(TBL_Ventas[Producto],A23,TBL_Ventas[Semana],$Z$1:$Z$48)&gt;0)*1)</f>
        <v>17</v>
      </c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 t="s">
        <v>1578</v>
      </c>
    </row>
    <row r="24" spans="1:26">
      <c r="A24" s="204" t="s">
        <v>683</v>
      </c>
      <c r="B24" s="205">
        <f t="shared" si="2"/>
        <v>10</v>
      </c>
      <c r="C24" s="205">
        <f t="shared" si="3"/>
        <v>2</v>
      </c>
      <c r="D24" s="205">
        <f t="array" ref="D24">IFERROR(MAX(SUMIFS(TBL_Ventas[Uds],TBL_Ventas[Producto],A24,TBL_Ventas[Semana],$Z$1:$Z$48)),0)</f>
        <v>21</v>
      </c>
      <c r="E24" s="206">
        <f t="array" ref="E24">IFERROR(SUMIF(TBL_Ventas[Producto],A24,TBL_Ventas[Uds])/SUMPRODUCT((COUNTIFS(TBL_Ventas[Producto],A24,TBL_Ventas[Semana],$Z$1:$Z$48)&gt;0)*1),0)</f>
        <v>8.4499999999999993</v>
      </c>
      <c r="F24" s="205">
        <f t="array" ref="F24">SUMPRODUCT((COUNTIFS(TBL_Ventas[Producto],A24,TBL_Ventas[Semana],$Z$1:$Z$48)&gt;0)*1)</f>
        <v>20</v>
      </c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 t="s">
        <v>1646</v>
      </c>
    </row>
    <row r="25" spans="1:26">
      <c r="A25" s="203" t="s">
        <v>700</v>
      </c>
      <c r="B25" s="201">
        <f t="shared" si="2"/>
        <v>8</v>
      </c>
      <c r="C25" s="201">
        <f t="shared" si="3"/>
        <v>2</v>
      </c>
      <c r="D25" s="201">
        <f t="array" ref="D25">IFERROR(MAX(SUMIFS(TBL_Ventas[Uds],TBL_Ventas[Producto],A25,TBL_Ventas[Semana],$Z$1:$Z$48)),0)</f>
        <v>26</v>
      </c>
      <c r="E25" s="202">
        <f t="array" ref="E25">IFERROR(SUMIF(TBL_Ventas[Producto],A25,TBL_Ventas[Uds])/SUMPRODUCT((COUNTIFS(TBL_Ventas[Producto],A25,TBL_Ventas[Semana],$Z$1:$Z$48)&gt;0)*1),0)</f>
        <v>7</v>
      </c>
      <c r="F25" s="201">
        <f t="array" ref="F25">SUMPRODUCT((COUNTIFS(TBL_Ventas[Producto],A25,TBL_Ventas[Semana],$Z$1:$Z$48)&gt;0)*1)</f>
        <v>11</v>
      </c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 t="s">
        <v>1541</v>
      </c>
    </row>
    <row r="26" spans="1:26">
      <c r="A26" s="204" t="s">
        <v>705</v>
      </c>
      <c r="B26" s="205">
        <f t="shared" si="2"/>
        <v>5</v>
      </c>
      <c r="C26" s="205">
        <f t="shared" si="3"/>
        <v>1</v>
      </c>
      <c r="D26" s="205">
        <f t="array" ref="D26">IFERROR(MAX(SUMIFS(TBL_Ventas[Uds],TBL_Ventas[Producto],A26,TBL_Ventas[Semana],$Z$1:$Z$48)),0)</f>
        <v>15</v>
      </c>
      <c r="E26" s="206">
        <f t="array" ref="E26">IFERROR(SUMIF(TBL_Ventas[Producto],A26,TBL_Ventas[Uds])/SUMPRODUCT((COUNTIFS(TBL_Ventas[Producto],A26,TBL_Ventas[Semana],$Z$1:$Z$48)&gt;0)*1),0)</f>
        <v>4.4761904761904763</v>
      </c>
      <c r="F26" s="205">
        <f t="array" ref="F26">SUMPRODUCT((COUNTIFS(TBL_Ventas[Producto],A26,TBL_Ventas[Semana],$Z$1:$Z$48)&gt;0)*1)</f>
        <v>21</v>
      </c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 t="s">
        <v>1543</v>
      </c>
    </row>
    <row r="27" spans="1:26">
      <c r="A27" s="203" t="s">
        <v>1139</v>
      </c>
      <c r="B27" s="201">
        <f t="shared" si="2"/>
        <v>5</v>
      </c>
      <c r="C27" s="201">
        <f t="shared" si="3"/>
        <v>1</v>
      </c>
      <c r="D27" s="201">
        <f t="array" ref="D27">IFERROR(MAX(SUMIFS(TBL_Ventas[Uds],TBL_Ventas[Producto],A27,TBL_Ventas[Semana],$Z$1:$Z$48)),0)</f>
        <v>9</v>
      </c>
      <c r="E27" s="202">
        <f t="array" ref="E27">IFERROR(SUMIF(TBL_Ventas[Producto],A27,TBL_Ventas[Uds])/SUMPRODUCT((COUNTIFS(TBL_Ventas[Producto],A27,TBL_Ventas[Semana],$Z$1:$Z$48)&gt;0)*1),0)</f>
        <v>4.3</v>
      </c>
      <c r="F27" s="201">
        <f t="array" ref="F27">SUMPRODUCT((COUNTIFS(TBL_Ventas[Producto],A27,TBL_Ventas[Semana],$Z$1:$Z$48)&gt;0)*1)</f>
        <v>20</v>
      </c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 t="s">
        <v>1544</v>
      </c>
    </row>
    <row r="28" spans="1:26">
      <c r="A28" s="204" t="s">
        <v>748</v>
      </c>
      <c r="B28" s="205">
        <f t="shared" si="2"/>
        <v>5</v>
      </c>
      <c r="C28" s="205">
        <f t="shared" si="3"/>
        <v>1</v>
      </c>
      <c r="D28" s="205">
        <f t="array" ref="D28">IFERROR(MAX(SUMIFS(TBL_Ventas[Uds],TBL_Ventas[Producto],A28,TBL_Ventas[Semana],$Z$1:$Z$48)),0)</f>
        <v>6</v>
      </c>
      <c r="E28" s="206">
        <f t="array" ref="E28">IFERROR(SUMIF(TBL_Ventas[Producto],A28,TBL_Ventas[Uds])/SUMPRODUCT((COUNTIFS(TBL_Ventas[Producto],A28,TBL_Ventas[Semana],$Z$1:$Z$48)&gt;0)*1),0)</f>
        <v>4.1111111111111107</v>
      </c>
      <c r="F28" s="205">
        <f t="array" ref="F28">SUMPRODUCT((COUNTIFS(TBL_Ventas[Producto],A28,TBL_Ventas[Semana],$Z$1:$Z$48)&gt;0)*1)</f>
        <v>9</v>
      </c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 t="s">
        <v>1605</v>
      </c>
    </row>
    <row r="29" spans="1:26">
      <c r="A29" s="203" t="s">
        <v>2061</v>
      </c>
      <c r="B29" s="201">
        <f t="shared" si="2"/>
        <v>5</v>
      </c>
      <c r="C29" s="201">
        <f t="shared" si="3"/>
        <v>1</v>
      </c>
      <c r="D29" s="201">
        <f t="array" ref="D29">IFERROR(MAX(SUMIFS(TBL_Ventas[Uds],TBL_Ventas[Producto],A29,TBL_Ventas[Semana],$Z$1:$Z$48)),0)</f>
        <v>4</v>
      </c>
      <c r="E29" s="202">
        <f t="array" ref="E29">IFERROR(SUMIF(TBL_Ventas[Producto],A29,TBL_Ventas[Uds])/SUMPRODUCT((COUNTIFS(TBL_Ventas[Producto],A29,TBL_Ventas[Semana],$Z$1:$Z$48)&gt;0)*1),0)</f>
        <v>4</v>
      </c>
      <c r="F29" s="201">
        <f t="array" ref="F29">SUMPRODUCT((COUNTIFS(TBL_Ventas[Producto],A29,TBL_Ventas[Semana],$Z$1:$Z$48)&gt;0)*1)</f>
        <v>1</v>
      </c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 t="s">
        <v>1561</v>
      </c>
    </row>
    <row r="30" spans="1:26">
      <c r="A30" s="204" t="s">
        <v>1073</v>
      </c>
      <c r="B30" s="205">
        <f t="shared" si="2"/>
        <v>5</v>
      </c>
      <c r="C30" s="205">
        <f t="shared" si="3"/>
        <v>1</v>
      </c>
      <c r="D30" s="205">
        <f t="array" ref="D30">IFERROR(MAX(SUMIFS(TBL_Ventas[Uds],TBL_Ventas[Producto],A30,TBL_Ventas[Semana],$Z$1:$Z$48)),0)</f>
        <v>8</v>
      </c>
      <c r="E30" s="206">
        <f t="array" ref="E30">IFERROR(SUMIF(TBL_Ventas[Producto],A30,TBL_Ventas[Uds])/SUMPRODUCT((COUNTIFS(TBL_Ventas[Producto],A30,TBL_Ventas[Semana],$Z$1:$Z$48)&gt;0)*1),0)</f>
        <v>3.7222222222222223</v>
      </c>
      <c r="F30" s="205">
        <f t="array" ref="F30">SUMPRODUCT((COUNTIFS(TBL_Ventas[Producto],A30,TBL_Ventas[Semana],$Z$1:$Z$48)&gt;0)*1)</f>
        <v>18</v>
      </c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 t="s">
        <v>1608</v>
      </c>
    </row>
    <row r="31" spans="1:26">
      <c r="A31" s="203" t="s">
        <v>2065</v>
      </c>
      <c r="B31" s="201">
        <f t="shared" si="2"/>
        <v>4</v>
      </c>
      <c r="C31" s="201">
        <f t="shared" si="3"/>
        <v>1</v>
      </c>
      <c r="D31" s="201">
        <f t="array" ref="D31">IFERROR(MAX(SUMIFS(TBL_Ventas[Uds],TBL_Ventas[Producto],A31,TBL_Ventas[Semana],$Z$1:$Z$48)),0)</f>
        <v>3</v>
      </c>
      <c r="E31" s="202">
        <f t="array" ref="E31">IFERROR(SUMIF(TBL_Ventas[Producto],A31,TBL_Ventas[Uds])/SUMPRODUCT((COUNTIFS(TBL_Ventas[Producto],A31,TBL_Ventas[Semana],$Z$1:$Z$48)&gt;0)*1),0)</f>
        <v>3</v>
      </c>
      <c r="F31" s="201">
        <f t="array" ref="F31">SUMPRODUCT((COUNTIFS(TBL_Ventas[Producto],A31,TBL_Ventas[Semana],$Z$1:$Z$48)&gt;0)*1)</f>
        <v>1</v>
      </c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 t="s">
        <v>1610</v>
      </c>
    </row>
    <row r="32" spans="1:26">
      <c r="A32" s="204" t="s">
        <v>2063</v>
      </c>
      <c r="B32" s="205">
        <f t="shared" si="2"/>
        <v>3</v>
      </c>
      <c r="C32" s="205">
        <f t="shared" si="3"/>
        <v>1</v>
      </c>
      <c r="D32" s="205">
        <f t="array" ref="D32">IFERROR(MAX(SUMIFS(TBL_Ventas[Uds],TBL_Ventas[Producto],A32,TBL_Ventas[Semana],$Z$1:$Z$48)),0)</f>
        <v>4</v>
      </c>
      <c r="E32" s="206">
        <f t="array" ref="E32">IFERROR(SUMIF(TBL_Ventas[Producto],A32,TBL_Ventas[Uds])/SUMPRODUCT((COUNTIFS(TBL_Ventas[Producto],A32,TBL_Ventas[Semana],$Z$1:$Z$48)&gt;0)*1),0)</f>
        <v>2.5</v>
      </c>
      <c r="F32" s="205">
        <f t="array" ref="F32">SUMPRODUCT((COUNTIFS(TBL_Ventas[Producto],A32,TBL_Ventas[Semana],$Z$1:$Z$48)&gt;0)*1)</f>
        <v>2</v>
      </c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 t="s">
        <v>1546</v>
      </c>
    </row>
    <row r="33" spans="1:26">
      <c r="A33" s="203" t="s">
        <v>2086</v>
      </c>
      <c r="B33" s="201">
        <f t="shared" si="2"/>
        <v>3</v>
      </c>
      <c r="C33" s="201">
        <f t="shared" si="3"/>
        <v>1</v>
      </c>
      <c r="D33" s="201">
        <f t="array" ref="D33">IFERROR(MAX(SUMIFS(TBL_Ventas[Uds],TBL_Ventas[Producto],A33,TBL_Ventas[Semana],$Z$1:$Z$48)),0)</f>
        <v>6</v>
      </c>
      <c r="E33" s="202">
        <f t="array" ref="E33">IFERROR(SUMIF(TBL_Ventas[Producto],A33,TBL_Ventas[Uds])/SUMPRODUCT((COUNTIFS(TBL_Ventas[Producto],A33,TBL_Ventas[Semana],$Z$1:$Z$48)&gt;0)*1),0)</f>
        <v>2.4705882352941178</v>
      </c>
      <c r="F33" s="201">
        <f t="array" ref="F33">SUMPRODUCT((COUNTIFS(TBL_Ventas[Producto],A33,TBL_Ventas[Semana],$Z$1:$Z$48)&gt;0)*1)</f>
        <v>17</v>
      </c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 t="s">
        <v>1547</v>
      </c>
    </row>
    <row r="34" spans="1:26">
      <c r="A34" s="207" t="s">
        <v>2365</v>
      </c>
      <c r="B34" s="208">
        <f>SUM(B23:B33)</f>
        <v>73</v>
      </c>
      <c r="C34" s="208">
        <f>SUM(C23:C33)</f>
        <v>15</v>
      </c>
      <c r="D34" s="209"/>
      <c r="E34" s="210"/>
      <c r="F34" s="209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 t="s">
        <v>1582</v>
      </c>
    </row>
    <row r="35" spans="1:26" ht="8" customHeight="1">
      <c r="A35" s="211"/>
      <c r="B35" s="201"/>
      <c r="C35" s="201"/>
      <c r="D35" s="201"/>
      <c r="E35" s="202"/>
      <c r="F35" s="201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 t="s">
        <v>1522</v>
      </c>
    </row>
    <row r="36" spans="1:26" ht="30" customHeight="1">
      <c r="A36" s="1210" t="s">
        <v>2367</v>
      </c>
      <c r="B36" s="1211"/>
      <c r="C36" s="1211"/>
      <c r="D36" s="1211"/>
      <c r="E36" s="1211"/>
      <c r="F36" s="1211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 t="s">
        <v>1550</v>
      </c>
    </row>
    <row r="37" spans="1:26">
      <c r="A37" s="204" t="s">
        <v>750</v>
      </c>
      <c r="B37" s="205">
        <f t="shared" ref="B37:B45" si="4">ROUNDUP(E37*IF($B$3="2 semanas",2,1)*1.1, 0)</f>
        <v>9</v>
      </c>
      <c r="C37" s="205">
        <f t="shared" ref="C37:C45" si="5">ROUNDUP(B37/7, 0)</f>
        <v>2</v>
      </c>
      <c r="D37" s="205">
        <f t="array" ref="D37">IFERROR(MAX(SUMIFS(TBL_Ventas[Uds],TBL_Ventas[Producto],A37,TBL_Ventas[Semana],$Z$1:$Z$48)),0)</f>
        <v>8</v>
      </c>
      <c r="E37" s="206">
        <f t="array" ref="E37">IFERROR(SUMIF(TBL_Ventas[Producto],A37,TBL_Ventas[Uds])/SUMPRODUCT((COUNTIFS(TBL_Ventas[Producto],A37,TBL_Ventas[Semana],$Z$1:$Z$48)&gt;0)*1),0)</f>
        <v>8</v>
      </c>
      <c r="F37" s="205">
        <f t="array" ref="F37">SUMPRODUCT((COUNTIFS(TBL_Ventas[Producto],A37,TBL_Ventas[Semana],$Z$1:$Z$48)&gt;0)*1)</f>
        <v>1</v>
      </c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 t="s">
        <v>1675</v>
      </c>
    </row>
    <row r="38" spans="1:26">
      <c r="A38" s="203" t="s">
        <v>684</v>
      </c>
      <c r="B38" s="201">
        <f t="shared" si="4"/>
        <v>8</v>
      </c>
      <c r="C38" s="201">
        <f t="shared" si="5"/>
        <v>2</v>
      </c>
      <c r="D38" s="201">
        <f t="array" ref="D38">IFERROR(MAX(SUMIFS(TBL_Ventas[Uds],TBL_Ventas[Producto],A38,TBL_Ventas[Semana],$Z$1:$Z$48)),0)</f>
        <v>21</v>
      </c>
      <c r="E38" s="202">
        <f t="array" ref="E38">IFERROR(SUMIF(TBL_Ventas[Producto],A38,TBL_Ventas[Uds])/SUMPRODUCT((COUNTIFS(TBL_Ventas[Producto],A38,TBL_Ventas[Semana],$Z$1:$Z$48)&gt;0)*1),0)</f>
        <v>7.0769230769230766</v>
      </c>
      <c r="F38" s="201">
        <f t="array" ref="F38">SUMPRODUCT((COUNTIFS(TBL_Ventas[Producto],A38,TBL_Ventas[Semana],$Z$1:$Z$48)&gt;0)*1)</f>
        <v>26</v>
      </c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 t="s">
        <v>1524</v>
      </c>
    </row>
    <row r="39" spans="1:26">
      <c r="A39" s="204" t="s">
        <v>696</v>
      </c>
      <c r="B39" s="205">
        <f t="shared" si="4"/>
        <v>7</v>
      </c>
      <c r="C39" s="205">
        <f t="shared" si="5"/>
        <v>1</v>
      </c>
      <c r="D39" s="205">
        <f t="array" ref="D39">IFERROR(MAX(SUMIFS(TBL_Ventas[Uds],TBL_Ventas[Producto],A39,TBL_Ventas[Semana],$Z$1:$Z$48)),0)</f>
        <v>18</v>
      </c>
      <c r="E39" s="206">
        <f t="array" ref="E39">IFERROR(SUMIF(TBL_Ventas[Producto],A39,TBL_Ventas[Uds])/SUMPRODUCT((COUNTIFS(TBL_Ventas[Producto],A39,TBL_Ventas[Semana],$Z$1:$Z$48)&gt;0)*1),0)</f>
        <v>5.8076923076923075</v>
      </c>
      <c r="F39" s="205">
        <f t="array" ref="F39">SUMPRODUCT((COUNTIFS(TBL_Ventas[Producto],A39,TBL_Ventas[Semana],$Z$1:$Z$48)&gt;0)*1)</f>
        <v>26</v>
      </c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 t="s">
        <v>1584</v>
      </c>
    </row>
    <row r="40" spans="1:26">
      <c r="A40" s="203" t="s">
        <v>771</v>
      </c>
      <c r="B40" s="201">
        <f t="shared" si="4"/>
        <v>6</v>
      </c>
      <c r="C40" s="201">
        <f t="shared" si="5"/>
        <v>1</v>
      </c>
      <c r="D40" s="201">
        <f t="array" ref="D40">IFERROR(MAX(SUMIFS(TBL_Ventas[Uds],TBL_Ventas[Producto],A40,TBL_Ventas[Semana],$Z$1:$Z$48)),0)</f>
        <v>5</v>
      </c>
      <c r="E40" s="202">
        <f t="array" ref="E40">IFERROR(SUMIF(TBL_Ventas[Producto],A40,TBL_Ventas[Uds])/SUMPRODUCT((COUNTIFS(TBL_Ventas[Producto],A40,TBL_Ventas[Semana],$Z$1:$Z$48)&gt;0)*1),0)</f>
        <v>5</v>
      </c>
      <c r="F40" s="201">
        <f t="array" ref="F40">SUMPRODUCT((COUNTIFS(TBL_Ventas[Producto],A40,TBL_Ventas[Semana],$Z$1:$Z$48)&gt;0)*1)</f>
        <v>1</v>
      </c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 t="s">
        <v>1614</v>
      </c>
    </row>
    <row r="41" spans="1:26">
      <c r="A41" s="204" t="s">
        <v>782</v>
      </c>
      <c r="B41" s="205">
        <f t="shared" si="4"/>
        <v>9</v>
      </c>
      <c r="C41" s="205">
        <f t="shared" si="5"/>
        <v>2</v>
      </c>
      <c r="D41" s="205">
        <f t="array" ref="D41">IFERROR(MAX(SUMIFS(TBL_Ventas[Uds],TBL_Ventas[Producto],A41,TBL_Ventas[Semana],$Z$1:$Z$48)),0)</f>
        <v>16</v>
      </c>
      <c r="E41" s="206">
        <f t="array" ref="E41">IFERROR(SUMIF(TBL_Ventas[Producto],A41,TBL_Ventas[Uds])/SUMPRODUCT((COUNTIFS(TBL_Ventas[Producto],A41,TBL_Ventas[Semana],$Z$1:$Z$48)&gt;0)*1),0)</f>
        <v>7.4</v>
      </c>
      <c r="F41" s="205">
        <f t="array" ref="F41">SUMPRODUCT((COUNTIFS(TBL_Ventas[Producto],A41,TBL_Ventas[Semana],$Z$1:$Z$48)&gt;0)*1)</f>
        <v>5</v>
      </c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 t="s">
        <v>1631</v>
      </c>
    </row>
    <row r="42" spans="1:26">
      <c r="A42" s="203" t="s">
        <v>1587</v>
      </c>
      <c r="B42" s="201">
        <f t="shared" si="4"/>
        <v>3</v>
      </c>
      <c r="C42" s="201">
        <f t="shared" si="5"/>
        <v>1</v>
      </c>
      <c r="D42" s="201">
        <f t="array" ref="D42">IFERROR(MAX(SUMIFS(TBL_Ventas[Uds],TBL_Ventas[Producto],A42,TBL_Ventas[Semana],$Z$1:$Z$48)),0)</f>
        <v>6</v>
      </c>
      <c r="E42" s="202">
        <f t="array" ref="E42">IFERROR(SUMIF(TBL_Ventas[Producto],A42,TBL_Ventas[Uds])/SUMPRODUCT((COUNTIFS(TBL_Ventas[Producto],A42,TBL_Ventas[Semana],$Z$1:$Z$48)&gt;0)*1),0)</f>
        <v>2.7</v>
      </c>
      <c r="F42" s="201">
        <f t="array" ref="F42">SUMPRODUCT((COUNTIFS(TBL_Ventas[Producto],A42,TBL_Ventas[Semana],$Z$1:$Z$48)&gt;0)*1)</f>
        <v>20</v>
      </c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 t="s">
        <v>1552</v>
      </c>
    </row>
    <row r="43" spans="1:26">
      <c r="A43" s="204" t="s">
        <v>762</v>
      </c>
      <c r="B43" s="205">
        <f t="shared" si="4"/>
        <v>3</v>
      </c>
      <c r="C43" s="205">
        <f t="shared" si="5"/>
        <v>1</v>
      </c>
      <c r="D43" s="205">
        <f t="array" ref="D43">IFERROR(MAX(SUMIFS(TBL_Ventas[Uds],TBL_Ventas[Producto],A43,TBL_Ventas[Semana],$Z$1:$Z$48)),0)</f>
        <v>4</v>
      </c>
      <c r="E43" s="206">
        <f t="array" ref="E43">IFERROR(SUMIF(TBL_Ventas[Producto],A43,TBL_Ventas[Uds])/SUMPRODUCT((COUNTIFS(TBL_Ventas[Producto],A43,TBL_Ventas[Semana],$Z$1:$Z$48)&gt;0)*1),0)</f>
        <v>2.5</v>
      </c>
      <c r="F43" s="205">
        <f t="array" ref="F43">SUMPRODUCT((COUNTIFS(TBL_Ventas[Producto],A43,TBL_Ventas[Semana],$Z$1:$Z$48)&gt;0)*1)</f>
        <v>4</v>
      </c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 t="s">
        <v>1617</v>
      </c>
    </row>
    <row r="44" spans="1:26">
      <c r="A44" s="203" t="s">
        <v>726</v>
      </c>
      <c r="B44" s="201">
        <f t="shared" si="4"/>
        <v>3</v>
      </c>
      <c r="C44" s="201">
        <f t="shared" si="5"/>
        <v>1</v>
      </c>
      <c r="D44" s="201">
        <f t="array" ref="D44">IFERROR(MAX(SUMIFS(TBL_Ventas[Uds],TBL_Ventas[Producto],A44,TBL_Ventas[Semana],$Z$1:$Z$48)),0)</f>
        <v>9</v>
      </c>
      <c r="E44" s="202">
        <f t="array" ref="E44">IFERROR(SUMIF(TBL_Ventas[Producto],A44,TBL_Ventas[Uds])/SUMPRODUCT((COUNTIFS(TBL_Ventas[Producto],A44,TBL_Ventas[Semana],$Z$1:$Z$48)&gt;0)*1),0)</f>
        <v>2.2857142857142856</v>
      </c>
      <c r="F44" s="201">
        <f t="array" ref="F44">SUMPRODUCT((COUNTIFS(TBL_Ventas[Producto],A44,TBL_Ventas[Semana],$Z$1:$Z$48)&gt;0)*1)</f>
        <v>7</v>
      </c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 t="s">
        <v>1553</v>
      </c>
    </row>
    <row r="45" spans="1:26">
      <c r="A45" s="204" t="s">
        <v>809</v>
      </c>
      <c r="B45" s="205">
        <f t="shared" si="4"/>
        <v>3</v>
      </c>
      <c r="C45" s="205">
        <f t="shared" si="5"/>
        <v>1</v>
      </c>
      <c r="D45" s="205">
        <f t="array" ref="D45">IFERROR(MAX(SUMIFS(TBL_Ventas[Uds],TBL_Ventas[Producto],A45,TBL_Ventas[Semana],$Z$1:$Z$48)),0)</f>
        <v>2</v>
      </c>
      <c r="E45" s="206">
        <f t="array" ref="E45">IFERROR(SUMIF(TBL_Ventas[Producto],A45,TBL_Ventas[Uds])/SUMPRODUCT((COUNTIFS(TBL_Ventas[Producto],A45,TBL_Ventas[Semana],$Z$1:$Z$48)&gt;0)*1),0)</f>
        <v>2</v>
      </c>
      <c r="F45" s="205">
        <f t="array" ref="F45">SUMPRODUCT((COUNTIFS(TBL_Ventas[Producto],A45,TBL_Ventas[Semana],$Z$1:$Z$48)&gt;0)*1)</f>
        <v>1</v>
      </c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 t="s">
        <v>1555</v>
      </c>
    </row>
    <row r="46" spans="1:26">
      <c r="A46" s="207" t="s">
        <v>2365</v>
      </c>
      <c r="B46" s="208">
        <f>SUM(B37:B45)</f>
        <v>51</v>
      </c>
      <c r="C46" s="208">
        <f>SUM(C37:C45)</f>
        <v>12</v>
      </c>
      <c r="D46" s="209"/>
      <c r="E46" s="210"/>
      <c r="F46" s="209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 t="s">
        <v>1557</v>
      </c>
    </row>
    <row r="47" spans="1:26" ht="8" customHeight="1">
      <c r="A47" s="211"/>
      <c r="B47" s="201"/>
      <c r="C47" s="201"/>
      <c r="D47" s="201"/>
      <c r="E47" s="202"/>
      <c r="F47" s="201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 t="s">
        <v>1526</v>
      </c>
    </row>
    <row r="48" spans="1:26" ht="30" customHeight="1">
      <c r="A48" s="1210" t="s">
        <v>2368</v>
      </c>
      <c r="B48" s="1211"/>
      <c r="C48" s="1211"/>
      <c r="D48" s="1211"/>
      <c r="E48" s="1211"/>
      <c r="F48" s="1211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 t="s">
        <v>1930</v>
      </c>
    </row>
    <row r="49" spans="1:6">
      <c r="A49" s="203" t="s">
        <v>1179</v>
      </c>
      <c r="B49" s="201">
        <f t="shared" ref="B49:B58" si="6">ROUNDUP(E49*IF($B$3="2 semanas",2,1)*1.1, 0)</f>
        <v>9</v>
      </c>
      <c r="C49" s="201">
        <f t="shared" ref="C49:C58" si="7">ROUNDUP(B49/7, 0)</f>
        <v>2</v>
      </c>
      <c r="D49" s="201">
        <f t="array" ref="D49">IFERROR(MAX(SUMIFS(TBL_Ventas[Uds],TBL_Ventas[Producto],A49,TBL_Ventas[Semana],$Z$1:$Z$48)),0)</f>
        <v>16</v>
      </c>
      <c r="E49" s="202">
        <f t="array" ref="E49">IFERROR(SUMIF(TBL_Ventas[Producto],A49,TBL_Ventas[Uds])/SUMPRODUCT((COUNTIFS(TBL_Ventas[Producto],A49,TBL_Ventas[Semana],$Z$1:$Z$48)&gt;0)*1),0)</f>
        <v>7.916666666666667</v>
      </c>
      <c r="F49" s="201">
        <f t="array" ref="F49">SUMPRODUCT((COUNTIFS(TBL_Ventas[Producto],A49,TBL_Ventas[Semana],$Z$1:$Z$48)&gt;0)*1)</f>
        <v>12</v>
      </c>
    </row>
    <row r="50" spans="1:6">
      <c r="A50" s="204" t="s">
        <v>915</v>
      </c>
      <c r="B50" s="205">
        <f t="shared" si="6"/>
        <v>8</v>
      </c>
      <c r="C50" s="205">
        <f t="shared" si="7"/>
        <v>2</v>
      </c>
      <c r="D50" s="205">
        <f t="array" ref="D50">IFERROR(MAX(SUMIFS(TBL_Ventas[Uds],TBL_Ventas[Producto],A50,TBL_Ventas[Semana],$Z$1:$Z$48)),0)</f>
        <v>17</v>
      </c>
      <c r="E50" s="206">
        <f t="array" ref="E50">IFERROR(SUMIF(TBL_Ventas[Producto],A50,TBL_Ventas[Uds])/SUMPRODUCT((COUNTIFS(TBL_Ventas[Producto],A50,TBL_Ventas[Semana],$Z$1:$Z$48)&gt;0)*1),0)</f>
        <v>6.9473684210526319</v>
      </c>
      <c r="F50" s="205">
        <f t="array" ref="F50">SUMPRODUCT((COUNTIFS(TBL_Ventas[Producto],A50,TBL_Ventas[Semana],$Z$1:$Z$48)&gt;0)*1)</f>
        <v>19</v>
      </c>
    </row>
    <row r="51" spans="1:6">
      <c r="A51" s="203" t="s">
        <v>704</v>
      </c>
      <c r="B51" s="201">
        <f t="shared" si="6"/>
        <v>8</v>
      </c>
      <c r="C51" s="201">
        <f t="shared" si="7"/>
        <v>2</v>
      </c>
      <c r="D51" s="201">
        <f t="array" ref="D51">IFERROR(MAX(SUMIFS(TBL_Ventas[Uds],TBL_Ventas[Producto],A51,TBL_Ventas[Semana],$Z$1:$Z$48)),0)</f>
        <v>10</v>
      </c>
      <c r="E51" s="202">
        <f t="array" ref="E51">IFERROR(SUMIF(TBL_Ventas[Producto],A51,TBL_Ventas[Uds])/SUMPRODUCT((COUNTIFS(TBL_Ventas[Producto],A51,TBL_Ventas[Semana],$Z$1:$Z$48)&gt;0)*1),0)</f>
        <v>6.7</v>
      </c>
      <c r="F51" s="201">
        <f t="array" ref="F51">SUMPRODUCT((COUNTIFS(TBL_Ventas[Producto],A51,TBL_Ventas[Semana],$Z$1:$Z$48)&gt;0)*1)</f>
        <v>10</v>
      </c>
    </row>
    <row r="52" spans="1:6">
      <c r="A52" s="204" t="s">
        <v>688</v>
      </c>
      <c r="B52" s="205">
        <f t="shared" si="6"/>
        <v>6</v>
      </c>
      <c r="C52" s="205">
        <f t="shared" si="7"/>
        <v>1</v>
      </c>
      <c r="D52" s="205">
        <f t="array" ref="D52">IFERROR(MAX(SUMIFS(TBL_Ventas[Uds],TBL_Ventas[Producto],A52,TBL_Ventas[Semana],$Z$1:$Z$48)),0)</f>
        <v>10</v>
      </c>
      <c r="E52" s="206">
        <f t="array" ref="E52">IFERROR(SUMIF(TBL_Ventas[Producto],A52,TBL_Ventas[Uds])/SUMPRODUCT((COUNTIFS(TBL_Ventas[Producto],A52,TBL_Ventas[Semana],$Z$1:$Z$48)&gt;0)*1),0)</f>
        <v>5.2307692307692308</v>
      </c>
      <c r="F52" s="205">
        <f t="array" ref="F52">SUMPRODUCT((COUNTIFS(TBL_Ventas[Producto],A52,TBL_Ventas[Semana],$Z$1:$Z$48)&gt;0)*1)</f>
        <v>13</v>
      </c>
    </row>
    <row r="53" spans="1:6">
      <c r="A53" s="203" t="s">
        <v>701</v>
      </c>
      <c r="B53" s="201">
        <f t="shared" si="6"/>
        <v>6</v>
      </c>
      <c r="C53" s="201">
        <f t="shared" si="7"/>
        <v>1</v>
      </c>
      <c r="D53" s="201">
        <f t="array" ref="D53">IFERROR(MAX(SUMIFS(TBL_Ventas[Uds],TBL_Ventas[Producto],A53,TBL_Ventas[Semana],$Z$1:$Z$48)),0)</f>
        <v>10</v>
      </c>
      <c r="E53" s="202">
        <f t="array" ref="E53">IFERROR(SUMIF(TBL_Ventas[Producto],A53,TBL_Ventas[Uds])/SUMPRODUCT((COUNTIFS(TBL_Ventas[Producto],A53,TBL_Ventas[Semana],$Z$1:$Z$48)&gt;0)*1),0)</f>
        <v>5.1538461538461542</v>
      </c>
      <c r="F53" s="201">
        <f t="array" ref="F53">SUMPRODUCT((COUNTIFS(TBL_Ventas[Producto],A53,TBL_Ventas[Semana],$Z$1:$Z$48)&gt;0)*1)</f>
        <v>13</v>
      </c>
    </row>
    <row r="54" spans="1:6">
      <c r="A54" s="204" t="s">
        <v>1044</v>
      </c>
      <c r="B54" s="205">
        <f t="shared" si="6"/>
        <v>6</v>
      </c>
      <c r="C54" s="205">
        <f t="shared" si="7"/>
        <v>1</v>
      </c>
      <c r="D54" s="205">
        <f t="array" ref="D54">IFERROR(MAX(SUMIFS(TBL_Ventas[Uds],TBL_Ventas[Producto],A54,TBL_Ventas[Semana],$Z$1:$Z$48)),0)</f>
        <v>10</v>
      </c>
      <c r="E54" s="206">
        <f t="array" ref="E54">IFERROR(SUMIF(TBL_Ventas[Producto],A54,TBL_Ventas[Uds])/SUMPRODUCT((COUNTIFS(TBL_Ventas[Producto],A54,TBL_Ventas[Semana],$Z$1:$Z$48)&gt;0)*1),0)</f>
        <v>5.3684210526315788</v>
      </c>
      <c r="F54" s="205">
        <f t="array" ref="F54">SUMPRODUCT((COUNTIFS(TBL_Ventas[Producto],A54,TBL_Ventas[Semana],$Z$1:$Z$48)&gt;0)*1)</f>
        <v>19</v>
      </c>
    </row>
    <row r="55" spans="1:6">
      <c r="A55" s="203" t="s">
        <v>1188</v>
      </c>
      <c r="B55" s="201">
        <f t="shared" si="6"/>
        <v>5</v>
      </c>
      <c r="C55" s="201">
        <f t="shared" si="7"/>
        <v>1</v>
      </c>
      <c r="D55" s="201">
        <f t="array" ref="D55">IFERROR(MAX(SUMIFS(TBL_Ventas[Uds],TBL_Ventas[Producto],A55,TBL_Ventas[Semana],$Z$1:$Z$48)),0)</f>
        <v>9</v>
      </c>
      <c r="E55" s="202">
        <f t="array" ref="E55">IFERROR(SUMIF(TBL_Ventas[Producto],A55,TBL_Ventas[Uds])/SUMPRODUCT((COUNTIFS(TBL_Ventas[Producto],A55,TBL_Ventas[Semana],$Z$1:$Z$48)&gt;0)*1),0)</f>
        <v>3.6956521739130435</v>
      </c>
      <c r="F55" s="201">
        <f t="array" ref="F55">SUMPRODUCT((COUNTIFS(TBL_Ventas[Producto],A55,TBL_Ventas[Semana],$Z$1:$Z$48)&gt;0)*1)</f>
        <v>23</v>
      </c>
    </row>
    <row r="56" spans="1:6">
      <c r="A56" s="204" t="s">
        <v>1633</v>
      </c>
      <c r="B56" s="205">
        <f t="shared" si="6"/>
        <v>4</v>
      </c>
      <c r="C56" s="205">
        <f t="shared" si="7"/>
        <v>1</v>
      </c>
      <c r="D56" s="205">
        <f t="array" ref="D56">IFERROR(MAX(SUMIFS(TBL_Ventas[Uds],TBL_Ventas[Producto],A56,TBL_Ventas[Semana],$Z$1:$Z$48)),0)</f>
        <v>9</v>
      </c>
      <c r="E56" s="206">
        <f t="array" ref="E56">IFERROR(SUMIF(TBL_Ventas[Producto],A56,TBL_Ventas[Uds])/SUMPRODUCT((COUNTIFS(TBL_Ventas[Producto],A56,TBL_Ventas[Semana],$Z$1:$Z$48)&gt;0)*1),0)</f>
        <v>3.2941176470588234</v>
      </c>
      <c r="F56" s="205">
        <f t="array" ref="F56">SUMPRODUCT((COUNTIFS(TBL_Ventas[Producto],A56,TBL_Ventas[Semana],$Z$1:$Z$48)&gt;0)*1)</f>
        <v>17</v>
      </c>
    </row>
    <row r="57" spans="1:6">
      <c r="A57" s="203" t="s">
        <v>954</v>
      </c>
      <c r="B57" s="201">
        <f t="shared" si="6"/>
        <v>4</v>
      </c>
      <c r="C57" s="201">
        <f t="shared" si="7"/>
        <v>1</v>
      </c>
      <c r="D57" s="201">
        <f t="array" ref="D57">IFERROR(MAX(SUMIFS(TBL_Ventas[Uds],TBL_Ventas[Producto],A57,TBL_Ventas[Semana],$Z$1:$Z$48)),0)</f>
        <v>15</v>
      </c>
      <c r="E57" s="202">
        <f t="array" ref="E57">IFERROR(SUMIF(TBL_Ventas[Producto],A57,TBL_Ventas[Uds])/SUMPRODUCT((COUNTIFS(TBL_Ventas[Producto],A57,TBL_Ventas[Semana],$Z$1:$Z$48)&gt;0)*1),0)</f>
        <v>3.0588235294117645</v>
      </c>
      <c r="F57" s="201">
        <f t="array" ref="F57">SUMPRODUCT((COUNTIFS(TBL_Ventas[Producto],A57,TBL_Ventas[Semana],$Z$1:$Z$48)&gt;0)*1)</f>
        <v>17</v>
      </c>
    </row>
    <row r="58" spans="1:6">
      <c r="A58" s="204" t="s">
        <v>719</v>
      </c>
      <c r="B58" s="205">
        <f t="shared" si="6"/>
        <v>3</v>
      </c>
      <c r="C58" s="205">
        <f t="shared" si="7"/>
        <v>1</v>
      </c>
      <c r="D58" s="205">
        <f t="array" ref="D58">IFERROR(MAX(SUMIFS(TBL_Ventas[Uds],TBL_Ventas[Producto],A58,TBL_Ventas[Semana],$Z$1:$Z$48)),0)</f>
        <v>4</v>
      </c>
      <c r="E58" s="206">
        <f t="array" ref="E58">IFERROR(SUMIF(TBL_Ventas[Producto],A58,TBL_Ventas[Uds])/SUMPRODUCT((COUNTIFS(TBL_Ventas[Producto],A58,TBL_Ventas[Semana],$Z$1:$Z$48)&gt;0)*1),0)</f>
        <v>2.2222222222222223</v>
      </c>
      <c r="F58" s="205">
        <f t="array" ref="F58">SUMPRODUCT((COUNTIFS(TBL_Ventas[Producto],A58,TBL_Ventas[Semana],$Z$1:$Z$48)&gt;0)*1)</f>
        <v>9</v>
      </c>
    </row>
    <row r="59" spans="1:6">
      <c r="A59" s="207" t="s">
        <v>2365</v>
      </c>
      <c r="B59" s="208">
        <f>SUM(B49:B58)</f>
        <v>59</v>
      </c>
      <c r="C59" s="208">
        <f>SUM(C49:C58)</f>
        <v>13</v>
      </c>
      <c r="D59" s="209"/>
      <c r="E59" s="210"/>
      <c r="F59" s="209"/>
    </row>
    <row r="60" spans="1:6" ht="8" customHeight="1">
      <c r="A60" s="211"/>
      <c r="B60" s="201"/>
      <c r="C60" s="201"/>
      <c r="D60" s="201"/>
      <c r="E60" s="202"/>
      <c r="F60" s="201"/>
    </row>
    <row r="61" spans="1:6" ht="30" customHeight="1">
      <c r="A61" s="1210" t="s">
        <v>2369</v>
      </c>
      <c r="B61" s="1211"/>
      <c r="C61" s="1211"/>
      <c r="D61" s="1211"/>
      <c r="E61" s="1211"/>
      <c r="F61" s="1211"/>
    </row>
    <row r="62" spans="1:6">
      <c r="A62" s="203" t="s">
        <v>802</v>
      </c>
      <c r="B62" s="201">
        <f t="shared" ref="B62:B73" si="8">ROUNDUP(E62*IF($B$3="2 semanas",2,1)*1.1, 0)</f>
        <v>4</v>
      </c>
      <c r="C62" s="201">
        <f t="shared" ref="C62:C73" si="9">ROUNDUP(B62/7, 0)</f>
        <v>1</v>
      </c>
      <c r="D62" s="201">
        <f t="array" ref="D62">IFERROR(MAX(SUMIFS(TBL_Ventas[Uds],TBL_Ventas[Producto],A62,TBL_Ventas[Semana],$Z$1:$Z$48)),0)</f>
        <v>14</v>
      </c>
      <c r="E62" s="202">
        <f t="array" ref="E62">IFERROR(SUMIF(TBL_Ventas[Producto],A62,TBL_Ventas[Uds])/SUMPRODUCT((COUNTIFS(TBL_Ventas[Producto],A62,TBL_Ventas[Semana],$Z$1:$Z$48)&gt;0)*1),0)</f>
        <v>3.4651162790697674</v>
      </c>
      <c r="F62" s="201">
        <f t="array" ref="F62">SUMPRODUCT((COUNTIFS(TBL_Ventas[Producto],A62,TBL_Ventas[Semana],$Z$1:$Z$48)&gt;0)*1)</f>
        <v>43</v>
      </c>
    </row>
    <row r="63" spans="1:6">
      <c r="A63" s="204" t="s">
        <v>761</v>
      </c>
      <c r="B63" s="205">
        <f t="shared" si="8"/>
        <v>4</v>
      </c>
      <c r="C63" s="205">
        <f t="shared" si="9"/>
        <v>1</v>
      </c>
      <c r="D63" s="205">
        <f t="array" ref="D63">IFERROR(MAX(SUMIFS(TBL_Ventas[Uds],TBL_Ventas[Producto],A63,TBL_Ventas[Semana],$Z$1:$Z$48)),0)</f>
        <v>14</v>
      </c>
      <c r="E63" s="206">
        <f t="array" ref="E63">IFERROR(SUMIF(TBL_Ventas[Producto],A63,TBL_Ventas[Uds])/SUMPRODUCT((COUNTIFS(TBL_Ventas[Producto],A63,TBL_Ventas[Semana],$Z$1:$Z$48)&gt;0)*1),0)</f>
        <v>3.6315789473684212</v>
      </c>
      <c r="F63" s="205">
        <f t="array" ref="F63">SUMPRODUCT((COUNTIFS(TBL_Ventas[Producto],A63,TBL_Ventas[Semana],$Z$1:$Z$48)&gt;0)*1)</f>
        <v>38</v>
      </c>
    </row>
    <row r="64" spans="1:6">
      <c r="A64" s="203" t="s">
        <v>723</v>
      </c>
      <c r="B64" s="201">
        <f t="shared" si="8"/>
        <v>4</v>
      </c>
      <c r="C64" s="201">
        <f t="shared" si="9"/>
        <v>1</v>
      </c>
      <c r="D64" s="201">
        <f t="array" ref="D64">IFERROR(MAX(SUMIFS(TBL_Ventas[Uds],TBL_Ventas[Producto],A64,TBL_Ventas[Semana],$Z$1:$Z$48)),0)</f>
        <v>9</v>
      </c>
      <c r="E64" s="202">
        <f t="array" ref="E64">IFERROR(SUMIF(TBL_Ventas[Producto],A64,TBL_Ventas[Uds])/SUMPRODUCT((COUNTIFS(TBL_Ventas[Producto],A64,TBL_Ventas[Semana],$Z$1:$Z$48)&gt;0)*1),0)</f>
        <v>3.4285714285714284</v>
      </c>
      <c r="F64" s="201">
        <f t="array" ref="F64">SUMPRODUCT((COUNTIFS(TBL_Ventas[Producto],A64,TBL_Ventas[Semana],$Z$1:$Z$48)&gt;0)*1)</f>
        <v>42</v>
      </c>
    </row>
    <row r="65" spans="1:6">
      <c r="A65" s="204" t="s">
        <v>1839</v>
      </c>
      <c r="B65" s="205">
        <f t="shared" si="8"/>
        <v>3</v>
      </c>
      <c r="C65" s="205">
        <f t="shared" si="9"/>
        <v>1</v>
      </c>
      <c r="D65" s="205">
        <f t="array" ref="D65">IFERROR(MAX(SUMIFS(TBL_Ventas[Uds],TBL_Ventas[Producto],A65,TBL_Ventas[Semana],$Z$1:$Z$48)),0)</f>
        <v>13</v>
      </c>
      <c r="E65" s="206">
        <f t="array" ref="E65">IFERROR(SUMIF(TBL_Ventas[Producto],A65,TBL_Ventas[Uds])/SUMPRODUCT((COUNTIFS(TBL_Ventas[Producto],A65,TBL_Ventas[Semana],$Z$1:$Z$48)&gt;0)*1),0)</f>
        <v>2.3571428571428572</v>
      </c>
      <c r="F65" s="205">
        <f t="array" ref="F65">SUMPRODUCT((COUNTIFS(TBL_Ventas[Producto],A65,TBL_Ventas[Semana],$Z$1:$Z$48)&gt;0)*1)</f>
        <v>14</v>
      </c>
    </row>
    <row r="66" spans="1:6">
      <c r="A66" s="203" t="s">
        <v>798</v>
      </c>
      <c r="B66" s="201">
        <f t="shared" si="8"/>
        <v>4</v>
      </c>
      <c r="C66" s="201">
        <f t="shared" si="9"/>
        <v>1</v>
      </c>
      <c r="D66" s="201">
        <f t="array" ref="D66">IFERROR(MAX(SUMIFS(TBL_Ventas[Uds],TBL_Ventas[Producto],A66,TBL_Ventas[Semana],$Z$1:$Z$48)),0)</f>
        <v>6</v>
      </c>
      <c r="E66" s="202">
        <f t="array" ref="E66">IFERROR(SUMIF(TBL_Ventas[Producto],A66,TBL_Ventas[Uds])/SUMPRODUCT((COUNTIFS(TBL_Ventas[Producto],A66,TBL_Ventas[Semana],$Z$1:$Z$48)&gt;0)*1),0)</f>
        <v>2.8</v>
      </c>
      <c r="F66" s="201">
        <f t="array" ref="F66">SUMPRODUCT((COUNTIFS(TBL_Ventas[Producto],A66,TBL_Ventas[Semana],$Z$1:$Z$48)&gt;0)*1)</f>
        <v>5</v>
      </c>
    </row>
    <row r="67" spans="1:6">
      <c r="A67" s="204" t="s">
        <v>1007</v>
      </c>
      <c r="B67" s="205">
        <f t="shared" si="8"/>
        <v>4</v>
      </c>
      <c r="C67" s="205">
        <f t="shared" si="9"/>
        <v>1</v>
      </c>
      <c r="D67" s="205">
        <f t="array" ref="D67">IFERROR(MAX(SUMIFS(TBL_Ventas[Uds],TBL_Ventas[Producto],A67,TBL_Ventas[Semana],$Z$1:$Z$48)),0)</f>
        <v>14</v>
      </c>
      <c r="E67" s="206">
        <f t="array" ref="E67">IFERROR(SUMIF(TBL_Ventas[Producto],A67,TBL_Ventas[Uds])/SUMPRODUCT((COUNTIFS(TBL_Ventas[Producto],A67,TBL_Ventas[Semana],$Z$1:$Z$48)&gt;0)*1),0)</f>
        <v>3.4651162790697674</v>
      </c>
      <c r="F67" s="205">
        <f t="array" ref="F67">SUMPRODUCT((COUNTIFS(TBL_Ventas[Producto],A67,TBL_Ventas[Semana],$Z$1:$Z$48)&gt;0)*1)</f>
        <v>43</v>
      </c>
    </row>
    <row r="68" spans="1:6">
      <c r="A68" s="203" t="s">
        <v>773</v>
      </c>
      <c r="B68" s="201">
        <f t="shared" si="8"/>
        <v>3</v>
      </c>
      <c r="C68" s="201">
        <f t="shared" si="9"/>
        <v>1</v>
      </c>
      <c r="D68" s="201">
        <f t="array" ref="D68">IFERROR(MAX(SUMIFS(TBL_Ventas[Uds],TBL_Ventas[Producto],A68,TBL_Ventas[Semana],$Z$1:$Z$48)),0)</f>
        <v>8</v>
      </c>
      <c r="E68" s="202">
        <f t="array" ref="E68">IFERROR(SUMIF(TBL_Ventas[Producto],A68,TBL_Ventas[Uds])/SUMPRODUCT((COUNTIFS(TBL_Ventas[Producto],A68,TBL_Ventas[Semana],$Z$1:$Z$48)&gt;0)*1),0)</f>
        <v>2.6052631578947367</v>
      </c>
      <c r="F68" s="201">
        <f t="array" ref="F68">SUMPRODUCT((COUNTIFS(TBL_Ventas[Producto],A68,TBL_Ventas[Semana],$Z$1:$Z$48)&gt;0)*1)</f>
        <v>38</v>
      </c>
    </row>
    <row r="69" spans="1:6">
      <c r="A69" s="204" t="s">
        <v>801</v>
      </c>
      <c r="B69" s="205">
        <f t="shared" si="8"/>
        <v>3</v>
      </c>
      <c r="C69" s="205">
        <f t="shared" si="9"/>
        <v>1</v>
      </c>
      <c r="D69" s="205">
        <f t="array" ref="D69">IFERROR(MAX(SUMIFS(TBL_Ventas[Uds],TBL_Ventas[Producto],A69,TBL_Ventas[Semana],$Z$1:$Z$48)),0)</f>
        <v>8</v>
      </c>
      <c r="E69" s="206">
        <f t="array" ref="E69">IFERROR(SUMIF(TBL_Ventas[Producto],A69,TBL_Ventas[Uds])/SUMPRODUCT((COUNTIFS(TBL_Ventas[Producto],A69,TBL_Ventas[Semana],$Z$1:$Z$48)&gt;0)*1),0)</f>
        <v>2.4166666666666665</v>
      </c>
      <c r="F69" s="205">
        <f t="array" ref="F69">SUMPRODUCT((COUNTIFS(TBL_Ventas[Producto],A69,TBL_Ventas[Semana],$Z$1:$Z$48)&gt;0)*1)</f>
        <v>24</v>
      </c>
    </row>
    <row r="70" spans="1:6">
      <c r="A70" s="203" t="s">
        <v>817</v>
      </c>
      <c r="B70" s="201">
        <f t="shared" si="8"/>
        <v>3</v>
      </c>
      <c r="C70" s="201">
        <f t="shared" si="9"/>
        <v>1</v>
      </c>
      <c r="D70" s="201">
        <f t="array" ref="D70">IFERROR(MAX(SUMIFS(TBL_Ventas[Uds],TBL_Ventas[Producto],A70,TBL_Ventas[Semana],$Z$1:$Z$48)),0)</f>
        <v>9</v>
      </c>
      <c r="E70" s="202">
        <f t="array" ref="E70">IFERROR(SUMIF(TBL_Ventas[Producto],A70,TBL_Ventas[Uds])/SUMPRODUCT((COUNTIFS(TBL_Ventas[Producto],A70,TBL_Ventas[Semana],$Z$1:$Z$48)&gt;0)*1),0)</f>
        <v>2.3548387096774195</v>
      </c>
      <c r="F70" s="201">
        <f t="array" ref="F70">SUMPRODUCT((COUNTIFS(TBL_Ventas[Producto],A70,TBL_Ventas[Semana],$Z$1:$Z$48)&gt;0)*1)</f>
        <v>31</v>
      </c>
    </row>
    <row r="71" spans="1:6">
      <c r="A71" s="204" t="s">
        <v>799</v>
      </c>
      <c r="B71" s="205">
        <f t="shared" si="8"/>
        <v>3</v>
      </c>
      <c r="C71" s="205">
        <f t="shared" si="9"/>
        <v>1</v>
      </c>
      <c r="D71" s="205">
        <f t="array" ref="D71">IFERROR(MAX(SUMIFS(TBL_Ventas[Uds],TBL_Ventas[Producto],A71,TBL_Ventas[Semana],$Z$1:$Z$48)),0)</f>
        <v>7</v>
      </c>
      <c r="E71" s="206">
        <f t="array" ref="E71">IFERROR(SUMIF(TBL_Ventas[Producto],A71,TBL_Ventas[Uds])/SUMPRODUCT((COUNTIFS(TBL_Ventas[Producto],A71,TBL_Ventas[Semana],$Z$1:$Z$48)&gt;0)*1),0)</f>
        <v>2.342857142857143</v>
      </c>
      <c r="F71" s="205">
        <f t="array" ref="F71">SUMPRODUCT((COUNTIFS(TBL_Ventas[Producto],A71,TBL_Ventas[Semana],$Z$1:$Z$48)&gt;0)*1)</f>
        <v>35</v>
      </c>
    </row>
    <row r="72" spans="1:6">
      <c r="A72" s="203" t="s">
        <v>735</v>
      </c>
      <c r="B72" s="201">
        <f t="shared" si="8"/>
        <v>3</v>
      </c>
      <c r="C72" s="201">
        <f t="shared" si="9"/>
        <v>1</v>
      </c>
      <c r="D72" s="201">
        <f t="array" ref="D72">IFERROR(MAX(SUMIFS(TBL_Ventas[Uds],TBL_Ventas[Producto],A72,TBL_Ventas[Semana],$Z$1:$Z$48)),0)</f>
        <v>8</v>
      </c>
      <c r="E72" s="202">
        <f t="array" ref="E72">IFERROR(SUMIF(TBL_Ventas[Producto],A72,TBL_Ventas[Uds])/SUMPRODUCT((COUNTIFS(TBL_Ventas[Producto],A72,TBL_Ventas[Semana],$Z$1:$Z$48)&gt;0)*1),0)</f>
        <v>2.3142857142857145</v>
      </c>
      <c r="F72" s="201">
        <f t="array" ref="F72">SUMPRODUCT((COUNTIFS(TBL_Ventas[Producto],A72,TBL_Ventas[Semana],$Z$1:$Z$48)&gt;0)*1)</f>
        <v>35</v>
      </c>
    </row>
    <row r="73" spans="1:6">
      <c r="A73" s="204" t="s">
        <v>739</v>
      </c>
      <c r="B73" s="205">
        <f t="shared" si="8"/>
        <v>3</v>
      </c>
      <c r="C73" s="205">
        <f t="shared" si="9"/>
        <v>1</v>
      </c>
      <c r="D73" s="205">
        <f t="array" ref="D73">IFERROR(MAX(SUMIFS(TBL_Ventas[Uds],TBL_Ventas[Producto],A73,TBL_Ventas[Semana],$Z$1:$Z$48)),0)</f>
        <v>7</v>
      </c>
      <c r="E73" s="206">
        <f t="array" ref="E73">IFERROR(SUMIF(TBL_Ventas[Producto],A73,TBL_Ventas[Uds])/SUMPRODUCT((COUNTIFS(TBL_Ventas[Producto],A73,TBL_Ventas[Semana],$Z$1:$Z$48)&gt;0)*1),0)</f>
        <v>2.1818181818181817</v>
      </c>
      <c r="F73" s="205">
        <f t="array" ref="F73">SUMPRODUCT((COUNTIFS(TBL_Ventas[Producto],A73,TBL_Ventas[Semana],$Z$1:$Z$48)&gt;0)*1)</f>
        <v>33</v>
      </c>
    </row>
    <row r="74" spans="1:6">
      <c r="A74" s="207" t="s">
        <v>2365</v>
      </c>
      <c r="B74" s="208">
        <f>SUM(B62:B73)</f>
        <v>41</v>
      </c>
      <c r="C74" s="208">
        <f>SUM(C62:C73)</f>
        <v>12</v>
      </c>
      <c r="D74" s="209"/>
      <c r="E74" s="210"/>
      <c r="F74" s="209"/>
    </row>
    <row r="75" spans="1:6" ht="8" customHeight="1">
      <c r="A75" s="211"/>
      <c r="B75" s="201"/>
      <c r="C75" s="201"/>
      <c r="D75" s="201"/>
      <c r="E75" s="202"/>
      <c r="F75" s="201"/>
    </row>
    <row r="76" spans="1:6" ht="30" customHeight="1">
      <c r="A76" s="1210" t="s">
        <v>2370</v>
      </c>
      <c r="B76" s="1211"/>
      <c r="C76" s="1211"/>
      <c r="D76" s="1211"/>
      <c r="E76" s="1211"/>
      <c r="F76" s="1211"/>
    </row>
    <row r="77" spans="1:6">
      <c r="A77" s="203" t="s">
        <v>682</v>
      </c>
      <c r="B77" s="201">
        <f t="shared" ref="B77:B88" si="10">ROUNDUP(E77*IF($B$3="2 semanas",2,1)*1.1, 0)</f>
        <v>22</v>
      </c>
      <c r="C77" s="201">
        <f t="shared" ref="C77:C88" si="11">ROUNDUP(B77/7, 0)</f>
        <v>4</v>
      </c>
      <c r="D77" s="201">
        <f t="array" ref="D77">IFERROR(MAX(SUMIFS(TBL_Ventas[Uds],TBL_Ventas[Producto],A77,TBL_Ventas[Semana],$Z$1:$Z$48)),0)</f>
        <v>44</v>
      </c>
      <c r="E77" s="202">
        <f t="array" ref="E77">IFERROR(SUMIF(TBL_Ventas[Producto],A77,TBL_Ventas[Uds])/SUMPRODUCT((COUNTIFS(TBL_Ventas[Producto],A77,TBL_Ventas[Semana],$Z$1:$Z$48)&gt;0)*1),0)</f>
        <v>19.235294117647058</v>
      </c>
      <c r="F77" s="201">
        <f t="array" ref="F77">SUMPRODUCT((COUNTIFS(TBL_Ventas[Producto],A77,TBL_Ventas[Semana],$Z$1:$Z$48)&gt;0)*1)</f>
        <v>17</v>
      </c>
    </row>
    <row r="78" spans="1:6">
      <c r="A78" s="204" t="s">
        <v>674</v>
      </c>
      <c r="B78" s="205">
        <f t="shared" si="10"/>
        <v>12</v>
      </c>
      <c r="C78" s="205">
        <f t="shared" si="11"/>
        <v>2</v>
      </c>
      <c r="D78" s="205">
        <f t="array" ref="D78">IFERROR(MAX(SUMIFS(TBL_Ventas[Uds],TBL_Ventas[Producto],A78,TBL_Ventas[Semana],$Z$1:$Z$48)),0)</f>
        <v>33</v>
      </c>
      <c r="E78" s="206">
        <f t="array" ref="E78">IFERROR(SUMIF(TBL_Ventas[Producto],A78,TBL_Ventas[Uds])/SUMPRODUCT((COUNTIFS(TBL_Ventas[Producto],A78,TBL_Ventas[Semana],$Z$1:$Z$48)&gt;0)*1),0)</f>
        <v>10.74074074074074</v>
      </c>
      <c r="F78" s="205">
        <f t="array" ref="F78">SUMPRODUCT((COUNTIFS(TBL_Ventas[Producto],A78,TBL_Ventas[Semana],$Z$1:$Z$48)&gt;0)*1)</f>
        <v>27</v>
      </c>
    </row>
    <row r="79" spans="1:6">
      <c r="A79" s="203" t="s">
        <v>2116</v>
      </c>
      <c r="B79" s="201">
        <f t="shared" si="10"/>
        <v>11</v>
      </c>
      <c r="C79" s="201">
        <f t="shared" si="11"/>
        <v>2</v>
      </c>
      <c r="D79" s="201">
        <f t="array" ref="D79">IFERROR(MAX(SUMIFS(TBL_Ventas[Uds],TBL_Ventas[Producto],A79,TBL_Ventas[Semana],$Z$1:$Z$48)),0)</f>
        <v>21</v>
      </c>
      <c r="E79" s="202">
        <f t="array" ref="E79">IFERROR(SUMIF(TBL_Ventas[Producto],A79,TBL_Ventas[Uds])/SUMPRODUCT((COUNTIFS(TBL_Ventas[Producto],A79,TBL_Ventas[Semana],$Z$1:$Z$48)&gt;0)*1),0)</f>
        <v>9.3809523809523814</v>
      </c>
      <c r="F79" s="201">
        <f t="array" ref="F79">SUMPRODUCT((COUNTIFS(TBL_Ventas[Producto],A79,TBL_Ventas[Semana],$Z$1:$Z$48)&gt;0)*1)</f>
        <v>21</v>
      </c>
    </row>
    <row r="80" spans="1:6">
      <c r="A80" s="204" t="s">
        <v>933</v>
      </c>
      <c r="B80" s="205">
        <f t="shared" si="10"/>
        <v>8</v>
      </c>
      <c r="C80" s="205">
        <f t="shared" si="11"/>
        <v>2</v>
      </c>
      <c r="D80" s="205">
        <f t="array" ref="D80">IFERROR(MAX(SUMIFS(TBL_Ventas[Uds],TBL_Ventas[Producto],A80,TBL_Ventas[Semana],$Z$1:$Z$48)),0)</f>
        <v>16</v>
      </c>
      <c r="E80" s="206">
        <f t="array" ref="E80">IFERROR(SUMIF(TBL_Ventas[Producto],A80,TBL_Ventas[Uds])/SUMPRODUCT((COUNTIFS(TBL_Ventas[Producto],A80,TBL_Ventas[Semana],$Z$1:$Z$48)&gt;0)*1),0)</f>
        <v>6.8947368421052628</v>
      </c>
      <c r="F80" s="205">
        <f t="array" ref="F80">SUMPRODUCT((COUNTIFS(TBL_Ventas[Producto],A80,TBL_Ventas[Semana],$Z$1:$Z$48)&gt;0)*1)</f>
        <v>19</v>
      </c>
    </row>
    <row r="81" spans="1:6">
      <c r="A81" s="203" t="s">
        <v>1875</v>
      </c>
      <c r="B81" s="201">
        <f t="shared" si="10"/>
        <v>8</v>
      </c>
      <c r="C81" s="201">
        <f t="shared" si="11"/>
        <v>2</v>
      </c>
      <c r="D81" s="201">
        <f t="array" ref="D81">IFERROR(MAX(SUMIFS(TBL_Ventas[Uds],TBL_Ventas[Producto],A81,TBL_Ventas[Semana],$Z$1:$Z$48)),0)</f>
        <v>20</v>
      </c>
      <c r="E81" s="202">
        <f t="array" ref="E81">IFERROR(SUMIF(TBL_Ventas[Producto],A81,TBL_Ventas[Uds])/SUMPRODUCT((COUNTIFS(TBL_Ventas[Producto],A81,TBL_Ventas[Semana],$Z$1:$Z$48)&gt;0)*1),0)</f>
        <v>7.2105263157894735</v>
      </c>
      <c r="F81" s="201">
        <f t="array" ref="F81">SUMPRODUCT((COUNTIFS(TBL_Ventas[Producto],A81,TBL_Ventas[Semana],$Z$1:$Z$48)&gt;0)*1)</f>
        <v>19</v>
      </c>
    </row>
    <row r="82" spans="1:6">
      <c r="A82" s="204" t="s">
        <v>2105</v>
      </c>
      <c r="B82" s="205">
        <f t="shared" si="10"/>
        <v>7</v>
      </c>
      <c r="C82" s="205">
        <f t="shared" si="11"/>
        <v>1</v>
      </c>
      <c r="D82" s="205">
        <f t="array" ref="D82">IFERROR(MAX(SUMIFS(TBL_Ventas[Uds],TBL_Ventas[Producto],A82,TBL_Ventas[Semana],$Z$1:$Z$48)),0)</f>
        <v>13</v>
      </c>
      <c r="E82" s="206">
        <f t="array" ref="E82">IFERROR(SUMIF(TBL_Ventas[Producto],A82,TBL_Ventas[Uds])/SUMPRODUCT((COUNTIFS(TBL_Ventas[Producto],A82,TBL_Ventas[Semana],$Z$1:$Z$48)&gt;0)*1),0)</f>
        <v>5.8888888888888893</v>
      </c>
      <c r="F82" s="205">
        <f t="array" ref="F82">SUMPRODUCT((COUNTIFS(TBL_Ventas[Producto],A82,TBL_Ventas[Semana],$Z$1:$Z$48)&gt;0)*1)</f>
        <v>9</v>
      </c>
    </row>
    <row r="83" spans="1:6">
      <c r="A83" s="203" t="s">
        <v>727</v>
      </c>
      <c r="B83" s="201">
        <f t="shared" si="10"/>
        <v>7</v>
      </c>
      <c r="C83" s="201">
        <f t="shared" si="11"/>
        <v>1</v>
      </c>
      <c r="D83" s="201">
        <f t="array" ref="D83">IFERROR(MAX(SUMIFS(TBL_Ventas[Uds],TBL_Ventas[Producto],A83,TBL_Ventas[Semana],$Z$1:$Z$48)),0)</f>
        <v>14</v>
      </c>
      <c r="E83" s="202">
        <f t="array" ref="E83">IFERROR(SUMIF(TBL_Ventas[Producto],A83,TBL_Ventas[Uds])/SUMPRODUCT((COUNTIFS(TBL_Ventas[Producto],A83,TBL_Ventas[Semana],$Z$1:$Z$48)&gt;0)*1),0)</f>
        <v>5.5454545454545459</v>
      </c>
      <c r="F83" s="201">
        <f t="array" ref="F83">SUMPRODUCT((COUNTIFS(TBL_Ventas[Producto],A83,TBL_Ventas[Semana],$Z$1:$Z$48)&gt;0)*1)</f>
        <v>11</v>
      </c>
    </row>
    <row r="84" spans="1:6">
      <c r="A84" s="204" t="s">
        <v>897</v>
      </c>
      <c r="B84" s="205">
        <f t="shared" si="10"/>
        <v>6</v>
      </c>
      <c r="C84" s="205">
        <f t="shared" si="11"/>
        <v>1</v>
      </c>
      <c r="D84" s="205">
        <f t="array" ref="D84">IFERROR(MAX(SUMIFS(TBL_Ventas[Uds],TBL_Ventas[Producto],A84,TBL_Ventas[Semana],$Z$1:$Z$48)),0)</f>
        <v>26</v>
      </c>
      <c r="E84" s="206">
        <f t="array" ref="E84">IFERROR(SUMIF(TBL_Ventas[Producto],A84,TBL_Ventas[Uds])/SUMPRODUCT((COUNTIFS(TBL_Ventas[Producto],A84,TBL_Ventas[Semana],$Z$1:$Z$48)&gt;0)*1),0)</f>
        <v>5.1904761904761907</v>
      </c>
      <c r="F84" s="205">
        <f t="array" ref="F84">SUMPRODUCT((COUNTIFS(TBL_Ventas[Producto],A84,TBL_Ventas[Semana],$Z$1:$Z$48)&gt;0)*1)</f>
        <v>21</v>
      </c>
    </row>
    <row r="85" spans="1:6">
      <c r="A85" s="203" t="s">
        <v>1865</v>
      </c>
      <c r="B85" s="201">
        <f t="shared" si="10"/>
        <v>6</v>
      </c>
      <c r="C85" s="201">
        <f t="shared" si="11"/>
        <v>1</v>
      </c>
      <c r="D85" s="201">
        <f t="array" ref="D85">IFERROR(MAX(SUMIFS(TBL_Ventas[Uds],TBL_Ventas[Producto],A85,TBL_Ventas[Semana],$Z$1:$Z$48)),0)</f>
        <v>5</v>
      </c>
      <c r="E85" s="202">
        <f t="array" ref="E85">IFERROR(SUMIF(TBL_Ventas[Producto],A85,TBL_Ventas[Uds])/SUMPRODUCT((COUNTIFS(TBL_Ventas[Producto],A85,TBL_Ventas[Semana],$Z$1:$Z$48)&gt;0)*1),0)</f>
        <v>5</v>
      </c>
      <c r="F85" s="201">
        <f t="array" ref="F85">SUMPRODUCT((COUNTIFS(TBL_Ventas[Producto],A85,TBL_Ventas[Semana],$Z$1:$Z$48)&gt;0)*1)</f>
        <v>1</v>
      </c>
    </row>
    <row r="86" spans="1:6">
      <c r="A86" s="204" t="s">
        <v>2113</v>
      </c>
      <c r="B86" s="205">
        <f t="shared" si="10"/>
        <v>6</v>
      </c>
      <c r="C86" s="205">
        <f t="shared" si="11"/>
        <v>1</v>
      </c>
      <c r="D86" s="205">
        <f t="array" ref="D86">IFERROR(MAX(SUMIFS(TBL_Ventas[Uds],TBL_Ventas[Producto],A86,TBL_Ventas[Semana],$Z$1:$Z$48)),0)</f>
        <v>10</v>
      </c>
      <c r="E86" s="206">
        <f t="array" ref="E86">IFERROR(SUMIF(TBL_Ventas[Producto],A86,TBL_Ventas[Uds])/SUMPRODUCT((COUNTIFS(TBL_Ventas[Producto],A86,TBL_Ventas[Semana],$Z$1:$Z$48)&gt;0)*1),0)</f>
        <v>4.75</v>
      </c>
      <c r="F86" s="205">
        <f t="array" ref="F86">SUMPRODUCT((COUNTIFS(TBL_Ventas[Producto],A86,TBL_Ventas[Semana],$Z$1:$Z$48)&gt;0)*1)</f>
        <v>8</v>
      </c>
    </row>
    <row r="87" spans="1:6">
      <c r="A87" s="203" t="s">
        <v>2094</v>
      </c>
      <c r="B87" s="201">
        <f t="shared" si="10"/>
        <v>5</v>
      </c>
      <c r="C87" s="201">
        <f t="shared" si="11"/>
        <v>1</v>
      </c>
      <c r="D87" s="201">
        <f t="array" ref="D87">IFERROR(MAX(SUMIFS(TBL_Ventas[Uds],TBL_Ventas[Producto],A87,TBL_Ventas[Semana],$Z$1:$Z$48)),0)</f>
        <v>14</v>
      </c>
      <c r="E87" s="202">
        <f t="array" ref="E87">IFERROR(SUMIF(TBL_Ventas[Producto],A87,TBL_Ventas[Uds])/SUMPRODUCT((COUNTIFS(TBL_Ventas[Producto],A87,TBL_Ventas[Semana],$Z$1:$Z$48)&gt;0)*1),0)</f>
        <v>4.5384615384615383</v>
      </c>
      <c r="F87" s="201">
        <f t="array" ref="F87">SUMPRODUCT((COUNTIFS(TBL_Ventas[Producto],A87,TBL_Ventas[Semana],$Z$1:$Z$48)&gt;0)*1)</f>
        <v>13</v>
      </c>
    </row>
    <row r="88" spans="1:6">
      <c r="A88" s="204" t="s">
        <v>1111</v>
      </c>
      <c r="B88" s="205">
        <f t="shared" si="10"/>
        <v>5</v>
      </c>
      <c r="C88" s="205">
        <f t="shared" si="11"/>
        <v>1</v>
      </c>
      <c r="D88" s="205">
        <f t="array" ref="D88">IFERROR(MAX(SUMIFS(TBL_Ventas[Uds],TBL_Ventas[Producto],A88,TBL_Ventas[Semana],$Z$1:$Z$48)),0)</f>
        <v>11</v>
      </c>
      <c r="E88" s="206">
        <f t="array" ref="E88">IFERROR(SUMIF(TBL_Ventas[Producto],A88,TBL_Ventas[Uds])/SUMPRODUCT((COUNTIFS(TBL_Ventas[Producto],A88,TBL_Ventas[Semana],$Z$1:$Z$48)&gt;0)*1),0)</f>
        <v>3.8</v>
      </c>
      <c r="F88" s="205">
        <f t="array" ref="F88">SUMPRODUCT((COUNTIFS(TBL_Ventas[Producto],A88,TBL_Ventas[Semana],$Z$1:$Z$48)&gt;0)*1)</f>
        <v>5</v>
      </c>
    </row>
    <row r="89" spans="1:6">
      <c r="A89" s="207" t="s">
        <v>2365</v>
      </c>
      <c r="B89" s="208">
        <f>SUM(B77:B88)</f>
        <v>103</v>
      </c>
      <c r="C89" s="208">
        <f>SUM(C77:C88)</f>
        <v>19</v>
      </c>
      <c r="D89" s="209"/>
      <c r="E89" s="210"/>
      <c r="F89" s="209"/>
    </row>
    <row r="90" spans="1:6" ht="8" customHeight="1">
      <c r="A90" s="211"/>
      <c r="B90" s="201"/>
      <c r="C90" s="201"/>
      <c r="D90" s="201"/>
      <c r="E90" s="202"/>
      <c r="F90" s="201"/>
    </row>
    <row r="91" spans="1:6" ht="30" customHeight="1">
      <c r="A91" s="1210" t="s">
        <v>2371</v>
      </c>
      <c r="B91" s="1211"/>
      <c r="C91" s="1211"/>
      <c r="D91" s="1211"/>
      <c r="E91" s="1211"/>
      <c r="F91" s="1211"/>
    </row>
    <row r="92" spans="1:6">
      <c r="A92" s="203" t="s">
        <v>781</v>
      </c>
      <c r="B92" s="201">
        <f>ROUNDUP(E92*IF($B$3="2 semanas",2,1)*1.1, 0)</f>
        <v>7</v>
      </c>
      <c r="C92" s="201">
        <f>ROUNDUP(B92/7, 0)</f>
        <v>1</v>
      </c>
      <c r="D92" s="201">
        <f t="array" ref="D92">IFERROR(MAX(SUMIFS(TBL_Ventas[Uds],TBL_Ventas[Producto],A92,TBL_Ventas[Semana],$Z$1:$Z$48)),0)</f>
        <v>9</v>
      </c>
      <c r="E92" s="202">
        <f t="array" ref="E92">IFERROR(SUMIF(TBL_Ventas[Producto],A92,TBL_Ventas[Uds])/SUMPRODUCT((COUNTIFS(TBL_Ventas[Producto],A92,TBL_Ventas[Semana],$Z$1:$Z$48)&gt;0)*1),0)</f>
        <v>5.666666666666667</v>
      </c>
      <c r="F92" s="201">
        <f t="array" ref="F92">SUMPRODUCT((COUNTIFS(TBL_Ventas[Producto],A92,TBL_Ventas[Semana],$Z$1:$Z$48)&gt;0)*1)</f>
        <v>6</v>
      </c>
    </row>
    <row r="93" spans="1:6">
      <c r="A93" s="204" t="s">
        <v>763</v>
      </c>
      <c r="B93" s="205">
        <f>ROUNDUP(E93*IF($B$3="2 semanas",2,1)*1.1, 0)</f>
        <v>5</v>
      </c>
      <c r="C93" s="205">
        <f>ROUNDUP(B93/7, 0)</f>
        <v>1</v>
      </c>
      <c r="D93" s="205">
        <f t="array" ref="D93">IFERROR(MAX(SUMIFS(TBL_Ventas[Uds],TBL_Ventas[Producto],A93,TBL_Ventas[Semana],$Z$1:$Z$48)),0)</f>
        <v>8</v>
      </c>
      <c r="E93" s="206">
        <f t="array" ref="E93">IFERROR(SUMIF(TBL_Ventas[Producto],A93,TBL_Ventas[Uds])/SUMPRODUCT((COUNTIFS(TBL_Ventas[Producto],A93,TBL_Ventas[Semana],$Z$1:$Z$48)&gt;0)*1),0)</f>
        <v>3.875</v>
      </c>
      <c r="F93" s="205">
        <f t="array" ref="F93">SUMPRODUCT((COUNTIFS(TBL_Ventas[Producto],A93,TBL_Ventas[Semana],$Z$1:$Z$48)&gt;0)*1)</f>
        <v>8</v>
      </c>
    </row>
    <row r="94" spans="1:6">
      <c r="A94" s="203" t="s">
        <v>783</v>
      </c>
      <c r="B94" s="201">
        <f>ROUNDUP(E94*IF($B$3="2 semanas",2,1)*1.1, 0)</f>
        <v>4</v>
      </c>
      <c r="C94" s="201">
        <f>ROUNDUP(B94/7, 0)</f>
        <v>1</v>
      </c>
      <c r="D94" s="201">
        <f t="array" ref="D94">IFERROR(MAX(SUMIFS(TBL_Ventas[Uds],TBL_Ventas[Producto],A94,TBL_Ventas[Semana],$Z$1:$Z$48)),0)</f>
        <v>4</v>
      </c>
      <c r="E94" s="202">
        <f t="array" ref="E94">IFERROR(SUMIF(TBL_Ventas[Producto],A94,TBL_Ventas[Uds])/SUMPRODUCT((COUNTIFS(TBL_Ventas[Producto],A94,TBL_Ventas[Semana],$Z$1:$Z$48)&gt;0)*1),0)</f>
        <v>3.2</v>
      </c>
      <c r="F94" s="201">
        <f t="array" ref="F94">SUMPRODUCT((COUNTIFS(TBL_Ventas[Producto],A94,TBL_Ventas[Semana],$Z$1:$Z$48)&gt;0)*1)</f>
        <v>5</v>
      </c>
    </row>
    <row r="95" spans="1:6">
      <c r="A95" s="207" t="s">
        <v>2365</v>
      </c>
      <c r="B95" s="208">
        <f>SUM(B92:B94)</f>
        <v>16</v>
      </c>
      <c r="C95" s="208">
        <f>SUM(C92:C94)</f>
        <v>3</v>
      </c>
      <c r="D95" s="209"/>
      <c r="E95" s="210"/>
      <c r="F95" s="209"/>
    </row>
    <row r="96" spans="1:6" ht="8" customHeight="1">
      <c r="A96" s="211"/>
      <c r="B96" s="201"/>
      <c r="C96" s="201"/>
      <c r="D96" s="201"/>
      <c r="E96" s="202"/>
      <c r="F96" s="201"/>
    </row>
    <row r="97" spans="1:6" ht="30" customHeight="1">
      <c r="A97" s="1210" t="s">
        <v>2372</v>
      </c>
      <c r="B97" s="1211"/>
      <c r="C97" s="1211"/>
      <c r="D97" s="1211"/>
      <c r="E97" s="1211"/>
      <c r="F97" s="1211"/>
    </row>
    <row r="98" spans="1:6">
      <c r="A98" s="204" t="s">
        <v>780</v>
      </c>
      <c r="B98" s="205">
        <f t="shared" ref="B98:B109" si="12">ROUNDUP(E98*IF($B$3="2 semanas",2,1)*1.1, 0)</f>
        <v>16</v>
      </c>
      <c r="C98" s="205">
        <f t="shared" ref="C98:C109" si="13">ROUNDUP(B98/7, 0)</f>
        <v>3</v>
      </c>
      <c r="D98" s="205">
        <f t="array" ref="D98">IFERROR(MAX(SUMIFS(TBL_Ventas[Uds],TBL_Ventas[Producto],A98,TBL_Ventas[Semana],$Z$1:$Z$48)),0)</f>
        <v>34</v>
      </c>
      <c r="E98" s="206">
        <f t="array" ref="E98">IFERROR(SUMIF(TBL_Ventas[Producto],A98,TBL_Ventas[Uds])/SUMPRODUCT((COUNTIFS(TBL_Ventas[Producto],A98,TBL_Ventas[Semana],$Z$1:$Z$48)&gt;0)*1),0)</f>
        <v>13.714285714285714</v>
      </c>
      <c r="F98" s="205">
        <f t="array" ref="F98">SUMPRODUCT((COUNTIFS(TBL_Ventas[Producto],A98,TBL_Ventas[Semana],$Z$1:$Z$48)&gt;0)*1)</f>
        <v>7</v>
      </c>
    </row>
    <row r="99" spans="1:6">
      <c r="A99" s="203" t="s">
        <v>267</v>
      </c>
      <c r="B99" s="201">
        <f t="shared" si="12"/>
        <v>14</v>
      </c>
      <c r="C99" s="201">
        <f t="shared" si="13"/>
        <v>2</v>
      </c>
      <c r="D99" s="201">
        <f t="array" ref="D99">IFERROR(MAX(SUMIFS(TBL_Ventas[Uds],TBL_Ventas[Producto],A99,TBL_Ventas[Semana],$Z$1:$Z$48)),0)</f>
        <v>36</v>
      </c>
      <c r="E99" s="202">
        <f t="array" ref="E99">IFERROR(SUMIF(TBL_Ventas[Producto],A99,TBL_Ventas[Uds])/SUMPRODUCT((COUNTIFS(TBL_Ventas[Producto],A99,TBL_Ventas[Semana],$Z$1:$Z$48)&gt;0)*1),0)</f>
        <v>12.395833333333334</v>
      </c>
      <c r="F99" s="201">
        <f t="array" ref="F99">SUMPRODUCT((COUNTIFS(TBL_Ventas[Producto],A99,TBL_Ventas[Semana],$Z$1:$Z$48)&gt;0)*1)</f>
        <v>48</v>
      </c>
    </row>
    <row r="100" spans="1:6">
      <c r="A100" s="204" t="s">
        <v>858</v>
      </c>
      <c r="B100" s="205">
        <f t="shared" si="12"/>
        <v>12</v>
      </c>
      <c r="C100" s="205">
        <f t="shared" si="13"/>
        <v>2</v>
      </c>
      <c r="D100" s="205">
        <f t="array" ref="D100">IFERROR(MAX(SUMIFS(TBL_Ventas[Uds],TBL_Ventas[Producto],A100,TBL_Ventas[Semana],$Z$1:$Z$48)),0)</f>
        <v>36</v>
      </c>
      <c r="E100" s="206">
        <f t="array" ref="E100">IFERROR(SUMIF(TBL_Ventas[Producto],A100,TBL_Ventas[Uds])/SUMPRODUCT((COUNTIFS(TBL_Ventas[Producto],A100,TBL_Ventas[Semana],$Z$1:$Z$48)&gt;0)*1),0)</f>
        <v>10.645833333333334</v>
      </c>
      <c r="F100" s="205">
        <f t="array" ref="F100">SUMPRODUCT((COUNTIFS(TBL_Ventas[Producto],A100,TBL_Ventas[Semana],$Z$1:$Z$48)&gt;0)*1)</f>
        <v>48</v>
      </c>
    </row>
    <row r="101" spans="1:6">
      <c r="A101" s="203" t="s">
        <v>833</v>
      </c>
      <c r="B101" s="201">
        <f t="shared" si="12"/>
        <v>9</v>
      </c>
      <c r="C101" s="201">
        <f t="shared" si="13"/>
        <v>2</v>
      </c>
      <c r="D101" s="201">
        <f t="array" ref="D101">IFERROR(MAX(SUMIFS(TBL_Ventas[Uds],TBL_Ventas[Producto],A101,TBL_Ventas[Semana],$Z$1:$Z$48)),0)</f>
        <v>20</v>
      </c>
      <c r="E101" s="202">
        <f t="array" ref="E101">IFERROR(SUMIF(TBL_Ventas[Producto],A101,TBL_Ventas[Uds])/SUMPRODUCT((COUNTIFS(TBL_Ventas[Producto],A101,TBL_Ventas[Semana],$Z$1:$Z$48)&gt;0)*1),0)</f>
        <v>7.4375</v>
      </c>
      <c r="F101" s="201">
        <f t="array" ref="F101">SUMPRODUCT((COUNTIFS(TBL_Ventas[Producto],A101,TBL_Ventas[Semana],$Z$1:$Z$48)&gt;0)*1)</f>
        <v>16</v>
      </c>
    </row>
    <row r="102" spans="1:6">
      <c r="A102" s="204" t="s">
        <v>859</v>
      </c>
      <c r="B102" s="205">
        <f t="shared" si="12"/>
        <v>8</v>
      </c>
      <c r="C102" s="205">
        <f t="shared" si="13"/>
        <v>2</v>
      </c>
      <c r="D102" s="205">
        <f t="array" ref="D102">IFERROR(MAX(SUMIFS(TBL_Ventas[Uds],TBL_Ventas[Producto],A102,TBL_Ventas[Semana],$Z$1:$Z$48)),0)</f>
        <v>17</v>
      </c>
      <c r="E102" s="206">
        <f t="array" ref="E102">IFERROR(SUMIF(TBL_Ventas[Producto],A102,TBL_Ventas[Uds])/SUMPRODUCT((COUNTIFS(TBL_Ventas[Producto],A102,TBL_Ventas[Semana],$Z$1:$Z$48)&gt;0)*1),0)</f>
        <v>6.645833333333333</v>
      </c>
      <c r="F102" s="205">
        <f t="array" ref="F102">SUMPRODUCT((COUNTIFS(TBL_Ventas[Producto],A102,TBL_Ventas[Semana],$Z$1:$Z$48)&gt;0)*1)</f>
        <v>48</v>
      </c>
    </row>
    <row r="103" spans="1:6">
      <c r="A103" s="203" t="s">
        <v>860</v>
      </c>
      <c r="B103" s="201">
        <f t="shared" si="12"/>
        <v>8</v>
      </c>
      <c r="C103" s="201">
        <f t="shared" si="13"/>
        <v>2</v>
      </c>
      <c r="D103" s="201">
        <f t="array" ref="D103">IFERROR(MAX(SUMIFS(TBL_Ventas[Uds],TBL_Ventas[Producto],A103,TBL_Ventas[Semana],$Z$1:$Z$48)),0)</f>
        <v>13</v>
      </c>
      <c r="E103" s="202">
        <f t="array" ref="E103">IFERROR(SUMIF(TBL_Ventas[Producto],A103,TBL_Ventas[Uds])/SUMPRODUCT((COUNTIFS(TBL_Ventas[Producto],A103,TBL_Ventas[Semana],$Z$1:$Z$48)&gt;0)*1),0)</f>
        <v>6.479166666666667</v>
      </c>
      <c r="F103" s="201">
        <f t="array" ref="F103">SUMPRODUCT((COUNTIFS(TBL_Ventas[Producto],A103,TBL_Ventas[Semana],$Z$1:$Z$48)&gt;0)*1)</f>
        <v>48</v>
      </c>
    </row>
    <row r="104" spans="1:6">
      <c r="A104" s="204" t="s">
        <v>808</v>
      </c>
      <c r="B104" s="205">
        <f t="shared" si="12"/>
        <v>7</v>
      </c>
      <c r="C104" s="205">
        <f t="shared" si="13"/>
        <v>1</v>
      </c>
      <c r="D104" s="205">
        <f t="array" ref="D104">IFERROR(MAX(SUMIFS(TBL_Ventas[Uds],TBL_Ventas[Producto],A104,TBL_Ventas[Semana],$Z$1:$Z$48)),0)</f>
        <v>10</v>
      </c>
      <c r="E104" s="206">
        <f t="array" ref="E104">IFERROR(SUMIF(TBL_Ventas[Producto],A104,TBL_Ventas[Uds])/SUMPRODUCT((COUNTIFS(TBL_Ventas[Producto],A104,TBL_Ventas[Semana],$Z$1:$Z$48)&gt;0)*1),0)</f>
        <v>6</v>
      </c>
      <c r="F104" s="205">
        <f t="array" ref="F104">SUMPRODUCT((COUNTIFS(TBL_Ventas[Producto],A104,TBL_Ventas[Semana],$Z$1:$Z$48)&gt;0)*1)</f>
        <v>4</v>
      </c>
    </row>
    <row r="105" spans="1:6">
      <c r="A105" s="203" t="s">
        <v>1001</v>
      </c>
      <c r="B105" s="201">
        <f t="shared" si="12"/>
        <v>6</v>
      </c>
      <c r="C105" s="201">
        <f t="shared" si="13"/>
        <v>1</v>
      </c>
      <c r="D105" s="201">
        <f t="array" ref="D105">IFERROR(MAX(SUMIFS(TBL_Ventas[Uds],TBL_Ventas[Producto],A105,TBL_Ventas[Semana],$Z$1:$Z$48)),0)</f>
        <v>14</v>
      </c>
      <c r="E105" s="202">
        <f t="array" ref="E105">IFERROR(SUMIF(TBL_Ventas[Producto],A105,TBL_Ventas[Uds])/SUMPRODUCT((COUNTIFS(TBL_Ventas[Producto],A105,TBL_Ventas[Semana],$Z$1:$Z$48)&gt;0)*1),0)</f>
        <v>5</v>
      </c>
      <c r="F105" s="201">
        <f t="array" ref="F105">SUMPRODUCT((COUNTIFS(TBL_Ventas[Producto],A105,TBL_Ventas[Semana],$Z$1:$Z$48)&gt;0)*1)</f>
        <v>46</v>
      </c>
    </row>
    <row r="106" spans="1:6">
      <c r="A106" s="204" t="s">
        <v>895</v>
      </c>
      <c r="B106" s="205">
        <f t="shared" si="12"/>
        <v>6</v>
      </c>
      <c r="C106" s="205">
        <f t="shared" si="13"/>
        <v>1</v>
      </c>
      <c r="D106" s="205">
        <f t="array" ref="D106">IFERROR(MAX(SUMIFS(TBL_Ventas[Uds],TBL_Ventas[Producto],A106,TBL_Ventas[Semana],$Z$1:$Z$48)),0)</f>
        <v>18</v>
      </c>
      <c r="E106" s="206">
        <f t="array" ref="E106">IFERROR(SUMIF(TBL_Ventas[Producto],A106,TBL_Ventas[Uds])/SUMPRODUCT((COUNTIFS(TBL_Ventas[Producto],A106,TBL_Ventas[Semana],$Z$1:$Z$48)&gt;0)*1),0)</f>
        <v>4.6585365853658534</v>
      </c>
      <c r="F106" s="205">
        <f t="array" ref="F106">SUMPRODUCT((COUNTIFS(TBL_Ventas[Producto],A106,TBL_Ventas[Semana],$Z$1:$Z$48)&gt;0)*1)</f>
        <v>41</v>
      </c>
    </row>
    <row r="107" spans="1:6">
      <c r="A107" s="203" t="s">
        <v>814</v>
      </c>
      <c r="B107" s="201">
        <f t="shared" si="12"/>
        <v>5</v>
      </c>
      <c r="C107" s="201">
        <f t="shared" si="13"/>
        <v>1</v>
      </c>
      <c r="D107" s="201">
        <f t="array" ref="D107">IFERROR(MAX(SUMIFS(TBL_Ventas[Uds],TBL_Ventas[Producto],A107,TBL_Ventas[Semana],$Z$1:$Z$48)),0)</f>
        <v>12</v>
      </c>
      <c r="E107" s="202">
        <f t="array" ref="E107">IFERROR(SUMIF(TBL_Ventas[Producto],A107,TBL_Ventas[Uds])/SUMPRODUCT((COUNTIFS(TBL_Ventas[Producto],A107,TBL_Ventas[Semana],$Z$1:$Z$48)&gt;0)*1),0)</f>
        <v>3.6976744186046511</v>
      </c>
      <c r="F107" s="201">
        <f t="array" ref="F107">SUMPRODUCT((COUNTIFS(TBL_Ventas[Producto],A107,TBL_Ventas[Semana],$Z$1:$Z$48)&gt;0)*1)</f>
        <v>43</v>
      </c>
    </row>
    <row r="108" spans="1:6">
      <c r="A108" s="204" t="s">
        <v>1085</v>
      </c>
      <c r="B108" s="205">
        <f t="shared" si="12"/>
        <v>5</v>
      </c>
      <c r="C108" s="205">
        <f t="shared" si="13"/>
        <v>1</v>
      </c>
      <c r="D108" s="205">
        <f t="array" ref="D108">IFERROR(MAX(SUMIFS(TBL_Ventas[Uds],TBL_Ventas[Producto],A108,TBL_Ventas[Semana],$Z$1:$Z$48)),0)</f>
        <v>12</v>
      </c>
      <c r="E108" s="206">
        <f t="array" ref="E108">IFERROR(SUMIF(TBL_Ventas[Producto],A108,TBL_Ventas[Uds])/SUMPRODUCT((COUNTIFS(TBL_Ventas[Producto],A108,TBL_Ventas[Semana],$Z$1:$Z$48)&gt;0)*1),0)</f>
        <v>3.6976744186046511</v>
      </c>
      <c r="F108" s="205">
        <f t="array" ref="F108">SUMPRODUCT((COUNTIFS(TBL_Ventas[Producto],A108,TBL_Ventas[Semana],$Z$1:$Z$48)&gt;0)*1)</f>
        <v>43</v>
      </c>
    </row>
    <row r="109" spans="1:6">
      <c r="A109" s="203" t="s">
        <v>950</v>
      </c>
      <c r="B109" s="201">
        <f t="shared" si="12"/>
        <v>4</v>
      </c>
      <c r="C109" s="201">
        <f t="shared" si="13"/>
        <v>1</v>
      </c>
      <c r="D109" s="201">
        <f t="array" ref="D109">IFERROR(MAX(SUMIFS(TBL_Ventas[Uds],TBL_Ventas[Producto],A109,TBL_Ventas[Semana],$Z$1:$Z$48)),0)</f>
        <v>6</v>
      </c>
      <c r="E109" s="202">
        <f t="array" ref="E109">IFERROR(SUMIF(TBL_Ventas[Producto],A109,TBL_Ventas[Uds])/SUMPRODUCT((COUNTIFS(TBL_Ventas[Producto],A109,TBL_Ventas[Semana],$Z$1:$Z$48)&gt;0)*1),0)</f>
        <v>2.85</v>
      </c>
      <c r="F109" s="201">
        <f t="array" ref="F109">SUMPRODUCT((COUNTIFS(TBL_Ventas[Producto],A109,TBL_Ventas[Semana],$Z$1:$Z$48)&gt;0)*1)</f>
        <v>20</v>
      </c>
    </row>
    <row r="110" spans="1:6">
      <c r="A110" s="207" t="s">
        <v>2365</v>
      </c>
      <c r="B110" s="208">
        <f>SUM(B98:B109)</f>
        <v>100</v>
      </c>
      <c r="C110" s="208">
        <f>SUM(C98:C109)</f>
        <v>19</v>
      </c>
      <c r="D110" s="209"/>
      <c r="E110" s="210"/>
      <c r="F110" s="209"/>
    </row>
    <row r="111" spans="1:6" ht="8" customHeight="1">
      <c r="A111" s="211"/>
      <c r="B111" s="201"/>
      <c r="C111" s="201"/>
      <c r="D111" s="201"/>
      <c r="E111" s="202"/>
      <c r="F111" s="201"/>
    </row>
    <row r="112" spans="1:6" ht="35" customHeight="1">
      <c r="A112" s="212" t="s">
        <v>2373</v>
      </c>
      <c r="B112" s="213">
        <f>SUM(B20,B34,B46,B59,B74,B89,B95,B110)</f>
        <v>743</v>
      </c>
      <c r="C112" s="213">
        <f>ROUNDUP(B112/7,0)</f>
        <v>107</v>
      </c>
      <c r="D112" s="213"/>
      <c r="E112" s="214"/>
      <c r="F112" s="213"/>
    </row>
    <row r="114" spans="1:1">
      <c r="A114" s="549" t="s">
        <v>2374</v>
      </c>
    </row>
    <row r="115" spans="1:1">
      <c r="A115" s="783" t="s">
        <v>2375</v>
      </c>
    </row>
    <row r="116" spans="1:1">
      <c r="A116" s="783" t="s">
        <v>2376</v>
      </c>
    </row>
    <row r="117" spans="1:1">
      <c r="A117" s="783" t="s">
        <v>2377</v>
      </c>
    </row>
  </sheetData>
  <mergeCells count="10">
    <mergeCell ref="A76:F76"/>
    <mergeCell ref="A36:F36"/>
    <mergeCell ref="A1:F1"/>
    <mergeCell ref="A61:F61"/>
    <mergeCell ref="A97:F97"/>
    <mergeCell ref="A22:F22"/>
    <mergeCell ref="A4:F4"/>
    <mergeCell ref="A48:F48"/>
    <mergeCell ref="A91:F91"/>
    <mergeCell ref="A7:F7"/>
  </mergeCells>
  <conditionalFormatting sqref="B7:B111">
    <cfRule type="dataBar" priority="1">
      <dataBar>
        <cfvo type="min"/>
        <cfvo type="max"/>
        <color rgb="FFE8A838"/>
      </dataBar>
    </cfRule>
  </conditionalFormatting>
  <dataValidations count="1">
    <dataValidation type="list" allowBlank="1" showInputMessage="1" showErrorMessage="1" sqref="B3" xr:uid="{00000000-0002-0000-1100-000000000000}">
      <formula1>"1 semana,2 semanas"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342"/>
  <sheetViews>
    <sheetView topLeftCell="A7" zoomScale="169" workbookViewId="0">
      <selection activeCell="A15" sqref="A15:XFD15"/>
    </sheetView>
  </sheetViews>
  <sheetFormatPr baseColWidth="10" defaultColWidth="11.5" defaultRowHeight="15"/>
  <cols>
    <col min="1" max="1" width="30" customWidth="1"/>
    <col min="2" max="2" width="13.33203125" customWidth="1"/>
    <col min="3" max="3" width="15" customWidth="1"/>
    <col min="4" max="4" width="10.83203125" customWidth="1"/>
    <col min="5" max="5" width="25" customWidth="1"/>
    <col min="6" max="6" width="11.6640625" customWidth="1"/>
    <col min="7" max="7" width="12.5" customWidth="1"/>
    <col min="8" max="8" width="10.83203125" customWidth="1"/>
    <col min="9" max="12" width="13.33203125" customWidth="1"/>
  </cols>
  <sheetData>
    <row r="1" spans="1:12" ht="17" customHeight="1">
      <c r="A1" s="1216" t="s">
        <v>2378</v>
      </c>
      <c r="B1" s="1140"/>
      <c r="C1" s="1140"/>
      <c r="D1" s="1140"/>
      <c r="E1" s="1140"/>
      <c r="F1" s="1140"/>
      <c r="G1" s="1140"/>
      <c r="H1" s="1140"/>
      <c r="I1" s="1140"/>
      <c r="J1" s="1140"/>
      <c r="K1" s="1140"/>
      <c r="L1" s="1140"/>
    </row>
    <row r="2" spans="1:12">
      <c r="A2" s="1218" t="s">
        <v>2379</v>
      </c>
      <c r="B2" s="1140"/>
      <c r="C2" s="1140"/>
      <c r="D2" s="1140"/>
      <c r="E2" s="1140"/>
      <c r="F2" s="1140"/>
      <c r="G2" s="1140"/>
      <c r="H2" s="1140"/>
      <c r="I2" s="1140"/>
      <c r="J2" s="1140"/>
      <c r="K2" s="1140"/>
      <c r="L2" s="1140"/>
    </row>
    <row r="3" spans="1:12">
      <c r="A3" s="1217" t="s">
        <v>2380</v>
      </c>
      <c r="B3" s="1140"/>
      <c r="C3" s="1140"/>
      <c r="D3" s="1140"/>
      <c r="E3" s="1140"/>
      <c r="F3" s="1140"/>
      <c r="G3" s="1140"/>
      <c r="H3" s="1140"/>
      <c r="I3" s="1140"/>
      <c r="J3" s="1140"/>
      <c r="K3" s="1140"/>
      <c r="L3" s="1140"/>
    </row>
    <row r="5" spans="1:12">
      <c r="A5" s="269" t="s">
        <v>309</v>
      </c>
      <c r="B5" s="270" t="s">
        <v>310</v>
      </c>
      <c r="C5" s="270" t="s">
        <v>2381</v>
      </c>
      <c r="D5" s="270" t="s">
        <v>2382</v>
      </c>
      <c r="E5" s="270" t="s">
        <v>2383</v>
      </c>
      <c r="F5" s="270" t="s">
        <v>2384</v>
      </c>
      <c r="G5" s="270" t="s">
        <v>2385</v>
      </c>
      <c r="H5" s="270" t="s">
        <v>313</v>
      </c>
      <c r="I5" s="270" t="s">
        <v>2386</v>
      </c>
      <c r="J5" s="270" t="s">
        <v>314</v>
      </c>
      <c r="K5" s="270" t="s">
        <v>315</v>
      </c>
      <c r="L5" s="271" t="s">
        <v>316</v>
      </c>
    </row>
    <row r="6" spans="1:12">
      <c r="A6" s="272" t="s">
        <v>256</v>
      </c>
      <c r="B6" s="273">
        <v>92</v>
      </c>
      <c r="C6" s="274">
        <v>1.6</v>
      </c>
      <c r="D6" s="274">
        <v>16</v>
      </c>
      <c r="E6" s="273">
        <v>26</v>
      </c>
      <c r="F6" s="273">
        <v>52</v>
      </c>
      <c r="G6" s="273">
        <v>14</v>
      </c>
      <c r="H6" s="275">
        <v>10</v>
      </c>
      <c r="I6" s="275">
        <v>3</v>
      </c>
      <c r="J6" s="276" t="s">
        <v>318</v>
      </c>
      <c r="K6" s="277">
        <v>0.92</v>
      </c>
      <c r="L6" s="297" t="s">
        <v>319</v>
      </c>
    </row>
    <row r="7" spans="1:12">
      <c r="A7" s="279" t="s">
        <v>321</v>
      </c>
      <c r="B7" s="280">
        <v>17</v>
      </c>
      <c r="C7" s="281">
        <v>3.95</v>
      </c>
      <c r="D7" s="281">
        <v>14.9</v>
      </c>
      <c r="E7" s="280">
        <v>10</v>
      </c>
      <c r="F7" s="280">
        <v>4</v>
      </c>
      <c r="G7" s="280">
        <v>3</v>
      </c>
      <c r="H7" s="282">
        <v>3.77</v>
      </c>
      <c r="I7" s="282">
        <v>3</v>
      </c>
      <c r="J7" s="276" t="s">
        <v>318</v>
      </c>
      <c r="K7" s="283">
        <v>1.05</v>
      </c>
      <c r="L7" s="297" t="s">
        <v>319</v>
      </c>
    </row>
    <row r="8" spans="1:12">
      <c r="A8" s="272" t="s">
        <v>323</v>
      </c>
      <c r="B8" s="273">
        <v>7</v>
      </c>
      <c r="C8" s="274">
        <v>5.95</v>
      </c>
      <c r="D8" s="274">
        <v>12.65</v>
      </c>
      <c r="E8" s="273">
        <v>1</v>
      </c>
      <c r="F8" s="273">
        <v>2</v>
      </c>
      <c r="G8" s="273">
        <v>4</v>
      </c>
      <c r="H8" s="275">
        <v>2.13</v>
      </c>
      <c r="I8" s="275">
        <v>2.5</v>
      </c>
      <c r="J8" s="284" t="s">
        <v>319</v>
      </c>
      <c r="K8" s="277">
        <v>1.01</v>
      </c>
      <c r="L8" s="297" t="s">
        <v>319</v>
      </c>
    </row>
    <row r="9" spans="1:12">
      <c r="A9" s="279" t="s">
        <v>326</v>
      </c>
      <c r="B9" s="280">
        <v>12</v>
      </c>
      <c r="C9" s="281">
        <v>7.95</v>
      </c>
      <c r="D9" s="281">
        <v>14.9</v>
      </c>
      <c r="E9" s="280">
        <v>7</v>
      </c>
      <c r="F9" s="280">
        <v>3</v>
      </c>
      <c r="G9" s="280">
        <v>2</v>
      </c>
      <c r="H9" s="282">
        <v>1.87</v>
      </c>
      <c r="I9" s="282">
        <v>3</v>
      </c>
      <c r="J9" s="284" t="s">
        <v>319</v>
      </c>
      <c r="K9" s="283">
        <v>1</v>
      </c>
      <c r="L9" s="297" t="s">
        <v>319</v>
      </c>
    </row>
    <row r="10" spans="1:12">
      <c r="A10" s="272" t="s">
        <v>277</v>
      </c>
      <c r="B10" s="273">
        <v>8</v>
      </c>
      <c r="C10" s="274">
        <v>9.25</v>
      </c>
      <c r="D10" s="274">
        <v>12.9</v>
      </c>
      <c r="E10" s="273">
        <v>1</v>
      </c>
      <c r="F10" s="273">
        <v>3</v>
      </c>
      <c r="G10" s="273">
        <v>4</v>
      </c>
      <c r="H10" s="275">
        <v>1.39</v>
      </c>
      <c r="I10" s="275">
        <v>2.5</v>
      </c>
      <c r="J10" s="284" t="s">
        <v>319</v>
      </c>
      <c r="K10" s="277">
        <v>0.97</v>
      </c>
      <c r="L10" s="297" t="s">
        <v>319</v>
      </c>
    </row>
    <row r="11" spans="1:12">
      <c r="A11" s="279" t="s">
        <v>327</v>
      </c>
      <c r="B11" s="280">
        <v>32</v>
      </c>
      <c r="C11" s="281">
        <v>3.1</v>
      </c>
      <c r="D11" s="281">
        <v>7</v>
      </c>
      <c r="E11" s="280">
        <v>15</v>
      </c>
      <c r="F11" s="280">
        <v>11</v>
      </c>
      <c r="G11" s="280">
        <v>6</v>
      </c>
      <c r="H11" s="282">
        <v>2.2599999999999998</v>
      </c>
      <c r="I11" s="282">
        <v>3</v>
      </c>
      <c r="J11" s="284" t="s">
        <v>319</v>
      </c>
      <c r="K11" s="283">
        <v>0.93</v>
      </c>
      <c r="L11" s="297" t="s">
        <v>319</v>
      </c>
    </row>
    <row r="12" spans="1:12">
      <c r="A12" s="272" t="s">
        <v>328</v>
      </c>
      <c r="B12" s="273">
        <v>26</v>
      </c>
      <c r="C12" s="274">
        <v>2.9</v>
      </c>
      <c r="D12" s="274">
        <v>11.85</v>
      </c>
      <c r="E12" s="273">
        <v>22</v>
      </c>
      <c r="F12" s="273">
        <v>3</v>
      </c>
      <c r="G12" s="273">
        <v>1</v>
      </c>
      <c r="H12" s="275">
        <v>4.09</v>
      </c>
      <c r="I12" s="275">
        <v>3</v>
      </c>
      <c r="J12" s="276" t="s">
        <v>318</v>
      </c>
      <c r="K12" s="277">
        <v>0.89</v>
      </c>
      <c r="L12" s="297" t="s">
        <v>319</v>
      </c>
    </row>
    <row r="13" spans="1:12">
      <c r="A13" s="279" t="s">
        <v>275</v>
      </c>
      <c r="B13" s="280">
        <v>41</v>
      </c>
      <c r="C13" s="281">
        <v>1</v>
      </c>
      <c r="D13" s="281">
        <v>6.5</v>
      </c>
      <c r="E13" s="280">
        <v>5</v>
      </c>
      <c r="F13" s="280">
        <v>6</v>
      </c>
      <c r="G13" s="280">
        <v>30</v>
      </c>
      <c r="H13" s="282">
        <v>6.5</v>
      </c>
      <c r="I13" s="282">
        <v>3</v>
      </c>
      <c r="J13" s="276" t="s">
        <v>318</v>
      </c>
      <c r="K13" s="283">
        <v>1.02</v>
      </c>
      <c r="L13" s="297" t="s">
        <v>319</v>
      </c>
    </row>
    <row r="14" spans="1:12">
      <c r="A14" s="272" t="s">
        <v>331</v>
      </c>
      <c r="B14" s="273">
        <v>15</v>
      </c>
      <c r="C14" s="274">
        <v>2.5</v>
      </c>
      <c r="D14" s="274">
        <v>3.5</v>
      </c>
      <c r="E14" s="273">
        <v>10</v>
      </c>
      <c r="F14" s="273">
        <v>1</v>
      </c>
      <c r="G14" s="273">
        <v>4</v>
      </c>
      <c r="H14" s="275">
        <v>1.4</v>
      </c>
      <c r="I14" s="275">
        <v>3</v>
      </c>
      <c r="J14" s="284" t="s">
        <v>319</v>
      </c>
      <c r="K14" s="277">
        <v>0.93</v>
      </c>
      <c r="L14" s="297" t="s">
        <v>319</v>
      </c>
    </row>
    <row r="15" spans="1:12">
      <c r="A15" s="279" t="s">
        <v>332</v>
      </c>
      <c r="B15" s="280">
        <v>11</v>
      </c>
      <c r="C15" s="281">
        <v>2.0499999999999998</v>
      </c>
      <c r="D15" s="281">
        <v>4.1500000000000004</v>
      </c>
      <c r="E15" s="280">
        <v>5</v>
      </c>
      <c r="F15" s="280">
        <v>4</v>
      </c>
      <c r="G15" s="280">
        <v>2</v>
      </c>
      <c r="H15" s="282">
        <v>2.02</v>
      </c>
      <c r="I15" s="282">
        <v>3</v>
      </c>
      <c r="J15" s="284" t="s">
        <v>319</v>
      </c>
      <c r="K15" s="283">
        <v>0.77</v>
      </c>
      <c r="L15" s="278" t="s">
        <v>333</v>
      </c>
    </row>
    <row r="16" spans="1:12">
      <c r="A16" s="272" t="s">
        <v>2387</v>
      </c>
      <c r="B16" s="273">
        <v>19</v>
      </c>
      <c r="C16" s="274">
        <v>1.8</v>
      </c>
      <c r="D16" s="274">
        <v>11.65</v>
      </c>
      <c r="E16" s="273">
        <v>17</v>
      </c>
      <c r="F16" s="273">
        <v>0</v>
      </c>
      <c r="G16" s="273">
        <v>2</v>
      </c>
      <c r="H16" s="275">
        <v>6.47</v>
      </c>
      <c r="I16" s="275">
        <v>3</v>
      </c>
      <c r="J16" s="276" t="s">
        <v>318</v>
      </c>
      <c r="K16" s="277">
        <v>0.82</v>
      </c>
      <c r="L16" s="278" t="s">
        <v>333</v>
      </c>
    </row>
    <row r="17" spans="1:12">
      <c r="A17" s="279" t="s">
        <v>335</v>
      </c>
      <c r="B17" s="280">
        <v>35</v>
      </c>
      <c r="C17" s="281">
        <v>3.25</v>
      </c>
      <c r="D17" s="281">
        <v>9.1</v>
      </c>
      <c r="E17" s="280">
        <v>33</v>
      </c>
      <c r="F17" s="280">
        <v>0</v>
      </c>
      <c r="G17" s="280">
        <v>2</v>
      </c>
      <c r="H17" s="282">
        <v>2.8</v>
      </c>
      <c r="I17" s="282">
        <v>3</v>
      </c>
      <c r="J17" s="284" t="s">
        <v>319</v>
      </c>
      <c r="K17" s="283">
        <v>0.92</v>
      </c>
      <c r="L17" s="297" t="s">
        <v>319</v>
      </c>
    </row>
    <row r="18" spans="1:12">
      <c r="A18" s="272" t="s">
        <v>336</v>
      </c>
      <c r="B18" s="273">
        <v>20</v>
      </c>
      <c r="C18" s="274">
        <v>15.15</v>
      </c>
      <c r="D18" s="274">
        <v>27.5</v>
      </c>
      <c r="E18" s="273">
        <v>10</v>
      </c>
      <c r="F18" s="273">
        <v>7</v>
      </c>
      <c r="G18" s="273">
        <v>3</v>
      </c>
      <c r="H18" s="275">
        <v>1.82</v>
      </c>
      <c r="I18" s="275">
        <v>3</v>
      </c>
      <c r="J18" s="284" t="s">
        <v>319</v>
      </c>
      <c r="K18" s="277">
        <v>0.93</v>
      </c>
      <c r="L18" s="297" t="s">
        <v>319</v>
      </c>
    </row>
    <row r="19" spans="1:12">
      <c r="A19" s="279" t="s">
        <v>2388</v>
      </c>
      <c r="B19" s="280">
        <v>5</v>
      </c>
      <c r="C19" s="281">
        <v>14.85</v>
      </c>
      <c r="D19" s="281">
        <v>17</v>
      </c>
      <c r="E19" s="280">
        <v>4</v>
      </c>
      <c r="F19" s="280">
        <v>0</v>
      </c>
      <c r="G19" s="280">
        <v>1</v>
      </c>
      <c r="H19" s="282">
        <v>1.1399999999999999</v>
      </c>
      <c r="I19" s="282">
        <v>2.5</v>
      </c>
      <c r="J19" s="284" t="s">
        <v>319</v>
      </c>
      <c r="K19" s="283">
        <v>1.02</v>
      </c>
      <c r="L19" s="297" t="s">
        <v>319</v>
      </c>
    </row>
    <row r="20" spans="1:12">
      <c r="A20" s="272" t="s">
        <v>337</v>
      </c>
      <c r="B20" s="273">
        <v>7</v>
      </c>
      <c r="C20" s="274">
        <v>1.55</v>
      </c>
      <c r="D20" s="274">
        <v>5</v>
      </c>
      <c r="E20" s="273">
        <v>6</v>
      </c>
      <c r="F20" s="273">
        <v>0</v>
      </c>
      <c r="G20" s="273">
        <v>1</v>
      </c>
      <c r="H20" s="275">
        <v>3.23</v>
      </c>
      <c r="I20" s="275">
        <v>2.5</v>
      </c>
      <c r="J20" s="276" t="s">
        <v>318</v>
      </c>
      <c r="K20" s="277">
        <v>0.82</v>
      </c>
      <c r="L20" s="278" t="s">
        <v>333</v>
      </c>
    </row>
    <row r="21" spans="1:12">
      <c r="A21" s="279" t="s">
        <v>1345</v>
      </c>
      <c r="B21" s="280">
        <v>7</v>
      </c>
      <c r="C21" s="281">
        <v>2.2000000000000002</v>
      </c>
      <c r="D21" s="281">
        <v>2.75</v>
      </c>
      <c r="E21" s="280">
        <v>5</v>
      </c>
      <c r="F21" s="280">
        <v>0</v>
      </c>
      <c r="G21" s="280">
        <v>2</v>
      </c>
      <c r="H21" s="282">
        <v>1.25</v>
      </c>
      <c r="I21" s="282">
        <v>2.5</v>
      </c>
      <c r="J21" s="284" t="s">
        <v>319</v>
      </c>
      <c r="K21" s="283">
        <v>1.07</v>
      </c>
      <c r="L21" s="278" t="s">
        <v>2389</v>
      </c>
    </row>
    <row r="22" spans="1:12">
      <c r="A22" s="272" t="s">
        <v>251</v>
      </c>
      <c r="B22" s="273">
        <v>20</v>
      </c>
      <c r="C22" s="274">
        <v>2.1</v>
      </c>
      <c r="D22" s="274">
        <v>2.9</v>
      </c>
      <c r="E22" s="273">
        <v>6</v>
      </c>
      <c r="F22" s="273">
        <v>0</v>
      </c>
      <c r="G22" s="273">
        <v>14</v>
      </c>
      <c r="H22" s="275">
        <v>1.38</v>
      </c>
      <c r="I22" s="275">
        <v>3</v>
      </c>
      <c r="J22" s="284" t="s">
        <v>319</v>
      </c>
      <c r="K22" s="277">
        <v>1.05</v>
      </c>
      <c r="L22" s="297" t="s">
        <v>319</v>
      </c>
    </row>
    <row r="23" spans="1:12">
      <c r="A23" s="285" t="s">
        <v>339</v>
      </c>
      <c r="B23" s="286">
        <v>30</v>
      </c>
      <c r="C23" s="287">
        <v>1.24</v>
      </c>
      <c r="D23" s="287">
        <v>26.5</v>
      </c>
      <c r="E23" s="286">
        <v>29</v>
      </c>
      <c r="F23" s="286">
        <v>0</v>
      </c>
      <c r="G23" s="286">
        <v>1</v>
      </c>
      <c r="H23" s="288">
        <v>21.37</v>
      </c>
      <c r="I23" s="288">
        <v>3</v>
      </c>
      <c r="J23" s="289" t="s">
        <v>318</v>
      </c>
      <c r="K23" s="290">
        <v>0.6</v>
      </c>
      <c r="L23" s="291" t="s">
        <v>333</v>
      </c>
    </row>
    <row r="26" spans="1:12">
      <c r="A26" s="1215" t="s">
        <v>2390</v>
      </c>
      <c r="B26" s="1140"/>
      <c r="C26" s="1140"/>
      <c r="D26" s="1140"/>
      <c r="E26" s="74"/>
      <c r="F26" s="74"/>
      <c r="G26" s="74"/>
      <c r="H26" s="74"/>
      <c r="I26" s="74"/>
      <c r="J26" s="74"/>
      <c r="K26" s="74"/>
      <c r="L26" s="74"/>
    </row>
    <row r="27" spans="1:12">
      <c r="A27" s="784" t="s">
        <v>309</v>
      </c>
      <c r="B27" s="784" t="s">
        <v>317</v>
      </c>
      <c r="C27" s="784" t="s">
        <v>106</v>
      </c>
      <c r="D27" s="784" t="s">
        <v>149</v>
      </c>
      <c r="E27" s="74"/>
      <c r="F27" s="74"/>
      <c r="G27" s="74"/>
      <c r="H27" s="74"/>
      <c r="I27" s="74"/>
      <c r="J27" s="74"/>
      <c r="K27" s="74"/>
      <c r="L27" s="74"/>
    </row>
    <row r="28" spans="1:12" ht="40" customHeight="1">
      <c r="A28" s="785" t="s">
        <v>256</v>
      </c>
      <c r="B28" s="786" t="s">
        <v>2391</v>
      </c>
      <c r="C28" s="786" t="s">
        <v>2392</v>
      </c>
      <c r="D28" s="787" t="s">
        <v>288</v>
      </c>
      <c r="E28" s="74"/>
      <c r="F28" s="74"/>
      <c r="G28" s="74"/>
      <c r="H28" s="74"/>
      <c r="I28" s="74"/>
      <c r="J28" s="74"/>
      <c r="K28" s="74"/>
      <c r="L28" s="74"/>
    </row>
    <row r="29" spans="1:12" ht="40" customHeight="1">
      <c r="A29" s="788" t="s">
        <v>321</v>
      </c>
      <c r="B29" s="789" t="s">
        <v>2393</v>
      </c>
      <c r="C29" s="789" t="s">
        <v>2394</v>
      </c>
      <c r="D29" s="790" t="s">
        <v>288</v>
      </c>
      <c r="E29" s="74"/>
      <c r="F29" s="74"/>
      <c r="G29" s="74"/>
      <c r="H29" s="74"/>
      <c r="I29" s="74"/>
      <c r="J29" s="74"/>
      <c r="K29" s="74"/>
      <c r="L29" s="74"/>
    </row>
    <row r="30" spans="1:12" ht="27" customHeight="1">
      <c r="A30" s="785" t="s">
        <v>323</v>
      </c>
      <c r="B30" s="786" t="s">
        <v>2395</v>
      </c>
      <c r="C30" s="786" t="s">
        <v>2396</v>
      </c>
      <c r="D30" s="787" t="s">
        <v>325</v>
      </c>
      <c r="E30" s="74"/>
      <c r="F30" s="74"/>
      <c r="G30" s="74"/>
      <c r="H30" s="74"/>
      <c r="I30" s="74"/>
      <c r="J30" s="74"/>
      <c r="K30" s="74"/>
      <c r="L30" s="74"/>
    </row>
    <row r="31" spans="1:12" ht="27" customHeight="1">
      <c r="A31" s="788" t="s">
        <v>326</v>
      </c>
      <c r="B31" s="789" t="s">
        <v>2395</v>
      </c>
      <c r="C31" s="789" t="s">
        <v>2396</v>
      </c>
      <c r="D31" s="790" t="s">
        <v>325</v>
      </c>
      <c r="E31" s="74"/>
      <c r="F31" s="74"/>
      <c r="G31" s="74"/>
      <c r="H31" s="74"/>
      <c r="I31" s="74"/>
      <c r="J31" s="74"/>
      <c r="K31" s="74"/>
      <c r="L31" s="74"/>
    </row>
    <row r="32" spans="1:12" ht="27" customHeight="1">
      <c r="A32" s="785" t="s">
        <v>277</v>
      </c>
      <c r="B32" s="786" t="s">
        <v>2395</v>
      </c>
      <c r="C32" s="786" t="s">
        <v>2396</v>
      </c>
      <c r="D32" s="787" t="s">
        <v>325</v>
      </c>
      <c r="E32" s="74"/>
      <c r="F32" s="74"/>
      <c r="G32" s="74"/>
      <c r="H32" s="74"/>
      <c r="I32" s="74"/>
      <c r="J32" s="74"/>
      <c r="K32" s="74"/>
      <c r="L32" s="74"/>
    </row>
    <row r="33" spans="1:6" ht="27" customHeight="1">
      <c r="A33" s="788" t="s">
        <v>327</v>
      </c>
      <c r="B33" s="789" t="s">
        <v>2395</v>
      </c>
      <c r="C33" s="789" t="s">
        <v>2396</v>
      </c>
      <c r="D33" s="790" t="s">
        <v>325</v>
      </c>
      <c r="E33" s="74"/>
      <c r="F33" s="74"/>
    </row>
    <row r="34" spans="1:6" ht="40" customHeight="1">
      <c r="A34" s="785" t="s">
        <v>328</v>
      </c>
      <c r="B34" s="786" t="s">
        <v>2397</v>
      </c>
      <c r="C34" s="786" t="s">
        <v>2394</v>
      </c>
      <c r="D34" s="787" t="s">
        <v>288</v>
      </c>
      <c r="E34" s="74"/>
      <c r="F34" s="74"/>
    </row>
    <row r="35" spans="1:6" ht="40" customHeight="1">
      <c r="A35" s="788" t="s">
        <v>275</v>
      </c>
      <c r="B35" s="789" t="s">
        <v>2398</v>
      </c>
      <c r="C35" s="789" t="s">
        <v>2392</v>
      </c>
      <c r="D35" s="790" t="s">
        <v>288</v>
      </c>
      <c r="E35" s="74"/>
      <c r="F35" s="74"/>
    </row>
    <row r="36" spans="1:6" ht="40" customHeight="1">
      <c r="A36" s="785" t="s">
        <v>331</v>
      </c>
      <c r="B36" s="786" t="s">
        <v>2399</v>
      </c>
      <c r="C36" s="786" t="s">
        <v>2396</v>
      </c>
      <c r="D36" s="787" t="s">
        <v>325</v>
      </c>
      <c r="E36" s="74"/>
      <c r="F36" s="74"/>
    </row>
    <row r="37" spans="1:6" ht="27" customHeight="1">
      <c r="A37" s="788" t="s">
        <v>332</v>
      </c>
      <c r="B37" s="789" t="s">
        <v>2400</v>
      </c>
      <c r="C37" s="789" t="s">
        <v>2401</v>
      </c>
      <c r="D37" s="790" t="s">
        <v>288</v>
      </c>
      <c r="E37" s="74"/>
      <c r="F37" s="74"/>
    </row>
    <row r="38" spans="1:6" ht="92" customHeight="1">
      <c r="A38" s="785" t="s">
        <v>2387</v>
      </c>
      <c r="B38" s="786" t="s">
        <v>2402</v>
      </c>
      <c r="C38" s="786" t="s">
        <v>2403</v>
      </c>
      <c r="D38" s="787" t="s">
        <v>278</v>
      </c>
      <c r="E38" s="74"/>
      <c r="F38" s="74"/>
    </row>
    <row r="39" spans="1:6" ht="40" customHeight="1">
      <c r="A39" s="788" t="s">
        <v>335</v>
      </c>
      <c r="B39" s="789" t="s">
        <v>2404</v>
      </c>
      <c r="C39" s="789" t="s">
        <v>2396</v>
      </c>
      <c r="D39" s="790" t="s">
        <v>325</v>
      </c>
      <c r="E39" s="74"/>
      <c r="F39" s="74"/>
    </row>
    <row r="40" spans="1:6" ht="27" customHeight="1">
      <c r="A40" s="785" t="s">
        <v>336</v>
      </c>
      <c r="B40" s="786" t="s">
        <v>2395</v>
      </c>
      <c r="C40" s="786" t="s">
        <v>2396</v>
      </c>
      <c r="D40" s="787" t="s">
        <v>325</v>
      </c>
      <c r="E40" s="74"/>
      <c r="F40" s="74"/>
    </row>
    <row r="41" spans="1:6" ht="27" customHeight="1">
      <c r="A41" s="788" t="s">
        <v>2388</v>
      </c>
      <c r="B41" s="789" t="s">
        <v>2405</v>
      </c>
      <c r="C41" s="789" t="s">
        <v>2396</v>
      </c>
      <c r="D41" s="790" t="s">
        <v>325</v>
      </c>
      <c r="E41" s="74"/>
      <c r="F41" s="74"/>
    </row>
    <row r="42" spans="1:6" ht="79" customHeight="1">
      <c r="A42" s="785" t="s">
        <v>337</v>
      </c>
      <c r="B42" s="786" t="s">
        <v>2406</v>
      </c>
      <c r="C42" s="786" t="s">
        <v>2407</v>
      </c>
      <c r="D42" s="787" t="s">
        <v>278</v>
      </c>
      <c r="E42" s="74"/>
      <c r="F42" s="74"/>
    </row>
    <row r="43" spans="1:6" ht="53" customHeight="1">
      <c r="A43" s="788" t="s">
        <v>1345</v>
      </c>
      <c r="B43" s="789" t="s">
        <v>2408</v>
      </c>
      <c r="C43" s="789" t="s">
        <v>2409</v>
      </c>
      <c r="D43" s="790" t="s">
        <v>288</v>
      </c>
      <c r="E43" s="74"/>
      <c r="F43" s="74"/>
    </row>
    <row r="44" spans="1:6" ht="40" customHeight="1">
      <c r="A44" s="785" t="s">
        <v>251</v>
      </c>
      <c r="B44" s="786" t="s">
        <v>2410</v>
      </c>
      <c r="C44" s="786" t="s">
        <v>2396</v>
      </c>
      <c r="D44" s="787" t="s">
        <v>325</v>
      </c>
      <c r="E44" s="74"/>
      <c r="F44" s="74"/>
    </row>
    <row r="45" spans="1:6" ht="92" customHeight="1">
      <c r="A45" s="788" t="s">
        <v>339</v>
      </c>
      <c r="B45" s="789" t="s">
        <v>2411</v>
      </c>
      <c r="C45" s="789" t="s">
        <v>2403</v>
      </c>
      <c r="D45" s="790" t="s">
        <v>278</v>
      </c>
      <c r="E45" s="74"/>
      <c r="F45" s="74"/>
    </row>
    <row r="48" spans="1:6">
      <c r="A48" s="1215" t="s">
        <v>2412</v>
      </c>
      <c r="B48" s="1140"/>
      <c r="C48" s="1140"/>
      <c r="D48" s="1140"/>
      <c r="E48" s="1140"/>
      <c r="F48" s="1140"/>
    </row>
    <row r="50" spans="1:8">
      <c r="A50" s="1214" t="s">
        <v>2413</v>
      </c>
      <c r="B50" s="1140"/>
      <c r="C50" s="1140"/>
      <c r="D50" s="1140"/>
      <c r="E50" s="1140"/>
      <c r="F50" s="1140"/>
      <c r="G50" s="74"/>
      <c r="H50" s="74"/>
    </row>
    <row r="51" spans="1:8">
      <c r="A51" s="791" t="s">
        <v>240</v>
      </c>
      <c r="B51" s="791" t="s">
        <v>2414</v>
      </c>
      <c r="C51" s="791" t="s">
        <v>356</v>
      </c>
      <c r="D51" s="791" t="s">
        <v>2415</v>
      </c>
      <c r="E51" s="791" t="s">
        <v>2416</v>
      </c>
      <c r="F51" s="791" t="s">
        <v>2350</v>
      </c>
      <c r="G51" s="791" t="s">
        <v>358</v>
      </c>
      <c r="H51" s="791" t="s">
        <v>1501</v>
      </c>
    </row>
    <row r="52" spans="1:8">
      <c r="A52" s="792" t="s">
        <v>1809</v>
      </c>
      <c r="B52" s="758">
        <v>1.6</v>
      </c>
      <c r="C52" s="770">
        <v>247</v>
      </c>
      <c r="D52" s="793" t="s">
        <v>2417</v>
      </c>
      <c r="E52" s="794"/>
      <c r="F52" s="795">
        <v>0.28000000000000003</v>
      </c>
      <c r="G52" s="795">
        <v>1.32</v>
      </c>
      <c r="H52" s="796">
        <v>0.82499999999999996</v>
      </c>
    </row>
    <row r="53" spans="1:8">
      <c r="A53" s="792" t="s">
        <v>1802</v>
      </c>
      <c r="B53" s="758">
        <v>1.6</v>
      </c>
      <c r="C53" s="770">
        <v>236</v>
      </c>
      <c r="D53" s="793" t="s">
        <v>2417</v>
      </c>
      <c r="E53" s="794"/>
      <c r="F53" s="795">
        <v>0.27</v>
      </c>
      <c r="G53" s="795">
        <v>1.33</v>
      </c>
      <c r="H53" s="796">
        <v>0.83125000000000004</v>
      </c>
    </row>
    <row r="54" spans="1:8">
      <c r="A54" s="792" t="s">
        <v>1791</v>
      </c>
      <c r="B54" s="758">
        <v>1.6</v>
      </c>
      <c r="C54" s="770">
        <v>208</v>
      </c>
      <c r="D54" s="793" t="s">
        <v>2417</v>
      </c>
      <c r="E54" s="794"/>
      <c r="F54" s="795">
        <v>0.34</v>
      </c>
      <c r="G54" s="795">
        <v>1.26</v>
      </c>
      <c r="H54" s="797">
        <v>0.78749999999999998</v>
      </c>
    </row>
    <row r="55" spans="1:8">
      <c r="A55" s="792" t="s">
        <v>912</v>
      </c>
      <c r="B55" s="758">
        <v>5.25</v>
      </c>
      <c r="C55" s="770">
        <v>444</v>
      </c>
      <c r="D55" s="793" t="s">
        <v>2417</v>
      </c>
      <c r="E55" s="794"/>
      <c r="F55" s="795">
        <v>1.25</v>
      </c>
      <c r="G55" s="795">
        <v>4</v>
      </c>
      <c r="H55" s="797">
        <v>0.76190476190476186</v>
      </c>
    </row>
    <row r="56" spans="1:8">
      <c r="A56" s="792" t="s">
        <v>675</v>
      </c>
      <c r="B56" s="758">
        <v>5.25</v>
      </c>
      <c r="C56" s="770">
        <v>165</v>
      </c>
      <c r="D56" s="793" t="s">
        <v>2417</v>
      </c>
      <c r="E56" s="794"/>
      <c r="F56" s="795">
        <v>0.68</v>
      </c>
      <c r="G56" s="795">
        <v>4.57</v>
      </c>
      <c r="H56" s="796">
        <v>0.87047619047619051</v>
      </c>
    </row>
    <row r="57" spans="1:8">
      <c r="A57" s="792" t="s">
        <v>255</v>
      </c>
      <c r="B57" s="758">
        <v>5.6</v>
      </c>
      <c r="C57" s="770">
        <v>844</v>
      </c>
      <c r="D57" s="793" t="s">
        <v>2417</v>
      </c>
      <c r="E57" s="794"/>
      <c r="F57" s="795">
        <v>0.96</v>
      </c>
      <c r="G57" s="795">
        <v>4.6399999999999997</v>
      </c>
      <c r="H57" s="796">
        <v>0.82857142857142851</v>
      </c>
    </row>
    <row r="58" spans="1:8">
      <c r="A58" s="792" t="s">
        <v>678</v>
      </c>
      <c r="B58" s="758">
        <v>6.5</v>
      </c>
      <c r="C58" s="770">
        <v>224</v>
      </c>
      <c r="D58" s="798" t="s">
        <v>2418</v>
      </c>
      <c r="E58" s="794" t="s">
        <v>2419</v>
      </c>
      <c r="F58" s="795">
        <v>1.56</v>
      </c>
      <c r="G58" s="795">
        <v>4.9400000000000004</v>
      </c>
      <c r="H58" s="797">
        <v>0.7599999999999999</v>
      </c>
    </row>
    <row r="59" spans="1:8">
      <c r="A59" s="792" t="s">
        <v>870</v>
      </c>
      <c r="B59" s="758">
        <v>8.1999999999999993</v>
      </c>
      <c r="C59" s="770">
        <v>216</v>
      </c>
      <c r="D59" s="798" t="s">
        <v>2418</v>
      </c>
      <c r="E59" s="794" t="s">
        <v>2419</v>
      </c>
      <c r="F59" s="795">
        <v>1.1599999999999999</v>
      </c>
      <c r="G59" s="795">
        <v>7.0399999999999991</v>
      </c>
      <c r="H59" s="796">
        <v>0.85853658536585364</v>
      </c>
    </row>
    <row r="60" spans="1:8">
      <c r="A60" s="792" t="s">
        <v>932</v>
      </c>
      <c r="B60" s="758">
        <v>8.1999999999999993</v>
      </c>
      <c r="C60" s="770">
        <v>214</v>
      </c>
      <c r="D60" s="798" t="s">
        <v>2418</v>
      </c>
      <c r="E60" s="794" t="s">
        <v>2419</v>
      </c>
      <c r="F60" s="795">
        <v>0.9</v>
      </c>
      <c r="G60" s="795">
        <v>7.2999999999999989</v>
      </c>
      <c r="H60" s="796">
        <v>0.89024390243902429</v>
      </c>
    </row>
    <row r="61" spans="1:8">
      <c r="A61" s="792" t="s">
        <v>931</v>
      </c>
      <c r="B61" s="758">
        <v>8.1999999999999993</v>
      </c>
      <c r="C61" s="770">
        <v>206</v>
      </c>
      <c r="D61" s="798" t="s">
        <v>2418</v>
      </c>
      <c r="E61" s="794" t="s">
        <v>2419</v>
      </c>
      <c r="F61" s="795">
        <v>0.88</v>
      </c>
      <c r="G61" s="795">
        <v>7.3199999999999994</v>
      </c>
      <c r="H61" s="796">
        <v>0.89268292682926831</v>
      </c>
    </row>
    <row r="62" spans="1:8">
      <c r="A62" s="792" t="s">
        <v>1114</v>
      </c>
      <c r="B62" s="758">
        <v>9.6</v>
      </c>
      <c r="C62" s="770">
        <v>145</v>
      </c>
      <c r="D62" s="798" t="s">
        <v>2418</v>
      </c>
      <c r="E62" s="794" t="s">
        <v>2419</v>
      </c>
      <c r="F62" s="795">
        <v>1.71</v>
      </c>
      <c r="G62" s="795">
        <v>7.89</v>
      </c>
      <c r="H62" s="796">
        <v>0.82187500000000002</v>
      </c>
    </row>
    <row r="63" spans="1:8">
      <c r="A63" s="792" t="s">
        <v>679</v>
      </c>
      <c r="B63" s="758">
        <v>9.9499999999999993</v>
      </c>
      <c r="C63" s="770">
        <v>297</v>
      </c>
      <c r="D63" s="798" t="s">
        <v>2418</v>
      </c>
      <c r="E63" s="794" t="s">
        <v>2419</v>
      </c>
      <c r="F63" s="795">
        <v>2.34</v>
      </c>
      <c r="G63" s="795">
        <v>7.6099999999999994</v>
      </c>
      <c r="H63" s="797">
        <v>0.76482412060301508</v>
      </c>
    </row>
    <row r="64" spans="1:8">
      <c r="A64" s="792" t="s">
        <v>262</v>
      </c>
      <c r="B64" s="758">
        <v>11.5</v>
      </c>
      <c r="C64" s="770">
        <v>435</v>
      </c>
      <c r="D64" s="799" t="s">
        <v>2420</v>
      </c>
      <c r="E64" s="794"/>
      <c r="F64" s="795">
        <v>2.69</v>
      </c>
      <c r="G64" s="795">
        <v>8.81</v>
      </c>
      <c r="H64" s="797">
        <v>0.76608695652173919</v>
      </c>
    </row>
    <row r="65" spans="1:8">
      <c r="A65" s="792" t="s">
        <v>1012</v>
      </c>
      <c r="B65" s="758">
        <v>11.5</v>
      </c>
      <c r="C65" s="770">
        <v>136</v>
      </c>
      <c r="D65" s="799" t="s">
        <v>2420</v>
      </c>
      <c r="E65" s="794"/>
      <c r="F65" s="795">
        <v>2.66</v>
      </c>
      <c r="G65" s="795">
        <v>8.84</v>
      </c>
      <c r="H65" s="797">
        <v>0.768695652173913</v>
      </c>
    </row>
    <row r="66" spans="1:8">
      <c r="A66" s="792" t="s">
        <v>1042</v>
      </c>
      <c r="B66" s="758">
        <v>12.9</v>
      </c>
      <c r="C66" s="770">
        <v>215</v>
      </c>
      <c r="D66" s="799" t="s">
        <v>2420</v>
      </c>
      <c r="E66" s="794"/>
      <c r="F66" s="795">
        <v>3.51</v>
      </c>
      <c r="G66" s="795">
        <v>9.39</v>
      </c>
      <c r="H66" s="797">
        <v>0.72790697674418603</v>
      </c>
    </row>
    <row r="67" spans="1:8">
      <c r="A67" s="74"/>
      <c r="B67" s="74"/>
      <c r="C67" s="74"/>
      <c r="D67" s="74"/>
      <c r="E67" s="800" t="s">
        <v>2421</v>
      </c>
      <c r="F67" s="74"/>
      <c r="G67" s="74"/>
      <c r="H67" s="74"/>
    </row>
    <row r="69" spans="1:8">
      <c r="A69" s="1214" t="s">
        <v>2422</v>
      </c>
      <c r="B69" s="1140"/>
      <c r="C69" s="1140"/>
      <c r="D69" s="1140"/>
      <c r="E69" s="1140"/>
      <c r="F69" s="1140"/>
      <c r="G69" s="74"/>
      <c r="H69" s="74"/>
    </row>
    <row r="70" spans="1:8">
      <c r="A70" s="791" t="s">
        <v>240</v>
      </c>
      <c r="B70" s="791" t="s">
        <v>2414</v>
      </c>
      <c r="C70" s="791" t="s">
        <v>356</v>
      </c>
      <c r="D70" s="791" t="s">
        <v>2415</v>
      </c>
      <c r="E70" s="791" t="s">
        <v>2416</v>
      </c>
      <c r="F70" s="791" t="s">
        <v>2350</v>
      </c>
      <c r="G70" s="791" t="s">
        <v>358</v>
      </c>
      <c r="H70" s="791" t="s">
        <v>1501</v>
      </c>
    </row>
    <row r="71" spans="1:8">
      <c r="A71" s="792" t="s">
        <v>2053</v>
      </c>
      <c r="B71" s="758">
        <v>3.95</v>
      </c>
      <c r="C71" s="770">
        <v>86</v>
      </c>
      <c r="D71" s="793" t="s">
        <v>2417</v>
      </c>
      <c r="E71" s="794"/>
      <c r="F71" s="795">
        <v>0.55000000000000004</v>
      </c>
      <c r="G71" s="795">
        <v>3.4</v>
      </c>
      <c r="H71" s="796">
        <v>0.86075949367088611</v>
      </c>
    </row>
    <row r="72" spans="1:8">
      <c r="A72" s="792" t="s">
        <v>910</v>
      </c>
      <c r="B72" s="758">
        <v>3.95</v>
      </c>
      <c r="C72" s="770">
        <v>15</v>
      </c>
      <c r="D72" s="793" t="s">
        <v>2417</v>
      </c>
      <c r="E72" s="794"/>
      <c r="F72" s="795">
        <v>0</v>
      </c>
      <c r="G72" s="795">
        <v>3.95</v>
      </c>
      <c r="H72" s="801">
        <v>1</v>
      </c>
    </row>
    <row r="73" spans="1:8">
      <c r="A73" s="792" t="s">
        <v>2324</v>
      </c>
      <c r="B73" s="758">
        <v>3.95</v>
      </c>
      <c r="C73" s="770">
        <v>1</v>
      </c>
      <c r="D73" s="793" t="s">
        <v>2417</v>
      </c>
      <c r="E73" s="794"/>
      <c r="F73" s="795">
        <v>0</v>
      </c>
      <c r="G73" s="795">
        <v>3.95</v>
      </c>
      <c r="H73" s="801">
        <v>1</v>
      </c>
    </row>
    <row r="74" spans="1:8">
      <c r="A74" s="792" t="s">
        <v>694</v>
      </c>
      <c r="B74" s="758">
        <v>4</v>
      </c>
      <c r="C74" s="770">
        <v>79</v>
      </c>
      <c r="D74" s="793" t="s">
        <v>2417</v>
      </c>
      <c r="E74" s="794"/>
      <c r="F74" s="795">
        <v>0.67</v>
      </c>
      <c r="G74" s="795">
        <v>3.33</v>
      </c>
      <c r="H74" s="796">
        <v>0.83250000000000002</v>
      </c>
    </row>
    <row r="75" spans="1:8">
      <c r="A75" s="792" t="s">
        <v>2054</v>
      </c>
      <c r="B75" s="758">
        <v>4</v>
      </c>
      <c r="C75" s="770">
        <v>1</v>
      </c>
      <c r="D75" s="793" t="s">
        <v>2417</v>
      </c>
      <c r="E75" s="794"/>
      <c r="F75" s="795">
        <v>0</v>
      </c>
      <c r="G75" s="795">
        <v>4</v>
      </c>
      <c r="H75" s="801">
        <v>1</v>
      </c>
    </row>
    <row r="76" spans="1:8">
      <c r="A76" s="792" t="s">
        <v>2309</v>
      </c>
      <c r="B76" s="758">
        <v>4.05</v>
      </c>
      <c r="C76" s="770">
        <v>1</v>
      </c>
      <c r="D76" s="793" t="s">
        <v>2417</v>
      </c>
      <c r="E76" s="794"/>
      <c r="F76" s="795">
        <v>0.55000000000000004</v>
      </c>
      <c r="G76" s="795">
        <v>3.5</v>
      </c>
      <c r="H76" s="796">
        <v>0.86419753086419759</v>
      </c>
    </row>
    <row r="77" spans="1:8">
      <c r="A77" s="792" t="s">
        <v>732</v>
      </c>
      <c r="B77" s="758">
        <v>6.9</v>
      </c>
      <c r="C77" s="770">
        <v>1</v>
      </c>
      <c r="D77" s="793" t="s">
        <v>2417</v>
      </c>
      <c r="E77" s="794"/>
      <c r="F77" s="795">
        <v>0</v>
      </c>
      <c r="G77" s="795">
        <v>6.9</v>
      </c>
      <c r="H77" s="801">
        <v>1</v>
      </c>
    </row>
    <row r="78" spans="1:8">
      <c r="A78" s="792" t="s">
        <v>793</v>
      </c>
      <c r="B78" s="758">
        <v>6.95</v>
      </c>
      <c r="C78" s="770">
        <v>11</v>
      </c>
      <c r="D78" s="793" t="s">
        <v>2417</v>
      </c>
      <c r="E78" s="794"/>
      <c r="F78" s="795">
        <v>1.02</v>
      </c>
      <c r="G78" s="795">
        <v>5.93</v>
      </c>
      <c r="H78" s="796">
        <v>0.85323741007194243</v>
      </c>
    </row>
    <row r="79" spans="1:8">
      <c r="A79" s="792" t="s">
        <v>1923</v>
      </c>
      <c r="B79" s="758">
        <v>7.9</v>
      </c>
      <c r="C79" s="770">
        <v>7</v>
      </c>
      <c r="D79" s="798" t="s">
        <v>2418</v>
      </c>
      <c r="E79" s="794" t="s">
        <v>2419</v>
      </c>
      <c r="F79" s="795">
        <v>0.49</v>
      </c>
      <c r="G79" s="795">
        <v>7.41</v>
      </c>
      <c r="H79" s="796">
        <v>0.9379746835443038</v>
      </c>
    </row>
    <row r="80" spans="1:8">
      <c r="A80" s="792" t="s">
        <v>728</v>
      </c>
      <c r="B80" s="758">
        <v>8.1</v>
      </c>
      <c r="C80" s="770">
        <v>61</v>
      </c>
      <c r="D80" s="798" t="s">
        <v>2418</v>
      </c>
      <c r="E80" s="794" t="s">
        <v>2419</v>
      </c>
      <c r="F80" s="795">
        <v>1.5</v>
      </c>
      <c r="G80" s="795">
        <v>6.6</v>
      </c>
      <c r="H80" s="796">
        <v>0.81481481481481477</v>
      </c>
    </row>
    <row r="81" spans="1:8">
      <c r="A81" s="792" t="s">
        <v>2042</v>
      </c>
      <c r="B81" s="758">
        <v>8.8000000000000007</v>
      </c>
      <c r="C81" s="770">
        <v>1</v>
      </c>
      <c r="D81" s="798" t="s">
        <v>2418</v>
      </c>
      <c r="E81" s="794" t="s">
        <v>2419</v>
      </c>
      <c r="F81" s="795">
        <v>2.36</v>
      </c>
      <c r="G81" s="795">
        <v>6.4400000000000013</v>
      </c>
      <c r="H81" s="797">
        <v>0.73181818181818192</v>
      </c>
    </row>
    <row r="82" spans="1:8">
      <c r="A82" s="792" t="s">
        <v>953</v>
      </c>
      <c r="B82" s="758">
        <v>9.9</v>
      </c>
      <c r="C82" s="770">
        <v>64</v>
      </c>
      <c r="D82" s="798" t="s">
        <v>2418</v>
      </c>
      <c r="E82" s="794" t="s">
        <v>2419</v>
      </c>
      <c r="F82" s="795">
        <v>3</v>
      </c>
      <c r="G82" s="795">
        <v>6.9</v>
      </c>
      <c r="H82" s="802">
        <v>0.69696969696969702</v>
      </c>
    </row>
    <row r="83" spans="1:8">
      <c r="A83" s="792" t="s">
        <v>1952</v>
      </c>
      <c r="B83" s="758">
        <v>13.9</v>
      </c>
      <c r="C83" s="770">
        <v>28</v>
      </c>
      <c r="D83" s="799" t="s">
        <v>2420</v>
      </c>
      <c r="E83" s="794"/>
      <c r="F83" s="795">
        <v>3.14</v>
      </c>
      <c r="G83" s="795">
        <v>10.76</v>
      </c>
      <c r="H83" s="797">
        <v>0.77410071942446035</v>
      </c>
    </row>
    <row r="84" spans="1:8">
      <c r="A84" s="792" t="s">
        <v>734</v>
      </c>
      <c r="B84" s="758">
        <v>14.4</v>
      </c>
      <c r="C84" s="770">
        <v>52</v>
      </c>
      <c r="D84" s="799" t="s">
        <v>2420</v>
      </c>
      <c r="E84" s="794"/>
      <c r="F84" s="795">
        <v>5.59</v>
      </c>
      <c r="G84" s="795">
        <v>8.81</v>
      </c>
      <c r="H84" s="802">
        <v>0.6118055555555556</v>
      </c>
    </row>
    <row r="85" spans="1:8">
      <c r="A85" s="792" t="s">
        <v>1708</v>
      </c>
      <c r="B85" s="758">
        <v>14.9</v>
      </c>
      <c r="C85" s="770">
        <v>4</v>
      </c>
      <c r="D85" s="799" t="s">
        <v>2420</v>
      </c>
      <c r="E85" s="794"/>
      <c r="F85" s="795">
        <v>3.34</v>
      </c>
      <c r="G85" s="795">
        <v>11.56</v>
      </c>
      <c r="H85" s="797">
        <v>0.77583892617449668</v>
      </c>
    </row>
    <row r="86" spans="1:8">
      <c r="A86" s="74"/>
      <c r="B86" s="74"/>
      <c r="C86" s="74"/>
      <c r="D86" s="74"/>
      <c r="E86" s="800" t="s">
        <v>2423</v>
      </c>
      <c r="F86" s="74"/>
      <c r="G86" s="74"/>
      <c r="H86" s="74"/>
    </row>
    <row r="88" spans="1:8">
      <c r="A88" s="1214" t="s">
        <v>2424</v>
      </c>
      <c r="B88" s="1140"/>
      <c r="C88" s="1140"/>
      <c r="D88" s="1140"/>
      <c r="E88" s="1140"/>
      <c r="F88" s="1140"/>
      <c r="G88" s="74"/>
      <c r="H88" s="74"/>
    </row>
    <row r="89" spans="1:8">
      <c r="A89" s="791" t="s">
        <v>240</v>
      </c>
      <c r="B89" s="791" t="s">
        <v>2414</v>
      </c>
      <c r="C89" s="791" t="s">
        <v>356</v>
      </c>
      <c r="D89" s="791" t="s">
        <v>2415</v>
      </c>
      <c r="E89" s="791" t="s">
        <v>2416</v>
      </c>
      <c r="F89" s="791" t="s">
        <v>2350</v>
      </c>
      <c r="G89" s="791" t="s">
        <v>358</v>
      </c>
      <c r="H89" s="791" t="s">
        <v>1501</v>
      </c>
    </row>
    <row r="90" spans="1:8">
      <c r="A90" s="792" t="s">
        <v>1589</v>
      </c>
      <c r="B90" s="758">
        <v>5.95</v>
      </c>
      <c r="C90" s="770">
        <v>32</v>
      </c>
      <c r="D90" s="793" t="s">
        <v>2417</v>
      </c>
      <c r="E90" s="794"/>
      <c r="F90" s="795">
        <v>1.02</v>
      </c>
      <c r="G90" s="795">
        <v>4.93</v>
      </c>
      <c r="H90" s="796">
        <v>0.82857142857142851</v>
      </c>
    </row>
    <row r="91" spans="1:8">
      <c r="A91" s="792" t="s">
        <v>1615</v>
      </c>
      <c r="B91" s="758">
        <v>8.7200000000000006</v>
      </c>
      <c r="C91" s="770">
        <v>1</v>
      </c>
      <c r="D91" s="798" t="s">
        <v>2418</v>
      </c>
      <c r="E91" s="794" t="s">
        <v>2419</v>
      </c>
      <c r="F91" s="795">
        <v>0</v>
      </c>
      <c r="G91" s="795">
        <v>8.7200000000000006</v>
      </c>
      <c r="H91" s="801">
        <v>1</v>
      </c>
    </row>
    <row r="92" spans="1:8">
      <c r="A92" s="792" t="s">
        <v>684</v>
      </c>
      <c r="B92" s="758">
        <v>9.8000000000000007</v>
      </c>
      <c r="C92" s="770">
        <v>119</v>
      </c>
      <c r="D92" s="798" t="s">
        <v>2418</v>
      </c>
      <c r="E92" s="794" t="s">
        <v>2419</v>
      </c>
      <c r="F92" s="795">
        <v>0.68</v>
      </c>
      <c r="G92" s="795">
        <v>9.120000000000001</v>
      </c>
      <c r="H92" s="796">
        <v>0.93061224489795924</v>
      </c>
    </row>
    <row r="93" spans="1:8">
      <c r="A93" s="792" t="s">
        <v>696</v>
      </c>
      <c r="B93" s="758">
        <v>11.9</v>
      </c>
      <c r="C93" s="770">
        <v>106</v>
      </c>
      <c r="D93" s="799" t="s">
        <v>2420</v>
      </c>
      <c r="E93" s="794"/>
      <c r="F93" s="795">
        <v>2.75</v>
      </c>
      <c r="G93" s="795">
        <v>9.15</v>
      </c>
      <c r="H93" s="797">
        <v>0.76890756302521013</v>
      </c>
    </row>
    <row r="94" spans="1:8">
      <c r="A94" s="792" t="s">
        <v>1827</v>
      </c>
      <c r="B94" s="758">
        <v>11.9</v>
      </c>
      <c r="C94" s="770">
        <v>1</v>
      </c>
      <c r="D94" s="799" t="s">
        <v>2420</v>
      </c>
      <c r="E94" s="794"/>
      <c r="F94" s="795">
        <v>0</v>
      </c>
      <c r="G94" s="795">
        <v>11.9</v>
      </c>
      <c r="H94" s="801">
        <v>1</v>
      </c>
    </row>
    <row r="95" spans="1:8">
      <c r="A95" s="792" t="s">
        <v>1587</v>
      </c>
      <c r="B95" s="758">
        <v>12.65</v>
      </c>
      <c r="C95" s="770">
        <v>54</v>
      </c>
      <c r="D95" s="799" t="s">
        <v>2420</v>
      </c>
      <c r="E95" s="794"/>
      <c r="F95" s="795">
        <v>2.69</v>
      </c>
      <c r="G95" s="795">
        <v>9.9600000000000009</v>
      </c>
      <c r="H95" s="797">
        <v>0.78735177865612649</v>
      </c>
    </row>
    <row r="96" spans="1:8">
      <c r="A96" s="792" t="s">
        <v>1586</v>
      </c>
      <c r="B96" s="758">
        <v>12.65</v>
      </c>
      <c r="C96" s="770">
        <v>1</v>
      </c>
      <c r="D96" s="799" t="s">
        <v>2420</v>
      </c>
      <c r="E96" s="794"/>
      <c r="F96" s="795">
        <v>0</v>
      </c>
      <c r="G96" s="795">
        <v>12.65</v>
      </c>
      <c r="H96" s="801">
        <v>1</v>
      </c>
    </row>
    <row r="97" spans="1:8">
      <c r="A97" s="74"/>
      <c r="B97" s="74"/>
      <c r="C97" s="74"/>
      <c r="D97" s="74"/>
      <c r="E97" s="800" t="s">
        <v>2425</v>
      </c>
      <c r="F97" s="74"/>
      <c r="G97" s="74"/>
      <c r="H97" s="74"/>
    </row>
    <row r="99" spans="1:8">
      <c r="A99" s="1214" t="s">
        <v>2426</v>
      </c>
      <c r="B99" s="1140"/>
      <c r="C99" s="1140"/>
      <c r="D99" s="1140"/>
      <c r="E99" s="1140"/>
      <c r="F99" s="1140"/>
      <c r="G99" s="74"/>
      <c r="H99" s="74"/>
    </row>
    <row r="100" spans="1:8">
      <c r="A100" s="791" t="s">
        <v>240</v>
      </c>
      <c r="B100" s="791" t="s">
        <v>2414</v>
      </c>
      <c r="C100" s="791" t="s">
        <v>356</v>
      </c>
      <c r="D100" s="791" t="s">
        <v>2415</v>
      </c>
      <c r="E100" s="791" t="s">
        <v>2416</v>
      </c>
      <c r="F100" s="791" t="s">
        <v>2350</v>
      </c>
      <c r="G100" s="791" t="s">
        <v>358</v>
      </c>
      <c r="H100" s="791" t="s">
        <v>1501</v>
      </c>
    </row>
    <row r="101" spans="1:8">
      <c r="A101" s="792" t="s">
        <v>2059</v>
      </c>
      <c r="B101" s="758">
        <v>7.95</v>
      </c>
      <c r="C101" s="770">
        <v>5</v>
      </c>
      <c r="D101" s="793" t="s">
        <v>2417</v>
      </c>
      <c r="E101" s="794"/>
      <c r="F101" s="795">
        <v>0.98</v>
      </c>
      <c r="G101" s="795">
        <v>6.9700000000000006</v>
      </c>
      <c r="H101" s="796">
        <v>0.8767295597484277</v>
      </c>
    </row>
    <row r="102" spans="1:8">
      <c r="A102" s="792" t="s">
        <v>705</v>
      </c>
      <c r="B102" s="758">
        <v>9.5</v>
      </c>
      <c r="C102" s="770">
        <v>67</v>
      </c>
      <c r="D102" s="793" t="s">
        <v>2417</v>
      </c>
      <c r="E102" s="794"/>
      <c r="F102" s="795">
        <v>1.84</v>
      </c>
      <c r="G102" s="795">
        <v>7.66</v>
      </c>
      <c r="H102" s="796">
        <v>0.80631578947368421</v>
      </c>
    </row>
    <row r="103" spans="1:8">
      <c r="A103" s="792" t="s">
        <v>1073</v>
      </c>
      <c r="B103" s="758">
        <v>9.5</v>
      </c>
      <c r="C103" s="770">
        <v>66</v>
      </c>
      <c r="D103" s="793" t="s">
        <v>2417</v>
      </c>
      <c r="E103" s="794"/>
      <c r="F103" s="795">
        <v>1.66</v>
      </c>
      <c r="G103" s="795">
        <v>7.84</v>
      </c>
      <c r="H103" s="796">
        <v>0.82526315789473681</v>
      </c>
    </row>
    <row r="104" spans="1:8">
      <c r="A104" s="792" t="s">
        <v>1139</v>
      </c>
      <c r="B104" s="758">
        <v>9.75</v>
      </c>
      <c r="C104" s="770">
        <v>86</v>
      </c>
      <c r="D104" s="793" t="s">
        <v>2417</v>
      </c>
      <c r="E104" s="794"/>
      <c r="F104" s="795">
        <v>1.79</v>
      </c>
      <c r="G104" s="795">
        <v>7.96</v>
      </c>
      <c r="H104" s="796">
        <v>0.81641025641025644</v>
      </c>
    </row>
    <row r="105" spans="1:8">
      <c r="A105" s="792" t="s">
        <v>1129</v>
      </c>
      <c r="B105" s="758">
        <v>9.75</v>
      </c>
      <c r="C105" s="770">
        <v>1</v>
      </c>
      <c r="D105" s="793" t="s">
        <v>2417</v>
      </c>
      <c r="E105" s="794"/>
      <c r="F105" s="795">
        <v>1.66</v>
      </c>
      <c r="G105" s="795">
        <v>8.09</v>
      </c>
      <c r="H105" s="796">
        <v>0.82974358974358975</v>
      </c>
    </row>
    <row r="106" spans="1:8">
      <c r="A106" s="792" t="s">
        <v>2064</v>
      </c>
      <c r="B106" s="758">
        <v>9.9</v>
      </c>
      <c r="C106" s="770">
        <v>1</v>
      </c>
      <c r="D106" s="793" t="s">
        <v>2417</v>
      </c>
      <c r="E106" s="794"/>
      <c r="F106" s="795">
        <v>0</v>
      </c>
      <c r="G106" s="795">
        <v>9.9</v>
      </c>
      <c r="H106" s="801">
        <v>1</v>
      </c>
    </row>
    <row r="107" spans="1:8">
      <c r="A107" s="792" t="s">
        <v>2058</v>
      </c>
      <c r="B107" s="758">
        <v>9.9</v>
      </c>
      <c r="C107" s="770">
        <v>1</v>
      </c>
      <c r="D107" s="793" t="s">
        <v>2417</v>
      </c>
      <c r="E107" s="794"/>
      <c r="F107" s="795">
        <v>0</v>
      </c>
      <c r="G107" s="795">
        <v>9.9</v>
      </c>
      <c r="H107" s="801">
        <v>1</v>
      </c>
    </row>
    <row r="108" spans="1:8">
      <c r="A108" s="792" t="s">
        <v>2087</v>
      </c>
      <c r="B108" s="758">
        <v>10.9</v>
      </c>
      <c r="C108" s="770">
        <v>1</v>
      </c>
      <c r="D108" s="798" t="s">
        <v>2418</v>
      </c>
      <c r="E108" s="794" t="s">
        <v>2419</v>
      </c>
      <c r="F108" s="795">
        <v>0</v>
      </c>
      <c r="G108" s="795">
        <v>10.9</v>
      </c>
      <c r="H108" s="801">
        <v>1</v>
      </c>
    </row>
    <row r="109" spans="1:8">
      <c r="A109" s="792" t="s">
        <v>683</v>
      </c>
      <c r="B109" s="758">
        <v>11.9</v>
      </c>
      <c r="C109" s="770">
        <v>105</v>
      </c>
      <c r="D109" s="798" t="s">
        <v>2418</v>
      </c>
      <c r="E109" s="794" t="s">
        <v>2419</v>
      </c>
      <c r="F109" s="795">
        <v>2.52</v>
      </c>
      <c r="G109" s="795">
        <v>9.3800000000000008</v>
      </c>
      <c r="H109" s="797">
        <v>0.78823529411764715</v>
      </c>
    </row>
    <row r="110" spans="1:8">
      <c r="A110" s="792" t="s">
        <v>2086</v>
      </c>
      <c r="B110" s="758">
        <v>12.5</v>
      </c>
      <c r="C110" s="770">
        <v>42</v>
      </c>
      <c r="D110" s="798" t="s">
        <v>2418</v>
      </c>
      <c r="E110" s="794" t="s">
        <v>2419</v>
      </c>
      <c r="F110" s="795">
        <v>2.81</v>
      </c>
      <c r="G110" s="795">
        <v>9.69</v>
      </c>
      <c r="H110" s="797">
        <v>0.7752</v>
      </c>
    </row>
    <row r="111" spans="1:8">
      <c r="A111" s="792" t="s">
        <v>812</v>
      </c>
      <c r="B111" s="758">
        <v>12.9</v>
      </c>
      <c r="C111" s="770">
        <v>11</v>
      </c>
      <c r="D111" s="799" t="s">
        <v>2420</v>
      </c>
      <c r="E111" s="794"/>
      <c r="F111" s="795">
        <v>1.78</v>
      </c>
      <c r="G111" s="795">
        <v>11.12</v>
      </c>
      <c r="H111" s="796">
        <v>0.86201550387596904</v>
      </c>
    </row>
    <row r="112" spans="1:8">
      <c r="A112" s="792" t="s">
        <v>1063</v>
      </c>
      <c r="B112" s="758">
        <v>14.9</v>
      </c>
      <c r="C112" s="770">
        <v>10</v>
      </c>
      <c r="D112" s="799" t="s">
        <v>2420</v>
      </c>
      <c r="E112" s="794"/>
      <c r="F112" s="795">
        <v>0</v>
      </c>
      <c r="G112" s="795">
        <v>14.9</v>
      </c>
      <c r="H112" s="801">
        <v>1</v>
      </c>
    </row>
    <row r="113" spans="1:8">
      <c r="A113" s="74"/>
      <c r="B113" s="74"/>
      <c r="C113" s="74"/>
      <c r="D113" s="74"/>
      <c r="E113" s="800" t="s">
        <v>2427</v>
      </c>
      <c r="F113" s="74"/>
      <c r="G113" s="74"/>
      <c r="H113" s="74"/>
    </row>
    <row r="115" spans="1:8">
      <c r="A115" s="1214" t="s">
        <v>2428</v>
      </c>
      <c r="B115" s="1140"/>
      <c r="C115" s="1140"/>
      <c r="D115" s="1140"/>
      <c r="E115" s="1140"/>
      <c r="F115" s="1140"/>
      <c r="G115" s="74"/>
      <c r="H115" s="74"/>
    </row>
    <row r="116" spans="1:8">
      <c r="A116" s="791" t="s">
        <v>240</v>
      </c>
      <c r="B116" s="791" t="s">
        <v>2414</v>
      </c>
      <c r="C116" s="791" t="s">
        <v>356</v>
      </c>
      <c r="D116" s="791" t="s">
        <v>2415</v>
      </c>
      <c r="E116" s="791" t="s">
        <v>2416</v>
      </c>
      <c r="F116" s="791" t="s">
        <v>2350</v>
      </c>
      <c r="G116" s="791" t="s">
        <v>358</v>
      </c>
      <c r="H116" s="791" t="s">
        <v>1501</v>
      </c>
    </row>
    <row r="117" spans="1:8">
      <c r="A117" s="792" t="s">
        <v>1044</v>
      </c>
      <c r="B117" s="758">
        <v>9.25</v>
      </c>
      <c r="C117" s="770">
        <v>102</v>
      </c>
      <c r="D117" s="793" t="s">
        <v>2417</v>
      </c>
      <c r="E117" s="794"/>
      <c r="F117" s="795">
        <v>0.53</v>
      </c>
      <c r="G117" s="795">
        <v>8.7200000000000006</v>
      </c>
      <c r="H117" s="796">
        <v>0.94270270270270273</v>
      </c>
    </row>
    <row r="118" spans="1:8">
      <c r="A118" s="792" t="s">
        <v>915</v>
      </c>
      <c r="B118" s="758">
        <v>10.9</v>
      </c>
      <c r="C118" s="770">
        <v>132</v>
      </c>
      <c r="D118" s="798" t="s">
        <v>2418</v>
      </c>
      <c r="E118" s="794" t="s">
        <v>2419</v>
      </c>
      <c r="F118" s="795">
        <v>2.54</v>
      </c>
      <c r="G118" s="795">
        <v>8.36</v>
      </c>
      <c r="H118" s="797">
        <v>0.76697247706422012</v>
      </c>
    </row>
    <row r="119" spans="1:8">
      <c r="A119" s="792" t="s">
        <v>1188</v>
      </c>
      <c r="B119" s="758">
        <v>10.9</v>
      </c>
      <c r="C119" s="770">
        <v>85</v>
      </c>
      <c r="D119" s="798" t="s">
        <v>2418</v>
      </c>
      <c r="E119" s="794" t="s">
        <v>2419</v>
      </c>
      <c r="F119" s="795">
        <v>2.68</v>
      </c>
      <c r="G119" s="795">
        <v>8.2200000000000006</v>
      </c>
      <c r="H119" s="797">
        <v>0.75412844036697246</v>
      </c>
    </row>
    <row r="120" spans="1:8">
      <c r="A120" s="792" t="s">
        <v>2160</v>
      </c>
      <c r="B120" s="758">
        <v>11</v>
      </c>
      <c r="C120" s="770">
        <v>1</v>
      </c>
      <c r="D120" s="798" t="s">
        <v>2418</v>
      </c>
      <c r="E120" s="794" t="s">
        <v>2419</v>
      </c>
      <c r="F120" s="795">
        <v>0</v>
      </c>
      <c r="G120" s="795">
        <v>11</v>
      </c>
      <c r="H120" s="801">
        <v>1</v>
      </c>
    </row>
    <row r="121" spans="1:8">
      <c r="A121" s="792" t="s">
        <v>1179</v>
      </c>
      <c r="B121" s="758">
        <v>12.9</v>
      </c>
      <c r="C121" s="770">
        <v>95</v>
      </c>
      <c r="D121" s="799" t="s">
        <v>2420</v>
      </c>
      <c r="E121" s="794"/>
      <c r="F121" s="795">
        <v>2.82</v>
      </c>
      <c r="G121" s="795">
        <v>10.08</v>
      </c>
      <c r="H121" s="797">
        <v>0.78139534883720929</v>
      </c>
    </row>
    <row r="122" spans="1:8">
      <c r="A122" s="792" t="s">
        <v>1633</v>
      </c>
      <c r="B122" s="758">
        <v>12.9</v>
      </c>
      <c r="C122" s="770">
        <v>56</v>
      </c>
      <c r="D122" s="799" t="s">
        <v>2420</v>
      </c>
      <c r="E122" s="794"/>
      <c r="F122" s="795">
        <v>2.88</v>
      </c>
      <c r="G122" s="795">
        <v>10.02</v>
      </c>
      <c r="H122" s="797">
        <v>0.77674418604651152</v>
      </c>
    </row>
    <row r="123" spans="1:8">
      <c r="A123" s="792" t="s">
        <v>954</v>
      </c>
      <c r="B123" s="758">
        <v>12.9</v>
      </c>
      <c r="C123" s="770">
        <v>52</v>
      </c>
      <c r="D123" s="799" t="s">
        <v>2420</v>
      </c>
      <c r="E123" s="794"/>
      <c r="F123" s="795">
        <v>2.39</v>
      </c>
      <c r="G123" s="795">
        <v>10.51</v>
      </c>
      <c r="H123" s="796">
        <v>0.81472868217054262</v>
      </c>
    </row>
    <row r="124" spans="1:8">
      <c r="A124" s="792" t="s">
        <v>2044</v>
      </c>
      <c r="B124" s="758">
        <v>12.9</v>
      </c>
      <c r="C124" s="770">
        <v>1</v>
      </c>
      <c r="D124" s="799" t="s">
        <v>2420</v>
      </c>
      <c r="E124" s="794"/>
      <c r="F124" s="795">
        <v>0</v>
      </c>
      <c r="G124" s="795">
        <v>12.9</v>
      </c>
      <c r="H124" s="801">
        <v>1</v>
      </c>
    </row>
    <row r="125" spans="1:8">
      <c r="A125" s="74"/>
      <c r="B125" s="74"/>
      <c r="C125" s="74"/>
      <c r="D125" s="74"/>
      <c r="E125" s="800" t="s">
        <v>2429</v>
      </c>
      <c r="F125" s="74"/>
      <c r="G125" s="74"/>
      <c r="H125" s="74"/>
    </row>
    <row r="127" spans="1:8">
      <c r="A127" s="1214" t="s">
        <v>2430</v>
      </c>
      <c r="B127" s="1140"/>
      <c r="C127" s="1140"/>
      <c r="D127" s="1140"/>
      <c r="E127" s="1140"/>
      <c r="F127" s="1140"/>
      <c r="G127" s="74"/>
      <c r="H127" s="74"/>
    </row>
    <row r="128" spans="1:8">
      <c r="A128" s="791" t="s">
        <v>240</v>
      </c>
      <c r="B128" s="791" t="s">
        <v>2414</v>
      </c>
      <c r="C128" s="791" t="s">
        <v>356</v>
      </c>
      <c r="D128" s="791" t="s">
        <v>2415</v>
      </c>
      <c r="E128" s="791" t="s">
        <v>2416</v>
      </c>
      <c r="F128" s="791" t="s">
        <v>2350</v>
      </c>
      <c r="G128" s="791" t="s">
        <v>358</v>
      </c>
      <c r="H128" s="791" t="s">
        <v>1501</v>
      </c>
    </row>
    <row r="129" spans="1:8">
      <c r="A129" s="792" t="s">
        <v>723</v>
      </c>
      <c r="B129" s="758">
        <v>3.1</v>
      </c>
      <c r="C129" s="770">
        <v>85</v>
      </c>
      <c r="D129" s="793" t="s">
        <v>2417</v>
      </c>
      <c r="E129" s="794"/>
      <c r="F129" s="795">
        <v>0.23</v>
      </c>
      <c r="G129" s="795">
        <v>2.87</v>
      </c>
      <c r="H129" s="796">
        <v>0.9258064516129032</v>
      </c>
    </row>
    <row r="130" spans="1:8">
      <c r="A130" s="792" t="s">
        <v>1793</v>
      </c>
      <c r="B130" s="758">
        <v>3.1</v>
      </c>
      <c r="C130" s="770">
        <v>18</v>
      </c>
      <c r="D130" s="793" t="s">
        <v>2417</v>
      </c>
      <c r="E130" s="794"/>
      <c r="F130" s="795">
        <v>0.23</v>
      </c>
      <c r="G130" s="795">
        <v>2.87</v>
      </c>
      <c r="H130" s="796">
        <v>0.9258064516129032</v>
      </c>
    </row>
    <row r="131" spans="1:8">
      <c r="A131" s="792" t="s">
        <v>799</v>
      </c>
      <c r="B131" s="758">
        <v>3.5</v>
      </c>
      <c r="C131" s="770">
        <v>73</v>
      </c>
      <c r="D131" s="793" t="s">
        <v>2417</v>
      </c>
      <c r="E131" s="794"/>
      <c r="F131" s="795">
        <v>0.24</v>
      </c>
      <c r="G131" s="795">
        <v>3.26</v>
      </c>
      <c r="H131" s="796">
        <v>0.93142857142857138</v>
      </c>
    </row>
    <row r="132" spans="1:8">
      <c r="A132" s="792" t="s">
        <v>712</v>
      </c>
      <c r="B132" s="758">
        <v>3.5</v>
      </c>
      <c r="C132" s="770">
        <v>46</v>
      </c>
      <c r="D132" s="793" t="s">
        <v>2417</v>
      </c>
      <c r="E132" s="794"/>
      <c r="F132" s="795">
        <v>0.34</v>
      </c>
      <c r="G132" s="795">
        <v>3.16</v>
      </c>
      <c r="H132" s="796">
        <v>0.90285714285714291</v>
      </c>
    </row>
    <row r="133" spans="1:8">
      <c r="A133" s="792" t="s">
        <v>856</v>
      </c>
      <c r="B133" s="758">
        <v>3.5</v>
      </c>
      <c r="C133" s="770">
        <v>34</v>
      </c>
      <c r="D133" s="793" t="s">
        <v>2417</v>
      </c>
      <c r="E133" s="794"/>
      <c r="F133" s="795">
        <v>0.32</v>
      </c>
      <c r="G133" s="795">
        <v>3.18</v>
      </c>
      <c r="H133" s="796">
        <v>0.90857142857142859</v>
      </c>
    </row>
    <row r="134" spans="1:8">
      <c r="A134" s="792" t="s">
        <v>903</v>
      </c>
      <c r="B134" s="758">
        <v>3.5</v>
      </c>
      <c r="C134" s="770">
        <v>19</v>
      </c>
      <c r="D134" s="793" t="s">
        <v>2417</v>
      </c>
      <c r="E134" s="794"/>
      <c r="F134" s="795">
        <v>0.36</v>
      </c>
      <c r="G134" s="795">
        <v>3.14</v>
      </c>
      <c r="H134" s="796">
        <v>0.89714285714285713</v>
      </c>
    </row>
    <row r="135" spans="1:8">
      <c r="A135" s="792" t="s">
        <v>1101</v>
      </c>
      <c r="B135" s="758">
        <v>3.5</v>
      </c>
      <c r="C135" s="770">
        <v>4</v>
      </c>
      <c r="D135" s="793" t="s">
        <v>2417</v>
      </c>
      <c r="E135" s="794"/>
      <c r="F135" s="795">
        <v>0.42</v>
      </c>
      <c r="G135" s="795">
        <v>3.08</v>
      </c>
      <c r="H135" s="796">
        <v>0.88</v>
      </c>
    </row>
    <row r="136" spans="1:8">
      <c r="A136" s="792" t="s">
        <v>802</v>
      </c>
      <c r="B136" s="758">
        <v>4.5999999999999996</v>
      </c>
      <c r="C136" s="770">
        <v>71</v>
      </c>
      <c r="D136" s="798" t="s">
        <v>2418</v>
      </c>
      <c r="E136" s="794" t="s">
        <v>2419</v>
      </c>
      <c r="F136" s="795">
        <v>0.86</v>
      </c>
      <c r="G136" s="795">
        <v>3.74</v>
      </c>
      <c r="H136" s="796">
        <v>0.81304347826086953</v>
      </c>
    </row>
    <row r="137" spans="1:8">
      <c r="A137" s="792" t="s">
        <v>1007</v>
      </c>
      <c r="B137" s="758">
        <v>4.5999999999999996</v>
      </c>
      <c r="C137" s="770">
        <v>68</v>
      </c>
      <c r="D137" s="798" t="s">
        <v>2418</v>
      </c>
      <c r="E137" s="794" t="s">
        <v>2419</v>
      </c>
      <c r="F137" s="795">
        <v>0.86</v>
      </c>
      <c r="G137" s="795">
        <v>3.74</v>
      </c>
      <c r="H137" s="796">
        <v>0.81304347826086953</v>
      </c>
    </row>
    <row r="138" spans="1:8">
      <c r="A138" s="792" t="s">
        <v>801</v>
      </c>
      <c r="B138" s="758">
        <v>4.8499999999999996</v>
      </c>
      <c r="C138" s="770">
        <v>52</v>
      </c>
      <c r="D138" s="798" t="s">
        <v>2418</v>
      </c>
      <c r="E138" s="794" t="s">
        <v>2419</v>
      </c>
      <c r="F138" s="795">
        <v>1.26</v>
      </c>
      <c r="G138" s="795">
        <v>3.59</v>
      </c>
      <c r="H138" s="797">
        <v>0.74020618556701034</v>
      </c>
    </row>
    <row r="139" spans="1:8">
      <c r="A139" s="792" t="s">
        <v>939</v>
      </c>
      <c r="B139" s="758">
        <v>4.8499999999999996</v>
      </c>
      <c r="C139" s="770">
        <v>21</v>
      </c>
      <c r="D139" s="798" t="s">
        <v>2418</v>
      </c>
      <c r="E139" s="794" t="s">
        <v>2419</v>
      </c>
      <c r="F139" s="795">
        <v>0</v>
      </c>
      <c r="G139" s="795">
        <v>4.8499999999999996</v>
      </c>
      <c r="H139" s="801">
        <v>1</v>
      </c>
    </row>
    <row r="140" spans="1:8">
      <c r="A140" s="792" t="s">
        <v>817</v>
      </c>
      <c r="B140" s="758">
        <v>4.9000000000000004</v>
      </c>
      <c r="C140" s="770">
        <v>64</v>
      </c>
      <c r="D140" s="798" t="s">
        <v>2418</v>
      </c>
      <c r="E140" s="794" t="s">
        <v>2419</v>
      </c>
      <c r="F140" s="795">
        <v>0.78</v>
      </c>
      <c r="G140" s="795">
        <v>4.12</v>
      </c>
      <c r="H140" s="796">
        <v>0.84081632653061222</v>
      </c>
    </row>
    <row r="141" spans="1:8">
      <c r="A141" s="792" t="s">
        <v>1090</v>
      </c>
      <c r="B141" s="758">
        <v>5.0999999999999996</v>
      </c>
      <c r="C141" s="770">
        <v>32</v>
      </c>
      <c r="D141" s="798" t="s">
        <v>2418</v>
      </c>
      <c r="E141" s="794" t="s">
        <v>2419</v>
      </c>
      <c r="F141" s="795">
        <v>0.6</v>
      </c>
      <c r="G141" s="795">
        <v>4.5</v>
      </c>
      <c r="H141" s="796">
        <v>0.88235294117647067</v>
      </c>
    </row>
    <row r="142" spans="1:8">
      <c r="A142" s="792" t="s">
        <v>905</v>
      </c>
      <c r="B142" s="758">
        <v>5.65</v>
      </c>
      <c r="C142" s="770">
        <v>4</v>
      </c>
      <c r="D142" s="798" t="s">
        <v>2418</v>
      </c>
      <c r="E142" s="794" t="s">
        <v>2419</v>
      </c>
      <c r="F142" s="795">
        <v>1.27</v>
      </c>
      <c r="G142" s="795">
        <v>4.3800000000000008</v>
      </c>
      <c r="H142" s="797">
        <v>0.77522123893805317</v>
      </c>
    </row>
    <row r="143" spans="1:8">
      <c r="A143" s="792" t="s">
        <v>940</v>
      </c>
      <c r="B143" s="758">
        <v>5.95</v>
      </c>
      <c r="C143" s="770">
        <v>32</v>
      </c>
      <c r="D143" s="799" t="s">
        <v>2420</v>
      </c>
      <c r="E143" s="794"/>
      <c r="F143" s="795">
        <v>0.8</v>
      </c>
      <c r="G143" s="795">
        <v>5.15</v>
      </c>
      <c r="H143" s="796">
        <v>0.86554621848739499</v>
      </c>
    </row>
    <row r="144" spans="1:8">
      <c r="A144" s="74"/>
      <c r="B144" s="74"/>
      <c r="C144" s="74"/>
      <c r="D144" s="74"/>
      <c r="E144" s="800" t="s">
        <v>2431</v>
      </c>
      <c r="F144" s="74"/>
      <c r="G144" s="74"/>
      <c r="H144" s="74"/>
    </row>
    <row r="146" spans="1:8">
      <c r="A146" s="1214" t="s">
        <v>2432</v>
      </c>
      <c r="B146" s="1140"/>
      <c r="C146" s="1140"/>
      <c r="D146" s="1140"/>
      <c r="E146" s="1140"/>
      <c r="F146" s="1140"/>
      <c r="G146" s="74"/>
      <c r="H146" s="74"/>
    </row>
    <row r="147" spans="1:8">
      <c r="A147" s="791" t="s">
        <v>240</v>
      </c>
      <c r="B147" s="791" t="s">
        <v>2414</v>
      </c>
      <c r="C147" s="791" t="s">
        <v>356</v>
      </c>
      <c r="D147" s="791" t="s">
        <v>2415</v>
      </c>
      <c r="E147" s="791" t="s">
        <v>2416</v>
      </c>
      <c r="F147" s="791" t="s">
        <v>2350</v>
      </c>
      <c r="G147" s="791" t="s">
        <v>358</v>
      </c>
      <c r="H147" s="791" t="s">
        <v>1501</v>
      </c>
    </row>
    <row r="148" spans="1:8">
      <c r="A148" s="792" t="s">
        <v>761</v>
      </c>
      <c r="B148" s="758">
        <v>3.1</v>
      </c>
      <c r="C148" s="770">
        <v>109</v>
      </c>
      <c r="D148" s="793" t="s">
        <v>2417</v>
      </c>
      <c r="E148" s="794"/>
      <c r="F148" s="795">
        <v>0.18</v>
      </c>
      <c r="G148" s="795">
        <v>2.92</v>
      </c>
      <c r="H148" s="796">
        <v>0.9419354838709677</v>
      </c>
    </row>
    <row r="149" spans="1:8">
      <c r="A149" s="792" t="s">
        <v>773</v>
      </c>
      <c r="B149" s="758">
        <v>3.1</v>
      </c>
      <c r="C149" s="770">
        <v>90</v>
      </c>
      <c r="D149" s="793" t="s">
        <v>2417</v>
      </c>
      <c r="E149" s="794"/>
      <c r="F149" s="795">
        <v>0.2</v>
      </c>
      <c r="G149" s="795">
        <v>2.9</v>
      </c>
      <c r="H149" s="796">
        <v>0.93548387096774188</v>
      </c>
    </row>
    <row r="150" spans="1:8">
      <c r="A150" s="792" t="s">
        <v>735</v>
      </c>
      <c r="B150" s="758">
        <v>3.1</v>
      </c>
      <c r="C150" s="770">
        <v>60</v>
      </c>
      <c r="D150" s="793" t="s">
        <v>2417</v>
      </c>
      <c r="E150" s="794"/>
      <c r="F150" s="795">
        <v>0.19</v>
      </c>
      <c r="G150" s="795">
        <v>2.91</v>
      </c>
      <c r="H150" s="796">
        <v>0.93870967741935485</v>
      </c>
    </row>
    <row r="151" spans="1:8">
      <c r="A151" s="792" t="s">
        <v>861</v>
      </c>
      <c r="B151" s="758">
        <v>3.25</v>
      </c>
      <c r="C151" s="770">
        <v>55</v>
      </c>
      <c r="D151" s="793" t="s">
        <v>2417</v>
      </c>
      <c r="E151" s="794"/>
      <c r="F151" s="795">
        <v>0.35</v>
      </c>
      <c r="G151" s="795">
        <v>2.9</v>
      </c>
      <c r="H151" s="796">
        <v>0.89230769230769225</v>
      </c>
    </row>
    <row r="152" spans="1:8">
      <c r="A152" s="792" t="s">
        <v>1521</v>
      </c>
      <c r="B152" s="758">
        <v>3.65</v>
      </c>
      <c r="C152" s="770">
        <v>11</v>
      </c>
      <c r="D152" s="793" t="s">
        <v>2417</v>
      </c>
      <c r="E152" s="794"/>
      <c r="F152" s="795">
        <v>1.03</v>
      </c>
      <c r="G152" s="795">
        <v>2.62</v>
      </c>
      <c r="H152" s="797">
        <v>0.71780821917808224</v>
      </c>
    </row>
    <row r="153" spans="1:8">
      <c r="A153" s="792" t="s">
        <v>739</v>
      </c>
      <c r="B153" s="758">
        <v>4.4000000000000004</v>
      </c>
      <c r="C153" s="770">
        <v>60</v>
      </c>
      <c r="D153" s="793" t="s">
        <v>2417</v>
      </c>
      <c r="E153" s="794"/>
      <c r="F153" s="795">
        <v>0.89</v>
      </c>
      <c r="G153" s="795">
        <v>3.51</v>
      </c>
      <c r="H153" s="797">
        <v>0.79772727272727273</v>
      </c>
    </row>
    <row r="154" spans="1:8">
      <c r="A154" s="792" t="s">
        <v>1003</v>
      </c>
      <c r="B154" s="758">
        <v>4.5</v>
      </c>
      <c r="C154" s="770">
        <v>17</v>
      </c>
      <c r="D154" s="793" t="s">
        <v>2417</v>
      </c>
      <c r="E154" s="794"/>
      <c r="F154" s="795">
        <v>0</v>
      </c>
      <c r="G154" s="795">
        <v>4.5</v>
      </c>
      <c r="H154" s="801">
        <v>1</v>
      </c>
    </row>
    <row r="155" spans="1:8">
      <c r="A155" s="792" t="s">
        <v>787</v>
      </c>
      <c r="B155" s="758">
        <v>4.75</v>
      </c>
      <c r="C155" s="770">
        <v>50</v>
      </c>
      <c r="D155" s="793" t="s">
        <v>2417</v>
      </c>
      <c r="E155" s="794"/>
      <c r="F155" s="795">
        <v>0.77</v>
      </c>
      <c r="G155" s="795">
        <v>3.98</v>
      </c>
      <c r="H155" s="796">
        <v>0.83789473684210525</v>
      </c>
    </row>
    <row r="156" spans="1:8">
      <c r="A156" s="792" t="s">
        <v>1002</v>
      </c>
      <c r="B156" s="758">
        <v>4.8499999999999996</v>
      </c>
      <c r="C156" s="770">
        <v>24</v>
      </c>
      <c r="D156" s="793" t="s">
        <v>2417</v>
      </c>
      <c r="E156" s="794"/>
      <c r="F156" s="795">
        <v>1.17</v>
      </c>
      <c r="G156" s="795">
        <v>3.68</v>
      </c>
      <c r="H156" s="797">
        <v>0.75876288659793811</v>
      </c>
    </row>
    <row r="157" spans="1:8">
      <c r="A157" s="792" t="s">
        <v>769</v>
      </c>
      <c r="B157" s="758">
        <v>5.15</v>
      </c>
      <c r="C157" s="770">
        <v>35</v>
      </c>
      <c r="D157" s="793" t="s">
        <v>2417</v>
      </c>
      <c r="E157" s="794"/>
      <c r="F157" s="795">
        <v>0.95</v>
      </c>
      <c r="G157" s="795">
        <v>4.2</v>
      </c>
      <c r="H157" s="796">
        <v>0.81553398058252424</v>
      </c>
    </row>
    <row r="158" spans="1:8">
      <c r="A158" s="792" t="s">
        <v>1839</v>
      </c>
      <c r="B158" s="758">
        <v>5.4</v>
      </c>
      <c r="C158" s="770">
        <v>21</v>
      </c>
      <c r="D158" s="793" t="s">
        <v>2417</v>
      </c>
      <c r="E158" s="794"/>
      <c r="F158" s="795">
        <v>1.88</v>
      </c>
      <c r="G158" s="795">
        <v>3.52</v>
      </c>
      <c r="H158" s="802">
        <v>0.6518518518518519</v>
      </c>
    </row>
    <row r="159" spans="1:8">
      <c r="A159" s="792" t="s">
        <v>2286</v>
      </c>
      <c r="B159" s="758">
        <v>5.4</v>
      </c>
      <c r="C159" s="770">
        <v>12</v>
      </c>
      <c r="D159" s="793" t="s">
        <v>2417</v>
      </c>
      <c r="E159" s="794"/>
      <c r="F159" s="795">
        <v>1.88</v>
      </c>
      <c r="G159" s="795">
        <v>3.52</v>
      </c>
      <c r="H159" s="802">
        <v>0.6518518518518519</v>
      </c>
    </row>
    <row r="160" spans="1:8">
      <c r="A160" s="792" t="s">
        <v>776</v>
      </c>
      <c r="B160" s="758">
        <v>7.2</v>
      </c>
      <c r="C160" s="770">
        <v>14</v>
      </c>
      <c r="D160" s="798" t="s">
        <v>2418</v>
      </c>
      <c r="E160" s="794" t="s">
        <v>2419</v>
      </c>
      <c r="F160" s="795">
        <v>1.89</v>
      </c>
      <c r="G160" s="795">
        <v>5.31</v>
      </c>
      <c r="H160" s="797">
        <v>0.73750000000000004</v>
      </c>
    </row>
    <row r="161" spans="1:8">
      <c r="A161" s="792" t="s">
        <v>1838</v>
      </c>
      <c r="B161" s="758">
        <v>8.6999999999999993</v>
      </c>
      <c r="C161" s="770">
        <v>25</v>
      </c>
      <c r="D161" s="798" t="s">
        <v>2418</v>
      </c>
      <c r="E161" s="794" t="s">
        <v>2419</v>
      </c>
      <c r="F161" s="795">
        <v>3</v>
      </c>
      <c r="G161" s="795">
        <v>5.6999999999999993</v>
      </c>
      <c r="H161" s="802">
        <v>0.65517241379310343</v>
      </c>
    </row>
    <row r="162" spans="1:8">
      <c r="A162" s="792" t="s">
        <v>1038</v>
      </c>
      <c r="B162" s="758">
        <v>11.85</v>
      </c>
      <c r="C162" s="770">
        <v>18</v>
      </c>
      <c r="D162" s="799" t="s">
        <v>2420</v>
      </c>
      <c r="E162" s="794"/>
      <c r="F162" s="795">
        <v>3</v>
      </c>
      <c r="G162" s="795">
        <v>8.85</v>
      </c>
      <c r="H162" s="797">
        <v>0.74683544303797467</v>
      </c>
    </row>
    <row r="163" spans="1:8">
      <c r="A163" s="74"/>
      <c r="B163" s="74"/>
      <c r="C163" s="74"/>
      <c r="D163" s="74"/>
      <c r="E163" s="800" t="s">
        <v>2433</v>
      </c>
      <c r="F163" s="74"/>
      <c r="G163" s="74"/>
      <c r="H163" s="74"/>
    </row>
    <row r="165" spans="1:8">
      <c r="A165" s="1214" t="s">
        <v>2434</v>
      </c>
      <c r="B165" s="1140"/>
      <c r="C165" s="1140"/>
      <c r="D165" s="1140"/>
      <c r="E165" s="1140"/>
      <c r="F165" s="1140"/>
      <c r="G165" s="74"/>
      <c r="H165" s="74"/>
    </row>
    <row r="166" spans="1:8">
      <c r="A166" s="791" t="s">
        <v>240</v>
      </c>
      <c r="B166" s="791" t="s">
        <v>2414</v>
      </c>
      <c r="C166" s="791" t="s">
        <v>356</v>
      </c>
      <c r="D166" s="791" t="s">
        <v>2415</v>
      </c>
      <c r="E166" s="791" t="s">
        <v>2416</v>
      </c>
      <c r="F166" s="791" t="s">
        <v>2350</v>
      </c>
      <c r="G166" s="791" t="s">
        <v>358</v>
      </c>
      <c r="H166" s="791" t="s">
        <v>1501</v>
      </c>
    </row>
    <row r="167" spans="1:8">
      <c r="A167" s="792" t="s">
        <v>1153</v>
      </c>
      <c r="B167" s="758">
        <v>3</v>
      </c>
      <c r="C167" s="770">
        <v>26</v>
      </c>
      <c r="D167" s="798" t="s">
        <v>2418</v>
      </c>
      <c r="E167" s="794" t="s">
        <v>2419</v>
      </c>
      <c r="F167" s="795">
        <v>0.51</v>
      </c>
      <c r="G167" s="795">
        <v>2.4900000000000002</v>
      </c>
      <c r="H167" s="796">
        <v>0.83000000000000007</v>
      </c>
    </row>
    <row r="168" spans="1:8">
      <c r="A168" s="792" t="s">
        <v>1198</v>
      </c>
      <c r="B168" s="758">
        <v>4</v>
      </c>
      <c r="C168" s="770">
        <v>37</v>
      </c>
      <c r="D168" s="798" t="s">
        <v>2418</v>
      </c>
      <c r="E168" s="794" t="s">
        <v>2419</v>
      </c>
      <c r="F168" s="795">
        <v>0.53</v>
      </c>
      <c r="G168" s="795">
        <v>3.47</v>
      </c>
      <c r="H168" s="796">
        <v>0.86749999999999994</v>
      </c>
    </row>
    <row r="169" spans="1:8">
      <c r="A169" s="792" t="s">
        <v>682</v>
      </c>
      <c r="B169" s="758">
        <v>4.75</v>
      </c>
      <c r="C169" s="770">
        <v>178</v>
      </c>
      <c r="D169" s="799" t="s">
        <v>2420</v>
      </c>
      <c r="E169" s="794"/>
      <c r="F169" s="795">
        <v>0.81</v>
      </c>
      <c r="G169" s="795">
        <v>3.94</v>
      </c>
      <c r="H169" s="796">
        <v>0.82947368421052625</v>
      </c>
    </row>
    <row r="170" spans="1:8">
      <c r="A170" s="792" t="s">
        <v>674</v>
      </c>
      <c r="B170" s="758">
        <v>4.75</v>
      </c>
      <c r="C170" s="770">
        <v>132</v>
      </c>
      <c r="D170" s="799" t="s">
        <v>2420</v>
      </c>
      <c r="E170" s="794"/>
      <c r="F170" s="795">
        <v>0.77</v>
      </c>
      <c r="G170" s="795">
        <v>3.98</v>
      </c>
      <c r="H170" s="796">
        <v>0.83789473684210525</v>
      </c>
    </row>
    <row r="171" spans="1:8">
      <c r="A171" s="792" t="s">
        <v>933</v>
      </c>
      <c r="B171" s="758">
        <v>4.75</v>
      </c>
      <c r="C171" s="770">
        <v>129</v>
      </c>
      <c r="D171" s="799" t="s">
        <v>2420</v>
      </c>
      <c r="E171" s="794"/>
      <c r="F171" s="795">
        <v>0.41</v>
      </c>
      <c r="G171" s="795">
        <v>4.34</v>
      </c>
      <c r="H171" s="796">
        <v>0.91368421052631577</v>
      </c>
    </row>
    <row r="172" spans="1:8">
      <c r="A172" s="792" t="s">
        <v>1115</v>
      </c>
      <c r="B172" s="758">
        <v>4.75</v>
      </c>
      <c r="C172" s="770">
        <v>107</v>
      </c>
      <c r="D172" s="799" t="s">
        <v>2420</v>
      </c>
      <c r="E172" s="794"/>
      <c r="F172" s="795">
        <v>0.79</v>
      </c>
      <c r="G172" s="795">
        <v>3.96</v>
      </c>
      <c r="H172" s="796">
        <v>0.83368421052631581</v>
      </c>
    </row>
    <row r="173" spans="1:8">
      <c r="A173" s="792" t="s">
        <v>897</v>
      </c>
      <c r="B173" s="758">
        <v>4.75</v>
      </c>
      <c r="C173" s="770">
        <v>85</v>
      </c>
      <c r="D173" s="799" t="s">
        <v>2420</v>
      </c>
      <c r="E173" s="794"/>
      <c r="F173" s="795">
        <v>0.67</v>
      </c>
      <c r="G173" s="795">
        <v>4.08</v>
      </c>
      <c r="H173" s="796">
        <v>0.85894736842105268</v>
      </c>
    </row>
    <row r="174" spans="1:8">
      <c r="A174" s="792" t="s">
        <v>1875</v>
      </c>
      <c r="B174" s="758">
        <v>4.75</v>
      </c>
      <c r="C174" s="770">
        <v>78</v>
      </c>
      <c r="D174" s="799" t="s">
        <v>2420</v>
      </c>
      <c r="E174" s="794"/>
      <c r="F174" s="795">
        <v>0.41</v>
      </c>
      <c r="G174" s="795">
        <v>4.34</v>
      </c>
      <c r="H174" s="796">
        <v>0.91368421052631577</v>
      </c>
    </row>
    <row r="175" spans="1:8">
      <c r="A175" s="792" t="s">
        <v>2094</v>
      </c>
      <c r="B175" s="758">
        <v>4.75</v>
      </c>
      <c r="C175" s="770">
        <v>56</v>
      </c>
      <c r="D175" s="799" t="s">
        <v>2420</v>
      </c>
      <c r="E175" s="794"/>
      <c r="F175" s="795">
        <v>0.67</v>
      </c>
      <c r="G175" s="795">
        <v>4.08</v>
      </c>
      <c r="H175" s="796">
        <v>0.85894736842105268</v>
      </c>
    </row>
    <row r="176" spans="1:8">
      <c r="A176" s="792" t="s">
        <v>951</v>
      </c>
      <c r="B176" s="758">
        <v>4.75</v>
      </c>
      <c r="C176" s="770">
        <v>26</v>
      </c>
      <c r="D176" s="799" t="s">
        <v>2420</v>
      </c>
      <c r="E176" s="794"/>
      <c r="F176" s="795">
        <v>0.87</v>
      </c>
      <c r="G176" s="795">
        <v>3.88</v>
      </c>
      <c r="H176" s="796">
        <v>0.81684210526315792</v>
      </c>
    </row>
    <row r="177" spans="1:8">
      <c r="A177" s="792" t="s">
        <v>2116</v>
      </c>
      <c r="B177" s="758">
        <v>4.95</v>
      </c>
      <c r="C177" s="770">
        <v>190</v>
      </c>
      <c r="D177" s="799" t="s">
        <v>2420</v>
      </c>
      <c r="E177" s="794"/>
      <c r="F177" s="795">
        <v>1.02</v>
      </c>
      <c r="G177" s="795">
        <v>3.93</v>
      </c>
      <c r="H177" s="797">
        <v>0.79393939393939394</v>
      </c>
    </row>
    <row r="178" spans="1:8">
      <c r="A178" s="792" t="s">
        <v>2105</v>
      </c>
      <c r="B178" s="758">
        <v>4.95</v>
      </c>
      <c r="C178" s="770">
        <v>53</v>
      </c>
      <c r="D178" s="799" t="s">
        <v>2420</v>
      </c>
      <c r="E178" s="794"/>
      <c r="F178" s="795">
        <v>1.06</v>
      </c>
      <c r="G178" s="795">
        <v>3.89</v>
      </c>
      <c r="H178" s="797">
        <v>0.78585858585858581</v>
      </c>
    </row>
    <row r="179" spans="1:8">
      <c r="A179" s="792" t="s">
        <v>2113</v>
      </c>
      <c r="B179" s="758">
        <v>4.95</v>
      </c>
      <c r="C179" s="770">
        <v>14</v>
      </c>
      <c r="D179" s="799" t="s">
        <v>2420</v>
      </c>
      <c r="E179" s="794"/>
      <c r="F179" s="795">
        <v>1.08</v>
      </c>
      <c r="G179" s="795">
        <v>3.87</v>
      </c>
      <c r="H179" s="797">
        <v>0.78181818181818186</v>
      </c>
    </row>
    <row r="180" spans="1:8">
      <c r="A180" s="792" t="s">
        <v>2019</v>
      </c>
      <c r="B180" s="758">
        <v>5</v>
      </c>
      <c r="C180" s="770">
        <v>8</v>
      </c>
      <c r="D180" s="799" t="s">
        <v>2420</v>
      </c>
      <c r="E180" s="794"/>
      <c r="F180" s="795">
        <v>2.09</v>
      </c>
      <c r="G180" s="795">
        <v>2.91</v>
      </c>
      <c r="H180" s="802">
        <v>0.58200000000000007</v>
      </c>
    </row>
    <row r="181" spans="1:8">
      <c r="A181" s="792" t="s">
        <v>1877</v>
      </c>
      <c r="B181" s="758">
        <v>5.31</v>
      </c>
      <c r="C181" s="770">
        <v>12</v>
      </c>
      <c r="D181" s="799" t="s">
        <v>2420</v>
      </c>
      <c r="E181" s="794"/>
      <c r="F181" s="795">
        <v>0.46</v>
      </c>
      <c r="G181" s="795">
        <v>4.8499999999999996</v>
      </c>
      <c r="H181" s="796">
        <v>0.91337099811676081</v>
      </c>
    </row>
    <row r="182" spans="1:8">
      <c r="A182" s="74"/>
      <c r="B182" s="74"/>
      <c r="C182" s="74"/>
      <c r="D182" s="74"/>
      <c r="E182" s="800" t="s">
        <v>2435</v>
      </c>
      <c r="F182" s="74"/>
      <c r="G182" s="74"/>
      <c r="H182" s="74"/>
    </row>
    <row r="184" spans="1:8">
      <c r="A184" s="1214" t="s">
        <v>2436</v>
      </c>
      <c r="B184" s="1140"/>
      <c r="C184" s="1140"/>
      <c r="D184" s="1140"/>
      <c r="E184" s="1140"/>
      <c r="F184" s="1140"/>
      <c r="G184" s="74"/>
      <c r="H184" s="74"/>
    </row>
    <row r="185" spans="1:8">
      <c r="A185" s="791" t="s">
        <v>240</v>
      </c>
      <c r="B185" s="791" t="s">
        <v>2414</v>
      </c>
      <c r="C185" s="791" t="s">
        <v>356</v>
      </c>
      <c r="D185" s="791" t="s">
        <v>2415</v>
      </c>
      <c r="E185" s="791" t="s">
        <v>2416</v>
      </c>
      <c r="F185" s="791" t="s">
        <v>2350</v>
      </c>
      <c r="G185" s="791" t="s">
        <v>358</v>
      </c>
      <c r="H185" s="791" t="s">
        <v>1501</v>
      </c>
    </row>
    <row r="186" spans="1:8">
      <c r="A186" s="792" t="s">
        <v>252</v>
      </c>
      <c r="B186" s="758">
        <v>2.5</v>
      </c>
      <c r="C186" s="770">
        <v>1788</v>
      </c>
      <c r="D186" s="793" t="s">
        <v>2417</v>
      </c>
      <c r="E186" s="794"/>
      <c r="F186" s="795">
        <v>1.06</v>
      </c>
      <c r="G186" s="795">
        <v>1.44</v>
      </c>
      <c r="H186" s="802">
        <v>0.57599999999999996</v>
      </c>
    </row>
    <row r="187" spans="1:8">
      <c r="A187" s="792" t="s">
        <v>869</v>
      </c>
      <c r="B187" s="758">
        <v>2.5</v>
      </c>
      <c r="C187" s="770">
        <v>338</v>
      </c>
      <c r="D187" s="793" t="s">
        <v>2417</v>
      </c>
      <c r="E187" s="794"/>
      <c r="F187" s="795">
        <v>0</v>
      </c>
      <c r="G187" s="795">
        <v>2.5</v>
      </c>
      <c r="H187" s="801">
        <v>1</v>
      </c>
    </row>
    <row r="188" spans="1:8">
      <c r="A188" s="792" t="s">
        <v>1264</v>
      </c>
      <c r="B188" s="758">
        <v>2.5</v>
      </c>
      <c r="C188" s="770">
        <v>299</v>
      </c>
      <c r="D188" s="793" t="s">
        <v>2417</v>
      </c>
      <c r="E188" s="794"/>
      <c r="F188" s="795">
        <v>0.8</v>
      </c>
      <c r="G188" s="795">
        <v>1.7</v>
      </c>
      <c r="H188" s="802">
        <v>0.67999999999999994</v>
      </c>
    </row>
    <row r="189" spans="1:8">
      <c r="A189" s="792" t="s">
        <v>965</v>
      </c>
      <c r="B189" s="758">
        <v>2.5</v>
      </c>
      <c r="C189" s="770">
        <v>78</v>
      </c>
      <c r="D189" s="793" t="s">
        <v>2417</v>
      </c>
      <c r="E189" s="794"/>
      <c r="F189" s="795">
        <v>0</v>
      </c>
      <c r="G189" s="795">
        <v>2.5</v>
      </c>
      <c r="H189" s="801">
        <v>1</v>
      </c>
    </row>
    <row r="190" spans="1:8">
      <c r="A190" s="792" t="s">
        <v>1741</v>
      </c>
      <c r="B190" s="758">
        <v>2.5</v>
      </c>
      <c r="C190" s="770">
        <v>77</v>
      </c>
      <c r="D190" s="793" t="s">
        <v>2417</v>
      </c>
      <c r="E190" s="794"/>
      <c r="F190" s="795">
        <v>0.11</v>
      </c>
      <c r="G190" s="795">
        <v>2.39</v>
      </c>
      <c r="H190" s="796">
        <v>0.95600000000000007</v>
      </c>
    </row>
    <row r="191" spans="1:8">
      <c r="A191" s="792" t="s">
        <v>1580</v>
      </c>
      <c r="B191" s="758">
        <v>2.5</v>
      </c>
      <c r="C191" s="770">
        <v>3</v>
      </c>
      <c r="D191" s="793" t="s">
        <v>2417</v>
      </c>
      <c r="E191" s="794"/>
      <c r="F191" s="795">
        <v>0</v>
      </c>
      <c r="G191" s="795">
        <v>2.5</v>
      </c>
      <c r="H191" s="801">
        <v>1</v>
      </c>
    </row>
    <row r="192" spans="1:8">
      <c r="A192" s="792" t="s">
        <v>1116</v>
      </c>
      <c r="B192" s="758">
        <v>2.5</v>
      </c>
      <c r="C192" s="770">
        <v>2</v>
      </c>
      <c r="D192" s="793" t="s">
        <v>2417</v>
      </c>
      <c r="E192" s="794"/>
      <c r="F192" s="795">
        <v>0</v>
      </c>
      <c r="G192" s="795">
        <v>2.5</v>
      </c>
      <c r="H192" s="801">
        <v>1</v>
      </c>
    </row>
    <row r="193" spans="1:8">
      <c r="A193" s="792" t="s">
        <v>1579</v>
      </c>
      <c r="B193" s="758">
        <v>2.5</v>
      </c>
      <c r="C193" s="770">
        <v>1</v>
      </c>
      <c r="D193" s="793" t="s">
        <v>2417</v>
      </c>
      <c r="E193" s="794"/>
      <c r="F193" s="795">
        <v>0</v>
      </c>
      <c r="G193" s="795">
        <v>2.5</v>
      </c>
      <c r="H193" s="801">
        <v>1</v>
      </c>
    </row>
    <row r="194" spans="1:8">
      <c r="A194" s="792" t="s">
        <v>1739</v>
      </c>
      <c r="B194" s="758">
        <v>2.65</v>
      </c>
      <c r="C194" s="770">
        <v>6</v>
      </c>
      <c r="D194" s="793" t="s">
        <v>2417</v>
      </c>
      <c r="E194" s="794"/>
      <c r="F194" s="795">
        <v>0</v>
      </c>
      <c r="G194" s="795">
        <v>2.65</v>
      </c>
      <c r="H194" s="801">
        <v>1</v>
      </c>
    </row>
    <row r="195" spans="1:8">
      <c r="A195" s="792" t="s">
        <v>2171</v>
      </c>
      <c r="B195" s="758">
        <v>2.68</v>
      </c>
      <c r="C195" s="770">
        <v>1</v>
      </c>
      <c r="D195" s="793" t="s">
        <v>2417</v>
      </c>
      <c r="E195" s="794"/>
      <c r="F195" s="795">
        <v>0</v>
      </c>
      <c r="G195" s="795">
        <v>2.68</v>
      </c>
      <c r="H195" s="801">
        <v>1</v>
      </c>
    </row>
    <row r="196" spans="1:8">
      <c r="A196" s="792" t="s">
        <v>1742</v>
      </c>
      <c r="B196" s="758">
        <v>3.1</v>
      </c>
      <c r="C196" s="770">
        <v>1</v>
      </c>
      <c r="D196" s="798" t="s">
        <v>2418</v>
      </c>
      <c r="E196" s="794" t="s">
        <v>2419</v>
      </c>
      <c r="F196" s="795">
        <v>0.46</v>
      </c>
      <c r="G196" s="795">
        <v>2.64</v>
      </c>
      <c r="H196" s="796">
        <v>0.85161290322580652</v>
      </c>
    </row>
    <row r="197" spans="1:8">
      <c r="A197" s="792" t="s">
        <v>1256</v>
      </c>
      <c r="B197" s="758">
        <v>3.35</v>
      </c>
      <c r="C197" s="770">
        <v>279</v>
      </c>
      <c r="D197" s="799" t="s">
        <v>2420</v>
      </c>
      <c r="E197" s="794"/>
      <c r="F197" s="795">
        <v>1.06</v>
      </c>
      <c r="G197" s="795">
        <v>2.29</v>
      </c>
      <c r="H197" s="802">
        <v>0.68358208955223876</v>
      </c>
    </row>
    <row r="198" spans="1:8">
      <c r="A198" s="792" t="s">
        <v>969</v>
      </c>
      <c r="B198" s="758">
        <v>3.35</v>
      </c>
      <c r="C198" s="770">
        <v>59</v>
      </c>
      <c r="D198" s="799" t="s">
        <v>2420</v>
      </c>
      <c r="E198" s="794"/>
      <c r="F198" s="795">
        <v>0.04</v>
      </c>
      <c r="G198" s="795">
        <v>3.31</v>
      </c>
      <c r="H198" s="796">
        <v>0.9880597014925373</v>
      </c>
    </row>
    <row r="199" spans="1:8">
      <c r="A199" s="792" t="s">
        <v>2169</v>
      </c>
      <c r="B199" s="758">
        <v>3.5</v>
      </c>
      <c r="C199" s="770">
        <v>5</v>
      </c>
      <c r="D199" s="799" t="s">
        <v>2420</v>
      </c>
      <c r="E199" s="794"/>
      <c r="F199" s="795">
        <v>0</v>
      </c>
      <c r="G199" s="795">
        <v>3.5</v>
      </c>
      <c r="H199" s="801">
        <v>1</v>
      </c>
    </row>
    <row r="200" spans="1:8">
      <c r="A200" s="792" t="s">
        <v>2175</v>
      </c>
      <c r="B200" s="758">
        <v>3.5</v>
      </c>
      <c r="C200" s="770">
        <v>1</v>
      </c>
      <c r="D200" s="799" t="s">
        <v>2420</v>
      </c>
      <c r="E200" s="794"/>
      <c r="F200" s="795">
        <v>0</v>
      </c>
      <c r="G200" s="795">
        <v>3.5</v>
      </c>
      <c r="H200" s="801">
        <v>1</v>
      </c>
    </row>
    <row r="201" spans="1:8">
      <c r="A201" s="74"/>
      <c r="B201" s="74"/>
      <c r="C201" s="74"/>
      <c r="D201" s="74"/>
      <c r="E201" s="800" t="s">
        <v>2437</v>
      </c>
      <c r="F201" s="74"/>
      <c r="G201" s="74"/>
      <c r="H201" s="74"/>
    </row>
    <row r="203" spans="1:8">
      <c r="A203" s="1214" t="s">
        <v>2438</v>
      </c>
      <c r="B203" s="1140"/>
      <c r="C203" s="1140"/>
      <c r="D203" s="1140"/>
      <c r="E203" s="1140"/>
      <c r="F203" s="1140"/>
      <c r="G203" s="74"/>
      <c r="H203" s="74"/>
    </row>
    <row r="204" spans="1:8">
      <c r="A204" s="791" t="s">
        <v>240</v>
      </c>
      <c r="B204" s="791" t="s">
        <v>2414</v>
      </c>
      <c r="C204" s="791" t="s">
        <v>356</v>
      </c>
      <c r="D204" s="791" t="s">
        <v>2415</v>
      </c>
      <c r="E204" s="791" t="s">
        <v>2416</v>
      </c>
      <c r="F204" s="791" t="s">
        <v>2350</v>
      </c>
      <c r="G204" s="791" t="s">
        <v>358</v>
      </c>
      <c r="H204" s="791" t="s">
        <v>1501</v>
      </c>
    </row>
    <row r="205" spans="1:8">
      <c r="A205" s="792" t="s">
        <v>1269</v>
      </c>
      <c r="B205" s="758">
        <v>2.0499999999999998</v>
      </c>
      <c r="C205" s="770">
        <v>270</v>
      </c>
      <c r="D205" s="793" t="s">
        <v>2417</v>
      </c>
      <c r="E205" s="794"/>
      <c r="F205" s="795">
        <v>0.61</v>
      </c>
      <c r="G205" s="795">
        <v>1.44</v>
      </c>
      <c r="H205" s="797">
        <v>0.70243902439024397</v>
      </c>
    </row>
    <row r="206" spans="1:8">
      <c r="A206" s="792" t="s">
        <v>901</v>
      </c>
      <c r="B206" s="758">
        <v>2.0499999999999998</v>
      </c>
      <c r="C206" s="770">
        <v>106</v>
      </c>
      <c r="D206" s="793" t="s">
        <v>2417</v>
      </c>
      <c r="E206" s="794"/>
      <c r="F206" s="795">
        <v>0</v>
      </c>
      <c r="G206" s="795">
        <v>2.0499999999999998</v>
      </c>
      <c r="H206" s="801">
        <v>1</v>
      </c>
    </row>
    <row r="207" spans="1:8">
      <c r="A207" s="792" t="s">
        <v>991</v>
      </c>
      <c r="B207" s="758">
        <v>2.0499999999999998</v>
      </c>
      <c r="C207" s="770">
        <v>9</v>
      </c>
      <c r="D207" s="793" t="s">
        <v>2417</v>
      </c>
      <c r="E207" s="794"/>
      <c r="F207" s="795">
        <v>0.32</v>
      </c>
      <c r="G207" s="795">
        <v>1.73</v>
      </c>
      <c r="H207" s="796">
        <v>0.84390243902439022</v>
      </c>
    </row>
    <row r="208" spans="1:8">
      <c r="A208" s="792" t="s">
        <v>997</v>
      </c>
      <c r="B208" s="758">
        <v>2.0499999999999998</v>
      </c>
      <c r="C208" s="770">
        <v>7</v>
      </c>
      <c r="D208" s="793" t="s">
        <v>2417</v>
      </c>
      <c r="E208" s="794"/>
      <c r="F208" s="795">
        <v>0</v>
      </c>
      <c r="G208" s="795">
        <v>2.0499999999999998</v>
      </c>
      <c r="H208" s="801">
        <v>1</v>
      </c>
    </row>
    <row r="209" spans="1:8">
      <c r="A209" s="792" t="s">
        <v>1740</v>
      </c>
      <c r="B209" s="758">
        <v>2.2000000000000002</v>
      </c>
      <c r="C209" s="770">
        <v>1</v>
      </c>
      <c r="D209" s="793" t="s">
        <v>2417</v>
      </c>
      <c r="E209" s="794"/>
      <c r="F209" s="795">
        <v>0.38</v>
      </c>
      <c r="G209" s="795">
        <v>1.82</v>
      </c>
      <c r="H209" s="796">
        <v>0.82727272727272738</v>
      </c>
    </row>
    <row r="210" spans="1:8">
      <c r="A210" s="792" t="s">
        <v>998</v>
      </c>
      <c r="B210" s="758">
        <v>3.2</v>
      </c>
      <c r="C210" s="770">
        <v>3</v>
      </c>
      <c r="D210" s="798" t="s">
        <v>2418</v>
      </c>
      <c r="E210" s="794" t="s">
        <v>2419</v>
      </c>
      <c r="F210" s="795">
        <v>0</v>
      </c>
      <c r="G210" s="795">
        <v>3.2</v>
      </c>
      <c r="H210" s="801">
        <v>1</v>
      </c>
    </row>
    <row r="211" spans="1:8">
      <c r="A211" s="792" t="s">
        <v>2174</v>
      </c>
      <c r="B211" s="758">
        <v>3.2</v>
      </c>
      <c r="C211" s="770">
        <v>1</v>
      </c>
      <c r="D211" s="798" t="s">
        <v>2418</v>
      </c>
      <c r="E211" s="794" t="s">
        <v>2419</v>
      </c>
      <c r="F211" s="795">
        <v>0</v>
      </c>
      <c r="G211" s="795">
        <v>3.2</v>
      </c>
      <c r="H211" s="801">
        <v>1</v>
      </c>
    </row>
    <row r="212" spans="1:8">
      <c r="A212" s="792" t="s">
        <v>2170</v>
      </c>
      <c r="B212" s="758">
        <v>3.25</v>
      </c>
      <c r="C212" s="770">
        <v>43</v>
      </c>
      <c r="D212" s="798" t="s">
        <v>2418</v>
      </c>
      <c r="E212" s="794" t="s">
        <v>2419</v>
      </c>
      <c r="F212" s="795">
        <v>0.79</v>
      </c>
      <c r="G212" s="795">
        <v>2.46</v>
      </c>
      <c r="H212" s="797">
        <v>0.75692307692307692</v>
      </c>
    </row>
    <row r="213" spans="1:8">
      <c r="A213" s="792" t="s">
        <v>1701</v>
      </c>
      <c r="B213" s="758">
        <v>3.45</v>
      </c>
      <c r="C213" s="770">
        <v>1</v>
      </c>
      <c r="D213" s="798" t="s">
        <v>2418</v>
      </c>
      <c r="E213" s="794" t="s">
        <v>2419</v>
      </c>
      <c r="F213" s="795">
        <v>0</v>
      </c>
      <c r="G213" s="795">
        <v>3.45</v>
      </c>
      <c r="H213" s="801">
        <v>1</v>
      </c>
    </row>
    <row r="214" spans="1:8">
      <c r="A214" s="792" t="s">
        <v>2173</v>
      </c>
      <c r="B214" s="758">
        <v>3.75</v>
      </c>
      <c r="C214" s="770">
        <v>1</v>
      </c>
      <c r="D214" s="799" t="s">
        <v>2420</v>
      </c>
      <c r="E214" s="794"/>
      <c r="F214" s="795">
        <v>0</v>
      </c>
      <c r="G214" s="795">
        <v>3.75</v>
      </c>
      <c r="H214" s="801">
        <v>1</v>
      </c>
    </row>
    <row r="215" spans="1:8">
      <c r="A215" s="792" t="s">
        <v>1581</v>
      </c>
      <c r="B215" s="758">
        <v>4.1500000000000004</v>
      </c>
      <c r="C215" s="770">
        <v>2</v>
      </c>
      <c r="D215" s="799" t="s">
        <v>2420</v>
      </c>
      <c r="E215" s="794"/>
      <c r="F215" s="795">
        <v>0</v>
      </c>
      <c r="G215" s="795">
        <v>4.1500000000000004</v>
      </c>
      <c r="H215" s="801">
        <v>1</v>
      </c>
    </row>
    <row r="216" spans="1:8">
      <c r="A216" s="74"/>
      <c r="B216" s="74"/>
      <c r="C216" s="74"/>
      <c r="D216" s="74"/>
      <c r="E216" s="800" t="s">
        <v>2439</v>
      </c>
      <c r="F216" s="74"/>
      <c r="G216" s="74"/>
      <c r="H216" s="74"/>
    </row>
    <row r="218" spans="1:8">
      <c r="A218" s="1214" t="s">
        <v>2440</v>
      </c>
      <c r="B218" s="1140"/>
      <c r="C218" s="1140"/>
      <c r="D218" s="1140"/>
      <c r="E218" s="1140"/>
      <c r="F218" s="1140"/>
      <c r="G218" s="74"/>
      <c r="H218" s="74"/>
    </row>
    <row r="219" spans="1:8">
      <c r="A219" s="791" t="s">
        <v>240</v>
      </c>
      <c r="B219" s="791" t="s">
        <v>2414</v>
      </c>
      <c r="C219" s="791" t="s">
        <v>356</v>
      </c>
      <c r="D219" s="791" t="s">
        <v>2415</v>
      </c>
      <c r="E219" s="791" t="s">
        <v>2416</v>
      </c>
      <c r="F219" s="791" t="s">
        <v>2350</v>
      </c>
      <c r="G219" s="791" t="s">
        <v>358</v>
      </c>
      <c r="H219" s="791" t="s">
        <v>1501</v>
      </c>
    </row>
    <row r="220" spans="1:8">
      <c r="A220" s="792" t="s">
        <v>1943</v>
      </c>
      <c r="B220" s="758">
        <v>1.8</v>
      </c>
      <c r="C220" s="770">
        <v>3</v>
      </c>
      <c r="D220" s="793" t="s">
        <v>2417</v>
      </c>
      <c r="E220" s="794"/>
      <c r="F220" s="795">
        <v>0</v>
      </c>
      <c r="G220" s="795">
        <v>1.8</v>
      </c>
      <c r="H220" s="801">
        <v>1</v>
      </c>
    </row>
    <row r="221" spans="1:8">
      <c r="A221" s="792" t="s">
        <v>1942</v>
      </c>
      <c r="B221" s="758">
        <v>2.25</v>
      </c>
      <c r="C221" s="770">
        <v>12</v>
      </c>
      <c r="D221" s="793" t="s">
        <v>2417</v>
      </c>
      <c r="E221" s="794"/>
      <c r="F221" s="795">
        <v>0</v>
      </c>
      <c r="G221" s="795">
        <v>2.25</v>
      </c>
      <c r="H221" s="801">
        <v>1</v>
      </c>
    </row>
    <row r="222" spans="1:8">
      <c r="A222" s="792" t="s">
        <v>1976</v>
      </c>
      <c r="B222" s="758">
        <v>2.95</v>
      </c>
      <c r="C222" s="770">
        <v>24</v>
      </c>
      <c r="D222" s="793" t="s">
        <v>2417</v>
      </c>
      <c r="E222" s="794"/>
      <c r="F222" s="795">
        <v>1.43</v>
      </c>
      <c r="G222" s="795">
        <v>1.52</v>
      </c>
      <c r="H222" s="802">
        <v>0.51525423728813569</v>
      </c>
    </row>
    <row r="223" spans="1:8">
      <c r="A223" s="792" t="s">
        <v>1975</v>
      </c>
      <c r="B223" s="758">
        <v>2.95</v>
      </c>
      <c r="C223" s="770">
        <v>6</v>
      </c>
      <c r="D223" s="793" t="s">
        <v>2417</v>
      </c>
      <c r="E223" s="794"/>
      <c r="F223" s="795">
        <v>1.43</v>
      </c>
      <c r="G223" s="795">
        <v>1.52</v>
      </c>
      <c r="H223" s="802">
        <v>0.51525423728813569</v>
      </c>
    </row>
    <row r="224" spans="1:8">
      <c r="A224" s="792" t="s">
        <v>687</v>
      </c>
      <c r="B224" s="758">
        <v>3.1</v>
      </c>
      <c r="C224" s="770">
        <v>253</v>
      </c>
      <c r="D224" s="793" t="s">
        <v>2417</v>
      </c>
      <c r="E224" s="794"/>
      <c r="F224" s="795">
        <v>0.57999999999999996</v>
      </c>
      <c r="G224" s="795">
        <v>2.52</v>
      </c>
      <c r="H224" s="796">
        <v>0.81290322580645158</v>
      </c>
    </row>
    <row r="225" spans="1:8">
      <c r="A225" s="792" t="s">
        <v>964</v>
      </c>
      <c r="B225" s="758">
        <v>3.1</v>
      </c>
      <c r="C225" s="770">
        <v>9</v>
      </c>
      <c r="D225" s="793" t="s">
        <v>2417</v>
      </c>
      <c r="E225" s="794"/>
      <c r="F225" s="795">
        <v>1.43</v>
      </c>
      <c r="G225" s="795">
        <v>1.67</v>
      </c>
      <c r="H225" s="802">
        <v>0.53870967741935483</v>
      </c>
    </row>
    <row r="226" spans="1:8">
      <c r="A226" s="792" t="s">
        <v>1214</v>
      </c>
      <c r="B226" s="758">
        <v>3.4</v>
      </c>
      <c r="C226" s="770">
        <v>4</v>
      </c>
      <c r="D226" s="793" t="s">
        <v>2417</v>
      </c>
      <c r="E226" s="794"/>
      <c r="F226" s="795">
        <v>0.9</v>
      </c>
      <c r="G226" s="795">
        <v>2.5</v>
      </c>
      <c r="H226" s="797">
        <v>0.73529411764705888</v>
      </c>
    </row>
    <row r="227" spans="1:8">
      <c r="A227" s="792" t="s">
        <v>1736</v>
      </c>
      <c r="B227" s="758">
        <v>3.45</v>
      </c>
      <c r="C227" s="770">
        <v>10</v>
      </c>
      <c r="D227" s="793" t="s">
        <v>2417</v>
      </c>
      <c r="E227" s="794"/>
      <c r="F227" s="795">
        <v>1.5</v>
      </c>
      <c r="G227" s="795">
        <v>1.95</v>
      </c>
      <c r="H227" s="802">
        <v>0.56521739130434789</v>
      </c>
    </row>
    <row r="228" spans="1:8">
      <c r="A228" s="792" t="s">
        <v>1634</v>
      </c>
      <c r="B228" s="758">
        <v>3.88</v>
      </c>
      <c r="C228" s="770">
        <v>2</v>
      </c>
      <c r="D228" s="793" t="s">
        <v>2417</v>
      </c>
      <c r="E228" s="794"/>
      <c r="F228" s="795">
        <v>0</v>
      </c>
      <c r="G228" s="795">
        <v>3.88</v>
      </c>
      <c r="H228" s="801">
        <v>1</v>
      </c>
    </row>
    <row r="229" spans="1:8">
      <c r="A229" s="792" t="s">
        <v>744</v>
      </c>
      <c r="B229" s="758">
        <v>3.9</v>
      </c>
      <c r="C229" s="770">
        <v>3</v>
      </c>
      <c r="D229" s="793" t="s">
        <v>2417</v>
      </c>
      <c r="E229" s="794"/>
      <c r="F229" s="795">
        <v>1.75</v>
      </c>
      <c r="G229" s="795">
        <v>2.15</v>
      </c>
      <c r="H229" s="802">
        <v>0.55128205128205132</v>
      </c>
    </row>
    <row r="230" spans="1:8">
      <c r="A230" s="792" t="s">
        <v>2320</v>
      </c>
      <c r="B230" s="758">
        <v>4</v>
      </c>
      <c r="C230" s="770">
        <v>2</v>
      </c>
      <c r="D230" s="793" t="s">
        <v>2417</v>
      </c>
      <c r="E230" s="794"/>
      <c r="F230" s="795">
        <v>1.75</v>
      </c>
      <c r="G230" s="795">
        <v>2.25</v>
      </c>
      <c r="H230" s="802">
        <v>0.5625</v>
      </c>
    </row>
    <row r="231" spans="1:8">
      <c r="A231" s="792" t="s">
        <v>1583</v>
      </c>
      <c r="B231" s="758">
        <v>4.25</v>
      </c>
      <c r="C231" s="770">
        <v>4</v>
      </c>
      <c r="D231" s="793" t="s">
        <v>2417</v>
      </c>
      <c r="E231" s="794"/>
      <c r="F231" s="795">
        <v>0.4</v>
      </c>
      <c r="G231" s="795">
        <v>3.85</v>
      </c>
      <c r="H231" s="796">
        <v>0.90588235294117647</v>
      </c>
    </row>
    <row r="232" spans="1:8">
      <c r="A232" s="792" t="s">
        <v>733</v>
      </c>
      <c r="B232" s="758">
        <v>4.8499999999999996</v>
      </c>
      <c r="C232" s="770">
        <v>1</v>
      </c>
      <c r="D232" s="793" t="s">
        <v>2417</v>
      </c>
      <c r="E232" s="794"/>
      <c r="F232" s="795">
        <v>2.21</v>
      </c>
      <c r="G232" s="795">
        <v>2.64</v>
      </c>
      <c r="H232" s="802">
        <v>0.54432989690721645</v>
      </c>
    </row>
    <row r="233" spans="1:8">
      <c r="A233" s="792" t="s">
        <v>2051</v>
      </c>
      <c r="B233" s="758">
        <v>11.65</v>
      </c>
      <c r="C233" s="770">
        <v>9</v>
      </c>
      <c r="D233" s="799" t="s">
        <v>2420</v>
      </c>
      <c r="E233" s="794"/>
      <c r="F233" s="795">
        <v>3.72</v>
      </c>
      <c r="G233" s="795">
        <v>7.93</v>
      </c>
      <c r="H233" s="802">
        <v>0.68068669527896997</v>
      </c>
    </row>
    <row r="234" spans="1:8">
      <c r="A234" s="792" t="s">
        <v>823</v>
      </c>
      <c r="B234" s="758">
        <v>11.65</v>
      </c>
      <c r="C234" s="770">
        <v>4</v>
      </c>
      <c r="D234" s="799" t="s">
        <v>2420</v>
      </c>
      <c r="E234" s="794"/>
      <c r="F234" s="795">
        <v>3.72</v>
      </c>
      <c r="G234" s="795">
        <v>7.93</v>
      </c>
      <c r="H234" s="802">
        <v>0.68068669527896997</v>
      </c>
    </row>
    <row r="235" spans="1:8">
      <c r="A235" s="74"/>
      <c r="B235" s="74"/>
      <c r="C235" s="74"/>
      <c r="D235" s="74"/>
      <c r="E235" s="800" t="s">
        <v>2441</v>
      </c>
      <c r="F235" s="74"/>
      <c r="G235" s="74"/>
      <c r="H235" s="74"/>
    </row>
    <row r="237" spans="1:8">
      <c r="A237" s="1214" t="s">
        <v>2442</v>
      </c>
      <c r="B237" s="1140"/>
      <c r="C237" s="1140"/>
      <c r="D237" s="1140"/>
      <c r="E237" s="1140"/>
      <c r="F237" s="1140"/>
      <c r="G237" s="74"/>
      <c r="H237" s="74"/>
    </row>
    <row r="238" spans="1:8">
      <c r="A238" s="791" t="s">
        <v>240</v>
      </c>
      <c r="B238" s="791" t="s">
        <v>2414</v>
      </c>
      <c r="C238" s="791" t="s">
        <v>356</v>
      </c>
      <c r="D238" s="791" t="s">
        <v>2415</v>
      </c>
      <c r="E238" s="791" t="s">
        <v>2416</v>
      </c>
      <c r="F238" s="791" t="s">
        <v>2350</v>
      </c>
      <c r="G238" s="791" t="s">
        <v>358</v>
      </c>
      <c r="H238" s="791" t="s">
        <v>1501</v>
      </c>
    </row>
    <row r="239" spans="1:8">
      <c r="A239" s="792" t="s">
        <v>1237</v>
      </c>
      <c r="B239" s="758">
        <v>3.25</v>
      </c>
      <c r="C239" s="770">
        <v>212</v>
      </c>
      <c r="D239" s="793" t="s">
        <v>2417</v>
      </c>
      <c r="E239" s="794"/>
      <c r="F239" s="795">
        <v>0.68</v>
      </c>
      <c r="G239" s="795">
        <v>2.57</v>
      </c>
      <c r="H239" s="797">
        <v>0.79076923076923067</v>
      </c>
    </row>
    <row r="240" spans="1:8">
      <c r="A240" s="792" t="s">
        <v>1570</v>
      </c>
      <c r="B240" s="758">
        <v>3.3</v>
      </c>
      <c r="C240" s="770">
        <v>56</v>
      </c>
      <c r="D240" s="793" t="s">
        <v>2417</v>
      </c>
      <c r="E240" s="794"/>
      <c r="F240" s="795">
        <v>0</v>
      </c>
      <c r="G240" s="795">
        <v>3.3</v>
      </c>
      <c r="H240" s="801">
        <v>1</v>
      </c>
    </row>
    <row r="241" spans="1:8">
      <c r="A241" s="792" t="s">
        <v>857</v>
      </c>
      <c r="B241" s="758">
        <v>3.3</v>
      </c>
      <c r="C241" s="770">
        <v>42</v>
      </c>
      <c r="D241" s="793" t="s">
        <v>2417</v>
      </c>
      <c r="E241" s="794"/>
      <c r="F241" s="795">
        <v>0.25</v>
      </c>
      <c r="G241" s="795">
        <v>3.05</v>
      </c>
      <c r="H241" s="796">
        <v>0.9242424242424242</v>
      </c>
    </row>
    <row r="242" spans="1:8">
      <c r="A242" s="792" t="s">
        <v>1764</v>
      </c>
      <c r="B242" s="758">
        <v>3.3</v>
      </c>
      <c r="C242" s="770">
        <v>11</v>
      </c>
      <c r="D242" s="793" t="s">
        <v>2417</v>
      </c>
      <c r="E242" s="794"/>
      <c r="F242" s="795">
        <v>0.73</v>
      </c>
      <c r="G242" s="795">
        <v>2.57</v>
      </c>
      <c r="H242" s="797">
        <v>0.77878787878787881</v>
      </c>
    </row>
    <row r="243" spans="1:8">
      <c r="A243" s="792" t="s">
        <v>1052</v>
      </c>
      <c r="B243" s="758">
        <v>3.4</v>
      </c>
      <c r="C243" s="770">
        <v>20</v>
      </c>
      <c r="D243" s="793" t="s">
        <v>2417</v>
      </c>
      <c r="E243" s="794"/>
      <c r="F243" s="795">
        <v>0</v>
      </c>
      <c r="G243" s="795">
        <v>3.4</v>
      </c>
      <c r="H243" s="801">
        <v>1</v>
      </c>
    </row>
    <row r="244" spans="1:8">
      <c r="A244" s="792" t="s">
        <v>2230</v>
      </c>
      <c r="B244" s="758">
        <v>3.75</v>
      </c>
      <c r="C244" s="770">
        <v>23</v>
      </c>
      <c r="D244" s="793" t="s">
        <v>2417</v>
      </c>
      <c r="E244" s="794"/>
      <c r="F244" s="795">
        <v>0.91</v>
      </c>
      <c r="G244" s="795">
        <v>2.84</v>
      </c>
      <c r="H244" s="797">
        <v>0.7573333333333333</v>
      </c>
    </row>
    <row r="245" spans="1:8">
      <c r="A245" s="792" t="s">
        <v>929</v>
      </c>
      <c r="B245" s="758">
        <v>3.75</v>
      </c>
      <c r="C245" s="770">
        <v>17</v>
      </c>
      <c r="D245" s="793" t="s">
        <v>2417</v>
      </c>
      <c r="E245" s="794"/>
      <c r="F245" s="795">
        <v>0.75</v>
      </c>
      <c r="G245" s="795">
        <v>3</v>
      </c>
      <c r="H245" s="796">
        <v>0.8</v>
      </c>
    </row>
    <row r="246" spans="1:8">
      <c r="A246" s="792" t="s">
        <v>1140</v>
      </c>
      <c r="B246" s="758">
        <v>4.05</v>
      </c>
      <c r="C246" s="770">
        <v>28</v>
      </c>
      <c r="D246" s="793" t="s">
        <v>2417</v>
      </c>
      <c r="E246" s="794"/>
      <c r="F246" s="795">
        <v>0.66</v>
      </c>
      <c r="G246" s="795">
        <v>3.39</v>
      </c>
      <c r="H246" s="796">
        <v>0.83703703703703702</v>
      </c>
    </row>
    <row r="247" spans="1:8">
      <c r="A247" s="792" t="s">
        <v>2014</v>
      </c>
      <c r="B247" s="758">
        <v>4.1500000000000004</v>
      </c>
      <c r="C247" s="770">
        <v>65</v>
      </c>
      <c r="D247" s="793" t="s">
        <v>2417</v>
      </c>
      <c r="E247" s="794"/>
      <c r="F247" s="795">
        <v>1.1200000000000001</v>
      </c>
      <c r="G247" s="795">
        <v>3.03</v>
      </c>
      <c r="H247" s="797">
        <v>0.73012048192771084</v>
      </c>
    </row>
    <row r="248" spans="1:8">
      <c r="A248" s="792" t="s">
        <v>2009</v>
      </c>
      <c r="B248" s="758">
        <v>4.1500000000000004</v>
      </c>
      <c r="C248" s="770">
        <v>51</v>
      </c>
      <c r="D248" s="793" t="s">
        <v>2417</v>
      </c>
      <c r="E248" s="794"/>
      <c r="F248" s="795">
        <v>1.1200000000000001</v>
      </c>
      <c r="G248" s="795">
        <v>3.03</v>
      </c>
      <c r="H248" s="797">
        <v>0.73012048192771084</v>
      </c>
    </row>
    <row r="249" spans="1:8">
      <c r="A249" s="792" t="s">
        <v>2016</v>
      </c>
      <c r="B249" s="758">
        <v>4.16</v>
      </c>
      <c r="C249" s="770">
        <v>21</v>
      </c>
      <c r="D249" s="793" t="s">
        <v>2417</v>
      </c>
      <c r="E249" s="794"/>
      <c r="F249" s="795">
        <v>5.6</v>
      </c>
      <c r="G249" s="795">
        <v>-1.44</v>
      </c>
      <c r="H249" s="802">
        <v>-0.34615384615384598</v>
      </c>
    </row>
    <row r="250" spans="1:8">
      <c r="A250" s="792" t="s">
        <v>2183</v>
      </c>
      <c r="B250" s="758">
        <v>4.75</v>
      </c>
      <c r="C250" s="770">
        <v>63</v>
      </c>
      <c r="D250" s="793" t="s">
        <v>2417</v>
      </c>
      <c r="E250" s="794"/>
      <c r="F250" s="795">
        <v>0.55000000000000004</v>
      </c>
      <c r="G250" s="795">
        <v>4.2</v>
      </c>
      <c r="H250" s="796">
        <v>0.88421052631578956</v>
      </c>
    </row>
    <row r="251" spans="1:8">
      <c r="A251" s="792" t="s">
        <v>963</v>
      </c>
      <c r="B251" s="758">
        <v>4.75</v>
      </c>
      <c r="C251" s="770">
        <v>11</v>
      </c>
      <c r="D251" s="793" t="s">
        <v>2417</v>
      </c>
      <c r="E251" s="794"/>
      <c r="F251" s="795">
        <v>0</v>
      </c>
      <c r="G251" s="795">
        <v>4.75</v>
      </c>
      <c r="H251" s="801">
        <v>1</v>
      </c>
    </row>
    <row r="252" spans="1:8">
      <c r="A252" s="792" t="s">
        <v>2179</v>
      </c>
      <c r="B252" s="758">
        <v>4.8499999999999996</v>
      </c>
      <c r="C252" s="770">
        <v>87</v>
      </c>
      <c r="D252" s="793" t="s">
        <v>2417</v>
      </c>
      <c r="E252" s="794"/>
      <c r="F252" s="795">
        <v>0.93</v>
      </c>
      <c r="G252" s="795">
        <v>3.919999999999999</v>
      </c>
      <c r="H252" s="796">
        <v>0.80824742268041228</v>
      </c>
    </row>
    <row r="253" spans="1:8">
      <c r="A253" s="792" t="s">
        <v>2177</v>
      </c>
      <c r="B253" s="758">
        <v>4.8499999999999996</v>
      </c>
      <c r="C253" s="770">
        <v>12</v>
      </c>
      <c r="D253" s="793" t="s">
        <v>2417</v>
      </c>
      <c r="E253" s="794"/>
      <c r="F253" s="795">
        <v>0</v>
      </c>
      <c r="G253" s="795">
        <v>4.8499999999999996</v>
      </c>
      <c r="H253" s="801">
        <v>1</v>
      </c>
    </row>
    <row r="254" spans="1:8">
      <c r="A254" s="74"/>
      <c r="B254" s="74"/>
      <c r="C254" s="74"/>
      <c r="D254" s="74"/>
      <c r="E254" s="800" t="s">
        <v>2443</v>
      </c>
      <c r="F254" s="74"/>
      <c r="G254" s="74"/>
      <c r="H254" s="74"/>
    </row>
    <row r="256" spans="1:8">
      <c r="A256" s="1214" t="s">
        <v>2444</v>
      </c>
      <c r="B256" s="1140"/>
      <c r="C256" s="1140"/>
      <c r="D256" s="1140"/>
      <c r="E256" s="1140"/>
      <c r="F256" s="1140"/>
      <c r="G256" s="74"/>
      <c r="H256" s="74"/>
    </row>
    <row r="257" spans="1:8">
      <c r="A257" s="791" t="s">
        <v>240</v>
      </c>
      <c r="B257" s="791" t="s">
        <v>2414</v>
      </c>
      <c r="C257" s="791" t="s">
        <v>356</v>
      </c>
      <c r="D257" s="791" t="s">
        <v>2415</v>
      </c>
      <c r="E257" s="791" t="s">
        <v>2416</v>
      </c>
      <c r="F257" s="791" t="s">
        <v>2350</v>
      </c>
      <c r="G257" s="791" t="s">
        <v>358</v>
      </c>
      <c r="H257" s="791" t="s">
        <v>1501</v>
      </c>
    </row>
    <row r="258" spans="1:8">
      <c r="A258" s="792" t="s">
        <v>1571</v>
      </c>
      <c r="B258" s="758">
        <v>15.15</v>
      </c>
      <c r="C258" s="770">
        <v>4</v>
      </c>
      <c r="D258" s="793" t="s">
        <v>2417</v>
      </c>
      <c r="E258" s="794"/>
      <c r="F258" s="795">
        <v>0</v>
      </c>
      <c r="G258" s="795">
        <v>15.15</v>
      </c>
      <c r="H258" s="801">
        <v>1</v>
      </c>
    </row>
    <row r="259" spans="1:8">
      <c r="A259" s="792" t="s">
        <v>1083</v>
      </c>
      <c r="B259" s="758">
        <v>15.15</v>
      </c>
      <c r="C259" s="770">
        <v>3</v>
      </c>
      <c r="D259" s="793" t="s">
        <v>2417</v>
      </c>
      <c r="E259" s="794"/>
      <c r="F259" s="795">
        <v>2</v>
      </c>
      <c r="G259" s="795">
        <v>13.15</v>
      </c>
      <c r="H259" s="796">
        <v>0.86798679867986794</v>
      </c>
    </row>
    <row r="260" spans="1:8">
      <c r="A260" s="792" t="s">
        <v>1763</v>
      </c>
      <c r="B260" s="758">
        <v>15.15</v>
      </c>
      <c r="C260" s="770">
        <v>3</v>
      </c>
      <c r="D260" s="793" t="s">
        <v>2417</v>
      </c>
      <c r="E260" s="794"/>
      <c r="F260" s="795">
        <v>3.65</v>
      </c>
      <c r="G260" s="795">
        <v>11.5</v>
      </c>
      <c r="H260" s="797">
        <v>0.75907590759075905</v>
      </c>
    </row>
    <row r="261" spans="1:8">
      <c r="A261" s="792" t="s">
        <v>1569</v>
      </c>
      <c r="B261" s="758">
        <v>15.15</v>
      </c>
      <c r="C261" s="770">
        <v>3</v>
      </c>
      <c r="D261" s="793" t="s">
        <v>2417</v>
      </c>
      <c r="E261" s="794"/>
      <c r="F261" s="795">
        <v>0</v>
      </c>
      <c r="G261" s="795">
        <v>15.15</v>
      </c>
      <c r="H261" s="801">
        <v>1</v>
      </c>
    </row>
    <row r="262" spans="1:8">
      <c r="A262" s="792" t="s">
        <v>1567</v>
      </c>
      <c r="B262" s="758">
        <v>15.15</v>
      </c>
      <c r="C262" s="770">
        <v>2</v>
      </c>
      <c r="D262" s="793" t="s">
        <v>2417</v>
      </c>
      <c r="E262" s="794"/>
      <c r="F262" s="795">
        <v>0</v>
      </c>
      <c r="G262" s="795">
        <v>15.15</v>
      </c>
      <c r="H262" s="801">
        <v>1</v>
      </c>
    </row>
    <row r="263" spans="1:8">
      <c r="A263" s="792" t="s">
        <v>2260</v>
      </c>
      <c r="B263" s="758">
        <v>16.149999999999999</v>
      </c>
      <c r="C263" s="770">
        <v>21</v>
      </c>
      <c r="D263" s="793" t="s">
        <v>2417</v>
      </c>
      <c r="E263" s="794"/>
      <c r="F263" s="795">
        <v>3.41</v>
      </c>
      <c r="G263" s="795">
        <v>12.74</v>
      </c>
      <c r="H263" s="797">
        <v>0.78885448916408663</v>
      </c>
    </row>
    <row r="264" spans="1:8">
      <c r="A264" s="792" t="s">
        <v>2228</v>
      </c>
      <c r="B264" s="758">
        <v>18.149999999999999</v>
      </c>
      <c r="C264" s="770">
        <v>2</v>
      </c>
      <c r="D264" s="793" t="s">
        <v>2417</v>
      </c>
      <c r="E264" s="794"/>
      <c r="F264" s="795">
        <v>4.55</v>
      </c>
      <c r="G264" s="795">
        <v>13.6</v>
      </c>
      <c r="H264" s="797">
        <v>0.74931129476584013</v>
      </c>
    </row>
    <row r="265" spans="1:8">
      <c r="A265" s="792" t="s">
        <v>2231</v>
      </c>
      <c r="B265" s="758">
        <v>18.149999999999999</v>
      </c>
      <c r="C265" s="770">
        <v>2</v>
      </c>
      <c r="D265" s="793" t="s">
        <v>2417</v>
      </c>
      <c r="E265" s="794"/>
      <c r="F265" s="795">
        <v>4.55</v>
      </c>
      <c r="G265" s="795">
        <v>13.6</v>
      </c>
      <c r="H265" s="797">
        <v>0.74931129476584013</v>
      </c>
    </row>
    <row r="266" spans="1:8">
      <c r="A266" s="792" t="s">
        <v>2180</v>
      </c>
      <c r="B266" s="758">
        <v>19.399999999999999</v>
      </c>
      <c r="C266" s="770">
        <v>6</v>
      </c>
      <c r="D266" s="798" t="s">
        <v>2418</v>
      </c>
      <c r="E266" s="794" t="s">
        <v>2419</v>
      </c>
      <c r="F266" s="795">
        <v>13.89</v>
      </c>
      <c r="G266" s="795">
        <v>5.509999999999998</v>
      </c>
      <c r="H266" s="802">
        <v>0.28402061855670102</v>
      </c>
    </row>
    <row r="267" spans="1:8">
      <c r="A267" s="792" t="s">
        <v>2013</v>
      </c>
      <c r="B267" s="758">
        <v>20.149999999999999</v>
      </c>
      <c r="C267" s="770">
        <v>7</v>
      </c>
      <c r="D267" s="798" t="s">
        <v>2418</v>
      </c>
      <c r="E267" s="794" t="s">
        <v>2419</v>
      </c>
      <c r="F267" s="795">
        <v>5.6</v>
      </c>
      <c r="G267" s="795">
        <v>14.55</v>
      </c>
      <c r="H267" s="797">
        <v>0.72208436724565761</v>
      </c>
    </row>
    <row r="268" spans="1:8">
      <c r="A268" s="792" t="s">
        <v>2182</v>
      </c>
      <c r="B268" s="758">
        <v>20.149999999999999</v>
      </c>
      <c r="C268" s="770">
        <v>4</v>
      </c>
      <c r="D268" s="798" t="s">
        <v>2418</v>
      </c>
      <c r="E268" s="794" t="s">
        <v>2419</v>
      </c>
      <c r="F268" s="795">
        <v>2.77</v>
      </c>
      <c r="G268" s="795">
        <v>17.38</v>
      </c>
      <c r="H268" s="796">
        <v>0.86253101736972704</v>
      </c>
    </row>
    <row r="269" spans="1:8">
      <c r="A269" s="792" t="s">
        <v>2010</v>
      </c>
      <c r="B269" s="758">
        <v>20.149999999999999</v>
      </c>
      <c r="C269" s="770">
        <v>2</v>
      </c>
      <c r="D269" s="798" t="s">
        <v>2418</v>
      </c>
      <c r="E269" s="794" t="s">
        <v>2419</v>
      </c>
      <c r="F269" s="795">
        <v>5.6</v>
      </c>
      <c r="G269" s="795">
        <v>14.55</v>
      </c>
      <c r="H269" s="797">
        <v>0.72208436724565761</v>
      </c>
    </row>
    <row r="270" spans="1:8">
      <c r="A270" s="792" t="s">
        <v>1988</v>
      </c>
      <c r="B270" s="758">
        <v>23.3</v>
      </c>
      <c r="C270" s="770">
        <v>1</v>
      </c>
      <c r="D270" s="798" t="s">
        <v>2418</v>
      </c>
      <c r="E270" s="794" t="s">
        <v>2419</v>
      </c>
      <c r="F270" s="795">
        <v>0</v>
      </c>
      <c r="G270" s="795">
        <v>23.3</v>
      </c>
      <c r="H270" s="801">
        <v>1</v>
      </c>
    </row>
    <row r="271" spans="1:8">
      <c r="A271" s="792" t="s">
        <v>2178</v>
      </c>
      <c r="B271" s="758">
        <v>26.5</v>
      </c>
      <c r="C271" s="770">
        <v>1</v>
      </c>
      <c r="D271" s="799" t="s">
        <v>2420</v>
      </c>
      <c r="E271" s="794"/>
      <c r="F271" s="795">
        <v>4.63</v>
      </c>
      <c r="G271" s="795">
        <v>21.87</v>
      </c>
      <c r="H271" s="796">
        <v>0.82528301886792454</v>
      </c>
    </row>
    <row r="272" spans="1:8">
      <c r="A272" s="792" t="s">
        <v>2181</v>
      </c>
      <c r="B272" s="758">
        <v>27.5</v>
      </c>
      <c r="C272" s="770">
        <v>2</v>
      </c>
      <c r="D272" s="799" t="s">
        <v>2420</v>
      </c>
      <c r="E272" s="794"/>
      <c r="F272" s="795">
        <v>0</v>
      </c>
      <c r="G272" s="795">
        <v>27.5</v>
      </c>
      <c r="H272" s="801">
        <v>1</v>
      </c>
    </row>
    <row r="273" spans="1:8">
      <c r="A273" s="74"/>
      <c r="B273" s="74"/>
      <c r="C273" s="74"/>
      <c r="D273" s="74"/>
      <c r="E273" s="800" t="s">
        <v>2445</v>
      </c>
      <c r="F273" s="74"/>
      <c r="G273" s="74"/>
      <c r="H273" s="74"/>
    </row>
    <row r="275" spans="1:8">
      <c r="A275" s="1214" t="s">
        <v>2446</v>
      </c>
      <c r="B275" s="1140"/>
      <c r="C275" s="1140"/>
      <c r="D275" s="1140"/>
      <c r="E275" s="1140"/>
      <c r="F275" s="1140"/>
      <c r="G275" s="74"/>
      <c r="H275" s="74"/>
    </row>
    <row r="276" spans="1:8">
      <c r="A276" s="791" t="s">
        <v>240</v>
      </c>
      <c r="B276" s="791" t="s">
        <v>2414</v>
      </c>
      <c r="C276" s="791" t="s">
        <v>356</v>
      </c>
      <c r="D276" s="791" t="s">
        <v>2415</v>
      </c>
      <c r="E276" s="791" t="s">
        <v>2416</v>
      </c>
      <c r="F276" s="791" t="s">
        <v>2350</v>
      </c>
      <c r="G276" s="791" t="s">
        <v>358</v>
      </c>
      <c r="H276" s="791" t="s">
        <v>1501</v>
      </c>
    </row>
    <row r="277" spans="1:8">
      <c r="A277" s="792" t="s">
        <v>2191</v>
      </c>
      <c r="B277" s="758">
        <v>14.85</v>
      </c>
      <c r="C277" s="770">
        <v>12</v>
      </c>
      <c r="D277" s="793" t="s">
        <v>2417</v>
      </c>
      <c r="E277" s="794"/>
      <c r="F277" s="795">
        <v>3.76</v>
      </c>
      <c r="G277" s="795">
        <v>11.09</v>
      </c>
      <c r="H277" s="797">
        <v>0.7468013468013468</v>
      </c>
    </row>
    <row r="278" spans="1:8">
      <c r="A278" s="792" t="s">
        <v>2189</v>
      </c>
      <c r="B278" s="758">
        <v>14.85</v>
      </c>
      <c r="C278" s="770">
        <v>1</v>
      </c>
      <c r="D278" s="793" t="s">
        <v>2417</v>
      </c>
      <c r="E278" s="794"/>
      <c r="F278" s="795">
        <v>0</v>
      </c>
      <c r="G278" s="795">
        <v>14.85</v>
      </c>
      <c r="H278" s="801">
        <v>1</v>
      </c>
    </row>
    <row r="279" spans="1:8">
      <c r="A279" s="792" t="s">
        <v>2193</v>
      </c>
      <c r="B279" s="758">
        <v>15</v>
      </c>
      <c r="C279" s="770">
        <v>2</v>
      </c>
      <c r="D279" s="793" t="s">
        <v>2417</v>
      </c>
      <c r="E279" s="794"/>
      <c r="F279" s="795">
        <v>2.4500000000000002</v>
      </c>
      <c r="G279" s="795">
        <v>12.55</v>
      </c>
      <c r="H279" s="796">
        <v>0.83666666666666667</v>
      </c>
    </row>
    <row r="280" spans="1:8">
      <c r="A280" s="792" t="s">
        <v>1191</v>
      </c>
      <c r="B280" s="758">
        <v>15</v>
      </c>
      <c r="C280" s="770">
        <v>2</v>
      </c>
      <c r="D280" s="793" t="s">
        <v>2417</v>
      </c>
      <c r="E280" s="794"/>
      <c r="F280" s="795">
        <v>2.4500000000000002</v>
      </c>
      <c r="G280" s="795">
        <v>12.55</v>
      </c>
      <c r="H280" s="796">
        <v>0.83666666666666667</v>
      </c>
    </row>
    <row r="281" spans="1:8">
      <c r="A281" s="792" t="s">
        <v>2192</v>
      </c>
      <c r="B281" s="758">
        <v>17</v>
      </c>
      <c r="C281" s="770">
        <v>10</v>
      </c>
      <c r="D281" s="799" t="s">
        <v>2420</v>
      </c>
      <c r="E281" s="794"/>
      <c r="F281" s="795">
        <v>3.76</v>
      </c>
      <c r="G281" s="795">
        <v>13.24</v>
      </c>
      <c r="H281" s="797">
        <v>0.77882352941176469</v>
      </c>
    </row>
    <row r="282" spans="1:8">
      <c r="A282" s="74"/>
      <c r="B282" s="74"/>
      <c r="C282" s="74"/>
      <c r="D282" s="74"/>
      <c r="E282" s="800" t="s">
        <v>2447</v>
      </c>
      <c r="F282" s="74"/>
      <c r="G282" s="74"/>
      <c r="H282" s="74"/>
    </row>
    <row r="284" spans="1:8">
      <c r="A284" s="1214" t="s">
        <v>2448</v>
      </c>
      <c r="B284" s="1140"/>
      <c r="C284" s="1140"/>
      <c r="D284" s="1140"/>
      <c r="E284" s="1140"/>
      <c r="F284" s="1140"/>
      <c r="G284" s="74"/>
      <c r="H284" s="74"/>
    </row>
    <row r="285" spans="1:8">
      <c r="A285" s="791" t="s">
        <v>240</v>
      </c>
      <c r="B285" s="791" t="s">
        <v>2414</v>
      </c>
      <c r="C285" s="791" t="s">
        <v>356</v>
      </c>
      <c r="D285" s="791" t="s">
        <v>2415</v>
      </c>
      <c r="E285" s="791" t="s">
        <v>2416</v>
      </c>
      <c r="F285" s="791" t="s">
        <v>2350</v>
      </c>
      <c r="G285" s="791" t="s">
        <v>358</v>
      </c>
      <c r="H285" s="791" t="s">
        <v>1501</v>
      </c>
    </row>
    <row r="286" spans="1:8">
      <c r="A286" s="792" t="s">
        <v>854</v>
      </c>
      <c r="B286" s="758">
        <v>1.55</v>
      </c>
      <c r="C286" s="770">
        <v>121</v>
      </c>
      <c r="D286" s="793" t="s">
        <v>2417</v>
      </c>
      <c r="E286" s="794"/>
      <c r="F286" s="795">
        <v>0.23</v>
      </c>
      <c r="G286" s="795">
        <v>1.32</v>
      </c>
      <c r="H286" s="796">
        <v>0.85161290322580652</v>
      </c>
    </row>
    <row r="287" spans="1:8">
      <c r="A287" s="792" t="s">
        <v>1551</v>
      </c>
      <c r="B287" s="758">
        <v>1.55</v>
      </c>
      <c r="C287" s="770">
        <v>83</v>
      </c>
      <c r="D287" s="793" t="s">
        <v>2417</v>
      </c>
      <c r="E287" s="794"/>
      <c r="F287" s="795">
        <v>0.23</v>
      </c>
      <c r="G287" s="795">
        <v>1.32</v>
      </c>
      <c r="H287" s="796">
        <v>0.85161290322580652</v>
      </c>
    </row>
    <row r="288" spans="1:8">
      <c r="A288" s="792" t="s">
        <v>714</v>
      </c>
      <c r="B288" s="758">
        <v>1.55</v>
      </c>
      <c r="C288" s="770">
        <v>71</v>
      </c>
      <c r="D288" s="793" t="s">
        <v>2417</v>
      </c>
      <c r="E288" s="794"/>
      <c r="F288" s="795">
        <v>0</v>
      </c>
      <c r="G288" s="795">
        <v>1.55</v>
      </c>
      <c r="H288" s="801">
        <v>1</v>
      </c>
    </row>
    <row r="289" spans="1:8">
      <c r="A289" s="792" t="s">
        <v>250</v>
      </c>
      <c r="B289" s="758">
        <v>1.8</v>
      </c>
      <c r="C289" s="770">
        <v>866</v>
      </c>
      <c r="D289" s="793" t="s">
        <v>2417</v>
      </c>
      <c r="E289" s="794"/>
      <c r="F289" s="795">
        <v>0.05</v>
      </c>
      <c r="G289" s="795">
        <v>1.75</v>
      </c>
      <c r="H289" s="796">
        <v>0.97222222222222221</v>
      </c>
    </row>
    <row r="290" spans="1:8">
      <c r="A290" s="792" t="s">
        <v>708</v>
      </c>
      <c r="B290" s="758">
        <v>1.95</v>
      </c>
      <c r="C290" s="770">
        <v>226</v>
      </c>
      <c r="D290" s="793" t="s">
        <v>2417</v>
      </c>
      <c r="E290" s="794"/>
      <c r="F290" s="795">
        <v>0.11</v>
      </c>
      <c r="G290" s="795">
        <v>1.84</v>
      </c>
      <c r="H290" s="796">
        <v>0.94358974358974357</v>
      </c>
    </row>
    <row r="291" spans="1:8">
      <c r="A291" s="792" t="s">
        <v>1556</v>
      </c>
      <c r="B291" s="758">
        <v>2</v>
      </c>
      <c r="C291" s="770">
        <v>2</v>
      </c>
      <c r="D291" s="793" t="s">
        <v>2417</v>
      </c>
      <c r="E291" s="794"/>
      <c r="F291" s="795">
        <v>0</v>
      </c>
      <c r="G291" s="795">
        <v>2</v>
      </c>
      <c r="H291" s="801">
        <v>1</v>
      </c>
    </row>
    <row r="292" spans="1:8">
      <c r="A292" s="792" t="s">
        <v>1558</v>
      </c>
      <c r="B292" s="758">
        <v>5</v>
      </c>
      <c r="C292" s="770">
        <v>8</v>
      </c>
      <c r="D292" s="799" t="s">
        <v>2420</v>
      </c>
      <c r="E292" s="794"/>
      <c r="F292" s="795">
        <v>0</v>
      </c>
      <c r="G292" s="795">
        <v>5</v>
      </c>
      <c r="H292" s="801">
        <v>1</v>
      </c>
    </row>
    <row r="293" spans="1:8">
      <c r="A293" s="74"/>
      <c r="B293" s="74"/>
      <c r="C293" s="74"/>
      <c r="D293" s="74"/>
      <c r="E293" s="800" t="s">
        <v>2449</v>
      </c>
      <c r="F293" s="74"/>
      <c r="G293" s="74"/>
      <c r="H293" s="74"/>
    </row>
    <row r="295" spans="1:8">
      <c r="A295" s="1214" t="s">
        <v>2450</v>
      </c>
      <c r="B295" s="1140"/>
      <c r="C295" s="1140"/>
      <c r="D295" s="1140"/>
      <c r="E295" s="1140"/>
      <c r="F295" s="1140"/>
      <c r="G295" s="74"/>
      <c r="H295" s="74"/>
    </row>
    <row r="296" spans="1:8">
      <c r="A296" s="791" t="s">
        <v>240</v>
      </c>
      <c r="B296" s="791" t="s">
        <v>2414</v>
      </c>
      <c r="C296" s="791" t="s">
        <v>356</v>
      </c>
      <c r="D296" s="791" t="s">
        <v>2415</v>
      </c>
      <c r="E296" s="791" t="s">
        <v>2416</v>
      </c>
      <c r="F296" s="791" t="s">
        <v>2350</v>
      </c>
      <c r="G296" s="791" t="s">
        <v>358</v>
      </c>
      <c r="H296" s="791" t="s">
        <v>1501</v>
      </c>
    </row>
    <row r="297" spans="1:8">
      <c r="A297" s="792" t="s">
        <v>2208</v>
      </c>
      <c r="B297" s="758">
        <v>2.2000000000000002</v>
      </c>
      <c r="C297" s="770">
        <v>1</v>
      </c>
      <c r="D297" s="793" t="s">
        <v>2417</v>
      </c>
      <c r="E297" s="794"/>
      <c r="F297" s="795">
        <v>0</v>
      </c>
      <c r="G297" s="795">
        <v>2.2000000000000002</v>
      </c>
      <c r="H297" s="801">
        <v>1</v>
      </c>
    </row>
    <row r="298" spans="1:8">
      <c r="A298" s="792" t="s">
        <v>756</v>
      </c>
      <c r="B298" s="758">
        <v>2.35</v>
      </c>
      <c r="C298" s="770">
        <v>63</v>
      </c>
      <c r="D298" s="793" t="s">
        <v>2417</v>
      </c>
      <c r="E298" s="794"/>
      <c r="F298" s="795">
        <v>0.76</v>
      </c>
      <c r="G298" s="795">
        <v>1.59</v>
      </c>
      <c r="H298" s="802">
        <v>0.67659574468085104</v>
      </c>
    </row>
    <row r="299" spans="1:8">
      <c r="A299" s="792" t="s">
        <v>1035</v>
      </c>
      <c r="B299" s="758">
        <v>2.35</v>
      </c>
      <c r="C299" s="770">
        <v>34</v>
      </c>
      <c r="D299" s="793" t="s">
        <v>2417</v>
      </c>
      <c r="E299" s="794"/>
      <c r="F299" s="795">
        <v>1.08</v>
      </c>
      <c r="G299" s="795">
        <v>1.27</v>
      </c>
      <c r="H299" s="802">
        <v>0.54042553191489362</v>
      </c>
    </row>
    <row r="300" spans="1:8">
      <c r="A300" s="792" t="s">
        <v>1275</v>
      </c>
      <c r="B300" s="758">
        <v>2.35</v>
      </c>
      <c r="C300" s="770">
        <v>28</v>
      </c>
      <c r="D300" s="793" t="s">
        <v>2417</v>
      </c>
      <c r="E300" s="794"/>
      <c r="F300" s="795">
        <v>1.89</v>
      </c>
      <c r="G300" s="795">
        <v>0.46000000000000019</v>
      </c>
      <c r="H300" s="802">
        <v>0.19574468085106389</v>
      </c>
    </row>
    <row r="301" spans="1:8">
      <c r="A301" s="792" t="s">
        <v>2451</v>
      </c>
      <c r="B301" s="758">
        <v>2.35</v>
      </c>
      <c r="C301" s="770">
        <v>1</v>
      </c>
      <c r="D301" s="793" t="s">
        <v>2417</v>
      </c>
      <c r="E301" s="794"/>
      <c r="F301" s="795">
        <v>0.76</v>
      </c>
      <c r="G301" s="795">
        <v>1.59</v>
      </c>
      <c r="H301" s="802">
        <v>0.67659574468085104</v>
      </c>
    </row>
    <row r="302" spans="1:8">
      <c r="A302" s="792" t="s">
        <v>742</v>
      </c>
      <c r="B302" s="758">
        <v>2.75</v>
      </c>
      <c r="C302" s="770">
        <v>265</v>
      </c>
      <c r="D302" s="799" t="s">
        <v>2420</v>
      </c>
      <c r="E302" s="794"/>
      <c r="F302" s="795">
        <v>0.33</v>
      </c>
      <c r="G302" s="795">
        <v>2.42</v>
      </c>
      <c r="H302" s="796">
        <v>0.88</v>
      </c>
    </row>
    <row r="303" spans="1:8">
      <c r="A303" s="792" t="s">
        <v>2452</v>
      </c>
      <c r="B303" s="758">
        <v>2.75</v>
      </c>
      <c r="C303" s="770">
        <v>1</v>
      </c>
      <c r="D303" s="799" t="s">
        <v>2420</v>
      </c>
      <c r="E303" s="794"/>
      <c r="F303" s="795">
        <v>0.33</v>
      </c>
      <c r="G303" s="795">
        <v>2.42</v>
      </c>
      <c r="H303" s="796">
        <v>0.88</v>
      </c>
    </row>
    <row r="304" spans="1:8">
      <c r="A304" s="74"/>
      <c r="B304" s="74"/>
      <c r="C304" s="74"/>
      <c r="D304" s="74"/>
      <c r="E304" s="800" t="s">
        <v>2453</v>
      </c>
      <c r="F304" s="74"/>
      <c r="G304" s="74"/>
      <c r="H304" s="74"/>
    </row>
    <row r="306" spans="1:8">
      <c r="A306" s="1214" t="s">
        <v>2454</v>
      </c>
      <c r="B306" s="1140"/>
      <c r="C306" s="1140"/>
      <c r="D306" s="1140"/>
      <c r="E306" s="1140"/>
      <c r="F306" s="1140"/>
      <c r="G306" s="74"/>
      <c r="H306" s="74"/>
    </row>
    <row r="307" spans="1:8">
      <c r="A307" s="791" t="s">
        <v>240</v>
      </c>
      <c r="B307" s="791" t="s">
        <v>2414</v>
      </c>
      <c r="C307" s="791" t="s">
        <v>356</v>
      </c>
      <c r="D307" s="791" t="s">
        <v>2415</v>
      </c>
      <c r="E307" s="791" t="s">
        <v>2416</v>
      </c>
      <c r="F307" s="791" t="s">
        <v>2350</v>
      </c>
      <c r="G307" s="791" t="s">
        <v>358</v>
      </c>
      <c r="H307" s="791" t="s">
        <v>1501</v>
      </c>
    </row>
    <row r="308" spans="1:8">
      <c r="A308" s="792" t="s">
        <v>1756</v>
      </c>
      <c r="B308" s="758">
        <v>2.1</v>
      </c>
      <c r="C308" s="770">
        <v>1</v>
      </c>
      <c r="D308" s="793" t="s">
        <v>2417</v>
      </c>
      <c r="E308" s="794"/>
      <c r="F308" s="795">
        <v>0.6</v>
      </c>
      <c r="G308" s="795">
        <v>1.5</v>
      </c>
      <c r="H308" s="797">
        <v>0.7142857142857143</v>
      </c>
    </row>
    <row r="309" spans="1:8">
      <c r="A309" s="792" t="s">
        <v>1760</v>
      </c>
      <c r="B309" s="758">
        <v>2.12</v>
      </c>
      <c r="C309" s="770">
        <v>1</v>
      </c>
      <c r="D309" s="793" t="s">
        <v>2417</v>
      </c>
      <c r="E309" s="794"/>
      <c r="F309" s="795">
        <v>0</v>
      </c>
      <c r="G309" s="795">
        <v>2.12</v>
      </c>
      <c r="H309" s="801">
        <v>1</v>
      </c>
    </row>
    <row r="310" spans="1:8">
      <c r="A310" s="792" t="s">
        <v>2048</v>
      </c>
      <c r="B310" s="758">
        <v>2.12</v>
      </c>
      <c r="C310" s="770">
        <v>1</v>
      </c>
      <c r="D310" s="793" t="s">
        <v>2417</v>
      </c>
      <c r="E310" s="794"/>
      <c r="F310" s="795">
        <v>0</v>
      </c>
      <c r="G310" s="795">
        <v>2.12</v>
      </c>
      <c r="H310" s="801">
        <v>1</v>
      </c>
    </row>
    <row r="311" spans="1:8">
      <c r="A311" s="792" t="s">
        <v>1755</v>
      </c>
      <c r="B311" s="758">
        <v>2.12</v>
      </c>
      <c r="C311" s="770">
        <v>1</v>
      </c>
      <c r="D311" s="793" t="s">
        <v>2417</v>
      </c>
      <c r="E311" s="794"/>
      <c r="F311" s="795">
        <v>0</v>
      </c>
      <c r="G311" s="795">
        <v>2.12</v>
      </c>
      <c r="H311" s="801">
        <v>1</v>
      </c>
    </row>
    <row r="312" spans="1:8">
      <c r="A312" s="792" t="s">
        <v>1173</v>
      </c>
      <c r="B312" s="758">
        <v>2.35</v>
      </c>
      <c r="C312" s="770">
        <v>32</v>
      </c>
      <c r="D312" s="793" t="s">
        <v>2417</v>
      </c>
      <c r="E312" s="794"/>
      <c r="F312" s="795">
        <v>0.33</v>
      </c>
      <c r="G312" s="795">
        <v>2.02</v>
      </c>
      <c r="H312" s="796">
        <v>0.8595744680851064</v>
      </c>
    </row>
    <row r="313" spans="1:8">
      <c r="A313" s="792" t="s">
        <v>2047</v>
      </c>
      <c r="B313" s="758">
        <v>2.65</v>
      </c>
      <c r="C313" s="770">
        <v>161</v>
      </c>
      <c r="D313" s="799" t="s">
        <v>2420</v>
      </c>
      <c r="E313" s="794"/>
      <c r="F313" s="795">
        <v>0.56000000000000005</v>
      </c>
      <c r="G313" s="795">
        <v>2.09</v>
      </c>
      <c r="H313" s="797">
        <v>0.7886792452830188</v>
      </c>
    </row>
    <row r="314" spans="1:8">
      <c r="A314" s="792" t="s">
        <v>927</v>
      </c>
      <c r="B314" s="758">
        <v>2.65</v>
      </c>
      <c r="C314" s="770">
        <v>160</v>
      </c>
      <c r="D314" s="799" t="s">
        <v>2420</v>
      </c>
      <c r="E314" s="794"/>
      <c r="F314" s="795">
        <v>0.5</v>
      </c>
      <c r="G314" s="795">
        <v>2.15</v>
      </c>
      <c r="H314" s="796">
        <v>0.81132075471698117</v>
      </c>
    </row>
    <row r="315" spans="1:8">
      <c r="A315" s="792" t="s">
        <v>945</v>
      </c>
      <c r="B315" s="758">
        <v>2.65</v>
      </c>
      <c r="C315" s="770">
        <v>85</v>
      </c>
      <c r="D315" s="799" t="s">
        <v>2420</v>
      </c>
      <c r="E315" s="794"/>
      <c r="F315" s="795">
        <v>0.52</v>
      </c>
      <c r="G315" s="795">
        <v>2.13</v>
      </c>
      <c r="H315" s="796">
        <v>0.80377358490566031</v>
      </c>
    </row>
    <row r="316" spans="1:8">
      <c r="A316" s="792" t="s">
        <v>722</v>
      </c>
      <c r="B316" s="758">
        <v>2.65</v>
      </c>
      <c r="C316" s="770">
        <v>69</v>
      </c>
      <c r="D316" s="799" t="s">
        <v>2420</v>
      </c>
      <c r="E316" s="794"/>
      <c r="F316" s="795">
        <v>0.51</v>
      </c>
      <c r="G316" s="795">
        <v>2.14</v>
      </c>
      <c r="H316" s="796">
        <v>0.80754716981132069</v>
      </c>
    </row>
    <row r="317" spans="1:8">
      <c r="A317" s="792" t="s">
        <v>890</v>
      </c>
      <c r="B317" s="758">
        <v>2.65</v>
      </c>
      <c r="C317" s="770">
        <v>62</v>
      </c>
      <c r="D317" s="799" t="s">
        <v>2420</v>
      </c>
      <c r="E317" s="794"/>
      <c r="F317" s="795">
        <v>0.59</v>
      </c>
      <c r="G317" s="795">
        <v>2.06</v>
      </c>
      <c r="H317" s="797">
        <v>0.77735849056603779</v>
      </c>
    </row>
    <row r="318" spans="1:8">
      <c r="A318" s="792" t="s">
        <v>2049</v>
      </c>
      <c r="B318" s="758">
        <v>2.65</v>
      </c>
      <c r="C318" s="770">
        <v>55</v>
      </c>
      <c r="D318" s="799" t="s">
        <v>2420</v>
      </c>
      <c r="E318" s="794"/>
      <c r="F318" s="795">
        <v>0.51</v>
      </c>
      <c r="G318" s="795">
        <v>2.14</v>
      </c>
      <c r="H318" s="796">
        <v>0.80754716981132069</v>
      </c>
    </row>
    <row r="319" spans="1:8">
      <c r="A319" s="792" t="s">
        <v>900</v>
      </c>
      <c r="B319" s="758">
        <v>2.65</v>
      </c>
      <c r="C319" s="770">
        <v>25</v>
      </c>
      <c r="D319" s="799" t="s">
        <v>2420</v>
      </c>
      <c r="E319" s="794"/>
      <c r="F319" s="795">
        <v>0.12</v>
      </c>
      <c r="G319" s="795">
        <v>2.5299999999999998</v>
      </c>
      <c r="H319" s="796">
        <v>0.95471698113207548</v>
      </c>
    </row>
    <row r="320" spans="1:8">
      <c r="A320" s="792" t="s">
        <v>2289</v>
      </c>
      <c r="B320" s="758">
        <v>2.65</v>
      </c>
      <c r="C320" s="770">
        <v>2</v>
      </c>
      <c r="D320" s="799" t="s">
        <v>2420</v>
      </c>
      <c r="E320" s="794"/>
      <c r="F320" s="795">
        <v>0.52</v>
      </c>
      <c r="G320" s="795">
        <v>2.13</v>
      </c>
      <c r="H320" s="796">
        <v>0.80377358490566031</v>
      </c>
    </row>
    <row r="321" spans="1:8">
      <c r="A321" s="792" t="s">
        <v>2256</v>
      </c>
      <c r="B321" s="758">
        <v>2.8</v>
      </c>
      <c r="C321" s="770">
        <v>26</v>
      </c>
      <c r="D321" s="799" t="s">
        <v>2420</v>
      </c>
      <c r="E321" s="794"/>
      <c r="F321" s="795">
        <v>0.63</v>
      </c>
      <c r="G321" s="795">
        <v>2.17</v>
      </c>
      <c r="H321" s="797">
        <v>0.77500000000000002</v>
      </c>
    </row>
    <row r="322" spans="1:8">
      <c r="A322" s="792" t="s">
        <v>1065</v>
      </c>
      <c r="B322" s="758">
        <v>2.9</v>
      </c>
      <c r="C322" s="770">
        <v>64</v>
      </c>
      <c r="D322" s="799" t="s">
        <v>2420</v>
      </c>
      <c r="E322" s="794"/>
      <c r="F322" s="795">
        <v>0.5</v>
      </c>
      <c r="G322" s="795">
        <v>2.4</v>
      </c>
      <c r="H322" s="796">
        <v>0.82758620689655171</v>
      </c>
    </row>
    <row r="323" spans="1:8">
      <c r="A323" s="74"/>
      <c r="B323" s="74"/>
      <c r="C323" s="74"/>
      <c r="D323" s="74"/>
      <c r="E323" s="800" t="s">
        <v>2455</v>
      </c>
      <c r="F323" s="74"/>
      <c r="G323" s="74"/>
      <c r="H323" s="74"/>
    </row>
    <row r="325" spans="1:8">
      <c r="A325" s="1214" t="s">
        <v>2456</v>
      </c>
      <c r="B325" s="1140"/>
      <c r="C325" s="1140"/>
      <c r="D325" s="1140"/>
      <c r="E325" s="1140"/>
      <c r="F325" s="1140"/>
      <c r="G325" s="74"/>
      <c r="H325" s="74"/>
    </row>
    <row r="326" spans="1:8">
      <c r="A326" s="791" t="s">
        <v>240</v>
      </c>
      <c r="B326" s="791" t="s">
        <v>2414</v>
      </c>
      <c r="C326" s="791" t="s">
        <v>356</v>
      </c>
      <c r="D326" s="791" t="s">
        <v>2415</v>
      </c>
      <c r="E326" s="791" t="s">
        <v>2416</v>
      </c>
      <c r="F326" s="791" t="s">
        <v>2350</v>
      </c>
      <c r="G326" s="791" t="s">
        <v>358</v>
      </c>
      <c r="H326" s="791" t="s">
        <v>1501</v>
      </c>
    </row>
    <row r="327" spans="1:8">
      <c r="A327" s="792" t="s">
        <v>257</v>
      </c>
      <c r="B327" s="758">
        <v>1.4</v>
      </c>
      <c r="C327" s="770">
        <v>1093</v>
      </c>
      <c r="D327" s="793" t="s">
        <v>2417</v>
      </c>
      <c r="E327" s="794"/>
      <c r="F327" s="795">
        <v>0.25</v>
      </c>
      <c r="G327" s="795">
        <v>1.1499999999999999</v>
      </c>
      <c r="H327" s="796">
        <v>0.8214285714285714</v>
      </c>
    </row>
    <row r="328" spans="1:8">
      <c r="A328" s="792" t="s">
        <v>260</v>
      </c>
      <c r="B328" s="758">
        <v>1.4</v>
      </c>
      <c r="C328" s="770">
        <v>760</v>
      </c>
      <c r="D328" s="793" t="s">
        <v>2417</v>
      </c>
      <c r="E328" s="794"/>
      <c r="F328" s="795">
        <v>0.25</v>
      </c>
      <c r="G328" s="795">
        <v>1.1499999999999999</v>
      </c>
      <c r="H328" s="796">
        <v>0.8214285714285714</v>
      </c>
    </row>
    <row r="329" spans="1:8">
      <c r="A329" s="792" t="s">
        <v>1671</v>
      </c>
      <c r="B329" s="758">
        <v>1.4</v>
      </c>
      <c r="C329" s="770">
        <v>39</v>
      </c>
      <c r="D329" s="793" t="s">
        <v>2417</v>
      </c>
      <c r="E329" s="794"/>
      <c r="F329" s="795">
        <v>0</v>
      </c>
      <c r="G329" s="795">
        <v>1.4</v>
      </c>
      <c r="H329" s="801">
        <v>1</v>
      </c>
    </row>
    <row r="330" spans="1:8">
      <c r="A330" s="792" t="s">
        <v>248</v>
      </c>
      <c r="B330" s="758">
        <v>1.5</v>
      </c>
      <c r="C330" s="770">
        <v>2509</v>
      </c>
      <c r="D330" s="793" t="s">
        <v>2417</v>
      </c>
      <c r="E330" s="794"/>
      <c r="F330" s="795">
        <v>0.16</v>
      </c>
      <c r="G330" s="795">
        <v>1.34</v>
      </c>
      <c r="H330" s="796">
        <v>0.89333333333333342</v>
      </c>
    </row>
    <row r="331" spans="1:8">
      <c r="A331" s="792" t="s">
        <v>1912</v>
      </c>
      <c r="B331" s="758">
        <v>1.65</v>
      </c>
      <c r="C331" s="770">
        <v>16</v>
      </c>
      <c r="D331" s="793" t="s">
        <v>2417</v>
      </c>
      <c r="E331" s="794"/>
      <c r="F331" s="795">
        <v>0.26</v>
      </c>
      <c r="G331" s="795">
        <v>1.39</v>
      </c>
      <c r="H331" s="796">
        <v>0.84242424242424241</v>
      </c>
    </row>
    <row r="332" spans="1:8">
      <c r="A332" s="792" t="s">
        <v>246</v>
      </c>
      <c r="B332" s="758">
        <v>1.7</v>
      </c>
      <c r="C332" s="770">
        <v>3841</v>
      </c>
      <c r="D332" s="793" t="s">
        <v>2417</v>
      </c>
      <c r="E332" s="794"/>
      <c r="F332" s="795">
        <v>0.19</v>
      </c>
      <c r="G332" s="795">
        <v>1.51</v>
      </c>
      <c r="H332" s="796">
        <v>0.88823529411764712</v>
      </c>
    </row>
    <row r="333" spans="1:8">
      <c r="A333" s="792" t="s">
        <v>1239</v>
      </c>
      <c r="B333" s="758">
        <v>1.7</v>
      </c>
      <c r="C333" s="770">
        <v>74</v>
      </c>
      <c r="D333" s="793" t="s">
        <v>2417</v>
      </c>
      <c r="E333" s="794"/>
      <c r="F333" s="795">
        <v>0.26</v>
      </c>
      <c r="G333" s="795">
        <v>1.44</v>
      </c>
      <c r="H333" s="796">
        <v>0.84705882352941175</v>
      </c>
    </row>
    <row r="334" spans="1:8">
      <c r="A334" s="792" t="s">
        <v>919</v>
      </c>
      <c r="B334" s="758">
        <v>1.7</v>
      </c>
      <c r="C334" s="770">
        <v>43</v>
      </c>
      <c r="D334" s="793" t="s">
        <v>2417</v>
      </c>
      <c r="E334" s="794"/>
      <c r="F334" s="795">
        <v>0</v>
      </c>
      <c r="G334" s="795">
        <v>1.7</v>
      </c>
      <c r="H334" s="801">
        <v>1</v>
      </c>
    </row>
    <row r="335" spans="1:8">
      <c r="A335" s="792" t="s">
        <v>2321</v>
      </c>
      <c r="B335" s="758">
        <v>1.7</v>
      </c>
      <c r="C335" s="770">
        <v>16</v>
      </c>
      <c r="D335" s="793" t="s">
        <v>2417</v>
      </c>
      <c r="E335" s="794"/>
      <c r="F335" s="795">
        <v>0.19</v>
      </c>
      <c r="G335" s="795">
        <v>1.51</v>
      </c>
      <c r="H335" s="796">
        <v>0.88823529411764712</v>
      </c>
    </row>
    <row r="336" spans="1:8">
      <c r="A336" s="792" t="s">
        <v>2272</v>
      </c>
      <c r="B336" s="758">
        <v>1.7</v>
      </c>
      <c r="C336" s="770">
        <v>8</v>
      </c>
      <c r="D336" s="793" t="s">
        <v>2417</v>
      </c>
      <c r="E336" s="794"/>
      <c r="F336" s="795">
        <v>0.19</v>
      </c>
      <c r="G336" s="795">
        <v>1.51</v>
      </c>
      <c r="H336" s="796">
        <v>0.88823529411764712</v>
      </c>
    </row>
    <row r="337" spans="1:8">
      <c r="A337" s="792" t="s">
        <v>902</v>
      </c>
      <c r="B337" s="758">
        <v>1.95</v>
      </c>
      <c r="C337" s="770">
        <v>291</v>
      </c>
      <c r="D337" s="793" t="s">
        <v>2417</v>
      </c>
      <c r="E337" s="794"/>
      <c r="F337" s="795">
        <v>0.31</v>
      </c>
      <c r="G337" s="795">
        <v>1.64</v>
      </c>
      <c r="H337" s="796">
        <v>0.84102564102564104</v>
      </c>
    </row>
    <row r="338" spans="1:8">
      <c r="A338" s="792" t="s">
        <v>717</v>
      </c>
      <c r="B338" s="758">
        <v>2.0499999999999998</v>
      </c>
      <c r="C338" s="770">
        <v>13</v>
      </c>
      <c r="D338" s="793" t="s">
        <v>2417</v>
      </c>
      <c r="E338" s="794"/>
      <c r="F338" s="795">
        <v>0.51</v>
      </c>
      <c r="G338" s="795">
        <v>1.54</v>
      </c>
      <c r="H338" s="797">
        <v>0.75121951219512195</v>
      </c>
    </row>
    <row r="339" spans="1:8">
      <c r="A339" s="792" t="s">
        <v>938</v>
      </c>
      <c r="B339" s="758">
        <v>2.25</v>
      </c>
      <c r="C339" s="770">
        <v>29</v>
      </c>
      <c r="D339" s="793" t="s">
        <v>2417</v>
      </c>
      <c r="E339" s="794"/>
      <c r="F339" s="795">
        <v>0.28999999999999998</v>
      </c>
      <c r="G339" s="795">
        <v>1.96</v>
      </c>
      <c r="H339" s="796">
        <v>0.87111111111111106</v>
      </c>
    </row>
    <row r="340" spans="1:8">
      <c r="A340" s="792" t="s">
        <v>855</v>
      </c>
      <c r="B340" s="758">
        <v>2.5499999999999998</v>
      </c>
      <c r="C340" s="770">
        <v>248</v>
      </c>
      <c r="D340" s="793" t="s">
        <v>2417</v>
      </c>
      <c r="E340" s="794"/>
      <c r="F340" s="795">
        <v>0.32</v>
      </c>
      <c r="G340" s="795">
        <v>2.23</v>
      </c>
      <c r="H340" s="796">
        <v>0.87450980392156863</v>
      </c>
    </row>
    <row r="341" spans="1:8">
      <c r="A341" s="792" t="s">
        <v>710</v>
      </c>
      <c r="B341" s="758">
        <v>2.65</v>
      </c>
      <c r="C341" s="770">
        <v>81</v>
      </c>
      <c r="D341" s="793" t="s">
        <v>2417</v>
      </c>
      <c r="E341" s="794"/>
      <c r="F341" s="795">
        <v>0.74</v>
      </c>
      <c r="G341" s="795">
        <v>1.91</v>
      </c>
      <c r="H341" s="797">
        <v>0.72075471698113203</v>
      </c>
    </row>
    <row r="342" spans="1:8">
      <c r="A342" s="74"/>
      <c r="B342" s="74"/>
      <c r="C342" s="74"/>
      <c r="D342" s="74"/>
      <c r="E342" s="800" t="s">
        <v>2457</v>
      </c>
      <c r="F342" s="74"/>
      <c r="G342" s="74"/>
      <c r="H342" s="74"/>
    </row>
  </sheetData>
  <mergeCells count="23">
    <mergeCell ref="A1:L1"/>
    <mergeCell ref="A325:F325"/>
    <mergeCell ref="A146:F146"/>
    <mergeCell ref="A26:D26"/>
    <mergeCell ref="A88:F88"/>
    <mergeCell ref="A237:F237"/>
    <mergeCell ref="A256:F256"/>
    <mergeCell ref="A69:F69"/>
    <mergeCell ref="A99:F99"/>
    <mergeCell ref="A50:F50"/>
    <mergeCell ref="A3:L3"/>
    <mergeCell ref="A306:F306"/>
    <mergeCell ref="A2:L2"/>
    <mergeCell ref="A203:F203"/>
    <mergeCell ref="A218:F218"/>
    <mergeCell ref="A184:F184"/>
    <mergeCell ref="A165:F165"/>
    <mergeCell ref="A115:F115"/>
    <mergeCell ref="A295:F295"/>
    <mergeCell ref="A127:F127"/>
    <mergeCell ref="A48:F48"/>
    <mergeCell ref="A275:F275"/>
    <mergeCell ref="A284:F28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6600"/>
  </sheetPr>
  <dimension ref="A1:T234"/>
  <sheetViews>
    <sheetView topLeftCell="C82" zoomScale="150" workbookViewId="0"/>
  </sheetViews>
  <sheetFormatPr baseColWidth="10" defaultColWidth="11.5" defaultRowHeight="15" outlineLevelCol="1"/>
  <cols>
    <col min="1" max="1" width="5" customWidth="1"/>
    <col min="2" max="2" width="30" customWidth="1"/>
    <col min="3" max="3" width="20" customWidth="1"/>
    <col min="4" max="4" width="8.33203125" customWidth="1"/>
    <col min="8" max="8" width="11.6640625" customWidth="1"/>
    <col min="9" max="10" width="13.33203125" customWidth="1"/>
    <col min="11" max="11" width="16.6640625" customWidth="1"/>
    <col min="13" max="13" width="0" hidden="1" outlineLevel="1"/>
    <col min="14" max="20" width="10.83203125" customWidth="1" outlineLevel="1"/>
  </cols>
  <sheetData>
    <row r="1" spans="1:20" ht="21" customHeight="1">
      <c r="A1" s="762" t="s">
        <v>2458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</row>
    <row r="2" spans="1:20">
      <c r="A2" s="803" t="s">
        <v>2459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</row>
    <row r="4" spans="1:20">
      <c r="A4" s="341" t="s">
        <v>2460</v>
      </c>
      <c r="B4" s="341" t="s">
        <v>242</v>
      </c>
      <c r="C4" s="341" t="s">
        <v>2461</v>
      </c>
      <c r="D4" s="341" t="s">
        <v>351</v>
      </c>
      <c r="E4" s="341" t="s">
        <v>352</v>
      </c>
      <c r="F4" s="341" t="s">
        <v>2462</v>
      </c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</row>
    <row r="5" spans="1:20" ht="16" customHeight="1">
      <c r="A5" s="342">
        <f>COUNTIF('Product Mix'!D6:D205,"&gt;0")</f>
        <v>142</v>
      </c>
      <c r="B5" s="342">
        <f>'Product Mix'!D206</f>
        <v>1826</v>
      </c>
      <c r="C5" s="343">
        <f>'Product Mix'!K206</f>
        <v>6081.0900000000038</v>
      </c>
      <c r="D5" s="343">
        <f>IF(B5=0,0,C5/B5)</f>
        <v>3.3302792990142409</v>
      </c>
      <c r="E5" s="344">
        <f>IF(A5=0,0,(1/A5)*0.7)</f>
        <v>4.9295774647887319E-3</v>
      </c>
      <c r="F5" s="344">
        <f>E5</f>
        <v>4.9295774647887319E-3</v>
      </c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</row>
    <row r="7" spans="1:20">
      <c r="A7" s="804" t="s">
        <v>239</v>
      </c>
      <c r="B7" s="804" t="s">
        <v>240</v>
      </c>
      <c r="C7" s="804" t="s">
        <v>241</v>
      </c>
      <c r="D7" s="804" t="s">
        <v>1497</v>
      </c>
      <c r="E7" s="804" t="s">
        <v>2414</v>
      </c>
      <c r="F7" s="804" t="s">
        <v>2350</v>
      </c>
      <c r="G7" s="804" t="s">
        <v>2338</v>
      </c>
      <c r="H7" s="804" t="s">
        <v>244</v>
      </c>
      <c r="I7" s="804" t="s">
        <v>2463</v>
      </c>
      <c r="J7" s="804" t="s">
        <v>2464</v>
      </c>
      <c r="K7" s="804" t="s">
        <v>2465</v>
      </c>
      <c r="L7" s="74"/>
      <c r="M7" s="805" t="s">
        <v>2466</v>
      </c>
      <c r="N7" s="805" t="s">
        <v>2467</v>
      </c>
      <c r="O7" s="805" t="s">
        <v>2468</v>
      </c>
      <c r="P7" s="805" t="s">
        <v>2469</v>
      </c>
      <c r="Q7" s="805" t="s">
        <v>2470</v>
      </c>
      <c r="R7" s="805" t="s">
        <v>2471</v>
      </c>
      <c r="S7" s="805" t="s">
        <v>2472</v>
      </c>
      <c r="T7" s="805" t="s">
        <v>2473</v>
      </c>
    </row>
    <row r="8" spans="1:20">
      <c r="A8" s="74">
        <f>'Product Mix'!A6</f>
        <v>1</v>
      </c>
      <c r="B8" s="74" t="str">
        <f>'Product Mix'!B6</f>
        <v>Cafe amb llet</v>
      </c>
      <c r="C8" s="74" t="str">
        <f>'Product Mix'!C6</f>
        <v>Cafe</v>
      </c>
      <c r="D8" s="770">
        <f>'Product Mix'!D6</f>
        <v>118</v>
      </c>
      <c r="E8" s="771">
        <f>'Product Mix'!H6</f>
        <v>1.7220338983050847</v>
      </c>
      <c r="F8" s="771">
        <f>'Product Mix'!J6</f>
        <v>0.19</v>
      </c>
      <c r="G8" s="771">
        <f>'Product Mix'!O6</f>
        <v>1.5320338983050845</v>
      </c>
      <c r="H8" s="759">
        <f>'Product Mix'!F6</f>
        <v>6.4622124863088715E-2</v>
      </c>
      <c r="I8" s="74" t="str">
        <f t="shared" ref="I8:I39" si="0">IF(D8=0,"-",IF(H8&gt;=$E$5,"ALTA","BAJA"))</f>
        <v>ALTA</v>
      </c>
      <c r="J8" s="74" t="str">
        <f t="shared" ref="J8:J39" si="1">IF(D8=0,"-",IF(G8&gt;=$D$5,"ALTA","BAJA"))</f>
        <v>BAJA</v>
      </c>
      <c r="K8" s="74" t="str">
        <f t="shared" ref="K8:K39" si="2">IF(D8=0,"-",IF(AND(I8="ALTA",J8="ALTA"),"⭐ Estrella",IF(AND(I8="ALTA",J8="BAJA"),"🐎 Caballo",IF(AND(I8="BAJA",J8="ALTA"),"🧩 Puzzle","🐶 Perro"))))</f>
        <v>🐎 Caballo</v>
      </c>
      <c r="L8" s="74"/>
      <c r="M8" s="74" t="e">
        <f t="shared" ref="M8:M39" si="3">IF(ISNUMBER(SEARCH("Estrella",K8)),G8,NA())</f>
        <v>#N/A</v>
      </c>
      <c r="N8" s="74" t="e">
        <f t="shared" ref="N8:N39" si="4">IF(ISNUMBER(SEARCH("Estrella",K8)),H8,NA())</f>
        <v>#N/A</v>
      </c>
      <c r="O8" s="74">
        <f t="shared" ref="O8:O39" si="5">IF(ISNUMBER(SEARCH("Caballo",K8)),G8,NA())</f>
        <v>1.5320338983050845</v>
      </c>
      <c r="P8" s="74">
        <f t="shared" ref="P8:P39" si="6">IF(ISNUMBER(SEARCH("Caballo",K8)),H8,NA())</f>
        <v>6.4622124863088715E-2</v>
      </c>
      <c r="Q8" s="74" t="e">
        <f t="shared" ref="Q8:Q39" si="7">IF(ISNUMBER(SEARCH("Puzzle",K8)),G8,NA())</f>
        <v>#N/A</v>
      </c>
      <c r="R8" s="74" t="e">
        <f t="shared" ref="R8:R39" si="8">IF(ISNUMBER(SEARCH("Puzzle",K8)),H8,NA())</f>
        <v>#N/A</v>
      </c>
      <c r="S8" s="74" t="e">
        <f t="shared" ref="S8:S39" si="9">IF(ISNUMBER(SEARCH("Perro",K8)),G8,NA())</f>
        <v>#N/A</v>
      </c>
      <c r="T8" s="74" t="e">
        <f t="shared" ref="T8:T39" si="10">IF(ISNUMBER(SEARCH("Perro",K8)),H8,NA())</f>
        <v>#N/A</v>
      </c>
    </row>
    <row r="9" spans="1:20">
      <c r="A9" s="74">
        <f>'Product Mix'!A7</f>
        <v>2</v>
      </c>
      <c r="B9" s="74" t="str">
        <f>'Product Mix'!B7</f>
        <v>Tallat</v>
      </c>
      <c r="C9" s="74" t="str">
        <f>'Product Mix'!C7</f>
        <v>Café</v>
      </c>
      <c r="D9" s="770">
        <f>'Product Mix'!D7</f>
        <v>96</v>
      </c>
      <c r="E9" s="771">
        <f>'Product Mix'!H7</f>
        <v>1.4797916666666666</v>
      </c>
      <c r="F9" s="771">
        <f>'Product Mix'!J7</f>
        <v>0.16</v>
      </c>
      <c r="G9" s="771">
        <f>'Product Mix'!O7</f>
        <v>1.3197916666666667</v>
      </c>
      <c r="H9" s="759">
        <f>'Product Mix'!F7</f>
        <v>5.257393209200438E-2</v>
      </c>
      <c r="I9" s="74" t="str">
        <f t="shared" si="0"/>
        <v>ALTA</v>
      </c>
      <c r="J9" s="74" t="str">
        <f t="shared" si="1"/>
        <v>BAJA</v>
      </c>
      <c r="K9" s="74" t="str">
        <f t="shared" si="2"/>
        <v>🐎 Caballo</v>
      </c>
      <c r="L9" s="74"/>
      <c r="M9" s="74" t="e">
        <f t="shared" si="3"/>
        <v>#N/A</v>
      </c>
      <c r="N9" s="74" t="e">
        <f t="shared" si="4"/>
        <v>#N/A</v>
      </c>
      <c r="O9" s="74">
        <f t="shared" si="5"/>
        <v>1.3197916666666667</v>
      </c>
      <c r="P9" s="74">
        <f t="shared" si="6"/>
        <v>5.257393209200438E-2</v>
      </c>
      <c r="Q9" s="74" t="e">
        <f t="shared" si="7"/>
        <v>#N/A</v>
      </c>
      <c r="R9" s="74" t="e">
        <f t="shared" si="8"/>
        <v>#N/A</v>
      </c>
      <c r="S9" s="74" t="e">
        <f t="shared" si="9"/>
        <v>#N/A</v>
      </c>
      <c r="T9" s="74" t="e">
        <f t="shared" si="10"/>
        <v>#N/A</v>
      </c>
    </row>
    <row r="10" spans="1:20">
      <c r="A10" s="74">
        <f>'Product Mix'!A8</f>
        <v>3</v>
      </c>
      <c r="B10" s="74" t="str">
        <f>'Product Mix'!B8</f>
        <v>Aigua Vidre</v>
      </c>
      <c r="C10" s="74" t="str">
        <f>'Product Mix'!C8</f>
        <v>Refrescos</v>
      </c>
      <c r="D10" s="770">
        <f>'Product Mix'!D8</f>
        <v>53</v>
      </c>
      <c r="E10" s="771">
        <f>'Product Mix'!H8</f>
        <v>1.7184905660377359</v>
      </c>
      <c r="F10" s="771">
        <f>'Product Mix'!J8</f>
        <v>0.05</v>
      </c>
      <c r="G10" s="771">
        <f>'Product Mix'!O8</f>
        <v>1.6684905660377356</v>
      </c>
      <c r="H10" s="759">
        <f>'Product Mix'!F8</f>
        <v>2.9025191675794086E-2</v>
      </c>
      <c r="I10" s="74" t="str">
        <f t="shared" si="0"/>
        <v>ALTA</v>
      </c>
      <c r="J10" s="74" t="str">
        <f t="shared" si="1"/>
        <v>BAJA</v>
      </c>
      <c r="K10" s="74" t="str">
        <f t="shared" si="2"/>
        <v>🐎 Caballo</v>
      </c>
      <c r="L10" s="74"/>
      <c r="M10" s="74" t="e">
        <f t="shared" si="3"/>
        <v>#N/A</v>
      </c>
      <c r="N10" s="74" t="e">
        <f t="shared" si="4"/>
        <v>#N/A</v>
      </c>
      <c r="O10" s="74">
        <f t="shared" si="5"/>
        <v>1.6684905660377356</v>
      </c>
      <c r="P10" s="74">
        <f t="shared" si="6"/>
        <v>2.9025191675794086E-2</v>
      </c>
      <c r="Q10" s="74" t="e">
        <f t="shared" si="7"/>
        <v>#N/A</v>
      </c>
      <c r="R10" s="74" t="e">
        <f t="shared" si="8"/>
        <v>#N/A</v>
      </c>
      <c r="S10" s="74" t="e">
        <f t="shared" si="9"/>
        <v>#N/A</v>
      </c>
      <c r="T10" s="74" t="e">
        <f t="shared" si="10"/>
        <v>#N/A</v>
      </c>
    </row>
    <row r="11" spans="1:20">
      <c r="A11" s="74">
        <f>'Product Mix'!A9</f>
        <v>4</v>
      </c>
      <c r="B11" s="74" t="str">
        <f>'Product Mix'!B9</f>
        <v>Alhambra C:Copa</v>
      </c>
      <c r="C11" s="74" t="str">
        <f>'Product Mix'!C9</f>
        <v>Cervezas</v>
      </c>
      <c r="D11" s="770">
        <f>'Product Mix'!D9</f>
        <v>130</v>
      </c>
      <c r="E11" s="771">
        <f>'Product Mix'!H9</f>
        <v>2.5392307692307696</v>
      </c>
      <c r="F11" s="771">
        <f>'Product Mix'!J9</f>
        <v>1.06</v>
      </c>
      <c r="G11" s="771">
        <f>'Product Mix'!O9</f>
        <v>1.4792307692307693</v>
      </c>
      <c r="H11" s="759">
        <f>'Product Mix'!F9</f>
        <v>7.1193866374589271E-2</v>
      </c>
      <c r="I11" s="74" t="str">
        <f t="shared" si="0"/>
        <v>ALTA</v>
      </c>
      <c r="J11" s="74" t="str">
        <f t="shared" si="1"/>
        <v>BAJA</v>
      </c>
      <c r="K11" s="74" t="str">
        <f t="shared" si="2"/>
        <v>🐎 Caballo</v>
      </c>
      <c r="L11" s="74"/>
      <c r="M11" s="74" t="e">
        <f t="shared" si="3"/>
        <v>#N/A</v>
      </c>
      <c r="N11" s="74" t="e">
        <f t="shared" si="4"/>
        <v>#N/A</v>
      </c>
      <c r="O11" s="74">
        <f t="shared" si="5"/>
        <v>1.4792307692307693</v>
      </c>
      <c r="P11" s="74">
        <f t="shared" si="6"/>
        <v>7.1193866374589271E-2</v>
      </c>
      <c r="Q11" s="74" t="e">
        <f t="shared" si="7"/>
        <v>#N/A</v>
      </c>
      <c r="R11" s="74" t="e">
        <f t="shared" si="8"/>
        <v>#N/A</v>
      </c>
      <c r="S11" s="74" t="e">
        <f t="shared" si="9"/>
        <v>#N/A</v>
      </c>
      <c r="T11" s="74" t="e">
        <f t="shared" si="10"/>
        <v>#N/A</v>
      </c>
    </row>
    <row r="12" spans="1:20">
      <c r="A12" s="74">
        <f>'Product Mix'!A10</f>
        <v>5</v>
      </c>
      <c r="B12" s="74" t="str">
        <f>'Product Mix'!B10</f>
        <v>Menu</v>
      </c>
      <c r="C12" s="74" t="str">
        <f>'Product Mix'!C10</f>
        <v>Menu</v>
      </c>
      <c r="D12" s="770">
        <f>'Product Mix'!D10</f>
        <v>6</v>
      </c>
      <c r="E12" s="771">
        <f>'Product Mix'!H10</f>
        <v>13.996666666666668</v>
      </c>
      <c r="F12" s="771">
        <f>'Product Mix'!J10</f>
        <v>0</v>
      </c>
      <c r="G12" s="771">
        <f>'Product Mix'!O10</f>
        <v>13.996666666666668</v>
      </c>
      <c r="H12" s="759">
        <f>'Product Mix'!F10</f>
        <v>3.2858707557502738E-3</v>
      </c>
      <c r="I12" s="74" t="str">
        <f t="shared" si="0"/>
        <v>BAJA</v>
      </c>
      <c r="J12" s="74" t="str">
        <f t="shared" si="1"/>
        <v>ALTA</v>
      </c>
      <c r="K12" s="74" t="str">
        <f t="shared" si="2"/>
        <v>🧩 Puzzle</v>
      </c>
      <c r="L12" s="74"/>
      <c r="M12" s="74" t="e">
        <f t="shared" si="3"/>
        <v>#N/A</v>
      </c>
      <c r="N12" s="74" t="e">
        <f t="shared" si="4"/>
        <v>#N/A</v>
      </c>
      <c r="O12" s="74" t="e">
        <f t="shared" si="5"/>
        <v>#N/A</v>
      </c>
      <c r="P12" s="74" t="e">
        <f t="shared" si="6"/>
        <v>#N/A</v>
      </c>
      <c r="Q12" s="74">
        <f t="shared" si="7"/>
        <v>13.996666666666668</v>
      </c>
      <c r="R12" s="74">
        <f t="shared" si="8"/>
        <v>3.2858707557502738E-3</v>
      </c>
      <c r="S12" s="74" t="e">
        <f t="shared" si="9"/>
        <v>#N/A</v>
      </c>
      <c r="T12" s="74" t="e">
        <f t="shared" si="10"/>
        <v>#N/A</v>
      </c>
    </row>
    <row r="13" spans="1:20">
      <c r="A13" s="74">
        <f>'Product Mix'!A11</f>
        <v>6</v>
      </c>
      <c r="B13" s="74" t="str">
        <f>'Product Mix'!B11</f>
        <v>Patates Braves</v>
      </c>
      <c r="C13" s="74" t="str">
        <f>'Product Mix'!C11</f>
        <v>Tapas Calientes</v>
      </c>
      <c r="D13" s="770">
        <f>'Product Mix'!D11</f>
        <v>73</v>
      </c>
      <c r="E13" s="771">
        <f>'Product Mix'!H11</f>
        <v>5.4458904109589046</v>
      </c>
      <c r="F13" s="771">
        <f>'Product Mix'!J11</f>
        <v>0.96</v>
      </c>
      <c r="G13" s="771">
        <f>'Product Mix'!O11</f>
        <v>4.4858904109589046</v>
      </c>
      <c r="H13" s="759">
        <f>'Product Mix'!F11</f>
        <v>3.9978094194961664E-2</v>
      </c>
      <c r="I13" s="74" t="str">
        <f t="shared" si="0"/>
        <v>ALTA</v>
      </c>
      <c r="J13" s="74" t="str">
        <f t="shared" si="1"/>
        <v>ALTA</v>
      </c>
      <c r="K13" s="74" t="str">
        <f t="shared" si="2"/>
        <v>⭐ Estrella</v>
      </c>
      <c r="L13" s="74"/>
      <c r="M13" s="74">
        <f t="shared" si="3"/>
        <v>4.4858904109589046</v>
      </c>
      <c r="N13" s="74">
        <f t="shared" si="4"/>
        <v>3.9978094194961664E-2</v>
      </c>
      <c r="O13" s="74" t="e">
        <f t="shared" si="5"/>
        <v>#N/A</v>
      </c>
      <c r="P13" s="74" t="e">
        <f t="shared" si="6"/>
        <v>#N/A</v>
      </c>
      <c r="Q13" s="74" t="e">
        <f t="shared" si="7"/>
        <v>#N/A</v>
      </c>
      <c r="R13" s="74" t="e">
        <f t="shared" si="8"/>
        <v>#N/A</v>
      </c>
      <c r="S13" s="74" t="e">
        <f t="shared" si="9"/>
        <v>#N/A</v>
      </c>
      <c r="T13" s="74" t="e">
        <f t="shared" si="10"/>
        <v>#N/A</v>
      </c>
    </row>
    <row r="14" spans="1:20">
      <c r="A14" s="74">
        <f>'Product Mix'!A12</f>
        <v>7</v>
      </c>
      <c r="B14" s="74" t="str">
        <f>'Product Mix'!B12</f>
        <v>Cafe Sol</v>
      </c>
      <c r="C14" s="74" t="str">
        <f>'Product Mix'!C12</f>
        <v>Menu Postres</v>
      </c>
      <c r="D14" s="770">
        <f>'Product Mix'!D12</f>
        <v>50</v>
      </c>
      <c r="E14" s="771">
        <f>'Product Mix'!H12</f>
        <v>1.4990000000000001</v>
      </c>
      <c r="F14" s="771">
        <f>'Product Mix'!J12</f>
        <v>0.25</v>
      </c>
      <c r="G14" s="771">
        <f>'Product Mix'!O12</f>
        <v>1.2490000000000001</v>
      </c>
      <c r="H14" s="759">
        <f>'Product Mix'!F12</f>
        <v>2.7382256297918947E-2</v>
      </c>
      <c r="I14" s="74" t="str">
        <f t="shared" si="0"/>
        <v>ALTA</v>
      </c>
      <c r="J14" s="74" t="str">
        <f t="shared" si="1"/>
        <v>BAJA</v>
      </c>
      <c r="K14" s="74" t="str">
        <f t="shared" si="2"/>
        <v>🐎 Caballo</v>
      </c>
      <c r="L14" s="74"/>
      <c r="M14" s="74" t="e">
        <f t="shared" si="3"/>
        <v>#N/A</v>
      </c>
      <c r="N14" s="74" t="e">
        <f t="shared" si="4"/>
        <v>#N/A</v>
      </c>
      <c r="O14" s="74">
        <f t="shared" si="5"/>
        <v>1.2490000000000001</v>
      </c>
      <c r="P14" s="74">
        <f t="shared" si="6"/>
        <v>2.7382256297918947E-2</v>
      </c>
      <c r="Q14" s="74" t="e">
        <f t="shared" si="7"/>
        <v>#N/A</v>
      </c>
      <c r="R14" s="74" t="e">
        <f t="shared" si="8"/>
        <v>#N/A</v>
      </c>
      <c r="S14" s="74" t="e">
        <f t="shared" si="9"/>
        <v>#N/A</v>
      </c>
      <c r="T14" s="74" t="e">
        <f t="shared" si="10"/>
        <v>#N/A</v>
      </c>
    </row>
    <row r="15" spans="1:20">
      <c r="A15" s="74">
        <f>'Product Mix'!A13</f>
        <v>8</v>
      </c>
      <c r="B15" s="74" t="str">
        <f>'Product Mix'!B13</f>
        <v>Cafè amb llet</v>
      </c>
      <c r="C15" s="74" t="str">
        <f>'Product Mix'!C13</f>
        <v>Café</v>
      </c>
      <c r="D15" s="770">
        <f>'Product Mix'!D13</f>
        <v>44</v>
      </c>
      <c r="E15" s="771">
        <f>'Product Mix'!H13</f>
        <v>1.4906818181818182</v>
      </c>
      <c r="F15" s="771">
        <f>'Product Mix'!J13</f>
        <v>0.19</v>
      </c>
      <c r="G15" s="771">
        <f>'Product Mix'!O13</f>
        <v>1.3006818181818183</v>
      </c>
      <c r="H15" s="759">
        <f>'Product Mix'!F13</f>
        <v>2.4096385542168676E-2</v>
      </c>
      <c r="I15" s="74" t="str">
        <f t="shared" si="0"/>
        <v>ALTA</v>
      </c>
      <c r="J15" s="74" t="str">
        <f t="shared" si="1"/>
        <v>BAJA</v>
      </c>
      <c r="K15" s="74" t="str">
        <f t="shared" si="2"/>
        <v>🐎 Caballo</v>
      </c>
      <c r="L15" s="74"/>
      <c r="M15" s="74" t="e">
        <f t="shared" si="3"/>
        <v>#N/A</v>
      </c>
      <c r="N15" s="74" t="e">
        <f t="shared" si="4"/>
        <v>#N/A</v>
      </c>
      <c r="O15" s="74">
        <f t="shared" si="5"/>
        <v>1.3006818181818183</v>
      </c>
      <c r="P15" s="74">
        <f t="shared" si="6"/>
        <v>2.4096385542168676E-2</v>
      </c>
      <c r="Q15" s="74" t="e">
        <f t="shared" si="7"/>
        <v>#N/A</v>
      </c>
      <c r="R15" s="74" t="e">
        <f t="shared" si="8"/>
        <v>#N/A</v>
      </c>
      <c r="S15" s="74" t="e">
        <f t="shared" si="9"/>
        <v>#N/A</v>
      </c>
      <c r="T15" s="74" t="e">
        <f t="shared" si="10"/>
        <v>#N/A</v>
      </c>
    </row>
    <row r="16" spans="1:20">
      <c r="A16" s="74">
        <f>'Product Mix'!A14</f>
        <v>9</v>
      </c>
      <c r="B16" s="74" t="str">
        <f>'Product Mix'!B14</f>
        <v>Cafe sol</v>
      </c>
      <c r="C16" s="74" t="str">
        <f>'Product Mix'!C14</f>
        <v>Cafe</v>
      </c>
      <c r="D16" s="770">
        <f>'Product Mix'!D14</f>
        <v>50</v>
      </c>
      <c r="E16" s="771">
        <f>'Product Mix'!H14</f>
        <v>1.4990000000000001</v>
      </c>
      <c r="F16" s="771">
        <f>'Product Mix'!J14</f>
        <v>0.25</v>
      </c>
      <c r="G16" s="771">
        <f>'Product Mix'!O14</f>
        <v>1.2490000000000001</v>
      </c>
      <c r="H16" s="759">
        <f>'Product Mix'!F14</f>
        <v>2.7382256297918947E-2</v>
      </c>
      <c r="I16" s="74" t="str">
        <f t="shared" si="0"/>
        <v>ALTA</v>
      </c>
      <c r="J16" s="74" t="str">
        <f t="shared" si="1"/>
        <v>BAJA</v>
      </c>
      <c r="K16" s="74" t="str">
        <f t="shared" si="2"/>
        <v>🐎 Caballo</v>
      </c>
      <c r="L16" s="74"/>
      <c r="M16" s="74" t="e">
        <f t="shared" si="3"/>
        <v>#N/A</v>
      </c>
      <c r="N16" s="74" t="e">
        <f t="shared" si="4"/>
        <v>#N/A</v>
      </c>
      <c r="O16" s="74">
        <f t="shared" si="5"/>
        <v>1.2490000000000001</v>
      </c>
      <c r="P16" s="74">
        <f t="shared" si="6"/>
        <v>2.7382256297918947E-2</v>
      </c>
      <c r="Q16" s="74" t="e">
        <f t="shared" si="7"/>
        <v>#N/A</v>
      </c>
      <c r="R16" s="74" t="e">
        <f t="shared" si="8"/>
        <v>#N/A</v>
      </c>
      <c r="S16" s="74" t="e">
        <f t="shared" si="9"/>
        <v>#N/A</v>
      </c>
      <c r="T16" s="74" t="e">
        <f t="shared" si="10"/>
        <v>#N/A</v>
      </c>
    </row>
    <row r="17" spans="1:20">
      <c r="A17" s="74">
        <f>'Product Mix'!A15</f>
        <v>10</v>
      </c>
      <c r="B17" s="74" t="str">
        <f>'Product Mix'!B15</f>
        <v>Croquetes de l'àvia</v>
      </c>
      <c r="C17" s="74" t="str">
        <f>'Product Mix'!C15</f>
        <v>Tapas Calientes</v>
      </c>
      <c r="D17" s="770">
        <f>'Product Mix'!D15</f>
        <v>45</v>
      </c>
      <c r="E17" s="771">
        <f>'Product Mix'!H15</f>
        <v>2.1666666666666665</v>
      </c>
      <c r="F17" s="771">
        <f>'Product Mix'!J15</f>
        <v>1.42</v>
      </c>
      <c r="G17" s="771">
        <f>'Product Mix'!O15</f>
        <v>0.7466666666666667</v>
      </c>
      <c r="H17" s="759">
        <f>'Product Mix'!F15</f>
        <v>2.4644030668127054E-2</v>
      </c>
      <c r="I17" s="74" t="str">
        <f t="shared" si="0"/>
        <v>ALTA</v>
      </c>
      <c r="J17" s="74" t="str">
        <f t="shared" si="1"/>
        <v>BAJA</v>
      </c>
      <c r="K17" s="74" t="str">
        <f t="shared" si="2"/>
        <v>🐎 Caballo</v>
      </c>
      <c r="L17" s="74"/>
      <c r="M17" s="74" t="e">
        <f t="shared" si="3"/>
        <v>#N/A</v>
      </c>
      <c r="N17" s="74" t="e">
        <f t="shared" si="4"/>
        <v>#N/A</v>
      </c>
      <c r="O17" s="74">
        <f t="shared" si="5"/>
        <v>0.7466666666666667</v>
      </c>
      <c r="P17" s="74">
        <f t="shared" si="6"/>
        <v>2.4644030668127054E-2</v>
      </c>
      <c r="Q17" s="74" t="e">
        <f t="shared" si="7"/>
        <v>#N/A</v>
      </c>
      <c r="R17" s="74" t="e">
        <f t="shared" si="8"/>
        <v>#N/A</v>
      </c>
      <c r="S17" s="74" t="e">
        <f t="shared" si="9"/>
        <v>#N/A</v>
      </c>
      <c r="T17" s="74" t="e">
        <f t="shared" si="10"/>
        <v>#N/A</v>
      </c>
    </row>
    <row r="18" spans="1:20">
      <c r="A18" s="74">
        <f>'Product Mix'!A16</f>
        <v>11</v>
      </c>
      <c r="B18" s="74" t="str">
        <f>'Product Mix'!B16</f>
        <v>Calamars a l'andalusa</v>
      </c>
      <c r="C18" s="74" t="str">
        <f>'Product Mix'!C16</f>
        <v>Tapas Calientes</v>
      </c>
      <c r="D18" s="770">
        <f>'Product Mix'!D16</f>
        <v>29</v>
      </c>
      <c r="E18" s="771">
        <f>'Product Mix'!H16</f>
        <v>11.251724137931035</v>
      </c>
      <c r="F18" s="771">
        <f>'Product Mix'!J16</f>
        <v>2.69</v>
      </c>
      <c r="G18" s="771">
        <f>'Product Mix'!O16</f>
        <v>8.5617241379310354</v>
      </c>
      <c r="H18" s="759">
        <f>'Product Mix'!F16</f>
        <v>1.5881708652792991E-2</v>
      </c>
      <c r="I18" s="74" t="str">
        <f t="shared" si="0"/>
        <v>ALTA</v>
      </c>
      <c r="J18" s="74" t="str">
        <f t="shared" si="1"/>
        <v>ALTA</v>
      </c>
      <c r="K18" s="74" t="str">
        <f t="shared" si="2"/>
        <v>⭐ Estrella</v>
      </c>
      <c r="L18" s="74"/>
      <c r="M18" s="74">
        <f t="shared" si="3"/>
        <v>8.5617241379310354</v>
      </c>
      <c r="N18" s="74">
        <f t="shared" si="4"/>
        <v>1.5881708652792991E-2</v>
      </c>
      <c r="O18" s="74" t="e">
        <f t="shared" si="5"/>
        <v>#N/A</v>
      </c>
      <c r="P18" s="74" t="e">
        <f t="shared" si="6"/>
        <v>#N/A</v>
      </c>
      <c r="Q18" s="74" t="e">
        <f t="shared" si="7"/>
        <v>#N/A</v>
      </c>
      <c r="R18" s="74" t="e">
        <f t="shared" si="8"/>
        <v>#N/A</v>
      </c>
      <c r="S18" s="74" t="e">
        <f t="shared" si="9"/>
        <v>#N/A</v>
      </c>
      <c r="T18" s="74" t="e">
        <f t="shared" si="10"/>
        <v>#N/A</v>
      </c>
    </row>
    <row r="19" spans="1:20">
      <c r="A19" s="74">
        <f>'Product Mix'!A17</f>
        <v>12</v>
      </c>
      <c r="B19" s="74" t="str">
        <f>'Product Mix'!B17</f>
        <v>Pa cristal·lí</v>
      </c>
      <c r="C19" s="74" t="str">
        <f>'Product Mix'!C17</f>
        <v>Suplementos</v>
      </c>
      <c r="D19" s="770">
        <f>'Product Mix'!D17</f>
        <v>0</v>
      </c>
      <c r="E19" s="771">
        <f>'Product Mix'!H17</f>
        <v>0</v>
      </c>
      <c r="F19" s="771">
        <f>'Product Mix'!J17</f>
        <v>1.06</v>
      </c>
      <c r="G19" s="771">
        <f>'Product Mix'!O17</f>
        <v>0</v>
      </c>
      <c r="H19" s="759">
        <f>'Product Mix'!F17</f>
        <v>0</v>
      </c>
      <c r="I19" s="74" t="str">
        <f t="shared" si="0"/>
        <v>-</v>
      </c>
      <c r="J19" s="74" t="str">
        <f t="shared" si="1"/>
        <v>-</v>
      </c>
      <c r="K19" s="74" t="str">
        <f t="shared" si="2"/>
        <v>-</v>
      </c>
      <c r="L19" s="74"/>
      <c r="M19" s="74" t="e">
        <f t="shared" si="3"/>
        <v>#N/A</v>
      </c>
      <c r="N19" s="74" t="e">
        <f t="shared" si="4"/>
        <v>#N/A</v>
      </c>
      <c r="O19" s="74" t="e">
        <f t="shared" si="5"/>
        <v>#N/A</v>
      </c>
      <c r="P19" s="74" t="e">
        <f t="shared" si="6"/>
        <v>#N/A</v>
      </c>
      <c r="Q19" s="74" t="e">
        <f t="shared" si="7"/>
        <v>#N/A</v>
      </c>
      <c r="R19" s="74" t="e">
        <f t="shared" si="8"/>
        <v>#N/A</v>
      </c>
      <c r="S19" s="74" t="e">
        <f t="shared" si="9"/>
        <v>#N/A</v>
      </c>
      <c r="T19" s="74" t="e">
        <f t="shared" si="10"/>
        <v>#N/A</v>
      </c>
    </row>
    <row r="20" spans="1:20">
      <c r="A20" s="74">
        <f>'Product Mix'!A18</f>
        <v>13</v>
      </c>
      <c r="B20" s="74" t="str">
        <f>'Product Mix'!B18</f>
        <v>Cocacola</v>
      </c>
      <c r="C20" s="74" t="str">
        <f>'Product Mix'!C18</f>
        <v>Menu Bebidas</v>
      </c>
      <c r="D20" s="770">
        <f>'Product Mix'!D18</f>
        <v>14</v>
      </c>
      <c r="E20" s="771">
        <f>'Product Mix'!H18</f>
        <v>2.6321428571428571</v>
      </c>
      <c r="F20" s="771">
        <f>'Product Mix'!J18</f>
        <v>0.53</v>
      </c>
      <c r="G20" s="771">
        <f>'Product Mix'!O18</f>
        <v>2.1021428571428573</v>
      </c>
      <c r="H20" s="759">
        <f>'Product Mix'!F18</f>
        <v>7.6670317634173054E-3</v>
      </c>
      <c r="I20" s="74" t="str">
        <f t="shared" si="0"/>
        <v>ALTA</v>
      </c>
      <c r="J20" s="74" t="str">
        <f t="shared" si="1"/>
        <v>BAJA</v>
      </c>
      <c r="K20" s="74" t="str">
        <f t="shared" si="2"/>
        <v>🐎 Caballo</v>
      </c>
      <c r="L20" s="74"/>
      <c r="M20" s="74" t="e">
        <f t="shared" si="3"/>
        <v>#N/A</v>
      </c>
      <c r="N20" s="74" t="e">
        <f t="shared" si="4"/>
        <v>#N/A</v>
      </c>
      <c r="O20" s="74">
        <f t="shared" si="5"/>
        <v>2.1021428571428573</v>
      </c>
      <c r="P20" s="74">
        <f t="shared" si="6"/>
        <v>7.6670317634173054E-3</v>
      </c>
      <c r="Q20" s="74" t="e">
        <f t="shared" si="7"/>
        <v>#N/A</v>
      </c>
      <c r="R20" s="74" t="e">
        <f t="shared" si="8"/>
        <v>#N/A</v>
      </c>
      <c r="S20" s="74" t="e">
        <f t="shared" si="9"/>
        <v>#N/A</v>
      </c>
      <c r="T20" s="74" t="e">
        <f t="shared" si="10"/>
        <v>#N/A</v>
      </c>
    </row>
    <row r="21" spans="1:20">
      <c r="A21" s="74">
        <f>'Product Mix'!A19</f>
        <v>14</v>
      </c>
      <c r="B21" s="74" t="str">
        <f>'Product Mix'!B19</f>
        <v>Croisant</v>
      </c>
      <c r="C21" s="74" t="str">
        <f>'Product Mix'!C19</f>
        <v>Bolleria</v>
      </c>
      <c r="D21" s="770">
        <f>'Product Mix'!D19</f>
        <v>18</v>
      </c>
      <c r="E21" s="771">
        <f>'Product Mix'!H19</f>
        <v>1.5</v>
      </c>
      <c r="F21" s="771">
        <f>'Product Mix'!J19</f>
        <v>0.25</v>
      </c>
      <c r="G21" s="771">
        <f>'Product Mix'!O19</f>
        <v>1.25</v>
      </c>
      <c r="H21" s="759">
        <f>'Product Mix'!F19</f>
        <v>9.8576122672508221E-3</v>
      </c>
      <c r="I21" s="74" t="str">
        <f t="shared" si="0"/>
        <v>ALTA</v>
      </c>
      <c r="J21" s="74" t="str">
        <f t="shared" si="1"/>
        <v>BAJA</v>
      </c>
      <c r="K21" s="74" t="str">
        <f t="shared" si="2"/>
        <v>🐎 Caballo</v>
      </c>
      <c r="L21" s="74"/>
      <c r="M21" s="74" t="e">
        <f t="shared" si="3"/>
        <v>#N/A</v>
      </c>
      <c r="N21" s="74" t="e">
        <f t="shared" si="4"/>
        <v>#N/A</v>
      </c>
      <c r="O21" s="74">
        <f t="shared" si="5"/>
        <v>1.25</v>
      </c>
      <c r="P21" s="74">
        <f t="shared" si="6"/>
        <v>9.8576122672508221E-3</v>
      </c>
      <c r="Q21" s="74" t="e">
        <f t="shared" si="7"/>
        <v>#N/A</v>
      </c>
      <c r="R21" s="74" t="e">
        <f t="shared" si="8"/>
        <v>#N/A</v>
      </c>
      <c r="S21" s="74" t="e">
        <f t="shared" si="9"/>
        <v>#N/A</v>
      </c>
      <c r="T21" s="74" t="e">
        <f t="shared" si="10"/>
        <v>#N/A</v>
      </c>
    </row>
    <row r="22" spans="1:20">
      <c r="A22" s="74">
        <f>'Product Mix'!A20</f>
        <v>15</v>
      </c>
      <c r="B22" s="74" t="str">
        <f>'Product Mix'!B20</f>
        <v>Gel</v>
      </c>
      <c r="C22" s="74" t="str">
        <f>'Product Mix'!C20</f>
        <v>Suplementos</v>
      </c>
      <c r="D22" s="770">
        <f>'Product Mix'!D20</f>
        <v>6</v>
      </c>
      <c r="E22" s="771">
        <f>'Product Mix'!H20</f>
        <v>9.9999999999999992E-2</v>
      </c>
      <c r="F22" s="771">
        <f>'Product Mix'!J20</f>
        <v>0</v>
      </c>
      <c r="G22" s="771">
        <f>'Product Mix'!O20</f>
        <v>9.9999999999999992E-2</v>
      </c>
      <c r="H22" s="759">
        <f>'Product Mix'!F20</f>
        <v>3.2858707557502738E-3</v>
      </c>
      <c r="I22" s="74" t="str">
        <f t="shared" si="0"/>
        <v>BAJA</v>
      </c>
      <c r="J22" s="74" t="str">
        <f t="shared" si="1"/>
        <v>BAJA</v>
      </c>
      <c r="K22" s="74" t="str">
        <f t="shared" si="2"/>
        <v>🐶 Perro</v>
      </c>
      <c r="L22" s="74"/>
      <c r="M22" s="74" t="e">
        <f t="shared" si="3"/>
        <v>#N/A</v>
      </c>
      <c r="N22" s="74" t="e">
        <f t="shared" si="4"/>
        <v>#N/A</v>
      </c>
      <c r="O22" s="74" t="e">
        <f t="shared" si="5"/>
        <v>#N/A</v>
      </c>
      <c r="P22" s="74" t="e">
        <f t="shared" si="6"/>
        <v>#N/A</v>
      </c>
      <c r="Q22" s="74" t="e">
        <f t="shared" si="7"/>
        <v>#N/A</v>
      </c>
      <c r="R22" s="74" t="e">
        <f t="shared" si="8"/>
        <v>#N/A</v>
      </c>
      <c r="S22" s="74">
        <f t="shared" si="9"/>
        <v>9.9999999999999992E-2</v>
      </c>
      <c r="T22" s="74">
        <f t="shared" si="10"/>
        <v>3.2858707557502738E-3</v>
      </c>
    </row>
    <row r="23" spans="1:20">
      <c r="A23" s="74">
        <f>'Product Mix'!A21</f>
        <v>16</v>
      </c>
      <c r="B23" s="74" t="str">
        <f>'Product Mix'!B21</f>
        <v>Cocacola Zero</v>
      </c>
      <c r="C23" s="74" t="str">
        <f>'Product Mix'!C21</f>
        <v>Menu Bebidas</v>
      </c>
      <c r="D23" s="770">
        <f>'Product Mix'!D21</f>
        <v>42</v>
      </c>
      <c r="E23" s="771">
        <f>'Product Mix'!H21</f>
        <v>2.5211904761904762</v>
      </c>
      <c r="F23" s="771">
        <f>'Product Mix'!J21</f>
        <v>0.53</v>
      </c>
      <c r="G23" s="771">
        <f>'Product Mix'!O21</f>
        <v>1.9911904761904762</v>
      </c>
      <c r="H23" s="759">
        <f>'Product Mix'!F21</f>
        <v>2.3001095290251915E-2</v>
      </c>
      <c r="I23" s="74" t="str">
        <f t="shared" si="0"/>
        <v>ALTA</v>
      </c>
      <c r="J23" s="74" t="str">
        <f t="shared" si="1"/>
        <v>BAJA</v>
      </c>
      <c r="K23" s="74" t="str">
        <f t="shared" si="2"/>
        <v>🐎 Caballo</v>
      </c>
      <c r="L23" s="74"/>
      <c r="M23" s="74" t="e">
        <f t="shared" si="3"/>
        <v>#N/A</v>
      </c>
      <c r="N23" s="74" t="e">
        <f t="shared" si="4"/>
        <v>#N/A</v>
      </c>
      <c r="O23" s="74">
        <f t="shared" si="5"/>
        <v>1.9911904761904762</v>
      </c>
      <c r="P23" s="74">
        <f t="shared" si="6"/>
        <v>2.3001095290251915E-2</v>
      </c>
      <c r="Q23" s="74" t="e">
        <f t="shared" si="7"/>
        <v>#N/A</v>
      </c>
      <c r="R23" s="74" t="e">
        <f t="shared" si="8"/>
        <v>#N/A</v>
      </c>
      <c r="S23" s="74" t="e">
        <f t="shared" si="9"/>
        <v>#N/A</v>
      </c>
      <c r="T23" s="74" t="e">
        <f t="shared" si="10"/>
        <v>#N/A</v>
      </c>
    </row>
    <row r="24" spans="1:20">
      <c r="A24" s="74">
        <f>'Product Mix'!A22</f>
        <v>17</v>
      </c>
      <c r="B24" s="74" t="str">
        <f>'Product Mix'!B22</f>
        <v>Crusantet</v>
      </c>
      <c r="C24" s="74" t="str">
        <f>'Product Mix'!C22</f>
        <v>Bolleria</v>
      </c>
      <c r="D24" s="770">
        <f>'Product Mix'!D22</f>
        <v>21</v>
      </c>
      <c r="E24" s="771">
        <f>'Product Mix'!H22</f>
        <v>0.6</v>
      </c>
      <c r="F24" s="771">
        <f>'Product Mix'!J22</f>
        <v>0.13</v>
      </c>
      <c r="G24" s="771">
        <f>'Product Mix'!O22</f>
        <v>0.47</v>
      </c>
      <c r="H24" s="759">
        <f>'Product Mix'!F22</f>
        <v>1.1500547645125958E-2</v>
      </c>
      <c r="I24" s="74" t="str">
        <f t="shared" si="0"/>
        <v>ALTA</v>
      </c>
      <c r="J24" s="74" t="str">
        <f t="shared" si="1"/>
        <v>BAJA</v>
      </c>
      <c r="K24" s="74" t="str">
        <f t="shared" si="2"/>
        <v>🐎 Caballo</v>
      </c>
      <c r="L24" s="74"/>
      <c r="M24" s="74" t="e">
        <f t="shared" si="3"/>
        <v>#N/A</v>
      </c>
      <c r="N24" s="74" t="e">
        <f t="shared" si="4"/>
        <v>#N/A</v>
      </c>
      <c r="O24" s="74">
        <f t="shared" si="5"/>
        <v>0.47</v>
      </c>
      <c r="P24" s="74">
        <f t="shared" si="6"/>
        <v>1.1500547645125958E-2</v>
      </c>
      <c r="Q24" s="74" t="e">
        <f t="shared" si="7"/>
        <v>#N/A</v>
      </c>
      <c r="R24" s="74" t="e">
        <f t="shared" si="8"/>
        <v>#N/A</v>
      </c>
      <c r="S24" s="74" t="e">
        <f t="shared" si="9"/>
        <v>#N/A</v>
      </c>
      <c r="T24" s="74" t="e">
        <f t="shared" si="10"/>
        <v>#N/A</v>
      </c>
    </row>
    <row r="25" spans="1:20">
      <c r="A25" s="74">
        <f>'Product Mix'!A23</f>
        <v>18</v>
      </c>
      <c r="B25" s="74" t="str">
        <f>'Product Mix'!B23</f>
        <v>Fingers de pollastre</v>
      </c>
      <c r="C25" s="74" t="str">
        <f>'Product Mix'!C23</f>
        <v>Tapas Calientes</v>
      </c>
      <c r="D25" s="770">
        <f>'Product Mix'!D23</f>
        <v>32</v>
      </c>
      <c r="E25" s="771">
        <f>'Product Mix'!H23</f>
        <v>9.6421875000000004</v>
      </c>
      <c r="F25" s="771">
        <f>'Product Mix'!J23</f>
        <v>2.34</v>
      </c>
      <c r="G25" s="771">
        <f>'Product Mix'!O23</f>
        <v>7.3021875000000005</v>
      </c>
      <c r="H25" s="759">
        <f>'Product Mix'!F23</f>
        <v>1.7524644030668127E-2</v>
      </c>
      <c r="I25" s="74" t="str">
        <f t="shared" si="0"/>
        <v>ALTA</v>
      </c>
      <c r="J25" s="74" t="str">
        <f t="shared" si="1"/>
        <v>ALTA</v>
      </c>
      <c r="K25" s="74" t="str">
        <f t="shared" si="2"/>
        <v>⭐ Estrella</v>
      </c>
      <c r="L25" s="74"/>
      <c r="M25" s="74">
        <f t="shared" si="3"/>
        <v>7.3021875000000005</v>
      </c>
      <c r="N25" s="74">
        <f t="shared" si="4"/>
        <v>1.7524644030668127E-2</v>
      </c>
      <c r="O25" s="74" t="e">
        <f t="shared" si="5"/>
        <v>#N/A</v>
      </c>
      <c r="P25" s="74" t="e">
        <f t="shared" si="6"/>
        <v>#N/A</v>
      </c>
      <c r="Q25" s="74" t="e">
        <f t="shared" si="7"/>
        <v>#N/A</v>
      </c>
      <c r="R25" s="74" t="e">
        <f t="shared" si="8"/>
        <v>#N/A</v>
      </c>
      <c r="S25" s="74" t="e">
        <f t="shared" si="9"/>
        <v>#N/A</v>
      </c>
      <c r="T25" s="74" t="e">
        <f t="shared" si="10"/>
        <v>#N/A</v>
      </c>
    </row>
    <row r="26" spans="1:20">
      <c r="A26" s="74">
        <f>'Product Mix'!A24</f>
        <v>19</v>
      </c>
      <c r="B26" s="74" t="str">
        <f>'Product Mix'!B24</f>
        <v>Mahou 0,0</v>
      </c>
      <c r="C26" s="74" t="str">
        <f>'Product Mix'!C24</f>
        <v>Cervezas</v>
      </c>
      <c r="D26" s="770">
        <f>'Product Mix'!D24</f>
        <v>25</v>
      </c>
      <c r="E26" s="771">
        <f>'Product Mix'!H24</f>
        <v>2.8212000000000002</v>
      </c>
      <c r="F26" s="771">
        <f>'Product Mix'!J24</f>
        <v>0.92</v>
      </c>
      <c r="G26" s="771">
        <f>'Product Mix'!O24</f>
        <v>1.9012</v>
      </c>
      <c r="H26" s="759">
        <f>'Product Mix'!F24</f>
        <v>1.3691128148959474E-2</v>
      </c>
      <c r="I26" s="74" t="str">
        <f t="shared" si="0"/>
        <v>ALTA</v>
      </c>
      <c r="J26" s="74" t="str">
        <f t="shared" si="1"/>
        <v>BAJA</v>
      </c>
      <c r="K26" s="74" t="str">
        <f t="shared" si="2"/>
        <v>🐎 Caballo</v>
      </c>
      <c r="L26" s="74"/>
      <c r="M26" s="74" t="e">
        <f t="shared" si="3"/>
        <v>#N/A</v>
      </c>
      <c r="N26" s="74" t="e">
        <f t="shared" si="4"/>
        <v>#N/A</v>
      </c>
      <c r="O26" s="74">
        <f t="shared" si="5"/>
        <v>1.9012</v>
      </c>
      <c r="P26" s="74">
        <f t="shared" si="6"/>
        <v>1.3691128148959474E-2</v>
      </c>
      <c r="Q26" s="74" t="e">
        <f t="shared" si="7"/>
        <v>#N/A</v>
      </c>
      <c r="R26" s="74" t="e">
        <f t="shared" si="8"/>
        <v>#N/A</v>
      </c>
      <c r="S26" s="74" t="e">
        <f t="shared" si="9"/>
        <v>#N/A</v>
      </c>
      <c r="T26" s="74" t="e">
        <f t="shared" si="10"/>
        <v>#N/A</v>
      </c>
    </row>
    <row r="27" spans="1:20">
      <c r="A27" s="74">
        <f>'Product Mix'!A25</f>
        <v>20</v>
      </c>
      <c r="B27" s="74" t="str">
        <f>'Product Mix'!B25</f>
        <v>Bomba</v>
      </c>
      <c r="C27" s="74" t="str">
        <f>'Product Mix'!C25</f>
        <v>Tapas Calientes</v>
      </c>
      <c r="D27" s="770">
        <f>'Product Mix'!D25</f>
        <v>0</v>
      </c>
      <c r="E27" s="771">
        <f>'Product Mix'!H25</f>
        <v>0</v>
      </c>
      <c r="F27" s="771">
        <f>'Product Mix'!J25</f>
        <v>1.25</v>
      </c>
      <c r="G27" s="771">
        <f>'Product Mix'!O25</f>
        <v>0</v>
      </c>
      <c r="H27" s="759">
        <f>'Product Mix'!F25</f>
        <v>0</v>
      </c>
      <c r="I27" s="74" t="str">
        <f t="shared" si="0"/>
        <v>-</v>
      </c>
      <c r="J27" s="74" t="str">
        <f t="shared" si="1"/>
        <v>-</v>
      </c>
      <c r="K27" s="74" t="str">
        <f t="shared" si="2"/>
        <v>-</v>
      </c>
      <c r="L27" s="74"/>
      <c r="M27" s="74" t="e">
        <f t="shared" si="3"/>
        <v>#N/A</v>
      </c>
      <c r="N27" s="74" t="e">
        <f t="shared" si="4"/>
        <v>#N/A</v>
      </c>
      <c r="O27" s="74" t="e">
        <f t="shared" si="5"/>
        <v>#N/A</v>
      </c>
      <c r="P27" s="74" t="e">
        <f t="shared" si="6"/>
        <v>#N/A</v>
      </c>
      <c r="Q27" s="74" t="e">
        <f t="shared" si="7"/>
        <v>#N/A</v>
      </c>
      <c r="R27" s="74" t="e">
        <f t="shared" si="8"/>
        <v>#N/A</v>
      </c>
      <c r="S27" s="74" t="e">
        <f t="shared" si="9"/>
        <v>#N/A</v>
      </c>
      <c r="T27" s="74" t="e">
        <f t="shared" si="10"/>
        <v>#N/A</v>
      </c>
    </row>
    <row r="28" spans="1:20">
      <c r="A28" s="74">
        <f>'Product Mix'!A26</f>
        <v>21</v>
      </c>
      <c r="B28" s="74" t="str">
        <f>'Product Mix'!B26</f>
        <v>Aigua Gas</v>
      </c>
      <c r="C28" s="74" t="str">
        <f>'Product Mix'!C26</f>
        <v>Refrescos</v>
      </c>
      <c r="D28" s="770">
        <f>'Product Mix'!D26</f>
        <v>16</v>
      </c>
      <c r="E28" s="771">
        <f>'Product Mix'!H26</f>
        <v>1.9043749999999999</v>
      </c>
      <c r="F28" s="771">
        <f>'Product Mix'!J26</f>
        <v>0.11</v>
      </c>
      <c r="G28" s="771">
        <f>'Product Mix'!O26</f>
        <v>1.7943749999999998</v>
      </c>
      <c r="H28" s="759">
        <f>'Product Mix'!F26</f>
        <v>8.7623220153340634E-3</v>
      </c>
      <c r="I28" s="74" t="str">
        <f t="shared" si="0"/>
        <v>ALTA</v>
      </c>
      <c r="J28" s="74" t="str">
        <f t="shared" si="1"/>
        <v>BAJA</v>
      </c>
      <c r="K28" s="74" t="str">
        <f t="shared" si="2"/>
        <v>🐎 Caballo</v>
      </c>
      <c r="L28" s="74"/>
      <c r="M28" s="74" t="e">
        <f t="shared" si="3"/>
        <v>#N/A</v>
      </c>
      <c r="N28" s="74" t="e">
        <f t="shared" si="4"/>
        <v>#N/A</v>
      </c>
      <c r="O28" s="74">
        <f t="shared" si="5"/>
        <v>1.7943749999999998</v>
      </c>
      <c r="P28" s="74">
        <f t="shared" si="6"/>
        <v>8.7623220153340634E-3</v>
      </c>
      <c r="Q28" s="74" t="e">
        <f t="shared" si="7"/>
        <v>#N/A</v>
      </c>
      <c r="R28" s="74" t="e">
        <f t="shared" si="8"/>
        <v>#N/A</v>
      </c>
      <c r="S28" s="74" t="e">
        <f t="shared" si="9"/>
        <v>#N/A</v>
      </c>
      <c r="T28" s="74" t="e">
        <f t="shared" si="10"/>
        <v>#N/A</v>
      </c>
    </row>
    <row r="29" spans="1:20">
      <c r="A29" s="74">
        <f>'Product Mix'!A27</f>
        <v>22</v>
      </c>
      <c r="B29" s="74" t="str">
        <f>'Product Mix'!B27</f>
        <v>Morro fregit</v>
      </c>
      <c r="C29" s="74" t="str">
        <f>'Product Mix'!C27</f>
        <v>Tapas Calientes</v>
      </c>
      <c r="D29" s="770">
        <f>'Product Mix'!D27</f>
        <v>24</v>
      </c>
      <c r="E29" s="771">
        <f>'Product Mix'!H27</f>
        <v>6.2358333333333329</v>
      </c>
      <c r="F29" s="771">
        <f>'Product Mix'!J27</f>
        <v>1.56</v>
      </c>
      <c r="G29" s="771">
        <f>'Product Mix'!O27</f>
        <v>4.6758333333333333</v>
      </c>
      <c r="H29" s="759">
        <f>'Product Mix'!F27</f>
        <v>1.3143483023001095E-2</v>
      </c>
      <c r="I29" s="74" t="str">
        <f t="shared" si="0"/>
        <v>ALTA</v>
      </c>
      <c r="J29" s="74" t="str">
        <f t="shared" si="1"/>
        <v>ALTA</v>
      </c>
      <c r="K29" s="74" t="str">
        <f t="shared" si="2"/>
        <v>⭐ Estrella</v>
      </c>
      <c r="L29" s="74"/>
      <c r="M29" s="74">
        <f t="shared" si="3"/>
        <v>4.6758333333333333</v>
      </c>
      <c r="N29" s="74">
        <f t="shared" si="4"/>
        <v>1.3143483023001095E-2</v>
      </c>
      <c r="O29" s="74" t="e">
        <f t="shared" si="5"/>
        <v>#N/A</v>
      </c>
      <c r="P29" s="74" t="e">
        <f t="shared" si="6"/>
        <v>#N/A</v>
      </c>
      <c r="Q29" s="74" t="e">
        <f t="shared" si="7"/>
        <v>#N/A</v>
      </c>
      <c r="R29" s="74" t="e">
        <f t="shared" si="8"/>
        <v>#N/A</v>
      </c>
      <c r="S29" s="74" t="e">
        <f t="shared" si="9"/>
        <v>#N/A</v>
      </c>
      <c r="T29" s="74" t="e">
        <f t="shared" si="10"/>
        <v>#N/A</v>
      </c>
    </row>
    <row r="30" spans="1:20">
      <c r="A30" s="74">
        <f>'Product Mix'!A28</f>
        <v>23</v>
      </c>
      <c r="B30" s="74" t="str">
        <f>'Product Mix'!B28</f>
        <v>1925 Verda</v>
      </c>
      <c r="C30" s="74" t="str">
        <f>'Product Mix'!C28</f>
        <v>Cervezas</v>
      </c>
      <c r="D30" s="770">
        <f>'Product Mix'!D28</f>
        <v>16</v>
      </c>
      <c r="E30" s="771">
        <f>'Product Mix'!H28</f>
        <v>2.9156249999999999</v>
      </c>
      <c r="F30" s="771">
        <f>'Product Mix'!J28</f>
        <v>0.57999999999999996</v>
      </c>
      <c r="G30" s="771">
        <f>'Product Mix'!O28</f>
        <v>2.3356249999999998</v>
      </c>
      <c r="H30" s="759">
        <f>'Product Mix'!F28</f>
        <v>8.7623220153340634E-3</v>
      </c>
      <c r="I30" s="74" t="str">
        <f t="shared" si="0"/>
        <v>ALTA</v>
      </c>
      <c r="J30" s="74" t="str">
        <f t="shared" si="1"/>
        <v>BAJA</v>
      </c>
      <c r="K30" s="74" t="str">
        <f t="shared" si="2"/>
        <v>🐎 Caballo</v>
      </c>
      <c r="L30" s="74"/>
      <c r="M30" s="74" t="e">
        <f t="shared" si="3"/>
        <v>#N/A</v>
      </c>
      <c r="N30" s="74" t="e">
        <f t="shared" si="4"/>
        <v>#N/A</v>
      </c>
      <c r="O30" s="74">
        <f t="shared" si="5"/>
        <v>2.3356249999999998</v>
      </c>
      <c r="P30" s="74">
        <f t="shared" si="6"/>
        <v>8.7623220153340634E-3</v>
      </c>
      <c r="Q30" s="74" t="e">
        <f t="shared" si="7"/>
        <v>#N/A</v>
      </c>
      <c r="R30" s="74" t="e">
        <f t="shared" si="8"/>
        <v>#N/A</v>
      </c>
      <c r="S30" s="74" t="e">
        <f t="shared" si="9"/>
        <v>#N/A</v>
      </c>
      <c r="T30" s="74" t="e">
        <f t="shared" si="10"/>
        <v>#N/A</v>
      </c>
    </row>
    <row r="31" spans="1:20">
      <c r="A31" s="74">
        <f>'Product Mix'!A29</f>
        <v>24</v>
      </c>
      <c r="B31" s="74" t="str">
        <f>'Product Mix'!B29</f>
        <v>Cibada</v>
      </c>
      <c r="C31" s="74" t="str">
        <f>'Product Mix'!C29</f>
        <v>Opciones</v>
      </c>
      <c r="D31" s="770">
        <f>'Product Mix'!D29</f>
        <v>22</v>
      </c>
      <c r="E31" s="771">
        <f>'Product Mix'!H29</f>
        <v>0.05</v>
      </c>
      <c r="F31" s="771">
        <f>'Product Mix'!J29</f>
        <v>0</v>
      </c>
      <c r="G31" s="771">
        <f>'Product Mix'!O29</f>
        <v>0.05</v>
      </c>
      <c r="H31" s="759">
        <f>'Product Mix'!F29</f>
        <v>1.2048192771084338E-2</v>
      </c>
      <c r="I31" s="74" t="str">
        <f t="shared" si="0"/>
        <v>ALTA</v>
      </c>
      <c r="J31" s="74" t="str">
        <f t="shared" si="1"/>
        <v>BAJA</v>
      </c>
      <c r="K31" s="74" t="str">
        <f t="shared" si="2"/>
        <v>🐎 Caballo</v>
      </c>
      <c r="L31" s="74"/>
      <c r="M31" s="74" t="e">
        <f t="shared" si="3"/>
        <v>#N/A</v>
      </c>
      <c r="N31" s="74" t="e">
        <f t="shared" si="4"/>
        <v>#N/A</v>
      </c>
      <c r="O31" s="74">
        <f t="shared" si="5"/>
        <v>0.05</v>
      </c>
      <c r="P31" s="74">
        <f t="shared" si="6"/>
        <v>1.2048192771084338E-2</v>
      </c>
      <c r="Q31" s="74" t="e">
        <f t="shared" si="7"/>
        <v>#N/A</v>
      </c>
      <c r="R31" s="74" t="e">
        <f t="shared" si="8"/>
        <v>#N/A</v>
      </c>
      <c r="S31" s="74" t="e">
        <f t="shared" si="9"/>
        <v>#N/A</v>
      </c>
      <c r="T31" s="74" t="e">
        <f t="shared" si="10"/>
        <v>#N/A</v>
      </c>
    </row>
    <row r="32" spans="1:20">
      <c r="A32" s="74">
        <f>'Product Mix'!A30</f>
        <v>25</v>
      </c>
      <c r="B32" s="74" t="str">
        <f>'Product Mix'!B30</f>
        <v>Pa coca</v>
      </c>
      <c r="C32" s="74" t="str">
        <f>'Product Mix'!C30</f>
        <v>Suplementos</v>
      </c>
      <c r="D32" s="770">
        <f>'Product Mix'!D30</f>
        <v>0</v>
      </c>
      <c r="E32" s="771">
        <f>'Product Mix'!H30</f>
        <v>0</v>
      </c>
      <c r="F32" s="771">
        <f>'Product Mix'!J30</f>
        <v>0</v>
      </c>
      <c r="G32" s="771">
        <f>'Product Mix'!O30</f>
        <v>0</v>
      </c>
      <c r="H32" s="759">
        <f>'Product Mix'!F30</f>
        <v>0</v>
      </c>
      <c r="I32" s="74" t="str">
        <f t="shared" si="0"/>
        <v>-</v>
      </c>
      <c r="J32" s="74" t="str">
        <f t="shared" si="1"/>
        <v>-</v>
      </c>
      <c r="K32" s="74" t="str">
        <f t="shared" si="2"/>
        <v>-</v>
      </c>
      <c r="L32" s="74"/>
      <c r="M32" s="74" t="e">
        <f t="shared" si="3"/>
        <v>#N/A</v>
      </c>
      <c r="N32" s="74" t="e">
        <f t="shared" si="4"/>
        <v>#N/A</v>
      </c>
      <c r="O32" s="74" t="e">
        <f t="shared" si="5"/>
        <v>#N/A</v>
      </c>
      <c r="P32" s="74" t="e">
        <f t="shared" si="6"/>
        <v>#N/A</v>
      </c>
      <c r="Q32" s="74" t="e">
        <f t="shared" si="7"/>
        <v>#N/A</v>
      </c>
      <c r="R32" s="74" t="e">
        <f t="shared" si="8"/>
        <v>#N/A</v>
      </c>
      <c r="S32" s="74" t="e">
        <f t="shared" si="9"/>
        <v>#N/A</v>
      </c>
      <c r="T32" s="74" t="e">
        <f t="shared" si="10"/>
        <v>#N/A</v>
      </c>
    </row>
    <row r="33" spans="1:20">
      <c r="A33" s="74">
        <f>'Product Mix'!A31</f>
        <v>26</v>
      </c>
      <c r="B33" s="74" t="str">
        <f>'Product Mix'!B31</f>
        <v>Alhambra Copa</v>
      </c>
      <c r="C33" s="74" t="str">
        <f>'Product Mix'!C31</f>
        <v>Cervezas</v>
      </c>
      <c r="D33" s="770">
        <f>'Product Mix'!D31</f>
        <v>0</v>
      </c>
      <c r="E33" s="771">
        <f>'Product Mix'!H31</f>
        <v>0</v>
      </c>
      <c r="F33" s="771">
        <f>'Product Mix'!J31</f>
        <v>0</v>
      </c>
      <c r="G33" s="771">
        <f>'Product Mix'!O31</f>
        <v>0</v>
      </c>
      <c r="H33" s="759">
        <f>'Product Mix'!F31</f>
        <v>0</v>
      </c>
      <c r="I33" s="74" t="str">
        <f t="shared" si="0"/>
        <v>-</v>
      </c>
      <c r="J33" s="74" t="str">
        <f t="shared" si="1"/>
        <v>-</v>
      </c>
      <c r="K33" s="74" t="str">
        <f t="shared" si="2"/>
        <v>-</v>
      </c>
      <c r="L33" s="74"/>
      <c r="M33" s="74" t="e">
        <f t="shared" si="3"/>
        <v>#N/A</v>
      </c>
      <c r="N33" s="74" t="e">
        <f t="shared" si="4"/>
        <v>#N/A</v>
      </c>
      <c r="O33" s="74" t="e">
        <f t="shared" si="5"/>
        <v>#N/A</v>
      </c>
      <c r="P33" s="74" t="e">
        <f t="shared" si="6"/>
        <v>#N/A</v>
      </c>
      <c r="Q33" s="74" t="e">
        <f t="shared" si="7"/>
        <v>#N/A</v>
      </c>
      <c r="R33" s="74" t="e">
        <f t="shared" si="8"/>
        <v>#N/A</v>
      </c>
      <c r="S33" s="74" t="e">
        <f t="shared" si="9"/>
        <v>#N/A</v>
      </c>
      <c r="T33" s="74" t="e">
        <f t="shared" si="10"/>
        <v>#N/A</v>
      </c>
    </row>
    <row r="34" spans="1:20">
      <c r="A34" s="74">
        <f>'Product Mix'!A32</f>
        <v>27</v>
      </c>
      <c r="B34" s="74" t="str">
        <f>'Product Mix'!B32</f>
        <v>Pastís de formatge</v>
      </c>
      <c r="C34" s="74" t="str">
        <f>'Product Mix'!C32</f>
        <v>Postres</v>
      </c>
      <c r="D34" s="770">
        <f>'Product Mix'!D32</f>
        <v>10</v>
      </c>
      <c r="E34" s="771">
        <f>'Product Mix'!H32</f>
        <v>5.3860000000000001</v>
      </c>
      <c r="F34" s="771">
        <f>'Product Mix'!J32</f>
        <v>0.81</v>
      </c>
      <c r="G34" s="771">
        <f>'Product Mix'!O32</f>
        <v>4.5759999999999996</v>
      </c>
      <c r="H34" s="759">
        <f>'Product Mix'!F32</f>
        <v>5.4764512595837896E-3</v>
      </c>
      <c r="I34" s="74" t="str">
        <f t="shared" si="0"/>
        <v>ALTA</v>
      </c>
      <c r="J34" s="74" t="str">
        <f t="shared" si="1"/>
        <v>ALTA</v>
      </c>
      <c r="K34" s="74" t="str">
        <f t="shared" si="2"/>
        <v>⭐ Estrella</v>
      </c>
      <c r="L34" s="74"/>
      <c r="M34" s="74">
        <f t="shared" si="3"/>
        <v>4.5759999999999996</v>
      </c>
      <c r="N34" s="74">
        <f t="shared" si="4"/>
        <v>5.4764512595837896E-3</v>
      </c>
      <c r="O34" s="74" t="e">
        <f t="shared" si="5"/>
        <v>#N/A</v>
      </c>
      <c r="P34" s="74" t="e">
        <f t="shared" si="6"/>
        <v>#N/A</v>
      </c>
      <c r="Q34" s="74" t="e">
        <f t="shared" si="7"/>
        <v>#N/A</v>
      </c>
      <c r="R34" s="74" t="e">
        <f t="shared" si="8"/>
        <v>#N/A</v>
      </c>
      <c r="S34" s="74" t="e">
        <f t="shared" si="9"/>
        <v>#N/A</v>
      </c>
      <c r="T34" s="74" t="e">
        <f t="shared" si="10"/>
        <v>#N/A</v>
      </c>
    </row>
    <row r="35" spans="1:20">
      <c r="A35" s="74">
        <f>'Product Mix'!A33</f>
        <v>28</v>
      </c>
      <c r="B35" s="74" t="str">
        <f>'Product Mix'!B33</f>
        <v>Suc Natural</v>
      </c>
      <c r="C35" s="74" t="str">
        <f>'Product Mix'!C33</f>
        <v>Refrescos</v>
      </c>
      <c r="D35" s="770">
        <f>'Product Mix'!D33</f>
        <v>7</v>
      </c>
      <c r="E35" s="771">
        <f>'Product Mix'!H33</f>
        <v>2.7142857142857144</v>
      </c>
      <c r="F35" s="771">
        <f>'Product Mix'!J33</f>
        <v>0.33</v>
      </c>
      <c r="G35" s="771">
        <f>'Product Mix'!O33</f>
        <v>2.3842857142857143</v>
      </c>
      <c r="H35" s="759">
        <f>'Product Mix'!F33</f>
        <v>3.8335158817086527E-3</v>
      </c>
      <c r="I35" s="74" t="str">
        <f t="shared" si="0"/>
        <v>BAJA</v>
      </c>
      <c r="J35" s="74" t="str">
        <f t="shared" si="1"/>
        <v>BAJA</v>
      </c>
      <c r="K35" s="74" t="str">
        <f t="shared" si="2"/>
        <v>🐶 Perro</v>
      </c>
      <c r="L35" s="74"/>
      <c r="M35" s="74" t="e">
        <f t="shared" si="3"/>
        <v>#N/A</v>
      </c>
      <c r="N35" s="74" t="e">
        <f t="shared" si="4"/>
        <v>#N/A</v>
      </c>
      <c r="O35" s="74" t="e">
        <f t="shared" si="5"/>
        <v>#N/A</v>
      </c>
      <c r="P35" s="74" t="e">
        <f t="shared" si="6"/>
        <v>#N/A</v>
      </c>
      <c r="Q35" s="74" t="e">
        <f t="shared" si="7"/>
        <v>#N/A</v>
      </c>
      <c r="R35" s="74" t="e">
        <f t="shared" si="8"/>
        <v>#N/A</v>
      </c>
      <c r="S35" s="74">
        <f t="shared" si="9"/>
        <v>2.3842857142857143</v>
      </c>
      <c r="T35" s="74">
        <f t="shared" si="10"/>
        <v>3.8335158817086527E-3</v>
      </c>
    </row>
    <row r="36" spans="1:20">
      <c r="A36" s="74">
        <f>'Product Mix'!A34</f>
        <v>29</v>
      </c>
      <c r="B36" s="74" t="str">
        <f>'Product Mix'!B34</f>
        <v>Crousanet Xoco</v>
      </c>
      <c r="C36" s="74" t="str">
        <f>'Product Mix'!C34</f>
        <v>Bolleria</v>
      </c>
      <c r="D36" s="770">
        <f>'Product Mix'!D34</f>
        <v>8</v>
      </c>
      <c r="E36" s="771">
        <f>'Product Mix'!H34</f>
        <v>0.7</v>
      </c>
      <c r="F36" s="771">
        <f>'Product Mix'!J34</f>
        <v>0.12</v>
      </c>
      <c r="G36" s="771">
        <f>'Product Mix'!O34</f>
        <v>0.57999999999999996</v>
      </c>
      <c r="H36" s="759">
        <f>'Product Mix'!F34</f>
        <v>4.3811610076670317E-3</v>
      </c>
      <c r="I36" s="74" t="str">
        <f t="shared" si="0"/>
        <v>BAJA</v>
      </c>
      <c r="J36" s="74" t="str">
        <f t="shared" si="1"/>
        <v>BAJA</v>
      </c>
      <c r="K36" s="74" t="str">
        <f t="shared" si="2"/>
        <v>🐶 Perro</v>
      </c>
      <c r="L36" s="74"/>
      <c r="M36" s="74" t="e">
        <f t="shared" si="3"/>
        <v>#N/A</v>
      </c>
      <c r="N36" s="74" t="e">
        <f t="shared" si="4"/>
        <v>#N/A</v>
      </c>
      <c r="O36" s="74" t="e">
        <f t="shared" si="5"/>
        <v>#N/A</v>
      </c>
      <c r="P36" s="74" t="e">
        <f t="shared" si="6"/>
        <v>#N/A</v>
      </c>
      <c r="Q36" s="74" t="e">
        <f t="shared" si="7"/>
        <v>#N/A</v>
      </c>
      <c r="R36" s="74" t="e">
        <f t="shared" si="8"/>
        <v>#N/A</v>
      </c>
      <c r="S36" s="74">
        <f t="shared" si="9"/>
        <v>0.57999999999999996</v>
      </c>
      <c r="T36" s="74">
        <f t="shared" si="10"/>
        <v>4.3811610076670317E-3</v>
      </c>
    </row>
    <row r="37" spans="1:20">
      <c r="A37" s="74">
        <f>'Product Mix'!A35</f>
        <v>30</v>
      </c>
      <c r="B37" s="74" t="str">
        <f>'Product Mix'!B35</f>
        <v>Croisant xoco</v>
      </c>
      <c r="C37" s="74" t="str">
        <f>'Product Mix'!C35</f>
        <v>Bolleria</v>
      </c>
      <c r="D37" s="770">
        <f>'Product Mix'!D35</f>
        <v>6</v>
      </c>
      <c r="E37" s="771">
        <f>'Product Mix'!H35</f>
        <v>2</v>
      </c>
      <c r="F37" s="771">
        <f>'Product Mix'!J35</f>
        <v>0.37</v>
      </c>
      <c r="G37" s="771">
        <f>'Product Mix'!O35</f>
        <v>1.6300000000000001</v>
      </c>
      <c r="H37" s="759">
        <f>'Product Mix'!F35</f>
        <v>3.2858707557502738E-3</v>
      </c>
      <c r="I37" s="74" t="str">
        <f t="shared" si="0"/>
        <v>BAJA</v>
      </c>
      <c r="J37" s="74" t="str">
        <f t="shared" si="1"/>
        <v>BAJA</v>
      </c>
      <c r="K37" s="74" t="str">
        <f t="shared" si="2"/>
        <v>🐶 Perro</v>
      </c>
      <c r="L37" s="74"/>
      <c r="M37" s="74" t="e">
        <f t="shared" si="3"/>
        <v>#N/A</v>
      </c>
      <c r="N37" s="74" t="e">
        <f t="shared" si="4"/>
        <v>#N/A</v>
      </c>
      <c r="O37" s="74" t="e">
        <f t="shared" si="5"/>
        <v>#N/A</v>
      </c>
      <c r="P37" s="74" t="e">
        <f t="shared" si="6"/>
        <v>#N/A</v>
      </c>
      <c r="Q37" s="74" t="e">
        <f t="shared" si="7"/>
        <v>#N/A</v>
      </c>
      <c r="R37" s="74" t="e">
        <f t="shared" si="8"/>
        <v>#N/A</v>
      </c>
      <c r="S37" s="74">
        <f t="shared" si="9"/>
        <v>1.6300000000000001</v>
      </c>
      <c r="T37" s="74">
        <f t="shared" si="10"/>
        <v>3.2858707557502738E-3</v>
      </c>
    </row>
    <row r="38" spans="1:20">
      <c r="A38" s="74">
        <f>'Product Mix'!A36</f>
        <v>31</v>
      </c>
      <c r="B38" s="74" t="str">
        <f>'Product Mix'!B36</f>
        <v>Clara C:Copa</v>
      </c>
      <c r="C38" s="74" t="str">
        <f>'Product Mix'!C36</f>
        <v>Cervezas</v>
      </c>
      <c r="D38" s="770">
        <f>'Product Mix'!D36</f>
        <v>0</v>
      </c>
      <c r="E38" s="771">
        <f>'Product Mix'!H36</f>
        <v>0</v>
      </c>
      <c r="F38" s="771">
        <f>'Product Mix'!J36</f>
        <v>0.8</v>
      </c>
      <c r="G38" s="771">
        <f>'Product Mix'!O36</f>
        <v>0</v>
      </c>
      <c r="H38" s="759">
        <f>'Product Mix'!F36</f>
        <v>0</v>
      </c>
      <c r="I38" s="74" t="str">
        <f t="shared" si="0"/>
        <v>-</v>
      </c>
      <c r="J38" s="74" t="str">
        <f t="shared" si="1"/>
        <v>-</v>
      </c>
      <c r="K38" s="74" t="str">
        <f t="shared" si="2"/>
        <v>-</v>
      </c>
      <c r="L38" s="74"/>
      <c r="M38" s="74" t="e">
        <f t="shared" si="3"/>
        <v>#N/A</v>
      </c>
      <c r="N38" s="74" t="e">
        <f t="shared" si="4"/>
        <v>#N/A</v>
      </c>
      <c r="O38" s="74" t="e">
        <f t="shared" si="5"/>
        <v>#N/A</v>
      </c>
      <c r="P38" s="74" t="e">
        <f t="shared" si="6"/>
        <v>#N/A</v>
      </c>
      <c r="Q38" s="74" t="e">
        <f t="shared" si="7"/>
        <v>#N/A</v>
      </c>
      <c r="R38" s="74" t="e">
        <f t="shared" si="8"/>
        <v>#N/A</v>
      </c>
      <c r="S38" s="74" t="e">
        <f t="shared" si="9"/>
        <v>#N/A</v>
      </c>
      <c r="T38" s="74" t="e">
        <f t="shared" si="10"/>
        <v>#N/A</v>
      </c>
    </row>
    <row r="39" spans="1:20">
      <c r="A39" s="74">
        <f>'Product Mix'!A37</f>
        <v>32</v>
      </c>
      <c r="B39" s="74" t="str">
        <f>'Product Mix'!B37</f>
        <v>Ous amb Ibèric</v>
      </c>
      <c r="C39" s="74" t="str">
        <f>'Product Mix'!C37</f>
        <v>Huevos estrellados</v>
      </c>
      <c r="D39" s="770">
        <f>'Product Mix'!D37</f>
        <v>24</v>
      </c>
      <c r="E39" s="771">
        <f>'Product Mix'!H37</f>
        <v>14.467500000000001</v>
      </c>
      <c r="F39" s="771">
        <f>'Product Mix'!J37</f>
        <v>3.5</v>
      </c>
      <c r="G39" s="771">
        <f>'Product Mix'!O37</f>
        <v>10.967500000000001</v>
      </c>
      <c r="H39" s="759">
        <f>'Product Mix'!F37</f>
        <v>1.3143483023001095E-2</v>
      </c>
      <c r="I39" s="74" t="str">
        <f t="shared" si="0"/>
        <v>ALTA</v>
      </c>
      <c r="J39" s="74" t="str">
        <f t="shared" si="1"/>
        <v>ALTA</v>
      </c>
      <c r="K39" s="74" t="str">
        <f t="shared" si="2"/>
        <v>⭐ Estrella</v>
      </c>
      <c r="L39" s="74"/>
      <c r="M39" s="74">
        <f t="shared" si="3"/>
        <v>10.967500000000001</v>
      </c>
      <c r="N39" s="74">
        <f t="shared" si="4"/>
        <v>1.3143483023001095E-2</v>
      </c>
      <c r="O39" s="74" t="e">
        <f t="shared" si="5"/>
        <v>#N/A</v>
      </c>
      <c r="P39" s="74" t="e">
        <f t="shared" si="6"/>
        <v>#N/A</v>
      </c>
      <c r="Q39" s="74" t="e">
        <f t="shared" si="7"/>
        <v>#N/A</v>
      </c>
      <c r="R39" s="74" t="e">
        <f t="shared" si="8"/>
        <v>#N/A</v>
      </c>
      <c r="S39" s="74" t="e">
        <f t="shared" si="9"/>
        <v>#N/A</v>
      </c>
      <c r="T39" s="74" t="e">
        <f t="shared" si="10"/>
        <v>#N/A</v>
      </c>
    </row>
    <row r="40" spans="1:20">
      <c r="A40" s="74">
        <f>'Product Mix'!A38</f>
        <v>33</v>
      </c>
      <c r="B40" s="74" t="str">
        <f>'Product Mix'!B38</f>
        <v>Infusio</v>
      </c>
      <c r="C40" s="74" t="str">
        <f>'Product Mix'!C38</f>
        <v>Cafe</v>
      </c>
      <c r="D40" s="770">
        <f>'Product Mix'!D38</f>
        <v>5</v>
      </c>
      <c r="E40" s="771">
        <f>'Product Mix'!H38</f>
        <v>1.9300000000000002</v>
      </c>
      <c r="F40" s="771">
        <f>'Product Mix'!J38</f>
        <v>0.31</v>
      </c>
      <c r="G40" s="771">
        <f>'Product Mix'!O38</f>
        <v>1.6199999999999999</v>
      </c>
      <c r="H40" s="759">
        <f>'Product Mix'!F38</f>
        <v>2.7382256297918948E-3</v>
      </c>
      <c r="I40" s="74" t="str">
        <f t="shared" ref="I40:I71" si="11">IF(D40=0,"-",IF(H40&gt;=$E$5,"ALTA","BAJA"))</f>
        <v>BAJA</v>
      </c>
      <c r="J40" s="74" t="str">
        <f t="shared" ref="J40:J71" si="12">IF(D40=0,"-",IF(G40&gt;=$D$5,"ALTA","BAJA"))</f>
        <v>BAJA</v>
      </c>
      <c r="K40" s="74" t="str">
        <f t="shared" ref="K40:K71" si="13">IF(D40=0,"-",IF(AND(I40="ALTA",J40="ALTA"),"⭐ Estrella",IF(AND(I40="ALTA",J40="BAJA"),"🐎 Caballo",IF(AND(I40="BAJA",J40="ALTA"),"🧩 Puzzle","🐶 Perro"))))</f>
        <v>🐶 Perro</v>
      </c>
      <c r="L40" s="74"/>
      <c r="M40" s="74" t="e">
        <f t="shared" ref="M40:M71" si="14">IF(ISNUMBER(SEARCH("Estrella",K40)),G40,NA())</f>
        <v>#N/A</v>
      </c>
      <c r="N40" s="74" t="e">
        <f t="shared" ref="N40:N71" si="15">IF(ISNUMBER(SEARCH("Estrella",K40)),H40,NA())</f>
        <v>#N/A</v>
      </c>
      <c r="O40" s="74" t="e">
        <f t="shared" ref="O40:O71" si="16">IF(ISNUMBER(SEARCH("Caballo",K40)),G40,NA())</f>
        <v>#N/A</v>
      </c>
      <c r="P40" s="74" t="e">
        <f t="shared" ref="P40:P71" si="17">IF(ISNUMBER(SEARCH("Caballo",K40)),H40,NA())</f>
        <v>#N/A</v>
      </c>
      <c r="Q40" s="74" t="e">
        <f t="shared" ref="Q40:Q71" si="18">IF(ISNUMBER(SEARCH("Puzzle",K40)),G40,NA())</f>
        <v>#N/A</v>
      </c>
      <c r="R40" s="74" t="e">
        <f t="shared" ref="R40:R71" si="19">IF(ISNUMBER(SEARCH("Puzzle",K40)),H40,NA())</f>
        <v>#N/A</v>
      </c>
      <c r="S40" s="74">
        <f t="shared" ref="S40:S71" si="20">IF(ISNUMBER(SEARCH("Perro",K40)),G40,NA())</f>
        <v>1.6199999999999999</v>
      </c>
      <c r="T40" s="74">
        <f t="shared" ref="T40:T71" si="21">IF(ISNUMBER(SEARCH("Perro",K40)),H40,NA())</f>
        <v>2.7382256297918948E-3</v>
      </c>
    </row>
    <row r="41" spans="1:20">
      <c r="A41" s="74">
        <f>'Product Mix'!A39</f>
        <v>34</v>
      </c>
      <c r="B41" s="74" t="str">
        <f>'Product Mix'!B39</f>
        <v>COCACOLA (BOTELLA 35CL)</v>
      </c>
      <c r="C41" s="74" t="str">
        <f>'Product Mix'!C39</f>
        <v>Refrescos</v>
      </c>
      <c r="D41" s="770">
        <f>'Product Mix'!D39</f>
        <v>11</v>
      </c>
      <c r="E41" s="771">
        <f>'Product Mix'!H39</f>
        <v>2.2027272727272726</v>
      </c>
      <c r="F41" s="771">
        <f>'Product Mix'!J39</f>
        <v>0.53</v>
      </c>
      <c r="G41" s="771">
        <f>'Product Mix'!O39</f>
        <v>1.6727272727272726</v>
      </c>
      <c r="H41" s="759">
        <f>'Product Mix'!F39</f>
        <v>6.024096385542169E-3</v>
      </c>
      <c r="I41" s="74" t="str">
        <f t="shared" si="11"/>
        <v>ALTA</v>
      </c>
      <c r="J41" s="74" t="str">
        <f t="shared" si="12"/>
        <v>BAJA</v>
      </c>
      <c r="K41" s="74" t="str">
        <f t="shared" si="13"/>
        <v>🐎 Caballo</v>
      </c>
      <c r="L41" s="74"/>
      <c r="M41" s="74" t="e">
        <f t="shared" si="14"/>
        <v>#N/A</v>
      </c>
      <c r="N41" s="74" t="e">
        <f t="shared" si="15"/>
        <v>#N/A</v>
      </c>
      <c r="O41" s="74">
        <f t="shared" si="16"/>
        <v>1.6727272727272726</v>
      </c>
      <c r="P41" s="74">
        <f t="shared" si="17"/>
        <v>6.024096385542169E-3</v>
      </c>
      <c r="Q41" s="74" t="e">
        <f t="shared" si="18"/>
        <v>#N/A</v>
      </c>
      <c r="R41" s="74" t="e">
        <f t="shared" si="19"/>
        <v>#N/A</v>
      </c>
      <c r="S41" s="74" t="e">
        <f t="shared" si="20"/>
        <v>#N/A</v>
      </c>
      <c r="T41" s="74" t="e">
        <f t="shared" si="21"/>
        <v>#N/A</v>
      </c>
    </row>
    <row r="42" spans="1:20">
      <c r="A42" s="74">
        <f>'Product Mix'!A40</f>
        <v>35</v>
      </c>
      <c r="B42" s="74" t="str">
        <f>'Product Mix'!B40</f>
        <v>Pintxo truita patata</v>
      </c>
      <c r="C42" s="74" t="str">
        <f>'Product Mix'!C40</f>
        <v>Tapas Calientes</v>
      </c>
      <c r="D42" s="770">
        <f>'Product Mix'!D40</f>
        <v>14</v>
      </c>
      <c r="E42" s="771">
        <f>'Product Mix'!H40</f>
        <v>4.7728571428571422</v>
      </c>
      <c r="F42" s="771">
        <f>'Product Mix'!J40</f>
        <v>0.68</v>
      </c>
      <c r="G42" s="771">
        <f>'Product Mix'!O40</f>
        <v>4.0928571428571425</v>
      </c>
      <c r="H42" s="759">
        <f>'Product Mix'!F40</f>
        <v>7.6670317634173054E-3</v>
      </c>
      <c r="I42" s="74" t="str">
        <f t="shared" si="11"/>
        <v>ALTA</v>
      </c>
      <c r="J42" s="74" t="str">
        <f t="shared" si="12"/>
        <v>ALTA</v>
      </c>
      <c r="K42" s="74" t="str">
        <f t="shared" si="13"/>
        <v>⭐ Estrella</v>
      </c>
      <c r="L42" s="74"/>
      <c r="M42" s="74">
        <f t="shared" si="14"/>
        <v>4.0928571428571425</v>
      </c>
      <c r="N42" s="74">
        <f t="shared" si="15"/>
        <v>7.6670317634173054E-3</v>
      </c>
      <c r="O42" s="74" t="e">
        <f t="shared" si="16"/>
        <v>#N/A</v>
      </c>
      <c r="P42" s="74" t="e">
        <f t="shared" si="17"/>
        <v>#N/A</v>
      </c>
      <c r="Q42" s="74" t="e">
        <f t="shared" si="18"/>
        <v>#N/A</v>
      </c>
      <c r="R42" s="74" t="e">
        <f t="shared" si="19"/>
        <v>#N/A</v>
      </c>
      <c r="S42" s="74" t="e">
        <f t="shared" si="20"/>
        <v>#N/A</v>
      </c>
      <c r="T42" s="74" t="e">
        <f t="shared" si="21"/>
        <v>#N/A</v>
      </c>
    </row>
    <row r="43" spans="1:20">
      <c r="A43" s="74">
        <f>'Product Mix'!A41</f>
        <v>36</v>
      </c>
      <c r="B43" s="74" t="str">
        <f>'Product Mix'!B41</f>
        <v>Torrijas Nutella</v>
      </c>
      <c r="C43" s="74" t="str">
        <f>'Product Mix'!C41</f>
        <v>Postres</v>
      </c>
      <c r="D43" s="770">
        <f>'Product Mix'!D41</f>
        <v>17</v>
      </c>
      <c r="E43" s="771">
        <f>'Product Mix'!H41</f>
        <v>4.92</v>
      </c>
      <c r="F43" s="771">
        <f>'Product Mix'!J41</f>
        <v>0.77</v>
      </c>
      <c r="G43" s="771">
        <f>'Product Mix'!O41</f>
        <v>4.1499999999999995</v>
      </c>
      <c r="H43" s="759">
        <f>'Product Mix'!F41</f>
        <v>9.3099671412924419E-3</v>
      </c>
      <c r="I43" s="74" t="str">
        <f t="shared" si="11"/>
        <v>ALTA</v>
      </c>
      <c r="J43" s="74" t="str">
        <f t="shared" si="12"/>
        <v>ALTA</v>
      </c>
      <c r="K43" s="74" t="str">
        <f t="shared" si="13"/>
        <v>⭐ Estrella</v>
      </c>
      <c r="L43" s="74"/>
      <c r="M43" s="74">
        <f t="shared" si="14"/>
        <v>4.1499999999999995</v>
      </c>
      <c r="N43" s="74">
        <f t="shared" si="15"/>
        <v>9.3099671412924419E-3</v>
      </c>
      <c r="O43" s="74" t="e">
        <f t="shared" si="16"/>
        <v>#N/A</v>
      </c>
      <c r="P43" s="74" t="e">
        <f t="shared" si="17"/>
        <v>#N/A</v>
      </c>
      <c r="Q43" s="74" t="e">
        <f t="shared" si="18"/>
        <v>#N/A</v>
      </c>
      <c r="R43" s="74" t="e">
        <f t="shared" si="19"/>
        <v>#N/A</v>
      </c>
      <c r="S43" s="74" t="e">
        <f t="shared" si="20"/>
        <v>#N/A</v>
      </c>
      <c r="T43" s="74" t="e">
        <f t="shared" si="21"/>
        <v>#N/A</v>
      </c>
    </row>
    <row r="44" spans="1:20">
      <c r="A44" s="74">
        <f>'Product Mix'!A42</f>
        <v>37</v>
      </c>
      <c r="B44" s="74" t="str">
        <f>'Product Mix'!B42</f>
        <v>Reserva Vermella C:Copa</v>
      </c>
      <c r="C44" s="74" t="str">
        <f>'Product Mix'!C42</f>
        <v>Cervezas</v>
      </c>
      <c r="D44" s="770">
        <f>'Product Mix'!D42</f>
        <v>1</v>
      </c>
      <c r="E44" s="771">
        <f>'Product Mix'!H42</f>
        <v>3.35</v>
      </c>
      <c r="F44" s="771">
        <f>'Product Mix'!J42</f>
        <v>1.06</v>
      </c>
      <c r="G44" s="771">
        <f>'Product Mix'!O42</f>
        <v>2.29</v>
      </c>
      <c r="H44" s="759">
        <f>'Product Mix'!F42</f>
        <v>5.4764512595837896E-4</v>
      </c>
      <c r="I44" s="74" t="str">
        <f t="shared" si="11"/>
        <v>BAJA</v>
      </c>
      <c r="J44" s="74" t="str">
        <f t="shared" si="12"/>
        <v>BAJA</v>
      </c>
      <c r="K44" s="74" t="str">
        <f t="shared" si="13"/>
        <v>🐶 Perro</v>
      </c>
      <c r="L44" s="74"/>
      <c r="M44" s="74" t="e">
        <f t="shared" si="14"/>
        <v>#N/A</v>
      </c>
      <c r="N44" s="74" t="e">
        <f t="shared" si="15"/>
        <v>#N/A</v>
      </c>
      <c r="O44" s="74" t="e">
        <f t="shared" si="16"/>
        <v>#N/A</v>
      </c>
      <c r="P44" s="74" t="e">
        <f t="shared" si="17"/>
        <v>#N/A</v>
      </c>
      <c r="Q44" s="74" t="e">
        <f t="shared" si="18"/>
        <v>#N/A</v>
      </c>
      <c r="R44" s="74" t="e">
        <f t="shared" si="19"/>
        <v>#N/A</v>
      </c>
      <c r="S44" s="74">
        <f t="shared" si="20"/>
        <v>2.29</v>
      </c>
      <c r="T44" s="74">
        <f t="shared" si="21"/>
        <v>5.4764512595837896E-4</v>
      </c>
    </row>
    <row r="45" spans="1:20">
      <c r="A45" s="74">
        <f>'Product Mix'!A43</f>
        <v>38</v>
      </c>
      <c r="B45" s="74" t="str">
        <f>'Product Mix'!B43</f>
        <v>Alhambra C:Caña</v>
      </c>
      <c r="C45" s="74" t="str">
        <f>'Product Mix'!C43</f>
        <v>Cervezas</v>
      </c>
      <c r="D45" s="770">
        <f>'Product Mix'!D43</f>
        <v>11</v>
      </c>
      <c r="E45" s="771">
        <f>'Product Mix'!H43</f>
        <v>2.0500000000000003</v>
      </c>
      <c r="F45" s="771">
        <f>'Product Mix'!J43</f>
        <v>0.61</v>
      </c>
      <c r="G45" s="771">
        <f>'Product Mix'!O43</f>
        <v>1.44</v>
      </c>
      <c r="H45" s="759">
        <f>'Product Mix'!F43</f>
        <v>6.024096385542169E-3</v>
      </c>
      <c r="I45" s="74" t="str">
        <f t="shared" si="11"/>
        <v>ALTA</v>
      </c>
      <c r="J45" s="74" t="str">
        <f t="shared" si="12"/>
        <v>BAJA</v>
      </c>
      <c r="K45" s="74" t="str">
        <f t="shared" si="13"/>
        <v>🐎 Caballo</v>
      </c>
      <c r="L45" s="74"/>
      <c r="M45" s="74" t="e">
        <f t="shared" si="14"/>
        <v>#N/A</v>
      </c>
      <c r="N45" s="74" t="e">
        <f t="shared" si="15"/>
        <v>#N/A</v>
      </c>
      <c r="O45" s="74">
        <f t="shared" si="16"/>
        <v>1.44</v>
      </c>
      <c r="P45" s="74">
        <f t="shared" si="17"/>
        <v>6.024096385542169E-3</v>
      </c>
      <c r="Q45" s="74" t="e">
        <f t="shared" si="18"/>
        <v>#N/A</v>
      </c>
      <c r="R45" s="74" t="e">
        <f t="shared" si="19"/>
        <v>#N/A</v>
      </c>
      <c r="S45" s="74" t="e">
        <f t="shared" si="20"/>
        <v>#N/A</v>
      </c>
      <c r="T45" s="74" t="e">
        <f t="shared" si="21"/>
        <v>#N/A</v>
      </c>
    </row>
    <row r="46" spans="1:20">
      <c r="A46" s="74">
        <f>'Product Mix'!A44</f>
        <v>39</v>
      </c>
      <c r="B46" s="74" t="str">
        <f>'Product Mix'!B44</f>
        <v>COCACOLA ZERO</v>
      </c>
      <c r="C46" s="74" t="str">
        <f>'Product Mix'!C44</f>
        <v>Refrescos</v>
      </c>
      <c r="D46" s="770">
        <f>'Product Mix'!D44</f>
        <v>42</v>
      </c>
      <c r="E46" s="771">
        <f>'Product Mix'!H44</f>
        <v>2.5211904761904762</v>
      </c>
      <c r="F46" s="771">
        <f>'Product Mix'!J44</f>
        <v>0.53</v>
      </c>
      <c r="G46" s="771">
        <f>'Product Mix'!O44</f>
        <v>1.9911904761904762</v>
      </c>
      <c r="H46" s="759">
        <f>'Product Mix'!F44</f>
        <v>2.3001095290251915E-2</v>
      </c>
      <c r="I46" s="74" t="str">
        <f t="shared" si="11"/>
        <v>ALTA</v>
      </c>
      <c r="J46" s="74" t="str">
        <f t="shared" si="12"/>
        <v>BAJA</v>
      </c>
      <c r="K46" s="74" t="str">
        <f t="shared" si="13"/>
        <v>🐎 Caballo</v>
      </c>
      <c r="L46" s="74"/>
      <c r="M46" s="74" t="e">
        <f t="shared" si="14"/>
        <v>#N/A</v>
      </c>
      <c r="N46" s="74" t="e">
        <f t="shared" si="15"/>
        <v>#N/A</v>
      </c>
      <c r="O46" s="74">
        <f t="shared" si="16"/>
        <v>1.9911904761904762</v>
      </c>
      <c r="P46" s="74">
        <f t="shared" si="17"/>
        <v>2.3001095290251915E-2</v>
      </c>
      <c r="Q46" s="74" t="e">
        <f t="shared" si="18"/>
        <v>#N/A</v>
      </c>
      <c r="R46" s="74" t="e">
        <f t="shared" si="19"/>
        <v>#N/A</v>
      </c>
      <c r="S46" s="74" t="e">
        <f t="shared" si="20"/>
        <v>#N/A</v>
      </c>
      <c r="T46" s="74" t="e">
        <f t="shared" si="21"/>
        <v>#N/A</v>
      </c>
    </row>
    <row r="47" spans="1:20">
      <c r="A47" s="74">
        <f>'Product Mix'!A45</f>
        <v>40</v>
      </c>
      <c r="B47" s="74" t="str">
        <f>'Product Mix'!B45</f>
        <v>Cigalo</v>
      </c>
      <c r="C47" s="74" t="str">
        <f>'Product Mix'!C45</f>
        <v>Cafe</v>
      </c>
      <c r="D47" s="770">
        <f>'Product Mix'!D45</f>
        <v>5</v>
      </c>
      <c r="E47" s="771">
        <f>'Product Mix'!H45</f>
        <v>2.5499999999999998</v>
      </c>
      <c r="F47" s="771">
        <f>'Product Mix'!J45</f>
        <v>0.32</v>
      </c>
      <c r="G47" s="771">
        <f>'Product Mix'!O45</f>
        <v>2.23</v>
      </c>
      <c r="H47" s="759">
        <f>'Product Mix'!F45</f>
        <v>2.7382256297918948E-3</v>
      </c>
      <c r="I47" s="74" t="str">
        <f t="shared" si="11"/>
        <v>BAJA</v>
      </c>
      <c r="J47" s="74" t="str">
        <f t="shared" si="12"/>
        <v>BAJA</v>
      </c>
      <c r="K47" s="74" t="str">
        <f t="shared" si="13"/>
        <v>🐶 Perro</v>
      </c>
      <c r="L47" s="74"/>
      <c r="M47" s="74" t="e">
        <f t="shared" si="14"/>
        <v>#N/A</v>
      </c>
      <c r="N47" s="74" t="e">
        <f t="shared" si="15"/>
        <v>#N/A</v>
      </c>
      <c r="O47" s="74" t="e">
        <f t="shared" si="16"/>
        <v>#N/A</v>
      </c>
      <c r="P47" s="74" t="e">
        <f t="shared" si="17"/>
        <v>#N/A</v>
      </c>
      <c r="Q47" s="74" t="e">
        <f t="shared" si="18"/>
        <v>#N/A</v>
      </c>
      <c r="R47" s="74" t="e">
        <f t="shared" si="19"/>
        <v>#N/A</v>
      </c>
      <c r="S47" s="74">
        <f t="shared" si="20"/>
        <v>2.23</v>
      </c>
      <c r="T47" s="74">
        <f t="shared" si="21"/>
        <v>2.7382256297918948E-3</v>
      </c>
    </row>
    <row r="48" spans="1:20">
      <c r="A48" s="74">
        <f>'Product Mix'!A46</f>
        <v>41</v>
      </c>
      <c r="B48" s="74" t="str">
        <f>'Product Mix'!B46</f>
        <v>Croquetes de l'àvia (Mix Croquetes)</v>
      </c>
      <c r="C48" s="74" t="str">
        <f>'Product Mix'!C46</f>
        <v>Tapas Calientes</v>
      </c>
      <c r="D48" s="770">
        <f>'Product Mix'!D46</f>
        <v>0</v>
      </c>
      <c r="E48" s="771">
        <f>'Product Mix'!H46</f>
        <v>0</v>
      </c>
      <c r="F48" s="771">
        <f>'Product Mix'!J46</f>
        <v>0.28000000000000003</v>
      </c>
      <c r="G48" s="771">
        <f>'Product Mix'!O46</f>
        <v>0</v>
      </c>
      <c r="H48" s="759">
        <f>'Product Mix'!F46</f>
        <v>0</v>
      </c>
      <c r="I48" s="74" t="str">
        <f t="shared" si="11"/>
        <v>-</v>
      </c>
      <c r="J48" s="74" t="str">
        <f t="shared" si="12"/>
        <v>-</v>
      </c>
      <c r="K48" s="74" t="str">
        <f t="shared" si="13"/>
        <v>-</v>
      </c>
      <c r="L48" s="74"/>
      <c r="M48" s="74" t="e">
        <f t="shared" si="14"/>
        <v>#N/A</v>
      </c>
      <c r="N48" s="74" t="e">
        <f t="shared" si="15"/>
        <v>#N/A</v>
      </c>
      <c r="O48" s="74" t="e">
        <f t="shared" si="16"/>
        <v>#N/A</v>
      </c>
      <c r="P48" s="74" t="e">
        <f t="shared" si="17"/>
        <v>#N/A</v>
      </c>
      <c r="Q48" s="74" t="e">
        <f t="shared" si="18"/>
        <v>#N/A</v>
      </c>
      <c r="R48" s="74" t="e">
        <f t="shared" si="19"/>
        <v>#N/A</v>
      </c>
      <c r="S48" s="74" t="e">
        <f t="shared" si="20"/>
        <v>#N/A</v>
      </c>
      <c r="T48" s="74" t="e">
        <f t="shared" si="21"/>
        <v>#N/A</v>
      </c>
    </row>
    <row r="49" spans="1:20">
      <c r="A49" s="74">
        <f>'Product Mix'!A47</f>
        <v>42</v>
      </c>
      <c r="B49" s="74" t="str">
        <f>'Product Mix'!B47</f>
        <v>Croquetes de bolets (Mix Croquetes)</v>
      </c>
      <c r="C49" s="74" t="str">
        <f>'Product Mix'!C47</f>
        <v>Tapas Calientes</v>
      </c>
      <c r="D49" s="770">
        <f>'Product Mix'!D47</f>
        <v>0</v>
      </c>
      <c r="E49" s="771">
        <f>'Product Mix'!H47</f>
        <v>0</v>
      </c>
      <c r="F49" s="771">
        <f>'Product Mix'!J47</f>
        <v>0.27</v>
      </c>
      <c r="G49" s="771">
        <f>'Product Mix'!O47</f>
        <v>0</v>
      </c>
      <c r="H49" s="759">
        <f>'Product Mix'!F47</f>
        <v>0</v>
      </c>
      <c r="I49" s="74" t="str">
        <f t="shared" si="11"/>
        <v>-</v>
      </c>
      <c r="J49" s="74" t="str">
        <f t="shared" si="12"/>
        <v>-</v>
      </c>
      <c r="K49" s="74" t="str">
        <f t="shared" si="13"/>
        <v>-</v>
      </c>
      <c r="L49" s="74"/>
      <c r="M49" s="74" t="e">
        <f t="shared" si="14"/>
        <v>#N/A</v>
      </c>
      <c r="N49" s="74" t="e">
        <f t="shared" si="15"/>
        <v>#N/A</v>
      </c>
      <c r="O49" s="74" t="e">
        <f t="shared" si="16"/>
        <v>#N/A</v>
      </c>
      <c r="P49" s="74" t="e">
        <f t="shared" si="17"/>
        <v>#N/A</v>
      </c>
      <c r="Q49" s="74" t="e">
        <f t="shared" si="18"/>
        <v>#N/A</v>
      </c>
      <c r="R49" s="74" t="e">
        <f t="shared" si="19"/>
        <v>#N/A</v>
      </c>
      <c r="S49" s="74" t="e">
        <f t="shared" si="20"/>
        <v>#N/A</v>
      </c>
      <c r="T49" s="74" t="e">
        <f t="shared" si="21"/>
        <v>#N/A</v>
      </c>
    </row>
    <row r="50" spans="1:20">
      <c r="A50" s="74">
        <f>'Product Mix'!A48</f>
        <v>43</v>
      </c>
      <c r="B50" s="74" t="str">
        <f>'Product Mix'!B48</f>
        <v>Morro fregit mel</v>
      </c>
      <c r="C50" s="74" t="str">
        <f>'Product Mix'!C48</f>
        <v>Tapas Calientes</v>
      </c>
      <c r="D50" s="770">
        <f>'Product Mix'!D48</f>
        <v>8</v>
      </c>
      <c r="E50" s="771">
        <f>'Product Mix'!H48</f>
        <v>6.79</v>
      </c>
      <c r="F50" s="771">
        <f>'Product Mix'!J48</f>
        <v>1.81</v>
      </c>
      <c r="G50" s="771">
        <f>'Product Mix'!O48</f>
        <v>4.9800000000000004</v>
      </c>
      <c r="H50" s="759">
        <f>'Product Mix'!F48</f>
        <v>4.3811610076670317E-3</v>
      </c>
      <c r="I50" s="74" t="str">
        <f t="shared" si="11"/>
        <v>BAJA</v>
      </c>
      <c r="J50" s="74" t="str">
        <f t="shared" si="12"/>
        <v>ALTA</v>
      </c>
      <c r="K50" s="74" t="str">
        <f t="shared" si="13"/>
        <v>🧩 Puzzle</v>
      </c>
      <c r="L50" s="74"/>
      <c r="M50" s="74" t="e">
        <f t="shared" si="14"/>
        <v>#N/A</v>
      </c>
      <c r="N50" s="74" t="e">
        <f t="shared" si="15"/>
        <v>#N/A</v>
      </c>
      <c r="O50" s="74" t="e">
        <f t="shared" si="16"/>
        <v>#N/A</v>
      </c>
      <c r="P50" s="74" t="e">
        <f t="shared" si="17"/>
        <v>#N/A</v>
      </c>
      <c r="Q50" s="74">
        <f t="shared" si="18"/>
        <v>4.9800000000000004</v>
      </c>
      <c r="R50" s="74">
        <f t="shared" si="19"/>
        <v>4.3811610076670317E-3</v>
      </c>
      <c r="S50" s="74" t="e">
        <f t="shared" si="20"/>
        <v>#N/A</v>
      </c>
      <c r="T50" s="74" t="e">
        <f t="shared" si="21"/>
        <v>#N/A</v>
      </c>
    </row>
    <row r="51" spans="1:20">
      <c r="A51" s="74">
        <f>'Product Mix'!A49</f>
        <v>44</v>
      </c>
      <c r="B51" s="74" t="str">
        <f>'Product Mix'!B49</f>
        <v>Esmorzar Tradicional</v>
      </c>
      <c r="C51" s="74" t="str">
        <f>'Product Mix'!C49</f>
        <v>Desayunos</v>
      </c>
      <c r="D51" s="770">
        <f>'Product Mix'!D49</f>
        <v>5</v>
      </c>
      <c r="E51" s="771">
        <f>'Product Mix'!H49</f>
        <v>6.0200000000000005</v>
      </c>
      <c r="F51" s="771">
        <f>'Product Mix'!J49</f>
        <v>0.68</v>
      </c>
      <c r="G51" s="771">
        <f>'Product Mix'!O49</f>
        <v>5.3400000000000007</v>
      </c>
      <c r="H51" s="759">
        <f>'Product Mix'!F49</f>
        <v>2.7382256297918948E-3</v>
      </c>
      <c r="I51" s="74" t="str">
        <f t="shared" si="11"/>
        <v>BAJA</v>
      </c>
      <c r="J51" s="74" t="str">
        <f t="shared" si="12"/>
        <v>ALTA</v>
      </c>
      <c r="K51" s="74" t="str">
        <f t="shared" si="13"/>
        <v>🧩 Puzzle</v>
      </c>
      <c r="L51" s="74"/>
      <c r="M51" s="74" t="e">
        <f t="shared" si="14"/>
        <v>#N/A</v>
      </c>
      <c r="N51" s="74" t="e">
        <f t="shared" si="15"/>
        <v>#N/A</v>
      </c>
      <c r="O51" s="74" t="e">
        <f t="shared" si="16"/>
        <v>#N/A</v>
      </c>
      <c r="P51" s="74" t="e">
        <f t="shared" si="17"/>
        <v>#N/A</v>
      </c>
      <c r="Q51" s="74">
        <f t="shared" si="18"/>
        <v>5.3400000000000007</v>
      </c>
      <c r="R51" s="74">
        <f t="shared" si="19"/>
        <v>2.7382256297918948E-3</v>
      </c>
      <c r="S51" s="74" t="e">
        <f t="shared" si="20"/>
        <v>#N/A</v>
      </c>
      <c r="T51" s="74" t="e">
        <f t="shared" si="21"/>
        <v>#N/A</v>
      </c>
    </row>
    <row r="52" spans="1:20">
      <c r="A52" s="74">
        <f>'Product Mix'!A50</f>
        <v>45</v>
      </c>
      <c r="B52" s="74" t="str">
        <f>'Product Mix'!B50</f>
        <v>Pa cristal·li</v>
      </c>
      <c r="C52" s="74" t="str">
        <f>'Product Mix'!C50</f>
        <v>Suplementos</v>
      </c>
      <c r="D52" s="770">
        <f>'Product Mix'!D50</f>
        <v>50</v>
      </c>
      <c r="E52" s="771">
        <f>'Product Mix'!H50</f>
        <v>3.2749999999999999</v>
      </c>
      <c r="F52" s="771">
        <f>'Product Mix'!J50</f>
        <v>1.03</v>
      </c>
      <c r="G52" s="771">
        <f>'Product Mix'!O50</f>
        <v>2.2450000000000001</v>
      </c>
      <c r="H52" s="759">
        <f>'Product Mix'!F50</f>
        <v>2.7382256297918947E-2</v>
      </c>
      <c r="I52" s="74" t="str">
        <f t="shared" si="11"/>
        <v>ALTA</v>
      </c>
      <c r="J52" s="74" t="str">
        <f t="shared" si="12"/>
        <v>BAJA</v>
      </c>
      <c r="K52" s="74" t="str">
        <f t="shared" si="13"/>
        <v>🐎 Caballo</v>
      </c>
      <c r="L52" s="74"/>
      <c r="M52" s="74" t="e">
        <f t="shared" si="14"/>
        <v>#N/A</v>
      </c>
      <c r="N52" s="74" t="e">
        <f t="shared" si="15"/>
        <v>#N/A</v>
      </c>
      <c r="O52" s="74">
        <f t="shared" si="16"/>
        <v>2.2450000000000001</v>
      </c>
      <c r="P52" s="74">
        <f t="shared" si="17"/>
        <v>2.7382256297918947E-2</v>
      </c>
      <c r="Q52" s="74" t="e">
        <f t="shared" si="18"/>
        <v>#N/A</v>
      </c>
      <c r="R52" s="74" t="e">
        <f t="shared" si="19"/>
        <v>#N/A</v>
      </c>
      <c r="S52" s="74" t="e">
        <f t="shared" si="20"/>
        <v>#N/A</v>
      </c>
      <c r="T52" s="74" t="e">
        <f t="shared" si="21"/>
        <v>#N/A</v>
      </c>
    </row>
    <row r="53" spans="1:20">
      <c r="A53" s="74">
        <f>'Product Mix'!A51</f>
        <v>46</v>
      </c>
      <c r="B53" s="74" t="str">
        <f>'Product Mix'!B51</f>
        <v>Nachos Texans</v>
      </c>
      <c r="C53" s="74" t="str">
        <f>'Product Mix'!C51</f>
        <v>Tapas Calientes</v>
      </c>
      <c r="D53" s="770">
        <f>'Product Mix'!D51</f>
        <v>11</v>
      </c>
      <c r="E53" s="771">
        <f>'Product Mix'!H51</f>
        <v>10.442727272727273</v>
      </c>
      <c r="F53" s="771">
        <f>'Product Mix'!J51</f>
        <v>2.57</v>
      </c>
      <c r="G53" s="771">
        <f>'Product Mix'!O51</f>
        <v>7.8727272727272739</v>
      </c>
      <c r="H53" s="759">
        <f>'Product Mix'!F51</f>
        <v>6.024096385542169E-3</v>
      </c>
      <c r="I53" s="74" t="str">
        <f t="shared" si="11"/>
        <v>ALTA</v>
      </c>
      <c r="J53" s="74" t="str">
        <f t="shared" si="12"/>
        <v>ALTA</v>
      </c>
      <c r="K53" s="74" t="str">
        <f t="shared" si="13"/>
        <v>⭐ Estrella</v>
      </c>
      <c r="L53" s="74"/>
      <c r="M53" s="74">
        <f t="shared" si="14"/>
        <v>7.8727272727272739</v>
      </c>
      <c r="N53" s="74">
        <f t="shared" si="15"/>
        <v>6.024096385542169E-3</v>
      </c>
      <c r="O53" s="74" t="e">
        <f t="shared" si="16"/>
        <v>#N/A</v>
      </c>
      <c r="P53" s="74" t="e">
        <f t="shared" si="17"/>
        <v>#N/A</v>
      </c>
      <c r="Q53" s="74" t="e">
        <f t="shared" si="18"/>
        <v>#N/A</v>
      </c>
      <c r="R53" s="74" t="e">
        <f t="shared" si="19"/>
        <v>#N/A</v>
      </c>
      <c r="S53" s="74" t="e">
        <f t="shared" si="20"/>
        <v>#N/A</v>
      </c>
      <c r="T53" s="74" t="e">
        <f t="shared" si="21"/>
        <v>#N/A</v>
      </c>
    </row>
    <row r="54" spans="1:20">
      <c r="A54" s="74">
        <f>'Product Mix'!A52</f>
        <v>47</v>
      </c>
      <c r="B54" s="74" t="str">
        <f>'Product Mix'!B52</f>
        <v>Croquetes de bolets</v>
      </c>
      <c r="C54" s="74" t="str">
        <f>'Product Mix'!C52</f>
        <v>Tapas Calientes</v>
      </c>
      <c r="D54" s="770">
        <f>'Product Mix'!D52</f>
        <v>23</v>
      </c>
      <c r="E54" s="771">
        <f>'Product Mix'!H52</f>
        <v>8.1999999999999993</v>
      </c>
      <c r="F54" s="771">
        <f>'Product Mix'!J52</f>
        <v>0.9</v>
      </c>
      <c r="G54" s="771">
        <f>'Product Mix'!O52</f>
        <v>7.3</v>
      </c>
      <c r="H54" s="759">
        <f>'Product Mix'!F52</f>
        <v>1.2595837897042717E-2</v>
      </c>
      <c r="I54" s="74" t="str">
        <f t="shared" si="11"/>
        <v>ALTA</v>
      </c>
      <c r="J54" s="74" t="str">
        <f t="shared" si="12"/>
        <v>ALTA</v>
      </c>
      <c r="K54" s="74" t="str">
        <f t="shared" si="13"/>
        <v>⭐ Estrella</v>
      </c>
      <c r="L54" s="74"/>
      <c r="M54" s="74">
        <f t="shared" si="14"/>
        <v>7.3</v>
      </c>
      <c r="N54" s="74">
        <f t="shared" si="15"/>
        <v>1.2595837897042717E-2</v>
      </c>
      <c r="O54" s="74" t="e">
        <f t="shared" si="16"/>
        <v>#N/A</v>
      </c>
      <c r="P54" s="74" t="e">
        <f t="shared" si="17"/>
        <v>#N/A</v>
      </c>
      <c r="Q54" s="74" t="e">
        <f t="shared" si="18"/>
        <v>#N/A</v>
      </c>
      <c r="R54" s="74" t="e">
        <f t="shared" si="19"/>
        <v>#N/A</v>
      </c>
      <c r="S54" s="74" t="e">
        <f t="shared" si="20"/>
        <v>#N/A</v>
      </c>
      <c r="T54" s="74" t="e">
        <f t="shared" si="21"/>
        <v>#N/A</v>
      </c>
    </row>
    <row r="55" spans="1:20">
      <c r="A55" s="74">
        <f>'Product Mix'!A53</f>
        <v>48</v>
      </c>
      <c r="B55" s="74" t="str">
        <f>'Product Mix'!B53</f>
        <v>Croquetes Cua de Toro</v>
      </c>
      <c r="C55" s="74" t="str">
        <f>'Product Mix'!C53</f>
        <v>Tapas Calientes</v>
      </c>
      <c r="D55" s="770">
        <f>'Product Mix'!D53</f>
        <v>21</v>
      </c>
      <c r="E55" s="771">
        <f>'Product Mix'!H53</f>
        <v>8.1999999999999993</v>
      </c>
      <c r="F55" s="771">
        <f>'Product Mix'!J53</f>
        <v>1.1599999999999999</v>
      </c>
      <c r="G55" s="771">
        <f>'Product Mix'!O53</f>
        <v>7.0399999999999991</v>
      </c>
      <c r="H55" s="759">
        <f>'Product Mix'!F53</f>
        <v>1.1500547645125958E-2</v>
      </c>
      <c r="I55" s="74" t="str">
        <f t="shared" si="11"/>
        <v>ALTA</v>
      </c>
      <c r="J55" s="74" t="str">
        <f t="shared" si="12"/>
        <v>ALTA</v>
      </c>
      <c r="K55" s="74" t="str">
        <f t="shared" si="13"/>
        <v>⭐ Estrella</v>
      </c>
      <c r="L55" s="74"/>
      <c r="M55" s="74">
        <f t="shared" si="14"/>
        <v>7.0399999999999991</v>
      </c>
      <c r="N55" s="74">
        <f t="shared" si="15"/>
        <v>1.1500547645125958E-2</v>
      </c>
      <c r="O55" s="74" t="e">
        <f t="shared" si="16"/>
        <v>#N/A</v>
      </c>
      <c r="P55" s="74" t="e">
        <f t="shared" si="17"/>
        <v>#N/A</v>
      </c>
      <c r="Q55" s="74" t="e">
        <f t="shared" si="18"/>
        <v>#N/A</v>
      </c>
      <c r="R55" s="74" t="e">
        <f t="shared" si="19"/>
        <v>#N/A</v>
      </c>
      <c r="S55" s="74" t="e">
        <f t="shared" si="20"/>
        <v>#N/A</v>
      </c>
      <c r="T55" s="74" t="e">
        <f t="shared" si="21"/>
        <v>#N/A</v>
      </c>
    </row>
    <row r="56" spans="1:20">
      <c r="A56" s="74">
        <f>'Product Mix'!A54</f>
        <v>49</v>
      </c>
      <c r="B56" s="74" t="str">
        <f>'Product Mix'!B54</f>
        <v>Flors carxofes</v>
      </c>
      <c r="C56" s="74" t="str">
        <f>'Product Mix'!C54</f>
        <v>Tapas Calientes</v>
      </c>
      <c r="D56" s="770">
        <f>'Product Mix'!D54</f>
        <v>0</v>
      </c>
      <c r="E56" s="771">
        <f>'Product Mix'!H54</f>
        <v>0</v>
      </c>
      <c r="F56" s="771">
        <f>'Product Mix'!J54</f>
        <v>3.51</v>
      </c>
      <c r="G56" s="771">
        <f>'Product Mix'!O54</f>
        <v>0</v>
      </c>
      <c r="H56" s="759">
        <f>'Product Mix'!F54</f>
        <v>0</v>
      </c>
      <c r="I56" s="74" t="str">
        <f t="shared" si="11"/>
        <v>-</v>
      </c>
      <c r="J56" s="74" t="str">
        <f t="shared" si="12"/>
        <v>-</v>
      </c>
      <c r="K56" s="74" t="str">
        <f t="shared" si="13"/>
        <v>-</v>
      </c>
      <c r="L56" s="74"/>
      <c r="M56" s="74" t="e">
        <f t="shared" si="14"/>
        <v>#N/A</v>
      </c>
      <c r="N56" s="74" t="e">
        <f t="shared" si="15"/>
        <v>#N/A</v>
      </c>
      <c r="O56" s="74" t="e">
        <f t="shared" si="16"/>
        <v>#N/A</v>
      </c>
      <c r="P56" s="74" t="e">
        <f t="shared" si="17"/>
        <v>#N/A</v>
      </c>
      <c r="Q56" s="74" t="e">
        <f t="shared" si="18"/>
        <v>#N/A</v>
      </c>
      <c r="R56" s="74" t="e">
        <f t="shared" si="19"/>
        <v>#N/A</v>
      </c>
      <c r="S56" s="74" t="e">
        <f t="shared" si="20"/>
        <v>#N/A</v>
      </c>
      <c r="T56" s="74" t="e">
        <f t="shared" si="21"/>
        <v>#N/A</v>
      </c>
    </row>
    <row r="57" spans="1:20">
      <c r="A57" s="74">
        <f>'Product Mix'!A55</f>
        <v>50</v>
      </c>
      <c r="B57" s="74" t="str">
        <f>'Product Mix'!B55</f>
        <v>Verdejo V:Copa</v>
      </c>
      <c r="C57" s="74" t="str">
        <f>'Product Mix'!C55</f>
        <v>Vinos</v>
      </c>
      <c r="D57" s="770">
        <f>'Product Mix'!D55</f>
        <v>10</v>
      </c>
      <c r="E57" s="771">
        <f>'Product Mix'!H55</f>
        <v>3.2850000000000001</v>
      </c>
      <c r="F57" s="771">
        <f>'Product Mix'!J55</f>
        <v>0.68</v>
      </c>
      <c r="G57" s="771">
        <f>'Product Mix'!O55</f>
        <v>2.605</v>
      </c>
      <c r="H57" s="759">
        <f>'Product Mix'!F55</f>
        <v>5.4764512595837896E-3</v>
      </c>
      <c r="I57" s="74" t="str">
        <f t="shared" si="11"/>
        <v>ALTA</v>
      </c>
      <c r="J57" s="74" t="str">
        <f t="shared" si="12"/>
        <v>BAJA</v>
      </c>
      <c r="K57" s="74" t="str">
        <f t="shared" si="13"/>
        <v>🐎 Caballo</v>
      </c>
      <c r="L57" s="74"/>
      <c r="M57" s="74" t="e">
        <f t="shared" si="14"/>
        <v>#N/A</v>
      </c>
      <c r="N57" s="74" t="e">
        <f t="shared" si="15"/>
        <v>#N/A</v>
      </c>
      <c r="O57" s="74">
        <f t="shared" si="16"/>
        <v>2.605</v>
      </c>
      <c r="P57" s="74">
        <f t="shared" si="17"/>
        <v>5.4764512595837896E-3</v>
      </c>
      <c r="Q57" s="74" t="e">
        <f t="shared" si="18"/>
        <v>#N/A</v>
      </c>
      <c r="R57" s="74" t="e">
        <f t="shared" si="19"/>
        <v>#N/A</v>
      </c>
      <c r="S57" s="74" t="e">
        <f t="shared" si="20"/>
        <v>#N/A</v>
      </c>
      <c r="T57" s="74" t="e">
        <f t="shared" si="21"/>
        <v>#N/A</v>
      </c>
    </row>
    <row r="58" spans="1:20">
      <c r="A58" s="74">
        <f>'Product Mix'!A56</f>
        <v>51</v>
      </c>
      <c r="B58" s="74" t="str">
        <f>'Product Mix'!B56</f>
        <v>Mossets de camembert</v>
      </c>
      <c r="C58" s="74" t="str">
        <f>'Product Mix'!C56</f>
        <v>Tapas Calientes</v>
      </c>
      <c r="D58" s="770">
        <f>'Product Mix'!D56</f>
        <v>17</v>
      </c>
      <c r="E58" s="771">
        <f>'Product Mix'!H56</f>
        <v>8.5670588235294112</v>
      </c>
      <c r="F58" s="771">
        <f>'Product Mix'!J56</f>
        <v>1.84</v>
      </c>
      <c r="G58" s="771">
        <f>'Product Mix'!O56</f>
        <v>6.7270588235294113</v>
      </c>
      <c r="H58" s="759">
        <f>'Product Mix'!F56</f>
        <v>9.3099671412924419E-3</v>
      </c>
      <c r="I58" s="74" t="str">
        <f t="shared" si="11"/>
        <v>ALTA</v>
      </c>
      <c r="J58" s="74" t="str">
        <f t="shared" si="12"/>
        <v>ALTA</v>
      </c>
      <c r="K58" s="74" t="str">
        <f t="shared" si="13"/>
        <v>⭐ Estrella</v>
      </c>
      <c r="L58" s="74"/>
      <c r="M58" s="74">
        <f t="shared" si="14"/>
        <v>6.7270588235294113</v>
      </c>
      <c r="N58" s="74">
        <f t="shared" si="15"/>
        <v>9.3099671412924419E-3</v>
      </c>
      <c r="O58" s="74" t="e">
        <f t="shared" si="16"/>
        <v>#N/A</v>
      </c>
      <c r="P58" s="74" t="e">
        <f t="shared" si="17"/>
        <v>#N/A</v>
      </c>
      <c r="Q58" s="74" t="e">
        <f t="shared" si="18"/>
        <v>#N/A</v>
      </c>
      <c r="R58" s="74" t="e">
        <f t="shared" si="19"/>
        <v>#N/A</v>
      </c>
      <c r="S58" s="74" t="e">
        <f t="shared" si="20"/>
        <v>#N/A</v>
      </c>
      <c r="T58" s="74" t="e">
        <f t="shared" si="21"/>
        <v>#N/A</v>
      </c>
    </row>
    <row r="59" spans="1:20">
      <c r="A59" s="74">
        <f>'Product Mix'!A57</f>
        <v>52</v>
      </c>
      <c r="B59" s="74" t="str">
        <f>'Product Mix'!B57</f>
        <v>Croquetes Cua de Toro (Mix Croquetes)</v>
      </c>
      <c r="C59" s="74" t="str">
        <f>'Product Mix'!C57</f>
        <v>Tapas Calientes</v>
      </c>
      <c r="D59" s="770">
        <f>'Product Mix'!D57</f>
        <v>0</v>
      </c>
      <c r="E59" s="771">
        <f>'Product Mix'!H57</f>
        <v>0</v>
      </c>
      <c r="F59" s="771">
        <f>'Product Mix'!J57</f>
        <v>0.34</v>
      </c>
      <c r="G59" s="771">
        <f>'Product Mix'!O57</f>
        <v>0</v>
      </c>
      <c r="H59" s="759">
        <f>'Product Mix'!F57</f>
        <v>0</v>
      </c>
      <c r="I59" s="74" t="str">
        <f t="shared" si="11"/>
        <v>-</v>
      </c>
      <c r="J59" s="74" t="str">
        <f t="shared" si="12"/>
        <v>-</v>
      </c>
      <c r="K59" s="74" t="str">
        <f t="shared" si="13"/>
        <v>-</v>
      </c>
      <c r="L59" s="74"/>
      <c r="M59" s="74" t="e">
        <f t="shared" si="14"/>
        <v>#N/A</v>
      </c>
      <c r="N59" s="74" t="e">
        <f t="shared" si="15"/>
        <v>#N/A</v>
      </c>
      <c r="O59" s="74" t="e">
        <f t="shared" si="16"/>
        <v>#N/A</v>
      </c>
      <c r="P59" s="74" t="e">
        <f t="shared" si="17"/>
        <v>#N/A</v>
      </c>
      <c r="Q59" s="74" t="e">
        <f t="shared" si="18"/>
        <v>#N/A</v>
      </c>
      <c r="R59" s="74" t="e">
        <f t="shared" si="19"/>
        <v>#N/A</v>
      </c>
      <c r="S59" s="74" t="e">
        <f t="shared" si="20"/>
        <v>#N/A</v>
      </c>
      <c r="T59" s="74" t="e">
        <f t="shared" si="21"/>
        <v>#N/A</v>
      </c>
    </row>
    <row r="60" spans="1:20">
      <c r="A60" s="74">
        <f>'Product Mix'!A58</f>
        <v>53</v>
      </c>
      <c r="B60" s="74" t="str">
        <f>'Product Mix'!B58</f>
        <v>Vermut casero</v>
      </c>
      <c r="C60" s="74" t="str">
        <f>'Product Mix'!C58</f>
        <v>Vinos</v>
      </c>
      <c r="D60" s="770">
        <f>'Product Mix'!D58</f>
        <v>1</v>
      </c>
      <c r="E60" s="771">
        <f>'Product Mix'!H58</f>
        <v>3</v>
      </c>
      <c r="F60" s="771">
        <f>'Product Mix'!J58</f>
        <v>0.81</v>
      </c>
      <c r="G60" s="771">
        <f>'Product Mix'!O58</f>
        <v>2.19</v>
      </c>
      <c r="H60" s="759">
        <f>'Product Mix'!F58</f>
        <v>5.4764512595837896E-4</v>
      </c>
      <c r="I60" s="74" t="str">
        <f t="shared" si="11"/>
        <v>BAJA</v>
      </c>
      <c r="J60" s="74" t="str">
        <f t="shared" si="12"/>
        <v>BAJA</v>
      </c>
      <c r="K60" s="74" t="str">
        <f t="shared" si="13"/>
        <v>🐶 Perro</v>
      </c>
      <c r="L60" s="74"/>
      <c r="M60" s="74" t="e">
        <f t="shared" si="14"/>
        <v>#N/A</v>
      </c>
      <c r="N60" s="74" t="e">
        <f t="shared" si="15"/>
        <v>#N/A</v>
      </c>
      <c r="O60" s="74" t="e">
        <f t="shared" si="16"/>
        <v>#N/A</v>
      </c>
      <c r="P60" s="74" t="e">
        <f t="shared" si="17"/>
        <v>#N/A</v>
      </c>
      <c r="Q60" s="74" t="e">
        <f t="shared" si="18"/>
        <v>#N/A</v>
      </c>
      <c r="R60" s="74" t="e">
        <f t="shared" si="19"/>
        <v>#N/A</v>
      </c>
      <c r="S60" s="74">
        <f t="shared" si="20"/>
        <v>2.19</v>
      </c>
      <c r="T60" s="74">
        <f t="shared" si="21"/>
        <v>5.4764512595837896E-4</v>
      </c>
    </row>
    <row r="61" spans="1:20">
      <c r="A61" s="74">
        <f>'Product Mix'!A59</f>
        <v>54</v>
      </c>
      <c r="B61" s="74" t="str">
        <f>'Product Mix'!B59</f>
        <v>Croquetes de l'avia</v>
      </c>
      <c r="C61" s="74" t="str">
        <f>'Product Mix'!C59</f>
        <v>Tapas Calientes</v>
      </c>
      <c r="D61" s="770">
        <f>'Product Mix'!D59</f>
        <v>27</v>
      </c>
      <c r="E61" s="771">
        <f>'Product Mix'!H59</f>
        <v>8.0740740740740744</v>
      </c>
      <c r="F61" s="771">
        <f>'Product Mix'!J59</f>
        <v>0.88</v>
      </c>
      <c r="G61" s="771">
        <f>'Product Mix'!O59</f>
        <v>7.1940740740740745</v>
      </c>
      <c r="H61" s="759">
        <f>'Product Mix'!F59</f>
        <v>1.4786418400876232E-2</v>
      </c>
      <c r="I61" s="74" t="str">
        <f t="shared" si="11"/>
        <v>ALTA</v>
      </c>
      <c r="J61" s="74" t="str">
        <f t="shared" si="12"/>
        <v>ALTA</v>
      </c>
      <c r="K61" s="74" t="str">
        <f t="shared" si="13"/>
        <v>⭐ Estrella</v>
      </c>
      <c r="L61" s="74"/>
      <c r="M61" s="74">
        <f t="shared" si="14"/>
        <v>7.1940740740740745</v>
      </c>
      <c r="N61" s="74">
        <f t="shared" si="15"/>
        <v>1.4786418400876232E-2</v>
      </c>
      <c r="O61" s="74" t="e">
        <f t="shared" si="16"/>
        <v>#N/A</v>
      </c>
      <c r="P61" s="74" t="e">
        <f t="shared" si="17"/>
        <v>#N/A</v>
      </c>
      <c r="Q61" s="74" t="e">
        <f t="shared" si="18"/>
        <v>#N/A</v>
      </c>
      <c r="R61" s="74" t="e">
        <f t="shared" si="19"/>
        <v>#N/A</v>
      </c>
      <c r="S61" s="74" t="e">
        <f t="shared" si="20"/>
        <v>#N/A</v>
      </c>
      <c r="T61" s="74" t="e">
        <f t="shared" si="21"/>
        <v>#N/A</v>
      </c>
    </row>
    <row r="62" spans="1:20">
      <c r="A62" s="74">
        <f>'Product Mix'!A60</f>
        <v>55</v>
      </c>
      <c r="B62" s="74" t="str">
        <f>'Product Mix'!B60</f>
        <v>Pastis fastuc</v>
      </c>
      <c r="C62" s="74" t="str">
        <f>'Product Mix'!C60</f>
        <v>Postres</v>
      </c>
      <c r="D62" s="770">
        <f>'Product Mix'!D60</f>
        <v>5</v>
      </c>
      <c r="E62" s="771">
        <f>'Product Mix'!H60</f>
        <v>5</v>
      </c>
      <c r="F62" s="771">
        <f>'Product Mix'!J60</f>
        <v>1.02</v>
      </c>
      <c r="G62" s="771">
        <f>'Product Mix'!O60</f>
        <v>3.9799999999999995</v>
      </c>
      <c r="H62" s="759">
        <f>'Product Mix'!F60</f>
        <v>2.7382256297918948E-3</v>
      </c>
      <c r="I62" s="74" t="str">
        <f t="shared" si="11"/>
        <v>BAJA</v>
      </c>
      <c r="J62" s="74" t="str">
        <f t="shared" si="12"/>
        <v>ALTA</v>
      </c>
      <c r="K62" s="74" t="str">
        <f t="shared" si="13"/>
        <v>🧩 Puzzle</v>
      </c>
      <c r="L62" s="74"/>
      <c r="M62" s="74" t="e">
        <f t="shared" si="14"/>
        <v>#N/A</v>
      </c>
      <c r="N62" s="74" t="e">
        <f t="shared" si="15"/>
        <v>#N/A</v>
      </c>
      <c r="O62" s="74" t="e">
        <f t="shared" si="16"/>
        <v>#N/A</v>
      </c>
      <c r="P62" s="74" t="e">
        <f t="shared" si="17"/>
        <v>#N/A</v>
      </c>
      <c r="Q62" s="74">
        <f t="shared" si="18"/>
        <v>3.9799999999999995</v>
      </c>
      <c r="R62" s="74">
        <f t="shared" si="19"/>
        <v>2.7382256297918948E-3</v>
      </c>
      <c r="S62" s="74" t="e">
        <f t="shared" si="20"/>
        <v>#N/A</v>
      </c>
      <c r="T62" s="74" t="e">
        <f t="shared" si="21"/>
        <v>#N/A</v>
      </c>
    </row>
    <row r="63" spans="1:20">
      <c r="A63" s="74">
        <f>'Product Mix'!A61</f>
        <v>56</v>
      </c>
      <c r="B63" s="74" t="str">
        <f>'Product Mix'!B61</f>
        <v>Esmorzar de Caldes</v>
      </c>
      <c r="C63" s="74" t="str">
        <f>'Product Mix'!C61</f>
        <v>Desayunos</v>
      </c>
      <c r="D63" s="770">
        <f>'Product Mix'!D61</f>
        <v>13</v>
      </c>
      <c r="E63" s="771">
        <f>'Product Mix'!H61</f>
        <v>7.3076923076923075</v>
      </c>
      <c r="F63" s="771">
        <f>'Product Mix'!J61</f>
        <v>1.23</v>
      </c>
      <c r="G63" s="771">
        <f>'Product Mix'!O61</f>
        <v>6.0776923076923079</v>
      </c>
      <c r="H63" s="759">
        <f>'Product Mix'!F61</f>
        <v>7.1193866374589269E-3</v>
      </c>
      <c r="I63" s="74" t="str">
        <f t="shared" si="11"/>
        <v>ALTA</v>
      </c>
      <c r="J63" s="74" t="str">
        <f t="shared" si="12"/>
        <v>ALTA</v>
      </c>
      <c r="K63" s="74" t="str">
        <f t="shared" si="13"/>
        <v>⭐ Estrella</v>
      </c>
      <c r="L63" s="74"/>
      <c r="M63" s="74">
        <f t="shared" si="14"/>
        <v>6.0776923076923079</v>
      </c>
      <c r="N63" s="74">
        <f t="shared" si="15"/>
        <v>7.1193866374589269E-3</v>
      </c>
      <c r="O63" s="74" t="e">
        <f t="shared" si="16"/>
        <v>#N/A</v>
      </c>
      <c r="P63" s="74" t="e">
        <f t="shared" si="17"/>
        <v>#N/A</v>
      </c>
      <c r="Q63" s="74" t="e">
        <f t="shared" si="18"/>
        <v>#N/A</v>
      </c>
      <c r="R63" s="74" t="e">
        <f t="shared" si="19"/>
        <v>#N/A</v>
      </c>
      <c r="S63" s="74" t="e">
        <f t="shared" si="20"/>
        <v>#N/A</v>
      </c>
      <c r="T63" s="74" t="e">
        <f t="shared" si="21"/>
        <v>#N/A</v>
      </c>
    </row>
    <row r="64" spans="1:20">
      <c r="A64" s="74">
        <f>'Product Mix'!A62</f>
        <v>57</v>
      </c>
      <c r="B64" s="74" t="str">
        <f>'Product Mix'!B62</f>
        <v>Orella a la gallega</v>
      </c>
      <c r="C64" s="74" t="str">
        <f>'Product Mix'!C62</f>
        <v>Tapas Calientes</v>
      </c>
      <c r="D64" s="770">
        <f>'Product Mix'!D62</f>
        <v>13</v>
      </c>
      <c r="E64" s="771">
        <f>'Product Mix'!H62</f>
        <v>7.6961538461538463</v>
      </c>
      <c r="F64" s="771">
        <f>'Product Mix'!J62</f>
        <v>0.76</v>
      </c>
      <c r="G64" s="771">
        <f>'Product Mix'!O62</f>
        <v>6.9361538461538466</v>
      </c>
      <c r="H64" s="759">
        <f>'Product Mix'!F62</f>
        <v>7.1193866374589269E-3</v>
      </c>
      <c r="I64" s="74" t="str">
        <f t="shared" si="11"/>
        <v>ALTA</v>
      </c>
      <c r="J64" s="74" t="str">
        <f t="shared" si="12"/>
        <v>ALTA</v>
      </c>
      <c r="K64" s="74" t="str">
        <f t="shared" si="13"/>
        <v>⭐ Estrella</v>
      </c>
      <c r="L64" s="74"/>
      <c r="M64" s="74">
        <f t="shared" si="14"/>
        <v>6.9361538461538466</v>
      </c>
      <c r="N64" s="74">
        <f t="shared" si="15"/>
        <v>7.1193866374589269E-3</v>
      </c>
      <c r="O64" s="74" t="e">
        <f t="shared" si="16"/>
        <v>#N/A</v>
      </c>
      <c r="P64" s="74" t="e">
        <f t="shared" si="17"/>
        <v>#N/A</v>
      </c>
      <c r="Q64" s="74" t="e">
        <f t="shared" si="18"/>
        <v>#N/A</v>
      </c>
      <c r="R64" s="74" t="e">
        <f t="shared" si="19"/>
        <v>#N/A</v>
      </c>
      <c r="S64" s="74" t="e">
        <f t="shared" si="20"/>
        <v>#N/A</v>
      </c>
      <c r="T64" s="74" t="e">
        <f t="shared" si="21"/>
        <v>#N/A</v>
      </c>
    </row>
    <row r="65" spans="1:20">
      <c r="A65" s="74">
        <f>'Product Mix'!A63</f>
        <v>58</v>
      </c>
      <c r="B65" s="74" t="str">
        <f>'Product Mix'!B63</f>
        <v>Amanida Montesa</v>
      </c>
      <c r="C65" s="74" t="str">
        <f>'Product Mix'!C63</f>
        <v>Ensaladas</v>
      </c>
      <c r="D65" s="770">
        <f>'Product Mix'!D63</f>
        <v>12</v>
      </c>
      <c r="E65" s="771">
        <f>'Product Mix'!H63</f>
        <v>9.1316666666666659</v>
      </c>
      <c r="F65" s="771">
        <f>'Product Mix'!J63</f>
        <v>0.68</v>
      </c>
      <c r="G65" s="771">
        <f>'Product Mix'!O63</f>
        <v>8.4516666666666662</v>
      </c>
      <c r="H65" s="759">
        <f>'Product Mix'!F63</f>
        <v>6.5717415115005475E-3</v>
      </c>
      <c r="I65" s="74" t="str">
        <f t="shared" si="11"/>
        <v>ALTA</v>
      </c>
      <c r="J65" s="74" t="str">
        <f t="shared" si="12"/>
        <v>ALTA</v>
      </c>
      <c r="K65" s="74" t="str">
        <f t="shared" si="13"/>
        <v>⭐ Estrella</v>
      </c>
      <c r="L65" s="74"/>
      <c r="M65" s="74">
        <f t="shared" si="14"/>
        <v>8.4516666666666662</v>
      </c>
      <c r="N65" s="74">
        <f t="shared" si="15"/>
        <v>6.5717415115005475E-3</v>
      </c>
      <c r="O65" s="74" t="e">
        <f t="shared" si="16"/>
        <v>#N/A</v>
      </c>
      <c r="P65" s="74" t="e">
        <f t="shared" si="17"/>
        <v>#N/A</v>
      </c>
      <c r="Q65" s="74" t="e">
        <f t="shared" si="18"/>
        <v>#N/A</v>
      </c>
      <c r="R65" s="74" t="e">
        <f t="shared" si="19"/>
        <v>#N/A</v>
      </c>
      <c r="S65" s="74" t="e">
        <f t="shared" si="20"/>
        <v>#N/A</v>
      </c>
      <c r="T65" s="74" t="e">
        <f t="shared" si="21"/>
        <v>#N/A</v>
      </c>
    </row>
    <row r="66" spans="1:20">
      <c r="A66" s="74">
        <f>'Product Mix'!A64</f>
        <v>59</v>
      </c>
      <c r="B66" s="74" t="str">
        <f>'Product Mix'!B64</f>
        <v>Leche avena</v>
      </c>
      <c r="C66" s="74" t="str">
        <f>'Product Mix'!C64</f>
        <v>Pendiente</v>
      </c>
      <c r="D66" s="770">
        <f>'Product Mix'!D64</f>
        <v>10</v>
      </c>
      <c r="E66" s="771">
        <f>'Product Mix'!H64</f>
        <v>4.4999999999999998E-2</v>
      </c>
      <c r="F66" s="771">
        <f>'Product Mix'!J64</f>
        <v>0</v>
      </c>
      <c r="G66" s="771">
        <f>'Product Mix'!O64</f>
        <v>4.4999999999999998E-2</v>
      </c>
      <c r="H66" s="759">
        <f>'Product Mix'!F64</f>
        <v>5.4764512595837896E-3</v>
      </c>
      <c r="I66" s="74" t="str">
        <f t="shared" si="11"/>
        <v>ALTA</v>
      </c>
      <c r="J66" s="74" t="str">
        <f t="shared" si="12"/>
        <v>BAJA</v>
      </c>
      <c r="K66" s="74" t="str">
        <f t="shared" si="13"/>
        <v>🐎 Caballo</v>
      </c>
      <c r="L66" s="74"/>
      <c r="M66" s="74" t="e">
        <f t="shared" si="14"/>
        <v>#N/A</v>
      </c>
      <c r="N66" s="74" t="e">
        <f t="shared" si="15"/>
        <v>#N/A</v>
      </c>
      <c r="O66" s="74">
        <f t="shared" si="16"/>
        <v>4.4999999999999998E-2</v>
      </c>
      <c r="P66" s="74">
        <f t="shared" si="17"/>
        <v>5.4764512595837896E-3</v>
      </c>
      <c r="Q66" s="74" t="e">
        <f t="shared" si="18"/>
        <v>#N/A</v>
      </c>
      <c r="R66" s="74" t="e">
        <f t="shared" si="19"/>
        <v>#N/A</v>
      </c>
      <c r="S66" s="74" t="e">
        <f t="shared" si="20"/>
        <v>#N/A</v>
      </c>
      <c r="T66" s="74" t="e">
        <f t="shared" si="21"/>
        <v>#N/A</v>
      </c>
    </row>
    <row r="67" spans="1:20">
      <c r="A67" s="74">
        <f>'Product Mix'!A65</f>
        <v>60</v>
      </c>
      <c r="B67" s="74" t="str">
        <f>'Product Mix'!B65</f>
        <v>Ous de Mallorca</v>
      </c>
      <c r="C67" s="74" t="str">
        <f>'Product Mix'!C65</f>
        <v>Huevos estrellados</v>
      </c>
      <c r="D67" s="770">
        <f>'Product Mix'!D65</f>
        <v>16</v>
      </c>
      <c r="E67" s="771">
        <f>'Product Mix'!H65</f>
        <v>11.303750000000001</v>
      </c>
      <c r="F67" s="771">
        <f>'Product Mix'!J65</f>
        <v>2.52</v>
      </c>
      <c r="G67" s="771">
        <f>'Product Mix'!O65</f>
        <v>8.7837500000000013</v>
      </c>
      <c r="H67" s="759">
        <f>'Product Mix'!F65</f>
        <v>8.7623220153340634E-3</v>
      </c>
      <c r="I67" s="74" t="str">
        <f t="shared" si="11"/>
        <v>ALTA</v>
      </c>
      <c r="J67" s="74" t="str">
        <f t="shared" si="12"/>
        <v>ALTA</v>
      </c>
      <c r="K67" s="74" t="str">
        <f t="shared" si="13"/>
        <v>⭐ Estrella</v>
      </c>
      <c r="L67" s="74"/>
      <c r="M67" s="74">
        <f t="shared" si="14"/>
        <v>8.7837500000000013</v>
      </c>
      <c r="N67" s="74">
        <f t="shared" si="15"/>
        <v>8.7623220153340634E-3</v>
      </c>
      <c r="O67" s="74" t="e">
        <f t="shared" si="16"/>
        <v>#N/A</v>
      </c>
      <c r="P67" s="74" t="e">
        <f t="shared" si="17"/>
        <v>#N/A</v>
      </c>
      <c r="Q67" s="74" t="e">
        <f t="shared" si="18"/>
        <v>#N/A</v>
      </c>
      <c r="R67" s="74" t="e">
        <f t="shared" si="19"/>
        <v>#N/A</v>
      </c>
      <c r="S67" s="74" t="e">
        <f t="shared" si="20"/>
        <v>#N/A</v>
      </c>
      <c r="T67" s="74" t="e">
        <f t="shared" si="21"/>
        <v>#N/A</v>
      </c>
    </row>
    <row r="68" spans="1:20">
      <c r="A68" s="74">
        <f>'Product Mix'!A66</f>
        <v>61</v>
      </c>
      <c r="B68" s="74" t="str">
        <f>'Product Mix'!B66</f>
        <v>Pudin</v>
      </c>
      <c r="C68" s="74" t="str">
        <f>'Product Mix'!C66</f>
        <v>Menu Postres</v>
      </c>
      <c r="D68" s="770">
        <f>'Product Mix'!D66</f>
        <v>3</v>
      </c>
      <c r="E68" s="771">
        <f>'Product Mix'!H66</f>
        <v>4.5</v>
      </c>
      <c r="F68" s="771">
        <f>'Product Mix'!J66</f>
        <v>0.79</v>
      </c>
      <c r="G68" s="771">
        <f>'Product Mix'!O66</f>
        <v>3.7099999999999995</v>
      </c>
      <c r="H68" s="759">
        <f>'Product Mix'!F66</f>
        <v>1.6429353778751369E-3</v>
      </c>
      <c r="I68" s="74" t="str">
        <f t="shared" si="11"/>
        <v>BAJA</v>
      </c>
      <c r="J68" s="74" t="str">
        <f t="shared" si="12"/>
        <v>ALTA</v>
      </c>
      <c r="K68" s="74" t="str">
        <f t="shared" si="13"/>
        <v>🧩 Puzzle</v>
      </c>
      <c r="L68" s="74"/>
      <c r="M68" s="74" t="e">
        <f t="shared" si="14"/>
        <v>#N/A</v>
      </c>
      <c r="N68" s="74" t="e">
        <f t="shared" si="15"/>
        <v>#N/A</v>
      </c>
      <c r="O68" s="74" t="e">
        <f t="shared" si="16"/>
        <v>#N/A</v>
      </c>
      <c r="P68" s="74" t="e">
        <f t="shared" si="17"/>
        <v>#N/A</v>
      </c>
      <c r="Q68" s="74">
        <f t="shared" si="18"/>
        <v>3.7099999999999995</v>
      </c>
      <c r="R68" s="74">
        <f t="shared" si="19"/>
        <v>1.6429353778751369E-3</v>
      </c>
      <c r="S68" s="74" t="e">
        <f t="shared" si="20"/>
        <v>#N/A</v>
      </c>
      <c r="T68" s="74" t="e">
        <f t="shared" si="21"/>
        <v>#N/A</v>
      </c>
    </row>
    <row r="69" spans="1:20">
      <c r="A69" s="74">
        <f>'Product Mix'!A67</f>
        <v>62</v>
      </c>
      <c r="B69" s="74" t="str">
        <f>'Product Mix'!B67</f>
        <v>Aquarius Llimona</v>
      </c>
      <c r="C69" s="74" t="str">
        <f>'Product Mix'!C67</f>
        <v>Refrescos</v>
      </c>
      <c r="D69" s="770">
        <f>'Product Mix'!D67</f>
        <v>5</v>
      </c>
      <c r="E69" s="771">
        <f>'Product Mix'!H67</f>
        <v>2.6</v>
      </c>
      <c r="F69" s="771">
        <f>'Product Mix'!J67</f>
        <v>0.5</v>
      </c>
      <c r="G69" s="771">
        <f>'Product Mix'!O67</f>
        <v>2.1</v>
      </c>
      <c r="H69" s="759">
        <f>'Product Mix'!F67</f>
        <v>2.7382256297918948E-3</v>
      </c>
      <c r="I69" s="74" t="str">
        <f t="shared" si="11"/>
        <v>BAJA</v>
      </c>
      <c r="J69" s="74" t="str">
        <f t="shared" si="12"/>
        <v>BAJA</v>
      </c>
      <c r="K69" s="74" t="str">
        <f t="shared" si="13"/>
        <v>🐶 Perro</v>
      </c>
      <c r="L69" s="74"/>
      <c r="M69" s="74" t="e">
        <f t="shared" si="14"/>
        <v>#N/A</v>
      </c>
      <c r="N69" s="74" t="e">
        <f t="shared" si="15"/>
        <v>#N/A</v>
      </c>
      <c r="O69" s="74" t="e">
        <f t="shared" si="16"/>
        <v>#N/A</v>
      </c>
      <c r="P69" s="74" t="e">
        <f t="shared" si="17"/>
        <v>#N/A</v>
      </c>
      <c r="Q69" s="74" t="e">
        <f t="shared" si="18"/>
        <v>#N/A</v>
      </c>
      <c r="R69" s="74" t="e">
        <f t="shared" si="19"/>
        <v>#N/A</v>
      </c>
      <c r="S69" s="74">
        <f t="shared" si="20"/>
        <v>2.1</v>
      </c>
      <c r="T69" s="74">
        <f t="shared" si="21"/>
        <v>2.7382256297918948E-3</v>
      </c>
    </row>
    <row r="70" spans="1:20">
      <c r="A70" s="74">
        <f>'Product Mix'!A68</f>
        <v>63</v>
      </c>
      <c r="B70" s="74" t="str">
        <f>'Product Mix'!B68</f>
        <v>Nestea Llimona</v>
      </c>
      <c r="C70" s="74" t="str">
        <f>'Product Mix'!C68</f>
        <v>Refrescos</v>
      </c>
      <c r="D70" s="770">
        <f>'Product Mix'!D68</f>
        <v>9</v>
      </c>
      <c r="E70" s="771">
        <f>'Product Mix'!H68</f>
        <v>2.6166666666666667</v>
      </c>
      <c r="F70" s="771">
        <f>'Product Mix'!J68</f>
        <v>0.56000000000000005</v>
      </c>
      <c r="G70" s="771">
        <f>'Product Mix'!O68</f>
        <v>2.0566666666666666</v>
      </c>
      <c r="H70" s="759">
        <f>'Product Mix'!F68</f>
        <v>4.9288061336254111E-3</v>
      </c>
      <c r="I70" s="74" t="str">
        <f t="shared" si="11"/>
        <v>BAJA</v>
      </c>
      <c r="J70" s="74" t="str">
        <f t="shared" si="12"/>
        <v>BAJA</v>
      </c>
      <c r="K70" s="74" t="str">
        <f t="shared" si="13"/>
        <v>🐶 Perro</v>
      </c>
      <c r="L70" s="74"/>
      <c r="M70" s="74" t="e">
        <f t="shared" si="14"/>
        <v>#N/A</v>
      </c>
      <c r="N70" s="74" t="e">
        <f t="shared" si="15"/>
        <v>#N/A</v>
      </c>
      <c r="O70" s="74" t="e">
        <f t="shared" si="16"/>
        <v>#N/A</v>
      </c>
      <c r="P70" s="74" t="e">
        <f t="shared" si="17"/>
        <v>#N/A</v>
      </c>
      <c r="Q70" s="74" t="e">
        <f t="shared" si="18"/>
        <v>#N/A</v>
      </c>
      <c r="R70" s="74" t="e">
        <f t="shared" si="19"/>
        <v>#N/A</v>
      </c>
      <c r="S70" s="74">
        <f t="shared" si="20"/>
        <v>2.0566666666666666</v>
      </c>
      <c r="T70" s="74">
        <f t="shared" si="21"/>
        <v>4.9288061336254111E-3</v>
      </c>
    </row>
    <row r="71" spans="1:20">
      <c r="A71" s="74">
        <f>'Product Mix'!A69</f>
        <v>64</v>
      </c>
      <c r="B71" s="74" t="str">
        <f>'Product Mix'!B69</f>
        <v>Menu La Truita</v>
      </c>
      <c r="C71" s="74" t="str">
        <f>'Product Mix'!C69</f>
        <v>Almuerzo</v>
      </c>
      <c r="D71" s="770">
        <f>'Product Mix'!D69</f>
        <v>5</v>
      </c>
      <c r="E71" s="771">
        <f>'Product Mix'!H69</f>
        <v>5.34</v>
      </c>
      <c r="F71" s="771">
        <f>'Product Mix'!J69</f>
        <v>0.6</v>
      </c>
      <c r="G71" s="771">
        <f>'Product Mix'!O69</f>
        <v>4.74</v>
      </c>
      <c r="H71" s="759">
        <f>'Product Mix'!F69</f>
        <v>2.7382256297918948E-3</v>
      </c>
      <c r="I71" s="74" t="str">
        <f t="shared" si="11"/>
        <v>BAJA</v>
      </c>
      <c r="J71" s="74" t="str">
        <f t="shared" si="12"/>
        <v>ALTA</v>
      </c>
      <c r="K71" s="74" t="str">
        <f t="shared" si="13"/>
        <v>🧩 Puzzle</v>
      </c>
      <c r="L71" s="74"/>
      <c r="M71" s="74" t="e">
        <f t="shared" si="14"/>
        <v>#N/A</v>
      </c>
      <c r="N71" s="74" t="e">
        <f t="shared" si="15"/>
        <v>#N/A</v>
      </c>
      <c r="O71" s="74" t="e">
        <f t="shared" si="16"/>
        <v>#N/A</v>
      </c>
      <c r="P71" s="74" t="e">
        <f t="shared" si="17"/>
        <v>#N/A</v>
      </c>
      <c r="Q71" s="74">
        <f t="shared" si="18"/>
        <v>4.74</v>
      </c>
      <c r="R71" s="74">
        <f t="shared" si="19"/>
        <v>2.7382256297918948E-3</v>
      </c>
      <c r="S71" s="74" t="e">
        <f t="shared" si="20"/>
        <v>#N/A</v>
      </c>
      <c r="T71" s="74" t="e">
        <f t="shared" si="21"/>
        <v>#N/A</v>
      </c>
    </row>
    <row r="72" spans="1:20">
      <c r="A72" s="74">
        <f>'Product Mix'!A70</f>
        <v>65</v>
      </c>
      <c r="B72" s="74" t="str">
        <f>'Product Mix'!B70</f>
        <v>Vermut Negro</v>
      </c>
      <c r="C72" s="74" t="str">
        <f>'Product Mix'!C70</f>
        <v>Vinos</v>
      </c>
      <c r="D72" s="770">
        <f>'Product Mix'!D70</f>
        <v>22</v>
      </c>
      <c r="E72" s="771">
        <f>'Product Mix'!H70</f>
        <v>2.7727272727272729</v>
      </c>
      <c r="F72" s="771">
        <f>'Product Mix'!J70</f>
        <v>1.6</v>
      </c>
      <c r="G72" s="771">
        <f>'Product Mix'!O70</f>
        <v>1.1727272727272726</v>
      </c>
      <c r="H72" s="759">
        <f>'Product Mix'!F70</f>
        <v>1.2048192771084338E-2</v>
      </c>
      <c r="I72" s="74" t="str">
        <f t="shared" ref="I72:I103" si="22">IF(D72=0,"-",IF(H72&gt;=$E$5,"ALTA","BAJA"))</f>
        <v>ALTA</v>
      </c>
      <c r="J72" s="74" t="str">
        <f t="shared" ref="J72:J103" si="23">IF(D72=0,"-",IF(G72&gt;=$D$5,"ALTA","BAJA"))</f>
        <v>BAJA</v>
      </c>
      <c r="K72" s="74" t="str">
        <f t="shared" ref="K72:K103" si="24">IF(D72=0,"-",IF(AND(I72="ALTA",J72="ALTA"),"⭐ Estrella",IF(AND(I72="ALTA",J72="BAJA"),"🐎 Caballo",IF(AND(I72="BAJA",J72="ALTA"),"🧩 Puzzle","🐶 Perro"))))</f>
        <v>🐎 Caballo</v>
      </c>
      <c r="L72" s="74"/>
      <c r="M72" s="74" t="e">
        <f t="shared" ref="M72:M103" si="25">IF(ISNUMBER(SEARCH("Estrella",K72)),G72,NA())</f>
        <v>#N/A</v>
      </c>
      <c r="N72" s="74" t="e">
        <f t="shared" ref="N72:N103" si="26">IF(ISNUMBER(SEARCH("Estrella",K72)),H72,NA())</f>
        <v>#N/A</v>
      </c>
      <c r="O72" s="74">
        <f t="shared" ref="O72:O103" si="27">IF(ISNUMBER(SEARCH("Caballo",K72)),G72,NA())</f>
        <v>1.1727272727272726</v>
      </c>
      <c r="P72" s="74">
        <f t="shared" ref="P72:P103" si="28">IF(ISNUMBER(SEARCH("Caballo",K72)),H72,NA())</f>
        <v>1.2048192771084338E-2</v>
      </c>
      <c r="Q72" s="74" t="e">
        <f t="shared" ref="Q72:Q103" si="29">IF(ISNUMBER(SEARCH("Puzzle",K72)),G72,NA())</f>
        <v>#N/A</v>
      </c>
      <c r="R72" s="74" t="e">
        <f t="shared" ref="R72:R103" si="30">IF(ISNUMBER(SEARCH("Puzzle",K72)),H72,NA())</f>
        <v>#N/A</v>
      </c>
      <c r="S72" s="74" t="e">
        <f t="shared" ref="S72:S103" si="31">IF(ISNUMBER(SEARCH("Perro",K72)),G72,NA())</f>
        <v>#N/A</v>
      </c>
      <c r="T72" s="74" t="e">
        <f t="shared" ref="T72:T103" si="32">IF(ISNUMBER(SEARCH("Perro",K72)),H72,NA())</f>
        <v>#N/A</v>
      </c>
    </row>
    <row r="73" spans="1:20">
      <c r="A73" s="74">
        <f>'Product Mix'!A71</f>
        <v>66</v>
      </c>
      <c r="B73" s="74" t="str">
        <f>'Product Mix'!B71</f>
        <v>Amanida Burrata</v>
      </c>
      <c r="C73" s="74" t="str">
        <f>'Product Mix'!C71</f>
        <v>Ensaladas</v>
      </c>
      <c r="D73" s="770">
        <f>'Product Mix'!D71</f>
        <v>13</v>
      </c>
      <c r="E73" s="771">
        <f>'Product Mix'!H71</f>
        <v>11.586153846153847</v>
      </c>
      <c r="F73" s="771">
        <f>'Product Mix'!J71</f>
        <v>2.75</v>
      </c>
      <c r="G73" s="771">
        <f>'Product Mix'!O71</f>
        <v>8.8361538461538469</v>
      </c>
      <c r="H73" s="759">
        <f>'Product Mix'!F71</f>
        <v>7.1193866374589269E-3</v>
      </c>
      <c r="I73" s="74" t="str">
        <f t="shared" si="22"/>
        <v>ALTA</v>
      </c>
      <c r="J73" s="74" t="str">
        <f t="shared" si="23"/>
        <v>ALTA</v>
      </c>
      <c r="K73" s="74" t="str">
        <f t="shared" si="24"/>
        <v>⭐ Estrella</v>
      </c>
      <c r="L73" s="74"/>
      <c r="M73" s="74">
        <f t="shared" si="25"/>
        <v>8.8361538461538469</v>
      </c>
      <c r="N73" s="74">
        <f t="shared" si="26"/>
        <v>7.1193866374589269E-3</v>
      </c>
      <c r="O73" s="74" t="e">
        <f t="shared" si="27"/>
        <v>#N/A</v>
      </c>
      <c r="P73" s="74" t="e">
        <f t="shared" si="28"/>
        <v>#N/A</v>
      </c>
      <c r="Q73" s="74" t="e">
        <f t="shared" si="29"/>
        <v>#N/A</v>
      </c>
      <c r="R73" s="74" t="e">
        <f t="shared" si="30"/>
        <v>#N/A</v>
      </c>
      <c r="S73" s="74" t="e">
        <f t="shared" si="31"/>
        <v>#N/A</v>
      </c>
      <c r="T73" s="74" t="e">
        <f t="shared" si="32"/>
        <v>#N/A</v>
      </c>
    </row>
    <row r="74" spans="1:20">
      <c r="A74" s="74">
        <f>'Product Mix'!A72</f>
        <v>67</v>
      </c>
      <c r="B74" s="74" t="str">
        <f>'Product Mix'!B72</f>
        <v>Mix Croquetes</v>
      </c>
      <c r="C74" s="74" t="str">
        <f>'Product Mix'!C72</f>
        <v>Tapas Calientes</v>
      </c>
      <c r="D74" s="770">
        <f>'Product Mix'!D72</f>
        <v>0</v>
      </c>
      <c r="E74" s="771">
        <f>'Product Mix'!H72</f>
        <v>0</v>
      </c>
      <c r="F74" s="771">
        <f>'Product Mix'!J72</f>
        <v>1.71</v>
      </c>
      <c r="G74" s="771">
        <f>'Product Mix'!O72</f>
        <v>0</v>
      </c>
      <c r="H74" s="759">
        <f>'Product Mix'!F72</f>
        <v>0</v>
      </c>
      <c r="I74" s="74" t="str">
        <f t="shared" si="22"/>
        <v>-</v>
      </c>
      <c r="J74" s="74" t="str">
        <f t="shared" si="23"/>
        <v>-</v>
      </c>
      <c r="K74" s="74" t="str">
        <f t="shared" si="24"/>
        <v>-</v>
      </c>
      <c r="L74" s="74"/>
      <c r="M74" s="74" t="e">
        <f t="shared" si="25"/>
        <v>#N/A</v>
      </c>
      <c r="N74" s="74" t="e">
        <f t="shared" si="26"/>
        <v>#N/A</v>
      </c>
      <c r="O74" s="74" t="e">
        <f t="shared" si="27"/>
        <v>#N/A</v>
      </c>
      <c r="P74" s="74" t="e">
        <f t="shared" si="28"/>
        <v>#N/A</v>
      </c>
      <c r="Q74" s="74" t="e">
        <f t="shared" si="29"/>
        <v>#N/A</v>
      </c>
      <c r="R74" s="74" t="e">
        <f t="shared" si="30"/>
        <v>#N/A</v>
      </c>
      <c r="S74" s="74" t="e">
        <f t="shared" si="31"/>
        <v>#N/A</v>
      </c>
      <c r="T74" s="74" t="e">
        <f t="shared" si="32"/>
        <v>#N/A</v>
      </c>
    </row>
    <row r="75" spans="1:20">
      <c r="A75" s="74">
        <f>'Product Mix'!A73</f>
        <v>68</v>
      </c>
      <c r="B75" s="74" t="str">
        <f>'Product Mix'!B73</f>
        <v>1/2 Entrepa Fuet</v>
      </c>
      <c r="C75" s="74" t="str">
        <f>'Product Mix'!C73</f>
        <v>Bocadillos fríos</v>
      </c>
      <c r="D75" s="770">
        <f>'Product Mix'!D73</f>
        <v>2</v>
      </c>
      <c r="E75" s="771">
        <f>'Product Mix'!H73</f>
        <v>3.05</v>
      </c>
      <c r="F75" s="771">
        <f>'Product Mix'!J73</f>
        <v>0.18</v>
      </c>
      <c r="G75" s="771">
        <f>'Product Mix'!O73</f>
        <v>2.8699999999999997</v>
      </c>
      <c r="H75" s="759">
        <f>'Product Mix'!F73</f>
        <v>1.0952902519167579E-3</v>
      </c>
      <c r="I75" s="74" t="str">
        <f t="shared" si="22"/>
        <v>BAJA</v>
      </c>
      <c r="J75" s="74" t="str">
        <f t="shared" si="23"/>
        <v>BAJA</v>
      </c>
      <c r="K75" s="74" t="str">
        <f t="shared" si="24"/>
        <v>🐶 Perro</v>
      </c>
      <c r="L75" s="74"/>
      <c r="M75" s="74" t="e">
        <f t="shared" si="25"/>
        <v>#N/A</v>
      </c>
      <c r="N75" s="74" t="e">
        <f t="shared" si="26"/>
        <v>#N/A</v>
      </c>
      <c r="O75" s="74" t="e">
        <f t="shared" si="27"/>
        <v>#N/A</v>
      </c>
      <c r="P75" s="74" t="e">
        <f t="shared" si="28"/>
        <v>#N/A</v>
      </c>
      <c r="Q75" s="74" t="e">
        <f t="shared" si="29"/>
        <v>#N/A</v>
      </c>
      <c r="R75" s="74" t="e">
        <f t="shared" si="30"/>
        <v>#N/A</v>
      </c>
      <c r="S75" s="74">
        <f t="shared" si="31"/>
        <v>2.8699999999999997</v>
      </c>
      <c r="T75" s="74">
        <f t="shared" si="32"/>
        <v>1.0952902519167579E-3</v>
      </c>
    </row>
    <row r="76" spans="1:20">
      <c r="A76" s="74">
        <f>'Product Mix'!A74</f>
        <v>69</v>
      </c>
      <c r="B76" s="74" t="str">
        <f>'Product Mix'!B74</f>
        <v>Olives farcides</v>
      </c>
      <c r="C76" s="74" t="str">
        <f>'Product Mix'!C74</f>
        <v>Tapas frías</v>
      </c>
      <c r="D76" s="770">
        <f>'Product Mix'!D74</f>
        <v>8</v>
      </c>
      <c r="E76" s="771">
        <f>'Product Mix'!H74</f>
        <v>3.7762500000000001</v>
      </c>
      <c r="F76" s="771">
        <f>'Product Mix'!J74</f>
        <v>0.67</v>
      </c>
      <c r="G76" s="771">
        <f>'Product Mix'!O74</f>
        <v>3.1062500000000002</v>
      </c>
      <c r="H76" s="759">
        <f>'Product Mix'!F74</f>
        <v>4.3811610076670317E-3</v>
      </c>
      <c r="I76" s="74" t="str">
        <f t="shared" si="22"/>
        <v>BAJA</v>
      </c>
      <c r="J76" s="74" t="str">
        <f t="shared" si="23"/>
        <v>BAJA</v>
      </c>
      <c r="K76" s="74" t="str">
        <f t="shared" si="24"/>
        <v>🐶 Perro</v>
      </c>
      <c r="L76" s="74"/>
      <c r="M76" s="74" t="e">
        <f t="shared" si="25"/>
        <v>#N/A</v>
      </c>
      <c r="N76" s="74" t="e">
        <f t="shared" si="26"/>
        <v>#N/A</v>
      </c>
      <c r="O76" s="74" t="e">
        <f t="shared" si="27"/>
        <v>#N/A</v>
      </c>
      <c r="P76" s="74" t="e">
        <f t="shared" si="28"/>
        <v>#N/A</v>
      </c>
      <c r="Q76" s="74" t="e">
        <f t="shared" si="29"/>
        <v>#N/A</v>
      </c>
      <c r="R76" s="74" t="e">
        <f t="shared" si="30"/>
        <v>#N/A</v>
      </c>
      <c r="S76" s="74">
        <f t="shared" si="31"/>
        <v>3.1062500000000002</v>
      </c>
      <c r="T76" s="74">
        <f t="shared" si="32"/>
        <v>4.3811610076670317E-3</v>
      </c>
    </row>
    <row r="77" spans="1:20">
      <c r="A77" s="74">
        <f>'Product Mix'!A75</f>
        <v>70</v>
      </c>
      <c r="B77" s="74" t="str">
        <f>'Product Mix'!B75</f>
        <v>Carn amb salsa</v>
      </c>
      <c r="C77" s="74" t="str">
        <f>'Product Mix'!C75</f>
        <v>Tapas Calientes</v>
      </c>
      <c r="D77" s="770">
        <f>'Product Mix'!D75</f>
        <v>10</v>
      </c>
      <c r="E77" s="771">
        <f>'Product Mix'!H75</f>
        <v>11.5</v>
      </c>
      <c r="F77" s="771">
        <f>'Product Mix'!J75</f>
        <v>2.66</v>
      </c>
      <c r="G77" s="771">
        <f>'Product Mix'!O75</f>
        <v>8.84</v>
      </c>
      <c r="H77" s="759">
        <f>'Product Mix'!F75</f>
        <v>5.4764512595837896E-3</v>
      </c>
      <c r="I77" s="74" t="str">
        <f t="shared" si="22"/>
        <v>ALTA</v>
      </c>
      <c r="J77" s="74" t="str">
        <f t="shared" si="23"/>
        <v>ALTA</v>
      </c>
      <c r="K77" s="74" t="str">
        <f t="shared" si="24"/>
        <v>⭐ Estrella</v>
      </c>
      <c r="L77" s="74"/>
      <c r="M77" s="74">
        <f t="shared" si="25"/>
        <v>8.84</v>
      </c>
      <c r="N77" s="74">
        <f t="shared" si="26"/>
        <v>5.4764512595837896E-3</v>
      </c>
      <c r="O77" s="74" t="e">
        <f t="shared" si="27"/>
        <v>#N/A</v>
      </c>
      <c r="P77" s="74" t="e">
        <f t="shared" si="28"/>
        <v>#N/A</v>
      </c>
      <c r="Q77" s="74" t="e">
        <f t="shared" si="29"/>
        <v>#N/A</v>
      </c>
      <c r="R77" s="74" t="e">
        <f t="shared" si="30"/>
        <v>#N/A</v>
      </c>
      <c r="S77" s="74" t="e">
        <f t="shared" si="31"/>
        <v>#N/A</v>
      </c>
      <c r="T77" s="74" t="e">
        <f t="shared" si="32"/>
        <v>#N/A</v>
      </c>
    </row>
    <row r="78" spans="1:20">
      <c r="A78" s="74">
        <f>'Product Mix'!A76</f>
        <v>71</v>
      </c>
      <c r="B78" s="74" t="str">
        <f>'Product Mix'!B76</f>
        <v>Americana</v>
      </c>
      <c r="C78" s="74" t="str">
        <f>'Product Mix'!C76</f>
        <v>Tosta Pizzas</v>
      </c>
      <c r="D78" s="770">
        <f>'Product Mix'!D76</f>
        <v>10</v>
      </c>
      <c r="E78" s="771">
        <f>'Product Mix'!H76</f>
        <v>10.925000000000001</v>
      </c>
      <c r="F78" s="771">
        <f>'Product Mix'!J76</f>
        <v>2.54</v>
      </c>
      <c r="G78" s="771">
        <f>'Product Mix'!O76</f>
        <v>8.3849999999999998</v>
      </c>
      <c r="H78" s="759">
        <f>'Product Mix'!F76</f>
        <v>5.4764512595837896E-3</v>
      </c>
      <c r="I78" s="74" t="str">
        <f t="shared" si="22"/>
        <v>ALTA</v>
      </c>
      <c r="J78" s="74" t="str">
        <f t="shared" si="23"/>
        <v>ALTA</v>
      </c>
      <c r="K78" s="74" t="str">
        <f t="shared" si="24"/>
        <v>⭐ Estrella</v>
      </c>
      <c r="L78" s="74"/>
      <c r="M78" s="74">
        <f t="shared" si="25"/>
        <v>8.3849999999999998</v>
      </c>
      <c r="N78" s="74">
        <f t="shared" si="26"/>
        <v>5.4764512595837896E-3</v>
      </c>
      <c r="O78" s="74" t="e">
        <f t="shared" si="27"/>
        <v>#N/A</v>
      </c>
      <c r="P78" s="74" t="e">
        <f t="shared" si="28"/>
        <v>#N/A</v>
      </c>
      <c r="Q78" s="74" t="e">
        <f t="shared" si="29"/>
        <v>#N/A</v>
      </c>
      <c r="R78" s="74" t="e">
        <f t="shared" si="30"/>
        <v>#N/A</v>
      </c>
      <c r="S78" s="74" t="e">
        <f t="shared" si="31"/>
        <v>#N/A</v>
      </c>
      <c r="T78" s="74" t="e">
        <f t="shared" si="32"/>
        <v>#N/A</v>
      </c>
    </row>
    <row r="79" spans="1:20">
      <c r="A79" s="74">
        <f>'Product Mix'!A77</f>
        <v>72</v>
      </c>
      <c r="B79" s="74" t="str">
        <f>'Product Mix'!B77</f>
        <v>Mousse fruites</v>
      </c>
      <c r="C79" s="74" t="str">
        <f>'Product Mix'!C77</f>
        <v>Postres</v>
      </c>
      <c r="D79" s="770">
        <f>'Product Mix'!D77</f>
        <v>16</v>
      </c>
      <c r="E79" s="771">
        <f>'Product Mix'!H77</f>
        <v>4.765625</v>
      </c>
      <c r="F79" s="771">
        <f>'Product Mix'!J77</f>
        <v>0.41</v>
      </c>
      <c r="G79" s="771">
        <f>'Product Mix'!O77</f>
        <v>4.3556249999999999</v>
      </c>
      <c r="H79" s="759">
        <f>'Product Mix'!F77</f>
        <v>8.7623220153340634E-3</v>
      </c>
      <c r="I79" s="74" t="str">
        <f t="shared" si="22"/>
        <v>ALTA</v>
      </c>
      <c r="J79" s="74" t="str">
        <f t="shared" si="23"/>
        <v>ALTA</v>
      </c>
      <c r="K79" s="74" t="str">
        <f t="shared" si="24"/>
        <v>⭐ Estrella</v>
      </c>
      <c r="L79" s="74"/>
      <c r="M79" s="74">
        <f t="shared" si="25"/>
        <v>4.3556249999999999</v>
      </c>
      <c r="N79" s="74">
        <f t="shared" si="26"/>
        <v>8.7623220153340634E-3</v>
      </c>
      <c r="O79" s="74" t="e">
        <f t="shared" si="27"/>
        <v>#N/A</v>
      </c>
      <c r="P79" s="74" t="e">
        <f t="shared" si="28"/>
        <v>#N/A</v>
      </c>
      <c r="Q79" s="74" t="e">
        <f t="shared" si="29"/>
        <v>#N/A</v>
      </c>
      <c r="R79" s="74" t="e">
        <f t="shared" si="30"/>
        <v>#N/A</v>
      </c>
      <c r="S79" s="74" t="e">
        <f t="shared" si="31"/>
        <v>#N/A</v>
      </c>
      <c r="T79" s="74" t="e">
        <f t="shared" si="32"/>
        <v>#N/A</v>
      </c>
    </row>
    <row r="80" spans="1:20">
      <c r="A80" s="74">
        <f>'Product Mix'!A78</f>
        <v>73</v>
      </c>
      <c r="B80" s="74" t="str">
        <f>'Product Mix'!B78</f>
        <v>1/2 Entrepa Truita Francesa</v>
      </c>
      <c r="C80" s="74" t="str">
        <f>'Product Mix'!C78</f>
        <v>Bocadillos calientes</v>
      </c>
      <c r="D80" s="770">
        <f>'Product Mix'!D78</f>
        <v>4</v>
      </c>
      <c r="E80" s="771">
        <f>'Product Mix'!H78</f>
        <v>2.9350000000000001</v>
      </c>
      <c r="F80" s="771">
        <f>'Product Mix'!J78</f>
        <v>0.23</v>
      </c>
      <c r="G80" s="771">
        <f>'Product Mix'!O78</f>
        <v>2.7050000000000001</v>
      </c>
      <c r="H80" s="759">
        <f>'Product Mix'!F78</f>
        <v>2.1905805038335158E-3</v>
      </c>
      <c r="I80" s="74" t="str">
        <f t="shared" si="22"/>
        <v>BAJA</v>
      </c>
      <c r="J80" s="74" t="str">
        <f t="shared" si="23"/>
        <v>BAJA</v>
      </c>
      <c r="K80" s="74" t="str">
        <f t="shared" si="24"/>
        <v>🐶 Perro</v>
      </c>
      <c r="L80" s="74"/>
      <c r="M80" s="74" t="e">
        <f t="shared" si="25"/>
        <v>#N/A</v>
      </c>
      <c r="N80" s="74" t="e">
        <f t="shared" si="26"/>
        <v>#N/A</v>
      </c>
      <c r="O80" s="74" t="e">
        <f t="shared" si="27"/>
        <v>#N/A</v>
      </c>
      <c r="P80" s="74" t="e">
        <f t="shared" si="28"/>
        <v>#N/A</v>
      </c>
      <c r="Q80" s="74" t="e">
        <f t="shared" si="29"/>
        <v>#N/A</v>
      </c>
      <c r="R80" s="74" t="e">
        <f t="shared" si="30"/>
        <v>#N/A</v>
      </c>
      <c r="S80" s="74">
        <f t="shared" si="31"/>
        <v>2.7050000000000001</v>
      </c>
      <c r="T80" s="74">
        <f t="shared" si="32"/>
        <v>2.1905805038335158E-3</v>
      </c>
    </row>
    <row r="81" spans="1:20">
      <c r="A81" s="74">
        <f>'Product Mix'!A79</f>
        <v>74</v>
      </c>
      <c r="B81" s="74" t="str">
        <f>'Product Mix'!B79</f>
        <v>Cigaló</v>
      </c>
      <c r="C81" s="74" t="str">
        <f>'Product Mix'!C79</f>
        <v>Café</v>
      </c>
      <c r="D81" s="770">
        <f>'Product Mix'!D79</f>
        <v>4</v>
      </c>
      <c r="E81" s="771">
        <f>'Product Mix'!H79</f>
        <v>2.3174999999999999</v>
      </c>
      <c r="F81" s="771">
        <f>'Product Mix'!J79</f>
        <v>0.32</v>
      </c>
      <c r="G81" s="771">
        <f>'Product Mix'!O79</f>
        <v>1.9974999999999998</v>
      </c>
      <c r="H81" s="759">
        <f>'Product Mix'!F79</f>
        <v>2.1905805038335158E-3</v>
      </c>
      <c r="I81" s="74" t="str">
        <f t="shared" si="22"/>
        <v>BAJA</v>
      </c>
      <c r="J81" s="74" t="str">
        <f t="shared" si="23"/>
        <v>BAJA</v>
      </c>
      <c r="K81" s="74" t="str">
        <f t="shared" si="24"/>
        <v>🐶 Perro</v>
      </c>
      <c r="L81" s="74"/>
      <c r="M81" s="74" t="e">
        <f t="shared" si="25"/>
        <v>#N/A</v>
      </c>
      <c r="N81" s="74" t="e">
        <f t="shared" si="26"/>
        <v>#N/A</v>
      </c>
      <c r="O81" s="74" t="e">
        <f t="shared" si="27"/>
        <v>#N/A</v>
      </c>
      <c r="P81" s="74" t="e">
        <f t="shared" si="28"/>
        <v>#N/A</v>
      </c>
      <c r="Q81" s="74" t="e">
        <f t="shared" si="29"/>
        <v>#N/A</v>
      </c>
      <c r="R81" s="74" t="e">
        <f t="shared" si="30"/>
        <v>#N/A</v>
      </c>
      <c r="S81" s="74">
        <f t="shared" si="31"/>
        <v>1.9974999999999998</v>
      </c>
      <c r="T81" s="74">
        <f t="shared" si="32"/>
        <v>2.1905805038335158E-3</v>
      </c>
    </row>
    <row r="82" spans="1:20">
      <c r="A82" s="74">
        <f>'Product Mix'!A80</f>
        <v>75</v>
      </c>
      <c r="B82" s="74" t="str">
        <f>'Product Mix'!B80</f>
        <v>Patata Bomba</v>
      </c>
      <c r="C82" s="74" t="str">
        <f>'Product Mix'!C80</f>
        <v>Tapas Calientes</v>
      </c>
      <c r="D82" s="770">
        <f>'Product Mix'!D80</f>
        <v>0</v>
      </c>
      <c r="E82" s="771">
        <f>'Product Mix'!H80</f>
        <v>0</v>
      </c>
      <c r="F82" s="771">
        <f>'Product Mix'!J80</f>
        <v>0</v>
      </c>
      <c r="G82" s="771">
        <f>'Product Mix'!O80</f>
        <v>0</v>
      </c>
      <c r="H82" s="759">
        <f>'Product Mix'!F80</f>
        <v>0</v>
      </c>
      <c r="I82" s="74" t="str">
        <f t="shared" si="22"/>
        <v>-</v>
      </c>
      <c r="J82" s="74" t="str">
        <f t="shared" si="23"/>
        <v>-</v>
      </c>
      <c r="K82" s="74" t="str">
        <f t="shared" si="24"/>
        <v>-</v>
      </c>
      <c r="L82" s="74"/>
      <c r="M82" s="74" t="e">
        <f t="shared" si="25"/>
        <v>#N/A</v>
      </c>
      <c r="N82" s="74" t="e">
        <f t="shared" si="26"/>
        <v>#N/A</v>
      </c>
      <c r="O82" s="74" t="e">
        <f t="shared" si="27"/>
        <v>#N/A</v>
      </c>
      <c r="P82" s="74" t="e">
        <f t="shared" si="28"/>
        <v>#N/A</v>
      </c>
      <c r="Q82" s="74" t="e">
        <f t="shared" si="29"/>
        <v>#N/A</v>
      </c>
      <c r="R82" s="74" t="e">
        <f t="shared" si="30"/>
        <v>#N/A</v>
      </c>
      <c r="S82" s="74" t="e">
        <f t="shared" si="31"/>
        <v>#N/A</v>
      </c>
      <c r="T82" s="74" t="e">
        <f t="shared" si="32"/>
        <v>#N/A</v>
      </c>
    </row>
    <row r="83" spans="1:20">
      <c r="A83" s="74">
        <f>'Product Mix'!A81</f>
        <v>76</v>
      </c>
      <c r="B83" s="74" t="str">
        <f>'Product Mix'!B81</f>
        <v>Aigua plàstic</v>
      </c>
      <c r="C83" s="74" t="str">
        <f>'Product Mix'!C81</f>
        <v>Refrescos</v>
      </c>
      <c r="D83" s="770">
        <f>'Product Mix'!D81</f>
        <v>2</v>
      </c>
      <c r="E83" s="771">
        <f>'Product Mix'!H81</f>
        <v>0.70499999999999996</v>
      </c>
      <c r="F83" s="771">
        <f>'Product Mix'!J81</f>
        <v>0</v>
      </c>
      <c r="G83" s="771">
        <f>'Product Mix'!O81</f>
        <v>0.70499999999999996</v>
      </c>
      <c r="H83" s="759">
        <f>'Product Mix'!F81</f>
        <v>1.0952902519167579E-3</v>
      </c>
      <c r="I83" s="74" t="str">
        <f t="shared" si="22"/>
        <v>BAJA</v>
      </c>
      <c r="J83" s="74" t="str">
        <f t="shared" si="23"/>
        <v>BAJA</v>
      </c>
      <c r="K83" s="74" t="str">
        <f t="shared" si="24"/>
        <v>🐶 Perro</v>
      </c>
      <c r="L83" s="74"/>
      <c r="M83" s="74" t="e">
        <f t="shared" si="25"/>
        <v>#N/A</v>
      </c>
      <c r="N83" s="74" t="e">
        <f t="shared" si="26"/>
        <v>#N/A</v>
      </c>
      <c r="O83" s="74" t="e">
        <f t="shared" si="27"/>
        <v>#N/A</v>
      </c>
      <c r="P83" s="74" t="e">
        <f t="shared" si="28"/>
        <v>#N/A</v>
      </c>
      <c r="Q83" s="74" t="e">
        <f t="shared" si="29"/>
        <v>#N/A</v>
      </c>
      <c r="R83" s="74" t="e">
        <f t="shared" si="30"/>
        <v>#N/A</v>
      </c>
      <c r="S83" s="74">
        <f t="shared" si="31"/>
        <v>0.70499999999999996</v>
      </c>
      <c r="T83" s="74">
        <f t="shared" si="32"/>
        <v>1.0952902519167579E-3</v>
      </c>
    </row>
    <row r="84" spans="1:20">
      <c r="A84" s="74">
        <f>'Product Mix'!A82</f>
        <v>77</v>
      </c>
      <c r="B84" s="74" t="str">
        <f>'Product Mix'!B82</f>
        <v>Caña</v>
      </c>
      <c r="C84" s="74" t="str">
        <f>'Product Mix'!C82</f>
        <v>Menu Bebidas</v>
      </c>
      <c r="D84" s="770">
        <f>'Product Mix'!D82</f>
        <v>0</v>
      </c>
      <c r="E84" s="771">
        <f>'Product Mix'!H82</f>
        <v>0</v>
      </c>
      <c r="F84" s="771">
        <f>'Product Mix'!J82</f>
        <v>0.32</v>
      </c>
      <c r="G84" s="771">
        <f>'Product Mix'!O82</f>
        <v>0</v>
      </c>
      <c r="H84" s="759">
        <f>'Product Mix'!F82</f>
        <v>0</v>
      </c>
      <c r="I84" s="74" t="str">
        <f t="shared" si="22"/>
        <v>-</v>
      </c>
      <c r="J84" s="74" t="str">
        <f t="shared" si="23"/>
        <v>-</v>
      </c>
      <c r="K84" s="74" t="str">
        <f t="shared" si="24"/>
        <v>-</v>
      </c>
      <c r="L84" s="74"/>
      <c r="M84" s="74" t="e">
        <f t="shared" si="25"/>
        <v>#N/A</v>
      </c>
      <c r="N84" s="74" t="e">
        <f t="shared" si="26"/>
        <v>#N/A</v>
      </c>
      <c r="O84" s="74" t="e">
        <f t="shared" si="27"/>
        <v>#N/A</v>
      </c>
      <c r="P84" s="74" t="e">
        <f t="shared" si="28"/>
        <v>#N/A</v>
      </c>
      <c r="Q84" s="74" t="e">
        <f t="shared" si="29"/>
        <v>#N/A</v>
      </c>
      <c r="R84" s="74" t="e">
        <f t="shared" si="30"/>
        <v>#N/A</v>
      </c>
      <c r="S84" s="74" t="e">
        <f t="shared" si="31"/>
        <v>#N/A</v>
      </c>
      <c r="T84" s="74" t="e">
        <f t="shared" si="32"/>
        <v>#N/A</v>
      </c>
    </row>
    <row r="85" spans="1:20">
      <c r="A85" s="74">
        <f>'Product Mix'!A83</f>
        <v>78</v>
      </c>
      <c r="B85" s="74" t="str">
        <f>'Product Mix'!B83</f>
        <v>Taula de Pinxito moruno</v>
      </c>
      <c r="C85" s="74" t="str">
        <f>'Product Mix'!C83</f>
        <v>Tapas Calientes</v>
      </c>
      <c r="D85" s="770">
        <f>'Product Mix'!D83</f>
        <v>3</v>
      </c>
      <c r="E85" s="771">
        <f>'Product Mix'!H83</f>
        <v>12.636666666666665</v>
      </c>
      <c r="F85" s="771">
        <f>'Product Mix'!J83</f>
        <v>0</v>
      </c>
      <c r="G85" s="771">
        <f>'Product Mix'!O83</f>
        <v>12.636666666666665</v>
      </c>
      <c r="H85" s="759">
        <f>'Product Mix'!F83</f>
        <v>1.6429353778751369E-3</v>
      </c>
      <c r="I85" s="74" t="str">
        <f t="shared" si="22"/>
        <v>BAJA</v>
      </c>
      <c r="J85" s="74" t="str">
        <f t="shared" si="23"/>
        <v>ALTA</v>
      </c>
      <c r="K85" s="74" t="str">
        <f t="shared" si="24"/>
        <v>🧩 Puzzle</v>
      </c>
      <c r="L85" s="74"/>
      <c r="M85" s="74" t="e">
        <f t="shared" si="25"/>
        <v>#N/A</v>
      </c>
      <c r="N85" s="74" t="e">
        <f t="shared" si="26"/>
        <v>#N/A</v>
      </c>
      <c r="O85" s="74" t="e">
        <f t="shared" si="27"/>
        <v>#N/A</v>
      </c>
      <c r="P85" s="74" t="e">
        <f t="shared" si="28"/>
        <v>#N/A</v>
      </c>
      <c r="Q85" s="74">
        <f t="shared" si="29"/>
        <v>12.636666666666665</v>
      </c>
      <c r="R85" s="74">
        <f t="shared" si="30"/>
        <v>1.6429353778751369E-3</v>
      </c>
      <c r="S85" s="74" t="e">
        <f t="shared" si="31"/>
        <v>#N/A</v>
      </c>
      <c r="T85" s="74" t="e">
        <f t="shared" si="32"/>
        <v>#N/A</v>
      </c>
    </row>
    <row r="86" spans="1:20">
      <c r="A86" s="74">
        <f>'Product Mix'!A84</f>
        <v>79</v>
      </c>
      <c r="B86" s="74" t="str">
        <f>'Product Mix'!B84</f>
        <v>Aigua plastic</v>
      </c>
      <c r="C86" s="74" t="str">
        <f>'Product Mix'!C84</f>
        <v>Refrescos</v>
      </c>
      <c r="D86" s="770">
        <f>'Product Mix'!D84</f>
        <v>16</v>
      </c>
      <c r="E86" s="771">
        <f>'Product Mix'!H84</f>
        <v>1.7625</v>
      </c>
      <c r="F86" s="771">
        <f>'Product Mix'!J84</f>
        <v>0.23</v>
      </c>
      <c r="G86" s="771">
        <f>'Product Mix'!O84</f>
        <v>1.5325</v>
      </c>
      <c r="H86" s="759">
        <f>'Product Mix'!F84</f>
        <v>8.7623220153340634E-3</v>
      </c>
      <c r="I86" s="74" t="str">
        <f t="shared" si="22"/>
        <v>ALTA</v>
      </c>
      <c r="J86" s="74" t="str">
        <f t="shared" si="23"/>
        <v>BAJA</v>
      </c>
      <c r="K86" s="74" t="str">
        <f t="shared" si="24"/>
        <v>🐎 Caballo</v>
      </c>
      <c r="L86" s="74"/>
      <c r="M86" s="74" t="e">
        <f t="shared" si="25"/>
        <v>#N/A</v>
      </c>
      <c r="N86" s="74" t="e">
        <f t="shared" si="26"/>
        <v>#N/A</v>
      </c>
      <c r="O86" s="74">
        <f t="shared" si="27"/>
        <v>1.5325</v>
      </c>
      <c r="P86" s="74">
        <f t="shared" si="28"/>
        <v>8.7623220153340634E-3</v>
      </c>
      <c r="Q86" s="74" t="e">
        <f t="shared" si="29"/>
        <v>#N/A</v>
      </c>
      <c r="R86" s="74" t="e">
        <f t="shared" si="30"/>
        <v>#N/A</v>
      </c>
      <c r="S86" s="74" t="e">
        <f t="shared" si="31"/>
        <v>#N/A</v>
      </c>
      <c r="T86" s="74" t="e">
        <f t="shared" si="32"/>
        <v>#N/A</v>
      </c>
    </row>
    <row r="87" spans="1:20">
      <c r="A87" s="74">
        <f>'Product Mix'!A85</f>
        <v>80</v>
      </c>
      <c r="B87" s="74" t="str">
        <f>'Product Mix'!B85</f>
        <v>Cacaolat</v>
      </c>
      <c r="C87" s="74" t="str">
        <f>'Product Mix'!C85</f>
        <v>Café</v>
      </c>
      <c r="D87" s="770">
        <f>'Product Mix'!D85</f>
        <v>2</v>
      </c>
      <c r="E87" s="771">
        <f>'Product Mix'!H85</f>
        <v>2.41</v>
      </c>
      <c r="F87" s="771">
        <f>'Product Mix'!J85</f>
        <v>0.74</v>
      </c>
      <c r="G87" s="771">
        <f>'Product Mix'!O85</f>
        <v>1.6700000000000002</v>
      </c>
      <c r="H87" s="759">
        <f>'Product Mix'!F85</f>
        <v>1.0952902519167579E-3</v>
      </c>
      <c r="I87" s="74" t="str">
        <f t="shared" si="22"/>
        <v>BAJA</v>
      </c>
      <c r="J87" s="74" t="str">
        <f t="shared" si="23"/>
        <v>BAJA</v>
      </c>
      <c r="K87" s="74" t="str">
        <f t="shared" si="24"/>
        <v>🐶 Perro</v>
      </c>
      <c r="L87" s="74"/>
      <c r="M87" s="74" t="e">
        <f t="shared" si="25"/>
        <v>#N/A</v>
      </c>
      <c r="N87" s="74" t="e">
        <f t="shared" si="26"/>
        <v>#N/A</v>
      </c>
      <c r="O87" s="74" t="e">
        <f t="shared" si="27"/>
        <v>#N/A</v>
      </c>
      <c r="P87" s="74" t="e">
        <f t="shared" si="28"/>
        <v>#N/A</v>
      </c>
      <c r="Q87" s="74" t="e">
        <f t="shared" si="29"/>
        <v>#N/A</v>
      </c>
      <c r="R87" s="74" t="e">
        <f t="shared" si="30"/>
        <v>#N/A</v>
      </c>
      <c r="S87" s="74">
        <f t="shared" si="31"/>
        <v>1.6700000000000002</v>
      </c>
      <c r="T87" s="74">
        <f t="shared" si="32"/>
        <v>1.0952902519167579E-3</v>
      </c>
    </row>
    <row r="88" spans="1:20">
      <c r="A88" s="74">
        <f>'Product Mix'!A86</f>
        <v>81</v>
      </c>
      <c r="B88" s="74" t="str">
        <f>'Product Mix'!B86</f>
        <v>Croquetes cabra</v>
      </c>
      <c r="C88" s="74" t="str">
        <f>'Product Mix'!C86</f>
        <v>Tapas Calientes</v>
      </c>
      <c r="D88" s="770">
        <f>'Product Mix'!D86</f>
        <v>0</v>
      </c>
      <c r="E88" s="771">
        <f>'Product Mix'!H86</f>
        <v>0</v>
      </c>
      <c r="F88" s="771">
        <f>'Product Mix'!J86</f>
        <v>1.66</v>
      </c>
      <c r="G88" s="771">
        <f>'Product Mix'!O86</f>
        <v>0</v>
      </c>
      <c r="H88" s="759">
        <f>'Product Mix'!F86</f>
        <v>0</v>
      </c>
      <c r="I88" s="74" t="str">
        <f t="shared" si="22"/>
        <v>-</v>
      </c>
      <c r="J88" s="74" t="str">
        <f t="shared" si="23"/>
        <v>-</v>
      </c>
      <c r="K88" s="74" t="str">
        <f t="shared" si="24"/>
        <v>-</v>
      </c>
      <c r="L88" s="74"/>
      <c r="M88" s="74" t="e">
        <f t="shared" si="25"/>
        <v>#N/A</v>
      </c>
      <c r="N88" s="74" t="e">
        <f t="shared" si="26"/>
        <v>#N/A</v>
      </c>
      <c r="O88" s="74" t="e">
        <f t="shared" si="27"/>
        <v>#N/A</v>
      </c>
      <c r="P88" s="74" t="e">
        <f t="shared" si="28"/>
        <v>#N/A</v>
      </c>
      <c r="Q88" s="74" t="e">
        <f t="shared" si="29"/>
        <v>#N/A</v>
      </c>
      <c r="R88" s="74" t="e">
        <f t="shared" si="30"/>
        <v>#N/A</v>
      </c>
      <c r="S88" s="74" t="e">
        <f t="shared" si="31"/>
        <v>#N/A</v>
      </c>
      <c r="T88" s="74" t="e">
        <f t="shared" si="32"/>
        <v>#N/A</v>
      </c>
    </row>
    <row r="89" spans="1:20">
      <c r="A89" s="74">
        <f>'Product Mix'!A87</f>
        <v>82</v>
      </c>
      <c r="B89" s="74" t="str">
        <f>'Product Mix'!B87</f>
        <v>Flautin</v>
      </c>
      <c r="C89" s="74" t="str">
        <f>'Product Mix'!C87</f>
        <v>Opciones</v>
      </c>
      <c r="D89" s="770">
        <f>'Product Mix'!D87</f>
        <v>0</v>
      </c>
      <c r="E89" s="771">
        <f>'Product Mix'!H87</f>
        <v>0</v>
      </c>
      <c r="F89" s="771">
        <f>'Product Mix'!J87</f>
        <v>0</v>
      </c>
      <c r="G89" s="771">
        <f>'Product Mix'!O87</f>
        <v>0</v>
      </c>
      <c r="H89" s="759">
        <f>'Product Mix'!F87</f>
        <v>0</v>
      </c>
      <c r="I89" s="74" t="str">
        <f t="shared" si="22"/>
        <v>-</v>
      </c>
      <c r="J89" s="74" t="str">
        <f t="shared" si="23"/>
        <v>-</v>
      </c>
      <c r="K89" s="74" t="str">
        <f t="shared" si="24"/>
        <v>-</v>
      </c>
      <c r="L89" s="74"/>
      <c r="M89" s="74" t="e">
        <f t="shared" si="25"/>
        <v>#N/A</v>
      </c>
      <c r="N89" s="74" t="e">
        <f t="shared" si="26"/>
        <v>#N/A</v>
      </c>
      <c r="O89" s="74" t="e">
        <f t="shared" si="27"/>
        <v>#N/A</v>
      </c>
      <c r="P89" s="74" t="e">
        <f t="shared" si="28"/>
        <v>#N/A</v>
      </c>
      <c r="Q89" s="74" t="e">
        <f t="shared" si="29"/>
        <v>#N/A</v>
      </c>
      <c r="R89" s="74" t="e">
        <f t="shared" si="30"/>
        <v>#N/A</v>
      </c>
      <c r="S89" s="74" t="e">
        <f t="shared" si="31"/>
        <v>#N/A</v>
      </c>
      <c r="T89" s="74" t="e">
        <f t="shared" si="32"/>
        <v>#N/A</v>
      </c>
    </row>
    <row r="90" spans="1:20">
      <c r="A90" s="74">
        <f>'Product Mix'!A88</f>
        <v>83</v>
      </c>
      <c r="B90" s="74" t="str">
        <f>'Product Mix'!B88</f>
        <v>Pintxo truita del dia</v>
      </c>
      <c r="C90" s="74" t="str">
        <f>'Product Mix'!C88</f>
        <v>Almuerzo</v>
      </c>
      <c r="D90" s="770">
        <f>'Product Mix'!D88</f>
        <v>18</v>
      </c>
      <c r="E90" s="771">
        <f>'Product Mix'!H88</f>
        <v>5.3527777777777779</v>
      </c>
      <c r="F90" s="771">
        <f>'Product Mix'!J88</f>
        <v>1.05</v>
      </c>
      <c r="G90" s="771">
        <f>'Product Mix'!O88</f>
        <v>4.3027777777777771</v>
      </c>
      <c r="H90" s="759">
        <f>'Product Mix'!F88</f>
        <v>9.8576122672508221E-3</v>
      </c>
      <c r="I90" s="74" t="str">
        <f t="shared" si="22"/>
        <v>ALTA</v>
      </c>
      <c r="J90" s="74" t="str">
        <f t="shared" si="23"/>
        <v>ALTA</v>
      </c>
      <c r="K90" s="74" t="str">
        <f t="shared" si="24"/>
        <v>⭐ Estrella</v>
      </c>
      <c r="L90" s="74"/>
      <c r="M90" s="74">
        <f t="shared" si="25"/>
        <v>4.3027777777777771</v>
      </c>
      <c r="N90" s="74">
        <f t="shared" si="26"/>
        <v>9.8576122672508221E-3</v>
      </c>
      <c r="O90" s="74" t="e">
        <f t="shared" si="27"/>
        <v>#N/A</v>
      </c>
      <c r="P90" s="74" t="e">
        <f t="shared" si="28"/>
        <v>#N/A</v>
      </c>
      <c r="Q90" s="74" t="e">
        <f t="shared" si="29"/>
        <v>#N/A</v>
      </c>
      <c r="R90" s="74" t="e">
        <f t="shared" si="30"/>
        <v>#N/A</v>
      </c>
      <c r="S90" s="74" t="e">
        <f t="shared" si="31"/>
        <v>#N/A</v>
      </c>
      <c r="T90" s="74" t="e">
        <f t="shared" si="32"/>
        <v>#N/A</v>
      </c>
    </row>
    <row r="91" spans="1:20">
      <c r="A91" s="74">
        <f>'Product Mix'!A89</f>
        <v>84</v>
      </c>
      <c r="B91" s="74" t="str">
        <f>'Product Mix'!B89</f>
        <v>Aigua Mn</v>
      </c>
      <c r="C91" s="74" t="str">
        <f>'Product Mix'!C89</f>
        <v>Refrescos</v>
      </c>
      <c r="D91" s="770">
        <f>'Product Mix'!D89</f>
        <v>2</v>
      </c>
      <c r="E91" s="771">
        <f>'Product Mix'!H89</f>
        <v>0</v>
      </c>
      <c r="F91" s="771">
        <f>'Product Mix'!J89</f>
        <v>0.05</v>
      </c>
      <c r="G91" s="771">
        <f>'Product Mix'!O89</f>
        <v>-0.05</v>
      </c>
      <c r="H91" s="759">
        <f>'Product Mix'!F89</f>
        <v>1.0952902519167579E-3</v>
      </c>
      <c r="I91" s="74" t="str">
        <f t="shared" si="22"/>
        <v>BAJA</v>
      </c>
      <c r="J91" s="74" t="str">
        <f t="shared" si="23"/>
        <v>BAJA</v>
      </c>
      <c r="K91" s="74" t="str">
        <f t="shared" si="24"/>
        <v>🐶 Perro</v>
      </c>
      <c r="L91" s="74"/>
      <c r="M91" s="74" t="e">
        <f t="shared" si="25"/>
        <v>#N/A</v>
      </c>
      <c r="N91" s="74" t="e">
        <f t="shared" si="26"/>
        <v>#N/A</v>
      </c>
      <c r="O91" s="74" t="e">
        <f t="shared" si="27"/>
        <v>#N/A</v>
      </c>
      <c r="P91" s="74" t="e">
        <f t="shared" si="28"/>
        <v>#N/A</v>
      </c>
      <c r="Q91" s="74" t="e">
        <f t="shared" si="29"/>
        <v>#N/A</v>
      </c>
      <c r="R91" s="74" t="e">
        <f t="shared" si="30"/>
        <v>#N/A</v>
      </c>
      <c r="S91" s="74">
        <f t="shared" si="31"/>
        <v>-0.05</v>
      </c>
      <c r="T91" s="74">
        <f t="shared" si="32"/>
        <v>1.0952902519167579E-3</v>
      </c>
    </row>
    <row r="92" spans="1:20">
      <c r="A92" s="74">
        <f>'Product Mix'!A90</f>
        <v>85</v>
      </c>
      <c r="B92" s="74" t="str">
        <f>'Product Mix'!B90</f>
        <v>Llevar</v>
      </c>
      <c r="C92" s="74" t="str">
        <f>'Product Mix'!C90</f>
        <v>Opciones</v>
      </c>
      <c r="D92" s="770">
        <f>'Product Mix'!D90</f>
        <v>1</v>
      </c>
      <c r="E92" s="771">
        <f>'Product Mix'!H90</f>
        <v>0.15</v>
      </c>
      <c r="F92" s="771">
        <f>'Product Mix'!J90</f>
        <v>0.04</v>
      </c>
      <c r="G92" s="771">
        <f>'Product Mix'!O90</f>
        <v>0.10999999999999999</v>
      </c>
      <c r="H92" s="759">
        <f>'Product Mix'!F90</f>
        <v>5.4764512595837896E-4</v>
      </c>
      <c r="I92" s="74" t="str">
        <f t="shared" si="22"/>
        <v>BAJA</v>
      </c>
      <c r="J92" s="74" t="str">
        <f t="shared" si="23"/>
        <v>BAJA</v>
      </c>
      <c r="K92" s="74" t="str">
        <f t="shared" si="24"/>
        <v>🐶 Perro</v>
      </c>
      <c r="L92" s="74"/>
      <c r="M92" s="74" t="e">
        <f t="shared" si="25"/>
        <v>#N/A</v>
      </c>
      <c r="N92" s="74" t="e">
        <f t="shared" si="26"/>
        <v>#N/A</v>
      </c>
      <c r="O92" s="74" t="e">
        <f t="shared" si="27"/>
        <v>#N/A</v>
      </c>
      <c r="P92" s="74" t="e">
        <f t="shared" si="28"/>
        <v>#N/A</v>
      </c>
      <c r="Q92" s="74" t="e">
        <f t="shared" si="29"/>
        <v>#N/A</v>
      </c>
      <c r="R92" s="74" t="e">
        <f t="shared" si="30"/>
        <v>#N/A</v>
      </c>
      <c r="S92" s="74">
        <f t="shared" si="31"/>
        <v>0.10999999999999999</v>
      </c>
      <c r="T92" s="74">
        <f t="shared" si="32"/>
        <v>5.4764512595837896E-4</v>
      </c>
    </row>
    <row r="93" spans="1:20">
      <c r="A93" s="74">
        <f>'Product Mix'!A91</f>
        <v>86</v>
      </c>
      <c r="B93" s="74" t="str">
        <f>'Product Mix'!B91</f>
        <v>Formatge</v>
      </c>
      <c r="C93" s="74" t="str">
        <f>'Product Mix'!C91</f>
        <v>Suplementos</v>
      </c>
      <c r="D93" s="770">
        <f>'Product Mix'!D91</f>
        <v>5</v>
      </c>
      <c r="E93" s="771">
        <f>'Product Mix'!H91</f>
        <v>1.3</v>
      </c>
      <c r="F93" s="771">
        <f>'Product Mix'!J91</f>
        <v>0.03</v>
      </c>
      <c r="G93" s="771">
        <f>'Product Mix'!O91</f>
        <v>1.27</v>
      </c>
      <c r="H93" s="759">
        <f>'Product Mix'!F91</f>
        <v>2.7382256297918948E-3</v>
      </c>
      <c r="I93" s="74" t="str">
        <f t="shared" si="22"/>
        <v>BAJA</v>
      </c>
      <c r="J93" s="74" t="str">
        <f t="shared" si="23"/>
        <v>BAJA</v>
      </c>
      <c r="K93" s="74" t="str">
        <f t="shared" si="24"/>
        <v>🐶 Perro</v>
      </c>
      <c r="L93" s="74"/>
      <c r="M93" s="74" t="e">
        <f t="shared" si="25"/>
        <v>#N/A</v>
      </c>
      <c r="N93" s="74" t="e">
        <f t="shared" si="26"/>
        <v>#N/A</v>
      </c>
      <c r="O93" s="74" t="e">
        <f t="shared" si="27"/>
        <v>#N/A</v>
      </c>
      <c r="P93" s="74" t="e">
        <f t="shared" si="28"/>
        <v>#N/A</v>
      </c>
      <c r="Q93" s="74" t="e">
        <f t="shared" si="29"/>
        <v>#N/A</v>
      </c>
      <c r="R93" s="74" t="e">
        <f t="shared" si="30"/>
        <v>#N/A</v>
      </c>
      <c r="S93" s="74">
        <f t="shared" si="31"/>
        <v>1.27</v>
      </c>
      <c r="T93" s="74">
        <f t="shared" si="32"/>
        <v>2.7382256297918948E-3</v>
      </c>
    </row>
    <row r="94" spans="1:20">
      <c r="A94" s="74">
        <f>'Product Mix'!A92</f>
        <v>87</v>
      </c>
      <c r="B94" s="74" t="str">
        <f>'Product Mix'!B92</f>
        <v>Pastis de formatge</v>
      </c>
      <c r="C94" s="74" t="str">
        <f>'Product Mix'!C92</f>
        <v>Postres</v>
      </c>
      <c r="D94" s="770">
        <f>'Product Mix'!D92</f>
        <v>26</v>
      </c>
      <c r="E94" s="771">
        <f>'Product Mix'!H92</f>
        <v>4.7884615384615383</v>
      </c>
      <c r="F94" s="771">
        <f>'Product Mix'!J92</f>
        <v>0.67</v>
      </c>
      <c r="G94" s="771">
        <f>'Product Mix'!O92</f>
        <v>4.1184615384615384</v>
      </c>
      <c r="H94" s="759">
        <f>'Product Mix'!F92</f>
        <v>1.4238773274917854E-2</v>
      </c>
      <c r="I94" s="74" t="str">
        <f t="shared" si="22"/>
        <v>ALTA</v>
      </c>
      <c r="J94" s="74" t="str">
        <f t="shared" si="23"/>
        <v>ALTA</v>
      </c>
      <c r="K94" s="74" t="str">
        <f t="shared" si="24"/>
        <v>⭐ Estrella</v>
      </c>
      <c r="L94" s="74"/>
      <c r="M94" s="74">
        <f t="shared" si="25"/>
        <v>4.1184615384615384</v>
      </c>
      <c r="N94" s="74">
        <f t="shared" si="26"/>
        <v>1.4238773274917854E-2</v>
      </c>
      <c r="O94" s="74" t="e">
        <f t="shared" si="27"/>
        <v>#N/A</v>
      </c>
      <c r="P94" s="74" t="e">
        <f t="shared" si="28"/>
        <v>#N/A</v>
      </c>
      <c r="Q94" s="74" t="e">
        <f t="shared" si="29"/>
        <v>#N/A</v>
      </c>
      <c r="R94" s="74" t="e">
        <f t="shared" si="30"/>
        <v>#N/A</v>
      </c>
      <c r="S94" s="74" t="e">
        <f t="shared" si="31"/>
        <v>#N/A</v>
      </c>
      <c r="T94" s="74" t="e">
        <f t="shared" si="32"/>
        <v>#N/A</v>
      </c>
    </row>
    <row r="95" spans="1:20">
      <c r="A95" s="74">
        <f>'Product Mix'!A93</f>
        <v>88</v>
      </c>
      <c r="B95" s="74" t="str">
        <f>'Product Mix'!B93</f>
        <v>Alhambra Caña</v>
      </c>
      <c r="C95" s="74" t="str">
        <f>'Product Mix'!C93</f>
        <v>Cervezas</v>
      </c>
      <c r="D95" s="770">
        <f>'Product Mix'!D93</f>
        <v>0</v>
      </c>
      <c r="E95" s="771">
        <f>'Product Mix'!H93</f>
        <v>0</v>
      </c>
      <c r="F95" s="771">
        <f>'Product Mix'!J93</f>
        <v>0</v>
      </c>
      <c r="G95" s="771">
        <f>'Product Mix'!O93</f>
        <v>0</v>
      </c>
      <c r="H95" s="759">
        <f>'Product Mix'!F93</f>
        <v>0</v>
      </c>
      <c r="I95" s="74" t="str">
        <f t="shared" si="22"/>
        <v>-</v>
      </c>
      <c r="J95" s="74" t="str">
        <f t="shared" si="23"/>
        <v>-</v>
      </c>
      <c r="K95" s="74" t="str">
        <f t="shared" si="24"/>
        <v>-</v>
      </c>
      <c r="L95" s="74"/>
      <c r="M95" s="74" t="e">
        <f t="shared" si="25"/>
        <v>#N/A</v>
      </c>
      <c r="N95" s="74" t="e">
        <f t="shared" si="26"/>
        <v>#N/A</v>
      </c>
      <c r="O95" s="74" t="e">
        <f t="shared" si="27"/>
        <v>#N/A</v>
      </c>
      <c r="P95" s="74" t="e">
        <f t="shared" si="28"/>
        <v>#N/A</v>
      </c>
      <c r="Q95" s="74" t="e">
        <f t="shared" si="29"/>
        <v>#N/A</v>
      </c>
      <c r="R95" s="74" t="e">
        <f t="shared" si="30"/>
        <v>#N/A</v>
      </c>
      <c r="S95" s="74" t="e">
        <f t="shared" si="31"/>
        <v>#N/A</v>
      </c>
      <c r="T95" s="74" t="e">
        <f t="shared" si="32"/>
        <v>#N/A</v>
      </c>
    </row>
    <row r="96" spans="1:20">
      <c r="A96" s="74">
        <f>'Product Mix'!A94</f>
        <v>89</v>
      </c>
      <c r="B96" s="74" t="str">
        <f>'Product Mix'!B94</f>
        <v>Croqueta Cua de Bou</v>
      </c>
      <c r="C96" s="74" t="str">
        <f>'Product Mix'!C94</f>
        <v>Tapas Calientes</v>
      </c>
      <c r="D96" s="770">
        <f>'Product Mix'!D94</f>
        <v>0</v>
      </c>
      <c r="E96" s="771">
        <f>'Product Mix'!H94</f>
        <v>0</v>
      </c>
      <c r="F96" s="771">
        <f>'Product Mix'!J94</f>
        <v>0</v>
      </c>
      <c r="G96" s="771">
        <f>'Product Mix'!O94</f>
        <v>0</v>
      </c>
      <c r="H96" s="759">
        <f>'Product Mix'!F94</f>
        <v>0</v>
      </c>
      <c r="I96" s="74" t="str">
        <f t="shared" si="22"/>
        <v>-</v>
      </c>
      <c r="J96" s="74" t="str">
        <f t="shared" si="23"/>
        <v>-</v>
      </c>
      <c r="K96" s="74" t="str">
        <f t="shared" si="24"/>
        <v>-</v>
      </c>
      <c r="L96" s="74"/>
      <c r="M96" s="74" t="e">
        <f t="shared" si="25"/>
        <v>#N/A</v>
      </c>
      <c r="N96" s="74" t="e">
        <f t="shared" si="26"/>
        <v>#N/A</v>
      </c>
      <c r="O96" s="74" t="e">
        <f t="shared" si="27"/>
        <v>#N/A</v>
      </c>
      <c r="P96" s="74" t="e">
        <f t="shared" si="28"/>
        <v>#N/A</v>
      </c>
      <c r="Q96" s="74" t="e">
        <f t="shared" si="29"/>
        <v>#N/A</v>
      </c>
      <c r="R96" s="74" t="e">
        <f t="shared" si="30"/>
        <v>#N/A</v>
      </c>
      <c r="S96" s="74" t="e">
        <f t="shared" si="31"/>
        <v>#N/A</v>
      </c>
      <c r="T96" s="74" t="e">
        <f t="shared" si="32"/>
        <v>#N/A</v>
      </c>
    </row>
    <row r="97" spans="1:20">
      <c r="A97" s="74">
        <f>'Product Mix'!A95</f>
        <v>90</v>
      </c>
      <c r="B97" s="74" t="str">
        <f>'Product Mix'!B95</f>
        <v>Panera</v>
      </c>
      <c r="C97" s="74" t="str">
        <f>'Product Mix'!C95</f>
        <v>Suplementos</v>
      </c>
      <c r="D97" s="770">
        <f>'Product Mix'!D95</f>
        <v>14</v>
      </c>
      <c r="E97" s="771">
        <f>'Product Mix'!H95</f>
        <v>1.342857142857143</v>
      </c>
      <c r="F97" s="771">
        <f>'Product Mix'!J95</f>
        <v>0.05</v>
      </c>
      <c r="G97" s="771">
        <f>'Product Mix'!O95</f>
        <v>1.2928571428571429</v>
      </c>
      <c r="H97" s="759">
        <f>'Product Mix'!F95</f>
        <v>7.6670317634173054E-3</v>
      </c>
      <c r="I97" s="74" t="str">
        <f t="shared" si="22"/>
        <v>ALTA</v>
      </c>
      <c r="J97" s="74" t="str">
        <f t="shared" si="23"/>
        <v>BAJA</v>
      </c>
      <c r="K97" s="74" t="str">
        <f t="shared" si="24"/>
        <v>🐎 Caballo</v>
      </c>
      <c r="L97" s="74"/>
      <c r="M97" s="74" t="e">
        <f t="shared" si="25"/>
        <v>#N/A</v>
      </c>
      <c r="N97" s="74" t="e">
        <f t="shared" si="26"/>
        <v>#N/A</v>
      </c>
      <c r="O97" s="74">
        <f t="shared" si="27"/>
        <v>1.2928571428571429</v>
      </c>
      <c r="P97" s="74">
        <f t="shared" si="28"/>
        <v>7.6670317634173054E-3</v>
      </c>
      <c r="Q97" s="74" t="e">
        <f t="shared" si="29"/>
        <v>#N/A</v>
      </c>
      <c r="R97" s="74" t="e">
        <f t="shared" si="30"/>
        <v>#N/A</v>
      </c>
      <c r="S97" s="74" t="e">
        <f t="shared" si="31"/>
        <v>#N/A</v>
      </c>
      <c r="T97" s="74" t="e">
        <f t="shared" si="32"/>
        <v>#N/A</v>
      </c>
    </row>
    <row r="98" spans="1:20">
      <c r="A98" s="74">
        <f>'Product Mix'!A96</f>
        <v>91</v>
      </c>
      <c r="B98" s="74" t="str">
        <f>'Product Mix'!B96</f>
        <v>Coca formatge cabra</v>
      </c>
      <c r="C98" s="74" t="str">
        <f>'Product Mix'!C96</f>
        <v>Tosta Pizzas</v>
      </c>
      <c r="D98" s="770">
        <f>'Product Mix'!D96</f>
        <v>9</v>
      </c>
      <c r="E98" s="771">
        <f>'Product Mix'!H96</f>
        <v>9.25</v>
      </c>
      <c r="F98" s="771">
        <f>'Product Mix'!J96</f>
        <v>0.53</v>
      </c>
      <c r="G98" s="771">
        <f>'Product Mix'!O96</f>
        <v>8.7200000000000006</v>
      </c>
      <c r="H98" s="759">
        <f>'Product Mix'!F96</f>
        <v>4.9288061336254111E-3</v>
      </c>
      <c r="I98" s="74" t="str">
        <f t="shared" si="22"/>
        <v>BAJA</v>
      </c>
      <c r="J98" s="74" t="str">
        <f t="shared" si="23"/>
        <v>ALTA</v>
      </c>
      <c r="K98" s="74" t="str">
        <f t="shared" si="24"/>
        <v>🧩 Puzzle</v>
      </c>
      <c r="L98" s="74"/>
      <c r="M98" s="74" t="e">
        <f t="shared" si="25"/>
        <v>#N/A</v>
      </c>
      <c r="N98" s="74" t="e">
        <f t="shared" si="26"/>
        <v>#N/A</v>
      </c>
      <c r="O98" s="74" t="e">
        <f t="shared" si="27"/>
        <v>#N/A</v>
      </c>
      <c r="P98" s="74" t="e">
        <f t="shared" si="28"/>
        <v>#N/A</v>
      </c>
      <c r="Q98" s="74">
        <f t="shared" si="29"/>
        <v>8.7200000000000006</v>
      </c>
      <c r="R98" s="74">
        <f t="shared" si="30"/>
        <v>4.9288061336254111E-3</v>
      </c>
      <c r="S98" s="74" t="e">
        <f t="shared" si="31"/>
        <v>#N/A</v>
      </c>
      <c r="T98" s="74" t="e">
        <f t="shared" si="32"/>
        <v>#N/A</v>
      </c>
    </row>
    <row r="99" spans="1:20">
      <c r="A99" s="74">
        <f>'Product Mix'!A97</f>
        <v>92</v>
      </c>
      <c r="B99" s="74" t="str">
        <f>'Product Mix'!B97</f>
        <v>Aigua Plastic</v>
      </c>
      <c r="C99" s="74" t="str">
        <f>'Product Mix'!C97</f>
        <v>Refrescos</v>
      </c>
      <c r="D99" s="770">
        <f>'Product Mix'!D97</f>
        <v>16</v>
      </c>
      <c r="E99" s="771">
        <f>'Product Mix'!H97</f>
        <v>1.7625</v>
      </c>
      <c r="F99" s="771">
        <f>'Product Mix'!J97</f>
        <v>0.23</v>
      </c>
      <c r="G99" s="771">
        <f>'Product Mix'!O97</f>
        <v>1.5325</v>
      </c>
      <c r="H99" s="759">
        <f>'Product Mix'!F97</f>
        <v>8.7623220153340634E-3</v>
      </c>
      <c r="I99" s="74" t="str">
        <f t="shared" si="22"/>
        <v>ALTA</v>
      </c>
      <c r="J99" s="74" t="str">
        <f t="shared" si="23"/>
        <v>BAJA</v>
      </c>
      <c r="K99" s="74" t="str">
        <f t="shared" si="24"/>
        <v>🐎 Caballo</v>
      </c>
      <c r="L99" s="74"/>
      <c r="M99" s="74" t="e">
        <f t="shared" si="25"/>
        <v>#N/A</v>
      </c>
      <c r="N99" s="74" t="e">
        <f t="shared" si="26"/>
        <v>#N/A</v>
      </c>
      <c r="O99" s="74">
        <f t="shared" si="27"/>
        <v>1.5325</v>
      </c>
      <c r="P99" s="74">
        <f t="shared" si="28"/>
        <v>8.7623220153340634E-3</v>
      </c>
      <c r="Q99" s="74" t="e">
        <f t="shared" si="29"/>
        <v>#N/A</v>
      </c>
      <c r="R99" s="74" t="e">
        <f t="shared" si="30"/>
        <v>#N/A</v>
      </c>
      <c r="S99" s="74" t="e">
        <f t="shared" si="31"/>
        <v>#N/A</v>
      </c>
      <c r="T99" s="74" t="e">
        <f t="shared" si="32"/>
        <v>#N/A</v>
      </c>
    </row>
    <row r="100" spans="1:20">
      <c r="A100" s="74">
        <f>'Product Mix'!A98</f>
        <v>93</v>
      </c>
      <c r="B100" s="74" t="str">
        <f>'Product Mix'!B98</f>
        <v>Flors Carxofa</v>
      </c>
      <c r="C100" s="74" t="str">
        <f>'Product Mix'!C98</f>
        <v>Tapas Calientes</v>
      </c>
      <c r="D100" s="770">
        <f>'Product Mix'!D98</f>
        <v>0</v>
      </c>
      <c r="E100" s="771">
        <f>'Product Mix'!H98</f>
        <v>0</v>
      </c>
      <c r="F100" s="771">
        <f>'Product Mix'!J98</f>
        <v>0</v>
      </c>
      <c r="G100" s="771">
        <f>'Product Mix'!O98</f>
        <v>0</v>
      </c>
      <c r="H100" s="759">
        <f>'Product Mix'!F98</f>
        <v>0</v>
      </c>
      <c r="I100" s="74" t="str">
        <f t="shared" si="22"/>
        <v>-</v>
      </c>
      <c r="J100" s="74" t="str">
        <f t="shared" si="23"/>
        <v>-</v>
      </c>
      <c r="K100" s="74" t="str">
        <f t="shared" si="24"/>
        <v>-</v>
      </c>
      <c r="L100" s="74"/>
      <c r="M100" s="74" t="e">
        <f t="shared" si="25"/>
        <v>#N/A</v>
      </c>
      <c r="N100" s="74" t="e">
        <f t="shared" si="26"/>
        <v>#N/A</v>
      </c>
      <c r="O100" s="74" t="e">
        <f t="shared" si="27"/>
        <v>#N/A</v>
      </c>
      <c r="P100" s="74" t="e">
        <f t="shared" si="28"/>
        <v>#N/A</v>
      </c>
      <c r="Q100" s="74" t="e">
        <f t="shared" si="29"/>
        <v>#N/A</v>
      </c>
      <c r="R100" s="74" t="e">
        <f t="shared" si="30"/>
        <v>#N/A</v>
      </c>
      <c r="S100" s="74" t="e">
        <f t="shared" si="31"/>
        <v>#N/A</v>
      </c>
      <c r="T100" s="74" t="e">
        <f t="shared" si="32"/>
        <v>#N/A</v>
      </c>
    </row>
    <row r="101" spans="1:20">
      <c r="A101" s="74">
        <f>'Product Mix'!A99</f>
        <v>94</v>
      </c>
      <c r="B101" s="74" t="str">
        <f>'Product Mix'!B99</f>
        <v>Infusió</v>
      </c>
      <c r="C101" s="74" t="str">
        <f>'Product Mix'!C99</f>
        <v>Café</v>
      </c>
      <c r="D101" s="770">
        <f>'Product Mix'!D99</f>
        <v>12</v>
      </c>
      <c r="E101" s="771">
        <f>'Product Mix'!H99</f>
        <v>1.4850000000000001</v>
      </c>
      <c r="F101" s="771">
        <f>'Product Mix'!J99</f>
        <v>0.31</v>
      </c>
      <c r="G101" s="771">
        <f>'Product Mix'!O99</f>
        <v>1.175</v>
      </c>
      <c r="H101" s="759">
        <f>'Product Mix'!F99</f>
        <v>6.5717415115005475E-3</v>
      </c>
      <c r="I101" s="74" t="str">
        <f t="shared" si="22"/>
        <v>ALTA</v>
      </c>
      <c r="J101" s="74" t="str">
        <f t="shared" si="23"/>
        <v>BAJA</v>
      </c>
      <c r="K101" s="74" t="str">
        <f t="shared" si="24"/>
        <v>🐎 Caballo</v>
      </c>
      <c r="L101" s="74"/>
      <c r="M101" s="74" t="e">
        <f t="shared" si="25"/>
        <v>#N/A</v>
      </c>
      <c r="N101" s="74" t="e">
        <f t="shared" si="26"/>
        <v>#N/A</v>
      </c>
      <c r="O101" s="74">
        <f t="shared" si="27"/>
        <v>1.175</v>
      </c>
      <c r="P101" s="74">
        <f t="shared" si="28"/>
        <v>6.5717415115005475E-3</v>
      </c>
      <c r="Q101" s="74" t="e">
        <f t="shared" si="29"/>
        <v>#N/A</v>
      </c>
      <c r="R101" s="74" t="e">
        <f t="shared" si="30"/>
        <v>#N/A</v>
      </c>
      <c r="S101" s="74" t="e">
        <f t="shared" si="31"/>
        <v>#N/A</v>
      </c>
      <c r="T101" s="74" t="e">
        <f t="shared" si="32"/>
        <v>#N/A</v>
      </c>
    </row>
    <row r="102" spans="1:20">
      <c r="A102" s="74">
        <f>'Product Mix'!A100</f>
        <v>95</v>
      </c>
      <c r="B102" s="74" t="str">
        <f>'Product Mix'!B100</f>
        <v>Aquarius Taronja</v>
      </c>
      <c r="C102" s="74" t="str">
        <f>'Product Mix'!C100</f>
        <v>Refrescos</v>
      </c>
      <c r="D102" s="770">
        <f>'Product Mix'!D100</f>
        <v>2</v>
      </c>
      <c r="E102" s="771">
        <f>'Product Mix'!H100</f>
        <v>2.41</v>
      </c>
      <c r="F102" s="771">
        <f>'Product Mix'!J100</f>
        <v>0.51</v>
      </c>
      <c r="G102" s="771">
        <f>'Product Mix'!O100</f>
        <v>1.9000000000000001</v>
      </c>
      <c r="H102" s="759">
        <f>'Product Mix'!F100</f>
        <v>1.0952902519167579E-3</v>
      </c>
      <c r="I102" s="74" t="str">
        <f t="shared" si="22"/>
        <v>BAJA</v>
      </c>
      <c r="J102" s="74" t="str">
        <f t="shared" si="23"/>
        <v>BAJA</v>
      </c>
      <c r="K102" s="74" t="str">
        <f t="shared" si="24"/>
        <v>🐶 Perro</v>
      </c>
      <c r="L102" s="74"/>
      <c r="M102" s="74" t="e">
        <f t="shared" si="25"/>
        <v>#N/A</v>
      </c>
      <c r="N102" s="74" t="e">
        <f t="shared" si="26"/>
        <v>#N/A</v>
      </c>
      <c r="O102" s="74" t="e">
        <f t="shared" si="27"/>
        <v>#N/A</v>
      </c>
      <c r="P102" s="74" t="e">
        <f t="shared" si="28"/>
        <v>#N/A</v>
      </c>
      <c r="Q102" s="74" t="e">
        <f t="shared" si="29"/>
        <v>#N/A</v>
      </c>
      <c r="R102" s="74" t="e">
        <f t="shared" si="30"/>
        <v>#N/A</v>
      </c>
      <c r="S102" s="74">
        <f t="shared" si="31"/>
        <v>1.9000000000000001</v>
      </c>
      <c r="T102" s="74">
        <f t="shared" si="32"/>
        <v>1.0952902519167579E-3</v>
      </c>
    </row>
    <row r="103" spans="1:20">
      <c r="A103" s="74">
        <f>'Product Mix'!A101</f>
        <v>96</v>
      </c>
      <c r="B103" s="74" t="str">
        <f>'Product Mix'!B101</f>
        <v>1/2 Entrepa Pernil de York</v>
      </c>
      <c r="C103" s="74" t="str">
        <f>'Product Mix'!C101</f>
        <v>Bocadillos fríos</v>
      </c>
      <c r="D103" s="770">
        <f>'Product Mix'!D101</f>
        <v>2</v>
      </c>
      <c r="E103" s="771">
        <f>'Product Mix'!H101</f>
        <v>2.95</v>
      </c>
      <c r="F103" s="771">
        <f>'Product Mix'!J101</f>
        <v>0.2</v>
      </c>
      <c r="G103" s="771">
        <f>'Product Mix'!O101</f>
        <v>2.75</v>
      </c>
      <c r="H103" s="759">
        <f>'Product Mix'!F101</f>
        <v>1.0952902519167579E-3</v>
      </c>
      <c r="I103" s="74" t="str">
        <f t="shared" si="22"/>
        <v>BAJA</v>
      </c>
      <c r="J103" s="74" t="str">
        <f t="shared" si="23"/>
        <v>BAJA</v>
      </c>
      <c r="K103" s="74" t="str">
        <f t="shared" si="24"/>
        <v>🐶 Perro</v>
      </c>
      <c r="L103" s="74"/>
      <c r="M103" s="74" t="e">
        <f t="shared" si="25"/>
        <v>#N/A</v>
      </c>
      <c r="N103" s="74" t="e">
        <f t="shared" si="26"/>
        <v>#N/A</v>
      </c>
      <c r="O103" s="74" t="e">
        <f t="shared" si="27"/>
        <v>#N/A</v>
      </c>
      <c r="P103" s="74" t="e">
        <f t="shared" si="28"/>
        <v>#N/A</v>
      </c>
      <c r="Q103" s="74" t="e">
        <f t="shared" si="29"/>
        <v>#N/A</v>
      </c>
      <c r="R103" s="74" t="e">
        <f t="shared" si="30"/>
        <v>#N/A</v>
      </c>
      <c r="S103" s="74">
        <f t="shared" si="31"/>
        <v>2.75</v>
      </c>
      <c r="T103" s="74">
        <f t="shared" si="32"/>
        <v>1.0952902519167579E-3</v>
      </c>
    </row>
    <row r="104" spans="1:20">
      <c r="A104" s="74">
        <f>'Product Mix'!A102</f>
        <v>97</v>
      </c>
      <c r="B104" s="74" t="str">
        <f>'Product Mix'!B102</f>
        <v>Croisant Grande</v>
      </c>
      <c r="C104" s="74" t="str">
        <f>'Product Mix'!C102</f>
        <v>Bolleria</v>
      </c>
      <c r="D104" s="770">
        <f>'Product Mix'!D102</f>
        <v>0</v>
      </c>
      <c r="E104" s="771">
        <f>'Product Mix'!H102</f>
        <v>0</v>
      </c>
      <c r="F104" s="771">
        <f>'Product Mix'!J102</f>
        <v>0</v>
      </c>
      <c r="G104" s="771">
        <f>'Product Mix'!O102</f>
        <v>0</v>
      </c>
      <c r="H104" s="759">
        <f>'Product Mix'!F102</f>
        <v>0</v>
      </c>
      <c r="I104" s="74" t="str">
        <f t="shared" ref="I104:I135" si="33">IF(D104=0,"-",IF(H104&gt;=$E$5,"ALTA","BAJA"))</f>
        <v>-</v>
      </c>
      <c r="J104" s="74" t="str">
        <f t="shared" ref="J104:J135" si="34">IF(D104=0,"-",IF(G104&gt;=$D$5,"ALTA","BAJA"))</f>
        <v>-</v>
      </c>
      <c r="K104" s="74" t="str">
        <f t="shared" ref="K104:K135" si="35">IF(D104=0,"-",IF(AND(I104="ALTA",J104="ALTA"),"⭐ Estrella",IF(AND(I104="ALTA",J104="BAJA"),"🐎 Caballo",IF(AND(I104="BAJA",J104="ALTA"),"🧩 Puzzle","🐶 Perro"))))</f>
        <v>-</v>
      </c>
      <c r="L104" s="74"/>
      <c r="M104" s="74" t="e">
        <f t="shared" ref="M104:M135" si="36">IF(ISNUMBER(SEARCH("Estrella",K104)),G104,NA())</f>
        <v>#N/A</v>
      </c>
      <c r="N104" s="74" t="e">
        <f t="shared" ref="N104:N135" si="37">IF(ISNUMBER(SEARCH("Estrella",K104)),H104,NA())</f>
        <v>#N/A</v>
      </c>
      <c r="O104" s="74" t="e">
        <f t="shared" ref="O104:O135" si="38">IF(ISNUMBER(SEARCH("Caballo",K104)),G104,NA())</f>
        <v>#N/A</v>
      </c>
      <c r="P104" s="74" t="e">
        <f t="shared" ref="P104:P135" si="39">IF(ISNUMBER(SEARCH("Caballo",K104)),H104,NA())</f>
        <v>#N/A</v>
      </c>
      <c r="Q104" s="74" t="e">
        <f t="shared" ref="Q104:Q135" si="40">IF(ISNUMBER(SEARCH("Puzzle",K104)),G104,NA())</f>
        <v>#N/A</v>
      </c>
      <c r="R104" s="74" t="e">
        <f t="shared" ref="R104:R135" si="41">IF(ISNUMBER(SEARCH("Puzzle",K104)),H104,NA())</f>
        <v>#N/A</v>
      </c>
      <c r="S104" s="74" t="e">
        <f t="shared" ref="S104:S135" si="42">IF(ISNUMBER(SEARCH("Perro",K104)),G104,NA())</f>
        <v>#N/A</v>
      </c>
      <c r="T104" s="74" t="e">
        <f t="shared" ref="T104:T135" si="43">IF(ISNUMBER(SEARCH("Perro",K104)),H104,NA())</f>
        <v>#N/A</v>
      </c>
    </row>
    <row r="105" spans="1:20">
      <c r="A105" s="74">
        <f>'Product Mix'!A103</f>
        <v>98</v>
      </c>
      <c r="B105" s="74" t="str">
        <f>'Product Mix'!B103</f>
        <v>Nàpols</v>
      </c>
      <c r="C105" s="74" t="str">
        <f>'Product Mix'!C103</f>
        <v>Tosta Pizzas</v>
      </c>
      <c r="D105" s="770">
        <f>'Product Mix'!D103</f>
        <v>0</v>
      </c>
      <c r="E105" s="771">
        <f>'Product Mix'!H103</f>
        <v>0</v>
      </c>
      <c r="F105" s="771">
        <f>'Product Mix'!J103</f>
        <v>2.82</v>
      </c>
      <c r="G105" s="771">
        <f>'Product Mix'!O103</f>
        <v>0</v>
      </c>
      <c r="H105" s="759">
        <f>'Product Mix'!F103</f>
        <v>0</v>
      </c>
      <c r="I105" s="74" t="str">
        <f t="shared" si="33"/>
        <v>-</v>
      </c>
      <c r="J105" s="74" t="str">
        <f t="shared" si="34"/>
        <v>-</v>
      </c>
      <c r="K105" s="74" t="str">
        <f t="shared" si="35"/>
        <v>-</v>
      </c>
      <c r="L105" s="74"/>
      <c r="M105" s="74" t="e">
        <f t="shared" si="36"/>
        <v>#N/A</v>
      </c>
      <c r="N105" s="74" t="e">
        <f t="shared" si="37"/>
        <v>#N/A</v>
      </c>
      <c r="O105" s="74" t="e">
        <f t="shared" si="38"/>
        <v>#N/A</v>
      </c>
      <c r="P105" s="74" t="e">
        <f t="shared" si="39"/>
        <v>#N/A</v>
      </c>
      <c r="Q105" s="74" t="e">
        <f t="shared" si="40"/>
        <v>#N/A</v>
      </c>
      <c r="R105" s="74" t="e">
        <f t="shared" si="41"/>
        <v>#N/A</v>
      </c>
      <c r="S105" s="74" t="e">
        <f t="shared" si="42"/>
        <v>#N/A</v>
      </c>
      <c r="T105" s="74" t="e">
        <f t="shared" si="43"/>
        <v>#N/A</v>
      </c>
    </row>
    <row r="106" spans="1:20">
      <c r="A106" s="74">
        <f>'Product Mix'!A104</f>
        <v>99</v>
      </c>
      <c r="B106" s="74" t="str">
        <f>'Product Mix'!B104</f>
        <v>Ous amb xistorra</v>
      </c>
      <c r="C106" s="74" t="str">
        <f>'Product Mix'!C104</f>
        <v>Huevos estrellados</v>
      </c>
      <c r="D106" s="770">
        <f>'Product Mix'!D104</f>
        <v>7</v>
      </c>
      <c r="E106" s="771">
        <f>'Product Mix'!H104</f>
        <v>9.3071428571428587</v>
      </c>
      <c r="F106" s="771">
        <f>'Product Mix'!J104</f>
        <v>1.84</v>
      </c>
      <c r="G106" s="771">
        <f>'Product Mix'!O104</f>
        <v>7.467142857142858</v>
      </c>
      <c r="H106" s="759">
        <f>'Product Mix'!F104</f>
        <v>3.8335158817086527E-3</v>
      </c>
      <c r="I106" s="74" t="str">
        <f t="shared" si="33"/>
        <v>BAJA</v>
      </c>
      <c r="J106" s="74" t="str">
        <f t="shared" si="34"/>
        <v>ALTA</v>
      </c>
      <c r="K106" s="74" t="str">
        <f t="shared" si="35"/>
        <v>🧩 Puzzle</v>
      </c>
      <c r="L106" s="74"/>
      <c r="M106" s="74" t="e">
        <f t="shared" si="36"/>
        <v>#N/A</v>
      </c>
      <c r="N106" s="74" t="e">
        <f t="shared" si="37"/>
        <v>#N/A</v>
      </c>
      <c r="O106" s="74" t="e">
        <f t="shared" si="38"/>
        <v>#N/A</v>
      </c>
      <c r="P106" s="74" t="e">
        <f t="shared" si="39"/>
        <v>#N/A</v>
      </c>
      <c r="Q106" s="74">
        <f t="shared" si="40"/>
        <v>7.467142857142858</v>
      </c>
      <c r="R106" s="74">
        <f t="shared" si="41"/>
        <v>3.8335158817086527E-3</v>
      </c>
      <c r="S106" s="74" t="e">
        <f t="shared" si="42"/>
        <v>#N/A</v>
      </c>
      <c r="T106" s="74" t="e">
        <f t="shared" si="43"/>
        <v>#N/A</v>
      </c>
    </row>
    <row r="107" spans="1:20">
      <c r="A107" s="74">
        <f>'Product Mix'!A105</f>
        <v>100</v>
      </c>
      <c r="B107" s="74" t="str">
        <f>'Product Mix'!B105</f>
        <v>aquarius limon vr30</v>
      </c>
      <c r="C107" s="74" t="str">
        <f>'Product Mix'!C105</f>
        <v>Refrescos</v>
      </c>
      <c r="D107" s="770">
        <f>'Product Mix'!D105</f>
        <v>5</v>
      </c>
      <c r="E107" s="771">
        <f>'Product Mix'!H105</f>
        <v>2.41</v>
      </c>
      <c r="F107" s="771">
        <f>'Product Mix'!J105</f>
        <v>0</v>
      </c>
      <c r="G107" s="771">
        <f>'Product Mix'!O105</f>
        <v>2.41</v>
      </c>
      <c r="H107" s="759">
        <f>'Product Mix'!F105</f>
        <v>2.7382256297918948E-3</v>
      </c>
      <c r="I107" s="74" t="str">
        <f t="shared" si="33"/>
        <v>BAJA</v>
      </c>
      <c r="J107" s="74" t="str">
        <f t="shared" si="34"/>
        <v>BAJA</v>
      </c>
      <c r="K107" s="74" t="str">
        <f t="shared" si="35"/>
        <v>🐶 Perro</v>
      </c>
      <c r="L107" s="74"/>
      <c r="M107" s="74" t="e">
        <f t="shared" si="36"/>
        <v>#N/A</v>
      </c>
      <c r="N107" s="74" t="e">
        <f t="shared" si="37"/>
        <v>#N/A</v>
      </c>
      <c r="O107" s="74" t="e">
        <f t="shared" si="38"/>
        <v>#N/A</v>
      </c>
      <c r="P107" s="74" t="e">
        <f t="shared" si="39"/>
        <v>#N/A</v>
      </c>
      <c r="Q107" s="74" t="e">
        <f t="shared" si="40"/>
        <v>#N/A</v>
      </c>
      <c r="R107" s="74" t="e">
        <f t="shared" si="41"/>
        <v>#N/A</v>
      </c>
      <c r="S107" s="74">
        <f t="shared" si="42"/>
        <v>2.41</v>
      </c>
      <c r="T107" s="74">
        <f t="shared" si="43"/>
        <v>2.7382256297918948E-3</v>
      </c>
    </row>
    <row r="108" spans="1:20">
      <c r="A108" s="74">
        <f>'Product Mix'!A106</f>
        <v>101</v>
      </c>
      <c r="B108" s="74" t="str">
        <f>'Product Mix'!B106</f>
        <v>Canelò Foie Trufat</v>
      </c>
      <c r="C108" s="74" t="str">
        <f>'Product Mix'!C106</f>
        <v>Tapas Calientes</v>
      </c>
      <c r="D108" s="770">
        <f>'Product Mix'!D106</f>
        <v>0</v>
      </c>
      <c r="E108" s="771">
        <f>'Product Mix'!H106</f>
        <v>0</v>
      </c>
      <c r="F108" s="771">
        <f>'Product Mix'!J106</f>
        <v>0.5</v>
      </c>
      <c r="G108" s="771">
        <f>'Product Mix'!O106</f>
        <v>0</v>
      </c>
      <c r="H108" s="759">
        <f>'Product Mix'!F106</f>
        <v>0</v>
      </c>
      <c r="I108" s="74" t="str">
        <f t="shared" si="33"/>
        <v>-</v>
      </c>
      <c r="J108" s="74" t="str">
        <f t="shared" si="34"/>
        <v>-</v>
      </c>
      <c r="K108" s="74" t="str">
        <f t="shared" si="35"/>
        <v>-</v>
      </c>
      <c r="L108" s="74"/>
      <c r="M108" s="74" t="e">
        <f t="shared" si="36"/>
        <v>#N/A</v>
      </c>
      <c r="N108" s="74" t="e">
        <f t="shared" si="37"/>
        <v>#N/A</v>
      </c>
      <c r="O108" s="74" t="e">
        <f t="shared" si="38"/>
        <v>#N/A</v>
      </c>
      <c r="P108" s="74" t="e">
        <f t="shared" si="39"/>
        <v>#N/A</v>
      </c>
      <c r="Q108" s="74" t="e">
        <f t="shared" si="40"/>
        <v>#N/A</v>
      </c>
      <c r="R108" s="74" t="e">
        <f t="shared" si="41"/>
        <v>#N/A</v>
      </c>
      <c r="S108" s="74" t="e">
        <f t="shared" si="42"/>
        <v>#N/A</v>
      </c>
      <c r="T108" s="74" t="e">
        <f t="shared" si="43"/>
        <v>#N/A</v>
      </c>
    </row>
    <row r="109" spans="1:20">
      <c r="A109" s="74">
        <f>'Product Mix'!A107</f>
        <v>102</v>
      </c>
      <c r="B109" s="74" t="str">
        <f>'Product Mix'!B107</f>
        <v>Coca formatge cabra amb escaivada</v>
      </c>
      <c r="C109" s="74" t="str">
        <f>'Product Mix'!C107</f>
        <v>Tapas Calientes</v>
      </c>
      <c r="D109" s="770">
        <f>'Product Mix'!D107</f>
        <v>3</v>
      </c>
      <c r="E109" s="771">
        <f>'Product Mix'!H107</f>
        <v>8.41</v>
      </c>
      <c r="F109" s="771">
        <f>'Product Mix'!J107</f>
        <v>0.53</v>
      </c>
      <c r="G109" s="771">
        <f>'Product Mix'!O107</f>
        <v>7.88</v>
      </c>
      <c r="H109" s="759">
        <f>'Product Mix'!F107</f>
        <v>1.6429353778751369E-3</v>
      </c>
      <c r="I109" s="74" t="str">
        <f t="shared" si="33"/>
        <v>BAJA</v>
      </c>
      <c r="J109" s="74" t="str">
        <f t="shared" si="34"/>
        <v>ALTA</v>
      </c>
      <c r="K109" s="74" t="str">
        <f t="shared" si="35"/>
        <v>🧩 Puzzle</v>
      </c>
      <c r="L109" s="74"/>
      <c r="M109" s="74" t="e">
        <f t="shared" si="36"/>
        <v>#N/A</v>
      </c>
      <c r="N109" s="74" t="e">
        <f t="shared" si="37"/>
        <v>#N/A</v>
      </c>
      <c r="O109" s="74" t="e">
        <f t="shared" si="38"/>
        <v>#N/A</v>
      </c>
      <c r="P109" s="74" t="e">
        <f t="shared" si="39"/>
        <v>#N/A</v>
      </c>
      <c r="Q109" s="74">
        <f t="shared" si="40"/>
        <v>7.88</v>
      </c>
      <c r="R109" s="74">
        <f t="shared" si="41"/>
        <v>1.6429353778751369E-3</v>
      </c>
      <c r="S109" s="74" t="e">
        <f t="shared" si="42"/>
        <v>#N/A</v>
      </c>
      <c r="T109" s="74" t="e">
        <f t="shared" si="43"/>
        <v>#N/A</v>
      </c>
    </row>
    <row r="110" spans="1:20">
      <c r="A110" s="74">
        <f>'Product Mix'!A108</f>
        <v>103</v>
      </c>
      <c r="B110" s="74" t="str">
        <f>'Product Mix'!B108</f>
        <v>Llevar Azucar</v>
      </c>
      <c r="C110" s="74" t="str">
        <f>'Product Mix'!C108</f>
        <v>Opciones</v>
      </c>
      <c r="D110" s="770">
        <f>'Product Mix'!D108</f>
        <v>7</v>
      </c>
      <c r="E110" s="771">
        <f>'Product Mix'!H108</f>
        <v>0.15</v>
      </c>
      <c r="F110" s="771">
        <f>'Product Mix'!J108</f>
        <v>0.12</v>
      </c>
      <c r="G110" s="771">
        <f>'Product Mix'!O108</f>
        <v>3.0000000000000009E-2</v>
      </c>
      <c r="H110" s="759">
        <f>'Product Mix'!F108</f>
        <v>3.8335158817086527E-3</v>
      </c>
      <c r="I110" s="74" t="str">
        <f t="shared" si="33"/>
        <v>BAJA</v>
      </c>
      <c r="J110" s="74" t="str">
        <f t="shared" si="34"/>
        <v>BAJA</v>
      </c>
      <c r="K110" s="74" t="str">
        <f t="shared" si="35"/>
        <v>🐶 Perro</v>
      </c>
      <c r="L110" s="74"/>
      <c r="M110" s="74" t="e">
        <f t="shared" si="36"/>
        <v>#N/A</v>
      </c>
      <c r="N110" s="74" t="e">
        <f t="shared" si="37"/>
        <v>#N/A</v>
      </c>
      <c r="O110" s="74" t="e">
        <f t="shared" si="38"/>
        <v>#N/A</v>
      </c>
      <c r="P110" s="74" t="e">
        <f t="shared" si="39"/>
        <v>#N/A</v>
      </c>
      <c r="Q110" s="74" t="e">
        <f t="shared" si="40"/>
        <v>#N/A</v>
      </c>
      <c r="R110" s="74" t="e">
        <f t="shared" si="41"/>
        <v>#N/A</v>
      </c>
      <c r="S110" s="74">
        <f t="shared" si="42"/>
        <v>3.0000000000000009E-2</v>
      </c>
      <c r="T110" s="74">
        <f t="shared" si="43"/>
        <v>3.8335158817086527E-3</v>
      </c>
    </row>
    <row r="111" spans="1:20">
      <c r="A111" s="74">
        <f>'Product Mix'!A109</f>
        <v>104</v>
      </c>
      <c r="B111" s="74" t="str">
        <f>'Product Mix'!B109</f>
        <v>Provolone i botifarró</v>
      </c>
      <c r="C111" s="74" t="str">
        <f>'Product Mix'!C109</f>
        <v>Tapas Calientes</v>
      </c>
      <c r="D111" s="770">
        <f>'Product Mix'!D109</f>
        <v>0</v>
      </c>
      <c r="E111" s="771">
        <f>'Product Mix'!H109</f>
        <v>0</v>
      </c>
      <c r="F111" s="771">
        <f>'Product Mix'!J109</f>
        <v>2.31</v>
      </c>
      <c r="G111" s="771">
        <f>'Product Mix'!O109</f>
        <v>0</v>
      </c>
      <c r="H111" s="759">
        <f>'Product Mix'!F109</f>
        <v>0</v>
      </c>
      <c r="I111" s="74" t="str">
        <f t="shared" si="33"/>
        <v>-</v>
      </c>
      <c r="J111" s="74" t="str">
        <f t="shared" si="34"/>
        <v>-</v>
      </c>
      <c r="K111" s="74" t="str">
        <f t="shared" si="35"/>
        <v>-</v>
      </c>
      <c r="L111" s="74"/>
      <c r="M111" s="74" t="e">
        <f t="shared" si="36"/>
        <v>#N/A</v>
      </c>
      <c r="N111" s="74" t="e">
        <f t="shared" si="37"/>
        <v>#N/A</v>
      </c>
      <c r="O111" s="74" t="e">
        <f t="shared" si="38"/>
        <v>#N/A</v>
      </c>
      <c r="P111" s="74" t="e">
        <f t="shared" si="39"/>
        <v>#N/A</v>
      </c>
      <c r="Q111" s="74" t="e">
        <f t="shared" si="40"/>
        <v>#N/A</v>
      </c>
      <c r="R111" s="74" t="e">
        <f t="shared" si="41"/>
        <v>#N/A</v>
      </c>
      <c r="S111" s="74" t="e">
        <f t="shared" si="42"/>
        <v>#N/A</v>
      </c>
      <c r="T111" s="74" t="e">
        <f t="shared" si="43"/>
        <v>#N/A</v>
      </c>
    </row>
    <row r="112" spans="1:20">
      <c r="A112" s="74">
        <f>'Product Mix'!A110</f>
        <v>105</v>
      </c>
      <c r="B112" s="74" t="str">
        <f>'Product Mix'!B110</f>
        <v>Fanta Taronja</v>
      </c>
      <c r="C112" s="74" t="str">
        <f>'Product Mix'!C110</f>
        <v>Refrescos</v>
      </c>
      <c r="D112" s="770">
        <f>'Product Mix'!D110</f>
        <v>1</v>
      </c>
      <c r="E112" s="771">
        <f>'Product Mix'!H110</f>
        <v>2.6</v>
      </c>
      <c r="F112" s="771">
        <f>'Product Mix'!J110</f>
        <v>0.52</v>
      </c>
      <c r="G112" s="771">
        <f>'Product Mix'!O110</f>
        <v>2.08</v>
      </c>
      <c r="H112" s="759">
        <f>'Product Mix'!F110</f>
        <v>5.4764512595837896E-4</v>
      </c>
      <c r="I112" s="74" t="str">
        <f t="shared" si="33"/>
        <v>BAJA</v>
      </c>
      <c r="J112" s="74" t="str">
        <f t="shared" si="34"/>
        <v>BAJA</v>
      </c>
      <c r="K112" s="74" t="str">
        <f t="shared" si="35"/>
        <v>🐶 Perro</v>
      </c>
      <c r="L112" s="74"/>
      <c r="M112" s="74" t="e">
        <f t="shared" si="36"/>
        <v>#N/A</v>
      </c>
      <c r="N112" s="74" t="e">
        <f t="shared" si="37"/>
        <v>#N/A</v>
      </c>
      <c r="O112" s="74" t="e">
        <f t="shared" si="38"/>
        <v>#N/A</v>
      </c>
      <c r="P112" s="74" t="e">
        <f t="shared" si="39"/>
        <v>#N/A</v>
      </c>
      <c r="Q112" s="74" t="e">
        <f t="shared" si="40"/>
        <v>#N/A</v>
      </c>
      <c r="R112" s="74" t="e">
        <f t="shared" si="41"/>
        <v>#N/A</v>
      </c>
      <c r="S112" s="74">
        <f t="shared" si="42"/>
        <v>2.08</v>
      </c>
      <c r="T112" s="74">
        <f t="shared" si="43"/>
        <v>5.4764512595837896E-4</v>
      </c>
    </row>
    <row r="113" spans="1:20">
      <c r="A113" s="74">
        <f>'Product Mix'!A111</f>
        <v>106</v>
      </c>
      <c r="B113" s="74" t="str">
        <f>'Product Mix'!B111</f>
        <v>Ribera V:Copa</v>
      </c>
      <c r="C113" s="74" t="str">
        <f>'Product Mix'!C111</f>
        <v>Vinos</v>
      </c>
      <c r="D113" s="770">
        <f>'Product Mix'!D111</f>
        <v>6</v>
      </c>
      <c r="E113" s="771">
        <f>'Product Mix'!H111</f>
        <v>4.8500000000000005</v>
      </c>
      <c r="F113" s="771">
        <f>'Product Mix'!J111</f>
        <v>0.93</v>
      </c>
      <c r="G113" s="771">
        <f>'Product Mix'!O111</f>
        <v>3.9200000000000004</v>
      </c>
      <c r="H113" s="759">
        <f>'Product Mix'!F111</f>
        <v>3.2858707557502738E-3</v>
      </c>
      <c r="I113" s="74" t="str">
        <f t="shared" si="33"/>
        <v>BAJA</v>
      </c>
      <c r="J113" s="74" t="str">
        <f t="shared" si="34"/>
        <v>ALTA</v>
      </c>
      <c r="K113" s="74" t="str">
        <f t="shared" si="35"/>
        <v>🧩 Puzzle</v>
      </c>
      <c r="L113" s="74"/>
      <c r="M113" s="74" t="e">
        <f t="shared" si="36"/>
        <v>#N/A</v>
      </c>
      <c r="N113" s="74" t="e">
        <f t="shared" si="37"/>
        <v>#N/A</v>
      </c>
      <c r="O113" s="74" t="e">
        <f t="shared" si="38"/>
        <v>#N/A</v>
      </c>
      <c r="P113" s="74" t="e">
        <f t="shared" si="39"/>
        <v>#N/A</v>
      </c>
      <c r="Q113" s="74">
        <f t="shared" si="40"/>
        <v>3.9200000000000004</v>
      </c>
      <c r="R113" s="74">
        <f t="shared" si="41"/>
        <v>3.2858707557502738E-3</v>
      </c>
      <c r="S113" s="74" t="e">
        <f t="shared" si="42"/>
        <v>#N/A</v>
      </c>
      <c r="T113" s="74" t="e">
        <f t="shared" si="43"/>
        <v>#N/A</v>
      </c>
    </row>
    <row r="114" spans="1:20">
      <c r="A114" s="74">
        <f>'Product Mix'!A112</f>
        <v>107</v>
      </c>
      <c r="B114" s="74" t="str">
        <f>'Product Mix'!B112</f>
        <v>1/2 Pa cristal·lí</v>
      </c>
      <c r="C114" s="74" t="str">
        <f>'Product Mix'!C112</f>
        <v>Suplementos</v>
      </c>
      <c r="D114" s="770">
        <f>'Product Mix'!D112</f>
        <v>0</v>
      </c>
      <c r="E114" s="771">
        <f>'Product Mix'!H112</f>
        <v>0</v>
      </c>
      <c r="F114" s="771">
        <f>'Product Mix'!J112</f>
        <v>0</v>
      </c>
      <c r="G114" s="771">
        <f>'Product Mix'!O112</f>
        <v>0</v>
      </c>
      <c r="H114" s="759">
        <f>'Product Mix'!F112</f>
        <v>0</v>
      </c>
      <c r="I114" s="74" t="str">
        <f t="shared" si="33"/>
        <v>-</v>
      </c>
      <c r="J114" s="74" t="str">
        <f t="shared" si="34"/>
        <v>-</v>
      </c>
      <c r="K114" s="74" t="str">
        <f t="shared" si="35"/>
        <v>-</v>
      </c>
      <c r="L114" s="74"/>
      <c r="M114" s="74" t="e">
        <f t="shared" si="36"/>
        <v>#N/A</v>
      </c>
      <c r="N114" s="74" t="e">
        <f t="shared" si="37"/>
        <v>#N/A</v>
      </c>
      <c r="O114" s="74" t="e">
        <f t="shared" si="38"/>
        <v>#N/A</v>
      </c>
      <c r="P114" s="74" t="e">
        <f t="shared" si="39"/>
        <v>#N/A</v>
      </c>
      <c r="Q114" s="74" t="e">
        <f t="shared" si="40"/>
        <v>#N/A</v>
      </c>
      <c r="R114" s="74" t="e">
        <f t="shared" si="41"/>
        <v>#N/A</v>
      </c>
      <c r="S114" s="74" t="e">
        <f t="shared" si="42"/>
        <v>#N/A</v>
      </c>
      <c r="T114" s="74" t="e">
        <f t="shared" si="43"/>
        <v>#N/A</v>
      </c>
    </row>
    <row r="115" spans="1:20">
      <c r="A115" s="74">
        <f>'Product Mix'!A113</f>
        <v>108</v>
      </c>
      <c r="B115" s="74" t="str">
        <f>'Product Mix'!B113</f>
        <v>LLevar Azucar</v>
      </c>
      <c r="C115" s="74" t="str">
        <f>'Product Mix'!C113</f>
        <v>Opciones</v>
      </c>
      <c r="D115" s="770">
        <f>'Product Mix'!D113</f>
        <v>7</v>
      </c>
      <c r="E115" s="771">
        <f>'Product Mix'!H113</f>
        <v>0.15</v>
      </c>
      <c r="F115" s="771">
        <f>'Product Mix'!J113</f>
        <v>0.12</v>
      </c>
      <c r="G115" s="771">
        <f>'Product Mix'!O113</f>
        <v>3.0000000000000009E-2</v>
      </c>
      <c r="H115" s="759">
        <f>'Product Mix'!F113</f>
        <v>3.8335158817086527E-3</v>
      </c>
      <c r="I115" s="74" t="str">
        <f t="shared" si="33"/>
        <v>BAJA</v>
      </c>
      <c r="J115" s="74" t="str">
        <f t="shared" si="34"/>
        <v>BAJA</v>
      </c>
      <c r="K115" s="74" t="str">
        <f t="shared" si="35"/>
        <v>🐶 Perro</v>
      </c>
      <c r="L115" s="74"/>
      <c r="M115" s="74" t="e">
        <f t="shared" si="36"/>
        <v>#N/A</v>
      </c>
      <c r="N115" s="74" t="e">
        <f t="shared" si="37"/>
        <v>#N/A</v>
      </c>
      <c r="O115" s="74" t="e">
        <f t="shared" si="38"/>
        <v>#N/A</v>
      </c>
      <c r="P115" s="74" t="e">
        <f t="shared" si="39"/>
        <v>#N/A</v>
      </c>
      <c r="Q115" s="74" t="e">
        <f t="shared" si="40"/>
        <v>#N/A</v>
      </c>
      <c r="R115" s="74" t="e">
        <f t="shared" si="41"/>
        <v>#N/A</v>
      </c>
      <c r="S115" s="74">
        <f t="shared" si="42"/>
        <v>3.0000000000000009E-2</v>
      </c>
      <c r="T115" s="74">
        <f t="shared" si="43"/>
        <v>3.8335158817086527E-3</v>
      </c>
    </row>
    <row r="116" spans="1:20">
      <c r="A116" s="74">
        <f>'Product Mix'!A114</f>
        <v>109</v>
      </c>
      <c r="B116" s="74" t="str">
        <f>'Product Mix'!B114</f>
        <v>Olivas Adobades</v>
      </c>
      <c r="C116" s="74" t="str">
        <f>'Product Mix'!C114</f>
        <v>Tapas Frias</v>
      </c>
      <c r="D116" s="770">
        <f>'Product Mix'!D114</f>
        <v>0</v>
      </c>
      <c r="E116" s="771">
        <f>'Product Mix'!H114</f>
        <v>0</v>
      </c>
      <c r="F116" s="771">
        <f>'Product Mix'!J114</f>
        <v>0.55000000000000004</v>
      </c>
      <c r="G116" s="771">
        <f>'Product Mix'!O114</f>
        <v>0</v>
      </c>
      <c r="H116" s="759">
        <f>'Product Mix'!F114</f>
        <v>0</v>
      </c>
      <c r="I116" s="74" t="str">
        <f t="shared" si="33"/>
        <v>-</v>
      </c>
      <c r="J116" s="74" t="str">
        <f t="shared" si="34"/>
        <v>-</v>
      </c>
      <c r="K116" s="74" t="str">
        <f t="shared" si="35"/>
        <v>-</v>
      </c>
      <c r="L116" s="74"/>
      <c r="M116" s="74" t="e">
        <f t="shared" si="36"/>
        <v>#N/A</v>
      </c>
      <c r="N116" s="74" t="e">
        <f t="shared" si="37"/>
        <v>#N/A</v>
      </c>
      <c r="O116" s="74" t="e">
        <f t="shared" si="38"/>
        <v>#N/A</v>
      </c>
      <c r="P116" s="74" t="e">
        <f t="shared" si="39"/>
        <v>#N/A</v>
      </c>
      <c r="Q116" s="74" t="e">
        <f t="shared" si="40"/>
        <v>#N/A</v>
      </c>
      <c r="R116" s="74" t="e">
        <f t="shared" si="41"/>
        <v>#N/A</v>
      </c>
      <c r="S116" s="74" t="e">
        <f t="shared" si="42"/>
        <v>#N/A</v>
      </c>
      <c r="T116" s="74" t="e">
        <f t="shared" si="43"/>
        <v>#N/A</v>
      </c>
    </row>
    <row r="117" spans="1:20">
      <c r="A117" s="74">
        <f>'Product Mix'!A115</f>
        <v>110</v>
      </c>
      <c r="B117" s="74" t="str">
        <f>'Product Mix'!B115</f>
        <v>Ous baco i formatge</v>
      </c>
      <c r="C117" s="74" t="str">
        <f>'Product Mix'!C115</f>
        <v>Huevos Estrellados</v>
      </c>
      <c r="D117" s="770">
        <f>'Product Mix'!D115</f>
        <v>4</v>
      </c>
      <c r="E117" s="771">
        <f>'Product Mix'!H115</f>
        <v>9.7874999999999996</v>
      </c>
      <c r="F117" s="771">
        <f>'Product Mix'!J115</f>
        <v>1.79</v>
      </c>
      <c r="G117" s="771">
        <f>'Product Mix'!O115</f>
        <v>7.9974999999999996</v>
      </c>
      <c r="H117" s="759">
        <f>'Product Mix'!F115</f>
        <v>2.1905805038335158E-3</v>
      </c>
      <c r="I117" s="74" t="str">
        <f t="shared" si="33"/>
        <v>BAJA</v>
      </c>
      <c r="J117" s="74" t="str">
        <f t="shared" si="34"/>
        <v>ALTA</v>
      </c>
      <c r="K117" s="74" t="str">
        <f t="shared" si="35"/>
        <v>🧩 Puzzle</v>
      </c>
      <c r="L117" s="74"/>
      <c r="M117" s="74" t="e">
        <f t="shared" si="36"/>
        <v>#N/A</v>
      </c>
      <c r="N117" s="74" t="e">
        <f t="shared" si="37"/>
        <v>#N/A</v>
      </c>
      <c r="O117" s="74" t="e">
        <f t="shared" si="38"/>
        <v>#N/A</v>
      </c>
      <c r="P117" s="74" t="e">
        <f t="shared" si="39"/>
        <v>#N/A</v>
      </c>
      <c r="Q117" s="74">
        <f t="shared" si="40"/>
        <v>7.9974999999999996</v>
      </c>
      <c r="R117" s="74">
        <f t="shared" si="41"/>
        <v>2.1905805038335158E-3</v>
      </c>
      <c r="S117" s="74" t="e">
        <f t="shared" si="42"/>
        <v>#N/A</v>
      </c>
      <c r="T117" s="74" t="e">
        <f t="shared" si="43"/>
        <v>#N/A</v>
      </c>
    </row>
    <row r="118" spans="1:20">
      <c r="A118" s="74">
        <f>'Product Mix'!A116</f>
        <v>111</v>
      </c>
      <c r="B118" s="74" t="str">
        <f>'Product Mix'!B116</f>
        <v>Flam d'Ou</v>
      </c>
      <c r="C118" s="74" t="str">
        <f>'Product Mix'!C116</f>
        <v>Postres</v>
      </c>
      <c r="D118" s="770">
        <f>'Product Mix'!D116</f>
        <v>4</v>
      </c>
      <c r="E118" s="771">
        <f>'Product Mix'!H116</f>
        <v>4.5674999999999999</v>
      </c>
      <c r="F118" s="771">
        <f>'Product Mix'!J116</f>
        <v>0.41</v>
      </c>
      <c r="G118" s="771">
        <f>'Product Mix'!O116</f>
        <v>4.1574999999999998</v>
      </c>
      <c r="H118" s="759">
        <f>'Product Mix'!F116</f>
        <v>2.1905805038335158E-3</v>
      </c>
      <c r="I118" s="74" t="str">
        <f t="shared" si="33"/>
        <v>BAJA</v>
      </c>
      <c r="J118" s="74" t="str">
        <f t="shared" si="34"/>
        <v>ALTA</v>
      </c>
      <c r="K118" s="74" t="str">
        <f t="shared" si="35"/>
        <v>🧩 Puzzle</v>
      </c>
      <c r="L118" s="74"/>
      <c r="M118" s="74" t="e">
        <f t="shared" si="36"/>
        <v>#N/A</v>
      </c>
      <c r="N118" s="74" t="e">
        <f t="shared" si="37"/>
        <v>#N/A</v>
      </c>
      <c r="O118" s="74" t="e">
        <f t="shared" si="38"/>
        <v>#N/A</v>
      </c>
      <c r="P118" s="74" t="e">
        <f t="shared" si="39"/>
        <v>#N/A</v>
      </c>
      <c r="Q118" s="74">
        <f t="shared" si="40"/>
        <v>4.1574999999999998</v>
      </c>
      <c r="R118" s="74">
        <f t="shared" si="41"/>
        <v>2.1905805038335158E-3</v>
      </c>
      <c r="S118" s="74" t="e">
        <f t="shared" si="42"/>
        <v>#N/A</v>
      </c>
      <c r="T118" s="74" t="e">
        <f t="shared" si="43"/>
        <v>#N/A</v>
      </c>
    </row>
    <row r="119" spans="1:20">
      <c r="A119" s="74">
        <f>'Product Mix'!A117</f>
        <v>112</v>
      </c>
      <c r="B119" s="74" t="str">
        <f>'Product Mix'!B117</f>
        <v>Quatre formatges</v>
      </c>
      <c r="C119" s="74" t="str">
        <f>'Product Mix'!C117</f>
        <v>Tosta Pizzas</v>
      </c>
      <c r="D119" s="770">
        <f>'Product Mix'!D117</f>
        <v>3</v>
      </c>
      <c r="E119" s="771">
        <f>'Product Mix'!H117</f>
        <v>10.9</v>
      </c>
      <c r="F119" s="771">
        <f>'Product Mix'!J117</f>
        <v>2.68</v>
      </c>
      <c r="G119" s="771">
        <f>'Product Mix'!O117</f>
        <v>8.2200000000000006</v>
      </c>
      <c r="H119" s="759">
        <f>'Product Mix'!F117</f>
        <v>1.6429353778751369E-3</v>
      </c>
      <c r="I119" s="74" t="str">
        <f t="shared" si="33"/>
        <v>BAJA</v>
      </c>
      <c r="J119" s="74" t="str">
        <f t="shared" si="34"/>
        <v>ALTA</v>
      </c>
      <c r="K119" s="74" t="str">
        <f t="shared" si="35"/>
        <v>🧩 Puzzle</v>
      </c>
      <c r="L119" s="74"/>
      <c r="M119" s="74" t="e">
        <f t="shared" si="36"/>
        <v>#N/A</v>
      </c>
      <c r="N119" s="74" t="e">
        <f t="shared" si="37"/>
        <v>#N/A</v>
      </c>
      <c r="O119" s="74" t="e">
        <f t="shared" si="38"/>
        <v>#N/A</v>
      </c>
      <c r="P119" s="74" t="e">
        <f t="shared" si="39"/>
        <v>#N/A</v>
      </c>
      <c r="Q119" s="74">
        <f t="shared" si="40"/>
        <v>8.2200000000000006</v>
      </c>
      <c r="R119" s="74">
        <f t="shared" si="41"/>
        <v>1.6429353778751369E-3</v>
      </c>
      <c r="S119" s="74" t="e">
        <f t="shared" si="42"/>
        <v>#N/A</v>
      </c>
      <c r="T119" s="74" t="e">
        <f t="shared" si="43"/>
        <v>#N/A</v>
      </c>
    </row>
    <row r="120" spans="1:20">
      <c r="A120" s="74">
        <f>'Product Mix'!A118</f>
        <v>113</v>
      </c>
      <c r="B120" s="74" t="str">
        <f>'Product Mix'!B118</f>
        <v>Bikini</v>
      </c>
      <c r="C120" s="74" t="str">
        <f>'Product Mix'!C118</f>
        <v>Bocadillos calientes</v>
      </c>
      <c r="D120" s="770">
        <f>'Product Mix'!D118</f>
        <v>0</v>
      </c>
      <c r="E120" s="771">
        <f>'Product Mix'!H118</f>
        <v>0</v>
      </c>
      <c r="F120" s="771">
        <f>'Product Mix'!J118</f>
        <v>0.24</v>
      </c>
      <c r="G120" s="771">
        <f>'Product Mix'!O118</f>
        <v>0</v>
      </c>
      <c r="H120" s="759">
        <f>'Product Mix'!F118</f>
        <v>0</v>
      </c>
      <c r="I120" s="74" t="str">
        <f t="shared" si="33"/>
        <v>-</v>
      </c>
      <c r="J120" s="74" t="str">
        <f t="shared" si="34"/>
        <v>-</v>
      </c>
      <c r="K120" s="74" t="str">
        <f t="shared" si="35"/>
        <v>-</v>
      </c>
      <c r="L120" s="74"/>
      <c r="M120" s="74" t="e">
        <f t="shared" si="36"/>
        <v>#N/A</v>
      </c>
      <c r="N120" s="74" t="e">
        <f t="shared" si="37"/>
        <v>#N/A</v>
      </c>
      <c r="O120" s="74" t="e">
        <f t="shared" si="38"/>
        <v>#N/A</v>
      </c>
      <c r="P120" s="74" t="e">
        <f t="shared" si="39"/>
        <v>#N/A</v>
      </c>
      <c r="Q120" s="74" t="e">
        <f t="shared" si="40"/>
        <v>#N/A</v>
      </c>
      <c r="R120" s="74" t="e">
        <f t="shared" si="41"/>
        <v>#N/A</v>
      </c>
      <c r="S120" s="74" t="e">
        <f t="shared" si="42"/>
        <v>#N/A</v>
      </c>
      <c r="T120" s="74" t="e">
        <f t="shared" si="43"/>
        <v>#N/A</v>
      </c>
    </row>
    <row r="121" spans="1:20">
      <c r="A121" s="74">
        <f>'Product Mix'!A119</f>
        <v>114</v>
      </c>
      <c r="B121" s="74" t="str">
        <f>'Product Mix'!B119</f>
        <v>Suc Pinya</v>
      </c>
      <c r="C121" s="74" t="str">
        <f>'Product Mix'!C119</f>
        <v>Refrescos</v>
      </c>
      <c r="D121" s="770">
        <f>'Product Mix'!D119</f>
        <v>6</v>
      </c>
      <c r="E121" s="771">
        <f>'Product Mix'!H119</f>
        <v>2.375</v>
      </c>
      <c r="F121" s="771">
        <f>'Product Mix'!J119</f>
        <v>0.76</v>
      </c>
      <c r="G121" s="771">
        <f>'Product Mix'!O119</f>
        <v>1.615</v>
      </c>
      <c r="H121" s="759">
        <f>'Product Mix'!F119</f>
        <v>3.2858707557502738E-3</v>
      </c>
      <c r="I121" s="74" t="str">
        <f t="shared" si="33"/>
        <v>BAJA</v>
      </c>
      <c r="J121" s="74" t="str">
        <f t="shared" si="34"/>
        <v>BAJA</v>
      </c>
      <c r="K121" s="74" t="str">
        <f t="shared" si="35"/>
        <v>🐶 Perro</v>
      </c>
      <c r="L121" s="74"/>
      <c r="M121" s="74" t="e">
        <f t="shared" si="36"/>
        <v>#N/A</v>
      </c>
      <c r="N121" s="74" t="e">
        <f t="shared" si="37"/>
        <v>#N/A</v>
      </c>
      <c r="O121" s="74" t="e">
        <f t="shared" si="38"/>
        <v>#N/A</v>
      </c>
      <c r="P121" s="74" t="e">
        <f t="shared" si="39"/>
        <v>#N/A</v>
      </c>
      <c r="Q121" s="74" t="e">
        <f t="shared" si="40"/>
        <v>#N/A</v>
      </c>
      <c r="R121" s="74" t="e">
        <f t="shared" si="41"/>
        <v>#N/A</v>
      </c>
      <c r="S121" s="74">
        <f t="shared" si="42"/>
        <v>1.615</v>
      </c>
      <c r="T121" s="74">
        <f t="shared" si="43"/>
        <v>3.2858707557502738E-3</v>
      </c>
    </row>
    <row r="122" spans="1:20">
      <c r="A122" s="74">
        <f>'Product Mix'!A120</f>
        <v>115</v>
      </c>
      <c r="B122" s="74" t="str">
        <f>'Product Mix'!B120</f>
        <v>1/2 Entrepa Tonyina</v>
      </c>
      <c r="C122" s="74" t="str">
        <f>'Product Mix'!C120</f>
        <v>Bocadillos fríos</v>
      </c>
      <c r="D122" s="770">
        <f>'Product Mix'!D120</f>
        <v>1</v>
      </c>
      <c r="E122" s="771">
        <f>'Product Mix'!H120</f>
        <v>2.82</v>
      </c>
      <c r="F122" s="771">
        <f>'Product Mix'!J120</f>
        <v>0.19</v>
      </c>
      <c r="G122" s="771">
        <f>'Product Mix'!O120</f>
        <v>2.63</v>
      </c>
      <c r="H122" s="759">
        <f>'Product Mix'!F120</f>
        <v>5.4764512595837896E-4</v>
      </c>
      <c r="I122" s="74" t="str">
        <f t="shared" si="33"/>
        <v>BAJA</v>
      </c>
      <c r="J122" s="74" t="str">
        <f t="shared" si="34"/>
        <v>BAJA</v>
      </c>
      <c r="K122" s="74" t="str">
        <f t="shared" si="35"/>
        <v>🐶 Perro</v>
      </c>
      <c r="L122" s="74"/>
      <c r="M122" s="74" t="e">
        <f t="shared" si="36"/>
        <v>#N/A</v>
      </c>
      <c r="N122" s="74" t="e">
        <f t="shared" si="37"/>
        <v>#N/A</v>
      </c>
      <c r="O122" s="74" t="e">
        <f t="shared" si="38"/>
        <v>#N/A</v>
      </c>
      <c r="P122" s="74" t="e">
        <f t="shared" si="39"/>
        <v>#N/A</v>
      </c>
      <c r="Q122" s="74" t="e">
        <f t="shared" si="40"/>
        <v>#N/A</v>
      </c>
      <c r="R122" s="74" t="e">
        <f t="shared" si="41"/>
        <v>#N/A</v>
      </c>
      <c r="S122" s="74">
        <f t="shared" si="42"/>
        <v>2.63</v>
      </c>
      <c r="T122" s="74">
        <f t="shared" si="43"/>
        <v>5.4764512595837896E-4</v>
      </c>
    </row>
    <row r="123" spans="1:20">
      <c r="A123" s="74">
        <f>'Product Mix'!A121</f>
        <v>116</v>
      </c>
      <c r="B123" s="74" t="str">
        <f>'Product Mix'!B121</f>
        <v>Entrepa Truita Francesa</v>
      </c>
      <c r="C123" s="74" t="str">
        <f>'Product Mix'!C121</f>
        <v>Bocadillos calientes</v>
      </c>
      <c r="D123" s="770">
        <f>'Product Mix'!D121</f>
        <v>4</v>
      </c>
      <c r="E123" s="771">
        <f>'Product Mix'!H121</f>
        <v>4.5999999999999996</v>
      </c>
      <c r="F123" s="771">
        <f>'Product Mix'!J121</f>
        <v>0.86</v>
      </c>
      <c r="G123" s="771">
        <f>'Product Mix'!O121</f>
        <v>3.7399999999999998</v>
      </c>
      <c r="H123" s="759">
        <f>'Product Mix'!F121</f>
        <v>2.1905805038335158E-3</v>
      </c>
      <c r="I123" s="74" t="str">
        <f t="shared" si="33"/>
        <v>BAJA</v>
      </c>
      <c r="J123" s="74" t="str">
        <f t="shared" si="34"/>
        <v>ALTA</v>
      </c>
      <c r="K123" s="74" t="str">
        <f t="shared" si="35"/>
        <v>🧩 Puzzle</v>
      </c>
      <c r="L123" s="74"/>
      <c r="M123" s="74" t="e">
        <f t="shared" si="36"/>
        <v>#N/A</v>
      </c>
      <c r="N123" s="74" t="e">
        <f t="shared" si="37"/>
        <v>#N/A</v>
      </c>
      <c r="O123" s="74" t="e">
        <f t="shared" si="38"/>
        <v>#N/A</v>
      </c>
      <c r="P123" s="74" t="e">
        <f t="shared" si="39"/>
        <v>#N/A</v>
      </c>
      <c r="Q123" s="74">
        <f t="shared" si="40"/>
        <v>3.7399999999999998</v>
      </c>
      <c r="R123" s="74">
        <f t="shared" si="41"/>
        <v>2.1905805038335158E-3</v>
      </c>
      <c r="S123" s="74" t="e">
        <f t="shared" si="42"/>
        <v>#N/A</v>
      </c>
      <c r="T123" s="74" t="e">
        <f t="shared" si="43"/>
        <v>#N/A</v>
      </c>
    </row>
    <row r="124" spans="1:20">
      <c r="A124" s="74">
        <f>'Product Mix'!A122</f>
        <v>117</v>
      </c>
      <c r="B124" s="74" t="str">
        <f>'Product Mix'!B122</f>
        <v>Clara Copa</v>
      </c>
      <c r="C124" s="74" t="str">
        <f>'Product Mix'!C122</f>
        <v>Cervezas</v>
      </c>
      <c r="D124" s="770">
        <f>'Product Mix'!D122</f>
        <v>0</v>
      </c>
      <c r="E124" s="771">
        <f>'Product Mix'!H122</f>
        <v>0</v>
      </c>
      <c r="F124" s="771">
        <f>'Product Mix'!J122</f>
        <v>0</v>
      </c>
      <c r="G124" s="771">
        <f>'Product Mix'!O122</f>
        <v>0</v>
      </c>
      <c r="H124" s="759">
        <f>'Product Mix'!F122</f>
        <v>0</v>
      </c>
      <c r="I124" s="74" t="str">
        <f t="shared" si="33"/>
        <v>-</v>
      </c>
      <c r="J124" s="74" t="str">
        <f t="shared" si="34"/>
        <v>-</v>
      </c>
      <c r="K124" s="74" t="str">
        <f t="shared" si="35"/>
        <v>-</v>
      </c>
      <c r="L124" s="74"/>
      <c r="M124" s="74" t="e">
        <f t="shared" si="36"/>
        <v>#N/A</v>
      </c>
      <c r="N124" s="74" t="e">
        <f t="shared" si="37"/>
        <v>#N/A</v>
      </c>
      <c r="O124" s="74" t="e">
        <f t="shared" si="38"/>
        <v>#N/A</v>
      </c>
      <c r="P124" s="74" t="e">
        <f t="shared" si="39"/>
        <v>#N/A</v>
      </c>
      <c r="Q124" s="74" t="e">
        <f t="shared" si="40"/>
        <v>#N/A</v>
      </c>
      <c r="R124" s="74" t="e">
        <f t="shared" si="41"/>
        <v>#N/A</v>
      </c>
      <c r="S124" s="74" t="e">
        <f t="shared" si="42"/>
        <v>#N/A</v>
      </c>
      <c r="T124" s="74" t="e">
        <f t="shared" si="43"/>
        <v>#N/A</v>
      </c>
    </row>
    <row r="125" spans="1:20">
      <c r="A125" s="74">
        <f>'Product Mix'!A123</f>
        <v>118</v>
      </c>
      <c r="B125" s="74" t="str">
        <f>'Product Mix'!B123</f>
        <v>Seitons en vinagre</v>
      </c>
      <c r="C125" s="74" t="str">
        <f>'Product Mix'!C123</f>
        <v>Tapas frías</v>
      </c>
      <c r="D125" s="770">
        <f>'Product Mix'!D123</f>
        <v>4</v>
      </c>
      <c r="E125" s="771">
        <f>'Product Mix'!H123</f>
        <v>8.0225000000000009</v>
      </c>
      <c r="F125" s="771">
        <f>'Product Mix'!J123</f>
        <v>1.5</v>
      </c>
      <c r="G125" s="771">
        <f>'Product Mix'!O123</f>
        <v>6.5225000000000009</v>
      </c>
      <c r="H125" s="759">
        <f>'Product Mix'!F123</f>
        <v>2.1905805038335158E-3</v>
      </c>
      <c r="I125" s="74" t="str">
        <f t="shared" si="33"/>
        <v>BAJA</v>
      </c>
      <c r="J125" s="74" t="str">
        <f t="shared" si="34"/>
        <v>ALTA</v>
      </c>
      <c r="K125" s="74" t="str">
        <f t="shared" si="35"/>
        <v>🧩 Puzzle</v>
      </c>
      <c r="L125" s="74"/>
      <c r="M125" s="74" t="e">
        <f t="shared" si="36"/>
        <v>#N/A</v>
      </c>
      <c r="N125" s="74" t="e">
        <f t="shared" si="37"/>
        <v>#N/A</v>
      </c>
      <c r="O125" s="74" t="e">
        <f t="shared" si="38"/>
        <v>#N/A</v>
      </c>
      <c r="P125" s="74" t="e">
        <f t="shared" si="39"/>
        <v>#N/A</v>
      </c>
      <c r="Q125" s="74">
        <f t="shared" si="40"/>
        <v>6.5225000000000009</v>
      </c>
      <c r="R125" s="74">
        <f t="shared" si="41"/>
        <v>2.1905805038335158E-3</v>
      </c>
      <c r="S125" s="74" t="e">
        <f t="shared" si="42"/>
        <v>#N/A</v>
      </c>
      <c r="T125" s="74" t="e">
        <f t="shared" si="43"/>
        <v>#N/A</v>
      </c>
    </row>
    <row r="126" spans="1:20">
      <c r="A126" s="74">
        <f>'Product Mix'!A124</f>
        <v>119</v>
      </c>
      <c r="B126" s="74" t="str">
        <f>'Product Mix'!B124</f>
        <v>Monsant Copa</v>
      </c>
      <c r="C126" s="74" t="str">
        <f>'Product Mix'!C124</f>
        <v>Vinos</v>
      </c>
      <c r="D126" s="770">
        <f>'Product Mix'!D124</f>
        <v>13</v>
      </c>
      <c r="E126" s="771">
        <f>'Product Mix'!H124</f>
        <v>4.2076923076923078</v>
      </c>
      <c r="F126" s="771">
        <f>'Product Mix'!J124</f>
        <v>1.1200000000000001</v>
      </c>
      <c r="G126" s="771">
        <f>'Product Mix'!O124</f>
        <v>3.0876923076923077</v>
      </c>
      <c r="H126" s="759">
        <f>'Product Mix'!F124</f>
        <v>7.1193866374589269E-3</v>
      </c>
      <c r="I126" s="74" t="str">
        <f t="shared" si="33"/>
        <v>ALTA</v>
      </c>
      <c r="J126" s="74" t="str">
        <f t="shared" si="34"/>
        <v>BAJA</v>
      </c>
      <c r="K126" s="74" t="str">
        <f t="shared" si="35"/>
        <v>🐎 Caballo</v>
      </c>
      <c r="L126" s="74"/>
      <c r="M126" s="74" t="e">
        <f t="shared" si="36"/>
        <v>#N/A</v>
      </c>
      <c r="N126" s="74" t="e">
        <f t="shared" si="37"/>
        <v>#N/A</v>
      </c>
      <c r="O126" s="74">
        <f t="shared" si="38"/>
        <v>3.0876923076923077</v>
      </c>
      <c r="P126" s="74">
        <f t="shared" si="39"/>
        <v>7.1193866374589269E-3</v>
      </c>
      <c r="Q126" s="74" t="e">
        <f t="shared" si="40"/>
        <v>#N/A</v>
      </c>
      <c r="R126" s="74" t="e">
        <f t="shared" si="41"/>
        <v>#N/A</v>
      </c>
      <c r="S126" s="74" t="e">
        <f t="shared" si="42"/>
        <v>#N/A</v>
      </c>
      <c r="T126" s="74" t="e">
        <f t="shared" si="43"/>
        <v>#N/A</v>
      </c>
    </row>
    <row r="127" spans="1:20">
      <c r="A127" s="74">
        <f>'Product Mix'!A125</f>
        <v>120</v>
      </c>
      <c r="B127" s="74" t="str">
        <f>'Product Mix'!B125</f>
        <v>Clara sin C:Copa</v>
      </c>
      <c r="C127" s="74" t="str">
        <f>'Product Mix'!C125</f>
        <v>Cervezas</v>
      </c>
      <c r="D127" s="770">
        <f>'Product Mix'!D125</f>
        <v>7</v>
      </c>
      <c r="E127" s="771">
        <f>'Product Mix'!H125</f>
        <v>2.65</v>
      </c>
      <c r="F127" s="771">
        <f>'Product Mix'!J125</f>
        <v>0.11</v>
      </c>
      <c r="G127" s="771">
        <f>'Product Mix'!O125</f>
        <v>2.54</v>
      </c>
      <c r="H127" s="759">
        <f>'Product Mix'!F125</f>
        <v>3.8335158817086527E-3</v>
      </c>
      <c r="I127" s="74" t="str">
        <f t="shared" si="33"/>
        <v>BAJA</v>
      </c>
      <c r="J127" s="74" t="str">
        <f t="shared" si="34"/>
        <v>BAJA</v>
      </c>
      <c r="K127" s="74" t="str">
        <f t="shared" si="35"/>
        <v>🐶 Perro</v>
      </c>
      <c r="L127" s="74"/>
      <c r="M127" s="74" t="e">
        <f t="shared" si="36"/>
        <v>#N/A</v>
      </c>
      <c r="N127" s="74" t="e">
        <f t="shared" si="37"/>
        <v>#N/A</v>
      </c>
      <c r="O127" s="74" t="e">
        <f t="shared" si="38"/>
        <v>#N/A</v>
      </c>
      <c r="P127" s="74" t="e">
        <f t="shared" si="39"/>
        <v>#N/A</v>
      </c>
      <c r="Q127" s="74" t="e">
        <f t="shared" si="40"/>
        <v>#N/A</v>
      </c>
      <c r="R127" s="74" t="e">
        <f t="shared" si="41"/>
        <v>#N/A</v>
      </c>
      <c r="S127" s="74">
        <f t="shared" si="42"/>
        <v>2.54</v>
      </c>
      <c r="T127" s="74">
        <f t="shared" si="43"/>
        <v>3.8335158817086527E-3</v>
      </c>
    </row>
    <row r="128" spans="1:20">
      <c r="A128" s="74">
        <f>'Product Mix'!A126</f>
        <v>121</v>
      </c>
      <c r="B128" s="74" t="str">
        <f>'Product Mix'!B126</f>
        <v>Ous amb bacó i formatge</v>
      </c>
      <c r="C128" s="74" t="str">
        <f>'Product Mix'!C126</f>
        <v>Huevos estrellados</v>
      </c>
      <c r="D128" s="770">
        <f>'Product Mix'!D126</f>
        <v>4</v>
      </c>
      <c r="E128" s="771">
        <f>'Product Mix'!H126</f>
        <v>6.75</v>
      </c>
      <c r="F128" s="771">
        <f>'Product Mix'!J126</f>
        <v>1.79</v>
      </c>
      <c r="G128" s="771">
        <f>'Product Mix'!O126</f>
        <v>4.96</v>
      </c>
      <c r="H128" s="759">
        <f>'Product Mix'!F126</f>
        <v>2.1905805038335158E-3</v>
      </c>
      <c r="I128" s="74" t="str">
        <f t="shared" si="33"/>
        <v>BAJA</v>
      </c>
      <c r="J128" s="74" t="str">
        <f t="shared" si="34"/>
        <v>ALTA</v>
      </c>
      <c r="K128" s="74" t="str">
        <f t="shared" si="35"/>
        <v>🧩 Puzzle</v>
      </c>
      <c r="L128" s="74"/>
      <c r="M128" s="74" t="e">
        <f t="shared" si="36"/>
        <v>#N/A</v>
      </c>
      <c r="N128" s="74" t="e">
        <f t="shared" si="37"/>
        <v>#N/A</v>
      </c>
      <c r="O128" s="74" t="e">
        <f t="shared" si="38"/>
        <v>#N/A</v>
      </c>
      <c r="P128" s="74" t="e">
        <f t="shared" si="39"/>
        <v>#N/A</v>
      </c>
      <c r="Q128" s="74">
        <f t="shared" si="40"/>
        <v>4.96</v>
      </c>
      <c r="R128" s="74">
        <f t="shared" si="41"/>
        <v>2.1905805038335158E-3</v>
      </c>
      <c r="S128" s="74" t="e">
        <f t="shared" si="42"/>
        <v>#N/A</v>
      </c>
      <c r="T128" s="74" t="e">
        <f t="shared" si="43"/>
        <v>#N/A</v>
      </c>
    </row>
    <row r="129" spans="1:20">
      <c r="A129" s="74">
        <f>'Product Mix'!A127</f>
        <v>122</v>
      </c>
      <c r="B129" s="74" t="str">
        <f>'Product Mix'!B127</f>
        <v>Esmorzar Complet</v>
      </c>
      <c r="C129" s="74" t="str">
        <f>'Product Mix'!C127</f>
        <v>Desayunos</v>
      </c>
      <c r="D129" s="770">
        <f>'Product Mix'!D127</f>
        <v>0</v>
      </c>
      <c r="E129" s="771">
        <f>'Product Mix'!H127</f>
        <v>0</v>
      </c>
      <c r="F129" s="771">
        <f>'Product Mix'!J127</f>
        <v>0.74</v>
      </c>
      <c r="G129" s="771">
        <f>'Product Mix'!O127</f>
        <v>0</v>
      </c>
      <c r="H129" s="759">
        <f>'Product Mix'!F127</f>
        <v>0</v>
      </c>
      <c r="I129" s="74" t="str">
        <f t="shared" si="33"/>
        <v>-</v>
      </c>
      <c r="J129" s="74" t="str">
        <f t="shared" si="34"/>
        <v>-</v>
      </c>
      <c r="K129" s="74" t="str">
        <f t="shared" si="35"/>
        <v>-</v>
      </c>
      <c r="L129" s="74"/>
      <c r="M129" s="74" t="e">
        <f t="shared" si="36"/>
        <v>#N/A</v>
      </c>
      <c r="N129" s="74" t="e">
        <f t="shared" si="37"/>
        <v>#N/A</v>
      </c>
      <c r="O129" s="74" t="e">
        <f t="shared" si="38"/>
        <v>#N/A</v>
      </c>
      <c r="P129" s="74" t="e">
        <f t="shared" si="39"/>
        <v>#N/A</v>
      </c>
      <c r="Q129" s="74" t="e">
        <f t="shared" si="40"/>
        <v>#N/A</v>
      </c>
      <c r="R129" s="74" t="e">
        <f t="shared" si="41"/>
        <v>#N/A</v>
      </c>
      <c r="S129" s="74" t="e">
        <f t="shared" si="42"/>
        <v>#N/A</v>
      </c>
      <c r="T129" s="74" t="e">
        <f t="shared" si="43"/>
        <v>#N/A</v>
      </c>
    </row>
    <row r="130" spans="1:20">
      <c r="A130" s="74">
        <f>'Product Mix'!A128</f>
        <v>123</v>
      </c>
      <c r="B130" s="74" t="str">
        <f>'Product Mix'!B128</f>
        <v>Pan Cristalino</v>
      </c>
      <c r="C130" s="74" t="str">
        <f>'Product Mix'!C128</f>
        <v>Suplementos</v>
      </c>
      <c r="D130" s="770">
        <f>'Product Mix'!D128</f>
        <v>0</v>
      </c>
      <c r="E130" s="771">
        <f>'Product Mix'!H128</f>
        <v>0</v>
      </c>
      <c r="F130" s="771">
        <f>'Product Mix'!J128</f>
        <v>0</v>
      </c>
      <c r="G130" s="771">
        <f>'Product Mix'!O128</f>
        <v>0</v>
      </c>
      <c r="H130" s="759">
        <f>'Product Mix'!F128</f>
        <v>0</v>
      </c>
      <c r="I130" s="74" t="str">
        <f t="shared" si="33"/>
        <v>-</v>
      </c>
      <c r="J130" s="74" t="str">
        <f t="shared" si="34"/>
        <v>-</v>
      </c>
      <c r="K130" s="74" t="str">
        <f t="shared" si="35"/>
        <v>-</v>
      </c>
      <c r="L130" s="74"/>
      <c r="M130" s="74" t="e">
        <f t="shared" si="36"/>
        <v>#N/A</v>
      </c>
      <c r="N130" s="74" t="e">
        <f t="shared" si="37"/>
        <v>#N/A</v>
      </c>
      <c r="O130" s="74" t="e">
        <f t="shared" si="38"/>
        <v>#N/A</v>
      </c>
      <c r="P130" s="74" t="e">
        <f t="shared" si="39"/>
        <v>#N/A</v>
      </c>
      <c r="Q130" s="74" t="e">
        <f t="shared" si="40"/>
        <v>#N/A</v>
      </c>
      <c r="R130" s="74" t="e">
        <f t="shared" si="41"/>
        <v>#N/A</v>
      </c>
      <c r="S130" s="74" t="e">
        <f t="shared" si="42"/>
        <v>#N/A</v>
      </c>
      <c r="T130" s="74" t="e">
        <f t="shared" si="43"/>
        <v>#N/A</v>
      </c>
    </row>
    <row r="131" spans="1:20">
      <c r="A131" s="74">
        <f>'Product Mix'!A129</f>
        <v>124</v>
      </c>
      <c r="B131" s="74" t="str">
        <f>'Product Mix'!B129</f>
        <v>Cafe America</v>
      </c>
      <c r="C131" s="74" t="str">
        <f>'Product Mix'!C129</f>
        <v>Cafe</v>
      </c>
      <c r="D131" s="770">
        <f>'Product Mix'!D129</f>
        <v>1</v>
      </c>
      <c r="E131" s="771">
        <f>'Product Mix'!H129</f>
        <v>1.85</v>
      </c>
      <c r="F131" s="771">
        <f>'Product Mix'!J129</f>
        <v>0.26</v>
      </c>
      <c r="G131" s="771">
        <f>'Product Mix'!O129</f>
        <v>1.59</v>
      </c>
      <c r="H131" s="759">
        <f>'Product Mix'!F129</f>
        <v>5.4764512595837896E-4</v>
      </c>
      <c r="I131" s="74" t="str">
        <f t="shared" si="33"/>
        <v>BAJA</v>
      </c>
      <c r="J131" s="74" t="str">
        <f t="shared" si="34"/>
        <v>BAJA</v>
      </c>
      <c r="K131" s="74" t="str">
        <f t="shared" si="35"/>
        <v>🐶 Perro</v>
      </c>
      <c r="L131" s="74"/>
      <c r="M131" s="74" t="e">
        <f t="shared" si="36"/>
        <v>#N/A</v>
      </c>
      <c r="N131" s="74" t="e">
        <f t="shared" si="37"/>
        <v>#N/A</v>
      </c>
      <c r="O131" s="74" t="e">
        <f t="shared" si="38"/>
        <v>#N/A</v>
      </c>
      <c r="P131" s="74" t="e">
        <f t="shared" si="39"/>
        <v>#N/A</v>
      </c>
      <c r="Q131" s="74" t="e">
        <f t="shared" si="40"/>
        <v>#N/A</v>
      </c>
      <c r="R131" s="74" t="e">
        <f t="shared" si="41"/>
        <v>#N/A</v>
      </c>
      <c r="S131" s="74">
        <f t="shared" si="42"/>
        <v>1.59</v>
      </c>
      <c r="T131" s="74">
        <f t="shared" si="43"/>
        <v>5.4764512595837896E-4</v>
      </c>
    </row>
    <row r="132" spans="1:20">
      <c r="A132" s="74">
        <f>'Product Mix'!A130</f>
        <v>125</v>
      </c>
      <c r="B132" s="74" t="str">
        <f>'Product Mix'!B130</f>
        <v>Entrepa Llom</v>
      </c>
      <c r="C132" s="74" t="str">
        <f>'Product Mix'!C130</f>
        <v>Bocadillos calientes</v>
      </c>
      <c r="D132" s="770">
        <f>'Product Mix'!D130</f>
        <v>1</v>
      </c>
      <c r="E132" s="771">
        <f>'Product Mix'!H130</f>
        <v>4.9000000000000004</v>
      </c>
      <c r="F132" s="771">
        <f>'Product Mix'!J130</f>
        <v>0.78</v>
      </c>
      <c r="G132" s="771">
        <f>'Product Mix'!O130</f>
        <v>4.12</v>
      </c>
      <c r="H132" s="759">
        <f>'Product Mix'!F130</f>
        <v>5.4764512595837896E-4</v>
      </c>
      <c r="I132" s="74" t="str">
        <f t="shared" si="33"/>
        <v>BAJA</v>
      </c>
      <c r="J132" s="74" t="str">
        <f t="shared" si="34"/>
        <v>ALTA</v>
      </c>
      <c r="K132" s="74" t="str">
        <f t="shared" si="35"/>
        <v>🧩 Puzzle</v>
      </c>
      <c r="L132" s="74"/>
      <c r="M132" s="74" t="e">
        <f t="shared" si="36"/>
        <v>#N/A</v>
      </c>
      <c r="N132" s="74" t="e">
        <f t="shared" si="37"/>
        <v>#N/A</v>
      </c>
      <c r="O132" s="74" t="e">
        <f t="shared" si="38"/>
        <v>#N/A</v>
      </c>
      <c r="P132" s="74" t="e">
        <f t="shared" si="39"/>
        <v>#N/A</v>
      </c>
      <c r="Q132" s="74">
        <f t="shared" si="40"/>
        <v>4.12</v>
      </c>
      <c r="R132" s="74">
        <f t="shared" si="41"/>
        <v>5.4764512595837896E-4</v>
      </c>
      <c r="S132" s="74" t="e">
        <f t="shared" si="42"/>
        <v>#N/A</v>
      </c>
      <c r="T132" s="74" t="e">
        <f t="shared" si="43"/>
        <v>#N/A</v>
      </c>
    </row>
    <row r="133" spans="1:20">
      <c r="A133" s="74">
        <f>'Product Mix'!A131</f>
        <v>126</v>
      </c>
      <c r="B133" s="74" t="str">
        <f>'Product Mix'!B131</f>
        <v>1/2 Entrepa Pernil Iberic</v>
      </c>
      <c r="C133" s="74" t="str">
        <f>'Product Mix'!C131</f>
        <v>Bocadillos fríos</v>
      </c>
      <c r="D133" s="770">
        <f>'Product Mix'!D131</f>
        <v>1</v>
      </c>
      <c r="E133" s="771">
        <f>'Product Mix'!H131</f>
        <v>5.32</v>
      </c>
      <c r="F133" s="771">
        <f>'Product Mix'!J131</f>
        <v>0.89</v>
      </c>
      <c r="G133" s="771">
        <f>'Product Mix'!O131</f>
        <v>4.4300000000000006</v>
      </c>
      <c r="H133" s="759">
        <f>'Product Mix'!F131</f>
        <v>5.4764512595837896E-4</v>
      </c>
      <c r="I133" s="74" t="str">
        <f t="shared" si="33"/>
        <v>BAJA</v>
      </c>
      <c r="J133" s="74" t="str">
        <f t="shared" si="34"/>
        <v>ALTA</v>
      </c>
      <c r="K133" s="74" t="str">
        <f t="shared" si="35"/>
        <v>🧩 Puzzle</v>
      </c>
      <c r="L133" s="74"/>
      <c r="M133" s="74" t="e">
        <f t="shared" si="36"/>
        <v>#N/A</v>
      </c>
      <c r="N133" s="74" t="e">
        <f t="shared" si="37"/>
        <v>#N/A</v>
      </c>
      <c r="O133" s="74" t="e">
        <f t="shared" si="38"/>
        <v>#N/A</v>
      </c>
      <c r="P133" s="74" t="e">
        <f t="shared" si="39"/>
        <v>#N/A</v>
      </c>
      <c r="Q133" s="74">
        <f t="shared" si="40"/>
        <v>4.4300000000000006</v>
      </c>
      <c r="R133" s="74">
        <f t="shared" si="41"/>
        <v>5.4764512595837896E-4</v>
      </c>
      <c r="S133" s="74" t="e">
        <f t="shared" si="42"/>
        <v>#N/A</v>
      </c>
      <c r="T133" s="74" t="e">
        <f t="shared" si="43"/>
        <v>#N/A</v>
      </c>
    </row>
    <row r="134" spans="1:20">
      <c r="A134" s="74">
        <f>'Product Mix'!A132</f>
        <v>127</v>
      </c>
      <c r="B134" s="74" t="str">
        <f>'Product Mix'!B132</f>
        <v>Fanta Llimona</v>
      </c>
      <c r="C134" s="74" t="str">
        <f>'Product Mix'!C132</f>
        <v>Refrescos</v>
      </c>
      <c r="D134" s="770">
        <f>'Product Mix'!D132</f>
        <v>1</v>
      </c>
      <c r="E134" s="771">
        <f>'Product Mix'!H132</f>
        <v>2.6</v>
      </c>
      <c r="F134" s="771">
        <f>'Product Mix'!J132</f>
        <v>0.59</v>
      </c>
      <c r="G134" s="771">
        <f>'Product Mix'!O132</f>
        <v>2.0100000000000002</v>
      </c>
      <c r="H134" s="759">
        <f>'Product Mix'!F132</f>
        <v>5.4764512595837896E-4</v>
      </c>
      <c r="I134" s="74" t="str">
        <f t="shared" si="33"/>
        <v>BAJA</v>
      </c>
      <c r="J134" s="74" t="str">
        <f t="shared" si="34"/>
        <v>BAJA</v>
      </c>
      <c r="K134" s="74" t="str">
        <f t="shared" si="35"/>
        <v>🐶 Perro</v>
      </c>
      <c r="L134" s="74"/>
      <c r="M134" s="74" t="e">
        <f t="shared" si="36"/>
        <v>#N/A</v>
      </c>
      <c r="N134" s="74" t="e">
        <f t="shared" si="37"/>
        <v>#N/A</v>
      </c>
      <c r="O134" s="74" t="e">
        <f t="shared" si="38"/>
        <v>#N/A</v>
      </c>
      <c r="P134" s="74" t="e">
        <f t="shared" si="39"/>
        <v>#N/A</v>
      </c>
      <c r="Q134" s="74" t="e">
        <f t="shared" si="40"/>
        <v>#N/A</v>
      </c>
      <c r="R134" s="74" t="e">
        <f t="shared" si="41"/>
        <v>#N/A</v>
      </c>
      <c r="S134" s="74">
        <f t="shared" si="42"/>
        <v>2.0100000000000002</v>
      </c>
      <c r="T134" s="74">
        <f t="shared" si="43"/>
        <v>5.4764512595837896E-4</v>
      </c>
    </row>
    <row r="135" spans="1:20">
      <c r="A135" s="74">
        <f>'Product Mix'!A133</f>
        <v>128</v>
      </c>
      <c r="B135" s="74" t="str">
        <f>'Product Mix'!B133</f>
        <v>Entrepa Truita francesa</v>
      </c>
      <c r="C135" s="74" t="str">
        <f>'Product Mix'!C133</f>
        <v>Bocadillos Calientes</v>
      </c>
      <c r="D135" s="770">
        <f>'Product Mix'!D133</f>
        <v>4</v>
      </c>
      <c r="E135" s="771">
        <f>'Product Mix'!H133</f>
        <v>4.5999999999999996</v>
      </c>
      <c r="F135" s="771">
        <f>'Product Mix'!J133</f>
        <v>0.86</v>
      </c>
      <c r="G135" s="771">
        <f>'Product Mix'!O133</f>
        <v>3.7399999999999998</v>
      </c>
      <c r="H135" s="759">
        <f>'Product Mix'!F133</f>
        <v>2.1905805038335158E-3</v>
      </c>
      <c r="I135" s="74" t="str">
        <f t="shared" si="33"/>
        <v>BAJA</v>
      </c>
      <c r="J135" s="74" t="str">
        <f t="shared" si="34"/>
        <v>ALTA</v>
      </c>
      <c r="K135" s="74" t="str">
        <f t="shared" si="35"/>
        <v>🧩 Puzzle</v>
      </c>
      <c r="L135" s="74"/>
      <c r="M135" s="74" t="e">
        <f t="shared" si="36"/>
        <v>#N/A</v>
      </c>
      <c r="N135" s="74" t="e">
        <f t="shared" si="37"/>
        <v>#N/A</v>
      </c>
      <c r="O135" s="74" t="e">
        <f t="shared" si="38"/>
        <v>#N/A</v>
      </c>
      <c r="P135" s="74" t="e">
        <f t="shared" si="39"/>
        <v>#N/A</v>
      </c>
      <c r="Q135" s="74">
        <f t="shared" si="40"/>
        <v>3.7399999999999998</v>
      </c>
      <c r="R135" s="74">
        <f t="shared" si="41"/>
        <v>2.1905805038335158E-3</v>
      </c>
      <c r="S135" s="74" t="e">
        <f t="shared" si="42"/>
        <v>#N/A</v>
      </c>
      <c r="T135" s="74" t="e">
        <f t="shared" si="43"/>
        <v>#N/A</v>
      </c>
    </row>
    <row r="136" spans="1:20">
      <c r="A136" s="74">
        <f>'Product Mix'!A134</f>
        <v>129</v>
      </c>
      <c r="B136" s="74" t="str">
        <f>'Product Mix'!B134</f>
        <v>Coca Pizza Nàpols</v>
      </c>
      <c r="C136" s="74" t="str">
        <f>'Product Mix'!C134</f>
        <v>Coca pizza</v>
      </c>
      <c r="D136" s="770">
        <f>'Product Mix'!D134</f>
        <v>4</v>
      </c>
      <c r="E136" s="771">
        <f>'Product Mix'!H134</f>
        <v>11.727499999999999</v>
      </c>
      <c r="F136" s="771">
        <f>'Product Mix'!J134</f>
        <v>1.55</v>
      </c>
      <c r="G136" s="771">
        <f>'Product Mix'!O134</f>
        <v>10.177499999999998</v>
      </c>
      <c r="H136" s="759">
        <f>'Product Mix'!F134</f>
        <v>2.1905805038335158E-3</v>
      </c>
      <c r="I136" s="74" t="str">
        <f t="shared" ref="I136:I167" si="44">IF(D136=0,"-",IF(H136&gt;=$E$5,"ALTA","BAJA"))</f>
        <v>BAJA</v>
      </c>
      <c r="J136" s="74" t="str">
        <f t="shared" ref="J136:J167" si="45">IF(D136=0,"-",IF(G136&gt;=$D$5,"ALTA","BAJA"))</f>
        <v>ALTA</v>
      </c>
      <c r="K136" s="74" t="str">
        <f t="shared" ref="K136:K167" si="46">IF(D136=0,"-",IF(AND(I136="ALTA",J136="ALTA"),"⭐ Estrella",IF(AND(I136="ALTA",J136="BAJA"),"🐎 Caballo",IF(AND(I136="BAJA",J136="ALTA"),"🧩 Puzzle","🐶 Perro"))))</f>
        <v>🧩 Puzzle</v>
      </c>
      <c r="L136" s="74"/>
      <c r="M136" s="74" t="e">
        <f t="shared" ref="M136:M167" si="47">IF(ISNUMBER(SEARCH("Estrella",K136)),G136,NA())</f>
        <v>#N/A</v>
      </c>
      <c r="N136" s="74" t="e">
        <f t="shared" ref="N136:N167" si="48">IF(ISNUMBER(SEARCH("Estrella",K136)),H136,NA())</f>
        <v>#N/A</v>
      </c>
      <c r="O136" s="74" t="e">
        <f t="shared" ref="O136:O167" si="49">IF(ISNUMBER(SEARCH("Caballo",K136)),G136,NA())</f>
        <v>#N/A</v>
      </c>
      <c r="P136" s="74" t="e">
        <f t="shared" ref="P136:P167" si="50">IF(ISNUMBER(SEARCH("Caballo",K136)),H136,NA())</f>
        <v>#N/A</v>
      </c>
      <c r="Q136" s="74">
        <f t="shared" ref="Q136:Q167" si="51">IF(ISNUMBER(SEARCH("Puzzle",K136)),G136,NA())</f>
        <v>10.177499999999998</v>
      </c>
      <c r="R136" s="74">
        <f t="shared" ref="R136:R167" si="52">IF(ISNUMBER(SEARCH("Puzzle",K136)),H136,NA())</f>
        <v>2.1905805038335158E-3</v>
      </c>
      <c r="S136" s="74" t="e">
        <f t="shared" ref="S136:S167" si="53">IF(ISNUMBER(SEARCH("Perro",K136)),G136,NA())</f>
        <v>#N/A</v>
      </c>
      <c r="T136" s="74" t="e">
        <f t="shared" ref="T136:T167" si="54">IF(ISNUMBER(SEARCH("Perro",K136)),H136,NA())</f>
        <v>#N/A</v>
      </c>
    </row>
    <row r="137" spans="1:20">
      <c r="A137" s="74">
        <f>'Product Mix'!A135</f>
        <v>130</v>
      </c>
      <c r="B137" s="74" t="str">
        <f>'Product Mix'!B135</f>
        <v>Taula aperitiu</v>
      </c>
      <c r="C137" s="74" t="str">
        <f>'Product Mix'!C135</f>
        <v>Tapas frías</v>
      </c>
      <c r="D137" s="770">
        <f>'Product Mix'!D135</f>
        <v>3</v>
      </c>
      <c r="E137" s="771">
        <f>'Product Mix'!H135</f>
        <v>15.38</v>
      </c>
      <c r="F137" s="771">
        <f>'Product Mix'!J135</f>
        <v>5.59</v>
      </c>
      <c r="G137" s="771">
        <f>'Product Mix'!O135</f>
        <v>9.7900000000000009</v>
      </c>
      <c r="H137" s="759">
        <f>'Product Mix'!F135</f>
        <v>1.6429353778751369E-3</v>
      </c>
      <c r="I137" s="74" t="str">
        <f t="shared" si="44"/>
        <v>BAJA</v>
      </c>
      <c r="J137" s="74" t="str">
        <f t="shared" si="45"/>
        <v>ALTA</v>
      </c>
      <c r="K137" s="74" t="str">
        <f t="shared" si="46"/>
        <v>🧩 Puzzle</v>
      </c>
      <c r="L137" s="74"/>
      <c r="M137" s="74" t="e">
        <f t="shared" si="47"/>
        <v>#N/A</v>
      </c>
      <c r="N137" s="74" t="e">
        <f t="shared" si="48"/>
        <v>#N/A</v>
      </c>
      <c r="O137" s="74" t="e">
        <f t="shared" si="49"/>
        <v>#N/A</v>
      </c>
      <c r="P137" s="74" t="e">
        <f t="shared" si="50"/>
        <v>#N/A</v>
      </c>
      <c r="Q137" s="74">
        <f t="shared" si="51"/>
        <v>9.7900000000000009</v>
      </c>
      <c r="R137" s="74">
        <f t="shared" si="52"/>
        <v>1.6429353778751369E-3</v>
      </c>
      <c r="S137" s="74" t="e">
        <f t="shared" si="53"/>
        <v>#N/A</v>
      </c>
      <c r="T137" s="74" t="e">
        <f t="shared" si="54"/>
        <v>#N/A</v>
      </c>
    </row>
    <row r="138" spans="1:20">
      <c r="A138" s="74">
        <f>'Product Mix'!A136</f>
        <v>131</v>
      </c>
      <c r="B138" s="74" t="str">
        <f>'Product Mix'!B136</f>
        <v>Ous amb Botifarro</v>
      </c>
      <c r="C138" s="74" t="str">
        <f>'Product Mix'!C136</f>
        <v>Huevos Estrellados</v>
      </c>
      <c r="D138" s="770">
        <f>'Product Mix'!D136</f>
        <v>2</v>
      </c>
      <c r="E138" s="771">
        <f>'Product Mix'!H136</f>
        <v>9.5</v>
      </c>
      <c r="F138" s="771">
        <f>'Product Mix'!J136</f>
        <v>1.66</v>
      </c>
      <c r="G138" s="771">
        <f>'Product Mix'!O136</f>
        <v>7.84</v>
      </c>
      <c r="H138" s="759">
        <f>'Product Mix'!F136</f>
        <v>1.0952902519167579E-3</v>
      </c>
      <c r="I138" s="74" t="str">
        <f t="shared" si="44"/>
        <v>BAJA</v>
      </c>
      <c r="J138" s="74" t="str">
        <f t="shared" si="45"/>
        <v>ALTA</v>
      </c>
      <c r="K138" s="74" t="str">
        <f t="shared" si="46"/>
        <v>🧩 Puzzle</v>
      </c>
      <c r="L138" s="74"/>
      <c r="M138" s="74" t="e">
        <f t="shared" si="47"/>
        <v>#N/A</v>
      </c>
      <c r="N138" s="74" t="e">
        <f t="shared" si="48"/>
        <v>#N/A</v>
      </c>
      <c r="O138" s="74" t="e">
        <f t="shared" si="49"/>
        <v>#N/A</v>
      </c>
      <c r="P138" s="74" t="e">
        <f t="shared" si="50"/>
        <v>#N/A</v>
      </c>
      <c r="Q138" s="74">
        <f t="shared" si="51"/>
        <v>7.84</v>
      </c>
      <c r="R138" s="74">
        <f t="shared" si="52"/>
        <v>1.0952902519167579E-3</v>
      </c>
      <c r="S138" s="74" t="e">
        <f t="shared" si="53"/>
        <v>#N/A</v>
      </c>
      <c r="T138" s="74" t="e">
        <f t="shared" si="54"/>
        <v>#N/A</v>
      </c>
    </row>
    <row r="139" spans="1:20">
      <c r="A139" s="74">
        <f>'Product Mix'!A137</f>
        <v>132</v>
      </c>
      <c r="B139" s="74" t="str">
        <f>'Product Mix'!B137</f>
        <v>Rioja V:Copa</v>
      </c>
      <c r="C139" s="74" t="str">
        <f>'Product Mix'!C137</f>
        <v>Vinos</v>
      </c>
      <c r="D139" s="770">
        <f>'Product Mix'!D137</f>
        <v>11</v>
      </c>
      <c r="E139" s="771">
        <f>'Product Mix'!H137</f>
        <v>4.7636363636363637</v>
      </c>
      <c r="F139" s="771">
        <f>'Product Mix'!J137</f>
        <v>0.55000000000000004</v>
      </c>
      <c r="G139" s="771">
        <f>'Product Mix'!O137</f>
        <v>4.213636363636363</v>
      </c>
      <c r="H139" s="759">
        <f>'Product Mix'!F137</f>
        <v>6.024096385542169E-3</v>
      </c>
      <c r="I139" s="74" t="str">
        <f t="shared" si="44"/>
        <v>ALTA</v>
      </c>
      <c r="J139" s="74" t="str">
        <f t="shared" si="45"/>
        <v>ALTA</v>
      </c>
      <c r="K139" s="74" t="str">
        <f t="shared" si="46"/>
        <v>⭐ Estrella</v>
      </c>
      <c r="L139" s="74"/>
      <c r="M139" s="74">
        <f t="shared" si="47"/>
        <v>4.213636363636363</v>
      </c>
      <c r="N139" s="74">
        <f t="shared" si="48"/>
        <v>6.024096385542169E-3</v>
      </c>
      <c r="O139" s="74" t="e">
        <f t="shared" si="49"/>
        <v>#N/A</v>
      </c>
      <c r="P139" s="74" t="e">
        <f t="shared" si="50"/>
        <v>#N/A</v>
      </c>
      <c r="Q139" s="74" t="e">
        <f t="shared" si="51"/>
        <v>#N/A</v>
      </c>
      <c r="R139" s="74" t="e">
        <f t="shared" si="52"/>
        <v>#N/A</v>
      </c>
      <c r="S139" s="74" t="e">
        <f t="shared" si="53"/>
        <v>#N/A</v>
      </c>
      <c r="T139" s="74" t="e">
        <f t="shared" si="54"/>
        <v>#N/A</v>
      </c>
    </row>
    <row r="140" spans="1:20">
      <c r="A140" s="74">
        <f>'Product Mix'!A138</f>
        <v>133</v>
      </c>
      <c r="B140" s="74" t="str">
        <f>'Product Mix'!B138</f>
        <v>Montsant Vino:Copa</v>
      </c>
      <c r="C140" s="74" t="str">
        <f>'Product Mix'!C138</f>
        <v>Vinos</v>
      </c>
      <c r="D140" s="770">
        <f>'Product Mix'!D138</f>
        <v>0</v>
      </c>
      <c r="E140" s="771">
        <f>'Product Mix'!H138</f>
        <v>0</v>
      </c>
      <c r="F140" s="771">
        <f>'Product Mix'!J138</f>
        <v>1.1200000000000001</v>
      </c>
      <c r="G140" s="771">
        <f>'Product Mix'!O138</f>
        <v>0</v>
      </c>
      <c r="H140" s="759">
        <f>'Product Mix'!F138</f>
        <v>0</v>
      </c>
      <c r="I140" s="74" t="str">
        <f t="shared" si="44"/>
        <v>-</v>
      </c>
      <c r="J140" s="74" t="str">
        <f t="shared" si="45"/>
        <v>-</v>
      </c>
      <c r="K140" s="74" t="str">
        <f t="shared" si="46"/>
        <v>-</v>
      </c>
      <c r="L140" s="74"/>
      <c r="M140" s="74" t="e">
        <f t="shared" si="47"/>
        <v>#N/A</v>
      </c>
      <c r="N140" s="74" t="e">
        <f t="shared" si="48"/>
        <v>#N/A</v>
      </c>
      <c r="O140" s="74" t="e">
        <f t="shared" si="49"/>
        <v>#N/A</v>
      </c>
      <c r="P140" s="74" t="e">
        <f t="shared" si="50"/>
        <v>#N/A</v>
      </c>
      <c r="Q140" s="74" t="e">
        <f t="shared" si="51"/>
        <v>#N/A</v>
      </c>
      <c r="R140" s="74" t="e">
        <f t="shared" si="52"/>
        <v>#N/A</v>
      </c>
      <c r="S140" s="74" t="e">
        <f t="shared" si="53"/>
        <v>#N/A</v>
      </c>
      <c r="T140" s="74" t="e">
        <f t="shared" si="54"/>
        <v>#N/A</v>
      </c>
    </row>
    <row r="141" spans="1:20">
      <c r="A141" s="74">
        <f>'Product Mix'!A139</f>
        <v>134</v>
      </c>
      <c r="B141" s="74" t="str">
        <f>'Product Mix'!B139</f>
        <v>fanta naranja vr35</v>
      </c>
      <c r="C141" s="74" t="str">
        <f>'Product Mix'!C139</f>
        <v>Refrescos</v>
      </c>
      <c r="D141" s="770">
        <f>'Product Mix'!D139</f>
        <v>4</v>
      </c>
      <c r="E141" s="771">
        <f>'Product Mix'!H139</f>
        <v>2.4775</v>
      </c>
      <c r="F141" s="771">
        <f>'Product Mix'!J139</f>
        <v>0.14000000000000001</v>
      </c>
      <c r="G141" s="771">
        <f>'Product Mix'!O139</f>
        <v>2.3374999999999999</v>
      </c>
      <c r="H141" s="759">
        <f>'Product Mix'!F139</f>
        <v>2.1905805038335158E-3</v>
      </c>
      <c r="I141" s="74" t="str">
        <f t="shared" si="44"/>
        <v>BAJA</v>
      </c>
      <c r="J141" s="74" t="str">
        <f t="shared" si="45"/>
        <v>BAJA</v>
      </c>
      <c r="K141" s="74" t="str">
        <f t="shared" si="46"/>
        <v>🐶 Perro</v>
      </c>
      <c r="L141" s="74"/>
      <c r="M141" s="74" t="e">
        <f t="shared" si="47"/>
        <v>#N/A</v>
      </c>
      <c r="N141" s="74" t="e">
        <f t="shared" si="48"/>
        <v>#N/A</v>
      </c>
      <c r="O141" s="74" t="e">
        <f t="shared" si="49"/>
        <v>#N/A</v>
      </c>
      <c r="P141" s="74" t="e">
        <f t="shared" si="50"/>
        <v>#N/A</v>
      </c>
      <c r="Q141" s="74" t="e">
        <f t="shared" si="51"/>
        <v>#N/A</v>
      </c>
      <c r="R141" s="74" t="e">
        <f t="shared" si="52"/>
        <v>#N/A</v>
      </c>
      <c r="S141" s="74">
        <f t="shared" si="53"/>
        <v>2.3374999999999999</v>
      </c>
      <c r="T141" s="74">
        <f t="shared" si="54"/>
        <v>2.1905805038335158E-3</v>
      </c>
    </row>
    <row r="142" spans="1:20">
      <c r="A142" s="74">
        <f>'Product Mix'!A140</f>
        <v>135</v>
      </c>
      <c r="B142" s="74" t="str">
        <f>'Product Mix'!B140</f>
        <v>1/2 Pa de coca</v>
      </c>
      <c r="C142" s="74" t="str">
        <f>'Product Mix'!C140</f>
        <v>Tapas Calientes</v>
      </c>
      <c r="D142" s="770">
        <f>'Product Mix'!D140</f>
        <v>4</v>
      </c>
      <c r="E142" s="771">
        <f>'Product Mix'!H140</f>
        <v>1.9875</v>
      </c>
      <c r="F142" s="771">
        <f>'Product Mix'!J140</f>
        <v>0</v>
      </c>
      <c r="G142" s="771">
        <f>'Product Mix'!O140</f>
        <v>1.9875</v>
      </c>
      <c r="H142" s="759">
        <f>'Product Mix'!F140</f>
        <v>2.1905805038335158E-3</v>
      </c>
      <c r="I142" s="74" t="str">
        <f t="shared" si="44"/>
        <v>BAJA</v>
      </c>
      <c r="J142" s="74" t="str">
        <f t="shared" si="45"/>
        <v>BAJA</v>
      </c>
      <c r="K142" s="74" t="str">
        <f t="shared" si="46"/>
        <v>🐶 Perro</v>
      </c>
      <c r="L142" s="74"/>
      <c r="M142" s="74" t="e">
        <f t="shared" si="47"/>
        <v>#N/A</v>
      </c>
      <c r="N142" s="74" t="e">
        <f t="shared" si="48"/>
        <v>#N/A</v>
      </c>
      <c r="O142" s="74" t="e">
        <f t="shared" si="49"/>
        <v>#N/A</v>
      </c>
      <c r="P142" s="74" t="e">
        <f t="shared" si="50"/>
        <v>#N/A</v>
      </c>
      <c r="Q142" s="74" t="e">
        <f t="shared" si="51"/>
        <v>#N/A</v>
      </c>
      <c r="R142" s="74" t="e">
        <f t="shared" si="52"/>
        <v>#N/A</v>
      </c>
      <c r="S142" s="74">
        <f t="shared" si="53"/>
        <v>1.9875</v>
      </c>
      <c r="T142" s="74">
        <f t="shared" si="54"/>
        <v>2.1905805038335158E-3</v>
      </c>
    </row>
    <row r="143" spans="1:20">
      <c r="A143" s="74">
        <f>'Product Mix'!A141</f>
        <v>136</v>
      </c>
      <c r="B143" s="74" t="str">
        <f>'Product Mix'!B141</f>
        <v>Bitter Kas</v>
      </c>
      <c r="C143" s="74" t="str">
        <f>'Product Mix'!C141</f>
        <v>Refrescos</v>
      </c>
      <c r="D143" s="770">
        <f>'Product Mix'!D141</f>
        <v>1</v>
      </c>
      <c r="E143" s="771">
        <f>'Product Mix'!H141</f>
        <v>2.75</v>
      </c>
      <c r="F143" s="771">
        <f>'Product Mix'!J141</f>
        <v>0.5</v>
      </c>
      <c r="G143" s="771">
        <f>'Product Mix'!O141</f>
        <v>2.25</v>
      </c>
      <c r="H143" s="759">
        <f>'Product Mix'!F141</f>
        <v>5.4764512595837896E-4</v>
      </c>
      <c r="I143" s="74" t="str">
        <f t="shared" si="44"/>
        <v>BAJA</v>
      </c>
      <c r="J143" s="74" t="str">
        <f t="shared" si="45"/>
        <v>BAJA</v>
      </c>
      <c r="K143" s="74" t="str">
        <f t="shared" si="46"/>
        <v>🐶 Perro</v>
      </c>
      <c r="L143" s="74"/>
      <c r="M143" s="74" t="e">
        <f t="shared" si="47"/>
        <v>#N/A</v>
      </c>
      <c r="N143" s="74" t="e">
        <f t="shared" si="48"/>
        <v>#N/A</v>
      </c>
      <c r="O143" s="74" t="e">
        <f t="shared" si="49"/>
        <v>#N/A</v>
      </c>
      <c r="P143" s="74" t="e">
        <f t="shared" si="50"/>
        <v>#N/A</v>
      </c>
      <c r="Q143" s="74" t="e">
        <f t="shared" si="51"/>
        <v>#N/A</v>
      </c>
      <c r="R143" s="74" t="e">
        <f t="shared" si="52"/>
        <v>#N/A</v>
      </c>
      <c r="S143" s="74">
        <f t="shared" si="53"/>
        <v>2.25</v>
      </c>
      <c r="T143" s="74">
        <f t="shared" si="54"/>
        <v>5.4764512595837896E-4</v>
      </c>
    </row>
    <row r="144" spans="1:20">
      <c r="A144" s="74">
        <f>'Product Mix'!A142</f>
        <v>137</v>
      </c>
      <c r="B144" s="74" t="str">
        <f>'Product Mix'!B142</f>
        <v>Matrimoni</v>
      </c>
      <c r="C144" s="74" t="str">
        <f>'Product Mix'!C142</f>
        <v>Tapas Frias</v>
      </c>
      <c r="D144" s="770">
        <f>'Product Mix'!D142</f>
        <v>4</v>
      </c>
      <c r="E144" s="771">
        <f>'Product Mix'!H142</f>
        <v>9.9</v>
      </c>
      <c r="F144" s="771">
        <f>'Product Mix'!J142</f>
        <v>3</v>
      </c>
      <c r="G144" s="771">
        <f>'Product Mix'!O142</f>
        <v>6.9</v>
      </c>
      <c r="H144" s="759">
        <f>'Product Mix'!F142</f>
        <v>2.1905805038335158E-3</v>
      </c>
      <c r="I144" s="74" t="str">
        <f t="shared" si="44"/>
        <v>BAJA</v>
      </c>
      <c r="J144" s="74" t="str">
        <f t="shared" si="45"/>
        <v>ALTA</v>
      </c>
      <c r="K144" s="74" t="str">
        <f t="shared" si="46"/>
        <v>🧩 Puzzle</v>
      </c>
      <c r="L144" s="74"/>
      <c r="M144" s="74" t="e">
        <f t="shared" si="47"/>
        <v>#N/A</v>
      </c>
      <c r="N144" s="74" t="e">
        <f t="shared" si="48"/>
        <v>#N/A</v>
      </c>
      <c r="O144" s="74" t="e">
        <f t="shared" si="49"/>
        <v>#N/A</v>
      </c>
      <c r="P144" s="74" t="e">
        <f t="shared" si="50"/>
        <v>#N/A</v>
      </c>
      <c r="Q144" s="74">
        <f t="shared" si="51"/>
        <v>6.9</v>
      </c>
      <c r="R144" s="74">
        <f t="shared" si="52"/>
        <v>2.1905805038335158E-3</v>
      </c>
      <c r="S144" s="74" t="e">
        <f t="shared" si="53"/>
        <v>#N/A</v>
      </c>
      <c r="T144" s="74" t="e">
        <f t="shared" si="54"/>
        <v>#N/A</v>
      </c>
    </row>
    <row r="145" spans="1:20">
      <c r="A145" s="74">
        <f>'Product Mix'!A143</f>
        <v>138</v>
      </c>
      <c r="B145" s="74" t="str">
        <f>'Product Mix'!B143</f>
        <v>Seitons andalusa</v>
      </c>
      <c r="C145" s="74" t="str">
        <f>'Product Mix'!C143</f>
        <v>Tapas Calientes</v>
      </c>
      <c r="D145" s="770">
        <f>'Product Mix'!D143</f>
        <v>0</v>
      </c>
      <c r="E145" s="771">
        <f>'Product Mix'!H143</f>
        <v>0</v>
      </c>
      <c r="F145" s="771">
        <f>'Product Mix'!J143</f>
        <v>1.85</v>
      </c>
      <c r="G145" s="771">
        <f>'Product Mix'!O143</f>
        <v>0</v>
      </c>
      <c r="H145" s="759">
        <f>'Product Mix'!F143</f>
        <v>0</v>
      </c>
      <c r="I145" s="74" t="str">
        <f t="shared" si="44"/>
        <v>-</v>
      </c>
      <c r="J145" s="74" t="str">
        <f t="shared" si="45"/>
        <v>-</v>
      </c>
      <c r="K145" s="74" t="str">
        <f t="shared" si="46"/>
        <v>-</v>
      </c>
      <c r="L145" s="74"/>
      <c r="M145" s="74" t="e">
        <f t="shared" si="47"/>
        <v>#N/A</v>
      </c>
      <c r="N145" s="74" t="e">
        <f t="shared" si="48"/>
        <v>#N/A</v>
      </c>
      <c r="O145" s="74" t="e">
        <f t="shared" si="49"/>
        <v>#N/A</v>
      </c>
      <c r="P145" s="74" t="e">
        <f t="shared" si="50"/>
        <v>#N/A</v>
      </c>
      <c r="Q145" s="74" t="e">
        <f t="shared" si="51"/>
        <v>#N/A</v>
      </c>
      <c r="R145" s="74" t="e">
        <f t="shared" si="52"/>
        <v>#N/A</v>
      </c>
      <c r="S145" s="74" t="e">
        <f t="shared" si="53"/>
        <v>#N/A</v>
      </c>
      <c r="T145" s="74" t="e">
        <f t="shared" si="54"/>
        <v>#N/A</v>
      </c>
    </row>
    <row r="146" spans="1:20">
      <c r="A146" s="74">
        <f>'Product Mix'!A144</f>
        <v>139</v>
      </c>
      <c r="B146" s="74" t="str">
        <f>'Product Mix'!B144</f>
        <v>Calamars a l’andalusa</v>
      </c>
      <c r="C146" s="74" t="str">
        <f>'Product Mix'!C144</f>
        <v>Menu Segundos</v>
      </c>
      <c r="D146" s="770">
        <f>'Product Mix'!D144</f>
        <v>0</v>
      </c>
      <c r="E146" s="771">
        <f>'Product Mix'!H144</f>
        <v>0</v>
      </c>
      <c r="F146" s="771">
        <f>'Product Mix'!J144</f>
        <v>0</v>
      </c>
      <c r="G146" s="771">
        <f>'Product Mix'!O144</f>
        <v>0</v>
      </c>
      <c r="H146" s="759">
        <f>'Product Mix'!F144</f>
        <v>0</v>
      </c>
      <c r="I146" s="74" t="str">
        <f t="shared" si="44"/>
        <v>-</v>
      </c>
      <c r="J146" s="74" t="str">
        <f t="shared" si="45"/>
        <v>-</v>
      </c>
      <c r="K146" s="74" t="str">
        <f t="shared" si="46"/>
        <v>-</v>
      </c>
      <c r="L146" s="74"/>
      <c r="M146" s="74" t="e">
        <f t="shared" si="47"/>
        <v>#N/A</v>
      </c>
      <c r="N146" s="74" t="e">
        <f t="shared" si="48"/>
        <v>#N/A</v>
      </c>
      <c r="O146" s="74" t="e">
        <f t="shared" si="49"/>
        <v>#N/A</v>
      </c>
      <c r="P146" s="74" t="e">
        <f t="shared" si="50"/>
        <v>#N/A</v>
      </c>
      <c r="Q146" s="74" t="e">
        <f t="shared" si="51"/>
        <v>#N/A</v>
      </c>
      <c r="R146" s="74" t="e">
        <f t="shared" si="52"/>
        <v>#N/A</v>
      </c>
      <c r="S146" s="74" t="e">
        <f t="shared" si="53"/>
        <v>#N/A</v>
      </c>
      <c r="T146" s="74" t="e">
        <f t="shared" si="54"/>
        <v>#N/A</v>
      </c>
    </row>
    <row r="147" spans="1:20">
      <c r="A147" s="74">
        <f>'Product Mix'!A145</f>
        <v>140</v>
      </c>
      <c r="B147" s="74" t="str">
        <f>'Product Mix'!B145</f>
        <v>Coca pizza Americana</v>
      </c>
      <c r="C147" s="74" t="str">
        <f>'Product Mix'!C145</f>
        <v>Coca pizza</v>
      </c>
      <c r="D147" s="770">
        <f>'Product Mix'!D145</f>
        <v>6</v>
      </c>
      <c r="E147" s="771">
        <f>'Product Mix'!H145</f>
        <v>9.9083333333333332</v>
      </c>
      <c r="F147" s="771">
        <f>'Product Mix'!J145</f>
        <v>0</v>
      </c>
      <c r="G147" s="771">
        <f>'Product Mix'!O145</f>
        <v>9.9083333333333332</v>
      </c>
      <c r="H147" s="759">
        <f>'Product Mix'!F145</f>
        <v>3.2858707557502738E-3</v>
      </c>
      <c r="I147" s="74" t="str">
        <f t="shared" si="44"/>
        <v>BAJA</v>
      </c>
      <c r="J147" s="74" t="str">
        <f t="shared" si="45"/>
        <v>ALTA</v>
      </c>
      <c r="K147" s="74" t="str">
        <f t="shared" si="46"/>
        <v>🧩 Puzzle</v>
      </c>
      <c r="L147" s="74"/>
      <c r="M147" s="74" t="e">
        <f t="shared" si="47"/>
        <v>#N/A</v>
      </c>
      <c r="N147" s="74" t="e">
        <f t="shared" si="48"/>
        <v>#N/A</v>
      </c>
      <c r="O147" s="74" t="e">
        <f t="shared" si="49"/>
        <v>#N/A</v>
      </c>
      <c r="P147" s="74" t="e">
        <f t="shared" si="50"/>
        <v>#N/A</v>
      </c>
      <c r="Q147" s="74">
        <f t="shared" si="51"/>
        <v>9.9083333333333332</v>
      </c>
      <c r="R147" s="74">
        <f t="shared" si="52"/>
        <v>3.2858707557502738E-3</v>
      </c>
      <c r="S147" s="74" t="e">
        <f t="shared" si="53"/>
        <v>#N/A</v>
      </c>
      <c r="T147" s="74" t="e">
        <f t="shared" si="54"/>
        <v>#N/A</v>
      </c>
    </row>
    <row r="148" spans="1:20">
      <c r="A148" s="74">
        <f>'Product Mix'!A146</f>
        <v>141</v>
      </c>
      <c r="B148" s="74" t="str">
        <f>'Product Mix'!B146</f>
        <v>Tinto d'estiu</v>
      </c>
      <c r="C148" s="74" t="str">
        <f>'Product Mix'!C146</f>
        <v>Vinos</v>
      </c>
      <c r="D148" s="770">
        <f>'Product Mix'!D146</f>
        <v>3</v>
      </c>
      <c r="E148" s="771">
        <f>'Product Mix'!H146</f>
        <v>3.2266666666666666</v>
      </c>
      <c r="F148" s="771">
        <f>'Product Mix'!J146</f>
        <v>0.49</v>
      </c>
      <c r="G148" s="771">
        <f>'Product Mix'!O146</f>
        <v>2.7366666666666664</v>
      </c>
      <c r="H148" s="759">
        <f>'Product Mix'!F146</f>
        <v>1.6429353778751369E-3</v>
      </c>
      <c r="I148" s="74" t="str">
        <f t="shared" si="44"/>
        <v>BAJA</v>
      </c>
      <c r="J148" s="74" t="str">
        <f t="shared" si="45"/>
        <v>BAJA</v>
      </c>
      <c r="K148" s="74" t="str">
        <f t="shared" si="46"/>
        <v>🐶 Perro</v>
      </c>
      <c r="L148" s="74"/>
      <c r="M148" s="74" t="e">
        <f t="shared" si="47"/>
        <v>#N/A</v>
      </c>
      <c r="N148" s="74" t="e">
        <f t="shared" si="48"/>
        <v>#N/A</v>
      </c>
      <c r="O148" s="74" t="e">
        <f t="shared" si="49"/>
        <v>#N/A</v>
      </c>
      <c r="P148" s="74" t="e">
        <f t="shared" si="50"/>
        <v>#N/A</v>
      </c>
      <c r="Q148" s="74" t="e">
        <f t="shared" si="51"/>
        <v>#N/A</v>
      </c>
      <c r="R148" s="74" t="e">
        <f t="shared" si="52"/>
        <v>#N/A</v>
      </c>
      <c r="S148" s="74">
        <f t="shared" si="53"/>
        <v>2.7366666666666664</v>
      </c>
      <c r="T148" s="74">
        <f t="shared" si="54"/>
        <v>1.6429353778751369E-3</v>
      </c>
    </row>
    <row r="149" spans="1:20">
      <c r="A149" s="74">
        <f>'Product Mix'!A147</f>
        <v>142</v>
      </c>
      <c r="B149" s="74" t="str">
        <f>'Product Mix'!B147</f>
        <v>Flam d'ou Mn Rf</v>
      </c>
      <c r="C149" s="74" t="str">
        <f>'Product Mix'!C147</f>
        <v>Postres</v>
      </c>
      <c r="D149" s="770">
        <f>'Product Mix'!D147</f>
        <v>1</v>
      </c>
      <c r="E149" s="771">
        <f>'Product Mix'!H147</f>
        <v>0</v>
      </c>
      <c r="F149" s="771">
        <f>'Product Mix'!J147</f>
        <v>0.41</v>
      </c>
      <c r="G149" s="771">
        <f>'Product Mix'!O147</f>
        <v>-0.41</v>
      </c>
      <c r="H149" s="759">
        <f>'Product Mix'!F147</f>
        <v>5.4764512595837896E-4</v>
      </c>
      <c r="I149" s="74" t="str">
        <f t="shared" si="44"/>
        <v>BAJA</v>
      </c>
      <c r="J149" s="74" t="str">
        <f t="shared" si="45"/>
        <v>BAJA</v>
      </c>
      <c r="K149" s="74" t="str">
        <f t="shared" si="46"/>
        <v>🐶 Perro</v>
      </c>
      <c r="L149" s="74"/>
      <c r="M149" s="74" t="e">
        <f t="shared" si="47"/>
        <v>#N/A</v>
      </c>
      <c r="N149" s="74" t="e">
        <f t="shared" si="48"/>
        <v>#N/A</v>
      </c>
      <c r="O149" s="74" t="e">
        <f t="shared" si="49"/>
        <v>#N/A</v>
      </c>
      <c r="P149" s="74" t="e">
        <f t="shared" si="50"/>
        <v>#N/A</v>
      </c>
      <c r="Q149" s="74" t="e">
        <f t="shared" si="51"/>
        <v>#N/A</v>
      </c>
      <c r="R149" s="74" t="e">
        <f t="shared" si="52"/>
        <v>#N/A</v>
      </c>
      <c r="S149" s="74">
        <f t="shared" si="53"/>
        <v>-0.41</v>
      </c>
      <c r="T149" s="74">
        <f t="shared" si="54"/>
        <v>5.4764512595837896E-4</v>
      </c>
    </row>
    <row r="150" spans="1:20">
      <c r="A150" s="74">
        <f>'Product Mix'!A148</f>
        <v>143</v>
      </c>
      <c r="B150" s="74" t="str">
        <f>'Product Mix'!B148</f>
        <v>Suplement patates</v>
      </c>
      <c r="C150" s="74" t="str">
        <f>'Product Mix'!C148</f>
        <v>Suplementos</v>
      </c>
      <c r="D150" s="770">
        <f>'Product Mix'!D148</f>
        <v>0</v>
      </c>
      <c r="E150" s="771">
        <f>'Product Mix'!H148</f>
        <v>0</v>
      </c>
      <c r="F150" s="771">
        <f>'Product Mix'!J148</f>
        <v>0.28999999999999998</v>
      </c>
      <c r="G150" s="771">
        <f>'Product Mix'!O148</f>
        <v>0</v>
      </c>
      <c r="H150" s="759">
        <f>'Product Mix'!F148</f>
        <v>0</v>
      </c>
      <c r="I150" s="74" t="str">
        <f t="shared" si="44"/>
        <v>-</v>
      </c>
      <c r="J150" s="74" t="str">
        <f t="shared" si="45"/>
        <v>-</v>
      </c>
      <c r="K150" s="74" t="str">
        <f t="shared" si="46"/>
        <v>-</v>
      </c>
      <c r="L150" s="74"/>
      <c r="M150" s="74" t="e">
        <f t="shared" si="47"/>
        <v>#N/A</v>
      </c>
      <c r="N150" s="74" t="e">
        <f t="shared" si="48"/>
        <v>#N/A</v>
      </c>
      <c r="O150" s="74" t="e">
        <f t="shared" si="49"/>
        <v>#N/A</v>
      </c>
      <c r="P150" s="74" t="e">
        <f t="shared" si="50"/>
        <v>#N/A</v>
      </c>
      <c r="Q150" s="74" t="e">
        <f t="shared" si="51"/>
        <v>#N/A</v>
      </c>
      <c r="R150" s="74" t="e">
        <f t="shared" si="52"/>
        <v>#N/A</v>
      </c>
      <c r="S150" s="74" t="e">
        <f t="shared" si="53"/>
        <v>#N/A</v>
      </c>
      <c r="T150" s="74" t="e">
        <f t="shared" si="54"/>
        <v>#N/A</v>
      </c>
    </row>
    <row r="151" spans="1:20">
      <c r="A151" s="74">
        <f>'Product Mix'!A149</f>
        <v>144</v>
      </c>
      <c r="B151" s="74" t="str">
        <f>'Product Mix'!B149</f>
        <v>Torrada Entera</v>
      </c>
      <c r="C151" s="74" t="str">
        <f>'Product Mix'!C149</f>
        <v>Torradas</v>
      </c>
      <c r="D151" s="770">
        <f>'Product Mix'!D149</f>
        <v>1</v>
      </c>
      <c r="E151" s="771">
        <f>'Product Mix'!H149</f>
        <v>2.1</v>
      </c>
      <c r="F151" s="771">
        <f>'Product Mix'!J149</f>
        <v>0.17</v>
      </c>
      <c r="G151" s="771">
        <f>'Product Mix'!O149</f>
        <v>1.9300000000000002</v>
      </c>
      <c r="H151" s="759">
        <f>'Product Mix'!F149</f>
        <v>5.4764512595837896E-4</v>
      </c>
      <c r="I151" s="74" t="str">
        <f t="shared" si="44"/>
        <v>BAJA</v>
      </c>
      <c r="J151" s="74" t="str">
        <f t="shared" si="45"/>
        <v>BAJA</v>
      </c>
      <c r="K151" s="74" t="str">
        <f t="shared" si="46"/>
        <v>🐶 Perro</v>
      </c>
      <c r="L151" s="74"/>
      <c r="M151" s="74" t="e">
        <f t="shared" si="47"/>
        <v>#N/A</v>
      </c>
      <c r="N151" s="74" t="e">
        <f t="shared" si="48"/>
        <v>#N/A</v>
      </c>
      <c r="O151" s="74" t="e">
        <f t="shared" si="49"/>
        <v>#N/A</v>
      </c>
      <c r="P151" s="74" t="e">
        <f t="shared" si="50"/>
        <v>#N/A</v>
      </c>
      <c r="Q151" s="74" t="e">
        <f t="shared" si="51"/>
        <v>#N/A</v>
      </c>
      <c r="R151" s="74" t="e">
        <f t="shared" si="52"/>
        <v>#N/A</v>
      </c>
      <c r="S151" s="74">
        <f t="shared" si="53"/>
        <v>1.9300000000000002</v>
      </c>
      <c r="T151" s="74">
        <f t="shared" si="54"/>
        <v>5.4764512595837896E-4</v>
      </c>
    </row>
    <row r="152" spans="1:20">
      <c r="A152" s="74">
        <f>'Product Mix'!A150</f>
        <v>145</v>
      </c>
      <c r="B152" s="74" t="str">
        <f>'Product Mix'!B150</f>
        <v>Yogurt</v>
      </c>
      <c r="C152" s="74" t="str">
        <f>'Product Mix'!C150</f>
        <v>Menu Postres</v>
      </c>
      <c r="D152" s="770">
        <f>'Product Mix'!D150</f>
        <v>0</v>
      </c>
      <c r="E152" s="771">
        <f>'Product Mix'!H150</f>
        <v>0</v>
      </c>
      <c r="F152" s="771">
        <f>'Product Mix'!J150</f>
        <v>0.08</v>
      </c>
      <c r="G152" s="771">
        <f>'Product Mix'!O150</f>
        <v>0</v>
      </c>
      <c r="H152" s="759">
        <f>'Product Mix'!F150</f>
        <v>0</v>
      </c>
      <c r="I152" s="74" t="str">
        <f t="shared" si="44"/>
        <v>-</v>
      </c>
      <c r="J152" s="74" t="str">
        <f t="shared" si="45"/>
        <v>-</v>
      </c>
      <c r="K152" s="74" t="str">
        <f t="shared" si="46"/>
        <v>-</v>
      </c>
      <c r="L152" s="74"/>
      <c r="M152" s="74" t="e">
        <f t="shared" si="47"/>
        <v>#N/A</v>
      </c>
      <c r="N152" s="74" t="e">
        <f t="shared" si="48"/>
        <v>#N/A</v>
      </c>
      <c r="O152" s="74" t="e">
        <f t="shared" si="49"/>
        <v>#N/A</v>
      </c>
      <c r="P152" s="74" t="e">
        <f t="shared" si="50"/>
        <v>#N/A</v>
      </c>
      <c r="Q152" s="74" t="e">
        <f t="shared" si="51"/>
        <v>#N/A</v>
      </c>
      <c r="R152" s="74" t="e">
        <f t="shared" si="52"/>
        <v>#N/A</v>
      </c>
      <c r="S152" s="74" t="e">
        <f t="shared" si="53"/>
        <v>#N/A</v>
      </c>
      <c r="T152" s="74" t="e">
        <f t="shared" si="54"/>
        <v>#N/A</v>
      </c>
    </row>
    <row r="153" spans="1:20">
      <c r="A153" s="74">
        <f>'Product Mix'!A151</f>
        <v>146</v>
      </c>
      <c r="B153" s="74" t="str">
        <f>'Product Mix'!B151</f>
        <v>Coca pizza Quatre formatges</v>
      </c>
      <c r="C153" s="74" t="str">
        <f>'Product Mix'!C151</f>
        <v>Coca pizza</v>
      </c>
      <c r="D153" s="770">
        <f>'Product Mix'!D151</f>
        <v>4</v>
      </c>
      <c r="E153" s="771">
        <f>'Product Mix'!H151</f>
        <v>9.91</v>
      </c>
      <c r="F153" s="771">
        <f>'Product Mix'!J151</f>
        <v>0.22</v>
      </c>
      <c r="G153" s="771">
        <f>'Product Mix'!O151</f>
        <v>9.69</v>
      </c>
      <c r="H153" s="759">
        <f>'Product Mix'!F151</f>
        <v>2.1905805038335158E-3</v>
      </c>
      <c r="I153" s="74" t="str">
        <f t="shared" si="44"/>
        <v>BAJA</v>
      </c>
      <c r="J153" s="74" t="str">
        <f t="shared" si="45"/>
        <v>ALTA</v>
      </c>
      <c r="K153" s="74" t="str">
        <f t="shared" si="46"/>
        <v>🧩 Puzzle</v>
      </c>
      <c r="L153" s="74"/>
      <c r="M153" s="74" t="e">
        <f t="shared" si="47"/>
        <v>#N/A</v>
      </c>
      <c r="N153" s="74" t="e">
        <f t="shared" si="48"/>
        <v>#N/A</v>
      </c>
      <c r="O153" s="74" t="e">
        <f t="shared" si="49"/>
        <v>#N/A</v>
      </c>
      <c r="P153" s="74" t="e">
        <f t="shared" si="50"/>
        <v>#N/A</v>
      </c>
      <c r="Q153" s="74">
        <f t="shared" si="51"/>
        <v>9.69</v>
      </c>
      <c r="R153" s="74">
        <f t="shared" si="52"/>
        <v>2.1905805038335158E-3</v>
      </c>
      <c r="S153" s="74" t="e">
        <f t="shared" si="53"/>
        <v>#N/A</v>
      </c>
      <c r="T153" s="74" t="e">
        <f t="shared" si="54"/>
        <v>#N/A</v>
      </c>
    </row>
    <row r="154" spans="1:20">
      <c r="A154" s="74">
        <f>'Product Mix'!A152</f>
        <v>147</v>
      </c>
      <c r="B154" s="74" t="str">
        <f>'Product Mix'!B152</f>
        <v>Reserva Vermella Copa</v>
      </c>
      <c r="C154" s="74" t="str">
        <f>'Product Mix'!C152</f>
        <v>Cervezas</v>
      </c>
      <c r="D154" s="770">
        <f>'Product Mix'!D152</f>
        <v>0</v>
      </c>
      <c r="E154" s="771">
        <f>'Product Mix'!H152</f>
        <v>0</v>
      </c>
      <c r="F154" s="771">
        <f>'Product Mix'!J152</f>
        <v>0.04</v>
      </c>
      <c r="G154" s="771">
        <f>'Product Mix'!O152</f>
        <v>0</v>
      </c>
      <c r="H154" s="759">
        <f>'Product Mix'!F152</f>
        <v>0</v>
      </c>
      <c r="I154" s="74" t="str">
        <f t="shared" si="44"/>
        <v>-</v>
      </c>
      <c r="J154" s="74" t="str">
        <f t="shared" si="45"/>
        <v>-</v>
      </c>
      <c r="K154" s="74" t="str">
        <f t="shared" si="46"/>
        <v>-</v>
      </c>
      <c r="L154" s="74"/>
      <c r="M154" s="74" t="e">
        <f t="shared" si="47"/>
        <v>#N/A</v>
      </c>
      <c r="N154" s="74" t="e">
        <f t="shared" si="48"/>
        <v>#N/A</v>
      </c>
      <c r="O154" s="74" t="e">
        <f t="shared" si="49"/>
        <v>#N/A</v>
      </c>
      <c r="P154" s="74" t="e">
        <f t="shared" si="50"/>
        <v>#N/A</v>
      </c>
      <c r="Q154" s="74" t="e">
        <f t="shared" si="51"/>
        <v>#N/A</v>
      </c>
      <c r="R154" s="74" t="e">
        <f t="shared" si="52"/>
        <v>#N/A</v>
      </c>
      <c r="S154" s="74" t="e">
        <f t="shared" si="53"/>
        <v>#N/A</v>
      </c>
      <c r="T154" s="74" t="e">
        <f t="shared" si="54"/>
        <v>#N/A</v>
      </c>
    </row>
    <row r="155" spans="1:20">
      <c r="A155" s="74">
        <f>'Product Mix'!A153</f>
        <v>148</v>
      </c>
      <c r="B155" s="74" t="str">
        <f>'Product Mix'!B153</f>
        <v>Pa de pessic taronja xocolata</v>
      </c>
      <c r="C155" s="74" t="str">
        <f>'Product Mix'!C153</f>
        <v>Postres</v>
      </c>
      <c r="D155" s="770">
        <f>'Product Mix'!D153</f>
        <v>6</v>
      </c>
      <c r="E155" s="771">
        <f>'Product Mix'!H153</f>
        <v>4.5916666666666668</v>
      </c>
      <c r="F155" s="771">
        <f>'Product Mix'!J153</f>
        <v>0.67</v>
      </c>
      <c r="G155" s="771">
        <f>'Product Mix'!O153</f>
        <v>3.9216666666666669</v>
      </c>
      <c r="H155" s="759">
        <f>'Product Mix'!F153</f>
        <v>3.2858707557502738E-3</v>
      </c>
      <c r="I155" s="74" t="str">
        <f t="shared" si="44"/>
        <v>BAJA</v>
      </c>
      <c r="J155" s="74" t="str">
        <f t="shared" si="45"/>
        <v>ALTA</v>
      </c>
      <c r="K155" s="74" t="str">
        <f t="shared" si="46"/>
        <v>🧩 Puzzle</v>
      </c>
      <c r="L155" s="74"/>
      <c r="M155" s="74" t="e">
        <f t="shared" si="47"/>
        <v>#N/A</v>
      </c>
      <c r="N155" s="74" t="e">
        <f t="shared" si="48"/>
        <v>#N/A</v>
      </c>
      <c r="O155" s="74" t="e">
        <f t="shared" si="49"/>
        <v>#N/A</v>
      </c>
      <c r="P155" s="74" t="e">
        <f t="shared" si="50"/>
        <v>#N/A</v>
      </c>
      <c r="Q155" s="74">
        <f t="shared" si="51"/>
        <v>3.9216666666666669</v>
      </c>
      <c r="R155" s="74">
        <f t="shared" si="52"/>
        <v>3.2858707557502738E-3</v>
      </c>
      <c r="S155" s="74" t="e">
        <f t="shared" si="53"/>
        <v>#N/A</v>
      </c>
      <c r="T155" s="74" t="e">
        <f t="shared" si="54"/>
        <v>#N/A</v>
      </c>
    </row>
    <row r="156" spans="1:20">
      <c r="A156" s="74">
        <f>'Product Mix'!A154</f>
        <v>149</v>
      </c>
      <c r="B156" s="74" t="str">
        <f>'Product Mix'!B154</f>
        <v>Entrepa Bacon</v>
      </c>
      <c r="C156" s="74" t="str">
        <f>'Product Mix'!C154</f>
        <v>Bocadillos calientes</v>
      </c>
      <c r="D156" s="770">
        <f>'Product Mix'!D154</f>
        <v>1</v>
      </c>
      <c r="E156" s="771">
        <f>'Product Mix'!H154</f>
        <v>4.8499999999999996</v>
      </c>
      <c r="F156" s="771">
        <f>'Product Mix'!J154</f>
        <v>1.26</v>
      </c>
      <c r="G156" s="771">
        <f>'Product Mix'!O154</f>
        <v>3.59</v>
      </c>
      <c r="H156" s="759">
        <f>'Product Mix'!F154</f>
        <v>5.4764512595837896E-4</v>
      </c>
      <c r="I156" s="74" t="str">
        <f t="shared" si="44"/>
        <v>BAJA</v>
      </c>
      <c r="J156" s="74" t="str">
        <f t="shared" si="45"/>
        <v>ALTA</v>
      </c>
      <c r="K156" s="74" t="str">
        <f t="shared" si="46"/>
        <v>🧩 Puzzle</v>
      </c>
      <c r="L156" s="74"/>
      <c r="M156" s="74" t="e">
        <f t="shared" si="47"/>
        <v>#N/A</v>
      </c>
      <c r="N156" s="74" t="e">
        <f t="shared" si="48"/>
        <v>#N/A</v>
      </c>
      <c r="O156" s="74" t="e">
        <f t="shared" si="49"/>
        <v>#N/A</v>
      </c>
      <c r="P156" s="74" t="e">
        <f t="shared" si="50"/>
        <v>#N/A</v>
      </c>
      <c r="Q156" s="74">
        <f t="shared" si="51"/>
        <v>3.59</v>
      </c>
      <c r="R156" s="74">
        <f t="shared" si="52"/>
        <v>5.4764512595837896E-4</v>
      </c>
      <c r="S156" s="74" t="e">
        <f t="shared" si="53"/>
        <v>#N/A</v>
      </c>
      <c r="T156" s="74" t="e">
        <f t="shared" si="54"/>
        <v>#N/A</v>
      </c>
    </row>
    <row r="157" spans="1:20">
      <c r="A157" s="74">
        <f>'Product Mix'!A155</f>
        <v>150</v>
      </c>
      <c r="B157" s="74" t="str">
        <f>'Product Mix'!B155</f>
        <v>Nestea Maracuya</v>
      </c>
      <c r="C157" s="74" t="str">
        <f>'Product Mix'!C155</f>
        <v>Menu Bebidas</v>
      </c>
      <c r="D157" s="770">
        <f>'Product Mix'!D155</f>
        <v>0</v>
      </c>
      <c r="E157" s="771">
        <f>'Product Mix'!H155</f>
        <v>0</v>
      </c>
      <c r="F157" s="771">
        <f>'Product Mix'!J155</f>
        <v>0.51</v>
      </c>
      <c r="G157" s="771">
        <f>'Product Mix'!O155</f>
        <v>0</v>
      </c>
      <c r="H157" s="759">
        <f>'Product Mix'!F155</f>
        <v>0</v>
      </c>
      <c r="I157" s="74" t="str">
        <f t="shared" si="44"/>
        <v>-</v>
      </c>
      <c r="J157" s="74" t="str">
        <f t="shared" si="45"/>
        <v>-</v>
      </c>
      <c r="K157" s="74" t="str">
        <f t="shared" si="46"/>
        <v>-</v>
      </c>
      <c r="L157" s="74"/>
      <c r="M157" s="74" t="e">
        <f t="shared" si="47"/>
        <v>#N/A</v>
      </c>
      <c r="N157" s="74" t="e">
        <f t="shared" si="48"/>
        <v>#N/A</v>
      </c>
      <c r="O157" s="74" t="e">
        <f t="shared" si="49"/>
        <v>#N/A</v>
      </c>
      <c r="P157" s="74" t="e">
        <f t="shared" si="50"/>
        <v>#N/A</v>
      </c>
      <c r="Q157" s="74" t="e">
        <f t="shared" si="51"/>
        <v>#N/A</v>
      </c>
      <c r="R157" s="74" t="e">
        <f t="shared" si="52"/>
        <v>#N/A</v>
      </c>
      <c r="S157" s="74" t="e">
        <f t="shared" si="53"/>
        <v>#N/A</v>
      </c>
      <c r="T157" s="74" t="e">
        <f t="shared" si="54"/>
        <v>#N/A</v>
      </c>
    </row>
    <row r="158" spans="1:20">
      <c r="A158" s="74">
        <f>'Product Mix'!A156</f>
        <v>151</v>
      </c>
      <c r="B158" s="74" t="str">
        <f>'Product Mix'!B156</f>
        <v>Donuts</v>
      </c>
      <c r="C158" s="74" t="str">
        <f>'Product Mix'!C156</f>
        <v>Bolleria</v>
      </c>
      <c r="D158" s="770">
        <f>'Product Mix'!D156</f>
        <v>4</v>
      </c>
      <c r="E158" s="771">
        <f>'Product Mix'!H156</f>
        <v>1.5</v>
      </c>
      <c r="F158" s="771">
        <f>'Product Mix'!J156</f>
        <v>0.44</v>
      </c>
      <c r="G158" s="771">
        <f>'Product Mix'!O156</f>
        <v>1.06</v>
      </c>
      <c r="H158" s="759">
        <f>'Product Mix'!F156</f>
        <v>2.1905805038335158E-3</v>
      </c>
      <c r="I158" s="74" t="str">
        <f t="shared" si="44"/>
        <v>BAJA</v>
      </c>
      <c r="J158" s="74" t="str">
        <f t="shared" si="45"/>
        <v>BAJA</v>
      </c>
      <c r="K158" s="74" t="str">
        <f t="shared" si="46"/>
        <v>🐶 Perro</v>
      </c>
      <c r="L158" s="74"/>
      <c r="M158" s="74" t="e">
        <f t="shared" si="47"/>
        <v>#N/A</v>
      </c>
      <c r="N158" s="74" t="e">
        <f t="shared" si="48"/>
        <v>#N/A</v>
      </c>
      <c r="O158" s="74" t="e">
        <f t="shared" si="49"/>
        <v>#N/A</v>
      </c>
      <c r="P158" s="74" t="e">
        <f t="shared" si="50"/>
        <v>#N/A</v>
      </c>
      <c r="Q158" s="74" t="e">
        <f t="shared" si="51"/>
        <v>#N/A</v>
      </c>
      <c r="R158" s="74" t="e">
        <f t="shared" si="52"/>
        <v>#N/A</v>
      </c>
      <c r="S158" s="74">
        <f t="shared" si="53"/>
        <v>1.06</v>
      </c>
      <c r="T158" s="74">
        <f t="shared" si="54"/>
        <v>2.1905805038335158E-3</v>
      </c>
    </row>
    <row r="159" spans="1:20">
      <c r="A159" s="74">
        <f>'Product Mix'!A157</f>
        <v>152</v>
      </c>
      <c r="B159" s="74" t="str">
        <f>'Product Mix'!B157</f>
        <v>Esmorzar frances</v>
      </c>
      <c r="C159" s="74" t="str">
        <f>'Product Mix'!C157</f>
        <v>Desayunos</v>
      </c>
      <c r="D159" s="770">
        <f>'Product Mix'!D157</f>
        <v>0</v>
      </c>
      <c r="E159" s="771">
        <f>'Product Mix'!H157</f>
        <v>0</v>
      </c>
      <c r="F159" s="771">
        <f>'Product Mix'!J157</f>
        <v>0</v>
      </c>
      <c r="G159" s="771">
        <f>'Product Mix'!O157</f>
        <v>0</v>
      </c>
      <c r="H159" s="759">
        <f>'Product Mix'!F157</f>
        <v>0</v>
      </c>
      <c r="I159" s="74" t="str">
        <f t="shared" si="44"/>
        <v>-</v>
      </c>
      <c r="J159" s="74" t="str">
        <f t="shared" si="45"/>
        <v>-</v>
      </c>
      <c r="K159" s="74" t="str">
        <f t="shared" si="46"/>
        <v>-</v>
      </c>
      <c r="L159" s="74"/>
      <c r="M159" s="74" t="e">
        <f t="shared" si="47"/>
        <v>#N/A</v>
      </c>
      <c r="N159" s="74" t="e">
        <f t="shared" si="48"/>
        <v>#N/A</v>
      </c>
      <c r="O159" s="74" t="e">
        <f t="shared" si="49"/>
        <v>#N/A</v>
      </c>
      <c r="P159" s="74" t="e">
        <f t="shared" si="50"/>
        <v>#N/A</v>
      </c>
      <c r="Q159" s="74" t="e">
        <f t="shared" si="51"/>
        <v>#N/A</v>
      </c>
      <c r="R159" s="74" t="e">
        <f t="shared" si="52"/>
        <v>#N/A</v>
      </c>
      <c r="S159" s="74" t="e">
        <f t="shared" si="53"/>
        <v>#N/A</v>
      </c>
      <c r="T159" s="74" t="e">
        <f t="shared" si="54"/>
        <v>#N/A</v>
      </c>
    </row>
    <row r="160" spans="1:20">
      <c r="A160" s="74">
        <f>'Product Mix'!A158</f>
        <v>153</v>
      </c>
      <c r="B160" s="74" t="str">
        <f>'Product Mix'!B158</f>
        <v>1/2 Entrepa Formatge d'ovella</v>
      </c>
      <c r="C160" s="74" t="str">
        <f>'Product Mix'!C158</f>
        <v>Bocadillos calientes</v>
      </c>
      <c r="D160" s="770">
        <f>'Product Mix'!D158</f>
        <v>2</v>
      </c>
      <c r="E160" s="771">
        <f>'Product Mix'!H158</f>
        <v>3.2</v>
      </c>
      <c r="F160" s="771">
        <f>'Product Mix'!J158</f>
        <v>0.77</v>
      </c>
      <c r="G160" s="771">
        <f>'Product Mix'!O158</f>
        <v>2.4300000000000002</v>
      </c>
      <c r="H160" s="759">
        <f>'Product Mix'!F158</f>
        <v>1.0952902519167579E-3</v>
      </c>
      <c r="I160" s="74" t="str">
        <f t="shared" si="44"/>
        <v>BAJA</v>
      </c>
      <c r="J160" s="74" t="str">
        <f t="shared" si="45"/>
        <v>BAJA</v>
      </c>
      <c r="K160" s="74" t="str">
        <f t="shared" si="46"/>
        <v>🐶 Perro</v>
      </c>
      <c r="L160" s="74"/>
      <c r="M160" s="74" t="e">
        <f t="shared" si="47"/>
        <v>#N/A</v>
      </c>
      <c r="N160" s="74" t="e">
        <f t="shared" si="48"/>
        <v>#N/A</v>
      </c>
      <c r="O160" s="74" t="e">
        <f t="shared" si="49"/>
        <v>#N/A</v>
      </c>
      <c r="P160" s="74" t="e">
        <f t="shared" si="50"/>
        <v>#N/A</v>
      </c>
      <c r="Q160" s="74" t="e">
        <f t="shared" si="51"/>
        <v>#N/A</v>
      </c>
      <c r="R160" s="74" t="e">
        <f t="shared" si="52"/>
        <v>#N/A</v>
      </c>
      <c r="S160" s="74">
        <f t="shared" si="53"/>
        <v>2.4300000000000002</v>
      </c>
      <c r="T160" s="74">
        <f t="shared" si="54"/>
        <v>1.0952902519167579E-3</v>
      </c>
    </row>
    <row r="161" spans="1:20">
      <c r="A161" s="74">
        <f>'Product Mix'!A159</f>
        <v>154</v>
      </c>
      <c r="B161" s="74" t="str">
        <f>'Product Mix'!B159</f>
        <v>Albariño Vino:Copa</v>
      </c>
      <c r="C161" s="74" t="str">
        <f>'Product Mix'!C159</f>
        <v>Vinos</v>
      </c>
      <c r="D161" s="770">
        <f>'Product Mix'!D159</f>
        <v>0</v>
      </c>
      <c r="E161" s="771">
        <f>'Product Mix'!H159</f>
        <v>0</v>
      </c>
      <c r="F161" s="771">
        <f>'Product Mix'!J159</f>
        <v>0</v>
      </c>
      <c r="G161" s="771">
        <f>'Product Mix'!O159</f>
        <v>0</v>
      </c>
      <c r="H161" s="759">
        <f>'Product Mix'!F159</f>
        <v>0</v>
      </c>
      <c r="I161" s="74" t="str">
        <f t="shared" si="44"/>
        <v>-</v>
      </c>
      <c r="J161" s="74" t="str">
        <f t="shared" si="45"/>
        <v>-</v>
      </c>
      <c r="K161" s="74" t="str">
        <f t="shared" si="46"/>
        <v>-</v>
      </c>
      <c r="L161" s="74"/>
      <c r="M161" s="74" t="e">
        <f t="shared" si="47"/>
        <v>#N/A</v>
      </c>
      <c r="N161" s="74" t="e">
        <f t="shared" si="48"/>
        <v>#N/A</v>
      </c>
      <c r="O161" s="74" t="e">
        <f t="shared" si="49"/>
        <v>#N/A</v>
      </c>
      <c r="P161" s="74" t="e">
        <f t="shared" si="50"/>
        <v>#N/A</v>
      </c>
      <c r="Q161" s="74" t="e">
        <f t="shared" si="51"/>
        <v>#N/A</v>
      </c>
      <c r="R161" s="74" t="e">
        <f t="shared" si="52"/>
        <v>#N/A</v>
      </c>
      <c r="S161" s="74" t="e">
        <f t="shared" si="53"/>
        <v>#N/A</v>
      </c>
      <c r="T161" s="74" t="e">
        <f t="shared" si="54"/>
        <v>#N/A</v>
      </c>
    </row>
    <row r="162" spans="1:20">
      <c r="A162" s="74">
        <f>'Product Mix'!A160</f>
        <v>155</v>
      </c>
      <c r="B162" s="74" t="str">
        <f>'Product Mix'!B160</f>
        <v>Ballenato</v>
      </c>
      <c r="C162" s="74" t="str">
        <f>'Product Mix'!C160</f>
        <v>Tosta Pizzas</v>
      </c>
      <c r="D162" s="770">
        <f>'Product Mix'!D160</f>
        <v>5</v>
      </c>
      <c r="E162" s="771">
        <f>'Product Mix'!H160</f>
        <v>12.9</v>
      </c>
      <c r="F162" s="771">
        <f>'Product Mix'!J160</f>
        <v>2.88</v>
      </c>
      <c r="G162" s="771">
        <f>'Product Mix'!O160</f>
        <v>10.02</v>
      </c>
      <c r="H162" s="759">
        <f>'Product Mix'!F160</f>
        <v>2.7382256297918948E-3</v>
      </c>
      <c r="I162" s="74" t="str">
        <f t="shared" si="44"/>
        <v>BAJA</v>
      </c>
      <c r="J162" s="74" t="str">
        <f t="shared" si="45"/>
        <v>ALTA</v>
      </c>
      <c r="K162" s="74" t="str">
        <f t="shared" si="46"/>
        <v>🧩 Puzzle</v>
      </c>
      <c r="L162" s="74"/>
      <c r="M162" s="74" t="e">
        <f t="shared" si="47"/>
        <v>#N/A</v>
      </c>
      <c r="N162" s="74" t="e">
        <f t="shared" si="48"/>
        <v>#N/A</v>
      </c>
      <c r="O162" s="74" t="e">
        <f t="shared" si="49"/>
        <v>#N/A</v>
      </c>
      <c r="P162" s="74" t="e">
        <f t="shared" si="50"/>
        <v>#N/A</v>
      </c>
      <c r="Q162" s="74">
        <f t="shared" si="51"/>
        <v>10.02</v>
      </c>
      <c r="R162" s="74">
        <f t="shared" si="52"/>
        <v>2.7382256297918948E-3</v>
      </c>
      <c r="S162" s="74" t="e">
        <f t="shared" si="53"/>
        <v>#N/A</v>
      </c>
      <c r="T162" s="74" t="e">
        <f t="shared" si="54"/>
        <v>#N/A</v>
      </c>
    </row>
    <row r="163" spans="1:20">
      <c r="A163" s="74">
        <f>'Product Mix'!A161</f>
        <v>156</v>
      </c>
      <c r="B163" s="74" t="str">
        <f>'Product Mix'!B161</f>
        <v>1/2 Entrepa Pernil Pais</v>
      </c>
      <c r="C163" s="74" t="str">
        <f>'Product Mix'!C161</f>
        <v>Bocadillos Frios</v>
      </c>
      <c r="D163" s="770">
        <f>'Product Mix'!D161</f>
        <v>4</v>
      </c>
      <c r="E163" s="771">
        <f>'Product Mix'!H161</f>
        <v>3.1</v>
      </c>
      <c r="F163" s="771">
        <f>'Product Mix'!J161</f>
        <v>0.35</v>
      </c>
      <c r="G163" s="771">
        <f>'Product Mix'!O161</f>
        <v>2.75</v>
      </c>
      <c r="H163" s="759">
        <f>'Product Mix'!F161</f>
        <v>2.1905805038335158E-3</v>
      </c>
      <c r="I163" s="74" t="str">
        <f t="shared" si="44"/>
        <v>BAJA</v>
      </c>
      <c r="J163" s="74" t="str">
        <f t="shared" si="45"/>
        <v>BAJA</v>
      </c>
      <c r="K163" s="74" t="str">
        <f t="shared" si="46"/>
        <v>🐶 Perro</v>
      </c>
      <c r="L163" s="74"/>
      <c r="M163" s="74" t="e">
        <f t="shared" si="47"/>
        <v>#N/A</v>
      </c>
      <c r="N163" s="74" t="e">
        <f t="shared" si="48"/>
        <v>#N/A</v>
      </c>
      <c r="O163" s="74" t="e">
        <f t="shared" si="49"/>
        <v>#N/A</v>
      </c>
      <c r="P163" s="74" t="e">
        <f t="shared" si="50"/>
        <v>#N/A</v>
      </c>
      <c r="Q163" s="74" t="e">
        <f t="shared" si="51"/>
        <v>#N/A</v>
      </c>
      <c r="R163" s="74" t="e">
        <f t="shared" si="52"/>
        <v>#N/A</v>
      </c>
      <c r="S163" s="74">
        <f t="shared" si="53"/>
        <v>2.75</v>
      </c>
      <c r="T163" s="74">
        <f t="shared" si="54"/>
        <v>2.1905805038335158E-3</v>
      </c>
    </row>
    <row r="164" spans="1:20">
      <c r="A164" s="74">
        <f>'Product Mix'!A162</f>
        <v>157</v>
      </c>
      <c r="B164" s="74" t="str">
        <f>'Product Mix'!B162</f>
        <v>Mousse</v>
      </c>
      <c r="C164" s="74" t="str">
        <f>'Product Mix'!C162</f>
        <v>Menu Postres</v>
      </c>
      <c r="D164" s="770">
        <f>'Product Mix'!D162</f>
        <v>0</v>
      </c>
      <c r="E164" s="771">
        <f>'Product Mix'!H162</f>
        <v>0</v>
      </c>
      <c r="F164" s="771">
        <f>'Product Mix'!J162</f>
        <v>0.04</v>
      </c>
      <c r="G164" s="771">
        <f>'Product Mix'!O162</f>
        <v>0</v>
      </c>
      <c r="H164" s="759">
        <f>'Product Mix'!F162</f>
        <v>0</v>
      </c>
      <c r="I164" s="74" t="str">
        <f t="shared" si="44"/>
        <v>-</v>
      </c>
      <c r="J164" s="74" t="str">
        <f t="shared" si="45"/>
        <v>-</v>
      </c>
      <c r="K164" s="74" t="str">
        <f t="shared" si="46"/>
        <v>-</v>
      </c>
      <c r="L164" s="74"/>
      <c r="M164" s="74" t="e">
        <f t="shared" si="47"/>
        <v>#N/A</v>
      </c>
      <c r="N164" s="74" t="e">
        <f t="shared" si="48"/>
        <v>#N/A</v>
      </c>
      <c r="O164" s="74" t="e">
        <f t="shared" si="49"/>
        <v>#N/A</v>
      </c>
      <c r="P164" s="74" t="e">
        <f t="shared" si="50"/>
        <v>#N/A</v>
      </c>
      <c r="Q164" s="74" t="e">
        <f t="shared" si="51"/>
        <v>#N/A</v>
      </c>
      <c r="R164" s="74" t="e">
        <f t="shared" si="52"/>
        <v>#N/A</v>
      </c>
      <c r="S164" s="74" t="e">
        <f t="shared" si="53"/>
        <v>#N/A</v>
      </c>
      <c r="T164" s="74" t="e">
        <f t="shared" si="54"/>
        <v>#N/A</v>
      </c>
    </row>
    <row r="165" spans="1:20">
      <c r="A165" s="74">
        <f>'Product Mix'!A163</f>
        <v>158</v>
      </c>
      <c r="B165" s="74" t="str">
        <f>'Product Mix'!B163</f>
        <v>Amanida Cesar</v>
      </c>
      <c r="C165" s="74" t="str">
        <f>'Product Mix'!C163</f>
        <v>Ensaladas</v>
      </c>
      <c r="D165" s="770">
        <f>'Product Mix'!D163</f>
        <v>2</v>
      </c>
      <c r="E165" s="771">
        <f>'Product Mix'!H163</f>
        <v>12.65</v>
      </c>
      <c r="F165" s="771">
        <f>'Product Mix'!J163</f>
        <v>2.69</v>
      </c>
      <c r="G165" s="771">
        <f>'Product Mix'!O163</f>
        <v>9.9600000000000009</v>
      </c>
      <c r="H165" s="759">
        <f>'Product Mix'!F163</f>
        <v>1.0952902519167579E-3</v>
      </c>
      <c r="I165" s="74" t="str">
        <f t="shared" si="44"/>
        <v>BAJA</v>
      </c>
      <c r="J165" s="74" t="str">
        <f t="shared" si="45"/>
        <v>ALTA</v>
      </c>
      <c r="K165" s="74" t="str">
        <f t="shared" si="46"/>
        <v>🧩 Puzzle</v>
      </c>
      <c r="L165" s="74"/>
      <c r="M165" s="74" t="e">
        <f t="shared" si="47"/>
        <v>#N/A</v>
      </c>
      <c r="N165" s="74" t="e">
        <f t="shared" si="48"/>
        <v>#N/A</v>
      </c>
      <c r="O165" s="74" t="e">
        <f t="shared" si="49"/>
        <v>#N/A</v>
      </c>
      <c r="P165" s="74" t="e">
        <f t="shared" si="50"/>
        <v>#N/A</v>
      </c>
      <c r="Q165" s="74">
        <f t="shared" si="51"/>
        <v>9.9600000000000009</v>
      </c>
      <c r="R165" s="74">
        <f t="shared" si="52"/>
        <v>1.0952902519167579E-3</v>
      </c>
      <c r="S165" s="74" t="e">
        <f t="shared" si="53"/>
        <v>#N/A</v>
      </c>
      <c r="T165" s="74" t="e">
        <f t="shared" si="54"/>
        <v>#N/A</v>
      </c>
    </row>
    <row r="166" spans="1:20">
      <c r="A166" s="74">
        <f>'Product Mix'!A164</f>
        <v>159</v>
      </c>
      <c r="B166" s="74" t="str">
        <f>'Product Mix'!B164</f>
        <v>1/2 Entrepa Bacon</v>
      </c>
      <c r="C166" s="74" t="str">
        <f>'Product Mix'!C164</f>
        <v>Bocadillos calientes</v>
      </c>
      <c r="D166" s="770">
        <f>'Product Mix'!D164</f>
        <v>4</v>
      </c>
      <c r="E166" s="771">
        <f>'Product Mix'!H164</f>
        <v>3.3025000000000002</v>
      </c>
      <c r="F166" s="771">
        <f>'Product Mix'!J164</f>
        <v>0.34</v>
      </c>
      <c r="G166" s="771">
        <f>'Product Mix'!O164</f>
        <v>2.9625000000000004</v>
      </c>
      <c r="H166" s="759">
        <f>'Product Mix'!F164</f>
        <v>2.1905805038335158E-3</v>
      </c>
      <c r="I166" s="74" t="str">
        <f t="shared" si="44"/>
        <v>BAJA</v>
      </c>
      <c r="J166" s="74" t="str">
        <f t="shared" si="45"/>
        <v>BAJA</v>
      </c>
      <c r="K166" s="74" t="str">
        <f t="shared" si="46"/>
        <v>🐶 Perro</v>
      </c>
      <c r="L166" s="74"/>
      <c r="M166" s="74" t="e">
        <f t="shared" si="47"/>
        <v>#N/A</v>
      </c>
      <c r="N166" s="74" t="e">
        <f t="shared" si="48"/>
        <v>#N/A</v>
      </c>
      <c r="O166" s="74" t="e">
        <f t="shared" si="49"/>
        <v>#N/A</v>
      </c>
      <c r="P166" s="74" t="e">
        <f t="shared" si="50"/>
        <v>#N/A</v>
      </c>
      <c r="Q166" s="74" t="e">
        <f t="shared" si="51"/>
        <v>#N/A</v>
      </c>
      <c r="R166" s="74" t="e">
        <f t="shared" si="52"/>
        <v>#N/A</v>
      </c>
      <c r="S166" s="74">
        <f t="shared" si="53"/>
        <v>2.9625000000000004</v>
      </c>
      <c r="T166" s="74">
        <f t="shared" si="54"/>
        <v>2.1905805038335158E-3</v>
      </c>
    </row>
    <row r="167" spans="1:20">
      <c r="A167" s="74">
        <f>'Product Mix'!A165</f>
        <v>160</v>
      </c>
      <c r="B167" s="74" t="str">
        <f>'Product Mix'!B165</f>
        <v>Pastis Mató</v>
      </c>
      <c r="C167" s="74" t="str">
        <f>'Product Mix'!C165</f>
        <v>Postres</v>
      </c>
      <c r="D167" s="770">
        <f>'Product Mix'!D165</f>
        <v>0</v>
      </c>
      <c r="E167" s="771">
        <f>'Product Mix'!H165</f>
        <v>0</v>
      </c>
      <c r="F167" s="771">
        <f>'Product Mix'!J165</f>
        <v>1.06</v>
      </c>
      <c r="G167" s="771">
        <f>'Product Mix'!O165</f>
        <v>0</v>
      </c>
      <c r="H167" s="759">
        <f>'Product Mix'!F165</f>
        <v>0</v>
      </c>
      <c r="I167" s="74" t="str">
        <f t="shared" si="44"/>
        <v>-</v>
      </c>
      <c r="J167" s="74" t="str">
        <f t="shared" si="45"/>
        <v>-</v>
      </c>
      <c r="K167" s="74" t="str">
        <f t="shared" si="46"/>
        <v>-</v>
      </c>
      <c r="L167" s="74"/>
      <c r="M167" s="74" t="e">
        <f t="shared" si="47"/>
        <v>#N/A</v>
      </c>
      <c r="N167" s="74" t="e">
        <f t="shared" si="48"/>
        <v>#N/A</v>
      </c>
      <c r="O167" s="74" t="e">
        <f t="shared" si="49"/>
        <v>#N/A</v>
      </c>
      <c r="P167" s="74" t="e">
        <f t="shared" si="50"/>
        <v>#N/A</v>
      </c>
      <c r="Q167" s="74" t="e">
        <f t="shared" si="51"/>
        <v>#N/A</v>
      </c>
      <c r="R167" s="74" t="e">
        <f t="shared" si="52"/>
        <v>#N/A</v>
      </c>
      <c r="S167" s="74" t="e">
        <f t="shared" si="53"/>
        <v>#N/A</v>
      </c>
      <c r="T167" s="74" t="e">
        <f t="shared" si="54"/>
        <v>#N/A</v>
      </c>
    </row>
    <row r="168" spans="1:20">
      <c r="A168" s="74">
        <f>'Product Mix'!A166</f>
        <v>161</v>
      </c>
      <c r="B168" s="74" t="str">
        <f>'Product Mix'!B166</f>
        <v>Amanida de l’horta amb tonyina</v>
      </c>
      <c r="C168" s="74" t="str">
        <f>'Product Mix'!C166</f>
        <v>Menu Primeros</v>
      </c>
      <c r="D168" s="770">
        <f>'Product Mix'!D166</f>
        <v>0</v>
      </c>
      <c r="E168" s="771">
        <f>'Product Mix'!H166</f>
        <v>0</v>
      </c>
      <c r="F168" s="771">
        <f>'Product Mix'!J166</f>
        <v>0</v>
      </c>
      <c r="G168" s="771">
        <f>'Product Mix'!O166</f>
        <v>0</v>
      </c>
      <c r="H168" s="759">
        <f>'Product Mix'!F166</f>
        <v>0</v>
      </c>
      <c r="I168" s="74" t="str">
        <f t="shared" ref="I168:I199" si="55">IF(D168=0,"-",IF(H168&gt;=$E$5,"ALTA","BAJA"))</f>
        <v>-</v>
      </c>
      <c r="J168" s="74" t="str">
        <f t="shared" ref="J168:J199" si="56">IF(D168=0,"-",IF(G168&gt;=$D$5,"ALTA","BAJA"))</f>
        <v>-</v>
      </c>
      <c r="K168" s="74" t="str">
        <f t="shared" ref="K168:K199" si="57">IF(D168=0,"-",IF(AND(I168="ALTA",J168="ALTA"),"⭐ Estrella",IF(AND(I168="ALTA",J168="BAJA"),"🐎 Caballo",IF(AND(I168="BAJA",J168="ALTA"),"🧩 Puzzle","🐶 Perro"))))</f>
        <v>-</v>
      </c>
      <c r="L168" s="74"/>
      <c r="M168" s="74" t="e">
        <f t="shared" ref="M168:M199" si="58">IF(ISNUMBER(SEARCH("Estrella",K168)),G168,NA())</f>
        <v>#N/A</v>
      </c>
      <c r="N168" s="74" t="e">
        <f t="shared" ref="N168:N199" si="59">IF(ISNUMBER(SEARCH("Estrella",K168)),H168,NA())</f>
        <v>#N/A</v>
      </c>
      <c r="O168" s="74" t="e">
        <f t="shared" ref="O168:O199" si="60">IF(ISNUMBER(SEARCH("Caballo",K168)),G168,NA())</f>
        <v>#N/A</v>
      </c>
      <c r="P168" s="74" t="e">
        <f t="shared" ref="P168:P199" si="61">IF(ISNUMBER(SEARCH("Caballo",K168)),H168,NA())</f>
        <v>#N/A</v>
      </c>
      <c r="Q168" s="74" t="e">
        <f t="shared" ref="Q168:Q199" si="62">IF(ISNUMBER(SEARCH("Puzzle",K168)),G168,NA())</f>
        <v>#N/A</v>
      </c>
      <c r="R168" s="74" t="e">
        <f t="shared" ref="R168:R199" si="63">IF(ISNUMBER(SEARCH("Puzzle",K168)),H168,NA())</f>
        <v>#N/A</v>
      </c>
      <c r="S168" s="74" t="e">
        <f t="shared" ref="S168:S199" si="64">IF(ISNUMBER(SEARCH("Perro",K168)),G168,NA())</f>
        <v>#N/A</v>
      </c>
      <c r="T168" s="74" t="e">
        <f t="shared" ref="T168:T199" si="65">IF(ISNUMBER(SEARCH("Perro",K168)),H168,NA())</f>
        <v>#N/A</v>
      </c>
    </row>
    <row r="169" spans="1:20">
      <c r="A169" s="74">
        <f>'Product Mix'!A167</f>
        <v>162</v>
      </c>
      <c r="B169" s="74" t="str">
        <f>'Product Mix'!B167</f>
        <v>Napols</v>
      </c>
      <c r="C169" s="74" t="str">
        <f>'Product Mix'!C167</f>
        <v>Tosta Pizzas</v>
      </c>
      <c r="D169" s="770">
        <f>'Product Mix'!D167</f>
        <v>15</v>
      </c>
      <c r="E169" s="771">
        <f>'Product Mix'!H167</f>
        <v>12.9</v>
      </c>
      <c r="F169" s="771">
        <f>'Product Mix'!J167</f>
        <v>2.39</v>
      </c>
      <c r="G169" s="771">
        <f>'Product Mix'!O167</f>
        <v>10.51</v>
      </c>
      <c r="H169" s="759">
        <f>'Product Mix'!F167</f>
        <v>8.2146768893756848E-3</v>
      </c>
      <c r="I169" s="74" t="str">
        <f t="shared" si="55"/>
        <v>ALTA</v>
      </c>
      <c r="J169" s="74" t="str">
        <f t="shared" si="56"/>
        <v>ALTA</v>
      </c>
      <c r="K169" s="74" t="str">
        <f t="shared" si="57"/>
        <v>⭐ Estrella</v>
      </c>
      <c r="L169" s="74"/>
      <c r="M169" s="74">
        <f t="shared" si="58"/>
        <v>10.51</v>
      </c>
      <c r="N169" s="74">
        <f t="shared" si="59"/>
        <v>8.2146768893756848E-3</v>
      </c>
      <c r="O169" s="74" t="e">
        <f t="shared" si="60"/>
        <v>#N/A</v>
      </c>
      <c r="P169" s="74" t="e">
        <f t="shared" si="61"/>
        <v>#N/A</v>
      </c>
      <c r="Q169" s="74" t="e">
        <f t="shared" si="62"/>
        <v>#N/A</v>
      </c>
      <c r="R169" s="74" t="e">
        <f t="shared" si="63"/>
        <v>#N/A</v>
      </c>
      <c r="S169" s="74" t="e">
        <f t="shared" si="64"/>
        <v>#N/A</v>
      </c>
      <c r="T169" s="74" t="e">
        <f t="shared" si="65"/>
        <v>#N/A</v>
      </c>
    </row>
    <row r="170" spans="1:20">
      <c r="A170" s="74">
        <f>'Product Mix'!A168</f>
        <v>163</v>
      </c>
      <c r="B170" s="74" t="str">
        <f>'Product Mix'!B168</f>
        <v>Albariño Copa</v>
      </c>
      <c r="C170" s="74" t="str">
        <f>'Product Mix'!C168</f>
        <v>Vinos</v>
      </c>
      <c r="D170" s="770">
        <f>'Product Mix'!D168</f>
        <v>4</v>
      </c>
      <c r="E170" s="771">
        <f>'Product Mix'!H168</f>
        <v>3.3</v>
      </c>
      <c r="F170" s="771">
        <f>'Product Mix'!J168</f>
        <v>0.25</v>
      </c>
      <c r="G170" s="771">
        <f>'Product Mix'!O168</f>
        <v>3.05</v>
      </c>
      <c r="H170" s="759">
        <f>'Product Mix'!F168</f>
        <v>2.1905805038335158E-3</v>
      </c>
      <c r="I170" s="74" t="str">
        <f t="shared" si="55"/>
        <v>BAJA</v>
      </c>
      <c r="J170" s="74" t="str">
        <f t="shared" si="56"/>
        <v>BAJA</v>
      </c>
      <c r="K170" s="74" t="str">
        <f t="shared" si="57"/>
        <v>🐶 Perro</v>
      </c>
      <c r="L170" s="74"/>
      <c r="M170" s="74" t="e">
        <f t="shared" si="58"/>
        <v>#N/A</v>
      </c>
      <c r="N170" s="74" t="e">
        <f t="shared" si="59"/>
        <v>#N/A</v>
      </c>
      <c r="O170" s="74" t="e">
        <f t="shared" si="60"/>
        <v>#N/A</v>
      </c>
      <c r="P170" s="74" t="e">
        <f t="shared" si="61"/>
        <v>#N/A</v>
      </c>
      <c r="Q170" s="74" t="e">
        <f t="shared" si="62"/>
        <v>#N/A</v>
      </c>
      <c r="R170" s="74" t="e">
        <f t="shared" si="63"/>
        <v>#N/A</v>
      </c>
      <c r="S170" s="74">
        <f t="shared" si="64"/>
        <v>3.05</v>
      </c>
      <c r="T170" s="74">
        <f t="shared" si="65"/>
        <v>2.1905805038335158E-3</v>
      </c>
    </row>
    <row r="171" spans="1:20">
      <c r="A171" s="74">
        <f>'Product Mix'!A169</f>
        <v>164</v>
      </c>
      <c r="B171" s="74" t="str">
        <f>'Product Mix'!B169</f>
        <v>FUZE TEA LIMON</v>
      </c>
      <c r="C171" s="74" t="str">
        <f>'Product Mix'!C169</f>
        <v>Refrescos</v>
      </c>
      <c r="D171" s="770">
        <f>'Product Mix'!D169</f>
        <v>1</v>
      </c>
      <c r="E171" s="771">
        <f>'Product Mix'!H169</f>
        <v>2.5499999999999998</v>
      </c>
      <c r="F171" s="771">
        <f>'Product Mix'!J169</f>
        <v>0</v>
      </c>
      <c r="G171" s="771">
        <f>'Product Mix'!O169</f>
        <v>2.5499999999999998</v>
      </c>
      <c r="H171" s="759">
        <f>'Product Mix'!F169</f>
        <v>5.4764512595837896E-4</v>
      </c>
      <c r="I171" s="74" t="str">
        <f t="shared" si="55"/>
        <v>BAJA</v>
      </c>
      <c r="J171" s="74" t="str">
        <f t="shared" si="56"/>
        <v>BAJA</v>
      </c>
      <c r="K171" s="74" t="str">
        <f t="shared" si="57"/>
        <v>🐶 Perro</v>
      </c>
      <c r="L171" s="74"/>
      <c r="M171" s="74" t="e">
        <f t="shared" si="58"/>
        <v>#N/A</v>
      </c>
      <c r="N171" s="74" t="e">
        <f t="shared" si="59"/>
        <v>#N/A</v>
      </c>
      <c r="O171" s="74" t="e">
        <f t="shared" si="60"/>
        <v>#N/A</v>
      </c>
      <c r="P171" s="74" t="e">
        <f t="shared" si="61"/>
        <v>#N/A</v>
      </c>
      <c r="Q171" s="74" t="e">
        <f t="shared" si="62"/>
        <v>#N/A</v>
      </c>
      <c r="R171" s="74" t="e">
        <f t="shared" si="63"/>
        <v>#N/A</v>
      </c>
      <c r="S171" s="74">
        <f t="shared" si="64"/>
        <v>2.5499999999999998</v>
      </c>
      <c r="T171" s="74">
        <f t="shared" si="65"/>
        <v>5.4764512595837896E-4</v>
      </c>
    </row>
    <row r="172" spans="1:20">
      <c r="A172" s="74">
        <f>'Product Mix'!A170</f>
        <v>165</v>
      </c>
      <c r="B172" s="74" t="str">
        <f>'Product Mix'!B170</f>
        <v>Canelones de foie</v>
      </c>
      <c r="C172" s="74" t="str">
        <f>'Product Mix'!C170</f>
        <v>Tapas Calientes</v>
      </c>
      <c r="D172" s="770">
        <f>'Product Mix'!D170</f>
        <v>0</v>
      </c>
      <c r="E172" s="771">
        <f>'Product Mix'!H170</f>
        <v>0</v>
      </c>
      <c r="F172" s="771">
        <f>'Product Mix'!J170</f>
        <v>0</v>
      </c>
      <c r="G172" s="771">
        <f>'Product Mix'!O170</f>
        <v>0</v>
      </c>
      <c r="H172" s="759">
        <f>'Product Mix'!F170</f>
        <v>0</v>
      </c>
      <c r="I172" s="74" t="str">
        <f t="shared" si="55"/>
        <v>-</v>
      </c>
      <c r="J172" s="74" t="str">
        <f t="shared" si="56"/>
        <v>-</v>
      </c>
      <c r="K172" s="74" t="str">
        <f t="shared" si="57"/>
        <v>-</v>
      </c>
      <c r="L172" s="74"/>
      <c r="M172" s="74" t="e">
        <f t="shared" si="58"/>
        <v>#N/A</v>
      </c>
      <c r="N172" s="74" t="e">
        <f t="shared" si="59"/>
        <v>#N/A</v>
      </c>
      <c r="O172" s="74" t="e">
        <f t="shared" si="60"/>
        <v>#N/A</v>
      </c>
      <c r="P172" s="74" t="e">
        <f t="shared" si="61"/>
        <v>#N/A</v>
      </c>
      <c r="Q172" s="74" t="e">
        <f t="shared" si="62"/>
        <v>#N/A</v>
      </c>
      <c r="R172" s="74" t="e">
        <f t="shared" si="63"/>
        <v>#N/A</v>
      </c>
      <c r="S172" s="74" t="e">
        <f t="shared" si="64"/>
        <v>#N/A</v>
      </c>
      <c r="T172" s="74" t="e">
        <f t="shared" si="65"/>
        <v>#N/A</v>
      </c>
    </row>
    <row r="173" spans="1:20">
      <c r="A173" s="74">
        <f>'Product Mix'!A171</f>
        <v>166</v>
      </c>
      <c r="B173" s="74" t="str">
        <f>'Product Mix'!B171</f>
        <v>Copa</v>
      </c>
      <c r="C173" s="74" t="str">
        <f>'Product Mix'!C171</f>
        <v>Menu Bebidas</v>
      </c>
      <c r="D173" s="770">
        <f>'Product Mix'!D171</f>
        <v>0</v>
      </c>
      <c r="E173" s="771">
        <f>'Product Mix'!H171</f>
        <v>0</v>
      </c>
      <c r="F173" s="771">
        <f>'Product Mix'!J171</f>
        <v>0</v>
      </c>
      <c r="G173" s="771">
        <f>'Product Mix'!O171</f>
        <v>0</v>
      </c>
      <c r="H173" s="759">
        <f>'Product Mix'!F171</f>
        <v>0</v>
      </c>
      <c r="I173" s="74" t="str">
        <f t="shared" si="55"/>
        <v>-</v>
      </c>
      <c r="J173" s="74" t="str">
        <f t="shared" si="56"/>
        <v>-</v>
      </c>
      <c r="K173" s="74" t="str">
        <f t="shared" si="57"/>
        <v>-</v>
      </c>
      <c r="L173" s="74"/>
      <c r="M173" s="74" t="e">
        <f t="shared" si="58"/>
        <v>#N/A</v>
      </c>
      <c r="N173" s="74" t="e">
        <f t="shared" si="59"/>
        <v>#N/A</v>
      </c>
      <c r="O173" s="74" t="e">
        <f t="shared" si="60"/>
        <v>#N/A</v>
      </c>
      <c r="P173" s="74" t="e">
        <f t="shared" si="61"/>
        <v>#N/A</v>
      </c>
      <c r="Q173" s="74" t="e">
        <f t="shared" si="62"/>
        <v>#N/A</v>
      </c>
      <c r="R173" s="74" t="e">
        <f t="shared" si="63"/>
        <v>#N/A</v>
      </c>
      <c r="S173" s="74" t="e">
        <f t="shared" si="64"/>
        <v>#N/A</v>
      </c>
      <c r="T173" s="74" t="e">
        <f t="shared" si="65"/>
        <v>#N/A</v>
      </c>
    </row>
    <row r="174" spans="1:20">
      <c r="A174" s="74">
        <f>'Product Mix'!A172</f>
        <v>167</v>
      </c>
      <c r="B174" s="74" t="str">
        <f>'Product Mix'!B172</f>
        <v>Canelo Foie Trufat</v>
      </c>
      <c r="C174" s="74" t="str">
        <f>'Product Mix'!C172</f>
        <v>Tapas Calientes</v>
      </c>
      <c r="D174" s="770">
        <f>'Product Mix'!D172</f>
        <v>2</v>
      </c>
      <c r="E174" s="771">
        <f>'Product Mix'!H172</f>
        <v>7.25</v>
      </c>
      <c r="F174" s="771">
        <f>'Product Mix'!J172</f>
        <v>1.05</v>
      </c>
      <c r="G174" s="771">
        <f>'Product Mix'!O172</f>
        <v>6.2</v>
      </c>
      <c r="H174" s="759">
        <f>'Product Mix'!F172</f>
        <v>1.0952902519167579E-3</v>
      </c>
      <c r="I174" s="74" t="str">
        <f t="shared" si="55"/>
        <v>BAJA</v>
      </c>
      <c r="J174" s="74" t="str">
        <f t="shared" si="56"/>
        <v>ALTA</v>
      </c>
      <c r="K174" s="74" t="str">
        <f t="shared" si="57"/>
        <v>🧩 Puzzle</v>
      </c>
      <c r="L174" s="74"/>
      <c r="M174" s="74" t="e">
        <f t="shared" si="58"/>
        <v>#N/A</v>
      </c>
      <c r="N174" s="74" t="e">
        <f t="shared" si="59"/>
        <v>#N/A</v>
      </c>
      <c r="O174" s="74" t="e">
        <f t="shared" si="60"/>
        <v>#N/A</v>
      </c>
      <c r="P174" s="74" t="e">
        <f t="shared" si="61"/>
        <v>#N/A</v>
      </c>
      <c r="Q174" s="74">
        <f t="shared" si="62"/>
        <v>6.2</v>
      </c>
      <c r="R174" s="74">
        <f t="shared" si="63"/>
        <v>1.0952902519167579E-3</v>
      </c>
      <c r="S174" s="74" t="e">
        <f t="shared" si="64"/>
        <v>#N/A</v>
      </c>
      <c r="T174" s="74" t="e">
        <f t="shared" si="65"/>
        <v>#N/A</v>
      </c>
    </row>
    <row r="175" spans="1:20">
      <c r="A175" s="74">
        <f>'Product Mix'!A173</f>
        <v>168</v>
      </c>
      <c r="B175" s="74" t="str">
        <f>'Product Mix'!B173</f>
        <v>Flam</v>
      </c>
      <c r="C175" s="74" t="str">
        <f>'Product Mix'!C173</f>
        <v>Postres</v>
      </c>
      <c r="D175" s="770">
        <f>'Product Mix'!D173</f>
        <v>0</v>
      </c>
      <c r="E175" s="771">
        <f>'Product Mix'!H173</f>
        <v>0</v>
      </c>
      <c r="F175" s="771">
        <f>'Product Mix'!J173</f>
        <v>0</v>
      </c>
      <c r="G175" s="771">
        <f>'Product Mix'!O173</f>
        <v>0</v>
      </c>
      <c r="H175" s="759">
        <f>'Product Mix'!F173</f>
        <v>0</v>
      </c>
      <c r="I175" s="74" t="str">
        <f t="shared" si="55"/>
        <v>-</v>
      </c>
      <c r="J175" s="74" t="str">
        <f t="shared" si="56"/>
        <v>-</v>
      </c>
      <c r="K175" s="74" t="str">
        <f t="shared" si="57"/>
        <v>-</v>
      </c>
      <c r="L175" s="74"/>
      <c r="M175" s="74" t="e">
        <f t="shared" si="58"/>
        <v>#N/A</v>
      </c>
      <c r="N175" s="74" t="e">
        <f t="shared" si="59"/>
        <v>#N/A</v>
      </c>
      <c r="O175" s="74" t="e">
        <f t="shared" si="60"/>
        <v>#N/A</v>
      </c>
      <c r="P175" s="74" t="e">
        <f t="shared" si="61"/>
        <v>#N/A</v>
      </c>
      <c r="Q175" s="74" t="e">
        <f t="shared" si="62"/>
        <v>#N/A</v>
      </c>
      <c r="R175" s="74" t="e">
        <f t="shared" si="63"/>
        <v>#N/A</v>
      </c>
      <c r="S175" s="74" t="e">
        <f t="shared" si="64"/>
        <v>#N/A</v>
      </c>
      <c r="T175" s="74" t="e">
        <f t="shared" si="65"/>
        <v>#N/A</v>
      </c>
    </row>
    <row r="176" spans="1:20">
      <c r="A176" s="74">
        <f>'Product Mix'!A174</f>
        <v>169</v>
      </c>
      <c r="B176" s="74" t="str">
        <f>'Product Mix'!B174</f>
        <v>Flam d'ou</v>
      </c>
      <c r="C176" s="74" t="str">
        <f>'Product Mix'!C174</f>
        <v>Postres</v>
      </c>
      <c r="D176" s="770">
        <f>'Product Mix'!D174</f>
        <v>4</v>
      </c>
      <c r="E176" s="771">
        <f>'Product Mix'!H174</f>
        <v>4.5674999999999999</v>
      </c>
      <c r="F176" s="771">
        <f>'Product Mix'!J174</f>
        <v>0.41</v>
      </c>
      <c r="G176" s="771">
        <f>'Product Mix'!O174</f>
        <v>4.1574999999999998</v>
      </c>
      <c r="H176" s="759">
        <f>'Product Mix'!F174</f>
        <v>2.1905805038335158E-3</v>
      </c>
      <c r="I176" s="74" t="str">
        <f t="shared" si="55"/>
        <v>BAJA</v>
      </c>
      <c r="J176" s="74" t="str">
        <f t="shared" si="56"/>
        <v>ALTA</v>
      </c>
      <c r="K176" s="74" t="str">
        <f t="shared" si="57"/>
        <v>🧩 Puzzle</v>
      </c>
      <c r="L176" s="74"/>
      <c r="M176" s="74" t="e">
        <f t="shared" si="58"/>
        <v>#N/A</v>
      </c>
      <c r="N176" s="74" t="e">
        <f t="shared" si="59"/>
        <v>#N/A</v>
      </c>
      <c r="O176" s="74" t="e">
        <f t="shared" si="60"/>
        <v>#N/A</v>
      </c>
      <c r="P176" s="74" t="e">
        <f t="shared" si="61"/>
        <v>#N/A</v>
      </c>
      <c r="Q176" s="74">
        <f t="shared" si="62"/>
        <v>4.1574999999999998</v>
      </c>
      <c r="R176" s="74">
        <f t="shared" si="63"/>
        <v>2.1905805038335158E-3</v>
      </c>
      <c r="S176" s="74" t="e">
        <f t="shared" si="64"/>
        <v>#N/A</v>
      </c>
      <c r="T176" s="74" t="e">
        <f t="shared" si="65"/>
        <v>#N/A</v>
      </c>
    </row>
    <row r="177" spans="1:20">
      <c r="A177" s="74">
        <f>'Product Mix'!A175</f>
        <v>170</v>
      </c>
      <c r="B177" s="74" t="str">
        <f>'Product Mix'!B175</f>
        <v>Carn amb salsa RF</v>
      </c>
      <c r="C177" s="74" t="str">
        <f>'Product Mix'!C175</f>
        <v>Pendiente</v>
      </c>
      <c r="D177" s="770">
        <f>'Product Mix'!D175</f>
        <v>2</v>
      </c>
      <c r="E177" s="771">
        <f>'Product Mix'!H175</f>
        <v>10.455</v>
      </c>
      <c r="F177" s="771">
        <f>'Product Mix'!J175</f>
        <v>2.66</v>
      </c>
      <c r="G177" s="771">
        <f>'Product Mix'!O175</f>
        <v>7.7949999999999999</v>
      </c>
      <c r="H177" s="759">
        <f>'Product Mix'!F175</f>
        <v>1.0952902519167579E-3</v>
      </c>
      <c r="I177" s="74" t="str">
        <f t="shared" si="55"/>
        <v>BAJA</v>
      </c>
      <c r="J177" s="74" t="str">
        <f t="shared" si="56"/>
        <v>ALTA</v>
      </c>
      <c r="K177" s="74" t="str">
        <f t="shared" si="57"/>
        <v>🧩 Puzzle</v>
      </c>
      <c r="L177" s="74"/>
      <c r="M177" s="74" t="e">
        <f t="shared" si="58"/>
        <v>#N/A</v>
      </c>
      <c r="N177" s="74" t="e">
        <f t="shared" si="59"/>
        <v>#N/A</v>
      </c>
      <c r="O177" s="74" t="e">
        <f t="shared" si="60"/>
        <v>#N/A</v>
      </c>
      <c r="P177" s="74" t="e">
        <f t="shared" si="61"/>
        <v>#N/A</v>
      </c>
      <c r="Q177" s="74">
        <f t="shared" si="62"/>
        <v>7.7949999999999999</v>
      </c>
      <c r="R177" s="74">
        <f t="shared" si="63"/>
        <v>1.0952902519167579E-3</v>
      </c>
      <c r="S177" s="74" t="e">
        <f t="shared" si="64"/>
        <v>#N/A</v>
      </c>
      <c r="T177" s="74" t="e">
        <f t="shared" si="65"/>
        <v>#N/A</v>
      </c>
    </row>
    <row r="178" spans="1:20">
      <c r="A178" s="74">
        <f>'Product Mix'!A176</f>
        <v>171</v>
      </c>
      <c r="B178" s="74" t="str">
        <f>'Product Mix'!B176</f>
        <v>Panera Rf</v>
      </c>
      <c r="C178" s="74" t="str">
        <f>'Product Mix'!C176</f>
        <v>Suplementos</v>
      </c>
      <c r="D178" s="770">
        <f>'Product Mix'!D176</f>
        <v>0</v>
      </c>
      <c r="E178" s="771">
        <f>'Product Mix'!H176</f>
        <v>0</v>
      </c>
      <c r="F178" s="771">
        <f>'Product Mix'!J176</f>
        <v>0</v>
      </c>
      <c r="G178" s="771">
        <f>'Product Mix'!O176</f>
        <v>0</v>
      </c>
      <c r="H178" s="759">
        <f>'Product Mix'!F176</f>
        <v>0</v>
      </c>
      <c r="I178" s="74" t="str">
        <f t="shared" si="55"/>
        <v>-</v>
      </c>
      <c r="J178" s="74" t="str">
        <f t="shared" si="56"/>
        <v>-</v>
      </c>
      <c r="K178" s="74" t="str">
        <f t="shared" si="57"/>
        <v>-</v>
      </c>
      <c r="L178" s="74"/>
      <c r="M178" s="74" t="e">
        <f t="shared" si="58"/>
        <v>#N/A</v>
      </c>
      <c r="N178" s="74" t="e">
        <f t="shared" si="59"/>
        <v>#N/A</v>
      </c>
      <c r="O178" s="74" t="e">
        <f t="shared" si="60"/>
        <v>#N/A</v>
      </c>
      <c r="P178" s="74" t="e">
        <f t="shared" si="61"/>
        <v>#N/A</v>
      </c>
      <c r="Q178" s="74" t="e">
        <f t="shared" si="62"/>
        <v>#N/A</v>
      </c>
      <c r="R178" s="74" t="e">
        <f t="shared" si="63"/>
        <v>#N/A</v>
      </c>
      <c r="S178" s="74" t="e">
        <f t="shared" si="64"/>
        <v>#N/A</v>
      </c>
      <c r="T178" s="74" t="e">
        <f t="shared" si="65"/>
        <v>#N/A</v>
      </c>
    </row>
    <row r="179" spans="1:20">
      <c r="A179" s="74">
        <f>'Product Mix'!A177</f>
        <v>172</v>
      </c>
      <c r="B179" s="74" t="str">
        <f>'Product Mix'!B177</f>
        <v>Pit de pollastre a la planxa</v>
      </c>
      <c r="C179" s="74" t="str">
        <f>'Product Mix'!C177</f>
        <v>Menu Segundos</v>
      </c>
      <c r="D179" s="770">
        <f>'Product Mix'!D177</f>
        <v>0</v>
      </c>
      <c r="E179" s="771">
        <f>'Product Mix'!H177</f>
        <v>0</v>
      </c>
      <c r="F179" s="771">
        <f>'Product Mix'!J177</f>
        <v>0</v>
      </c>
      <c r="G179" s="771">
        <f>'Product Mix'!O177</f>
        <v>0</v>
      </c>
      <c r="H179" s="759">
        <f>'Product Mix'!F177</f>
        <v>0</v>
      </c>
      <c r="I179" s="74" t="str">
        <f t="shared" si="55"/>
        <v>-</v>
      </c>
      <c r="J179" s="74" t="str">
        <f t="shared" si="56"/>
        <v>-</v>
      </c>
      <c r="K179" s="74" t="str">
        <f t="shared" si="57"/>
        <v>-</v>
      </c>
      <c r="L179" s="74"/>
      <c r="M179" s="74" t="e">
        <f t="shared" si="58"/>
        <v>#N/A</v>
      </c>
      <c r="N179" s="74" t="e">
        <f t="shared" si="59"/>
        <v>#N/A</v>
      </c>
      <c r="O179" s="74" t="e">
        <f t="shared" si="60"/>
        <v>#N/A</v>
      </c>
      <c r="P179" s="74" t="e">
        <f t="shared" si="61"/>
        <v>#N/A</v>
      </c>
      <c r="Q179" s="74" t="e">
        <f t="shared" si="62"/>
        <v>#N/A</v>
      </c>
      <c r="R179" s="74" t="e">
        <f t="shared" si="63"/>
        <v>#N/A</v>
      </c>
      <c r="S179" s="74" t="e">
        <f t="shared" si="64"/>
        <v>#N/A</v>
      </c>
      <c r="T179" s="74" t="e">
        <f t="shared" si="65"/>
        <v>#N/A</v>
      </c>
    </row>
    <row r="180" spans="1:20">
      <c r="A180" s="74">
        <f>'Product Mix'!A178</f>
        <v>173</v>
      </c>
      <c r="B180" s="74" t="str">
        <f>'Product Mix'!B178</f>
        <v>Croquetes cabra (Mix Croquetes)</v>
      </c>
      <c r="C180" s="74" t="str">
        <f>'Product Mix'!C178</f>
        <v>Tapas Calientes</v>
      </c>
      <c r="D180" s="770">
        <f>'Product Mix'!D178</f>
        <v>0</v>
      </c>
      <c r="E180" s="771">
        <f>'Product Mix'!H178</f>
        <v>0</v>
      </c>
      <c r="F180" s="771">
        <f>'Product Mix'!J178</f>
        <v>0.49</v>
      </c>
      <c r="G180" s="771">
        <f>'Product Mix'!O178</f>
        <v>0</v>
      </c>
      <c r="H180" s="759">
        <f>'Product Mix'!F178</f>
        <v>0</v>
      </c>
      <c r="I180" s="74" t="str">
        <f t="shared" si="55"/>
        <v>-</v>
      </c>
      <c r="J180" s="74" t="str">
        <f t="shared" si="56"/>
        <v>-</v>
      </c>
      <c r="K180" s="74" t="str">
        <f t="shared" si="57"/>
        <v>-</v>
      </c>
      <c r="L180" s="74"/>
      <c r="M180" s="74" t="e">
        <f t="shared" si="58"/>
        <v>#N/A</v>
      </c>
      <c r="N180" s="74" t="e">
        <f t="shared" si="59"/>
        <v>#N/A</v>
      </c>
      <c r="O180" s="74" t="e">
        <f t="shared" si="60"/>
        <v>#N/A</v>
      </c>
      <c r="P180" s="74" t="e">
        <f t="shared" si="61"/>
        <v>#N/A</v>
      </c>
      <c r="Q180" s="74" t="e">
        <f t="shared" si="62"/>
        <v>#N/A</v>
      </c>
      <c r="R180" s="74" t="e">
        <f t="shared" si="63"/>
        <v>#N/A</v>
      </c>
      <c r="S180" s="74" t="e">
        <f t="shared" si="64"/>
        <v>#N/A</v>
      </c>
      <c r="T180" s="74" t="e">
        <f t="shared" si="65"/>
        <v>#N/A</v>
      </c>
    </row>
    <row r="181" spans="1:20">
      <c r="A181" s="74">
        <f>'Product Mix'!A179</f>
        <v>174</v>
      </c>
      <c r="B181" s="74" t="str">
        <f>'Product Mix'!B179</f>
        <v>Entrepa Fuet</v>
      </c>
      <c r="C181" s="74" t="str">
        <f>'Product Mix'!C179</f>
        <v>Bocadillos fríos</v>
      </c>
      <c r="D181" s="770">
        <f>'Product Mix'!D179</f>
        <v>1</v>
      </c>
      <c r="E181" s="771">
        <f>'Product Mix'!H179</f>
        <v>5.15</v>
      </c>
      <c r="F181" s="771">
        <f>'Product Mix'!J179</f>
        <v>0.95</v>
      </c>
      <c r="G181" s="771">
        <f>'Product Mix'!O179</f>
        <v>4.2</v>
      </c>
      <c r="H181" s="759">
        <f>'Product Mix'!F179</f>
        <v>5.4764512595837896E-4</v>
      </c>
      <c r="I181" s="74" t="str">
        <f t="shared" si="55"/>
        <v>BAJA</v>
      </c>
      <c r="J181" s="74" t="str">
        <f t="shared" si="56"/>
        <v>ALTA</v>
      </c>
      <c r="K181" s="74" t="str">
        <f t="shared" si="57"/>
        <v>🧩 Puzzle</v>
      </c>
      <c r="L181" s="74"/>
      <c r="M181" s="74" t="e">
        <f t="shared" si="58"/>
        <v>#N/A</v>
      </c>
      <c r="N181" s="74" t="e">
        <f t="shared" si="59"/>
        <v>#N/A</v>
      </c>
      <c r="O181" s="74" t="e">
        <f t="shared" si="60"/>
        <v>#N/A</v>
      </c>
      <c r="P181" s="74" t="e">
        <f t="shared" si="61"/>
        <v>#N/A</v>
      </c>
      <c r="Q181" s="74">
        <f t="shared" si="62"/>
        <v>4.2</v>
      </c>
      <c r="R181" s="74">
        <f t="shared" si="63"/>
        <v>5.4764512595837896E-4</v>
      </c>
      <c r="S181" s="74" t="e">
        <f t="shared" si="64"/>
        <v>#N/A</v>
      </c>
      <c r="T181" s="74" t="e">
        <f t="shared" si="65"/>
        <v>#N/A</v>
      </c>
    </row>
    <row r="182" spans="1:20">
      <c r="A182" s="74">
        <f>'Product Mix'!A180</f>
        <v>175</v>
      </c>
      <c r="B182" s="74" t="str">
        <f>'Product Mix'!B180</f>
        <v>America</v>
      </c>
      <c r="C182" s="74" t="str">
        <f>'Product Mix'!C180</f>
        <v>Cafe</v>
      </c>
      <c r="D182" s="770">
        <f>'Product Mix'!D180</f>
        <v>0</v>
      </c>
      <c r="E182" s="771">
        <f>'Product Mix'!H180</f>
        <v>0</v>
      </c>
      <c r="F182" s="771">
        <f>'Product Mix'!J180</f>
        <v>0</v>
      </c>
      <c r="G182" s="771">
        <f>'Product Mix'!O180</f>
        <v>0</v>
      </c>
      <c r="H182" s="759">
        <f>'Product Mix'!F180</f>
        <v>0</v>
      </c>
      <c r="I182" s="74" t="str">
        <f t="shared" si="55"/>
        <v>-</v>
      </c>
      <c r="J182" s="74" t="str">
        <f t="shared" si="56"/>
        <v>-</v>
      </c>
      <c r="K182" s="74" t="str">
        <f t="shared" si="57"/>
        <v>-</v>
      </c>
      <c r="L182" s="74"/>
      <c r="M182" s="74" t="e">
        <f t="shared" si="58"/>
        <v>#N/A</v>
      </c>
      <c r="N182" s="74" t="e">
        <f t="shared" si="59"/>
        <v>#N/A</v>
      </c>
      <c r="O182" s="74" t="e">
        <f t="shared" si="60"/>
        <v>#N/A</v>
      </c>
      <c r="P182" s="74" t="e">
        <f t="shared" si="61"/>
        <v>#N/A</v>
      </c>
      <c r="Q182" s="74" t="e">
        <f t="shared" si="62"/>
        <v>#N/A</v>
      </c>
      <c r="R182" s="74" t="e">
        <f t="shared" si="63"/>
        <v>#N/A</v>
      </c>
      <c r="S182" s="74" t="e">
        <f t="shared" si="64"/>
        <v>#N/A</v>
      </c>
      <c r="T182" s="74" t="e">
        <f t="shared" si="65"/>
        <v>#N/A</v>
      </c>
    </row>
    <row r="183" spans="1:20">
      <c r="A183" s="74">
        <f>'Product Mix'!A181</f>
        <v>176</v>
      </c>
      <c r="B183" s="74" t="str">
        <f>'Product Mix'!B181</f>
        <v>Clara</v>
      </c>
      <c r="C183" s="74" t="str">
        <f>'Product Mix'!C181</f>
        <v>Menu Bebidas</v>
      </c>
      <c r="D183" s="770">
        <f>'Product Mix'!D181</f>
        <v>0</v>
      </c>
      <c r="E183" s="771">
        <f>'Product Mix'!H181</f>
        <v>0</v>
      </c>
      <c r="F183" s="771">
        <f>'Product Mix'!J181</f>
        <v>0</v>
      </c>
      <c r="G183" s="771">
        <f>'Product Mix'!O181</f>
        <v>0</v>
      </c>
      <c r="H183" s="759">
        <f>'Product Mix'!F181</f>
        <v>0</v>
      </c>
      <c r="I183" s="74" t="str">
        <f t="shared" si="55"/>
        <v>-</v>
      </c>
      <c r="J183" s="74" t="str">
        <f t="shared" si="56"/>
        <v>-</v>
      </c>
      <c r="K183" s="74" t="str">
        <f t="shared" si="57"/>
        <v>-</v>
      </c>
      <c r="L183" s="74"/>
      <c r="M183" s="74" t="e">
        <f t="shared" si="58"/>
        <v>#N/A</v>
      </c>
      <c r="N183" s="74" t="e">
        <f t="shared" si="59"/>
        <v>#N/A</v>
      </c>
      <c r="O183" s="74" t="e">
        <f t="shared" si="60"/>
        <v>#N/A</v>
      </c>
      <c r="P183" s="74" t="e">
        <f t="shared" si="61"/>
        <v>#N/A</v>
      </c>
      <c r="Q183" s="74" t="e">
        <f t="shared" si="62"/>
        <v>#N/A</v>
      </c>
      <c r="R183" s="74" t="e">
        <f t="shared" si="63"/>
        <v>#N/A</v>
      </c>
      <c r="S183" s="74" t="e">
        <f t="shared" si="64"/>
        <v>#N/A</v>
      </c>
      <c r="T183" s="74" t="e">
        <f t="shared" si="65"/>
        <v>#N/A</v>
      </c>
    </row>
    <row r="184" spans="1:20">
      <c r="A184" s="74">
        <f>'Product Mix'!A182</f>
        <v>177</v>
      </c>
      <c r="B184" s="74" t="str">
        <f>'Product Mix'!B182</f>
        <v>Reserva Vermella C:Caña</v>
      </c>
      <c r="C184" s="74" t="str">
        <f>'Product Mix'!C182</f>
        <v>Cervezas</v>
      </c>
      <c r="D184" s="770">
        <f>'Product Mix'!D182</f>
        <v>31</v>
      </c>
      <c r="E184" s="771">
        <f>'Product Mix'!H182</f>
        <v>3.3516129032258068</v>
      </c>
      <c r="F184" s="771">
        <f>'Product Mix'!J182</f>
        <v>0.79</v>
      </c>
      <c r="G184" s="771">
        <f>'Product Mix'!O182</f>
        <v>2.5616129032258064</v>
      </c>
      <c r="H184" s="759">
        <f>'Product Mix'!F182</f>
        <v>1.6976998904709748E-2</v>
      </c>
      <c r="I184" s="74" t="str">
        <f t="shared" si="55"/>
        <v>ALTA</v>
      </c>
      <c r="J184" s="74" t="str">
        <f t="shared" si="56"/>
        <v>BAJA</v>
      </c>
      <c r="K184" s="74" t="str">
        <f t="shared" si="57"/>
        <v>🐎 Caballo</v>
      </c>
      <c r="L184" s="74"/>
      <c r="M184" s="74" t="e">
        <f t="shared" si="58"/>
        <v>#N/A</v>
      </c>
      <c r="N184" s="74" t="e">
        <f t="shared" si="59"/>
        <v>#N/A</v>
      </c>
      <c r="O184" s="74">
        <f t="shared" si="60"/>
        <v>2.5616129032258064</v>
      </c>
      <c r="P184" s="74">
        <f t="shared" si="61"/>
        <v>1.6976998904709748E-2</v>
      </c>
      <c r="Q184" s="74" t="e">
        <f t="shared" si="62"/>
        <v>#N/A</v>
      </c>
      <c r="R184" s="74" t="e">
        <f t="shared" si="63"/>
        <v>#N/A</v>
      </c>
      <c r="S184" s="74" t="e">
        <f t="shared" si="64"/>
        <v>#N/A</v>
      </c>
      <c r="T184" s="74" t="e">
        <f t="shared" si="65"/>
        <v>#N/A</v>
      </c>
    </row>
    <row r="185" spans="1:20">
      <c r="A185" s="74">
        <f>'Product Mix'!A183</f>
        <v>178</v>
      </c>
      <c r="B185" s="74" t="str">
        <f>'Product Mix'!B183</f>
        <v>Sandwich Vegetal</v>
      </c>
      <c r="C185" s="74" t="str">
        <f>'Product Mix'!C183</f>
        <v>Desayunos</v>
      </c>
      <c r="D185" s="770">
        <f>'Product Mix'!D183</f>
        <v>1</v>
      </c>
      <c r="E185" s="771">
        <f>'Product Mix'!H183</f>
        <v>5.65</v>
      </c>
      <c r="F185" s="771">
        <f>'Product Mix'!J183</f>
        <v>0.57999999999999996</v>
      </c>
      <c r="G185" s="771">
        <f>'Product Mix'!O183</f>
        <v>5.07</v>
      </c>
      <c r="H185" s="759">
        <f>'Product Mix'!F183</f>
        <v>5.4764512595837896E-4</v>
      </c>
      <c r="I185" s="74" t="str">
        <f t="shared" si="55"/>
        <v>BAJA</v>
      </c>
      <c r="J185" s="74" t="str">
        <f t="shared" si="56"/>
        <v>ALTA</v>
      </c>
      <c r="K185" s="74" t="str">
        <f t="shared" si="57"/>
        <v>🧩 Puzzle</v>
      </c>
      <c r="L185" s="74"/>
      <c r="M185" s="74" t="e">
        <f t="shared" si="58"/>
        <v>#N/A</v>
      </c>
      <c r="N185" s="74" t="e">
        <f t="shared" si="59"/>
        <v>#N/A</v>
      </c>
      <c r="O185" s="74" t="e">
        <f t="shared" si="60"/>
        <v>#N/A</v>
      </c>
      <c r="P185" s="74" t="e">
        <f t="shared" si="61"/>
        <v>#N/A</v>
      </c>
      <c r="Q185" s="74">
        <f t="shared" si="62"/>
        <v>5.07</v>
      </c>
      <c r="R185" s="74">
        <f t="shared" si="63"/>
        <v>5.4764512595837896E-4</v>
      </c>
      <c r="S185" s="74" t="e">
        <f t="shared" si="64"/>
        <v>#N/A</v>
      </c>
      <c r="T185" s="74" t="e">
        <f t="shared" si="65"/>
        <v>#N/A</v>
      </c>
    </row>
    <row r="186" spans="1:20">
      <c r="A186" s="74">
        <f>'Product Mix'!A184</f>
        <v>179</v>
      </c>
      <c r="B186" s="74" t="str">
        <f>'Product Mix'!B184</f>
        <v>Ous gula i calamar</v>
      </c>
      <c r="C186" s="74" t="str">
        <f>'Product Mix'!C184</f>
        <v>Huevos Estrellados</v>
      </c>
      <c r="D186" s="770">
        <f>'Product Mix'!D184</f>
        <v>1</v>
      </c>
      <c r="E186" s="771">
        <f>'Product Mix'!H184</f>
        <v>12.5</v>
      </c>
      <c r="F186" s="771">
        <f>'Product Mix'!J184</f>
        <v>2.81</v>
      </c>
      <c r="G186" s="771">
        <f>'Product Mix'!O184</f>
        <v>9.69</v>
      </c>
      <c r="H186" s="759">
        <f>'Product Mix'!F184</f>
        <v>5.4764512595837896E-4</v>
      </c>
      <c r="I186" s="74" t="str">
        <f t="shared" si="55"/>
        <v>BAJA</v>
      </c>
      <c r="J186" s="74" t="str">
        <f t="shared" si="56"/>
        <v>ALTA</v>
      </c>
      <c r="K186" s="74" t="str">
        <f t="shared" si="57"/>
        <v>🧩 Puzzle</v>
      </c>
      <c r="L186" s="74"/>
      <c r="M186" s="74" t="e">
        <f t="shared" si="58"/>
        <v>#N/A</v>
      </c>
      <c r="N186" s="74" t="e">
        <f t="shared" si="59"/>
        <v>#N/A</v>
      </c>
      <c r="O186" s="74" t="e">
        <f t="shared" si="60"/>
        <v>#N/A</v>
      </c>
      <c r="P186" s="74" t="e">
        <f t="shared" si="61"/>
        <v>#N/A</v>
      </c>
      <c r="Q186" s="74">
        <f t="shared" si="62"/>
        <v>9.69</v>
      </c>
      <c r="R186" s="74">
        <f t="shared" si="63"/>
        <v>5.4764512595837896E-4</v>
      </c>
      <c r="S186" s="74" t="e">
        <f t="shared" si="64"/>
        <v>#N/A</v>
      </c>
      <c r="T186" s="74" t="e">
        <f t="shared" si="65"/>
        <v>#N/A</v>
      </c>
    </row>
    <row r="187" spans="1:20">
      <c r="A187" s="74">
        <f>'Product Mix'!A185</f>
        <v>180</v>
      </c>
      <c r="B187" s="74" t="str">
        <f>'Product Mix'!B185</f>
        <v>Hamburguesa a la planxa</v>
      </c>
      <c r="C187" s="74" t="str">
        <f>'Product Mix'!C185</f>
        <v>Menu Segundos</v>
      </c>
      <c r="D187" s="770">
        <f>'Product Mix'!D185</f>
        <v>0</v>
      </c>
      <c r="E187" s="771">
        <f>'Product Mix'!H185</f>
        <v>0</v>
      </c>
      <c r="F187" s="771">
        <f>'Product Mix'!J185</f>
        <v>0</v>
      </c>
      <c r="G187" s="771">
        <f>'Product Mix'!O185</f>
        <v>0</v>
      </c>
      <c r="H187" s="759">
        <f>'Product Mix'!F185</f>
        <v>0</v>
      </c>
      <c r="I187" s="74" t="str">
        <f t="shared" si="55"/>
        <v>-</v>
      </c>
      <c r="J187" s="74" t="str">
        <f t="shared" si="56"/>
        <v>-</v>
      </c>
      <c r="K187" s="74" t="str">
        <f t="shared" si="57"/>
        <v>-</v>
      </c>
      <c r="L187" s="74"/>
      <c r="M187" s="74" t="e">
        <f t="shared" si="58"/>
        <v>#N/A</v>
      </c>
      <c r="N187" s="74" t="e">
        <f t="shared" si="59"/>
        <v>#N/A</v>
      </c>
      <c r="O187" s="74" t="e">
        <f t="shared" si="60"/>
        <v>#N/A</v>
      </c>
      <c r="P187" s="74" t="e">
        <f t="shared" si="61"/>
        <v>#N/A</v>
      </c>
      <c r="Q187" s="74" t="e">
        <f t="shared" si="62"/>
        <v>#N/A</v>
      </c>
      <c r="R187" s="74" t="e">
        <f t="shared" si="63"/>
        <v>#N/A</v>
      </c>
      <c r="S187" s="74" t="e">
        <f t="shared" si="64"/>
        <v>#N/A</v>
      </c>
      <c r="T187" s="74" t="e">
        <f t="shared" si="65"/>
        <v>#N/A</v>
      </c>
    </row>
    <row r="188" spans="1:20">
      <c r="A188" s="74">
        <f>'Product Mix'!A186</f>
        <v>181</v>
      </c>
      <c r="B188" s="74" t="str">
        <f>'Product Mix'!B186</f>
        <v>Cafel sol</v>
      </c>
      <c r="C188" s="74" t="str">
        <f>'Product Mix'!C186</f>
        <v>Cafe</v>
      </c>
      <c r="D188" s="770">
        <f>'Product Mix'!D186</f>
        <v>0</v>
      </c>
      <c r="E188" s="771">
        <f>'Product Mix'!H186</f>
        <v>0</v>
      </c>
      <c r="F188" s="771">
        <f>'Product Mix'!J186</f>
        <v>0</v>
      </c>
      <c r="G188" s="771">
        <f>'Product Mix'!O186</f>
        <v>0</v>
      </c>
      <c r="H188" s="759">
        <f>'Product Mix'!F186</f>
        <v>0</v>
      </c>
      <c r="I188" s="74" t="str">
        <f t="shared" si="55"/>
        <v>-</v>
      </c>
      <c r="J188" s="74" t="str">
        <f t="shared" si="56"/>
        <v>-</v>
      </c>
      <c r="K188" s="74" t="str">
        <f t="shared" si="57"/>
        <v>-</v>
      </c>
      <c r="L188" s="74"/>
      <c r="M188" s="74" t="e">
        <f t="shared" si="58"/>
        <v>#N/A</v>
      </c>
      <c r="N188" s="74" t="e">
        <f t="shared" si="59"/>
        <v>#N/A</v>
      </c>
      <c r="O188" s="74" t="e">
        <f t="shared" si="60"/>
        <v>#N/A</v>
      </c>
      <c r="P188" s="74" t="e">
        <f t="shared" si="61"/>
        <v>#N/A</v>
      </c>
      <c r="Q188" s="74" t="e">
        <f t="shared" si="62"/>
        <v>#N/A</v>
      </c>
      <c r="R188" s="74" t="e">
        <f t="shared" si="63"/>
        <v>#N/A</v>
      </c>
      <c r="S188" s="74" t="e">
        <f t="shared" si="64"/>
        <v>#N/A</v>
      </c>
      <c r="T188" s="74" t="e">
        <f t="shared" si="65"/>
        <v>#N/A</v>
      </c>
    </row>
    <row r="189" spans="1:20">
      <c r="A189" s="74">
        <f>'Product Mix'!A187</f>
        <v>182</v>
      </c>
      <c r="B189" s="74" t="str">
        <f>'Product Mix'!B187</f>
        <v>Cafè americà</v>
      </c>
      <c r="C189" s="74" t="str">
        <f>'Product Mix'!C187</f>
        <v>Café</v>
      </c>
      <c r="D189" s="770">
        <f>'Product Mix'!D187</f>
        <v>1</v>
      </c>
      <c r="E189" s="771">
        <f>'Product Mix'!H187</f>
        <v>1.68</v>
      </c>
      <c r="F189" s="771">
        <f>'Product Mix'!J187</f>
        <v>0.26</v>
      </c>
      <c r="G189" s="771">
        <f>'Product Mix'!O187</f>
        <v>1.42</v>
      </c>
      <c r="H189" s="759">
        <f>'Product Mix'!F187</f>
        <v>5.4764512595837896E-4</v>
      </c>
      <c r="I189" s="74" t="str">
        <f t="shared" si="55"/>
        <v>BAJA</v>
      </c>
      <c r="J189" s="74" t="str">
        <f t="shared" si="56"/>
        <v>BAJA</v>
      </c>
      <c r="K189" s="74" t="str">
        <f t="shared" si="57"/>
        <v>🐶 Perro</v>
      </c>
      <c r="L189" s="74"/>
      <c r="M189" s="74" t="e">
        <f t="shared" si="58"/>
        <v>#N/A</v>
      </c>
      <c r="N189" s="74" t="e">
        <f t="shared" si="59"/>
        <v>#N/A</v>
      </c>
      <c r="O189" s="74" t="e">
        <f t="shared" si="60"/>
        <v>#N/A</v>
      </c>
      <c r="P189" s="74" t="e">
        <f t="shared" si="61"/>
        <v>#N/A</v>
      </c>
      <c r="Q189" s="74" t="e">
        <f t="shared" si="62"/>
        <v>#N/A</v>
      </c>
      <c r="R189" s="74" t="e">
        <f t="shared" si="63"/>
        <v>#N/A</v>
      </c>
      <c r="S189" s="74">
        <f t="shared" si="64"/>
        <v>1.42</v>
      </c>
      <c r="T189" s="74">
        <f t="shared" si="65"/>
        <v>5.4764512595837896E-4</v>
      </c>
    </row>
    <row r="190" spans="1:20">
      <c r="A190" s="74">
        <f>'Product Mix'!A188</f>
        <v>183</v>
      </c>
      <c r="B190" s="74" t="str">
        <f>'Product Mix'!B188</f>
        <v>Licor Herbes : Xarrup</v>
      </c>
      <c r="C190" s="74" t="str">
        <f>'Product Mix'!C188</f>
        <v>Licores</v>
      </c>
      <c r="D190" s="770">
        <f>'Product Mix'!D188</f>
        <v>1</v>
      </c>
      <c r="E190" s="771">
        <f>'Product Mix'!H188</f>
        <v>1.75</v>
      </c>
      <c r="F190" s="771">
        <f>'Product Mix'!J188</f>
        <v>0.56999999999999995</v>
      </c>
      <c r="G190" s="771">
        <f>'Product Mix'!O188</f>
        <v>1.1800000000000002</v>
      </c>
      <c r="H190" s="759">
        <f>'Product Mix'!F188</f>
        <v>5.4764512595837896E-4</v>
      </c>
      <c r="I190" s="74" t="str">
        <f t="shared" si="55"/>
        <v>BAJA</v>
      </c>
      <c r="J190" s="74" t="str">
        <f t="shared" si="56"/>
        <v>BAJA</v>
      </c>
      <c r="K190" s="74" t="str">
        <f t="shared" si="57"/>
        <v>🐶 Perro</v>
      </c>
      <c r="L190" s="74"/>
      <c r="M190" s="74" t="e">
        <f t="shared" si="58"/>
        <v>#N/A</v>
      </c>
      <c r="N190" s="74" t="e">
        <f t="shared" si="59"/>
        <v>#N/A</v>
      </c>
      <c r="O190" s="74" t="e">
        <f t="shared" si="60"/>
        <v>#N/A</v>
      </c>
      <c r="P190" s="74" t="e">
        <f t="shared" si="61"/>
        <v>#N/A</v>
      </c>
      <c r="Q190" s="74" t="e">
        <f t="shared" si="62"/>
        <v>#N/A</v>
      </c>
      <c r="R190" s="74" t="e">
        <f t="shared" si="63"/>
        <v>#N/A</v>
      </c>
      <c r="S190" s="74">
        <f t="shared" si="64"/>
        <v>1.1800000000000002</v>
      </c>
      <c r="T190" s="74">
        <f t="shared" si="65"/>
        <v>5.4764512595837896E-4</v>
      </c>
    </row>
    <row r="191" spans="1:20">
      <c r="A191" s="74">
        <f>'Product Mix'!A189</f>
        <v>184</v>
      </c>
      <c r="B191" s="74" t="str">
        <f>'Product Mix'!B189</f>
        <v>Pastis de mato</v>
      </c>
      <c r="C191" s="74" t="str">
        <f>'Product Mix'!C189</f>
        <v>Postres</v>
      </c>
      <c r="D191" s="770">
        <f>'Product Mix'!D189</f>
        <v>0</v>
      </c>
      <c r="E191" s="771">
        <f>'Product Mix'!H189</f>
        <v>0</v>
      </c>
      <c r="F191" s="771">
        <f>'Product Mix'!J189</f>
        <v>1.08</v>
      </c>
      <c r="G191" s="771">
        <f>'Product Mix'!O189</f>
        <v>0</v>
      </c>
      <c r="H191" s="759">
        <f>'Product Mix'!F189</f>
        <v>0</v>
      </c>
      <c r="I191" s="74" t="str">
        <f t="shared" si="55"/>
        <v>-</v>
      </c>
      <c r="J191" s="74" t="str">
        <f t="shared" si="56"/>
        <v>-</v>
      </c>
      <c r="K191" s="74" t="str">
        <f t="shared" si="57"/>
        <v>-</v>
      </c>
      <c r="L191" s="74"/>
      <c r="M191" s="74" t="e">
        <f t="shared" si="58"/>
        <v>#N/A</v>
      </c>
      <c r="N191" s="74" t="e">
        <f t="shared" si="59"/>
        <v>#N/A</v>
      </c>
      <c r="O191" s="74" t="e">
        <f t="shared" si="60"/>
        <v>#N/A</v>
      </c>
      <c r="P191" s="74" t="e">
        <f t="shared" si="61"/>
        <v>#N/A</v>
      </c>
      <c r="Q191" s="74" t="e">
        <f t="shared" si="62"/>
        <v>#N/A</v>
      </c>
      <c r="R191" s="74" t="e">
        <f t="shared" si="63"/>
        <v>#N/A</v>
      </c>
      <c r="S191" s="74" t="e">
        <f t="shared" si="64"/>
        <v>#N/A</v>
      </c>
      <c r="T191" s="74" t="e">
        <f t="shared" si="65"/>
        <v>#N/A</v>
      </c>
    </row>
    <row r="192" spans="1:20">
      <c r="A192" s="74">
        <f>'Product Mix'!A190</f>
        <v>185</v>
      </c>
      <c r="B192" s="74" t="str">
        <f>'Product Mix'!B190</f>
        <v>Provolone i botifarro</v>
      </c>
      <c r="C192" s="74" t="str">
        <f>'Product Mix'!C190</f>
        <v>Tapas Calientes</v>
      </c>
      <c r="D192" s="770">
        <f>'Product Mix'!D190</f>
        <v>5</v>
      </c>
      <c r="E192" s="771">
        <f>'Product Mix'!H190</f>
        <v>9.8000000000000007</v>
      </c>
      <c r="F192" s="771">
        <f>'Product Mix'!J190</f>
        <v>1.88</v>
      </c>
      <c r="G192" s="771">
        <f>'Product Mix'!O190</f>
        <v>7.92</v>
      </c>
      <c r="H192" s="759">
        <f>'Product Mix'!F190</f>
        <v>2.7382256297918948E-3</v>
      </c>
      <c r="I192" s="74" t="str">
        <f t="shared" si="55"/>
        <v>BAJA</v>
      </c>
      <c r="J192" s="74" t="str">
        <f t="shared" si="56"/>
        <v>ALTA</v>
      </c>
      <c r="K192" s="74" t="str">
        <f t="shared" si="57"/>
        <v>🧩 Puzzle</v>
      </c>
      <c r="L192" s="74"/>
      <c r="M192" s="74" t="e">
        <f t="shared" si="58"/>
        <v>#N/A</v>
      </c>
      <c r="N192" s="74" t="e">
        <f t="shared" si="59"/>
        <v>#N/A</v>
      </c>
      <c r="O192" s="74" t="e">
        <f t="shared" si="60"/>
        <v>#N/A</v>
      </c>
      <c r="P192" s="74" t="e">
        <f t="shared" si="61"/>
        <v>#N/A</v>
      </c>
      <c r="Q192" s="74">
        <f t="shared" si="62"/>
        <v>7.92</v>
      </c>
      <c r="R192" s="74">
        <f t="shared" si="63"/>
        <v>2.7382256297918948E-3</v>
      </c>
      <c r="S192" s="74" t="e">
        <f t="shared" si="64"/>
        <v>#N/A</v>
      </c>
      <c r="T192" s="74" t="e">
        <f t="shared" si="65"/>
        <v>#N/A</v>
      </c>
    </row>
    <row r="193" spans="1:20">
      <c r="A193" s="74">
        <f>'Product Mix'!A191</f>
        <v>186</v>
      </c>
      <c r="B193" s="74" t="str">
        <f>'Product Mix'!B191</f>
        <v>Gelat variat</v>
      </c>
      <c r="C193" s="74" t="str">
        <f>'Product Mix'!C191</f>
        <v>Postres</v>
      </c>
      <c r="D193" s="770">
        <f>'Product Mix'!D191</f>
        <v>0</v>
      </c>
      <c r="E193" s="771">
        <f>'Product Mix'!H191</f>
        <v>0</v>
      </c>
      <c r="F193" s="771">
        <f>'Product Mix'!J191</f>
        <v>0.53</v>
      </c>
      <c r="G193" s="771">
        <f>'Product Mix'!O191</f>
        <v>0</v>
      </c>
      <c r="H193" s="759">
        <f>'Product Mix'!F191</f>
        <v>0</v>
      </c>
      <c r="I193" s="74" t="str">
        <f t="shared" si="55"/>
        <v>-</v>
      </c>
      <c r="J193" s="74" t="str">
        <f t="shared" si="56"/>
        <v>-</v>
      </c>
      <c r="K193" s="74" t="str">
        <f t="shared" si="57"/>
        <v>-</v>
      </c>
      <c r="L193" s="74"/>
      <c r="M193" s="74" t="e">
        <f t="shared" si="58"/>
        <v>#N/A</v>
      </c>
      <c r="N193" s="74" t="e">
        <f t="shared" si="59"/>
        <v>#N/A</v>
      </c>
      <c r="O193" s="74" t="e">
        <f t="shared" si="60"/>
        <v>#N/A</v>
      </c>
      <c r="P193" s="74" t="e">
        <f t="shared" si="61"/>
        <v>#N/A</v>
      </c>
      <c r="Q193" s="74" t="e">
        <f t="shared" si="62"/>
        <v>#N/A</v>
      </c>
      <c r="R193" s="74" t="e">
        <f t="shared" si="63"/>
        <v>#N/A</v>
      </c>
      <c r="S193" s="74" t="e">
        <f t="shared" si="64"/>
        <v>#N/A</v>
      </c>
      <c r="T193" s="74" t="e">
        <f t="shared" si="65"/>
        <v>#N/A</v>
      </c>
    </row>
    <row r="194" spans="1:20">
      <c r="A194" s="74">
        <f>'Product Mix'!A192</f>
        <v>187</v>
      </c>
      <c r="B194" s="74" t="str">
        <f>'Product Mix'!B192</f>
        <v>Ous amb Botifarrò</v>
      </c>
      <c r="C194" s="74" t="str">
        <f>'Product Mix'!C192</f>
        <v>Huevos estrellados</v>
      </c>
      <c r="D194" s="770">
        <f>'Product Mix'!D192</f>
        <v>1</v>
      </c>
      <c r="E194" s="771">
        <f>'Product Mix'!H192</f>
        <v>9</v>
      </c>
      <c r="F194" s="771">
        <f>'Product Mix'!J192</f>
        <v>1.66</v>
      </c>
      <c r="G194" s="771">
        <f>'Product Mix'!O192</f>
        <v>7.34</v>
      </c>
      <c r="H194" s="759">
        <f>'Product Mix'!F192</f>
        <v>5.4764512595837896E-4</v>
      </c>
      <c r="I194" s="74" t="str">
        <f t="shared" si="55"/>
        <v>BAJA</v>
      </c>
      <c r="J194" s="74" t="str">
        <f t="shared" si="56"/>
        <v>ALTA</v>
      </c>
      <c r="K194" s="74" t="str">
        <f t="shared" si="57"/>
        <v>🧩 Puzzle</v>
      </c>
      <c r="L194" s="74"/>
      <c r="M194" s="74" t="e">
        <f t="shared" si="58"/>
        <v>#N/A</v>
      </c>
      <c r="N194" s="74" t="e">
        <f t="shared" si="59"/>
        <v>#N/A</v>
      </c>
      <c r="O194" s="74" t="e">
        <f t="shared" si="60"/>
        <v>#N/A</v>
      </c>
      <c r="P194" s="74" t="e">
        <f t="shared" si="61"/>
        <v>#N/A</v>
      </c>
      <c r="Q194" s="74">
        <f t="shared" si="62"/>
        <v>7.34</v>
      </c>
      <c r="R194" s="74">
        <f t="shared" si="63"/>
        <v>5.4764512595837896E-4</v>
      </c>
      <c r="S194" s="74" t="e">
        <f t="shared" si="64"/>
        <v>#N/A</v>
      </c>
      <c r="T194" s="74" t="e">
        <f t="shared" si="65"/>
        <v>#N/A</v>
      </c>
    </row>
    <row r="195" spans="1:20">
      <c r="A195" s="74">
        <f>'Product Mix'!A193</f>
        <v>188</v>
      </c>
      <c r="B195" s="74" t="str">
        <f>'Product Mix'!B193</f>
        <v>Trina</v>
      </c>
      <c r="C195" s="74" t="str">
        <f>'Product Mix'!C193</f>
        <v>Refrescos</v>
      </c>
      <c r="D195" s="770">
        <f>'Product Mix'!D193</f>
        <v>0</v>
      </c>
      <c r="E195" s="771">
        <f>'Product Mix'!H193</f>
        <v>0</v>
      </c>
      <c r="F195" s="771">
        <f>'Product Mix'!J193</f>
        <v>0.33</v>
      </c>
      <c r="G195" s="771">
        <f>'Product Mix'!O193</f>
        <v>0</v>
      </c>
      <c r="H195" s="759">
        <f>'Product Mix'!F193</f>
        <v>0</v>
      </c>
      <c r="I195" s="74" t="str">
        <f t="shared" si="55"/>
        <v>-</v>
      </c>
      <c r="J195" s="74" t="str">
        <f t="shared" si="56"/>
        <v>-</v>
      </c>
      <c r="K195" s="74" t="str">
        <f t="shared" si="57"/>
        <v>-</v>
      </c>
      <c r="L195" s="74"/>
      <c r="M195" s="74" t="e">
        <f t="shared" si="58"/>
        <v>#N/A</v>
      </c>
      <c r="N195" s="74" t="e">
        <f t="shared" si="59"/>
        <v>#N/A</v>
      </c>
      <c r="O195" s="74" t="e">
        <f t="shared" si="60"/>
        <v>#N/A</v>
      </c>
      <c r="P195" s="74" t="e">
        <f t="shared" si="61"/>
        <v>#N/A</v>
      </c>
      <c r="Q195" s="74" t="e">
        <f t="shared" si="62"/>
        <v>#N/A</v>
      </c>
      <c r="R195" s="74" t="e">
        <f t="shared" si="63"/>
        <v>#N/A</v>
      </c>
      <c r="S195" s="74" t="e">
        <f t="shared" si="64"/>
        <v>#N/A</v>
      </c>
      <c r="T195" s="74" t="e">
        <f t="shared" si="65"/>
        <v>#N/A</v>
      </c>
    </row>
    <row r="196" spans="1:20">
      <c r="A196" s="74">
        <f>'Product Mix'!A194</f>
        <v>189</v>
      </c>
      <c r="B196" s="74" t="str">
        <f>'Product Mix'!B194</f>
        <v>Aigua gas Mn</v>
      </c>
      <c r="C196" s="74" t="str">
        <f>'Product Mix'!C194</f>
        <v>Refrescos</v>
      </c>
      <c r="D196" s="770">
        <f>'Product Mix'!D194</f>
        <v>2</v>
      </c>
      <c r="E196" s="771">
        <f>'Product Mix'!H194</f>
        <v>0</v>
      </c>
      <c r="F196" s="771">
        <f>'Product Mix'!J194</f>
        <v>0.11</v>
      </c>
      <c r="G196" s="771">
        <f>'Product Mix'!O194</f>
        <v>-0.11</v>
      </c>
      <c r="H196" s="759">
        <f>'Product Mix'!F194</f>
        <v>1.0952902519167579E-3</v>
      </c>
      <c r="I196" s="74" t="str">
        <f t="shared" si="55"/>
        <v>BAJA</v>
      </c>
      <c r="J196" s="74" t="str">
        <f t="shared" si="56"/>
        <v>BAJA</v>
      </c>
      <c r="K196" s="74" t="str">
        <f t="shared" si="57"/>
        <v>🐶 Perro</v>
      </c>
      <c r="L196" s="74"/>
      <c r="M196" s="74" t="e">
        <f t="shared" si="58"/>
        <v>#N/A</v>
      </c>
      <c r="N196" s="74" t="e">
        <f t="shared" si="59"/>
        <v>#N/A</v>
      </c>
      <c r="O196" s="74" t="e">
        <f t="shared" si="60"/>
        <v>#N/A</v>
      </c>
      <c r="P196" s="74" t="e">
        <f t="shared" si="61"/>
        <v>#N/A</v>
      </c>
      <c r="Q196" s="74" t="e">
        <f t="shared" si="62"/>
        <v>#N/A</v>
      </c>
      <c r="R196" s="74" t="e">
        <f t="shared" si="63"/>
        <v>#N/A</v>
      </c>
      <c r="S196" s="74">
        <f t="shared" si="64"/>
        <v>-0.11</v>
      </c>
      <c r="T196" s="74">
        <f t="shared" si="65"/>
        <v>1.0952902519167579E-3</v>
      </c>
    </row>
    <row r="197" spans="1:20">
      <c r="A197" s="74">
        <f>'Product Mix'!A195</f>
        <v>190</v>
      </c>
      <c r="B197" s="74" t="str">
        <f>'Product Mix'!B195</f>
        <v>FUZE TEA MARACUYA</v>
      </c>
      <c r="C197" s="74" t="str">
        <f>'Product Mix'!C195</f>
        <v>Refrescos</v>
      </c>
      <c r="D197" s="770">
        <f>'Product Mix'!D195</f>
        <v>2</v>
      </c>
      <c r="E197" s="771">
        <f>'Product Mix'!H195</f>
        <v>2.41</v>
      </c>
      <c r="F197" s="771">
        <f>'Product Mix'!J195</f>
        <v>0</v>
      </c>
      <c r="G197" s="771">
        <f>'Product Mix'!O195</f>
        <v>2.41</v>
      </c>
      <c r="H197" s="759">
        <f>'Product Mix'!F195</f>
        <v>1.0952902519167579E-3</v>
      </c>
      <c r="I197" s="74" t="str">
        <f t="shared" si="55"/>
        <v>BAJA</v>
      </c>
      <c r="J197" s="74" t="str">
        <f t="shared" si="56"/>
        <v>BAJA</v>
      </c>
      <c r="K197" s="74" t="str">
        <f t="shared" si="57"/>
        <v>🐶 Perro</v>
      </c>
      <c r="L197" s="74"/>
      <c r="M197" s="74" t="e">
        <f t="shared" si="58"/>
        <v>#N/A</v>
      </c>
      <c r="N197" s="74" t="e">
        <f t="shared" si="59"/>
        <v>#N/A</v>
      </c>
      <c r="O197" s="74" t="e">
        <f t="shared" si="60"/>
        <v>#N/A</v>
      </c>
      <c r="P197" s="74" t="e">
        <f t="shared" si="61"/>
        <v>#N/A</v>
      </c>
      <c r="Q197" s="74" t="e">
        <f t="shared" si="62"/>
        <v>#N/A</v>
      </c>
      <c r="R197" s="74" t="e">
        <f t="shared" si="63"/>
        <v>#N/A</v>
      </c>
      <c r="S197" s="74">
        <f t="shared" si="64"/>
        <v>2.41</v>
      </c>
      <c r="T197" s="74">
        <f t="shared" si="65"/>
        <v>1.0952902519167579E-3</v>
      </c>
    </row>
    <row r="198" spans="1:20">
      <c r="A198" s="74">
        <f>'Product Mix'!A196</f>
        <v>191</v>
      </c>
      <c r="B198" s="74" t="str">
        <f>'Product Mix'!B196</f>
        <v>Filet de lluç a l’andalusa</v>
      </c>
      <c r="C198" s="74" t="str">
        <f>'Product Mix'!C196</f>
        <v>Menu Segundos</v>
      </c>
      <c r="D198" s="770">
        <f>'Product Mix'!D196</f>
        <v>0</v>
      </c>
      <c r="E198" s="771">
        <f>'Product Mix'!H196</f>
        <v>0</v>
      </c>
      <c r="F198" s="771">
        <f>'Product Mix'!J196</f>
        <v>0</v>
      </c>
      <c r="G198" s="771">
        <f>'Product Mix'!O196</f>
        <v>0</v>
      </c>
      <c r="H198" s="759">
        <f>'Product Mix'!F196</f>
        <v>0</v>
      </c>
      <c r="I198" s="74" t="str">
        <f t="shared" si="55"/>
        <v>-</v>
      </c>
      <c r="J198" s="74" t="str">
        <f t="shared" si="56"/>
        <v>-</v>
      </c>
      <c r="K198" s="74" t="str">
        <f t="shared" si="57"/>
        <v>-</v>
      </c>
      <c r="L198" s="74"/>
      <c r="M198" s="74" t="e">
        <f t="shared" si="58"/>
        <v>#N/A</v>
      </c>
      <c r="N198" s="74" t="e">
        <f t="shared" si="59"/>
        <v>#N/A</v>
      </c>
      <c r="O198" s="74" t="e">
        <f t="shared" si="60"/>
        <v>#N/A</v>
      </c>
      <c r="P198" s="74" t="e">
        <f t="shared" si="61"/>
        <v>#N/A</v>
      </c>
      <c r="Q198" s="74" t="e">
        <f t="shared" si="62"/>
        <v>#N/A</v>
      </c>
      <c r="R198" s="74" t="e">
        <f t="shared" si="63"/>
        <v>#N/A</v>
      </c>
      <c r="S198" s="74" t="e">
        <f t="shared" si="64"/>
        <v>#N/A</v>
      </c>
      <c r="T198" s="74" t="e">
        <f t="shared" si="65"/>
        <v>#N/A</v>
      </c>
    </row>
    <row r="199" spans="1:20">
      <c r="A199" s="74">
        <f>'Product Mix'!A197</f>
        <v>192</v>
      </c>
      <c r="B199" s="74" t="str">
        <f>'Product Mix'!B197</f>
        <v>Pates Rf</v>
      </c>
      <c r="C199" s="74" t="str">
        <f>'Product Mix'!C197</f>
        <v>Suplementos</v>
      </c>
      <c r="D199" s="770">
        <f>'Product Mix'!D197</f>
        <v>1</v>
      </c>
      <c r="E199" s="771">
        <f>'Product Mix'!H197</f>
        <v>2.73</v>
      </c>
      <c r="F199" s="771">
        <f>'Product Mix'!J197</f>
        <v>0.16</v>
      </c>
      <c r="G199" s="771">
        <f>'Product Mix'!O197</f>
        <v>2.57</v>
      </c>
      <c r="H199" s="759">
        <f>'Product Mix'!F197</f>
        <v>5.4764512595837896E-4</v>
      </c>
      <c r="I199" s="74" t="str">
        <f t="shared" si="55"/>
        <v>BAJA</v>
      </c>
      <c r="J199" s="74" t="str">
        <f t="shared" si="56"/>
        <v>BAJA</v>
      </c>
      <c r="K199" s="74" t="str">
        <f t="shared" si="57"/>
        <v>🐶 Perro</v>
      </c>
      <c r="L199" s="74"/>
      <c r="M199" s="74" t="e">
        <f t="shared" si="58"/>
        <v>#N/A</v>
      </c>
      <c r="N199" s="74" t="e">
        <f t="shared" si="59"/>
        <v>#N/A</v>
      </c>
      <c r="O199" s="74" t="e">
        <f t="shared" si="60"/>
        <v>#N/A</v>
      </c>
      <c r="P199" s="74" t="e">
        <f t="shared" si="61"/>
        <v>#N/A</v>
      </c>
      <c r="Q199" s="74" t="e">
        <f t="shared" si="62"/>
        <v>#N/A</v>
      </c>
      <c r="R199" s="74" t="e">
        <f t="shared" si="63"/>
        <v>#N/A</v>
      </c>
      <c r="S199" s="74">
        <f t="shared" si="64"/>
        <v>2.57</v>
      </c>
      <c r="T199" s="74">
        <f t="shared" si="65"/>
        <v>5.4764512595837896E-4</v>
      </c>
    </row>
    <row r="200" spans="1:20">
      <c r="A200" s="74">
        <f>'Product Mix'!A198</f>
        <v>193</v>
      </c>
      <c r="B200" s="74" t="str">
        <f>'Product Mix'!B198</f>
        <v>fanta limon vr35</v>
      </c>
      <c r="C200" s="74" t="str">
        <f>'Product Mix'!C198</f>
        <v>Refrescos</v>
      </c>
      <c r="D200" s="770">
        <f>'Product Mix'!D198</f>
        <v>0</v>
      </c>
      <c r="E200" s="771">
        <f>'Product Mix'!H198</f>
        <v>0</v>
      </c>
      <c r="F200" s="771">
        <f>'Product Mix'!J198</f>
        <v>0</v>
      </c>
      <c r="G200" s="771">
        <f>'Product Mix'!O198</f>
        <v>0</v>
      </c>
      <c r="H200" s="759">
        <f>'Product Mix'!F198</f>
        <v>0</v>
      </c>
      <c r="I200" s="74" t="str">
        <f t="shared" ref="I200:I207" si="66">IF(D200=0,"-",IF(H200&gt;=$E$5,"ALTA","BAJA"))</f>
        <v>-</v>
      </c>
      <c r="J200" s="74" t="str">
        <f t="shared" ref="J200:J207" si="67">IF(D200=0,"-",IF(G200&gt;=$D$5,"ALTA","BAJA"))</f>
        <v>-</v>
      </c>
      <c r="K200" s="74" t="str">
        <f t="shared" ref="K200:K207" si="68">IF(D200=0,"-",IF(AND(I200="ALTA",J200="ALTA"),"⭐ Estrella",IF(AND(I200="ALTA",J200="BAJA"),"🐎 Caballo",IF(AND(I200="BAJA",J200="ALTA"),"🧩 Puzzle","🐶 Perro"))))</f>
        <v>-</v>
      </c>
      <c r="L200" s="74"/>
      <c r="M200" s="74" t="e">
        <f t="shared" ref="M200:M207" si="69">IF(ISNUMBER(SEARCH("Estrella",K200)),G200,NA())</f>
        <v>#N/A</v>
      </c>
      <c r="N200" s="74" t="e">
        <f t="shared" ref="N200:N207" si="70">IF(ISNUMBER(SEARCH("Estrella",K200)),H200,NA())</f>
        <v>#N/A</v>
      </c>
      <c r="O200" s="74" t="e">
        <f t="shared" ref="O200:O207" si="71">IF(ISNUMBER(SEARCH("Caballo",K200)),G200,NA())</f>
        <v>#N/A</v>
      </c>
      <c r="P200" s="74" t="e">
        <f t="shared" ref="P200:P207" si="72">IF(ISNUMBER(SEARCH("Caballo",K200)),H200,NA())</f>
        <v>#N/A</v>
      </c>
      <c r="Q200" s="74" t="e">
        <f t="shared" ref="Q200:Q207" si="73">IF(ISNUMBER(SEARCH("Puzzle",K200)),G200,NA())</f>
        <v>#N/A</v>
      </c>
      <c r="R200" s="74" t="e">
        <f t="shared" ref="R200:R207" si="74">IF(ISNUMBER(SEARCH("Puzzle",K200)),H200,NA())</f>
        <v>#N/A</v>
      </c>
      <c r="S200" s="74" t="e">
        <f t="shared" ref="S200:S207" si="75">IF(ISNUMBER(SEARCH("Perro",K200)),G200,NA())</f>
        <v>#N/A</v>
      </c>
      <c r="T200" s="74" t="e">
        <f t="shared" ref="T200:T207" si="76">IF(ISNUMBER(SEARCH("Perro",K200)),H200,NA())</f>
        <v>#N/A</v>
      </c>
    </row>
    <row r="201" spans="1:20">
      <c r="A201" s="74">
        <f>'Product Mix'!A199</f>
        <v>194</v>
      </c>
      <c r="B201" s="74" t="str">
        <f>'Product Mix'!B199</f>
        <v>1/2 Entrepa Truita Patates</v>
      </c>
      <c r="C201" s="74" t="str">
        <f>'Product Mix'!C199</f>
        <v>Bocadillos Calientes</v>
      </c>
      <c r="D201" s="770">
        <f>'Product Mix'!D199</f>
        <v>1</v>
      </c>
      <c r="E201" s="771">
        <f>'Product Mix'!H199</f>
        <v>3.5</v>
      </c>
      <c r="F201" s="771">
        <f>'Product Mix'!J199</f>
        <v>0.32</v>
      </c>
      <c r="G201" s="771">
        <f>'Product Mix'!O199</f>
        <v>3.18</v>
      </c>
      <c r="H201" s="759">
        <f>'Product Mix'!F199</f>
        <v>5.4764512595837896E-4</v>
      </c>
      <c r="I201" s="74" t="str">
        <f t="shared" si="66"/>
        <v>BAJA</v>
      </c>
      <c r="J201" s="74" t="str">
        <f t="shared" si="67"/>
        <v>BAJA</v>
      </c>
      <c r="K201" s="74" t="str">
        <f t="shared" si="68"/>
        <v>🐶 Perro</v>
      </c>
      <c r="L201" s="74"/>
      <c r="M201" s="74" t="e">
        <f t="shared" si="69"/>
        <v>#N/A</v>
      </c>
      <c r="N201" s="74" t="e">
        <f t="shared" si="70"/>
        <v>#N/A</v>
      </c>
      <c r="O201" s="74" t="e">
        <f t="shared" si="71"/>
        <v>#N/A</v>
      </c>
      <c r="P201" s="74" t="e">
        <f t="shared" si="72"/>
        <v>#N/A</v>
      </c>
      <c r="Q201" s="74" t="e">
        <f t="shared" si="73"/>
        <v>#N/A</v>
      </c>
      <c r="R201" s="74" t="e">
        <f t="shared" si="74"/>
        <v>#N/A</v>
      </c>
      <c r="S201" s="74">
        <f t="shared" si="75"/>
        <v>3.18</v>
      </c>
      <c r="T201" s="74">
        <f t="shared" si="76"/>
        <v>5.4764512595837896E-4</v>
      </c>
    </row>
    <row r="202" spans="1:20">
      <c r="A202" s="74">
        <f>'Product Mix'!A200</f>
        <v>195</v>
      </c>
      <c r="B202" s="74" t="str">
        <f>'Product Mix'!B200</f>
        <v>Arròs a la cubana amb plàtan</v>
      </c>
      <c r="C202" s="74" t="str">
        <f>'Product Mix'!C200</f>
        <v>Menu Primeros</v>
      </c>
      <c r="D202" s="770">
        <f>'Product Mix'!D200</f>
        <v>0</v>
      </c>
      <c r="E202" s="771">
        <f>'Product Mix'!H200</f>
        <v>0</v>
      </c>
      <c r="F202" s="771">
        <f>'Product Mix'!J200</f>
        <v>0</v>
      </c>
      <c r="G202" s="771">
        <f>'Product Mix'!O200</f>
        <v>0</v>
      </c>
      <c r="H202" s="759">
        <f>'Product Mix'!F200</f>
        <v>0</v>
      </c>
      <c r="I202" s="74" t="str">
        <f t="shared" si="66"/>
        <v>-</v>
      </c>
      <c r="J202" s="74" t="str">
        <f t="shared" si="67"/>
        <v>-</v>
      </c>
      <c r="K202" s="74" t="str">
        <f t="shared" si="68"/>
        <v>-</v>
      </c>
      <c r="L202" s="74"/>
      <c r="M202" s="74" t="e">
        <f t="shared" si="69"/>
        <v>#N/A</v>
      </c>
      <c r="N202" s="74" t="e">
        <f t="shared" si="70"/>
        <v>#N/A</v>
      </c>
      <c r="O202" s="74" t="e">
        <f t="shared" si="71"/>
        <v>#N/A</v>
      </c>
      <c r="P202" s="74" t="e">
        <f t="shared" si="72"/>
        <v>#N/A</v>
      </c>
      <c r="Q202" s="74" t="e">
        <f t="shared" si="73"/>
        <v>#N/A</v>
      </c>
      <c r="R202" s="74" t="e">
        <f t="shared" si="74"/>
        <v>#N/A</v>
      </c>
      <c r="S202" s="74" t="e">
        <f t="shared" si="75"/>
        <v>#N/A</v>
      </c>
      <c r="T202" s="74" t="e">
        <f t="shared" si="76"/>
        <v>#N/A</v>
      </c>
    </row>
    <row r="203" spans="1:20">
      <c r="A203" s="74">
        <f>'Product Mix'!A201</f>
        <v>196</v>
      </c>
      <c r="B203" s="74" t="str">
        <f>'Product Mix'!B201</f>
        <v>Conca Barbera Negre Copa</v>
      </c>
      <c r="C203" s="74" t="str">
        <f>'Product Mix'!C201</f>
        <v>Vinos</v>
      </c>
      <c r="D203" s="770">
        <f>'Product Mix'!D201</f>
        <v>0</v>
      </c>
      <c r="E203" s="771">
        <f>'Product Mix'!H201</f>
        <v>0</v>
      </c>
      <c r="F203" s="771">
        <f>'Product Mix'!J201</f>
        <v>0.66</v>
      </c>
      <c r="G203" s="771">
        <f>'Product Mix'!O201</f>
        <v>0</v>
      </c>
      <c r="H203" s="759">
        <f>'Product Mix'!F201</f>
        <v>0</v>
      </c>
      <c r="I203" s="74" t="str">
        <f t="shared" si="66"/>
        <v>-</v>
      </c>
      <c r="J203" s="74" t="str">
        <f t="shared" si="67"/>
        <v>-</v>
      </c>
      <c r="K203" s="74" t="str">
        <f t="shared" si="68"/>
        <v>-</v>
      </c>
      <c r="L203" s="74"/>
      <c r="M203" s="74" t="e">
        <f t="shared" si="69"/>
        <v>#N/A</v>
      </c>
      <c r="N203" s="74" t="e">
        <f t="shared" si="70"/>
        <v>#N/A</v>
      </c>
      <c r="O203" s="74" t="e">
        <f t="shared" si="71"/>
        <v>#N/A</v>
      </c>
      <c r="P203" s="74" t="e">
        <f t="shared" si="72"/>
        <v>#N/A</v>
      </c>
      <c r="Q203" s="74" t="e">
        <f t="shared" si="73"/>
        <v>#N/A</v>
      </c>
      <c r="R203" s="74" t="e">
        <f t="shared" si="74"/>
        <v>#N/A</v>
      </c>
      <c r="S203" s="74" t="e">
        <f t="shared" si="75"/>
        <v>#N/A</v>
      </c>
      <c r="T203" s="74" t="e">
        <f t="shared" si="76"/>
        <v>#N/A</v>
      </c>
    </row>
    <row r="204" spans="1:20">
      <c r="A204" s="74">
        <f>'Product Mix'!A202</f>
        <v>197</v>
      </c>
      <c r="B204" s="74" t="str">
        <f>'Product Mix'!B202</f>
        <v>Hamburguesa Caprichosa</v>
      </c>
      <c r="C204" s="74" t="str">
        <f>'Product Mix'!C202</f>
        <v>Hamburguesas</v>
      </c>
      <c r="D204" s="770">
        <f>'Product Mix'!D202</f>
        <v>0</v>
      </c>
      <c r="E204" s="771">
        <f>'Product Mix'!H202</f>
        <v>0</v>
      </c>
      <c r="F204" s="771">
        <f>'Product Mix'!J202</f>
        <v>0</v>
      </c>
      <c r="G204" s="771">
        <f>'Product Mix'!O202</f>
        <v>0</v>
      </c>
      <c r="H204" s="759">
        <f>'Product Mix'!F202</f>
        <v>0</v>
      </c>
      <c r="I204" s="74" t="str">
        <f t="shared" si="66"/>
        <v>-</v>
      </c>
      <c r="J204" s="74" t="str">
        <f t="shared" si="67"/>
        <v>-</v>
      </c>
      <c r="K204" s="74" t="str">
        <f t="shared" si="68"/>
        <v>-</v>
      </c>
      <c r="L204" s="74"/>
      <c r="M204" s="74" t="e">
        <f t="shared" si="69"/>
        <v>#N/A</v>
      </c>
      <c r="N204" s="74" t="e">
        <f t="shared" si="70"/>
        <v>#N/A</v>
      </c>
      <c r="O204" s="74" t="e">
        <f t="shared" si="71"/>
        <v>#N/A</v>
      </c>
      <c r="P204" s="74" t="e">
        <f t="shared" si="72"/>
        <v>#N/A</v>
      </c>
      <c r="Q204" s="74" t="e">
        <f t="shared" si="73"/>
        <v>#N/A</v>
      </c>
      <c r="R204" s="74" t="e">
        <f t="shared" si="74"/>
        <v>#N/A</v>
      </c>
      <c r="S204" s="74" t="e">
        <f t="shared" si="75"/>
        <v>#N/A</v>
      </c>
      <c r="T204" s="74" t="e">
        <f t="shared" si="76"/>
        <v>#N/A</v>
      </c>
    </row>
    <row r="205" spans="1:20">
      <c r="A205" s="74">
        <f>'Product Mix'!A203</f>
        <v>198</v>
      </c>
      <c r="B205" s="74" t="str">
        <f>'Product Mix'!B203</f>
        <v>Suc Pressec</v>
      </c>
      <c r="C205" s="74" t="str">
        <f>'Product Mix'!C203</f>
        <v>Refrescos</v>
      </c>
      <c r="D205" s="770">
        <f>'Product Mix'!D203</f>
        <v>4</v>
      </c>
      <c r="E205" s="771">
        <f>'Product Mix'!H203</f>
        <v>2.35</v>
      </c>
      <c r="F205" s="771">
        <f>'Product Mix'!J203</f>
        <v>1.08</v>
      </c>
      <c r="G205" s="771">
        <f>'Product Mix'!O203</f>
        <v>1.27</v>
      </c>
      <c r="H205" s="759">
        <f>'Product Mix'!F203</f>
        <v>2.1905805038335158E-3</v>
      </c>
      <c r="I205" s="74" t="str">
        <f t="shared" si="66"/>
        <v>BAJA</v>
      </c>
      <c r="J205" s="74" t="str">
        <f t="shared" si="67"/>
        <v>BAJA</v>
      </c>
      <c r="K205" s="74" t="str">
        <f t="shared" si="68"/>
        <v>🐶 Perro</v>
      </c>
      <c r="L205" s="74"/>
      <c r="M205" s="74" t="e">
        <f t="shared" si="69"/>
        <v>#N/A</v>
      </c>
      <c r="N205" s="74" t="e">
        <f t="shared" si="70"/>
        <v>#N/A</v>
      </c>
      <c r="O205" s="74" t="e">
        <f t="shared" si="71"/>
        <v>#N/A</v>
      </c>
      <c r="P205" s="74" t="e">
        <f t="shared" si="72"/>
        <v>#N/A</v>
      </c>
      <c r="Q205" s="74" t="e">
        <f t="shared" si="73"/>
        <v>#N/A</v>
      </c>
      <c r="R205" s="74" t="e">
        <f t="shared" si="74"/>
        <v>#N/A</v>
      </c>
      <c r="S205" s="74">
        <f t="shared" si="75"/>
        <v>1.27</v>
      </c>
      <c r="T205" s="74">
        <f t="shared" si="76"/>
        <v>2.1905805038335158E-3</v>
      </c>
    </row>
    <row r="206" spans="1:20">
      <c r="A206" s="74">
        <f>'Product Mix'!A204</f>
        <v>199</v>
      </c>
      <c r="B206" s="74" t="str">
        <f>'Product Mix'!B204</f>
        <v>Amanida Russa</v>
      </c>
      <c r="C206" s="74" t="str">
        <f>'Product Mix'!C204</f>
        <v>Menu Primeros</v>
      </c>
      <c r="D206" s="770">
        <f>'Product Mix'!D204</f>
        <v>0</v>
      </c>
      <c r="E206" s="771">
        <f>'Product Mix'!H204</f>
        <v>0</v>
      </c>
      <c r="F206" s="771">
        <f>'Product Mix'!J204</f>
        <v>1.02</v>
      </c>
      <c r="G206" s="771">
        <f>'Product Mix'!O204</f>
        <v>0</v>
      </c>
      <c r="H206" s="759">
        <f>'Product Mix'!F204</f>
        <v>0</v>
      </c>
      <c r="I206" s="74" t="str">
        <f t="shared" si="66"/>
        <v>-</v>
      </c>
      <c r="J206" s="74" t="str">
        <f t="shared" si="67"/>
        <v>-</v>
      </c>
      <c r="K206" s="74" t="str">
        <f t="shared" si="68"/>
        <v>-</v>
      </c>
      <c r="L206" s="74"/>
      <c r="M206" s="74" t="e">
        <f t="shared" si="69"/>
        <v>#N/A</v>
      </c>
      <c r="N206" s="74" t="e">
        <f t="shared" si="70"/>
        <v>#N/A</v>
      </c>
      <c r="O206" s="74" t="e">
        <f t="shared" si="71"/>
        <v>#N/A</v>
      </c>
      <c r="P206" s="74" t="e">
        <f t="shared" si="72"/>
        <v>#N/A</v>
      </c>
      <c r="Q206" s="74" t="e">
        <f t="shared" si="73"/>
        <v>#N/A</v>
      </c>
      <c r="R206" s="74" t="e">
        <f t="shared" si="74"/>
        <v>#N/A</v>
      </c>
      <c r="S206" s="74" t="e">
        <f t="shared" si="75"/>
        <v>#N/A</v>
      </c>
      <c r="T206" s="74" t="e">
        <f t="shared" si="76"/>
        <v>#N/A</v>
      </c>
    </row>
    <row r="207" spans="1:20" ht="16" customHeight="1" thickBot="1">
      <c r="A207" s="74">
        <f>'Product Mix'!A205</f>
        <v>200</v>
      </c>
      <c r="B207" s="74" t="str">
        <f>'Product Mix'!B205</f>
        <v>Campero</v>
      </c>
      <c r="C207" s="74" t="str">
        <f>'Product Mix'!C205</f>
        <v>Bocadillos especiales</v>
      </c>
      <c r="D207" s="770">
        <f>'Product Mix'!D205</f>
        <v>2</v>
      </c>
      <c r="E207" s="771">
        <f>'Product Mix'!H205</f>
        <v>8.6</v>
      </c>
      <c r="F207" s="771">
        <f>'Product Mix'!J205</f>
        <v>1.9</v>
      </c>
      <c r="G207" s="771">
        <f>'Product Mix'!O205</f>
        <v>6.6999999999999993</v>
      </c>
      <c r="H207" s="759">
        <f>'Product Mix'!F205</f>
        <v>1.0952902519167579E-3</v>
      </c>
      <c r="I207" s="74" t="str">
        <f t="shared" si="66"/>
        <v>BAJA</v>
      </c>
      <c r="J207" s="74" t="str">
        <f t="shared" si="67"/>
        <v>ALTA</v>
      </c>
      <c r="K207" s="74" t="str">
        <f t="shared" si="68"/>
        <v>🧩 Puzzle</v>
      </c>
      <c r="L207" s="74"/>
      <c r="M207" s="74" t="e">
        <f t="shared" si="69"/>
        <v>#N/A</v>
      </c>
      <c r="N207" s="74" t="e">
        <f t="shared" si="70"/>
        <v>#N/A</v>
      </c>
      <c r="O207" s="74" t="e">
        <f t="shared" si="71"/>
        <v>#N/A</v>
      </c>
      <c r="P207" s="74" t="e">
        <f t="shared" si="72"/>
        <v>#N/A</v>
      </c>
      <c r="Q207" s="74">
        <f t="shared" si="73"/>
        <v>6.6999999999999993</v>
      </c>
      <c r="R207" s="74">
        <f t="shared" si="74"/>
        <v>1.0952902519167579E-3</v>
      </c>
      <c r="S207" s="74" t="e">
        <f t="shared" si="75"/>
        <v>#N/A</v>
      </c>
      <c r="T207" s="74" t="e">
        <f t="shared" si="76"/>
        <v>#N/A</v>
      </c>
    </row>
    <row r="208" spans="1:20" ht="16" customHeight="1" thickTop="1">
      <c r="A208" s="331" t="s">
        <v>562</v>
      </c>
      <c r="B208" s="331"/>
      <c r="C208" s="331"/>
      <c r="D208" s="332">
        <f>SUM(D8:D207)</f>
        <v>1826</v>
      </c>
      <c r="E208" s="334">
        <f>IF(D208=0,0,'Product Mix'!E206/D208)</f>
        <v>4.1593592552026273</v>
      </c>
      <c r="F208" s="331"/>
      <c r="G208" s="334">
        <f>IF(D208=0,0,'Product Mix'!K206/D208)</f>
        <v>3.3302792990142409</v>
      </c>
      <c r="H208" s="333">
        <f>SUM(H8:H207)</f>
        <v>1</v>
      </c>
      <c r="I208" s="331"/>
      <c r="J208" s="331"/>
      <c r="K208" s="331"/>
      <c r="L208" s="74"/>
      <c r="M208" s="74"/>
      <c r="N208" s="74"/>
      <c r="O208" s="74"/>
      <c r="P208" s="74"/>
      <c r="Q208" s="74"/>
      <c r="R208" s="74"/>
      <c r="S208" s="74"/>
      <c r="T208" s="74"/>
    </row>
    <row r="210" spans="1:11" ht="19" customHeight="1">
      <c r="A210" s="780" t="s">
        <v>2474</v>
      </c>
      <c r="B210" s="74"/>
      <c r="C210" s="74"/>
      <c r="D210" s="74"/>
      <c r="E210" s="74"/>
      <c r="F210" s="74"/>
      <c r="G210" s="74"/>
      <c r="H210" s="74"/>
      <c r="I210" s="74"/>
      <c r="J210" s="74"/>
      <c r="K210" s="74"/>
    </row>
    <row r="212" spans="1:11">
      <c r="A212" s="804" t="s">
        <v>353</v>
      </c>
      <c r="B212" s="804" t="s">
        <v>2475</v>
      </c>
      <c r="C212" s="804" t="s">
        <v>2347</v>
      </c>
      <c r="D212" s="804" t="s">
        <v>355</v>
      </c>
      <c r="E212" s="804" t="s">
        <v>356</v>
      </c>
      <c r="F212" s="804" t="s">
        <v>357</v>
      </c>
      <c r="G212" s="804" t="s">
        <v>2461</v>
      </c>
      <c r="H212" s="804" t="s">
        <v>359</v>
      </c>
      <c r="I212" s="804" t="s">
        <v>351</v>
      </c>
      <c r="J212" s="804" t="s">
        <v>2476</v>
      </c>
      <c r="K212" s="74"/>
    </row>
    <row r="213" spans="1:11">
      <c r="A213" s="806" t="s">
        <v>2477</v>
      </c>
      <c r="B213" s="807" t="s">
        <v>2478</v>
      </c>
      <c r="C213" s="808">
        <f>COUNTIF(K8:K207,"*Estrella*")</f>
        <v>25</v>
      </c>
      <c r="D213" s="809">
        <f>IF($A$5=0,0,C213/$A$5)</f>
        <v>0.176056338028169</v>
      </c>
      <c r="E213" s="808">
        <f>SUMIF(K$8:K$207,"*Estrella*",D$8:D$207)</f>
        <v>495</v>
      </c>
      <c r="F213" s="809">
        <f>IF($B$5=0,0,E213/$B$5)</f>
        <v>0.27108433734939757</v>
      </c>
      <c r="G213" s="810">
        <f t="array" ref="G213">SUMPRODUCT((ISNUMBER(SEARCH("Estrella",K$8:K$207))*1)*(G$8:G$207)*(D$8:D$207))</f>
        <v>3225.9</v>
      </c>
      <c r="H213" s="809">
        <f>IF($C$5=0,0,G213/$C$5)</f>
        <v>0.53048055529518523</v>
      </c>
      <c r="I213" s="810">
        <f>IF(E213=0,0,G213/E213)</f>
        <v>6.5169696969696975</v>
      </c>
      <c r="J213" s="811" t="s">
        <v>2479</v>
      </c>
      <c r="K213" s="74"/>
    </row>
    <row r="214" spans="1:11">
      <c r="A214" s="812" t="s">
        <v>2480</v>
      </c>
      <c r="B214" s="813" t="s">
        <v>2481</v>
      </c>
      <c r="C214" s="814">
        <f>COUNTIF(K8:K207,"*Caballo*")</f>
        <v>29</v>
      </c>
      <c r="D214" s="815">
        <f>IF($A$5=0,0,C214/$A$5)</f>
        <v>0.20422535211267606</v>
      </c>
      <c r="E214" s="814">
        <f>SUMIF(K$8:K$207,"*Caballo*",D$8:D$207)</f>
        <v>1018</v>
      </c>
      <c r="F214" s="815">
        <f>IF($B$5=0,0,E214/$B$5)</f>
        <v>0.55750273822562979</v>
      </c>
      <c r="G214" s="816">
        <f t="array" ref="G214">SUMPRODUCT((ISNUMBER(SEARCH("Caballo",K$8:K$207))*1)*(G$8:G$207)*(D$8:D$207))</f>
        <v>1547.2899999999997</v>
      </c>
      <c r="H214" s="815">
        <f>IF($C$5=0,0,G214/$C$5)</f>
        <v>0.25444287126156639</v>
      </c>
      <c r="I214" s="816">
        <f>IF(E214=0,0,G214/E214)</f>
        <v>1.5199312377210215</v>
      </c>
      <c r="J214" s="817" t="s">
        <v>2482</v>
      </c>
      <c r="K214" s="74"/>
    </row>
    <row r="215" spans="1:11">
      <c r="A215" s="818" t="s">
        <v>2483</v>
      </c>
      <c r="B215" s="819" t="s">
        <v>2484</v>
      </c>
      <c r="C215" s="820">
        <f>COUNTIF(K8:K207,"*Puzzle*")</f>
        <v>39</v>
      </c>
      <c r="D215" s="821">
        <f>IF($A$5=0,0,C215/$A$5)</f>
        <v>0.27464788732394368</v>
      </c>
      <c r="E215" s="820">
        <f>SUMIF(K$8:K$207,"*Puzzle*",D$8:D$207)</f>
        <v>145</v>
      </c>
      <c r="F215" s="821">
        <f>IF($B$5=0,0,E215/$B$5)</f>
        <v>7.9408543263964945E-2</v>
      </c>
      <c r="G215" s="822">
        <f t="array" ref="G215">SUMPRODUCT((ISNUMBER(SEARCH("Puzzle",K$8:K$207))*1)*(G$8:G$207)*(D$8:D$207))</f>
        <v>1011.3800000000002</v>
      </c>
      <c r="H215" s="821">
        <f>IF($C$5=0,0,G215/$C$5)</f>
        <v>0.16631557829270732</v>
      </c>
      <c r="I215" s="822">
        <f>IF(E215=0,0,G215/E215)</f>
        <v>6.9750344827586224</v>
      </c>
      <c r="J215" s="823" t="s">
        <v>2485</v>
      </c>
      <c r="K215" s="74"/>
    </row>
    <row r="216" spans="1:11">
      <c r="A216" s="824" t="s">
        <v>2486</v>
      </c>
      <c r="B216" s="825" t="s">
        <v>2487</v>
      </c>
      <c r="C216" s="826">
        <f>COUNTIF(K8:K207,"*Perro*")</f>
        <v>49</v>
      </c>
      <c r="D216" s="827">
        <f>IF($A$5=0,0,C216/$A$5)</f>
        <v>0.34507042253521125</v>
      </c>
      <c r="E216" s="826">
        <f>SUMIF(K$8:K$207,"*Perro*",D$8:D$207)</f>
        <v>168</v>
      </c>
      <c r="F216" s="827">
        <f>IF($B$5=0,0,E216/$B$5)</f>
        <v>9.2004381161007662E-2</v>
      </c>
      <c r="G216" s="828">
        <f t="array" ref="G216">SUMPRODUCT((ISNUMBER(SEARCH("Perro",K$8:K$207))*1)*(G$8:G$207)*(D$8:D$207))</f>
        <v>296.52000000000004</v>
      </c>
      <c r="H216" s="827">
        <f>IF($C$5=0,0,G216/$C$5)</f>
        <v>4.8760995150540422E-2</v>
      </c>
      <c r="I216" s="828">
        <f>IF(E216=0,0,G216/E216)</f>
        <v>1.7650000000000001</v>
      </c>
      <c r="J216" s="829" t="s">
        <v>2488</v>
      </c>
      <c r="K216" s="74"/>
    </row>
    <row r="218" spans="1:11" ht="19" customHeight="1">
      <c r="A218" s="780" t="s">
        <v>2489</v>
      </c>
      <c r="B218" s="74"/>
      <c r="C218" s="74"/>
      <c r="D218" s="74"/>
      <c r="E218" s="74"/>
      <c r="F218" s="74"/>
      <c r="G218" s="74"/>
      <c r="H218" s="74"/>
      <c r="I218" s="74"/>
      <c r="J218" s="74"/>
      <c r="K218" s="74"/>
    </row>
    <row r="220" spans="1:11">
      <c r="A220" s="1220" t="s">
        <v>2490</v>
      </c>
      <c r="B220" s="1140"/>
      <c r="C220" s="1140"/>
      <c r="D220" s="1140"/>
      <c r="E220" s="1140"/>
      <c r="F220" s="1140"/>
      <c r="G220" s="1140"/>
      <c r="H220" s="1140"/>
      <c r="I220" s="1140"/>
      <c r="J220" s="1140"/>
      <c r="K220" s="1140"/>
    </row>
    <row r="221" spans="1:11">
      <c r="A221" s="1194" t="s">
        <v>2491</v>
      </c>
      <c r="B221" s="1140"/>
      <c r="C221" s="1140"/>
      <c r="D221" s="1140"/>
      <c r="E221" s="1140"/>
      <c r="F221" s="1140"/>
      <c r="G221" s="1140"/>
      <c r="H221" s="1140"/>
      <c r="I221" s="1140"/>
      <c r="J221" s="1140"/>
      <c r="K221" s="1140"/>
    </row>
    <row r="222" spans="1:11">
      <c r="A222" s="1219" t="s">
        <v>2492</v>
      </c>
      <c r="B222" s="1140"/>
      <c r="C222" s="1140"/>
      <c r="D222" s="1140"/>
      <c r="E222" s="1140"/>
      <c r="F222" s="1140"/>
      <c r="G222" s="1140"/>
      <c r="H222" s="1140"/>
      <c r="I222" s="1140"/>
      <c r="J222" s="1140"/>
      <c r="K222" s="1140"/>
    </row>
    <row r="224" spans="1:11">
      <c r="A224" s="1222" t="s">
        <v>2493</v>
      </c>
      <c r="B224" s="1140"/>
      <c r="C224" s="1140"/>
      <c r="D224" s="1140"/>
      <c r="E224" s="1140"/>
      <c r="F224" s="1140"/>
      <c r="G224" s="1140"/>
      <c r="H224" s="1140"/>
      <c r="I224" s="1140"/>
      <c r="J224" s="1140"/>
      <c r="K224" s="1140"/>
    </row>
    <row r="225" spans="1:11">
      <c r="A225" s="1194" t="s">
        <v>2494</v>
      </c>
      <c r="B225" s="1140"/>
      <c r="C225" s="1140"/>
      <c r="D225" s="1140"/>
      <c r="E225" s="1140"/>
      <c r="F225" s="1140"/>
      <c r="G225" s="1140"/>
      <c r="H225" s="1140"/>
      <c r="I225" s="1140"/>
      <c r="J225" s="1140"/>
      <c r="K225" s="1140"/>
    </row>
    <row r="226" spans="1:11">
      <c r="A226" s="1219" t="s">
        <v>2495</v>
      </c>
      <c r="B226" s="1140"/>
      <c r="C226" s="1140"/>
      <c r="D226" s="1140"/>
      <c r="E226" s="1140"/>
      <c r="F226" s="1140"/>
      <c r="G226" s="1140"/>
      <c r="H226" s="1140"/>
      <c r="I226" s="1140"/>
      <c r="J226" s="1140"/>
      <c r="K226" s="1140"/>
    </row>
    <row r="228" spans="1:11">
      <c r="A228" s="1221" t="s">
        <v>2496</v>
      </c>
      <c r="B228" s="1140"/>
      <c r="C228" s="1140"/>
      <c r="D228" s="1140"/>
      <c r="E228" s="1140"/>
      <c r="F228" s="1140"/>
      <c r="G228" s="1140"/>
      <c r="H228" s="1140"/>
      <c r="I228" s="1140"/>
      <c r="J228" s="1140"/>
      <c r="K228" s="1140"/>
    </row>
    <row r="229" spans="1:11">
      <c r="A229" s="1194" t="s">
        <v>2497</v>
      </c>
      <c r="B229" s="1140"/>
      <c r="C229" s="1140"/>
      <c r="D229" s="1140"/>
      <c r="E229" s="1140"/>
      <c r="F229" s="1140"/>
      <c r="G229" s="1140"/>
      <c r="H229" s="1140"/>
      <c r="I229" s="1140"/>
      <c r="J229" s="1140"/>
      <c r="K229" s="1140"/>
    </row>
    <row r="230" spans="1:11">
      <c r="A230" s="1219" t="s">
        <v>2498</v>
      </c>
      <c r="B230" s="1140"/>
      <c r="C230" s="1140"/>
      <c r="D230" s="1140"/>
      <c r="E230" s="1140"/>
      <c r="F230" s="1140"/>
      <c r="G230" s="1140"/>
      <c r="H230" s="1140"/>
      <c r="I230" s="1140"/>
      <c r="J230" s="1140"/>
      <c r="K230" s="1140"/>
    </row>
    <row r="232" spans="1:11">
      <c r="A232" s="1223" t="s">
        <v>2499</v>
      </c>
      <c r="B232" s="1140"/>
      <c r="C232" s="1140"/>
      <c r="D232" s="1140"/>
      <c r="E232" s="1140"/>
      <c r="F232" s="1140"/>
      <c r="G232" s="1140"/>
      <c r="H232" s="1140"/>
      <c r="I232" s="1140"/>
      <c r="J232" s="1140"/>
      <c r="K232" s="1140"/>
    </row>
    <row r="233" spans="1:11">
      <c r="A233" s="1194" t="s">
        <v>2500</v>
      </c>
      <c r="B233" s="1140"/>
      <c r="C233" s="1140"/>
      <c r="D233" s="1140"/>
      <c r="E233" s="1140"/>
      <c r="F233" s="1140"/>
      <c r="G233" s="1140"/>
      <c r="H233" s="1140"/>
      <c r="I233" s="1140"/>
      <c r="J233" s="1140"/>
      <c r="K233" s="1140"/>
    </row>
    <row r="234" spans="1:11">
      <c r="A234" s="1219" t="s">
        <v>2501</v>
      </c>
      <c r="B234" s="1140"/>
      <c r="C234" s="1140"/>
      <c r="D234" s="1140"/>
      <c r="E234" s="1140"/>
      <c r="F234" s="1140"/>
      <c r="G234" s="1140"/>
      <c r="H234" s="1140"/>
      <c r="I234" s="1140"/>
      <c r="J234" s="1140"/>
      <c r="K234" s="1140"/>
    </row>
  </sheetData>
  <mergeCells count="12">
    <mergeCell ref="A234:K234"/>
    <mergeCell ref="A220:K220"/>
    <mergeCell ref="A228:K228"/>
    <mergeCell ref="A224:K224"/>
    <mergeCell ref="A232:K232"/>
    <mergeCell ref="A226:K226"/>
    <mergeCell ref="A221:K221"/>
    <mergeCell ref="A230:K230"/>
    <mergeCell ref="A222:K222"/>
    <mergeCell ref="A225:K225"/>
    <mergeCell ref="A233:K233"/>
    <mergeCell ref="A229:K229"/>
  </mergeCells>
  <conditionalFormatting sqref="I8:J207">
    <cfRule type="containsText" dxfId="10" priority="5" operator="containsText" text="ALTA">
      <formula>NOT(ISERROR(SEARCH("ALTA",I8)))</formula>
    </cfRule>
    <cfRule type="containsText" dxfId="9" priority="6" operator="containsText" text="BAJA">
      <formula>NOT(ISERROR(SEARCH("BAJA",I8)))</formula>
    </cfRule>
  </conditionalFormatting>
  <conditionalFormatting sqref="K8:K207">
    <cfRule type="containsText" dxfId="8" priority="1" operator="containsText" text="Estrella">
      <formula>NOT(ISERROR(SEARCH("Estrella",K8)))</formula>
    </cfRule>
    <cfRule type="containsText" dxfId="7" priority="2" operator="containsText" text="Caballo">
      <formula>NOT(ISERROR(SEARCH("Caballo",K8)))</formula>
    </cfRule>
    <cfRule type="containsText" dxfId="6" priority="3" operator="containsText" text="Puzzle">
      <formula>NOT(ISERROR(SEARCH("Puzzle",K8)))</formula>
    </cfRule>
    <cfRule type="containsText" dxfId="5" priority="4" operator="containsText" text="Perro">
      <formula>NOT(ISERROR(SEARCH("Perro",K8)))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996"/>
  <sheetViews>
    <sheetView topLeftCell="C1" zoomScale="177" workbookViewId="0">
      <selection activeCell="A3" sqref="A3:I3"/>
    </sheetView>
  </sheetViews>
  <sheetFormatPr baseColWidth="10" defaultColWidth="11.5" defaultRowHeight="15"/>
  <cols>
    <col min="1" max="1" width="22.6640625" customWidth="1"/>
    <col min="2" max="2" width="30" customWidth="1"/>
    <col min="3" max="3" width="20" customWidth="1"/>
    <col min="4" max="4" width="8.33203125" customWidth="1"/>
    <col min="5" max="5" width="14.1640625" customWidth="1"/>
    <col min="6" max="6" width="33.33203125" customWidth="1"/>
    <col min="7" max="7" width="15" customWidth="1"/>
    <col min="8" max="8" width="14.1640625" customWidth="1"/>
    <col min="9" max="9" width="18.33203125" customWidth="1"/>
    <col min="11" max="11" width="0" hidden="1"/>
  </cols>
  <sheetData>
    <row r="1" spans="1:11" ht="19" customHeight="1">
      <c r="A1" s="1226" t="s">
        <v>2502</v>
      </c>
      <c r="B1" s="1140"/>
      <c r="C1" s="1140"/>
      <c r="D1" s="1140"/>
      <c r="E1" s="1140"/>
      <c r="F1" s="1140"/>
      <c r="G1" s="1140"/>
      <c r="H1" s="1140"/>
      <c r="I1" s="1140"/>
      <c r="J1" s="74"/>
      <c r="K1" s="830" t="s">
        <v>2503</v>
      </c>
    </row>
    <row r="2" spans="1:11">
      <c r="A2" s="1228" t="s">
        <v>2504</v>
      </c>
      <c r="B2" s="1140"/>
      <c r="C2" s="1140"/>
      <c r="D2" s="1140"/>
      <c r="E2" s="1140"/>
      <c r="F2" s="1140"/>
      <c r="G2" s="1140"/>
      <c r="H2" s="1140"/>
      <c r="I2" s="1140"/>
      <c r="J2" s="74"/>
      <c r="K2" s="830" t="s">
        <v>1506</v>
      </c>
    </row>
    <row r="3" spans="1:11">
      <c r="A3" s="1227" t="s">
        <v>2505</v>
      </c>
      <c r="B3" s="1140"/>
      <c r="C3" s="1140"/>
      <c r="D3" s="1140"/>
      <c r="E3" s="1140"/>
      <c r="F3" s="1140"/>
      <c r="G3" s="1140"/>
      <c r="H3" s="1140"/>
      <c r="I3" s="1140"/>
      <c r="J3" s="74"/>
      <c r="K3" s="830" t="s">
        <v>765</v>
      </c>
    </row>
    <row r="4" spans="1:11">
      <c r="A4" s="74"/>
      <c r="B4" s="74"/>
      <c r="C4" s="74"/>
      <c r="D4" s="74"/>
      <c r="E4" s="74"/>
      <c r="F4" s="74"/>
      <c r="G4" s="74"/>
      <c r="H4" s="74"/>
      <c r="I4" s="74"/>
      <c r="J4" s="74"/>
      <c r="K4" s="830" t="s">
        <v>1510</v>
      </c>
    </row>
    <row r="5" spans="1:11">
      <c r="A5" s="378" t="s">
        <v>239</v>
      </c>
      <c r="B5" s="378" t="s">
        <v>2506</v>
      </c>
      <c r="C5" s="378" t="s">
        <v>241</v>
      </c>
      <c r="D5" s="378" t="s">
        <v>1497</v>
      </c>
      <c r="E5" s="378" t="s">
        <v>243</v>
      </c>
      <c r="F5" s="379" t="s">
        <v>2507</v>
      </c>
      <c r="G5" s="378" t="s">
        <v>1498</v>
      </c>
      <c r="H5" s="378" t="s">
        <v>1499</v>
      </c>
      <c r="I5" s="378" t="s">
        <v>7</v>
      </c>
      <c r="J5" s="74"/>
      <c r="K5" s="830" t="s">
        <v>712</v>
      </c>
    </row>
    <row r="6" spans="1:11">
      <c r="A6" s="380">
        <v>1</v>
      </c>
      <c r="B6" s="381" t="s">
        <v>254</v>
      </c>
      <c r="C6" s="381" t="s">
        <v>254</v>
      </c>
      <c r="D6" s="382">
        <v>6</v>
      </c>
      <c r="E6" s="383">
        <v>83.98</v>
      </c>
      <c r="F6" s="384" t="s">
        <v>1965</v>
      </c>
      <c r="G6" s="385">
        <f>IFERROR(VLOOKUP(F6,BD_Datos!$M$1:$P$1014,2,FALSE),"-")</f>
        <v>0</v>
      </c>
      <c r="H6" s="386">
        <f>IFERROR(VLOOKUP(F6,BD_Datos!$M$1:$P$1014,3,FALSE),"-")</f>
        <v>0</v>
      </c>
      <c r="I6" s="380" t="str">
        <f t="shared" ref="I6:I31" si="0">IF(F6="","❌ Sin match",IF(ISNUMBER(G6),"✅ OK","⚠️ No encontrado"))</f>
        <v>✅ OK</v>
      </c>
      <c r="J6" s="74"/>
      <c r="K6" s="830" t="s">
        <v>1009</v>
      </c>
    </row>
    <row r="7" spans="1:11">
      <c r="A7" s="387">
        <v>2</v>
      </c>
      <c r="B7" s="388" t="s">
        <v>259</v>
      </c>
      <c r="C7" s="388" t="s">
        <v>249</v>
      </c>
      <c r="D7" s="389">
        <v>44</v>
      </c>
      <c r="E7" s="390">
        <v>65.59</v>
      </c>
      <c r="F7" s="391" t="s">
        <v>246</v>
      </c>
      <c r="G7" s="385">
        <f>IFERROR(VLOOKUP(F7,BD_Datos!$M$1:$P$1014,2,FALSE),"-")</f>
        <v>0.19</v>
      </c>
      <c r="H7" s="386">
        <f>IFERROR(VLOOKUP(F7,BD_Datos!$M$1:$P$1014,3,FALSE),"-")</f>
        <v>0.26</v>
      </c>
      <c r="I7" s="387" t="str">
        <f t="shared" si="0"/>
        <v>✅ OK</v>
      </c>
      <c r="J7" s="74"/>
      <c r="K7" s="830" t="s">
        <v>787</v>
      </c>
    </row>
    <row r="8" spans="1:11">
      <c r="A8" s="380">
        <v>3</v>
      </c>
      <c r="B8" s="381" t="s">
        <v>688</v>
      </c>
      <c r="C8" s="381" t="s">
        <v>689</v>
      </c>
      <c r="D8" s="382">
        <v>6</v>
      </c>
      <c r="E8" s="383">
        <v>59.45</v>
      </c>
      <c r="F8" s="384" t="s">
        <v>1029</v>
      </c>
      <c r="G8" s="385">
        <f>IFERROR(VLOOKUP(F8,BD_Datos!$M$1:$P$1014,2,FALSE),"-")</f>
        <v>0</v>
      </c>
      <c r="H8" s="386">
        <f>IFERROR(VLOOKUP(F8,BD_Datos!$M$1:$P$1014,3,FALSE),"-")</f>
        <v>0</v>
      </c>
      <c r="I8" s="380" t="str">
        <f t="shared" si="0"/>
        <v>✅ OK</v>
      </c>
      <c r="J8" s="74"/>
      <c r="K8" s="830" t="s">
        <v>761</v>
      </c>
    </row>
    <row r="9" spans="1:11">
      <c r="A9" s="387">
        <v>4</v>
      </c>
      <c r="B9" s="388" t="s">
        <v>704</v>
      </c>
      <c r="C9" s="388" t="s">
        <v>689</v>
      </c>
      <c r="D9" s="389">
        <v>4</v>
      </c>
      <c r="E9" s="390">
        <v>46.91</v>
      </c>
      <c r="F9" s="391" t="s">
        <v>1747</v>
      </c>
      <c r="G9" s="385">
        <f>IFERROR(VLOOKUP(F9,BD_Datos!$M$1:$P$1014,2,FALSE),"-")</f>
        <v>1.55</v>
      </c>
      <c r="H9" s="386">
        <f>IFERROR(VLOOKUP(F9,BD_Datos!$M$1:$P$1014,3,FALSE),"-")</f>
        <v>0</v>
      </c>
      <c r="I9" s="387" t="str">
        <f t="shared" si="0"/>
        <v>✅ OK</v>
      </c>
      <c r="J9" s="74"/>
      <c r="K9" s="830" t="s">
        <v>903</v>
      </c>
    </row>
    <row r="10" spans="1:11">
      <c r="A10" s="380">
        <v>5</v>
      </c>
      <c r="B10" s="381" t="s">
        <v>706</v>
      </c>
      <c r="C10" s="381" t="s">
        <v>256</v>
      </c>
      <c r="D10" s="382">
        <v>3</v>
      </c>
      <c r="E10" s="383">
        <v>37.909999999999997</v>
      </c>
      <c r="F10" s="384" t="s">
        <v>2222</v>
      </c>
      <c r="G10" s="385">
        <f>IFERROR(VLOOKUP(F10,BD_Datos!$M$1:$P$1014,2,FALSE),"-")</f>
        <v>2.8</v>
      </c>
      <c r="H10" s="386">
        <f>IFERROR(VLOOKUP(F10,BD_Datos!$M$1:$P$1014,3,FALSE),"-")</f>
        <v>0.21</v>
      </c>
      <c r="I10" s="380" t="str">
        <f t="shared" si="0"/>
        <v>✅ OK</v>
      </c>
      <c r="J10" s="74"/>
      <c r="K10" s="830" t="s">
        <v>864</v>
      </c>
    </row>
    <row r="11" spans="1:11">
      <c r="A11" s="387">
        <v>6</v>
      </c>
      <c r="B11" s="388" t="s">
        <v>700</v>
      </c>
      <c r="C11" s="388" t="s">
        <v>274</v>
      </c>
      <c r="D11" s="389">
        <v>4</v>
      </c>
      <c r="E11" s="390">
        <v>27</v>
      </c>
      <c r="F11" s="384" t="s">
        <v>1139</v>
      </c>
      <c r="G11" s="385">
        <f>IFERROR(VLOOKUP(F11,BD_Datos!$M$1:$P$1014,2,FALSE),"-")</f>
        <v>1.79</v>
      </c>
      <c r="H11" s="386">
        <f>IFERROR(VLOOKUP(F11,BD_Datos!$M$1:$P$1014,3,FALSE),"-")</f>
        <v>0.21</v>
      </c>
      <c r="I11" s="387" t="str">
        <f t="shared" si="0"/>
        <v>✅ OK</v>
      </c>
      <c r="J11" s="74"/>
      <c r="K11" s="830" t="s">
        <v>739</v>
      </c>
    </row>
    <row r="12" spans="1:11">
      <c r="A12" s="380">
        <v>7</v>
      </c>
      <c r="B12" s="381" t="s">
        <v>707</v>
      </c>
      <c r="C12" s="381" t="s">
        <v>256</v>
      </c>
      <c r="D12" s="382">
        <v>3</v>
      </c>
      <c r="E12" s="383">
        <v>25.23</v>
      </c>
      <c r="F12" s="384" t="s">
        <v>1044</v>
      </c>
      <c r="G12" s="385">
        <f>IFERROR(VLOOKUP(F12,BD_Datos!$M$1:$P$1014,2,FALSE),"-")</f>
        <v>0.53</v>
      </c>
      <c r="H12" s="386">
        <f>IFERROR(VLOOKUP(F12,BD_Datos!$M$1:$P$1014,3,FALSE),"-")</f>
        <v>0.22</v>
      </c>
      <c r="I12" s="380" t="str">
        <f t="shared" si="0"/>
        <v>✅ OK</v>
      </c>
      <c r="J12" s="74"/>
      <c r="K12" s="830" t="s">
        <v>861</v>
      </c>
    </row>
    <row r="13" spans="1:11">
      <c r="A13" s="387">
        <v>8</v>
      </c>
      <c r="B13" s="388" t="s">
        <v>680</v>
      </c>
      <c r="C13" s="388" t="s">
        <v>251</v>
      </c>
      <c r="D13" s="389">
        <v>11</v>
      </c>
      <c r="E13" s="390">
        <v>24.23</v>
      </c>
      <c r="F13" s="391" t="s">
        <v>265</v>
      </c>
      <c r="G13" s="385">
        <f>IFERROR(VLOOKUP(F13,BD_Datos!$M$1:$P$1014,2,FALSE),"-")</f>
        <v>0.53</v>
      </c>
      <c r="H13" s="386">
        <f>IFERROR(VLOOKUP(F13,BD_Datos!$M$1:$P$1014,3,FALSE),"-")</f>
        <v>0.32</v>
      </c>
      <c r="I13" s="387" t="str">
        <f t="shared" si="0"/>
        <v>✅ OK</v>
      </c>
      <c r="J13" s="74"/>
      <c r="K13" s="830" t="s">
        <v>773</v>
      </c>
    </row>
    <row r="14" spans="1:11">
      <c r="A14" s="380">
        <v>9</v>
      </c>
      <c r="B14" s="381" t="s">
        <v>796</v>
      </c>
      <c r="C14" s="381" t="s">
        <v>282</v>
      </c>
      <c r="D14" s="382">
        <v>2</v>
      </c>
      <c r="E14" s="383">
        <v>20.91</v>
      </c>
      <c r="F14" s="384" t="s">
        <v>1012</v>
      </c>
      <c r="G14" s="385">
        <f>IFERROR(VLOOKUP(F14,BD_Datos!$M$1:$P$1014,2,FALSE),"-")</f>
        <v>2.66</v>
      </c>
      <c r="H14" s="386">
        <f>IFERROR(VLOOKUP(F14,BD_Datos!$M$1:$P$1014,3,FALSE),"-")</f>
        <v>0.28000000000000003</v>
      </c>
      <c r="I14" s="380" t="str">
        <f t="shared" si="0"/>
        <v>✅ OK</v>
      </c>
      <c r="J14" s="74"/>
      <c r="K14" s="830" t="s">
        <v>1521</v>
      </c>
    </row>
    <row r="15" spans="1:11">
      <c r="A15" s="387">
        <v>10</v>
      </c>
      <c r="B15" s="388" t="s">
        <v>677</v>
      </c>
      <c r="C15" s="388" t="s">
        <v>249</v>
      </c>
      <c r="D15" s="389">
        <v>12</v>
      </c>
      <c r="E15" s="390">
        <v>17.82</v>
      </c>
      <c r="F15" s="391" t="s">
        <v>902</v>
      </c>
      <c r="G15" s="385">
        <f>IFERROR(VLOOKUP(F15,BD_Datos!$M$1:$P$1014,2,FALSE),"-")</f>
        <v>0.31</v>
      </c>
      <c r="H15" s="386">
        <f>IFERROR(VLOOKUP(F15,BD_Datos!$M$1:$P$1014,3,FALSE),"-")</f>
        <v>0.24</v>
      </c>
      <c r="I15" s="387" t="str">
        <f t="shared" si="0"/>
        <v>✅ OK</v>
      </c>
      <c r="J15" s="74"/>
      <c r="K15" s="830" t="s">
        <v>1523</v>
      </c>
    </row>
    <row r="16" spans="1:11">
      <c r="A16" s="380">
        <v>11</v>
      </c>
      <c r="B16" s="381" t="s">
        <v>691</v>
      </c>
      <c r="C16" s="381" t="s">
        <v>251</v>
      </c>
      <c r="D16" s="382">
        <v>5</v>
      </c>
      <c r="E16" s="383">
        <v>12.05</v>
      </c>
      <c r="F16" s="384" t="s">
        <v>1160</v>
      </c>
      <c r="G16" s="385">
        <f>IFERROR(VLOOKUP(F16,BD_Datos!$M$1:$P$1014,2,FALSE),"-")</f>
        <v>0</v>
      </c>
      <c r="H16" s="386">
        <f>IFERROR(VLOOKUP(F16,BD_Datos!$M$1:$P$1014,3,FALSE),"-")</f>
        <v>0</v>
      </c>
      <c r="I16" s="380" t="str">
        <f t="shared" si="0"/>
        <v>✅ OK</v>
      </c>
      <c r="J16" s="74"/>
      <c r="K16" s="830" t="s">
        <v>1525</v>
      </c>
    </row>
    <row r="17" spans="1:11">
      <c r="A17" s="387">
        <v>12</v>
      </c>
      <c r="B17" s="388" t="s">
        <v>702</v>
      </c>
      <c r="C17" s="388" t="s">
        <v>251</v>
      </c>
      <c r="D17" s="389">
        <v>4</v>
      </c>
      <c r="E17" s="390">
        <v>9.91</v>
      </c>
      <c r="F17" s="391" t="s">
        <v>1086</v>
      </c>
      <c r="G17" s="385">
        <f>IFERROR(VLOOKUP(F17,BD_Datos!$M$1:$P$1014,2,FALSE),"-")</f>
        <v>0.14000000000000001</v>
      </c>
      <c r="H17" s="386">
        <f>IFERROR(VLOOKUP(F17,BD_Datos!$M$1:$P$1014,3,FALSE),"-")</f>
        <v>0</v>
      </c>
      <c r="I17" s="387" t="str">
        <f t="shared" si="0"/>
        <v>✅ OK</v>
      </c>
      <c r="J17" s="74"/>
      <c r="K17" s="830" t="s">
        <v>735</v>
      </c>
    </row>
    <row r="18" spans="1:11">
      <c r="A18" s="380">
        <v>13</v>
      </c>
      <c r="B18" s="381" t="s">
        <v>698</v>
      </c>
      <c r="C18" s="381" t="s">
        <v>249</v>
      </c>
      <c r="D18" s="382">
        <v>4</v>
      </c>
      <c r="E18" s="383">
        <v>9.27</v>
      </c>
      <c r="F18" s="384" t="s">
        <v>855</v>
      </c>
      <c r="G18" s="385">
        <f>IFERROR(VLOOKUP(F18,BD_Datos!$M$1:$P$1014,2,FALSE),"-")</f>
        <v>0.32</v>
      </c>
      <c r="H18" s="386">
        <f>IFERROR(VLOOKUP(F18,BD_Datos!$M$1:$P$1014,3,FALSE),"-")</f>
        <v>0.25</v>
      </c>
      <c r="I18" s="380" t="str">
        <f t="shared" si="0"/>
        <v>✅ OK</v>
      </c>
      <c r="J18" s="74"/>
      <c r="K18" s="830" t="s">
        <v>723</v>
      </c>
    </row>
    <row r="19" spans="1:11">
      <c r="A19" s="387">
        <v>14</v>
      </c>
      <c r="B19" s="388" t="s">
        <v>748</v>
      </c>
      <c r="C19" s="388" t="s">
        <v>274</v>
      </c>
      <c r="D19" s="389">
        <v>1</v>
      </c>
      <c r="E19" s="390">
        <v>9</v>
      </c>
      <c r="F19" s="391" t="s">
        <v>1073</v>
      </c>
      <c r="G19" s="385">
        <f>IFERROR(VLOOKUP(F19,BD_Datos!$M$1:$P$1014,2,FALSE),"-")</f>
        <v>1.66</v>
      </c>
      <c r="H19" s="386">
        <f>IFERROR(VLOOKUP(F19,BD_Datos!$M$1:$P$1014,3,FALSE),"-")</f>
        <v>0.21</v>
      </c>
      <c r="I19" s="387" t="str">
        <f t="shared" si="0"/>
        <v>✅ OK</v>
      </c>
      <c r="J19" s="74"/>
      <c r="K19" s="830" t="s">
        <v>856</v>
      </c>
    </row>
    <row r="20" spans="1:11">
      <c r="A20" s="380">
        <v>15</v>
      </c>
      <c r="B20" s="381" t="s">
        <v>703</v>
      </c>
      <c r="C20" s="381" t="s">
        <v>256</v>
      </c>
      <c r="D20" s="382">
        <v>4</v>
      </c>
      <c r="E20" s="383">
        <v>7.95</v>
      </c>
      <c r="F20" s="384" t="s">
        <v>703</v>
      </c>
      <c r="G20" s="385">
        <f>IFERROR(VLOOKUP(F20,BD_Datos!$M$1:$P$1014,2,FALSE),"-")</f>
        <v>0</v>
      </c>
      <c r="H20" s="386">
        <f>IFERROR(VLOOKUP(F20,BD_Datos!$M$1:$P$1014,3,FALSE),"-")</f>
        <v>0</v>
      </c>
      <c r="I20" s="380" t="str">
        <f t="shared" si="0"/>
        <v>✅ OK</v>
      </c>
      <c r="J20" s="74"/>
      <c r="K20" s="830" t="s">
        <v>1529</v>
      </c>
    </row>
    <row r="21" spans="1:11">
      <c r="A21" s="387">
        <v>16</v>
      </c>
      <c r="B21" s="388" t="s">
        <v>720</v>
      </c>
      <c r="C21" s="388" t="s">
        <v>251</v>
      </c>
      <c r="D21" s="389">
        <v>2</v>
      </c>
      <c r="E21" s="390">
        <v>4.82</v>
      </c>
      <c r="F21" s="391" t="s">
        <v>1100</v>
      </c>
      <c r="G21" s="385">
        <f>IFERROR(VLOOKUP(F21,BD_Datos!$M$1:$P$1014,2,FALSE),"-")</f>
        <v>0</v>
      </c>
      <c r="H21" s="386">
        <f>IFERROR(VLOOKUP(F21,BD_Datos!$M$1:$P$1014,3,FALSE),"-")</f>
        <v>0</v>
      </c>
      <c r="I21" s="387" t="str">
        <f t="shared" si="0"/>
        <v>✅ OK</v>
      </c>
      <c r="J21" s="74"/>
      <c r="K21" s="830" t="s">
        <v>1101</v>
      </c>
    </row>
    <row r="22" spans="1:11">
      <c r="A22" s="380">
        <v>17</v>
      </c>
      <c r="B22" s="381" t="s">
        <v>740</v>
      </c>
      <c r="C22" s="381" t="s">
        <v>264</v>
      </c>
      <c r="D22" s="382">
        <v>1</v>
      </c>
      <c r="E22" s="383">
        <v>2.73</v>
      </c>
      <c r="F22" s="397" t="s">
        <v>983</v>
      </c>
      <c r="G22" s="385">
        <f>IFERROR(VLOOKUP(F22,BD_Datos!$M$1:$P$1014,2,FALSE),"-")</f>
        <v>0.16</v>
      </c>
      <c r="H22" s="386">
        <f>IFERROR(VLOOKUP(F22,BD_Datos!$M$1:$P$1014,3,FALSE),"-")</f>
        <v>0.13</v>
      </c>
      <c r="I22" s="380" t="str">
        <f t="shared" si="0"/>
        <v>✅ OK</v>
      </c>
      <c r="J22" s="74"/>
      <c r="K22" s="830" t="s">
        <v>1531</v>
      </c>
    </row>
    <row r="23" spans="1:11">
      <c r="A23" s="387">
        <v>18</v>
      </c>
      <c r="B23" s="388" t="s">
        <v>743</v>
      </c>
      <c r="C23" s="388" t="s">
        <v>251</v>
      </c>
      <c r="D23" s="389">
        <v>1</v>
      </c>
      <c r="E23" s="390">
        <v>2.5499999999999998</v>
      </c>
      <c r="F23" s="391" t="s">
        <v>957</v>
      </c>
      <c r="G23" s="385">
        <f>IFERROR(VLOOKUP(F23,BD_Datos!$M$1:$P$1014,2,FALSE),"-")</f>
        <v>0</v>
      </c>
      <c r="H23" s="386">
        <f>IFERROR(VLOOKUP(F23,BD_Datos!$M$1:$P$1014,3,FALSE),"-")</f>
        <v>0</v>
      </c>
      <c r="I23" s="387" t="str">
        <f t="shared" si="0"/>
        <v>✅ OK</v>
      </c>
      <c r="J23" s="74"/>
      <c r="K23" s="830" t="s">
        <v>1533</v>
      </c>
    </row>
    <row r="24" spans="1:11">
      <c r="A24" s="380">
        <v>19</v>
      </c>
      <c r="B24" s="381" t="s">
        <v>737</v>
      </c>
      <c r="C24" s="381" t="s">
        <v>249</v>
      </c>
      <c r="D24" s="382">
        <v>1</v>
      </c>
      <c r="E24" s="383">
        <v>1.68</v>
      </c>
      <c r="F24" s="384" t="s">
        <v>1239</v>
      </c>
      <c r="G24" s="385">
        <f>IFERROR(VLOOKUP(F24,BD_Datos!$M$1:$P$1014,2,FALSE),"-")</f>
        <v>0.26</v>
      </c>
      <c r="H24" s="386">
        <f>IFERROR(VLOOKUP(F24,BD_Datos!$M$1:$P$1014,3,FALSE),"-")</f>
        <v>0.19</v>
      </c>
      <c r="I24" s="380" t="str">
        <f t="shared" si="0"/>
        <v>✅ OK</v>
      </c>
      <c r="J24" s="74"/>
      <c r="K24" s="830" t="s">
        <v>967</v>
      </c>
    </row>
    <row r="25" spans="1:11">
      <c r="A25" s="387">
        <v>20</v>
      </c>
      <c r="B25" s="388" t="s">
        <v>714</v>
      </c>
      <c r="C25" s="388" t="s">
        <v>251</v>
      </c>
      <c r="D25" s="389">
        <v>2</v>
      </c>
      <c r="E25" s="390">
        <v>1.41</v>
      </c>
      <c r="F25" s="391" t="s">
        <v>1551</v>
      </c>
      <c r="G25" s="385">
        <f>IFERROR(VLOOKUP(F25,BD_Datos!$M$1:$P$1014,2,FALSE),"-")</f>
        <v>0.23</v>
      </c>
      <c r="H25" s="386">
        <f>IFERROR(VLOOKUP(F25,BD_Datos!$M$1:$P$1014,3,FALSE),"-")</f>
        <v>0.16</v>
      </c>
      <c r="I25" s="387" t="str">
        <f t="shared" si="0"/>
        <v>✅ OK</v>
      </c>
      <c r="J25" s="74"/>
      <c r="K25" s="830" t="s">
        <v>754</v>
      </c>
    </row>
    <row r="26" spans="1:11">
      <c r="A26" s="380">
        <v>21</v>
      </c>
      <c r="B26" s="381" t="s">
        <v>899</v>
      </c>
      <c r="C26" s="381" t="s">
        <v>862</v>
      </c>
      <c r="D26" s="382">
        <v>22</v>
      </c>
      <c r="E26" s="383">
        <v>1.1000000000000001</v>
      </c>
      <c r="F26" s="384" t="s">
        <v>899</v>
      </c>
      <c r="G26" s="385">
        <f>IFERROR(VLOOKUP(F26,BD_Datos!$M$1:$P$1014,2,FALSE),"-")</f>
        <v>0</v>
      </c>
      <c r="H26" s="386">
        <f>IFERROR(VLOOKUP(F26,BD_Datos!$M$1:$P$1014,3,FALSE),"-")</f>
        <v>0.22</v>
      </c>
      <c r="I26" s="380" t="str">
        <f t="shared" si="0"/>
        <v>✅ OK</v>
      </c>
      <c r="J26" s="74"/>
      <c r="K26" s="830" t="s">
        <v>1535</v>
      </c>
    </row>
    <row r="27" spans="1:11">
      <c r="A27" s="387">
        <v>22</v>
      </c>
      <c r="B27" s="388" t="s">
        <v>269</v>
      </c>
      <c r="C27" s="388" t="s">
        <v>264</v>
      </c>
      <c r="D27" s="389">
        <v>6</v>
      </c>
      <c r="E27" s="390">
        <v>0.6</v>
      </c>
      <c r="F27" s="391" t="s">
        <v>269</v>
      </c>
      <c r="G27" s="385">
        <f>IFERROR(VLOOKUP(F27,BD_Datos!$M$1:$P$1014,2,FALSE),"-")</f>
        <v>0</v>
      </c>
      <c r="H27" s="386">
        <f>IFERROR(VLOOKUP(F27,BD_Datos!$M$1:$P$1014,3,FALSE),"-")</f>
        <v>0.23</v>
      </c>
      <c r="I27" s="387" t="str">
        <f t="shared" si="0"/>
        <v>✅ OK</v>
      </c>
      <c r="J27" s="74"/>
      <c r="K27" s="830" t="s">
        <v>1536</v>
      </c>
    </row>
    <row r="28" spans="1:11">
      <c r="A28" s="380">
        <v>23</v>
      </c>
      <c r="B28" s="381" t="s">
        <v>681</v>
      </c>
      <c r="C28" s="381" t="s">
        <v>282</v>
      </c>
      <c r="D28" s="382">
        <v>10</v>
      </c>
      <c r="E28" s="383">
        <v>0.45</v>
      </c>
      <c r="F28" s="384" t="s">
        <v>899</v>
      </c>
      <c r="G28" s="385">
        <f>IFERROR(VLOOKUP(F28,BD_Datos!$M$1:$P$1014,2,FALSE),"-")</f>
        <v>0</v>
      </c>
      <c r="H28" s="386">
        <f>IFERROR(VLOOKUP(F28,BD_Datos!$M$1:$P$1014,3,FALSE),"-")</f>
        <v>0.22</v>
      </c>
      <c r="I28" s="380" t="str">
        <f t="shared" si="0"/>
        <v>✅ OK</v>
      </c>
      <c r="J28" s="74"/>
      <c r="K28" s="830" t="s">
        <v>1537</v>
      </c>
    </row>
    <row r="29" spans="1:11">
      <c r="A29" s="387">
        <v>24</v>
      </c>
      <c r="B29" s="388" t="s">
        <v>716</v>
      </c>
      <c r="C29" s="388" t="s">
        <v>251</v>
      </c>
      <c r="D29" s="389">
        <v>2</v>
      </c>
      <c r="E29" s="390">
        <v>0</v>
      </c>
      <c r="F29" s="391" t="s">
        <v>250</v>
      </c>
      <c r="G29" s="385">
        <f>IFERROR(VLOOKUP(F29,BD_Datos!$M$1:$P$1014,2,FALSE),"-")</f>
        <v>0.05</v>
      </c>
      <c r="H29" s="386">
        <f>IFERROR(VLOOKUP(F29,BD_Datos!$M$1:$P$1014,3,FALSE),"-")</f>
        <v>0.21</v>
      </c>
      <c r="I29" s="387" t="str">
        <f t="shared" si="0"/>
        <v>✅ OK</v>
      </c>
      <c r="J29" s="74"/>
      <c r="K29" s="830" t="s">
        <v>1538</v>
      </c>
    </row>
    <row r="30" spans="1:11">
      <c r="A30" s="380">
        <v>25</v>
      </c>
      <c r="B30" s="381" t="s">
        <v>727</v>
      </c>
      <c r="C30" s="381" t="s">
        <v>275</v>
      </c>
      <c r="D30" s="382">
        <v>1</v>
      </c>
      <c r="E30" s="383">
        <v>0</v>
      </c>
      <c r="F30" s="384" t="s">
        <v>1875</v>
      </c>
      <c r="G30" s="385">
        <f>IFERROR(VLOOKUP(F30,BD_Datos!$M$1:$P$1014,2,FALSE),"-")</f>
        <v>0.41</v>
      </c>
      <c r="H30" s="386">
        <f>IFERROR(VLOOKUP(F30,BD_Datos!$M$1:$P$1014,3,FALSE),"-")</f>
        <v>0.09</v>
      </c>
      <c r="I30" s="380" t="str">
        <f t="shared" si="0"/>
        <v>✅ OK</v>
      </c>
      <c r="J30" s="74"/>
      <c r="K30" s="830" t="s">
        <v>1539</v>
      </c>
    </row>
    <row r="31" spans="1:11">
      <c r="A31" s="392">
        <v>26</v>
      </c>
      <c r="B31" s="393" t="s">
        <v>711</v>
      </c>
      <c r="C31" s="393" t="s">
        <v>251</v>
      </c>
      <c r="D31" s="394">
        <v>2</v>
      </c>
      <c r="E31" s="395">
        <v>0</v>
      </c>
      <c r="F31" s="396" t="s">
        <v>708</v>
      </c>
      <c r="G31" s="385">
        <f>IFERROR(VLOOKUP(F31,BD_Datos!$M$1:$P$1014,2,FALSE),"-")</f>
        <v>0.11</v>
      </c>
      <c r="H31" s="386">
        <f>IFERROR(VLOOKUP(F31,BD_Datos!$M$1:$P$1014,3,FALSE),"-")</f>
        <v>0.22</v>
      </c>
      <c r="I31" s="392" t="str">
        <f t="shared" si="0"/>
        <v>✅ OK</v>
      </c>
      <c r="J31" s="74"/>
      <c r="K31" s="830" t="s">
        <v>703</v>
      </c>
    </row>
    <row r="32" spans="1:1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830" t="s">
        <v>839</v>
      </c>
    </row>
    <row r="33" spans="1:11">
      <c r="A33" s="1173" t="s">
        <v>2508</v>
      </c>
      <c r="B33" s="1140"/>
      <c r="C33" s="1140"/>
      <c r="D33" s="1140"/>
      <c r="E33" s="1140"/>
      <c r="F33" s="1140"/>
      <c r="G33" s="1140"/>
      <c r="H33" s="1140"/>
      <c r="I33" s="1140"/>
      <c r="J33" s="74"/>
      <c r="K33" s="830" t="s">
        <v>1542</v>
      </c>
    </row>
    <row r="34" spans="1:11">
      <c r="A34" s="549" t="s">
        <v>2509</v>
      </c>
      <c r="B34" s="549">
        <f>COUNTA(B6:B31)</f>
        <v>26</v>
      </c>
      <c r="C34" s="74"/>
      <c r="D34" s="74"/>
      <c r="E34" s="74"/>
      <c r="F34" s="74"/>
      <c r="G34" s="74"/>
      <c r="H34" s="74"/>
      <c r="I34" s="74"/>
      <c r="J34" s="74"/>
      <c r="K34" s="830" t="s">
        <v>687</v>
      </c>
    </row>
    <row r="35" spans="1:11">
      <c r="A35" s="831" t="s">
        <v>2510</v>
      </c>
      <c r="B35" s="831">
        <f>COUNTIF(I6:I31,"✅ OK")</f>
        <v>26</v>
      </c>
      <c r="C35" s="74"/>
      <c r="D35" s="74"/>
      <c r="E35" s="74"/>
      <c r="F35" s="74"/>
      <c r="G35" s="74"/>
      <c r="H35" s="74"/>
      <c r="I35" s="74"/>
      <c r="J35" s="74"/>
      <c r="K35" s="830" t="s">
        <v>1545</v>
      </c>
    </row>
    <row r="36" spans="1:11">
      <c r="A36" s="832" t="s">
        <v>2511</v>
      </c>
      <c r="B36" s="832">
        <f>COUNTA(B6:B31)-COUNTIF(I6:I31,"✅ OK")</f>
        <v>0</v>
      </c>
      <c r="C36" s="74"/>
      <c r="D36" s="74"/>
      <c r="E36" s="74"/>
      <c r="F36" s="74"/>
      <c r="G36" s="74"/>
      <c r="H36" s="74"/>
      <c r="I36" s="74"/>
      <c r="J36" s="74"/>
      <c r="K36" s="830" t="s">
        <v>708</v>
      </c>
    </row>
    <row r="37" spans="1:1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830" t="s">
        <v>1548</v>
      </c>
    </row>
    <row r="38" spans="1:11">
      <c r="A38" s="1173" t="s">
        <v>2512</v>
      </c>
      <c r="B38" s="1140"/>
      <c r="C38" s="1140"/>
      <c r="D38" s="1140"/>
      <c r="E38" s="1140"/>
      <c r="F38" s="1140"/>
      <c r="G38" s="1140"/>
      <c r="H38" s="1140"/>
      <c r="I38" s="1140"/>
      <c r="J38" s="74"/>
      <c r="K38" s="830" t="s">
        <v>1549</v>
      </c>
    </row>
    <row r="39" spans="1:11">
      <c r="A39" s="1225" t="s">
        <v>2513</v>
      </c>
      <c r="B39" s="1140"/>
      <c r="C39" s="1140"/>
      <c r="D39" s="1140"/>
      <c r="E39" s="1140"/>
      <c r="F39" s="1140"/>
      <c r="G39" s="1140"/>
      <c r="H39" s="1140"/>
      <c r="I39" s="1140"/>
      <c r="J39" s="74"/>
      <c r="K39" s="830" t="s">
        <v>1551</v>
      </c>
    </row>
    <row r="40" spans="1:11">
      <c r="A40" s="1225" t="s">
        <v>2514</v>
      </c>
      <c r="B40" s="1140"/>
      <c r="C40" s="1140"/>
      <c r="D40" s="1140"/>
      <c r="E40" s="1140"/>
      <c r="F40" s="1140"/>
      <c r="G40" s="1140"/>
      <c r="H40" s="1140"/>
      <c r="I40" s="1140"/>
      <c r="J40" s="74"/>
      <c r="K40" s="830" t="s">
        <v>250</v>
      </c>
    </row>
    <row r="41" spans="1:11">
      <c r="A41" s="1225" t="s">
        <v>2515</v>
      </c>
      <c r="B41" s="1140"/>
      <c r="C41" s="1140"/>
      <c r="D41" s="1140"/>
      <c r="E41" s="1140"/>
      <c r="F41" s="1140"/>
      <c r="G41" s="1140"/>
      <c r="H41" s="1140"/>
      <c r="I41" s="1140"/>
      <c r="J41" s="74"/>
      <c r="K41" s="830" t="s">
        <v>1554</v>
      </c>
    </row>
    <row r="42" spans="1:11">
      <c r="A42" s="1225" t="s">
        <v>2516</v>
      </c>
      <c r="B42" s="1140"/>
      <c r="C42" s="1140"/>
      <c r="D42" s="1140"/>
      <c r="E42" s="1140"/>
      <c r="F42" s="1140"/>
      <c r="G42" s="1140"/>
      <c r="H42" s="1140"/>
      <c r="I42" s="1140"/>
      <c r="J42" s="74"/>
      <c r="K42" s="830" t="s">
        <v>1556</v>
      </c>
    </row>
    <row r="43" spans="1:11">
      <c r="A43" s="1225" t="s">
        <v>2517</v>
      </c>
      <c r="B43" s="1140"/>
      <c r="C43" s="1140"/>
      <c r="D43" s="1140"/>
      <c r="E43" s="1140"/>
      <c r="F43" s="1140"/>
      <c r="G43" s="1140"/>
      <c r="H43" s="1140"/>
      <c r="I43" s="1140"/>
      <c r="J43" s="74"/>
      <c r="K43" s="830" t="s">
        <v>1558</v>
      </c>
    </row>
    <row r="44" spans="1:11">
      <c r="A44" s="1225"/>
      <c r="B44" s="1140"/>
      <c r="C44" s="1140"/>
      <c r="D44" s="1140"/>
      <c r="E44" s="1140"/>
      <c r="F44" s="1140"/>
      <c r="G44" s="1140"/>
      <c r="H44" s="1140"/>
      <c r="I44" s="1140"/>
      <c r="J44" s="74"/>
      <c r="K44" s="830" t="s">
        <v>1559</v>
      </c>
    </row>
    <row r="45" spans="1:11">
      <c r="A45" s="1224" t="s">
        <v>2518</v>
      </c>
      <c r="B45" s="1140"/>
      <c r="C45" s="1140"/>
      <c r="D45" s="1140"/>
      <c r="E45" s="1140"/>
      <c r="F45" s="1140"/>
      <c r="G45" s="1140"/>
      <c r="H45" s="1140"/>
      <c r="I45" s="1140"/>
      <c r="J45" s="74"/>
      <c r="K45" s="830" t="s">
        <v>714</v>
      </c>
    </row>
    <row r="46" spans="1:11">
      <c r="A46" s="1224" t="s">
        <v>2519</v>
      </c>
      <c r="B46" s="1140"/>
      <c r="C46" s="1140"/>
      <c r="D46" s="1140"/>
      <c r="E46" s="1140"/>
      <c r="F46" s="1140"/>
      <c r="G46" s="1140"/>
      <c r="H46" s="1140"/>
      <c r="I46" s="1140"/>
      <c r="J46" s="74"/>
      <c r="K46" s="830" t="s">
        <v>1560</v>
      </c>
    </row>
    <row r="47" spans="1:1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830" t="s">
        <v>1562</v>
      </c>
    </row>
    <row r="48" spans="1:1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830" t="s">
        <v>1563</v>
      </c>
    </row>
    <row r="49" spans="11:11">
      <c r="K49" s="830" t="s">
        <v>1564</v>
      </c>
    </row>
    <row r="50" spans="11:11">
      <c r="K50" s="830" t="s">
        <v>1083</v>
      </c>
    </row>
    <row r="51" spans="11:11">
      <c r="K51" s="830" t="s">
        <v>1566</v>
      </c>
    </row>
    <row r="52" spans="11:11">
      <c r="K52" s="830" t="s">
        <v>857</v>
      </c>
    </row>
    <row r="53" spans="11:11">
      <c r="K53" s="830" t="s">
        <v>1567</v>
      </c>
    </row>
    <row r="54" spans="11:11">
      <c r="K54" s="830" t="s">
        <v>1568</v>
      </c>
    </row>
    <row r="55" spans="11:11">
      <c r="K55" s="830" t="s">
        <v>1569</v>
      </c>
    </row>
    <row r="56" spans="11:11">
      <c r="K56" s="830" t="s">
        <v>1570</v>
      </c>
    </row>
    <row r="57" spans="11:11">
      <c r="K57" s="830" t="s">
        <v>1571</v>
      </c>
    </row>
    <row r="58" spans="11:11">
      <c r="K58" s="830" t="s">
        <v>1572</v>
      </c>
    </row>
    <row r="59" spans="11:11">
      <c r="K59" s="830" t="s">
        <v>1573</v>
      </c>
    </row>
    <row r="60" spans="11:11">
      <c r="K60" s="830" t="s">
        <v>1574</v>
      </c>
    </row>
    <row r="61" spans="11:11">
      <c r="K61" s="830" t="s">
        <v>1575</v>
      </c>
    </row>
    <row r="62" spans="11:11">
      <c r="K62" s="830" t="s">
        <v>760</v>
      </c>
    </row>
    <row r="63" spans="11:11">
      <c r="K63" s="830" t="s">
        <v>1269</v>
      </c>
    </row>
    <row r="64" spans="11:11">
      <c r="K64" s="830" t="s">
        <v>1576</v>
      </c>
    </row>
    <row r="65" spans="11:11">
      <c r="K65" s="830" t="s">
        <v>252</v>
      </c>
    </row>
    <row r="66" spans="11:11">
      <c r="K66" s="830" t="s">
        <v>901</v>
      </c>
    </row>
    <row r="67" spans="11:11">
      <c r="K67" s="830" t="s">
        <v>869</v>
      </c>
    </row>
    <row r="68" spans="11:11">
      <c r="K68" s="830" t="s">
        <v>1579</v>
      </c>
    </row>
    <row r="69" spans="11:11">
      <c r="K69" s="830" t="s">
        <v>1580</v>
      </c>
    </row>
    <row r="70" spans="11:11">
      <c r="K70" s="830" t="s">
        <v>1581</v>
      </c>
    </row>
    <row r="71" spans="11:11">
      <c r="K71" s="830" t="s">
        <v>1583</v>
      </c>
    </row>
    <row r="72" spans="11:11">
      <c r="K72" s="830" t="s">
        <v>1136</v>
      </c>
    </row>
    <row r="73" spans="11:11">
      <c r="K73" s="830" t="s">
        <v>1585</v>
      </c>
    </row>
    <row r="74" spans="11:11">
      <c r="K74" s="830" t="s">
        <v>696</v>
      </c>
    </row>
    <row r="75" spans="11:11">
      <c r="K75" s="830" t="s">
        <v>1586</v>
      </c>
    </row>
    <row r="76" spans="11:11">
      <c r="K76" s="830" t="s">
        <v>1587</v>
      </c>
    </row>
    <row r="77" spans="11:11">
      <c r="K77" s="830" t="s">
        <v>726</v>
      </c>
    </row>
    <row r="78" spans="11:11">
      <c r="K78" s="830" t="s">
        <v>1588</v>
      </c>
    </row>
    <row r="79" spans="11:11">
      <c r="K79" s="830" t="s">
        <v>684</v>
      </c>
    </row>
    <row r="80" spans="11:11">
      <c r="K80" s="830" t="s">
        <v>1589</v>
      </c>
    </row>
    <row r="81" spans="11:11">
      <c r="K81" s="830" t="s">
        <v>1590</v>
      </c>
    </row>
    <row r="82" spans="11:11">
      <c r="K82" s="830" t="s">
        <v>1296</v>
      </c>
    </row>
    <row r="83" spans="11:11">
      <c r="K83" s="830" t="s">
        <v>1591</v>
      </c>
    </row>
    <row r="84" spans="11:11">
      <c r="K84" s="830" t="s">
        <v>1592</v>
      </c>
    </row>
    <row r="85" spans="11:11">
      <c r="K85" s="830" t="s">
        <v>1593</v>
      </c>
    </row>
    <row r="86" spans="11:11">
      <c r="K86" s="830" t="s">
        <v>1594</v>
      </c>
    </row>
    <row r="87" spans="11:11">
      <c r="K87" s="830" t="s">
        <v>1595</v>
      </c>
    </row>
    <row r="88" spans="11:11">
      <c r="K88" s="830" t="s">
        <v>1596</v>
      </c>
    </row>
    <row r="89" spans="11:11">
      <c r="K89" s="830" t="s">
        <v>1597</v>
      </c>
    </row>
    <row r="90" spans="11:11">
      <c r="K90" s="830" t="s">
        <v>1598</v>
      </c>
    </row>
    <row r="91" spans="11:11">
      <c r="K91" s="830" t="s">
        <v>1599</v>
      </c>
    </row>
    <row r="92" spans="11:11">
      <c r="K92" s="830" t="s">
        <v>1600</v>
      </c>
    </row>
    <row r="93" spans="11:11">
      <c r="K93" s="830" t="s">
        <v>1601</v>
      </c>
    </row>
    <row r="94" spans="11:11">
      <c r="K94" s="830" t="s">
        <v>1602</v>
      </c>
    </row>
    <row r="95" spans="11:11">
      <c r="K95" s="830" t="s">
        <v>1070</v>
      </c>
    </row>
    <row r="96" spans="11:11">
      <c r="K96" s="830" t="s">
        <v>1603</v>
      </c>
    </row>
    <row r="97" spans="11:11">
      <c r="K97" s="830" t="s">
        <v>911</v>
      </c>
    </row>
    <row r="98" spans="11:11">
      <c r="K98" s="830" t="s">
        <v>1604</v>
      </c>
    </row>
    <row r="99" spans="11:11">
      <c r="K99" s="830" t="s">
        <v>1606</v>
      </c>
    </row>
    <row r="100" spans="11:11">
      <c r="K100" s="830" t="s">
        <v>1607</v>
      </c>
    </row>
    <row r="101" spans="11:11">
      <c r="K101" s="830" t="s">
        <v>1609</v>
      </c>
    </row>
    <row r="102" spans="11:11">
      <c r="K102" s="830" t="s">
        <v>1611</v>
      </c>
    </row>
    <row r="103" spans="11:11">
      <c r="K103" s="830" t="s">
        <v>1612</v>
      </c>
    </row>
    <row r="104" spans="11:11">
      <c r="K104" s="830" t="s">
        <v>1613</v>
      </c>
    </row>
    <row r="105" spans="11:11">
      <c r="K105" s="830" t="s">
        <v>1108</v>
      </c>
    </row>
    <row r="106" spans="11:11">
      <c r="K106" s="830" t="s">
        <v>919</v>
      </c>
    </row>
    <row r="107" spans="11:11">
      <c r="K107" s="830" t="s">
        <v>915</v>
      </c>
    </row>
    <row r="108" spans="11:11">
      <c r="K108" s="830" t="s">
        <v>1615</v>
      </c>
    </row>
    <row r="109" spans="11:11">
      <c r="K109" s="830" t="s">
        <v>1616</v>
      </c>
    </row>
    <row r="110" spans="11:11">
      <c r="K110" s="830" t="s">
        <v>1618</v>
      </c>
    </row>
    <row r="111" spans="11:11">
      <c r="K111" s="830" t="s">
        <v>1323</v>
      </c>
    </row>
    <row r="112" spans="11:11">
      <c r="K112" s="830" t="s">
        <v>1160</v>
      </c>
    </row>
    <row r="113" spans="11:11">
      <c r="K113" s="830" t="s">
        <v>927</v>
      </c>
    </row>
    <row r="114" spans="11:11">
      <c r="K114" s="830" t="s">
        <v>1619</v>
      </c>
    </row>
    <row r="115" spans="11:11">
      <c r="K115" s="830" t="s">
        <v>1620</v>
      </c>
    </row>
    <row r="116" spans="11:11">
      <c r="K116" s="830" t="s">
        <v>722</v>
      </c>
    </row>
    <row r="117" spans="11:11">
      <c r="K117" s="830" t="s">
        <v>1621</v>
      </c>
    </row>
    <row r="118" spans="11:11">
      <c r="K118" s="830" t="s">
        <v>1622</v>
      </c>
    </row>
    <row r="119" spans="11:11">
      <c r="K119" s="830" t="s">
        <v>1623</v>
      </c>
    </row>
    <row r="120" spans="11:11">
      <c r="K120" s="830" t="s">
        <v>1226</v>
      </c>
    </row>
    <row r="121" spans="11:11">
      <c r="K121" s="830" t="s">
        <v>1624</v>
      </c>
    </row>
    <row r="122" spans="11:11">
      <c r="K122" s="830" t="s">
        <v>1625</v>
      </c>
    </row>
    <row r="123" spans="11:11">
      <c r="K123" s="830" t="s">
        <v>947</v>
      </c>
    </row>
    <row r="124" spans="11:11">
      <c r="K124" s="830" t="s">
        <v>1626</v>
      </c>
    </row>
    <row r="125" spans="11:11">
      <c r="K125" s="830" t="s">
        <v>1627</v>
      </c>
    </row>
    <row r="126" spans="11:11">
      <c r="K126" s="830" t="s">
        <v>1628</v>
      </c>
    </row>
    <row r="127" spans="11:11">
      <c r="K127" s="830" t="s">
        <v>1629</v>
      </c>
    </row>
    <row r="128" spans="11:11">
      <c r="K128" s="830" t="s">
        <v>1630</v>
      </c>
    </row>
    <row r="129" spans="11:11">
      <c r="K129" s="830" t="s">
        <v>1632</v>
      </c>
    </row>
    <row r="130" spans="11:11">
      <c r="K130" s="830" t="s">
        <v>1172</v>
      </c>
    </row>
    <row r="131" spans="11:11">
      <c r="K131" s="830" t="s">
        <v>1633</v>
      </c>
    </row>
    <row r="132" spans="11:11">
      <c r="K132" s="830" t="s">
        <v>733</v>
      </c>
    </row>
    <row r="133" spans="11:11">
      <c r="K133" s="830" t="s">
        <v>1634</v>
      </c>
    </row>
    <row r="134" spans="11:11">
      <c r="K134" s="830" t="s">
        <v>799</v>
      </c>
    </row>
    <row r="135" spans="11:11">
      <c r="K135" s="830" t="s">
        <v>1635</v>
      </c>
    </row>
    <row r="136" spans="11:11">
      <c r="K136" s="830" t="s">
        <v>1065</v>
      </c>
    </row>
    <row r="137" spans="11:11">
      <c r="K137" s="830" t="s">
        <v>1050</v>
      </c>
    </row>
    <row r="138" spans="11:11">
      <c r="K138" s="830" t="s">
        <v>1636</v>
      </c>
    </row>
    <row r="139" spans="11:11">
      <c r="K139" s="830" t="s">
        <v>1637</v>
      </c>
    </row>
    <row r="140" spans="11:11">
      <c r="K140" s="830" t="s">
        <v>912</v>
      </c>
    </row>
    <row r="141" spans="11:11">
      <c r="K141" s="830" t="s">
        <v>1638</v>
      </c>
    </row>
    <row r="142" spans="11:11">
      <c r="K142" s="830" t="s">
        <v>1639</v>
      </c>
    </row>
    <row r="143" spans="11:11">
      <c r="K143" s="830" t="s">
        <v>1640</v>
      </c>
    </row>
    <row r="144" spans="11:11">
      <c r="K144" s="830" t="s">
        <v>1641</v>
      </c>
    </row>
    <row r="145" spans="11:11">
      <c r="K145" s="830" t="s">
        <v>1642</v>
      </c>
    </row>
    <row r="146" spans="11:11">
      <c r="K146" s="830" t="s">
        <v>909</v>
      </c>
    </row>
    <row r="147" spans="11:11">
      <c r="K147" s="830" t="s">
        <v>1643</v>
      </c>
    </row>
    <row r="148" spans="11:11">
      <c r="K148" s="830" t="s">
        <v>1645</v>
      </c>
    </row>
    <row r="149" spans="11:11">
      <c r="K149" s="830" t="s">
        <v>1647</v>
      </c>
    </row>
    <row r="150" spans="11:11">
      <c r="K150" s="830" t="s">
        <v>1056</v>
      </c>
    </row>
    <row r="151" spans="11:11">
      <c r="K151" s="830" t="s">
        <v>1648</v>
      </c>
    </row>
    <row r="152" spans="11:11">
      <c r="K152" s="830" t="s">
        <v>1649</v>
      </c>
    </row>
    <row r="153" spans="11:11">
      <c r="K153" s="830" t="s">
        <v>1650</v>
      </c>
    </row>
    <row r="154" spans="11:11">
      <c r="K154" s="830" t="s">
        <v>1651</v>
      </c>
    </row>
    <row r="155" spans="11:11">
      <c r="K155" s="830" t="s">
        <v>1146</v>
      </c>
    </row>
    <row r="156" spans="11:11">
      <c r="K156" s="830" t="s">
        <v>1652</v>
      </c>
    </row>
    <row r="157" spans="11:11">
      <c r="K157" s="830" t="s">
        <v>1653</v>
      </c>
    </row>
    <row r="158" spans="11:11">
      <c r="K158" s="830" t="s">
        <v>1654</v>
      </c>
    </row>
    <row r="159" spans="11:11">
      <c r="K159" s="830" t="s">
        <v>1655</v>
      </c>
    </row>
    <row r="160" spans="11:11">
      <c r="K160" s="830" t="s">
        <v>1656</v>
      </c>
    </row>
    <row r="161" spans="11:11">
      <c r="K161" s="830" t="s">
        <v>1657</v>
      </c>
    </row>
    <row r="162" spans="11:11">
      <c r="K162" s="830" t="s">
        <v>1214</v>
      </c>
    </row>
    <row r="163" spans="11:11">
      <c r="K163" s="830" t="s">
        <v>1658</v>
      </c>
    </row>
    <row r="164" spans="11:11">
      <c r="K164" s="830" t="s">
        <v>1659</v>
      </c>
    </row>
    <row r="165" spans="11:11">
      <c r="K165" s="830" t="s">
        <v>1660</v>
      </c>
    </row>
    <row r="166" spans="11:11">
      <c r="K166" s="830" t="s">
        <v>1661</v>
      </c>
    </row>
    <row r="167" spans="11:11">
      <c r="K167" s="830" t="s">
        <v>1662</v>
      </c>
    </row>
    <row r="168" spans="11:11">
      <c r="K168" s="830" t="s">
        <v>1663</v>
      </c>
    </row>
    <row r="169" spans="11:11">
      <c r="K169" s="830" t="s">
        <v>1664</v>
      </c>
    </row>
    <row r="170" spans="11:11">
      <c r="K170" s="830" t="s">
        <v>710</v>
      </c>
    </row>
    <row r="171" spans="11:11">
      <c r="K171" s="830" t="s">
        <v>1665</v>
      </c>
    </row>
    <row r="172" spans="11:11">
      <c r="K172" s="830" t="s">
        <v>1239</v>
      </c>
    </row>
    <row r="173" spans="11:11">
      <c r="K173" s="830" t="s">
        <v>257</v>
      </c>
    </row>
    <row r="174" spans="11:11">
      <c r="K174" s="830" t="s">
        <v>1666</v>
      </c>
    </row>
    <row r="175" spans="11:11">
      <c r="K175" s="830" t="s">
        <v>246</v>
      </c>
    </row>
    <row r="176" spans="11:11">
      <c r="K176" s="830" t="s">
        <v>1667</v>
      </c>
    </row>
    <row r="177" spans="11:11">
      <c r="K177" s="830" t="s">
        <v>1668</v>
      </c>
    </row>
    <row r="178" spans="11:11">
      <c r="K178" s="830" t="s">
        <v>1669</v>
      </c>
    </row>
    <row r="179" spans="11:11">
      <c r="K179" s="830" t="s">
        <v>1670</v>
      </c>
    </row>
    <row r="180" spans="11:11">
      <c r="K180" s="830" t="s">
        <v>1671</v>
      </c>
    </row>
    <row r="181" spans="11:11">
      <c r="K181" s="830" t="s">
        <v>1672</v>
      </c>
    </row>
    <row r="182" spans="11:11">
      <c r="K182" s="830" t="s">
        <v>262</v>
      </c>
    </row>
    <row r="183" spans="11:11">
      <c r="K183" s="830" t="s">
        <v>1673</v>
      </c>
    </row>
    <row r="184" spans="11:11">
      <c r="K184" s="830" t="s">
        <v>1674</v>
      </c>
    </row>
    <row r="185" spans="11:11">
      <c r="K185" s="830" t="s">
        <v>1676</v>
      </c>
    </row>
    <row r="186" spans="11:11">
      <c r="K186" s="830" t="s">
        <v>1182</v>
      </c>
    </row>
    <row r="187" spans="11:11">
      <c r="K187" s="830" t="s">
        <v>1677</v>
      </c>
    </row>
    <row r="188" spans="11:11">
      <c r="K188" s="830" t="s">
        <v>1678</v>
      </c>
    </row>
    <row r="189" spans="11:11">
      <c r="K189" s="830" t="s">
        <v>1679</v>
      </c>
    </row>
    <row r="190" spans="11:11">
      <c r="K190" s="830" t="s">
        <v>920</v>
      </c>
    </row>
    <row r="191" spans="11:11">
      <c r="K191" s="830" t="s">
        <v>1680</v>
      </c>
    </row>
    <row r="192" spans="11:11">
      <c r="K192" s="830" t="s">
        <v>829</v>
      </c>
    </row>
    <row r="193" spans="11:11">
      <c r="K193" s="830" t="s">
        <v>952</v>
      </c>
    </row>
    <row r="194" spans="11:11">
      <c r="K194" s="830" t="s">
        <v>1681</v>
      </c>
    </row>
    <row r="195" spans="11:11">
      <c r="K195" s="830" t="s">
        <v>1682</v>
      </c>
    </row>
    <row r="196" spans="11:11">
      <c r="K196" s="830" t="s">
        <v>1683</v>
      </c>
    </row>
    <row r="197" spans="11:11">
      <c r="K197" s="830" t="s">
        <v>1684</v>
      </c>
    </row>
    <row r="198" spans="11:11">
      <c r="K198" s="830" t="s">
        <v>1685</v>
      </c>
    </row>
    <row r="199" spans="11:11">
      <c r="K199" s="830" t="s">
        <v>1686</v>
      </c>
    </row>
    <row r="200" spans="11:11">
      <c r="K200" s="830" t="s">
        <v>1687</v>
      </c>
    </row>
    <row r="201" spans="11:11">
      <c r="K201" s="830" t="s">
        <v>1688</v>
      </c>
    </row>
    <row r="202" spans="11:11">
      <c r="K202" s="830" t="s">
        <v>1689</v>
      </c>
    </row>
    <row r="203" spans="11:11">
      <c r="K203" s="830" t="s">
        <v>1690</v>
      </c>
    </row>
    <row r="204" spans="11:11">
      <c r="K204" s="830" t="s">
        <v>1691</v>
      </c>
    </row>
    <row r="205" spans="11:11">
      <c r="K205" s="830" t="s">
        <v>1692</v>
      </c>
    </row>
    <row r="206" spans="11:11">
      <c r="K206" s="830" t="s">
        <v>1693</v>
      </c>
    </row>
    <row r="207" spans="11:11">
      <c r="K207" s="830" t="s">
        <v>1694</v>
      </c>
    </row>
    <row r="208" spans="11:11">
      <c r="K208" s="830" t="s">
        <v>1695</v>
      </c>
    </row>
    <row r="209" spans="11:11">
      <c r="K209" s="830" t="s">
        <v>1696</v>
      </c>
    </row>
    <row r="210" spans="11:11">
      <c r="K210" s="830" t="s">
        <v>1697</v>
      </c>
    </row>
    <row r="211" spans="11:11">
      <c r="K211" s="830" t="s">
        <v>1319</v>
      </c>
    </row>
    <row r="212" spans="11:11">
      <c r="K212" s="830" t="s">
        <v>1698</v>
      </c>
    </row>
    <row r="213" spans="11:11">
      <c r="K213" s="830" t="s">
        <v>1699</v>
      </c>
    </row>
    <row r="214" spans="11:11">
      <c r="K214" s="830" t="s">
        <v>1700</v>
      </c>
    </row>
    <row r="215" spans="11:11">
      <c r="K215" s="830" t="s">
        <v>880</v>
      </c>
    </row>
    <row r="216" spans="11:11">
      <c r="K216" s="830" t="s">
        <v>1701</v>
      </c>
    </row>
    <row r="217" spans="11:11">
      <c r="K217" s="830" t="s">
        <v>1702</v>
      </c>
    </row>
    <row r="218" spans="11:11">
      <c r="K218" s="830" t="s">
        <v>938</v>
      </c>
    </row>
    <row r="219" spans="11:11">
      <c r="K219" s="830" t="s">
        <v>1703</v>
      </c>
    </row>
    <row r="220" spans="11:11">
      <c r="K220" s="830" t="s">
        <v>986</v>
      </c>
    </row>
    <row r="221" spans="11:11">
      <c r="K221" s="830" t="s">
        <v>1012</v>
      </c>
    </row>
    <row r="222" spans="11:11">
      <c r="K222" s="830" t="s">
        <v>1704</v>
      </c>
    </row>
    <row r="223" spans="11:11">
      <c r="K223" s="830" t="s">
        <v>1705</v>
      </c>
    </row>
    <row r="224" spans="11:11">
      <c r="K224" s="830" t="s">
        <v>1224</v>
      </c>
    </row>
    <row r="225" spans="11:11">
      <c r="K225" s="830" t="s">
        <v>1105</v>
      </c>
    </row>
    <row r="226" spans="11:11">
      <c r="K226" s="830" t="s">
        <v>1706</v>
      </c>
    </row>
    <row r="227" spans="11:11">
      <c r="K227" s="830" t="s">
        <v>1707</v>
      </c>
    </row>
    <row r="228" spans="11:11">
      <c r="K228" s="830" t="s">
        <v>1708</v>
      </c>
    </row>
    <row r="229" spans="11:11">
      <c r="K229" s="830" t="s">
        <v>1709</v>
      </c>
    </row>
    <row r="230" spans="11:11">
      <c r="K230" s="830" t="s">
        <v>1710</v>
      </c>
    </row>
    <row r="231" spans="11:11">
      <c r="K231" s="830" t="s">
        <v>1711</v>
      </c>
    </row>
    <row r="232" spans="11:11">
      <c r="K232" s="830" t="s">
        <v>1712</v>
      </c>
    </row>
    <row r="233" spans="11:11">
      <c r="K233" s="830" t="s">
        <v>1713</v>
      </c>
    </row>
    <row r="234" spans="11:11">
      <c r="K234" s="830" t="s">
        <v>1714</v>
      </c>
    </row>
    <row r="235" spans="11:11">
      <c r="K235" s="830" t="s">
        <v>1715</v>
      </c>
    </row>
    <row r="236" spans="11:11">
      <c r="K236" s="830" t="s">
        <v>1716</v>
      </c>
    </row>
    <row r="237" spans="11:11">
      <c r="K237" s="830" t="s">
        <v>747</v>
      </c>
    </row>
    <row r="238" spans="11:11">
      <c r="K238" s="830" t="s">
        <v>1718</v>
      </c>
    </row>
    <row r="239" spans="11:11">
      <c r="K239" s="830" t="s">
        <v>1719</v>
      </c>
    </row>
    <row r="240" spans="11:11">
      <c r="K240" s="830" t="s">
        <v>1720</v>
      </c>
    </row>
    <row r="241" spans="11:11">
      <c r="K241" s="830" t="s">
        <v>1721</v>
      </c>
    </row>
    <row r="242" spans="11:11">
      <c r="K242" s="830" t="s">
        <v>1722</v>
      </c>
    </row>
    <row r="243" spans="11:11">
      <c r="K243" s="830" t="s">
        <v>1723</v>
      </c>
    </row>
    <row r="244" spans="11:11">
      <c r="K244" s="830" t="s">
        <v>1724</v>
      </c>
    </row>
    <row r="245" spans="11:11">
      <c r="K245" s="830" t="s">
        <v>991</v>
      </c>
    </row>
    <row r="246" spans="11:11">
      <c r="K246" s="830" t="s">
        <v>1726</v>
      </c>
    </row>
    <row r="247" spans="11:11">
      <c r="K247" s="830" t="s">
        <v>1727</v>
      </c>
    </row>
    <row r="248" spans="11:11">
      <c r="K248" s="830" t="s">
        <v>1187</v>
      </c>
    </row>
    <row r="249" spans="11:11">
      <c r="K249" s="830" t="s">
        <v>1728</v>
      </c>
    </row>
    <row r="250" spans="11:11">
      <c r="K250" s="830" t="s">
        <v>1729</v>
      </c>
    </row>
    <row r="251" spans="11:11">
      <c r="K251" s="830" t="s">
        <v>1730</v>
      </c>
    </row>
    <row r="252" spans="11:11">
      <c r="K252" s="830" t="s">
        <v>1731</v>
      </c>
    </row>
    <row r="253" spans="11:11">
      <c r="K253" s="830" t="s">
        <v>899</v>
      </c>
    </row>
    <row r="254" spans="11:11">
      <c r="K254" s="830" t="s">
        <v>1732</v>
      </c>
    </row>
    <row r="255" spans="11:11">
      <c r="K255" s="830" t="s">
        <v>855</v>
      </c>
    </row>
    <row r="256" spans="11:11">
      <c r="K256" s="830" t="s">
        <v>1733</v>
      </c>
    </row>
    <row r="257" spans="11:11">
      <c r="K257" s="830" t="s">
        <v>1734</v>
      </c>
    </row>
    <row r="258" spans="11:11">
      <c r="K258" s="830" t="s">
        <v>1735</v>
      </c>
    </row>
    <row r="259" spans="11:11">
      <c r="K259" s="830" t="s">
        <v>1736</v>
      </c>
    </row>
    <row r="260" spans="11:11">
      <c r="K260" s="830" t="s">
        <v>942</v>
      </c>
    </row>
    <row r="261" spans="11:11">
      <c r="K261" s="830" t="s">
        <v>1252</v>
      </c>
    </row>
    <row r="262" spans="11:11">
      <c r="K262" s="830" t="s">
        <v>1264</v>
      </c>
    </row>
    <row r="263" spans="11:11">
      <c r="K263" s="830" t="s">
        <v>997</v>
      </c>
    </row>
    <row r="264" spans="11:11">
      <c r="K264" s="830" t="s">
        <v>965</v>
      </c>
    </row>
    <row r="265" spans="11:11">
      <c r="K265" s="830" t="s">
        <v>1076</v>
      </c>
    </row>
    <row r="266" spans="11:11">
      <c r="K266" s="830" t="s">
        <v>1737</v>
      </c>
    </row>
    <row r="267" spans="11:11">
      <c r="K267" s="830" t="s">
        <v>1738</v>
      </c>
    </row>
    <row r="268" spans="11:11">
      <c r="K268" s="830" t="s">
        <v>1739</v>
      </c>
    </row>
    <row r="269" spans="11:11">
      <c r="K269" s="830" t="s">
        <v>1740</v>
      </c>
    </row>
    <row r="270" spans="11:11">
      <c r="K270" s="830" t="s">
        <v>1741</v>
      </c>
    </row>
    <row r="271" spans="11:11">
      <c r="K271" s="830" t="s">
        <v>1742</v>
      </c>
    </row>
    <row r="272" spans="11:11">
      <c r="K272" s="830" t="s">
        <v>1743</v>
      </c>
    </row>
    <row r="273" spans="11:11">
      <c r="K273" s="830" t="s">
        <v>1744</v>
      </c>
    </row>
    <row r="274" spans="11:11">
      <c r="K274" s="830" t="s">
        <v>1745</v>
      </c>
    </row>
    <row r="275" spans="11:11">
      <c r="K275" s="830" t="s">
        <v>1044</v>
      </c>
    </row>
    <row r="276" spans="11:11">
      <c r="K276" s="830" t="s">
        <v>1746</v>
      </c>
    </row>
    <row r="277" spans="11:11">
      <c r="K277" s="830" t="s">
        <v>1747</v>
      </c>
    </row>
    <row r="278" spans="11:11">
      <c r="K278" s="830" t="s">
        <v>1029</v>
      </c>
    </row>
    <row r="279" spans="11:11">
      <c r="K279" s="830" t="s">
        <v>1748</v>
      </c>
    </row>
    <row r="280" spans="11:11">
      <c r="K280" s="830" t="s">
        <v>1749</v>
      </c>
    </row>
    <row r="281" spans="11:11">
      <c r="K281" s="830" t="s">
        <v>1750</v>
      </c>
    </row>
    <row r="282" spans="11:11">
      <c r="K282" s="830" t="s">
        <v>1751</v>
      </c>
    </row>
    <row r="283" spans="11:11">
      <c r="K283" s="830" t="s">
        <v>1752</v>
      </c>
    </row>
    <row r="284" spans="11:11">
      <c r="K284" s="830" t="s">
        <v>1753</v>
      </c>
    </row>
    <row r="285" spans="11:11">
      <c r="K285" s="830" t="s">
        <v>265</v>
      </c>
    </row>
    <row r="286" spans="11:11">
      <c r="K286" s="830" t="s">
        <v>1754</v>
      </c>
    </row>
    <row r="287" spans="11:11">
      <c r="K287" s="830" t="s">
        <v>1755</v>
      </c>
    </row>
    <row r="288" spans="11:11">
      <c r="K288" s="830" t="s">
        <v>1756</v>
      </c>
    </row>
    <row r="289" spans="11:11">
      <c r="K289" s="830" t="s">
        <v>1757</v>
      </c>
    </row>
    <row r="290" spans="11:11">
      <c r="K290" s="830" t="s">
        <v>926</v>
      </c>
    </row>
    <row r="291" spans="11:11">
      <c r="K291" s="830" t="s">
        <v>1758</v>
      </c>
    </row>
    <row r="292" spans="11:11">
      <c r="K292" s="830" t="s">
        <v>1759</v>
      </c>
    </row>
    <row r="293" spans="11:11">
      <c r="K293" s="830" t="s">
        <v>1359</v>
      </c>
    </row>
    <row r="294" spans="11:11">
      <c r="K294" s="830" t="s">
        <v>1760</v>
      </c>
    </row>
    <row r="295" spans="11:11">
      <c r="K295" s="830" t="s">
        <v>1761</v>
      </c>
    </row>
    <row r="296" spans="11:11">
      <c r="K296" s="830" t="s">
        <v>717</v>
      </c>
    </row>
    <row r="297" spans="11:11">
      <c r="K297" s="830" t="s">
        <v>1762</v>
      </c>
    </row>
    <row r="298" spans="11:11">
      <c r="K298" s="830" t="s">
        <v>904</v>
      </c>
    </row>
    <row r="299" spans="11:11">
      <c r="K299" s="830" t="s">
        <v>1000</v>
      </c>
    </row>
    <row r="300" spans="11:11">
      <c r="K300" s="830" t="s">
        <v>1763</v>
      </c>
    </row>
    <row r="301" spans="11:11">
      <c r="K301" s="830" t="s">
        <v>1764</v>
      </c>
    </row>
    <row r="302" spans="11:11">
      <c r="K302" s="830" t="s">
        <v>1765</v>
      </c>
    </row>
    <row r="303" spans="11:11">
      <c r="K303" s="830" t="s">
        <v>1766</v>
      </c>
    </row>
    <row r="304" spans="11:11">
      <c r="K304" s="830" t="s">
        <v>1140</v>
      </c>
    </row>
    <row r="305" spans="11:11">
      <c r="K305" s="830" t="s">
        <v>1767</v>
      </c>
    </row>
    <row r="306" spans="11:11">
      <c r="K306" s="830" t="s">
        <v>1768</v>
      </c>
    </row>
    <row r="307" spans="11:11">
      <c r="K307" s="830" t="s">
        <v>1769</v>
      </c>
    </row>
    <row r="308" spans="11:11">
      <c r="K308" s="830" t="s">
        <v>1066</v>
      </c>
    </row>
    <row r="309" spans="11:11">
      <c r="K309" s="830" t="s">
        <v>1770</v>
      </c>
    </row>
    <row r="310" spans="11:11">
      <c r="K310" s="830" t="s">
        <v>1771</v>
      </c>
    </row>
    <row r="311" spans="11:11">
      <c r="K311" s="830" t="s">
        <v>980</v>
      </c>
    </row>
    <row r="312" spans="11:11">
      <c r="K312" s="830" t="s">
        <v>1772</v>
      </c>
    </row>
    <row r="313" spans="11:11">
      <c r="K313" s="830" t="s">
        <v>1099</v>
      </c>
    </row>
    <row r="314" spans="11:11">
      <c r="K314" s="830" t="s">
        <v>1250</v>
      </c>
    </row>
    <row r="315" spans="11:11">
      <c r="K315" s="830" t="s">
        <v>1773</v>
      </c>
    </row>
    <row r="316" spans="11:11">
      <c r="K316" s="830" t="s">
        <v>976</v>
      </c>
    </row>
    <row r="317" spans="11:11">
      <c r="K317" s="830" t="s">
        <v>1774</v>
      </c>
    </row>
    <row r="318" spans="11:11">
      <c r="K318" s="830" t="s">
        <v>1775</v>
      </c>
    </row>
    <row r="319" spans="11:11">
      <c r="K319" s="830" t="s">
        <v>1776</v>
      </c>
    </row>
    <row r="320" spans="11:11">
      <c r="K320" s="830" t="s">
        <v>1077</v>
      </c>
    </row>
    <row r="321" spans="11:11">
      <c r="K321" s="830" t="s">
        <v>1777</v>
      </c>
    </row>
    <row r="322" spans="11:11">
      <c r="K322" s="830" t="s">
        <v>1778</v>
      </c>
    </row>
    <row r="323" spans="11:11">
      <c r="K323" s="830" t="s">
        <v>974</v>
      </c>
    </row>
    <row r="324" spans="11:11">
      <c r="K324" s="830" t="s">
        <v>1779</v>
      </c>
    </row>
    <row r="325" spans="11:11">
      <c r="K325" s="830" t="s">
        <v>811</v>
      </c>
    </row>
    <row r="326" spans="11:11">
      <c r="K326" s="830" t="s">
        <v>951</v>
      </c>
    </row>
    <row r="327" spans="11:11">
      <c r="K327" s="830" t="s">
        <v>1780</v>
      </c>
    </row>
    <row r="328" spans="11:11">
      <c r="K328" s="830" t="s">
        <v>1781</v>
      </c>
    </row>
    <row r="329" spans="11:11">
      <c r="K329" s="830" t="s">
        <v>1782</v>
      </c>
    </row>
    <row r="330" spans="11:11">
      <c r="K330" s="830" t="s">
        <v>1783</v>
      </c>
    </row>
    <row r="331" spans="11:11">
      <c r="K331" s="830" t="s">
        <v>1784</v>
      </c>
    </row>
    <row r="332" spans="11:11">
      <c r="K332" s="830" t="s">
        <v>1785</v>
      </c>
    </row>
    <row r="333" spans="11:11">
      <c r="K333" s="830" t="s">
        <v>1786</v>
      </c>
    </row>
    <row r="334" spans="11:11">
      <c r="K334" s="830" t="s">
        <v>1787</v>
      </c>
    </row>
    <row r="335" spans="11:11">
      <c r="K335" s="830" t="s">
        <v>267</v>
      </c>
    </row>
    <row r="336" spans="11:11">
      <c r="K336" s="830" t="s">
        <v>1788</v>
      </c>
    </row>
    <row r="337" spans="11:11">
      <c r="K337" s="830" t="s">
        <v>1061</v>
      </c>
    </row>
    <row r="338" spans="11:11">
      <c r="K338" s="830" t="s">
        <v>860</v>
      </c>
    </row>
    <row r="339" spans="11:11">
      <c r="K339" s="830" t="s">
        <v>1789</v>
      </c>
    </row>
    <row r="340" spans="11:11">
      <c r="K340" s="830" t="s">
        <v>1005</v>
      </c>
    </row>
    <row r="341" spans="11:11">
      <c r="K341" s="830" t="s">
        <v>921</v>
      </c>
    </row>
    <row r="342" spans="11:11">
      <c r="K342" s="830" t="s">
        <v>1790</v>
      </c>
    </row>
    <row r="343" spans="11:11">
      <c r="K343" s="830" t="s">
        <v>870</v>
      </c>
    </row>
    <row r="344" spans="11:11">
      <c r="K344" s="830" t="s">
        <v>1791</v>
      </c>
    </row>
    <row r="345" spans="11:11">
      <c r="K345" s="830" t="s">
        <v>1792</v>
      </c>
    </row>
    <row r="346" spans="11:11">
      <c r="K346" s="830" t="s">
        <v>1794</v>
      </c>
    </row>
    <row r="347" spans="11:11">
      <c r="K347" s="830" t="s">
        <v>1795</v>
      </c>
    </row>
    <row r="348" spans="11:11">
      <c r="K348" s="830" t="s">
        <v>1796</v>
      </c>
    </row>
    <row r="349" spans="11:11">
      <c r="K349" s="830" t="s">
        <v>1797</v>
      </c>
    </row>
    <row r="350" spans="11:11">
      <c r="K350" s="830" t="s">
        <v>871</v>
      </c>
    </row>
    <row r="351" spans="11:11">
      <c r="K351" s="830" t="s">
        <v>1798</v>
      </c>
    </row>
    <row r="352" spans="11:11">
      <c r="K352" s="830" t="s">
        <v>1799</v>
      </c>
    </row>
    <row r="353" spans="11:11">
      <c r="K353" s="830" t="s">
        <v>1800</v>
      </c>
    </row>
    <row r="354" spans="11:11">
      <c r="K354" s="830" t="s">
        <v>932</v>
      </c>
    </row>
    <row r="355" spans="11:11">
      <c r="K355" s="830" t="s">
        <v>1802</v>
      </c>
    </row>
    <row r="356" spans="11:11">
      <c r="K356" s="830" t="s">
        <v>1803</v>
      </c>
    </row>
    <row r="357" spans="11:11">
      <c r="K357" s="830" t="s">
        <v>1804</v>
      </c>
    </row>
    <row r="358" spans="11:11">
      <c r="K358" s="830" t="s">
        <v>1805</v>
      </c>
    </row>
    <row r="359" spans="11:11">
      <c r="K359" s="830" t="s">
        <v>1806</v>
      </c>
    </row>
    <row r="360" spans="11:11">
      <c r="K360" s="830" t="s">
        <v>1807</v>
      </c>
    </row>
    <row r="361" spans="11:11">
      <c r="K361" s="830" t="s">
        <v>931</v>
      </c>
    </row>
    <row r="362" spans="11:11">
      <c r="K362" s="830" t="s">
        <v>261</v>
      </c>
    </row>
    <row r="363" spans="11:11">
      <c r="K363" s="830" t="s">
        <v>1809</v>
      </c>
    </row>
    <row r="364" spans="11:11">
      <c r="K364" s="830" t="s">
        <v>1810</v>
      </c>
    </row>
    <row r="365" spans="11:11">
      <c r="K365" s="830" t="s">
        <v>1811</v>
      </c>
    </row>
    <row r="366" spans="11:11">
      <c r="K366" s="830" t="s">
        <v>1812</v>
      </c>
    </row>
    <row r="367" spans="11:11">
      <c r="K367" s="830" t="s">
        <v>1813</v>
      </c>
    </row>
    <row r="368" spans="11:11">
      <c r="K368" s="830" t="s">
        <v>1814</v>
      </c>
    </row>
    <row r="369" spans="11:11">
      <c r="K369" s="830" t="s">
        <v>1815</v>
      </c>
    </row>
    <row r="370" spans="11:11">
      <c r="K370" s="830" t="s">
        <v>859</v>
      </c>
    </row>
    <row r="371" spans="11:11">
      <c r="K371" s="830" t="s">
        <v>1816</v>
      </c>
    </row>
    <row r="372" spans="11:11">
      <c r="K372" s="830" t="s">
        <v>1817</v>
      </c>
    </row>
    <row r="373" spans="11:11">
      <c r="K373" s="830" t="s">
        <v>858</v>
      </c>
    </row>
    <row r="374" spans="11:11">
      <c r="K374" s="830" t="s">
        <v>1818</v>
      </c>
    </row>
    <row r="375" spans="11:11">
      <c r="K375" s="830" t="s">
        <v>1819</v>
      </c>
    </row>
    <row r="376" spans="11:11">
      <c r="K376" s="830" t="s">
        <v>906</v>
      </c>
    </row>
    <row r="377" spans="11:11">
      <c r="K377" s="830" t="s">
        <v>1820</v>
      </c>
    </row>
    <row r="378" spans="11:11">
      <c r="K378" s="830" t="s">
        <v>1821</v>
      </c>
    </row>
    <row r="379" spans="11:11">
      <c r="K379" s="830" t="s">
        <v>1267</v>
      </c>
    </row>
    <row r="380" spans="11:11">
      <c r="K380" s="830" t="s">
        <v>1822</v>
      </c>
    </row>
    <row r="381" spans="11:11">
      <c r="K381" s="830" t="s">
        <v>1823</v>
      </c>
    </row>
    <row r="382" spans="11:11">
      <c r="K382" s="830" t="s">
        <v>1824</v>
      </c>
    </row>
    <row r="383" spans="11:11">
      <c r="K383" s="830" t="s">
        <v>1825</v>
      </c>
    </row>
    <row r="384" spans="11:11">
      <c r="K384" s="830" t="s">
        <v>1826</v>
      </c>
    </row>
    <row r="385" spans="11:11">
      <c r="K385" s="830" t="s">
        <v>1827</v>
      </c>
    </row>
    <row r="386" spans="11:11">
      <c r="K386" s="830" t="s">
        <v>1828</v>
      </c>
    </row>
    <row r="387" spans="11:11">
      <c r="K387" s="830" t="s">
        <v>1829</v>
      </c>
    </row>
    <row r="388" spans="11:11">
      <c r="K388" s="830" t="s">
        <v>1830</v>
      </c>
    </row>
    <row r="389" spans="11:11">
      <c r="K389" s="830" t="s">
        <v>1831</v>
      </c>
    </row>
    <row r="390" spans="11:11">
      <c r="K390" s="830" t="s">
        <v>977</v>
      </c>
    </row>
    <row r="391" spans="11:11">
      <c r="K391" s="830" t="s">
        <v>1832</v>
      </c>
    </row>
    <row r="392" spans="11:11">
      <c r="K392" s="830" t="s">
        <v>939</v>
      </c>
    </row>
    <row r="393" spans="11:11">
      <c r="K393" s="830" t="s">
        <v>801</v>
      </c>
    </row>
    <row r="394" spans="11:11">
      <c r="K394" s="830" t="s">
        <v>1834</v>
      </c>
    </row>
    <row r="395" spans="11:11">
      <c r="K395" s="830" t="s">
        <v>905</v>
      </c>
    </row>
    <row r="396" spans="11:11">
      <c r="K396" s="830" t="s">
        <v>776</v>
      </c>
    </row>
    <row r="397" spans="11:11">
      <c r="K397" s="830" t="s">
        <v>769</v>
      </c>
    </row>
    <row r="398" spans="11:11">
      <c r="K398" s="830" t="s">
        <v>817</v>
      </c>
    </row>
    <row r="399" spans="11:11">
      <c r="K399" s="830" t="s">
        <v>1835</v>
      </c>
    </row>
    <row r="400" spans="11:11">
      <c r="K400" s="830" t="s">
        <v>1836</v>
      </c>
    </row>
    <row r="401" spans="11:11">
      <c r="K401" s="830" t="s">
        <v>1837</v>
      </c>
    </row>
    <row r="402" spans="11:11">
      <c r="K402" s="830" t="s">
        <v>1838</v>
      </c>
    </row>
    <row r="403" spans="11:11">
      <c r="K403" s="830" t="s">
        <v>1839</v>
      </c>
    </row>
    <row r="404" spans="11:11">
      <c r="K404" s="830" t="s">
        <v>1003</v>
      </c>
    </row>
    <row r="405" spans="11:11">
      <c r="K405" s="830" t="s">
        <v>1840</v>
      </c>
    </row>
    <row r="406" spans="11:11">
      <c r="K406" s="830" t="s">
        <v>1144</v>
      </c>
    </row>
    <row r="407" spans="11:11">
      <c r="K407" s="830" t="s">
        <v>1002</v>
      </c>
    </row>
    <row r="408" spans="11:11">
      <c r="K408" s="830" t="s">
        <v>1841</v>
      </c>
    </row>
    <row r="409" spans="11:11">
      <c r="K409" s="830" t="s">
        <v>802</v>
      </c>
    </row>
    <row r="410" spans="11:11">
      <c r="K410" s="830" t="s">
        <v>1090</v>
      </c>
    </row>
    <row r="411" spans="11:11">
      <c r="K411" s="830" t="s">
        <v>1842</v>
      </c>
    </row>
    <row r="412" spans="11:11">
      <c r="K412" s="830" t="s">
        <v>1843</v>
      </c>
    </row>
    <row r="413" spans="11:11">
      <c r="K413" s="830" t="s">
        <v>940</v>
      </c>
    </row>
    <row r="414" spans="11:11">
      <c r="K414" s="830" t="s">
        <v>1844</v>
      </c>
    </row>
    <row r="415" spans="11:11">
      <c r="K415" s="830" t="s">
        <v>1845</v>
      </c>
    </row>
    <row r="416" spans="11:11">
      <c r="K416" s="830" t="s">
        <v>1023</v>
      </c>
    </row>
    <row r="417" spans="11:11">
      <c r="K417" s="830" t="s">
        <v>1846</v>
      </c>
    </row>
    <row r="418" spans="11:11">
      <c r="K418" s="830" t="s">
        <v>1847</v>
      </c>
    </row>
    <row r="419" spans="11:11">
      <c r="K419" s="830" t="s">
        <v>732</v>
      </c>
    </row>
    <row r="420" spans="11:11">
      <c r="K420" s="830" t="s">
        <v>1848</v>
      </c>
    </row>
    <row r="421" spans="11:11">
      <c r="K421" s="830" t="s">
        <v>1849</v>
      </c>
    </row>
    <row r="422" spans="11:11">
      <c r="K422" s="830" t="s">
        <v>946</v>
      </c>
    </row>
    <row r="423" spans="11:11">
      <c r="K423" s="830" t="s">
        <v>1850</v>
      </c>
    </row>
    <row r="424" spans="11:11">
      <c r="K424" s="830" t="s">
        <v>1001</v>
      </c>
    </row>
    <row r="425" spans="11:11">
      <c r="K425" s="830" t="s">
        <v>1851</v>
      </c>
    </row>
    <row r="426" spans="11:11">
      <c r="K426" s="830" t="s">
        <v>1852</v>
      </c>
    </row>
    <row r="427" spans="11:11">
      <c r="K427" s="830" t="s">
        <v>895</v>
      </c>
    </row>
    <row r="428" spans="11:11">
      <c r="K428" s="830" t="s">
        <v>1120</v>
      </c>
    </row>
    <row r="429" spans="11:11">
      <c r="K429" s="830" t="s">
        <v>950</v>
      </c>
    </row>
    <row r="430" spans="11:11">
      <c r="K430" s="830" t="s">
        <v>1853</v>
      </c>
    </row>
    <row r="431" spans="11:11">
      <c r="K431" s="830" t="s">
        <v>1854</v>
      </c>
    </row>
    <row r="432" spans="11:11">
      <c r="K432" s="830" t="s">
        <v>830</v>
      </c>
    </row>
    <row r="433" spans="11:11">
      <c r="K433" s="830" t="s">
        <v>1855</v>
      </c>
    </row>
    <row r="434" spans="11:11">
      <c r="K434" s="830" t="s">
        <v>1856</v>
      </c>
    </row>
    <row r="435" spans="11:11">
      <c r="K435" s="830" t="s">
        <v>1857</v>
      </c>
    </row>
    <row r="436" spans="11:11">
      <c r="K436" s="830" t="s">
        <v>1858</v>
      </c>
    </row>
    <row r="437" spans="11:11">
      <c r="K437" s="830" t="s">
        <v>979</v>
      </c>
    </row>
    <row r="438" spans="11:11">
      <c r="K438" s="830" t="s">
        <v>1859</v>
      </c>
    </row>
    <row r="439" spans="11:11">
      <c r="K439" s="830" t="s">
        <v>890</v>
      </c>
    </row>
    <row r="440" spans="11:11">
      <c r="K440" s="830" t="s">
        <v>1086</v>
      </c>
    </row>
    <row r="441" spans="11:11">
      <c r="K441" s="830" t="s">
        <v>945</v>
      </c>
    </row>
    <row r="442" spans="11:11">
      <c r="K442" s="830" t="s">
        <v>1860</v>
      </c>
    </row>
    <row r="443" spans="11:11">
      <c r="K443" s="830" t="s">
        <v>1862</v>
      </c>
    </row>
    <row r="444" spans="11:11">
      <c r="K444" s="830" t="s">
        <v>679</v>
      </c>
    </row>
    <row r="445" spans="11:11">
      <c r="K445" s="830" t="s">
        <v>1863</v>
      </c>
    </row>
    <row r="446" spans="11:11">
      <c r="K446" s="830" t="s">
        <v>1864</v>
      </c>
    </row>
    <row r="447" spans="11:11">
      <c r="K447" s="830" t="s">
        <v>1865</v>
      </c>
    </row>
    <row r="448" spans="11:11">
      <c r="K448" s="830" t="s">
        <v>1866</v>
      </c>
    </row>
    <row r="449" spans="11:11">
      <c r="K449" s="830" t="s">
        <v>1867</v>
      </c>
    </row>
    <row r="450" spans="11:11">
      <c r="K450" s="830" t="s">
        <v>1868</v>
      </c>
    </row>
    <row r="451" spans="11:11">
      <c r="K451" s="830" t="s">
        <v>1869</v>
      </c>
    </row>
    <row r="452" spans="11:11">
      <c r="K452" s="830" t="s">
        <v>1197</v>
      </c>
    </row>
    <row r="453" spans="11:11">
      <c r="K453" s="830" t="s">
        <v>1870</v>
      </c>
    </row>
    <row r="454" spans="11:11">
      <c r="K454" s="830" t="s">
        <v>1871</v>
      </c>
    </row>
    <row r="455" spans="11:11">
      <c r="K455" s="830" t="s">
        <v>1872</v>
      </c>
    </row>
    <row r="456" spans="11:11">
      <c r="K456" s="830" t="s">
        <v>1873</v>
      </c>
    </row>
    <row r="457" spans="11:11">
      <c r="K457" s="830" t="s">
        <v>1874</v>
      </c>
    </row>
    <row r="458" spans="11:11">
      <c r="K458" s="830" t="s">
        <v>1875</v>
      </c>
    </row>
    <row r="459" spans="11:11">
      <c r="K459" s="830" t="s">
        <v>1876</v>
      </c>
    </row>
    <row r="460" spans="11:11">
      <c r="K460" s="830" t="s">
        <v>1877</v>
      </c>
    </row>
    <row r="461" spans="11:11">
      <c r="K461" s="830" t="s">
        <v>1878</v>
      </c>
    </row>
    <row r="462" spans="11:11">
      <c r="K462" s="830" t="s">
        <v>1025</v>
      </c>
    </row>
    <row r="463" spans="11:11">
      <c r="K463" s="830" t="s">
        <v>1879</v>
      </c>
    </row>
    <row r="464" spans="11:11">
      <c r="K464" s="830" t="s">
        <v>990</v>
      </c>
    </row>
    <row r="465" spans="11:11">
      <c r="K465" s="830" t="s">
        <v>1880</v>
      </c>
    </row>
    <row r="466" spans="11:11">
      <c r="K466" s="830" t="s">
        <v>1881</v>
      </c>
    </row>
    <row r="467" spans="11:11">
      <c r="K467" s="830" t="s">
        <v>1882</v>
      </c>
    </row>
    <row r="468" spans="11:11">
      <c r="K468" s="830" t="s">
        <v>1883</v>
      </c>
    </row>
    <row r="469" spans="11:11">
      <c r="K469" s="830" t="s">
        <v>865</v>
      </c>
    </row>
    <row r="470" spans="11:11">
      <c r="K470" s="830" t="s">
        <v>1042</v>
      </c>
    </row>
    <row r="471" spans="11:11">
      <c r="K471" s="830" t="s">
        <v>1884</v>
      </c>
    </row>
    <row r="472" spans="11:11">
      <c r="K472" s="830" t="s">
        <v>1885</v>
      </c>
    </row>
    <row r="473" spans="11:11">
      <c r="K473" s="830" t="s">
        <v>987</v>
      </c>
    </row>
    <row r="474" spans="11:11">
      <c r="K474" s="830" t="s">
        <v>913</v>
      </c>
    </row>
    <row r="475" spans="11:11">
      <c r="K475" s="830" t="s">
        <v>1886</v>
      </c>
    </row>
    <row r="476" spans="11:11">
      <c r="K476" s="830" t="s">
        <v>1887</v>
      </c>
    </row>
    <row r="477" spans="11:11">
      <c r="K477" s="830" t="s">
        <v>1889</v>
      </c>
    </row>
    <row r="478" spans="11:11">
      <c r="K478" s="830" t="s">
        <v>1890</v>
      </c>
    </row>
    <row r="479" spans="11:11">
      <c r="K479" s="830" t="s">
        <v>1891</v>
      </c>
    </row>
    <row r="480" spans="11:11">
      <c r="K480" s="830" t="s">
        <v>1892</v>
      </c>
    </row>
    <row r="481" spans="11:11">
      <c r="K481" s="830" t="s">
        <v>1893</v>
      </c>
    </row>
    <row r="482" spans="11:11">
      <c r="K482" s="830" t="s">
        <v>1894</v>
      </c>
    </row>
    <row r="483" spans="11:11">
      <c r="K483" s="830" t="s">
        <v>1895</v>
      </c>
    </row>
    <row r="484" spans="11:11">
      <c r="K484" s="830" t="s">
        <v>1896</v>
      </c>
    </row>
    <row r="485" spans="11:11">
      <c r="K485" s="830" t="s">
        <v>1897</v>
      </c>
    </row>
    <row r="486" spans="11:11">
      <c r="K486" s="830" t="s">
        <v>1075</v>
      </c>
    </row>
    <row r="487" spans="11:11">
      <c r="K487" s="830" t="s">
        <v>891</v>
      </c>
    </row>
    <row r="488" spans="11:11">
      <c r="K488" s="830" t="s">
        <v>1898</v>
      </c>
    </row>
    <row r="489" spans="11:11">
      <c r="K489" s="830" t="s">
        <v>1899</v>
      </c>
    </row>
    <row r="490" spans="11:11">
      <c r="K490" s="830" t="s">
        <v>1900</v>
      </c>
    </row>
    <row r="491" spans="11:11">
      <c r="K491" s="830" t="s">
        <v>1901</v>
      </c>
    </row>
    <row r="492" spans="11:11">
      <c r="K492" s="830" t="s">
        <v>1902</v>
      </c>
    </row>
    <row r="493" spans="11:11">
      <c r="K493" s="830" t="s">
        <v>1903</v>
      </c>
    </row>
    <row r="494" spans="11:11">
      <c r="K494" s="830" t="s">
        <v>1904</v>
      </c>
    </row>
    <row r="495" spans="11:11">
      <c r="K495" s="830" t="s">
        <v>1232</v>
      </c>
    </row>
    <row r="496" spans="11:11">
      <c r="K496" s="830" t="s">
        <v>1905</v>
      </c>
    </row>
    <row r="497" spans="11:11">
      <c r="K497" s="830" t="s">
        <v>1906</v>
      </c>
    </row>
    <row r="498" spans="11:11">
      <c r="K498" s="830" t="s">
        <v>1006</v>
      </c>
    </row>
    <row r="499" spans="11:11">
      <c r="K499" s="830" t="s">
        <v>957</v>
      </c>
    </row>
    <row r="500" spans="11:11">
      <c r="K500" s="830" t="s">
        <v>1100</v>
      </c>
    </row>
    <row r="501" spans="11:11">
      <c r="K501" s="830" t="s">
        <v>1907</v>
      </c>
    </row>
    <row r="502" spans="11:11">
      <c r="K502" s="830" t="s">
        <v>1219</v>
      </c>
    </row>
    <row r="503" spans="11:11">
      <c r="K503" s="830" t="s">
        <v>1908</v>
      </c>
    </row>
    <row r="504" spans="11:11">
      <c r="K504" s="830" t="s">
        <v>1909</v>
      </c>
    </row>
    <row r="505" spans="11:11">
      <c r="K505" s="830" t="s">
        <v>269</v>
      </c>
    </row>
    <row r="506" spans="11:11">
      <c r="K506" s="830" t="s">
        <v>1910</v>
      </c>
    </row>
    <row r="507" spans="11:11">
      <c r="K507" s="830" t="s">
        <v>1911</v>
      </c>
    </row>
    <row r="508" spans="11:11">
      <c r="K508" s="830" t="s">
        <v>1198</v>
      </c>
    </row>
    <row r="509" spans="11:11">
      <c r="K509" s="830" t="s">
        <v>1008</v>
      </c>
    </row>
    <row r="510" spans="11:11">
      <c r="K510" s="830" t="s">
        <v>1912</v>
      </c>
    </row>
    <row r="511" spans="11:11">
      <c r="K511" s="830" t="s">
        <v>763</v>
      </c>
    </row>
    <row r="512" spans="11:11">
      <c r="K512" s="830" t="s">
        <v>1913</v>
      </c>
    </row>
    <row r="513" spans="11:11">
      <c r="K513" s="830" t="s">
        <v>1914</v>
      </c>
    </row>
    <row r="514" spans="11:11">
      <c r="K514" s="830" t="s">
        <v>1915</v>
      </c>
    </row>
    <row r="515" spans="11:11">
      <c r="K515" s="830" t="s">
        <v>1916</v>
      </c>
    </row>
    <row r="516" spans="11:11">
      <c r="K516" s="830" t="s">
        <v>1917</v>
      </c>
    </row>
    <row r="517" spans="11:11">
      <c r="K517" s="830" t="s">
        <v>1918</v>
      </c>
    </row>
    <row r="518" spans="11:11">
      <c r="K518" s="830" t="s">
        <v>1919</v>
      </c>
    </row>
    <row r="519" spans="11:11">
      <c r="K519" s="830" t="s">
        <v>1920</v>
      </c>
    </row>
    <row r="520" spans="11:11">
      <c r="K520" s="830" t="s">
        <v>1921</v>
      </c>
    </row>
    <row r="521" spans="11:11">
      <c r="K521" s="830" t="s">
        <v>1922</v>
      </c>
    </row>
    <row r="522" spans="11:11">
      <c r="K522" s="830" t="s">
        <v>1923</v>
      </c>
    </row>
    <row r="523" spans="11:11">
      <c r="K523" s="830" t="s">
        <v>1924</v>
      </c>
    </row>
    <row r="524" spans="11:11">
      <c r="K524" s="830" t="s">
        <v>1925</v>
      </c>
    </row>
    <row r="525" spans="11:11">
      <c r="K525" s="830" t="s">
        <v>1926</v>
      </c>
    </row>
    <row r="526" spans="11:11">
      <c r="K526" s="830" t="s">
        <v>1927</v>
      </c>
    </row>
    <row r="527" spans="11:11">
      <c r="K527" s="830" t="s">
        <v>1928</v>
      </c>
    </row>
    <row r="528" spans="11:11">
      <c r="K528" s="830" t="s">
        <v>902</v>
      </c>
    </row>
    <row r="529" spans="11:11">
      <c r="K529" s="830" t="s">
        <v>888</v>
      </c>
    </row>
    <row r="530" spans="11:11">
      <c r="K530" s="830" t="s">
        <v>1929</v>
      </c>
    </row>
    <row r="531" spans="11:11">
      <c r="K531" s="830" t="s">
        <v>1931</v>
      </c>
    </row>
    <row r="532" spans="11:11">
      <c r="K532" s="830" t="s">
        <v>1932</v>
      </c>
    </row>
    <row r="533" spans="11:11">
      <c r="K533" s="830" t="s">
        <v>1933</v>
      </c>
    </row>
    <row r="534" spans="11:11">
      <c r="K534" s="830" t="s">
        <v>1934</v>
      </c>
    </row>
    <row r="535" spans="11:11">
      <c r="K535" s="830" t="s">
        <v>1935</v>
      </c>
    </row>
    <row r="536" spans="11:11">
      <c r="K536" s="830" t="s">
        <v>1936</v>
      </c>
    </row>
    <row r="537" spans="11:11">
      <c r="K537" s="830" t="s">
        <v>1937</v>
      </c>
    </row>
    <row r="538" spans="11:11">
      <c r="K538" s="830" t="s">
        <v>1938</v>
      </c>
    </row>
    <row r="539" spans="11:11">
      <c r="K539" s="830" t="s">
        <v>1939</v>
      </c>
    </row>
    <row r="540" spans="11:11">
      <c r="K540" s="830" t="s">
        <v>1940</v>
      </c>
    </row>
    <row r="541" spans="11:11">
      <c r="K541" s="830" t="s">
        <v>1174</v>
      </c>
    </row>
    <row r="542" spans="11:11">
      <c r="K542" s="830" t="s">
        <v>1941</v>
      </c>
    </row>
    <row r="543" spans="11:11">
      <c r="K543" s="830" t="s">
        <v>1942</v>
      </c>
    </row>
    <row r="544" spans="11:11">
      <c r="K544" s="830" t="s">
        <v>1943</v>
      </c>
    </row>
    <row r="545" spans="11:11">
      <c r="K545" s="830" t="s">
        <v>1944</v>
      </c>
    </row>
    <row r="546" spans="11:11">
      <c r="K546" s="830" t="s">
        <v>1945</v>
      </c>
    </row>
    <row r="547" spans="11:11">
      <c r="K547" s="830" t="s">
        <v>1946</v>
      </c>
    </row>
    <row r="548" spans="11:11">
      <c r="K548" s="830" t="s">
        <v>1010</v>
      </c>
    </row>
    <row r="549" spans="11:11">
      <c r="K549" s="830" t="s">
        <v>1149</v>
      </c>
    </row>
    <row r="550" spans="11:11">
      <c r="K550" s="830" t="s">
        <v>1947</v>
      </c>
    </row>
    <row r="551" spans="11:11">
      <c r="K551" s="830" t="s">
        <v>1948</v>
      </c>
    </row>
    <row r="552" spans="11:11">
      <c r="K552" s="830" t="s">
        <v>1949</v>
      </c>
    </row>
    <row r="553" spans="11:11">
      <c r="K553" s="830" t="s">
        <v>1950</v>
      </c>
    </row>
    <row r="554" spans="11:11">
      <c r="K554" s="830" t="s">
        <v>1951</v>
      </c>
    </row>
    <row r="555" spans="11:11">
      <c r="K555" s="830" t="s">
        <v>1045</v>
      </c>
    </row>
    <row r="556" spans="11:11">
      <c r="K556" s="830" t="s">
        <v>1952</v>
      </c>
    </row>
    <row r="557" spans="11:11">
      <c r="K557" s="830" t="s">
        <v>1068</v>
      </c>
    </row>
    <row r="558" spans="11:11">
      <c r="K558" s="830" t="s">
        <v>1953</v>
      </c>
    </row>
    <row r="559" spans="11:11">
      <c r="K559" s="830" t="s">
        <v>1954</v>
      </c>
    </row>
    <row r="560" spans="11:11">
      <c r="K560" s="830" t="s">
        <v>1955</v>
      </c>
    </row>
    <row r="561" spans="11:11">
      <c r="K561" s="830" t="s">
        <v>1956</v>
      </c>
    </row>
    <row r="562" spans="11:11">
      <c r="K562" s="830" t="s">
        <v>863</v>
      </c>
    </row>
    <row r="563" spans="11:11">
      <c r="K563" s="830" t="s">
        <v>982</v>
      </c>
    </row>
    <row r="564" spans="11:11">
      <c r="K564" s="830" t="s">
        <v>1957</v>
      </c>
    </row>
    <row r="565" spans="11:11">
      <c r="K565" s="830" t="s">
        <v>1958</v>
      </c>
    </row>
    <row r="566" spans="11:11">
      <c r="K566" s="830" t="s">
        <v>1959</v>
      </c>
    </row>
    <row r="567" spans="11:11">
      <c r="K567" s="830" t="s">
        <v>1960</v>
      </c>
    </row>
    <row r="568" spans="11:11">
      <c r="K568" s="830" t="s">
        <v>1961</v>
      </c>
    </row>
    <row r="569" spans="11:11">
      <c r="K569" s="830" t="s">
        <v>1962</v>
      </c>
    </row>
    <row r="570" spans="11:11">
      <c r="K570" s="830" t="s">
        <v>1963</v>
      </c>
    </row>
    <row r="571" spans="11:11">
      <c r="K571" s="830" t="s">
        <v>1964</v>
      </c>
    </row>
    <row r="572" spans="11:11">
      <c r="K572" s="830" t="s">
        <v>1965</v>
      </c>
    </row>
    <row r="573" spans="11:11">
      <c r="K573" s="830" t="s">
        <v>1966</v>
      </c>
    </row>
    <row r="574" spans="11:11">
      <c r="K574" s="830" t="s">
        <v>1053</v>
      </c>
    </row>
    <row r="575" spans="11:11">
      <c r="K575" s="830" t="s">
        <v>1967</v>
      </c>
    </row>
    <row r="576" spans="11:11">
      <c r="K576" s="830" t="s">
        <v>1370</v>
      </c>
    </row>
    <row r="577" spans="11:11">
      <c r="K577" s="830" t="s">
        <v>1968</v>
      </c>
    </row>
    <row r="578" spans="11:11">
      <c r="K578" s="830" t="s">
        <v>1969</v>
      </c>
    </row>
    <row r="579" spans="11:11">
      <c r="K579" s="830" t="s">
        <v>1970</v>
      </c>
    </row>
    <row r="580" spans="11:11">
      <c r="K580" s="830" t="s">
        <v>1971</v>
      </c>
    </row>
    <row r="581" spans="11:11">
      <c r="K581" s="830" t="s">
        <v>1305</v>
      </c>
    </row>
    <row r="582" spans="11:11">
      <c r="K582" s="830" t="s">
        <v>819</v>
      </c>
    </row>
    <row r="583" spans="11:11">
      <c r="K583" s="830" t="s">
        <v>1972</v>
      </c>
    </row>
    <row r="584" spans="11:11">
      <c r="K584" s="830" t="s">
        <v>1973</v>
      </c>
    </row>
    <row r="585" spans="11:11">
      <c r="K585" s="830" t="s">
        <v>1974</v>
      </c>
    </row>
    <row r="586" spans="11:11">
      <c r="K586" s="830" t="s">
        <v>1062</v>
      </c>
    </row>
    <row r="587" spans="11:11">
      <c r="K587" s="830" t="s">
        <v>676</v>
      </c>
    </row>
    <row r="588" spans="11:11">
      <c r="K588" s="830" t="s">
        <v>1975</v>
      </c>
    </row>
    <row r="589" spans="11:11">
      <c r="K589" s="830" t="s">
        <v>1976</v>
      </c>
    </row>
    <row r="590" spans="11:11">
      <c r="K590" s="830" t="s">
        <v>1067</v>
      </c>
    </row>
    <row r="591" spans="11:11">
      <c r="K591" s="830" t="s">
        <v>1977</v>
      </c>
    </row>
    <row r="592" spans="11:11">
      <c r="K592" s="830" t="s">
        <v>1978</v>
      </c>
    </row>
    <row r="593" spans="11:11">
      <c r="K593" s="830" t="s">
        <v>1979</v>
      </c>
    </row>
    <row r="594" spans="11:11">
      <c r="K594" s="830" t="s">
        <v>1980</v>
      </c>
    </row>
    <row r="595" spans="11:11">
      <c r="K595" s="830" t="s">
        <v>1981</v>
      </c>
    </row>
    <row r="596" spans="11:11">
      <c r="K596" s="830" t="s">
        <v>1028</v>
      </c>
    </row>
    <row r="597" spans="11:11">
      <c r="K597" s="830" t="s">
        <v>692</v>
      </c>
    </row>
    <row r="598" spans="11:11">
      <c r="K598" s="830" t="s">
        <v>1982</v>
      </c>
    </row>
    <row r="599" spans="11:11">
      <c r="K599" s="830" t="s">
        <v>1983</v>
      </c>
    </row>
    <row r="600" spans="11:11">
      <c r="K600" s="830" t="s">
        <v>1984</v>
      </c>
    </row>
    <row r="601" spans="11:11">
      <c r="K601" s="830" t="s">
        <v>1985</v>
      </c>
    </row>
    <row r="602" spans="11:11">
      <c r="K602" s="830" t="s">
        <v>1986</v>
      </c>
    </row>
    <row r="603" spans="11:11">
      <c r="K603" s="830" t="s">
        <v>1987</v>
      </c>
    </row>
    <row r="604" spans="11:11">
      <c r="K604" s="830" t="s">
        <v>1988</v>
      </c>
    </row>
    <row r="605" spans="11:11">
      <c r="K605" s="830" t="s">
        <v>1989</v>
      </c>
    </row>
    <row r="606" spans="11:11">
      <c r="K606" s="830" t="s">
        <v>953</v>
      </c>
    </row>
    <row r="607" spans="11:11">
      <c r="K607" s="830" t="s">
        <v>1135</v>
      </c>
    </row>
    <row r="608" spans="11:11">
      <c r="K608" s="830" t="s">
        <v>1990</v>
      </c>
    </row>
    <row r="609" spans="11:11">
      <c r="K609" s="830" t="s">
        <v>1991</v>
      </c>
    </row>
    <row r="610" spans="11:11">
      <c r="K610" s="830" t="s">
        <v>836</v>
      </c>
    </row>
    <row r="611" spans="11:11">
      <c r="K611" s="830" t="s">
        <v>1992</v>
      </c>
    </row>
    <row r="612" spans="11:11">
      <c r="K612" s="830" t="s">
        <v>1993</v>
      </c>
    </row>
    <row r="613" spans="11:11">
      <c r="K613" s="830" t="s">
        <v>1994</v>
      </c>
    </row>
    <row r="614" spans="11:11">
      <c r="K614" s="830" t="s">
        <v>814</v>
      </c>
    </row>
    <row r="615" spans="11:11">
      <c r="K615" s="830" t="s">
        <v>1091</v>
      </c>
    </row>
    <row r="616" spans="11:11">
      <c r="K616" s="830" t="s">
        <v>896</v>
      </c>
    </row>
    <row r="617" spans="11:11">
      <c r="K617" s="830" t="s">
        <v>1995</v>
      </c>
    </row>
    <row r="618" spans="11:11">
      <c r="K618" s="830" t="s">
        <v>1996</v>
      </c>
    </row>
    <row r="619" spans="11:11">
      <c r="K619" s="830" t="s">
        <v>1997</v>
      </c>
    </row>
    <row r="620" spans="11:11">
      <c r="K620" s="830" t="s">
        <v>1998</v>
      </c>
    </row>
    <row r="621" spans="11:11">
      <c r="K621" s="830" t="s">
        <v>1999</v>
      </c>
    </row>
    <row r="622" spans="11:11">
      <c r="K622" s="830" t="s">
        <v>2000</v>
      </c>
    </row>
    <row r="623" spans="11:11">
      <c r="K623" s="830" t="s">
        <v>2001</v>
      </c>
    </row>
    <row r="624" spans="11:11">
      <c r="K624" s="830" t="s">
        <v>2002</v>
      </c>
    </row>
    <row r="625" spans="11:11">
      <c r="K625" s="830" t="s">
        <v>2003</v>
      </c>
    </row>
    <row r="626" spans="11:11">
      <c r="K626" s="830" t="s">
        <v>2004</v>
      </c>
    </row>
    <row r="627" spans="11:11">
      <c r="K627" s="830" t="s">
        <v>1114</v>
      </c>
    </row>
    <row r="628" spans="11:11">
      <c r="K628" s="830" t="s">
        <v>2005</v>
      </c>
    </row>
    <row r="629" spans="11:11">
      <c r="K629" s="830" t="s">
        <v>2006</v>
      </c>
    </row>
    <row r="630" spans="11:11">
      <c r="K630" s="830" t="s">
        <v>2007</v>
      </c>
    </row>
    <row r="631" spans="11:11">
      <c r="K631" s="830" t="s">
        <v>2008</v>
      </c>
    </row>
    <row r="632" spans="11:11">
      <c r="K632" s="830" t="s">
        <v>828</v>
      </c>
    </row>
    <row r="633" spans="11:11">
      <c r="K633" s="830" t="s">
        <v>2009</v>
      </c>
    </row>
    <row r="634" spans="11:11">
      <c r="K634" s="830" t="s">
        <v>1019</v>
      </c>
    </row>
    <row r="635" spans="11:11">
      <c r="K635" s="830" t="s">
        <v>1229</v>
      </c>
    </row>
    <row r="636" spans="11:11">
      <c r="K636" s="830" t="s">
        <v>2010</v>
      </c>
    </row>
    <row r="637" spans="11:11">
      <c r="K637" s="830" t="s">
        <v>1017</v>
      </c>
    </row>
    <row r="638" spans="11:11">
      <c r="K638" s="830" t="s">
        <v>2011</v>
      </c>
    </row>
    <row r="639" spans="11:11">
      <c r="K639" s="830" t="s">
        <v>2012</v>
      </c>
    </row>
    <row r="640" spans="11:11">
      <c r="K640" s="830" t="s">
        <v>1357</v>
      </c>
    </row>
    <row r="641" spans="11:11">
      <c r="K641" s="830" t="s">
        <v>2013</v>
      </c>
    </row>
    <row r="642" spans="11:11">
      <c r="K642" s="830" t="s">
        <v>2014</v>
      </c>
    </row>
    <row r="643" spans="11:11">
      <c r="K643" s="830" t="s">
        <v>2015</v>
      </c>
    </row>
    <row r="644" spans="11:11">
      <c r="K644" s="830" t="s">
        <v>2016</v>
      </c>
    </row>
    <row r="645" spans="11:11">
      <c r="K645" s="830" t="s">
        <v>867</v>
      </c>
    </row>
    <row r="646" spans="11:11">
      <c r="K646" s="830" t="s">
        <v>2017</v>
      </c>
    </row>
    <row r="647" spans="11:11">
      <c r="K647" s="830" t="s">
        <v>678</v>
      </c>
    </row>
    <row r="648" spans="11:11">
      <c r="K648" s="830" t="s">
        <v>738</v>
      </c>
    </row>
    <row r="649" spans="11:11">
      <c r="K649" s="830" t="s">
        <v>2018</v>
      </c>
    </row>
    <row r="650" spans="11:11">
      <c r="K650" s="830" t="s">
        <v>2019</v>
      </c>
    </row>
    <row r="651" spans="11:11">
      <c r="K651" s="830" t="s">
        <v>685</v>
      </c>
    </row>
    <row r="652" spans="11:11">
      <c r="K652" s="830" t="s">
        <v>2020</v>
      </c>
    </row>
    <row r="653" spans="11:11">
      <c r="K653" s="830" t="s">
        <v>2021</v>
      </c>
    </row>
    <row r="654" spans="11:11">
      <c r="K654" s="830" t="s">
        <v>2022</v>
      </c>
    </row>
    <row r="655" spans="11:11">
      <c r="K655" s="830" t="s">
        <v>2023</v>
      </c>
    </row>
    <row r="656" spans="11:11">
      <c r="K656" s="830" t="s">
        <v>2024</v>
      </c>
    </row>
    <row r="657" spans="11:11">
      <c r="K657" s="830" t="s">
        <v>2025</v>
      </c>
    </row>
    <row r="658" spans="11:11">
      <c r="K658" s="830" t="s">
        <v>2026</v>
      </c>
    </row>
    <row r="659" spans="11:11">
      <c r="K659" s="830" t="s">
        <v>2027</v>
      </c>
    </row>
    <row r="660" spans="11:11">
      <c r="K660" s="830" t="s">
        <v>2028</v>
      </c>
    </row>
    <row r="661" spans="11:11">
      <c r="K661" s="830" t="s">
        <v>2029</v>
      </c>
    </row>
    <row r="662" spans="11:11">
      <c r="K662" s="830" t="s">
        <v>2030</v>
      </c>
    </row>
    <row r="663" spans="11:11">
      <c r="K663" s="830" t="s">
        <v>2031</v>
      </c>
    </row>
    <row r="664" spans="11:11">
      <c r="K664" s="830" t="s">
        <v>917</v>
      </c>
    </row>
    <row r="665" spans="11:11">
      <c r="K665" s="830" t="s">
        <v>1094</v>
      </c>
    </row>
    <row r="666" spans="11:11">
      <c r="K666" s="830" t="s">
        <v>2032</v>
      </c>
    </row>
    <row r="667" spans="11:11">
      <c r="K667" s="830" t="s">
        <v>2033</v>
      </c>
    </row>
    <row r="668" spans="11:11">
      <c r="K668" s="830" t="s">
        <v>2034</v>
      </c>
    </row>
    <row r="669" spans="11:11">
      <c r="K669" s="830" t="s">
        <v>2035</v>
      </c>
    </row>
    <row r="670" spans="11:11">
      <c r="K670" s="830" t="s">
        <v>2036</v>
      </c>
    </row>
    <row r="671" spans="11:11">
      <c r="K671" s="830" t="s">
        <v>933</v>
      </c>
    </row>
    <row r="672" spans="11:11">
      <c r="K672" s="830" t="s">
        <v>2037</v>
      </c>
    </row>
    <row r="673" spans="11:11">
      <c r="K673" s="830" t="s">
        <v>2038</v>
      </c>
    </row>
    <row r="674" spans="11:11">
      <c r="K674" s="830" t="s">
        <v>2039</v>
      </c>
    </row>
    <row r="675" spans="11:11">
      <c r="K675" s="830" t="s">
        <v>2040</v>
      </c>
    </row>
    <row r="676" spans="11:11">
      <c r="K676" s="830" t="s">
        <v>2041</v>
      </c>
    </row>
    <row r="677" spans="11:11">
      <c r="K677" s="830" t="s">
        <v>2042</v>
      </c>
    </row>
    <row r="678" spans="11:11">
      <c r="K678" s="830" t="s">
        <v>697</v>
      </c>
    </row>
    <row r="679" spans="11:11">
      <c r="K679" s="830" t="s">
        <v>2043</v>
      </c>
    </row>
    <row r="680" spans="11:11">
      <c r="K680" s="830" t="s">
        <v>2044</v>
      </c>
    </row>
    <row r="681" spans="11:11">
      <c r="K681" s="830" t="s">
        <v>954</v>
      </c>
    </row>
    <row r="682" spans="11:11">
      <c r="K682" s="830" t="s">
        <v>2045</v>
      </c>
    </row>
    <row r="683" spans="11:11">
      <c r="K683" s="830" t="s">
        <v>1033</v>
      </c>
    </row>
    <row r="684" spans="11:11">
      <c r="K684" s="830" t="s">
        <v>2046</v>
      </c>
    </row>
    <row r="685" spans="11:11">
      <c r="K685" s="830" t="s">
        <v>2047</v>
      </c>
    </row>
    <row r="686" spans="11:11">
      <c r="K686" s="830" t="s">
        <v>2048</v>
      </c>
    </row>
    <row r="687" spans="11:11">
      <c r="K687" s="830" t="s">
        <v>2049</v>
      </c>
    </row>
    <row r="688" spans="11:11">
      <c r="K688" s="830" t="s">
        <v>2050</v>
      </c>
    </row>
    <row r="689" spans="11:11">
      <c r="K689" s="830" t="s">
        <v>823</v>
      </c>
    </row>
    <row r="690" spans="11:11">
      <c r="K690" s="830" t="s">
        <v>2051</v>
      </c>
    </row>
    <row r="691" spans="11:11">
      <c r="K691" s="830" t="s">
        <v>1179</v>
      </c>
    </row>
    <row r="692" spans="11:11">
      <c r="K692" s="830" t="s">
        <v>2052</v>
      </c>
    </row>
    <row r="693" spans="11:11">
      <c r="K693" s="830" t="s">
        <v>2053</v>
      </c>
    </row>
    <row r="694" spans="11:11">
      <c r="K694" s="830" t="s">
        <v>910</v>
      </c>
    </row>
    <row r="695" spans="11:11">
      <c r="K695" s="830" t="s">
        <v>694</v>
      </c>
    </row>
    <row r="696" spans="11:11">
      <c r="K696" s="830" t="s">
        <v>2054</v>
      </c>
    </row>
    <row r="697" spans="11:11">
      <c r="K697" s="830" t="s">
        <v>751</v>
      </c>
    </row>
    <row r="698" spans="11:11">
      <c r="K698" s="830" t="s">
        <v>2055</v>
      </c>
    </row>
    <row r="699" spans="11:11">
      <c r="K699" s="830" t="s">
        <v>2056</v>
      </c>
    </row>
    <row r="700" spans="11:11">
      <c r="K700" s="830" t="s">
        <v>2057</v>
      </c>
    </row>
    <row r="701" spans="11:11">
      <c r="K701" s="830" t="s">
        <v>2058</v>
      </c>
    </row>
    <row r="702" spans="11:11">
      <c r="K702" s="830" t="s">
        <v>2059</v>
      </c>
    </row>
    <row r="703" spans="11:11">
      <c r="K703" s="830" t="s">
        <v>2060</v>
      </c>
    </row>
    <row r="704" spans="11:11">
      <c r="K704" s="830" t="s">
        <v>1073</v>
      </c>
    </row>
    <row r="705" spans="11:11">
      <c r="K705" s="830" t="s">
        <v>1063</v>
      </c>
    </row>
    <row r="706" spans="11:11">
      <c r="K706" s="830" t="s">
        <v>686</v>
      </c>
    </row>
    <row r="707" spans="11:11">
      <c r="K707" s="830" t="s">
        <v>812</v>
      </c>
    </row>
    <row r="708" spans="11:11">
      <c r="K708" s="830" t="s">
        <v>2061</v>
      </c>
    </row>
    <row r="709" spans="11:11">
      <c r="K709" s="830" t="s">
        <v>2062</v>
      </c>
    </row>
    <row r="710" spans="11:11">
      <c r="K710" s="830" t="s">
        <v>705</v>
      </c>
    </row>
    <row r="711" spans="11:11">
      <c r="K711" s="830" t="s">
        <v>2063</v>
      </c>
    </row>
    <row r="712" spans="11:11">
      <c r="K712" s="830" t="s">
        <v>2064</v>
      </c>
    </row>
    <row r="713" spans="11:11">
      <c r="K713" s="830" t="s">
        <v>1139</v>
      </c>
    </row>
    <row r="714" spans="11:11">
      <c r="K714" s="830" t="s">
        <v>2065</v>
      </c>
    </row>
    <row r="715" spans="11:11">
      <c r="K715" s="830" t="s">
        <v>2066</v>
      </c>
    </row>
    <row r="716" spans="11:11">
      <c r="K716" s="830" t="s">
        <v>2067</v>
      </c>
    </row>
    <row r="717" spans="11:11">
      <c r="K717" s="830" t="s">
        <v>2068</v>
      </c>
    </row>
    <row r="718" spans="11:11">
      <c r="K718" s="830" t="s">
        <v>2069</v>
      </c>
    </row>
    <row r="719" spans="11:11">
      <c r="K719" s="830" t="s">
        <v>683</v>
      </c>
    </row>
    <row r="720" spans="11:11">
      <c r="K720" s="830" t="s">
        <v>2070</v>
      </c>
    </row>
    <row r="721" spans="11:11">
      <c r="K721" s="830" t="s">
        <v>2071</v>
      </c>
    </row>
    <row r="722" spans="11:11">
      <c r="K722" s="830" t="s">
        <v>2072</v>
      </c>
    </row>
    <row r="723" spans="11:11">
      <c r="K723" s="830" t="s">
        <v>2073</v>
      </c>
    </row>
    <row r="724" spans="11:11">
      <c r="K724" s="830" t="s">
        <v>2074</v>
      </c>
    </row>
    <row r="725" spans="11:11">
      <c r="K725" s="830" t="s">
        <v>2075</v>
      </c>
    </row>
    <row r="726" spans="11:11">
      <c r="K726" s="830" t="s">
        <v>2076</v>
      </c>
    </row>
    <row r="727" spans="11:11">
      <c r="K727" s="830" t="s">
        <v>934</v>
      </c>
    </row>
    <row r="728" spans="11:11">
      <c r="K728" s="830" t="s">
        <v>2077</v>
      </c>
    </row>
    <row r="729" spans="11:11">
      <c r="K729" s="830" t="s">
        <v>2078</v>
      </c>
    </row>
    <row r="730" spans="11:11">
      <c r="K730" s="830" t="s">
        <v>2079</v>
      </c>
    </row>
    <row r="731" spans="11:11">
      <c r="K731" s="830" t="s">
        <v>2080</v>
      </c>
    </row>
    <row r="732" spans="11:11">
      <c r="K732" s="830" t="s">
        <v>1049</v>
      </c>
    </row>
    <row r="733" spans="11:11">
      <c r="K733" s="830" t="s">
        <v>2081</v>
      </c>
    </row>
    <row r="734" spans="11:11">
      <c r="K734" s="830" t="s">
        <v>2082</v>
      </c>
    </row>
    <row r="735" spans="11:11">
      <c r="K735" s="830" t="s">
        <v>2083</v>
      </c>
    </row>
    <row r="736" spans="11:11">
      <c r="K736" s="830" t="s">
        <v>2084</v>
      </c>
    </row>
    <row r="737" spans="11:11">
      <c r="K737" s="830" t="s">
        <v>2085</v>
      </c>
    </row>
    <row r="738" spans="11:11">
      <c r="K738" s="830" t="s">
        <v>2086</v>
      </c>
    </row>
    <row r="739" spans="11:11">
      <c r="K739" s="830" t="s">
        <v>2087</v>
      </c>
    </row>
    <row r="740" spans="11:11">
      <c r="K740" s="830" t="s">
        <v>2088</v>
      </c>
    </row>
    <row r="741" spans="11:11">
      <c r="K741" s="830" t="s">
        <v>2089</v>
      </c>
    </row>
    <row r="742" spans="11:11">
      <c r="K742" s="830" t="s">
        <v>2090</v>
      </c>
    </row>
    <row r="743" spans="11:11">
      <c r="K743" s="830" t="s">
        <v>2091</v>
      </c>
    </row>
    <row r="744" spans="11:11">
      <c r="K744" s="830" t="s">
        <v>2092</v>
      </c>
    </row>
    <row r="745" spans="11:11">
      <c r="K745" s="830" t="s">
        <v>263</v>
      </c>
    </row>
    <row r="746" spans="11:11">
      <c r="K746" s="830" t="s">
        <v>2093</v>
      </c>
    </row>
    <row r="747" spans="11:11">
      <c r="K747" s="830" t="s">
        <v>1111</v>
      </c>
    </row>
    <row r="748" spans="11:11">
      <c r="K748" s="830" t="s">
        <v>1153</v>
      </c>
    </row>
    <row r="749" spans="11:11">
      <c r="K749" s="830" t="s">
        <v>2094</v>
      </c>
    </row>
    <row r="750" spans="11:11">
      <c r="K750" s="830" t="s">
        <v>2095</v>
      </c>
    </row>
    <row r="751" spans="11:11">
      <c r="K751" s="830" t="s">
        <v>2096</v>
      </c>
    </row>
    <row r="752" spans="11:11">
      <c r="K752" s="830" t="s">
        <v>930</v>
      </c>
    </row>
    <row r="753" spans="11:11">
      <c r="K753" s="830" t="s">
        <v>2097</v>
      </c>
    </row>
    <row r="754" spans="11:11">
      <c r="K754" s="830" t="s">
        <v>1011</v>
      </c>
    </row>
    <row r="755" spans="11:11">
      <c r="K755" s="830" t="s">
        <v>2098</v>
      </c>
    </row>
    <row r="756" spans="11:11">
      <c r="K756" s="830" t="s">
        <v>2099</v>
      </c>
    </row>
    <row r="757" spans="11:11">
      <c r="K757" s="830" t="s">
        <v>2100</v>
      </c>
    </row>
    <row r="758" spans="11:11">
      <c r="K758" s="830" t="s">
        <v>2101</v>
      </c>
    </row>
    <row r="759" spans="11:11">
      <c r="K759" s="830" t="s">
        <v>2102</v>
      </c>
    </row>
    <row r="760" spans="11:11">
      <c r="K760" s="830" t="s">
        <v>2103</v>
      </c>
    </row>
    <row r="761" spans="11:11">
      <c r="K761" s="830" t="s">
        <v>2104</v>
      </c>
    </row>
    <row r="762" spans="11:11">
      <c r="K762" s="830" t="s">
        <v>2105</v>
      </c>
    </row>
    <row r="763" spans="11:11">
      <c r="K763" s="830" t="s">
        <v>2106</v>
      </c>
    </row>
    <row r="764" spans="11:11">
      <c r="K764" s="830" t="s">
        <v>2107</v>
      </c>
    </row>
    <row r="765" spans="11:11">
      <c r="K765" s="830" t="s">
        <v>2108</v>
      </c>
    </row>
    <row r="766" spans="11:11">
      <c r="K766" s="830" t="s">
        <v>2109</v>
      </c>
    </row>
    <row r="767" spans="11:11">
      <c r="K767" s="830" t="s">
        <v>2110</v>
      </c>
    </row>
    <row r="768" spans="11:11">
      <c r="K768" s="830" t="s">
        <v>897</v>
      </c>
    </row>
    <row r="769" spans="11:11">
      <c r="K769" s="830" t="s">
        <v>2111</v>
      </c>
    </row>
    <row r="770" spans="11:11">
      <c r="K770" s="830" t="s">
        <v>2112</v>
      </c>
    </row>
    <row r="771" spans="11:11">
      <c r="K771" s="830" t="s">
        <v>2113</v>
      </c>
    </row>
    <row r="772" spans="11:11">
      <c r="K772" s="830" t="s">
        <v>2114</v>
      </c>
    </row>
    <row r="773" spans="11:11">
      <c r="K773" s="830" t="s">
        <v>2115</v>
      </c>
    </row>
    <row r="774" spans="11:11">
      <c r="K774" s="830" t="s">
        <v>2116</v>
      </c>
    </row>
    <row r="775" spans="11:11">
      <c r="K775" s="830" t="s">
        <v>2117</v>
      </c>
    </row>
    <row r="776" spans="11:11">
      <c r="K776" s="830" t="s">
        <v>1084</v>
      </c>
    </row>
    <row r="777" spans="11:11">
      <c r="K777" s="830" t="s">
        <v>2118</v>
      </c>
    </row>
    <row r="778" spans="11:11">
      <c r="K778" s="830" t="s">
        <v>682</v>
      </c>
    </row>
    <row r="779" spans="11:11">
      <c r="K779" s="830" t="s">
        <v>2119</v>
      </c>
    </row>
    <row r="780" spans="11:11">
      <c r="K780" s="830" t="s">
        <v>2120</v>
      </c>
    </row>
    <row r="781" spans="11:11">
      <c r="K781" s="830" t="s">
        <v>2121</v>
      </c>
    </row>
    <row r="782" spans="11:11">
      <c r="K782" s="830" t="s">
        <v>2122</v>
      </c>
    </row>
    <row r="783" spans="11:11">
      <c r="K783" s="830" t="s">
        <v>2123</v>
      </c>
    </row>
    <row r="784" spans="11:11">
      <c r="K784" s="830" t="s">
        <v>2124</v>
      </c>
    </row>
    <row r="785" spans="11:11">
      <c r="K785" s="830" t="s">
        <v>983</v>
      </c>
    </row>
    <row r="786" spans="11:11">
      <c r="K786" s="830" t="s">
        <v>255</v>
      </c>
    </row>
    <row r="787" spans="11:11">
      <c r="K787" s="830" t="s">
        <v>2125</v>
      </c>
    </row>
    <row r="788" spans="11:11">
      <c r="K788" s="830" t="s">
        <v>2126</v>
      </c>
    </row>
    <row r="789" spans="11:11">
      <c r="K789" s="830" t="s">
        <v>2127</v>
      </c>
    </row>
    <row r="790" spans="11:11">
      <c r="K790" s="830" t="s">
        <v>2128</v>
      </c>
    </row>
    <row r="791" spans="11:11">
      <c r="K791" s="830" t="s">
        <v>2129</v>
      </c>
    </row>
    <row r="792" spans="11:11">
      <c r="K792" s="830" t="s">
        <v>966</v>
      </c>
    </row>
    <row r="793" spans="11:11">
      <c r="K793" s="830" t="s">
        <v>2130</v>
      </c>
    </row>
    <row r="794" spans="11:11">
      <c r="K794" s="830" t="s">
        <v>2131</v>
      </c>
    </row>
    <row r="795" spans="11:11">
      <c r="K795" s="830" t="s">
        <v>2132</v>
      </c>
    </row>
    <row r="796" spans="11:11">
      <c r="K796" s="830" t="s">
        <v>2133</v>
      </c>
    </row>
    <row r="797" spans="11:11">
      <c r="K797" s="830" t="s">
        <v>2134</v>
      </c>
    </row>
    <row r="798" spans="11:11">
      <c r="K798" s="830" t="s">
        <v>1186</v>
      </c>
    </row>
    <row r="799" spans="11:11">
      <c r="K799" s="830" t="s">
        <v>2135</v>
      </c>
    </row>
    <row r="800" spans="11:11">
      <c r="K800" s="830" t="s">
        <v>822</v>
      </c>
    </row>
    <row r="801" spans="11:11">
      <c r="K801" s="830" t="s">
        <v>2136</v>
      </c>
    </row>
    <row r="802" spans="11:11">
      <c r="K802" s="830" t="s">
        <v>1193</v>
      </c>
    </row>
    <row r="803" spans="11:11">
      <c r="K803" s="830" t="s">
        <v>2137</v>
      </c>
    </row>
    <row r="804" spans="11:11">
      <c r="K804" s="830" t="s">
        <v>2138</v>
      </c>
    </row>
    <row r="805" spans="11:11">
      <c r="K805" s="830" t="s">
        <v>1037</v>
      </c>
    </row>
    <row r="806" spans="11:11">
      <c r="K806" s="830" t="s">
        <v>2139</v>
      </c>
    </row>
    <row r="807" spans="11:11">
      <c r="K807" s="830" t="s">
        <v>2140</v>
      </c>
    </row>
    <row r="808" spans="11:11">
      <c r="K808" s="830" t="s">
        <v>833</v>
      </c>
    </row>
    <row r="809" spans="11:11">
      <c r="K809" s="830" t="s">
        <v>675</v>
      </c>
    </row>
    <row r="810" spans="11:11">
      <c r="K810" s="830" t="s">
        <v>2141</v>
      </c>
    </row>
    <row r="811" spans="11:11">
      <c r="K811" s="830" t="s">
        <v>2142</v>
      </c>
    </row>
    <row r="812" spans="11:11">
      <c r="K812" s="830" t="s">
        <v>2143</v>
      </c>
    </row>
    <row r="813" spans="11:11">
      <c r="K813" s="830" t="s">
        <v>2144</v>
      </c>
    </row>
    <row r="814" spans="11:11">
      <c r="K814" s="830" t="s">
        <v>2145</v>
      </c>
    </row>
    <row r="815" spans="11:11">
      <c r="K815" s="830" t="s">
        <v>1048</v>
      </c>
    </row>
    <row r="816" spans="11:11">
      <c r="K816" s="830" t="s">
        <v>1047</v>
      </c>
    </row>
    <row r="817" spans="11:11">
      <c r="K817" s="830" t="s">
        <v>1122</v>
      </c>
    </row>
    <row r="818" spans="11:11">
      <c r="K818" s="830" t="s">
        <v>2146</v>
      </c>
    </row>
    <row r="819" spans="11:11">
      <c r="K819" s="830" t="s">
        <v>2147</v>
      </c>
    </row>
    <row r="820" spans="11:11">
      <c r="K820" s="830" t="s">
        <v>2148</v>
      </c>
    </row>
    <row r="821" spans="11:11">
      <c r="K821" s="830" t="s">
        <v>2149</v>
      </c>
    </row>
    <row r="822" spans="11:11">
      <c r="K822" s="830" t="s">
        <v>2150</v>
      </c>
    </row>
    <row r="823" spans="11:11">
      <c r="K823" s="830" t="s">
        <v>992</v>
      </c>
    </row>
    <row r="824" spans="11:11">
      <c r="K824" s="830" t="s">
        <v>1178</v>
      </c>
    </row>
    <row r="825" spans="11:11">
      <c r="K825" s="830" t="s">
        <v>2151</v>
      </c>
    </row>
    <row r="826" spans="11:11">
      <c r="K826" s="830" t="s">
        <v>2152</v>
      </c>
    </row>
    <row r="827" spans="11:11">
      <c r="K827" s="830" t="s">
        <v>2153</v>
      </c>
    </row>
    <row r="828" spans="11:11">
      <c r="K828" s="830" t="s">
        <v>1115</v>
      </c>
    </row>
    <row r="829" spans="11:11">
      <c r="K829" s="830" t="s">
        <v>2154</v>
      </c>
    </row>
    <row r="830" spans="11:11">
      <c r="K830" s="830" t="s">
        <v>2155</v>
      </c>
    </row>
    <row r="831" spans="11:11">
      <c r="K831" s="830" t="s">
        <v>1194</v>
      </c>
    </row>
    <row r="832" spans="11:11">
      <c r="K832" s="830" t="s">
        <v>1109</v>
      </c>
    </row>
    <row r="833" spans="11:11">
      <c r="K833" s="830" t="s">
        <v>2156</v>
      </c>
    </row>
    <row r="834" spans="11:11">
      <c r="K834" s="830" t="s">
        <v>882</v>
      </c>
    </row>
    <row r="835" spans="11:11">
      <c r="K835" s="830" t="s">
        <v>2157</v>
      </c>
    </row>
    <row r="836" spans="11:11">
      <c r="K836" s="830" t="s">
        <v>1058</v>
      </c>
    </row>
    <row r="837" spans="11:11">
      <c r="K837" s="830" t="s">
        <v>936</v>
      </c>
    </row>
    <row r="838" spans="11:11">
      <c r="K838" s="830" t="s">
        <v>2158</v>
      </c>
    </row>
    <row r="839" spans="11:11">
      <c r="K839" s="830" t="s">
        <v>1132</v>
      </c>
    </row>
    <row r="840" spans="11:11">
      <c r="K840" s="830" t="s">
        <v>2159</v>
      </c>
    </row>
    <row r="841" spans="11:11">
      <c r="K841" s="830" t="s">
        <v>2160</v>
      </c>
    </row>
    <row r="842" spans="11:11">
      <c r="K842" s="830" t="s">
        <v>1188</v>
      </c>
    </row>
    <row r="843" spans="11:11">
      <c r="K843" s="830" t="s">
        <v>2161</v>
      </c>
    </row>
    <row r="844" spans="11:11">
      <c r="K844" s="830" t="s">
        <v>2162</v>
      </c>
    </row>
    <row r="845" spans="11:11">
      <c r="K845" s="830" t="s">
        <v>2163</v>
      </c>
    </row>
    <row r="846" spans="11:11">
      <c r="K846" s="830" t="s">
        <v>2164</v>
      </c>
    </row>
    <row r="847" spans="11:11">
      <c r="K847" s="830" t="s">
        <v>2165</v>
      </c>
    </row>
    <row r="848" spans="11:11">
      <c r="K848" s="830" t="s">
        <v>2166</v>
      </c>
    </row>
    <row r="849" spans="11:11">
      <c r="K849" s="830" t="s">
        <v>2167</v>
      </c>
    </row>
    <row r="850" spans="11:11">
      <c r="K850" s="830" t="s">
        <v>2168</v>
      </c>
    </row>
    <row r="851" spans="11:11">
      <c r="K851" s="830" t="s">
        <v>2169</v>
      </c>
    </row>
    <row r="852" spans="11:11">
      <c r="K852" s="830" t="s">
        <v>2170</v>
      </c>
    </row>
    <row r="853" spans="11:11">
      <c r="K853" s="830" t="s">
        <v>1256</v>
      </c>
    </row>
    <row r="854" spans="11:11">
      <c r="K854" s="830" t="s">
        <v>998</v>
      </c>
    </row>
    <row r="855" spans="11:11">
      <c r="K855" s="830" t="s">
        <v>969</v>
      </c>
    </row>
    <row r="856" spans="11:11">
      <c r="K856" s="830" t="s">
        <v>2171</v>
      </c>
    </row>
    <row r="857" spans="11:11">
      <c r="K857" s="830" t="s">
        <v>2172</v>
      </c>
    </row>
    <row r="858" spans="11:11">
      <c r="K858" s="830" t="s">
        <v>2173</v>
      </c>
    </row>
    <row r="859" spans="11:11">
      <c r="K859" s="830" t="s">
        <v>2174</v>
      </c>
    </row>
    <row r="860" spans="11:11">
      <c r="K860" s="830" t="s">
        <v>2175</v>
      </c>
    </row>
    <row r="861" spans="11:11">
      <c r="K861" s="830" t="s">
        <v>2176</v>
      </c>
    </row>
    <row r="862" spans="11:11">
      <c r="K862" s="830" t="s">
        <v>2177</v>
      </c>
    </row>
    <row r="863" spans="11:11">
      <c r="K863" s="830" t="s">
        <v>2178</v>
      </c>
    </row>
    <row r="864" spans="11:11">
      <c r="K864" s="830" t="s">
        <v>2179</v>
      </c>
    </row>
    <row r="865" spans="11:11">
      <c r="K865" s="830" t="s">
        <v>2180</v>
      </c>
    </row>
    <row r="866" spans="11:11">
      <c r="K866" s="830" t="s">
        <v>2181</v>
      </c>
    </row>
    <row r="867" spans="11:11">
      <c r="K867" s="830" t="s">
        <v>963</v>
      </c>
    </row>
    <row r="868" spans="11:11">
      <c r="K868" s="830" t="s">
        <v>2182</v>
      </c>
    </row>
    <row r="869" spans="11:11">
      <c r="K869" s="830" t="s">
        <v>2183</v>
      </c>
    </row>
    <row r="870" spans="11:11">
      <c r="K870" s="830" t="s">
        <v>2184</v>
      </c>
    </row>
    <row r="871" spans="11:11">
      <c r="K871" s="830" t="s">
        <v>2185</v>
      </c>
    </row>
    <row r="872" spans="11:11">
      <c r="K872" s="830" t="s">
        <v>2186</v>
      </c>
    </row>
    <row r="873" spans="11:11">
      <c r="K873" s="830" t="s">
        <v>2187</v>
      </c>
    </row>
    <row r="874" spans="11:11">
      <c r="K874" s="830" t="s">
        <v>1098</v>
      </c>
    </row>
    <row r="875" spans="11:11">
      <c r="K875" s="830" t="s">
        <v>2188</v>
      </c>
    </row>
    <row r="876" spans="11:11">
      <c r="K876" s="830" t="s">
        <v>2189</v>
      </c>
    </row>
    <row r="877" spans="11:11">
      <c r="K877" s="830" t="s">
        <v>2190</v>
      </c>
    </row>
    <row r="878" spans="11:11">
      <c r="K878" s="830" t="s">
        <v>2191</v>
      </c>
    </row>
    <row r="879" spans="11:11">
      <c r="K879" s="830" t="s">
        <v>1141</v>
      </c>
    </row>
    <row r="880" spans="11:11">
      <c r="K880" s="830" t="s">
        <v>2192</v>
      </c>
    </row>
    <row r="881" spans="11:11">
      <c r="K881" s="830" t="s">
        <v>2193</v>
      </c>
    </row>
    <row r="882" spans="11:11">
      <c r="K882" s="830" t="s">
        <v>2194</v>
      </c>
    </row>
    <row r="883" spans="11:11">
      <c r="K883" s="830" t="s">
        <v>2195</v>
      </c>
    </row>
    <row r="884" spans="11:11">
      <c r="K884" s="830" t="s">
        <v>832</v>
      </c>
    </row>
    <row r="885" spans="11:11">
      <c r="K885" s="830" t="s">
        <v>2196</v>
      </c>
    </row>
    <row r="886" spans="11:11">
      <c r="K886" s="830" t="s">
        <v>728</v>
      </c>
    </row>
    <row r="887" spans="11:11">
      <c r="K887" s="830" t="s">
        <v>2197</v>
      </c>
    </row>
    <row r="888" spans="11:11">
      <c r="K888" s="830" t="s">
        <v>949</v>
      </c>
    </row>
    <row r="889" spans="11:11">
      <c r="K889" s="830" t="s">
        <v>2198</v>
      </c>
    </row>
    <row r="890" spans="11:11">
      <c r="K890" s="830" t="s">
        <v>2199</v>
      </c>
    </row>
    <row r="891" spans="11:11">
      <c r="K891" s="830" t="s">
        <v>2200</v>
      </c>
    </row>
    <row r="892" spans="11:11">
      <c r="K892" s="830" t="s">
        <v>2201</v>
      </c>
    </row>
    <row r="893" spans="11:11">
      <c r="K893" s="830" t="s">
        <v>2202</v>
      </c>
    </row>
    <row r="894" spans="11:11">
      <c r="K894" s="830" t="s">
        <v>2203</v>
      </c>
    </row>
    <row r="895" spans="11:11">
      <c r="K895" s="830" t="s">
        <v>2204</v>
      </c>
    </row>
    <row r="896" spans="11:11">
      <c r="K896" s="830" t="s">
        <v>2205</v>
      </c>
    </row>
    <row r="897" spans="11:11">
      <c r="K897" s="830" t="s">
        <v>2206</v>
      </c>
    </row>
    <row r="898" spans="11:11">
      <c r="K898" s="830" t="s">
        <v>742</v>
      </c>
    </row>
    <row r="899" spans="11:11">
      <c r="K899" s="830" t="s">
        <v>2207</v>
      </c>
    </row>
    <row r="900" spans="11:11">
      <c r="K900" s="830" t="s">
        <v>2208</v>
      </c>
    </row>
    <row r="901" spans="11:11">
      <c r="K901" s="830" t="s">
        <v>756</v>
      </c>
    </row>
    <row r="902" spans="11:11">
      <c r="K902" s="830" t="s">
        <v>1035</v>
      </c>
    </row>
    <row r="903" spans="11:11">
      <c r="K903" s="830" t="s">
        <v>1275</v>
      </c>
    </row>
    <row r="904" spans="11:11">
      <c r="K904" s="830" t="s">
        <v>1082</v>
      </c>
    </row>
    <row r="905" spans="11:11">
      <c r="K905" s="830" t="s">
        <v>2209</v>
      </c>
    </row>
    <row r="906" spans="11:11">
      <c r="K906" s="830" t="s">
        <v>2210</v>
      </c>
    </row>
    <row r="907" spans="11:11">
      <c r="K907" s="830" t="s">
        <v>785</v>
      </c>
    </row>
    <row r="908" spans="11:11">
      <c r="K908" s="830" t="s">
        <v>2211</v>
      </c>
    </row>
    <row r="909" spans="11:11">
      <c r="K909" s="830" t="s">
        <v>2212</v>
      </c>
    </row>
    <row r="910" spans="11:11">
      <c r="K910" s="830" t="s">
        <v>2213</v>
      </c>
    </row>
    <row r="911" spans="11:11">
      <c r="K911" s="830" t="s">
        <v>2214</v>
      </c>
    </row>
    <row r="912" spans="11:11">
      <c r="K912" s="830" t="s">
        <v>248</v>
      </c>
    </row>
    <row r="913" spans="11:11">
      <c r="K913" s="830" t="s">
        <v>2215</v>
      </c>
    </row>
    <row r="914" spans="11:11">
      <c r="K914" s="830" t="s">
        <v>2216</v>
      </c>
    </row>
    <row r="915" spans="11:11">
      <c r="K915" s="830" t="s">
        <v>2217</v>
      </c>
    </row>
    <row r="916" spans="11:11">
      <c r="K916" s="830" t="s">
        <v>2218</v>
      </c>
    </row>
    <row r="917" spans="11:11">
      <c r="K917" s="830" t="s">
        <v>2219</v>
      </c>
    </row>
    <row r="918" spans="11:11">
      <c r="K918" s="830" t="s">
        <v>1081</v>
      </c>
    </row>
    <row r="919" spans="11:11">
      <c r="K919" s="830" t="s">
        <v>2220</v>
      </c>
    </row>
    <row r="920" spans="11:11">
      <c r="K920" s="830" t="s">
        <v>734</v>
      </c>
    </row>
    <row r="921" spans="11:11">
      <c r="K921" s="830" t="s">
        <v>2221</v>
      </c>
    </row>
    <row r="922" spans="11:11">
      <c r="K922" s="830" t="s">
        <v>2222</v>
      </c>
    </row>
    <row r="923" spans="11:11">
      <c r="K923" s="830" t="s">
        <v>2223</v>
      </c>
    </row>
    <row r="924" spans="11:11">
      <c r="K924" s="830" t="s">
        <v>2224</v>
      </c>
    </row>
    <row r="925" spans="11:11">
      <c r="K925" s="830" t="s">
        <v>2225</v>
      </c>
    </row>
    <row r="926" spans="11:11">
      <c r="K926" s="830" t="s">
        <v>1096</v>
      </c>
    </row>
    <row r="927" spans="11:11">
      <c r="K927" s="830" t="s">
        <v>2226</v>
      </c>
    </row>
    <row r="928" spans="11:11">
      <c r="K928" s="830" t="s">
        <v>2227</v>
      </c>
    </row>
    <row r="929" spans="11:11">
      <c r="K929" s="830" t="s">
        <v>2228</v>
      </c>
    </row>
    <row r="930" spans="11:11">
      <c r="K930" s="830" t="s">
        <v>929</v>
      </c>
    </row>
    <row r="931" spans="11:11">
      <c r="K931" s="830" t="s">
        <v>2229</v>
      </c>
    </row>
    <row r="932" spans="11:11">
      <c r="K932" s="830" t="s">
        <v>2230</v>
      </c>
    </row>
    <row r="933" spans="11:11">
      <c r="K933" s="830" t="s">
        <v>2231</v>
      </c>
    </row>
    <row r="934" spans="11:11">
      <c r="K934" s="830" t="s">
        <v>2232</v>
      </c>
    </row>
    <row r="935" spans="11:11">
      <c r="K935" s="830" t="s">
        <v>2233</v>
      </c>
    </row>
    <row r="936" spans="11:11">
      <c r="K936" s="830" t="s">
        <v>2234</v>
      </c>
    </row>
    <row r="937" spans="11:11">
      <c r="K937" s="830" t="s">
        <v>709</v>
      </c>
    </row>
    <row r="938" spans="11:11">
      <c r="K938" s="830" t="s">
        <v>2235</v>
      </c>
    </row>
    <row r="939" spans="11:11">
      <c r="K939" s="830" t="s">
        <v>900</v>
      </c>
    </row>
    <row r="940" spans="11:11">
      <c r="K940" s="830" t="s">
        <v>908</v>
      </c>
    </row>
    <row r="941" spans="11:11">
      <c r="K941" s="830" t="s">
        <v>956</v>
      </c>
    </row>
    <row r="942" spans="11:11">
      <c r="K942" s="830" t="s">
        <v>2236</v>
      </c>
    </row>
    <row r="943" spans="11:11">
      <c r="K943" s="830" t="s">
        <v>2237</v>
      </c>
    </row>
    <row r="944" spans="11:11">
      <c r="K944" s="830" t="s">
        <v>2238</v>
      </c>
    </row>
    <row r="945" spans="11:11">
      <c r="K945" s="830" t="s">
        <v>2239</v>
      </c>
    </row>
    <row r="946" spans="11:11">
      <c r="K946" s="830" t="s">
        <v>2240</v>
      </c>
    </row>
    <row r="947" spans="11:11">
      <c r="K947" s="830" t="s">
        <v>1314</v>
      </c>
    </row>
    <row r="948" spans="11:11">
      <c r="K948" s="830" t="s">
        <v>1054</v>
      </c>
    </row>
    <row r="949" spans="11:11">
      <c r="K949" s="830" t="s">
        <v>2241</v>
      </c>
    </row>
    <row r="950" spans="11:11">
      <c r="K950" s="830" t="s">
        <v>674</v>
      </c>
    </row>
    <row r="951" spans="11:11">
      <c r="K951" s="830" t="s">
        <v>2242</v>
      </c>
    </row>
    <row r="952" spans="11:11">
      <c r="K952" s="830" t="s">
        <v>2243</v>
      </c>
    </row>
    <row r="953" spans="11:11">
      <c r="K953" s="830" t="s">
        <v>2244</v>
      </c>
    </row>
    <row r="954" spans="11:11">
      <c r="K954" s="830" t="s">
        <v>1173</v>
      </c>
    </row>
    <row r="955" spans="11:11">
      <c r="K955" s="830" t="s">
        <v>2245</v>
      </c>
    </row>
    <row r="956" spans="11:11">
      <c r="K956" s="830" t="s">
        <v>2246</v>
      </c>
    </row>
    <row r="957" spans="11:11">
      <c r="K957" s="830" t="s">
        <v>2247</v>
      </c>
    </row>
    <row r="958" spans="11:11">
      <c r="K958" s="830" t="s">
        <v>2248</v>
      </c>
    </row>
    <row r="959" spans="11:11">
      <c r="K959" s="830" t="s">
        <v>2249</v>
      </c>
    </row>
    <row r="960" spans="11:11">
      <c r="K960" s="830" t="s">
        <v>2250</v>
      </c>
    </row>
    <row r="961" spans="11:11">
      <c r="K961" s="830" t="s">
        <v>2251</v>
      </c>
    </row>
    <row r="962" spans="11:11">
      <c r="K962" s="830" t="s">
        <v>1072</v>
      </c>
    </row>
    <row r="963" spans="11:11">
      <c r="K963" s="830" t="s">
        <v>2252</v>
      </c>
    </row>
    <row r="964" spans="11:11">
      <c r="K964" s="830" t="s">
        <v>2253</v>
      </c>
    </row>
    <row r="965" spans="11:11">
      <c r="K965" s="830" t="s">
        <v>2254</v>
      </c>
    </row>
    <row r="966" spans="11:11">
      <c r="K966" s="830" t="s">
        <v>2255</v>
      </c>
    </row>
    <row r="967" spans="11:11">
      <c r="K967" s="830" t="s">
        <v>2256</v>
      </c>
    </row>
    <row r="968" spans="11:11">
      <c r="K968" s="830" t="s">
        <v>744</v>
      </c>
    </row>
    <row r="969" spans="11:11">
      <c r="K969" s="830" t="s">
        <v>2257</v>
      </c>
    </row>
    <row r="970" spans="11:11">
      <c r="K970" s="830" t="s">
        <v>1080</v>
      </c>
    </row>
    <row r="971" spans="11:11">
      <c r="K971" s="830" t="s">
        <v>2258</v>
      </c>
    </row>
    <row r="972" spans="11:11">
      <c r="K972" s="830" t="s">
        <v>935</v>
      </c>
    </row>
    <row r="973" spans="11:11">
      <c r="K973" s="830" t="s">
        <v>2259</v>
      </c>
    </row>
    <row r="974" spans="11:11">
      <c r="K974" s="830" t="s">
        <v>1052</v>
      </c>
    </row>
    <row r="975" spans="11:11">
      <c r="K975" s="830" t="s">
        <v>2260</v>
      </c>
    </row>
    <row r="976" spans="11:11">
      <c r="K976" s="830" t="s">
        <v>1237</v>
      </c>
    </row>
    <row r="977" spans="11:11">
      <c r="K977" s="830" t="s">
        <v>866</v>
      </c>
    </row>
    <row r="978" spans="11:11">
      <c r="K978" s="830" t="s">
        <v>2261</v>
      </c>
    </row>
    <row r="979" spans="11:11">
      <c r="K979" s="830" t="s">
        <v>2262</v>
      </c>
    </row>
    <row r="980" spans="11:11">
      <c r="K980" s="830" t="s">
        <v>671</v>
      </c>
    </row>
    <row r="981" spans="11:11">
      <c r="K981" s="830" t="s">
        <v>995</v>
      </c>
    </row>
    <row r="982" spans="11:11">
      <c r="K982" s="830" t="s">
        <v>2263</v>
      </c>
    </row>
    <row r="983" spans="11:11">
      <c r="K983" s="830" t="s">
        <v>1230</v>
      </c>
    </row>
    <row r="984" spans="11:11">
      <c r="K984" s="830" t="s">
        <v>1184</v>
      </c>
    </row>
    <row r="985" spans="11:11">
      <c r="K985" s="830" t="s">
        <v>2265</v>
      </c>
    </row>
    <row r="986" spans="11:11">
      <c r="K986" s="830" t="s">
        <v>2266</v>
      </c>
    </row>
    <row r="987" spans="11:11">
      <c r="K987" s="830" t="s">
        <v>996</v>
      </c>
    </row>
    <row r="988" spans="11:11">
      <c r="K988" s="830" t="s">
        <v>2267</v>
      </c>
    </row>
    <row r="989" spans="11:11">
      <c r="K989" s="830" t="s">
        <v>2268</v>
      </c>
    </row>
    <row r="990" spans="11:11">
      <c r="K990" s="830" t="s">
        <v>922</v>
      </c>
    </row>
    <row r="991" spans="11:11">
      <c r="K991" s="830" t="s">
        <v>1034</v>
      </c>
    </row>
    <row r="992" spans="11:11">
      <c r="K992" s="830" t="s">
        <v>1147</v>
      </c>
    </row>
    <row r="993" spans="11:11">
      <c r="K993" s="830" t="s">
        <v>843</v>
      </c>
    </row>
    <row r="994" spans="11:11">
      <c r="K994" s="830" t="s">
        <v>2269</v>
      </c>
    </row>
    <row r="995" spans="11:11">
      <c r="K995" s="830" t="s">
        <v>2270</v>
      </c>
    </row>
    <row r="996" spans="11:11">
      <c r="K996" s="830" t="s">
        <v>2271</v>
      </c>
    </row>
  </sheetData>
  <mergeCells count="13">
    <mergeCell ref="A46:I46"/>
    <mergeCell ref="A44:I44"/>
    <mergeCell ref="A45:I45"/>
    <mergeCell ref="A40:I40"/>
    <mergeCell ref="A1:I1"/>
    <mergeCell ref="A3:I3"/>
    <mergeCell ref="A39:I39"/>
    <mergeCell ref="A38:I38"/>
    <mergeCell ref="A43:I43"/>
    <mergeCell ref="A41:I41"/>
    <mergeCell ref="A2:I2"/>
    <mergeCell ref="A33:I33"/>
    <mergeCell ref="A42:I42"/>
  </mergeCells>
  <dataValidations count="1">
    <dataValidation type="list" allowBlank="1" showInputMessage="1" sqref="F6:F31" xr:uid="{00000000-0002-0000-1400-000000000000}">
      <formula1>$K$2:$K$996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47"/>
  <sheetViews>
    <sheetView workbookViewId="0">
      <selection sqref="A1:J1"/>
    </sheetView>
  </sheetViews>
  <sheetFormatPr baseColWidth="10" defaultColWidth="9.1640625" defaultRowHeight="15"/>
  <cols>
    <col min="1" max="1" width="8" customWidth="1"/>
    <col min="2" max="2" width="12" customWidth="1"/>
    <col min="3" max="3" width="32" customWidth="1"/>
    <col min="4" max="4" width="10" customWidth="1"/>
    <col min="5" max="8" width="12" customWidth="1"/>
    <col min="9" max="9" width="10" customWidth="1"/>
    <col min="10" max="10" width="20" customWidth="1"/>
  </cols>
  <sheetData>
    <row r="1" spans="1:10" ht="26" customHeight="1">
      <c r="A1" s="1232" t="s">
        <v>2520</v>
      </c>
      <c r="B1" s="1140"/>
      <c r="C1" s="1140"/>
      <c r="D1" s="1140"/>
      <c r="E1" s="1140"/>
      <c r="F1" s="1140"/>
      <c r="G1" s="1140"/>
      <c r="H1" s="1140"/>
      <c r="I1" s="1140"/>
      <c r="J1" s="1140"/>
    </row>
    <row r="2" spans="1:10" ht="14" customHeight="1">
      <c r="A2" s="1233" t="s">
        <v>2521</v>
      </c>
      <c r="B2" s="1140"/>
      <c r="C2" s="1140"/>
      <c r="D2" s="1140"/>
      <c r="E2" s="1140"/>
      <c r="F2" s="1140"/>
      <c r="G2" s="1140"/>
      <c r="H2" s="1140"/>
      <c r="I2" s="1140"/>
      <c r="J2" s="1140"/>
    </row>
    <row r="4" spans="1:10" ht="20" customHeight="1">
      <c r="A4" s="472" t="s">
        <v>2522</v>
      </c>
      <c r="B4" s="472" t="s">
        <v>2523</v>
      </c>
      <c r="C4" s="472" t="s">
        <v>2524</v>
      </c>
      <c r="D4" s="472" t="s">
        <v>2525</v>
      </c>
      <c r="E4" s="472" t="s">
        <v>2526</v>
      </c>
      <c r="F4" s="472" t="s">
        <v>2527</v>
      </c>
      <c r="G4" s="472" t="s">
        <v>2528</v>
      </c>
      <c r="H4" s="472" t="s">
        <v>2529</v>
      </c>
      <c r="I4" s="472" t="s">
        <v>386</v>
      </c>
      <c r="J4" s="472" t="s">
        <v>2530</v>
      </c>
    </row>
    <row r="5" spans="1:10" ht="16" customHeight="1">
      <c r="A5" s="1229" t="s">
        <v>2531</v>
      </c>
      <c r="B5" s="1230"/>
      <c r="C5" s="1230"/>
      <c r="D5" s="1230"/>
      <c r="E5" s="1230"/>
      <c r="F5" s="1230"/>
      <c r="G5" s="1230"/>
      <c r="H5" s="1230"/>
      <c r="I5" s="1230"/>
      <c r="J5" s="1231"/>
    </row>
    <row r="6" spans="1:10" ht="18" customHeight="1">
      <c r="A6" s="473" t="s">
        <v>1508</v>
      </c>
      <c r="B6" s="473" t="s">
        <v>2532</v>
      </c>
      <c r="C6" s="474" t="s">
        <v>2533</v>
      </c>
      <c r="D6" s="473" t="s">
        <v>2534</v>
      </c>
      <c r="E6" s="475" t="s">
        <v>2535</v>
      </c>
      <c r="F6" s="476">
        <v>14.9</v>
      </c>
      <c r="G6" s="477"/>
      <c r="H6" s="477"/>
      <c r="I6" s="478"/>
      <c r="J6" s="479" t="s">
        <v>2536</v>
      </c>
    </row>
    <row r="7" spans="1:10" ht="18" customHeight="1">
      <c r="A7" s="473" t="s">
        <v>1508</v>
      </c>
      <c r="B7" s="473" t="s">
        <v>2532</v>
      </c>
      <c r="C7" s="474" t="s">
        <v>2537</v>
      </c>
      <c r="D7" s="473" t="s">
        <v>2534</v>
      </c>
      <c r="E7" s="480" t="s">
        <v>2538</v>
      </c>
      <c r="F7" s="476">
        <v>16.899999999999999</v>
      </c>
      <c r="G7" s="476">
        <v>1.8</v>
      </c>
      <c r="H7" s="481">
        <v>15.1</v>
      </c>
      <c r="I7" s="482">
        <v>0.107</v>
      </c>
      <c r="J7" s="479"/>
    </row>
    <row r="8" spans="1:10" ht="18" customHeight="1">
      <c r="A8" s="473" t="s">
        <v>1508</v>
      </c>
      <c r="B8" s="473" t="s">
        <v>2532</v>
      </c>
      <c r="C8" s="474" t="s">
        <v>921</v>
      </c>
      <c r="D8" s="473" t="s">
        <v>2534</v>
      </c>
      <c r="E8" s="475" t="s">
        <v>2535</v>
      </c>
      <c r="F8" s="476">
        <v>14.9</v>
      </c>
      <c r="G8" s="477"/>
      <c r="H8" s="477"/>
      <c r="I8" s="478"/>
      <c r="J8" s="479" t="s">
        <v>2536</v>
      </c>
    </row>
    <row r="9" spans="1:10" ht="18" customHeight="1">
      <c r="A9" s="473" t="s">
        <v>1508</v>
      </c>
      <c r="B9" s="473" t="s">
        <v>2532</v>
      </c>
      <c r="C9" s="474" t="s">
        <v>913</v>
      </c>
      <c r="D9" s="473" t="s">
        <v>2534</v>
      </c>
      <c r="E9" s="483" t="s">
        <v>2539</v>
      </c>
      <c r="F9" s="476">
        <v>19.899999999999999</v>
      </c>
      <c r="G9" s="476">
        <v>2.2000000000000002</v>
      </c>
      <c r="H9" s="481">
        <v>17.7</v>
      </c>
      <c r="I9" s="482">
        <v>0.111</v>
      </c>
      <c r="J9" s="479"/>
    </row>
    <row r="10" spans="1:10" ht="18" customHeight="1">
      <c r="A10" s="473" t="s">
        <v>1508</v>
      </c>
      <c r="B10" s="473" t="s">
        <v>2532</v>
      </c>
      <c r="C10" s="474" t="s">
        <v>912</v>
      </c>
      <c r="D10" s="473" t="s">
        <v>2534</v>
      </c>
      <c r="E10" s="475" t="s">
        <v>2535</v>
      </c>
      <c r="F10" s="476">
        <v>14.9</v>
      </c>
      <c r="G10" s="476">
        <v>1.25</v>
      </c>
      <c r="H10" s="481">
        <v>13.65</v>
      </c>
      <c r="I10" s="482">
        <v>8.4000000000000005E-2</v>
      </c>
      <c r="J10" s="479"/>
    </row>
    <row r="11" spans="1:10" ht="18" customHeight="1">
      <c r="A11" s="484" t="s">
        <v>1508</v>
      </c>
      <c r="B11" s="484" t="s">
        <v>2532</v>
      </c>
      <c r="C11" s="485" t="s">
        <v>918</v>
      </c>
      <c r="D11" s="484" t="s">
        <v>2540</v>
      </c>
      <c r="E11" s="486" t="s">
        <v>2535</v>
      </c>
      <c r="F11" s="487">
        <v>14.9</v>
      </c>
      <c r="G11" s="488"/>
      <c r="H11" s="488"/>
      <c r="I11" s="489"/>
      <c r="J11" s="490" t="s">
        <v>2536</v>
      </c>
    </row>
    <row r="12" spans="1:10" ht="18" customHeight="1">
      <c r="A12" s="484" t="s">
        <v>1508</v>
      </c>
      <c r="B12" s="484" t="s">
        <v>2532</v>
      </c>
      <c r="C12" s="485" t="s">
        <v>915</v>
      </c>
      <c r="D12" s="484" t="s">
        <v>2540</v>
      </c>
      <c r="E12" s="486" t="s">
        <v>2535</v>
      </c>
      <c r="F12" s="487">
        <v>14.9</v>
      </c>
      <c r="G12" s="488"/>
      <c r="H12" s="488"/>
      <c r="I12" s="489"/>
      <c r="J12" s="490" t="s">
        <v>2536</v>
      </c>
    </row>
    <row r="13" spans="1:10" ht="18" customHeight="1">
      <c r="A13" s="484" t="s">
        <v>1508</v>
      </c>
      <c r="B13" s="484" t="s">
        <v>2532</v>
      </c>
      <c r="C13" s="485" t="s">
        <v>2541</v>
      </c>
      <c r="D13" s="484" t="s">
        <v>2540</v>
      </c>
      <c r="E13" s="486" t="s">
        <v>2535</v>
      </c>
      <c r="F13" s="487">
        <v>14.9</v>
      </c>
      <c r="G13" s="488"/>
      <c r="H13" s="488"/>
      <c r="I13" s="489"/>
      <c r="J13" s="490" t="s">
        <v>2536</v>
      </c>
    </row>
    <row r="14" spans="1:10" ht="18" customHeight="1">
      <c r="A14" s="484" t="s">
        <v>1508</v>
      </c>
      <c r="B14" s="484" t="s">
        <v>2532</v>
      </c>
      <c r="C14" s="485" t="s">
        <v>262</v>
      </c>
      <c r="D14" s="484" t="s">
        <v>2540</v>
      </c>
      <c r="E14" s="491" t="s">
        <v>2542</v>
      </c>
      <c r="F14" s="487">
        <v>17.899999999999999</v>
      </c>
      <c r="G14" s="487">
        <v>2.4</v>
      </c>
      <c r="H14" s="492">
        <v>15.5</v>
      </c>
      <c r="I14" s="493">
        <v>0.13400000000000001</v>
      </c>
      <c r="J14" s="490"/>
    </row>
    <row r="15" spans="1:10" ht="18" customHeight="1">
      <c r="A15" s="484" t="s">
        <v>1508</v>
      </c>
      <c r="B15" s="484" t="s">
        <v>2532</v>
      </c>
      <c r="C15" s="485" t="s">
        <v>934</v>
      </c>
      <c r="D15" s="484" t="s">
        <v>2540</v>
      </c>
      <c r="E15" s="491" t="s">
        <v>2542</v>
      </c>
      <c r="F15" s="487">
        <v>17.899999999999999</v>
      </c>
      <c r="G15" s="487">
        <v>3.24</v>
      </c>
      <c r="H15" s="492">
        <v>14.66</v>
      </c>
      <c r="I15" s="493">
        <v>0.18099999999999999</v>
      </c>
      <c r="J15" s="490"/>
    </row>
    <row r="16" spans="1:10" ht="18" customHeight="1">
      <c r="A16" s="494" t="s">
        <v>1508</v>
      </c>
      <c r="B16" s="494" t="s">
        <v>2532</v>
      </c>
      <c r="C16" s="495" t="s">
        <v>2543</v>
      </c>
      <c r="D16" s="494" t="s">
        <v>2544</v>
      </c>
      <c r="E16" s="496" t="s">
        <v>2542</v>
      </c>
      <c r="F16" s="497">
        <v>3</v>
      </c>
      <c r="G16" s="497">
        <v>1.2</v>
      </c>
      <c r="H16" s="498">
        <v>1.8</v>
      </c>
      <c r="I16" s="499">
        <v>0.4</v>
      </c>
      <c r="J16" s="500"/>
    </row>
    <row r="17" spans="1:10" ht="18" customHeight="1">
      <c r="A17" s="494" t="s">
        <v>1508</v>
      </c>
      <c r="B17" s="494" t="s">
        <v>2532</v>
      </c>
      <c r="C17" s="495" t="s">
        <v>2545</v>
      </c>
      <c r="D17" s="494" t="s">
        <v>2544</v>
      </c>
      <c r="E17" s="496" t="s">
        <v>2542</v>
      </c>
      <c r="F17" s="497">
        <v>3</v>
      </c>
      <c r="G17" s="497">
        <v>0.8</v>
      </c>
      <c r="H17" s="498">
        <v>2.2000000000000002</v>
      </c>
      <c r="I17" s="501">
        <v>0.26700000000000002</v>
      </c>
      <c r="J17" s="500"/>
    </row>
    <row r="18" spans="1:10" ht="16" customHeight="1">
      <c r="A18" s="1229" t="s">
        <v>2546</v>
      </c>
      <c r="B18" s="1230"/>
      <c r="C18" s="1230"/>
      <c r="D18" s="1230"/>
      <c r="E18" s="1230"/>
      <c r="F18" s="1230"/>
      <c r="G18" s="1230"/>
      <c r="H18" s="1230"/>
      <c r="I18" s="1230"/>
      <c r="J18" s="1231"/>
    </row>
    <row r="19" spans="1:10" ht="18" customHeight="1">
      <c r="A19" s="473" t="s">
        <v>1509</v>
      </c>
      <c r="B19" s="473" t="s">
        <v>2532</v>
      </c>
      <c r="C19" s="474" t="s">
        <v>974</v>
      </c>
      <c r="D19" s="473" t="s">
        <v>2534</v>
      </c>
      <c r="E19" s="475" t="s">
        <v>2535</v>
      </c>
      <c r="F19" s="476">
        <v>14.9</v>
      </c>
      <c r="G19" s="477"/>
      <c r="H19" s="477"/>
      <c r="I19" s="478"/>
      <c r="J19" s="479" t="s">
        <v>2536</v>
      </c>
    </row>
    <row r="20" spans="1:10" ht="18" customHeight="1">
      <c r="A20" s="473" t="s">
        <v>1509</v>
      </c>
      <c r="B20" s="473" t="s">
        <v>2532</v>
      </c>
      <c r="C20" s="474" t="s">
        <v>970</v>
      </c>
      <c r="D20" s="473" t="s">
        <v>2534</v>
      </c>
      <c r="E20" s="475" t="s">
        <v>2535</v>
      </c>
      <c r="F20" s="476">
        <v>14.9</v>
      </c>
      <c r="G20" s="477"/>
      <c r="H20" s="477"/>
      <c r="I20" s="478"/>
      <c r="J20" s="479" t="s">
        <v>2536</v>
      </c>
    </row>
    <row r="21" spans="1:10" ht="18" customHeight="1">
      <c r="A21" s="473" t="s">
        <v>1509</v>
      </c>
      <c r="B21" s="473" t="s">
        <v>2532</v>
      </c>
      <c r="C21" s="474" t="s">
        <v>977</v>
      </c>
      <c r="D21" s="473" t="s">
        <v>2534</v>
      </c>
      <c r="E21" s="475" t="s">
        <v>2535</v>
      </c>
      <c r="F21" s="476">
        <v>14.9</v>
      </c>
      <c r="G21" s="477"/>
      <c r="H21" s="477"/>
      <c r="I21" s="478"/>
      <c r="J21" s="479" t="s">
        <v>2536</v>
      </c>
    </row>
    <row r="22" spans="1:10" ht="18" customHeight="1">
      <c r="A22" s="473" t="s">
        <v>1509</v>
      </c>
      <c r="B22" s="473" t="s">
        <v>2532</v>
      </c>
      <c r="C22" s="474" t="s">
        <v>2547</v>
      </c>
      <c r="D22" s="473" t="s">
        <v>2534</v>
      </c>
      <c r="E22" s="483" t="s">
        <v>2539</v>
      </c>
      <c r="F22" s="476">
        <v>19.899999999999999</v>
      </c>
      <c r="G22" s="476">
        <v>2.2000000000000002</v>
      </c>
      <c r="H22" s="481">
        <v>17.7</v>
      </c>
      <c r="I22" s="482">
        <v>0.111</v>
      </c>
      <c r="J22" s="479"/>
    </row>
    <row r="23" spans="1:10" ht="18" customHeight="1">
      <c r="A23" s="473" t="s">
        <v>1509</v>
      </c>
      <c r="B23" s="473" t="s">
        <v>2532</v>
      </c>
      <c r="C23" s="474" t="s">
        <v>726</v>
      </c>
      <c r="D23" s="473" t="s">
        <v>2534</v>
      </c>
      <c r="E23" s="480" t="s">
        <v>2542</v>
      </c>
      <c r="F23" s="476">
        <v>17.899999999999999</v>
      </c>
      <c r="G23" s="476">
        <v>1.6</v>
      </c>
      <c r="H23" s="481">
        <v>16.3</v>
      </c>
      <c r="I23" s="482">
        <v>8.8999999999999996E-2</v>
      </c>
      <c r="J23" s="479"/>
    </row>
    <row r="24" spans="1:10" ht="18" customHeight="1">
      <c r="A24" s="484" t="s">
        <v>1509</v>
      </c>
      <c r="B24" s="484" t="s">
        <v>2532</v>
      </c>
      <c r="C24" s="485" t="s">
        <v>2548</v>
      </c>
      <c r="D24" s="484" t="s">
        <v>2540</v>
      </c>
      <c r="E24" s="486" t="s">
        <v>2535</v>
      </c>
      <c r="F24" s="487">
        <v>14.9</v>
      </c>
      <c r="G24" s="488"/>
      <c r="H24" s="488"/>
      <c r="I24" s="489"/>
      <c r="J24" s="490" t="s">
        <v>2536</v>
      </c>
    </row>
    <row r="25" spans="1:10" ht="18" customHeight="1">
      <c r="A25" s="484" t="s">
        <v>1509</v>
      </c>
      <c r="B25" s="484" t="s">
        <v>2532</v>
      </c>
      <c r="C25" s="485" t="s">
        <v>978</v>
      </c>
      <c r="D25" s="484" t="s">
        <v>2540</v>
      </c>
      <c r="E25" s="486" t="s">
        <v>2535</v>
      </c>
      <c r="F25" s="487">
        <v>14.9</v>
      </c>
      <c r="G25" s="488"/>
      <c r="H25" s="488"/>
      <c r="I25" s="489"/>
      <c r="J25" s="490" t="s">
        <v>2536</v>
      </c>
    </row>
    <row r="26" spans="1:10" ht="18" customHeight="1">
      <c r="A26" s="484" t="s">
        <v>1509</v>
      </c>
      <c r="B26" s="484" t="s">
        <v>2532</v>
      </c>
      <c r="C26" s="485" t="s">
        <v>975</v>
      </c>
      <c r="D26" s="484" t="s">
        <v>2540</v>
      </c>
      <c r="E26" s="486" t="s">
        <v>2535</v>
      </c>
      <c r="F26" s="487">
        <v>14.9</v>
      </c>
      <c r="G26" s="488"/>
      <c r="H26" s="488"/>
      <c r="I26" s="489"/>
      <c r="J26" s="490" t="s">
        <v>2536</v>
      </c>
    </row>
    <row r="27" spans="1:10" ht="18" customHeight="1">
      <c r="A27" s="484" t="s">
        <v>1509</v>
      </c>
      <c r="B27" s="484" t="s">
        <v>2532</v>
      </c>
      <c r="C27" s="485" t="s">
        <v>2549</v>
      </c>
      <c r="D27" s="484" t="s">
        <v>2540</v>
      </c>
      <c r="E27" s="491" t="s">
        <v>2542</v>
      </c>
      <c r="F27" s="487">
        <v>17.899999999999999</v>
      </c>
      <c r="G27" s="487">
        <v>2.6</v>
      </c>
      <c r="H27" s="492">
        <v>15.3</v>
      </c>
      <c r="I27" s="493">
        <v>0.14499999999999999</v>
      </c>
      <c r="J27" s="490"/>
    </row>
    <row r="28" spans="1:10" ht="18" customHeight="1">
      <c r="A28" s="484" t="s">
        <v>1509</v>
      </c>
      <c r="B28" s="484" t="s">
        <v>2532</v>
      </c>
      <c r="C28" s="485" t="s">
        <v>988</v>
      </c>
      <c r="D28" s="484" t="s">
        <v>2540</v>
      </c>
      <c r="E28" s="502" t="s">
        <v>2539</v>
      </c>
      <c r="F28" s="487">
        <v>19.899999999999999</v>
      </c>
      <c r="G28" s="487">
        <v>2.5</v>
      </c>
      <c r="H28" s="492">
        <v>17.399999999999999</v>
      </c>
      <c r="I28" s="493">
        <v>0.126</v>
      </c>
      <c r="J28" s="490"/>
    </row>
    <row r="29" spans="1:10" ht="18" customHeight="1">
      <c r="A29" s="494" t="s">
        <v>1509</v>
      </c>
      <c r="B29" s="494" t="s">
        <v>2532</v>
      </c>
      <c r="C29" s="495" t="s">
        <v>2543</v>
      </c>
      <c r="D29" s="494" t="s">
        <v>2544</v>
      </c>
      <c r="E29" s="496" t="s">
        <v>2542</v>
      </c>
      <c r="F29" s="497">
        <v>3</v>
      </c>
      <c r="G29" s="497">
        <v>1.2</v>
      </c>
      <c r="H29" s="498">
        <v>1.8</v>
      </c>
      <c r="I29" s="499">
        <v>0.4</v>
      </c>
      <c r="J29" s="500"/>
    </row>
    <row r="30" spans="1:10" ht="18" customHeight="1">
      <c r="A30" s="494" t="s">
        <v>1509</v>
      </c>
      <c r="B30" s="494" t="s">
        <v>2532</v>
      </c>
      <c r="C30" s="495" t="s">
        <v>2545</v>
      </c>
      <c r="D30" s="494" t="s">
        <v>2544</v>
      </c>
      <c r="E30" s="496" t="s">
        <v>2542</v>
      </c>
      <c r="F30" s="497">
        <v>3</v>
      </c>
      <c r="G30" s="497">
        <v>0.8</v>
      </c>
      <c r="H30" s="498">
        <v>2.2000000000000002</v>
      </c>
      <c r="I30" s="501">
        <v>0.26700000000000002</v>
      </c>
      <c r="J30" s="500"/>
    </row>
    <row r="31" spans="1:10" ht="16" customHeight="1">
      <c r="A31" s="1229" t="s">
        <v>2550</v>
      </c>
      <c r="B31" s="1230"/>
      <c r="C31" s="1230"/>
      <c r="D31" s="1230"/>
      <c r="E31" s="1230"/>
      <c r="F31" s="1230"/>
      <c r="G31" s="1230"/>
      <c r="H31" s="1230"/>
      <c r="I31" s="1230"/>
      <c r="J31" s="1231"/>
    </row>
    <row r="32" spans="1:10" ht="18" customHeight="1">
      <c r="A32" s="473" t="s">
        <v>1565</v>
      </c>
      <c r="B32" s="473" t="s">
        <v>2551</v>
      </c>
      <c r="C32" s="474" t="s">
        <v>1022</v>
      </c>
      <c r="D32" s="473" t="s">
        <v>2534</v>
      </c>
      <c r="E32" s="475" t="s">
        <v>2535</v>
      </c>
      <c r="F32" s="476">
        <v>14.9</v>
      </c>
      <c r="G32" s="476">
        <v>1.1000000000000001</v>
      </c>
      <c r="H32" s="481">
        <v>13.8</v>
      </c>
      <c r="I32" s="482">
        <v>7.3999999999999996E-2</v>
      </c>
      <c r="J32" s="479"/>
    </row>
    <row r="33" spans="1:10" ht="18" customHeight="1">
      <c r="A33" s="473" t="s">
        <v>1565</v>
      </c>
      <c r="B33" s="473" t="s">
        <v>2551</v>
      </c>
      <c r="C33" s="474" t="s">
        <v>1026</v>
      </c>
      <c r="D33" s="473" t="s">
        <v>2534</v>
      </c>
      <c r="E33" s="475" t="s">
        <v>2535</v>
      </c>
      <c r="F33" s="476">
        <v>14.9</v>
      </c>
      <c r="G33" s="477"/>
      <c r="H33" s="477"/>
      <c r="I33" s="478"/>
      <c r="J33" s="479" t="s">
        <v>2536</v>
      </c>
    </row>
    <row r="34" spans="1:10" ht="18" customHeight="1">
      <c r="A34" s="473" t="s">
        <v>1565</v>
      </c>
      <c r="B34" s="473" t="s">
        <v>2551</v>
      </c>
      <c r="C34" s="474" t="s">
        <v>1013</v>
      </c>
      <c r="D34" s="473" t="s">
        <v>2534</v>
      </c>
      <c r="E34" s="475" t="s">
        <v>2535</v>
      </c>
      <c r="F34" s="476">
        <v>14.9</v>
      </c>
      <c r="G34" s="477"/>
      <c r="H34" s="477"/>
      <c r="I34" s="478"/>
      <c r="J34" s="479" t="s">
        <v>2536</v>
      </c>
    </row>
    <row r="35" spans="1:10" ht="18" customHeight="1">
      <c r="A35" s="473" t="s">
        <v>1565</v>
      </c>
      <c r="B35" s="473" t="s">
        <v>2551</v>
      </c>
      <c r="C35" s="474" t="s">
        <v>1805</v>
      </c>
      <c r="D35" s="473" t="s">
        <v>2534</v>
      </c>
      <c r="E35" s="480" t="s">
        <v>2542</v>
      </c>
      <c r="F35" s="476">
        <v>17.899999999999999</v>
      </c>
      <c r="G35" s="477"/>
      <c r="H35" s="477"/>
      <c r="I35" s="478"/>
      <c r="J35" s="479" t="s">
        <v>2536</v>
      </c>
    </row>
    <row r="36" spans="1:10" ht="18" customHeight="1">
      <c r="A36" s="473" t="s">
        <v>1565</v>
      </c>
      <c r="B36" s="473" t="s">
        <v>2551</v>
      </c>
      <c r="C36" s="474" t="s">
        <v>2547</v>
      </c>
      <c r="D36" s="473" t="s">
        <v>2534</v>
      </c>
      <c r="E36" s="483" t="s">
        <v>2539</v>
      </c>
      <c r="F36" s="476">
        <v>19.899999999999999</v>
      </c>
      <c r="G36" s="476">
        <v>2.2000000000000002</v>
      </c>
      <c r="H36" s="481">
        <v>17.7</v>
      </c>
      <c r="I36" s="482">
        <v>0.111</v>
      </c>
      <c r="J36" s="479"/>
    </row>
    <row r="37" spans="1:10" ht="18" customHeight="1">
      <c r="A37" s="484" t="s">
        <v>1565</v>
      </c>
      <c r="B37" s="484" t="s">
        <v>2551</v>
      </c>
      <c r="C37" s="485" t="s">
        <v>1023</v>
      </c>
      <c r="D37" s="484" t="s">
        <v>2540</v>
      </c>
      <c r="E37" s="486" t="s">
        <v>2535</v>
      </c>
      <c r="F37" s="487">
        <v>14.9</v>
      </c>
      <c r="G37" s="488"/>
      <c r="H37" s="488"/>
      <c r="I37" s="489"/>
      <c r="J37" s="490" t="s">
        <v>2536</v>
      </c>
    </row>
    <row r="38" spans="1:10" ht="18" customHeight="1">
      <c r="A38" s="484" t="s">
        <v>1565</v>
      </c>
      <c r="B38" s="484" t="s">
        <v>2551</v>
      </c>
      <c r="C38" s="485" t="s">
        <v>1029</v>
      </c>
      <c r="D38" s="484" t="s">
        <v>2540</v>
      </c>
      <c r="E38" s="486" t="s">
        <v>2535</v>
      </c>
      <c r="F38" s="487">
        <v>14.9</v>
      </c>
      <c r="G38" s="488"/>
      <c r="H38" s="488"/>
      <c r="I38" s="489"/>
      <c r="J38" s="490" t="s">
        <v>2536</v>
      </c>
    </row>
    <row r="39" spans="1:10" ht="18" customHeight="1">
      <c r="A39" s="484" t="s">
        <v>1565</v>
      </c>
      <c r="B39" s="484" t="s">
        <v>2551</v>
      </c>
      <c r="C39" s="485" t="s">
        <v>2552</v>
      </c>
      <c r="D39" s="484" t="s">
        <v>2540</v>
      </c>
      <c r="E39" s="486" t="s">
        <v>2535</v>
      </c>
      <c r="F39" s="487">
        <v>14.9</v>
      </c>
      <c r="G39" s="487">
        <v>2.8</v>
      </c>
      <c r="H39" s="492">
        <v>12.1</v>
      </c>
      <c r="I39" s="493">
        <v>0.188</v>
      </c>
      <c r="J39" s="490"/>
    </row>
    <row r="40" spans="1:10" ht="18" customHeight="1">
      <c r="A40" s="484" t="s">
        <v>1565</v>
      </c>
      <c r="B40" s="484" t="s">
        <v>2551</v>
      </c>
      <c r="C40" s="485" t="s">
        <v>1032</v>
      </c>
      <c r="D40" s="484" t="s">
        <v>2540</v>
      </c>
      <c r="E40" s="491" t="s">
        <v>2542</v>
      </c>
      <c r="F40" s="487">
        <v>17.899999999999999</v>
      </c>
      <c r="G40" s="487">
        <v>3.2</v>
      </c>
      <c r="H40" s="492">
        <v>14.7</v>
      </c>
      <c r="I40" s="493">
        <v>0.17899999999999999</v>
      </c>
      <c r="J40" s="490"/>
    </row>
    <row r="41" spans="1:10" ht="18" customHeight="1">
      <c r="A41" s="484" t="s">
        <v>1565</v>
      </c>
      <c r="B41" s="484" t="s">
        <v>2551</v>
      </c>
      <c r="C41" s="485" t="s">
        <v>988</v>
      </c>
      <c r="D41" s="484" t="s">
        <v>2540</v>
      </c>
      <c r="E41" s="502" t="s">
        <v>2539</v>
      </c>
      <c r="F41" s="487">
        <v>19.899999999999999</v>
      </c>
      <c r="G41" s="487">
        <v>2.5</v>
      </c>
      <c r="H41" s="492">
        <v>17.399999999999999</v>
      </c>
      <c r="I41" s="493">
        <v>0.126</v>
      </c>
      <c r="J41" s="490"/>
    </row>
    <row r="42" spans="1:10" ht="18" customHeight="1">
      <c r="A42" s="494" t="s">
        <v>1565</v>
      </c>
      <c r="B42" s="494" t="s">
        <v>2551</v>
      </c>
      <c r="C42" s="495" t="s">
        <v>2543</v>
      </c>
      <c r="D42" s="494" t="s">
        <v>2544</v>
      </c>
      <c r="E42" s="496" t="s">
        <v>2542</v>
      </c>
      <c r="F42" s="497">
        <v>3</v>
      </c>
      <c r="G42" s="497">
        <v>1.2</v>
      </c>
      <c r="H42" s="498">
        <v>1.8</v>
      </c>
      <c r="I42" s="499">
        <v>0.4</v>
      </c>
      <c r="J42" s="500"/>
    </row>
    <row r="43" spans="1:10" ht="18" customHeight="1">
      <c r="A43" s="494" t="s">
        <v>1565</v>
      </c>
      <c r="B43" s="494" t="s">
        <v>2551</v>
      </c>
      <c r="C43" s="495" t="s">
        <v>2553</v>
      </c>
      <c r="D43" s="494" t="s">
        <v>2544</v>
      </c>
      <c r="E43" s="496" t="s">
        <v>2542</v>
      </c>
      <c r="F43" s="497">
        <v>3</v>
      </c>
      <c r="G43" s="497">
        <v>0.8</v>
      </c>
      <c r="H43" s="498">
        <v>2.2000000000000002</v>
      </c>
      <c r="I43" s="501">
        <v>0.26700000000000002</v>
      </c>
      <c r="J43" s="500"/>
    </row>
    <row r="44" spans="1:10" ht="16" customHeight="1">
      <c r="A44" s="1229" t="s">
        <v>2554</v>
      </c>
      <c r="B44" s="1230"/>
      <c r="C44" s="1230"/>
      <c r="D44" s="1230"/>
      <c r="E44" s="1230"/>
      <c r="F44" s="1230"/>
      <c r="G44" s="1230"/>
      <c r="H44" s="1230"/>
      <c r="I44" s="1230"/>
      <c r="J44" s="1231"/>
    </row>
    <row r="45" spans="1:10" ht="18" customHeight="1">
      <c r="A45" s="473" t="s">
        <v>1530</v>
      </c>
      <c r="B45" s="473" t="s">
        <v>2551</v>
      </c>
      <c r="C45" s="474" t="s">
        <v>1048</v>
      </c>
      <c r="D45" s="473" t="s">
        <v>2534</v>
      </c>
      <c r="E45" s="475" t="s">
        <v>2535</v>
      </c>
      <c r="F45" s="476">
        <v>14.9</v>
      </c>
      <c r="G45" s="477"/>
      <c r="H45" s="477"/>
      <c r="I45" s="478"/>
      <c r="J45" s="479" t="s">
        <v>2536</v>
      </c>
    </row>
    <row r="46" spans="1:10" ht="18" customHeight="1">
      <c r="A46" s="473" t="s">
        <v>1530</v>
      </c>
      <c r="B46" s="473" t="s">
        <v>2551</v>
      </c>
      <c r="C46" s="474" t="s">
        <v>1053</v>
      </c>
      <c r="D46" s="473" t="s">
        <v>2534</v>
      </c>
      <c r="E46" s="475" t="s">
        <v>2535</v>
      </c>
      <c r="F46" s="476">
        <v>14.9</v>
      </c>
      <c r="G46" s="477"/>
      <c r="H46" s="477"/>
      <c r="I46" s="478"/>
      <c r="J46" s="479" t="s">
        <v>2536</v>
      </c>
    </row>
    <row r="47" spans="1:10" ht="18" customHeight="1">
      <c r="A47" s="473" t="s">
        <v>1530</v>
      </c>
      <c r="B47" s="473" t="s">
        <v>2551</v>
      </c>
      <c r="C47" s="474" t="s">
        <v>1046</v>
      </c>
      <c r="D47" s="473" t="s">
        <v>2534</v>
      </c>
      <c r="E47" s="475" t="s">
        <v>2535</v>
      </c>
      <c r="F47" s="476">
        <v>14.9</v>
      </c>
      <c r="G47" s="477"/>
      <c r="H47" s="477"/>
      <c r="I47" s="478"/>
      <c r="J47" s="479" t="s">
        <v>2536</v>
      </c>
    </row>
    <row r="48" spans="1:10" ht="18" customHeight="1">
      <c r="A48" s="473" t="s">
        <v>1530</v>
      </c>
      <c r="B48" s="473" t="s">
        <v>2551</v>
      </c>
      <c r="C48" s="474" t="s">
        <v>696</v>
      </c>
      <c r="D48" s="473" t="s">
        <v>2534</v>
      </c>
      <c r="E48" s="480" t="s">
        <v>2538</v>
      </c>
      <c r="F48" s="476">
        <v>16.899999999999999</v>
      </c>
      <c r="G48" s="476">
        <v>2.2000000000000002</v>
      </c>
      <c r="H48" s="481">
        <v>14.7</v>
      </c>
      <c r="I48" s="482">
        <v>0.13</v>
      </c>
      <c r="J48" s="479"/>
    </row>
    <row r="49" spans="1:10" ht="18" customHeight="1">
      <c r="A49" s="473" t="s">
        <v>1530</v>
      </c>
      <c r="B49" s="473" t="s">
        <v>2551</v>
      </c>
      <c r="C49" s="474" t="s">
        <v>2547</v>
      </c>
      <c r="D49" s="473" t="s">
        <v>2534</v>
      </c>
      <c r="E49" s="483" t="s">
        <v>2539</v>
      </c>
      <c r="F49" s="476">
        <v>19.899999999999999</v>
      </c>
      <c r="G49" s="476">
        <v>2.2000000000000002</v>
      </c>
      <c r="H49" s="481">
        <v>17.7</v>
      </c>
      <c r="I49" s="482">
        <v>0.111</v>
      </c>
      <c r="J49" s="479"/>
    </row>
    <row r="50" spans="1:10" ht="18" customHeight="1">
      <c r="A50" s="484" t="s">
        <v>1530</v>
      </c>
      <c r="B50" s="484" t="s">
        <v>2551</v>
      </c>
      <c r="C50" s="485" t="s">
        <v>1047</v>
      </c>
      <c r="D50" s="484" t="s">
        <v>2540</v>
      </c>
      <c r="E50" s="486" t="s">
        <v>2535</v>
      </c>
      <c r="F50" s="487">
        <v>14.9</v>
      </c>
      <c r="G50" s="488"/>
      <c r="H50" s="488"/>
      <c r="I50" s="489"/>
      <c r="J50" s="490" t="s">
        <v>2536</v>
      </c>
    </row>
    <row r="51" spans="1:10" ht="18" customHeight="1">
      <c r="A51" s="484" t="s">
        <v>1530</v>
      </c>
      <c r="B51" s="484" t="s">
        <v>2551</v>
      </c>
      <c r="C51" s="485" t="s">
        <v>1049</v>
      </c>
      <c r="D51" s="484" t="s">
        <v>2540</v>
      </c>
      <c r="E51" s="486" t="s">
        <v>2535</v>
      </c>
      <c r="F51" s="487">
        <v>14.9</v>
      </c>
      <c r="G51" s="488"/>
      <c r="H51" s="488"/>
      <c r="I51" s="489"/>
      <c r="J51" s="490" t="s">
        <v>2536</v>
      </c>
    </row>
    <row r="52" spans="1:10" ht="18" customHeight="1">
      <c r="A52" s="484" t="s">
        <v>1530</v>
      </c>
      <c r="B52" s="484" t="s">
        <v>2551</v>
      </c>
      <c r="C52" s="485" t="s">
        <v>1056</v>
      </c>
      <c r="D52" s="484" t="s">
        <v>2540</v>
      </c>
      <c r="E52" s="486" t="s">
        <v>2535</v>
      </c>
      <c r="F52" s="487">
        <v>14.9</v>
      </c>
      <c r="G52" s="488"/>
      <c r="H52" s="488"/>
      <c r="I52" s="489"/>
      <c r="J52" s="490" t="s">
        <v>2536</v>
      </c>
    </row>
    <row r="53" spans="1:10" ht="18" customHeight="1">
      <c r="A53" s="484" t="s">
        <v>1530</v>
      </c>
      <c r="B53" s="484" t="s">
        <v>2551</v>
      </c>
      <c r="C53" s="485" t="s">
        <v>262</v>
      </c>
      <c r="D53" s="484" t="s">
        <v>2540</v>
      </c>
      <c r="E53" s="491" t="s">
        <v>2542</v>
      </c>
      <c r="F53" s="487">
        <v>17.899999999999999</v>
      </c>
      <c r="G53" s="487">
        <v>2.4</v>
      </c>
      <c r="H53" s="492">
        <v>15.5</v>
      </c>
      <c r="I53" s="493">
        <v>0.13400000000000001</v>
      </c>
      <c r="J53" s="490"/>
    </row>
    <row r="54" spans="1:10" ht="18" customHeight="1">
      <c r="A54" s="484" t="s">
        <v>1530</v>
      </c>
      <c r="B54" s="484" t="s">
        <v>2551</v>
      </c>
      <c r="C54" s="485" t="s">
        <v>988</v>
      </c>
      <c r="D54" s="484" t="s">
        <v>2540</v>
      </c>
      <c r="E54" s="502" t="s">
        <v>2539</v>
      </c>
      <c r="F54" s="487">
        <v>19.899999999999999</v>
      </c>
      <c r="G54" s="487">
        <v>2.5</v>
      </c>
      <c r="H54" s="492">
        <v>17.399999999999999</v>
      </c>
      <c r="I54" s="493">
        <v>0.126</v>
      </c>
      <c r="J54" s="490"/>
    </row>
    <row r="55" spans="1:10" ht="18" customHeight="1">
      <c r="A55" s="494" t="s">
        <v>1530</v>
      </c>
      <c r="B55" s="494" t="s">
        <v>2551</v>
      </c>
      <c r="C55" s="495" t="s">
        <v>2543</v>
      </c>
      <c r="D55" s="494" t="s">
        <v>2544</v>
      </c>
      <c r="E55" s="496" t="s">
        <v>2542</v>
      </c>
      <c r="F55" s="497">
        <v>3</v>
      </c>
      <c r="G55" s="497">
        <v>1.2</v>
      </c>
      <c r="H55" s="498">
        <v>1.8</v>
      </c>
      <c r="I55" s="499">
        <v>0.4</v>
      </c>
      <c r="J55" s="500"/>
    </row>
    <row r="56" spans="1:10" ht="18" customHeight="1">
      <c r="A56" s="494" t="s">
        <v>1530</v>
      </c>
      <c r="B56" s="494" t="s">
        <v>2551</v>
      </c>
      <c r="C56" s="495" t="s">
        <v>2553</v>
      </c>
      <c r="D56" s="494" t="s">
        <v>2544</v>
      </c>
      <c r="E56" s="496" t="s">
        <v>2542</v>
      </c>
      <c r="F56" s="497">
        <v>3</v>
      </c>
      <c r="G56" s="497">
        <v>0.8</v>
      </c>
      <c r="H56" s="498">
        <v>2.2000000000000002</v>
      </c>
      <c r="I56" s="501">
        <v>0.26700000000000002</v>
      </c>
      <c r="J56" s="500"/>
    </row>
    <row r="57" spans="1:10" ht="16" customHeight="1">
      <c r="A57" s="1229" t="s">
        <v>2555</v>
      </c>
      <c r="B57" s="1230"/>
      <c r="C57" s="1230"/>
      <c r="D57" s="1230"/>
      <c r="E57" s="1230"/>
      <c r="F57" s="1230"/>
      <c r="G57" s="1230"/>
      <c r="H57" s="1230"/>
      <c r="I57" s="1230"/>
      <c r="J57" s="1231"/>
    </row>
    <row r="58" spans="1:10" ht="18" customHeight="1">
      <c r="A58" s="473" t="s">
        <v>1532</v>
      </c>
      <c r="B58" s="473" t="s">
        <v>2551</v>
      </c>
      <c r="C58" s="474" t="s">
        <v>2556</v>
      </c>
      <c r="D58" s="473" t="s">
        <v>2534</v>
      </c>
      <c r="E58" s="475" t="s">
        <v>2535</v>
      </c>
      <c r="F58" s="476">
        <v>14.9</v>
      </c>
      <c r="G58" s="477"/>
      <c r="H58" s="477"/>
      <c r="I58" s="478"/>
      <c r="J58" s="479" t="s">
        <v>2536</v>
      </c>
    </row>
    <row r="59" spans="1:10" ht="18" customHeight="1">
      <c r="A59" s="473" t="s">
        <v>1532</v>
      </c>
      <c r="B59" s="473" t="s">
        <v>2551</v>
      </c>
      <c r="C59" s="474" t="s">
        <v>2557</v>
      </c>
      <c r="D59" s="473" t="s">
        <v>2534</v>
      </c>
      <c r="E59" s="475" t="s">
        <v>2535</v>
      </c>
      <c r="F59" s="476">
        <v>14.9</v>
      </c>
      <c r="G59" s="477"/>
      <c r="H59" s="477"/>
      <c r="I59" s="478"/>
      <c r="J59" s="479" t="s">
        <v>2536</v>
      </c>
    </row>
    <row r="60" spans="1:10" ht="18" customHeight="1">
      <c r="A60" s="473" t="s">
        <v>1532</v>
      </c>
      <c r="B60" s="473" t="s">
        <v>2551</v>
      </c>
      <c r="C60" s="474" t="s">
        <v>1075</v>
      </c>
      <c r="D60" s="473" t="s">
        <v>2534</v>
      </c>
      <c r="E60" s="475" t="s">
        <v>2535</v>
      </c>
      <c r="F60" s="476">
        <v>14.9</v>
      </c>
      <c r="G60" s="477"/>
      <c r="H60" s="477"/>
      <c r="I60" s="478"/>
      <c r="J60" s="479" t="s">
        <v>2536</v>
      </c>
    </row>
    <row r="61" spans="1:10" ht="18" customHeight="1">
      <c r="A61" s="473" t="s">
        <v>1532</v>
      </c>
      <c r="B61" s="473" t="s">
        <v>2551</v>
      </c>
      <c r="C61" s="474" t="s">
        <v>2558</v>
      </c>
      <c r="D61" s="473" t="s">
        <v>2534</v>
      </c>
      <c r="E61" s="480" t="s">
        <v>2542</v>
      </c>
      <c r="F61" s="476">
        <v>17.899999999999999</v>
      </c>
      <c r="G61" s="477"/>
      <c r="H61" s="477"/>
      <c r="I61" s="478"/>
      <c r="J61" s="479" t="s">
        <v>2536</v>
      </c>
    </row>
    <row r="62" spans="1:10" ht="18" customHeight="1">
      <c r="A62" s="473" t="s">
        <v>1532</v>
      </c>
      <c r="B62" s="473" t="s">
        <v>2551</v>
      </c>
      <c r="C62" s="474" t="s">
        <v>2547</v>
      </c>
      <c r="D62" s="473" t="s">
        <v>2534</v>
      </c>
      <c r="E62" s="483" t="s">
        <v>2539</v>
      </c>
      <c r="F62" s="476">
        <v>19.899999999999999</v>
      </c>
      <c r="G62" s="476">
        <v>2.2000000000000002</v>
      </c>
      <c r="H62" s="481">
        <v>17.7</v>
      </c>
      <c r="I62" s="482">
        <v>0.111</v>
      </c>
      <c r="J62" s="479"/>
    </row>
    <row r="63" spans="1:10" ht="18" customHeight="1">
      <c r="A63" s="484" t="s">
        <v>1532</v>
      </c>
      <c r="B63" s="484" t="s">
        <v>2551</v>
      </c>
      <c r="C63" s="485" t="s">
        <v>1072</v>
      </c>
      <c r="D63" s="484" t="s">
        <v>2540</v>
      </c>
      <c r="E63" s="486" t="s">
        <v>2535</v>
      </c>
      <c r="F63" s="487">
        <v>14.9</v>
      </c>
      <c r="G63" s="488"/>
      <c r="H63" s="488"/>
      <c r="I63" s="489"/>
      <c r="J63" s="490" t="s">
        <v>2536</v>
      </c>
    </row>
    <row r="64" spans="1:10" ht="18" customHeight="1">
      <c r="A64" s="484" t="s">
        <v>1532</v>
      </c>
      <c r="B64" s="484" t="s">
        <v>2551</v>
      </c>
      <c r="C64" s="485" t="s">
        <v>2552</v>
      </c>
      <c r="D64" s="484" t="s">
        <v>2540</v>
      </c>
      <c r="E64" s="486" t="s">
        <v>2535</v>
      </c>
      <c r="F64" s="487">
        <v>14.9</v>
      </c>
      <c r="G64" s="487">
        <v>2.8</v>
      </c>
      <c r="H64" s="492">
        <v>12.1</v>
      </c>
      <c r="I64" s="493">
        <v>0.188</v>
      </c>
      <c r="J64" s="490"/>
    </row>
    <row r="65" spans="1:10" ht="18" customHeight="1">
      <c r="A65" s="484" t="s">
        <v>1532</v>
      </c>
      <c r="B65" s="484" t="s">
        <v>2551</v>
      </c>
      <c r="C65" s="485" t="s">
        <v>751</v>
      </c>
      <c r="D65" s="484" t="s">
        <v>2540</v>
      </c>
      <c r="E65" s="486" t="s">
        <v>2535</v>
      </c>
      <c r="F65" s="487">
        <v>14.9</v>
      </c>
      <c r="G65" s="488"/>
      <c r="H65" s="488"/>
      <c r="I65" s="489"/>
      <c r="J65" s="490" t="s">
        <v>2536</v>
      </c>
    </row>
    <row r="66" spans="1:10" ht="18" customHeight="1">
      <c r="A66" s="484" t="s">
        <v>1532</v>
      </c>
      <c r="B66" s="484" t="s">
        <v>2551</v>
      </c>
      <c r="C66" s="485" t="s">
        <v>934</v>
      </c>
      <c r="D66" s="484" t="s">
        <v>2540</v>
      </c>
      <c r="E66" s="502" t="s">
        <v>2559</v>
      </c>
      <c r="F66" s="487">
        <v>20.9</v>
      </c>
      <c r="G66" s="487">
        <v>3.24</v>
      </c>
      <c r="H66" s="492">
        <v>17.66</v>
      </c>
      <c r="I66" s="493">
        <v>0.155</v>
      </c>
      <c r="J66" s="490"/>
    </row>
    <row r="67" spans="1:10" ht="18" customHeight="1">
      <c r="A67" s="484" t="s">
        <v>1532</v>
      </c>
      <c r="B67" s="484" t="s">
        <v>2551</v>
      </c>
      <c r="C67" s="485" t="s">
        <v>1069</v>
      </c>
      <c r="D67" s="484" t="s">
        <v>2540</v>
      </c>
      <c r="E67" s="491" t="s">
        <v>2542</v>
      </c>
      <c r="F67" s="487">
        <v>17.899999999999999</v>
      </c>
      <c r="G67" s="487">
        <v>3.2</v>
      </c>
      <c r="H67" s="492">
        <v>14.7</v>
      </c>
      <c r="I67" s="493">
        <v>0.17899999999999999</v>
      </c>
      <c r="J67" s="490"/>
    </row>
    <row r="68" spans="1:10" ht="18" customHeight="1">
      <c r="A68" s="494" t="s">
        <v>1532</v>
      </c>
      <c r="B68" s="494" t="s">
        <v>2551</v>
      </c>
      <c r="C68" s="495" t="s">
        <v>2543</v>
      </c>
      <c r="D68" s="494" t="s">
        <v>2544</v>
      </c>
      <c r="E68" s="496" t="s">
        <v>2542</v>
      </c>
      <c r="F68" s="497">
        <v>3</v>
      </c>
      <c r="G68" s="497">
        <v>1.2</v>
      </c>
      <c r="H68" s="498">
        <v>1.8</v>
      </c>
      <c r="I68" s="499">
        <v>0.4</v>
      </c>
      <c r="J68" s="500"/>
    </row>
    <row r="69" spans="1:10" ht="18" customHeight="1">
      <c r="A69" s="494" t="s">
        <v>1532</v>
      </c>
      <c r="B69" s="494" t="s">
        <v>2551</v>
      </c>
      <c r="C69" s="495" t="s">
        <v>2553</v>
      </c>
      <c r="D69" s="494" t="s">
        <v>2544</v>
      </c>
      <c r="E69" s="496" t="s">
        <v>2542</v>
      </c>
      <c r="F69" s="497">
        <v>3</v>
      </c>
      <c r="G69" s="497">
        <v>0.8</v>
      </c>
      <c r="H69" s="498">
        <v>2.2000000000000002</v>
      </c>
      <c r="I69" s="501">
        <v>0.26700000000000002</v>
      </c>
      <c r="J69" s="500"/>
    </row>
    <row r="70" spans="1:10" ht="16" customHeight="1">
      <c r="A70" s="1229" t="s">
        <v>2560</v>
      </c>
      <c r="B70" s="1230"/>
      <c r="C70" s="1230"/>
      <c r="D70" s="1230"/>
      <c r="E70" s="1230"/>
      <c r="F70" s="1230"/>
      <c r="G70" s="1230"/>
      <c r="H70" s="1230"/>
      <c r="I70" s="1230"/>
      <c r="J70" s="1231"/>
    </row>
    <row r="71" spans="1:10" ht="18" customHeight="1">
      <c r="A71" s="473" t="s">
        <v>1511</v>
      </c>
      <c r="B71" s="473" t="s">
        <v>2561</v>
      </c>
      <c r="C71" s="474" t="s">
        <v>1108</v>
      </c>
      <c r="D71" s="473" t="s">
        <v>2534</v>
      </c>
      <c r="E71" s="475" t="s">
        <v>2535</v>
      </c>
      <c r="F71" s="476">
        <v>14.9</v>
      </c>
      <c r="G71" s="477"/>
      <c r="H71" s="477"/>
      <c r="I71" s="478"/>
      <c r="J71" s="479" t="s">
        <v>2536</v>
      </c>
    </row>
    <row r="72" spans="1:10" ht="18" customHeight="1">
      <c r="A72" s="473" t="s">
        <v>1511</v>
      </c>
      <c r="B72" s="473" t="s">
        <v>2561</v>
      </c>
      <c r="C72" s="474" t="s">
        <v>1095</v>
      </c>
      <c r="D72" s="473" t="s">
        <v>2534</v>
      </c>
      <c r="E72" s="475" t="s">
        <v>2535</v>
      </c>
      <c r="F72" s="476">
        <v>14.9</v>
      </c>
      <c r="G72" s="477"/>
      <c r="H72" s="477"/>
      <c r="I72" s="478"/>
      <c r="J72" s="479" t="s">
        <v>2536</v>
      </c>
    </row>
    <row r="73" spans="1:10" ht="18" customHeight="1">
      <c r="A73" s="473" t="s">
        <v>1511</v>
      </c>
      <c r="B73" s="473" t="s">
        <v>2561</v>
      </c>
      <c r="C73" s="474" t="s">
        <v>2537</v>
      </c>
      <c r="D73" s="473" t="s">
        <v>2534</v>
      </c>
      <c r="E73" s="475" t="s">
        <v>2535</v>
      </c>
      <c r="F73" s="476">
        <v>14.9</v>
      </c>
      <c r="G73" s="476">
        <v>1.8</v>
      </c>
      <c r="H73" s="481">
        <v>13.1</v>
      </c>
      <c r="I73" s="482">
        <v>0.121</v>
      </c>
      <c r="J73" s="479"/>
    </row>
    <row r="74" spans="1:10" ht="18" customHeight="1">
      <c r="A74" s="473" t="s">
        <v>1511</v>
      </c>
      <c r="B74" s="473" t="s">
        <v>2561</v>
      </c>
      <c r="C74" s="474" t="s">
        <v>726</v>
      </c>
      <c r="D74" s="473" t="s">
        <v>2534</v>
      </c>
      <c r="E74" s="480" t="s">
        <v>2542</v>
      </c>
      <c r="F74" s="476">
        <v>17.899999999999999</v>
      </c>
      <c r="G74" s="476">
        <v>1.6</v>
      </c>
      <c r="H74" s="481">
        <v>16.3</v>
      </c>
      <c r="I74" s="482">
        <v>8.8999999999999996E-2</v>
      </c>
      <c r="J74" s="479"/>
    </row>
    <row r="75" spans="1:10" ht="18" customHeight="1">
      <c r="A75" s="473" t="s">
        <v>1511</v>
      </c>
      <c r="B75" s="473" t="s">
        <v>2561</v>
      </c>
      <c r="C75" s="474" t="s">
        <v>2547</v>
      </c>
      <c r="D75" s="473" t="s">
        <v>2534</v>
      </c>
      <c r="E75" s="483" t="s">
        <v>2539</v>
      </c>
      <c r="F75" s="476">
        <v>19.899999999999999</v>
      </c>
      <c r="G75" s="476">
        <v>2.2000000000000002</v>
      </c>
      <c r="H75" s="481">
        <v>17.7</v>
      </c>
      <c r="I75" s="482">
        <v>0.111</v>
      </c>
      <c r="J75" s="479"/>
    </row>
    <row r="76" spans="1:10" ht="18" customHeight="1">
      <c r="A76" s="484" t="s">
        <v>1511</v>
      </c>
      <c r="B76" s="484" t="s">
        <v>2561</v>
      </c>
      <c r="C76" s="485" t="s">
        <v>1093</v>
      </c>
      <c r="D76" s="484" t="s">
        <v>2540</v>
      </c>
      <c r="E76" s="486" t="s">
        <v>2535</v>
      </c>
      <c r="F76" s="487">
        <v>14.9</v>
      </c>
      <c r="G76" s="487">
        <v>2.4</v>
      </c>
      <c r="H76" s="492">
        <v>12.5</v>
      </c>
      <c r="I76" s="493">
        <v>0.161</v>
      </c>
      <c r="J76" s="490"/>
    </row>
    <row r="77" spans="1:10" ht="18" customHeight="1">
      <c r="A77" s="484" t="s">
        <v>1511</v>
      </c>
      <c r="B77" s="484" t="s">
        <v>2561</v>
      </c>
      <c r="C77" s="485" t="s">
        <v>719</v>
      </c>
      <c r="D77" s="484" t="s">
        <v>2540</v>
      </c>
      <c r="E77" s="486" t="s">
        <v>2535</v>
      </c>
      <c r="F77" s="487">
        <v>14.9</v>
      </c>
      <c r="G77" s="488"/>
      <c r="H77" s="488"/>
      <c r="I77" s="489"/>
      <c r="J77" s="490" t="s">
        <v>2536</v>
      </c>
    </row>
    <row r="78" spans="1:10" ht="18" customHeight="1">
      <c r="A78" s="484" t="s">
        <v>1511</v>
      </c>
      <c r="B78" s="484" t="s">
        <v>2561</v>
      </c>
      <c r="C78" s="485" t="s">
        <v>2562</v>
      </c>
      <c r="D78" s="484" t="s">
        <v>2540</v>
      </c>
      <c r="E78" s="486" t="s">
        <v>2535</v>
      </c>
      <c r="F78" s="487">
        <v>14.9</v>
      </c>
      <c r="G78" s="488"/>
      <c r="H78" s="488"/>
      <c r="I78" s="489"/>
      <c r="J78" s="490" t="s">
        <v>2536</v>
      </c>
    </row>
    <row r="79" spans="1:10" ht="18" customHeight="1">
      <c r="A79" s="484" t="s">
        <v>1511</v>
      </c>
      <c r="B79" s="484" t="s">
        <v>2561</v>
      </c>
      <c r="C79" s="485" t="s">
        <v>2563</v>
      </c>
      <c r="D79" s="484" t="s">
        <v>2540</v>
      </c>
      <c r="E79" s="491" t="s">
        <v>2542</v>
      </c>
      <c r="F79" s="487">
        <v>17.899999999999999</v>
      </c>
      <c r="G79" s="487">
        <v>2.5</v>
      </c>
      <c r="H79" s="492">
        <v>15.4</v>
      </c>
      <c r="I79" s="493">
        <v>0.14000000000000001</v>
      </c>
      <c r="J79" s="490"/>
    </row>
    <row r="80" spans="1:10" ht="18" customHeight="1">
      <c r="A80" s="484" t="s">
        <v>1511</v>
      </c>
      <c r="B80" s="484" t="s">
        <v>2561</v>
      </c>
      <c r="C80" s="485" t="s">
        <v>1105</v>
      </c>
      <c r="D80" s="484" t="s">
        <v>2540</v>
      </c>
      <c r="E80" s="491" t="s">
        <v>2542</v>
      </c>
      <c r="F80" s="487">
        <v>17.899999999999999</v>
      </c>
      <c r="G80" s="487">
        <v>2.6</v>
      </c>
      <c r="H80" s="492">
        <v>15.3</v>
      </c>
      <c r="I80" s="493">
        <v>0.14499999999999999</v>
      </c>
      <c r="J80" s="490"/>
    </row>
    <row r="81" spans="1:10" ht="18" customHeight="1">
      <c r="A81" s="494" t="s">
        <v>1511</v>
      </c>
      <c r="B81" s="494" t="s">
        <v>2561</v>
      </c>
      <c r="C81" s="495" t="s">
        <v>2564</v>
      </c>
      <c r="D81" s="494" t="s">
        <v>2544</v>
      </c>
      <c r="E81" s="496" t="s">
        <v>2542</v>
      </c>
      <c r="F81" s="497">
        <v>3</v>
      </c>
      <c r="G81" s="497">
        <v>1.1000000000000001</v>
      </c>
      <c r="H81" s="498">
        <v>1.9</v>
      </c>
      <c r="I81" s="499">
        <v>0.36699999999999999</v>
      </c>
      <c r="J81" s="500"/>
    </row>
    <row r="82" spans="1:10" ht="18" customHeight="1">
      <c r="A82" s="494" t="s">
        <v>1511</v>
      </c>
      <c r="B82" s="494" t="s">
        <v>2561</v>
      </c>
      <c r="C82" s="495" t="s">
        <v>718</v>
      </c>
      <c r="D82" s="494" t="s">
        <v>2544</v>
      </c>
      <c r="E82" s="496" t="s">
        <v>2542</v>
      </c>
      <c r="F82" s="497">
        <v>3</v>
      </c>
      <c r="G82" s="503"/>
      <c r="H82" s="503"/>
      <c r="I82" s="504"/>
      <c r="J82" s="500" t="s">
        <v>2536</v>
      </c>
    </row>
    <row r="83" spans="1:10" ht="16" customHeight="1">
      <c r="A83" s="1229" t="s">
        <v>2565</v>
      </c>
      <c r="B83" s="1230"/>
      <c r="C83" s="1230"/>
      <c r="D83" s="1230"/>
      <c r="E83" s="1230"/>
      <c r="F83" s="1230"/>
      <c r="G83" s="1230"/>
      <c r="H83" s="1230"/>
      <c r="I83" s="1230"/>
      <c r="J83" s="1231"/>
    </row>
    <row r="84" spans="1:10" ht="18" customHeight="1">
      <c r="A84" s="473" t="s">
        <v>1512</v>
      </c>
      <c r="B84" s="473" t="s">
        <v>2561</v>
      </c>
      <c r="C84" s="474" t="s">
        <v>1133</v>
      </c>
      <c r="D84" s="473" t="s">
        <v>2534</v>
      </c>
      <c r="E84" s="475" t="s">
        <v>2535</v>
      </c>
      <c r="F84" s="476">
        <v>14.9</v>
      </c>
      <c r="G84" s="477"/>
      <c r="H84" s="477"/>
      <c r="I84" s="478"/>
      <c r="J84" s="479" t="s">
        <v>2536</v>
      </c>
    </row>
    <row r="85" spans="1:10" ht="18" customHeight="1">
      <c r="A85" s="473" t="s">
        <v>1512</v>
      </c>
      <c r="B85" s="473" t="s">
        <v>2561</v>
      </c>
      <c r="C85" s="474" t="s">
        <v>970</v>
      </c>
      <c r="D85" s="473" t="s">
        <v>2534</v>
      </c>
      <c r="E85" s="475" t="s">
        <v>2535</v>
      </c>
      <c r="F85" s="476">
        <v>14.9</v>
      </c>
      <c r="G85" s="477"/>
      <c r="H85" s="477"/>
      <c r="I85" s="478"/>
      <c r="J85" s="479" t="s">
        <v>2536</v>
      </c>
    </row>
    <row r="86" spans="1:10" ht="18" customHeight="1">
      <c r="A86" s="473" t="s">
        <v>1512</v>
      </c>
      <c r="B86" s="473" t="s">
        <v>2561</v>
      </c>
      <c r="C86" s="474" t="s">
        <v>1132</v>
      </c>
      <c r="D86" s="473" t="s">
        <v>2534</v>
      </c>
      <c r="E86" s="475" t="s">
        <v>2535</v>
      </c>
      <c r="F86" s="476">
        <v>14.9</v>
      </c>
      <c r="G86" s="477"/>
      <c r="H86" s="477"/>
      <c r="I86" s="478"/>
      <c r="J86" s="479" t="s">
        <v>2536</v>
      </c>
    </row>
    <row r="87" spans="1:10" ht="18" customHeight="1">
      <c r="A87" s="473" t="s">
        <v>1512</v>
      </c>
      <c r="B87" s="473" t="s">
        <v>2561</v>
      </c>
      <c r="C87" s="474" t="s">
        <v>1127</v>
      </c>
      <c r="D87" s="473" t="s">
        <v>2534</v>
      </c>
      <c r="E87" s="483" t="s">
        <v>2539</v>
      </c>
      <c r="F87" s="476">
        <v>19.899999999999999</v>
      </c>
      <c r="G87" s="476">
        <v>1.4</v>
      </c>
      <c r="H87" s="481">
        <v>18.5</v>
      </c>
      <c r="I87" s="482">
        <v>7.0000000000000007E-2</v>
      </c>
      <c r="J87" s="479"/>
    </row>
    <row r="88" spans="1:10" ht="18" customHeight="1">
      <c r="A88" s="473" t="s">
        <v>1512</v>
      </c>
      <c r="B88" s="473" t="s">
        <v>2561</v>
      </c>
      <c r="C88" s="474" t="s">
        <v>726</v>
      </c>
      <c r="D88" s="473" t="s">
        <v>2534</v>
      </c>
      <c r="E88" s="480" t="s">
        <v>2542</v>
      </c>
      <c r="F88" s="476">
        <v>17.899999999999999</v>
      </c>
      <c r="G88" s="476">
        <v>1.6</v>
      </c>
      <c r="H88" s="481">
        <v>16.3</v>
      </c>
      <c r="I88" s="482">
        <v>8.8999999999999996E-2</v>
      </c>
      <c r="J88" s="479"/>
    </row>
    <row r="89" spans="1:10" ht="18" customHeight="1">
      <c r="A89" s="484" t="s">
        <v>1512</v>
      </c>
      <c r="B89" s="484" t="s">
        <v>2561</v>
      </c>
      <c r="C89" s="485" t="s">
        <v>1122</v>
      </c>
      <c r="D89" s="484" t="s">
        <v>2540</v>
      </c>
      <c r="E89" s="486" t="s">
        <v>2535</v>
      </c>
      <c r="F89" s="487">
        <v>14.9</v>
      </c>
      <c r="G89" s="488"/>
      <c r="H89" s="488"/>
      <c r="I89" s="489"/>
      <c r="J89" s="490" t="s">
        <v>2536</v>
      </c>
    </row>
    <row r="90" spans="1:10" ht="18" customHeight="1">
      <c r="A90" s="484" t="s">
        <v>1512</v>
      </c>
      <c r="B90" s="484" t="s">
        <v>2561</v>
      </c>
      <c r="C90" s="485" t="s">
        <v>1124</v>
      </c>
      <c r="D90" s="484" t="s">
        <v>2540</v>
      </c>
      <c r="E90" s="486" t="s">
        <v>2535</v>
      </c>
      <c r="F90" s="487">
        <v>14.9</v>
      </c>
      <c r="G90" s="488"/>
      <c r="H90" s="488"/>
      <c r="I90" s="489"/>
      <c r="J90" s="490" t="s">
        <v>2536</v>
      </c>
    </row>
    <row r="91" spans="1:10" ht="18" customHeight="1">
      <c r="A91" s="484" t="s">
        <v>1512</v>
      </c>
      <c r="B91" s="484" t="s">
        <v>2561</v>
      </c>
      <c r="C91" s="485" t="s">
        <v>1123</v>
      </c>
      <c r="D91" s="484" t="s">
        <v>2540</v>
      </c>
      <c r="E91" s="486" t="s">
        <v>2535</v>
      </c>
      <c r="F91" s="487">
        <v>14.9</v>
      </c>
      <c r="G91" s="488"/>
      <c r="H91" s="488"/>
      <c r="I91" s="489"/>
      <c r="J91" s="490" t="s">
        <v>2536</v>
      </c>
    </row>
    <row r="92" spans="1:10" ht="18" customHeight="1">
      <c r="A92" s="484" t="s">
        <v>1512</v>
      </c>
      <c r="B92" s="484" t="s">
        <v>2561</v>
      </c>
      <c r="C92" s="485" t="s">
        <v>986</v>
      </c>
      <c r="D92" s="484" t="s">
        <v>2540</v>
      </c>
      <c r="E92" s="502" t="s">
        <v>2539</v>
      </c>
      <c r="F92" s="487">
        <v>19.899999999999999</v>
      </c>
      <c r="G92" s="487">
        <v>2.5</v>
      </c>
      <c r="H92" s="492">
        <v>17.399999999999999</v>
      </c>
      <c r="I92" s="493">
        <v>0.126</v>
      </c>
      <c r="J92" s="490"/>
    </row>
    <row r="93" spans="1:10" ht="18" customHeight="1">
      <c r="A93" s="484" t="s">
        <v>1512</v>
      </c>
      <c r="B93" s="484" t="s">
        <v>2561</v>
      </c>
      <c r="C93" s="485" t="s">
        <v>2549</v>
      </c>
      <c r="D93" s="484" t="s">
        <v>2540</v>
      </c>
      <c r="E93" s="491" t="s">
        <v>2542</v>
      </c>
      <c r="F93" s="487">
        <v>17.899999999999999</v>
      </c>
      <c r="G93" s="487">
        <v>2.6</v>
      </c>
      <c r="H93" s="492">
        <v>15.3</v>
      </c>
      <c r="I93" s="493">
        <v>0.14499999999999999</v>
      </c>
      <c r="J93" s="490"/>
    </row>
    <row r="94" spans="1:10" ht="18" customHeight="1">
      <c r="A94" s="494" t="s">
        <v>1512</v>
      </c>
      <c r="B94" s="494" t="s">
        <v>2561</v>
      </c>
      <c r="C94" s="495" t="s">
        <v>2543</v>
      </c>
      <c r="D94" s="494" t="s">
        <v>2544</v>
      </c>
      <c r="E94" s="496" t="s">
        <v>2542</v>
      </c>
      <c r="F94" s="497">
        <v>3</v>
      </c>
      <c r="G94" s="497">
        <v>1.2</v>
      </c>
      <c r="H94" s="498">
        <v>1.8</v>
      </c>
      <c r="I94" s="499">
        <v>0.4</v>
      </c>
      <c r="J94" s="500"/>
    </row>
    <row r="95" spans="1:10" ht="18" customHeight="1">
      <c r="A95" s="494" t="s">
        <v>1512</v>
      </c>
      <c r="B95" s="494" t="s">
        <v>2561</v>
      </c>
      <c r="C95" s="495" t="s">
        <v>2564</v>
      </c>
      <c r="D95" s="494" t="s">
        <v>2544</v>
      </c>
      <c r="E95" s="496" t="s">
        <v>2542</v>
      </c>
      <c r="F95" s="497">
        <v>3</v>
      </c>
      <c r="G95" s="497">
        <v>1.1000000000000001</v>
      </c>
      <c r="H95" s="498">
        <v>1.9</v>
      </c>
      <c r="I95" s="499">
        <v>0.36699999999999999</v>
      </c>
      <c r="J95" s="500"/>
    </row>
    <row r="96" spans="1:10" ht="16" customHeight="1">
      <c r="A96" s="1229" t="s">
        <v>2566</v>
      </c>
      <c r="B96" s="1230"/>
      <c r="C96" s="1230"/>
      <c r="D96" s="1230"/>
      <c r="E96" s="1230"/>
      <c r="F96" s="1230"/>
      <c r="G96" s="1230"/>
      <c r="H96" s="1230"/>
      <c r="I96" s="1230"/>
      <c r="J96" s="1231"/>
    </row>
    <row r="97" spans="1:10" ht="18" customHeight="1">
      <c r="A97" s="473" t="s">
        <v>1513</v>
      </c>
      <c r="B97" s="473" t="s">
        <v>2561</v>
      </c>
      <c r="C97" s="474" t="s">
        <v>1158</v>
      </c>
      <c r="D97" s="473" t="s">
        <v>2534</v>
      </c>
      <c r="E97" s="475" t="s">
        <v>2535</v>
      </c>
      <c r="F97" s="476">
        <v>14.9</v>
      </c>
      <c r="G97" s="477"/>
      <c r="H97" s="477"/>
      <c r="I97" s="478"/>
      <c r="J97" s="479" t="s">
        <v>2536</v>
      </c>
    </row>
    <row r="98" spans="1:10" ht="18" customHeight="1">
      <c r="A98" s="473" t="s">
        <v>1513</v>
      </c>
      <c r="B98" s="473" t="s">
        <v>2561</v>
      </c>
      <c r="C98" s="474" t="s">
        <v>1163</v>
      </c>
      <c r="D98" s="473" t="s">
        <v>2534</v>
      </c>
      <c r="E98" s="475" t="s">
        <v>2535</v>
      </c>
      <c r="F98" s="476">
        <v>14.9</v>
      </c>
      <c r="G98" s="477"/>
      <c r="H98" s="477"/>
      <c r="I98" s="478"/>
      <c r="J98" s="479" t="s">
        <v>2536</v>
      </c>
    </row>
    <row r="99" spans="1:10" ht="18" customHeight="1">
      <c r="A99" s="473" t="s">
        <v>1513</v>
      </c>
      <c r="B99" s="473" t="s">
        <v>2561</v>
      </c>
      <c r="C99" s="474" t="s">
        <v>1155</v>
      </c>
      <c r="D99" s="473" t="s">
        <v>2534</v>
      </c>
      <c r="E99" s="475" t="s">
        <v>2535</v>
      </c>
      <c r="F99" s="476">
        <v>14.9</v>
      </c>
      <c r="G99" s="477"/>
      <c r="H99" s="477"/>
      <c r="I99" s="478"/>
      <c r="J99" s="479" t="s">
        <v>2536</v>
      </c>
    </row>
    <row r="100" spans="1:10" ht="18" customHeight="1">
      <c r="A100" s="473" t="s">
        <v>1513</v>
      </c>
      <c r="B100" s="473" t="s">
        <v>2561</v>
      </c>
      <c r="C100" s="474" t="s">
        <v>2567</v>
      </c>
      <c r="D100" s="473" t="s">
        <v>2534</v>
      </c>
      <c r="E100" s="483" t="s">
        <v>2539</v>
      </c>
      <c r="F100" s="476">
        <v>19.899999999999999</v>
      </c>
      <c r="G100" s="476">
        <v>2.2000000000000002</v>
      </c>
      <c r="H100" s="481">
        <v>17.7</v>
      </c>
      <c r="I100" s="482">
        <v>0.111</v>
      </c>
      <c r="J100" s="479"/>
    </row>
    <row r="101" spans="1:10" ht="18" customHeight="1">
      <c r="A101" s="473" t="s">
        <v>1513</v>
      </c>
      <c r="B101" s="473" t="s">
        <v>2561</v>
      </c>
      <c r="C101" s="474" t="s">
        <v>1169</v>
      </c>
      <c r="D101" s="473" t="s">
        <v>2534</v>
      </c>
      <c r="E101" s="480" t="s">
        <v>2542</v>
      </c>
      <c r="F101" s="476">
        <v>17.899999999999999</v>
      </c>
      <c r="G101" s="476">
        <v>1.6</v>
      </c>
      <c r="H101" s="481">
        <v>16.3</v>
      </c>
      <c r="I101" s="482">
        <v>8.8999999999999996E-2</v>
      </c>
      <c r="J101" s="479"/>
    </row>
    <row r="102" spans="1:10" ht="18" customHeight="1">
      <c r="A102" s="484" t="s">
        <v>1513</v>
      </c>
      <c r="B102" s="484" t="s">
        <v>2561</v>
      </c>
      <c r="C102" s="485" t="s">
        <v>2568</v>
      </c>
      <c r="D102" s="484" t="s">
        <v>2540</v>
      </c>
      <c r="E102" s="486" t="s">
        <v>2535</v>
      </c>
      <c r="F102" s="487">
        <v>14.9</v>
      </c>
      <c r="G102" s="488"/>
      <c r="H102" s="488"/>
      <c r="I102" s="489"/>
      <c r="J102" s="490" t="s">
        <v>2536</v>
      </c>
    </row>
    <row r="103" spans="1:10" ht="18" customHeight="1">
      <c r="A103" s="484" t="s">
        <v>1513</v>
      </c>
      <c r="B103" s="484" t="s">
        <v>2561</v>
      </c>
      <c r="C103" s="485" t="s">
        <v>751</v>
      </c>
      <c r="D103" s="484" t="s">
        <v>2540</v>
      </c>
      <c r="E103" s="486" t="s">
        <v>2535</v>
      </c>
      <c r="F103" s="487">
        <v>14.9</v>
      </c>
      <c r="G103" s="488"/>
      <c r="H103" s="488"/>
      <c r="I103" s="489"/>
      <c r="J103" s="490" t="s">
        <v>2536</v>
      </c>
    </row>
    <row r="104" spans="1:10" ht="18" customHeight="1">
      <c r="A104" s="484" t="s">
        <v>1513</v>
      </c>
      <c r="B104" s="484" t="s">
        <v>2561</v>
      </c>
      <c r="C104" s="485" t="s">
        <v>1688</v>
      </c>
      <c r="D104" s="484" t="s">
        <v>2540</v>
      </c>
      <c r="E104" s="491" t="s">
        <v>2542</v>
      </c>
      <c r="F104" s="487">
        <v>17.899999999999999</v>
      </c>
      <c r="G104" s="487">
        <v>3.2</v>
      </c>
      <c r="H104" s="492">
        <v>14.7</v>
      </c>
      <c r="I104" s="493">
        <v>0.17899999999999999</v>
      </c>
      <c r="J104" s="490"/>
    </row>
    <row r="105" spans="1:10" ht="18" customHeight="1">
      <c r="A105" s="484" t="s">
        <v>1513</v>
      </c>
      <c r="B105" s="484" t="s">
        <v>2561</v>
      </c>
      <c r="C105" s="485" t="s">
        <v>2569</v>
      </c>
      <c r="D105" s="484" t="s">
        <v>2540</v>
      </c>
      <c r="E105" s="486" t="s">
        <v>2535</v>
      </c>
      <c r="F105" s="487">
        <v>14.9</v>
      </c>
      <c r="G105" s="488"/>
      <c r="H105" s="488"/>
      <c r="I105" s="489"/>
      <c r="J105" s="490" t="s">
        <v>2536</v>
      </c>
    </row>
    <row r="106" spans="1:10" ht="18" customHeight="1">
      <c r="A106" s="484" t="s">
        <v>1513</v>
      </c>
      <c r="B106" s="484" t="s">
        <v>2561</v>
      </c>
      <c r="C106" s="485" t="s">
        <v>988</v>
      </c>
      <c r="D106" s="484" t="s">
        <v>2540</v>
      </c>
      <c r="E106" s="502" t="s">
        <v>2539</v>
      </c>
      <c r="F106" s="487">
        <v>19.899999999999999</v>
      </c>
      <c r="G106" s="487">
        <v>2.5</v>
      </c>
      <c r="H106" s="492">
        <v>17.399999999999999</v>
      </c>
      <c r="I106" s="493">
        <v>0.126</v>
      </c>
      <c r="J106" s="490"/>
    </row>
    <row r="107" spans="1:10" ht="18" customHeight="1">
      <c r="A107" s="494" t="s">
        <v>1513</v>
      </c>
      <c r="B107" s="494" t="s">
        <v>2561</v>
      </c>
      <c r="C107" s="495" t="s">
        <v>2543</v>
      </c>
      <c r="D107" s="494" t="s">
        <v>2544</v>
      </c>
      <c r="E107" s="496" t="s">
        <v>2542</v>
      </c>
      <c r="F107" s="497">
        <v>3</v>
      </c>
      <c r="G107" s="497">
        <v>1.2</v>
      </c>
      <c r="H107" s="498">
        <v>1.8</v>
      </c>
      <c r="I107" s="499">
        <v>0.4</v>
      </c>
      <c r="J107" s="500"/>
    </row>
    <row r="108" spans="1:10" ht="18" customHeight="1">
      <c r="A108" s="494" t="s">
        <v>1513</v>
      </c>
      <c r="B108" s="494" t="s">
        <v>2561</v>
      </c>
      <c r="C108" s="495" t="s">
        <v>2564</v>
      </c>
      <c r="D108" s="494" t="s">
        <v>2544</v>
      </c>
      <c r="E108" s="496" t="s">
        <v>2542</v>
      </c>
      <c r="F108" s="497">
        <v>3</v>
      </c>
      <c r="G108" s="497">
        <v>1.1000000000000001</v>
      </c>
      <c r="H108" s="498">
        <v>1.9</v>
      </c>
      <c r="I108" s="499">
        <v>0.36699999999999999</v>
      </c>
      <c r="J108" s="500"/>
    </row>
    <row r="109" spans="1:10" ht="16" customHeight="1">
      <c r="A109" s="1229" t="s">
        <v>2570</v>
      </c>
      <c r="B109" s="1230"/>
      <c r="C109" s="1230"/>
      <c r="D109" s="1230"/>
      <c r="E109" s="1230"/>
      <c r="F109" s="1230"/>
      <c r="G109" s="1230"/>
      <c r="H109" s="1230"/>
      <c r="I109" s="1230"/>
      <c r="J109" s="1231"/>
    </row>
    <row r="110" spans="1:10" ht="18" customHeight="1">
      <c r="A110" s="473" t="s">
        <v>1514</v>
      </c>
      <c r="B110" s="473" t="s">
        <v>2571</v>
      </c>
      <c r="C110" s="474" t="s">
        <v>1026</v>
      </c>
      <c r="D110" s="473" t="s">
        <v>2534</v>
      </c>
      <c r="E110" s="475" t="s">
        <v>2535</v>
      </c>
      <c r="F110" s="476">
        <v>14.9</v>
      </c>
      <c r="G110" s="477"/>
      <c r="H110" s="477"/>
      <c r="I110" s="478"/>
      <c r="J110" s="479" t="s">
        <v>2536</v>
      </c>
    </row>
    <row r="111" spans="1:10" ht="18" customHeight="1">
      <c r="A111" s="473" t="s">
        <v>1514</v>
      </c>
      <c r="B111" s="473" t="s">
        <v>2571</v>
      </c>
      <c r="C111" s="474" t="s">
        <v>2557</v>
      </c>
      <c r="D111" s="473" t="s">
        <v>2534</v>
      </c>
      <c r="E111" s="475" t="s">
        <v>2535</v>
      </c>
      <c r="F111" s="476">
        <v>14.9</v>
      </c>
      <c r="G111" s="477"/>
      <c r="H111" s="477"/>
      <c r="I111" s="478"/>
      <c r="J111" s="479" t="s">
        <v>2536</v>
      </c>
    </row>
    <row r="112" spans="1:10" ht="18" customHeight="1">
      <c r="A112" s="473" t="s">
        <v>1514</v>
      </c>
      <c r="B112" s="473" t="s">
        <v>2571</v>
      </c>
      <c r="C112" s="474" t="s">
        <v>1127</v>
      </c>
      <c r="D112" s="473" t="s">
        <v>2534</v>
      </c>
      <c r="E112" s="483" t="s">
        <v>2539</v>
      </c>
      <c r="F112" s="476">
        <v>19.899999999999999</v>
      </c>
      <c r="G112" s="476">
        <v>1.4</v>
      </c>
      <c r="H112" s="481">
        <v>18.5</v>
      </c>
      <c r="I112" s="482">
        <v>7.0000000000000007E-2</v>
      </c>
      <c r="J112" s="479"/>
    </row>
    <row r="113" spans="1:10" ht="18" customHeight="1">
      <c r="A113" s="473" t="s">
        <v>1514</v>
      </c>
      <c r="B113" s="473" t="s">
        <v>2571</v>
      </c>
      <c r="C113" s="474" t="s">
        <v>1181</v>
      </c>
      <c r="D113" s="473" t="s">
        <v>2534</v>
      </c>
      <c r="E113" s="475" t="s">
        <v>2535</v>
      </c>
      <c r="F113" s="476">
        <v>14.9</v>
      </c>
      <c r="G113" s="476">
        <v>1.25</v>
      </c>
      <c r="H113" s="481">
        <v>13.65</v>
      </c>
      <c r="I113" s="482">
        <v>8.4000000000000005E-2</v>
      </c>
      <c r="J113" s="479"/>
    </row>
    <row r="114" spans="1:10" ht="18" customHeight="1">
      <c r="A114" s="473" t="s">
        <v>1514</v>
      </c>
      <c r="B114" s="473" t="s">
        <v>2571</v>
      </c>
      <c r="C114" s="474" t="s">
        <v>1178</v>
      </c>
      <c r="D114" s="473" t="s">
        <v>2534</v>
      </c>
      <c r="E114" s="480" t="s">
        <v>2542</v>
      </c>
      <c r="F114" s="476">
        <v>17.899999999999999</v>
      </c>
      <c r="G114" s="477"/>
      <c r="H114" s="477"/>
      <c r="I114" s="478"/>
      <c r="J114" s="479" t="s">
        <v>2536</v>
      </c>
    </row>
    <row r="115" spans="1:10" ht="18" customHeight="1">
      <c r="A115" s="484" t="s">
        <v>1514</v>
      </c>
      <c r="B115" s="484" t="s">
        <v>2571</v>
      </c>
      <c r="C115" s="485" t="s">
        <v>1176</v>
      </c>
      <c r="D115" s="484" t="s">
        <v>2540</v>
      </c>
      <c r="E115" s="486" t="s">
        <v>2535</v>
      </c>
      <c r="F115" s="487">
        <v>14.9</v>
      </c>
      <c r="G115" s="488"/>
      <c r="H115" s="488"/>
      <c r="I115" s="489"/>
      <c r="J115" s="490" t="s">
        <v>2536</v>
      </c>
    </row>
    <row r="116" spans="1:10" ht="18" customHeight="1">
      <c r="A116" s="484" t="s">
        <v>1514</v>
      </c>
      <c r="B116" s="484" t="s">
        <v>2571</v>
      </c>
      <c r="C116" s="485" t="s">
        <v>1179</v>
      </c>
      <c r="D116" s="484" t="s">
        <v>2540</v>
      </c>
      <c r="E116" s="486" t="s">
        <v>2535</v>
      </c>
      <c r="F116" s="487">
        <v>14.9</v>
      </c>
      <c r="G116" s="488"/>
      <c r="H116" s="488"/>
      <c r="I116" s="489"/>
      <c r="J116" s="490" t="s">
        <v>2536</v>
      </c>
    </row>
    <row r="117" spans="1:10" ht="18" customHeight="1">
      <c r="A117" s="484" t="s">
        <v>1514</v>
      </c>
      <c r="B117" s="484" t="s">
        <v>2571</v>
      </c>
      <c r="C117" s="485" t="s">
        <v>2572</v>
      </c>
      <c r="D117" s="484" t="s">
        <v>2540</v>
      </c>
      <c r="E117" s="486" t="s">
        <v>2535</v>
      </c>
      <c r="F117" s="487">
        <v>14.9</v>
      </c>
      <c r="G117" s="488"/>
      <c r="H117" s="488"/>
      <c r="I117" s="489"/>
      <c r="J117" s="490" t="s">
        <v>2536</v>
      </c>
    </row>
    <row r="118" spans="1:10" ht="18" customHeight="1">
      <c r="A118" s="484" t="s">
        <v>1514</v>
      </c>
      <c r="B118" s="484" t="s">
        <v>2571</v>
      </c>
      <c r="C118" s="485" t="s">
        <v>1182</v>
      </c>
      <c r="D118" s="484" t="s">
        <v>2540</v>
      </c>
      <c r="E118" s="491" t="s">
        <v>2542</v>
      </c>
      <c r="F118" s="487">
        <v>17.899999999999999</v>
      </c>
      <c r="G118" s="487">
        <v>2.2000000000000002</v>
      </c>
      <c r="H118" s="492">
        <v>15.7</v>
      </c>
      <c r="I118" s="493">
        <v>0.123</v>
      </c>
      <c r="J118" s="490"/>
    </row>
    <row r="119" spans="1:10" ht="18" customHeight="1">
      <c r="A119" s="484" t="s">
        <v>1514</v>
      </c>
      <c r="B119" s="484" t="s">
        <v>2571</v>
      </c>
      <c r="C119" s="485" t="s">
        <v>988</v>
      </c>
      <c r="D119" s="484" t="s">
        <v>2540</v>
      </c>
      <c r="E119" s="502" t="s">
        <v>2539</v>
      </c>
      <c r="F119" s="487">
        <v>19.899999999999999</v>
      </c>
      <c r="G119" s="487">
        <v>2.5</v>
      </c>
      <c r="H119" s="492">
        <v>17.399999999999999</v>
      </c>
      <c r="I119" s="493">
        <v>0.126</v>
      </c>
      <c r="J119" s="490"/>
    </row>
    <row r="120" spans="1:10" ht="18" customHeight="1">
      <c r="A120" s="494" t="s">
        <v>1514</v>
      </c>
      <c r="B120" s="494" t="s">
        <v>2571</v>
      </c>
      <c r="C120" s="495" t="s">
        <v>2543</v>
      </c>
      <c r="D120" s="494" t="s">
        <v>2544</v>
      </c>
      <c r="E120" s="496" t="s">
        <v>2542</v>
      </c>
      <c r="F120" s="497">
        <v>3</v>
      </c>
      <c r="G120" s="497">
        <v>1.2</v>
      </c>
      <c r="H120" s="498">
        <v>1.8</v>
      </c>
      <c r="I120" s="499">
        <v>0.4</v>
      </c>
      <c r="J120" s="500"/>
    </row>
    <row r="121" spans="1:10" ht="18" customHeight="1">
      <c r="A121" s="494" t="s">
        <v>1514</v>
      </c>
      <c r="B121" s="494" t="s">
        <v>2571</v>
      </c>
      <c r="C121" s="495" t="s">
        <v>2564</v>
      </c>
      <c r="D121" s="494" t="s">
        <v>2544</v>
      </c>
      <c r="E121" s="496" t="s">
        <v>2542</v>
      </c>
      <c r="F121" s="497">
        <v>3</v>
      </c>
      <c r="G121" s="497">
        <v>1.1000000000000001</v>
      </c>
      <c r="H121" s="498">
        <v>1.9</v>
      </c>
      <c r="I121" s="499">
        <v>0.36699999999999999</v>
      </c>
      <c r="J121" s="500"/>
    </row>
    <row r="122" spans="1:10" ht="16" customHeight="1">
      <c r="A122" s="1229" t="s">
        <v>2573</v>
      </c>
      <c r="B122" s="1230"/>
      <c r="C122" s="1230"/>
      <c r="D122" s="1230"/>
      <c r="E122" s="1230"/>
      <c r="F122" s="1230"/>
      <c r="G122" s="1230"/>
      <c r="H122" s="1230"/>
      <c r="I122" s="1230"/>
      <c r="J122" s="1231"/>
    </row>
    <row r="123" spans="1:10" ht="18" customHeight="1">
      <c r="A123" s="473" t="s">
        <v>1515</v>
      </c>
      <c r="B123" s="473" t="s">
        <v>2571</v>
      </c>
      <c r="C123" s="474" t="s">
        <v>1195</v>
      </c>
      <c r="D123" s="473" t="s">
        <v>2534</v>
      </c>
      <c r="E123" s="475" t="s">
        <v>2535</v>
      </c>
      <c r="F123" s="476">
        <v>14.9</v>
      </c>
      <c r="G123" s="477"/>
      <c r="H123" s="477"/>
      <c r="I123" s="478"/>
      <c r="J123" s="479" t="s">
        <v>2536</v>
      </c>
    </row>
    <row r="124" spans="1:10" ht="18" customHeight="1">
      <c r="A124" s="473" t="s">
        <v>1515</v>
      </c>
      <c r="B124" s="473" t="s">
        <v>2571</v>
      </c>
      <c r="C124" s="474" t="s">
        <v>1196</v>
      </c>
      <c r="D124" s="473" t="s">
        <v>2534</v>
      </c>
      <c r="E124" s="475" t="s">
        <v>2535</v>
      </c>
      <c r="F124" s="476">
        <v>14.9</v>
      </c>
      <c r="G124" s="477"/>
      <c r="H124" s="477"/>
      <c r="I124" s="478"/>
      <c r="J124" s="479" t="s">
        <v>2536</v>
      </c>
    </row>
    <row r="125" spans="1:10" ht="18" customHeight="1">
      <c r="A125" s="473" t="s">
        <v>1515</v>
      </c>
      <c r="B125" s="473" t="s">
        <v>2571</v>
      </c>
      <c r="C125" s="474" t="s">
        <v>1169</v>
      </c>
      <c r="D125" s="473" t="s">
        <v>2534</v>
      </c>
      <c r="E125" s="480" t="s">
        <v>2542</v>
      </c>
      <c r="F125" s="476">
        <v>17.899999999999999</v>
      </c>
      <c r="G125" s="476">
        <v>1.6</v>
      </c>
      <c r="H125" s="481">
        <v>16.3</v>
      </c>
      <c r="I125" s="482">
        <v>8.8999999999999996E-2</v>
      </c>
      <c r="J125" s="479"/>
    </row>
    <row r="126" spans="1:10" ht="18" customHeight="1">
      <c r="A126" s="473" t="s">
        <v>1515</v>
      </c>
      <c r="B126" s="473" t="s">
        <v>2571</v>
      </c>
      <c r="C126" s="474" t="s">
        <v>2567</v>
      </c>
      <c r="D126" s="473" t="s">
        <v>2534</v>
      </c>
      <c r="E126" s="483" t="s">
        <v>2539</v>
      </c>
      <c r="F126" s="476">
        <v>19.899999999999999</v>
      </c>
      <c r="G126" s="476">
        <v>2.2000000000000002</v>
      </c>
      <c r="H126" s="481">
        <v>17.7</v>
      </c>
      <c r="I126" s="482">
        <v>0.111</v>
      </c>
      <c r="J126" s="479"/>
    </row>
    <row r="127" spans="1:10" ht="18" customHeight="1">
      <c r="A127" s="473" t="s">
        <v>1515</v>
      </c>
      <c r="B127" s="473" t="s">
        <v>2571</v>
      </c>
      <c r="C127" s="474" t="s">
        <v>1181</v>
      </c>
      <c r="D127" s="473" t="s">
        <v>2534</v>
      </c>
      <c r="E127" s="475" t="s">
        <v>2535</v>
      </c>
      <c r="F127" s="476">
        <v>14.9</v>
      </c>
      <c r="G127" s="476">
        <v>1.25</v>
      </c>
      <c r="H127" s="481">
        <v>13.65</v>
      </c>
      <c r="I127" s="482">
        <v>8.4000000000000005E-2</v>
      </c>
      <c r="J127" s="479"/>
    </row>
    <row r="128" spans="1:10" ht="18" customHeight="1">
      <c r="A128" s="484" t="s">
        <v>1515</v>
      </c>
      <c r="B128" s="484" t="s">
        <v>2571</v>
      </c>
      <c r="C128" s="485" t="s">
        <v>1192</v>
      </c>
      <c r="D128" s="484" t="s">
        <v>2540</v>
      </c>
      <c r="E128" s="486" t="s">
        <v>2535</v>
      </c>
      <c r="F128" s="487">
        <v>14.9</v>
      </c>
      <c r="G128" s="487">
        <v>1.9</v>
      </c>
      <c r="H128" s="492">
        <v>13</v>
      </c>
      <c r="I128" s="493">
        <v>0.128</v>
      </c>
      <c r="J128" s="490"/>
    </row>
    <row r="129" spans="1:10" ht="18" customHeight="1">
      <c r="A129" s="484" t="s">
        <v>1515</v>
      </c>
      <c r="B129" s="484" t="s">
        <v>2571</v>
      </c>
      <c r="C129" s="485" t="s">
        <v>1688</v>
      </c>
      <c r="D129" s="484" t="s">
        <v>2540</v>
      </c>
      <c r="E129" s="491" t="s">
        <v>2542</v>
      </c>
      <c r="F129" s="487">
        <v>17.899999999999999</v>
      </c>
      <c r="G129" s="487">
        <v>3.2</v>
      </c>
      <c r="H129" s="492">
        <v>14.7</v>
      </c>
      <c r="I129" s="493">
        <v>0.17899999999999999</v>
      </c>
      <c r="J129" s="490"/>
    </row>
    <row r="130" spans="1:10" ht="18" customHeight="1">
      <c r="A130" s="484" t="s">
        <v>1515</v>
      </c>
      <c r="B130" s="484" t="s">
        <v>2571</v>
      </c>
      <c r="C130" s="485" t="s">
        <v>2574</v>
      </c>
      <c r="D130" s="484" t="s">
        <v>2540</v>
      </c>
      <c r="E130" s="486" t="s">
        <v>2535</v>
      </c>
      <c r="F130" s="487">
        <v>14.9</v>
      </c>
      <c r="G130" s="488"/>
      <c r="H130" s="488"/>
      <c r="I130" s="489"/>
      <c r="J130" s="490" t="s">
        <v>2536</v>
      </c>
    </row>
    <row r="131" spans="1:10" ht="18" customHeight="1">
      <c r="A131" s="484" t="s">
        <v>1515</v>
      </c>
      <c r="B131" s="484" t="s">
        <v>2571</v>
      </c>
      <c r="C131" s="485" t="s">
        <v>2575</v>
      </c>
      <c r="D131" s="484" t="s">
        <v>2540</v>
      </c>
      <c r="E131" s="486" t="s">
        <v>2535</v>
      </c>
      <c r="F131" s="487">
        <v>14.9</v>
      </c>
      <c r="G131" s="487">
        <v>2.8</v>
      </c>
      <c r="H131" s="492">
        <v>12.1</v>
      </c>
      <c r="I131" s="493">
        <v>0.188</v>
      </c>
      <c r="J131" s="490"/>
    </row>
    <row r="132" spans="1:10" ht="18" customHeight="1">
      <c r="A132" s="484" t="s">
        <v>1515</v>
      </c>
      <c r="B132" s="484" t="s">
        <v>2571</v>
      </c>
      <c r="C132" s="485" t="s">
        <v>988</v>
      </c>
      <c r="D132" s="484" t="s">
        <v>2540</v>
      </c>
      <c r="E132" s="502" t="s">
        <v>2539</v>
      </c>
      <c r="F132" s="487">
        <v>19.899999999999999</v>
      </c>
      <c r="G132" s="487">
        <v>2.5</v>
      </c>
      <c r="H132" s="492">
        <v>17.399999999999999</v>
      </c>
      <c r="I132" s="493">
        <v>0.126</v>
      </c>
      <c r="J132" s="490"/>
    </row>
    <row r="133" spans="1:10" ht="18" customHeight="1">
      <c r="A133" s="494" t="s">
        <v>1515</v>
      </c>
      <c r="B133" s="494" t="s">
        <v>2571</v>
      </c>
      <c r="C133" s="495" t="s">
        <v>2543</v>
      </c>
      <c r="D133" s="494" t="s">
        <v>2544</v>
      </c>
      <c r="E133" s="496" t="s">
        <v>2542</v>
      </c>
      <c r="F133" s="497">
        <v>3</v>
      </c>
      <c r="G133" s="497">
        <v>1.2</v>
      </c>
      <c r="H133" s="498">
        <v>1.8</v>
      </c>
      <c r="I133" s="499">
        <v>0.4</v>
      </c>
      <c r="J133" s="500"/>
    </row>
    <row r="134" spans="1:10" ht="18" customHeight="1">
      <c r="A134" s="494" t="s">
        <v>1515</v>
      </c>
      <c r="B134" s="494" t="s">
        <v>2571</v>
      </c>
      <c r="C134" s="495" t="s">
        <v>2564</v>
      </c>
      <c r="D134" s="494" t="s">
        <v>2544</v>
      </c>
      <c r="E134" s="496" t="s">
        <v>2542</v>
      </c>
      <c r="F134" s="497">
        <v>3</v>
      </c>
      <c r="G134" s="497">
        <v>1.1000000000000001</v>
      </c>
      <c r="H134" s="498">
        <v>1.9</v>
      </c>
      <c r="I134" s="499">
        <v>0.36699999999999999</v>
      </c>
      <c r="J134" s="500"/>
    </row>
    <row r="135" spans="1:10" ht="16" customHeight="1">
      <c r="A135" s="1229" t="s">
        <v>2576</v>
      </c>
      <c r="B135" s="1230"/>
      <c r="C135" s="1230"/>
      <c r="D135" s="1230"/>
      <c r="E135" s="1230"/>
      <c r="F135" s="1230"/>
      <c r="G135" s="1230"/>
      <c r="H135" s="1230"/>
      <c r="I135" s="1230"/>
      <c r="J135" s="1231"/>
    </row>
    <row r="136" spans="1:10" ht="18" customHeight="1">
      <c r="A136" s="473" t="s">
        <v>2577</v>
      </c>
      <c r="B136" s="473" t="s">
        <v>2571</v>
      </c>
      <c r="C136" s="474" t="s">
        <v>1219</v>
      </c>
      <c r="D136" s="473" t="s">
        <v>2534</v>
      </c>
      <c r="E136" s="475" t="s">
        <v>2535</v>
      </c>
      <c r="F136" s="476">
        <v>14.9</v>
      </c>
      <c r="G136" s="477"/>
      <c r="H136" s="477"/>
      <c r="I136" s="478"/>
      <c r="J136" s="479" t="s">
        <v>2536</v>
      </c>
    </row>
    <row r="137" spans="1:10" ht="18" customHeight="1">
      <c r="A137" s="473" t="s">
        <v>2577</v>
      </c>
      <c r="B137" s="473" t="s">
        <v>2571</v>
      </c>
      <c r="C137" s="474" t="s">
        <v>1108</v>
      </c>
      <c r="D137" s="473" t="s">
        <v>2534</v>
      </c>
      <c r="E137" s="475" t="s">
        <v>2535</v>
      </c>
      <c r="F137" s="476">
        <v>14.9</v>
      </c>
      <c r="G137" s="477"/>
      <c r="H137" s="477"/>
      <c r="I137" s="478"/>
      <c r="J137" s="479" t="s">
        <v>2536</v>
      </c>
    </row>
    <row r="138" spans="1:10" ht="18" customHeight="1">
      <c r="A138" s="473" t="s">
        <v>2577</v>
      </c>
      <c r="B138" s="473" t="s">
        <v>2571</v>
      </c>
      <c r="C138" s="474" t="s">
        <v>1226</v>
      </c>
      <c r="D138" s="473" t="s">
        <v>2534</v>
      </c>
      <c r="E138" s="475" t="s">
        <v>2535</v>
      </c>
      <c r="F138" s="476">
        <v>14.9</v>
      </c>
      <c r="G138" s="476">
        <v>1.2</v>
      </c>
      <c r="H138" s="481">
        <v>13.7</v>
      </c>
      <c r="I138" s="482">
        <v>8.1000000000000003E-2</v>
      </c>
      <c r="J138" s="479"/>
    </row>
    <row r="139" spans="1:10" ht="18" customHeight="1">
      <c r="A139" s="473" t="s">
        <v>2577</v>
      </c>
      <c r="B139" s="473" t="s">
        <v>2571</v>
      </c>
      <c r="C139" s="474" t="s">
        <v>2578</v>
      </c>
      <c r="D139" s="473" t="s">
        <v>2534</v>
      </c>
      <c r="E139" s="480" t="s">
        <v>2542</v>
      </c>
      <c r="F139" s="476">
        <v>17.899999999999999</v>
      </c>
      <c r="G139" s="476">
        <v>1.8</v>
      </c>
      <c r="H139" s="481">
        <v>16.100000000000001</v>
      </c>
      <c r="I139" s="482">
        <v>0.10100000000000001</v>
      </c>
      <c r="J139" s="479"/>
    </row>
    <row r="140" spans="1:10" ht="18" customHeight="1">
      <c r="A140" s="473" t="s">
        <v>2577</v>
      </c>
      <c r="B140" s="473" t="s">
        <v>2571</v>
      </c>
      <c r="C140" s="474" t="s">
        <v>1169</v>
      </c>
      <c r="D140" s="473" t="s">
        <v>2534</v>
      </c>
      <c r="E140" s="480" t="s">
        <v>2542</v>
      </c>
      <c r="F140" s="476">
        <v>17.899999999999999</v>
      </c>
      <c r="G140" s="476">
        <v>1.6</v>
      </c>
      <c r="H140" s="481">
        <v>16.3</v>
      </c>
      <c r="I140" s="482">
        <v>8.8999999999999996E-2</v>
      </c>
      <c r="J140" s="479"/>
    </row>
    <row r="141" spans="1:10" ht="18" customHeight="1">
      <c r="A141" s="484" t="s">
        <v>2577</v>
      </c>
      <c r="B141" s="484" t="s">
        <v>2571</v>
      </c>
      <c r="C141" s="485" t="s">
        <v>1220</v>
      </c>
      <c r="D141" s="484" t="s">
        <v>2540</v>
      </c>
      <c r="E141" s="491" t="s">
        <v>2542</v>
      </c>
      <c r="F141" s="487">
        <v>17.899999999999999</v>
      </c>
      <c r="G141" s="487">
        <v>2.2999999999999998</v>
      </c>
      <c r="H141" s="492">
        <v>15.6</v>
      </c>
      <c r="I141" s="493">
        <v>0.128</v>
      </c>
      <c r="J141" s="490"/>
    </row>
    <row r="142" spans="1:10" ht="18" customHeight="1">
      <c r="A142" s="484" t="s">
        <v>2577</v>
      </c>
      <c r="B142" s="484" t="s">
        <v>2571</v>
      </c>
      <c r="C142" s="485" t="s">
        <v>1029</v>
      </c>
      <c r="D142" s="484" t="s">
        <v>2540</v>
      </c>
      <c r="E142" s="486" t="s">
        <v>2535</v>
      </c>
      <c r="F142" s="487">
        <v>14.9</v>
      </c>
      <c r="G142" s="488"/>
      <c r="H142" s="488"/>
      <c r="I142" s="489"/>
      <c r="J142" s="490" t="s">
        <v>2536</v>
      </c>
    </row>
    <row r="143" spans="1:10" ht="18" customHeight="1">
      <c r="A143" s="484" t="s">
        <v>2577</v>
      </c>
      <c r="B143" s="484" t="s">
        <v>2571</v>
      </c>
      <c r="C143" s="485" t="s">
        <v>2579</v>
      </c>
      <c r="D143" s="484" t="s">
        <v>2540</v>
      </c>
      <c r="E143" s="486" t="s">
        <v>2535</v>
      </c>
      <c r="F143" s="487">
        <v>14.9</v>
      </c>
      <c r="G143" s="487">
        <v>2.8</v>
      </c>
      <c r="H143" s="492">
        <v>12.1</v>
      </c>
      <c r="I143" s="493">
        <v>0.188</v>
      </c>
      <c r="J143" s="490"/>
    </row>
    <row r="144" spans="1:10" ht="18" customHeight="1">
      <c r="A144" s="484" t="s">
        <v>2577</v>
      </c>
      <c r="B144" s="484" t="s">
        <v>2571</v>
      </c>
      <c r="C144" s="485" t="s">
        <v>1221</v>
      </c>
      <c r="D144" s="484" t="s">
        <v>2540</v>
      </c>
      <c r="E144" s="486" t="s">
        <v>2535</v>
      </c>
      <c r="F144" s="487">
        <v>14.9</v>
      </c>
      <c r="G144" s="488"/>
      <c r="H144" s="488"/>
      <c r="I144" s="489"/>
      <c r="J144" s="490" t="s">
        <v>2536</v>
      </c>
    </row>
    <row r="145" spans="1:10" ht="18" customHeight="1">
      <c r="A145" s="484" t="s">
        <v>2577</v>
      </c>
      <c r="B145" s="484" t="s">
        <v>2571</v>
      </c>
      <c r="C145" s="485" t="s">
        <v>1224</v>
      </c>
      <c r="D145" s="484" t="s">
        <v>2540</v>
      </c>
      <c r="E145" s="491" t="s">
        <v>2542</v>
      </c>
      <c r="F145" s="487">
        <v>17.899999999999999</v>
      </c>
      <c r="G145" s="487">
        <v>2.6</v>
      </c>
      <c r="H145" s="492">
        <v>15.3</v>
      </c>
      <c r="I145" s="493">
        <v>0.14499999999999999</v>
      </c>
      <c r="J145" s="490"/>
    </row>
    <row r="146" spans="1:10" ht="18" customHeight="1">
      <c r="A146" s="494" t="s">
        <v>2577</v>
      </c>
      <c r="B146" s="494" t="s">
        <v>2571</v>
      </c>
      <c r="C146" s="495" t="s">
        <v>2543</v>
      </c>
      <c r="D146" s="494" t="s">
        <v>2544</v>
      </c>
      <c r="E146" s="496" t="s">
        <v>2542</v>
      </c>
      <c r="F146" s="497">
        <v>3</v>
      </c>
      <c r="G146" s="497">
        <v>1.2</v>
      </c>
      <c r="H146" s="498">
        <v>1.8</v>
      </c>
      <c r="I146" s="499">
        <v>0.4</v>
      </c>
      <c r="J146" s="500"/>
    </row>
    <row r="147" spans="1:10" ht="18" customHeight="1">
      <c r="A147" s="494" t="s">
        <v>2577</v>
      </c>
      <c r="B147" s="494" t="s">
        <v>2571</v>
      </c>
      <c r="C147" s="495" t="s">
        <v>2564</v>
      </c>
      <c r="D147" s="494" t="s">
        <v>2544</v>
      </c>
      <c r="E147" s="496" t="s">
        <v>2542</v>
      </c>
      <c r="F147" s="497">
        <v>3</v>
      </c>
      <c r="G147" s="497">
        <v>1.1000000000000001</v>
      </c>
      <c r="H147" s="498">
        <v>1.9</v>
      </c>
      <c r="I147" s="499">
        <v>0.36699999999999999</v>
      </c>
      <c r="J147" s="500"/>
    </row>
  </sheetData>
  <mergeCells count="13">
    <mergeCell ref="A44:J44"/>
    <mergeCell ref="A1:J1"/>
    <mergeCell ref="A5:J5"/>
    <mergeCell ref="A31:J31"/>
    <mergeCell ref="A135:J135"/>
    <mergeCell ref="A18:J18"/>
    <mergeCell ref="A70:J70"/>
    <mergeCell ref="A122:J122"/>
    <mergeCell ref="A83:J83"/>
    <mergeCell ref="A109:J109"/>
    <mergeCell ref="A57:J57"/>
    <mergeCell ref="A96:J96"/>
    <mergeCell ref="A2:J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99"/>
  <sheetViews>
    <sheetView workbookViewId="0">
      <selection sqref="A1:H1"/>
    </sheetView>
  </sheetViews>
  <sheetFormatPr baseColWidth="10" defaultColWidth="9.1640625" defaultRowHeight="15"/>
  <cols>
    <col min="1" max="1" width="35" customWidth="1"/>
    <col min="2" max="3" width="10" customWidth="1"/>
    <col min="4" max="6" width="12" customWidth="1"/>
    <col min="7" max="7" width="10" customWidth="1"/>
    <col min="8" max="8" width="25" customWidth="1"/>
  </cols>
  <sheetData>
    <row r="1" spans="1:8" ht="26" customHeight="1">
      <c r="A1" s="1232" t="s">
        <v>2580</v>
      </c>
      <c r="B1" s="1140"/>
      <c r="C1" s="1140"/>
      <c r="D1" s="1140"/>
      <c r="E1" s="1140"/>
      <c r="F1" s="1140"/>
      <c r="G1" s="1140"/>
      <c r="H1" s="1140"/>
    </row>
    <row r="3" spans="1:8" ht="18" customHeight="1">
      <c r="A3" s="1237" t="s">
        <v>2581</v>
      </c>
      <c r="B3" s="1230"/>
      <c r="C3" s="1230"/>
      <c r="D3" s="1230"/>
      <c r="E3" s="1230"/>
      <c r="F3" s="1230"/>
      <c r="G3" s="1230"/>
      <c r="H3" s="1231"/>
    </row>
    <row r="4" spans="1:8" ht="18" customHeight="1">
      <c r="A4" s="505" t="s">
        <v>2524</v>
      </c>
      <c r="B4" s="505" t="s">
        <v>2582</v>
      </c>
      <c r="C4" s="505" t="s">
        <v>2583</v>
      </c>
      <c r="D4" s="505" t="s">
        <v>2526</v>
      </c>
      <c r="E4" s="505" t="s">
        <v>2584</v>
      </c>
      <c r="F4" s="505" t="s">
        <v>2585</v>
      </c>
      <c r="G4" s="505" t="s">
        <v>2586</v>
      </c>
      <c r="H4" s="505" t="s">
        <v>2587</v>
      </c>
    </row>
    <row r="5" spans="1:8" ht="16" customHeight="1">
      <c r="A5" s="506" t="s">
        <v>2547</v>
      </c>
      <c r="B5" s="507">
        <v>5</v>
      </c>
      <c r="C5" s="508">
        <v>0.45454545454545447</v>
      </c>
      <c r="D5" s="509" t="s">
        <v>2539</v>
      </c>
      <c r="E5" s="510">
        <v>19.899999999999999</v>
      </c>
      <c r="F5" s="510">
        <v>2.2000000000000002</v>
      </c>
      <c r="G5" s="511">
        <v>17.7</v>
      </c>
      <c r="H5" s="512" t="s">
        <v>2588</v>
      </c>
    </row>
    <row r="6" spans="1:8" ht="16" customHeight="1">
      <c r="A6" s="506" t="s">
        <v>726</v>
      </c>
      <c r="B6" s="507">
        <v>3</v>
      </c>
      <c r="C6" s="508">
        <v>0.27272727272727271</v>
      </c>
      <c r="D6" s="513" t="s">
        <v>2542</v>
      </c>
      <c r="E6" s="510">
        <v>17.899999999999999</v>
      </c>
      <c r="F6" s="510">
        <v>1.6</v>
      </c>
      <c r="G6" s="511">
        <v>16.3</v>
      </c>
      <c r="H6" s="512" t="s">
        <v>2589</v>
      </c>
    </row>
    <row r="7" spans="1:8" ht="16" customHeight="1">
      <c r="A7" s="506" t="s">
        <v>1169</v>
      </c>
      <c r="B7" s="507">
        <v>3</v>
      </c>
      <c r="C7" s="508">
        <v>0.27272727272727271</v>
      </c>
      <c r="D7" s="513" t="s">
        <v>2542</v>
      </c>
      <c r="E7" s="510">
        <v>17.899999999999999</v>
      </c>
      <c r="F7" s="510">
        <v>1.6</v>
      </c>
      <c r="G7" s="511">
        <v>16.3</v>
      </c>
      <c r="H7" s="512" t="s">
        <v>2589</v>
      </c>
    </row>
    <row r="8" spans="1:8" ht="16" customHeight="1">
      <c r="A8" s="514" t="s">
        <v>2537</v>
      </c>
      <c r="B8" s="515">
        <v>2</v>
      </c>
      <c r="C8" s="516">
        <v>0.1818181818181818</v>
      </c>
      <c r="D8" s="517" t="s">
        <v>2538</v>
      </c>
      <c r="E8" s="518">
        <v>16.899999999999999</v>
      </c>
      <c r="F8" s="518">
        <v>1.8</v>
      </c>
      <c r="G8" s="519">
        <v>15.1</v>
      </c>
      <c r="H8" s="520" t="s">
        <v>2590</v>
      </c>
    </row>
    <row r="9" spans="1:8" ht="16" customHeight="1">
      <c r="A9" s="514" t="s">
        <v>970</v>
      </c>
      <c r="B9" s="515">
        <v>2</v>
      </c>
      <c r="C9" s="516">
        <v>0.1818181818181818</v>
      </c>
      <c r="D9" s="521" t="s">
        <v>2535</v>
      </c>
      <c r="E9" s="518">
        <v>14.9</v>
      </c>
      <c r="F9" s="522"/>
      <c r="G9" s="522"/>
      <c r="H9" s="520" t="s">
        <v>2591</v>
      </c>
    </row>
    <row r="10" spans="1:8" ht="16" customHeight="1">
      <c r="A10" s="514" t="s">
        <v>1026</v>
      </c>
      <c r="B10" s="515">
        <v>2</v>
      </c>
      <c r="C10" s="516">
        <v>0.1818181818181818</v>
      </c>
      <c r="D10" s="521" t="s">
        <v>2535</v>
      </c>
      <c r="E10" s="518">
        <v>14.9</v>
      </c>
      <c r="F10" s="522"/>
      <c r="G10" s="522"/>
      <c r="H10" s="520" t="s">
        <v>2591</v>
      </c>
    </row>
    <row r="11" spans="1:8" ht="16" customHeight="1">
      <c r="A11" s="514" t="s">
        <v>2557</v>
      </c>
      <c r="B11" s="515">
        <v>2</v>
      </c>
      <c r="C11" s="516">
        <v>0.1818181818181818</v>
      </c>
      <c r="D11" s="521" t="s">
        <v>2535</v>
      </c>
      <c r="E11" s="518">
        <v>14.9</v>
      </c>
      <c r="F11" s="522"/>
      <c r="G11" s="522"/>
      <c r="H11" s="520" t="s">
        <v>2591</v>
      </c>
    </row>
    <row r="12" spans="1:8" ht="16" customHeight="1">
      <c r="A12" s="514" t="s">
        <v>1108</v>
      </c>
      <c r="B12" s="515">
        <v>2</v>
      </c>
      <c r="C12" s="516">
        <v>0.1818181818181818</v>
      </c>
      <c r="D12" s="521" t="s">
        <v>2535</v>
      </c>
      <c r="E12" s="518">
        <v>14.9</v>
      </c>
      <c r="F12" s="522"/>
      <c r="G12" s="522"/>
      <c r="H12" s="520" t="s">
        <v>2591</v>
      </c>
    </row>
    <row r="13" spans="1:8" ht="16" customHeight="1">
      <c r="A13" s="514" t="s">
        <v>1127</v>
      </c>
      <c r="B13" s="515">
        <v>2</v>
      </c>
      <c r="C13" s="516">
        <v>0.1818181818181818</v>
      </c>
      <c r="D13" s="523" t="s">
        <v>2539</v>
      </c>
      <c r="E13" s="518">
        <v>19.899999999999999</v>
      </c>
      <c r="F13" s="518">
        <v>1.4</v>
      </c>
      <c r="G13" s="519">
        <v>18.5</v>
      </c>
      <c r="H13" s="520" t="s">
        <v>2592</v>
      </c>
    </row>
    <row r="14" spans="1:8" ht="16" customHeight="1">
      <c r="A14" s="514" t="s">
        <v>2567</v>
      </c>
      <c r="B14" s="515">
        <v>2</v>
      </c>
      <c r="C14" s="516">
        <v>0.1818181818181818</v>
      </c>
      <c r="D14" s="523" t="s">
        <v>2539</v>
      </c>
      <c r="E14" s="518">
        <v>19.899999999999999</v>
      </c>
      <c r="F14" s="518">
        <v>2.2000000000000002</v>
      </c>
      <c r="G14" s="519">
        <v>17.7</v>
      </c>
      <c r="H14" s="520" t="s">
        <v>2592</v>
      </c>
    </row>
    <row r="15" spans="1:8" ht="16" customHeight="1">
      <c r="A15" s="514" t="s">
        <v>1181</v>
      </c>
      <c r="B15" s="515">
        <v>2</v>
      </c>
      <c r="C15" s="516">
        <v>0.1818181818181818</v>
      </c>
      <c r="D15" s="521" t="s">
        <v>2535</v>
      </c>
      <c r="E15" s="518">
        <v>14.9</v>
      </c>
      <c r="F15" s="518">
        <v>1.25</v>
      </c>
      <c r="G15" s="519">
        <v>13.65</v>
      </c>
      <c r="H15" s="520" t="s">
        <v>2591</v>
      </c>
    </row>
    <row r="16" spans="1:8" ht="16" customHeight="1">
      <c r="A16" s="524" t="s">
        <v>2533</v>
      </c>
      <c r="B16" s="525">
        <v>1</v>
      </c>
      <c r="C16" s="526">
        <v>9.0909090909090912E-2</v>
      </c>
      <c r="D16" s="527" t="s">
        <v>2535</v>
      </c>
      <c r="E16" s="528">
        <v>14.9</v>
      </c>
      <c r="F16" s="529"/>
      <c r="G16" s="529"/>
      <c r="H16" s="530" t="s">
        <v>2593</v>
      </c>
    </row>
    <row r="17" spans="1:8" ht="16" customHeight="1">
      <c r="A17" s="524" t="s">
        <v>921</v>
      </c>
      <c r="B17" s="525">
        <v>1</v>
      </c>
      <c r="C17" s="526">
        <v>9.0909090909090912E-2</v>
      </c>
      <c r="D17" s="527" t="s">
        <v>2535</v>
      </c>
      <c r="E17" s="528">
        <v>14.9</v>
      </c>
      <c r="F17" s="529"/>
      <c r="G17" s="529"/>
      <c r="H17" s="530" t="s">
        <v>2593</v>
      </c>
    </row>
    <row r="18" spans="1:8" ht="16" customHeight="1">
      <c r="A18" s="524" t="s">
        <v>913</v>
      </c>
      <c r="B18" s="525">
        <v>1</v>
      </c>
      <c r="C18" s="526">
        <v>9.0909090909090912E-2</v>
      </c>
      <c r="D18" s="531" t="s">
        <v>2539</v>
      </c>
      <c r="E18" s="528">
        <v>19.899999999999999</v>
      </c>
      <c r="F18" s="528">
        <v>2.2000000000000002</v>
      </c>
      <c r="G18" s="532">
        <v>17.7</v>
      </c>
      <c r="H18" s="530" t="s">
        <v>2594</v>
      </c>
    </row>
    <row r="19" spans="1:8" ht="16" customHeight="1">
      <c r="A19" s="524" t="s">
        <v>912</v>
      </c>
      <c r="B19" s="525">
        <v>1</v>
      </c>
      <c r="C19" s="526">
        <v>9.0909090909090912E-2</v>
      </c>
      <c r="D19" s="527" t="s">
        <v>2535</v>
      </c>
      <c r="E19" s="528">
        <v>14.9</v>
      </c>
      <c r="F19" s="528">
        <v>1.25</v>
      </c>
      <c r="G19" s="532">
        <v>13.65</v>
      </c>
      <c r="H19" s="530" t="s">
        <v>2593</v>
      </c>
    </row>
    <row r="20" spans="1:8" ht="16" customHeight="1">
      <c r="A20" s="524" t="s">
        <v>974</v>
      </c>
      <c r="B20" s="525">
        <v>1</v>
      </c>
      <c r="C20" s="526">
        <v>9.0909090909090912E-2</v>
      </c>
      <c r="D20" s="527" t="s">
        <v>2535</v>
      </c>
      <c r="E20" s="528">
        <v>14.9</v>
      </c>
      <c r="F20" s="529"/>
      <c r="G20" s="529"/>
      <c r="H20" s="530" t="s">
        <v>2593</v>
      </c>
    </row>
    <row r="21" spans="1:8" ht="16" customHeight="1">
      <c r="A21" s="524" t="s">
        <v>977</v>
      </c>
      <c r="B21" s="525">
        <v>1</v>
      </c>
      <c r="C21" s="526">
        <v>9.0909090909090912E-2</v>
      </c>
      <c r="D21" s="527" t="s">
        <v>2535</v>
      </c>
      <c r="E21" s="528">
        <v>14.9</v>
      </c>
      <c r="F21" s="529"/>
      <c r="G21" s="529"/>
      <c r="H21" s="530" t="s">
        <v>2593</v>
      </c>
    </row>
    <row r="22" spans="1:8" ht="16" customHeight="1">
      <c r="A22" s="524" t="s">
        <v>1022</v>
      </c>
      <c r="B22" s="525">
        <v>1</v>
      </c>
      <c r="C22" s="526">
        <v>9.0909090909090912E-2</v>
      </c>
      <c r="D22" s="527" t="s">
        <v>2535</v>
      </c>
      <c r="E22" s="528">
        <v>14.9</v>
      </c>
      <c r="F22" s="528">
        <v>1.1000000000000001</v>
      </c>
      <c r="G22" s="532">
        <v>13.8</v>
      </c>
      <c r="H22" s="530" t="s">
        <v>2593</v>
      </c>
    </row>
    <row r="23" spans="1:8" ht="16" customHeight="1">
      <c r="A23" s="524" t="s">
        <v>1013</v>
      </c>
      <c r="B23" s="525">
        <v>1</v>
      </c>
      <c r="C23" s="526">
        <v>9.0909090909090912E-2</v>
      </c>
      <c r="D23" s="527" t="s">
        <v>2535</v>
      </c>
      <c r="E23" s="528">
        <v>14.9</v>
      </c>
      <c r="F23" s="529"/>
      <c r="G23" s="529"/>
      <c r="H23" s="530" t="s">
        <v>2593</v>
      </c>
    </row>
    <row r="24" spans="1:8" ht="16" customHeight="1">
      <c r="A24" s="524" t="s">
        <v>1805</v>
      </c>
      <c r="B24" s="525">
        <v>1</v>
      </c>
      <c r="C24" s="526">
        <v>9.0909090909090912E-2</v>
      </c>
      <c r="D24" s="533" t="s">
        <v>2542</v>
      </c>
      <c r="E24" s="528">
        <v>17.899999999999999</v>
      </c>
      <c r="F24" s="529"/>
      <c r="G24" s="529"/>
      <c r="H24" s="530" t="s">
        <v>2595</v>
      </c>
    </row>
    <row r="25" spans="1:8" ht="16" customHeight="1">
      <c r="A25" s="524" t="s">
        <v>1048</v>
      </c>
      <c r="B25" s="525">
        <v>1</v>
      </c>
      <c r="C25" s="526">
        <v>9.0909090909090912E-2</v>
      </c>
      <c r="D25" s="527" t="s">
        <v>2535</v>
      </c>
      <c r="E25" s="528">
        <v>14.9</v>
      </c>
      <c r="F25" s="529"/>
      <c r="G25" s="529"/>
      <c r="H25" s="530" t="s">
        <v>2593</v>
      </c>
    </row>
    <row r="26" spans="1:8" ht="16" customHeight="1">
      <c r="A26" s="524" t="s">
        <v>1053</v>
      </c>
      <c r="B26" s="525">
        <v>1</v>
      </c>
      <c r="C26" s="526">
        <v>9.0909090909090912E-2</v>
      </c>
      <c r="D26" s="527" t="s">
        <v>2535</v>
      </c>
      <c r="E26" s="528">
        <v>14.9</v>
      </c>
      <c r="F26" s="529"/>
      <c r="G26" s="529"/>
      <c r="H26" s="530" t="s">
        <v>2593</v>
      </c>
    </row>
    <row r="27" spans="1:8" ht="16" customHeight="1">
      <c r="A27" s="524" t="s">
        <v>1046</v>
      </c>
      <c r="B27" s="525">
        <v>1</v>
      </c>
      <c r="C27" s="526">
        <v>9.0909090909090912E-2</v>
      </c>
      <c r="D27" s="527" t="s">
        <v>2535</v>
      </c>
      <c r="E27" s="528">
        <v>14.9</v>
      </c>
      <c r="F27" s="529"/>
      <c r="G27" s="529"/>
      <c r="H27" s="530" t="s">
        <v>2593</v>
      </c>
    </row>
    <row r="28" spans="1:8" ht="16" customHeight="1">
      <c r="A28" s="524" t="s">
        <v>696</v>
      </c>
      <c r="B28" s="525">
        <v>1</v>
      </c>
      <c r="C28" s="526">
        <v>9.0909090909090912E-2</v>
      </c>
      <c r="D28" s="533" t="s">
        <v>2538</v>
      </c>
      <c r="E28" s="528">
        <v>16.899999999999999</v>
      </c>
      <c r="F28" s="528">
        <v>2.2000000000000002</v>
      </c>
      <c r="G28" s="532">
        <v>14.7</v>
      </c>
      <c r="H28" s="530" t="s">
        <v>2596</v>
      </c>
    </row>
    <row r="29" spans="1:8" ht="16" customHeight="1">
      <c r="A29" s="524" t="s">
        <v>2556</v>
      </c>
      <c r="B29" s="525">
        <v>1</v>
      </c>
      <c r="C29" s="526">
        <v>9.0909090909090912E-2</v>
      </c>
      <c r="D29" s="527" t="s">
        <v>2535</v>
      </c>
      <c r="E29" s="528">
        <v>14.9</v>
      </c>
      <c r="F29" s="529"/>
      <c r="G29" s="529"/>
      <c r="H29" s="530" t="s">
        <v>2593</v>
      </c>
    </row>
    <row r="30" spans="1:8" ht="16" customHeight="1">
      <c r="A30" s="524" t="s">
        <v>1075</v>
      </c>
      <c r="B30" s="525">
        <v>1</v>
      </c>
      <c r="C30" s="526">
        <v>9.0909090909090912E-2</v>
      </c>
      <c r="D30" s="527" t="s">
        <v>2535</v>
      </c>
      <c r="E30" s="528">
        <v>14.9</v>
      </c>
      <c r="F30" s="529"/>
      <c r="G30" s="529"/>
      <c r="H30" s="530" t="s">
        <v>2593</v>
      </c>
    </row>
    <row r="31" spans="1:8" ht="16" customHeight="1">
      <c r="A31" s="524" t="s">
        <v>2558</v>
      </c>
      <c r="B31" s="525">
        <v>1</v>
      </c>
      <c r="C31" s="526">
        <v>9.0909090909090912E-2</v>
      </c>
      <c r="D31" s="533" t="s">
        <v>2542</v>
      </c>
      <c r="E31" s="528">
        <v>17.899999999999999</v>
      </c>
      <c r="F31" s="529"/>
      <c r="G31" s="529"/>
      <c r="H31" s="530" t="s">
        <v>2595</v>
      </c>
    </row>
    <row r="32" spans="1:8" ht="16" customHeight="1">
      <c r="A32" s="524" t="s">
        <v>1095</v>
      </c>
      <c r="B32" s="525">
        <v>1</v>
      </c>
      <c r="C32" s="526">
        <v>9.0909090909090912E-2</v>
      </c>
      <c r="D32" s="527" t="s">
        <v>2535</v>
      </c>
      <c r="E32" s="528">
        <v>14.9</v>
      </c>
      <c r="F32" s="529"/>
      <c r="G32" s="529"/>
      <c r="H32" s="530" t="s">
        <v>2593</v>
      </c>
    </row>
    <row r="33" spans="1:8" ht="16" customHeight="1">
      <c r="A33" s="524" t="s">
        <v>1133</v>
      </c>
      <c r="B33" s="525">
        <v>1</v>
      </c>
      <c r="C33" s="526">
        <v>9.0909090909090912E-2</v>
      </c>
      <c r="D33" s="527" t="s">
        <v>2535</v>
      </c>
      <c r="E33" s="528">
        <v>14.9</v>
      </c>
      <c r="F33" s="529"/>
      <c r="G33" s="529"/>
      <c r="H33" s="530" t="s">
        <v>2593</v>
      </c>
    </row>
    <row r="34" spans="1:8" ht="16" customHeight="1">
      <c r="A34" s="524" t="s">
        <v>1132</v>
      </c>
      <c r="B34" s="525">
        <v>1</v>
      </c>
      <c r="C34" s="526">
        <v>9.0909090909090912E-2</v>
      </c>
      <c r="D34" s="527" t="s">
        <v>2535</v>
      </c>
      <c r="E34" s="528">
        <v>14.9</v>
      </c>
      <c r="F34" s="529"/>
      <c r="G34" s="529"/>
      <c r="H34" s="530" t="s">
        <v>2593</v>
      </c>
    </row>
    <row r="35" spans="1:8" ht="16" customHeight="1">
      <c r="A35" s="524" t="s">
        <v>1158</v>
      </c>
      <c r="B35" s="525">
        <v>1</v>
      </c>
      <c r="C35" s="526">
        <v>9.0909090909090912E-2</v>
      </c>
      <c r="D35" s="527" t="s">
        <v>2535</v>
      </c>
      <c r="E35" s="528">
        <v>14.9</v>
      </c>
      <c r="F35" s="529"/>
      <c r="G35" s="529"/>
      <c r="H35" s="530" t="s">
        <v>2593</v>
      </c>
    </row>
    <row r="36" spans="1:8" ht="16" customHeight="1">
      <c r="A36" s="524" t="s">
        <v>1163</v>
      </c>
      <c r="B36" s="525">
        <v>1</v>
      </c>
      <c r="C36" s="526">
        <v>9.0909090909090912E-2</v>
      </c>
      <c r="D36" s="527" t="s">
        <v>2535</v>
      </c>
      <c r="E36" s="528">
        <v>14.9</v>
      </c>
      <c r="F36" s="529"/>
      <c r="G36" s="529"/>
      <c r="H36" s="530" t="s">
        <v>2593</v>
      </c>
    </row>
    <row r="37" spans="1:8" ht="16" customHeight="1">
      <c r="A37" s="524" t="s">
        <v>1155</v>
      </c>
      <c r="B37" s="525">
        <v>1</v>
      </c>
      <c r="C37" s="526">
        <v>9.0909090909090912E-2</v>
      </c>
      <c r="D37" s="527" t="s">
        <v>2535</v>
      </c>
      <c r="E37" s="528">
        <v>14.9</v>
      </c>
      <c r="F37" s="529"/>
      <c r="G37" s="529"/>
      <c r="H37" s="530" t="s">
        <v>2593</v>
      </c>
    </row>
    <row r="38" spans="1:8" ht="16" customHeight="1">
      <c r="A38" s="524" t="s">
        <v>1178</v>
      </c>
      <c r="B38" s="525">
        <v>1</v>
      </c>
      <c r="C38" s="526">
        <v>9.0909090909090912E-2</v>
      </c>
      <c r="D38" s="533" t="s">
        <v>2542</v>
      </c>
      <c r="E38" s="528">
        <v>17.899999999999999</v>
      </c>
      <c r="F38" s="529"/>
      <c r="G38" s="529"/>
      <c r="H38" s="530" t="s">
        <v>2595</v>
      </c>
    </row>
    <row r="39" spans="1:8" ht="16" customHeight="1">
      <c r="A39" s="524" t="s">
        <v>1195</v>
      </c>
      <c r="B39" s="525">
        <v>1</v>
      </c>
      <c r="C39" s="526">
        <v>9.0909090909090912E-2</v>
      </c>
      <c r="D39" s="527" t="s">
        <v>2535</v>
      </c>
      <c r="E39" s="528">
        <v>14.9</v>
      </c>
      <c r="F39" s="529"/>
      <c r="G39" s="529"/>
      <c r="H39" s="530" t="s">
        <v>2593</v>
      </c>
    </row>
    <row r="40" spans="1:8" ht="16" customHeight="1">
      <c r="A40" s="524" t="s">
        <v>1196</v>
      </c>
      <c r="B40" s="525">
        <v>1</v>
      </c>
      <c r="C40" s="526">
        <v>9.0909090909090912E-2</v>
      </c>
      <c r="D40" s="527" t="s">
        <v>2535</v>
      </c>
      <c r="E40" s="528">
        <v>14.9</v>
      </c>
      <c r="F40" s="529"/>
      <c r="G40" s="529"/>
      <c r="H40" s="530" t="s">
        <v>2593</v>
      </c>
    </row>
    <row r="41" spans="1:8" ht="16" customHeight="1">
      <c r="A41" s="524" t="s">
        <v>1219</v>
      </c>
      <c r="B41" s="525">
        <v>1</v>
      </c>
      <c r="C41" s="526">
        <v>9.0909090909090912E-2</v>
      </c>
      <c r="D41" s="527" t="s">
        <v>2535</v>
      </c>
      <c r="E41" s="528">
        <v>14.9</v>
      </c>
      <c r="F41" s="529"/>
      <c r="G41" s="529"/>
      <c r="H41" s="530" t="s">
        <v>2593</v>
      </c>
    </row>
    <row r="42" spans="1:8" ht="16" customHeight="1">
      <c r="A42" s="524" t="s">
        <v>1226</v>
      </c>
      <c r="B42" s="525">
        <v>1</v>
      </c>
      <c r="C42" s="526">
        <v>9.0909090909090912E-2</v>
      </c>
      <c r="D42" s="527" t="s">
        <v>2535</v>
      </c>
      <c r="E42" s="528">
        <v>14.9</v>
      </c>
      <c r="F42" s="528">
        <v>1.2</v>
      </c>
      <c r="G42" s="532">
        <v>13.7</v>
      </c>
      <c r="H42" s="530" t="s">
        <v>2593</v>
      </c>
    </row>
    <row r="43" spans="1:8" ht="16" customHeight="1">
      <c r="A43" s="524" t="s">
        <v>2578</v>
      </c>
      <c r="B43" s="525">
        <v>1</v>
      </c>
      <c r="C43" s="526">
        <v>9.0909090909090912E-2</v>
      </c>
      <c r="D43" s="533" t="s">
        <v>2542</v>
      </c>
      <c r="E43" s="528">
        <v>17.899999999999999</v>
      </c>
      <c r="F43" s="528">
        <v>1.8</v>
      </c>
      <c r="G43" s="532">
        <v>16.100000000000001</v>
      </c>
      <c r="H43" s="530" t="s">
        <v>2595</v>
      </c>
    </row>
    <row r="45" spans="1:8" ht="18" customHeight="1">
      <c r="A45" s="1236" t="s">
        <v>2597</v>
      </c>
      <c r="B45" s="1230"/>
      <c r="C45" s="1230"/>
      <c r="D45" s="1230"/>
      <c r="E45" s="1230"/>
      <c r="F45" s="1230"/>
      <c r="G45" s="1230"/>
      <c r="H45" s="1231"/>
    </row>
    <row r="46" spans="1:8" ht="18" customHeight="1">
      <c r="A46" s="505" t="s">
        <v>2524</v>
      </c>
      <c r="B46" s="505" t="s">
        <v>2582</v>
      </c>
      <c r="C46" s="505" t="s">
        <v>2583</v>
      </c>
      <c r="D46" s="505" t="s">
        <v>2526</v>
      </c>
      <c r="E46" s="505" t="s">
        <v>2584</v>
      </c>
      <c r="F46" s="505" t="s">
        <v>2585</v>
      </c>
      <c r="G46" s="505" t="s">
        <v>2586</v>
      </c>
      <c r="H46" s="505" t="s">
        <v>2587</v>
      </c>
    </row>
    <row r="47" spans="1:8" ht="16" customHeight="1">
      <c r="A47" s="534" t="s">
        <v>988</v>
      </c>
      <c r="B47" s="535">
        <v>6</v>
      </c>
      <c r="C47" s="536">
        <v>0.54545454545454541</v>
      </c>
      <c r="D47" s="537" t="s">
        <v>2539</v>
      </c>
      <c r="E47" s="538">
        <v>19.899999999999999</v>
      </c>
      <c r="F47" s="538">
        <v>2.5</v>
      </c>
      <c r="G47" s="539">
        <v>17.399999999999999</v>
      </c>
      <c r="H47" s="540" t="s">
        <v>2598</v>
      </c>
    </row>
    <row r="48" spans="1:8" ht="16" customHeight="1">
      <c r="A48" s="514" t="s">
        <v>262</v>
      </c>
      <c r="B48" s="515">
        <v>2</v>
      </c>
      <c r="C48" s="516">
        <v>0.1818181818181818</v>
      </c>
      <c r="D48" s="517" t="s">
        <v>2542</v>
      </c>
      <c r="E48" s="518">
        <v>17.899999999999999</v>
      </c>
      <c r="F48" s="518">
        <v>2.4</v>
      </c>
      <c r="G48" s="519">
        <v>15.5</v>
      </c>
      <c r="H48" s="520" t="s">
        <v>2599</v>
      </c>
    </row>
    <row r="49" spans="1:8" ht="16" customHeight="1">
      <c r="A49" s="514" t="s">
        <v>934</v>
      </c>
      <c r="B49" s="515">
        <v>2</v>
      </c>
      <c r="C49" s="516">
        <v>0.1818181818181818</v>
      </c>
      <c r="D49" s="517" t="s">
        <v>2542</v>
      </c>
      <c r="E49" s="518">
        <v>17.899999999999999</v>
      </c>
      <c r="F49" s="518">
        <v>3.24</v>
      </c>
      <c r="G49" s="519">
        <v>14.66</v>
      </c>
      <c r="H49" s="520" t="s">
        <v>2599</v>
      </c>
    </row>
    <row r="50" spans="1:8" ht="16" customHeight="1">
      <c r="A50" s="514" t="s">
        <v>2549</v>
      </c>
      <c r="B50" s="515">
        <v>2</v>
      </c>
      <c r="C50" s="516">
        <v>0.1818181818181818</v>
      </c>
      <c r="D50" s="517" t="s">
        <v>2542</v>
      </c>
      <c r="E50" s="518">
        <v>17.899999999999999</v>
      </c>
      <c r="F50" s="518">
        <v>2.6</v>
      </c>
      <c r="G50" s="519">
        <v>15.3</v>
      </c>
      <c r="H50" s="520" t="s">
        <v>2599</v>
      </c>
    </row>
    <row r="51" spans="1:8" ht="16" customHeight="1">
      <c r="A51" s="514" t="s">
        <v>1029</v>
      </c>
      <c r="B51" s="515">
        <v>2</v>
      </c>
      <c r="C51" s="516">
        <v>0.1818181818181818</v>
      </c>
      <c r="D51" s="521" t="s">
        <v>2535</v>
      </c>
      <c r="E51" s="518">
        <v>14.9</v>
      </c>
      <c r="F51" s="522"/>
      <c r="G51" s="522"/>
      <c r="H51" s="520" t="s">
        <v>2600</v>
      </c>
    </row>
    <row r="52" spans="1:8" ht="16" customHeight="1">
      <c r="A52" s="514" t="s">
        <v>2552</v>
      </c>
      <c r="B52" s="515">
        <v>2</v>
      </c>
      <c r="C52" s="516">
        <v>0.1818181818181818</v>
      </c>
      <c r="D52" s="521" t="s">
        <v>2535</v>
      </c>
      <c r="E52" s="518">
        <v>14.9</v>
      </c>
      <c r="F52" s="518">
        <v>2.8</v>
      </c>
      <c r="G52" s="519">
        <v>12.1</v>
      </c>
      <c r="H52" s="520" t="s">
        <v>2600</v>
      </c>
    </row>
    <row r="53" spans="1:8" ht="16" customHeight="1">
      <c r="A53" s="514" t="s">
        <v>751</v>
      </c>
      <c r="B53" s="515">
        <v>2</v>
      </c>
      <c r="C53" s="516">
        <v>0.1818181818181818</v>
      </c>
      <c r="D53" s="521" t="s">
        <v>2535</v>
      </c>
      <c r="E53" s="518">
        <v>14.9</v>
      </c>
      <c r="F53" s="522"/>
      <c r="G53" s="522"/>
      <c r="H53" s="520" t="s">
        <v>2600</v>
      </c>
    </row>
    <row r="54" spans="1:8" ht="16" customHeight="1">
      <c r="A54" s="514" t="s">
        <v>1688</v>
      </c>
      <c r="B54" s="515">
        <v>2</v>
      </c>
      <c r="C54" s="516">
        <v>0.1818181818181818</v>
      </c>
      <c r="D54" s="517" t="s">
        <v>2542</v>
      </c>
      <c r="E54" s="518">
        <v>17.899999999999999</v>
      </c>
      <c r="F54" s="518">
        <v>3.2</v>
      </c>
      <c r="G54" s="519">
        <v>14.7</v>
      </c>
      <c r="H54" s="520" t="s">
        <v>2599</v>
      </c>
    </row>
    <row r="55" spans="1:8" ht="16" customHeight="1">
      <c r="A55" s="524" t="s">
        <v>918</v>
      </c>
      <c r="B55" s="525">
        <v>1</v>
      </c>
      <c r="C55" s="526">
        <v>9.0909090909090912E-2</v>
      </c>
      <c r="D55" s="527" t="s">
        <v>2535</v>
      </c>
      <c r="E55" s="528">
        <v>14.9</v>
      </c>
      <c r="F55" s="529"/>
      <c r="G55" s="529"/>
      <c r="H55" s="530" t="s">
        <v>2601</v>
      </c>
    </row>
    <row r="56" spans="1:8" ht="16" customHeight="1">
      <c r="A56" s="524" t="s">
        <v>915</v>
      </c>
      <c r="B56" s="525">
        <v>1</v>
      </c>
      <c r="C56" s="526">
        <v>9.0909090909090912E-2</v>
      </c>
      <c r="D56" s="527" t="s">
        <v>2535</v>
      </c>
      <c r="E56" s="528">
        <v>14.9</v>
      </c>
      <c r="F56" s="529"/>
      <c r="G56" s="529"/>
      <c r="H56" s="530" t="s">
        <v>2601</v>
      </c>
    </row>
    <row r="57" spans="1:8" ht="16" customHeight="1">
      <c r="A57" s="524" t="s">
        <v>2541</v>
      </c>
      <c r="B57" s="525">
        <v>1</v>
      </c>
      <c r="C57" s="526">
        <v>9.0909090909090912E-2</v>
      </c>
      <c r="D57" s="527" t="s">
        <v>2535</v>
      </c>
      <c r="E57" s="528">
        <v>14.9</v>
      </c>
      <c r="F57" s="529"/>
      <c r="G57" s="529"/>
      <c r="H57" s="530" t="s">
        <v>2601</v>
      </c>
    </row>
    <row r="58" spans="1:8" ht="16" customHeight="1">
      <c r="A58" s="524" t="s">
        <v>2548</v>
      </c>
      <c r="B58" s="525">
        <v>1</v>
      </c>
      <c r="C58" s="526">
        <v>9.0909090909090912E-2</v>
      </c>
      <c r="D58" s="527" t="s">
        <v>2535</v>
      </c>
      <c r="E58" s="528">
        <v>14.9</v>
      </c>
      <c r="F58" s="529"/>
      <c r="G58" s="529"/>
      <c r="H58" s="530" t="s">
        <v>2601</v>
      </c>
    </row>
    <row r="59" spans="1:8" ht="16" customHeight="1">
      <c r="A59" s="524" t="s">
        <v>978</v>
      </c>
      <c r="B59" s="525">
        <v>1</v>
      </c>
      <c r="C59" s="526">
        <v>9.0909090909090912E-2</v>
      </c>
      <c r="D59" s="527" t="s">
        <v>2535</v>
      </c>
      <c r="E59" s="528">
        <v>14.9</v>
      </c>
      <c r="F59" s="529"/>
      <c r="G59" s="529"/>
      <c r="H59" s="530" t="s">
        <v>2601</v>
      </c>
    </row>
    <row r="60" spans="1:8" ht="16" customHeight="1">
      <c r="A60" s="524" t="s">
        <v>975</v>
      </c>
      <c r="B60" s="525">
        <v>1</v>
      </c>
      <c r="C60" s="526">
        <v>9.0909090909090912E-2</v>
      </c>
      <c r="D60" s="527" t="s">
        <v>2535</v>
      </c>
      <c r="E60" s="528">
        <v>14.9</v>
      </c>
      <c r="F60" s="529"/>
      <c r="G60" s="529"/>
      <c r="H60" s="530" t="s">
        <v>2601</v>
      </c>
    </row>
    <row r="61" spans="1:8" ht="16" customHeight="1">
      <c r="A61" s="524" t="s">
        <v>1023</v>
      </c>
      <c r="B61" s="525">
        <v>1</v>
      </c>
      <c r="C61" s="526">
        <v>9.0909090909090912E-2</v>
      </c>
      <c r="D61" s="527" t="s">
        <v>2535</v>
      </c>
      <c r="E61" s="528">
        <v>14.9</v>
      </c>
      <c r="F61" s="529"/>
      <c r="G61" s="529"/>
      <c r="H61" s="530" t="s">
        <v>2601</v>
      </c>
    </row>
    <row r="62" spans="1:8" ht="16" customHeight="1">
      <c r="A62" s="524" t="s">
        <v>1032</v>
      </c>
      <c r="B62" s="525">
        <v>1</v>
      </c>
      <c r="C62" s="526">
        <v>9.0909090909090912E-2</v>
      </c>
      <c r="D62" s="533" t="s">
        <v>2542</v>
      </c>
      <c r="E62" s="528">
        <v>17.899999999999999</v>
      </c>
      <c r="F62" s="528">
        <v>3.2</v>
      </c>
      <c r="G62" s="532">
        <v>14.7</v>
      </c>
      <c r="H62" s="530" t="s">
        <v>2602</v>
      </c>
    </row>
    <row r="63" spans="1:8" ht="16" customHeight="1">
      <c r="A63" s="524" t="s">
        <v>1047</v>
      </c>
      <c r="B63" s="525">
        <v>1</v>
      </c>
      <c r="C63" s="526">
        <v>9.0909090909090912E-2</v>
      </c>
      <c r="D63" s="527" t="s">
        <v>2535</v>
      </c>
      <c r="E63" s="528">
        <v>14.9</v>
      </c>
      <c r="F63" s="529"/>
      <c r="G63" s="529"/>
      <c r="H63" s="530" t="s">
        <v>2601</v>
      </c>
    </row>
    <row r="64" spans="1:8" ht="16" customHeight="1">
      <c r="A64" s="524" t="s">
        <v>1049</v>
      </c>
      <c r="B64" s="525">
        <v>1</v>
      </c>
      <c r="C64" s="526">
        <v>9.0909090909090912E-2</v>
      </c>
      <c r="D64" s="527" t="s">
        <v>2535</v>
      </c>
      <c r="E64" s="528">
        <v>14.9</v>
      </c>
      <c r="F64" s="529"/>
      <c r="G64" s="529"/>
      <c r="H64" s="530" t="s">
        <v>2601</v>
      </c>
    </row>
    <row r="65" spans="1:8" ht="16" customHeight="1">
      <c r="A65" s="524" t="s">
        <v>1056</v>
      </c>
      <c r="B65" s="525">
        <v>1</v>
      </c>
      <c r="C65" s="526">
        <v>9.0909090909090912E-2</v>
      </c>
      <c r="D65" s="527" t="s">
        <v>2535</v>
      </c>
      <c r="E65" s="528">
        <v>14.9</v>
      </c>
      <c r="F65" s="529"/>
      <c r="G65" s="529"/>
      <c r="H65" s="530" t="s">
        <v>2601</v>
      </c>
    </row>
    <row r="66" spans="1:8" ht="16" customHeight="1">
      <c r="A66" s="524" t="s">
        <v>1072</v>
      </c>
      <c r="B66" s="525">
        <v>1</v>
      </c>
      <c r="C66" s="526">
        <v>9.0909090909090912E-2</v>
      </c>
      <c r="D66" s="527" t="s">
        <v>2535</v>
      </c>
      <c r="E66" s="528">
        <v>14.9</v>
      </c>
      <c r="F66" s="529"/>
      <c r="G66" s="529"/>
      <c r="H66" s="530" t="s">
        <v>2601</v>
      </c>
    </row>
    <row r="67" spans="1:8" ht="16" customHeight="1">
      <c r="A67" s="524" t="s">
        <v>1069</v>
      </c>
      <c r="B67" s="525">
        <v>1</v>
      </c>
      <c r="C67" s="526">
        <v>9.0909090909090912E-2</v>
      </c>
      <c r="D67" s="533" t="s">
        <v>2542</v>
      </c>
      <c r="E67" s="528">
        <v>17.899999999999999</v>
      </c>
      <c r="F67" s="528">
        <v>3.2</v>
      </c>
      <c r="G67" s="532">
        <v>14.7</v>
      </c>
      <c r="H67" s="530" t="s">
        <v>2602</v>
      </c>
    </row>
    <row r="68" spans="1:8" ht="16" customHeight="1">
      <c r="A68" s="524" t="s">
        <v>1093</v>
      </c>
      <c r="B68" s="525">
        <v>1</v>
      </c>
      <c r="C68" s="526">
        <v>9.0909090909090912E-2</v>
      </c>
      <c r="D68" s="527" t="s">
        <v>2535</v>
      </c>
      <c r="E68" s="528">
        <v>14.9</v>
      </c>
      <c r="F68" s="528">
        <v>2.4</v>
      </c>
      <c r="G68" s="532">
        <v>12.5</v>
      </c>
      <c r="H68" s="530" t="s">
        <v>2601</v>
      </c>
    </row>
    <row r="69" spans="1:8" ht="16" customHeight="1">
      <c r="A69" s="524" t="s">
        <v>719</v>
      </c>
      <c r="B69" s="525">
        <v>1</v>
      </c>
      <c r="C69" s="526">
        <v>9.0909090909090912E-2</v>
      </c>
      <c r="D69" s="527" t="s">
        <v>2535</v>
      </c>
      <c r="E69" s="528">
        <v>14.9</v>
      </c>
      <c r="F69" s="529"/>
      <c r="G69" s="529"/>
      <c r="H69" s="530" t="s">
        <v>2601</v>
      </c>
    </row>
    <row r="70" spans="1:8" ht="16" customHeight="1">
      <c r="A70" s="524" t="s">
        <v>2562</v>
      </c>
      <c r="B70" s="525">
        <v>1</v>
      </c>
      <c r="C70" s="526">
        <v>9.0909090909090912E-2</v>
      </c>
      <c r="D70" s="527" t="s">
        <v>2535</v>
      </c>
      <c r="E70" s="528">
        <v>14.9</v>
      </c>
      <c r="F70" s="529"/>
      <c r="G70" s="529"/>
      <c r="H70" s="530" t="s">
        <v>2601</v>
      </c>
    </row>
    <row r="71" spans="1:8" ht="16" customHeight="1">
      <c r="A71" s="524" t="s">
        <v>2563</v>
      </c>
      <c r="B71" s="525">
        <v>1</v>
      </c>
      <c r="C71" s="526">
        <v>9.0909090909090912E-2</v>
      </c>
      <c r="D71" s="533" t="s">
        <v>2542</v>
      </c>
      <c r="E71" s="528">
        <v>17.899999999999999</v>
      </c>
      <c r="F71" s="528">
        <v>2.5</v>
      </c>
      <c r="G71" s="532">
        <v>15.4</v>
      </c>
      <c r="H71" s="530" t="s">
        <v>2602</v>
      </c>
    </row>
    <row r="72" spans="1:8" ht="16" customHeight="1">
      <c r="A72" s="524" t="s">
        <v>1105</v>
      </c>
      <c r="B72" s="525">
        <v>1</v>
      </c>
      <c r="C72" s="526">
        <v>9.0909090909090912E-2</v>
      </c>
      <c r="D72" s="533" t="s">
        <v>2542</v>
      </c>
      <c r="E72" s="528">
        <v>17.899999999999999</v>
      </c>
      <c r="F72" s="528">
        <v>2.6</v>
      </c>
      <c r="G72" s="532">
        <v>15.3</v>
      </c>
      <c r="H72" s="530" t="s">
        <v>2602</v>
      </c>
    </row>
    <row r="73" spans="1:8" ht="16" customHeight="1">
      <c r="A73" s="524" t="s">
        <v>1122</v>
      </c>
      <c r="B73" s="525">
        <v>1</v>
      </c>
      <c r="C73" s="526">
        <v>9.0909090909090912E-2</v>
      </c>
      <c r="D73" s="527" t="s">
        <v>2535</v>
      </c>
      <c r="E73" s="528">
        <v>14.9</v>
      </c>
      <c r="F73" s="529"/>
      <c r="G73" s="529"/>
      <c r="H73" s="530" t="s">
        <v>2601</v>
      </c>
    </row>
    <row r="74" spans="1:8" ht="16" customHeight="1">
      <c r="A74" s="524" t="s">
        <v>1124</v>
      </c>
      <c r="B74" s="525">
        <v>1</v>
      </c>
      <c r="C74" s="526">
        <v>9.0909090909090912E-2</v>
      </c>
      <c r="D74" s="527" t="s">
        <v>2535</v>
      </c>
      <c r="E74" s="528">
        <v>14.9</v>
      </c>
      <c r="F74" s="529"/>
      <c r="G74" s="529"/>
      <c r="H74" s="530" t="s">
        <v>2601</v>
      </c>
    </row>
    <row r="75" spans="1:8" ht="16" customHeight="1">
      <c r="A75" s="524" t="s">
        <v>1123</v>
      </c>
      <c r="B75" s="525">
        <v>1</v>
      </c>
      <c r="C75" s="526">
        <v>9.0909090909090912E-2</v>
      </c>
      <c r="D75" s="527" t="s">
        <v>2535</v>
      </c>
      <c r="E75" s="528">
        <v>14.9</v>
      </c>
      <c r="F75" s="529"/>
      <c r="G75" s="529"/>
      <c r="H75" s="530" t="s">
        <v>2601</v>
      </c>
    </row>
    <row r="76" spans="1:8" ht="16" customHeight="1">
      <c r="A76" s="524" t="s">
        <v>986</v>
      </c>
      <c r="B76" s="525">
        <v>1</v>
      </c>
      <c r="C76" s="526">
        <v>9.0909090909090912E-2</v>
      </c>
      <c r="D76" s="531" t="s">
        <v>2539</v>
      </c>
      <c r="E76" s="528">
        <v>19.899999999999999</v>
      </c>
      <c r="F76" s="528">
        <v>2.5</v>
      </c>
      <c r="G76" s="532">
        <v>17.399999999999999</v>
      </c>
      <c r="H76" s="530" t="s">
        <v>2603</v>
      </c>
    </row>
    <row r="77" spans="1:8" ht="16" customHeight="1">
      <c r="A77" s="524" t="s">
        <v>2568</v>
      </c>
      <c r="B77" s="525">
        <v>1</v>
      </c>
      <c r="C77" s="526">
        <v>9.0909090909090912E-2</v>
      </c>
      <c r="D77" s="527" t="s">
        <v>2535</v>
      </c>
      <c r="E77" s="528">
        <v>14.9</v>
      </c>
      <c r="F77" s="529"/>
      <c r="G77" s="529"/>
      <c r="H77" s="530" t="s">
        <v>2601</v>
      </c>
    </row>
    <row r="78" spans="1:8" ht="16" customHeight="1">
      <c r="A78" s="524" t="s">
        <v>2569</v>
      </c>
      <c r="B78" s="525">
        <v>1</v>
      </c>
      <c r="C78" s="526">
        <v>9.0909090909090912E-2</v>
      </c>
      <c r="D78" s="527" t="s">
        <v>2535</v>
      </c>
      <c r="E78" s="528">
        <v>14.9</v>
      </c>
      <c r="F78" s="529"/>
      <c r="G78" s="529"/>
      <c r="H78" s="530" t="s">
        <v>2601</v>
      </c>
    </row>
    <row r="79" spans="1:8" ht="16" customHeight="1">
      <c r="A79" s="524" t="s">
        <v>1176</v>
      </c>
      <c r="B79" s="525">
        <v>1</v>
      </c>
      <c r="C79" s="526">
        <v>9.0909090909090912E-2</v>
      </c>
      <c r="D79" s="527" t="s">
        <v>2535</v>
      </c>
      <c r="E79" s="528">
        <v>14.9</v>
      </c>
      <c r="F79" s="529"/>
      <c r="G79" s="529"/>
      <c r="H79" s="530" t="s">
        <v>2601</v>
      </c>
    </row>
    <row r="80" spans="1:8" ht="16" customHeight="1">
      <c r="A80" s="524" t="s">
        <v>1179</v>
      </c>
      <c r="B80" s="525">
        <v>1</v>
      </c>
      <c r="C80" s="526">
        <v>9.0909090909090912E-2</v>
      </c>
      <c r="D80" s="527" t="s">
        <v>2535</v>
      </c>
      <c r="E80" s="528">
        <v>14.9</v>
      </c>
      <c r="F80" s="529"/>
      <c r="G80" s="529"/>
      <c r="H80" s="530" t="s">
        <v>2601</v>
      </c>
    </row>
    <row r="81" spans="1:8" ht="16" customHeight="1">
      <c r="A81" s="524" t="s">
        <v>2572</v>
      </c>
      <c r="B81" s="525">
        <v>1</v>
      </c>
      <c r="C81" s="526">
        <v>9.0909090909090912E-2</v>
      </c>
      <c r="D81" s="527" t="s">
        <v>2535</v>
      </c>
      <c r="E81" s="528">
        <v>14.9</v>
      </c>
      <c r="F81" s="529"/>
      <c r="G81" s="529"/>
      <c r="H81" s="530" t="s">
        <v>2601</v>
      </c>
    </row>
    <row r="82" spans="1:8" ht="16" customHeight="1">
      <c r="A82" s="524" t="s">
        <v>1182</v>
      </c>
      <c r="B82" s="525">
        <v>1</v>
      </c>
      <c r="C82" s="526">
        <v>9.0909090909090912E-2</v>
      </c>
      <c r="D82" s="533" t="s">
        <v>2542</v>
      </c>
      <c r="E82" s="528">
        <v>17.899999999999999</v>
      </c>
      <c r="F82" s="528">
        <v>2.2000000000000002</v>
      </c>
      <c r="G82" s="532">
        <v>15.7</v>
      </c>
      <c r="H82" s="530" t="s">
        <v>2602</v>
      </c>
    </row>
    <row r="83" spans="1:8" ht="16" customHeight="1">
      <c r="A83" s="524" t="s">
        <v>1192</v>
      </c>
      <c r="B83" s="525">
        <v>1</v>
      </c>
      <c r="C83" s="526">
        <v>9.0909090909090912E-2</v>
      </c>
      <c r="D83" s="527" t="s">
        <v>2535</v>
      </c>
      <c r="E83" s="528">
        <v>14.9</v>
      </c>
      <c r="F83" s="528">
        <v>1.9</v>
      </c>
      <c r="G83" s="532">
        <v>13</v>
      </c>
      <c r="H83" s="530" t="s">
        <v>2601</v>
      </c>
    </row>
    <row r="84" spans="1:8" ht="16" customHeight="1">
      <c r="A84" s="524" t="s">
        <v>2574</v>
      </c>
      <c r="B84" s="525">
        <v>1</v>
      </c>
      <c r="C84" s="526">
        <v>9.0909090909090912E-2</v>
      </c>
      <c r="D84" s="527" t="s">
        <v>2535</v>
      </c>
      <c r="E84" s="528">
        <v>14.9</v>
      </c>
      <c r="F84" s="529"/>
      <c r="G84" s="529"/>
      <c r="H84" s="530" t="s">
        <v>2601</v>
      </c>
    </row>
    <row r="85" spans="1:8" ht="16" customHeight="1">
      <c r="A85" s="524" t="s">
        <v>2575</v>
      </c>
      <c r="B85" s="525">
        <v>1</v>
      </c>
      <c r="C85" s="526">
        <v>9.0909090909090912E-2</v>
      </c>
      <c r="D85" s="527" t="s">
        <v>2535</v>
      </c>
      <c r="E85" s="528">
        <v>14.9</v>
      </c>
      <c r="F85" s="528">
        <v>2.8</v>
      </c>
      <c r="G85" s="532">
        <v>12.1</v>
      </c>
      <c r="H85" s="530" t="s">
        <v>2601</v>
      </c>
    </row>
    <row r="86" spans="1:8" ht="16" customHeight="1">
      <c r="A86" s="524" t="s">
        <v>1220</v>
      </c>
      <c r="B86" s="525">
        <v>1</v>
      </c>
      <c r="C86" s="526">
        <v>9.0909090909090912E-2</v>
      </c>
      <c r="D86" s="533" t="s">
        <v>2542</v>
      </c>
      <c r="E86" s="528">
        <v>17.899999999999999</v>
      </c>
      <c r="F86" s="528">
        <v>2.2999999999999998</v>
      </c>
      <c r="G86" s="532">
        <v>15.6</v>
      </c>
      <c r="H86" s="530" t="s">
        <v>2602</v>
      </c>
    </row>
    <row r="87" spans="1:8" ht="16" customHeight="1">
      <c r="A87" s="524" t="s">
        <v>2579</v>
      </c>
      <c r="B87" s="525">
        <v>1</v>
      </c>
      <c r="C87" s="526">
        <v>9.0909090909090912E-2</v>
      </c>
      <c r="D87" s="527" t="s">
        <v>2535</v>
      </c>
      <c r="E87" s="528">
        <v>14.9</v>
      </c>
      <c r="F87" s="528">
        <v>2.8</v>
      </c>
      <c r="G87" s="532">
        <v>12.1</v>
      </c>
      <c r="H87" s="530" t="s">
        <v>2601</v>
      </c>
    </row>
    <row r="88" spans="1:8" ht="16" customHeight="1">
      <c r="A88" s="524" t="s">
        <v>1221</v>
      </c>
      <c r="B88" s="525">
        <v>1</v>
      </c>
      <c r="C88" s="526">
        <v>9.0909090909090912E-2</v>
      </c>
      <c r="D88" s="527" t="s">
        <v>2535</v>
      </c>
      <c r="E88" s="528">
        <v>14.9</v>
      </c>
      <c r="F88" s="529"/>
      <c r="G88" s="529"/>
      <c r="H88" s="530" t="s">
        <v>2601</v>
      </c>
    </row>
    <row r="89" spans="1:8" ht="16" customHeight="1">
      <c r="A89" s="524" t="s">
        <v>1224</v>
      </c>
      <c r="B89" s="525">
        <v>1</v>
      </c>
      <c r="C89" s="526">
        <v>9.0909090909090912E-2</v>
      </c>
      <c r="D89" s="533" t="s">
        <v>2542</v>
      </c>
      <c r="E89" s="528">
        <v>17.899999999999999</v>
      </c>
      <c r="F89" s="528">
        <v>2.6</v>
      </c>
      <c r="G89" s="532">
        <v>15.3</v>
      </c>
      <c r="H89" s="530" t="s">
        <v>2602</v>
      </c>
    </row>
    <row r="91" spans="1:8" ht="18" customHeight="1">
      <c r="A91" s="1238" t="s">
        <v>2604</v>
      </c>
      <c r="B91" s="1230"/>
      <c r="C91" s="1230"/>
      <c r="D91" s="1230"/>
      <c r="E91" s="1230"/>
      <c r="F91" s="1230"/>
      <c r="G91" s="1230"/>
      <c r="H91" s="1231"/>
    </row>
    <row r="92" spans="1:8" ht="20" customHeight="1">
      <c r="A92" s="1235" t="s">
        <v>2605</v>
      </c>
      <c r="B92" s="1231"/>
      <c r="C92" s="1234" t="s">
        <v>2606</v>
      </c>
      <c r="D92" s="1230"/>
      <c r="E92" s="1230"/>
      <c r="F92" s="1230"/>
      <c r="G92" s="1230"/>
      <c r="H92" s="1231"/>
    </row>
    <row r="93" spans="1:8" ht="20" customHeight="1">
      <c r="A93" s="1235" t="s">
        <v>2607</v>
      </c>
      <c r="B93" s="1231"/>
      <c r="C93" s="1234" t="s">
        <v>2608</v>
      </c>
      <c r="D93" s="1230"/>
      <c r="E93" s="1230"/>
      <c r="F93" s="1230"/>
      <c r="G93" s="1230"/>
      <c r="H93" s="1231"/>
    </row>
    <row r="94" spans="1:8" ht="20" customHeight="1">
      <c r="A94" s="1235" t="s">
        <v>2609</v>
      </c>
      <c r="B94" s="1231"/>
      <c r="C94" s="1234" t="s">
        <v>2610</v>
      </c>
      <c r="D94" s="1230"/>
      <c r="E94" s="1230"/>
      <c r="F94" s="1230"/>
      <c r="G94" s="1230"/>
      <c r="H94" s="1231"/>
    </row>
    <row r="95" spans="1:8" ht="20" customHeight="1">
      <c r="A95" s="1235" t="s">
        <v>2611</v>
      </c>
      <c r="B95" s="1231"/>
      <c r="C95" s="1234" t="s">
        <v>2612</v>
      </c>
      <c r="D95" s="1230"/>
      <c r="E95" s="1230"/>
      <c r="F95" s="1230"/>
      <c r="G95" s="1230"/>
      <c r="H95" s="1231"/>
    </row>
    <row r="96" spans="1:8" ht="20" customHeight="1">
      <c r="A96" s="1235" t="s">
        <v>2613</v>
      </c>
      <c r="B96" s="1231"/>
      <c r="C96" s="1234" t="s">
        <v>2614</v>
      </c>
      <c r="D96" s="1230"/>
      <c r="E96" s="1230"/>
      <c r="F96" s="1230"/>
      <c r="G96" s="1230"/>
      <c r="H96" s="1231"/>
    </row>
    <row r="97" spans="1:8" ht="20" customHeight="1">
      <c r="A97" s="1235" t="s">
        <v>2615</v>
      </c>
      <c r="B97" s="1231"/>
      <c r="C97" s="1234" t="s">
        <v>2616</v>
      </c>
      <c r="D97" s="1230"/>
      <c r="E97" s="1230"/>
      <c r="F97" s="1230"/>
      <c r="G97" s="1230"/>
      <c r="H97" s="1231"/>
    </row>
    <row r="98" spans="1:8" ht="20" customHeight="1">
      <c r="A98" s="1235" t="s">
        <v>2617</v>
      </c>
      <c r="B98" s="1231"/>
      <c r="C98" s="1234" t="s">
        <v>2618</v>
      </c>
      <c r="D98" s="1230"/>
      <c r="E98" s="1230"/>
      <c r="F98" s="1230"/>
      <c r="G98" s="1230"/>
      <c r="H98" s="1231"/>
    </row>
    <row r="99" spans="1:8" ht="20" customHeight="1">
      <c r="A99" s="1235" t="s">
        <v>2619</v>
      </c>
      <c r="B99" s="1231"/>
      <c r="C99" s="1234" t="s">
        <v>2620</v>
      </c>
      <c r="D99" s="1230"/>
      <c r="E99" s="1230"/>
      <c r="F99" s="1230"/>
      <c r="G99" s="1230"/>
      <c r="H99" s="1231"/>
    </row>
  </sheetData>
  <mergeCells count="20">
    <mergeCell ref="C97:H97"/>
    <mergeCell ref="C94:H94"/>
    <mergeCell ref="A92:B92"/>
    <mergeCell ref="C93:H93"/>
    <mergeCell ref="C99:H99"/>
    <mergeCell ref="A98:B98"/>
    <mergeCell ref="A94:B94"/>
    <mergeCell ref="A1:H1"/>
    <mergeCell ref="A45:H45"/>
    <mergeCell ref="C95:H95"/>
    <mergeCell ref="A99:B99"/>
    <mergeCell ref="A3:H3"/>
    <mergeCell ref="A95:B95"/>
    <mergeCell ref="C96:H96"/>
    <mergeCell ref="C92:H92"/>
    <mergeCell ref="A97:B97"/>
    <mergeCell ref="A96:B96"/>
    <mergeCell ref="A91:H91"/>
    <mergeCell ref="C98:H98"/>
    <mergeCell ref="A93:B9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088"/>
  <sheetViews>
    <sheetView topLeftCell="A994" workbookViewId="0"/>
  </sheetViews>
  <sheetFormatPr baseColWidth="10" defaultColWidth="11.5" defaultRowHeight="15"/>
  <cols>
    <col min="1" max="1" width="21.1640625" bestFit="1" customWidth="1"/>
    <col min="2" max="2" width="9.6640625" bestFit="1" customWidth="1"/>
    <col min="3" max="3" width="39.6640625" bestFit="1" customWidth="1"/>
    <col min="4" max="4" width="17" bestFit="1" customWidth="1"/>
    <col min="6" max="6" width="10.5" bestFit="1" customWidth="1"/>
  </cols>
  <sheetData>
    <row r="1" spans="1:6">
      <c r="A1" s="948" t="s">
        <v>2621</v>
      </c>
      <c r="B1" s="948" t="s">
        <v>663</v>
      </c>
      <c r="C1" s="948" t="s">
        <v>240</v>
      </c>
      <c r="D1" s="948" t="s">
        <v>241</v>
      </c>
      <c r="E1" s="948" t="s">
        <v>664</v>
      </c>
      <c r="F1" s="948" t="s">
        <v>665</v>
      </c>
    </row>
    <row r="2" spans="1:6">
      <c r="A2" s="74" t="s">
        <v>669</v>
      </c>
      <c r="B2" s="74">
        <v>1</v>
      </c>
      <c r="C2" s="74" t="s">
        <v>248</v>
      </c>
      <c r="D2" s="74" t="s">
        <v>249</v>
      </c>
      <c r="E2" s="770">
        <v>45</v>
      </c>
      <c r="F2" s="770">
        <v>45</v>
      </c>
    </row>
    <row r="3" spans="1:6">
      <c r="A3" s="74" t="s">
        <v>669</v>
      </c>
      <c r="B3" s="74">
        <v>2</v>
      </c>
      <c r="C3" s="74" t="s">
        <v>261</v>
      </c>
      <c r="D3" s="74" t="s">
        <v>256</v>
      </c>
      <c r="E3" s="770">
        <v>45</v>
      </c>
      <c r="F3" s="770">
        <v>45</v>
      </c>
    </row>
    <row r="4" spans="1:6">
      <c r="A4" s="74" t="s">
        <v>669</v>
      </c>
      <c r="B4" s="74">
        <v>3</v>
      </c>
      <c r="C4" s="74" t="s">
        <v>259</v>
      </c>
      <c r="D4" s="74" t="s">
        <v>249</v>
      </c>
      <c r="E4" s="770">
        <v>44</v>
      </c>
      <c r="F4" s="770">
        <v>44</v>
      </c>
    </row>
    <row r="5" spans="1:6">
      <c r="A5" s="74" t="s">
        <v>669</v>
      </c>
      <c r="B5" s="74">
        <v>4</v>
      </c>
      <c r="C5" s="74" t="s">
        <v>250</v>
      </c>
      <c r="D5" s="74" t="s">
        <v>251</v>
      </c>
      <c r="E5" s="770">
        <v>29</v>
      </c>
      <c r="F5" s="770">
        <v>29</v>
      </c>
    </row>
    <row r="6" spans="1:6">
      <c r="A6" s="74" t="s">
        <v>669</v>
      </c>
      <c r="B6" s="74">
        <v>5</v>
      </c>
      <c r="C6" s="74" t="s">
        <v>255</v>
      </c>
      <c r="D6" s="74" t="s">
        <v>256</v>
      </c>
      <c r="E6" s="770">
        <v>27</v>
      </c>
      <c r="F6" s="770">
        <v>27</v>
      </c>
    </row>
    <row r="7" spans="1:6">
      <c r="A7" s="74" t="s">
        <v>669</v>
      </c>
      <c r="B7" s="74">
        <v>6</v>
      </c>
      <c r="C7" s="74" t="s">
        <v>671</v>
      </c>
      <c r="D7" s="74" t="s">
        <v>276</v>
      </c>
      <c r="E7" s="770">
        <v>22</v>
      </c>
      <c r="F7" s="770">
        <v>22</v>
      </c>
    </row>
    <row r="8" spans="1:6">
      <c r="A8" s="74" t="s">
        <v>669</v>
      </c>
      <c r="B8" s="74">
        <v>7</v>
      </c>
      <c r="C8" s="74" t="s">
        <v>673</v>
      </c>
      <c r="D8" s="74" t="s">
        <v>251</v>
      </c>
      <c r="E8" s="770">
        <v>18</v>
      </c>
      <c r="F8" s="770">
        <v>18</v>
      </c>
    </row>
    <row r="9" spans="1:6">
      <c r="A9" s="74" t="s">
        <v>669</v>
      </c>
      <c r="B9" s="74">
        <v>8</v>
      </c>
      <c r="C9" s="74" t="s">
        <v>674</v>
      </c>
      <c r="D9" s="74" t="s">
        <v>275</v>
      </c>
      <c r="E9" s="770">
        <v>17</v>
      </c>
      <c r="F9" s="770">
        <v>17</v>
      </c>
    </row>
    <row r="10" spans="1:6">
      <c r="A10" s="74" t="s">
        <v>669</v>
      </c>
      <c r="B10" s="74">
        <v>9</v>
      </c>
      <c r="C10" s="74" t="s">
        <v>675</v>
      </c>
      <c r="D10" s="74" t="s">
        <v>256</v>
      </c>
      <c r="E10" s="770">
        <v>14</v>
      </c>
      <c r="F10" s="770">
        <v>14</v>
      </c>
    </row>
    <row r="11" spans="1:6">
      <c r="A11" s="74" t="s">
        <v>669</v>
      </c>
      <c r="B11" s="74">
        <v>10</v>
      </c>
      <c r="C11" s="74" t="s">
        <v>676</v>
      </c>
      <c r="D11" s="74" t="s">
        <v>253</v>
      </c>
      <c r="E11" s="770">
        <v>12</v>
      </c>
      <c r="F11" s="770">
        <v>12</v>
      </c>
    </row>
    <row r="12" spans="1:6">
      <c r="A12" s="74" t="s">
        <v>669</v>
      </c>
      <c r="B12" s="74">
        <v>11</v>
      </c>
      <c r="C12" s="74" t="s">
        <v>677</v>
      </c>
      <c r="D12" s="74" t="s">
        <v>249</v>
      </c>
      <c r="E12" s="770">
        <v>12</v>
      </c>
      <c r="F12" s="770">
        <v>12</v>
      </c>
    </row>
    <row r="13" spans="1:6">
      <c r="A13" s="74" t="s">
        <v>669</v>
      </c>
      <c r="B13" s="74">
        <v>12</v>
      </c>
      <c r="C13" s="74" t="s">
        <v>678</v>
      </c>
      <c r="D13" s="74" t="s">
        <v>256</v>
      </c>
      <c r="E13" s="770">
        <v>12</v>
      </c>
      <c r="F13" s="770">
        <v>12</v>
      </c>
    </row>
    <row r="14" spans="1:6">
      <c r="A14" s="74" t="s">
        <v>669</v>
      </c>
      <c r="B14" s="74">
        <v>13</v>
      </c>
      <c r="C14" s="74" t="s">
        <v>679</v>
      </c>
      <c r="D14" s="74" t="s">
        <v>256</v>
      </c>
      <c r="E14" s="770">
        <v>11</v>
      </c>
      <c r="F14" s="770">
        <v>11</v>
      </c>
    </row>
    <row r="15" spans="1:6">
      <c r="A15" s="74" t="s">
        <v>669</v>
      </c>
      <c r="B15" s="74">
        <v>14</v>
      </c>
      <c r="C15" s="74" t="s">
        <v>680</v>
      </c>
      <c r="D15" s="74" t="s">
        <v>251</v>
      </c>
      <c r="E15" s="770">
        <v>11</v>
      </c>
      <c r="F15" s="770">
        <v>11</v>
      </c>
    </row>
    <row r="16" spans="1:6">
      <c r="A16" s="74" t="s">
        <v>669</v>
      </c>
      <c r="B16" s="74">
        <v>15</v>
      </c>
      <c r="C16" s="74" t="s">
        <v>262</v>
      </c>
      <c r="D16" s="74" t="s">
        <v>256</v>
      </c>
      <c r="E16" s="770">
        <v>11</v>
      </c>
      <c r="F16" s="770">
        <v>11</v>
      </c>
    </row>
    <row r="17" spans="1:6">
      <c r="A17" s="74" t="s">
        <v>669</v>
      </c>
      <c r="B17" s="74">
        <v>16</v>
      </c>
      <c r="C17" s="74" t="s">
        <v>681</v>
      </c>
      <c r="D17" s="74" t="s">
        <v>282</v>
      </c>
      <c r="E17" s="770">
        <v>10</v>
      </c>
      <c r="F17" s="770">
        <v>10</v>
      </c>
    </row>
    <row r="18" spans="1:6">
      <c r="A18" s="74" t="s">
        <v>669</v>
      </c>
      <c r="B18" s="74">
        <v>17</v>
      </c>
      <c r="C18" s="74" t="s">
        <v>682</v>
      </c>
      <c r="D18" s="74" t="s">
        <v>275</v>
      </c>
      <c r="E18" s="770">
        <v>10</v>
      </c>
      <c r="F18" s="770">
        <v>10</v>
      </c>
    </row>
    <row r="19" spans="1:6">
      <c r="A19" s="74" t="s">
        <v>669</v>
      </c>
      <c r="B19" s="74">
        <v>18</v>
      </c>
      <c r="C19" s="74" t="s">
        <v>683</v>
      </c>
      <c r="D19" s="74" t="s">
        <v>274</v>
      </c>
      <c r="E19" s="770">
        <v>9</v>
      </c>
      <c r="F19" s="770">
        <v>9</v>
      </c>
    </row>
    <row r="20" spans="1:6">
      <c r="A20" s="74" t="s">
        <v>669</v>
      </c>
      <c r="B20" s="74">
        <v>19</v>
      </c>
      <c r="C20" s="74" t="s">
        <v>684</v>
      </c>
      <c r="D20" s="74" t="s">
        <v>323</v>
      </c>
      <c r="E20" s="770">
        <v>9</v>
      </c>
      <c r="F20" s="770">
        <v>9</v>
      </c>
    </row>
    <row r="21" spans="1:6">
      <c r="A21" s="74" t="s">
        <v>669</v>
      </c>
      <c r="B21" s="74">
        <v>20</v>
      </c>
      <c r="C21" s="74" t="s">
        <v>685</v>
      </c>
      <c r="D21" s="74" t="s">
        <v>256</v>
      </c>
      <c r="E21" s="770">
        <v>8</v>
      </c>
      <c r="F21" s="770">
        <v>8</v>
      </c>
    </row>
    <row r="22" spans="1:6">
      <c r="A22" s="74" t="s">
        <v>669</v>
      </c>
      <c r="B22" s="74">
        <v>21</v>
      </c>
      <c r="C22" s="74" t="s">
        <v>686</v>
      </c>
      <c r="D22" s="74" t="s">
        <v>274</v>
      </c>
      <c r="E22" s="770">
        <v>8</v>
      </c>
      <c r="F22" s="770">
        <v>8</v>
      </c>
    </row>
    <row r="23" spans="1:6">
      <c r="A23" s="74" t="s">
        <v>669</v>
      </c>
      <c r="B23" s="74">
        <v>22</v>
      </c>
      <c r="C23" s="74" t="s">
        <v>687</v>
      </c>
      <c r="D23" s="74" t="s">
        <v>253</v>
      </c>
      <c r="E23" s="770">
        <v>8</v>
      </c>
      <c r="F23" s="770">
        <v>8</v>
      </c>
    </row>
    <row r="24" spans="1:6">
      <c r="A24" s="74" t="s">
        <v>669</v>
      </c>
      <c r="B24" s="74">
        <v>23</v>
      </c>
      <c r="C24" s="74" t="s">
        <v>688</v>
      </c>
      <c r="D24" s="74" t="s">
        <v>689</v>
      </c>
      <c r="E24" s="770">
        <v>6</v>
      </c>
      <c r="F24" s="770">
        <v>6</v>
      </c>
    </row>
    <row r="25" spans="1:6">
      <c r="A25" s="74" t="s">
        <v>669</v>
      </c>
      <c r="B25" s="74">
        <v>24</v>
      </c>
      <c r="C25" s="74" t="s">
        <v>690</v>
      </c>
      <c r="D25" s="74" t="s">
        <v>275</v>
      </c>
      <c r="E25" s="770">
        <v>5</v>
      </c>
      <c r="F25" s="770">
        <v>5</v>
      </c>
    </row>
    <row r="26" spans="1:6">
      <c r="A26" s="74" t="s">
        <v>669</v>
      </c>
      <c r="B26" s="74">
        <v>25</v>
      </c>
      <c r="C26" s="74" t="s">
        <v>691</v>
      </c>
      <c r="D26" s="74" t="s">
        <v>251</v>
      </c>
      <c r="E26" s="770">
        <v>5</v>
      </c>
      <c r="F26" s="770">
        <v>5</v>
      </c>
    </row>
    <row r="27" spans="1:6">
      <c r="A27" s="74" t="s">
        <v>669</v>
      </c>
      <c r="B27" s="74">
        <v>26</v>
      </c>
      <c r="C27" s="74" t="s">
        <v>692</v>
      </c>
      <c r="D27" s="74" t="s">
        <v>693</v>
      </c>
      <c r="E27" s="770">
        <v>5</v>
      </c>
      <c r="F27" s="770">
        <v>5</v>
      </c>
    </row>
    <row r="28" spans="1:6">
      <c r="A28" s="74" t="s">
        <v>669</v>
      </c>
      <c r="B28" s="74">
        <v>27</v>
      </c>
      <c r="C28" s="74" t="s">
        <v>694</v>
      </c>
      <c r="D28" s="74" t="s">
        <v>695</v>
      </c>
      <c r="E28" s="770">
        <v>4</v>
      </c>
      <c r="F28" s="770">
        <v>4</v>
      </c>
    </row>
    <row r="29" spans="1:6">
      <c r="A29" s="74" t="s">
        <v>669</v>
      </c>
      <c r="B29" s="74">
        <v>28</v>
      </c>
      <c r="C29" s="74" t="s">
        <v>696</v>
      </c>
      <c r="D29" s="74" t="s">
        <v>323</v>
      </c>
      <c r="E29" s="770">
        <v>4</v>
      </c>
      <c r="F29" s="770">
        <v>4</v>
      </c>
    </row>
    <row r="30" spans="1:6">
      <c r="A30" s="74" t="s">
        <v>669</v>
      </c>
      <c r="B30" s="74">
        <v>29</v>
      </c>
      <c r="C30" s="74" t="s">
        <v>697</v>
      </c>
      <c r="D30" s="74" t="s">
        <v>256</v>
      </c>
      <c r="E30" s="770">
        <v>4</v>
      </c>
      <c r="F30" s="770">
        <v>4</v>
      </c>
    </row>
    <row r="31" spans="1:6">
      <c r="A31" s="74" t="s">
        <v>669</v>
      </c>
      <c r="B31" s="74">
        <v>30</v>
      </c>
      <c r="C31" s="74" t="s">
        <v>698</v>
      </c>
      <c r="D31" s="74" t="s">
        <v>249</v>
      </c>
      <c r="E31" s="770">
        <v>4</v>
      </c>
      <c r="F31" s="770">
        <v>4</v>
      </c>
    </row>
    <row r="32" spans="1:6">
      <c r="A32" s="74" t="s">
        <v>669</v>
      </c>
      <c r="B32" s="74">
        <v>31</v>
      </c>
      <c r="C32" s="74" t="s">
        <v>699</v>
      </c>
      <c r="D32" s="74" t="s">
        <v>249</v>
      </c>
      <c r="E32" s="770">
        <v>4</v>
      </c>
      <c r="F32" s="770">
        <v>4</v>
      </c>
    </row>
    <row r="33" spans="1:6">
      <c r="A33" s="74" t="s">
        <v>669</v>
      </c>
      <c r="B33" s="74">
        <v>32</v>
      </c>
      <c r="C33" s="74" t="s">
        <v>700</v>
      </c>
      <c r="D33" s="74" t="s">
        <v>274</v>
      </c>
      <c r="E33" s="770">
        <v>4</v>
      </c>
      <c r="F33" s="770">
        <v>4</v>
      </c>
    </row>
    <row r="34" spans="1:6">
      <c r="A34" s="74" t="s">
        <v>669</v>
      </c>
      <c r="B34" s="74">
        <v>33</v>
      </c>
      <c r="C34" s="74" t="s">
        <v>701</v>
      </c>
      <c r="D34" s="74" t="s">
        <v>689</v>
      </c>
      <c r="E34" s="770">
        <v>4</v>
      </c>
      <c r="F34" s="770">
        <v>4</v>
      </c>
    </row>
    <row r="35" spans="1:6">
      <c r="A35" s="74" t="s">
        <v>669</v>
      </c>
      <c r="B35" s="74">
        <v>34</v>
      </c>
      <c r="C35" s="74" t="s">
        <v>702</v>
      </c>
      <c r="D35" s="74" t="s">
        <v>251</v>
      </c>
      <c r="E35" s="770">
        <v>4</v>
      </c>
      <c r="F35" s="770">
        <v>4</v>
      </c>
    </row>
    <row r="36" spans="1:6">
      <c r="A36" s="74" t="s">
        <v>669</v>
      </c>
      <c r="B36" s="74">
        <v>35</v>
      </c>
      <c r="C36" s="74" t="s">
        <v>254</v>
      </c>
      <c r="D36" s="74" t="s">
        <v>254</v>
      </c>
      <c r="E36" s="770">
        <v>4</v>
      </c>
      <c r="F36" s="770">
        <v>4</v>
      </c>
    </row>
    <row r="37" spans="1:6">
      <c r="A37" s="74" t="s">
        <v>669</v>
      </c>
      <c r="B37" s="74">
        <v>36</v>
      </c>
      <c r="C37" s="74" t="s">
        <v>703</v>
      </c>
      <c r="D37" s="74" t="s">
        <v>256</v>
      </c>
      <c r="E37" s="770">
        <v>4</v>
      </c>
      <c r="F37" s="770">
        <v>4</v>
      </c>
    </row>
    <row r="38" spans="1:6">
      <c r="A38" s="74" t="s">
        <v>669</v>
      </c>
      <c r="B38" s="74">
        <v>37</v>
      </c>
      <c r="C38" s="74" t="s">
        <v>704</v>
      </c>
      <c r="D38" s="74" t="s">
        <v>689</v>
      </c>
      <c r="E38" s="770">
        <v>4</v>
      </c>
      <c r="F38" s="770">
        <v>4</v>
      </c>
    </row>
    <row r="39" spans="1:6">
      <c r="A39" s="74" t="s">
        <v>669</v>
      </c>
      <c r="B39" s="74">
        <v>38</v>
      </c>
      <c r="C39" s="74" t="s">
        <v>705</v>
      </c>
      <c r="D39" s="74" t="s">
        <v>274</v>
      </c>
      <c r="E39" s="770">
        <v>3</v>
      </c>
      <c r="F39" s="770">
        <v>3</v>
      </c>
    </row>
    <row r="40" spans="1:6">
      <c r="A40" s="74" t="s">
        <v>669</v>
      </c>
      <c r="B40" s="74">
        <v>39</v>
      </c>
      <c r="C40" s="74" t="s">
        <v>706</v>
      </c>
      <c r="D40" s="74" t="s">
        <v>256</v>
      </c>
      <c r="E40" s="770">
        <v>3</v>
      </c>
      <c r="F40" s="770">
        <v>3</v>
      </c>
    </row>
    <row r="41" spans="1:6">
      <c r="A41" s="74" t="s">
        <v>669</v>
      </c>
      <c r="B41" s="74">
        <v>40</v>
      </c>
      <c r="C41" s="74" t="s">
        <v>707</v>
      </c>
      <c r="D41" s="74" t="s">
        <v>256</v>
      </c>
      <c r="E41" s="770">
        <v>3</v>
      </c>
      <c r="F41" s="770">
        <v>3</v>
      </c>
    </row>
    <row r="42" spans="1:6">
      <c r="A42" s="74" t="s">
        <v>669</v>
      </c>
      <c r="B42" s="74">
        <v>41</v>
      </c>
      <c r="C42" s="74" t="s">
        <v>708</v>
      </c>
      <c r="D42" s="74" t="s">
        <v>251</v>
      </c>
      <c r="E42" s="770">
        <v>3</v>
      </c>
      <c r="F42" s="770">
        <v>3</v>
      </c>
    </row>
    <row r="43" spans="1:6">
      <c r="A43" s="74" t="s">
        <v>669</v>
      </c>
      <c r="B43" s="74">
        <v>42</v>
      </c>
      <c r="C43" s="74" t="s">
        <v>709</v>
      </c>
      <c r="D43" s="74" t="s">
        <v>276</v>
      </c>
      <c r="E43" s="770">
        <v>3</v>
      </c>
      <c r="F43" s="770">
        <v>3</v>
      </c>
    </row>
    <row r="44" spans="1:6">
      <c r="A44" s="74" t="s">
        <v>669</v>
      </c>
      <c r="B44" s="74">
        <v>43</v>
      </c>
      <c r="C44" s="74" t="s">
        <v>710</v>
      </c>
      <c r="D44" s="74" t="s">
        <v>249</v>
      </c>
      <c r="E44" s="770">
        <v>2</v>
      </c>
      <c r="F44" s="770">
        <v>2</v>
      </c>
    </row>
    <row r="45" spans="1:6">
      <c r="A45" s="74" t="s">
        <v>669</v>
      </c>
      <c r="B45" s="74">
        <v>44</v>
      </c>
      <c r="C45" s="74" t="s">
        <v>711</v>
      </c>
      <c r="D45" s="74" t="s">
        <v>251</v>
      </c>
      <c r="E45" s="770">
        <v>2</v>
      </c>
      <c r="F45" s="770">
        <v>2</v>
      </c>
    </row>
    <row r="46" spans="1:6">
      <c r="A46" s="74" t="s">
        <v>669</v>
      </c>
      <c r="B46" s="74">
        <v>45</v>
      </c>
      <c r="C46" s="74" t="s">
        <v>712</v>
      </c>
      <c r="D46" s="74" t="s">
        <v>713</v>
      </c>
      <c r="E46" s="770">
        <v>2</v>
      </c>
      <c r="F46" s="770">
        <v>2</v>
      </c>
    </row>
    <row r="47" spans="1:6">
      <c r="A47" s="74" t="s">
        <v>669</v>
      </c>
      <c r="B47" s="74">
        <v>46</v>
      </c>
      <c r="C47" s="74" t="s">
        <v>714</v>
      </c>
      <c r="D47" s="74" t="s">
        <v>251</v>
      </c>
      <c r="E47" s="770">
        <v>2</v>
      </c>
      <c r="F47" s="770">
        <v>2</v>
      </c>
    </row>
    <row r="48" spans="1:6">
      <c r="A48" s="74" t="s">
        <v>669</v>
      </c>
      <c r="B48" s="74">
        <v>47</v>
      </c>
      <c r="C48" s="74" t="s">
        <v>715</v>
      </c>
      <c r="D48" s="74" t="s">
        <v>693</v>
      </c>
      <c r="E48" s="770">
        <v>2</v>
      </c>
      <c r="F48" s="770">
        <v>2</v>
      </c>
    </row>
    <row r="49" spans="1:6">
      <c r="A49" s="74" t="s">
        <v>669</v>
      </c>
      <c r="B49" s="74">
        <v>48</v>
      </c>
      <c r="C49" s="74" t="s">
        <v>716</v>
      </c>
      <c r="D49" s="74" t="s">
        <v>251</v>
      </c>
      <c r="E49" s="770">
        <v>2</v>
      </c>
      <c r="F49" s="770">
        <v>2</v>
      </c>
    </row>
    <row r="50" spans="1:6">
      <c r="A50" s="74" t="s">
        <v>669</v>
      </c>
      <c r="B50" s="74">
        <v>49</v>
      </c>
      <c r="C50" s="74" t="s">
        <v>717</v>
      </c>
      <c r="D50" s="74" t="s">
        <v>249</v>
      </c>
      <c r="E50" s="770">
        <v>2</v>
      </c>
      <c r="F50" s="770">
        <v>2</v>
      </c>
    </row>
    <row r="51" spans="1:6">
      <c r="A51" s="74" t="s">
        <v>669</v>
      </c>
      <c r="B51" s="74">
        <v>50</v>
      </c>
      <c r="C51" s="74" t="s">
        <v>718</v>
      </c>
      <c r="D51" s="74" t="s">
        <v>275</v>
      </c>
      <c r="E51" s="770">
        <v>2</v>
      </c>
      <c r="F51" s="770">
        <v>2</v>
      </c>
    </row>
    <row r="52" spans="1:6">
      <c r="A52" s="74" t="s">
        <v>669</v>
      </c>
      <c r="B52" s="74">
        <v>51</v>
      </c>
      <c r="C52" s="74" t="s">
        <v>719</v>
      </c>
      <c r="D52" s="74" t="s">
        <v>689</v>
      </c>
      <c r="E52" s="770">
        <v>2</v>
      </c>
      <c r="F52" s="770">
        <v>2</v>
      </c>
    </row>
    <row r="53" spans="1:6">
      <c r="A53" s="74" t="s">
        <v>669</v>
      </c>
      <c r="B53" s="74">
        <v>52</v>
      </c>
      <c r="C53" s="74" t="s">
        <v>720</v>
      </c>
      <c r="D53" s="74" t="s">
        <v>251</v>
      </c>
      <c r="E53" s="770">
        <v>2</v>
      </c>
      <c r="F53" s="770">
        <v>2</v>
      </c>
    </row>
    <row r="54" spans="1:6">
      <c r="A54" s="74" t="s">
        <v>669</v>
      </c>
      <c r="B54" s="74">
        <v>53</v>
      </c>
      <c r="C54" s="74" t="s">
        <v>721</v>
      </c>
      <c r="D54" s="74" t="s">
        <v>256</v>
      </c>
      <c r="E54" s="770">
        <v>2</v>
      </c>
      <c r="F54" s="770">
        <v>2</v>
      </c>
    </row>
    <row r="55" spans="1:6">
      <c r="A55" s="74" t="s">
        <v>669</v>
      </c>
      <c r="B55" s="74">
        <v>54</v>
      </c>
      <c r="C55" s="74" t="s">
        <v>722</v>
      </c>
      <c r="D55" s="74" t="s">
        <v>251</v>
      </c>
      <c r="E55" s="770">
        <v>2</v>
      </c>
      <c r="F55" s="770">
        <v>2</v>
      </c>
    </row>
    <row r="56" spans="1:6">
      <c r="A56" s="74" t="s">
        <v>669</v>
      </c>
      <c r="B56" s="74">
        <v>55</v>
      </c>
      <c r="C56" s="74" t="s">
        <v>723</v>
      </c>
      <c r="D56" s="74" t="s">
        <v>713</v>
      </c>
      <c r="E56" s="770">
        <v>2</v>
      </c>
      <c r="F56" s="770">
        <v>2</v>
      </c>
    </row>
    <row r="57" spans="1:6">
      <c r="A57" s="74" t="s">
        <v>669</v>
      </c>
      <c r="B57" s="74">
        <v>56</v>
      </c>
      <c r="C57" s="74" t="s">
        <v>724</v>
      </c>
      <c r="D57" s="74" t="s">
        <v>725</v>
      </c>
      <c r="E57" s="770">
        <v>1</v>
      </c>
      <c r="F57" s="770">
        <v>1</v>
      </c>
    </row>
    <row r="58" spans="1:6">
      <c r="A58" s="74" t="s">
        <v>669</v>
      </c>
      <c r="B58" s="74">
        <v>57</v>
      </c>
      <c r="C58" s="74" t="s">
        <v>726</v>
      </c>
      <c r="D58" s="74" t="s">
        <v>323</v>
      </c>
      <c r="E58" s="770">
        <v>1</v>
      </c>
      <c r="F58" s="770">
        <v>1</v>
      </c>
    </row>
    <row r="59" spans="1:6">
      <c r="A59" s="74" t="s">
        <v>669</v>
      </c>
      <c r="B59" s="74">
        <v>58</v>
      </c>
      <c r="C59" s="74" t="s">
        <v>727</v>
      </c>
      <c r="D59" s="74" t="s">
        <v>275</v>
      </c>
      <c r="E59" s="770">
        <v>1</v>
      </c>
      <c r="F59" s="770">
        <v>1</v>
      </c>
    </row>
    <row r="60" spans="1:6">
      <c r="A60" s="74" t="s">
        <v>669</v>
      </c>
      <c r="B60" s="74">
        <v>59</v>
      </c>
      <c r="C60" s="74" t="s">
        <v>728</v>
      </c>
      <c r="D60" s="74" t="s">
        <v>695</v>
      </c>
      <c r="E60" s="770">
        <v>1</v>
      </c>
      <c r="F60" s="770">
        <v>1</v>
      </c>
    </row>
    <row r="61" spans="1:6">
      <c r="A61" s="74" t="s">
        <v>669</v>
      </c>
      <c r="B61" s="74">
        <v>60</v>
      </c>
      <c r="C61" s="74" t="s">
        <v>729</v>
      </c>
      <c r="D61" s="74" t="s">
        <v>730</v>
      </c>
      <c r="E61" s="770">
        <v>1</v>
      </c>
      <c r="F61" s="770">
        <v>1</v>
      </c>
    </row>
    <row r="62" spans="1:6">
      <c r="A62" s="74" t="s">
        <v>669</v>
      </c>
      <c r="B62" s="74">
        <v>61</v>
      </c>
      <c r="C62" s="74" t="s">
        <v>731</v>
      </c>
      <c r="D62" s="74" t="s">
        <v>251</v>
      </c>
      <c r="E62" s="770">
        <v>1</v>
      </c>
      <c r="F62" s="770">
        <v>1</v>
      </c>
    </row>
    <row r="63" spans="1:6">
      <c r="A63" s="74" t="s">
        <v>669</v>
      </c>
      <c r="B63" s="74">
        <v>62</v>
      </c>
      <c r="C63" s="74" t="s">
        <v>732</v>
      </c>
      <c r="D63" s="74" t="s">
        <v>695</v>
      </c>
      <c r="E63" s="770">
        <v>1</v>
      </c>
      <c r="F63" s="770">
        <v>1</v>
      </c>
    </row>
    <row r="64" spans="1:6">
      <c r="A64" s="74" t="s">
        <v>669</v>
      </c>
      <c r="B64" s="74">
        <v>63</v>
      </c>
      <c r="C64" s="74" t="s">
        <v>733</v>
      </c>
      <c r="D64" s="74" t="s">
        <v>253</v>
      </c>
      <c r="E64" s="770">
        <v>1</v>
      </c>
      <c r="F64" s="770">
        <v>1</v>
      </c>
    </row>
    <row r="65" spans="1:6">
      <c r="A65" s="74" t="s">
        <v>669</v>
      </c>
      <c r="B65" s="74">
        <v>64</v>
      </c>
      <c r="C65" s="74" t="s">
        <v>734</v>
      </c>
      <c r="D65" s="74" t="s">
        <v>695</v>
      </c>
      <c r="E65" s="770">
        <v>1</v>
      </c>
      <c r="F65" s="770">
        <v>1</v>
      </c>
    </row>
    <row r="66" spans="1:6">
      <c r="A66" s="74" t="s">
        <v>669</v>
      </c>
      <c r="B66" s="74">
        <v>65</v>
      </c>
      <c r="C66" s="74" t="s">
        <v>735</v>
      </c>
      <c r="D66" s="74" t="s">
        <v>730</v>
      </c>
      <c r="E66" s="770">
        <v>1</v>
      </c>
      <c r="F66" s="770">
        <v>1</v>
      </c>
    </row>
    <row r="67" spans="1:6">
      <c r="A67" s="74" t="s">
        <v>669</v>
      </c>
      <c r="B67" s="74">
        <v>66</v>
      </c>
      <c r="C67" s="74" t="s">
        <v>736</v>
      </c>
      <c r="D67" s="74" t="s">
        <v>251</v>
      </c>
      <c r="E67" s="770">
        <v>1</v>
      </c>
      <c r="F67" s="770">
        <v>1</v>
      </c>
    </row>
    <row r="68" spans="1:6">
      <c r="A68" s="74" t="s">
        <v>669</v>
      </c>
      <c r="B68" s="74">
        <v>67</v>
      </c>
      <c r="C68" s="74" t="s">
        <v>737</v>
      </c>
      <c r="D68" s="74" t="s">
        <v>249</v>
      </c>
      <c r="E68" s="770">
        <v>1</v>
      </c>
      <c r="F68" s="770">
        <v>1</v>
      </c>
    </row>
    <row r="69" spans="1:6">
      <c r="A69" s="74" t="s">
        <v>669</v>
      </c>
      <c r="B69" s="74">
        <v>68</v>
      </c>
      <c r="C69" s="74" t="s">
        <v>738</v>
      </c>
      <c r="D69" s="74" t="s">
        <v>256</v>
      </c>
      <c r="E69" s="770">
        <v>1</v>
      </c>
      <c r="F69" s="770">
        <v>1</v>
      </c>
    </row>
    <row r="70" spans="1:6">
      <c r="A70" s="74" t="s">
        <v>669</v>
      </c>
      <c r="B70" s="74">
        <v>69</v>
      </c>
      <c r="C70" s="74" t="s">
        <v>739</v>
      </c>
      <c r="D70" s="74" t="s">
        <v>730</v>
      </c>
      <c r="E70" s="770">
        <v>1</v>
      </c>
      <c r="F70" s="770">
        <v>1</v>
      </c>
    </row>
    <row r="71" spans="1:6">
      <c r="A71" s="74" t="s">
        <v>669</v>
      </c>
      <c r="B71" s="74">
        <v>70</v>
      </c>
      <c r="C71" s="74" t="s">
        <v>740</v>
      </c>
      <c r="D71" s="74" t="s">
        <v>264</v>
      </c>
      <c r="E71" s="770">
        <v>1</v>
      </c>
      <c r="F71" s="770">
        <v>1</v>
      </c>
    </row>
    <row r="72" spans="1:6">
      <c r="A72" s="74" t="s">
        <v>669</v>
      </c>
      <c r="B72" s="74">
        <v>71</v>
      </c>
      <c r="C72" s="74" t="s">
        <v>742</v>
      </c>
      <c r="D72" s="74" t="s">
        <v>251</v>
      </c>
      <c r="E72" s="770">
        <v>1</v>
      </c>
      <c r="F72" s="770">
        <v>1</v>
      </c>
    </row>
    <row r="73" spans="1:6">
      <c r="A73" s="74" t="s">
        <v>669</v>
      </c>
      <c r="B73" s="74">
        <v>72</v>
      </c>
      <c r="C73" s="74" t="s">
        <v>743</v>
      </c>
      <c r="D73" s="74" t="s">
        <v>251</v>
      </c>
      <c r="E73" s="770">
        <v>1</v>
      </c>
      <c r="F73" s="770">
        <v>1</v>
      </c>
    </row>
    <row r="74" spans="1:6">
      <c r="A74" s="74" t="s">
        <v>669</v>
      </c>
      <c r="B74" s="74">
        <v>73</v>
      </c>
      <c r="C74" s="74" t="s">
        <v>744</v>
      </c>
      <c r="D74" s="74" t="s">
        <v>253</v>
      </c>
      <c r="E74" s="770">
        <v>1</v>
      </c>
      <c r="F74" s="770">
        <v>1</v>
      </c>
    </row>
    <row r="75" spans="1:6">
      <c r="A75" s="74" t="s">
        <v>669</v>
      </c>
      <c r="B75" s="74">
        <v>74</v>
      </c>
      <c r="C75" s="74" t="s">
        <v>745</v>
      </c>
      <c r="D75" s="74" t="s">
        <v>275</v>
      </c>
      <c r="E75" s="770">
        <v>1</v>
      </c>
      <c r="F75" s="770">
        <v>1</v>
      </c>
    </row>
    <row r="76" spans="1:6">
      <c r="A76" s="74" t="s">
        <v>669</v>
      </c>
      <c r="B76" s="74">
        <v>75</v>
      </c>
      <c r="C76" s="74" t="s">
        <v>746</v>
      </c>
      <c r="D76" s="74" t="s">
        <v>251</v>
      </c>
      <c r="E76" s="770">
        <v>1</v>
      </c>
      <c r="F76" s="770">
        <v>1</v>
      </c>
    </row>
    <row r="77" spans="1:6">
      <c r="A77" s="74" t="s">
        <v>669</v>
      </c>
      <c r="B77" s="74">
        <v>76</v>
      </c>
      <c r="C77" s="74" t="s">
        <v>747</v>
      </c>
      <c r="D77" s="74" t="s">
        <v>256</v>
      </c>
      <c r="E77" s="770">
        <v>1</v>
      </c>
      <c r="F77" s="770">
        <v>1</v>
      </c>
    </row>
    <row r="78" spans="1:6">
      <c r="A78" s="74" t="s">
        <v>669</v>
      </c>
      <c r="B78" s="74">
        <v>77</v>
      </c>
      <c r="C78" s="74" t="s">
        <v>748</v>
      </c>
      <c r="D78" s="74" t="s">
        <v>274</v>
      </c>
      <c r="E78" s="770">
        <v>1</v>
      </c>
      <c r="F78" s="770">
        <v>1</v>
      </c>
    </row>
    <row r="79" spans="1:6">
      <c r="A79" s="74" t="s">
        <v>788</v>
      </c>
      <c r="B79" s="74">
        <v>1</v>
      </c>
      <c r="C79" s="74" t="s">
        <v>248</v>
      </c>
      <c r="D79" s="74" t="s">
        <v>249</v>
      </c>
      <c r="E79" s="770">
        <v>89</v>
      </c>
      <c r="F79" s="770">
        <v>89</v>
      </c>
    </row>
    <row r="80" spans="1:6">
      <c r="A80" s="74" t="s">
        <v>788</v>
      </c>
      <c r="B80" s="74">
        <v>2</v>
      </c>
      <c r="C80" s="74" t="s">
        <v>259</v>
      </c>
      <c r="D80" s="74" t="s">
        <v>249</v>
      </c>
      <c r="E80" s="770">
        <v>84</v>
      </c>
      <c r="F80" s="770">
        <v>84</v>
      </c>
    </row>
    <row r="81" spans="1:6">
      <c r="A81" s="74" t="s">
        <v>788</v>
      </c>
      <c r="B81" s="74">
        <v>3</v>
      </c>
      <c r="C81" s="74" t="s">
        <v>261</v>
      </c>
      <c r="D81" s="74" t="s">
        <v>256</v>
      </c>
      <c r="E81" s="770">
        <v>61</v>
      </c>
      <c r="F81" s="770">
        <v>61</v>
      </c>
    </row>
    <row r="82" spans="1:6">
      <c r="A82" s="74" t="s">
        <v>788</v>
      </c>
      <c r="B82" s="74">
        <v>4</v>
      </c>
      <c r="C82" s="74" t="s">
        <v>250</v>
      </c>
      <c r="D82" s="74" t="s">
        <v>251</v>
      </c>
      <c r="E82" s="770">
        <v>52</v>
      </c>
      <c r="F82" s="770">
        <v>52</v>
      </c>
    </row>
    <row r="83" spans="1:6">
      <c r="A83" s="74" t="s">
        <v>788</v>
      </c>
      <c r="B83" s="74">
        <v>5</v>
      </c>
      <c r="C83" s="74" t="s">
        <v>255</v>
      </c>
      <c r="D83" s="74" t="s">
        <v>256</v>
      </c>
      <c r="E83" s="770">
        <v>43</v>
      </c>
      <c r="F83" s="770">
        <v>43</v>
      </c>
    </row>
    <row r="84" spans="1:6">
      <c r="A84" s="74" t="s">
        <v>788</v>
      </c>
      <c r="B84" s="74">
        <v>6</v>
      </c>
      <c r="C84" s="74" t="s">
        <v>254</v>
      </c>
      <c r="D84" s="74" t="s">
        <v>254</v>
      </c>
      <c r="E84" s="770">
        <v>31</v>
      </c>
      <c r="F84" s="770">
        <v>31</v>
      </c>
    </row>
    <row r="85" spans="1:6">
      <c r="A85" s="74" t="s">
        <v>788</v>
      </c>
      <c r="B85" s="74">
        <v>7</v>
      </c>
      <c r="C85" s="74" t="s">
        <v>262</v>
      </c>
      <c r="D85" s="74" t="s">
        <v>256</v>
      </c>
      <c r="E85" s="770">
        <v>29</v>
      </c>
      <c r="F85" s="770">
        <v>29</v>
      </c>
    </row>
    <row r="86" spans="1:6">
      <c r="A86" s="74" t="s">
        <v>788</v>
      </c>
      <c r="B86" s="74">
        <v>8</v>
      </c>
      <c r="C86" s="74" t="s">
        <v>680</v>
      </c>
      <c r="D86" s="74" t="s">
        <v>251</v>
      </c>
      <c r="E86" s="770">
        <v>28</v>
      </c>
      <c r="F86" s="770">
        <v>28</v>
      </c>
    </row>
    <row r="87" spans="1:6">
      <c r="A87" s="74" t="s">
        <v>788</v>
      </c>
      <c r="B87" s="74">
        <v>9</v>
      </c>
      <c r="C87" s="74" t="s">
        <v>678</v>
      </c>
      <c r="D87" s="74" t="s">
        <v>256</v>
      </c>
      <c r="E87" s="770">
        <v>20</v>
      </c>
      <c r="F87" s="770">
        <v>20</v>
      </c>
    </row>
    <row r="88" spans="1:6">
      <c r="A88" s="74" t="s">
        <v>788</v>
      </c>
      <c r="B88" s="74">
        <v>10</v>
      </c>
      <c r="C88" s="74" t="s">
        <v>681</v>
      </c>
      <c r="D88" s="74" t="s">
        <v>282</v>
      </c>
      <c r="E88" s="770">
        <v>19</v>
      </c>
      <c r="F88" s="770">
        <v>19</v>
      </c>
    </row>
    <row r="89" spans="1:6">
      <c r="A89" s="74" t="s">
        <v>788</v>
      </c>
      <c r="B89" s="74">
        <v>11</v>
      </c>
      <c r="C89" s="74" t="s">
        <v>673</v>
      </c>
      <c r="D89" s="74" t="s">
        <v>251</v>
      </c>
      <c r="E89" s="770">
        <v>19</v>
      </c>
      <c r="F89" s="770">
        <v>19</v>
      </c>
    </row>
    <row r="90" spans="1:6">
      <c r="A90" s="74" t="s">
        <v>788</v>
      </c>
      <c r="B90" s="74">
        <v>12</v>
      </c>
      <c r="C90" s="74" t="s">
        <v>687</v>
      </c>
      <c r="D90" s="74" t="s">
        <v>253</v>
      </c>
      <c r="E90" s="770">
        <v>19</v>
      </c>
      <c r="F90" s="770">
        <v>19</v>
      </c>
    </row>
    <row r="91" spans="1:6">
      <c r="A91" s="74" t="s">
        <v>788</v>
      </c>
      <c r="B91" s="74">
        <v>13</v>
      </c>
      <c r="C91" s="74" t="s">
        <v>679</v>
      </c>
      <c r="D91" s="74" t="s">
        <v>256</v>
      </c>
      <c r="E91" s="770">
        <v>17</v>
      </c>
      <c r="F91" s="770">
        <v>17</v>
      </c>
    </row>
    <row r="92" spans="1:6">
      <c r="A92" s="74" t="s">
        <v>788</v>
      </c>
      <c r="B92" s="74">
        <v>14</v>
      </c>
      <c r="C92" s="74" t="s">
        <v>738</v>
      </c>
      <c r="D92" s="74" t="s">
        <v>256</v>
      </c>
      <c r="E92" s="770">
        <v>14</v>
      </c>
      <c r="F92" s="770">
        <v>14</v>
      </c>
    </row>
    <row r="93" spans="1:6">
      <c r="A93" s="74" t="s">
        <v>788</v>
      </c>
      <c r="B93" s="74">
        <v>15</v>
      </c>
      <c r="C93" s="74" t="s">
        <v>682</v>
      </c>
      <c r="D93" s="74" t="s">
        <v>275</v>
      </c>
      <c r="E93" s="770">
        <v>14</v>
      </c>
      <c r="F93" s="770">
        <v>14</v>
      </c>
    </row>
    <row r="94" spans="1:6">
      <c r="A94" s="74" t="s">
        <v>788</v>
      </c>
      <c r="B94" s="74">
        <v>16</v>
      </c>
      <c r="C94" s="74" t="s">
        <v>716</v>
      </c>
      <c r="D94" s="74" t="s">
        <v>251</v>
      </c>
      <c r="E94" s="770">
        <v>14</v>
      </c>
      <c r="F94" s="770">
        <v>14</v>
      </c>
    </row>
    <row r="95" spans="1:6">
      <c r="A95" s="74" t="s">
        <v>788</v>
      </c>
      <c r="B95" s="74">
        <v>17</v>
      </c>
      <c r="C95" s="74" t="s">
        <v>698</v>
      </c>
      <c r="D95" s="74" t="s">
        <v>249</v>
      </c>
      <c r="E95" s="770">
        <v>12</v>
      </c>
      <c r="F95" s="770">
        <v>12</v>
      </c>
    </row>
    <row r="96" spans="1:6">
      <c r="A96" s="74" t="s">
        <v>788</v>
      </c>
      <c r="B96" s="74">
        <v>18</v>
      </c>
      <c r="C96" s="74" t="s">
        <v>671</v>
      </c>
      <c r="D96" s="74" t="s">
        <v>276</v>
      </c>
      <c r="E96" s="770">
        <v>11</v>
      </c>
      <c r="F96" s="770">
        <v>11</v>
      </c>
    </row>
    <row r="97" spans="1:6">
      <c r="A97" s="74" t="s">
        <v>788</v>
      </c>
      <c r="B97" s="74">
        <v>19</v>
      </c>
      <c r="C97" s="74" t="s">
        <v>674</v>
      </c>
      <c r="D97" s="74" t="s">
        <v>275</v>
      </c>
      <c r="E97" s="770">
        <v>11</v>
      </c>
      <c r="F97" s="770">
        <v>11</v>
      </c>
    </row>
    <row r="98" spans="1:6">
      <c r="A98" s="74" t="s">
        <v>788</v>
      </c>
      <c r="B98" s="74">
        <v>20</v>
      </c>
      <c r="C98" s="74" t="s">
        <v>707</v>
      </c>
      <c r="D98" s="74" t="s">
        <v>256</v>
      </c>
      <c r="E98" s="770">
        <v>11</v>
      </c>
      <c r="F98" s="770">
        <v>11</v>
      </c>
    </row>
    <row r="99" spans="1:6">
      <c r="A99" s="74" t="s">
        <v>788</v>
      </c>
      <c r="B99" s="74">
        <v>21</v>
      </c>
      <c r="C99" s="74" t="s">
        <v>676</v>
      </c>
      <c r="D99" s="74" t="s">
        <v>253</v>
      </c>
      <c r="E99" s="770">
        <v>11</v>
      </c>
      <c r="F99" s="770">
        <v>11</v>
      </c>
    </row>
    <row r="100" spans="1:6">
      <c r="A100" s="74" t="s">
        <v>788</v>
      </c>
      <c r="B100" s="74">
        <v>22</v>
      </c>
      <c r="C100" s="74" t="s">
        <v>702</v>
      </c>
      <c r="D100" s="74" t="s">
        <v>251</v>
      </c>
      <c r="E100" s="770">
        <v>10</v>
      </c>
      <c r="F100" s="770">
        <v>10</v>
      </c>
    </row>
    <row r="101" spans="1:6">
      <c r="A101" s="74" t="s">
        <v>788</v>
      </c>
      <c r="B101" s="74">
        <v>23</v>
      </c>
      <c r="C101" s="74" t="s">
        <v>691</v>
      </c>
      <c r="D101" s="74" t="s">
        <v>251</v>
      </c>
      <c r="E101" s="770">
        <v>9</v>
      </c>
      <c r="F101" s="770">
        <v>9</v>
      </c>
    </row>
    <row r="102" spans="1:6">
      <c r="A102" s="74" t="s">
        <v>788</v>
      </c>
      <c r="B102" s="74">
        <v>24</v>
      </c>
      <c r="C102" s="74" t="s">
        <v>704</v>
      </c>
      <c r="D102" s="74" t="s">
        <v>689</v>
      </c>
      <c r="E102" s="770">
        <v>9</v>
      </c>
      <c r="F102" s="770">
        <v>9</v>
      </c>
    </row>
    <row r="103" spans="1:6">
      <c r="A103" s="74" t="s">
        <v>788</v>
      </c>
      <c r="B103" s="74">
        <v>25</v>
      </c>
      <c r="C103" s="74" t="s">
        <v>778</v>
      </c>
      <c r="D103" s="74" t="s">
        <v>256</v>
      </c>
      <c r="E103" s="770">
        <v>9</v>
      </c>
      <c r="F103" s="770">
        <v>9</v>
      </c>
    </row>
    <row r="104" spans="1:6">
      <c r="A104" s="74" t="s">
        <v>788</v>
      </c>
      <c r="B104" s="74">
        <v>26</v>
      </c>
      <c r="C104" s="74" t="s">
        <v>697</v>
      </c>
      <c r="D104" s="74" t="s">
        <v>256</v>
      </c>
      <c r="E104" s="770">
        <v>9</v>
      </c>
      <c r="F104" s="770">
        <v>9</v>
      </c>
    </row>
    <row r="105" spans="1:6">
      <c r="A105" s="74" t="s">
        <v>788</v>
      </c>
      <c r="B105" s="74">
        <v>27</v>
      </c>
      <c r="C105" s="74" t="s">
        <v>751</v>
      </c>
      <c r="D105" s="74" t="s">
        <v>256</v>
      </c>
      <c r="E105" s="770">
        <v>9</v>
      </c>
      <c r="F105" s="770">
        <v>9</v>
      </c>
    </row>
    <row r="106" spans="1:6">
      <c r="A106" s="74" t="s">
        <v>788</v>
      </c>
      <c r="B106" s="74">
        <v>28</v>
      </c>
      <c r="C106" s="74" t="s">
        <v>701</v>
      </c>
      <c r="D106" s="74" t="s">
        <v>689</v>
      </c>
      <c r="E106" s="770">
        <v>9</v>
      </c>
      <c r="F106" s="770">
        <v>9</v>
      </c>
    </row>
    <row r="107" spans="1:6">
      <c r="A107" s="74" t="s">
        <v>788</v>
      </c>
      <c r="B107" s="74">
        <v>29</v>
      </c>
      <c r="C107" s="74" t="s">
        <v>686</v>
      </c>
      <c r="D107" s="74" t="s">
        <v>274</v>
      </c>
      <c r="E107" s="770">
        <v>8</v>
      </c>
      <c r="F107" s="770">
        <v>8</v>
      </c>
    </row>
    <row r="108" spans="1:6">
      <c r="A108" s="74" t="s">
        <v>788</v>
      </c>
      <c r="B108" s="74">
        <v>30</v>
      </c>
      <c r="C108" s="74" t="s">
        <v>675</v>
      </c>
      <c r="D108" s="74" t="s">
        <v>256</v>
      </c>
      <c r="E108" s="770">
        <v>8</v>
      </c>
      <c r="F108" s="770">
        <v>8</v>
      </c>
    </row>
    <row r="109" spans="1:6">
      <c r="A109" s="74" t="s">
        <v>788</v>
      </c>
      <c r="B109" s="74">
        <v>31</v>
      </c>
      <c r="C109" s="74" t="s">
        <v>677</v>
      </c>
      <c r="D109" s="74" t="s">
        <v>249</v>
      </c>
      <c r="E109" s="770">
        <v>7</v>
      </c>
      <c r="F109" s="770">
        <v>7</v>
      </c>
    </row>
    <row r="110" spans="1:6">
      <c r="A110" s="74" t="s">
        <v>788</v>
      </c>
      <c r="B110" s="74">
        <v>32</v>
      </c>
      <c r="C110" s="74" t="s">
        <v>694</v>
      </c>
      <c r="D110" s="74" t="s">
        <v>695</v>
      </c>
      <c r="E110" s="770">
        <v>7</v>
      </c>
      <c r="F110" s="770">
        <v>7</v>
      </c>
    </row>
    <row r="111" spans="1:6">
      <c r="A111" s="74" t="s">
        <v>788</v>
      </c>
      <c r="B111" s="74">
        <v>33</v>
      </c>
      <c r="C111" s="74" t="s">
        <v>710</v>
      </c>
      <c r="D111" s="74" t="s">
        <v>249</v>
      </c>
      <c r="E111" s="770">
        <v>6</v>
      </c>
      <c r="F111" s="770">
        <v>6</v>
      </c>
    </row>
    <row r="112" spans="1:6">
      <c r="A112" s="74" t="s">
        <v>788</v>
      </c>
      <c r="B112" s="74">
        <v>34</v>
      </c>
      <c r="C112" s="74" t="s">
        <v>685</v>
      </c>
      <c r="D112" s="74" t="s">
        <v>256</v>
      </c>
      <c r="E112" s="770">
        <v>6</v>
      </c>
      <c r="F112" s="770">
        <v>6</v>
      </c>
    </row>
    <row r="113" spans="1:6">
      <c r="A113" s="74" t="s">
        <v>788</v>
      </c>
      <c r="B113" s="74">
        <v>35</v>
      </c>
      <c r="C113" s="74" t="s">
        <v>780</v>
      </c>
      <c r="D113" s="74" t="s">
        <v>268</v>
      </c>
      <c r="E113" s="770">
        <v>6</v>
      </c>
      <c r="F113" s="770">
        <v>6</v>
      </c>
    </row>
    <row r="114" spans="1:6">
      <c r="A114" s="74" t="s">
        <v>788</v>
      </c>
      <c r="B114" s="74">
        <v>36</v>
      </c>
      <c r="C114" s="74" t="s">
        <v>708</v>
      </c>
      <c r="D114" s="74" t="s">
        <v>251</v>
      </c>
      <c r="E114" s="770">
        <v>5</v>
      </c>
      <c r="F114" s="770">
        <v>5</v>
      </c>
    </row>
    <row r="115" spans="1:6">
      <c r="A115" s="74" t="s">
        <v>788</v>
      </c>
      <c r="B115" s="74">
        <v>37</v>
      </c>
      <c r="C115" s="74" t="s">
        <v>683</v>
      </c>
      <c r="D115" s="74" t="s">
        <v>274</v>
      </c>
      <c r="E115" s="770">
        <v>5</v>
      </c>
      <c r="F115" s="770">
        <v>5</v>
      </c>
    </row>
    <row r="116" spans="1:6">
      <c r="A116" s="74" t="s">
        <v>788</v>
      </c>
      <c r="B116" s="74">
        <v>38</v>
      </c>
      <c r="C116" s="74" t="s">
        <v>748</v>
      </c>
      <c r="D116" s="74" t="s">
        <v>274</v>
      </c>
      <c r="E116" s="770">
        <v>5</v>
      </c>
      <c r="F116" s="770">
        <v>5</v>
      </c>
    </row>
    <row r="117" spans="1:6">
      <c r="A117" s="74" t="s">
        <v>788</v>
      </c>
      <c r="B117" s="74">
        <v>39</v>
      </c>
      <c r="C117" s="74" t="s">
        <v>763</v>
      </c>
      <c r="D117" s="74" t="s">
        <v>764</v>
      </c>
      <c r="E117" s="770">
        <v>5</v>
      </c>
      <c r="F117" s="770">
        <v>5</v>
      </c>
    </row>
    <row r="118" spans="1:6">
      <c r="A118" s="74" t="s">
        <v>788</v>
      </c>
      <c r="B118" s="74">
        <v>40</v>
      </c>
      <c r="C118" s="74" t="s">
        <v>752</v>
      </c>
      <c r="D118" s="74" t="s">
        <v>264</v>
      </c>
      <c r="E118" s="770">
        <v>5</v>
      </c>
      <c r="F118" s="770">
        <v>5</v>
      </c>
    </row>
    <row r="119" spans="1:6">
      <c r="A119" s="74" t="s">
        <v>788</v>
      </c>
      <c r="B119" s="74">
        <v>41</v>
      </c>
      <c r="C119" s="74" t="s">
        <v>696</v>
      </c>
      <c r="D119" s="74" t="s">
        <v>323</v>
      </c>
      <c r="E119" s="770">
        <v>5</v>
      </c>
      <c r="F119" s="770">
        <v>5</v>
      </c>
    </row>
    <row r="120" spans="1:6">
      <c r="A120" s="74" t="s">
        <v>788</v>
      </c>
      <c r="B120" s="74">
        <v>42</v>
      </c>
      <c r="C120" s="74" t="s">
        <v>703</v>
      </c>
      <c r="D120" s="74" t="s">
        <v>256</v>
      </c>
      <c r="E120" s="770">
        <v>5</v>
      </c>
      <c r="F120" s="770">
        <v>5</v>
      </c>
    </row>
    <row r="121" spans="1:6">
      <c r="A121" s="74" t="s">
        <v>788</v>
      </c>
      <c r="B121" s="74">
        <v>43</v>
      </c>
      <c r="C121" s="74" t="s">
        <v>781</v>
      </c>
      <c r="D121" s="74" t="s">
        <v>764</v>
      </c>
      <c r="E121" s="770">
        <v>5</v>
      </c>
      <c r="F121" s="770">
        <v>5</v>
      </c>
    </row>
    <row r="122" spans="1:6">
      <c r="A122" s="74" t="s">
        <v>788</v>
      </c>
      <c r="B122" s="74">
        <v>44</v>
      </c>
      <c r="C122" s="74" t="s">
        <v>709</v>
      </c>
      <c r="D122" s="74" t="s">
        <v>276</v>
      </c>
      <c r="E122" s="770">
        <v>4</v>
      </c>
      <c r="F122" s="770">
        <v>4</v>
      </c>
    </row>
    <row r="123" spans="1:6">
      <c r="A123" s="74" t="s">
        <v>788</v>
      </c>
      <c r="B123" s="74">
        <v>45</v>
      </c>
      <c r="C123" s="74" t="s">
        <v>782</v>
      </c>
      <c r="D123" s="74" t="s">
        <v>323</v>
      </c>
      <c r="E123" s="770">
        <v>4</v>
      </c>
      <c r="F123" s="770">
        <v>4</v>
      </c>
    </row>
    <row r="124" spans="1:6">
      <c r="A124" s="74" t="s">
        <v>788</v>
      </c>
      <c r="B124" s="74">
        <v>46</v>
      </c>
      <c r="C124" s="74" t="s">
        <v>721</v>
      </c>
      <c r="D124" s="74" t="s">
        <v>256</v>
      </c>
      <c r="E124" s="770">
        <v>4</v>
      </c>
      <c r="F124" s="770">
        <v>4</v>
      </c>
    </row>
    <row r="125" spans="1:6">
      <c r="A125" s="74" t="s">
        <v>788</v>
      </c>
      <c r="B125" s="74">
        <v>47</v>
      </c>
      <c r="C125" s="74" t="s">
        <v>783</v>
      </c>
      <c r="D125" s="74" t="s">
        <v>764</v>
      </c>
      <c r="E125" s="770">
        <v>4</v>
      </c>
      <c r="F125" s="770">
        <v>4</v>
      </c>
    </row>
    <row r="126" spans="1:6">
      <c r="A126" s="74" t="s">
        <v>788</v>
      </c>
      <c r="B126" s="74">
        <v>48</v>
      </c>
      <c r="C126" s="74" t="s">
        <v>742</v>
      </c>
      <c r="D126" s="74" t="s">
        <v>251</v>
      </c>
      <c r="E126" s="770">
        <v>4</v>
      </c>
      <c r="F126" s="770">
        <v>4</v>
      </c>
    </row>
    <row r="127" spans="1:6">
      <c r="A127" s="74" t="s">
        <v>788</v>
      </c>
      <c r="B127" s="74">
        <v>49</v>
      </c>
      <c r="C127" s="74" t="s">
        <v>756</v>
      </c>
      <c r="D127" s="74" t="s">
        <v>251</v>
      </c>
      <c r="E127" s="770">
        <v>4</v>
      </c>
      <c r="F127" s="770">
        <v>4</v>
      </c>
    </row>
    <row r="128" spans="1:6">
      <c r="A128" s="74" t="s">
        <v>788</v>
      </c>
      <c r="B128" s="74">
        <v>50</v>
      </c>
      <c r="C128" s="74" t="s">
        <v>760</v>
      </c>
      <c r="D128" s="74" t="s">
        <v>253</v>
      </c>
      <c r="E128" s="770">
        <v>4</v>
      </c>
      <c r="F128" s="770">
        <v>4</v>
      </c>
    </row>
    <row r="129" spans="1:6">
      <c r="A129" s="74" t="s">
        <v>788</v>
      </c>
      <c r="B129" s="74">
        <v>51</v>
      </c>
      <c r="C129" s="74" t="s">
        <v>692</v>
      </c>
      <c r="D129" s="74" t="s">
        <v>693</v>
      </c>
      <c r="E129" s="770">
        <v>4</v>
      </c>
      <c r="F129" s="770">
        <v>4</v>
      </c>
    </row>
    <row r="130" spans="1:6">
      <c r="A130" s="74" t="s">
        <v>788</v>
      </c>
      <c r="B130" s="74">
        <v>52</v>
      </c>
      <c r="C130" s="74" t="s">
        <v>772</v>
      </c>
      <c r="D130" s="74" t="s">
        <v>730</v>
      </c>
      <c r="E130" s="770">
        <v>4</v>
      </c>
      <c r="F130" s="770">
        <v>4</v>
      </c>
    </row>
    <row r="131" spans="1:6">
      <c r="A131" s="74" t="s">
        <v>788</v>
      </c>
      <c r="B131" s="74">
        <v>53</v>
      </c>
      <c r="C131" s="74" t="s">
        <v>755</v>
      </c>
      <c r="D131" s="74" t="s">
        <v>251</v>
      </c>
      <c r="E131" s="770">
        <v>3</v>
      </c>
      <c r="F131" s="770">
        <v>3</v>
      </c>
    </row>
    <row r="132" spans="1:6">
      <c r="A132" s="74" t="s">
        <v>788</v>
      </c>
      <c r="B132" s="74">
        <v>54</v>
      </c>
      <c r="C132" s="74" t="s">
        <v>747</v>
      </c>
      <c r="D132" s="74" t="s">
        <v>256</v>
      </c>
      <c r="E132" s="770">
        <v>3</v>
      </c>
      <c r="F132" s="770">
        <v>3</v>
      </c>
    </row>
    <row r="133" spans="1:6">
      <c r="A133" s="74" t="s">
        <v>788</v>
      </c>
      <c r="B133" s="74">
        <v>55</v>
      </c>
      <c r="C133" s="74" t="s">
        <v>743</v>
      </c>
      <c r="D133" s="74" t="s">
        <v>251</v>
      </c>
      <c r="E133" s="770">
        <v>3</v>
      </c>
      <c r="F133" s="770">
        <v>3</v>
      </c>
    </row>
    <row r="134" spans="1:6">
      <c r="A134" s="74" t="s">
        <v>788</v>
      </c>
      <c r="B134" s="74">
        <v>56</v>
      </c>
      <c r="C134" s="74" t="s">
        <v>688</v>
      </c>
      <c r="D134" s="74" t="s">
        <v>689</v>
      </c>
      <c r="E134" s="770">
        <v>3</v>
      </c>
      <c r="F134" s="770">
        <v>3</v>
      </c>
    </row>
    <row r="135" spans="1:6">
      <c r="A135" s="74" t="s">
        <v>788</v>
      </c>
      <c r="B135" s="74">
        <v>57</v>
      </c>
      <c r="C135" s="74" t="s">
        <v>733</v>
      </c>
      <c r="D135" s="74" t="s">
        <v>253</v>
      </c>
      <c r="E135" s="770">
        <v>3</v>
      </c>
      <c r="F135" s="770">
        <v>3</v>
      </c>
    </row>
    <row r="136" spans="1:6">
      <c r="A136" s="74" t="s">
        <v>788</v>
      </c>
      <c r="B136" s="74">
        <v>58</v>
      </c>
      <c r="C136" s="74" t="s">
        <v>723</v>
      </c>
      <c r="D136" s="74" t="s">
        <v>713</v>
      </c>
      <c r="E136" s="770">
        <v>3</v>
      </c>
      <c r="F136" s="770">
        <v>3</v>
      </c>
    </row>
    <row r="137" spans="1:6">
      <c r="A137" s="74" t="s">
        <v>788</v>
      </c>
      <c r="B137" s="74">
        <v>59</v>
      </c>
      <c r="C137" s="74" t="s">
        <v>714</v>
      </c>
      <c r="D137" s="74" t="s">
        <v>251</v>
      </c>
      <c r="E137" s="770">
        <v>3</v>
      </c>
      <c r="F137" s="770">
        <v>3</v>
      </c>
    </row>
    <row r="138" spans="1:6">
      <c r="A138" s="74" t="s">
        <v>788</v>
      </c>
      <c r="B138" s="74">
        <v>60</v>
      </c>
      <c r="C138" s="74" t="s">
        <v>766</v>
      </c>
      <c r="D138" s="74" t="s">
        <v>253</v>
      </c>
      <c r="E138" s="770">
        <v>3</v>
      </c>
      <c r="F138" s="770">
        <v>3</v>
      </c>
    </row>
    <row r="139" spans="1:6">
      <c r="A139" s="74" t="s">
        <v>788</v>
      </c>
      <c r="B139" s="74">
        <v>61</v>
      </c>
      <c r="C139" s="74" t="s">
        <v>711</v>
      </c>
      <c r="D139" s="74" t="s">
        <v>251</v>
      </c>
      <c r="E139" s="770">
        <v>3</v>
      </c>
      <c r="F139" s="770">
        <v>3</v>
      </c>
    </row>
    <row r="140" spans="1:6">
      <c r="A140" s="74" t="s">
        <v>788</v>
      </c>
      <c r="B140" s="74">
        <v>62</v>
      </c>
      <c r="C140" s="74" t="s">
        <v>767</v>
      </c>
      <c r="D140" s="74" t="s">
        <v>251</v>
      </c>
      <c r="E140" s="770">
        <v>3</v>
      </c>
      <c r="F140" s="770">
        <v>3</v>
      </c>
    </row>
    <row r="141" spans="1:6">
      <c r="A141" s="74" t="s">
        <v>788</v>
      </c>
      <c r="B141" s="74">
        <v>63</v>
      </c>
      <c r="C141" s="74" t="s">
        <v>728</v>
      </c>
      <c r="D141" s="74" t="s">
        <v>695</v>
      </c>
      <c r="E141" s="770">
        <v>2</v>
      </c>
      <c r="F141" s="770">
        <v>2</v>
      </c>
    </row>
    <row r="142" spans="1:6">
      <c r="A142" s="74" t="s">
        <v>788</v>
      </c>
      <c r="B142" s="74">
        <v>64</v>
      </c>
      <c r="C142" s="74" t="s">
        <v>737</v>
      </c>
      <c r="D142" s="74" t="s">
        <v>249</v>
      </c>
      <c r="E142" s="770">
        <v>2</v>
      </c>
      <c r="F142" s="770">
        <v>2</v>
      </c>
    </row>
    <row r="143" spans="1:6">
      <c r="A143" s="74" t="s">
        <v>788</v>
      </c>
      <c r="B143" s="74">
        <v>65</v>
      </c>
      <c r="C143" s="74" t="s">
        <v>761</v>
      </c>
      <c r="D143" s="74" t="s">
        <v>730</v>
      </c>
      <c r="E143" s="770">
        <v>2</v>
      </c>
      <c r="F143" s="770">
        <v>2</v>
      </c>
    </row>
    <row r="144" spans="1:6">
      <c r="A144" s="74" t="s">
        <v>788</v>
      </c>
      <c r="B144" s="74">
        <v>66</v>
      </c>
      <c r="C144" s="74" t="s">
        <v>753</v>
      </c>
      <c r="D144" s="74" t="s">
        <v>275</v>
      </c>
      <c r="E144" s="770">
        <v>2</v>
      </c>
      <c r="F144" s="770">
        <v>2</v>
      </c>
    </row>
    <row r="145" spans="1:6">
      <c r="A145" s="74" t="s">
        <v>788</v>
      </c>
      <c r="B145" s="74">
        <v>67</v>
      </c>
      <c r="C145" s="74" t="s">
        <v>684</v>
      </c>
      <c r="D145" s="74" t="s">
        <v>323</v>
      </c>
      <c r="E145" s="770">
        <v>2</v>
      </c>
      <c r="F145" s="770">
        <v>2</v>
      </c>
    </row>
    <row r="146" spans="1:6">
      <c r="A146" s="74" t="s">
        <v>788</v>
      </c>
      <c r="B146" s="74">
        <v>68</v>
      </c>
      <c r="C146" s="74" t="s">
        <v>745</v>
      </c>
      <c r="D146" s="74" t="s">
        <v>275</v>
      </c>
      <c r="E146" s="770">
        <v>2</v>
      </c>
      <c r="F146" s="770">
        <v>2</v>
      </c>
    </row>
    <row r="147" spans="1:6">
      <c r="A147" s="74" t="s">
        <v>788</v>
      </c>
      <c r="B147" s="74">
        <v>69</v>
      </c>
      <c r="C147" s="74" t="s">
        <v>724</v>
      </c>
      <c r="D147" s="74" t="s">
        <v>725</v>
      </c>
      <c r="E147" s="770">
        <v>2</v>
      </c>
      <c r="F147" s="770">
        <v>2</v>
      </c>
    </row>
    <row r="148" spans="1:6">
      <c r="A148" s="74" t="s">
        <v>788</v>
      </c>
      <c r="B148" s="74">
        <v>70</v>
      </c>
      <c r="C148" s="74" t="s">
        <v>774</v>
      </c>
      <c r="D148" s="74" t="s">
        <v>730</v>
      </c>
      <c r="E148" s="770">
        <v>2</v>
      </c>
      <c r="F148" s="770">
        <v>2</v>
      </c>
    </row>
    <row r="149" spans="1:6">
      <c r="A149" s="74" t="s">
        <v>788</v>
      </c>
      <c r="B149" s="74">
        <v>71</v>
      </c>
      <c r="C149" s="74" t="s">
        <v>722</v>
      </c>
      <c r="D149" s="74" t="s">
        <v>251</v>
      </c>
      <c r="E149" s="770">
        <v>2</v>
      </c>
      <c r="F149" s="770">
        <v>2</v>
      </c>
    </row>
    <row r="150" spans="1:6">
      <c r="A150" s="74" t="s">
        <v>788</v>
      </c>
      <c r="B150" s="74">
        <v>72</v>
      </c>
      <c r="C150" s="74" t="s">
        <v>720</v>
      </c>
      <c r="D150" s="74" t="s">
        <v>251</v>
      </c>
      <c r="E150" s="770">
        <v>2</v>
      </c>
      <c r="F150" s="770">
        <v>2</v>
      </c>
    </row>
    <row r="151" spans="1:6">
      <c r="A151" s="74" t="s">
        <v>788</v>
      </c>
      <c r="B151" s="74">
        <v>73</v>
      </c>
      <c r="C151" s="74" t="s">
        <v>731</v>
      </c>
      <c r="D151" s="74" t="s">
        <v>251</v>
      </c>
      <c r="E151" s="770">
        <v>2</v>
      </c>
      <c r="F151" s="770">
        <v>2</v>
      </c>
    </row>
    <row r="152" spans="1:6">
      <c r="A152" s="74" t="s">
        <v>788</v>
      </c>
      <c r="B152" s="74">
        <v>74</v>
      </c>
      <c r="C152" s="74" t="s">
        <v>736</v>
      </c>
      <c r="D152" s="74" t="s">
        <v>251</v>
      </c>
      <c r="E152" s="770">
        <v>2</v>
      </c>
      <c r="F152" s="770">
        <v>2</v>
      </c>
    </row>
    <row r="153" spans="1:6">
      <c r="A153" s="74" t="s">
        <v>788</v>
      </c>
      <c r="B153" s="74">
        <v>75</v>
      </c>
      <c r="C153" s="74" t="s">
        <v>700</v>
      </c>
      <c r="D153" s="74" t="s">
        <v>274</v>
      </c>
      <c r="E153" s="770">
        <v>1</v>
      </c>
      <c r="F153" s="770">
        <v>1</v>
      </c>
    </row>
    <row r="154" spans="1:6">
      <c r="A154" s="74" t="s">
        <v>788</v>
      </c>
      <c r="B154" s="74">
        <v>76</v>
      </c>
      <c r="C154" s="74" t="s">
        <v>769</v>
      </c>
      <c r="D154" s="74" t="s">
        <v>730</v>
      </c>
      <c r="E154" s="770">
        <v>1</v>
      </c>
      <c r="F154" s="770">
        <v>1</v>
      </c>
    </row>
    <row r="155" spans="1:6">
      <c r="A155" s="74" t="s">
        <v>788</v>
      </c>
      <c r="B155" s="74">
        <v>77</v>
      </c>
      <c r="C155" s="74" t="s">
        <v>717</v>
      </c>
      <c r="D155" s="74" t="s">
        <v>249</v>
      </c>
      <c r="E155" s="770">
        <v>1</v>
      </c>
      <c r="F155" s="770">
        <v>1</v>
      </c>
    </row>
    <row r="156" spans="1:6">
      <c r="A156" s="74" t="s">
        <v>788</v>
      </c>
      <c r="B156" s="74">
        <v>78</v>
      </c>
      <c r="C156" s="74" t="s">
        <v>784</v>
      </c>
      <c r="D156" s="74" t="s">
        <v>764</v>
      </c>
      <c r="E156" s="770">
        <v>1</v>
      </c>
      <c r="F156" s="770">
        <v>1</v>
      </c>
    </row>
    <row r="157" spans="1:6">
      <c r="A157" s="74" t="s">
        <v>788</v>
      </c>
      <c r="B157" s="74">
        <v>79</v>
      </c>
      <c r="C157" s="74" t="s">
        <v>785</v>
      </c>
      <c r="D157" s="74" t="s">
        <v>275</v>
      </c>
      <c r="E157" s="770">
        <v>1</v>
      </c>
      <c r="F157" s="770">
        <v>1</v>
      </c>
    </row>
    <row r="158" spans="1:6">
      <c r="A158" s="74" t="s">
        <v>788</v>
      </c>
      <c r="B158" s="74">
        <v>80</v>
      </c>
      <c r="C158" s="74" t="s">
        <v>735</v>
      </c>
      <c r="D158" s="74" t="s">
        <v>730</v>
      </c>
      <c r="E158" s="770">
        <v>1</v>
      </c>
      <c r="F158" s="770">
        <v>1</v>
      </c>
    </row>
    <row r="159" spans="1:6">
      <c r="A159" s="74" t="s">
        <v>788</v>
      </c>
      <c r="B159" s="74">
        <v>81</v>
      </c>
      <c r="C159" s="74" t="s">
        <v>727</v>
      </c>
      <c r="D159" s="74" t="s">
        <v>275</v>
      </c>
      <c r="E159" s="770">
        <v>1</v>
      </c>
      <c r="F159" s="770">
        <v>1</v>
      </c>
    </row>
    <row r="160" spans="1:6">
      <c r="A160" s="74" t="s">
        <v>788</v>
      </c>
      <c r="B160" s="74">
        <v>82</v>
      </c>
      <c r="C160" s="74" t="s">
        <v>786</v>
      </c>
      <c r="D160" s="74" t="s">
        <v>249</v>
      </c>
      <c r="E160" s="770">
        <v>1</v>
      </c>
      <c r="F160" s="770">
        <v>1</v>
      </c>
    </row>
    <row r="161" spans="1:6">
      <c r="A161" s="74" t="s">
        <v>788</v>
      </c>
      <c r="B161" s="74">
        <v>83</v>
      </c>
      <c r="C161" s="74" t="s">
        <v>763</v>
      </c>
      <c r="D161" s="74" t="s">
        <v>764</v>
      </c>
      <c r="E161" s="770">
        <v>1</v>
      </c>
      <c r="F161" s="770">
        <v>1</v>
      </c>
    </row>
    <row r="162" spans="1:6">
      <c r="A162" s="74" t="s">
        <v>788</v>
      </c>
      <c r="B162" s="74">
        <v>84</v>
      </c>
      <c r="C162" s="74" t="s">
        <v>712</v>
      </c>
      <c r="D162" s="74" t="s">
        <v>713</v>
      </c>
      <c r="E162" s="770">
        <v>1</v>
      </c>
      <c r="F162" s="770">
        <v>1</v>
      </c>
    </row>
    <row r="163" spans="1:6">
      <c r="A163" s="74" t="s">
        <v>788</v>
      </c>
      <c r="B163" s="74">
        <v>85</v>
      </c>
      <c r="C163" s="74" t="s">
        <v>734</v>
      </c>
      <c r="D163" s="74" t="s">
        <v>695</v>
      </c>
      <c r="E163" s="770">
        <v>1</v>
      </c>
      <c r="F163" s="770">
        <v>1</v>
      </c>
    </row>
    <row r="164" spans="1:6">
      <c r="A164" s="74" t="s">
        <v>788</v>
      </c>
      <c r="B164" s="74">
        <v>86</v>
      </c>
      <c r="C164" s="74" t="s">
        <v>699</v>
      </c>
      <c r="D164" s="74" t="s">
        <v>249</v>
      </c>
      <c r="E164" s="770">
        <v>1</v>
      </c>
      <c r="F164" s="770">
        <v>1</v>
      </c>
    </row>
    <row r="165" spans="1:6">
      <c r="A165" s="74" t="s">
        <v>788</v>
      </c>
      <c r="B165" s="74">
        <v>87</v>
      </c>
      <c r="C165" s="74" t="s">
        <v>746</v>
      </c>
      <c r="D165" s="74" t="s">
        <v>251</v>
      </c>
      <c r="E165" s="770">
        <v>1</v>
      </c>
      <c r="F165" s="770">
        <v>1</v>
      </c>
    </row>
    <row r="166" spans="1:6">
      <c r="A166" s="74" t="s">
        <v>788</v>
      </c>
      <c r="B166" s="74">
        <v>88</v>
      </c>
      <c r="C166" s="74" t="s">
        <v>787</v>
      </c>
      <c r="D166" s="74" t="s">
        <v>713</v>
      </c>
      <c r="E166" s="770">
        <v>1</v>
      </c>
      <c r="F166" s="770">
        <v>1</v>
      </c>
    </row>
    <row r="167" spans="1:6">
      <c r="A167" s="74" t="s">
        <v>788</v>
      </c>
      <c r="B167" s="74">
        <v>89</v>
      </c>
      <c r="C167" s="74" t="s">
        <v>740</v>
      </c>
      <c r="D167" s="74" t="s">
        <v>264</v>
      </c>
      <c r="E167" s="770">
        <v>1</v>
      </c>
      <c r="F167" s="770">
        <v>1</v>
      </c>
    </row>
    <row r="168" spans="1:6">
      <c r="A168" s="74" t="s">
        <v>749</v>
      </c>
      <c r="B168" s="74">
        <v>1</v>
      </c>
      <c r="C168" s="74" t="s">
        <v>259</v>
      </c>
      <c r="D168" s="74" t="s">
        <v>249</v>
      </c>
      <c r="E168" s="770">
        <v>54</v>
      </c>
      <c r="F168" s="770">
        <v>54</v>
      </c>
    </row>
    <row r="169" spans="1:6">
      <c r="A169" s="74" t="s">
        <v>749</v>
      </c>
      <c r="B169" s="74">
        <v>2</v>
      </c>
      <c r="C169" s="74" t="s">
        <v>248</v>
      </c>
      <c r="D169" s="74" t="s">
        <v>249</v>
      </c>
      <c r="E169" s="770">
        <v>50</v>
      </c>
      <c r="F169" s="770">
        <v>50</v>
      </c>
    </row>
    <row r="170" spans="1:6">
      <c r="A170" s="74" t="s">
        <v>749</v>
      </c>
      <c r="B170" s="74">
        <v>3</v>
      </c>
      <c r="C170" s="74" t="s">
        <v>261</v>
      </c>
      <c r="D170" s="74" t="s">
        <v>256</v>
      </c>
      <c r="E170" s="770">
        <v>46</v>
      </c>
      <c r="F170" s="770">
        <v>46</v>
      </c>
    </row>
    <row r="171" spans="1:6">
      <c r="A171" s="74" t="s">
        <v>749</v>
      </c>
      <c r="B171" s="74">
        <v>4</v>
      </c>
      <c r="C171" s="74" t="s">
        <v>250</v>
      </c>
      <c r="D171" s="74" t="s">
        <v>251</v>
      </c>
      <c r="E171" s="770">
        <v>46</v>
      </c>
      <c r="F171" s="770">
        <v>46</v>
      </c>
    </row>
    <row r="172" spans="1:6">
      <c r="A172" s="74" t="s">
        <v>749</v>
      </c>
      <c r="B172" s="74">
        <v>5</v>
      </c>
      <c r="C172" s="74" t="s">
        <v>255</v>
      </c>
      <c r="D172" s="74" t="s">
        <v>256</v>
      </c>
      <c r="E172" s="770">
        <v>27</v>
      </c>
      <c r="F172" s="770">
        <v>27</v>
      </c>
    </row>
    <row r="173" spans="1:6">
      <c r="A173" s="74" t="s">
        <v>749</v>
      </c>
      <c r="B173" s="74">
        <v>6</v>
      </c>
      <c r="C173" s="74" t="s">
        <v>254</v>
      </c>
      <c r="D173" s="74" t="s">
        <v>254</v>
      </c>
      <c r="E173" s="770">
        <v>22</v>
      </c>
      <c r="F173" s="770">
        <v>22</v>
      </c>
    </row>
    <row r="174" spans="1:6">
      <c r="A174" s="74" t="s">
        <v>749</v>
      </c>
      <c r="B174" s="74">
        <v>7</v>
      </c>
      <c r="C174" s="74" t="s">
        <v>679</v>
      </c>
      <c r="D174" s="74" t="s">
        <v>256</v>
      </c>
      <c r="E174" s="770">
        <v>16</v>
      </c>
      <c r="F174" s="770">
        <v>16</v>
      </c>
    </row>
    <row r="175" spans="1:6">
      <c r="A175" s="74" t="s">
        <v>749</v>
      </c>
      <c r="B175" s="74">
        <v>8</v>
      </c>
      <c r="C175" s="74" t="s">
        <v>675</v>
      </c>
      <c r="D175" s="74" t="s">
        <v>256</v>
      </c>
      <c r="E175" s="770">
        <v>16</v>
      </c>
      <c r="F175" s="770">
        <v>16</v>
      </c>
    </row>
    <row r="176" spans="1:6">
      <c r="A176" s="74" t="s">
        <v>749</v>
      </c>
      <c r="B176" s="74">
        <v>9</v>
      </c>
      <c r="C176" s="74" t="s">
        <v>673</v>
      </c>
      <c r="D176" s="74" t="s">
        <v>251</v>
      </c>
      <c r="E176" s="770">
        <v>16</v>
      </c>
      <c r="F176" s="770">
        <v>16</v>
      </c>
    </row>
    <row r="177" spans="1:6">
      <c r="A177" s="74" t="s">
        <v>749</v>
      </c>
      <c r="B177" s="74">
        <v>10</v>
      </c>
      <c r="C177" s="74" t="s">
        <v>674</v>
      </c>
      <c r="D177" s="74" t="s">
        <v>275</v>
      </c>
      <c r="E177" s="770">
        <v>16</v>
      </c>
      <c r="F177" s="770">
        <v>16</v>
      </c>
    </row>
    <row r="178" spans="1:6">
      <c r="A178" s="74" t="s">
        <v>749</v>
      </c>
      <c r="B178" s="74">
        <v>11</v>
      </c>
      <c r="C178" s="74" t="s">
        <v>680</v>
      </c>
      <c r="D178" s="74" t="s">
        <v>251</v>
      </c>
      <c r="E178" s="770">
        <v>15</v>
      </c>
      <c r="F178" s="770">
        <v>15</v>
      </c>
    </row>
    <row r="179" spans="1:6">
      <c r="A179" s="74" t="s">
        <v>749</v>
      </c>
      <c r="B179" s="74">
        <v>12</v>
      </c>
      <c r="C179" s="74" t="s">
        <v>262</v>
      </c>
      <c r="D179" s="74" t="s">
        <v>256</v>
      </c>
      <c r="E179" s="770">
        <v>15</v>
      </c>
      <c r="F179" s="770">
        <v>15</v>
      </c>
    </row>
    <row r="180" spans="1:6">
      <c r="A180" s="74" t="s">
        <v>749</v>
      </c>
      <c r="B180" s="74">
        <v>13</v>
      </c>
      <c r="C180" s="74" t="s">
        <v>671</v>
      </c>
      <c r="D180" s="74" t="s">
        <v>276</v>
      </c>
      <c r="E180" s="770">
        <v>13</v>
      </c>
      <c r="F180" s="770">
        <v>13</v>
      </c>
    </row>
    <row r="181" spans="1:6">
      <c r="A181" s="74" t="s">
        <v>749</v>
      </c>
      <c r="B181" s="74">
        <v>14</v>
      </c>
      <c r="C181" s="74" t="s">
        <v>727</v>
      </c>
      <c r="D181" s="74" t="s">
        <v>275</v>
      </c>
      <c r="E181" s="770">
        <v>13</v>
      </c>
      <c r="F181" s="770">
        <v>13</v>
      </c>
    </row>
    <row r="182" spans="1:6">
      <c r="A182" s="74" t="s">
        <v>749</v>
      </c>
      <c r="B182" s="74">
        <v>15</v>
      </c>
      <c r="C182" s="74" t="s">
        <v>678</v>
      </c>
      <c r="D182" s="74" t="s">
        <v>256</v>
      </c>
      <c r="E182" s="770">
        <v>11</v>
      </c>
      <c r="F182" s="770">
        <v>11</v>
      </c>
    </row>
    <row r="183" spans="1:6">
      <c r="A183" s="74" t="s">
        <v>749</v>
      </c>
      <c r="B183" s="74">
        <v>16</v>
      </c>
      <c r="C183" s="74" t="s">
        <v>697</v>
      </c>
      <c r="D183" s="74" t="s">
        <v>256</v>
      </c>
      <c r="E183" s="770">
        <v>11</v>
      </c>
      <c r="F183" s="770">
        <v>11</v>
      </c>
    </row>
    <row r="184" spans="1:6">
      <c r="A184" s="74" t="s">
        <v>749</v>
      </c>
      <c r="B184" s="74">
        <v>17</v>
      </c>
      <c r="C184" s="74" t="s">
        <v>716</v>
      </c>
      <c r="D184" s="74" t="s">
        <v>251</v>
      </c>
      <c r="E184" s="770">
        <v>10</v>
      </c>
      <c r="F184" s="770">
        <v>10</v>
      </c>
    </row>
    <row r="185" spans="1:6">
      <c r="A185" s="74" t="s">
        <v>749</v>
      </c>
      <c r="B185" s="74">
        <v>18</v>
      </c>
      <c r="C185" s="74" t="s">
        <v>677</v>
      </c>
      <c r="D185" s="74" t="s">
        <v>249</v>
      </c>
      <c r="E185" s="770">
        <v>9</v>
      </c>
      <c r="F185" s="770">
        <v>9</v>
      </c>
    </row>
    <row r="186" spans="1:6">
      <c r="A186" s="74" t="s">
        <v>749</v>
      </c>
      <c r="B186" s="74">
        <v>19</v>
      </c>
      <c r="C186" s="74" t="s">
        <v>682</v>
      </c>
      <c r="D186" s="74" t="s">
        <v>275</v>
      </c>
      <c r="E186" s="770">
        <v>9</v>
      </c>
      <c r="F186" s="770">
        <v>9</v>
      </c>
    </row>
    <row r="187" spans="1:6">
      <c r="A187" s="74" t="s">
        <v>749</v>
      </c>
      <c r="B187" s="74">
        <v>20</v>
      </c>
      <c r="C187" s="74" t="s">
        <v>738</v>
      </c>
      <c r="D187" s="74" t="s">
        <v>256</v>
      </c>
      <c r="E187" s="770">
        <v>9</v>
      </c>
      <c r="F187" s="770">
        <v>9</v>
      </c>
    </row>
    <row r="188" spans="1:6">
      <c r="A188" s="74" t="s">
        <v>749</v>
      </c>
      <c r="B188" s="74">
        <v>21</v>
      </c>
      <c r="C188" s="74" t="s">
        <v>687</v>
      </c>
      <c r="D188" s="74" t="s">
        <v>253</v>
      </c>
      <c r="E188" s="770">
        <v>9</v>
      </c>
      <c r="F188" s="770">
        <v>9</v>
      </c>
    </row>
    <row r="189" spans="1:6">
      <c r="A189" s="74" t="s">
        <v>749</v>
      </c>
      <c r="B189" s="74">
        <v>22</v>
      </c>
      <c r="C189" s="74" t="s">
        <v>681</v>
      </c>
      <c r="D189" s="74" t="s">
        <v>282</v>
      </c>
      <c r="E189" s="770">
        <v>9</v>
      </c>
      <c r="F189" s="770">
        <v>9</v>
      </c>
    </row>
    <row r="190" spans="1:6">
      <c r="A190" s="74" t="s">
        <v>749</v>
      </c>
      <c r="B190" s="74">
        <v>23</v>
      </c>
      <c r="C190" s="74" t="s">
        <v>721</v>
      </c>
      <c r="D190" s="74" t="s">
        <v>256</v>
      </c>
      <c r="E190" s="770">
        <v>8</v>
      </c>
      <c r="F190" s="770">
        <v>8</v>
      </c>
    </row>
    <row r="191" spans="1:6">
      <c r="A191" s="74" t="s">
        <v>749</v>
      </c>
      <c r="B191" s="74">
        <v>24</v>
      </c>
      <c r="C191" s="74" t="s">
        <v>686</v>
      </c>
      <c r="D191" s="74" t="s">
        <v>274</v>
      </c>
      <c r="E191" s="770">
        <v>8</v>
      </c>
      <c r="F191" s="770">
        <v>8</v>
      </c>
    </row>
    <row r="192" spans="1:6">
      <c r="A192" s="74" t="s">
        <v>749</v>
      </c>
      <c r="B192" s="74">
        <v>25</v>
      </c>
      <c r="C192" s="74" t="s">
        <v>750</v>
      </c>
      <c r="D192" s="74" t="s">
        <v>323</v>
      </c>
      <c r="E192" s="770">
        <v>8</v>
      </c>
      <c r="F192" s="770">
        <v>8</v>
      </c>
    </row>
    <row r="193" spans="1:6">
      <c r="A193" s="74" t="s">
        <v>749</v>
      </c>
      <c r="B193" s="74">
        <v>26</v>
      </c>
      <c r="C193" s="74" t="s">
        <v>751</v>
      </c>
      <c r="D193" s="74" t="s">
        <v>256</v>
      </c>
      <c r="E193" s="770">
        <v>8</v>
      </c>
      <c r="F193" s="770">
        <v>8</v>
      </c>
    </row>
    <row r="194" spans="1:6">
      <c r="A194" s="74" t="s">
        <v>749</v>
      </c>
      <c r="B194" s="74">
        <v>27</v>
      </c>
      <c r="C194" s="74" t="s">
        <v>685</v>
      </c>
      <c r="D194" s="74" t="s">
        <v>256</v>
      </c>
      <c r="E194" s="770">
        <v>7</v>
      </c>
      <c r="F194" s="770">
        <v>7</v>
      </c>
    </row>
    <row r="195" spans="1:6">
      <c r="A195" s="74" t="s">
        <v>749</v>
      </c>
      <c r="B195" s="74">
        <v>28</v>
      </c>
      <c r="C195" s="74" t="s">
        <v>703</v>
      </c>
      <c r="D195" s="74" t="s">
        <v>256</v>
      </c>
      <c r="E195" s="770">
        <v>7</v>
      </c>
      <c r="F195" s="770">
        <v>7</v>
      </c>
    </row>
    <row r="196" spans="1:6">
      <c r="A196" s="74" t="s">
        <v>749</v>
      </c>
      <c r="B196" s="74">
        <v>29</v>
      </c>
      <c r="C196" s="74" t="s">
        <v>698</v>
      </c>
      <c r="D196" s="74" t="s">
        <v>249</v>
      </c>
      <c r="E196" s="770">
        <v>7</v>
      </c>
      <c r="F196" s="770">
        <v>7</v>
      </c>
    </row>
    <row r="197" spans="1:6">
      <c r="A197" s="74" t="s">
        <v>749</v>
      </c>
      <c r="B197" s="74">
        <v>30</v>
      </c>
      <c r="C197" s="74" t="s">
        <v>676</v>
      </c>
      <c r="D197" s="74" t="s">
        <v>253</v>
      </c>
      <c r="E197" s="770">
        <v>7</v>
      </c>
      <c r="F197" s="770">
        <v>7</v>
      </c>
    </row>
    <row r="198" spans="1:6">
      <c r="A198" s="74" t="s">
        <v>749</v>
      </c>
      <c r="B198" s="74">
        <v>31</v>
      </c>
      <c r="C198" s="74" t="s">
        <v>700</v>
      </c>
      <c r="D198" s="74" t="s">
        <v>274</v>
      </c>
      <c r="E198" s="770">
        <v>7</v>
      </c>
      <c r="F198" s="770">
        <v>7</v>
      </c>
    </row>
    <row r="199" spans="1:6">
      <c r="A199" s="74" t="s">
        <v>749</v>
      </c>
      <c r="B199" s="74">
        <v>32</v>
      </c>
      <c r="C199" s="74" t="s">
        <v>701</v>
      </c>
      <c r="D199" s="74" t="s">
        <v>689</v>
      </c>
      <c r="E199" s="770">
        <v>7</v>
      </c>
      <c r="F199" s="770">
        <v>7</v>
      </c>
    </row>
    <row r="200" spans="1:6">
      <c r="A200" s="74" t="s">
        <v>749</v>
      </c>
      <c r="B200" s="74">
        <v>33</v>
      </c>
      <c r="C200" s="74" t="s">
        <v>691</v>
      </c>
      <c r="D200" s="74" t="s">
        <v>251</v>
      </c>
      <c r="E200" s="770">
        <v>6</v>
      </c>
      <c r="F200" s="770">
        <v>6</v>
      </c>
    </row>
    <row r="201" spans="1:6">
      <c r="A201" s="74" t="s">
        <v>749</v>
      </c>
      <c r="B201" s="74">
        <v>34</v>
      </c>
      <c r="C201" s="74" t="s">
        <v>688</v>
      </c>
      <c r="D201" s="74" t="s">
        <v>689</v>
      </c>
      <c r="E201" s="770">
        <v>6</v>
      </c>
      <c r="F201" s="770">
        <v>6</v>
      </c>
    </row>
    <row r="202" spans="1:6">
      <c r="A202" s="74" t="s">
        <v>749</v>
      </c>
      <c r="B202" s="74">
        <v>35</v>
      </c>
      <c r="C202" s="74" t="s">
        <v>711</v>
      </c>
      <c r="D202" s="74" t="s">
        <v>251</v>
      </c>
      <c r="E202" s="770">
        <v>6</v>
      </c>
      <c r="F202" s="770">
        <v>6</v>
      </c>
    </row>
    <row r="203" spans="1:6">
      <c r="A203" s="74" t="s">
        <v>749</v>
      </c>
      <c r="B203" s="74">
        <v>36</v>
      </c>
      <c r="C203" s="74" t="s">
        <v>696</v>
      </c>
      <c r="D203" s="74" t="s">
        <v>323</v>
      </c>
      <c r="E203" s="770">
        <v>6</v>
      </c>
      <c r="F203" s="770">
        <v>6</v>
      </c>
    </row>
    <row r="204" spans="1:6">
      <c r="A204" s="74" t="s">
        <v>749</v>
      </c>
      <c r="B204" s="74">
        <v>37</v>
      </c>
      <c r="C204" s="74" t="s">
        <v>684</v>
      </c>
      <c r="D204" s="74" t="s">
        <v>323</v>
      </c>
      <c r="E204" s="770">
        <v>5</v>
      </c>
      <c r="F204" s="770">
        <v>5</v>
      </c>
    </row>
    <row r="205" spans="1:6">
      <c r="A205" s="74" t="s">
        <v>749</v>
      </c>
      <c r="B205" s="74">
        <v>38</v>
      </c>
      <c r="C205" s="74" t="s">
        <v>737</v>
      </c>
      <c r="D205" s="74" t="s">
        <v>249</v>
      </c>
      <c r="E205" s="770">
        <v>5</v>
      </c>
      <c r="F205" s="770">
        <v>5</v>
      </c>
    </row>
    <row r="206" spans="1:6">
      <c r="A206" s="74" t="s">
        <v>749</v>
      </c>
      <c r="B206" s="74">
        <v>39</v>
      </c>
      <c r="C206" s="74" t="s">
        <v>748</v>
      </c>
      <c r="D206" s="74" t="s">
        <v>274</v>
      </c>
      <c r="E206" s="770">
        <v>4</v>
      </c>
      <c r="F206" s="770">
        <v>4</v>
      </c>
    </row>
    <row r="207" spans="1:6">
      <c r="A207" s="74" t="s">
        <v>749</v>
      </c>
      <c r="B207" s="74">
        <v>40</v>
      </c>
      <c r="C207" s="74" t="s">
        <v>708</v>
      </c>
      <c r="D207" s="74" t="s">
        <v>251</v>
      </c>
      <c r="E207" s="770">
        <v>4</v>
      </c>
      <c r="F207" s="770">
        <v>4</v>
      </c>
    </row>
    <row r="208" spans="1:6">
      <c r="A208" s="74" t="s">
        <v>749</v>
      </c>
      <c r="B208" s="74">
        <v>41</v>
      </c>
      <c r="C208" s="74" t="s">
        <v>694</v>
      </c>
      <c r="D208" s="74" t="s">
        <v>695</v>
      </c>
      <c r="E208" s="770">
        <v>4</v>
      </c>
      <c r="F208" s="770">
        <v>4</v>
      </c>
    </row>
    <row r="209" spans="1:6">
      <c r="A209" s="74" t="s">
        <v>749</v>
      </c>
      <c r="B209" s="74">
        <v>42</v>
      </c>
      <c r="C209" s="74" t="s">
        <v>706</v>
      </c>
      <c r="D209" s="74" t="s">
        <v>256</v>
      </c>
      <c r="E209" s="770">
        <v>4</v>
      </c>
      <c r="F209" s="770">
        <v>4</v>
      </c>
    </row>
    <row r="210" spans="1:6">
      <c r="A210" s="74" t="s">
        <v>749</v>
      </c>
      <c r="B210" s="74">
        <v>43</v>
      </c>
      <c r="C210" s="74" t="s">
        <v>704</v>
      </c>
      <c r="D210" s="74" t="s">
        <v>689</v>
      </c>
      <c r="E210" s="770">
        <v>4</v>
      </c>
      <c r="F210" s="770">
        <v>4</v>
      </c>
    </row>
    <row r="211" spans="1:6">
      <c r="A211" s="74" t="s">
        <v>749</v>
      </c>
      <c r="B211" s="74">
        <v>44</v>
      </c>
      <c r="C211" s="74" t="s">
        <v>740</v>
      </c>
      <c r="D211" s="74" t="s">
        <v>264</v>
      </c>
      <c r="E211" s="770">
        <v>4</v>
      </c>
      <c r="F211" s="770">
        <v>4</v>
      </c>
    </row>
    <row r="212" spans="1:6">
      <c r="A212" s="74" t="s">
        <v>749</v>
      </c>
      <c r="B212" s="74">
        <v>45</v>
      </c>
      <c r="C212" s="74" t="s">
        <v>707</v>
      </c>
      <c r="D212" s="74" t="s">
        <v>256</v>
      </c>
      <c r="E212" s="770">
        <v>4</v>
      </c>
      <c r="F212" s="770">
        <v>4</v>
      </c>
    </row>
    <row r="213" spans="1:6">
      <c r="A213" s="74" t="s">
        <v>749</v>
      </c>
      <c r="B213" s="74">
        <v>46</v>
      </c>
      <c r="C213" s="74" t="s">
        <v>720</v>
      </c>
      <c r="D213" s="74" t="s">
        <v>251</v>
      </c>
      <c r="E213" s="770">
        <v>4</v>
      </c>
      <c r="F213" s="770">
        <v>4</v>
      </c>
    </row>
    <row r="214" spans="1:6">
      <c r="A214" s="74" t="s">
        <v>749</v>
      </c>
      <c r="B214" s="74">
        <v>47</v>
      </c>
      <c r="C214" s="74" t="s">
        <v>752</v>
      </c>
      <c r="D214" s="74" t="s">
        <v>264</v>
      </c>
      <c r="E214" s="770">
        <v>3</v>
      </c>
      <c r="F214" s="770">
        <v>3</v>
      </c>
    </row>
    <row r="215" spans="1:6">
      <c r="A215" s="74" t="s">
        <v>749</v>
      </c>
      <c r="B215" s="74">
        <v>48</v>
      </c>
      <c r="C215" s="74" t="s">
        <v>714</v>
      </c>
      <c r="D215" s="74" t="s">
        <v>251</v>
      </c>
      <c r="E215" s="770">
        <v>3</v>
      </c>
      <c r="F215" s="770">
        <v>3</v>
      </c>
    </row>
    <row r="216" spans="1:6">
      <c r="A216" s="74" t="s">
        <v>749</v>
      </c>
      <c r="B216" s="74">
        <v>49</v>
      </c>
      <c r="C216" s="74" t="s">
        <v>692</v>
      </c>
      <c r="D216" s="74" t="s">
        <v>693</v>
      </c>
      <c r="E216" s="770">
        <v>3</v>
      </c>
      <c r="F216" s="770">
        <v>3</v>
      </c>
    </row>
    <row r="217" spans="1:6">
      <c r="A217" s="74" t="s">
        <v>749</v>
      </c>
      <c r="B217" s="74">
        <v>50</v>
      </c>
      <c r="C217" s="74" t="s">
        <v>719</v>
      </c>
      <c r="D217" s="74" t="s">
        <v>689</v>
      </c>
      <c r="E217" s="770">
        <v>3</v>
      </c>
      <c r="F217" s="770">
        <v>3</v>
      </c>
    </row>
    <row r="218" spans="1:6">
      <c r="A218" s="74" t="s">
        <v>749</v>
      </c>
      <c r="B218" s="74">
        <v>51</v>
      </c>
      <c r="C218" s="74" t="s">
        <v>745</v>
      </c>
      <c r="D218" s="74" t="s">
        <v>275</v>
      </c>
      <c r="E218" s="770">
        <v>3</v>
      </c>
      <c r="F218" s="770">
        <v>3</v>
      </c>
    </row>
    <row r="219" spans="1:6">
      <c r="A219" s="74" t="s">
        <v>749</v>
      </c>
      <c r="B219" s="74">
        <v>52</v>
      </c>
      <c r="C219" s="74" t="s">
        <v>710</v>
      </c>
      <c r="D219" s="74" t="s">
        <v>249</v>
      </c>
      <c r="E219" s="770">
        <v>3</v>
      </c>
      <c r="F219" s="770">
        <v>3</v>
      </c>
    </row>
    <row r="220" spans="1:6">
      <c r="A220" s="74" t="s">
        <v>749</v>
      </c>
      <c r="B220" s="74">
        <v>53</v>
      </c>
      <c r="C220" s="74" t="s">
        <v>702</v>
      </c>
      <c r="D220" s="74" t="s">
        <v>251</v>
      </c>
      <c r="E220" s="770">
        <v>2</v>
      </c>
      <c r="F220" s="770">
        <v>2</v>
      </c>
    </row>
    <row r="221" spans="1:6">
      <c r="A221" s="74" t="s">
        <v>749</v>
      </c>
      <c r="B221" s="74">
        <v>54</v>
      </c>
      <c r="C221" s="74" t="s">
        <v>699</v>
      </c>
      <c r="D221" s="74" t="s">
        <v>249</v>
      </c>
      <c r="E221" s="770">
        <v>2</v>
      </c>
      <c r="F221" s="770">
        <v>2</v>
      </c>
    </row>
    <row r="222" spans="1:6">
      <c r="A222" s="74" t="s">
        <v>749</v>
      </c>
      <c r="B222" s="74">
        <v>55</v>
      </c>
      <c r="C222" s="74" t="s">
        <v>715</v>
      </c>
      <c r="D222" s="74" t="s">
        <v>693</v>
      </c>
      <c r="E222" s="770">
        <v>2</v>
      </c>
      <c r="F222" s="770">
        <v>2</v>
      </c>
    </row>
    <row r="223" spans="1:6">
      <c r="A223" s="74" t="s">
        <v>749</v>
      </c>
      <c r="B223" s="74">
        <v>56</v>
      </c>
      <c r="C223" s="74" t="s">
        <v>683</v>
      </c>
      <c r="D223" s="74" t="s">
        <v>274</v>
      </c>
      <c r="E223" s="770">
        <v>2</v>
      </c>
      <c r="F223" s="770">
        <v>2</v>
      </c>
    </row>
    <row r="224" spans="1:6">
      <c r="A224" s="74" t="s">
        <v>749</v>
      </c>
      <c r="B224" s="74">
        <v>57</v>
      </c>
      <c r="C224" s="74" t="s">
        <v>753</v>
      </c>
      <c r="D224" s="74" t="s">
        <v>275</v>
      </c>
      <c r="E224" s="770">
        <v>2</v>
      </c>
      <c r="F224" s="770">
        <v>2</v>
      </c>
    </row>
    <row r="225" spans="1:6">
      <c r="A225" s="74" t="s">
        <v>749</v>
      </c>
      <c r="B225" s="74">
        <v>58</v>
      </c>
      <c r="C225" s="74" t="s">
        <v>709</v>
      </c>
      <c r="D225" s="74" t="s">
        <v>276</v>
      </c>
      <c r="E225" s="770">
        <v>2</v>
      </c>
      <c r="F225" s="770">
        <v>2</v>
      </c>
    </row>
    <row r="226" spans="1:6">
      <c r="A226" s="74" t="s">
        <v>749</v>
      </c>
      <c r="B226" s="74">
        <v>59</v>
      </c>
      <c r="C226" s="74" t="s">
        <v>690</v>
      </c>
      <c r="D226" s="74" t="s">
        <v>275</v>
      </c>
      <c r="E226" s="770">
        <v>2</v>
      </c>
      <c r="F226" s="770">
        <v>2</v>
      </c>
    </row>
    <row r="227" spans="1:6">
      <c r="A227" s="74" t="s">
        <v>749</v>
      </c>
      <c r="B227" s="74">
        <v>60</v>
      </c>
      <c r="C227" s="74" t="s">
        <v>746</v>
      </c>
      <c r="D227" s="74" t="s">
        <v>251</v>
      </c>
      <c r="E227" s="770">
        <v>2</v>
      </c>
      <c r="F227" s="770">
        <v>2</v>
      </c>
    </row>
    <row r="228" spans="1:6">
      <c r="A228" s="74" t="s">
        <v>749</v>
      </c>
      <c r="B228" s="74">
        <v>61</v>
      </c>
      <c r="C228" s="74" t="s">
        <v>754</v>
      </c>
      <c r="D228" s="74" t="s">
        <v>713</v>
      </c>
      <c r="E228" s="770">
        <v>1</v>
      </c>
      <c r="F228" s="770">
        <v>1</v>
      </c>
    </row>
    <row r="229" spans="1:6">
      <c r="A229" s="74" t="s">
        <v>749</v>
      </c>
      <c r="B229" s="74">
        <v>62</v>
      </c>
      <c r="C229" s="74" t="s">
        <v>755</v>
      </c>
      <c r="D229" s="74" t="s">
        <v>251</v>
      </c>
      <c r="E229" s="770">
        <v>1</v>
      </c>
      <c r="F229" s="770">
        <v>1</v>
      </c>
    </row>
    <row r="230" spans="1:6">
      <c r="A230" s="74" t="s">
        <v>749</v>
      </c>
      <c r="B230" s="74">
        <v>63</v>
      </c>
      <c r="C230" s="74" t="s">
        <v>705</v>
      </c>
      <c r="D230" s="74" t="s">
        <v>274</v>
      </c>
      <c r="E230" s="770">
        <v>1</v>
      </c>
      <c r="F230" s="770">
        <v>1</v>
      </c>
    </row>
    <row r="231" spans="1:6">
      <c r="A231" s="74" t="s">
        <v>749</v>
      </c>
      <c r="B231" s="74">
        <v>64</v>
      </c>
      <c r="C231" s="74" t="s">
        <v>728</v>
      </c>
      <c r="D231" s="74" t="s">
        <v>695</v>
      </c>
      <c r="E231" s="770">
        <v>1</v>
      </c>
      <c r="F231" s="770">
        <v>1</v>
      </c>
    </row>
    <row r="232" spans="1:6">
      <c r="A232" s="74" t="s">
        <v>749</v>
      </c>
      <c r="B232" s="74">
        <v>65</v>
      </c>
      <c r="C232" s="74" t="s">
        <v>723</v>
      </c>
      <c r="D232" s="74" t="s">
        <v>713</v>
      </c>
      <c r="E232" s="770">
        <v>1</v>
      </c>
      <c r="F232" s="770">
        <v>1</v>
      </c>
    </row>
    <row r="233" spans="1:6">
      <c r="A233" s="74" t="s">
        <v>749</v>
      </c>
      <c r="B233" s="74">
        <v>66</v>
      </c>
      <c r="C233" s="74" t="s">
        <v>726</v>
      </c>
      <c r="D233" s="74" t="s">
        <v>323</v>
      </c>
      <c r="E233" s="770">
        <v>1</v>
      </c>
      <c r="F233" s="770">
        <v>1</v>
      </c>
    </row>
    <row r="234" spans="1:6">
      <c r="A234" s="74" t="s">
        <v>749</v>
      </c>
      <c r="B234" s="74">
        <v>67</v>
      </c>
      <c r="C234" s="74" t="s">
        <v>717</v>
      </c>
      <c r="D234" s="74" t="s">
        <v>249</v>
      </c>
      <c r="E234" s="770">
        <v>1</v>
      </c>
      <c r="F234" s="770">
        <v>1</v>
      </c>
    </row>
    <row r="235" spans="1:6">
      <c r="A235" s="74" t="s">
        <v>749</v>
      </c>
      <c r="B235" s="74">
        <v>68</v>
      </c>
      <c r="C235" s="74" t="s">
        <v>756</v>
      </c>
      <c r="D235" s="74" t="s">
        <v>251</v>
      </c>
      <c r="E235" s="770">
        <v>1</v>
      </c>
      <c r="F235" s="770">
        <v>1</v>
      </c>
    </row>
    <row r="236" spans="1:6">
      <c r="A236" s="74" t="s">
        <v>749</v>
      </c>
      <c r="B236" s="74">
        <v>69</v>
      </c>
      <c r="C236" s="74" t="s">
        <v>747</v>
      </c>
      <c r="D236" s="74" t="s">
        <v>256</v>
      </c>
      <c r="E236" s="770">
        <v>1</v>
      </c>
      <c r="F236" s="770">
        <v>1</v>
      </c>
    </row>
    <row r="237" spans="1:6">
      <c r="A237" s="74" t="s">
        <v>749</v>
      </c>
      <c r="B237" s="74">
        <v>70</v>
      </c>
      <c r="C237" s="74" t="s">
        <v>743</v>
      </c>
      <c r="D237" s="74" t="s">
        <v>251</v>
      </c>
      <c r="E237" s="770">
        <v>1</v>
      </c>
      <c r="F237" s="770">
        <v>1</v>
      </c>
    </row>
    <row r="238" spans="1:6">
      <c r="A238" s="74" t="s">
        <v>749</v>
      </c>
      <c r="B238" s="74">
        <v>71</v>
      </c>
      <c r="C238" s="74" t="s">
        <v>722</v>
      </c>
      <c r="D238" s="74" t="s">
        <v>251</v>
      </c>
      <c r="E238" s="770">
        <v>1</v>
      </c>
      <c r="F238" s="770">
        <v>1</v>
      </c>
    </row>
    <row r="239" spans="1:6">
      <c r="A239" s="74" t="s">
        <v>749</v>
      </c>
      <c r="B239" s="74">
        <v>72</v>
      </c>
      <c r="C239" s="74" t="s">
        <v>739</v>
      </c>
      <c r="D239" s="74" t="s">
        <v>730</v>
      </c>
      <c r="E239" s="770">
        <v>1</v>
      </c>
      <c r="F239" s="770">
        <v>1</v>
      </c>
    </row>
    <row r="240" spans="1:6">
      <c r="A240" s="74" t="s">
        <v>749</v>
      </c>
      <c r="B240" s="74">
        <v>73</v>
      </c>
      <c r="C240" s="74" t="s">
        <v>735</v>
      </c>
      <c r="D240" s="74" t="s">
        <v>730</v>
      </c>
      <c r="E240" s="770">
        <v>1</v>
      </c>
      <c r="F240" s="770">
        <v>1</v>
      </c>
    </row>
    <row r="241" spans="1:6">
      <c r="A241" s="74" t="s">
        <v>749</v>
      </c>
      <c r="B241" s="74">
        <v>74</v>
      </c>
      <c r="C241" s="74" t="s">
        <v>757</v>
      </c>
      <c r="D241" s="74" t="s">
        <v>251</v>
      </c>
      <c r="E241" s="770">
        <v>1</v>
      </c>
      <c r="F241" s="770">
        <v>1</v>
      </c>
    </row>
    <row r="242" spans="1:6">
      <c r="A242" s="74" t="s">
        <v>789</v>
      </c>
      <c r="B242" s="74">
        <v>1</v>
      </c>
      <c r="C242" s="74" t="s">
        <v>259</v>
      </c>
      <c r="D242" s="74" t="s">
        <v>249</v>
      </c>
      <c r="E242" s="770">
        <v>84</v>
      </c>
      <c r="F242" s="770">
        <v>84</v>
      </c>
    </row>
    <row r="243" spans="1:6">
      <c r="A243" s="74" t="s">
        <v>789</v>
      </c>
      <c r="B243" s="74">
        <v>2</v>
      </c>
      <c r="C243" s="74" t="s">
        <v>248</v>
      </c>
      <c r="D243" s="74" t="s">
        <v>249</v>
      </c>
      <c r="E243" s="770">
        <v>82</v>
      </c>
      <c r="F243" s="770">
        <v>82</v>
      </c>
    </row>
    <row r="244" spans="1:6">
      <c r="A244" s="74" t="s">
        <v>789</v>
      </c>
      <c r="B244" s="74">
        <v>3</v>
      </c>
      <c r="C244" s="74" t="s">
        <v>790</v>
      </c>
      <c r="D244" s="74" t="s">
        <v>264</v>
      </c>
      <c r="E244" s="770">
        <v>72</v>
      </c>
      <c r="F244" s="770">
        <v>72</v>
      </c>
    </row>
    <row r="245" spans="1:6">
      <c r="A245" s="74" t="s">
        <v>789</v>
      </c>
      <c r="B245" s="74">
        <v>4</v>
      </c>
      <c r="C245" s="74" t="s">
        <v>261</v>
      </c>
      <c r="D245" s="74" t="s">
        <v>256</v>
      </c>
      <c r="E245" s="770">
        <v>62</v>
      </c>
      <c r="F245" s="770">
        <v>62</v>
      </c>
    </row>
    <row r="246" spans="1:6">
      <c r="A246" s="74" t="s">
        <v>789</v>
      </c>
      <c r="B246" s="74">
        <v>5</v>
      </c>
      <c r="C246" s="74" t="s">
        <v>255</v>
      </c>
      <c r="D246" s="74" t="s">
        <v>256</v>
      </c>
      <c r="E246" s="770">
        <v>51</v>
      </c>
      <c r="F246" s="770">
        <v>51</v>
      </c>
    </row>
    <row r="247" spans="1:6">
      <c r="A247" s="74" t="s">
        <v>789</v>
      </c>
      <c r="B247" s="74">
        <v>6</v>
      </c>
      <c r="C247" s="74" t="s">
        <v>250</v>
      </c>
      <c r="D247" s="74" t="s">
        <v>251</v>
      </c>
      <c r="E247" s="770">
        <v>44</v>
      </c>
      <c r="F247" s="770">
        <v>44</v>
      </c>
    </row>
    <row r="248" spans="1:6">
      <c r="A248" s="74" t="s">
        <v>789</v>
      </c>
      <c r="B248" s="74">
        <v>7</v>
      </c>
      <c r="C248" s="74" t="s">
        <v>680</v>
      </c>
      <c r="D248" s="74" t="s">
        <v>251</v>
      </c>
      <c r="E248" s="770">
        <v>31</v>
      </c>
      <c r="F248" s="770">
        <v>31</v>
      </c>
    </row>
    <row r="249" spans="1:6">
      <c r="A249" s="74" t="s">
        <v>789</v>
      </c>
      <c r="B249" s="74">
        <v>8</v>
      </c>
      <c r="C249" s="74" t="s">
        <v>791</v>
      </c>
      <c r="D249" s="74" t="s">
        <v>256</v>
      </c>
      <c r="E249" s="770">
        <v>29</v>
      </c>
      <c r="F249" s="770">
        <v>29</v>
      </c>
    </row>
    <row r="250" spans="1:6">
      <c r="A250" s="74" t="s">
        <v>789</v>
      </c>
      <c r="B250" s="74">
        <v>9</v>
      </c>
      <c r="C250" s="74" t="s">
        <v>679</v>
      </c>
      <c r="D250" s="74" t="s">
        <v>256</v>
      </c>
      <c r="E250" s="770">
        <v>27</v>
      </c>
      <c r="F250" s="770">
        <v>27</v>
      </c>
    </row>
    <row r="251" spans="1:6">
      <c r="A251" s="74" t="s">
        <v>789</v>
      </c>
      <c r="B251" s="74">
        <v>10</v>
      </c>
      <c r="C251" s="74" t="s">
        <v>262</v>
      </c>
      <c r="D251" s="74" t="s">
        <v>256</v>
      </c>
      <c r="E251" s="770">
        <v>23</v>
      </c>
      <c r="F251" s="770">
        <v>23</v>
      </c>
    </row>
    <row r="252" spans="1:6">
      <c r="A252" s="74" t="s">
        <v>789</v>
      </c>
      <c r="B252" s="74">
        <v>11</v>
      </c>
      <c r="C252" s="74" t="s">
        <v>675</v>
      </c>
      <c r="D252" s="74" t="s">
        <v>256</v>
      </c>
      <c r="E252" s="770">
        <v>20</v>
      </c>
      <c r="F252" s="770">
        <v>20</v>
      </c>
    </row>
    <row r="253" spans="1:6">
      <c r="A253" s="74" t="s">
        <v>789</v>
      </c>
      <c r="B253" s="74">
        <v>12</v>
      </c>
      <c r="C253" s="74" t="s">
        <v>673</v>
      </c>
      <c r="D253" s="74" t="s">
        <v>251</v>
      </c>
      <c r="E253" s="770">
        <v>19</v>
      </c>
      <c r="F253" s="770">
        <v>19</v>
      </c>
    </row>
    <row r="254" spans="1:6">
      <c r="A254" s="74" t="s">
        <v>789</v>
      </c>
      <c r="B254" s="74">
        <v>13</v>
      </c>
      <c r="C254" s="74" t="s">
        <v>678</v>
      </c>
      <c r="D254" s="74" t="s">
        <v>256</v>
      </c>
      <c r="E254" s="770">
        <v>17</v>
      </c>
      <c r="F254" s="770">
        <v>17</v>
      </c>
    </row>
    <row r="255" spans="1:6">
      <c r="A255" s="74" t="s">
        <v>789</v>
      </c>
      <c r="B255" s="74">
        <v>14</v>
      </c>
      <c r="C255" s="74" t="s">
        <v>792</v>
      </c>
      <c r="D255" s="74" t="s">
        <v>256</v>
      </c>
      <c r="E255" s="770">
        <v>16</v>
      </c>
      <c r="F255" s="770">
        <v>16</v>
      </c>
    </row>
    <row r="256" spans="1:6">
      <c r="A256" s="74" t="s">
        <v>789</v>
      </c>
      <c r="B256" s="74">
        <v>15</v>
      </c>
      <c r="C256" s="74" t="s">
        <v>682</v>
      </c>
      <c r="D256" s="74" t="s">
        <v>275</v>
      </c>
      <c r="E256" s="770">
        <v>16</v>
      </c>
      <c r="F256" s="770">
        <v>16</v>
      </c>
    </row>
    <row r="257" spans="1:6">
      <c r="A257" s="74" t="s">
        <v>789</v>
      </c>
      <c r="B257" s="74">
        <v>16</v>
      </c>
      <c r="C257" s="74" t="s">
        <v>681</v>
      </c>
      <c r="D257" s="74" t="s">
        <v>282</v>
      </c>
      <c r="E257" s="770">
        <v>16</v>
      </c>
      <c r="F257" s="770">
        <v>16</v>
      </c>
    </row>
    <row r="258" spans="1:6">
      <c r="A258" s="74" t="s">
        <v>789</v>
      </c>
      <c r="B258" s="74">
        <v>17</v>
      </c>
      <c r="C258" s="74" t="s">
        <v>707</v>
      </c>
      <c r="D258" s="74" t="s">
        <v>256</v>
      </c>
      <c r="E258" s="770">
        <v>15</v>
      </c>
      <c r="F258" s="770">
        <v>15</v>
      </c>
    </row>
    <row r="259" spans="1:6">
      <c r="A259" s="74" t="s">
        <v>789</v>
      </c>
      <c r="B259" s="74">
        <v>18</v>
      </c>
      <c r="C259" s="74" t="s">
        <v>677</v>
      </c>
      <c r="D259" s="74" t="s">
        <v>249</v>
      </c>
      <c r="E259" s="770">
        <v>15</v>
      </c>
      <c r="F259" s="770">
        <v>15</v>
      </c>
    </row>
    <row r="260" spans="1:6">
      <c r="A260" s="74" t="s">
        <v>789</v>
      </c>
      <c r="B260" s="74">
        <v>19</v>
      </c>
      <c r="C260" s="74" t="s">
        <v>674</v>
      </c>
      <c r="D260" s="74" t="s">
        <v>275</v>
      </c>
      <c r="E260" s="770">
        <v>15</v>
      </c>
      <c r="F260" s="770">
        <v>15</v>
      </c>
    </row>
    <row r="261" spans="1:6">
      <c r="A261" s="74" t="s">
        <v>789</v>
      </c>
      <c r="B261" s="74">
        <v>20</v>
      </c>
      <c r="C261" s="74" t="s">
        <v>254</v>
      </c>
      <c r="D261" s="74" t="s">
        <v>254</v>
      </c>
      <c r="E261" s="770">
        <v>15</v>
      </c>
      <c r="F261" s="770">
        <v>15</v>
      </c>
    </row>
    <row r="262" spans="1:6">
      <c r="A262" s="74" t="s">
        <v>789</v>
      </c>
      <c r="B262" s="74">
        <v>21</v>
      </c>
      <c r="C262" s="74" t="s">
        <v>698</v>
      </c>
      <c r="D262" s="74" t="s">
        <v>249</v>
      </c>
      <c r="E262" s="770">
        <v>14</v>
      </c>
      <c r="F262" s="770">
        <v>14</v>
      </c>
    </row>
    <row r="263" spans="1:6">
      <c r="A263" s="74" t="s">
        <v>789</v>
      </c>
      <c r="B263" s="74">
        <v>22</v>
      </c>
      <c r="C263" s="74" t="s">
        <v>676</v>
      </c>
      <c r="D263" s="74" t="s">
        <v>253</v>
      </c>
      <c r="E263" s="770">
        <v>14</v>
      </c>
      <c r="F263" s="770">
        <v>14</v>
      </c>
    </row>
    <row r="264" spans="1:6">
      <c r="A264" s="74" t="s">
        <v>789</v>
      </c>
      <c r="B264" s="74">
        <v>23</v>
      </c>
      <c r="C264" s="74" t="s">
        <v>780</v>
      </c>
      <c r="D264" s="74" t="s">
        <v>268</v>
      </c>
      <c r="E264" s="770">
        <v>13</v>
      </c>
      <c r="F264" s="770">
        <v>13</v>
      </c>
    </row>
    <row r="265" spans="1:6">
      <c r="A265" s="74" t="s">
        <v>789</v>
      </c>
      <c r="B265" s="74">
        <v>24</v>
      </c>
      <c r="C265" s="74" t="s">
        <v>708</v>
      </c>
      <c r="D265" s="74" t="s">
        <v>251</v>
      </c>
      <c r="E265" s="770">
        <v>13</v>
      </c>
      <c r="F265" s="770">
        <v>13</v>
      </c>
    </row>
    <row r="266" spans="1:6">
      <c r="A266" s="74" t="s">
        <v>789</v>
      </c>
      <c r="B266" s="74">
        <v>25</v>
      </c>
      <c r="C266" s="74" t="s">
        <v>685</v>
      </c>
      <c r="D266" s="74" t="s">
        <v>256</v>
      </c>
      <c r="E266" s="770">
        <v>13</v>
      </c>
      <c r="F266" s="770">
        <v>13</v>
      </c>
    </row>
    <row r="267" spans="1:6">
      <c r="A267" s="74" t="s">
        <v>789</v>
      </c>
      <c r="B267" s="74">
        <v>26</v>
      </c>
      <c r="C267" s="74" t="s">
        <v>700</v>
      </c>
      <c r="D267" s="74" t="s">
        <v>274</v>
      </c>
      <c r="E267" s="770">
        <v>12</v>
      </c>
      <c r="F267" s="770">
        <v>12</v>
      </c>
    </row>
    <row r="268" spans="1:6">
      <c r="A268" s="74" t="s">
        <v>789</v>
      </c>
      <c r="B268" s="74">
        <v>27</v>
      </c>
      <c r="C268" s="74" t="s">
        <v>687</v>
      </c>
      <c r="D268" s="74" t="s">
        <v>253</v>
      </c>
      <c r="E268" s="770">
        <v>12</v>
      </c>
      <c r="F268" s="770">
        <v>12</v>
      </c>
    </row>
    <row r="269" spans="1:6">
      <c r="A269" s="74" t="s">
        <v>789</v>
      </c>
      <c r="B269" s="74">
        <v>28</v>
      </c>
      <c r="C269" s="74" t="s">
        <v>793</v>
      </c>
      <c r="D269" s="74" t="s">
        <v>695</v>
      </c>
      <c r="E269" s="770">
        <v>11</v>
      </c>
      <c r="F269" s="770">
        <v>11</v>
      </c>
    </row>
    <row r="270" spans="1:6">
      <c r="A270" s="74" t="s">
        <v>789</v>
      </c>
      <c r="B270" s="74">
        <v>29</v>
      </c>
      <c r="C270" s="74" t="s">
        <v>697</v>
      </c>
      <c r="D270" s="74" t="s">
        <v>256</v>
      </c>
      <c r="E270" s="770">
        <v>11</v>
      </c>
      <c r="F270" s="770">
        <v>11</v>
      </c>
    </row>
    <row r="271" spans="1:6">
      <c r="A271" s="74" t="s">
        <v>789</v>
      </c>
      <c r="B271" s="74">
        <v>30</v>
      </c>
      <c r="C271" s="74" t="s">
        <v>738</v>
      </c>
      <c r="D271" s="74" t="s">
        <v>256</v>
      </c>
      <c r="E271" s="770">
        <v>11</v>
      </c>
      <c r="F271" s="770">
        <v>11</v>
      </c>
    </row>
    <row r="272" spans="1:6">
      <c r="A272" s="74" t="s">
        <v>789</v>
      </c>
      <c r="B272" s="74">
        <v>31</v>
      </c>
      <c r="C272" s="74" t="s">
        <v>704</v>
      </c>
      <c r="D272" s="74" t="s">
        <v>689</v>
      </c>
      <c r="E272" s="770">
        <v>10</v>
      </c>
      <c r="F272" s="770">
        <v>10</v>
      </c>
    </row>
    <row r="273" spans="1:6">
      <c r="A273" s="74" t="s">
        <v>789</v>
      </c>
      <c r="B273" s="74">
        <v>32</v>
      </c>
      <c r="C273" s="74" t="s">
        <v>703</v>
      </c>
      <c r="D273" s="74" t="s">
        <v>256</v>
      </c>
      <c r="E273" s="770">
        <v>9</v>
      </c>
      <c r="F273" s="770">
        <v>9</v>
      </c>
    </row>
    <row r="274" spans="1:6">
      <c r="A274" s="74" t="s">
        <v>789</v>
      </c>
      <c r="B274" s="74">
        <v>33</v>
      </c>
      <c r="C274" s="74" t="s">
        <v>683</v>
      </c>
      <c r="D274" s="74" t="s">
        <v>274</v>
      </c>
      <c r="E274" s="770">
        <v>9</v>
      </c>
      <c r="F274" s="770">
        <v>9</v>
      </c>
    </row>
    <row r="275" spans="1:6">
      <c r="A275" s="74" t="s">
        <v>789</v>
      </c>
      <c r="B275" s="74">
        <v>34</v>
      </c>
      <c r="C275" s="74" t="s">
        <v>691</v>
      </c>
      <c r="D275" s="74" t="s">
        <v>251</v>
      </c>
      <c r="E275" s="770">
        <v>9</v>
      </c>
      <c r="F275" s="770">
        <v>9</v>
      </c>
    </row>
    <row r="276" spans="1:6">
      <c r="A276" s="74" t="s">
        <v>789</v>
      </c>
      <c r="B276" s="74">
        <v>35</v>
      </c>
      <c r="C276" s="74" t="s">
        <v>763</v>
      </c>
      <c r="D276" s="74" t="s">
        <v>764</v>
      </c>
      <c r="E276" s="770">
        <v>8</v>
      </c>
      <c r="F276" s="770">
        <v>8</v>
      </c>
    </row>
    <row r="277" spans="1:6">
      <c r="A277" s="74" t="s">
        <v>789</v>
      </c>
      <c r="B277" s="74">
        <v>36</v>
      </c>
      <c r="C277" s="74" t="s">
        <v>706</v>
      </c>
      <c r="D277" s="74" t="s">
        <v>256</v>
      </c>
      <c r="E277" s="770">
        <v>8</v>
      </c>
      <c r="F277" s="770">
        <v>8</v>
      </c>
    </row>
    <row r="278" spans="1:6">
      <c r="A278" s="74" t="s">
        <v>789</v>
      </c>
      <c r="B278" s="74">
        <v>37</v>
      </c>
      <c r="C278" s="74" t="s">
        <v>794</v>
      </c>
      <c r="D278" s="74" t="s">
        <v>256</v>
      </c>
      <c r="E278" s="770">
        <v>7</v>
      </c>
      <c r="F278" s="770">
        <v>7</v>
      </c>
    </row>
    <row r="279" spans="1:6">
      <c r="A279" s="74" t="s">
        <v>789</v>
      </c>
      <c r="B279" s="74">
        <v>38</v>
      </c>
      <c r="C279" s="74" t="s">
        <v>742</v>
      </c>
      <c r="D279" s="74" t="s">
        <v>251</v>
      </c>
      <c r="E279" s="770">
        <v>7</v>
      </c>
      <c r="F279" s="770">
        <v>7</v>
      </c>
    </row>
    <row r="280" spans="1:6">
      <c r="A280" s="74" t="s">
        <v>789</v>
      </c>
      <c r="B280" s="74">
        <v>39</v>
      </c>
      <c r="C280" s="74" t="s">
        <v>688</v>
      </c>
      <c r="D280" s="74" t="s">
        <v>689</v>
      </c>
      <c r="E280" s="770">
        <v>7</v>
      </c>
      <c r="F280" s="770">
        <v>7</v>
      </c>
    </row>
    <row r="281" spans="1:6">
      <c r="A281" s="74" t="s">
        <v>789</v>
      </c>
      <c r="B281" s="74">
        <v>40</v>
      </c>
      <c r="C281" s="74" t="s">
        <v>684</v>
      </c>
      <c r="D281" s="74" t="s">
        <v>323</v>
      </c>
      <c r="E281" s="770">
        <v>7</v>
      </c>
      <c r="F281" s="770">
        <v>7</v>
      </c>
    </row>
    <row r="282" spans="1:6">
      <c r="A282" s="74" t="s">
        <v>789</v>
      </c>
      <c r="B282" s="74">
        <v>41</v>
      </c>
      <c r="C282" s="74" t="s">
        <v>795</v>
      </c>
      <c r="D282" s="74" t="s">
        <v>254</v>
      </c>
      <c r="E282" s="770">
        <v>7</v>
      </c>
      <c r="F282" s="770">
        <v>7</v>
      </c>
    </row>
    <row r="283" spans="1:6">
      <c r="A283" s="74" t="s">
        <v>789</v>
      </c>
      <c r="B283" s="74">
        <v>42</v>
      </c>
      <c r="C283" s="74" t="s">
        <v>781</v>
      </c>
      <c r="D283" s="74" t="s">
        <v>764</v>
      </c>
      <c r="E283" s="770">
        <v>7</v>
      </c>
      <c r="F283" s="770">
        <v>7</v>
      </c>
    </row>
    <row r="284" spans="1:6">
      <c r="A284" s="74" t="s">
        <v>789</v>
      </c>
      <c r="B284" s="74">
        <v>43</v>
      </c>
      <c r="C284" s="74" t="s">
        <v>751</v>
      </c>
      <c r="D284" s="74" t="s">
        <v>256</v>
      </c>
      <c r="E284" s="770">
        <v>6</v>
      </c>
      <c r="F284" s="770">
        <v>6</v>
      </c>
    </row>
    <row r="285" spans="1:6">
      <c r="A285" s="74" t="s">
        <v>789</v>
      </c>
      <c r="B285" s="74">
        <v>44</v>
      </c>
      <c r="C285" s="74" t="s">
        <v>743</v>
      </c>
      <c r="D285" s="74" t="s">
        <v>251</v>
      </c>
      <c r="E285" s="770">
        <v>6</v>
      </c>
      <c r="F285" s="770">
        <v>6</v>
      </c>
    </row>
    <row r="286" spans="1:6">
      <c r="A286" s="74" t="s">
        <v>789</v>
      </c>
      <c r="B286" s="74">
        <v>45</v>
      </c>
      <c r="C286" s="74" t="s">
        <v>727</v>
      </c>
      <c r="D286" s="74" t="s">
        <v>275</v>
      </c>
      <c r="E286" s="770">
        <v>6</v>
      </c>
      <c r="F286" s="770">
        <v>6</v>
      </c>
    </row>
    <row r="287" spans="1:6">
      <c r="A287" s="74" t="s">
        <v>789</v>
      </c>
      <c r="B287" s="74">
        <v>46</v>
      </c>
      <c r="C287" s="74" t="s">
        <v>720</v>
      </c>
      <c r="D287" s="74" t="s">
        <v>251</v>
      </c>
      <c r="E287" s="770">
        <v>5</v>
      </c>
      <c r="F287" s="770">
        <v>5</v>
      </c>
    </row>
    <row r="288" spans="1:6">
      <c r="A288" s="74" t="s">
        <v>789</v>
      </c>
      <c r="B288" s="74">
        <v>47</v>
      </c>
      <c r="C288" s="74" t="s">
        <v>796</v>
      </c>
      <c r="D288" s="74" t="s">
        <v>282</v>
      </c>
      <c r="E288" s="770">
        <v>5</v>
      </c>
      <c r="F288" s="770">
        <v>5</v>
      </c>
    </row>
    <row r="289" spans="1:6">
      <c r="A289" s="74" t="s">
        <v>789</v>
      </c>
      <c r="B289" s="74">
        <v>48</v>
      </c>
      <c r="C289" s="74" t="s">
        <v>671</v>
      </c>
      <c r="D289" s="74" t="s">
        <v>276</v>
      </c>
      <c r="E289" s="770">
        <v>5</v>
      </c>
      <c r="F289" s="770">
        <v>5</v>
      </c>
    </row>
    <row r="290" spans="1:6">
      <c r="A290" s="74" t="s">
        <v>789</v>
      </c>
      <c r="B290" s="74">
        <v>49</v>
      </c>
      <c r="C290" s="74" t="s">
        <v>702</v>
      </c>
      <c r="D290" s="74" t="s">
        <v>251</v>
      </c>
      <c r="E290" s="770">
        <v>5</v>
      </c>
      <c r="F290" s="770">
        <v>5</v>
      </c>
    </row>
    <row r="291" spans="1:6">
      <c r="A291" s="74" t="s">
        <v>789</v>
      </c>
      <c r="B291" s="74">
        <v>50</v>
      </c>
      <c r="C291" s="74" t="s">
        <v>694</v>
      </c>
      <c r="D291" s="74" t="s">
        <v>695</v>
      </c>
      <c r="E291" s="770">
        <v>5</v>
      </c>
      <c r="F291" s="770">
        <v>5</v>
      </c>
    </row>
    <row r="292" spans="1:6">
      <c r="A292" s="74" t="s">
        <v>789</v>
      </c>
      <c r="B292" s="74">
        <v>51</v>
      </c>
      <c r="C292" s="74" t="s">
        <v>716</v>
      </c>
      <c r="D292" s="74" t="s">
        <v>251</v>
      </c>
      <c r="E292" s="770">
        <v>5</v>
      </c>
      <c r="F292" s="770">
        <v>5</v>
      </c>
    </row>
    <row r="293" spans="1:6">
      <c r="A293" s="74" t="s">
        <v>789</v>
      </c>
      <c r="B293" s="74">
        <v>52</v>
      </c>
      <c r="C293" s="74" t="s">
        <v>755</v>
      </c>
      <c r="D293" s="74" t="s">
        <v>251</v>
      </c>
      <c r="E293" s="770">
        <v>4</v>
      </c>
      <c r="F293" s="770">
        <v>4</v>
      </c>
    </row>
    <row r="294" spans="1:6">
      <c r="A294" s="74" t="s">
        <v>789</v>
      </c>
      <c r="B294" s="74">
        <v>53</v>
      </c>
      <c r="C294" s="74" t="s">
        <v>746</v>
      </c>
      <c r="D294" s="74" t="s">
        <v>251</v>
      </c>
      <c r="E294" s="770">
        <v>4</v>
      </c>
      <c r="F294" s="770">
        <v>4</v>
      </c>
    </row>
    <row r="295" spans="1:6">
      <c r="A295" s="74" t="s">
        <v>789</v>
      </c>
      <c r="B295" s="74">
        <v>54</v>
      </c>
      <c r="C295" s="74" t="s">
        <v>792</v>
      </c>
      <c r="D295" s="74" t="s">
        <v>256</v>
      </c>
      <c r="E295" s="770">
        <v>4</v>
      </c>
      <c r="F295" s="770">
        <v>4</v>
      </c>
    </row>
    <row r="296" spans="1:6">
      <c r="A296" s="74" t="s">
        <v>789</v>
      </c>
      <c r="B296" s="74">
        <v>55</v>
      </c>
      <c r="C296" s="74" t="s">
        <v>756</v>
      </c>
      <c r="D296" s="74" t="s">
        <v>251</v>
      </c>
      <c r="E296" s="770">
        <v>4</v>
      </c>
      <c r="F296" s="770">
        <v>4</v>
      </c>
    </row>
    <row r="297" spans="1:6">
      <c r="A297" s="74" t="s">
        <v>789</v>
      </c>
      <c r="B297" s="74">
        <v>56</v>
      </c>
      <c r="C297" s="74" t="s">
        <v>739</v>
      </c>
      <c r="D297" s="74" t="s">
        <v>730</v>
      </c>
      <c r="E297" s="770">
        <v>4</v>
      </c>
      <c r="F297" s="770">
        <v>4</v>
      </c>
    </row>
    <row r="298" spans="1:6">
      <c r="A298" s="74" t="s">
        <v>789</v>
      </c>
      <c r="B298" s="74">
        <v>57</v>
      </c>
      <c r="C298" s="74" t="s">
        <v>740</v>
      </c>
      <c r="D298" s="74" t="s">
        <v>264</v>
      </c>
      <c r="E298" s="770">
        <v>4</v>
      </c>
      <c r="F298" s="770">
        <v>4</v>
      </c>
    </row>
    <row r="299" spans="1:6">
      <c r="A299" s="74" t="s">
        <v>789</v>
      </c>
      <c r="B299" s="74">
        <v>58</v>
      </c>
      <c r="C299" s="74" t="s">
        <v>752</v>
      </c>
      <c r="D299" s="74" t="s">
        <v>264</v>
      </c>
      <c r="E299" s="770">
        <v>4</v>
      </c>
      <c r="F299" s="770">
        <v>4</v>
      </c>
    </row>
    <row r="300" spans="1:6">
      <c r="A300" s="74" t="s">
        <v>789</v>
      </c>
      <c r="B300" s="74">
        <v>59</v>
      </c>
      <c r="C300" s="74" t="s">
        <v>797</v>
      </c>
      <c r="D300" s="74" t="s">
        <v>253</v>
      </c>
      <c r="E300" s="770">
        <v>4</v>
      </c>
      <c r="F300" s="770">
        <v>4</v>
      </c>
    </row>
    <row r="301" spans="1:6">
      <c r="A301" s="74" t="s">
        <v>789</v>
      </c>
      <c r="B301" s="74">
        <v>60</v>
      </c>
      <c r="C301" s="74" t="s">
        <v>715</v>
      </c>
      <c r="D301" s="74" t="s">
        <v>693</v>
      </c>
      <c r="E301" s="770">
        <v>4</v>
      </c>
      <c r="F301" s="770">
        <v>4</v>
      </c>
    </row>
    <row r="302" spans="1:6">
      <c r="A302" s="74" t="s">
        <v>789</v>
      </c>
      <c r="B302" s="74">
        <v>61</v>
      </c>
      <c r="C302" s="74" t="s">
        <v>723</v>
      </c>
      <c r="D302" s="74" t="s">
        <v>713</v>
      </c>
      <c r="E302" s="770">
        <v>4</v>
      </c>
      <c r="F302" s="770">
        <v>4</v>
      </c>
    </row>
    <row r="303" spans="1:6">
      <c r="A303" s="74" t="s">
        <v>789</v>
      </c>
      <c r="B303" s="74">
        <v>62</v>
      </c>
      <c r="C303" s="74" t="s">
        <v>728</v>
      </c>
      <c r="D303" s="74" t="s">
        <v>695</v>
      </c>
      <c r="E303" s="770">
        <v>3</v>
      </c>
      <c r="F303" s="770">
        <v>3</v>
      </c>
    </row>
    <row r="304" spans="1:6">
      <c r="A304" s="74" t="s">
        <v>789</v>
      </c>
      <c r="B304" s="74">
        <v>63</v>
      </c>
      <c r="C304" s="74" t="s">
        <v>787</v>
      </c>
      <c r="D304" s="74" t="s">
        <v>713</v>
      </c>
      <c r="E304" s="770">
        <v>3</v>
      </c>
      <c r="F304" s="770">
        <v>3</v>
      </c>
    </row>
    <row r="305" spans="1:6">
      <c r="A305" s="74" t="s">
        <v>789</v>
      </c>
      <c r="B305" s="74">
        <v>64</v>
      </c>
      <c r="C305" s="74" t="s">
        <v>714</v>
      </c>
      <c r="D305" s="74" t="s">
        <v>251</v>
      </c>
      <c r="E305" s="770">
        <v>3</v>
      </c>
      <c r="F305" s="770">
        <v>3</v>
      </c>
    </row>
    <row r="306" spans="1:6">
      <c r="A306" s="74" t="s">
        <v>789</v>
      </c>
      <c r="B306" s="74">
        <v>65</v>
      </c>
      <c r="C306" s="74" t="s">
        <v>798</v>
      </c>
      <c r="D306" s="74" t="s">
        <v>713</v>
      </c>
      <c r="E306" s="770">
        <v>3</v>
      </c>
      <c r="F306" s="770">
        <v>3</v>
      </c>
    </row>
    <row r="307" spans="1:6">
      <c r="A307" s="74" t="s">
        <v>789</v>
      </c>
      <c r="B307" s="74">
        <v>66</v>
      </c>
      <c r="C307" s="74" t="s">
        <v>705</v>
      </c>
      <c r="D307" s="74" t="s">
        <v>274</v>
      </c>
      <c r="E307" s="770">
        <v>3</v>
      </c>
      <c r="F307" s="770">
        <v>3</v>
      </c>
    </row>
    <row r="308" spans="1:6">
      <c r="A308" s="74" t="s">
        <v>789</v>
      </c>
      <c r="B308" s="74">
        <v>67</v>
      </c>
      <c r="C308" s="74" t="s">
        <v>719</v>
      </c>
      <c r="D308" s="74" t="s">
        <v>689</v>
      </c>
      <c r="E308" s="770">
        <v>3</v>
      </c>
      <c r="F308" s="770">
        <v>3</v>
      </c>
    </row>
    <row r="309" spans="1:6">
      <c r="A309" s="74" t="s">
        <v>789</v>
      </c>
      <c r="B309" s="74">
        <v>68</v>
      </c>
      <c r="C309" s="74" t="s">
        <v>775</v>
      </c>
      <c r="D309" s="74" t="s">
        <v>695</v>
      </c>
      <c r="E309" s="770">
        <v>3</v>
      </c>
      <c r="F309" s="770">
        <v>3</v>
      </c>
    </row>
    <row r="310" spans="1:6">
      <c r="A310" s="74" t="s">
        <v>789</v>
      </c>
      <c r="B310" s="74">
        <v>69</v>
      </c>
      <c r="C310" s="74" t="s">
        <v>686</v>
      </c>
      <c r="D310" s="74" t="s">
        <v>274</v>
      </c>
      <c r="E310" s="770">
        <v>3</v>
      </c>
      <c r="F310" s="770">
        <v>3</v>
      </c>
    </row>
    <row r="311" spans="1:6">
      <c r="A311" s="74" t="s">
        <v>789</v>
      </c>
      <c r="B311" s="74">
        <v>70</v>
      </c>
      <c r="C311" s="74" t="s">
        <v>783</v>
      </c>
      <c r="D311" s="74" t="s">
        <v>764</v>
      </c>
      <c r="E311" s="770">
        <v>3</v>
      </c>
      <c r="F311" s="770">
        <v>3</v>
      </c>
    </row>
    <row r="312" spans="1:6">
      <c r="A312" s="74" t="s">
        <v>789</v>
      </c>
      <c r="B312" s="74">
        <v>71</v>
      </c>
      <c r="C312" s="74" t="s">
        <v>735</v>
      </c>
      <c r="D312" s="74" t="s">
        <v>730</v>
      </c>
      <c r="E312" s="770">
        <v>2</v>
      </c>
      <c r="F312" s="770">
        <v>2</v>
      </c>
    </row>
    <row r="313" spans="1:6">
      <c r="A313" s="74" t="s">
        <v>789</v>
      </c>
      <c r="B313" s="74">
        <v>72</v>
      </c>
      <c r="C313" s="74" t="s">
        <v>784</v>
      </c>
      <c r="D313" s="74" t="s">
        <v>764</v>
      </c>
      <c r="E313" s="770">
        <v>2</v>
      </c>
      <c r="F313" s="770">
        <v>2</v>
      </c>
    </row>
    <row r="314" spans="1:6">
      <c r="A314" s="74" t="s">
        <v>789</v>
      </c>
      <c r="B314" s="74">
        <v>73</v>
      </c>
      <c r="C314" s="74" t="s">
        <v>699</v>
      </c>
      <c r="D314" s="74" t="s">
        <v>249</v>
      </c>
      <c r="E314" s="770">
        <v>2</v>
      </c>
      <c r="F314" s="770">
        <v>2</v>
      </c>
    </row>
    <row r="315" spans="1:6">
      <c r="A315" s="74" t="s">
        <v>789</v>
      </c>
      <c r="B315" s="74">
        <v>74</v>
      </c>
      <c r="C315" s="74" t="s">
        <v>799</v>
      </c>
      <c r="D315" s="74" t="s">
        <v>713</v>
      </c>
      <c r="E315" s="770">
        <v>2</v>
      </c>
      <c r="F315" s="770">
        <v>2</v>
      </c>
    </row>
    <row r="316" spans="1:6">
      <c r="A316" s="74" t="s">
        <v>789</v>
      </c>
      <c r="B316" s="74">
        <v>75</v>
      </c>
      <c r="C316" s="74" t="s">
        <v>696</v>
      </c>
      <c r="D316" s="74" t="s">
        <v>323</v>
      </c>
      <c r="E316" s="770">
        <v>2</v>
      </c>
      <c r="F316" s="770">
        <v>2</v>
      </c>
    </row>
    <row r="317" spans="1:6">
      <c r="A317" s="74" t="s">
        <v>789</v>
      </c>
      <c r="B317" s="74">
        <v>76</v>
      </c>
      <c r="C317" s="74" t="s">
        <v>692</v>
      </c>
      <c r="D317" s="74" t="s">
        <v>693</v>
      </c>
      <c r="E317" s="770">
        <v>2</v>
      </c>
      <c r="F317" s="770">
        <v>2</v>
      </c>
    </row>
    <row r="318" spans="1:6">
      <c r="A318" s="74" t="s">
        <v>789</v>
      </c>
      <c r="B318" s="74">
        <v>77</v>
      </c>
      <c r="C318" s="74" t="s">
        <v>711</v>
      </c>
      <c r="D318" s="74" t="s">
        <v>251</v>
      </c>
      <c r="E318" s="770">
        <v>2</v>
      </c>
      <c r="F318" s="770">
        <v>2</v>
      </c>
    </row>
    <row r="319" spans="1:6">
      <c r="A319" s="74" t="s">
        <v>789</v>
      </c>
      <c r="B319" s="74">
        <v>78</v>
      </c>
      <c r="C319" s="74" t="s">
        <v>710</v>
      </c>
      <c r="D319" s="74" t="s">
        <v>249</v>
      </c>
      <c r="E319" s="770">
        <v>2</v>
      </c>
      <c r="F319" s="770">
        <v>2</v>
      </c>
    </row>
    <row r="320" spans="1:6">
      <c r="A320" s="74" t="s">
        <v>789</v>
      </c>
      <c r="B320" s="74">
        <v>79</v>
      </c>
      <c r="C320" s="74" t="s">
        <v>772</v>
      </c>
      <c r="D320" s="74" t="s">
        <v>730</v>
      </c>
      <c r="E320" s="770">
        <v>1</v>
      </c>
      <c r="F320" s="770">
        <v>1</v>
      </c>
    </row>
    <row r="321" spans="1:6">
      <c r="A321" s="74" t="s">
        <v>789</v>
      </c>
      <c r="B321" s="74">
        <v>80</v>
      </c>
      <c r="C321" s="74" t="s">
        <v>767</v>
      </c>
      <c r="D321" s="74" t="s">
        <v>251</v>
      </c>
      <c r="E321" s="770">
        <v>1</v>
      </c>
      <c r="F321" s="770">
        <v>1</v>
      </c>
    </row>
    <row r="322" spans="1:6">
      <c r="A322" s="74" t="s">
        <v>789</v>
      </c>
      <c r="B322" s="74">
        <v>81</v>
      </c>
      <c r="C322" s="74" t="s">
        <v>737</v>
      </c>
      <c r="D322" s="74" t="s">
        <v>249</v>
      </c>
      <c r="E322" s="770">
        <v>1</v>
      </c>
      <c r="F322" s="770">
        <v>1</v>
      </c>
    </row>
    <row r="323" spans="1:6">
      <c r="A323" s="74" t="s">
        <v>789</v>
      </c>
      <c r="B323" s="74">
        <v>82</v>
      </c>
      <c r="C323" s="74" t="s">
        <v>765</v>
      </c>
      <c r="D323" s="74" t="s">
        <v>256</v>
      </c>
      <c r="E323" s="770">
        <v>1</v>
      </c>
      <c r="F323" s="770">
        <v>1</v>
      </c>
    </row>
    <row r="324" spans="1:6">
      <c r="A324" s="74" t="s">
        <v>789</v>
      </c>
      <c r="B324" s="74">
        <v>83</v>
      </c>
      <c r="C324" s="74" t="s">
        <v>717</v>
      </c>
      <c r="D324" s="74" t="s">
        <v>249</v>
      </c>
      <c r="E324" s="770">
        <v>1</v>
      </c>
      <c r="F324" s="770">
        <v>1</v>
      </c>
    </row>
    <row r="325" spans="1:6">
      <c r="A325" s="74" t="s">
        <v>789</v>
      </c>
      <c r="B325" s="74">
        <v>84</v>
      </c>
      <c r="C325" s="74" t="s">
        <v>800</v>
      </c>
      <c r="D325" s="74" t="s">
        <v>268</v>
      </c>
      <c r="E325" s="770">
        <v>1</v>
      </c>
      <c r="F325" s="770">
        <v>1</v>
      </c>
    </row>
    <row r="326" spans="1:6">
      <c r="A326" s="74" t="s">
        <v>789</v>
      </c>
      <c r="B326" s="74">
        <v>85</v>
      </c>
      <c r="C326" s="74" t="s">
        <v>712</v>
      </c>
      <c r="D326" s="74" t="s">
        <v>713</v>
      </c>
      <c r="E326" s="770">
        <v>1</v>
      </c>
      <c r="F326" s="770">
        <v>1</v>
      </c>
    </row>
    <row r="327" spans="1:6">
      <c r="A327" s="74" t="s">
        <v>789</v>
      </c>
      <c r="B327" s="74">
        <v>86</v>
      </c>
      <c r="C327" s="74" t="s">
        <v>766</v>
      </c>
      <c r="D327" s="74" t="s">
        <v>253</v>
      </c>
      <c r="E327" s="770">
        <v>1</v>
      </c>
      <c r="F327" s="770">
        <v>1</v>
      </c>
    </row>
    <row r="328" spans="1:6">
      <c r="A328" s="74" t="s">
        <v>789</v>
      </c>
      <c r="B328" s="74">
        <v>87</v>
      </c>
      <c r="C328" s="74" t="s">
        <v>801</v>
      </c>
      <c r="D328" s="74" t="s">
        <v>713</v>
      </c>
      <c r="E328" s="770">
        <v>1</v>
      </c>
      <c r="F328" s="770">
        <v>1</v>
      </c>
    </row>
    <row r="329" spans="1:6">
      <c r="A329" s="74" t="s">
        <v>789</v>
      </c>
      <c r="B329" s="74">
        <v>88</v>
      </c>
      <c r="C329" s="74" t="s">
        <v>736</v>
      </c>
      <c r="D329" s="74" t="s">
        <v>251</v>
      </c>
      <c r="E329" s="770">
        <v>1</v>
      </c>
      <c r="F329" s="770">
        <v>1</v>
      </c>
    </row>
    <row r="330" spans="1:6">
      <c r="A330" s="74" t="s">
        <v>789</v>
      </c>
      <c r="B330" s="74">
        <v>89</v>
      </c>
      <c r="C330" s="74" t="s">
        <v>754</v>
      </c>
      <c r="D330" s="74" t="s">
        <v>713</v>
      </c>
      <c r="E330" s="770">
        <v>1</v>
      </c>
      <c r="F330" s="770">
        <v>1</v>
      </c>
    </row>
    <row r="331" spans="1:6">
      <c r="A331" s="74" t="s">
        <v>789</v>
      </c>
      <c r="B331" s="74">
        <v>90</v>
      </c>
      <c r="C331" s="74" t="s">
        <v>722</v>
      </c>
      <c r="D331" s="74" t="s">
        <v>251</v>
      </c>
      <c r="E331" s="770">
        <v>1</v>
      </c>
      <c r="F331" s="770">
        <v>1</v>
      </c>
    </row>
    <row r="332" spans="1:6">
      <c r="A332" s="74" t="s">
        <v>789</v>
      </c>
      <c r="B332" s="74">
        <v>91</v>
      </c>
      <c r="C332" s="74" t="s">
        <v>802</v>
      </c>
      <c r="D332" s="74" t="s">
        <v>713</v>
      </c>
      <c r="E332" s="770">
        <v>1</v>
      </c>
      <c r="F332" s="770">
        <v>1</v>
      </c>
    </row>
    <row r="333" spans="1:6">
      <c r="A333" s="74" t="s">
        <v>789</v>
      </c>
      <c r="B333" s="74">
        <v>92</v>
      </c>
      <c r="C333" s="74" t="s">
        <v>761</v>
      </c>
      <c r="D333" s="74" t="s">
        <v>730</v>
      </c>
      <c r="E333" s="770">
        <v>1</v>
      </c>
      <c r="F333" s="770">
        <v>1</v>
      </c>
    </row>
    <row r="334" spans="1:6">
      <c r="A334" s="74" t="s">
        <v>789</v>
      </c>
      <c r="B334" s="74">
        <v>93</v>
      </c>
      <c r="C334" s="74" t="s">
        <v>731</v>
      </c>
      <c r="D334" s="74" t="s">
        <v>251</v>
      </c>
      <c r="E334" s="770">
        <v>1</v>
      </c>
      <c r="F334" s="770">
        <v>1</v>
      </c>
    </row>
    <row r="335" spans="1:6">
      <c r="A335" s="74" t="s">
        <v>789</v>
      </c>
      <c r="B335" s="74">
        <v>94</v>
      </c>
      <c r="C335" s="74" t="s">
        <v>726</v>
      </c>
      <c r="D335" s="74" t="s">
        <v>323</v>
      </c>
      <c r="E335" s="770">
        <v>1</v>
      </c>
      <c r="F335" s="770">
        <v>1</v>
      </c>
    </row>
    <row r="336" spans="1:6">
      <c r="A336" s="74" t="s">
        <v>789</v>
      </c>
      <c r="B336" s="74">
        <v>95</v>
      </c>
      <c r="C336" s="74" t="s">
        <v>709</v>
      </c>
      <c r="D336" s="74" t="s">
        <v>276</v>
      </c>
      <c r="E336" s="770">
        <v>1</v>
      </c>
      <c r="F336" s="770">
        <v>1</v>
      </c>
    </row>
    <row r="337" spans="1:6">
      <c r="A337" s="74" t="s">
        <v>789</v>
      </c>
      <c r="B337" s="74">
        <v>96</v>
      </c>
      <c r="C337" s="74" t="s">
        <v>734</v>
      </c>
      <c r="D337" s="74" t="s">
        <v>695</v>
      </c>
      <c r="E337" s="770">
        <v>1</v>
      </c>
      <c r="F337" s="770">
        <v>1</v>
      </c>
    </row>
    <row r="338" spans="1:6">
      <c r="A338" s="74" t="s">
        <v>789</v>
      </c>
      <c r="B338" s="74">
        <v>97</v>
      </c>
      <c r="C338" s="74" t="s">
        <v>745</v>
      </c>
      <c r="D338" s="74" t="s">
        <v>275</v>
      </c>
      <c r="E338" s="770">
        <v>1</v>
      </c>
      <c r="F338" s="770">
        <v>1</v>
      </c>
    </row>
    <row r="339" spans="1:6">
      <c r="A339" s="74" t="s">
        <v>789</v>
      </c>
      <c r="B339" s="74">
        <v>98</v>
      </c>
      <c r="C339" s="74" t="s">
        <v>701</v>
      </c>
      <c r="D339" s="74" t="s">
        <v>689</v>
      </c>
      <c r="E339" s="770">
        <v>1</v>
      </c>
      <c r="F339" s="770">
        <v>1</v>
      </c>
    </row>
    <row r="340" spans="1:6">
      <c r="A340" s="74" t="s">
        <v>789</v>
      </c>
      <c r="B340" s="74">
        <v>99</v>
      </c>
      <c r="C340" s="74" t="s">
        <v>718</v>
      </c>
      <c r="D340" s="74" t="s">
        <v>275</v>
      </c>
      <c r="E340" s="770">
        <v>1</v>
      </c>
      <c r="F340" s="770">
        <v>1</v>
      </c>
    </row>
    <row r="341" spans="1:6">
      <c r="A341" s="74" t="s">
        <v>789</v>
      </c>
      <c r="B341" s="74">
        <v>100</v>
      </c>
      <c r="C341" s="74" t="s">
        <v>803</v>
      </c>
      <c r="D341" s="74" t="s">
        <v>764</v>
      </c>
      <c r="E341" s="770">
        <v>1</v>
      </c>
      <c r="F341" s="770">
        <v>1</v>
      </c>
    </row>
    <row r="342" spans="1:6">
      <c r="A342" s="74" t="s">
        <v>789</v>
      </c>
      <c r="B342" s="74">
        <v>101</v>
      </c>
      <c r="C342" s="74" t="s">
        <v>804</v>
      </c>
      <c r="D342" s="74" t="s">
        <v>253</v>
      </c>
      <c r="E342" s="770">
        <v>1</v>
      </c>
      <c r="F342" s="770">
        <v>1</v>
      </c>
    </row>
    <row r="343" spans="1:6">
      <c r="A343" s="74" t="s">
        <v>789</v>
      </c>
      <c r="B343" s="74">
        <v>102</v>
      </c>
      <c r="C343" s="74" t="s">
        <v>786</v>
      </c>
      <c r="D343" s="74" t="s">
        <v>249</v>
      </c>
      <c r="E343" s="770">
        <v>1</v>
      </c>
      <c r="F343" s="770">
        <v>1</v>
      </c>
    </row>
    <row r="344" spans="1:6">
      <c r="A344" s="74" t="s">
        <v>789</v>
      </c>
      <c r="B344" s="74">
        <v>103</v>
      </c>
      <c r="C344" s="74" t="s">
        <v>757</v>
      </c>
      <c r="D344" s="74" t="s">
        <v>251</v>
      </c>
      <c r="E344" s="770">
        <v>1</v>
      </c>
      <c r="F344" s="770">
        <v>1</v>
      </c>
    </row>
    <row r="345" spans="1:6">
      <c r="A345" s="74" t="s">
        <v>789</v>
      </c>
      <c r="B345" s="74">
        <v>104</v>
      </c>
      <c r="C345" s="74" t="s">
        <v>747</v>
      </c>
      <c r="D345" s="74" t="s">
        <v>256</v>
      </c>
      <c r="E345" s="770">
        <v>1</v>
      </c>
      <c r="F345" s="770">
        <v>1</v>
      </c>
    </row>
    <row r="346" spans="1:6">
      <c r="A346" s="74" t="s">
        <v>789</v>
      </c>
      <c r="B346" s="74">
        <v>105</v>
      </c>
      <c r="C346" s="74" t="s">
        <v>690</v>
      </c>
      <c r="D346" s="74" t="s">
        <v>275</v>
      </c>
      <c r="E346" s="770">
        <v>1</v>
      </c>
      <c r="F346" s="770">
        <v>1</v>
      </c>
    </row>
    <row r="347" spans="1:6">
      <c r="A347" s="74" t="s">
        <v>813</v>
      </c>
      <c r="B347" s="74">
        <v>1</v>
      </c>
      <c r="C347" s="74" t="s">
        <v>259</v>
      </c>
      <c r="D347" s="74" t="s">
        <v>249</v>
      </c>
      <c r="E347" s="770">
        <v>81</v>
      </c>
      <c r="F347" s="770">
        <v>81</v>
      </c>
    </row>
    <row r="348" spans="1:6">
      <c r="A348" s="74" t="s">
        <v>813</v>
      </c>
      <c r="B348" s="74">
        <v>2</v>
      </c>
      <c r="C348" s="74" t="s">
        <v>248</v>
      </c>
      <c r="D348" s="74" t="s">
        <v>249</v>
      </c>
      <c r="E348" s="770">
        <v>73</v>
      </c>
      <c r="F348" s="770">
        <v>73</v>
      </c>
    </row>
    <row r="349" spans="1:6">
      <c r="A349" s="74" t="s">
        <v>813</v>
      </c>
      <c r="B349" s="74">
        <v>3</v>
      </c>
      <c r="C349" s="74" t="s">
        <v>255</v>
      </c>
      <c r="D349" s="74" t="s">
        <v>256</v>
      </c>
      <c r="E349" s="770">
        <v>70</v>
      </c>
      <c r="F349" s="770">
        <v>70</v>
      </c>
    </row>
    <row r="350" spans="1:6">
      <c r="A350" s="74" t="s">
        <v>813</v>
      </c>
      <c r="B350" s="74">
        <v>4</v>
      </c>
      <c r="C350" s="74" t="s">
        <v>250</v>
      </c>
      <c r="D350" s="74" t="s">
        <v>251</v>
      </c>
      <c r="E350" s="770">
        <v>61</v>
      </c>
      <c r="F350" s="770">
        <v>61</v>
      </c>
    </row>
    <row r="351" spans="1:6">
      <c r="A351" s="74" t="s">
        <v>813</v>
      </c>
      <c r="B351" s="74">
        <v>5</v>
      </c>
      <c r="C351" s="74" t="s">
        <v>261</v>
      </c>
      <c r="D351" s="74" t="s">
        <v>256</v>
      </c>
      <c r="E351" s="770">
        <v>57</v>
      </c>
      <c r="F351" s="770">
        <v>57</v>
      </c>
    </row>
    <row r="352" spans="1:6">
      <c r="A352" s="74" t="s">
        <v>813</v>
      </c>
      <c r="B352" s="74">
        <v>6</v>
      </c>
      <c r="C352" s="74" t="s">
        <v>790</v>
      </c>
      <c r="D352" s="74" t="s">
        <v>264</v>
      </c>
      <c r="E352" s="770">
        <v>56</v>
      </c>
      <c r="F352" s="770">
        <v>56</v>
      </c>
    </row>
    <row r="353" spans="1:6">
      <c r="A353" s="74" t="s">
        <v>813</v>
      </c>
      <c r="B353" s="74">
        <v>7</v>
      </c>
      <c r="C353" s="74" t="s">
        <v>673</v>
      </c>
      <c r="D353" s="74" t="s">
        <v>251</v>
      </c>
      <c r="E353" s="770">
        <v>38</v>
      </c>
      <c r="F353" s="770">
        <v>38</v>
      </c>
    </row>
    <row r="354" spans="1:6">
      <c r="A354" s="74" t="s">
        <v>813</v>
      </c>
      <c r="B354" s="74">
        <v>8</v>
      </c>
      <c r="C354" s="74" t="s">
        <v>262</v>
      </c>
      <c r="D354" s="74" t="s">
        <v>256</v>
      </c>
      <c r="E354" s="770">
        <v>30</v>
      </c>
      <c r="F354" s="770">
        <v>30</v>
      </c>
    </row>
    <row r="355" spans="1:6">
      <c r="A355" s="74" t="s">
        <v>813</v>
      </c>
      <c r="B355" s="74">
        <v>9</v>
      </c>
      <c r="C355" s="74" t="s">
        <v>680</v>
      </c>
      <c r="D355" s="74" t="s">
        <v>251</v>
      </c>
      <c r="E355" s="770">
        <v>29</v>
      </c>
      <c r="F355" s="770">
        <v>29</v>
      </c>
    </row>
    <row r="356" spans="1:6">
      <c r="A356" s="74" t="s">
        <v>813</v>
      </c>
      <c r="B356" s="74">
        <v>10</v>
      </c>
      <c r="C356" s="74" t="s">
        <v>254</v>
      </c>
      <c r="D356" s="74" t="s">
        <v>254</v>
      </c>
      <c r="E356" s="770">
        <v>24</v>
      </c>
      <c r="F356" s="770">
        <v>24</v>
      </c>
    </row>
    <row r="357" spans="1:6">
      <c r="A357" s="74" t="s">
        <v>813</v>
      </c>
      <c r="B357" s="74">
        <v>11</v>
      </c>
      <c r="C357" s="74" t="s">
        <v>679</v>
      </c>
      <c r="D357" s="74" t="s">
        <v>256</v>
      </c>
      <c r="E357" s="770">
        <v>22</v>
      </c>
      <c r="F357" s="770">
        <v>22</v>
      </c>
    </row>
    <row r="358" spans="1:6">
      <c r="A358" s="74" t="s">
        <v>813</v>
      </c>
      <c r="B358" s="74">
        <v>12</v>
      </c>
      <c r="C358" s="74" t="s">
        <v>806</v>
      </c>
      <c r="D358" s="74" t="s">
        <v>256</v>
      </c>
      <c r="E358" s="770">
        <v>21</v>
      </c>
      <c r="F358" s="770">
        <v>21</v>
      </c>
    </row>
    <row r="359" spans="1:6">
      <c r="A359" s="74" t="s">
        <v>813</v>
      </c>
      <c r="B359" s="74">
        <v>13</v>
      </c>
      <c r="C359" s="74" t="s">
        <v>791</v>
      </c>
      <c r="D359" s="74" t="s">
        <v>256</v>
      </c>
      <c r="E359" s="770">
        <v>21</v>
      </c>
      <c r="F359" s="770">
        <v>21</v>
      </c>
    </row>
    <row r="360" spans="1:6">
      <c r="A360" s="74" t="s">
        <v>813</v>
      </c>
      <c r="B360" s="74">
        <v>14</v>
      </c>
      <c r="C360" s="74" t="s">
        <v>686</v>
      </c>
      <c r="D360" s="74" t="s">
        <v>274</v>
      </c>
      <c r="E360" s="770">
        <v>19</v>
      </c>
      <c r="F360" s="770">
        <v>19</v>
      </c>
    </row>
    <row r="361" spans="1:6">
      <c r="A361" s="74" t="s">
        <v>813</v>
      </c>
      <c r="B361" s="74">
        <v>15</v>
      </c>
      <c r="C361" s="74" t="s">
        <v>682</v>
      </c>
      <c r="D361" s="74" t="s">
        <v>275</v>
      </c>
      <c r="E361" s="770">
        <v>18</v>
      </c>
      <c r="F361" s="770">
        <v>18</v>
      </c>
    </row>
    <row r="362" spans="1:6">
      <c r="A362" s="74" t="s">
        <v>813</v>
      </c>
      <c r="B362" s="74">
        <v>16</v>
      </c>
      <c r="C362" s="74" t="s">
        <v>681</v>
      </c>
      <c r="D362" s="74" t="s">
        <v>282</v>
      </c>
      <c r="E362" s="770">
        <v>17</v>
      </c>
      <c r="F362" s="770">
        <v>17</v>
      </c>
    </row>
    <row r="363" spans="1:6">
      <c r="A363" s="74" t="s">
        <v>813</v>
      </c>
      <c r="B363" s="74">
        <v>17</v>
      </c>
      <c r="C363" s="74" t="s">
        <v>780</v>
      </c>
      <c r="D363" s="74" t="s">
        <v>268</v>
      </c>
      <c r="E363" s="770">
        <v>17</v>
      </c>
      <c r="F363" s="770">
        <v>17</v>
      </c>
    </row>
    <row r="364" spans="1:6">
      <c r="A364" s="74" t="s">
        <v>813</v>
      </c>
      <c r="B364" s="74">
        <v>18</v>
      </c>
      <c r="C364" s="74" t="s">
        <v>678</v>
      </c>
      <c r="D364" s="74" t="s">
        <v>256</v>
      </c>
      <c r="E364" s="770">
        <v>16</v>
      </c>
      <c r="F364" s="770">
        <v>16</v>
      </c>
    </row>
    <row r="365" spans="1:6">
      <c r="A365" s="74" t="s">
        <v>813</v>
      </c>
      <c r="B365" s="74">
        <v>19</v>
      </c>
      <c r="C365" s="74" t="s">
        <v>708</v>
      </c>
      <c r="D365" s="74" t="s">
        <v>251</v>
      </c>
      <c r="E365" s="770">
        <v>15</v>
      </c>
      <c r="F365" s="770">
        <v>15</v>
      </c>
    </row>
    <row r="366" spans="1:6">
      <c r="A366" s="74" t="s">
        <v>813</v>
      </c>
      <c r="B366" s="74">
        <v>20</v>
      </c>
      <c r="C366" s="74" t="s">
        <v>792</v>
      </c>
      <c r="D366" s="74" t="s">
        <v>256</v>
      </c>
      <c r="E366" s="770">
        <v>15</v>
      </c>
      <c r="F366" s="770">
        <v>15</v>
      </c>
    </row>
    <row r="367" spans="1:6">
      <c r="A367" s="74" t="s">
        <v>813</v>
      </c>
      <c r="B367" s="74">
        <v>21</v>
      </c>
      <c r="C367" s="74" t="s">
        <v>674</v>
      </c>
      <c r="D367" s="74" t="s">
        <v>275</v>
      </c>
      <c r="E367" s="770">
        <v>14</v>
      </c>
      <c r="F367" s="770">
        <v>14</v>
      </c>
    </row>
    <row r="368" spans="1:6">
      <c r="A368" s="74" t="s">
        <v>813</v>
      </c>
      <c r="B368" s="74">
        <v>22</v>
      </c>
      <c r="C368" s="74" t="s">
        <v>698</v>
      </c>
      <c r="D368" s="74" t="s">
        <v>249</v>
      </c>
      <c r="E368" s="770">
        <v>13</v>
      </c>
      <c r="F368" s="770">
        <v>13</v>
      </c>
    </row>
    <row r="369" spans="1:6">
      <c r="A369" s="74" t="s">
        <v>813</v>
      </c>
      <c r="B369" s="74">
        <v>23</v>
      </c>
      <c r="C369" s="74" t="s">
        <v>700</v>
      </c>
      <c r="D369" s="74" t="s">
        <v>274</v>
      </c>
      <c r="E369" s="770">
        <v>13</v>
      </c>
      <c r="F369" s="770">
        <v>13</v>
      </c>
    </row>
    <row r="370" spans="1:6">
      <c r="A370" s="74" t="s">
        <v>813</v>
      </c>
      <c r="B370" s="74">
        <v>24</v>
      </c>
      <c r="C370" s="74" t="s">
        <v>716</v>
      </c>
      <c r="D370" s="74" t="s">
        <v>251</v>
      </c>
      <c r="E370" s="770">
        <v>12</v>
      </c>
      <c r="F370" s="770">
        <v>12</v>
      </c>
    </row>
    <row r="371" spans="1:6">
      <c r="A371" s="74" t="s">
        <v>813</v>
      </c>
      <c r="B371" s="74">
        <v>25</v>
      </c>
      <c r="C371" s="74" t="s">
        <v>796</v>
      </c>
      <c r="D371" s="74" t="s">
        <v>282</v>
      </c>
      <c r="E371" s="770">
        <v>11</v>
      </c>
      <c r="F371" s="770">
        <v>11</v>
      </c>
    </row>
    <row r="372" spans="1:6">
      <c r="A372" s="74" t="s">
        <v>813</v>
      </c>
      <c r="B372" s="74">
        <v>26</v>
      </c>
      <c r="C372" s="74" t="s">
        <v>794</v>
      </c>
      <c r="D372" s="74" t="s">
        <v>256</v>
      </c>
      <c r="E372" s="770">
        <v>11</v>
      </c>
      <c r="F372" s="770">
        <v>11</v>
      </c>
    </row>
    <row r="373" spans="1:6">
      <c r="A373" s="74" t="s">
        <v>813</v>
      </c>
      <c r="B373" s="74">
        <v>27</v>
      </c>
      <c r="C373" s="74" t="s">
        <v>797</v>
      </c>
      <c r="D373" s="74" t="s">
        <v>253</v>
      </c>
      <c r="E373" s="770">
        <v>11</v>
      </c>
      <c r="F373" s="770">
        <v>11</v>
      </c>
    </row>
    <row r="374" spans="1:6">
      <c r="A374" s="74" t="s">
        <v>813</v>
      </c>
      <c r="B374" s="74">
        <v>28</v>
      </c>
      <c r="C374" s="74" t="s">
        <v>714</v>
      </c>
      <c r="D374" s="74" t="s">
        <v>251</v>
      </c>
      <c r="E374" s="770">
        <v>10</v>
      </c>
      <c r="F374" s="770">
        <v>10</v>
      </c>
    </row>
    <row r="375" spans="1:6">
      <c r="A375" s="74" t="s">
        <v>813</v>
      </c>
      <c r="B375" s="74">
        <v>29</v>
      </c>
      <c r="C375" s="74" t="s">
        <v>751</v>
      </c>
      <c r="D375" s="74" t="s">
        <v>256</v>
      </c>
      <c r="E375" s="770">
        <v>10</v>
      </c>
      <c r="F375" s="770">
        <v>10</v>
      </c>
    </row>
    <row r="376" spans="1:6">
      <c r="A376" s="74" t="s">
        <v>813</v>
      </c>
      <c r="B376" s="74">
        <v>30</v>
      </c>
      <c r="C376" s="74" t="s">
        <v>707</v>
      </c>
      <c r="D376" s="74" t="s">
        <v>256</v>
      </c>
      <c r="E376" s="770">
        <v>10</v>
      </c>
      <c r="F376" s="770">
        <v>10</v>
      </c>
    </row>
    <row r="377" spans="1:6">
      <c r="A377" s="74" t="s">
        <v>813</v>
      </c>
      <c r="B377" s="74">
        <v>31</v>
      </c>
      <c r="C377" s="74" t="s">
        <v>671</v>
      </c>
      <c r="D377" s="74" t="s">
        <v>276</v>
      </c>
      <c r="E377" s="770">
        <v>10</v>
      </c>
      <c r="F377" s="770">
        <v>10</v>
      </c>
    </row>
    <row r="378" spans="1:6">
      <c r="A378" s="74" t="s">
        <v>813</v>
      </c>
      <c r="B378" s="74">
        <v>32</v>
      </c>
      <c r="C378" s="74" t="s">
        <v>795</v>
      </c>
      <c r="D378" s="74" t="s">
        <v>254</v>
      </c>
      <c r="E378" s="770">
        <v>9</v>
      </c>
      <c r="F378" s="770">
        <v>9</v>
      </c>
    </row>
    <row r="379" spans="1:6">
      <c r="A379" s="74" t="s">
        <v>813</v>
      </c>
      <c r="B379" s="74">
        <v>33</v>
      </c>
      <c r="C379" s="74" t="s">
        <v>691</v>
      </c>
      <c r="D379" s="74" t="s">
        <v>251</v>
      </c>
      <c r="E379" s="770">
        <v>9</v>
      </c>
      <c r="F379" s="770">
        <v>9</v>
      </c>
    </row>
    <row r="380" spans="1:6">
      <c r="A380" s="74" t="s">
        <v>813</v>
      </c>
      <c r="B380" s="74">
        <v>34</v>
      </c>
      <c r="C380" s="74" t="s">
        <v>683</v>
      </c>
      <c r="D380" s="74" t="s">
        <v>274</v>
      </c>
      <c r="E380" s="770">
        <v>9</v>
      </c>
      <c r="F380" s="770">
        <v>9</v>
      </c>
    </row>
    <row r="381" spans="1:6">
      <c r="A381" s="74" t="s">
        <v>813</v>
      </c>
      <c r="B381" s="74">
        <v>35</v>
      </c>
      <c r="C381" s="74" t="s">
        <v>702</v>
      </c>
      <c r="D381" s="74" t="s">
        <v>251</v>
      </c>
      <c r="E381" s="770">
        <v>9</v>
      </c>
      <c r="F381" s="770">
        <v>9</v>
      </c>
    </row>
    <row r="382" spans="1:6">
      <c r="A382" s="74" t="s">
        <v>813</v>
      </c>
      <c r="B382" s="74">
        <v>36</v>
      </c>
      <c r="C382" s="74" t="s">
        <v>743</v>
      </c>
      <c r="D382" s="74" t="s">
        <v>251</v>
      </c>
      <c r="E382" s="770">
        <v>7</v>
      </c>
      <c r="F382" s="770">
        <v>7</v>
      </c>
    </row>
    <row r="383" spans="1:6">
      <c r="A383" s="74" t="s">
        <v>813</v>
      </c>
      <c r="B383" s="74">
        <v>37</v>
      </c>
      <c r="C383" s="74" t="s">
        <v>731</v>
      </c>
      <c r="D383" s="74" t="s">
        <v>251</v>
      </c>
      <c r="E383" s="770">
        <v>7</v>
      </c>
      <c r="F383" s="770">
        <v>7</v>
      </c>
    </row>
    <row r="384" spans="1:6">
      <c r="A384" s="74" t="s">
        <v>813</v>
      </c>
      <c r="B384" s="74">
        <v>38</v>
      </c>
      <c r="C384" s="74" t="s">
        <v>752</v>
      </c>
      <c r="D384" s="74" t="s">
        <v>264</v>
      </c>
      <c r="E384" s="770">
        <v>7</v>
      </c>
      <c r="F384" s="770">
        <v>7</v>
      </c>
    </row>
    <row r="385" spans="1:6">
      <c r="A385" s="74" t="s">
        <v>813</v>
      </c>
      <c r="B385" s="74">
        <v>39</v>
      </c>
      <c r="C385" s="74" t="s">
        <v>738</v>
      </c>
      <c r="D385" s="74" t="s">
        <v>256</v>
      </c>
      <c r="E385" s="770">
        <v>7</v>
      </c>
      <c r="F385" s="770">
        <v>7</v>
      </c>
    </row>
    <row r="386" spans="1:6">
      <c r="A386" s="74" t="s">
        <v>813</v>
      </c>
      <c r="B386" s="74">
        <v>40</v>
      </c>
      <c r="C386" s="74" t="s">
        <v>676</v>
      </c>
      <c r="D386" s="74" t="s">
        <v>253</v>
      </c>
      <c r="E386" s="770">
        <v>7</v>
      </c>
      <c r="F386" s="770">
        <v>7</v>
      </c>
    </row>
    <row r="387" spans="1:6">
      <c r="A387" s="74" t="s">
        <v>813</v>
      </c>
      <c r="B387" s="74">
        <v>41</v>
      </c>
      <c r="C387" s="74" t="s">
        <v>727</v>
      </c>
      <c r="D387" s="74" t="s">
        <v>275</v>
      </c>
      <c r="E387" s="770">
        <v>7</v>
      </c>
      <c r="F387" s="770">
        <v>7</v>
      </c>
    </row>
    <row r="388" spans="1:6">
      <c r="A388" s="74" t="s">
        <v>813</v>
      </c>
      <c r="B388" s="74">
        <v>42</v>
      </c>
      <c r="C388" s="74" t="s">
        <v>742</v>
      </c>
      <c r="D388" s="74" t="s">
        <v>251</v>
      </c>
      <c r="E388" s="770">
        <v>6</v>
      </c>
      <c r="F388" s="770">
        <v>6</v>
      </c>
    </row>
    <row r="389" spans="1:6">
      <c r="A389" s="74" t="s">
        <v>813</v>
      </c>
      <c r="B389" s="74">
        <v>43</v>
      </c>
      <c r="C389" s="74" t="s">
        <v>804</v>
      </c>
      <c r="D389" s="74" t="s">
        <v>253</v>
      </c>
      <c r="E389" s="770">
        <v>6</v>
      </c>
      <c r="F389" s="770">
        <v>6</v>
      </c>
    </row>
    <row r="390" spans="1:6">
      <c r="A390" s="74" t="s">
        <v>813</v>
      </c>
      <c r="B390" s="74">
        <v>44</v>
      </c>
      <c r="C390" s="74" t="s">
        <v>677</v>
      </c>
      <c r="D390" s="74" t="s">
        <v>249</v>
      </c>
      <c r="E390" s="770">
        <v>6</v>
      </c>
      <c r="F390" s="770">
        <v>6</v>
      </c>
    </row>
    <row r="391" spans="1:6">
      <c r="A391" s="74" t="s">
        <v>813</v>
      </c>
      <c r="B391" s="74">
        <v>45</v>
      </c>
      <c r="C391" s="74" t="s">
        <v>755</v>
      </c>
      <c r="D391" s="74" t="s">
        <v>251</v>
      </c>
      <c r="E391" s="770">
        <v>5</v>
      </c>
      <c r="F391" s="770">
        <v>5</v>
      </c>
    </row>
    <row r="392" spans="1:6">
      <c r="A392" s="74" t="s">
        <v>813</v>
      </c>
      <c r="B392" s="74">
        <v>46</v>
      </c>
      <c r="C392" s="74" t="s">
        <v>688</v>
      </c>
      <c r="D392" s="74" t="s">
        <v>689</v>
      </c>
      <c r="E392" s="770">
        <v>5</v>
      </c>
      <c r="F392" s="770">
        <v>5</v>
      </c>
    </row>
    <row r="393" spans="1:6">
      <c r="A393" s="74" t="s">
        <v>813</v>
      </c>
      <c r="B393" s="74">
        <v>47</v>
      </c>
      <c r="C393" s="74" t="s">
        <v>737</v>
      </c>
      <c r="D393" s="74" t="s">
        <v>249</v>
      </c>
      <c r="E393" s="770">
        <v>5</v>
      </c>
      <c r="F393" s="770">
        <v>5</v>
      </c>
    </row>
    <row r="394" spans="1:6">
      <c r="A394" s="74" t="s">
        <v>813</v>
      </c>
      <c r="B394" s="74">
        <v>48</v>
      </c>
      <c r="C394" s="74" t="s">
        <v>687</v>
      </c>
      <c r="D394" s="74" t="s">
        <v>253</v>
      </c>
      <c r="E394" s="770">
        <v>5</v>
      </c>
      <c r="F394" s="770">
        <v>5</v>
      </c>
    </row>
    <row r="395" spans="1:6">
      <c r="A395" s="74" t="s">
        <v>813</v>
      </c>
      <c r="B395" s="74">
        <v>49</v>
      </c>
      <c r="C395" s="74" t="s">
        <v>808</v>
      </c>
      <c r="D395" s="74" t="s">
        <v>268</v>
      </c>
      <c r="E395" s="770">
        <v>5</v>
      </c>
      <c r="F395" s="770">
        <v>5</v>
      </c>
    </row>
    <row r="396" spans="1:6">
      <c r="A396" s="74" t="s">
        <v>813</v>
      </c>
      <c r="B396" s="74">
        <v>50</v>
      </c>
      <c r="C396" s="74" t="s">
        <v>757</v>
      </c>
      <c r="D396" s="74" t="s">
        <v>251</v>
      </c>
      <c r="E396" s="770">
        <v>5</v>
      </c>
      <c r="F396" s="770">
        <v>5</v>
      </c>
    </row>
    <row r="397" spans="1:6">
      <c r="A397" s="74" t="s">
        <v>813</v>
      </c>
      <c r="B397" s="74">
        <v>51</v>
      </c>
      <c r="C397" s="74" t="s">
        <v>675</v>
      </c>
      <c r="D397" s="74" t="s">
        <v>256</v>
      </c>
      <c r="E397" s="770">
        <v>5</v>
      </c>
      <c r="F397" s="770">
        <v>5</v>
      </c>
    </row>
    <row r="398" spans="1:6">
      <c r="A398" s="74" t="s">
        <v>813</v>
      </c>
      <c r="B398" s="74">
        <v>52</v>
      </c>
      <c r="C398" s="74" t="s">
        <v>685</v>
      </c>
      <c r="D398" s="74" t="s">
        <v>256</v>
      </c>
      <c r="E398" s="770">
        <v>5</v>
      </c>
      <c r="F398" s="770">
        <v>5</v>
      </c>
    </row>
    <row r="399" spans="1:6">
      <c r="A399" s="74" t="s">
        <v>813</v>
      </c>
      <c r="B399" s="74">
        <v>53</v>
      </c>
      <c r="C399" s="74" t="s">
        <v>745</v>
      </c>
      <c r="D399" s="74" t="s">
        <v>275</v>
      </c>
      <c r="E399" s="770">
        <v>5</v>
      </c>
      <c r="F399" s="770">
        <v>5</v>
      </c>
    </row>
    <row r="400" spans="1:6">
      <c r="A400" s="74" t="s">
        <v>813</v>
      </c>
      <c r="B400" s="74">
        <v>54</v>
      </c>
      <c r="C400" s="74" t="s">
        <v>814</v>
      </c>
      <c r="D400" s="74" t="s">
        <v>815</v>
      </c>
      <c r="E400" s="770">
        <v>5</v>
      </c>
      <c r="F400" s="770">
        <v>5</v>
      </c>
    </row>
    <row r="401" spans="1:6">
      <c r="A401" s="74" t="s">
        <v>813</v>
      </c>
      <c r="B401" s="74">
        <v>55</v>
      </c>
      <c r="C401" s="74" t="s">
        <v>816</v>
      </c>
      <c r="D401" s="74" t="s">
        <v>256</v>
      </c>
      <c r="E401" s="770">
        <v>5</v>
      </c>
      <c r="F401" s="770">
        <v>5</v>
      </c>
    </row>
    <row r="402" spans="1:6">
      <c r="A402" s="74" t="s">
        <v>813</v>
      </c>
      <c r="B402" s="74">
        <v>56</v>
      </c>
      <c r="C402" s="74" t="s">
        <v>761</v>
      </c>
      <c r="D402" s="74" t="s">
        <v>730</v>
      </c>
      <c r="E402" s="770">
        <v>5</v>
      </c>
      <c r="F402" s="770">
        <v>5</v>
      </c>
    </row>
    <row r="403" spans="1:6">
      <c r="A403" s="74" t="s">
        <v>813</v>
      </c>
      <c r="B403" s="74">
        <v>57</v>
      </c>
      <c r="C403" s="74" t="s">
        <v>701</v>
      </c>
      <c r="D403" s="74" t="s">
        <v>689</v>
      </c>
      <c r="E403" s="770">
        <v>5</v>
      </c>
      <c r="F403" s="770">
        <v>5</v>
      </c>
    </row>
    <row r="404" spans="1:6">
      <c r="A404" s="74" t="s">
        <v>813</v>
      </c>
      <c r="B404" s="74">
        <v>58</v>
      </c>
      <c r="C404" s="74" t="s">
        <v>792</v>
      </c>
      <c r="D404" s="74" t="s">
        <v>256</v>
      </c>
      <c r="E404" s="770">
        <v>5</v>
      </c>
      <c r="F404" s="770">
        <v>5</v>
      </c>
    </row>
    <row r="405" spans="1:6">
      <c r="A405" s="74" t="s">
        <v>813</v>
      </c>
      <c r="B405" s="74">
        <v>59</v>
      </c>
      <c r="C405" s="74" t="s">
        <v>694</v>
      </c>
      <c r="D405" s="74" t="s">
        <v>695</v>
      </c>
      <c r="E405" s="770">
        <v>5</v>
      </c>
      <c r="F405" s="770">
        <v>5</v>
      </c>
    </row>
    <row r="406" spans="1:6">
      <c r="A406" s="74" t="s">
        <v>813</v>
      </c>
      <c r="B406" s="74">
        <v>60</v>
      </c>
      <c r="C406" s="74" t="s">
        <v>704</v>
      </c>
      <c r="D406" s="74" t="s">
        <v>689</v>
      </c>
      <c r="E406" s="770">
        <v>4</v>
      </c>
      <c r="F406" s="770">
        <v>4</v>
      </c>
    </row>
    <row r="407" spans="1:6">
      <c r="A407" s="74" t="s">
        <v>813</v>
      </c>
      <c r="B407" s="74">
        <v>61</v>
      </c>
      <c r="C407" s="74" t="s">
        <v>711</v>
      </c>
      <c r="D407" s="74" t="s">
        <v>251</v>
      </c>
      <c r="E407" s="770">
        <v>4</v>
      </c>
      <c r="F407" s="770">
        <v>4</v>
      </c>
    </row>
    <row r="408" spans="1:6">
      <c r="A408" s="74" t="s">
        <v>813</v>
      </c>
      <c r="B408" s="74">
        <v>62</v>
      </c>
      <c r="C408" s="74" t="s">
        <v>802</v>
      </c>
      <c r="D408" s="74" t="s">
        <v>713</v>
      </c>
      <c r="E408" s="770">
        <v>4</v>
      </c>
      <c r="F408" s="770">
        <v>4</v>
      </c>
    </row>
    <row r="409" spans="1:6">
      <c r="A409" s="74" t="s">
        <v>813</v>
      </c>
      <c r="B409" s="74">
        <v>63</v>
      </c>
      <c r="C409" s="74" t="s">
        <v>710</v>
      </c>
      <c r="D409" s="74" t="s">
        <v>249</v>
      </c>
      <c r="E409" s="770">
        <v>4</v>
      </c>
      <c r="F409" s="770">
        <v>4</v>
      </c>
    </row>
    <row r="410" spans="1:6">
      <c r="A410" s="74" t="s">
        <v>813</v>
      </c>
      <c r="B410" s="74">
        <v>64</v>
      </c>
      <c r="C410" s="74" t="s">
        <v>817</v>
      </c>
      <c r="D410" s="74" t="s">
        <v>713</v>
      </c>
      <c r="E410" s="770">
        <v>4</v>
      </c>
      <c r="F410" s="770">
        <v>4</v>
      </c>
    </row>
    <row r="411" spans="1:6">
      <c r="A411" s="74" t="s">
        <v>813</v>
      </c>
      <c r="B411" s="74">
        <v>65</v>
      </c>
      <c r="C411" s="74" t="s">
        <v>697</v>
      </c>
      <c r="D411" s="74" t="s">
        <v>256</v>
      </c>
      <c r="E411" s="770">
        <v>4</v>
      </c>
      <c r="F411" s="770">
        <v>4</v>
      </c>
    </row>
    <row r="412" spans="1:6">
      <c r="A412" s="74" t="s">
        <v>813</v>
      </c>
      <c r="B412" s="74">
        <v>66</v>
      </c>
      <c r="C412" s="74" t="s">
        <v>735</v>
      </c>
      <c r="D412" s="74" t="s">
        <v>730</v>
      </c>
      <c r="E412" s="770">
        <v>4</v>
      </c>
      <c r="F412" s="770">
        <v>4</v>
      </c>
    </row>
    <row r="413" spans="1:6">
      <c r="A413" s="74" t="s">
        <v>813</v>
      </c>
      <c r="B413" s="74">
        <v>67</v>
      </c>
      <c r="C413" s="74" t="s">
        <v>766</v>
      </c>
      <c r="D413" s="74" t="s">
        <v>253</v>
      </c>
      <c r="E413" s="770">
        <v>4</v>
      </c>
      <c r="F413" s="770">
        <v>4</v>
      </c>
    </row>
    <row r="414" spans="1:6">
      <c r="A414" s="74" t="s">
        <v>813</v>
      </c>
      <c r="B414" s="74">
        <v>68</v>
      </c>
      <c r="C414" s="74" t="s">
        <v>740</v>
      </c>
      <c r="D414" s="74" t="s">
        <v>264</v>
      </c>
      <c r="E414" s="770">
        <v>3</v>
      </c>
      <c r="F414" s="770">
        <v>3</v>
      </c>
    </row>
    <row r="415" spans="1:6">
      <c r="A415" s="74" t="s">
        <v>813</v>
      </c>
      <c r="B415" s="74">
        <v>69</v>
      </c>
      <c r="C415" s="74" t="s">
        <v>722</v>
      </c>
      <c r="D415" s="74" t="s">
        <v>251</v>
      </c>
      <c r="E415" s="770">
        <v>3</v>
      </c>
      <c r="F415" s="770">
        <v>3</v>
      </c>
    </row>
    <row r="416" spans="1:6">
      <c r="A416" s="74" t="s">
        <v>813</v>
      </c>
      <c r="B416" s="74">
        <v>70</v>
      </c>
      <c r="C416" s="74" t="s">
        <v>734</v>
      </c>
      <c r="D416" s="74" t="s">
        <v>695</v>
      </c>
      <c r="E416" s="770">
        <v>3</v>
      </c>
      <c r="F416" s="770">
        <v>3</v>
      </c>
    </row>
    <row r="417" spans="1:6">
      <c r="A417" s="74" t="s">
        <v>813</v>
      </c>
      <c r="B417" s="74">
        <v>71</v>
      </c>
      <c r="C417" s="74" t="s">
        <v>696</v>
      </c>
      <c r="D417" s="74" t="s">
        <v>323</v>
      </c>
      <c r="E417" s="770">
        <v>3</v>
      </c>
      <c r="F417" s="770">
        <v>3</v>
      </c>
    </row>
    <row r="418" spans="1:6">
      <c r="A418" s="74" t="s">
        <v>813</v>
      </c>
      <c r="B418" s="74">
        <v>72</v>
      </c>
      <c r="C418" s="74" t="s">
        <v>723</v>
      </c>
      <c r="D418" s="74" t="s">
        <v>713</v>
      </c>
      <c r="E418" s="770">
        <v>3</v>
      </c>
      <c r="F418" s="770">
        <v>3</v>
      </c>
    </row>
    <row r="419" spans="1:6">
      <c r="A419" s="74" t="s">
        <v>813</v>
      </c>
      <c r="B419" s="74">
        <v>73</v>
      </c>
      <c r="C419" s="74" t="s">
        <v>703</v>
      </c>
      <c r="D419" s="74" t="s">
        <v>256</v>
      </c>
      <c r="E419" s="770">
        <v>3</v>
      </c>
      <c r="F419" s="770">
        <v>3</v>
      </c>
    </row>
    <row r="420" spans="1:6">
      <c r="A420" s="74" t="s">
        <v>813</v>
      </c>
      <c r="B420" s="74">
        <v>74</v>
      </c>
      <c r="C420" s="74" t="s">
        <v>798</v>
      </c>
      <c r="D420" s="74" t="s">
        <v>713</v>
      </c>
      <c r="E420" s="770">
        <v>3</v>
      </c>
      <c r="F420" s="770">
        <v>3</v>
      </c>
    </row>
    <row r="421" spans="1:6">
      <c r="A421" s="74" t="s">
        <v>813</v>
      </c>
      <c r="B421" s="74">
        <v>75</v>
      </c>
      <c r="C421" s="74" t="s">
        <v>690</v>
      </c>
      <c r="D421" s="74" t="s">
        <v>275</v>
      </c>
      <c r="E421" s="770">
        <v>3</v>
      </c>
      <c r="F421" s="770">
        <v>3</v>
      </c>
    </row>
    <row r="422" spans="1:6">
      <c r="A422" s="74" t="s">
        <v>813</v>
      </c>
      <c r="B422" s="74">
        <v>76</v>
      </c>
      <c r="C422" s="74" t="s">
        <v>760</v>
      </c>
      <c r="D422" s="74" t="s">
        <v>253</v>
      </c>
      <c r="E422" s="770">
        <v>3</v>
      </c>
      <c r="F422" s="770">
        <v>3</v>
      </c>
    </row>
    <row r="423" spans="1:6">
      <c r="A423" s="74" t="s">
        <v>813</v>
      </c>
      <c r="B423" s="74">
        <v>77</v>
      </c>
      <c r="C423" s="74" t="s">
        <v>748</v>
      </c>
      <c r="D423" s="74" t="s">
        <v>274</v>
      </c>
      <c r="E423" s="770">
        <v>3</v>
      </c>
      <c r="F423" s="770">
        <v>3</v>
      </c>
    </row>
    <row r="424" spans="1:6">
      <c r="A424" s="74" t="s">
        <v>813</v>
      </c>
      <c r="B424" s="74">
        <v>78</v>
      </c>
      <c r="C424" s="74" t="s">
        <v>720</v>
      </c>
      <c r="D424" s="74" t="s">
        <v>251</v>
      </c>
      <c r="E424" s="770">
        <v>3</v>
      </c>
      <c r="F424" s="770">
        <v>3</v>
      </c>
    </row>
    <row r="425" spans="1:6">
      <c r="A425" s="74" t="s">
        <v>813</v>
      </c>
      <c r="B425" s="74">
        <v>79</v>
      </c>
      <c r="C425" s="74" t="s">
        <v>705</v>
      </c>
      <c r="D425" s="74" t="s">
        <v>274</v>
      </c>
      <c r="E425" s="770">
        <v>3</v>
      </c>
      <c r="F425" s="770">
        <v>3</v>
      </c>
    </row>
    <row r="426" spans="1:6">
      <c r="A426" s="74" t="s">
        <v>813</v>
      </c>
      <c r="B426" s="74">
        <v>80</v>
      </c>
      <c r="C426" s="74" t="s">
        <v>747</v>
      </c>
      <c r="D426" s="74" t="s">
        <v>256</v>
      </c>
      <c r="E426" s="770">
        <v>2</v>
      </c>
      <c r="F426" s="770">
        <v>2</v>
      </c>
    </row>
    <row r="427" spans="1:6">
      <c r="A427" s="74" t="s">
        <v>813</v>
      </c>
      <c r="B427" s="74">
        <v>81</v>
      </c>
      <c r="C427" s="74" t="s">
        <v>736</v>
      </c>
      <c r="D427" s="74" t="s">
        <v>251</v>
      </c>
      <c r="E427" s="770">
        <v>2</v>
      </c>
      <c r="F427" s="770">
        <v>2</v>
      </c>
    </row>
    <row r="428" spans="1:6">
      <c r="A428" s="74" t="s">
        <v>813</v>
      </c>
      <c r="B428" s="74">
        <v>82</v>
      </c>
      <c r="C428" s="74" t="s">
        <v>767</v>
      </c>
      <c r="D428" s="74" t="s">
        <v>251</v>
      </c>
      <c r="E428" s="770">
        <v>2</v>
      </c>
      <c r="F428" s="770">
        <v>2</v>
      </c>
    </row>
    <row r="429" spans="1:6">
      <c r="A429" s="74" t="s">
        <v>813</v>
      </c>
      <c r="B429" s="74">
        <v>83</v>
      </c>
      <c r="C429" s="74" t="s">
        <v>786</v>
      </c>
      <c r="D429" s="74" t="s">
        <v>249</v>
      </c>
      <c r="E429" s="770">
        <v>2</v>
      </c>
      <c r="F429" s="770">
        <v>2</v>
      </c>
    </row>
    <row r="430" spans="1:6">
      <c r="A430" s="74" t="s">
        <v>813</v>
      </c>
      <c r="B430" s="74">
        <v>84</v>
      </c>
      <c r="C430" s="74" t="s">
        <v>706</v>
      </c>
      <c r="D430" s="74" t="s">
        <v>256</v>
      </c>
      <c r="E430" s="770">
        <v>2</v>
      </c>
      <c r="F430" s="770">
        <v>2</v>
      </c>
    </row>
    <row r="431" spans="1:6">
      <c r="A431" s="74" t="s">
        <v>813</v>
      </c>
      <c r="B431" s="74">
        <v>85</v>
      </c>
      <c r="C431" s="74" t="s">
        <v>699</v>
      </c>
      <c r="D431" s="74" t="s">
        <v>249</v>
      </c>
      <c r="E431" s="770">
        <v>2</v>
      </c>
      <c r="F431" s="770">
        <v>2</v>
      </c>
    </row>
    <row r="432" spans="1:6">
      <c r="A432" s="74" t="s">
        <v>813</v>
      </c>
      <c r="B432" s="74">
        <v>86</v>
      </c>
      <c r="C432" s="74" t="s">
        <v>684</v>
      </c>
      <c r="D432" s="74" t="s">
        <v>323</v>
      </c>
      <c r="E432" s="770">
        <v>2</v>
      </c>
      <c r="F432" s="770">
        <v>2</v>
      </c>
    </row>
    <row r="433" spans="1:6">
      <c r="A433" s="74" t="s">
        <v>813</v>
      </c>
      <c r="B433" s="74">
        <v>87</v>
      </c>
      <c r="C433" s="74" t="s">
        <v>746</v>
      </c>
      <c r="D433" s="74" t="s">
        <v>251</v>
      </c>
      <c r="E433" s="770">
        <v>2</v>
      </c>
      <c r="F433" s="770">
        <v>2</v>
      </c>
    </row>
    <row r="434" spans="1:6">
      <c r="A434" s="74" t="s">
        <v>813</v>
      </c>
      <c r="B434" s="74">
        <v>88</v>
      </c>
      <c r="C434" s="74" t="s">
        <v>807</v>
      </c>
      <c r="D434" s="74" t="s">
        <v>253</v>
      </c>
      <c r="E434" s="770">
        <v>2</v>
      </c>
      <c r="F434" s="770">
        <v>2</v>
      </c>
    </row>
    <row r="435" spans="1:6">
      <c r="A435" s="74" t="s">
        <v>813</v>
      </c>
      <c r="B435" s="74">
        <v>89</v>
      </c>
      <c r="C435" s="74" t="s">
        <v>715</v>
      </c>
      <c r="D435" s="74" t="s">
        <v>693</v>
      </c>
      <c r="E435" s="770">
        <v>1</v>
      </c>
      <c r="F435" s="770">
        <v>1</v>
      </c>
    </row>
    <row r="436" spans="1:6">
      <c r="A436" s="74" t="s">
        <v>813</v>
      </c>
      <c r="B436" s="74">
        <v>90</v>
      </c>
      <c r="C436" s="74" t="s">
        <v>811</v>
      </c>
      <c r="D436" s="74" t="s">
        <v>275</v>
      </c>
      <c r="E436" s="770">
        <v>1</v>
      </c>
      <c r="F436" s="770">
        <v>1</v>
      </c>
    </row>
    <row r="437" spans="1:6">
      <c r="A437" s="74" t="s">
        <v>813</v>
      </c>
      <c r="B437" s="74">
        <v>91</v>
      </c>
      <c r="C437" s="74" t="s">
        <v>818</v>
      </c>
      <c r="D437" s="74" t="s">
        <v>713</v>
      </c>
      <c r="E437" s="770">
        <v>1</v>
      </c>
      <c r="F437" s="770">
        <v>1</v>
      </c>
    </row>
    <row r="438" spans="1:6">
      <c r="A438" s="74" t="s">
        <v>813</v>
      </c>
      <c r="B438" s="74">
        <v>92</v>
      </c>
      <c r="C438" s="74" t="s">
        <v>762</v>
      </c>
      <c r="D438" s="74" t="s">
        <v>323</v>
      </c>
      <c r="E438" s="770">
        <v>1</v>
      </c>
      <c r="F438" s="770">
        <v>1</v>
      </c>
    </row>
    <row r="439" spans="1:6">
      <c r="A439" s="74" t="s">
        <v>813</v>
      </c>
      <c r="B439" s="74">
        <v>93</v>
      </c>
      <c r="C439" s="74" t="s">
        <v>819</v>
      </c>
      <c r="D439" s="74" t="s">
        <v>820</v>
      </c>
      <c r="E439" s="770">
        <v>1</v>
      </c>
      <c r="F439" s="770">
        <v>1</v>
      </c>
    </row>
    <row r="440" spans="1:6">
      <c r="A440" s="74" t="s">
        <v>813</v>
      </c>
      <c r="B440" s="74">
        <v>94</v>
      </c>
      <c r="C440" s="74" t="s">
        <v>821</v>
      </c>
      <c r="D440" s="74" t="s">
        <v>730</v>
      </c>
      <c r="E440" s="770">
        <v>1</v>
      </c>
      <c r="F440" s="770">
        <v>1</v>
      </c>
    </row>
    <row r="441" spans="1:6">
      <c r="A441" s="74" t="s">
        <v>813</v>
      </c>
      <c r="B441" s="74">
        <v>95</v>
      </c>
      <c r="C441" s="74" t="s">
        <v>728</v>
      </c>
      <c r="D441" s="74" t="s">
        <v>695</v>
      </c>
      <c r="E441" s="770">
        <v>1</v>
      </c>
      <c r="F441" s="770">
        <v>1</v>
      </c>
    </row>
    <row r="442" spans="1:6">
      <c r="A442" s="74" t="s">
        <v>813</v>
      </c>
      <c r="B442" s="74">
        <v>96</v>
      </c>
      <c r="C442" s="74" t="s">
        <v>799</v>
      </c>
      <c r="D442" s="74" t="s">
        <v>713</v>
      </c>
      <c r="E442" s="770">
        <v>1</v>
      </c>
      <c r="F442" s="770">
        <v>1</v>
      </c>
    </row>
    <row r="443" spans="1:6">
      <c r="A443" s="74" t="s">
        <v>813</v>
      </c>
      <c r="B443" s="74">
        <v>97</v>
      </c>
      <c r="C443" s="74" t="s">
        <v>692</v>
      </c>
      <c r="D443" s="74" t="s">
        <v>693</v>
      </c>
      <c r="E443" s="770">
        <v>1</v>
      </c>
      <c r="F443" s="770">
        <v>1</v>
      </c>
    </row>
    <row r="444" spans="1:6">
      <c r="A444" s="74" t="s">
        <v>813</v>
      </c>
      <c r="B444" s="74">
        <v>98</v>
      </c>
      <c r="C444" s="74" t="s">
        <v>822</v>
      </c>
      <c r="D444" s="74" t="s">
        <v>256</v>
      </c>
      <c r="E444" s="770">
        <v>1</v>
      </c>
      <c r="F444" s="770">
        <v>1</v>
      </c>
    </row>
    <row r="445" spans="1:6">
      <c r="A445" s="74" t="s">
        <v>813</v>
      </c>
      <c r="B445" s="74">
        <v>99</v>
      </c>
      <c r="C445" s="74" t="s">
        <v>823</v>
      </c>
      <c r="D445" s="74" t="s">
        <v>253</v>
      </c>
      <c r="E445" s="770">
        <v>1</v>
      </c>
      <c r="F445" s="770">
        <v>1</v>
      </c>
    </row>
    <row r="446" spans="1:6">
      <c r="A446" s="74" t="s">
        <v>813</v>
      </c>
      <c r="B446" s="74">
        <v>100</v>
      </c>
      <c r="C446" s="74" t="s">
        <v>784</v>
      </c>
      <c r="D446" s="74" t="s">
        <v>764</v>
      </c>
      <c r="E446" s="770">
        <v>1</v>
      </c>
      <c r="F446" s="770">
        <v>1</v>
      </c>
    </row>
    <row r="447" spans="1:6">
      <c r="A447" s="74" t="s">
        <v>813</v>
      </c>
      <c r="B447" s="74">
        <v>101</v>
      </c>
      <c r="C447" s="74" t="s">
        <v>773</v>
      </c>
      <c r="D447" s="74" t="s">
        <v>730</v>
      </c>
      <c r="E447" s="770">
        <v>1</v>
      </c>
      <c r="F447" s="770">
        <v>1</v>
      </c>
    </row>
    <row r="448" spans="1:6">
      <c r="A448" s="74" t="s">
        <v>758</v>
      </c>
      <c r="B448" s="74">
        <v>1</v>
      </c>
      <c r="C448" s="74" t="s">
        <v>248</v>
      </c>
      <c r="D448" s="74" t="s">
        <v>249</v>
      </c>
      <c r="E448" s="770">
        <v>57</v>
      </c>
      <c r="F448" s="770">
        <v>57</v>
      </c>
    </row>
    <row r="449" spans="1:6">
      <c r="A449" s="74" t="s">
        <v>758</v>
      </c>
      <c r="B449" s="74">
        <v>2</v>
      </c>
      <c r="C449" s="74" t="s">
        <v>259</v>
      </c>
      <c r="D449" s="74" t="s">
        <v>249</v>
      </c>
      <c r="E449" s="770">
        <v>40</v>
      </c>
      <c r="F449" s="770">
        <v>40</v>
      </c>
    </row>
    <row r="450" spans="1:6">
      <c r="A450" s="74" t="s">
        <v>758</v>
      </c>
      <c r="B450" s="74">
        <v>3</v>
      </c>
      <c r="C450" s="74" t="s">
        <v>261</v>
      </c>
      <c r="D450" s="74" t="s">
        <v>256</v>
      </c>
      <c r="E450" s="770">
        <v>38</v>
      </c>
      <c r="F450" s="770">
        <v>38</v>
      </c>
    </row>
    <row r="451" spans="1:6">
      <c r="A451" s="74" t="s">
        <v>758</v>
      </c>
      <c r="B451" s="74">
        <v>4</v>
      </c>
      <c r="C451" s="74" t="s">
        <v>255</v>
      </c>
      <c r="D451" s="74" t="s">
        <v>256</v>
      </c>
      <c r="E451" s="770">
        <v>31</v>
      </c>
      <c r="F451" s="770">
        <v>31</v>
      </c>
    </row>
    <row r="452" spans="1:6">
      <c r="A452" s="74" t="s">
        <v>758</v>
      </c>
      <c r="B452" s="74">
        <v>5</v>
      </c>
      <c r="C452" s="74" t="s">
        <v>254</v>
      </c>
      <c r="D452" s="74" t="s">
        <v>254</v>
      </c>
      <c r="E452" s="770">
        <v>29</v>
      </c>
      <c r="F452" s="770">
        <v>29</v>
      </c>
    </row>
    <row r="453" spans="1:6">
      <c r="A453" s="74" t="s">
        <v>758</v>
      </c>
      <c r="B453" s="74">
        <v>6</v>
      </c>
      <c r="C453" s="74" t="s">
        <v>250</v>
      </c>
      <c r="D453" s="74" t="s">
        <v>251</v>
      </c>
      <c r="E453" s="770">
        <v>24</v>
      </c>
      <c r="F453" s="770">
        <v>24</v>
      </c>
    </row>
    <row r="454" spans="1:6">
      <c r="A454" s="74" t="s">
        <v>758</v>
      </c>
      <c r="B454" s="74">
        <v>7</v>
      </c>
      <c r="C454" s="74" t="s">
        <v>671</v>
      </c>
      <c r="D454" s="74" t="s">
        <v>276</v>
      </c>
      <c r="E454" s="770">
        <v>20</v>
      </c>
      <c r="F454" s="770">
        <v>20</v>
      </c>
    </row>
    <row r="455" spans="1:6">
      <c r="A455" s="74" t="s">
        <v>758</v>
      </c>
      <c r="B455" s="74">
        <v>8</v>
      </c>
      <c r="C455" s="74" t="s">
        <v>673</v>
      </c>
      <c r="D455" s="74" t="s">
        <v>251</v>
      </c>
      <c r="E455" s="770">
        <v>20</v>
      </c>
      <c r="F455" s="770">
        <v>20</v>
      </c>
    </row>
    <row r="456" spans="1:6">
      <c r="A456" s="74" t="s">
        <v>758</v>
      </c>
      <c r="B456" s="74">
        <v>9</v>
      </c>
      <c r="C456" s="74" t="s">
        <v>680</v>
      </c>
      <c r="D456" s="74" t="s">
        <v>251</v>
      </c>
      <c r="E456" s="770">
        <v>18</v>
      </c>
      <c r="F456" s="770">
        <v>18</v>
      </c>
    </row>
    <row r="457" spans="1:6">
      <c r="A457" s="74" t="s">
        <v>758</v>
      </c>
      <c r="B457" s="74">
        <v>10</v>
      </c>
      <c r="C457" s="74" t="s">
        <v>678</v>
      </c>
      <c r="D457" s="74" t="s">
        <v>256</v>
      </c>
      <c r="E457" s="770">
        <v>17</v>
      </c>
      <c r="F457" s="770">
        <v>17</v>
      </c>
    </row>
    <row r="458" spans="1:6">
      <c r="A458" s="74" t="s">
        <v>758</v>
      </c>
      <c r="B458" s="74">
        <v>11</v>
      </c>
      <c r="C458" s="74" t="s">
        <v>716</v>
      </c>
      <c r="D458" s="74" t="s">
        <v>251</v>
      </c>
      <c r="E458" s="770">
        <v>14</v>
      </c>
      <c r="F458" s="770">
        <v>14</v>
      </c>
    </row>
    <row r="459" spans="1:6">
      <c r="A459" s="74" t="s">
        <v>758</v>
      </c>
      <c r="B459" s="74">
        <v>12</v>
      </c>
      <c r="C459" s="74" t="s">
        <v>262</v>
      </c>
      <c r="D459" s="74" t="s">
        <v>256</v>
      </c>
      <c r="E459" s="770">
        <v>14</v>
      </c>
      <c r="F459" s="770">
        <v>14</v>
      </c>
    </row>
    <row r="460" spans="1:6">
      <c r="A460" s="74" t="s">
        <v>758</v>
      </c>
      <c r="B460" s="74">
        <v>13</v>
      </c>
      <c r="C460" s="74" t="s">
        <v>675</v>
      </c>
      <c r="D460" s="74" t="s">
        <v>256</v>
      </c>
      <c r="E460" s="770">
        <v>12</v>
      </c>
      <c r="F460" s="770">
        <v>12</v>
      </c>
    </row>
    <row r="461" spans="1:6">
      <c r="A461" s="74" t="s">
        <v>758</v>
      </c>
      <c r="B461" s="74">
        <v>14</v>
      </c>
      <c r="C461" s="74" t="s">
        <v>698</v>
      </c>
      <c r="D461" s="74" t="s">
        <v>249</v>
      </c>
      <c r="E461" s="770">
        <v>11</v>
      </c>
      <c r="F461" s="770">
        <v>11</v>
      </c>
    </row>
    <row r="462" spans="1:6">
      <c r="A462" s="74" t="s">
        <v>758</v>
      </c>
      <c r="B462" s="74">
        <v>15</v>
      </c>
      <c r="C462" s="74" t="s">
        <v>679</v>
      </c>
      <c r="D462" s="74" t="s">
        <v>256</v>
      </c>
      <c r="E462" s="770">
        <v>11</v>
      </c>
      <c r="F462" s="770">
        <v>11</v>
      </c>
    </row>
    <row r="463" spans="1:6">
      <c r="A463" s="74" t="s">
        <v>758</v>
      </c>
      <c r="B463" s="74">
        <v>16</v>
      </c>
      <c r="C463" s="74" t="s">
        <v>686</v>
      </c>
      <c r="D463" s="74" t="s">
        <v>274</v>
      </c>
      <c r="E463" s="770">
        <v>10</v>
      </c>
      <c r="F463" s="770">
        <v>10</v>
      </c>
    </row>
    <row r="464" spans="1:6">
      <c r="A464" s="74" t="s">
        <v>758</v>
      </c>
      <c r="B464" s="74">
        <v>17</v>
      </c>
      <c r="C464" s="74" t="s">
        <v>685</v>
      </c>
      <c r="D464" s="74" t="s">
        <v>256</v>
      </c>
      <c r="E464" s="770">
        <v>10</v>
      </c>
      <c r="F464" s="770">
        <v>10</v>
      </c>
    </row>
    <row r="465" spans="1:6">
      <c r="A465" s="74" t="s">
        <v>758</v>
      </c>
      <c r="B465" s="74">
        <v>18</v>
      </c>
      <c r="C465" s="74" t="s">
        <v>727</v>
      </c>
      <c r="D465" s="74" t="s">
        <v>275</v>
      </c>
      <c r="E465" s="770">
        <v>10</v>
      </c>
      <c r="F465" s="770">
        <v>10</v>
      </c>
    </row>
    <row r="466" spans="1:6">
      <c r="A466" s="74" t="s">
        <v>758</v>
      </c>
      <c r="B466" s="74">
        <v>19</v>
      </c>
      <c r="C466" s="74" t="s">
        <v>681</v>
      </c>
      <c r="D466" s="74" t="s">
        <v>282</v>
      </c>
      <c r="E466" s="770">
        <v>9</v>
      </c>
      <c r="F466" s="770">
        <v>9</v>
      </c>
    </row>
    <row r="467" spans="1:6">
      <c r="A467" s="74" t="s">
        <v>758</v>
      </c>
      <c r="B467" s="74">
        <v>20</v>
      </c>
      <c r="C467" s="74" t="s">
        <v>674</v>
      </c>
      <c r="D467" s="74" t="s">
        <v>275</v>
      </c>
      <c r="E467" s="770">
        <v>9</v>
      </c>
      <c r="F467" s="770">
        <v>9</v>
      </c>
    </row>
    <row r="468" spans="1:6">
      <c r="A468" s="74" t="s">
        <v>758</v>
      </c>
      <c r="B468" s="74">
        <v>21</v>
      </c>
      <c r="C468" s="74" t="s">
        <v>738</v>
      </c>
      <c r="D468" s="74" t="s">
        <v>256</v>
      </c>
      <c r="E468" s="770">
        <v>8</v>
      </c>
      <c r="F468" s="770">
        <v>8</v>
      </c>
    </row>
    <row r="469" spans="1:6">
      <c r="A469" s="74" t="s">
        <v>758</v>
      </c>
      <c r="B469" s="74">
        <v>22</v>
      </c>
      <c r="C469" s="74" t="s">
        <v>687</v>
      </c>
      <c r="D469" s="74" t="s">
        <v>253</v>
      </c>
      <c r="E469" s="770">
        <v>8</v>
      </c>
      <c r="F469" s="770">
        <v>8</v>
      </c>
    </row>
    <row r="470" spans="1:6">
      <c r="A470" s="74" t="s">
        <v>758</v>
      </c>
      <c r="B470" s="74">
        <v>23</v>
      </c>
      <c r="C470" s="74" t="s">
        <v>706</v>
      </c>
      <c r="D470" s="74" t="s">
        <v>256</v>
      </c>
      <c r="E470" s="770">
        <v>7</v>
      </c>
      <c r="F470" s="770">
        <v>7</v>
      </c>
    </row>
    <row r="471" spans="1:6">
      <c r="A471" s="74" t="s">
        <v>758</v>
      </c>
      <c r="B471" s="74">
        <v>24</v>
      </c>
      <c r="C471" s="74" t="s">
        <v>697</v>
      </c>
      <c r="D471" s="74" t="s">
        <v>256</v>
      </c>
      <c r="E471" s="770">
        <v>6</v>
      </c>
      <c r="F471" s="770">
        <v>6</v>
      </c>
    </row>
    <row r="472" spans="1:6">
      <c r="A472" s="74" t="s">
        <v>758</v>
      </c>
      <c r="B472" s="74">
        <v>25</v>
      </c>
      <c r="C472" s="74" t="s">
        <v>740</v>
      </c>
      <c r="D472" s="74" t="s">
        <v>264</v>
      </c>
      <c r="E472" s="770">
        <v>5</v>
      </c>
      <c r="F472" s="770">
        <v>5</v>
      </c>
    </row>
    <row r="473" spans="1:6">
      <c r="A473" s="74" t="s">
        <v>758</v>
      </c>
      <c r="B473" s="74">
        <v>26</v>
      </c>
      <c r="C473" s="74" t="s">
        <v>677</v>
      </c>
      <c r="D473" s="74" t="s">
        <v>249</v>
      </c>
      <c r="E473" s="770">
        <v>5</v>
      </c>
      <c r="F473" s="770">
        <v>5</v>
      </c>
    </row>
    <row r="474" spans="1:6">
      <c r="A474" s="74" t="s">
        <v>758</v>
      </c>
      <c r="B474" s="74">
        <v>27</v>
      </c>
      <c r="C474" s="74" t="s">
        <v>682</v>
      </c>
      <c r="D474" s="74" t="s">
        <v>275</v>
      </c>
      <c r="E474" s="770">
        <v>5</v>
      </c>
      <c r="F474" s="770">
        <v>5</v>
      </c>
    </row>
    <row r="475" spans="1:6">
      <c r="A475" s="74" t="s">
        <v>758</v>
      </c>
      <c r="B475" s="74">
        <v>28</v>
      </c>
      <c r="C475" s="74" t="s">
        <v>759</v>
      </c>
      <c r="D475" s="74" t="s">
        <v>256</v>
      </c>
      <c r="E475" s="770">
        <v>5</v>
      </c>
      <c r="F475" s="770">
        <v>5</v>
      </c>
    </row>
    <row r="476" spans="1:6">
      <c r="A476" s="74" t="s">
        <v>758</v>
      </c>
      <c r="B476" s="74">
        <v>29</v>
      </c>
      <c r="C476" s="74" t="s">
        <v>760</v>
      </c>
      <c r="D476" s="74" t="s">
        <v>253</v>
      </c>
      <c r="E476" s="770">
        <v>5</v>
      </c>
      <c r="F476" s="770">
        <v>5</v>
      </c>
    </row>
    <row r="477" spans="1:6">
      <c r="A477" s="74" t="s">
        <v>758</v>
      </c>
      <c r="B477" s="74">
        <v>30</v>
      </c>
      <c r="C477" s="74" t="s">
        <v>723</v>
      </c>
      <c r="D477" s="74" t="s">
        <v>713</v>
      </c>
      <c r="E477" s="770">
        <v>4</v>
      </c>
      <c r="F477" s="770">
        <v>4</v>
      </c>
    </row>
    <row r="478" spans="1:6">
      <c r="A478" s="74" t="s">
        <v>758</v>
      </c>
      <c r="B478" s="74">
        <v>31</v>
      </c>
      <c r="C478" s="74" t="s">
        <v>676</v>
      </c>
      <c r="D478" s="74" t="s">
        <v>253</v>
      </c>
      <c r="E478" s="770">
        <v>4</v>
      </c>
      <c r="F478" s="770">
        <v>4</v>
      </c>
    </row>
    <row r="479" spans="1:6">
      <c r="A479" s="74" t="s">
        <v>758</v>
      </c>
      <c r="B479" s="74">
        <v>32</v>
      </c>
      <c r="C479" s="74" t="s">
        <v>694</v>
      </c>
      <c r="D479" s="74" t="s">
        <v>695</v>
      </c>
      <c r="E479" s="770">
        <v>4</v>
      </c>
      <c r="F479" s="770">
        <v>4</v>
      </c>
    </row>
    <row r="480" spans="1:6">
      <c r="A480" s="74" t="s">
        <v>758</v>
      </c>
      <c r="B480" s="74">
        <v>33</v>
      </c>
      <c r="C480" s="74" t="s">
        <v>684</v>
      </c>
      <c r="D480" s="74" t="s">
        <v>323</v>
      </c>
      <c r="E480" s="770">
        <v>4</v>
      </c>
      <c r="F480" s="770">
        <v>4</v>
      </c>
    </row>
    <row r="481" spans="1:6">
      <c r="A481" s="74" t="s">
        <v>758</v>
      </c>
      <c r="B481" s="74">
        <v>34</v>
      </c>
      <c r="C481" s="74" t="s">
        <v>700</v>
      </c>
      <c r="D481" s="74" t="s">
        <v>274</v>
      </c>
      <c r="E481" s="770">
        <v>4</v>
      </c>
      <c r="F481" s="770">
        <v>4</v>
      </c>
    </row>
    <row r="482" spans="1:6">
      <c r="A482" s="74" t="s">
        <v>758</v>
      </c>
      <c r="B482" s="74">
        <v>35</v>
      </c>
      <c r="C482" s="74" t="s">
        <v>721</v>
      </c>
      <c r="D482" s="74" t="s">
        <v>256</v>
      </c>
      <c r="E482" s="770">
        <v>4</v>
      </c>
      <c r="F482" s="770">
        <v>4</v>
      </c>
    </row>
    <row r="483" spans="1:6">
      <c r="A483" s="74" t="s">
        <v>758</v>
      </c>
      <c r="B483" s="74">
        <v>36</v>
      </c>
      <c r="C483" s="74" t="s">
        <v>742</v>
      </c>
      <c r="D483" s="74" t="s">
        <v>251</v>
      </c>
      <c r="E483" s="770">
        <v>4</v>
      </c>
      <c r="F483" s="770">
        <v>4</v>
      </c>
    </row>
    <row r="484" spans="1:6">
      <c r="A484" s="74" t="s">
        <v>758</v>
      </c>
      <c r="B484" s="74">
        <v>37</v>
      </c>
      <c r="C484" s="74" t="s">
        <v>731</v>
      </c>
      <c r="D484" s="74" t="s">
        <v>251</v>
      </c>
      <c r="E484" s="770">
        <v>4</v>
      </c>
      <c r="F484" s="770">
        <v>4</v>
      </c>
    </row>
    <row r="485" spans="1:6">
      <c r="A485" s="74" t="s">
        <v>758</v>
      </c>
      <c r="B485" s="74">
        <v>38</v>
      </c>
      <c r="C485" s="74" t="s">
        <v>702</v>
      </c>
      <c r="D485" s="74" t="s">
        <v>251</v>
      </c>
      <c r="E485" s="770">
        <v>3</v>
      </c>
      <c r="F485" s="770">
        <v>3</v>
      </c>
    </row>
    <row r="486" spans="1:6">
      <c r="A486" s="74" t="s">
        <v>758</v>
      </c>
      <c r="B486" s="74">
        <v>39</v>
      </c>
      <c r="C486" s="74" t="s">
        <v>745</v>
      </c>
      <c r="D486" s="74" t="s">
        <v>275</v>
      </c>
      <c r="E486" s="770">
        <v>3</v>
      </c>
      <c r="F486" s="770">
        <v>3</v>
      </c>
    </row>
    <row r="487" spans="1:6">
      <c r="A487" s="74" t="s">
        <v>758</v>
      </c>
      <c r="B487" s="74">
        <v>40</v>
      </c>
      <c r="C487" s="74" t="s">
        <v>703</v>
      </c>
      <c r="D487" s="74" t="s">
        <v>256</v>
      </c>
      <c r="E487" s="770">
        <v>3</v>
      </c>
      <c r="F487" s="770">
        <v>3</v>
      </c>
    </row>
    <row r="488" spans="1:6">
      <c r="A488" s="74" t="s">
        <v>758</v>
      </c>
      <c r="B488" s="74">
        <v>41</v>
      </c>
      <c r="C488" s="74" t="s">
        <v>688</v>
      </c>
      <c r="D488" s="74" t="s">
        <v>689</v>
      </c>
      <c r="E488" s="770">
        <v>3</v>
      </c>
      <c r="F488" s="770">
        <v>3</v>
      </c>
    </row>
    <row r="489" spans="1:6">
      <c r="A489" s="74" t="s">
        <v>758</v>
      </c>
      <c r="B489" s="74">
        <v>42</v>
      </c>
      <c r="C489" s="74" t="s">
        <v>755</v>
      </c>
      <c r="D489" s="74" t="s">
        <v>251</v>
      </c>
      <c r="E489" s="770">
        <v>3</v>
      </c>
      <c r="F489" s="770">
        <v>3</v>
      </c>
    </row>
    <row r="490" spans="1:6">
      <c r="A490" s="74" t="s">
        <v>758</v>
      </c>
      <c r="B490" s="74">
        <v>43</v>
      </c>
      <c r="C490" s="74" t="s">
        <v>708</v>
      </c>
      <c r="D490" s="74" t="s">
        <v>251</v>
      </c>
      <c r="E490" s="770">
        <v>3</v>
      </c>
      <c r="F490" s="770">
        <v>3</v>
      </c>
    </row>
    <row r="491" spans="1:6">
      <c r="A491" s="74" t="s">
        <v>758</v>
      </c>
      <c r="B491" s="74">
        <v>44</v>
      </c>
      <c r="C491" s="74" t="s">
        <v>743</v>
      </c>
      <c r="D491" s="74" t="s">
        <v>251</v>
      </c>
      <c r="E491" s="770">
        <v>3</v>
      </c>
      <c r="F491" s="770">
        <v>3</v>
      </c>
    </row>
    <row r="492" spans="1:6">
      <c r="A492" s="74" t="s">
        <v>758</v>
      </c>
      <c r="B492" s="74">
        <v>45</v>
      </c>
      <c r="C492" s="74" t="s">
        <v>710</v>
      </c>
      <c r="D492" s="74" t="s">
        <v>249</v>
      </c>
      <c r="E492" s="770">
        <v>3</v>
      </c>
      <c r="F492" s="770">
        <v>3</v>
      </c>
    </row>
    <row r="493" spans="1:6">
      <c r="A493" s="74" t="s">
        <v>758</v>
      </c>
      <c r="B493" s="74">
        <v>46</v>
      </c>
      <c r="C493" s="74" t="s">
        <v>752</v>
      </c>
      <c r="D493" s="74" t="s">
        <v>264</v>
      </c>
      <c r="E493" s="770">
        <v>3</v>
      </c>
      <c r="F493" s="770">
        <v>3</v>
      </c>
    </row>
    <row r="494" spans="1:6">
      <c r="A494" s="74" t="s">
        <v>758</v>
      </c>
      <c r="B494" s="74">
        <v>47</v>
      </c>
      <c r="C494" s="74" t="s">
        <v>761</v>
      </c>
      <c r="D494" s="74" t="s">
        <v>730</v>
      </c>
      <c r="E494" s="770">
        <v>2</v>
      </c>
      <c r="F494" s="770">
        <v>2</v>
      </c>
    </row>
    <row r="495" spans="1:6">
      <c r="A495" s="74" t="s">
        <v>758</v>
      </c>
      <c r="B495" s="74">
        <v>48</v>
      </c>
      <c r="C495" s="74" t="s">
        <v>762</v>
      </c>
      <c r="D495" s="74" t="s">
        <v>323</v>
      </c>
      <c r="E495" s="770">
        <v>2</v>
      </c>
      <c r="F495" s="770">
        <v>2</v>
      </c>
    </row>
    <row r="496" spans="1:6">
      <c r="A496" s="74" t="s">
        <v>758</v>
      </c>
      <c r="B496" s="74">
        <v>49</v>
      </c>
      <c r="C496" s="74" t="s">
        <v>691</v>
      </c>
      <c r="D496" s="74" t="s">
        <v>251</v>
      </c>
      <c r="E496" s="770">
        <v>2</v>
      </c>
      <c r="F496" s="770">
        <v>2</v>
      </c>
    </row>
    <row r="497" spans="1:6">
      <c r="A497" s="74" t="s">
        <v>758</v>
      </c>
      <c r="B497" s="74">
        <v>50</v>
      </c>
      <c r="C497" s="74" t="s">
        <v>690</v>
      </c>
      <c r="D497" s="74" t="s">
        <v>275</v>
      </c>
      <c r="E497" s="770">
        <v>2</v>
      </c>
      <c r="F497" s="770">
        <v>2</v>
      </c>
    </row>
    <row r="498" spans="1:6">
      <c r="A498" s="74" t="s">
        <v>758</v>
      </c>
      <c r="B498" s="74">
        <v>51</v>
      </c>
      <c r="C498" s="74" t="s">
        <v>719</v>
      </c>
      <c r="D498" s="74" t="s">
        <v>689</v>
      </c>
      <c r="E498" s="770">
        <v>2</v>
      </c>
      <c r="F498" s="770">
        <v>2</v>
      </c>
    </row>
    <row r="499" spans="1:6">
      <c r="A499" s="74" t="s">
        <v>758</v>
      </c>
      <c r="B499" s="74">
        <v>52</v>
      </c>
      <c r="C499" s="74" t="s">
        <v>711</v>
      </c>
      <c r="D499" s="74" t="s">
        <v>251</v>
      </c>
      <c r="E499" s="770">
        <v>2</v>
      </c>
      <c r="F499" s="770">
        <v>2</v>
      </c>
    </row>
    <row r="500" spans="1:6">
      <c r="A500" s="74" t="s">
        <v>758</v>
      </c>
      <c r="B500" s="74">
        <v>53</v>
      </c>
      <c r="C500" s="74" t="s">
        <v>701</v>
      </c>
      <c r="D500" s="74" t="s">
        <v>689</v>
      </c>
      <c r="E500" s="770">
        <v>2</v>
      </c>
      <c r="F500" s="770">
        <v>2</v>
      </c>
    </row>
    <row r="501" spans="1:6">
      <c r="A501" s="74" t="s">
        <v>758</v>
      </c>
      <c r="B501" s="74">
        <v>54</v>
      </c>
      <c r="C501" s="74" t="s">
        <v>763</v>
      </c>
      <c r="D501" s="74" t="s">
        <v>764</v>
      </c>
      <c r="E501" s="770">
        <v>2</v>
      </c>
      <c r="F501" s="770">
        <v>2</v>
      </c>
    </row>
    <row r="502" spans="1:6">
      <c r="A502" s="74" t="s">
        <v>758</v>
      </c>
      <c r="B502" s="74">
        <v>55</v>
      </c>
      <c r="C502" s="74" t="s">
        <v>757</v>
      </c>
      <c r="D502" s="74" t="s">
        <v>251</v>
      </c>
      <c r="E502" s="770">
        <v>1</v>
      </c>
      <c r="F502" s="770">
        <v>1</v>
      </c>
    </row>
    <row r="503" spans="1:6">
      <c r="A503" s="74" t="s">
        <v>758</v>
      </c>
      <c r="B503" s="74">
        <v>56</v>
      </c>
      <c r="C503" s="74" t="s">
        <v>765</v>
      </c>
      <c r="D503" s="74" t="s">
        <v>256</v>
      </c>
      <c r="E503" s="770">
        <v>1</v>
      </c>
      <c r="F503" s="770">
        <v>1</v>
      </c>
    </row>
    <row r="504" spans="1:6">
      <c r="A504" s="74" t="s">
        <v>758</v>
      </c>
      <c r="B504" s="74">
        <v>57</v>
      </c>
      <c r="C504" s="74" t="s">
        <v>766</v>
      </c>
      <c r="D504" s="74" t="s">
        <v>253</v>
      </c>
      <c r="E504" s="770">
        <v>1</v>
      </c>
      <c r="F504" s="770">
        <v>1</v>
      </c>
    </row>
    <row r="505" spans="1:6">
      <c r="A505" s="74" t="s">
        <v>758</v>
      </c>
      <c r="B505" s="74">
        <v>58</v>
      </c>
      <c r="C505" s="74" t="s">
        <v>714</v>
      </c>
      <c r="D505" s="74" t="s">
        <v>251</v>
      </c>
      <c r="E505" s="770">
        <v>1</v>
      </c>
      <c r="F505" s="770">
        <v>1</v>
      </c>
    </row>
    <row r="506" spans="1:6">
      <c r="A506" s="74" t="s">
        <v>758</v>
      </c>
      <c r="B506" s="74">
        <v>59</v>
      </c>
      <c r="C506" s="74" t="s">
        <v>739</v>
      </c>
      <c r="D506" s="74" t="s">
        <v>730</v>
      </c>
      <c r="E506" s="770">
        <v>1</v>
      </c>
      <c r="F506" s="770">
        <v>1</v>
      </c>
    </row>
    <row r="507" spans="1:6">
      <c r="A507" s="74" t="s">
        <v>758</v>
      </c>
      <c r="B507" s="74">
        <v>60</v>
      </c>
      <c r="C507" s="74" t="s">
        <v>751</v>
      </c>
      <c r="D507" s="74" t="s">
        <v>256</v>
      </c>
      <c r="E507" s="770">
        <v>1</v>
      </c>
      <c r="F507" s="770">
        <v>1</v>
      </c>
    </row>
    <row r="508" spans="1:6">
      <c r="A508" s="74" t="s">
        <v>758</v>
      </c>
      <c r="B508" s="74">
        <v>61</v>
      </c>
      <c r="C508" s="74" t="s">
        <v>735</v>
      </c>
      <c r="D508" s="74" t="s">
        <v>730</v>
      </c>
      <c r="E508" s="770">
        <v>1</v>
      </c>
      <c r="F508" s="770">
        <v>1</v>
      </c>
    </row>
    <row r="509" spans="1:6">
      <c r="A509" s="74" t="s">
        <v>758</v>
      </c>
      <c r="B509" s="74">
        <v>62</v>
      </c>
      <c r="C509" s="74" t="s">
        <v>707</v>
      </c>
      <c r="D509" s="74" t="s">
        <v>256</v>
      </c>
      <c r="E509" s="770">
        <v>1</v>
      </c>
      <c r="F509" s="770">
        <v>1</v>
      </c>
    </row>
    <row r="510" spans="1:6">
      <c r="A510" s="74" t="s">
        <v>758</v>
      </c>
      <c r="B510" s="74">
        <v>63</v>
      </c>
      <c r="C510" s="74" t="s">
        <v>705</v>
      </c>
      <c r="D510" s="74" t="s">
        <v>274</v>
      </c>
      <c r="E510" s="770">
        <v>1</v>
      </c>
      <c r="F510" s="770">
        <v>1</v>
      </c>
    </row>
    <row r="511" spans="1:6">
      <c r="A511" s="74" t="s">
        <v>758</v>
      </c>
      <c r="B511" s="74">
        <v>64</v>
      </c>
      <c r="C511" s="74" t="s">
        <v>753</v>
      </c>
      <c r="D511" s="74" t="s">
        <v>275</v>
      </c>
      <c r="E511" s="770">
        <v>1</v>
      </c>
      <c r="F511" s="770">
        <v>1</v>
      </c>
    </row>
    <row r="512" spans="1:6">
      <c r="A512" s="74" t="s">
        <v>758</v>
      </c>
      <c r="B512" s="74">
        <v>65</v>
      </c>
      <c r="C512" s="74" t="s">
        <v>718</v>
      </c>
      <c r="D512" s="74" t="s">
        <v>275</v>
      </c>
      <c r="E512" s="770">
        <v>1</v>
      </c>
      <c r="F512" s="770">
        <v>1</v>
      </c>
    </row>
    <row r="513" spans="1:6">
      <c r="A513" s="74" t="s">
        <v>758</v>
      </c>
      <c r="B513" s="74">
        <v>66</v>
      </c>
      <c r="C513" s="74" t="s">
        <v>712</v>
      </c>
      <c r="D513" s="74" t="s">
        <v>713</v>
      </c>
      <c r="E513" s="770">
        <v>1</v>
      </c>
      <c r="F513" s="770">
        <v>1</v>
      </c>
    </row>
    <row r="514" spans="1:6">
      <c r="A514" s="74" t="s">
        <v>758</v>
      </c>
      <c r="B514" s="74">
        <v>67</v>
      </c>
      <c r="C514" s="74" t="s">
        <v>767</v>
      </c>
      <c r="D514" s="74" t="s">
        <v>251</v>
      </c>
      <c r="E514" s="770">
        <v>1</v>
      </c>
      <c r="F514" s="770">
        <v>1</v>
      </c>
    </row>
    <row r="515" spans="1:6">
      <c r="A515" s="74" t="s">
        <v>758</v>
      </c>
      <c r="B515" s="74">
        <v>68</v>
      </c>
      <c r="C515" s="74" t="s">
        <v>722</v>
      </c>
      <c r="D515" s="74" t="s">
        <v>251</v>
      </c>
      <c r="E515" s="770">
        <v>1</v>
      </c>
      <c r="F515" s="770">
        <v>1</v>
      </c>
    </row>
    <row r="516" spans="1:6">
      <c r="A516" s="74" t="s">
        <v>758</v>
      </c>
      <c r="B516" s="74">
        <v>69</v>
      </c>
      <c r="C516" s="74" t="s">
        <v>768</v>
      </c>
      <c r="D516" s="74" t="s">
        <v>275</v>
      </c>
      <c r="E516" s="770">
        <v>1</v>
      </c>
      <c r="F516" s="770">
        <v>1</v>
      </c>
    </row>
    <row r="517" spans="1:6">
      <c r="A517" s="74" t="s">
        <v>758</v>
      </c>
      <c r="B517" s="74">
        <v>70</v>
      </c>
      <c r="C517" s="74" t="s">
        <v>734</v>
      </c>
      <c r="D517" s="74" t="s">
        <v>695</v>
      </c>
      <c r="E517" s="770">
        <v>1</v>
      </c>
      <c r="F517" s="770">
        <v>1</v>
      </c>
    </row>
    <row r="518" spans="1:6">
      <c r="A518" s="74" t="s">
        <v>758</v>
      </c>
      <c r="B518" s="74">
        <v>71</v>
      </c>
      <c r="C518" s="74" t="s">
        <v>683</v>
      </c>
      <c r="D518" s="74" t="s">
        <v>274</v>
      </c>
      <c r="E518" s="770">
        <v>1</v>
      </c>
      <c r="F518" s="770">
        <v>1</v>
      </c>
    </row>
    <row r="519" spans="1:6">
      <c r="A519" s="74" t="s">
        <v>758</v>
      </c>
      <c r="B519" s="74">
        <v>72</v>
      </c>
      <c r="C519" s="74" t="s">
        <v>737</v>
      </c>
      <c r="D519" s="74" t="s">
        <v>249</v>
      </c>
      <c r="E519" s="770">
        <v>1</v>
      </c>
      <c r="F519" s="770">
        <v>1</v>
      </c>
    </row>
    <row r="520" spans="1:6">
      <c r="A520" s="74" t="s">
        <v>758</v>
      </c>
      <c r="B520" s="74">
        <v>73</v>
      </c>
      <c r="C520" s="74" t="s">
        <v>720</v>
      </c>
      <c r="D520" s="74" t="s">
        <v>251</v>
      </c>
      <c r="E520" s="770">
        <v>1</v>
      </c>
      <c r="F520" s="770">
        <v>1</v>
      </c>
    </row>
    <row r="521" spans="1:6">
      <c r="A521" s="74" t="s">
        <v>758</v>
      </c>
      <c r="B521" s="74">
        <v>74</v>
      </c>
      <c r="C521" s="74" t="s">
        <v>709</v>
      </c>
      <c r="D521" s="74" t="s">
        <v>276</v>
      </c>
      <c r="E521" s="770">
        <v>1</v>
      </c>
      <c r="F521" s="770">
        <v>1</v>
      </c>
    </row>
    <row r="522" spans="1:6">
      <c r="A522" s="74" t="s">
        <v>758</v>
      </c>
      <c r="B522" s="74">
        <v>75</v>
      </c>
      <c r="C522" s="74" t="s">
        <v>769</v>
      </c>
      <c r="D522" s="74" t="s">
        <v>730</v>
      </c>
      <c r="E522" s="770">
        <v>1</v>
      </c>
      <c r="F522" s="770">
        <v>1</v>
      </c>
    </row>
    <row r="523" spans="1:6">
      <c r="A523" s="74" t="s">
        <v>758</v>
      </c>
      <c r="B523" s="74">
        <v>76</v>
      </c>
      <c r="C523" s="74" t="s">
        <v>692</v>
      </c>
      <c r="D523" s="74" t="s">
        <v>693</v>
      </c>
      <c r="E523" s="770">
        <v>1</v>
      </c>
      <c r="F523" s="770">
        <v>1</v>
      </c>
    </row>
    <row r="524" spans="1:6">
      <c r="A524" s="74" t="s">
        <v>805</v>
      </c>
      <c r="B524" s="74">
        <v>1</v>
      </c>
      <c r="C524" s="74" t="s">
        <v>259</v>
      </c>
      <c r="D524" s="74" t="s">
        <v>249</v>
      </c>
      <c r="E524" s="770">
        <v>74</v>
      </c>
      <c r="F524" s="770">
        <v>74</v>
      </c>
    </row>
    <row r="525" spans="1:6">
      <c r="A525" s="74" t="s">
        <v>805</v>
      </c>
      <c r="B525" s="74">
        <v>2</v>
      </c>
      <c r="C525" s="74" t="s">
        <v>790</v>
      </c>
      <c r="D525" s="74" t="s">
        <v>264</v>
      </c>
      <c r="E525" s="770">
        <v>71</v>
      </c>
      <c r="F525" s="770">
        <v>71</v>
      </c>
    </row>
    <row r="526" spans="1:6">
      <c r="A526" s="74" t="s">
        <v>805</v>
      </c>
      <c r="B526" s="74">
        <v>3</v>
      </c>
      <c r="C526" s="74" t="s">
        <v>248</v>
      </c>
      <c r="D526" s="74" t="s">
        <v>249</v>
      </c>
      <c r="E526" s="770">
        <v>70</v>
      </c>
      <c r="F526" s="770">
        <v>70</v>
      </c>
    </row>
    <row r="527" spans="1:6">
      <c r="A527" s="74" t="s">
        <v>805</v>
      </c>
      <c r="B527" s="74">
        <v>4</v>
      </c>
      <c r="C527" s="74" t="s">
        <v>250</v>
      </c>
      <c r="D527" s="74" t="s">
        <v>251</v>
      </c>
      <c r="E527" s="770">
        <v>70</v>
      </c>
      <c r="F527" s="770">
        <v>70</v>
      </c>
    </row>
    <row r="528" spans="1:6">
      <c r="A528" s="74" t="s">
        <v>805</v>
      </c>
      <c r="B528" s="74">
        <v>5</v>
      </c>
      <c r="C528" s="74" t="s">
        <v>261</v>
      </c>
      <c r="D528" s="74" t="s">
        <v>256</v>
      </c>
      <c r="E528" s="770">
        <v>62</v>
      </c>
      <c r="F528" s="770">
        <v>62</v>
      </c>
    </row>
    <row r="529" spans="1:6">
      <c r="A529" s="74" t="s">
        <v>805</v>
      </c>
      <c r="B529" s="74">
        <v>6</v>
      </c>
      <c r="C529" s="74" t="s">
        <v>255</v>
      </c>
      <c r="D529" s="74" t="s">
        <v>256</v>
      </c>
      <c r="E529" s="770">
        <v>55</v>
      </c>
      <c r="F529" s="770">
        <v>55</v>
      </c>
    </row>
    <row r="530" spans="1:6">
      <c r="A530" s="74" t="s">
        <v>805</v>
      </c>
      <c r="B530" s="74">
        <v>7</v>
      </c>
      <c r="C530" s="74" t="s">
        <v>680</v>
      </c>
      <c r="D530" s="74" t="s">
        <v>251</v>
      </c>
      <c r="E530" s="770">
        <v>46</v>
      </c>
      <c r="F530" s="770">
        <v>46</v>
      </c>
    </row>
    <row r="531" spans="1:6">
      <c r="A531" s="74" t="s">
        <v>805</v>
      </c>
      <c r="B531" s="74">
        <v>8</v>
      </c>
      <c r="C531" s="74" t="s">
        <v>679</v>
      </c>
      <c r="D531" s="74" t="s">
        <v>256</v>
      </c>
      <c r="E531" s="770">
        <v>26</v>
      </c>
      <c r="F531" s="770">
        <v>26</v>
      </c>
    </row>
    <row r="532" spans="1:6">
      <c r="A532" s="74" t="s">
        <v>805</v>
      </c>
      <c r="B532" s="74">
        <v>9</v>
      </c>
      <c r="C532" s="74" t="s">
        <v>262</v>
      </c>
      <c r="D532" s="74" t="s">
        <v>256</v>
      </c>
      <c r="E532" s="770">
        <v>26</v>
      </c>
      <c r="F532" s="770">
        <v>26</v>
      </c>
    </row>
    <row r="533" spans="1:6">
      <c r="A533" s="74" t="s">
        <v>805</v>
      </c>
      <c r="B533" s="74">
        <v>10</v>
      </c>
      <c r="C533" s="74" t="s">
        <v>806</v>
      </c>
      <c r="D533" s="74" t="s">
        <v>256</v>
      </c>
      <c r="E533" s="770">
        <v>23</v>
      </c>
      <c r="F533" s="770">
        <v>23</v>
      </c>
    </row>
    <row r="534" spans="1:6">
      <c r="A534" s="74" t="s">
        <v>805</v>
      </c>
      <c r="B534" s="74">
        <v>11</v>
      </c>
      <c r="C534" s="74" t="s">
        <v>791</v>
      </c>
      <c r="D534" s="74" t="s">
        <v>256</v>
      </c>
      <c r="E534" s="770">
        <v>23</v>
      </c>
      <c r="F534" s="770">
        <v>23</v>
      </c>
    </row>
    <row r="535" spans="1:6">
      <c r="A535" s="74" t="s">
        <v>805</v>
      </c>
      <c r="B535" s="74">
        <v>12</v>
      </c>
      <c r="C535" s="74" t="s">
        <v>673</v>
      </c>
      <c r="D535" s="74" t="s">
        <v>251</v>
      </c>
      <c r="E535" s="770">
        <v>20</v>
      </c>
      <c r="F535" s="770">
        <v>20</v>
      </c>
    </row>
    <row r="536" spans="1:6">
      <c r="A536" s="74" t="s">
        <v>805</v>
      </c>
      <c r="B536" s="74">
        <v>13</v>
      </c>
      <c r="C536" s="74" t="s">
        <v>678</v>
      </c>
      <c r="D536" s="74" t="s">
        <v>256</v>
      </c>
      <c r="E536" s="770">
        <v>20</v>
      </c>
      <c r="F536" s="770">
        <v>20</v>
      </c>
    </row>
    <row r="537" spans="1:6">
      <c r="A537" s="74" t="s">
        <v>805</v>
      </c>
      <c r="B537" s="74">
        <v>14</v>
      </c>
      <c r="C537" s="74" t="s">
        <v>254</v>
      </c>
      <c r="D537" s="74" t="s">
        <v>254</v>
      </c>
      <c r="E537" s="770">
        <v>16</v>
      </c>
      <c r="F537" s="770">
        <v>16</v>
      </c>
    </row>
    <row r="538" spans="1:6">
      <c r="A538" s="74" t="s">
        <v>805</v>
      </c>
      <c r="B538" s="74">
        <v>15</v>
      </c>
      <c r="C538" s="74" t="s">
        <v>792</v>
      </c>
      <c r="D538" s="74" t="s">
        <v>256</v>
      </c>
      <c r="E538" s="770">
        <v>15</v>
      </c>
      <c r="F538" s="770">
        <v>15</v>
      </c>
    </row>
    <row r="539" spans="1:6">
      <c r="A539" s="74" t="s">
        <v>805</v>
      </c>
      <c r="B539" s="74">
        <v>16</v>
      </c>
      <c r="C539" s="74" t="s">
        <v>681</v>
      </c>
      <c r="D539" s="74" t="s">
        <v>282</v>
      </c>
      <c r="E539" s="770">
        <v>15</v>
      </c>
      <c r="F539" s="770">
        <v>15</v>
      </c>
    </row>
    <row r="540" spans="1:6">
      <c r="A540" s="74" t="s">
        <v>805</v>
      </c>
      <c r="B540" s="74">
        <v>17</v>
      </c>
      <c r="C540" s="74" t="s">
        <v>698</v>
      </c>
      <c r="D540" s="74" t="s">
        <v>249</v>
      </c>
      <c r="E540" s="770">
        <v>14</v>
      </c>
      <c r="F540" s="770">
        <v>14</v>
      </c>
    </row>
    <row r="541" spans="1:6">
      <c r="A541" s="74" t="s">
        <v>805</v>
      </c>
      <c r="B541" s="74">
        <v>18</v>
      </c>
      <c r="C541" s="74" t="s">
        <v>686</v>
      </c>
      <c r="D541" s="74" t="s">
        <v>274</v>
      </c>
      <c r="E541" s="770">
        <v>13</v>
      </c>
      <c r="F541" s="770">
        <v>13</v>
      </c>
    </row>
    <row r="542" spans="1:6">
      <c r="A542" s="74" t="s">
        <v>805</v>
      </c>
      <c r="B542" s="74">
        <v>19</v>
      </c>
      <c r="C542" s="74" t="s">
        <v>707</v>
      </c>
      <c r="D542" s="74" t="s">
        <v>256</v>
      </c>
      <c r="E542" s="770">
        <v>12</v>
      </c>
      <c r="F542" s="770">
        <v>12</v>
      </c>
    </row>
    <row r="543" spans="1:6">
      <c r="A543" s="74" t="s">
        <v>805</v>
      </c>
      <c r="B543" s="74">
        <v>20</v>
      </c>
      <c r="C543" s="74" t="s">
        <v>682</v>
      </c>
      <c r="D543" s="74" t="s">
        <v>275</v>
      </c>
      <c r="E543" s="770">
        <v>12</v>
      </c>
      <c r="F543" s="770">
        <v>12</v>
      </c>
    </row>
    <row r="544" spans="1:6">
      <c r="A544" s="74" t="s">
        <v>805</v>
      </c>
      <c r="B544" s="74">
        <v>21</v>
      </c>
      <c r="C544" s="74" t="s">
        <v>738</v>
      </c>
      <c r="D544" s="74" t="s">
        <v>256</v>
      </c>
      <c r="E544" s="770">
        <v>11</v>
      </c>
      <c r="F544" s="770">
        <v>11</v>
      </c>
    </row>
    <row r="545" spans="1:6">
      <c r="A545" s="74" t="s">
        <v>805</v>
      </c>
      <c r="B545" s="74">
        <v>22</v>
      </c>
      <c r="C545" s="74" t="s">
        <v>780</v>
      </c>
      <c r="D545" s="74" t="s">
        <v>268</v>
      </c>
      <c r="E545" s="770">
        <v>11</v>
      </c>
      <c r="F545" s="770">
        <v>11</v>
      </c>
    </row>
    <row r="546" spans="1:6">
      <c r="A546" s="74" t="s">
        <v>805</v>
      </c>
      <c r="B546" s="74">
        <v>23</v>
      </c>
      <c r="C546" s="74" t="s">
        <v>697</v>
      </c>
      <c r="D546" s="74" t="s">
        <v>256</v>
      </c>
      <c r="E546" s="770">
        <v>10</v>
      </c>
      <c r="F546" s="770">
        <v>10</v>
      </c>
    </row>
    <row r="547" spans="1:6">
      <c r="A547" s="74" t="s">
        <v>805</v>
      </c>
      <c r="B547" s="74">
        <v>24</v>
      </c>
      <c r="C547" s="74" t="s">
        <v>704</v>
      </c>
      <c r="D547" s="74" t="s">
        <v>689</v>
      </c>
      <c r="E547" s="770">
        <v>9</v>
      </c>
      <c r="F547" s="770">
        <v>9</v>
      </c>
    </row>
    <row r="548" spans="1:6">
      <c r="A548" s="74" t="s">
        <v>805</v>
      </c>
      <c r="B548" s="74">
        <v>25</v>
      </c>
      <c r="C548" s="74" t="s">
        <v>794</v>
      </c>
      <c r="D548" s="74" t="s">
        <v>256</v>
      </c>
      <c r="E548" s="770">
        <v>9</v>
      </c>
      <c r="F548" s="770">
        <v>9</v>
      </c>
    </row>
    <row r="549" spans="1:6">
      <c r="A549" s="74" t="s">
        <v>805</v>
      </c>
      <c r="B549" s="74">
        <v>26</v>
      </c>
      <c r="C549" s="74" t="s">
        <v>781</v>
      </c>
      <c r="D549" s="74" t="s">
        <v>764</v>
      </c>
      <c r="E549" s="770">
        <v>9</v>
      </c>
      <c r="F549" s="770">
        <v>9</v>
      </c>
    </row>
    <row r="550" spans="1:6">
      <c r="A550" s="74" t="s">
        <v>805</v>
      </c>
      <c r="B550" s="74">
        <v>27</v>
      </c>
      <c r="C550" s="74" t="s">
        <v>671</v>
      </c>
      <c r="D550" s="74" t="s">
        <v>276</v>
      </c>
      <c r="E550" s="770">
        <v>9</v>
      </c>
      <c r="F550" s="770">
        <v>9</v>
      </c>
    </row>
    <row r="551" spans="1:6">
      <c r="A551" s="74" t="s">
        <v>805</v>
      </c>
      <c r="B551" s="74">
        <v>28</v>
      </c>
      <c r="C551" s="74" t="s">
        <v>676</v>
      </c>
      <c r="D551" s="74" t="s">
        <v>253</v>
      </c>
      <c r="E551" s="770">
        <v>9</v>
      </c>
      <c r="F551" s="770">
        <v>9</v>
      </c>
    </row>
    <row r="552" spans="1:6">
      <c r="A552" s="74" t="s">
        <v>805</v>
      </c>
      <c r="B552" s="74">
        <v>29</v>
      </c>
      <c r="C552" s="74" t="s">
        <v>716</v>
      </c>
      <c r="D552" s="74" t="s">
        <v>251</v>
      </c>
      <c r="E552" s="770">
        <v>8</v>
      </c>
      <c r="F552" s="770">
        <v>8</v>
      </c>
    </row>
    <row r="553" spans="1:6">
      <c r="A553" s="74" t="s">
        <v>805</v>
      </c>
      <c r="B553" s="74">
        <v>30</v>
      </c>
      <c r="C553" s="74" t="s">
        <v>694</v>
      </c>
      <c r="D553" s="74" t="s">
        <v>695</v>
      </c>
      <c r="E553" s="770">
        <v>8</v>
      </c>
      <c r="F553" s="770">
        <v>8</v>
      </c>
    </row>
    <row r="554" spans="1:6">
      <c r="A554" s="74" t="s">
        <v>805</v>
      </c>
      <c r="B554" s="74">
        <v>31</v>
      </c>
      <c r="C554" s="74" t="s">
        <v>705</v>
      </c>
      <c r="D554" s="74" t="s">
        <v>274</v>
      </c>
      <c r="E554" s="770">
        <v>7</v>
      </c>
      <c r="F554" s="770">
        <v>7</v>
      </c>
    </row>
    <row r="555" spans="1:6">
      <c r="A555" s="74" t="s">
        <v>805</v>
      </c>
      <c r="B555" s="74">
        <v>32</v>
      </c>
      <c r="C555" s="74" t="s">
        <v>683</v>
      </c>
      <c r="D555" s="74" t="s">
        <v>274</v>
      </c>
      <c r="E555" s="770">
        <v>7</v>
      </c>
      <c r="F555" s="770">
        <v>7</v>
      </c>
    </row>
    <row r="556" spans="1:6">
      <c r="A556" s="74" t="s">
        <v>805</v>
      </c>
      <c r="B556" s="74">
        <v>33</v>
      </c>
      <c r="C556" s="74" t="s">
        <v>674</v>
      </c>
      <c r="D556" s="74" t="s">
        <v>275</v>
      </c>
      <c r="E556" s="770">
        <v>7</v>
      </c>
      <c r="F556" s="770">
        <v>7</v>
      </c>
    </row>
    <row r="557" spans="1:6">
      <c r="A557" s="74" t="s">
        <v>805</v>
      </c>
      <c r="B557" s="74">
        <v>34</v>
      </c>
      <c r="C557" s="74" t="s">
        <v>688</v>
      </c>
      <c r="D557" s="74" t="s">
        <v>689</v>
      </c>
      <c r="E557" s="770">
        <v>7</v>
      </c>
      <c r="F557" s="770">
        <v>7</v>
      </c>
    </row>
    <row r="558" spans="1:6">
      <c r="A558" s="74" t="s">
        <v>805</v>
      </c>
      <c r="B558" s="74">
        <v>35</v>
      </c>
      <c r="C558" s="74" t="s">
        <v>684</v>
      </c>
      <c r="D558" s="74" t="s">
        <v>323</v>
      </c>
      <c r="E558" s="770">
        <v>7</v>
      </c>
      <c r="F558" s="770">
        <v>7</v>
      </c>
    </row>
    <row r="559" spans="1:6">
      <c r="A559" s="74" t="s">
        <v>805</v>
      </c>
      <c r="B559" s="74">
        <v>36</v>
      </c>
      <c r="C559" s="74" t="s">
        <v>708</v>
      </c>
      <c r="D559" s="74" t="s">
        <v>251</v>
      </c>
      <c r="E559" s="770">
        <v>7</v>
      </c>
      <c r="F559" s="770">
        <v>7</v>
      </c>
    </row>
    <row r="560" spans="1:6">
      <c r="A560" s="74" t="s">
        <v>805</v>
      </c>
      <c r="B560" s="74">
        <v>37</v>
      </c>
      <c r="C560" s="74" t="s">
        <v>807</v>
      </c>
      <c r="D560" s="74" t="s">
        <v>253</v>
      </c>
      <c r="E560" s="770">
        <v>6</v>
      </c>
      <c r="F560" s="770">
        <v>6</v>
      </c>
    </row>
    <row r="561" spans="1:6">
      <c r="A561" s="74" t="s">
        <v>805</v>
      </c>
      <c r="B561" s="74">
        <v>38</v>
      </c>
      <c r="C561" s="74" t="s">
        <v>720</v>
      </c>
      <c r="D561" s="74" t="s">
        <v>251</v>
      </c>
      <c r="E561" s="770">
        <v>6</v>
      </c>
      <c r="F561" s="770">
        <v>6</v>
      </c>
    </row>
    <row r="562" spans="1:6">
      <c r="A562" s="74" t="s">
        <v>805</v>
      </c>
      <c r="B562" s="74">
        <v>39</v>
      </c>
      <c r="C562" s="74" t="s">
        <v>796</v>
      </c>
      <c r="D562" s="74" t="s">
        <v>282</v>
      </c>
      <c r="E562" s="770">
        <v>6</v>
      </c>
      <c r="F562" s="770">
        <v>6</v>
      </c>
    </row>
    <row r="563" spans="1:6">
      <c r="A563" s="74" t="s">
        <v>805</v>
      </c>
      <c r="B563" s="74">
        <v>40</v>
      </c>
      <c r="C563" s="74" t="s">
        <v>685</v>
      </c>
      <c r="D563" s="74" t="s">
        <v>256</v>
      </c>
      <c r="E563" s="770">
        <v>6</v>
      </c>
      <c r="F563" s="770">
        <v>6</v>
      </c>
    </row>
    <row r="564" spans="1:6">
      <c r="A564" s="74" t="s">
        <v>805</v>
      </c>
      <c r="B564" s="74">
        <v>41</v>
      </c>
      <c r="C564" s="74" t="s">
        <v>761</v>
      </c>
      <c r="D564" s="74" t="s">
        <v>730</v>
      </c>
      <c r="E564" s="770">
        <v>6</v>
      </c>
      <c r="F564" s="770">
        <v>6</v>
      </c>
    </row>
    <row r="565" spans="1:6">
      <c r="A565" s="74" t="s">
        <v>805</v>
      </c>
      <c r="B565" s="74">
        <v>42</v>
      </c>
      <c r="C565" s="74" t="s">
        <v>701</v>
      </c>
      <c r="D565" s="74" t="s">
        <v>689</v>
      </c>
      <c r="E565" s="770">
        <v>6</v>
      </c>
      <c r="F565" s="770">
        <v>6</v>
      </c>
    </row>
    <row r="566" spans="1:6">
      <c r="A566" s="74" t="s">
        <v>805</v>
      </c>
      <c r="B566" s="74">
        <v>43</v>
      </c>
      <c r="C566" s="74" t="s">
        <v>675</v>
      </c>
      <c r="D566" s="74" t="s">
        <v>256</v>
      </c>
      <c r="E566" s="770">
        <v>6</v>
      </c>
      <c r="F566" s="770">
        <v>6</v>
      </c>
    </row>
    <row r="567" spans="1:6">
      <c r="A567" s="74" t="s">
        <v>805</v>
      </c>
      <c r="B567" s="74">
        <v>44</v>
      </c>
      <c r="C567" s="74" t="s">
        <v>687</v>
      </c>
      <c r="D567" s="74" t="s">
        <v>253</v>
      </c>
      <c r="E567" s="770">
        <v>5</v>
      </c>
      <c r="F567" s="770">
        <v>5</v>
      </c>
    </row>
    <row r="568" spans="1:6">
      <c r="A568" s="74" t="s">
        <v>805</v>
      </c>
      <c r="B568" s="74">
        <v>45</v>
      </c>
      <c r="C568" s="74" t="s">
        <v>748</v>
      </c>
      <c r="D568" s="74" t="s">
        <v>274</v>
      </c>
      <c r="E568" s="770">
        <v>5</v>
      </c>
      <c r="F568" s="770">
        <v>5</v>
      </c>
    </row>
    <row r="569" spans="1:6">
      <c r="A569" s="74" t="s">
        <v>805</v>
      </c>
      <c r="B569" s="74">
        <v>46</v>
      </c>
      <c r="C569" s="74" t="s">
        <v>710</v>
      </c>
      <c r="D569" s="74" t="s">
        <v>249</v>
      </c>
      <c r="E569" s="770">
        <v>5</v>
      </c>
      <c r="F569" s="770">
        <v>5</v>
      </c>
    </row>
    <row r="570" spans="1:6">
      <c r="A570" s="74" t="s">
        <v>805</v>
      </c>
      <c r="B570" s="74">
        <v>47</v>
      </c>
      <c r="C570" s="74" t="s">
        <v>740</v>
      </c>
      <c r="D570" s="74" t="s">
        <v>264</v>
      </c>
      <c r="E570" s="770">
        <v>5</v>
      </c>
      <c r="F570" s="770">
        <v>5</v>
      </c>
    </row>
    <row r="571" spans="1:6">
      <c r="A571" s="74" t="s">
        <v>805</v>
      </c>
      <c r="B571" s="74">
        <v>48</v>
      </c>
      <c r="C571" s="74" t="s">
        <v>722</v>
      </c>
      <c r="D571" s="74" t="s">
        <v>251</v>
      </c>
      <c r="E571" s="770">
        <v>5</v>
      </c>
      <c r="F571" s="770">
        <v>5</v>
      </c>
    </row>
    <row r="572" spans="1:6">
      <c r="A572" s="74" t="s">
        <v>805</v>
      </c>
      <c r="B572" s="74">
        <v>49</v>
      </c>
      <c r="C572" s="74" t="s">
        <v>702</v>
      </c>
      <c r="D572" s="74" t="s">
        <v>251</v>
      </c>
      <c r="E572" s="770">
        <v>5</v>
      </c>
      <c r="F572" s="770">
        <v>5</v>
      </c>
    </row>
    <row r="573" spans="1:6">
      <c r="A573" s="74" t="s">
        <v>805</v>
      </c>
      <c r="B573" s="74">
        <v>50</v>
      </c>
      <c r="C573" s="74" t="s">
        <v>677</v>
      </c>
      <c r="D573" s="74" t="s">
        <v>249</v>
      </c>
      <c r="E573" s="770">
        <v>5</v>
      </c>
      <c r="F573" s="770">
        <v>5</v>
      </c>
    </row>
    <row r="574" spans="1:6">
      <c r="A574" s="74" t="s">
        <v>805</v>
      </c>
      <c r="B574" s="74">
        <v>51</v>
      </c>
      <c r="C574" s="74" t="s">
        <v>700</v>
      </c>
      <c r="D574" s="74" t="s">
        <v>274</v>
      </c>
      <c r="E574" s="770">
        <v>4</v>
      </c>
      <c r="F574" s="770">
        <v>4</v>
      </c>
    </row>
    <row r="575" spans="1:6">
      <c r="A575" s="74" t="s">
        <v>805</v>
      </c>
      <c r="B575" s="74">
        <v>52</v>
      </c>
      <c r="C575" s="74" t="s">
        <v>696</v>
      </c>
      <c r="D575" s="74" t="s">
        <v>323</v>
      </c>
      <c r="E575" s="770">
        <v>4</v>
      </c>
      <c r="F575" s="770">
        <v>4</v>
      </c>
    </row>
    <row r="576" spans="1:6">
      <c r="A576" s="74" t="s">
        <v>805</v>
      </c>
      <c r="B576" s="74">
        <v>53</v>
      </c>
      <c r="C576" s="74" t="s">
        <v>703</v>
      </c>
      <c r="D576" s="74" t="s">
        <v>256</v>
      </c>
      <c r="E576" s="770">
        <v>4</v>
      </c>
      <c r="F576" s="770">
        <v>4</v>
      </c>
    </row>
    <row r="577" spans="1:6">
      <c r="A577" s="74" t="s">
        <v>805</v>
      </c>
      <c r="B577" s="74">
        <v>54</v>
      </c>
      <c r="C577" s="74" t="s">
        <v>691</v>
      </c>
      <c r="D577" s="74" t="s">
        <v>251</v>
      </c>
      <c r="E577" s="770">
        <v>4</v>
      </c>
      <c r="F577" s="770">
        <v>4</v>
      </c>
    </row>
    <row r="578" spans="1:6">
      <c r="A578" s="74" t="s">
        <v>805</v>
      </c>
      <c r="B578" s="74">
        <v>55</v>
      </c>
      <c r="C578" s="74" t="s">
        <v>723</v>
      </c>
      <c r="D578" s="74" t="s">
        <v>713</v>
      </c>
      <c r="E578" s="770">
        <v>4</v>
      </c>
      <c r="F578" s="770">
        <v>4</v>
      </c>
    </row>
    <row r="579" spans="1:6">
      <c r="A579" s="74" t="s">
        <v>805</v>
      </c>
      <c r="B579" s="74">
        <v>56</v>
      </c>
      <c r="C579" s="74" t="s">
        <v>808</v>
      </c>
      <c r="D579" s="74" t="s">
        <v>268</v>
      </c>
      <c r="E579" s="770">
        <v>4</v>
      </c>
      <c r="F579" s="770">
        <v>4</v>
      </c>
    </row>
    <row r="580" spans="1:6">
      <c r="A580" s="74" t="s">
        <v>805</v>
      </c>
      <c r="B580" s="74">
        <v>57</v>
      </c>
      <c r="C580" s="74" t="s">
        <v>743</v>
      </c>
      <c r="D580" s="74" t="s">
        <v>251</v>
      </c>
      <c r="E580" s="770">
        <v>4</v>
      </c>
      <c r="F580" s="770">
        <v>4</v>
      </c>
    </row>
    <row r="581" spans="1:6">
      <c r="A581" s="74" t="s">
        <v>805</v>
      </c>
      <c r="B581" s="74">
        <v>58</v>
      </c>
      <c r="C581" s="74" t="s">
        <v>801</v>
      </c>
      <c r="D581" s="74" t="s">
        <v>713</v>
      </c>
      <c r="E581" s="770">
        <v>3</v>
      </c>
      <c r="F581" s="770">
        <v>3</v>
      </c>
    </row>
    <row r="582" spans="1:6">
      <c r="A582" s="74" t="s">
        <v>805</v>
      </c>
      <c r="B582" s="74">
        <v>59</v>
      </c>
      <c r="C582" s="74" t="s">
        <v>742</v>
      </c>
      <c r="D582" s="74" t="s">
        <v>251</v>
      </c>
      <c r="E582" s="770">
        <v>3</v>
      </c>
      <c r="F582" s="770">
        <v>3</v>
      </c>
    </row>
    <row r="583" spans="1:6">
      <c r="A583" s="74" t="s">
        <v>805</v>
      </c>
      <c r="B583" s="74">
        <v>60</v>
      </c>
      <c r="C583" s="74" t="s">
        <v>714</v>
      </c>
      <c r="D583" s="74" t="s">
        <v>251</v>
      </c>
      <c r="E583" s="770">
        <v>3</v>
      </c>
      <c r="F583" s="770">
        <v>3</v>
      </c>
    </row>
    <row r="584" spans="1:6">
      <c r="A584" s="74" t="s">
        <v>805</v>
      </c>
      <c r="B584" s="74">
        <v>61</v>
      </c>
      <c r="C584" s="74" t="s">
        <v>798</v>
      </c>
      <c r="D584" s="74" t="s">
        <v>713</v>
      </c>
      <c r="E584" s="770">
        <v>3</v>
      </c>
      <c r="F584" s="770">
        <v>3</v>
      </c>
    </row>
    <row r="585" spans="1:6">
      <c r="A585" s="74" t="s">
        <v>805</v>
      </c>
      <c r="B585" s="74">
        <v>62</v>
      </c>
      <c r="C585" s="74" t="s">
        <v>751</v>
      </c>
      <c r="D585" s="74" t="s">
        <v>256</v>
      </c>
      <c r="E585" s="770">
        <v>3</v>
      </c>
      <c r="F585" s="770">
        <v>3</v>
      </c>
    </row>
    <row r="586" spans="1:6">
      <c r="A586" s="74" t="s">
        <v>805</v>
      </c>
      <c r="B586" s="74">
        <v>63</v>
      </c>
      <c r="C586" s="74" t="s">
        <v>766</v>
      </c>
      <c r="D586" s="74" t="s">
        <v>253</v>
      </c>
      <c r="E586" s="770">
        <v>3</v>
      </c>
      <c r="F586" s="770">
        <v>3</v>
      </c>
    </row>
    <row r="587" spans="1:6">
      <c r="A587" s="74" t="s">
        <v>805</v>
      </c>
      <c r="B587" s="74">
        <v>64</v>
      </c>
      <c r="C587" s="74" t="s">
        <v>797</v>
      </c>
      <c r="D587" s="74" t="s">
        <v>253</v>
      </c>
      <c r="E587" s="770">
        <v>3</v>
      </c>
      <c r="F587" s="770">
        <v>3</v>
      </c>
    </row>
    <row r="588" spans="1:6">
      <c r="A588" s="74" t="s">
        <v>805</v>
      </c>
      <c r="B588" s="74">
        <v>65</v>
      </c>
      <c r="C588" s="74" t="s">
        <v>706</v>
      </c>
      <c r="D588" s="74" t="s">
        <v>256</v>
      </c>
      <c r="E588" s="770">
        <v>3</v>
      </c>
      <c r="F588" s="770">
        <v>3</v>
      </c>
    </row>
    <row r="589" spans="1:6">
      <c r="A589" s="74" t="s">
        <v>805</v>
      </c>
      <c r="B589" s="74">
        <v>66</v>
      </c>
      <c r="C589" s="74" t="s">
        <v>715</v>
      </c>
      <c r="D589" s="74" t="s">
        <v>693</v>
      </c>
      <c r="E589" s="770">
        <v>3</v>
      </c>
      <c r="F589" s="770">
        <v>3</v>
      </c>
    </row>
    <row r="590" spans="1:6">
      <c r="A590" s="74" t="s">
        <v>805</v>
      </c>
      <c r="B590" s="74">
        <v>67</v>
      </c>
      <c r="C590" s="74" t="s">
        <v>767</v>
      </c>
      <c r="D590" s="74" t="s">
        <v>251</v>
      </c>
      <c r="E590" s="770">
        <v>2</v>
      </c>
      <c r="F590" s="770">
        <v>2</v>
      </c>
    </row>
    <row r="591" spans="1:6">
      <c r="A591" s="74" t="s">
        <v>805</v>
      </c>
      <c r="B591" s="74">
        <v>68</v>
      </c>
      <c r="C591" s="74" t="s">
        <v>762</v>
      </c>
      <c r="D591" s="74" t="s">
        <v>323</v>
      </c>
      <c r="E591" s="770">
        <v>2</v>
      </c>
      <c r="F591" s="770">
        <v>2</v>
      </c>
    </row>
    <row r="592" spans="1:6">
      <c r="A592" s="74" t="s">
        <v>805</v>
      </c>
      <c r="B592" s="74">
        <v>69</v>
      </c>
      <c r="C592" s="74" t="s">
        <v>809</v>
      </c>
      <c r="D592" s="74" t="s">
        <v>323</v>
      </c>
      <c r="E592" s="770">
        <v>2</v>
      </c>
      <c r="F592" s="770">
        <v>2</v>
      </c>
    </row>
    <row r="593" spans="1:6">
      <c r="A593" s="74" t="s">
        <v>805</v>
      </c>
      <c r="B593" s="74">
        <v>70</v>
      </c>
      <c r="C593" s="74" t="s">
        <v>737</v>
      </c>
      <c r="D593" s="74" t="s">
        <v>249</v>
      </c>
      <c r="E593" s="770">
        <v>2</v>
      </c>
      <c r="F593" s="770">
        <v>2</v>
      </c>
    </row>
    <row r="594" spans="1:6">
      <c r="A594" s="74" t="s">
        <v>805</v>
      </c>
      <c r="B594" s="74">
        <v>71</v>
      </c>
      <c r="C594" s="74" t="s">
        <v>752</v>
      </c>
      <c r="D594" s="74" t="s">
        <v>264</v>
      </c>
      <c r="E594" s="770">
        <v>2</v>
      </c>
      <c r="F594" s="770">
        <v>2</v>
      </c>
    </row>
    <row r="595" spans="1:6">
      <c r="A595" s="74" t="s">
        <v>805</v>
      </c>
      <c r="B595" s="74">
        <v>72</v>
      </c>
      <c r="C595" s="74" t="s">
        <v>745</v>
      </c>
      <c r="D595" s="74" t="s">
        <v>275</v>
      </c>
      <c r="E595" s="770">
        <v>2</v>
      </c>
      <c r="F595" s="770">
        <v>2</v>
      </c>
    </row>
    <row r="596" spans="1:6">
      <c r="A596" s="74" t="s">
        <v>805</v>
      </c>
      <c r="B596" s="74">
        <v>73</v>
      </c>
      <c r="C596" s="74" t="s">
        <v>755</v>
      </c>
      <c r="D596" s="74" t="s">
        <v>251</v>
      </c>
      <c r="E596" s="770">
        <v>2</v>
      </c>
      <c r="F596" s="770">
        <v>2</v>
      </c>
    </row>
    <row r="597" spans="1:6">
      <c r="A597" s="74" t="s">
        <v>805</v>
      </c>
      <c r="B597" s="74">
        <v>74</v>
      </c>
      <c r="C597" s="74" t="s">
        <v>773</v>
      </c>
      <c r="D597" s="74" t="s">
        <v>730</v>
      </c>
      <c r="E597" s="770">
        <v>2</v>
      </c>
      <c r="F597" s="770">
        <v>2</v>
      </c>
    </row>
    <row r="598" spans="1:6">
      <c r="A598" s="74" t="s">
        <v>805</v>
      </c>
      <c r="B598" s="74">
        <v>75</v>
      </c>
      <c r="C598" s="74" t="s">
        <v>769</v>
      </c>
      <c r="D598" s="74" t="s">
        <v>730</v>
      </c>
      <c r="E598" s="770">
        <v>2</v>
      </c>
      <c r="F598" s="770">
        <v>2</v>
      </c>
    </row>
    <row r="599" spans="1:6">
      <c r="A599" s="74" t="s">
        <v>805</v>
      </c>
      <c r="B599" s="74">
        <v>76</v>
      </c>
      <c r="C599" s="74" t="s">
        <v>763</v>
      </c>
      <c r="D599" s="74" t="s">
        <v>764</v>
      </c>
      <c r="E599" s="770">
        <v>2</v>
      </c>
      <c r="F599" s="770">
        <v>2</v>
      </c>
    </row>
    <row r="600" spans="1:6">
      <c r="A600" s="74" t="s">
        <v>805</v>
      </c>
      <c r="B600" s="74">
        <v>77</v>
      </c>
      <c r="C600" s="74" t="s">
        <v>711</v>
      </c>
      <c r="D600" s="74" t="s">
        <v>251</v>
      </c>
      <c r="E600" s="770">
        <v>2</v>
      </c>
      <c r="F600" s="770">
        <v>2</v>
      </c>
    </row>
    <row r="601" spans="1:6">
      <c r="A601" s="74" t="s">
        <v>805</v>
      </c>
      <c r="B601" s="74">
        <v>78</v>
      </c>
      <c r="C601" s="74" t="s">
        <v>728</v>
      </c>
      <c r="D601" s="74" t="s">
        <v>695</v>
      </c>
      <c r="E601" s="770">
        <v>1</v>
      </c>
      <c r="F601" s="770">
        <v>1</v>
      </c>
    </row>
    <row r="602" spans="1:6">
      <c r="A602" s="74" t="s">
        <v>805</v>
      </c>
      <c r="B602" s="74">
        <v>79</v>
      </c>
      <c r="C602" s="74" t="s">
        <v>772</v>
      </c>
      <c r="D602" s="74" t="s">
        <v>730</v>
      </c>
      <c r="E602" s="770">
        <v>1</v>
      </c>
      <c r="F602" s="770">
        <v>1</v>
      </c>
    </row>
    <row r="603" spans="1:6">
      <c r="A603" s="74" t="s">
        <v>805</v>
      </c>
      <c r="B603" s="74">
        <v>80</v>
      </c>
      <c r="C603" s="74" t="s">
        <v>731</v>
      </c>
      <c r="D603" s="74" t="s">
        <v>251</v>
      </c>
      <c r="E603" s="770">
        <v>1</v>
      </c>
      <c r="F603" s="770">
        <v>1</v>
      </c>
    </row>
    <row r="604" spans="1:6">
      <c r="A604" s="74" t="s">
        <v>805</v>
      </c>
      <c r="B604" s="74">
        <v>81</v>
      </c>
      <c r="C604" s="74" t="s">
        <v>727</v>
      </c>
      <c r="D604" s="74" t="s">
        <v>275</v>
      </c>
      <c r="E604" s="770">
        <v>1</v>
      </c>
      <c r="F604" s="770">
        <v>1</v>
      </c>
    </row>
    <row r="605" spans="1:6">
      <c r="A605" s="74" t="s">
        <v>805</v>
      </c>
      <c r="B605" s="74">
        <v>82</v>
      </c>
      <c r="C605" s="74" t="s">
        <v>744</v>
      </c>
      <c r="D605" s="74" t="s">
        <v>253</v>
      </c>
      <c r="E605" s="770">
        <v>1</v>
      </c>
      <c r="F605" s="770">
        <v>1</v>
      </c>
    </row>
    <row r="606" spans="1:6">
      <c r="A606" s="74" t="s">
        <v>805</v>
      </c>
      <c r="B606" s="74">
        <v>83</v>
      </c>
      <c r="C606" s="74" t="s">
        <v>739</v>
      </c>
      <c r="D606" s="74" t="s">
        <v>730</v>
      </c>
      <c r="E606" s="770">
        <v>1</v>
      </c>
      <c r="F606" s="770">
        <v>1</v>
      </c>
    </row>
    <row r="607" spans="1:6">
      <c r="A607" s="74" t="s">
        <v>805</v>
      </c>
      <c r="B607" s="74">
        <v>84</v>
      </c>
      <c r="C607" s="74" t="s">
        <v>802</v>
      </c>
      <c r="D607" s="74" t="s">
        <v>713</v>
      </c>
      <c r="E607" s="770">
        <v>1</v>
      </c>
      <c r="F607" s="770">
        <v>1</v>
      </c>
    </row>
    <row r="608" spans="1:6">
      <c r="A608" s="74" t="s">
        <v>805</v>
      </c>
      <c r="B608" s="74">
        <v>85</v>
      </c>
      <c r="C608" s="74" t="s">
        <v>765</v>
      </c>
      <c r="D608" s="74" t="s">
        <v>256</v>
      </c>
      <c r="E608" s="770">
        <v>1</v>
      </c>
      <c r="F608" s="770">
        <v>1</v>
      </c>
    </row>
    <row r="609" spans="1:6">
      <c r="A609" s="74" t="s">
        <v>805</v>
      </c>
      <c r="B609" s="74">
        <v>86</v>
      </c>
      <c r="C609" s="74" t="s">
        <v>709</v>
      </c>
      <c r="D609" s="74" t="s">
        <v>276</v>
      </c>
      <c r="E609" s="770">
        <v>1</v>
      </c>
      <c r="F609" s="770">
        <v>1</v>
      </c>
    </row>
    <row r="610" spans="1:6">
      <c r="A610" s="74" t="s">
        <v>805</v>
      </c>
      <c r="B610" s="74">
        <v>87</v>
      </c>
      <c r="C610" s="74" t="s">
        <v>756</v>
      </c>
      <c r="D610" s="74" t="s">
        <v>251</v>
      </c>
      <c r="E610" s="770">
        <v>1</v>
      </c>
      <c r="F610" s="770">
        <v>1</v>
      </c>
    </row>
    <row r="611" spans="1:6">
      <c r="A611" s="74" t="s">
        <v>805</v>
      </c>
      <c r="B611" s="74">
        <v>88</v>
      </c>
      <c r="C611" s="74" t="s">
        <v>690</v>
      </c>
      <c r="D611" s="74" t="s">
        <v>275</v>
      </c>
      <c r="E611" s="770">
        <v>1</v>
      </c>
      <c r="F611" s="770">
        <v>1</v>
      </c>
    </row>
    <row r="612" spans="1:6">
      <c r="A612" s="74" t="s">
        <v>805</v>
      </c>
      <c r="B612" s="74">
        <v>89</v>
      </c>
      <c r="C612" s="74" t="s">
        <v>753</v>
      </c>
      <c r="D612" s="74" t="s">
        <v>275</v>
      </c>
      <c r="E612" s="770">
        <v>1</v>
      </c>
      <c r="F612" s="770">
        <v>1</v>
      </c>
    </row>
    <row r="613" spans="1:6">
      <c r="A613" s="74" t="s">
        <v>805</v>
      </c>
      <c r="B613" s="74">
        <v>90</v>
      </c>
      <c r="C613" s="74" t="s">
        <v>757</v>
      </c>
      <c r="D613" s="74" t="s">
        <v>251</v>
      </c>
      <c r="E613" s="770">
        <v>1</v>
      </c>
      <c r="F613" s="770">
        <v>1</v>
      </c>
    </row>
    <row r="614" spans="1:6">
      <c r="A614" s="74" t="s">
        <v>805</v>
      </c>
      <c r="B614" s="74">
        <v>91</v>
      </c>
      <c r="C614" s="74" t="s">
        <v>810</v>
      </c>
      <c r="D614" s="74" t="s">
        <v>713</v>
      </c>
      <c r="E614" s="770">
        <v>1</v>
      </c>
      <c r="F614" s="770">
        <v>1</v>
      </c>
    </row>
    <row r="615" spans="1:6">
      <c r="A615" s="74" t="s">
        <v>805</v>
      </c>
      <c r="B615" s="74">
        <v>92</v>
      </c>
      <c r="C615" s="74" t="s">
        <v>784</v>
      </c>
      <c r="D615" s="74" t="s">
        <v>764</v>
      </c>
      <c r="E615" s="770">
        <v>1</v>
      </c>
      <c r="F615" s="770">
        <v>1</v>
      </c>
    </row>
    <row r="616" spans="1:6">
      <c r="A616" s="74" t="s">
        <v>805</v>
      </c>
      <c r="B616" s="74">
        <v>93</v>
      </c>
      <c r="C616" s="74" t="s">
        <v>811</v>
      </c>
      <c r="D616" s="74" t="s">
        <v>275</v>
      </c>
      <c r="E616" s="770">
        <v>1</v>
      </c>
      <c r="F616" s="770">
        <v>1</v>
      </c>
    </row>
    <row r="617" spans="1:6">
      <c r="A617" s="74" t="s">
        <v>805</v>
      </c>
      <c r="B617" s="74">
        <v>94</v>
      </c>
      <c r="C617" s="74" t="s">
        <v>812</v>
      </c>
      <c r="D617" s="74" t="s">
        <v>274</v>
      </c>
      <c r="E617" s="770">
        <v>1</v>
      </c>
      <c r="F617" s="770">
        <v>1</v>
      </c>
    </row>
    <row r="618" spans="1:6">
      <c r="A618" s="74" t="s">
        <v>805</v>
      </c>
      <c r="B618" s="74">
        <v>95</v>
      </c>
      <c r="C618" s="74" t="s">
        <v>799</v>
      </c>
      <c r="D618" s="74" t="s">
        <v>713</v>
      </c>
      <c r="E618" s="770">
        <v>1</v>
      </c>
      <c r="F618" s="770">
        <v>1</v>
      </c>
    </row>
    <row r="619" spans="1:6">
      <c r="A619" s="74" t="s">
        <v>805</v>
      </c>
      <c r="B619" s="74">
        <v>96</v>
      </c>
      <c r="C619" s="74" t="s">
        <v>804</v>
      </c>
      <c r="D619" s="74" t="s">
        <v>253</v>
      </c>
      <c r="E619" s="770">
        <v>1</v>
      </c>
      <c r="F619" s="770">
        <v>1</v>
      </c>
    </row>
    <row r="620" spans="1:6">
      <c r="A620" s="74" t="s">
        <v>805</v>
      </c>
      <c r="B620" s="74">
        <v>97</v>
      </c>
      <c r="C620" s="74" t="s">
        <v>690</v>
      </c>
      <c r="D620" s="74" t="s">
        <v>275</v>
      </c>
      <c r="E620" s="770">
        <v>1</v>
      </c>
      <c r="F620" s="770">
        <v>1</v>
      </c>
    </row>
    <row r="621" spans="1:6">
      <c r="A621" s="74" t="s">
        <v>805</v>
      </c>
      <c r="B621" s="74">
        <v>98</v>
      </c>
      <c r="C621" s="74" t="s">
        <v>692</v>
      </c>
      <c r="D621" s="74" t="s">
        <v>693</v>
      </c>
      <c r="E621" s="770">
        <v>1</v>
      </c>
      <c r="F621" s="770">
        <v>1</v>
      </c>
    </row>
    <row r="622" spans="1:6">
      <c r="A622" s="74" t="s">
        <v>805</v>
      </c>
      <c r="B622" s="74">
        <v>99</v>
      </c>
      <c r="C622" s="74" t="s">
        <v>746</v>
      </c>
      <c r="D622" s="74" t="s">
        <v>251</v>
      </c>
      <c r="E622" s="770">
        <v>1</v>
      </c>
      <c r="F622" s="770">
        <v>1</v>
      </c>
    </row>
    <row r="623" spans="1:6">
      <c r="A623" s="74" t="s">
        <v>824</v>
      </c>
      <c r="B623" s="74">
        <v>1</v>
      </c>
      <c r="C623" s="74" t="s">
        <v>248</v>
      </c>
      <c r="D623" s="74" t="s">
        <v>249</v>
      </c>
      <c r="E623" s="770">
        <v>61</v>
      </c>
      <c r="F623" s="770">
        <v>61</v>
      </c>
    </row>
    <row r="624" spans="1:6">
      <c r="A624" s="74" t="s">
        <v>824</v>
      </c>
      <c r="B624" s="74">
        <v>2</v>
      </c>
      <c r="C624" s="74" t="s">
        <v>259</v>
      </c>
      <c r="D624" s="74" t="s">
        <v>249</v>
      </c>
      <c r="E624" s="770">
        <v>59</v>
      </c>
      <c r="F624" s="770">
        <v>59</v>
      </c>
    </row>
    <row r="625" spans="1:6">
      <c r="A625" s="74" t="s">
        <v>824</v>
      </c>
      <c r="B625" s="74">
        <v>3</v>
      </c>
      <c r="C625" s="74" t="s">
        <v>261</v>
      </c>
      <c r="D625" s="74" t="s">
        <v>256</v>
      </c>
      <c r="E625" s="770">
        <v>40</v>
      </c>
      <c r="F625" s="770">
        <v>40</v>
      </c>
    </row>
    <row r="626" spans="1:6">
      <c r="A626" s="74" t="s">
        <v>824</v>
      </c>
      <c r="B626" s="74">
        <v>4</v>
      </c>
      <c r="C626" s="74" t="s">
        <v>790</v>
      </c>
      <c r="D626" s="74" t="s">
        <v>264</v>
      </c>
      <c r="E626" s="770">
        <v>40</v>
      </c>
      <c r="F626" s="770">
        <v>40</v>
      </c>
    </row>
    <row r="627" spans="1:6">
      <c r="A627" s="74" t="s">
        <v>824</v>
      </c>
      <c r="B627" s="74">
        <v>5</v>
      </c>
      <c r="C627" s="74" t="s">
        <v>250</v>
      </c>
      <c r="D627" s="74" t="s">
        <v>251</v>
      </c>
      <c r="E627" s="770">
        <v>34</v>
      </c>
      <c r="F627" s="770">
        <v>34</v>
      </c>
    </row>
    <row r="628" spans="1:6">
      <c r="A628" s="74" t="s">
        <v>824</v>
      </c>
      <c r="B628" s="74">
        <v>6</v>
      </c>
      <c r="C628" s="74" t="s">
        <v>255</v>
      </c>
      <c r="D628" s="74" t="s">
        <v>256</v>
      </c>
      <c r="E628" s="770">
        <v>31</v>
      </c>
      <c r="F628" s="770">
        <v>31</v>
      </c>
    </row>
    <row r="629" spans="1:6">
      <c r="A629" s="74" t="s">
        <v>824</v>
      </c>
      <c r="B629" s="74">
        <v>7</v>
      </c>
      <c r="C629" s="74" t="s">
        <v>254</v>
      </c>
      <c r="D629" s="74" t="s">
        <v>254</v>
      </c>
      <c r="E629" s="770">
        <v>26</v>
      </c>
      <c r="F629" s="770">
        <v>26</v>
      </c>
    </row>
    <row r="630" spans="1:6">
      <c r="A630" s="74" t="s">
        <v>824</v>
      </c>
      <c r="B630" s="74">
        <v>8</v>
      </c>
      <c r="C630" s="74" t="s">
        <v>673</v>
      </c>
      <c r="D630" s="74" t="s">
        <v>251</v>
      </c>
      <c r="E630" s="770">
        <v>23</v>
      </c>
      <c r="F630" s="770">
        <v>23</v>
      </c>
    </row>
    <row r="631" spans="1:6">
      <c r="A631" s="74" t="s">
        <v>824</v>
      </c>
      <c r="B631" s="74">
        <v>9</v>
      </c>
      <c r="C631" s="74" t="s">
        <v>262</v>
      </c>
      <c r="D631" s="74" t="s">
        <v>256</v>
      </c>
      <c r="E631" s="770">
        <v>22</v>
      </c>
      <c r="F631" s="770">
        <v>22</v>
      </c>
    </row>
    <row r="632" spans="1:6">
      <c r="A632" s="74" t="s">
        <v>824</v>
      </c>
      <c r="B632" s="74">
        <v>10</v>
      </c>
      <c r="C632" s="74" t="s">
        <v>806</v>
      </c>
      <c r="D632" s="74" t="s">
        <v>256</v>
      </c>
      <c r="E632" s="770">
        <v>21</v>
      </c>
      <c r="F632" s="770">
        <v>21</v>
      </c>
    </row>
    <row r="633" spans="1:6">
      <c r="A633" s="74" t="s">
        <v>824</v>
      </c>
      <c r="B633" s="74">
        <v>11</v>
      </c>
      <c r="C633" s="74" t="s">
        <v>680</v>
      </c>
      <c r="D633" s="74" t="s">
        <v>251</v>
      </c>
      <c r="E633" s="770">
        <v>19</v>
      </c>
      <c r="F633" s="770">
        <v>19</v>
      </c>
    </row>
    <row r="634" spans="1:6">
      <c r="A634" s="74" t="s">
        <v>824</v>
      </c>
      <c r="B634" s="74">
        <v>12</v>
      </c>
      <c r="C634" s="74" t="s">
        <v>678</v>
      </c>
      <c r="D634" s="74" t="s">
        <v>256</v>
      </c>
      <c r="E634" s="770">
        <v>17</v>
      </c>
      <c r="F634" s="770">
        <v>17</v>
      </c>
    </row>
    <row r="635" spans="1:6">
      <c r="A635" s="74" t="s">
        <v>824</v>
      </c>
      <c r="B635" s="74">
        <v>13</v>
      </c>
      <c r="C635" s="74" t="s">
        <v>791</v>
      </c>
      <c r="D635" s="74" t="s">
        <v>256</v>
      </c>
      <c r="E635" s="770">
        <v>17</v>
      </c>
      <c r="F635" s="770">
        <v>17</v>
      </c>
    </row>
    <row r="636" spans="1:6">
      <c r="A636" s="74" t="s">
        <v>824</v>
      </c>
      <c r="B636" s="74">
        <v>14</v>
      </c>
      <c r="C636" s="74" t="s">
        <v>780</v>
      </c>
      <c r="D636" s="74" t="s">
        <v>268</v>
      </c>
      <c r="E636" s="770">
        <v>14</v>
      </c>
      <c r="F636" s="770">
        <v>14</v>
      </c>
    </row>
    <row r="637" spans="1:6">
      <c r="A637" s="74" t="s">
        <v>824</v>
      </c>
      <c r="B637" s="74">
        <v>15</v>
      </c>
      <c r="C637" s="74" t="s">
        <v>674</v>
      </c>
      <c r="D637" s="74" t="s">
        <v>275</v>
      </c>
      <c r="E637" s="770">
        <v>13</v>
      </c>
      <c r="F637" s="770">
        <v>13</v>
      </c>
    </row>
    <row r="638" spans="1:6">
      <c r="A638" s="74" t="s">
        <v>824</v>
      </c>
      <c r="B638" s="74">
        <v>16</v>
      </c>
      <c r="C638" s="74" t="s">
        <v>738</v>
      </c>
      <c r="D638" s="74" t="s">
        <v>256</v>
      </c>
      <c r="E638" s="770">
        <v>12</v>
      </c>
      <c r="F638" s="770">
        <v>12</v>
      </c>
    </row>
    <row r="639" spans="1:6">
      <c r="A639" s="74" t="s">
        <v>824</v>
      </c>
      <c r="B639" s="74">
        <v>17</v>
      </c>
      <c r="C639" s="74" t="s">
        <v>691</v>
      </c>
      <c r="D639" s="74" t="s">
        <v>251</v>
      </c>
      <c r="E639" s="770">
        <v>12</v>
      </c>
      <c r="F639" s="770">
        <v>12</v>
      </c>
    </row>
    <row r="640" spans="1:6">
      <c r="A640" s="74" t="s">
        <v>824</v>
      </c>
      <c r="B640" s="74">
        <v>18</v>
      </c>
      <c r="C640" s="74" t="s">
        <v>716</v>
      </c>
      <c r="D640" s="74" t="s">
        <v>251</v>
      </c>
      <c r="E640" s="770">
        <v>12</v>
      </c>
      <c r="F640" s="770">
        <v>12</v>
      </c>
    </row>
    <row r="641" spans="1:6">
      <c r="A641" s="74" t="s">
        <v>824</v>
      </c>
      <c r="B641" s="74">
        <v>19</v>
      </c>
      <c r="C641" s="74" t="s">
        <v>679</v>
      </c>
      <c r="D641" s="74" t="s">
        <v>256</v>
      </c>
      <c r="E641" s="770">
        <v>12</v>
      </c>
      <c r="F641" s="770">
        <v>12</v>
      </c>
    </row>
    <row r="642" spans="1:6">
      <c r="A642" s="74" t="s">
        <v>824</v>
      </c>
      <c r="B642" s="74">
        <v>20</v>
      </c>
      <c r="C642" s="74" t="s">
        <v>686</v>
      </c>
      <c r="D642" s="74" t="s">
        <v>274</v>
      </c>
      <c r="E642" s="770">
        <v>11</v>
      </c>
      <c r="F642" s="770">
        <v>11</v>
      </c>
    </row>
    <row r="643" spans="1:6">
      <c r="A643" s="74" t="s">
        <v>824</v>
      </c>
      <c r="B643" s="74">
        <v>21</v>
      </c>
      <c r="C643" s="74" t="s">
        <v>792</v>
      </c>
      <c r="D643" s="74" t="s">
        <v>256</v>
      </c>
      <c r="E643" s="770">
        <v>11</v>
      </c>
      <c r="F643" s="770">
        <v>11</v>
      </c>
    </row>
    <row r="644" spans="1:6">
      <c r="A644" s="74" t="s">
        <v>824</v>
      </c>
      <c r="B644" s="74">
        <v>22</v>
      </c>
      <c r="C644" s="74" t="s">
        <v>675</v>
      </c>
      <c r="D644" s="74" t="s">
        <v>256</v>
      </c>
      <c r="E644" s="770">
        <v>10</v>
      </c>
      <c r="F644" s="770">
        <v>10</v>
      </c>
    </row>
    <row r="645" spans="1:6">
      <c r="A645" s="74" t="s">
        <v>824</v>
      </c>
      <c r="B645" s="74">
        <v>23</v>
      </c>
      <c r="C645" s="74" t="s">
        <v>671</v>
      </c>
      <c r="D645" s="74" t="s">
        <v>276</v>
      </c>
      <c r="E645" s="770">
        <v>10</v>
      </c>
      <c r="F645" s="770">
        <v>10</v>
      </c>
    </row>
    <row r="646" spans="1:6">
      <c r="A646" s="74" t="s">
        <v>824</v>
      </c>
      <c r="B646" s="74">
        <v>24</v>
      </c>
      <c r="C646" s="74" t="s">
        <v>676</v>
      </c>
      <c r="D646" s="74" t="s">
        <v>253</v>
      </c>
      <c r="E646" s="770">
        <v>8</v>
      </c>
      <c r="F646" s="770">
        <v>8</v>
      </c>
    </row>
    <row r="647" spans="1:6">
      <c r="A647" s="74" t="s">
        <v>824</v>
      </c>
      <c r="B647" s="74">
        <v>25</v>
      </c>
      <c r="C647" s="74" t="s">
        <v>808</v>
      </c>
      <c r="D647" s="74" t="s">
        <v>268</v>
      </c>
      <c r="E647" s="770">
        <v>8</v>
      </c>
      <c r="F647" s="770">
        <v>8</v>
      </c>
    </row>
    <row r="648" spans="1:6">
      <c r="A648" s="74" t="s">
        <v>824</v>
      </c>
      <c r="B648" s="74">
        <v>26</v>
      </c>
      <c r="C648" s="74" t="s">
        <v>681</v>
      </c>
      <c r="D648" s="74" t="s">
        <v>282</v>
      </c>
      <c r="E648" s="770">
        <v>8</v>
      </c>
      <c r="F648" s="770">
        <v>8</v>
      </c>
    </row>
    <row r="649" spans="1:6">
      <c r="A649" s="74" t="s">
        <v>824</v>
      </c>
      <c r="B649" s="74">
        <v>27</v>
      </c>
      <c r="C649" s="74" t="s">
        <v>825</v>
      </c>
      <c r="D649" s="74" t="s">
        <v>256</v>
      </c>
      <c r="E649" s="770">
        <v>8</v>
      </c>
      <c r="F649" s="770">
        <v>8</v>
      </c>
    </row>
    <row r="650" spans="1:6">
      <c r="A650" s="74" t="s">
        <v>824</v>
      </c>
      <c r="B650" s="74">
        <v>28</v>
      </c>
      <c r="C650" s="74" t="s">
        <v>708</v>
      </c>
      <c r="D650" s="74" t="s">
        <v>251</v>
      </c>
      <c r="E650" s="770">
        <v>8</v>
      </c>
      <c r="F650" s="770">
        <v>8</v>
      </c>
    </row>
    <row r="651" spans="1:6">
      <c r="A651" s="74" t="s">
        <v>824</v>
      </c>
      <c r="B651" s="74">
        <v>29</v>
      </c>
      <c r="C651" s="74" t="s">
        <v>714</v>
      </c>
      <c r="D651" s="74" t="s">
        <v>251</v>
      </c>
      <c r="E651" s="770">
        <v>8</v>
      </c>
      <c r="F651" s="770">
        <v>8</v>
      </c>
    </row>
    <row r="652" spans="1:6">
      <c r="A652" s="74" t="s">
        <v>824</v>
      </c>
      <c r="B652" s="74">
        <v>30</v>
      </c>
      <c r="C652" s="74" t="s">
        <v>682</v>
      </c>
      <c r="D652" s="74" t="s">
        <v>275</v>
      </c>
      <c r="E652" s="770">
        <v>8</v>
      </c>
      <c r="F652" s="770">
        <v>8</v>
      </c>
    </row>
    <row r="653" spans="1:6">
      <c r="A653" s="74" t="s">
        <v>824</v>
      </c>
      <c r="B653" s="74">
        <v>31</v>
      </c>
      <c r="C653" s="74" t="s">
        <v>703</v>
      </c>
      <c r="D653" s="74" t="s">
        <v>256</v>
      </c>
      <c r="E653" s="770">
        <v>7</v>
      </c>
      <c r="F653" s="770">
        <v>7</v>
      </c>
    </row>
    <row r="654" spans="1:6">
      <c r="A654" s="74" t="s">
        <v>824</v>
      </c>
      <c r="B654" s="74">
        <v>32</v>
      </c>
      <c r="C654" s="74" t="s">
        <v>707</v>
      </c>
      <c r="D654" s="74" t="s">
        <v>256</v>
      </c>
      <c r="E654" s="770">
        <v>7</v>
      </c>
      <c r="F654" s="770">
        <v>7</v>
      </c>
    </row>
    <row r="655" spans="1:6">
      <c r="A655" s="74" t="s">
        <v>824</v>
      </c>
      <c r="B655" s="74">
        <v>33</v>
      </c>
      <c r="C655" s="74" t="s">
        <v>688</v>
      </c>
      <c r="D655" s="74" t="s">
        <v>689</v>
      </c>
      <c r="E655" s="770">
        <v>7</v>
      </c>
      <c r="F655" s="770">
        <v>7</v>
      </c>
    </row>
    <row r="656" spans="1:6">
      <c r="A656" s="74" t="s">
        <v>824</v>
      </c>
      <c r="B656" s="74">
        <v>34</v>
      </c>
      <c r="C656" s="74" t="s">
        <v>685</v>
      </c>
      <c r="D656" s="74" t="s">
        <v>256</v>
      </c>
      <c r="E656" s="770">
        <v>7</v>
      </c>
      <c r="F656" s="770">
        <v>7</v>
      </c>
    </row>
    <row r="657" spans="1:6">
      <c r="A657" s="74" t="s">
        <v>824</v>
      </c>
      <c r="B657" s="74">
        <v>35</v>
      </c>
      <c r="C657" s="74" t="s">
        <v>684</v>
      </c>
      <c r="D657" s="74" t="s">
        <v>323</v>
      </c>
      <c r="E657" s="770">
        <v>6</v>
      </c>
      <c r="F657" s="770">
        <v>6</v>
      </c>
    </row>
    <row r="658" spans="1:6">
      <c r="A658" s="74" t="s">
        <v>824</v>
      </c>
      <c r="B658" s="74">
        <v>36</v>
      </c>
      <c r="C658" s="74" t="s">
        <v>822</v>
      </c>
      <c r="D658" s="74" t="s">
        <v>256</v>
      </c>
      <c r="E658" s="770">
        <v>6</v>
      </c>
      <c r="F658" s="770">
        <v>6</v>
      </c>
    </row>
    <row r="659" spans="1:6">
      <c r="A659" s="74" t="s">
        <v>824</v>
      </c>
      <c r="B659" s="74">
        <v>37</v>
      </c>
      <c r="C659" s="74" t="s">
        <v>751</v>
      </c>
      <c r="D659" s="74" t="s">
        <v>256</v>
      </c>
      <c r="E659" s="770">
        <v>6</v>
      </c>
      <c r="F659" s="770">
        <v>6</v>
      </c>
    </row>
    <row r="660" spans="1:6">
      <c r="A660" s="74" t="s">
        <v>824</v>
      </c>
      <c r="B660" s="74">
        <v>38</v>
      </c>
      <c r="C660" s="74" t="s">
        <v>687</v>
      </c>
      <c r="D660" s="74" t="s">
        <v>253</v>
      </c>
      <c r="E660" s="770">
        <v>6</v>
      </c>
      <c r="F660" s="770">
        <v>6</v>
      </c>
    </row>
    <row r="661" spans="1:6">
      <c r="A661" s="74" t="s">
        <v>824</v>
      </c>
      <c r="B661" s="74">
        <v>39</v>
      </c>
      <c r="C661" s="74" t="s">
        <v>794</v>
      </c>
      <c r="D661" s="74" t="s">
        <v>256</v>
      </c>
      <c r="E661" s="770">
        <v>5</v>
      </c>
      <c r="F661" s="770">
        <v>5</v>
      </c>
    </row>
    <row r="662" spans="1:6">
      <c r="A662" s="74" t="s">
        <v>824</v>
      </c>
      <c r="B662" s="74">
        <v>40</v>
      </c>
      <c r="C662" s="74" t="s">
        <v>727</v>
      </c>
      <c r="D662" s="74" t="s">
        <v>275</v>
      </c>
      <c r="E662" s="770">
        <v>5</v>
      </c>
      <c r="F662" s="770">
        <v>5</v>
      </c>
    </row>
    <row r="663" spans="1:6">
      <c r="A663" s="74" t="s">
        <v>824</v>
      </c>
      <c r="B663" s="74">
        <v>41</v>
      </c>
      <c r="C663" s="74" t="s">
        <v>677</v>
      </c>
      <c r="D663" s="74" t="s">
        <v>249</v>
      </c>
      <c r="E663" s="770">
        <v>5</v>
      </c>
      <c r="F663" s="770">
        <v>5</v>
      </c>
    </row>
    <row r="664" spans="1:6">
      <c r="A664" s="74" t="s">
        <v>824</v>
      </c>
      <c r="B664" s="74">
        <v>42</v>
      </c>
      <c r="C664" s="74" t="s">
        <v>698</v>
      </c>
      <c r="D664" s="74" t="s">
        <v>249</v>
      </c>
      <c r="E664" s="770">
        <v>5</v>
      </c>
      <c r="F664" s="770">
        <v>5</v>
      </c>
    </row>
    <row r="665" spans="1:6">
      <c r="A665" s="74" t="s">
        <v>824</v>
      </c>
      <c r="B665" s="74">
        <v>43</v>
      </c>
      <c r="C665" s="74" t="s">
        <v>748</v>
      </c>
      <c r="D665" s="74" t="s">
        <v>274</v>
      </c>
      <c r="E665" s="770">
        <v>4</v>
      </c>
      <c r="F665" s="770">
        <v>4</v>
      </c>
    </row>
    <row r="666" spans="1:6">
      <c r="A666" s="74" t="s">
        <v>824</v>
      </c>
      <c r="B666" s="74">
        <v>44</v>
      </c>
      <c r="C666" s="74" t="s">
        <v>745</v>
      </c>
      <c r="D666" s="74" t="s">
        <v>275</v>
      </c>
      <c r="E666" s="770">
        <v>4</v>
      </c>
      <c r="F666" s="770">
        <v>4</v>
      </c>
    </row>
    <row r="667" spans="1:6">
      <c r="A667" s="74" t="s">
        <v>824</v>
      </c>
      <c r="B667" s="74">
        <v>45</v>
      </c>
      <c r="C667" s="74" t="s">
        <v>700</v>
      </c>
      <c r="D667" s="74" t="s">
        <v>274</v>
      </c>
      <c r="E667" s="770">
        <v>4</v>
      </c>
      <c r="F667" s="770">
        <v>4</v>
      </c>
    </row>
    <row r="668" spans="1:6">
      <c r="A668" s="74" t="s">
        <v>824</v>
      </c>
      <c r="B668" s="74">
        <v>46</v>
      </c>
      <c r="C668" s="74" t="s">
        <v>796</v>
      </c>
      <c r="D668" s="74" t="s">
        <v>282</v>
      </c>
      <c r="E668" s="770">
        <v>4</v>
      </c>
      <c r="F668" s="770">
        <v>4</v>
      </c>
    </row>
    <row r="669" spans="1:6">
      <c r="A669" s="74" t="s">
        <v>824</v>
      </c>
      <c r="B669" s="74">
        <v>47</v>
      </c>
      <c r="C669" s="74" t="s">
        <v>697</v>
      </c>
      <c r="D669" s="74" t="s">
        <v>256</v>
      </c>
      <c r="E669" s="770">
        <v>4</v>
      </c>
      <c r="F669" s="770">
        <v>4</v>
      </c>
    </row>
    <row r="670" spans="1:6">
      <c r="A670" s="74" t="s">
        <v>824</v>
      </c>
      <c r="B670" s="74">
        <v>48</v>
      </c>
      <c r="C670" s="74" t="s">
        <v>711</v>
      </c>
      <c r="D670" s="74" t="s">
        <v>251</v>
      </c>
      <c r="E670" s="770">
        <v>4</v>
      </c>
      <c r="F670" s="770">
        <v>4</v>
      </c>
    </row>
    <row r="671" spans="1:6">
      <c r="A671" s="74" t="s">
        <v>824</v>
      </c>
      <c r="B671" s="74">
        <v>49</v>
      </c>
      <c r="C671" s="74" t="s">
        <v>742</v>
      </c>
      <c r="D671" s="74" t="s">
        <v>251</v>
      </c>
      <c r="E671" s="770">
        <v>4</v>
      </c>
      <c r="F671" s="770">
        <v>4</v>
      </c>
    </row>
    <row r="672" spans="1:6">
      <c r="A672" s="74" t="s">
        <v>824</v>
      </c>
      <c r="B672" s="74">
        <v>50</v>
      </c>
      <c r="C672" s="74" t="s">
        <v>704</v>
      </c>
      <c r="D672" s="74" t="s">
        <v>689</v>
      </c>
      <c r="E672" s="770">
        <v>3</v>
      </c>
      <c r="F672" s="770">
        <v>3</v>
      </c>
    </row>
    <row r="673" spans="1:6">
      <c r="A673" s="74" t="s">
        <v>824</v>
      </c>
      <c r="B673" s="74">
        <v>51</v>
      </c>
      <c r="C673" s="74" t="s">
        <v>701</v>
      </c>
      <c r="D673" s="74" t="s">
        <v>689</v>
      </c>
      <c r="E673" s="770">
        <v>3</v>
      </c>
      <c r="F673" s="770">
        <v>3</v>
      </c>
    </row>
    <row r="674" spans="1:6">
      <c r="A674" s="74" t="s">
        <v>824</v>
      </c>
      <c r="B674" s="74">
        <v>52</v>
      </c>
      <c r="C674" s="74" t="s">
        <v>723</v>
      </c>
      <c r="D674" s="74" t="s">
        <v>713</v>
      </c>
      <c r="E674" s="770">
        <v>3</v>
      </c>
      <c r="F674" s="770">
        <v>3</v>
      </c>
    </row>
    <row r="675" spans="1:6">
      <c r="A675" s="74" t="s">
        <v>824</v>
      </c>
      <c r="B675" s="74">
        <v>53</v>
      </c>
      <c r="C675" s="74" t="s">
        <v>804</v>
      </c>
      <c r="D675" s="74" t="s">
        <v>253</v>
      </c>
      <c r="E675" s="770">
        <v>3</v>
      </c>
      <c r="F675" s="770">
        <v>3</v>
      </c>
    </row>
    <row r="676" spans="1:6">
      <c r="A676" s="74" t="s">
        <v>824</v>
      </c>
      <c r="B676" s="74">
        <v>54</v>
      </c>
      <c r="C676" s="74" t="s">
        <v>696</v>
      </c>
      <c r="D676" s="74" t="s">
        <v>323</v>
      </c>
      <c r="E676" s="770">
        <v>3</v>
      </c>
      <c r="F676" s="770">
        <v>3</v>
      </c>
    </row>
    <row r="677" spans="1:6">
      <c r="A677" s="74" t="s">
        <v>824</v>
      </c>
      <c r="B677" s="74">
        <v>55</v>
      </c>
      <c r="C677" s="74" t="s">
        <v>737</v>
      </c>
      <c r="D677" s="74" t="s">
        <v>249</v>
      </c>
      <c r="E677" s="770">
        <v>3</v>
      </c>
      <c r="F677" s="770">
        <v>3</v>
      </c>
    </row>
    <row r="678" spans="1:6">
      <c r="A678" s="74" t="s">
        <v>824</v>
      </c>
      <c r="B678" s="74">
        <v>56</v>
      </c>
      <c r="C678" s="74" t="s">
        <v>690</v>
      </c>
      <c r="D678" s="74" t="s">
        <v>275</v>
      </c>
      <c r="E678" s="770">
        <v>3</v>
      </c>
      <c r="F678" s="770">
        <v>3</v>
      </c>
    </row>
    <row r="679" spans="1:6">
      <c r="A679" s="74" t="s">
        <v>824</v>
      </c>
      <c r="B679" s="74">
        <v>57</v>
      </c>
      <c r="C679" s="74" t="s">
        <v>683</v>
      </c>
      <c r="D679" s="74" t="s">
        <v>274</v>
      </c>
      <c r="E679" s="770">
        <v>3</v>
      </c>
      <c r="F679" s="770">
        <v>3</v>
      </c>
    </row>
    <row r="680" spans="1:6">
      <c r="A680" s="74" t="s">
        <v>824</v>
      </c>
      <c r="B680" s="74">
        <v>58</v>
      </c>
      <c r="C680" s="74" t="s">
        <v>763</v>
      </c>
      <c r="D680" s="74" t="s">
        <v>764</v>
      </c>
      <c r="E680" s="770">
        <v>3</v>
      </c>
      <c r="F680" s="770">
        <v>3</v>
      </c>
    </row>
    <row r="681" spans="1:6">
      <c r="A681" s="74" t="s">
        <v>824</v>
      </c>
      <c r="B681" s="74">
        <v>59</v>
      </c>
      <c r="C681" s="74" t="s">
        <v>739</v>
      </c>
      <c r="D681" s="74" t="s">
        <v>730</v>
      </c>
      <c r="E681" s="770">
        <v>3</v>
      </c>
      <c r="F681" s="770">
        <v>3</v>
      </c>
    </row>
    <row r="682" spans="1:6">
      <c r="A682" s="74" t="s">
        <v>824</v>
      </c>
      <c r="B682" s="74">
        <v>60</v>
      </c>
      <c r="C682" s="74" t="s">
        <v>735</v>
      </c>
      <c r="D682" s="74" t="s">
        <v>730</v>
      </c>
      <c r="E682" s="770">
        <v>2</v>
      </c>
      <c r="F682" s="770">
        <v>2</v>
      </c>
    </row>
    <row r="683" spans="1:6">
      <c r="A683" s="74" t="s">
        <v>824</v>
      </c>
      <c r="B683" s="74">
        <v>61</v>
      </c>
      <c r="C683" s="74" t="s">
        <v>715</v>
      </c>
      <c r="D683" s="74" t="s">
        <v>693</v>
      </c>
      <c r="E683" s="770">
        <v>2</v>
      </c>
      <c r="F683" s="770">
        <v>2</v>
      </c>
    </row>
    <row r="684" spans="1:6">
      <c r="A684" s="74" t="s">
        <v>824</v>
      </c>
      <c r="B684" s="74">
        <v>62</v>
      </c>
      <c r="C684" s="74" t="s">
        <v>722</v>
      </c>
      <c r="D684" s="74" t="s">
        <v>251</v>
      </c>
      <c r="E684" s="770">
        <v>2</v>
      </c>
      <c r="F684" s="770">
        <v>2</v>
      </c>
    </row>
    <row r="685" spans="1:6">
      <c r="A685" s="74" t="s">
        <v>824</v>
      </c>
      <c r="B685" s="74">
        <v>63</v>
      </c>
      <c r="C685" s="74" t="s">
        <v>746</v>
      </c>
      <c r="D685" s="74" t="s">
        <v>251</v>
      </c>
      <c r="E685" s="770">
        <v>2</v>
      </c>
      <c r="F685" s="770">
        <v>2</v>
      </c>
    </row>
    <row r="686" spans="1:6">
      <c r="A686" s="74" t="s">
        <v>824</v>
      </c>
      <c r="B686" s="74">
        <v>64</v>
      </c>
      <c r="C686" s="74" t="s">
        <v>760</v>
      </c>
      <c r="D686" s="74" t="s">
        <v>253</v>
      </c>
      <c r="E686" s="770">
        <v>2</v>
      </c>
      <c r="F686" s="770">
        <v>2</v>
      </c>
    </row>
    <row r="687" spans="1:6">
      <c r="A687" s="74" t="s">
        <v>824</v>
      </c>
      <c r="B687" s="74">
        <v>65</v>
      </c>
      <c r="C687" s="74" t="s">
        <v>706</v>
      </c>
      <c r="D687" s="74" t="s">
        <v>256</v>
      </c>
      <c r="E687" s="770">
        <v>2</v>
      </c>
      <c r="F687" s="770">
        <v>2</v>
      </c>
    </row>
    <row r="688" spans="1:6">
      <c r="A688" s="74" t="s">
        <v>824</v>
      </c>
      <c r="B688" s="74">
        <v>66</v>
      </c>
      <c r="C688" s="74" t="s">
        <v>761</v>
      </c>
      <c r="D688" s="74" t="s">
        <v>730</v>
      </c>
      <c r="E688" s="770">
        <v>2</v>
      </c>
      <c r="F688" s="770">
        <v>2</v>
      </c>
    </row>
    <row r="689" spans="1:6">
      <c r="A689" s="74" t="s">
        <v>824</v>
      </c>
      <c r="B689" s="74">
        <v>67</v>
      </c>
      <c r="C689" s="74" t="s">
        <v>728</v>
      </c>
      <c r="D689" s="74" t="s">
        <v>695</v>
      </c>
      <c r="E689" s="770">
        <v>2</v>
      </c>
      <c r="F689" s="770">
        <v>2</v>
      </c>
    </row>
    <row r="690" spans="1:6">
      <c r="A690" s="74" t="s">
        <v>824</v>
      </c>
      <c r="B690" s="74">
        <v>68</v>
      </c>
      <c r="C690" s="74" t="s">
        <v>743</v>
      </c>
      <c r="D690" s="74" t="s">
        <v>251</v>
      </c>
      <c r="E690" s="770">
        <v>2</v>
      </c>
      <c r="F690" s="770">
        <v>2</v>
      </c>
    </row>
    <row r="691" spans="1:6">
      <c r="A691" s="74" t="s">
        <v>824</v>
      </c>
      <c r="B691" s="74">
        <v>69</v>
      </c>
      <c r="C691" s="74" t="s">
        <v>699</v>
      </c>
      <c r="D691" s="74" t="s">
        <v>249</v>
      </c>
      <c r="E691" s="770">
        <v>2</v>
      </c>
      <c r="F691" s="770">
        <v>2</v>
      </c>
    </row>
    <row r="692" spans="1:6">
      <c r="A692" s="74" t="s">
        <v>824</v>
      </c>
      <c r="B692" s="74">
        <v>70</v>
      </c>
      <c r="C692" s="74" t="s">
        <v>752</v>
      </c>
      <c r="D692" s="74" t="s">
        <v>264</v>
      </c>
      <c r="E692" s="770">
        <v>2</v>
      </c>
      <c r="F692" s="770">
        <v>2</v>
      </c>
    </row>
    <row r="693" spans="1:6">
      <c r="A693" s="74" t="s">
        <v>824</v>
      </c>
      <c r="B693" s="74">
        <v>71</v>
      </c>
      <c r="C693" s="74" t="s">
        <v>826</v>
      </c>
      <c r="D693" s="74" t="s">
        <v>253</v>
      </c>
      <c r="E693" s="770">
        <v>2</v>
      </c>
      <c r="F693" s="770">
        <v>2</v>
      </c>
    </row>
    <row r="694" spans="1:6">
      <c r="A694" s="74" t="s">
        <v>824</v>
      </c>
      <c r="B694" s="74">
        <v>72</v>
      </c>
      <c r="C694" s="74" t="s">
        <v>694</v>
      </c>
      <c r="D694" s="74" t="s">
        <v>695</v>
      </c>
      <c r="E694" s="770">
        <v>2</v>
      </c>
      <c r="F694" s="770">
        <v>2</v>
      </c>
    </row>
    <row r="695" spans="1:6">
      <c r="A695" s="74" t="s">
        <v>824</v>
      </c>
      <c r="B695" s="74">
        <v>73</v>
      </c>
      <c r="C695" s="74" t="s">
        <v>709</v>
      </c>
      <c r="D695" s="74" t="s">
        <v>276</v>
      </c>
      <c r="E695" s="770">
        <v>2</v>
      </c>
      <c r="F695" s="770">
        <v>2</v>
      </c>
    </row>
    <row r="696" spans="1:6">
      <c r="A696" s="74" t="s">
        <v>824</v>
      </c>
      <c r="B696" s="74">
        <v>74</v>
      </c>
      <c r="C696" s="74" t="s">
        <v>755</v>
      </c>
      <c r="D696" s="74" t="s">
        <v>251</v>
      </c>
      <c r="E696" s="770">
        <v>2</v>
      </c>
      <c r="F696" s="770">
        <v>2</v>
      </c>
    </row>
    <row r="697" spans="1:6">
      <c r="A697" s="74" t="s">
        <v>824</v>
      </c>
      <c r="B697" s="74">
        <v>75</v>
      </c>
      <c r="C697" s="74" t="s">
        <v>766</v>
      </c>
      <c r="D697" s="74" t="s">
        <v>253</v>
      </c>
      <c r="E697" s="770">
        <v>2</v>
      </c>
      <c r="F697" s="770">
        <v>2</v>
      </c>
    </row>
    <row r="698" spans="1:6">
      <c r="A698" s="74" t="s">
        <v>824</v>
      </c>
      <c r="B698" s="74">
        <v>76</v>
      </c>
      <c r="C698" s="74" t="s">
        <v>797</v>
      </c>
      <c r="D698" s="74" t="s">
        <v>253</v>
      </c>
      <c r="E698" s="770">
        <v>2</v>
      </c>
      <c r="F698" s="770">
        <v>2</v>
      </c>
    </row>
    <row r="699" spans="1:6">
      <c r="A699" s="74" t="s">
        <v>824</v>
      </c>
      <c r="B699" s="74">
        <v>77</v>
      </c>
      <c r="C699" s="74" t="s">
        <v>827</v>
      </c>
      <c r="D699" s="74" t="s">
        <v>275</v>
      </c>
      <c r="E699" s="770">
        <v>1</v>
      </c>
      <c r="F699" s="770">
        <v>1</v>
      </c>
    </row>
    <row r="700" spans="1:6">
      <c r="A700" s="74" t="s">
        <v>824</v>
      </c>
      <c r="B700" s="74">
        <v>78</v>
      </c>
      <c r="C700" s="74" t="s">
        <v>731</v>
      </c>
      <c r="D700" s="74" t="s">
        <v>251</v>
      </c>
      <c r="E700" s="770">
        <v>1</v>
      </c>
      <c r="F700" s="770">
        <v>1</v>
      </c>
    </row>
    <row r="701" spans="1:6">
      <c r="A701" s="74" t="s">
        <v>824</v>
      </c>
      <c r="B701" s="74">
        <v>79</v>
      </c>
      <c r="C701" s="74" t="s">
        <v>765</v>
      </c>
      <c r="D701" s="74" t="s">
        <v>256</v>
      </c>
      <c r="E701" s="770">
        <v>1</v>
      </c>
      <c r="F701" s="770">
        <v>1</v>
      </c>
    </row>
    <row r="702" spans="1:6">
      <c r="A702" s="74" t="s">
        <v>824</v>
      </c>
      <c r="B702" s="74">
        <v>80</v>
      </c>
      <c r="C702" s="74" t="s">
        <v>787</v>
      </c>
      <c r="D702" s="74" t="s">
        <v>713</v>
      </c>
      <c r="E702" s="770">
        <v>1</v>
      </c>
      <c r="F702" s="770">
        <v>1</v>
      </c>
    </row>
    <row r="703" spans="1:6">
      <c r="A703" s="74" t="s">
        <v>824</v>
      </c>
      <c r="B703" s="74">
        <v>81</v>
      </c>
      <c r="C703" s="74" t="s">
        <v>733</v>
      </c>
      <c r="D703" s="74" t="s">
        <v>253</v>
      </c>
      <c r="E703" s="770">
        <v>1</v>
      </c>
      <c r="F703" s="770">
        <v>1</v>
      </c>
    </row>
    <row r="704" spans="1:6">
      <c r="A704" s="74" t="s">
        <v>824</v>
      </c>
      <c r="B704" s="74">
        <v>82</v>
      </c>
      <c r="C704" s="74" t="s">
        <v>828</v>
      </c>
      <c r="D704" s="74" t="s">
        <v>820</v>
      </c>
      <c r="E704" s="770">
        <v>1</v>
      </c>
      <c r="F704" s="770">
        <v>1</v>
      </c>
    </row>
    <row r="705" spans="1:6">
      <c r="A705" s="74" t="s">
        <v>824</v>
      </c>
      <c r="B705" s="74">
        <v>83</v>
      </c>
      <c r="C705" s="74" t="s">
        <v>732</v>
      </c>
      <c r="D705" s="74" t="s">
        <v>695</v>
      </c>
      <c r="E705" s="770">
        <v>1</v>
      </c>
      <c r="F705" s="770">
        <v>1</v>
      </c>
    </row>
    <row r="706" spans="1:6">
      <c r="A706" s="74" t="s">
        <v>824</v>
      </c>
      <c r="B706" s="74">
        <v>84</v>
      </c>
      <c r="C706" s="74" t="s">
        <v>829</v>
      </c>
      <c r="D706" s="74" t="s">
        <v>820</v>
      </c>
      <c r="E706" s="770">
        <v>1</v>
      </c>
      <c r="F706" s="770">
        <v>1</v>
      </c>
    </row>
    <row r="707" spans="1:6">
      <c r="A707" s="74" t="s">
        <v>824</v>
      </c>
      <c r="B707" s="74">
        <v>85</v>
      </c>
      <c r="C707" s="74" t="s">
        <v>783</v>
      </c>
      <c r="D707" s="74" t="s">
        <v>764</v>
      </c>
      <c r="E707" s="770">
        <v>1</v>
      </c>
      <c r="F707" s="770">
        <v>1</v>
      </c>
    </row>
    <row r="708" spans="1:6">
      <c r="A708" s="74" t="s">
        <v>824</v>
      </c>
      <c r="B708" s="74">
        <v>86</v>
      </c>
      <c r="C708" s="74" t="s">
        <v>705</v>
      </c>
      <c r="D708" s="74" t="s">
        <v>274</v>
      </c>
      <c r="E708" s="770">
        <v>1</v>
      </c>
      <c r="F708" s="770">
        <v>1</v>
      </c>
    </row>
    <row r="709" spans="1:6">
      <c r="A709" s="74" t="s">
        <v>824</v>
      </c>
      <c r="B709" s="74">
        <v>87</v>
      </c>
      <c r="C709" s="74" t="s">
        <v>710</v>
      </c>
      <c r="D709" s="74" t="s">
        <v>249</v>
      </c>
      <c r="E709" s="770">
        <v>1</v>
      </c>
      <c r="F709" s="770">
        <v>1</v>
      </c>
    </row>
    <row r="710" spans="1:6">
      <c r="A710" s="74" t="s">
        <v>824</v>
      </c>
      <c r="B710" s="74">
        <v>88</v>
      </c>
      <c r="C710" s="74" t="s">
        <v>830</v>
      </c>
      <c r="D710" s="74" t="s">
        <v>820</v>
      </c>
      <c r="E710" s="770">
        <v>1</v>
      </c>
      <c r="F710" s="770">
        <v>1</v>
      </c>
    </row>
    <row r="711" spans="1:6">
      <c r="A711" s="74" t="s">
        <v>824</v>
      </c>
      <c r="B711" s="74">
        <v>89</v>
      </c>
      <c r="C711" s="74" t="s">
        <v>814</v>
      </c>
      <c r="D711" s="74" t="s">
        <v>815</v>
      </c>
      <c r="E711" s="770">
        <v>1</v>
      </c>
      <c r="F711" s="770">
        <v>1</v>
      </c>
    </row>
    <row r="712" spans="1:6">
      <c r="A712" s="74" t="s">
        <v>824</v>
      </c>
      <c r="B712" s="74">
        <v>90</v>
      </c>
      <c r="C712" s="74" t="s">
        <v>772</v>
      </c>
      <c r="D712" s="74" t="s">
        <v>730</v>
      </c>
      <c r="E712" s="770">
        <v>1</v>
      </c>
      <c r="F712" s="770">
        <v>1</v>
      </c>
    </row>
    <row r="713" spans="1:6">
      <c r="A713" s="74" t="s">
        <v>824</v>
      </c>
      <c r="B713" s="74">
        <v>91</v>
      </c>
      <c r="C713" s="74" t="s">
        <v>781</v>
      </c>
      <c r="D713" s="74" t="s">
        <v>764</v>
      </c>
      <c r="E713" s="770">
        <v>1</v>
      </c>
      <c r="F713" s="770">
        <v>1</v>
      </c>
    </row>
    <row r="714" spans="1:6">
      <c r="A714" s="74" t="s">
        <v>824</v>
      </c>
      <c r="B714" s="74">
        <v>92</v>
      </c>
      <c r="C714" s="74" t="s">
        <v>798</v>
      </c>
      <c r="D714" s="74" t="s">
        <v>713</v>
      </c>
      <c r="E714" s="770">
        <v>1</v>
      </c>
      <c r="F714" s="770">
        <v>1</v>
      </c>
    </row>
    <row r="715" spans="1:6">
      <c r="A715" s="74" t="s">
        <v>824</v>
      </c>
      <c r="B715" s="74">
        <v>93</v>
      </c>
      <c r="C715" s="74" t="s">
        <v>702</v>
      </c>
      <c r="D715" s="74" t="s">
        <v>251</v>
      </c>
      <c r="E715" s="770">
        <v>1</v>
      </c>
      <c r="F715" s="770">
        <v>1</v>
      </c>
    </row>
    <row r="716" spans="1:6">
      <c r="A716" s="74" t="s">
        <v>824</v>
      </c>
      <c r="B716" s="74">
        <v>94</v>
      </c>
      <c r="C716" s="74" t="s">
        <v>799</v>
      </c>
      <c r="D716" s="74" t="s">
        <v>713</v>
      </c>
      <c r="E716" s="770">
        <v>1</v>
      </c>
      <c r="F716" s="770">
        <v>1</v>
      </c>
    </row>
    <row r="717" spans="1:6">
      <c r="A717" s="74" t="s">
        <v>824</v>
      </c>
      <c r="B717" s="74">
        <v>95</v>
      </c>
      <c r="C717" s="74" t="s">
        <v>747</v>
      </c>
      <c r="D717" s="74" t="s">
        <v>256</v>
      </c>
      <c r="E717" s="770">
        <v>1</v>
      </c>
      <c r="F717" s="770">
        <v>1</v>
      </c>
    </row>
    <row r="718" spans="1:6">
      <c r="A718" s="74" t="s">
        <v>770</v>
      </c>
      <c r="B718" s="74">
        <v>1</v>
      </c>
      <c r="C718" s="74" t="s">
        <v>259</v>
      </c>
      <c r="D718" s="74" t="s">
        <v>249</v>
      </c>
      <c r="E718" s="770">
        <v>85</v>
      </c>
      <c r="F718" s="770">
        <v>85</v>
      </c>
    </row>
    <row r="719" spans="1:6">
      <c r="A719" s="74" t="s">
        <v>770</v>
      </c>
      <c r="B719" s="74">
        <v>2</v>
      </c>
      <c r="C719" s="74" t="s">
        <v>248</v>
      </c>
      <c r="D719" s="74" t="s">
        <v>249</v>
      </c>
      <c r="E719" s="770">
        <v>64</v>
      </c>
      <c r="F719" s="770">
        <v>64</v>
      </c>
    </row>
    <row r="720" spans="1:6">
      <c r="A720" s="74" t="s">
        <v>770</v>
      </c>
      <c r="B720" s="74">
        <v>3</v>
      </c>
      <c r="C720" s="74" t="s">
        <v>261</v>
      </c>
      <c r="D720" s="74" t="s">
        <v>256</v>
      </c>
      <c r="E720" s="770">
        <v>57</v>
      </c>
      <c r="F720" s="770">
        <v>57</v>
      </c>
    </row>
    <row r="721" spans="1:6">
      <c r="A721" s="74" t="s">
        <v>770</v>
      </c>
      <c r="B721" s="74">
        <v>4</v>
      </c>
      <c r="C721" s="74" t="s">
        <v>255</v>
      </c>
      <c r="D721" s="74" t="s">
        <v>256</v>
      </c>
      <c r="E721" s="770">
        <v>44</v>
      </c>
      <c r="F721" s="770">
        <v>44</v>
      </c>
    </row>
    <row r="722" spans="1:6">
      <c r="A722" s="74" t="s">
        <v>770</v>
      </c>
      <c r="B722" s="74">
        <v>5</v>
      </c>
      <c r="C722" s="74" t="s">
        <v>250</v>
      </c>
      <c r="D722" s="74" t="s">
        <v>251</v>
      </c>
      <c r="E722" s="770">
        <v>43</v>
      </c>
      <c r="F722" s="770">
        <v>43</v>
      </c>
    </row>
    <row r="723" spans="1:6">
      <c r="A723" s="74" t="s">
        <v>770</v>
      </c>
      <c r="B723" s="74">
        <v>6</v>
      </c>
      <c r="C723" s="74" t="s">
        <v>262</v>
      </c>
      <c r="D723" s="74" t="s">
        <v>256</v>
      </c>
      <c r="E723" s="770">
        <v>24</v>
      </c>
      <c r="F723" s="770">
        <v>24</v>
      </c>
    </row>
    <row r="724" spans="1:6">
      <c r="A724" s="74" t="s">
        <v>770</v>
      </c>
      <c r="B724" s="74">
        <v>7</v>
      </c>
      <c r="C724" s="74" t="s">
        <v>254</v>
      </c>
      <c r="D724" s="74" t="s">
        <v>254</v>
      </c>
      <c r="E724" s="770">
        <v>22</v>
      </c>
      <c r="F724" s="770">
        <v>22</v>
      </c>
    </row>
    <row r="725" spans="1:6">
      <c r="A725" s="74" t="s">
        <v>770</v>
      </c>
      <c r="B725" s="74">
        <v>8</v>
      </c>
      <c r="C725" s="74" t="s">
        <v>676</v>
      </c>
      <c r="D725" s="74" t="s">
        <v>253</v>
      </c>
      <c r="E725" s="770">
        <v>21</v>
      </c>
      <c r="F725" s="770">
        <v>21</v>
      </c>
    </row>
    <row r="726" spans="1:6">
      <c r="A726" s="74" t="s">
        <v>770</v>
      </c>
      <c r="B726" s="74">
        <v>9</v>
      </c>
      <c r="C726" s="74" t="s">
        <v>673</v>
      </c>
      <c r="D726" s="74" t="s">
        <v>251</v>
      </c>
      <c r="E726" s="770">
        <v>17</v>
      </c>
      <c r="F726" s="770">
        <v>17</v>
      </c>
    </row>
    <row r="727" spans="1:6">
      <c r="A727" s="74" t="s">
        <v>770</v>
      </c>
      <c r="B727" s="74">
        <v>10</v>
      </c>
      <c r="C727" s="74" t="s">
        <v>681</v>
      </c>
      <c r="D727" s="74" t="s">
        <v>282</v>
      </c>
      <c r="E727" s="770">
        <v>17</v>
      </c>
      <c r="F727" s="770">
        <v>17</v>
      </c>
    </row>
    <row r="728" spans="1:6">
      <c r="A728" s="74" t="s">
        <v>770</v>
      </c>
      <c r="B728" s="74">
        <v>11</v>
      </c>
      <c r="C728" s="74" t="s">
        <v>679</v>
      </c>
      <c r="D728" s="74" t="s">
        <v>256</v>
      </c>
      <c r="E728" s="770">
        <v>16</v>
      </c>
      <c r="F728" s="770">
        <v>16</v>
      </c>
    </row>
    <row r="729" spans="1:6">
      <c r="A729" s="74" t="s">
        <v>770</v>
      </c>
      <c r="B729" s="74">
        <v>12</v>
      </c>
      <c r="C729" s="74" t="s">
        <v>680</v>
      </c>
      <c r="D729" s="74" t="s">
        <v>251</v>
      </c>
      <c r="E729" s="770">
        <v>16</v>
      </c>
      <c r="F729" s="770">
        <v>16</v>
      </c>
    </row>
    <row r="730" spans="1:6">
      <c r="A730" s="74" t="s">
        <v>770</v>
      </c>
      <c r="B730" s="74">
        <v>13</v>
      </c>
      <c r="C730" s="74" t="s">
        <v>682</v>
      </c>
      <c r="D730" s="74" t="s">
        <v>275</v>
      </c>
      <c r="E730" s="770">
        <v>16</v>
      </c>
      <c r="F730" s="770">
        <v>16</v>
      </c>
    </row>
    <row r="731" spans="1:6">
      <c r="A731" s="74" t="s">
        <v>770</v>
      </c>
      <c r="B731" s="74">
        <v>14</v>
      </c>
      <c r="C731" s="74" t="s">
        <v>677</v>
      </c>
      <c r="D731" s="74" t="s">
        <v>249</v>
      </c>
      <c r="E731" s="770">
        <v>14</v>
      </c>
      <c r="F731" s="770">
        <v>14</v>
      </c>
    </row>
    <row r="732" spans="1:6">
      <c r="A732" s="74" t="s">
        <v>770</v>
      </c>
      <c r="B732" s="74">
        <v>15</v>
      </c>
      <c r="C732" s="74" t="s">
        <v>671</v>
      </c>
      <c r="D732" s="74" t="s">
        <v>276</v>
      </c>
      <c r="E732" s="770">
        <v>14</v>
      </c>
      <c r="F732" s="770">
        <v>14</v>
      </c>
    </row>
    <row r="733" spans="1:6">
      <c r="A733" s="74" t="s">
        <v>770</v>
      </c>
      <c r="B733" s="74">
        <v>16</v>
      </c>
      <c r="C733" s="74" t="s">
        <v>675</v>
      </c>
      <c r="D733" s="74" t="s">
        <v>256</v>
      </c>
      <c r="E733" s="770">
        <v>14</v>
      </c>
      <c r="F733" s="770">
        <v>14</v>
      </c>
    </row>
    <row r="734" spans="1:6">
      <c r="A734" s="74" t="s">
        <v>770</v>
      </c>
      <c r="B734" s="74">
        <v>17</v>
      </c>
      <c r="C734" s="74" t="s">
        <v>687</v>
      </c>
      <c r="D734" s="74" t="s">
        <v>253</v>
      </c>
      <c r="E734" s="770">
        <v>13</v>
      </c>
      <c r="F734" s="770">
        <v>13</v>
      </c>
    </row>
    <row r="735" spans="1:6">
      <c r="A735" s="74" t="s">
        <v>770</v>
      </c>
      <c r="B735" s="74">
        <v>18</v>
      </c>
      <c r="C735" s="74" t="s">
        <v>691</v>
      </c>
      <c r="D735" s="74" t="s">
        <v>251</v>
      </c>
      <c r="E735" s="770">
        <v>13</v>
      </c>
      <c r="F735" s="770">
        <v>13</v>
      </c>
    </row>
    <row r="736" spans="1:6">
      <c r="A736" s="74" t="s">
        <v>770</v>
      </c>
      <c r="B736" s="74">
        <v>19</v>
      </c>
      <c r="C736" s="74" t="s">
        <v>698</v>
      </c>
      <c r="D736" s="74" t="s">
        <v>249</v>
      </c>
      <c r="E736" s="770">
        <v>11</v>
      </c>
      <c r="F736" s="770">
        <v>11</v>
      </c>
    </row>
    <row r="737" spans="1:6">
      <c r="A737" s="74" t="s">
        <v>770</v>
      </c>
      <c r="B737" s="74">
        <v>20</v>
      </c>
      <c r="C737" s="74" t="s">
        <v>737</v>
      </c>
      <c r="D737" s="74" t="s">
        <v>249</v>
      </c>
      <c r="E737" s="770">
        <v>11</v>
      </c>
      <c r="F737" s="770">
        <v>11</v>
      </c>
    </row>
    <row r="738" spans="1:6">
      <c r="A738" s="74" t="s">
        <v>770</v>
      </c>
      <c r="B738" s="74">
        <v>21</v>
      </c>
      <c r="C738" s="74" t="s">
        <v>674</v>
      </c>
      <c r="D738" s="74" t="s">
        <v>275</v>
      </c>
      <c r="E738" s="770">
        <v>10</v>
      </c>
      <c r="F738" s="770">
        <v>10</v>
      </c>
    </row>
    <row r="739" spans="1:6">
      <c r="A739" s="74" t="s">
        <v>770</v>
      </c>
      <c r="B739" s="74">
        <v>22</v>
      </c>
      <c r="C739" s="74" t="s">
        <v>738</v>
      </c>
      <c r="D739" s="74" t="s">
        <v>256</v>
      </c>
      <c r="E739" s="770">
        <v>10</v>
      </c>
      <c r="F739" s="770">
        <v>10</v>
      </c>
    </row>
    <row r="740" spans="1:6">
      <c r="A740" s="74" t="s">
        <v>770</v>
      </c>
      <c r="B740" s="74">
        <v>23</v>
      </c>
      <c r="C740" s="74" t="s">
        <v>678</v>
      </c>
      <c r="D740" s="74" t="s">
        <v>256</v>
      </c>
      <c r="E740" s="770">
        <v>10</v>
      </c>
      <c r="F740" s="770">
        <v>10</v>
      </c>
    </row>
    <row r="741" spans="1:6">
      <c r="A741" s="74" t="s">
        <v>770</v>
      </c>
      <c r="B741" s="74">
        <v>24</v>
      </c>
      <c r="C741" s="74" t="s">
        <v>685</v>
      </c>
      <c r="D741" s="74" t="s">
        <v>256</v>
      </c>
      <c r="E741" s="770">
        <v>9</v>
      </c>
      <c r="F741" s="770">
        <v>9</v>
      </c>
    </row>
    <row r="742" spans="1:6">
      <c r="A742" s="74" t="s">
        <v>770</v>
      </c>
      <c r="B742" s="74">
        <v>25</v>
      </c>
      <c r="C742" s="74" t="s">
        <v>697</v>
      </c>
      <c r="D742" s="74" t="s">
        <v>256</v>
      </c>
      <c r="E742" s="770">
        <v>9</v>
      </c>
      <c r="F742" s="770">
        <v>9</v>
      </c>
    </row>
    <row r="743" spans="1:6">
      <c r="A743" s="74" t="s">
        <v>770</v>
      </c>
      <c r="B743" s="74">
        <v>26</v>
      </c>
      <c r="C743" s="74" t="s">
        <v>743</v>
      </c>
      <c r="D743" s="74" t="s">
        <v>251</v>
      </c>
      <c r="E743" s="770">
        <v>9</v>
      </c>
      <c r="F743" s="770">
        <v>9</v>
      </c>
    </row>
    <row r="744" spans="1:6">
      <c r="A744" s="74" t="s">
        <v>770</v>
      </c>
      <c r="B744" s="74">
        <v>27</v>
      </c>
      <c r="C744" s="74" t="s">
        <v>708</v>
      </c>
      <c r="D744" s="74" t="s">
        <v>251</v>
      </c>
      <c r="E744" s="770">
        <v>8</v>
      </c>
      <c r="F744" s="770">
        <v>8</v>
      </c>
    </row>
    <row r="745" spans="1:6">
      <c r="A745" s="74" t="s">
        <v>770</v>
      </c>
      <c r="B745" s="74">
        <v>28</v>
      </c>
      <c r="C745" s="74" t="s">
        <v>721</v>
      </c>
      <c r="D745" s="74" t="s">
        <v>256</v>
      </c>
      <c r="E745" s="770">
        <v>7</v>
      </c>
      <c r="F745" s="770">
        <v>7</v>
      </c>
    </row>
    <row r="746" spans="1:6">
      <c r="A746" s="74" t="s">
        <v>770</v>
      </c>
      <c r="B746" s="74">
        <v>29</v>
      </c>
      <c r="C746" s="74" t="s">
        <v>720</v>
      </c>
      <c r="D746" s="74" t="s">
        <v>251</v>
      </c>
      <c r="E746" s="770">
        <v>7</v>
      </c>
      <c r="F746" s="770">
        <v>7</v>
      </c>
    </row>
    <row r="747" spans="1:6">
      <c r="A747" s="74" t="s">
        <v>770</v>
      </c>
      <c r="B747" s="74">
        <v>30</v>
      </c>
      <c r="C747" s="74" t="s">
        <v>742</v>
      </c>
      <c r="D747" s="74" t="s">
        <v>251</v>
      </c>
      <c r="E747" s="770">
        <v>6</v>
      </c>
      <c r="F747" s="770">
        <v>6</v>
      </c>
    </row>
    <row r="748" spans="1:6">
      <c r="A748" s="74" t="s">
        <v>770</v>
      </c>
      <c r="B748" s="74">
        <v>31</v>
      </c>
      <c r="C748" s="74" t="s">
        <v>703</v>
      </c>
      <c r="D748" s="74" t="s">
        <v>256</v>
      </c>
      <c r="E748" s="770">
        <v>6</v>
      </c>
      <c r="F748" s="770">
        <v>6</v>
      </c>
    </row>
    <row r="749" spans="1:6">
      <c r="A749" s="74" t="s">
        <v>770</v>
      </c>
      <c r="B749" s="74">
        <v>32</v>
      </c>
      <c r="C749" s="74" t="s">
        <v>723</v>
      </c>
      <c r="D749" s="74" t="s">
        <v>713</v>
      </c>
      <c r="E749" s="770">
        <v>6</v>
      </c>
      <c r="F749" s="770">
        <v>6</v>
      </c>
    </row>
    <row r="750" spans="1:6">
      <c r="A750" s="74" t="s">
        <v>770</v>
      </c>
      <c r="B750" s="74">
        <v>33</v>
      </c>
      <c r="C750" s="74" t="s">
        <v>727</v>
      </c>
      <c r="D750" s="74" t="s">
        <v>275</v>
      </c>
      <c r="E750" s="770">
        <v>6</v>
      </c>
      <c r="F750" s="770">
        <v>6</v>
      </c>
    </row>
    <row r="751" spans="1:6">
      <c r="A751" s="74" t="s">
        <v>770</v>
      </c>
      <c r="B751" s="74">
        <v>34</v>
      </c>
      <c r="C751" s="74" t="s">
        <v>686</v>
      </c>
      <c r="D751" s="74" t="s">
        <v>274</v>
      </c>
      <c r="E751" s="770">
        <v>5</v>
      </c>
      <c r="F751" s="770">
        <v>5</v>
      </c>
    </row>
    <row r="752" spans="1:6">
      <c r="A752" s="74" t="s">
        <v>770</v>
      </c>
      <c r="B752" s="74">
        <v>35</v>
      </c>
      <c r="C752" s="74" t="s">
        <v>755</v>
      </c>
      <c r="D752" s="74" t="s">
        <v>251</v>
      </c>
      <c r="E752" s="770">
        <v>5</v>
      </c>
      <c r="F752" s="770">
        <v>5</v>
      </c>
    </row>
    <row r="753" spans="1:6">
      <c r="A753" s="74" t="s">
        <v>770</v>
      </c>
      <c r="B753" s="74">
        <v>36</v>
      </c>
      <c r="C753" s="74" t="s">
        <v>688</v>
      </c>
      <c r="D753" s="74" t="s">
        <v>689</v>
      </c>
      <c r="E753" s="770">
        <v>5</v>
      </c>
      <c r="F753" s="770">
        <v>5</v>
      </c>
    </row>
    <row r="754" spans="1:6">
      <c r="A754" s="74" t="s">
        <v>770</v>
      </c>
      <c r="B754" s="74">
        <v>37</v>
      </c>
      <c r="C754" s="74" t="s">
        <v>760</v>
      </c>
      <c r="D754" s="74" t="s">
        <v>253</v>
      </c>
      <c r="E754" s="770">
        <v>5</v>
      </c>
      <c r="F754" s="770">
        <v>5</v>
      </c>
    </row>
    <row r="755" spans="1:6">
      <c r="A755" s="74" t="s">
        <v>770</v>
      </c>
      <c r="B755" s="74">
        <v>38</v>
      </c>
      <c r="C755" s="74" t="s">
        <v>759</v>
      </c>
      <c r="D755" s="74" t="s">
        <v>256</v>
      </c>
      <c r="E755" s="770">
        <v>5</v>
      </c>
      <c r="F755" s="770">
        <v>5</v>
      </c>
    </row>
    <row r="756" spans="1:6">
      <c r="A756" s="74" t="s">
        <v>770</v>
      </c>
      <c r="B756" s="74">
        <v>39</v>
      </c>
      <c r="C756" s="74" t="s">
        <v>771</v>
      </c>
      <c r="D756" s="74" t="s">
        <v>323</v>
      </c>
      <c r="E756" s="770">
        <v>5</v>
      </c>
      <c r="F756" s="770">
        <v>5</v>
      </c>
    </row>
    <row r="757" spans="1:6">
      <c r="A757" s="74" t="s">
        <v>770</v>
      </c>
      <c r="B757" s="74">
        <v>40</v>
      </c>
      <c r="C757" s="74" t="s">
        <v>716</v>
      </c>
      <c r="D757" s="74" t="s">
        <v>251</v>
      </c>
      <c r="E757" s="770">
        <v>4</v>
      </c>
      <c r="F757" s="770">
        <v>4</v>
      </c>
    </row>
    <row r="758" spans="1:6">
      <c r="A758" s="74" t="s">
        <v>770</v>
      </c>
      <c r="B758" s="74">
        <v>41</v>
      </c>
      <c r="C758" s="74" t="s">
        <v>694</v>
      </c>
      <c r="D758" s="74" t="s">
        <v>695</v>
      </c>
      <c r="E758" s="770">
        <v>4</v>
      </c>
      <c r="F758" s="770">
        <v>4</v>
      </c>
    </row>
    <row r="759" spans="1:6">
      <c r="A759" s="74" t="s">
        <v>770</v>
      </c>
      <c r="B759" s="74">
        <v>42</v>
      </c>
      <c r="C759" s="74" t="s">
        <v>692</v>
      </c>
      <c r="D759" s="74" t="s">
        <v>693</v>
      </c>
      <c r="E759" s="770">
        <v>4</v>
      </c>
      <c r="F759" s="770">
        <v>4</v>
      </c>
    </row>
    <row r="760" spans="1:6">
      <c r="A760" s="74" t="s">
        <v>770</v>
      </c>
      <c r="B760" s="74">
        <v>43</v>
      </c>
      <c r="C760" s="74" t="s">
        <v>696</v>
      </c>
      <c r="D760" s="74" t="s">
        <v>323</v>
      </c>
      <c r="E760" s="770">
        <v>4</v>
      </c>
      <c r="F760" s="770">
        <v>4</v>
      </c>
    </row>
    <row r="761" spans="1:6">
      <c r="A761" s="74" t="s">
        <v>770</v>
      </c>
      <c r="B761" s="74">
        <v>44</v>
      </c>
      <c r="C761" s="74" t="s">
        <v>684</v>
      </c>
      <c r="D761" s="74" t="s">
        <v>323</v>
      </c>
      <c r="E761" s="770">
        <v>4</v>
      </c>
      <c r="F761" s="770">
        <v>4</v>
      </c>
    </row>
    <row r="762" spans="1:6">
      <c r="A762" s="74" t="s">
        <v>770</v>
      </c>
      <c r="B762" s="74">
        <v>45</v>
      </c>
      <c r="C762" s="74" t="s">
        <v>704</v>
      </c>
      <c r="D762" s="74" t="s">
        <v>689</v>
      </c>
      <c r="E762" s="770">
        <v>4</v>
      </c>
      <c r="F762" s="770">
        <v>4</v>
      </c>
    </row>
    <row r="763" spans="1:6">
      <c r="A763" s="74" t="s">
        <v>770</v>
      </c>
      <c r="B763" s="74">
        <v>46</v>
      </c>
      <c r="C763" s="74" t="s">
        <v>700</v>
      </c>
      <c r="D763" s="74" t="s">
        <v>274</v>
      </c>
      <c r="E763" s="770">
        <v>4</v>
      </c>
      <c r="F763" s="770">
        <v>4</v>
      </c>
    </row>
    <row r="764" spans="1:6">
      <c r="A764" s="74" t="s">
        <v>770</v>
      </c>
      <c r="B764" s="74">
        <v>47</v>
      </c>
      <c r="C764" s="74" t="s">
        <v>769</v>
      </c>
      <c r="D764" s="74" t="s">
        <v>730</v>
      </c>
      <c r="E764" s="770">
        <v>4</v>
      </c>
      <c r="F764" s="770">
        <v>4</v>
      </c>
    </row>
    <row r="765" spans="1:6">
      <c r="A765" s="74" t="s">
        <v>770</v>
      </c>
      <c r="B765" s="74">
        <v>48</v>
      </c>
      <c r="C765" s="74" t="s">
        <v>748</v>
      </c>
      <c r="D765" s="74" t="s">
        <v>274</v>
      </c>
      <c r="E765" s="770">
        <v>4</v>
      </c>
      <c r="F765" s="770">
        <v>4</v>
      </c>
    </row>
    <row r="766" spans="1:6">
      <c r="A766" s="74" t="s">
        <v>770</v>
      </c>
      <c r="B766" s="74">
        <v>49</v>
      </c>
      <c r="C766" s="74" t="s">
        <v>711</v>
      </c>
      <c r="D766" s="74" t="s">
        <v>251</v>
      </c>
      <c r="E766" s="770">
        <v>4</v>
      </c>
      <c r="F766" s="770">
        <v>4</v>
      </c>
    </row>
    <row r="767" spans="1:6">
      <c r="A767" s="74" t="s">
        <v>770</v>
      </c>
      <c r="B767" s="74">
        <v>50</v>
      </c>
      <c r="C767" s="74" t="s">
        <v>752</v>
      </c>
      <c r="D767" s="74" t="s">
        <v>264</v>
      </c>
      <c r="E767" s="770">
        <v>4</v>
      </c>
      <c r="F767" s="770">
        <v>4</v>
      </c>
    </row>
    <row r="768" spans="1:6">
      <c r="A768" s="74" t="s">
        <v>770</v>
      </c>
      <c r="B768" s="74">
        <v>51</v>
      </c>
      <c r="C768" s="74" t="s">
        <v>772</v>
      </c>
      <c r="D768" s="74" t="s">
        <v>730</v>
      </c>
      <c r="E768" s="770">
        <v>3</v>
      </c>
      <c r="F768" s="770">
        <v>3</v>
      </c>
    </row>
    <row r="769" spans="1:6">
      <c r="A769" s="74" t="s">
        <v>770</v>
      </c>
      <c r="B769" s="74">
        <v>52</v>
      </c>
      <c r="C769" s="74" t="s">
        <v>706</v>
      </c>
      <c r="D769" s="74" t="s">
        <v>256</v>
      </c>
      <c r="E769" s="770">
        <v>3</v>
      </c>
      <c r="F769" s="770">
        <v>3</v>
      </c>
    </row>
    <row r="770" spans="1:6">
      <c r="A770" s="74" t="s">
        <v>770</v>
      </c>
      <c r="B770" s="74">
        <v>53</v>
      </c>
      <c r="C770" s="74" t="s">
        <v>714</v>
      </c>
      <c r="D770" s="74" t="s">
        <v>251</v>
      </c>
      <c r="E770" s="770">
        <v>3</v>
      </c>
      <c r="F770" s="770">
        <v>3</v>
      </c>
    </row>
    <row r="771" spans="1:6">
      <c r="A771" s="74" t="s">
        <v>770</v>
      </c>
      <c r="B771" s="74">
        <v>54</v>
      </c>
      <c r="C771" s="74" t="s">
        <v>761</v>
      </c>
      <c r="D771" s="74" t="s">
        <v>730</v>
      </c>
      <c r="E771" s="770">
        <v>3</v>
      </c>
      <c r="F771" s="770">
        <v>3</v>
      </c>
    </row>
    <row r="772" spans="1:6">
      <c r="A772" s="74" t="s">
        <v>770</v>
      </c>
      <c r="B772" s="74">
        <v>55</v>
      </c>
      <c r="C772" s="74" t="s">
        <v>722</v>
      </c>
      <c r="D772" s="74" t="s">
        <v>251</v>
      </c>
      <c r="E772" s="770">
        <v>3</v>
      </c>
      <c r="F772" s="770">
        <v>3</v>
      </c>
    </row>
    <row r="773" spans="1:6">
      <c r="A773" s="74" t="s">
        <v>770</v>
      </c>
      <c r="B773" s="74">
        <v>56</v>
      </c>
      <c r="C773" s="74" t="s">
        <v>701</v>
      </c>
      <c r="D773" s="74" t="s">
        <v>689</v>
      </c>
      <c r="E773" s="770">
        <v>3</v>
      </c>
      <c r="F773" s="770">
        <v>3</v>
      </c>
    </row>
    <row r="774" spans="1:6">
      <c r="A774" s="74" t="s">
        <v>770</v>
      </c>
      <c r="B774" s="74">
        <v>57</v>
      </c>
      <c r="C774" s="74" t="s">
        <v>710</v>
      </c>
      <c r="D774" s="74" t="s">
        <v>249</v>
      </c>
      <c r="E774" s="770">
        <v>2</v>
      </c>
      <c r="F774" s="770">
        <v>2</v>
      </c>
    </row>
    <row r="775" spans="1:6">
      <c r="A775" s="74" t="s">
        <v>770</v>
      </c>
      <c r="B775" s="74">
        <v>58</v>
      </c>
      <c r="C775" s="74" t="s">
        <v>683</v>
      </c>
      <c r="D775" s="74" t="s">
        <v>274</v>
      </c>
      <c r="E775" s="770">
        <v>2</v>
      </c>
      <c r="F775" s="770">
        <v>2</v>
      </c>
    </row>
    <row r="776" spans="1:6">
      <c r="A776" s="74" t="s">
        <v>770</v>
      </c>
      <c r="B776" s="74">
        <v>59</v>
      </c>
      <c r="C776" s="74" t="s">
        <v>715</v>
      </c>
      <c r="D776" s="74" t="s">
        <v>693</v>
      </c>
      <c r="E776" s="770">
        <v>2</v>
      </c>
      <c r="F776" s="770">
        <v>2</v>
      </c>
    </row>
    <row r="777" spans="1:6">
      <c r="A777" s="74" t="s">
        <v>770</v>
      </c>
      <c r="B777" s="74">
        <v>60</v>
      </c>
      <c r="C777" s="74" t="s">
        <v>773</v>
      </c>
      <c r="D777" s="74" t="s">
        <v>730</v>
      </c>
      <c r="E777" s="770">
        <v>2</v>
      </c>
      <c r="F777" s="770">
        <v>2</v>
      </c>
    </row>
    <row r="778" spans="1:6">
      <c r="A778" s="74" t="s">
        <v>770</v>
      </c>
      <c r="B778" s="74">
        <v>61</v>
      </c>
      <c r="C778" s="74" t="s">
        <v>735</v>
      </c>
      <c r="D778" s="74" t="s">
        <v>730</v>
      </c>
      <c r="E778" s="770">
        <v>2</v>
      </c>
      <c r="F778" s="770">
        <v>2</v>
      </c>
    </row>
    <row r="779" spans="1:6">
      <c r="A779" s="74" t="s">
        <v>770</v>
      </c>
      <c r="B779" s="74">
        <v>62</v>
      </c>
      <c r="C779" s="74" t="s">
        <v>707</v>
      </c>
      <c r="D779" s="74" t="s">
        <v>256</v>
      </c>
      <c r="E779" s="770">
        <v>2</v>
      </c>
      <c r="F779" s="770">
        <v>2</v>
      </c>
    </row>
    <row r="780" spans="1:6">
      <c r="A780" s="74" t="s">
        <v>770</v>
      </c>
      <c r="B780" s="74">
        <v>63</v>
      </c>
      <c r="C780" s="74" t="s">
        <v>740</v>
      </c>
      <c r="D780" s="74" t="s">
        <v>264</v>
      </c>
      <c r="E780" s="770">
        <v>2</v>
      </c>
      <c r="F780" s="770">
        <v>2</v>
      </c>
    </row>
    <row r="781" spans="1:6">
      <c r="A781" s="74" t="s">
        <v>770</v>
      </c>
      <c r="B781" s="74">
        <v>64</v>
      </c>
      <c r="C781" s="74" t="s">
        <v>757</v>
      </c>
      <c r="D781" s="74" t="s">
        <v>251</v>
      </c>
      <c r="E781" s="770">
        <v>2</v>
      </c>
      <c r="F781" s="770">
        <v>2</v>
      </c>
    </row>
    <row r="782" spans="1:6">
      <c r="A782" s="74" t="s">
        <v>770</v>
      </c>
      <c r="B782" s="74">
        <v>65</v>
      </c>
      <c r="C782" s="74" t="s">
        <v>734</v>
      </c>
      <c r="D782" s="74" t="s">
        <v>695</v>
      </c>
      <c r="E782" s="770">
        <v>1</v>
      </c>
      <c r="F782" s="770">
        <v>1</v>
      </c>
    </row>
    <row r="783" spans="1:6">
      <c r="A783" s="74" t="s">
        <v>770</v>
      </c>
      <c r="B783" s="74">
        <v>66</v>
      </c>
      <c r="C783" s="74" t="s">
        <v>746</v>
      </c>
      <c r="D783" s="74" t="s">
        <v>251</v>
      </c>
      <c r="E783" s="770">
        <v>1</v>
      </c>
      <c r="F783" s="770">
        <v>1</v>
      </c>
    </row>
    <row r="784" spans="1:6">
      <c r="A784" s="74" t="s">
        <v>770</v>
      </c>
      <c r="B784" s="74">
        <v>67</v>
      </c>
      <c r="C784" s="74" t="s">
        <v>768</v>
      </c>
      <c r="D784" s="74" t="s">
        <v>275</v>
      </c>
      <c r="E784" s="770">
        <v>1</v>
      </c>
      <c r="F784" s="770">
        <v>1</v>
      </c>
    </row>
    <row r="785" spans="1:6">
      <c r="A785" s="74" t="s">
        <v>770</v>
      </c>
      <c r="B785" s="74">
        <v>68</v>
      </c>
      <c r="C785" s="74" t="s">
        <v>774</v>
      </c>
      <c r="D785" s="74" t="s">
        <v>730</v>
      </c>
      <c r="E785" s="770">
        <v>1</v>
      </c>
      <c r="F785" s="770">
        <v>1</v>
      </c>
    </row>
    <row r="786" spans="1:6">
      <c r="A786" s="74" t="s">
        <v>770</v>
      </c>
      <c r="B786" s="74">
        <v>69</v>
      </c>
      <c r="C786" s="74" t="s">
        <v>705</v>
      </c>
      <c r="D786" s="74" t="s">
        <v>274</v>
      </c>
      <c r="E786" s="770">
        <v>1</v>
      </c>
      <c r="F786" s="770">
        <v>1</v>
      </c>
    </row>
    <row r="787" spans="1:6">
      <c r="A787" s="74" t="s">
        <v>770</v>
      </c>
      <c r="B787" s="74">
        <v>70</v>
      </c>
      <c r="C787" s="74" t="s">
        <v>747</v>
      </c>
      <c r="D787" s="74" t="s">
        <v>256</v>
      </c>
      <c r="E787" s="770">
        <v>1</v>
      </c>
      <c r="F787" s="770">
        <v>1</v>
      </c>
    </row>
    <row r="788" spans="1:6">
      <c r="A788" s="74" t="s">
        <v>770</v>
      </c>
      <c r="B788" s="74">
        <v>71</v>
      </c>
      <c r="C788" s="74" t="s">
        <v>753</v>
      </c>
      <c r="D788" s="74" t="s">
        <v>275</v>
      </c>
      <c r="E788" s="770">
        <v>1</v>
      </c>
      <c r="F788" s="770">
        <v>1</v>
      </c>
    </row>
    <row r="789" spans="1:6">
      <c r="A789" s="74" t="s">
        <v>770</v>
      </c>
      <c r="B789" s="74">
        <v>72</v>
      </c>
      <c r="C789" s="74" t="s">
        <v>775</v>
      </c>
      <c r="D789" s="74" t="s">
        <v>695</v>
      </c>
      <c r="E789" s="770">
        <v>1</v>
      </c>
      <c r="F789" s="770">
        <v>1</v>
      </c>
    </row>
    <row r="790" spans="1:6">
      <c r="A790" s="74" t="s">
        <v>770</v>
      </c>
      <c r="B790" s="74">
        <v>73</v>
      </c>
      <c r="C790" s="74" t="s">
        <v>776</v>
      </c>
      <c r="D790" s="74" t="s">
        <v>730</v>
      </c>
      <c r="E790" s="770">
        <v>1</v>
      </c>
      <c r="F790" s="770">
        <v>1</v>
      </c>
    </row>
    <row r="791" spans="1:6">
      <c r="A791" s="74" t="s">
        <v>770</v>
      </c>
      <c r="B791" s="74">
        <v>74</v>
      </c>
      <c r="C791" s="74" t="s">
        <v>745</v>
      </c>
      <c r="D791" s="74" t="s">
        <v>275</v>
      </c>
      <c r="E791" s="770">
        <v>1</v>
      </c>
      <c r="F791" s="770">
        <v>1</v>
      </c>
    </row>
    <row r="792" spans="1:6">
      <c r="A792" s="74" t="s">
        <v>770</v>
      </c>
      <c r="B792" s="74">
        <v>75</v>
      </c>
      <c r="C792" s="74" t="s">
        <v>756</v>
      </c>
      <c r="D792" s="74" t="s">
        <v>251</v>
      </c>
      <c r="E792" s="770">
        <v>1</v>
      </c>
      <c r="F792" s="770">
        <v>1</v>
      </c>
    </row>
    <row r="793" spans="1:6">
      <c r="A793" s="74" t="s">
        <v>770</v>
      </c>
      <c r="B793" s="74">
        <v>76</v>
      </c>
      <c r="C793" s="74" t="s">
        <v>729</v>
      </c>
      <c r="D793" s="74" t="s">
        <v>730</v>
      </c>
      <c r="E793" s="770">
        <v>1</v>
      </c>
      <c r="F793" s="770">
        <v>1</v>
      </c>
    </row>
    <row r="794" spans="1:6">
      <c r="A794" s="74" t="s">
        <v>770</v>
      </c>
      <c r="B794" s="74">
        <v>77</v>
      </c>
      <c r="C794" s="74" t="s">
        <v>699</v>
      </c>
      <c r="D794" s="74" t="s">
        <v>249</v>
      </c>
      <c r="E794" s="770">
        <v>1</v>
      </c>
      <c r="F794" s="770">
        <v>1</v>
      </c>
    </row>
    <row r="795" spans="1:6">
      <c r="A795" s="74" t="s">
        <v>770</v>
      </c>
      <c r="B795" s="74">
        <v>78</v>
      </c>
      <c r="C795" s="74" t="s">
        <v>719</v>
      </c>
      <c r="D795" s="74" t="s">
        <v>689</v>
      </c>
      <c r="E795" s="770">
        <v>1</v>
      </c>
      <c r="F795" s="770">
        <v>1</v>
      </c>
    </row>
    <row r="796" spans="1:6">
      <c r="A796" s="74" t="s">
        <v>770</v>
      </c>
      <c r="B796" s="74">
        <v>79</v>
      </c>
      <c r="C796" s="74" t="s">
        <v>702</v>
      </c>
      <c r="D796" s="74" t="s">
        <v>251</v>
      </c>
      <c r="E796" s="770">
        <v>1</v>
      </c>
      <c r="F796" s="770">
        <v>1</v>
      </c>
    </row>
    <row r="797" spans="1:6">
      <c r="A797" s="74" t="s">
        <v>770</v>
      </c>
      <c r="B797" s="74">
        <v>80</v>
      </c>
      <c r="C797" s="74" t="s">
        <v>777</v>
      </c>
      <c r="D797" s="74" t="s">
        <v>713</v>
      </c>
      <c r="E797" s="770">
        <v>1</v>
      </c>
      <c r="F797" s="770">
        <v>1</v>
      </c>
    </row>
    <row r="798" spans="1:6">
      <c r="A798" s="74" t="s">
        <v>770</v>
      </c>
      <c r="B798" s="74">
        <v>81</v>
      </c>
      <c r="C798" s="74" t="s">
        <v>717</v>
      </c>
      <c r="D798" s="74" t="s">
        <v>249</v>
      </c>
      <c r="E798" s="770">
        <v>1</v>
      </c>
      <c r="F798" s="770">
        <v>1</v>
      </c>
    </row>
    <row r="799" spans="1:6">
      <c r="A799" s="74" t="s">
        <v>770</v>
      </c>
      <c r="B799" s="74">
        <v>82</v>
      </c>
      <c r="C799" s="74" t="s">
        <v>726</v>
      </c>
      <c r="D799" s="74" t="s">
        <v>323</v>
      </c>
      <c r="E799" s="770">
        <v>1</v>
      </c>
      <c r="F799" s="770">
        <v>1</v>
      </c>
    </row>
    <row r="800" spans="1:6">
      <c r="A800" s="74" t="s">
        <v>770</v>
      </c>
      <c r="B800" s="74">
        <v>83</v>
      </c>
      <c r="C800" s="74" t="s">
        <v>690</v>
      </c>
      <c r="D800" s="74" t="s">
        <v>275</v>
      </c>
      <c r="E800" s="770">
        <v>1</v>
      </c>
      <c r="F800" s="770">
        <v>1</v>
      </c>
    </row>
    <row r="801" spans="1:6">
      <c r="A801" s="74" t="s">
        <v>770</v>
      </c>
      <c r="B801" s="74">
        <v>84</v>
      </c>
      <c r="C801" s="74" t="s">
        <v>778</v>
      </c>
      <c r="D801" s="74" t="s">
        <v>256</v>
      </c>
      <c r="E801" s="770">
        <v>1</v>
      </c>
      <c r="F801" s="770">
        <v>1</v>
      </c>
    </row>
    <row r="802" spans="1:6">
      <c r="A802" s="74" t="s">
        <v>770</v>
      </c>
      <c r="B802" s="74">
        <v>85</v>
      </c>
      <c r="C802" s="74" t="s">
        <v>731</v>
      </c>
      <c r="D802" s="74" t="s">
        <v>251</v>
      </c>
      <c r="E802" s="770">
        <v>1</v>
      </c>
      <c r="F802" s="770">
        <v>1</v>
      </c>
    </row>
    <row r="803" spans="1:6">
      <c r="A803" s="74" t="s">
        <v>831</v>
      </c>
      <c r="B803" s="74">
        <v>1</v>
      </c>
      <c r="C803" s="74" t="s">
        <v>248</v>
      </c>
      <c r="D803" s="74" t="s">
        <v>249</v>
      </c>
      <c r="E803" s="770">
        <v>66</v>
      </c>
      <c r="F803" s="770">
        <v>66</v>
      </c>
    </row>
    <row r="804" spans="1:6">
      <c r="A804" s="74" t="s">
        <v>831</v>
      </c>
      <c r="B804" s="74">
        <v>2</v>
      </c>
      <c r="C804" s="74" t="s">
        <v>259</v>
      </c>
      <c r="D804" s="74" t="s">
        <v>249</v>
      </c>
      <c r="E804" s="770">
        <v>60</v>
      </c>
      <c r="F804" s="770">
        <v>60</v>
      </c>
    </row>
    <row r="805" spans="1:6">
      <c r="A805" s="74" t="s">
        <v>831</v>
      </c>
      <c r="B805" s="74">
        <v>3</v>
      </c>
      <c r="C805" s="74" t="s">
        <v>790</v>
      </c>
      <c r="D805" s="74" t="s">
        <v>264</v>
      </c>
      <c r="E805" s="770">
        <v>52</v>
      </c>
      <c r="F805" s="770">
        <v>52</v>
      </c>
    </row>
    <row r="806" spans="1:6">
      <c r="A806" s="74" t="s">
        <v>831</v>
      </c>
      <c r="B806" s="74">
        <v>4</v>
      </c>
      <c r="C806" s="74" t="s">
        <v>250</v>
      </c>
      <c r="D806" s="74" t="s">
        <v>251</v>
      </c>
      <c r="E806" s="770">
        <v>50</v>
      </c>
      <c r="F806" s="770">
        <v>50</v>
      </c>
    </row>
    <row r="807" spans="1:6">
      <c r="A807" s="74" t="s">
        <v>831</v>
      </c>
      <c r="B807" s="74">
        <v>5</v>
      </c>
      <c r="C807" s="74" t="s">
        <v>261</v>
      </c>
      <c r="D807" s="74" t="s">
        <v>256</v>
      </c>
      <c r="E807" s="770">
        <v>42</v>
      </c>
      <c r="F807" s="770">
        <v>42</v>
      </c>
    </row>
    <row r="808" spans="1:6">
      <c r="A808" s="74" t="s">
        <v>831</v>
      </c>
      <c r="B808" s="74">
        <v>6</v>
      </c>
      <c r="C808" s="74" t="s">
        <v>255</v>
      </c>
      <c r="D808" s="74" t="s">
        <v>256</v>
      </c>
      <c r="E808" s="770">
        <v>31</v>
      </c>
      <c r="F808" s="770">
        <v>31</v>
      </c>
    </row>
    <row r="809" spans="1:6">
      <c r="A809" s="74" t="s">
        <v>831</v>
      </c>
      <c r="B809" s="74">
        <v>7</v>
      </c>
      <c r="C809" s="74" t="s">
        <v>680</v>
      </c>
      <c r="D809" s="74" t="s">
        <v>251</v>
      </c>
      <c r="E809" s="770">
        <v>24</v>
      </c>
      <c r="F809" s="770">
        <v>24</v>
      </c>
    </row>
    <row r="810" spans="1:6">
      <c r="A810" s="74" t="s">
        <v>831</v>
      </c>
      <c r="B810" s="74">
        <v>8</v>
      </c>
      <c r="C810" s="74" t="s">
        <v>262</v>
      </c>
      <c r="D810" s="74" t="s">
        <v>256</v>
      </c>
      <c r="E810" s="770">
        <v>24</v>
      </c>
      <c r="F810" s="770">
        <v>24</v>
      </c>
    </row>
    <row r="811" spans="1:6">
      <c r="A811" s="74" t="s">
        <v>831</v>
      </c>
      <c r="B811" s="74">
        <v>9</v>
      </c>
      <c r="C811" s="74" t="s">
        <v>681</v>
      </c>
      <c r="D811" s="74" t="s">
        <v>282</v>
      </c>
      <c r="E811" s="770">
        <v>22</v>
      </c>
      <c r="F811" s="770">
        <v>22</v>
      </c>
    </row>
    <row r="812" spans="1:6">
      <c r="A812" s="74" t="s">
        <v>831</v>
      </c>
      <c r="B812" s="74">
        <v>10</v>
      </c>
      <c r="C812" s="74" t="s">
        <v>673</v>
      </c>
      <c r="D812" s="74" t="s">
        <v>251</v>
      </c>
      <c r="E812" s="770">
        <v>20</v>
      </c>
      <c r="F812" s="770">
        <v>20</v>
      </c>
    </row>
    <row r="813" spans="1:6">
      <c r="A813" s="74" t="s">
        <v>831</v>
      </c>
      <c r="B813" s="74">
        <v>11</v>
      </c>
      <c r="C813" s="74" t="s">
        <v>806</v>
      </c>
      <c r="D813" s="74" t="s">
        <v>256</v>
      </c>
      <c r="E813" s="770">
        <v>18</v>
      </c>
      <c r="F813" s="770">
        <v>18</v>
      </c>
    </row>
    <row r="814" spans="1:6">
      <c r="A814" s="74" t="s">
        <v>831</v>
      </c>
      <c r="B814" s="74">
        <v>12</v>
      </c>
      <c r="C814" s="74" t="s">
        <v>687</v>
      </c>
      <c r="D814" s="74" t="s">
        <v>253</v>
      </c>
      <c r="E814" s="770">
        <v>17</v>
      </c>
      <c r="F814" s="770">
        <v>17</v>
      </c>
    </row>
    <row r="815" spans="1:6">
      <c r="A815" s="74" t="s">
        <v>831</v>
      </c>
      <c r="B815" s="74">
        <v>13</v>
      </c>
      <c r="C815" s="74" t="s">
        <v>671</v>
      </c>
      <c r="D815" s="74" t="s">
        <v>276</v>
      </c>
      <c r="E815" s="770">
        <v>16</v>
      </c>
      <c r="F815" s="770">
        <v>16</v>
      </c>
    </row>
    <row r="816" spans="1:6">
      <c r="A816" s="74" t="s">
        <v>831</v>
      </c>
      <c r="B816" s="74">
        <v>14</v>
      </c>
      <c r="C816" s="74" t="s">
        <v>254</v>
      </c>
      <c r="D816" s="74" t="s">
        <v>254</v>
      </c>
      <c r="E816" s="770">
        <v>16</v>
      </c>
      <c r="F816" s="770">
        <v>16</v>
      </c>
    </row>
    <row r="817" spans="1:6">
      <c r="A817" s="74" t="s">
        <v>831</v>
      </c>
      <c r="B817" s="74">
        <v>15</v>
      </c>
      <c r="C817" s="74" t="s">
        <v>792</v>
      </c>
      <c r="D817" s="74" t="s">
        <v>256</v>
      </c>
      <c r="E817" s="770">
        <v>15</v>
      </c>
      <c r="F817" s="770">
        <v>15</v>
      </c>
    </row>
    <row r="818" spans="1:6">
      <c r="A818" s="74" t="s">
        <v>831</v>
      </c>
      <c r="B818" s="74">
        <v>16</v>
      </c>
      <c r="C818" s="74" t="s">
        <v>679</v>
      </c>
      <c r="D818" s="74" t="s">
        <v>256</v>
      </c>
      <c r="E818" s="770">
        <v>15</v>
      </c>
      <c r="F818" s="770">
        <v>15</v>
      </c>
    </row>
    <row r="819" spans="1:6">
      <c r="A819" s="74" t="s">
        <v>831</v>
      </c>
      <c r="B819" s="74">
        <v>17</v>
      </c>
      <c r="C819" s="74" t="s">
        <v>791</v>
      </c>
      <c r="D819" s="74" t="s">
        <v>256</v>
      </c>
      <c r="E819" s="770">
        <v>15</v>
      </c>
      <c r="F819" s="770">
        <v>15</v>
      </c>
    </row>
    <row r="820" spans="1:6">
      <c r="A820" s="74" t="s">
        <v>831</v>
      </c>
      <c r="B820" s="74">
        <v>18</v>
      </c>
      <c r="C820" s="74" t="s">
        <v>686</v>
      </c>
      <c r="D820" s="74" t="s">
        <v>274</v>
      </c>
      <c r="E820" s="770">
        <v>14</v>
      </c>
      <c r="F820" s="770">
        <v>14</v>
      </c>
    </row>
    <row r="821" spans="1:6">
      <c r="A821" s="74" t="s">
        <v>831</v>
      </c>
      <c r="B821" s="74">
        <v>19</v>
      </c>
      <c r="C821" s="74" t="s">
        <v>674</v>
      </c>
      <c r="D821" s="74" t="s">
        <v>275</v>
      </c>
      <c r="E821" s="770">
        <v>13</v>
      </c>
      <c r="F821" s="770">
        <v>13</v>
      </c>
    </row>
    <row r="822" spans="1:6">
      <c r="A822" s="74" t="s">
        <v>831</v>
      </c>
      <c r="B822" s="74">
        <v>20</v>
      </c>
      <c r="C822" s="74" t="s">
        <v>832</v>
      </c>
      <c r="D822" s="74" t="s">
        <v>256</v>
      </c>
      <c r="E822" s="770">
        <v>13</v>
      </c>
      <c r="F822" s="770">
        <v>13</v>
      </c>
    </row>
    <row r="823" spans="1:6">
      <c r="A823" s="74" t="s">
        <v>831</v>
      </c>
      <c r="B823" s="74">
        <v>21</v>
      </c>
      <c r="C823" s="74" t="s">
        <v>676</v>
      </c>
      <c r="D823" s="74" t="s">
        <v>253</v>
      </c>
      <c r="E823" s="770">
        <v>13</v>
      </c>
      <c r="F823" s="770">
        <v>13</v>
      </c>
    </row>
    <row r="824" spans="1:6">
      <c r="A824" s="74" t="s">
        <v>831</v>
      </c>
      <c r="B824" s="74">
        <v>22</v>
      </c>
      <c r="C824" s="74" t="s">
        <v>780</v>
      </c>
      <c r="D824" s="74" t="s">
        <v>268</v>
      </c>
      <c r="E824" s="770">
        <v>12</v>
      </c>
      <c r="F824" s="770">
        <v>12</v>
      </c>
    </row>
    <row r="825" spans="1:6">
      <c r="A825" s="74" t="s">
        <v>831</v>
      </c>
      <c r="B825" s="74">
        <v>23</v>
      </c>
      <c r="C825" s="74" t="s">
        <v>684</v>
      </c>
      <c r="D825" s="74" t="s">
        <v>323</v>
      </c>
      <c r="E825" s="770">
        <v>11</v>
      </c>
      <c r="F825" s="770">
        <v>11</v>
      </c>
    </row>
    <row r="826" spans="1:6">
      <c r="A826" s="74" t="s">
        <v>831</v>
      </c>
      <c r="B826" s="74">
        <v>24</v>
      </c>
      <c r="C826" s="74" t="s">
        <v>708</v>
      </c>
      <c r="D826" s="74" t="s">
        <v>251</v>
      </c>
      <c r="E826" s="770">
        <v>11</v>
      </c>
      <c r="F826" s="770">
        <v>11</v>
      </c>
    </row>
    <row r="827" spans="1:6">
      <c r="A827" s="74" t="s">
        <v>831</v>
      </c>
      <c r="B827" s="74">
        <v>25</v>
      </c>
      <c r="C827" s="74" t="s">
        <v>738</v>
      </c>
      <c r="D827" s="74" t="s">
        <v>256</v>
      </c>
      <c r="E827" s="770">
        <v>11</v>
      </c>
      <c r="F827" s="770">
        <v>11</v>
      </c>
    </row>
    <row r="828" spans="1:6">
      <c r="A828" s="74" t="s">
        <v>831</v>
      </c>
      <c r="B828" s="74">
        <v>26</v>
      </c>
      <c r="C828" s="74" t="s">
        <v>796</v>
      </c>
      <c r="D828" s="74" t="s">
        <v>282</v>
      </c>
      <c r="E828" s="770">
        <v>10</v>
      </c>
      <c r="F828" s="770">
        <v>10</v>
      </c>
    </row>
    <row r="829" spans="1:6">
      <c r="A829" s="74" t="s">
        <v>831</v>
      </c>
      <c r="B829" s="74">
        <v>27</v>
      </c>
      <c r="C829" s="74" t="s">
        <v>677</v>
      </c>
      <c r="D829" s="74" t="s">
        <v>249</v>
      </c>
      <c r="E829" s="770">
        <v>10</v>
      </c>
      <c r="F829" s="770">
        <v>10</v>
      </c>
    </row>
    <row r="830" spans="1:6">
      <c r="A830" s="74" t="s">
        <v>831</v>
      </c>
      <c r="B830" s="74">
        <v>28</v>
      </c>
      <c r="C830" s="74" t="s">
        <v>698</v>
      </c>
      <c r="D830" s="74" t="s">
        <v>249</v>
      </c>
      <c r="E830" s="770">
        <v>10</v>
      </c>
      <c r="F830" s="770">
        <v>10</v>
      </c>
    </row>
    <row r="831" spans="1:6">
      <c r="A831" s="74" t="s">
        <v>831</v>
      </c>
      <c r="B831" s="74">
        <v>29</v>
      </c>
      <c r="C831" s="74" t="s">
        <v>700</v>
      </c>
      <c r="D831" s="74" t="s">
        <v>274</v>
      </c>
      <c r="E831" s="770">
        <v>10</v>
      </c>
      <c r="F831" s="770">
        <v>10</v>
      </c>
    </row>
    <row r="832" spans="1:6">
      <c r="A832" s="74" t="s">
        <v>831</v>
      </c>
      <c r="B832" s="74">
        <v>30</v>
      </c>
      <c r="C832" s="74" t="s">
        <v>697</v>
      </c>
      <c r="D832" s="74" t="s">
        <v>256</v>
      </c>
      <c r="E832" s="770">
        <v>9</v>
      </c>
      <c r="F832" s="770">
        <v>9</v>
      </c>
    </row>
    <row r="833" spans="1:6">
      <c r="A833" s="74" t="s">
        <v>831</v>
      </c>
      <c r="B833" s="74">
        <v>31</v>
      </c>
      <c r="C833" s="74" t="s">
        <v>706</v>
      </c>
      <c r="D833" s="74" t="s">
        <v>256</v>
      </c>
      <c r="E833" s="770">
        <v>9</v>
      </c>
      <c r="F833" s="770">
        <v>9</v>
      </c>
    </row>
    <row r="834" spans="1:6">
      <c r="A834" s="74" t="s">
        <v>831</v>
      </c>
      <c r="B834" s="74">
        <v>32</v>
      </c>
      <c r="C834" s="74" t="s">
        <v>682</v>
      </c>
      <c r="D834" s="74" t="s">
        <v>275</v>
      </c>
      <c r="E834" s="770">
        <v>9</v>
      </c>
      <c r="F834" s="770">
        <v>9</v>
      </c>
    </row>
    <row r="835" spans="1:6">
      <c r="A835" s="74" t="s">
        <v>831</v>
      </c>
      <c r="B835" s="74">
        <v>33</v>
      </c>
      <c r="C835" s="74" t="s">
        <v>804</v>
      </c>
      <c r="D835" s="74" t="s">
        <v>253</v>
      </c>
      <c r="E835" s="770">
        <v>8</v>
      </c>
      <c r="F835" s="770">
        <v>8</v>
      </c>
    </row>
    <row r="836" spans="1:6">
      <c r="A836" s="74" t="s">
        <v>831</v>
      </c>
      <c r="B836" s="74">
        <v>34</v>
      </c>
      <c r="C836" s="74" t="s">
        <v>742</v>
      </c>
      <c r="D836" s="74" t="s">
        <v>251</v>
      </c>
      <c r="E836" s="770">
        <v>8</v>
      </c>
      <c r="F836" s="770">
        <v>8</v>
      </c>
    </row>
    <row r="837" spans="1:6">
      <c r="A837" s="74" t="s">
        <v>831</v>
      </c>
      <c r="B837" s="74">
        <v>35</v>
      </c>
      <c r="C837" s="74" t="s">
        <v>781</v>
      </c>
      <c r="D837" s="74" t="s">
        <v>764</v>
      </c>
      <c r="E837" s="770">
        <v>7</v>
      </c>
      <c r="F837" s="770">
        <v>7</v>
      </c>
    </row>
    <row r="838" spans="1:6">
      <c r="A838" s="74" t="s">
        <v>831</v>
      </c>
      <c r="B838" s="74">
        <v>36</v>
      </c>
      <c r="C838" s="74" t="s">
        <v>691</v>
      </c>
      <c r="D838" s="74" t="s">
        <v>251</v>
      </c>
      <c r="E838" s="770">
        <v>7</v>
      </c>
      <c r="F838" s="770">
        <v>7</v>
      </c>
    </row>
    <row r="839" spans="1:6">
      <c r="A839" s="74" t="s">
        <v>831</v>
      </c>
      <c r="B839" s="74">
        <v>37</v>
      </c>
      <c r="C839" s="74" t="s">
        <v>745</v>
      </c>
      <c r="D839" s="74" t="s">
        <v>275</v>
      </c>
      <c r="E839" s="770">
        <v>7</v>
      </c>
      <c r="F839" s="770">
        <v>7</v>
      </c>
    </row>
    <row r="840" spans="1:6">
      <c r="A840" s="74" t="s">
        <v>831</v>
      </c>
      <c r="B840" s="74">
        <v>38</v>
      </c>
      <c r="C840" s="74" t="s">
        <v>794</v>
      </c>
      <c r="D840" s="74" t="s">
        <v>256</v>
      </c>
      <c r="E840" s="770">
        <v>7</v>
      </c>
      <c r="F840" s="770">
        <v>7</v>
      </c>
    </row>
    <row r="841" spans="1:6">
      <c r="A841" s="74" t="s">
        <v>831</v>
      </c>
      <c r="B841" s="74">
        <v>39</v>
      </c>
      <c r="C841" s="74" t="s">
        <v>675</v>
      </c>
      <c r="D841" s="74" t="s">
        <v>256</v>
      </c>
      <c r="E841" s="770">
        <v>7</v>
      </c>
      <c r="F841" s="770">
        <v>7</v>
      </c>
    </row>
    <row r="842" spans="1:6">
      <c r="A842" s="74" t="s">
        <v>831</v>
      </c>
      <c r="B842" s="74">
        <v>40</v>
      </c>
      <c r="C842" s="74" t="s">
        <v>707</v>
      </c>
      <c r="D842" s="74" t="s">
        <v>256</v>
      </c>
      <c r="E842" s="770">
        <v>7</v>
      </c>
      <c r="F842" s="770">
        <v>7</v>
      </c>
    </row>
    <row r="843" spans="1:6">
      <c r="A843" s="74" t="s">
        <v>831</v>
      </c>
      <c r="B843" s="74">
        <v>41</v>
      </c>
      <c r="C843" s="74" t="s">
        <v>703</v>
      </c>
      <c r="D843" s="74" t="s">
        <v>256</v>
      </c>
      <c r="E843" s="770">
        <v>7</v>
      </c>
      <c r="F843" s="770">
        <v>7</v>
      </c>
    </row>
    <row r="844" spans="1:6">
      <c r="A844" s="74" t="s">
        <v>831</v>
      </c>
      <c r="B844" s="74">
        <v>42</v>
      </c>
      <c r="C844" s="74" t="s">
        <v>704</v>
      </c>
      <c r="D844" s="74" t="s">
        <v>689</v>
      </c>
      <c r="E844" s="770">
        <v>7</v>
      </c>
      <c r="F844" s="770">
        <v>7</v>
      </c>
    </row>
    <row r="845" spans="1:6">
      <c r="A845" s="74" t="s">
        <v>831</v>
      </c>
      <c r="B845" s="74">
        <v>43</v>
      </c>
      <c r="C845" s="74" t="s">
        <v>702</v>
      </c>
      <c r="D845" s="74" t="s">
        <v>251</v>
      </c>
      <c r="E845" s="770">
        <v>6</v>
      </c>
      <c r="F845" s="770">
        <v>6</v>
      </c>
    </row>
    <row r="846" spans="1:6">
      <c r="A846" s="74" t="s">
        <v>831</v>
      </c>
      <c r="B846" s="74">
        <v>44</v>
      </c>
      <c r="C846" s="74" t="s">
        <v>716</v>
      </c>
      <c r="D846" s="74" t="s">
        <v>251</v>
      </c>
      <c r="E846" s="770">
        <v>6</v>
      </c>
      <c r="F846" s="770">
        <v>6</v>
      </c>
    </row>
    <row r="847" spans="1:6">
      <c r="A847" s="74" t="s">
        <v>831</v>
      </c>
      <c r="B847" s="74">
        <v>45</v>
      </c>
      <c r="C847" s="74" t="s">
        <v>701</v>
      </c>
      <c r="D847" s="74" t="s">
        <v>689</v>
      </c>
      <c r="E847" s="770">
        <v>6</v>
      </c>
      <c r="F847" s="770">
        <v>6</v>
      </c>
    </row>
    <row r="848" spans="1:6">
      <c r="A848" s="74" t="s">
        <v>831</v>
      </c>
      <c r="B848" s="74">
        <v>46</v>
      </c>
      <c r="C848" s="74" t="s">
        <v>740</v>
      </c>
      <c r="D848" s="74" t="s">
        <v>264</v>
      </c>
      <c r="E848" s="770">
        <v>6</v>
      </c>
      <c r="F848" s="770">
        <v>6</v>
      </c>
    </row>
    <row r="849" spans="1:6">
      <c r="A849" s="74" t="s">
        <v>831</v>
      </c>
      <c r="B849" s="74">
        <v>47</v>
      </c>
      <c r="C849" s="74" t="s">
        <v>696</v>
      </c>
      <c r="D849" s="74" t="s">
        <v>323</v>
      </c>
      <c r="E849" s="770">
        <v>6</v>
      </c>
      <c r="F849" s="770">
        <v>6</v>
      </c>
    </row>
    <row r="850" spans="1:6">
      <c r="A850" s="74" t="s">
        <v>831</v>
      </c>
      <c r="B850" s="74">
        <v>48</v>
      </c>
      <c r="C850" s="74" t="s">
        <v>678</v>
      </c>
      <c r="D850" s="74" t="s">
        <v>256</v>
      </c>
      <c r="E850" s="770">
        <v>6</v>
      </c>
      <c r="F850" s="770">
        <v>6</v>
      </c>
    </row>
    <row r="851" spans="1:6">
      <c r="A851" s="74" t="s">
        <v>831</v>
      </c>
      <c r="B851" s="74">
        <v>49</v>
      </c>
      <c r="C851" s="74" t="s">
        <v>751</v>
      </c>
      <c r="D851" s="74" t="s">
        <v>256</v>
      </c>
      <c r="E851" s="770">
        <v>5</v>
      </c>
      <c r="F851" s="770">
        <v>5</v>
      </c>
    </row>
    <row r="852" spans="1:6">
      <c r="A852" s="74" t="s">
        <v>831</v>
      </c>
      <c r="B852" s="74">
        <v>50</v>
      </c>
      <c r="C852" s="74" t="s">
        <v>833</v>
      </c>
      <c r="D852" s="74" t="s">
        <v>815</v>
      </c>
      <c r="E852" s="770">
        <v>5</v>
      </c>
      <c r="F852" s="770">
        <v>5</v>
      </c>
    </row>
    <row r="853" spans="1:6">
      <c r="A853" s="74" t="s">
        <v>831</v>
      </c>
      <c r="B853" s="74">
        <v>51</v>
      </c>
      <c r="C853" s="74" t="s">
        <v>723</v>
      </c>
      <c r="D853" s="74" t="s">
        <v>713</v>
      </c>
      <c r="E853" s="770">
        <v>5</v>
      </c>
      <c r="F853" s="770">
        <v>5</v>
      </c>
    </row>
    <row r="854" spans="1:6">
      <c r="A854" s="74" t="s">
        <v>831</v>
      </c>
      <c r="B854" s="74">
        <v>52</v>
      </c>
      <c r="C854" s="74" t="s">
        <v>688</v>
      </c>
      <c r="D854" s="74" t="s">
        <v>689</v>
      </c>
      <c r="E854" s="770">
        <v>5</v>
      </c>
      <c r="F854" s="770">
        <v>5</v>
      </c>
    </row>
    <row r="855" spans="1:6">
      <c r="A855" s="74" t="s">
        <v>831</v>
      </c>
      <c r="B855" s="74">
        <v>53</v>
      </c>
      <c r="C855" s="74" t="s">
        <v>728</v>
      </c>
      <c r="D855" s="74" t="s">
        <v>695</v>
      </c>
      <c r="E855" s="770">
        <v>5</v>
      </c>
      <c r="F855" s="770">
        <v>5</v>
      </c>
    </row>
    <row r="856" spans="1:6">
      <c r="A856" s="74" t="s">
        <v>831</v>
      </c>
      <c r="B856" s="74">
        <v>54</v>
      </c>
      <c r="C856" s="74" t="s">
        <v>743</v>
      </c>
      <c r="D856" s="74" t="s">
        <v>251</v>
      </c>
      <c r="E856" s="770">
        <v>5</v>
      </c>
      <c r="F856" s="770">
        <v>5</v>
      </c>
    </row>
    <row r="857" spans="1:6">
      <c r="A857" s="74" t="s">
        <v>831</v>
      </c>
      <c r="B857" s="74">
        <v>55</v>
      </c>
      <c r="C857" s="74" t="s">
        <v>752</v>
      </c>
      <c r="D857" s="74" t="s">
        <v>264</v>
      </c>
      <c r="E857" s="770">
        <v>4</v>
      </c>
      <c r="F857" s="770">
        <v>4</v>
      </c>
    </row>
    <row r="858" spans="1:6">
      <c r="A858" s="74" t="s">
        <v>831</v>
      </c>
      <c r="B858" s="74">
        <v>56</v>
      </c>
      <c r="C858" s="74" t="s">
        <v>762</v>
      </c>
      <c r="D858" s="74" t="s">
        <v>323</v>
      </c>
      <c r="E858" s="770">
        <v>4</v>
      </c>
      <c r="F858" s="770">
        <v>4</v>
      </c>
    </row>
    <row r="859" spans="1:6">
      <c r="A859" s="74" t="s">
        <v>831</v>
      </c>
      <c r="B859" s="74">
        <v>57</v>
      </c>
      <c r="C859" s="74" t="s">
        <v>784</v>
      </c>
      <c r="D859" s="74" t="s">
        <v>764</v>
      </c>
      <c r="E859" s="770">
        <v>4</v>
      </c>
      <c r="F859" s="770">
        <v>4</v>
      </c>
    </row>
    <row r="860" spans="1:6">
      <c r="A860" s="74" t="s">
        <v>831</v>
      </c>
      <c r="B860" s="74">
        <v>58</v>
      </c>
      <c r="C860" s="74" t="s">
        <v>814</v>
      </c>
      <c r="D860" s="74" t="s">
        <v>815</v>
      </c>
      <c r="E860" s="770">
        <v>4</v>
      </c>
      <c r="F860" s="770">
        <v>4</v>
      </c>
    </row>
    <row r="861" spans="1:6">
      <c r="A861" s="74" t="s">
        <v>831</v>
      </c>
      <c r="B861" s="74">
        <v>59</v>
      </c>
      <c r="C861" s="74" t="s">
        <v>722</v>
      </c>
      <c r="D861" s="74" t="s">
        <v>251</v>
      </c>
      <c r="E861" s="770">
        <v>4</v>
      </c>
      <c r="F861" s="770">
        <v>4</v>
      </c>
    </row>
    <row r="862" spans="1:6">
      <c r="A862" s="74" t="s">
        <v>831</v>
      </c>
      <c r="B862" s="74">
        <v>60</v>
      </c>
      <c r="C862" s="74" t="s">
        <v>705</v>
      </c>
      <c r="D862" s="74" t="s">
        <v>274</v>
      </c>
      <c r="E862" s="770">
        <v>4</v>
      </c>
      <c r="F862" s="770">
        <v>4</v>
      </c>
    </row>
    <row r="863" spans="1:6">
      <c r="A863" s="74" t="s">
        <v>831</v>
      </c>
      <c r="B863" s="74">
        <v>61</v>
      </c>
      <c r="C863" s="74" t="s">
        <v>783</v>
      </c>
      <c r="D863" s="74" t="s">
        <v>764</v>
      </c>
      <c r="E863" s="770">
        <v>4</v>
      </c>
      <c r="F863" s="770">
        <v>4</v>
      </c>
    </row>
    <row r="864" spans="1:6">
      <c r="A864" s="74" t="s">
        <v>831</v>
      </c>
      <c r="B864" s="74">
        <v>62</v>
      </c>
      <c r="C864" s="74" t="s">
        <v>685</v>
      </c>
      <c r="D864" s="74" t="s">
        <v>256</v>
      </c>
      <c r="E864" s="770">
        <v>4</v>
      </c>
      <c r="F864" s="770">
        <v>4</v>
      </c>
    </row>
    <row r="865" spans="1:6">
      <c r="A865" s="74" t="s">
        <v>831</v>
      </c>
      <c r="B865" s="74">
        <v>63</v>
      </c>
      <c r="C865" s="74" t="s">
        <v>748</v>
      </c>
      <c r="D865" s="74" t="s">
        <v>274</v>
      </c>
      <c r="E865" s="770">
        <v>3</v>
      </c>
      <c r="F865" s="770">
        <v>3</v>
      </c>
    </row>
    <row r="866" spans="1:6">
      <c r="A866" s="74" t="s">
        <v>831</v>
      </c>
      <c r="B866" s="74">
        <v>64</v>
      </c>
      <c r="C866" s="74" t="s">
        <v>734</v>
      </c>
      <c r="D866" s="74" t="s">
        <v>695</v>
      </c>
      <c r="E866" s="770">
        <v>3</v>
      </c>
      <c r="F866" s="770">
        <v>3</v>
      </c>
    </row>
    <row r="867" spans="1:6">
      <c r="A867" s="74" t="s">
        <v>831</v>
      </c>
      <c r="B867" s="74">
        <v>65</v>
      </c>
      <c r="C867" s="74" t="s">
        <v>763</v>
      </c>
      <c r="D867" s="74" t="s">
        <v>764</v>
      </c>
      <c r="E867" s="770">
        <v>3</v>
      </c>
      <c r="F867" s="770">
        <v>3</v>
      </c>
    </row>
    <row r="868" spans="1:6">
      <c r="A868" s="74" t="s">
        <v>831</v>
      </c>
      <c r="B868" s="74">
        <v>66</v>
      </c>
      <c r="C868" s="74" t="s">
        <v>692</v>
      </c>
      <c r="D868" s="74" t="s">
        <v>693</v>
      </c>
      <c r="E868" s="770">
        <v>3</v>
      </c>
      <c r="F868" s="770">
        <v>3</v>
      </c>
    </row>
    <row r="869" spans="1:6">
      <c r="A869" s="74" t="s">
        <v>831</v>
      </c>
      <c r="B869" s="74">
        <v>67</v>
      </c>
      <c r="C869" s="74" t="s">
        <v>694</v>
      </c>
      <c r="D869" s="74" t="s">
        <v>695</v>
      </c>
      <c r="E869" s="770">
        <v>3</v>
      </c>
      <c r="F869" s="770">
        <v>3</v>
      </c>
    </row>
    <row r="870" spans="1:6">
      <c r="A870" s="74" t="s">
        <v>831</v>
      </c>
      <c r="B870" s="74">
        <v>68</v>
      </c>
      <c r="C870" s="74" t="s">
        <v>727</v>
      </c>
      <c r="D870" s="74" t="s">
        <v>275</v>
      </c>
      <c r="E870" s="770">
        <v>3</v>
      </c>
      <c r="F870" s="770">
        <v>3</v>
      </c>
    </row>
    <row r="871" spans="1:6">
      <c r="A871" s="74" t="s">
        <v>831</v>
      </c>
      <c r="B871" s="74">
        <v>69</v>
      </c>
      <c r="C871" s="74" t="s">
        <v>757</v>
      </c>
      <c r="D871" s="74" t="s">
        <v>251</v>
      </c>
      <c r="E871" s="770">
        <v>3</v>
      </c>
      <c r="F871" s="770">
        <v>3</v>
      </c>
    </row>
    <row r="872" spans="1:6">
      <c r="A872" s="74" t="s">
        <v>831</v>
      </c>
      <c r="B872" s="74">
        <v>70</v>
      </c>
      <c r="C872" s="74" t="s">
        <v>760</v>
      </c>
      <c r="D872" s="74" t="s">
        <v>253</v>
      </c>
      <c r="E872" s="770">
        <v>3</v>
      </c>
      <c r="F872" s="770">
        <v>3</v>
      </c>
    </row>
    <row r="873" spans="1:6">
      <c r="A873" s="74" t="s">
        <v>831</v>
      </c>
      <c r="B873" s="74">
        <v>71</v>
      </c>
      <c r="C873" s="74" t="s">
        <v>690</v>
      </c>
      <c r="D873" s="74" t="s">
        <v>275</v>
      </c>
      <c r="E873" s="770">
        <v>3</v>
      </c>
      <c r="F873" s="770">
        <v>3</v>
      </c>
    </row>
    <row r="874" spans="1:6">
      <c r="A874" s="74" t="s">
        <v>831</v>
      </c>
      <c r="B874" s="74">
        <v>72</v>
      </c>
      <c r="C874" s="74" t="s">
        <v>714</v>
      </c>
      <c r="D874" s="74" t="s">
        <v>251</v>
      </c>
      <c r="E874" s="770">
        <v>3</v>
      </c>
      <c r="F874" s="770">
        <v>3</v>
      </c>
    </row>
    <row r="875" spans="1:6">
      <c r="A875" s="74" t="s">
        <v>831</v>
      </c>
      <c r="B875" s="74">
        <v>73</v>
      </c>
      <c r="C875" s="74" t="s">
        <v>683</v>
      </c>
      <c r="D875" s="74" t="s">
        <v>274</v>
      </c>
      <c r="E875" s="770">
        <v>3</v>
      </c>
      <c r="F875" s="770">
        <v>3</v>
      </c>
    </row>
    <row r="876" spans="1:6">
      <c r="A876" s="74" t="s">
        <v>831</v>
      </c>
      <c r="B876" s="74">
        <v>74</v>
      </c>
      <c r="C876" s="74" t="s">
        <v>735</v>
      </c>
      <c r="D876" s="74" t="s">
        <v>730</v>
      </c>
      <c r="E876" s="770">
        <v>2</v>
      </c>
      <c r="F876" s="770">
        <v>2</v>
      </c>
    </row>
    <row r="877" spans="1:6">
      <c r="A877" s="74" t="s">
        <v>831</v>
      </c>
      <c r="B877" s="74">
        <v>75</v>
      </c>
      <c r="C877" s="74" t="s">
        <v>811</v>
      </c>
      <c r="D877" s="74" t="s">
        <v>275</v>
      </c>
      <c r="E877" s="770">
        <v>2</v>
      </c>
      <c r="F877" s="770">
        <v>2</v>
      </c>
    </row>
    <row r="878" spans="1:6">
      <c r="A878" s="74" t="s">
        <v>831</v>
      </c>
      <c r="B878" s="74">
        <v>76</v>
      </c>
      <c r="C878" s="74" t="s">
        <v>825</v>
      </c>
      <c r="D878" s="74" t="s">
        <v>256</v>
      </c>
      <c r="E878" s="770">
        <v>2</v>
      </c>
      <c r="F878" s="770">
        <v>2</v>
      </c>
    </row>
    <row r="879" spans="1:6">
      <c r="A879" s="74" t="s">
        <v>831</v>
      </c>
      <c r="B879" s="74">
        <v>77</v>
      </c>
      <c r="C879" s="74" t="s">
        <v>822</v>
      </c>
      <c r="D879" s="74" t="s">
        <v>256</v>
      </c>
      <c r="E879" s="770">
        <v>2</v>
      </c>
      <c r="F879" s="770">
        <v>2</v>
      </c>
    </row>
    <row r="880" spans="1:6">
      <c r="A880" s="74" t="s">
        <v>831</v>
      </c>
      <c r="B880" s="74">
        <v>78</v>
      </c>
      <c r="C880" s="74" t="s">
        <v>755</v>
      </c>
      <c r="D880" s="74" t="s">
        <v>251</v>
      </c>
      <c r="E880" s="770">
        <v>2</v>
      </c>
      <c r="F880" s="770">
        <v>2</v>
      </c>
    </row>
    <row r="881" spans="1:6">
      <c r="A881" s="74" t="s">
        <v>831</v>
      </c>
      <c r="B881" s="74">
        <v>79</v>
      </c>
      <c r="C881" s="74" t="s">
        <v>816</v>
      </c>
      <c r="D881" s="74" t="s">
        <v>256</v>
      </c>
      <c r="E881" s="770">
        <v>2</v>
      </c>
      <c r="F881" s="770">
        <v>2</v>
      </c>
    </row>
    <row r="882" spans="1:6">
      <c r="A882" s="74" t="s">
        <v>831</v>
      </c>
      <c r="B882" s="74">
        <v>80</v>
      </c>
      <c r="C882" s="74" t="s">
        <v>830</v>
      </c>
      <c r="D882" s="74" t="s">
        <v>820</v>
      </c>
      <c r="E882" s="770">
        <v>2</v>
      </c>
      <c r="F882" s="770">
        <v>2</v>
      </c>
    </row>
    <row r="883" spans="1:6">
      <c r="A883" s="74" t="s">
        <v>831</v>
      </c>
      <c r="B883" s="74">
        <v>81</v>
      </c>
      <c r="C883" s="74" t="s">
        <v>834</v>
      </c>
      <c r="D883" s="74" t="s">
        <v>253</v>
      </c>
      <c r="E883" s="770">
        <v>2</v>
      </c>
      <c r="F883" s="770">
        <v>2</v>
      </c>
    </row>
    <row r="884" spans="1:6">
      <c r="A884" s="74" t="s">
        <v>831</v>
      </c>
      <c r="B884" s="74">
        <v>82</v>
      </c>
      <c r="C884" s="74" t="s">
        <v>835</v>
      </c>
      <c r="D884" s="74" t="s">
        <v>256</v>
      </c>
      <c r="E884" s="770">
        <v>2</v>
      </c>
      <c r="F884" s="770">
        <v>2</v>
      </c>
    </row>
    <row r="885" spans="1:6">
      <c r="A885" s="74" t="s">
        <v>831</v>
      </c>
      <c r="B885" s="74">
        <v>83</v>
      </c>
      <c r="C885" s="74" t="s">
        <v>801</v>
      </c>
      <c r="D885" s="74" t="s">
        <v>713</v>
      </c>
      <c r="E885" s="770">
        <v>2</v>
      </c>
      <c r="F885" s="770">
        <v>2</v>
      </c>
    </row>
    <row r="886" spans="1:6">
      <c r="A886" s="74" t="s">
        <v>831</v>
      </c>
      <c r="B886" s="74">
        <v>84</v>
      </c>
      <c r="C886" s="74" t="s">
        <v>799</v>
      </c>
      <c r="D886" s="74" t="s">
        <v>713</v>
      </c>
      <c r="E886" s="770">
        <v>2</v>
      </c>
      <c r="F886" s="770">
        <v>2</v>
      </c>
    </row>
    <row r="887" spans="1:6">
      <c r="A887" s="74" t="s">
        <v>831</v>
      </c>
      <c r="B887" s="74">
        <v>85</v>
      </c>
      <c r="C887" s="74" t="s">
        <v>756</v>
      </c>
      <c r="D887" s="74" t="s">
        <v>251</v>
      </c>
      <c r="E887" s="770">
        <v>2</v>
      </c>
      <c r="F887" s="770">
        <v>2</v>
      </c>
    </row>
    <row r="888" spans="1:6">
      <c r="A888" s="74" t="s">
        <v>831</v>
      </c>
      <c r="B888" s="74">
        <v>86</v>
      </c>
      <c r="C888" s="74" t="s">
        <v>731</v>
      </c>
      <c r="D888" s="74" t="s">
        <v>251</v>
      </c>
      <c r="E888" s="770">
        <v>2</v>
      </c>
      <c r="F888" s="770">
        <v>2</v>
      </c>
    </row>
    <row r="889" spans="1:6">
      <c r="A889" s="74" t="s">
        <v>831</v>
      </c>
      <c r="B889" s="74">
        <v>87</v>
      </c>
      <c r="C889" s="74" t="s">
        <v>808</v>
      </c>
      <c r="D889" s="74" t="s">
        <v>268</v>
      </c>
      <c r="E889" s="770">
        <v>2</v>
      </c>
      <c r="F889" s="770">
        <v>2</v>
      </c>
    </row>
    <row r="890" spans="1:6">
      <c r="A890" s="74" t="s">
        <v>831</v>
      </c>
      <c r="B890" s="74">
        <v>88</v>
      </c>
      <c r="C890" s="74" t="s">
        <v>798</v>
      </c>
      <c r="D890" s="74" t="s">
        <v>713</v>
      </c>
      <c r="E890" s="770">
        <v>1</v>
      </c>
      <c r="F890" s="770">
        <v>1</v>
      </c>
    </row>
    <row r="891" spans="1:6">
      <c r="A891" s="74" t="s">
        <v>831</v>
      </c>
      <c r="B891" s="74">
        <v>89</v>
      </c>
      <c r="C891" s="74" t="s">
        <v>766</v>
      </c>
      <c r="D891" s="74" t="s">
        <v>253</v>
      </c>
      <c r="E891" s="770">
        <v>1</v>
      </c>
      <c r="F891" s="770">
        <v>1</v>
      </c>
    </row>
    <row r="892" spans="1:6">
      <c r="A892" s="74" t="s">
        <v>831</v>
      </c>
      <c r="B892" s="74">
        <v>90</v>
      </c>
      <c r="C892" s="74" t="s">
        <v>817</v>
      </c>
      <c r="D892" s="74" t="s">
        <v>713</v>
      </c>
      <c r="E892" s="770">
        <v>1</v>
      </c>
      <c r="F892" s="770">
        <v>1</v>
      </c>
    </row>
    <row r="893" spans="1:6">
      <c r="A893" s="74" t="s">
        <v>831</v>
      </c>
      <c r="B893" s="74">
        <v>91</v>
      </c>
      <c r="C893" s="74" t="s">
        <v>720</v>
      </c>
      <c r="D893" s="74" t="s">
        <v>251</v>
      </c>
      <c r="E893" s="770">
        <v>1</v>
      </c>
      <c r="F893" s="770">
        <v>1</v>
      </c>
    </row>
    <row r="894" spans="1:6">
      <c r="A894" s="74" t="s">
        <v>831</v>
      </c>
      <c r="B894" s="74">
        <v>92</v>
      </c>
      <c r="C894" s="74" t="s">
        <v>772</v>
      </c>
      <c r="D894" s="74" t="s">
        <v>730</v>
      </c>
      <c r="E894" s="770">
        <v>1</v>
      </c>
      <c r="F894" s="770">
        <v>1</v>
      </c>
    </row>
    <row r="895" spans="1:6">
      <c r="A895" s="74" t="s">
        <v>831</v>
      </c>
      <c r="B895" s="74">
        <v>93</v>
      </c>
      <c r="C895" s="74" t="s">
        <v>786</v>
      </c>
      <c r="D895" s="74" t="s">
        <v>249</v>
      </c>
      <c r="E895" s="770">
        <v>1</v>
      </c>
      <c r="F895" s="770">
        <v>1</v>
      </c>
    </row>
    <row r="896" spans="1:6">
      <c r="A896" s="74" t="s">
        <v>831</v>
      </c>
      <c r="B896" s="74">
        <v>94</v>
      </c>
      <c r="C896" s="74" t="s">
        <v>836</v>
      </c>
      <c r="D896" s="74" t="s">
        <v>713</v>
      </c>
      <c r="E896" s="770">
        <v>1</v>
      </c>
      <c r="F896" s="770">
        <v>1</v>
      </c>
    </row>
    <row r="897" spans="1:6">
      <c r="A897" s="74" t="s">
        <v>831</v>
      </c>
      <c r="B897" s="74">
        <v>95</v>
      </c>
      <c r="C897" s="74" t="s">
        <v>690</v>
      </c>
      <c r="D897" s="74" t="s">
        <v>275</v>
      </c>
      <c r="E897" s="770">
        <v>1</v>
      </c>
      <c r="F897" s="770">
        <v>1</v>
      </c>
    </row>
    <row r="898" spans="1:6">
      <c r="A898" s="74" t="s">
        <v>831</v>
      </c>
      <c r="B898" s="74">
        <v>96</v>
      </c>
      <c r="C898" s="74" t="s">
        <v>747</v>
      </c>
      <c r="D898" s="74" t="s">
        <v>256</v>
      </c>
      <c r="E898" s="770">
        <v>1</v>
      </c>
      <c r="F898" s="770">
        <v>1</v>
      </c>
    </row>
    <row r="899" spans="1:6">
      <c r="A899" s="74" t="s">
        <v>831</v>
      </c>
      <c r="B899" s="74">
        <v>97</v>
      </c>
      <c r="C899" s="74" t="s">
        <v>712</v>
      </c>
      <c r="D899" s="74" t="s">
        <v>713</v>
      </c>
      <c r="E899" s="770">
        <v>1</v>
      </c>
      <c r="F899" s="770">
        <v>1</v>
      </c>
    </row>
    <row r="900" spans="1:6">
      <c r="A900" s="74" t="s">
        <v>831</v>
      </c>
      <c r="B900" s="74">
        <v>98</v>
      </c>
      <c r="C900" s="74" t="s">
        <v>774</v>
      </c>
      <c r="D900" s="74" t="s">
        <v>730</v>
      </c>
      <c r="E900" s="770">
        <v>1</v>
      </c>
      <c r="F900" s="770">
        <v>1</v>
      </c>
    </row>
    <row r="901" spans="1:6">
      <c r="A901" s="74" t="s">
        <v>831</v>
      </c>
      <c r="B901" s="74">
        <v>99</v>
      </c>
      <c r="C901" s="74" t="s">
        <v>807</v>
      </c>
      <c r="D901" s="74" t="s">
        <v>253</v>
      </c>
      <c r="E901" s="770">
        <v>1</v>
      </c>
      <c r="F901" s="770">
        <v>1</v>
      </c>
    </row>
    <row r="902" spans="1:6">
      <c r="A902" s="74" t="s">
        <v>831</v>
      </c>
      <c r="B902" s="74">
        <v>100</v>
      </c>
      <c r="C902" s="74" t="s">
        <v>709</v>
      </c>
      <c r="D902" s="74" t="s">
        <v>276</v>
      </c>
      <c r="E902" s="770">
        <v>1</v>
      </c>
      <c r="F902" s="770">
        <v>1</v>
      </c>
    </row>
    <row r="903" spans="1:6">
      <c r="A903" s="74" t="s">
        <v>831</v>
      </c>
      <c r="B903" s="74">
        <v>101</v>
      </c>
      <c r="C903" s="74" t="s">
        <v>710</v>
      </c>
      <c r="D903" s="74" t="s">
        <v>249</v>
      </c>
      <c r="E903" s="770">
        <v>1</v>
      </c>
      <c r="F903" s="770">
        <v>1</v>
      </c>
    </row>
    <row r="904" spans="1:6">
      <c r="A904" s="74" t="s">
        <v>831</v>
      </c>
      <c r="B904" s="74">
        <v>102</v>
      </c>
      <c r="C904" s="74" t="s">
        <v>726</v>
      </c>
      <c r="D904" s="74" t="s">
        <v>323</v>
      </c>
      <c r="E904" s="770">
        <v>1</v>
      </c>
      <c r="F904" s="770">
        <v>1</v>
      </c>
    </row>
    <row r="905" spans="1:6">
      <c r="A905" s="74" t="s">
        <v>831</v>
      </c>
      <c r="B905" s="74">
        <v>103</v>
      </c>
      <c r="C905" s="74" t="s">
        <v>826</v>
      </c>
      <c r="D905" s="74" t="s">
        <v>253</v>
      </c>
      <c r="E905" s="770">
        <v>1</v>
      </c>
      <c r="F905" s="770">
        <v>1</v>
      </c>
    </row>
    <row r="906" spans="1:6">
      <c r="A906" s="74" t="s">
        <v>831</v>
      </c>
      <c r="B906" s="74">
        <v>104</v>
      </c>
      <c r="C906" s="74" t="s">
        <v>767</v>
      </c>
      <c r="D906" s="74" t="s">
        <v>251</v>
      </c>
      <c r="E906" s="770">
        <v>1</v>
      </c>
      <c r="F906" s="770">
        <v>1</v>
      </c>
    </row>
    <row r="907" spans="1:6">
      <c r="A907" s="74" t="s">
        <v>831</v>
      </c>
      <c r="B907" s="74">
        <v>105</v>
      </c>
      <c r="C907" s="74" t="s">
        <v>797</v>
      </c>
      <c r="D907" s="74" t="s">
        <v>253</v>
      </c>
      <c r="E907" s="770">
        <v>1</v>
      </c>
      <c r="F907" s="770">
        <v>1</v>
      </c>
    </row>
    <row r="908" spans="1:6">
      <c r="A908" s="74" t="s">
        <v>831</v>
      </c>
      <c r="B908" s="74">
        <v>106</v>
      </c>
      <c r="C908" s="74" t="s">
        <v>699</v>
      </c>
      <c r="D908" s="74" t="s">
        <v>249</v>
      </c>
      <c r="E908" s="770">
        <v>1</v>
      </c>
      <c r="F908" s="770">
        <v>1</v>
      </c>
    </row>
    <row r="909" spans="1:6">
      <c r="A909" s="74" t="s">
        <v>831</v>
      </c>
      <c r="B909" s="74">
        <v>107</v>
      </c>
      <c r="C909" s="74" t="s">
        <v>819</v>
      </c>
      <c r="D909" s="74" t="s">
        <v>820</v>
      </c>
      <c r="E909" s="770">
        <v>1</v>
      </c>
      <c r="F909" s="770">
        <v>1</v>
      </c>
    </row>
    <row r="910" spans="1:6">
      <c r="A910" s="74" t="s">
        <v>831</v>
      </c>
      <c r="B910" s="74">
        <v>108</v>
      </c>
      <c r="C910" s="74" t="s">
        <v>761</v>
      </c>
      <c r="D910" s="74" t="s">
        <v>730</v>
      </c>
      <c r="E910" s="770">
        <v>1</v>
      </c>
      <c r="F910" s="770">
        <v>1</v>
      </c>
    </row>
    <row r="911" spans="1:6">
      <c r="A911" s="74" t="s">
        <v>779</v>
      </c>
      <c r="B911" s="74">
        <v>1</v>
      </c>
      <c r="C911" s="74" t="s">
        <v>248</v>
      </c>
      <c r="D911" s="74" t="s">
        <v>249</v>
      </c>
      <c r="E911" s="770">
        <v>89</v>
      </c>
      <c r="F911" s="770">
        <v>89</v>
      </c>
    </row>
    <row r="912" spans="1:6">
      <c r="A912" s="74" t="s">
        <v>779</v>
      </c>
      <c r="B912" s="74">
        <v>2</v>
      </c>
      <c r="C912" s="74" t="s">
        <v>259</v>
      </c>
      <c r="D912" s="74" t="s">
        <v>249</v>
      </c>
      <c r="E912" s="770">
        <v>84</v>
      </c>
      <c r="F912" s="770">
        <v>84</v>
      </c>
    </row>
    <row r="913" spans="1:6">
      <c r="A913" s="74" t="s">
        <v>779</v>
      </c>
      <c r="B913" s="74">
        <v>3</v>
      </c>
      <c r="C913" s="74" t="s">
        <v>261</v>
      </c>
      <c r="D913" s="74" t="s">
        <v>256</v>
      </c>
      <c r="E913" s="770">
        <v>61</v>
      </c>
      <c r="F913" s="770">
        <v>61</v>
      </c>
    </row>
    <row r="914" spans="1:6">
      <c r="A914" s="74" t="s">
        <v>779</v>
      </c>
      <c r="B914" s="74">
        <v>4</v>
      </c>
      <c r="C914" s="74" t="s">
        <v>250</v>
      </c>
      <c r="D914" s="74" t="s">
        <v>251</v>
      </c>
      <c r="E914" s="770">
        <v>52</v>
      </c>
      <c r="F914" s="770">
        <v>52</v>
      </c>
    </row>
    <row r="915" spans="1:6">
      <c r="A915" s="74" t="s">
        <v>779</v>
      </c>
      <c r="B915" s="74">
        <v>5</v>
      </c>
      <c r="C915" s="74" t="s">
        <v>255</v>
      </c>
      <c r="D915" s="74" t="s">
        <v>256</v>
      </c>
      <c r="E915" s="770">
        <v>43</v>
      </c>
      <c r="F915" s="770">
        <v>43</v>
      </c>
    </row>
    <row r="916" spans="1:6">
      <c r="A916" s="74" t="s">
        <v>779</v>
      </c>
      <c r="B916" s="74">
        <v>6</v>
      </c>
      <c r="C916" s="74" t="s">
        <v>254</v>
      </c>
      <c r="D916" s="74" t="s">
        <v>254</v>
      </c>
      <c r="E916" s="770">
        <v>31</v>
      </c>
      <c r="F916" s="770">
        <v>31</v>
      </c>
    </row>
    <row r="917" spans="1:6">
      <c r="A917" s="74" t="s">
        <v>779</v>
      </c>
      <c r="B917" s="74">
        <v>7</v>
      </c>
      <c r="C917" s="74" t="s">
        <v>262</v>
      </c>
      <c r="D917" s="74" t="s">
        <v>256</v>
      </c>
      <c r="E917" s="770">
        <v>29</v>
      </c>
      <c r="F917" s="770">
        <v>29</v>
      </c>
    </row>
    <row r="918" spans="1:6">
      <c r="A918" s="74" t="s">
        <v>779</v>
      </c>
      <c r="B918" s="74">
        <v>8</v>
      </c>
      <c r="C918" s="74" t="s">
        <v>680</v>
      </c>
      <c r="D918" s="74" t="s">
        <v>251</v>
      </c>
      <c r="E918" s="770">
        <v>28</v>
      </c>
      <c r="F918" s="770">
        <v>28</v>
      </c>
    </row>
    <row r="919" spans="1:6">
      <c r="A919" s="74" t="s">
        <v>779</v>
      </c>
      <c r="B919" s="74">
        <v>9</v>
      </c>
      <c r="C919" s="74" t="s">
        <v>678</v>
      </c>
      <c r="D919" s="74" t="s">
        <v>256</v>
      </c>
      <c r="E919" s="770">
        <v>20</v>
      </c>
      <c r="F919" s="770">
        <v>20</v>
      </c>
    </row>
    <row r="920" spans="1:6">
      <c r="A920" s="74" t="s">
        <v>779</v>
      </c>
      <c r="B920" s="74">
        <v>10</v>
      </c>
      <c r="C920" s="74" t="s">
        <v>681</v>
      </c>
      <c r="D920" s="74" t="s">
        <v>282</v>
      </c>
      <c r="E920" s="770">
        <v>19</v>
      </c>
      <c r="F920" s="770">
        <v>19</v>
      </c>
    </row>
    <row r="921" spans="1:6">
      <c r="A921" s="74" t="s">
        <v>779</v>
      </c>
      <c r="B921" s="74">
        <v>11</v>
      </c>
      <c r="C921" s="74" t="s">
        <v>673</v>
      </c>
      <c r="D921" s="74" t="s">
        <v>251</v>
      </c>
      <c r="E921" s="770">
        <v>19</v>
      </c>
      <c r="F921" s="770">
        <v>19</v>
      </c>
    </row>
    <row r="922" spans="1:6">
      <c r="A922" s="74" t="s">
        <v>779</v>
      </c>
      <c r="B922" s="74">
        <v>12</v>
      </c>
      <c r="C922" s="74" t="s">
        <v>687</v>
      </c>
      <c r="D922" s="74" t="s">
        <v>253</v>
      </c>
      <c r="E922" s="770">
        <v>19</v>
      </c>
      <c r="F922" s="770">
        <v>19</v>
      </c>
    </row>
    <row r="923" spans="1:6">
      <c r="A923" s="74" t="s">
        <v>779</v>
      </c>
      <c r="B923" s="74">
        <v>13</v>
      </c>
      <c r="C923" s="74" t="s">
        <v>679</v>
      </c>
      <c r="D923" s="74" t="s">
        <v>256</v>
      </c>
      <c r="E923" s="770">
        <v>17</v>
      </c>
      <c r="F923" s="770">
        <v>17</v>
      </c>
    </row>
    <row r="924" spans="1:6">
      <c r="A924" s="74" t="s">
        <v>779</v>
      </c>
      <c r="B924" s="74">
        <v>14</v>
      </c>
      <c r="C924" s="74" t="s">
        <v>738</v>
      </c>
      <c r="D924" s="74" t="s">
        <v>256</v>
      </c>
      <c r="E924" s="770">
        <v>14</v>
      </c>
      <c r="F924" s="770">
        <v>14</v>
      </c>
    </row>
    <row r="925" spans="1:6">
      <c r="A925" s="74" t="s">
        <v>779</v>
      </c>
      <c r="B925" s="74">
        <v>15</v>
      </c>
      <c r="C925" s="74" t="s">
        <v>682</v>
      </c>
      <c r="D925" s="74" t="s">
        <v>275</v>
      </c>
      <c r="E925" s="770">
        <v>14</v>
      </c>
      <c r="F925" s="770">
        <v>14</v>
      </c>
    </row>
    <row r="926" spans="1:6">
      <c r="A926" s="74" t="s">
        <v>779</v>
      </c>
      <c r="B926" s="74">
        <v>16</v>
      </c>
      <c r="C926" s="74" t="s">
        <v>716</v>
      </c>
      <c r="D926" s="74" t="s">
        <v>251</v>
      </c>
      <c r="E926" s="770">
        <v>14</v>
      </c>
      <c r="F926" s="770">
        <v>14</v>
      </c>
    </row>
    <row r="927" spans="1:6">
      <c r="A927" s="74" t="s">
        <v>779</v>
      </c>
      <c r="B927" s="74">
        <v>17</v>
      </c>
      <c r="C927" s="74" t="s">
        <v>698</v>
      </c>
      <c r="D927" s="74" t="s">
        <v>249</v>
      </c>
      <c r="E927" s="770">
        <v>12</v>
      </c>
      <c r="F927" s="770">
        <v>12</v>
      </c>
    </row>
    <row r="928" spans="1:6">
      <c r="A928" s="74" t="s">
        <v>779</v>
      </c>
      <c r="B928" s="74">
        <v>18</v>
      </c>
      <c r="C928" s="74" t="s">
        <v>671</v>
      </c>
      <c r="D928" s="74" t="s">
        <v>276</v>
      </c>
      <c r="E928" s="770">
        <v>11</v>
      </c>
      <c r="F928" s="770">
        <v>11</v>
      </c>
    </row>
    <row r="929" spans="1:6">
      <c r="A929" s="74" t="s">
        <v>779</v>
      </c>
      <c r="B929" s="74">
        <v>19</v>
      </c>
      <c r="C929" s="74" t="s">
        <v>674</v>
      </c>
      <c r="D929" s="74" t="s">
        <v>275</v>
      </c>
      <c r="E929" s="770">
        <v>11</v>
      </c>
      <c r="F929" s="770">
        <v>11</v>
      </c>
    </row>
    <row r="930" spans="1:6">
      <c r="A930" s="74" t="s">
        <v>779</v>
      </c>
      <c r="B930" s="74">
        <v>20</v>
      </c>
      <c r="C930" s="74" t="s">
        <v>707</v>
      </c>
      <c r="D930" s="74" t="s">
        <v>256</v>
      </c>
      <c r="E930" s="770">
        <v>11</v>
      </c>
      <c r="F930" s="770">
        <v>11</v>
      </c>
    </row>
    <row r="931" spans="1:6">
      <c r="A931" s="74" t="s">
        <v>779</v>
      </c>
      <c r="B931" s="74">
        <v>21</v>
      </c>
      <c r="C931" s="74" t="s">
        <v>676</v>
      </c>
      <c r="D931" s="74" t="s">
        <v>253</v>
      </c>
      <c r="E931" s="770">
        <v>11</v>
      </c>
      <c r="F931" s="770">
        <v>11</v>
      </c>
    </row>
    <row r="932" spans="1:6">
      <c r="A932" s="74" t="s">
        <v>779</v>
      </c>
      <c r="B932" s="74">
        <v>22</v>
      </c>
      <c r="C932" s="74" t="s">
        <v>702</v>
      </c>
      <c r="D932" s="74" t="s">
        <v>251</v>
      </c>
      <c r="E932" s="770">
        <v>10</v>
      </c>
      <c r="F932" s="770">
        <v>10</v>
      </c>
    </row>
    <row r="933" spans="1:6">
      <c r="A933" s="74" t="s">
        <v>779</v>
      </c>
      <c r="B933" s="74">
        <v>23</v>
      </c>
      <c r="C933" s="74" t="s">
        <v>691</v>
      </c>
      <c r="D933" s="74" t="s">
        <v>251</v>
      </c>
      <c r="E933" s="770">
        <v>9</v>
      </c>
      <c r="F933" s="770">
        <v>9</v>
      </c>
    </row>
    <row r="934" spans="1:6">
      <c r="A934" s="74" t="s">
        <v>779</v>
      </c>
      <c r="B934" s="74">
        <v>24</v>
      </c>
      <c r="C934" s="74" t="s">
        <v>704</v>
      </c>
      <c r="D934" s="74" t="s">
        <v>689</v>
      </c>
      <c r="E934" s="770">
        <v>9</v>
      </c>
      <c r="F934" s="770">
        <v>9</v>
      </c>
    </row>
    <row r="935" spans="1:6">
      <c r="A935" s="74" t="s">
        <v>779</v>
      </c>
      <c r="B935" s="74">
        <v>25</v>
      </c>
      <c r="C935" s="74" t="s">
        <v>778</v>
      </c>
      <c r="D935" s="74" t="s">
        <v>256</v>
      </c>
      <c r="E935" s="770">
        <v>9</v>
      </c>
      <c r="F935" s="770">
        <v>9</v>
      </c>
    </row>
    <row r="936" spans="1:6">
      <c r="A936" s="74" t="s">
        <v>779</v>
      </c>
      <c r="B936" s="74">
        <v>26</v>
      </c>
      <c r="C936" s="74" t="s">
        <v>697</v>
      </c>
      <c r="D936" s="74" t="s">
        <v>256</v>
      </c>
      <c r="E936" s="770">
        <v>9</v>
      </c>
      <c r="F936" s="770">
        <v>9</v>
      </c>
    </row>
    <row r="937" spans="1:6">
      <c r="A937" s="74" t="s">
        <v>779</v>
      </c>
      <c r="B937" s="74">
        <v>27</v>
      </c>
      <c r="C937" s="74" t="s">
        <v>751</v>
      </c>
      <c r="D937" s="74" t="s">
        <v>256</v>
      </c>
      <c r="E937" s="770">
        <v>9</v>
      </c>
      <c r="F937" s="770">
        <v>9</v>
      </c>
    </row>
    <row r="938" spans="1:6">
      <c r="A938" s="74" t="s">
        <v>779</v>
      </c>
      <c r="B938" s="74">
        <v>28</v>
      </c>
      <c r="C938" s="74" t="s">
        <v>701</v>
      </c>
      <c r="D938" s="74" t="s">
        <v>689</v>
      </c>
      <c r="E938" s="770">
        <v>9</v>
      </c>
      <c r="F938" s="770">
        <v>9</v>
      </c>
    </row>
    <row r="939" spans="1:6">
      <c r="A939" s="74" t="s">
        <v>779</v>
      </c>
      <c r="B939" s="74">
        <v>29</v>
      </c>
      <c r="C939" s="74" t="s">
        <v>686</v>
      </c>
      <c r="D939" s="74" t="s">
        <v>274</v>
      </c>
      <c r="E939" s="770">
        <v>8</v>
      </c>
      <c r="F939" s="770">
        <v>8</v>
      </c>
    </row>
    <row r="940" spans="1:6">
      <c r="A940" s="74" t="s">
        <v>779</v>
      </c>
      <c r="B940" s="74">
        <v>30</v>
      </c>
      <c r="C940" s="74" t="s">
        <v>675</v>
      </c>
      <c r="D940" s="74" t="s">
        <v>256</v>
      </c>
      <c r="E940" s="770">
        <v>8</v>
      </c>
      <c r="F940" s="770">
        <v>8</v>
      </c>
    </row>
    <row r="941" spans="1:6">
      <c r="A941" s="74" t="s">
        <v>779</v>
      </c>
      <c r="B941" s="74">
        <v>31</v>
      </c>
      <c r="C941" s="74" t="s">
        <v>677</v>
      </c>
      <c r="D941" s="74" t="s">
        <v>249</v>
      </c>
      <c r="E941" s="770">
        <v>7</v>
      </c>
      <c r="F941" s="770">
        <v>7</v>
      </c>
    </row>
    <row r="942" spans="1:6">
      <c r="A942" s="74" t="s">
        <v>779</v>
      </c>
      <c r="B942" s="74">
        <v>32</v>
      </c>
      <c r="C942" s="74" t="s">
        <v>694</v>
      </c>
      <c r="D942" s="74" t="s">
        <v>695</v>
      </c>
      <c r="E942" s="770">
        <v>7</v>
      </c>
      <c r="F942" s="770">
        <v>7</v>
      </c>
    </row>
    <row r="943" spans="1:6">
      <c r="A943" s="74" t="s">
        <v>779</v>
      </c>
      <c r="B943" s="74">
        <v>33</v>
      </c>
      <c r="C943" s="74" t="s">
        <v>710</v>
      </c>
      <c r="D943" s="74" t="s">
        <v>249</v>
      </c>
      <c r="E943" s="770">
        <v>6</v>
      </c>
      <c r="F943" s="770">
        <v>6</v>
      </c>
    </row>
    <row r="944" spans="1:6">
      <c r="A944" s="74" t="s">
        <v>779</v>
      </c>
      <c r="B944" s="74">
        <v>34</v>
      </c>
      <c r="C944" s="74" t="s">
        <v>685</v>
      </c>
      <c r="D944" s="74" t="s">
        <v>256</v>
      </c>
      <c r="E944" s="770">
        <v>6</v>
      </c>
      <c r="F944" s="770">
        <v>6</v>
      </c>
    </row>
    <row r="945" spans="1:6">
      <c r="A945" s="74" t="s">
        <v>779</v>
      </c>
      <c r="B945" s="74">
        <v>35</v>
      </c>
      <c r="C945" s="74" t="s">
        <v>780</v>
      </c>
      <c r="D945" s="74" t="s">
        <v>268</v>
      </c>
      <c r="E945" s="770">
        <v>6</v>
      </c>
      <c r="F945" s="770">
        <v>6</v>
      </c>
    </row>
    <row r="946" spans="1:6">
      <c r="A946" s="74" t="s">
        <v>779</v>
      </c>
      <c r="B946" s="74">
        <v>36</v>
      </c>
      <c r="C946" s="74" t="s">
        <v>708</v>
      </c>
      <c r="D946" s="74" t="s">
        <v>251</v>
      </c>
      <c r="E946" s="770">
        <v>5</v>
      </c>
      <c r="F946" s="770">
        <v>5</v>
      </c>
    </row>
    <row r="947" spans="1:6">
      <c r="A947" s="74" t="s">
        <v>779</v>
      </c>
      <c r="B947" s="74">
        <v>37</v>
      </c>
      <c r="C947" s="74" t="s">
        <v>683</v>
      </c>
      <c r="D947" s="74" t="s">
        <v>274</v>
      </c>
      <c r="E947" s="770">
        <v>5</v>
      </c>
      <c r="F947" s="770">
        <v>5</v>
      </c>
    </row>
    <row r="948" spans="1:6">
      <c r="A948" s="74" t="s">
        <v>779</v>
      </c>
      <c r="B948" s="74">
        <v>38</v>
      </c>
      <c r="C948" s="74" t="s">
        <v>748</v>
      </c>
      <c r="D948" s="74" t="s">
        <v>274</v>
      </c>
      <c r="E948" s="770">
        <v>5</v>
      </c>
      <c r="F948" s="770">
        <v>5</v>
      </c>
    </row>
    <row r="949" spans="1:6">
      <c r="A949" s="74" t="s">
        <v>779</v>
      </c>
      <c r="B949" s="74">
        <v>39</v>
      </c>
      <c r="C949" s="74" t="s">
        <v>763</v>
      </c>
      <c r="D949" s="74" t="s">
        <v>764</v>
      </c>
      <c r="E949" s="770">
        <v>5</v>
      </c>
      <c r="F949" s="770">
        <v>5</v>
      </c>
    </row>
    <row r="950" spans="1:6">
      <c r="A950" s="74" t="s">
        <v>779</v>
      </c>
      <c r="B950" s="74">
        <v>40</v>
      </c>
      <c r="C950" s="74" t="s">
        <v>752</v>
      </c>
      <c r="D950" s="74" t="s">
        <v>264</v>
      </c>
      <c r="E950" s="770">
        <v>5</v>
      </c>
      <c r="F950" s="770">
        <v>5</v>
      </c>
    </row>
    <row r="951" spans="1:6">
      <c r="A951" s="74" t="s">
        <v>779</v>
      </c>
      <c r="B951" s="74">
        <v>41</v>
      </c>
      <c r="C951" s="74" t="s">
        <v>696</v>
      </c>
      <c r="D951" s="74" t="s">
        <v>323</v>
      </c>
      <c r="E951" s="770">
        <v>5</v>
      </c>
      <c r="F951" s="770">
        <v>5</v>
      </c>
    </row>
    <row r="952" spans="1:6">
      <c r="A952" s="74" t="s">
        <v>779</v>
      </c>
      <c r="B952" s="74">
        <v>42</v>
      </c>
      <c r="C952" s="74" t="s">
        <v>703</v>
      </c>
      <c r="D952" s="74" t="s">
        <v>256</v>
      </c>
      <c r="E952" s="770">
        <v>5</v>
      </c>
      <c r="F952" s="770">
        <v>5</v>
      </c>
    </row>
    <row r="953" spans="1:6">
      <c r="A953" s="74" t="s">
        <v>779</v>
      </c>
      <c r="B953" s="74">
        <v>43</v>
      </c>
      <c r="C953" s="74" t="s">
        <v>781</v>
      </c>
      <c r="D953" s="74" t="s">
        <v>764</v>
      </c>
      <c r="E953" s="770">
        <v>5</v>
      </c>
      <c r="F953" s="770">
        <v>5</v>
      </c>
    </row>
    <row r="954" spans="1:6">
      <c r="A954" s="74" t="s">
        <v>779</v>
      </c>
      <c r="B954" s="74">
        <v>44</v>
      </c>
      <c r="C954" s="74" t="s">
        <v>709</v>
      </c>
      <c r="D954" s="74" t="s">
        <v>276</v>
      </c>
      <c r="E954" s="770">
        <v>4</v>
      </c>
      <c r="F954" s="770">
        <v>4</v>
      </c>
    </row>
    <row r="955" spans="1:6">
      <c r="A955" s="74" t="s">
        <v>779</v>
      </c>
      <c r="B955" s="74">
        <v>45</v>
      </c>
      <c r="C955" s="74" t="s">
        <v>782</v>
      </c>
      <c r="D955" s="74" t="s">
        <v>323</v>
      </c>
      <c r="E955" s="770">
        <v>4</v>
      </c>
      <c r="F955" s="770">
        <v>4</v>
      </c>
    </row>
    <row r="956" spans="1:6">
      <c r="A956" s="74" t="s">
        <v>779</v>
      </c>
      <c r="B956" s="74">
        <v>46</v>
      </c>
      <c r="C956" s="74" t="s">
        <v>721</v>
      </c>
      <c r="D956" s="74" t="s">
        <v>256</v>
      </c>
      <c r="E956" s="770">
        <v>4</v>
      </c>
      <c r="F956" s="770">
        <v>4</v>
      </c>
    </row>
    <row r="957" spans="1:6">
      <c r="A957" s="74" t="s">
        <v>779</v>
      </c>
      <c r="B957" s="74">
        <v>47</v>
      </c>
      <c r="C957" s="74" t="s">
        <v>783</v>
      </c>
      <c r="D957" s="74" t="s">
        <v>764</v>
      </c>
      <c r="E957" s="770">
        <v>4</v>
      </c>
      <c r="F957" s="770">
        <v>4</v>
      </c>
    </row>
    <row r="958" spans="1:6">
      <c r="A958" s="74" t="s">
        <v>779</v>
      </c>
      <c r="B958" s="74">
        <v>48</v>
      </c>
      <c r="C958" s="74" t="s">
        <v>742</v>
      </c>
      <c r="D958" s="74" t="s">
        <v>251</v>
      </c>
      <c r="E958" s="770">
        <v>4</v>
      </c>
      <c r="F958" s="770">
        <v>4</v>
      </c>
    </row>
    <row r="959" spans="1:6">
      <c r="A959" s="74" t="s">
        <v>779</v>
      </c>
      <c r="B959" s="74">
        <v>49</v>
      </c>
      <c r="C959" s="74" t="s">
        <v>756</v>
      </c>
      <c r="D959" s="74" t="s">
        <v>251</v>
      </c>
      <c r="E959" s="770">
        <v>4</v>
      </c>
      <c r="F959" s="770">
        <v>4</v>
      </c>
    </row>
    <row r="960" spans="1:6">
      <c r="A960" s="74" t="s">
        <v>779</v>
      </c>
      <c r="B960" s="74">
        <v>50</v>
      </c>
      <c r="C960" s="74" t="s">
        <v>760</v>
      </c>
      <c r="D960" s="74" t="s">
        <v>253</v>
      </c>
      <c r="E960" s="770">
        <v>4</v>
      </c>
      <c r="F960" s="770">
        <v>4</v>
      </c>
    </row>
    <row r="961" spans="1:6">
      <c r="A961" s="74" t="s">
        <v>779</v>
      </c>
      <c r="B961" s="74">
        <v>51</v>
      </c>
      <c r="C961" s="74" t="s">
        <v>692</v>
      </c>
      <c r="D961" s="74" t="s">
        <v>693</v>
      </c>
      <c r="E961" s="770">
        <v>4</v>
      </c>
      <c r="F961" s="770">
        <v>4</v>
      </c>
    </row>
    <row r="962" spans="1:6">
      <c r="A962" s="74" t="s">
        <v>779</v>
      </c>
      <c r="B962" s="74">
        <v>52</v>
      </c>
      <c r="C962" s="74" t="s">
        <v>772</v>
      </c>
      <c r="D962" s="74" t="s">
        <v>730</v>
      </c>
      <c r="E962" s="770">
        <v>4</v>
      </c>
      <c r="F962" s="770">
        <v>4</v>
      </c>
    </row>
    <row r="963" spans="1:6">
      <c r="A963" s="74" t="s">
        <v>779</v>
      </c>
      <c r="B963" s="74">
        <v>53</v>
      </c>
      <c r="C963" s="74" t="s">
        <v>755</v>
      </c>
      <c r="D963" s="74" t="s">
        <v>251</v>
      </c>
      <c r="E963" s="770">
        <v>3</v>
      </c>
      <c r="F963" s="770">
        <v>3</v>
      </c>
    </row>
    <row r="964" spans="1:6">
      <c r="A964" s="74" t="s">
        <v>779</v>
      </c>
      <c r="B964" s="74">
        <v>54</v>
      </c>
      <c r="C964" s="74" t="s">
        <v>747</v>
      </c>
      <c r="D964" s="74" t="s">
        <v>256</v>
      </c>
      <c r="E964" s="770">
        <v>3</v>
      </c>
      <c r="F964" s="770">
        <v>3</v>
      </c>
    </row>
    <row r="965" spans="1:6">
      <c r="A965" s="74" t="s">
        <v>779</v>
      </c>
      <c r="B965" s="74">
        <v>55</v>
      </c>
      <c r="C965" s="74" t="s">
        <v>743</v>
      </c>
      <c r="D965" s="74" t="s">
        <v>251</v>
      </c>
      <c r="E965" s="770">
        <v>3</v>
      </c>
      <c r="F965" s="770">
        <v>3</v>
      </c>
    </row>
    <row r="966" spans="1:6">
      <c r="A966" s="74" t="s">
        <v>779</v>
      </c>
      <c r="B966" s="74">
        <v>56</v>
      </c>
      <c r="C966" s="74" t="s">
        <v>688</v>
      </c>
      <c r="D966" s="74" t="s">
        <v>689</v>
      </c>
      <c r="E966" s="770">
        <v>3</v>
      </c>
      <c r="F966" s="770">
        <v>3</v>
      </c>
    </row>
    <row r="967" spans="1:6">
      <c r="A967" s="74" t="s">
        <v>779</v>
      </c>
      <c r="B967" s="74">
        <v>57</v>
      </c>
      <c r="C967" s="74" t="s">
        <v>733</v>
      </c>
      <c r="D967" s="74" t="s">
        <v>253</v>
      </c>
      <c r="E967" s="770">
        <v>3</v>
      </c>
      <c r="F967" s="770">
        <v>3</v>
      </c>
    </row>
    <row r="968" spans="1:6">
      <c r="A968" s="74" t="s">
        <v>779</v>
      </c>
      <c r="B968" s="74">
        <v>58</v>
      </c>
      <c r="C968" s="74" t="s">
        <v>723</v>
      </c>
      <c r="D968" s="74" t="s">
        <v>713</v>
      </c>
      <c r="E968" s="770">
        <v>3</v>
      </c>
      <c r="F968" s="770">
        <v>3</v>
      </c>
    </row>
    <row r="969" spans="1:6">
      <c r="A969" s="74" t="s">
        <v>779</v>
      </c>
      <c r="B969" s="74">
        <v>59</v>
      </c>
      <c r="C969" s="74" t="s">
        <v>714</v>
      </c>
      <c r="D969" s="74" t="s">
        <v>251</v>
      </c>
      <c r="E969" s="770">
        <v>3</v>
      </c>
      <c r="F969" s="770">
        <v>3</v>
      </c>
    </row>
    <row r="970" spans="1:6">
      <c r="A970" s="74" t="s">
        <v>779</v>
      </c>
      <c r="B970" s="74">
        <v>60</v>
      </c>
      <c r="C970" s="74" t="s">
        <v>766</v>
      </c>
      <c r="D970" s="74" t="s">
        <v>253</v>
      </c>
      <c r="E970" s="770">
        <v>3</v>
      </c>
      <c r="F970" s="770">
        <v>3</v>
      </c>
    </row>
    <row r="971" spans="1:6">
      <c r="A971" s="74" t="s">
        <v>779</v>
      </c>
      <c r="B971" s="74">
        <v>61</v>
      </c>
      <c r="C971" s="74" t="s">
        <v>711</v>
      </c>
      <c r="D971" s="74" t="s">
        <v>251</v>
      </c>
      <c r="E971" s="770">
        <v>3</v>
      </c>
      <c r="F971" s="770">
        <v>3</v>
      </c>
    </row>
    <row r="972" spans="1:6">
      <c r="A972" s="74" t="s">
        <v>779</v>
      </c>
      <c r="B972" s="74">
        <v>62</v>
      </c>
      <c r="C972" s="74" t="s">
        <v>767</v>
      </c>
      <c r="D972" s="74" t="s">
        <v>251</v>
      </c>
      <c r="E972" s="770">
        <v>3</v>
      </c>
      <c r="F972" s="770">
        <v>3</v>
      </c>
    </row>
    <row r="973" spans="1:6">
      <c r="A973" s="74" t="s">
        <v>779</v>
      </c>
      <c r="B973" s="74">
        <v>63</v>
      </c>
      <c r="C973" s="74" t="s">
        <v>728</v>
      </c>
      <c r="D973" s="74" t="s">
        <v>695</v>
      </c>
      <c r="E973" s="770">
        <v>2</v>
      </c>
      <c r="F973" s="770">
        <v>2</v>
      </c>
    </row>
    <row r="974" spans="1:6">
      <c r="A974" s="74" t="s">
        <v>779</v>
      </c>
      <c r="B974" s="74">
        <v>64</v>
      </c>
      <c r="C974" s="74" t="s">
        <v>737</v>
      </c>
      <c r="D974" s="74" t="s">
        <v>249</v>
      </c>
      <c r="E974" s="770">
        <v>2</v>
      </c>
      <c r="F974" s="770">
        <v>2</v>
      </c>
    </row>
    <row r="975" spans="1:6">
      <c r="A975" s="74" t="s">
        <v>779</v>
      </c>
      <c r="B975" s="74">
        <v>65</v>
      </c>
      <c r="C975" s="74" t="s">
        <v>761</v>
      </c>
      <c r="D975" s="74" t="s">
        <v>730</v>
      </c>
      <c r="E975" s="770">
        <v>2</v>
      </c>
      <c r="F975" s="770">
        <v>2</v>
      </c>
    </row>
    <row r="976" spans="1:6">
      <c r="A976" s="74" t="s">
        <v>779</v>
      </c>
      <c r="B976" s="74">
        <v>66</v>
      </c>
      <c r="C976" s="74" t="s">
        <v>753</v>
      </c>
      <c r="D976" s="74" t="s">
        <v>275</v>
      </c>
      <c r="E976" s="770">
        <v>2</v>
      </c>
      <c r="F976" s="770">
        <v>2</v>
      </c>
    </row>
    <row r="977" spans="1:6">
      <c r="A977" s="74" t="s">
        <v>779</v>
      </c>
      <c r="B977" s="74">
        <v>67</v>
      </c>
      <c r="C977" s="74" t="s">
        <v>684</v>
      </c>
      <c r="D977" s="74" t="s">
        <v>323</v>
      </c>
      <c r="E977" s="770">
        <v>2</v>
      </c>
      <c r="F977" s="770">
        <v>2</v>
      </c>
    </row>
    <row r="978" spans="1:6">
      <c r="A978" s="74" t="s">
        <v>779</v>
      </c>
      <c r="B978" s="74">
        <v>68</v>
      </c>
      <c r="C978" s="74" t="s">
        <v>745</v>
      </c>
      <c r="D978" s="74" t="s">
        <v>275</v>
      </c>
      <c r="E978" s="770">
        <v>2</v>
      </c>
      <c r="F978" s="770">
        <v>2</v>
      </c>
    </row>
    <row r="979" spans="1:6">
      <c r="A979" s="74" t="s">
        <v>779</v>
      </c>
      <c r="B979" s="74">
        <v>69</v>
      </c>
      <c r="C979" s="74" t="s">
        <v>724</v>
      </c>
      <c r="D979" s="74" t="s">
        <v>725</v>
      </c>
      <c r="E979" s="770">
        <v>2</v>
      </c>
      <c r="F979" s="770">
        <v>2</v>
      </c>
    </row>
    <row r="980" spans="1:6">
      <c r="A980" s="74" t="s">
        <v>779</v>
      </c>
      <c r="B980" s="74">
        <v>70</v>
      </c>
      <c r="C980" s="74" t="s">
        <v>774</v>
      </c>
      <c r="D980" s="74" t="s">
        <v>730</v>
      </c>
      <c r="E980" s="770">
        <v>2</v>
      </c>
      <c r="F980" s="770">
        <v>2</v>
      </c>
    </row>
    <row r="981" spans="1:6">
      <c r="A981" s="74" t="s">
        <v>779</v>
      </c>
      <c r="B981" s="74">
        <v>71</v>
      </c>
      <c r="C981" s="74" t="s">
        <v>722</v>
      </c>
      <c r="D981" s="74" t="s">
        <v>251</v>
      </c>
      <c r="E981" s="770">
        <v>2</v>
      </c>
      <c r="F981" s="770">
        <v>2</v>
      </c>
    </row>
    <row r="982" spans="1:6">
      <c r="A982" s="74" t="s">
        <v>779</v>
      </c>
      <c r="B982" s="74">
        <v>72</v>
      </c>
      <c r="C982" s="74" t="s">
        <v>720</v>
      </c>
      <c r="D982" s="74" t="s">
        <v>251</v>
      </c>
      <c r="E982" s="770">
        <v>2</v>
      </c>
      <c r="F982" s="770">
        <v>2</v>
      </c>
    </row>
    <row r="983" spans="1:6">
      <c r="A983" s="74" t="s">
        <v>779</v>
      </c>
      <c r="B983" s="74">
        <v>73</v>
      </c>
      <c r="C983" s="74" t="s">
        <v>731</v>
      </c>
      <c r="D983" s="74" t="s">
        <v>251</v>
      </c>
      <c r="E983" s="770">
        <v>2</v>
      </c>
      <c r="F983" s="770">
        <v>2</v>
      </c>
    </row>
    <row r="984" spans="1:6">
      <c r="A984" s="74" t="s">
        <v>779</v>
      </c>
      <c r="B984" s="74">
        <v>74</v>
      </c>
      <c r="C984" s="74" t="s">
        <v>736</v>
      </c>
      <c r="D984" s="74" t="s">
        <v>251</v>
      </c>
      <c r="E984" s="770">
        <v>2</v>
      </c>
      <c r="F984" s="770">
        <v>2</v>
      </c>
    </row>
    <row r="985" spans="1:6">
      <c r="A985" s="74" t="s">
        <v>779</v>
      </c>
      <c r="B985" s="74">
        <v>75</v>
      </c>
      <c r="C985" s="74" t="s">
        <v>700</v>
      </c>
      <c r="D985" s="74" t="s">
        <v>274</v>
      </c>
      <c r="E985" s="770">
        <v>1</v>
      </c>
      <c r="F985" s="770">
        <v>1</v>
      </c>
    </row>
    <row r="986" spans="1:6">
      <c r="A986" s="74" t="s">
        <v>779</v>
      </c>
      <c r="B986" s="74">
        <v>76</v>
      </c>
      <c r="C986" s="74" t="s">
        <v>769</v>
      </c>
      <c r="D986" s="74" t="s">
        <v>730</v>
      </c>
      <c r="E986" s="770">
        <v>1</v>
      </c>
      <c r="F986" s="770">
        <v>1</v>
      </c>
    </row>
    <row r="987" spans="1:6">
      <c r="A987" s="74" t="s">
        <v>779</v>
      </c>
      <c r="B987" s="74">
        <v>77</v>
      </c>
      <c r="C987" s="74" t="s">
        <v>717</v>
      </c>
      <c r="D987" s="74" t="s">
        <v>249</v>
      </c>
      <c r="E987" s="770">
        <v>1</v>
      </c>
      <c r="F987" s="770">
        <v>1</v>
      </c>
    </row>
    <row r="988" spans="1:6">
      <c r="A988" s="74" t="s">
        <v>779</v>
      </c>
      <c r="B988" s="74">
        <v>78</v>
      </c>
      <c r="C988" s="74" t="s">
        <v>784</v>
      </c>
      <c r="D988" s="74" t="s">
        <v>764</v>
      </c>
      <c r="E988" s="770">
        <v>1</v>
      </c>
      <c r="F988" s="770">
        <v>1</v>
      </c>
    </row>
    <row r="989" spans="1:6">
      <c r="A989" s="74" t="s">
        <v>779</v>
      </c>
      <c r="B989" s="74">
        <v>79</v>
      </c>
      <c r="C989" s="74" t="s">
        <v>785</v>
      </c>
      <c r="D989" s="74" t="s">
        <v>275</v>
      </c>
      <c r="E989" s="770">
        <v>1</v>
      </c>
      <c r="F989" s="770">
        <v>1</v>
      </c>
    </row>
    <row r="990" spans="1:6">
      <c r="A990" s="74" t="s">
        <v>779</v>
      </c>
      <c r="B990" s="74">
        <v>80</v>
      </c>
      <c r="C990" s="74" t="s">
        <v>735</v>
      </c>
      <c r="D990" s="74" t="s">
        <v>730</v>
      </c>
      <c r="E990" s="770">
        <v>1</v>
      </c>
      <c r="F990" s="770">
        <v>1</v>
      </c>
    </row>
    <row r="991" spans="1:6">
      <c r="A991" s="74" t="s">
        <v>779</v>
      </c>
      <c r="B991" s="74">
        <v>81</v>
      </c>
      <c r="C991" s="74" t="s">
        <v>727</v>
      </c>
      <c r="D991" s="74" t="s">
        <v>275</v>
      </c>
      <c r="E991" s="770">
        <v>1</v>
      </c>
      <c r="F991" s="770">
        <v>1</v>
      </c>
    </row>
    <row r="992" spans="1:6">
      <c r="A992" s="74" t="s">
        <v>779</v>
      </c>
      <c r="B992" s="74">
        <v>82</v>
      </c>
      <c r="C992" s="74" t="s">
        <v>786</v>
      </c>
      <c r="D992" s="74" t="s">
        <v>249</v>
      </c>
      <c r="E992" s="770">
        <v>1</v>
      </c>
      <c r="F992" s="770">
        <v>1</v>
      </c>
    </row>
    <row r="993" spans="1:6">
      <c r="A993" s="74" t="s">
        <v>779</v>
      </c>
      <c r="B993" s="74">
        <v>83</v>
      </c>
      <c r="C993" s="74" t="s">
        <v>763</v>
      </c>
      <c r="D993" s="74" t="s">
        <v>764</v>
      </c>
      <c r="E993" s="770">
        <v>1</v>
      </c>
      <c r="F993" s="770">
        <v>1</v>
      </c>
    </row>
    <row r="994" spans="1:6">
      <c r="A994" s="74" t="s">
        <v>779</v>
      </c>
      <c r="B994" s="74">
        <v>84</v>
      </c>
      <c r="C994" s="74" t="s">
        <v>712</v>
      </c>
      <c r="D994" s="74" t="s">
        <v>713</v>
      </c>
      <c r="E994" s="770">
        <v>1</v>
      </c>
      <c r="F994" s="770">
        <v>1</v>
      </c>
    </row>
    <row r="995" spans="1:6">
      <c r="A995" s="74" t="s">
        <v>779</v>
      </c>
      <c r="B995" s="74">
        <v>85</v>
      </c>
      <c r="C995" s="74" t="s">
        <v>734</v>
      </c>
      <c r="D995" s="74" t="s">
        <v>695</v>
      </c>
      <c r="E995" s="770">
        <v>1</v>
      </c>
      <c r="F995" s="770">
        <v>1</v>
      </c>
    </row>
    <row r="996" spans="1:6">
      <c r="A996" s="74" t="s">
        <v>779</v>
      </c>
      <c r="B996" s="74">
        <v>86</v>
      </c>
      <c r="C996" s="74" t="s">
        <v>699</v>
      </c>
      <c r="D996" s="74" t="s">
        <v>249</v>
      </c>
      <c r="E996" s="770">
        <v>1</v>
      </c>
      <c r="F996" s="770">
        <v>1</v>
      </c>
    </row>
    <row r="997" spans="1:6">
      <c r="A997" s="74" t="s">
        <v>779</v>
      </c>
      <c r="B997" s="74">
        <v>87</v>
      </c>
      <c r="C997" s="74" t="s">
        <v>746</v>
      </c>
      <c r="D997" s="74" t="s">
        <v>251</v>
      </c>
      <c r="E997" s="770">
        <v>1</v>
      </c>
      <c r="F997" s="770">
        <v>1</v>
      </c>
    </row>
    <row r="998" spans="1:6">
      <c r="A998" s="917" t="s">
        <v>841</v>
      </c>
      <c r="B998" s="918">
        <v>1</v>
      </c>
      <c r="C998" s="918" t="s">
        <v>254</v>
      </c>
      <c r="D998" s="918" t="s">
        <v>254</v>
      </c>
      <c r="E998" s="919">
        <v>30</v>
      </c>
      <c r="F998" s="920">
        <v>30</v>
      </c>
    </row>
    <row r="999" spans="1:6">
      <c r="A999" s="925" t="s">
        <v>841</v>
      </c>
      <c r="B999" s="927">
        <v>2</v>
      </c>
      <c r="C999" s="927" t="s">
        <v>262</v>
      </c>
      <c r="D999" s="927" t="s">
        <v>256</v>
      </c>
      <c r="E999" s="928">
        <v>30</v>
      </c>
      <c r="F999" s="926">
        <v>30</v>
      </c>
    </row>
    <row r="1000" spans="1:6">
      <c r="A1000" s="917" t="s">
        <v>841</v>
      </c>
      <c r="B1000" s="918">
        <v>3</v>
      </c>
      <c r="C1000" s="918" t="s">
        <v>255</v>
      </c>
      <c r="D1000" s="918" t="s">
        <v>256</v>
      </c>
      <c r="E1000" s="919">
        <v>44</v>
      </c>
      <c r="F1000" s="920">
        <v>44</v>
      </c>
    </row>
    <row r="1001" spans="1:6">
      <c r="A1001" s="925" t="s">
        <v>841</v>
      </c>
      <c r="B1001" s="927">
        <v>4</v>
      </c>
      <c r="C1001" s="927" t="s">
        <v>792</v>
      </c>
      <c r="D1001" s="927" t="s">
        <v>256</v>
      </c>
      <c r="E1001" s="928">
        <v>13</v>
      </c>
      <c r="F1001" s="926">
        <v>13</v>
      </c>
    </row>
    <row r="1002" spans="1:6">
      <c r="A1002" s="917" t="s">
        <v>841</v>
      </c>
      <c r="B1002" s="918">
        <v>5</v>
      </c>
      <c r="C1002" s="918" t="s">
        <v>791</v>
      </c>
      <c r="D1002" s="918" t="s">
        <v>256</v>
      </c>
      <c r="E1002" s="919">
        <v>30</v>
      </c>
      <c r="F1002" s="920">
        <v>30</v>
      </c>
    </row>
    <row r="1003" spans="1:6">
      <c r="A1003" s="925" t="s">
        <v>841</v>
      </c>
      <c r="B1003" s="927">
        <v>6</v>
      </c>
      <c r="C1003" s="927" t="s">
        <v>686</v>
      </c>
      <c r="D1003" s="927" t="s">
        <v>274</v>
      </c>
      <c r="E1003" s="928">
        <v>10</v>
      </c>
      <c r="F1003" s="926">
        <v>10</v>
      </c>
    </row>
    <row r="1004" spans="1:6">
      <c r="A1004" s="917" t="s">
        <v>841</v>
      </c>
      <c r="B1004" s="918">
        <v>7</v>
      </c>
      <c r="C1004" s="918" t="s">
        <v>790</v>
      </c>
      <c r="D1004" s="918" t="s">
        <v>264</v>
      </c>
      <c r="E1004" s="919">
        <v>36</v>
      </c>
      <c r="F1004" s="920">
        <v>36</v>
      </c>
    </row>
    <row r="1005" spans="1:6">
      <c r="A1005" s="925" t="s">
        <v>841</v>
      </c>
      <c r="B1005" s="927">
        <v>8</v>
      </c>
      <c r="C1005" s="927" t="s">
        <v>837</v>
      </c>
      <c r="D1005" s="927" t="s">
        <v>282</v>
      </c>
      <c r="E1005" s="928">
        <v>9</v>
      </c>
      <c r="F1005" s="926">
        <v>9</v>
      </c>
    </row>
    <row r="1006" spans="1:6">
      <c r="A1006" s="917" t="s">
        <v>841</v>
      </c>
      <c r="B1006" s="918">
        <v>9</v>
      </c>
      <c r="C1006" s="918" t="s">
        <v>738</v>
      </c>
      <c r="D1006" s="918" t="s">
        <v>256</v>
      </c>
      <c r="E1006" s="919">
        <v>12</v>
      </c>
      <c r="F1006" s="920">
        <v>12</v>
      </c>
    </row>
    <row r="1007" spans="1:6">
      <c r="A1007" s="925" t="s">
        <v>841</v>
      </c>
      <c r="B1007" s="927">
        <v>10</v>
      </c>
      <c r="C1007" s="927" t="s">
        <v>679</v>
      </c>
      <c r="D1007" s="927" t="s">
        <v>256</v>
      </c>
      <c r="E1007" s="928">
        <v>9</v>
      </c>
      <c r="F1007" s="926">
        <v>9</v>
      </c>
    </row>
    <row r="1008" spans="1:6">
      <c r="A1008" s="917" t="s">
        <v>841</v>
      </c>
      <c r="B1008" s="918">
        <v>11</v>
      </c>
      <c r="C1008" s="918" t="s">
        <v>678</v>
      </c>
      <c r="D1008" s="918" t="s">
        <v>256</v>
      </c>
      <c r="E1008" s="919">
        <v>13</v>
      </c>
      <c r="F1008" s="920">
        <v>13</v>
      </c>
    </row>
    <row r="1009" spans="1:6">
      <c r="A1009" s="925" t="s">
        <v>841</v>
      </c>
      <c r="B1009" s="927">
        <v>12</v>
      </c>
      <c r="C1009" s="927" t="s">
        <v>684</v>
      </c>
      <c r="D1009" s="927" t="s">
        <v>323</v>
      </c>
      <c r="E1009" s="928">
        <v>9</v>
      </c>
      <c r="F1009" s="926">
        <v>9</v>
      </c>
    </row>
    <row r="1010" spans="1:6">
      <c r="A1010" s="917" t="s">
        <v>841</v>
      </c>
      <c r="B1010" s="918">
        <v>13</v>
      </c>
      <c r="C1010" s="918" t="s">
        <v>261</v>
      </c>
      <c r="D1010" s="918" t="s">
        <v>256</v>
      </c>
      <c r="E1010" s="919">
        <v>29</v>
      </c>
      <c r="F1010" s="920">
        <v>29</v>
      </c>
    </row>
    <row r="1011" spans="1:6">
      <c r="A1011" s="925" t="s">
        <v>841</v>
      </c>
      <c r="B1011" s="927">
        <v>14</v>
      </c>
      <c r="C1011" s="927" t="s">
        <v>680</v>
      </c>
      <c r="D1011" s="927" t="s">
        <v>251</v>
      </c>
      <c r="E1011" s="928">
        <v>28</v>
      </c>
      <c r="F1011" s="926">
        <v>28</v>
      </c>
    </row>
    <row r="1012" spans="1:6">
      <c r="A1012" s="917" t="s">
        <v>841</v>
      </c>
      <c r="B1012" s="918">
        <v>15</v>
      </c>
      <c r="C1012" s="918" t="s">
        <v>250</v>
      </c>
      <c r="D1012" s="918" t="s">
        <v>251</v>
      </c>
      <c r="E1012" s="919">
        <v>39</v>
      </c>
      <c r="F1012" s="920">
        <v>39</v>
      </c>
    </row>
    <row r="1013" spans="1:6">
      <c r="A1013" s="925" t="s">
        <v>841</v>
      </c>
      <c r="B1013" s="927">
        <v>16</v>
      </c>
      <c r="C1013" s="927" t="s">
        <v>248</v>
      </c>
      <c r="D1013" s="927" t="s">
        <v>249</v>
      </c>
      <c r="E1013" s="928">
        <v>50</v>
      </c>
      <c r="F1013" s="926">
        <v>50</v>
      </c>
    </row>
    <row r="1014" spans="1:6">
      <c r="A1014" s="917" t="s">
        <v>841</v>
      </c>
      <c r="B1014" s="918">
        <v>17</v>
      </c>
      <c r="C1014" s="918" t="s">
        <v>706</v>
      </c>
      <c r="D1014" s="918" t="s">
        <v>256</v>
      </c>
      <c r="E1014" s="919">
        <v>5</v>
      </c>
      <c r="F1014" s="920">
        <v>5</v>
      </c>
    </row>
    <row r="1015" spans="1:6">
      <c r="A1015" s="925" t="s">
        <v>841</v>
      </c>
      <c r="B1015" s="927">
        <v>18</v>
      </c>
      <c r="C1015" s="927" t="s">
        <v>259</v>
      </c>
      <c r="D1015" s="927" t="s">
        <v>249</v>
      </c>
      <c r="E1015" s="928">
        <v>46</v>
      </c>
      <c r="F1015" s="926">
        <v>46</v>
      </c>
    </row>
    <row r="1016" spans="1:6">
      <c r="A1016" s="917" t="s">
        <v>841</v>
      </c>
      <c r="B1016" s="918">
        <v>19</v>
      </c>
      <c r="C1016" s="918" t="s">
        <v>701</v>
      </c>
      <c r="D1016" s="918" t="s">
        <v>689</v>
      </c>
      <c r="E1016" s="919">
        <v>6</v>
      </c>
      <c r="F1016" s="920">
        <v>6</v>
      </c>
    </row>
    <row r="1017" spans="1:6">
      <c r="A1017" s="925" t="s">
        <v>841</v>
      </c>
      <c r="B1017" s="927">
        <v>20</v>
      </c>
      <c r="C1017" s="927" t="s">
        <v>685</v>
      </c>
      <c r="D1017" s="927" t="s">
        <v>256</v>
      </c>
      <c r="E1017" s="928">
        <v>7</v>
      </c>
      <c r="F1017" s="926">
        <v>7</v>
      </c>
    </row>
    <row r="1018" spans="1:6">
      <c r="A1018" s="917" t="s">
        <v>841</v>
      </c>
      <c r="B1018" s="918">
        <v>21</v>
      </c>
      <c r="C1018" s="918" t="s">
        <v>705</v>
      </c>
      <c r="D1018" s="918" t="s">
        <v>274</v>
      </c>
      <c r="E1018" s="919">
        <v>6</v>
      </c>
      <c r="F1018" s="920">
        <v>6</v>
      </c>
    </row>
    <row r="1019" spans="1:6">
      <c r="A1019" s="925" t="s">
        <v>841</v>
      </c>
      <c r="B1019" s="927">
        <v>22</v>
      </c>
      <c r="C1019" s="927" t="s">
        <v>796</v>
      </c>
      <c r="D1019" s="927" t="s">
        <v>282</v>
      </c>
      <c r="E1019" s="928">
        <v>5</v>
      </c>
      <c r="F1019" s="926">
        <v>5</v>
      </c>
    </row>
    <row r="1020" spans="1:6">
      <c r="A1020" s="917" t="s">
        <v>841</v>
      </c>
      <c r="B1020" s="918">
        <v>23</v>
      </c>
      <c r="C1020" s="918" t="s">
        <v>707</v>
      </c>
      <c r="D1020" s="918" t="s">
        <v>256</v>
      </c>
      <c r="E1020" s="919">
        <v>6</v>
      </c>
      <c r="F1020" s="920">
        <v>6</v>
      </c>
    </row>
    <row r="1021" spans="1:6">
      <c r="A1021" s="925" t="s">
        <v>841</v>
      </c>
      <c r="B1021" s="927">
        <v>24</v>
      </c>
      <c r="C1021" s="927" t="s">
        <v>682</v>
      </c>
      <c r="D1021" s="927" t="s">
        <v>275</v>
      </c>
      <c r="E1021" s="928">
        <v>10</v>
      </c>
      <c r="F1021" s="926">
        <v>10</v>
      </c>
    </row>
    <row r="1022" spans="1:6">
      <c r="A1022" s="917" t="s">
        <v>841</v>
      </c>
      <c r="B1022" s="918">
        <v>25</v>
      </c>
      <c r="C1022" s="918" t="s">
        <v>2622</v>
      </c>
      <c r="D1022" s="918" t="s">
        <v>256</v>
      </c>
      <c r="E1022" s="919">
        <v>7</v>
      </c>
      <c r="F1022" s="920">
        <v>7</v>
      </c>
    </row>
    <row r="1023" spans="1:6">
      <c r="A1023" s="925" t="s">
        <v>841</v>
      </c>
      <c r="B1023" s="927">
        <v>26</v>
      </c>
      <c r="C1023" s="927" t="s">
        <v>697</v>
      </c>
      <c r="D1023" s="927" t="s">
        <v>256</v>
      </c>
      <c r="E1023" s="928">
        <v>5</v>
      </c>
      <c r="F1023" s="926">
        <v>5</v>
      </c>
    </row>
    <row r="1024" spans="1:6">
      <c r="A1024" s="917" t="s">
        <v>841</v>
      </c>
      <c r="B1024" s="918">
        <v>27</v>
      </c>
      <c r="C1024" s="918" t="s">
        <v>696</v>
      </c>
      <c r="D1024" s="918" t="s">
        <v>323</v>
      </c>
      <c r="E1024" s="919">
        <v>4</v>
      </c>
      <c r="F1024" s="920">
        <v>4</v>
      </c>
    </row>
    <row r="1025" spans="1:6">
      <c r="A1025" s="925" t="s">
        <v>841</v>
      </c>
      <c r="B1025" s="927">
        <v>28</v>
      </c>
      <c r="C1025" s="927" t="s">
        <v>683</v>
      </c>
      <c r="D1025" s="927" t="s">
        <v>274</v>
      </c>
      <c r="E1025" s="928">
        <v>4</v>
      </c>
      <c r="F1025" s="926">
        <v>4</v>
      </c>
    </row>
    <row r="1026" spans="1:6">
      <c r="A1026" s="917" t="s">
        <v>841</v>
      </c>
      <c r="B1026" s="918">
        <v>29</v>
      </c>
      <c r="C1026" s="918" t="s">
        <v>728</v>
      </c>
      <c r="D1026" s="918" t="s">
        <v>695</v>
      </c>
      <c r="E1026" s="919">
        <v>5</v>
      </c>
      <c r="F1026" s="920">
        <v>5</v>
      </c>
    </row>
    <row r="1027" spans="1:6">
      <c r="A1027" s="925" t="s">
        <v>841</v>
      </c>
      <c r="B1027" s="927">
        <v>30</v>
      </c>
      <c r="C1027" s="927" t="s">
        <v>688</v>
      </c>
      <c r="D1027" s="927" t="s">
        <v>689</v>
      </c>
      <c r="E1027" s="928">
        <v>4</v>
      </c>
      <c r="F1027" s="926">
        <v>4</v>
      </c>
    </row>
    <row r="1028" spans="1:6">
      <c r="A1028" s="917" t="s">
        <v>841</v>
      </c>
      <c r="B1028" s="918">
        <v>31</v>
      </c>
      <c r="C1028" s="918" t="s">
        <v>763</v>
      </c>
      <c r="D1028" s="918" t="s">
        <v>764</v>
      </c>
      <c r="E1028" s="919">
        <v>3</v>
      </c>
      <c r="F1028" s="920">
        <v>3</v>
      </c>
    </row>
    <row r="1029" spans="1:6">
      <c r="A1029" s="925" t="s">
        <v>841</v>
      </c>
      <c r="B1029" s="927">
        <v>32</v>
      </c>
      <c r="C1029" s="927" t="s">
        <v>674</v>
      </c>
      <c r="D1029" s="927" t="s">
        <v>275</v>
      </c>
      <c r="E1029" s="928">
        <v>7</v>
      </c>
      <c r="F1029" s="926">
        <v>7</v>
      </c>
    </row>
    <row r="1030" spans="1:6">
      <c r="A1030" s="917" t="s">
        <v>841</v>
      </c>
      <c r="B1030" s="918">
        <v>33</v>
      </c>
      <c r="C1030" s="918" t="s">
        <v>673</v>
      </c>
      <c r="D1030" s="918" t="s">
        <v>251</v>
      </c>
      <c r="E1030" s="919">
        <v>14</v>
      </c>
      <c r="F1030" s="920">
        <v>14</v>
      </c>
    </row>
    <row r="1031" spans="1:6">
      <c r="A1031" s="925" t="s">
        <v>841</v>
      </c>
      <c r="B1031" s="927">
        <v>34</v>
      </c>
      <c r="C1031" s="927" t="s">
        <v>747</v>
      </c>
      <c r="D1031" s="927" t="s">
        <v>256</v>
      </c>
      <c r="E1031" s="928">
        <v>4</v>
      </c>
      <c r="F1031" s="926">
        <v>4</v>
      </c>
    </row>
    <row r="1032" spans="1:6">
      <c r="A1032" s="917" t="s">
        <v>841</v>
      </c>
      <c r="B1032" s="918">
        <v>35</v>
      </c>
      <c r="C1032" s="918" t="s">
        <v>700</v>
      </c>
      <c r="D1032" s="918" t="s">
        <v>274</v>
      </c>
      <c r="E1032" s="919">
        <v>3</v>
      </c>
      <c r="F1032" s="920">
        <v>3</v>
      </c>
    </row>
    <row r="1033" spans="1:6">
      <c r="A1033" s="925" t="s">
        <v>841</v>
      </c>
      <c r="B1033" s="927">
        <v>36</v>
      </c>
      <c r="C1033" s="927" t="s">
        <v>784</v>
      </c>
      <c r="D1033" s="927" t="s">
        <v>764</v>
      </c>
      <c r="E1033" s="928">
        <v>2</v>
      </c>
      <c r="F1033" s="926">
        <v>2</v>
      </c>
    </row>
    <row r="1034" spans="1:6">
      <c r="A1034" s="917" t="s">
        <v>841</v>
      </c>
      <c r="B1034" s="918">
        <v>37</v>
      </c>
      <c r="C1034" s="918" t="s">
        <v>676</v>
      </c>
      <c r="D1034" s="918" t="s">
        <v>253</v>
      </c>
      <c r="E1034" s="919">
        <v>9</v>
      </c>
      <c r="F1034" s="920">
        <v>9</v>
      </c>
    </row>
    <row r="1035" spans="1:6">
      <c r="A1035" s="925" t="s">
        <v>841</v>
      </c>
      <c r="B1035" s="927">
        <v>38</v>
      </c>
      <c r="C1035" s="927" t="s">
        <v>745</v>
      </c>
      <c r="D1035" s="927" t="s">
        <v>275</v>
      </c>
      <c r="E1035" s="928">
        <v>5</v>
      </c>
      <c r="F1035" s="926">
        <v>5</v>
      </c>
    </row>
    <row r="1036" spans="1:6">
      <c r="A1036" s="917" t="s">
        <v>841</v>
      </c>
      <c r="B1036" s="918">
        <v>39</v>
      </c>
      <c r="C1036" s="918" t="s">
        <v>726</v>
      </c>
      <c r="D1036" s="918" t="s">
        <v>323</v>
      </c>
      <c r="E1036" s="919">
        <v>2</v>
      </c>
      <c r="F1036" s="920">
        <v>2</v>
      </c>
    </row>
    <row r="1037" spans="1:6">
      <c r="A1037" s="925" t="s">
        <v>841</v>
      </c>
      <c r="B1037" s="927">
        <v>40</v>
      </c>
      <c r="C1037" s="927" t="s">
        <v>698</v>
      </c>
      <c r="D1037" s="927" t="s">
        <v>249</v>
      </c>
      <c r="E1037" s="928">
        <v>8</v>
      </c>
      <c r="F1037" s="926">
        <v>8</v>
      </c>
    </row>
    <row r="1038" spans="1:6">
      <c r="A1038" s="917" t="s">
        <v>841</v>
      </c>
      <c r="B1038" s="918">
        <v>41</v>
      </c>
      <c r="C1038" s="918" t="s">
        <v>734</v>
      </c>
      <c r="D1038" s="918" t="s">
        <v>695</v>
      </c>
      <c r="E1038" s="919">
        <v>1</v>
      </c>
      <c r="F1038" s="920">
        <v>1</v>
      </c>
    </row>
    <row r="1039" spans="1:6">
      <c r="A1039" s="925" t="s">
        <v>841</v>
      </c>
      <c r="B1039" s="927">
        <v>42</v>
      </c>
      <c r="C1039" s="927" t="s">
        <v>2623</v>
      </c>
      <c r="D1039" s="927" t="s">
        <v>274</v>
      </c>
      <c r="E1039" s="928">
        <v>2</v>
      </c>
      <c r="F1039" s="926">
        <v>2</v>
      </c>
    </row>
    <row r="1040" spans="1:6">
      <c r="A1040" s="917" t="s">
        <v>841</v>
      </c>
      <c r="B1040" s="918">
        <v>43</v>
      </c>
      <c r="C1040" s="918" t="s">
        <v>690</v>
      </c>
      <c r="D1040" s="918" t="s">
        <v>275</v>
      </c>
      <c r="E1040" s="919">
        <v>3</v>
      </c>
      <c r="F1040" s="920">
        <v>3</v>
      </c>
    </row>
    <row r="1041" spans="1:6">
      <c r="A1041" s="925" t="s">
        <v>841</v>
      </c>
      <c r="B1041" s="927">
        <v>44</v>
      </c>
      <c r="C1041" s="927" t="s">
        <v>743</v>
      </c>
      <c r="D1041" s="927" t="s">
        <v>251</v>
      </c>
      <c r="E1041" s="928">
        <v>7</v>
      </c>
      <c r="F1041" s="926">
        <v>7</v>
      </c>
    </row>
    <row r="1042" spans="1:6">
      <c r="A1042" s="917" t="s">
        <v>841</v>
      </c>
      <c r="B1042" s="918">
        <v>45</v>
      </c>
      <c r="C1042" s="918" t="s">
        <v>691</v>
      </c>
      <c r="D1042" s="918" t="s">
        <v>251</v>
      </c>
      <c r="E1042" s="919">
        <v>7</v>
      </c>
      <c r="F1042" s="920">
        <v>7</v>
      </c>
    </row>
    <row r="1043" spans="1:6">
      <c r="A1043" s="925" t="s">
        <v>841</v>
      </c>
      <c r="B1043" s="927">
        <v>46</v>
      </c>
      <c r="C1043" s="927" t="s">
        <v>804</v>
      </c>
      <c r="D1043" s="927" t="s">
        <v>253</v>
      </c>
      <c r="E1043" s="928">
        <v>6</v>
      </c>
      <c r="F1043" s="926">
        <v>6</v>
      </c>
    </row>
    <row r="1044" spans="1:6">
      <c r="A1044" s="917" t="s">
        <v>841</v>
      </c>
      <c r="B1044" s="918">
        <v>47</v>
      </c>
      <c r="C1044" s="918" t="s">
        <v>675</v>
      </c>
      <c r="D1044" s="918" t="s">
        <v>256</v>
      </c>
      <c r="E1044" s="919">
        <v>3</v>
      </c>
      <c r="F1044" s="920">
        <v>3</v>
      </c>
    </row>
    <row r="1045" spans="1:6">
      <c r="A1045" s="925" t="s">
        <v>841</v>
      </c>
      <c r="B1045" s="927">
        <v>48</v>
      </c>
      <c r="C1045" s="927" t="s">
        <v>781</v>
      </c>
      <c r="D1045" s="927" t="s">
        <v>764</v>
      </c>
      <c r="E1045" s="928">
        <v>1</v>
      </c>
      <c r="F1045" s="926">
        <v>1</v>
      </c>
    </row>
    <row r="1046" spans="1:6">
      <c r="A1046" s="917" t="s">
        <v>841</v>
      </c>
      <c r="B1046" s="918">
        <v>49</v>
      </c>
      <c r="C1046" s="918" t="s">
        <v>751</v>
      </c>
      <c r="D1046" s="918" t="s">
        <v>256</v>
      </c>
      <c r="E1046" s="919">
        <v>3</v>
      </c>
      <c r="F1046" s="920">
        <v>3</v>
      </c>
    </row>
    <row r="1047" spans="1:6">
      <c r="A1047" s="925" t="s">
        <v>841</v>
      </c>
      <c r="B1047" s="927">
        <v>50</v>
      </c>
      <c r="C1047" s="927" t="s">
        <v>794</v>
      </c>
      <c r="D1047" s="927" t="s">
        <v>256</v>
      </c>
      <c r="E1047" s="928">
        <v>2</v>
      </c>
      <c r="F1047" s="926">
        <v>2</v>
      </c>
    </row>
    <row r="1048" spans="1:6">
      <c r="A1048" s="917" t="s">
        <v>841</v>
      </c>
      <c r="B1048" s="918">
        <v>51</v>
      </c>
      <c r="C1048" s="918" t="s">
        <v>687</v>
      </c>
      <c r="D1048" s="918" t="s">
        <v>253</v>
      </c>
      <c r="E1048" s="919">
        <v>4</v>
      </c>
      <c r="F1048" s="920">
        <v>4</v>
      </c>
    </row>
    <row r="1049" spans="1:6">
      <c r="A1049" s="925" t="s">
        <v>841</v>
      </c>
      <c r="B1049" s="927">
        <v>52</v>
      </c>
      <c r="C1049" s="927" t="s">
        <v>703</v>
      </c>
      <c r="D1049" s="927" t="s">
        <v>256</v>
      </c>
      <c r="E1049" s="928">
        <v>6</v>
      </c>
      <c r="F1049" s="926">
        <v>6</v>
      </c>
    </row>
    <row r="1050" spans="1:6">
      <c r="A1050" s="917" t="s">
        <v>841</v>
      </c>
      <c r="B1050" s="918">
        <v>53</v>
      </c>
      <c r="C1050" s="918" t="s">
        <v>694</v>
      </c>
      <c r="D1050" s="918" t="s">
        <v>695</v>
      </c>
      <c r="E1050" s="919">
        <v>3</v>
      </c>
      <c r="F1050" s="920">
        <v>3</v>
      </c>
    </row>
    <row r="1051" spans="1:6">
      <c r="A1051" s="925" t="s">
        <v>841</v>
      </c>
      <c r="B1051" s="927">
        <v>54</v>
      </c>
      <c r="C1051" s="927" t="s">
        <v>780</v>
      </c>
      <c r="D1051" s="927" t="s">
        <v>268</v>
      </c>
      <c r="E1051" s="928">
        <v>8</v>
      </c>
      <c r="F1051" s="926">
        <v>8</v>
      </c>
    </row>
    <row r="1052" spans="1:6">
      <c r="A1052" s="917" t="s">
        <v>841</v>
      </c>
      <c r="B1052" s="918">
        <v>55</v>
      </c>
      <c r="C1052" s="918" t="s">
        <v>746</v>
      </c>
      <c r="D1052" s="918" t="s">
        <v>251</v>
      </c>
      <c r="E1052" s="919">
        <v>5</v>
      </c>
      <c r="F1052" s="920">
        <v>5</v>
      </c>
    </row>
    <row r="1053" spans="1:6">
      <c r="A1053" s="925" t="s">
        <v>841</v>
      </c>
      <c r="B1053" s="927">
        <v>56</v>
      </c>
      <c r="C1053" s="927" t="s">
        <v>708</v>
      </c>
      <c r="D1053" s="927" t="s">
        <v>251</v>
      </c>
      <c r="E1053" s="928">
        <v>6</v>
      </c>
      <c r="F1053" s="926">
        <v>6</v>
      </c>
    </row>
    <row r="1054" spans="1:6">
      <c r="A1054" s="917" t="s">
        <v>841</v>
      </c>
      <c r="B1054" s="918">
        <v>57</v>
      </c>
      <c r="C1054" s="918" t="s">
        <v>769</v>
      </c>
      <c r="D1054" s="918" t="s">
        <v>730</v>
      </c>
      <c r="E1054" s="919">
        <v>2</v>
      </c>
      <c r="F1054" s="920">
        <v>2</v>
      </c>
    </row>
    <row r="1055" spans="1:6">
      <c r="A1055" s="925" t="s">
        <v>841</v>
      </c>
      <c r="B1055" s="927">
        <v>58</v>
      </c>
      <c r="C1055" s="927" t="s">
        <v>842</v>
      </c>
      <c r="D1055" s="927" t="s">
        <v>713</v>
      </c>
      <c r="E1055" s="928">
        <v>2</v>
      </c>
      <c r="F1055" s="926">
        <v>2</v>
      </c>
    </row>
    <row r="1056" spans="1:6">
      <c r="A1056" s="917" t="s">
        <v>841</v>
      </c>
      <c r="B1056" s="918">
        <v>59</v>
      </c>
      <c r="C1056" s="918" t="s">
        <v>792</v>
      </c>
      <c r="D1056" s="918" t="s">
        <v>256</v>
      </c>
      <c r="E1056" s="919">
        <v>2</v>
      </c>
      <c r="F1056" s="920">
        <v>2</v>
      </c>
    </row>
    <row r="1057" spans="1:6">
      <c r="A1057" s="925" t="s">
        <v>841</v>
      </c>
      <c r="B1057" s="927">
        <v>60</v>
      </c>
      <c r="C1057" s="927" t="s">
        <v>802</v>
      </c>
      <c r="D1057" s="927" t="s">
        <v>713</v>
      </c>
      <c r="E1057" s="928">
        <v>2</v>
      </c>
      <c r="F1057" s="926">
        <v>2</v>
      </c>
    </row>
    <row r="1058" spans="1:6">
      <c r="A1058" s="917" t="s">
        <v>841</v>
      </c>
      <c r="B1058" s="918">
        <v>61</v>
      </c>
      <c r="C1058" s="918" t="s">
        <v>742</v>
      </c>
      <c r="D1058" s="918" t="s">
        <v>251</v>
      </c>
      <c r="E1058" s="919">
        <v>3</v>
      </c>
      <c r="F1058" s="920">
        <v>3</v>
      </c>
    </row>
    <row r="1059" spans="1:6">
      <c r="A1059" s="925" t="s">
        <v>841</v>
      </c>
      <c r="B1059" s="927">
        <v>62</v>
      </c>
      <c r="C1059" s="927" t="s">
        <v>828</v>
      </c>
      <c r="D1059" s="927" t="s">
        <v>820</v>
      </c>
      <c r="E1059" s="928">
        <v>1</v>
      </c>
      <c r="F1059" s="926">
        <v>1</v>
      </c>
    </row>
    <row r="1060" spans="1:6">
      <c r="A1060" s="917" t="s">
        <v>841</v>
      </c>
      <c r="B1060" s="918">
        <v>63</v>
      </c>
      <c r="C1060" s="918" t="s">
        <v>797</v>
      </c>
      <c r="D1060" s="918" t="s">
        <v>253</v>
      </c>
      <c r="E1060" s="919">
        <v>2</v>
      </c>
      <c r="F1060" s="920">
        <v>2</v>
      </c>
    </row>
    <row r="1061" spans="1:6">
      <c r="A1061" s="925" t="s">
        <v>841</v>
      </c>
      <c r="B1061" s="927">
        <v>64</v>
      </c>
      <c r="C1061" s="927" t="s">
        <v>709</v>
      </c>
      <c r="D1061" s="927" t="s">
        <v>276</v>
      </c>
      <c r="E1061" s="928">
        <v>2</v>
      </c>
      <c r="F1061" s="926">
        <v>2</v>
      </c>
    </row>
    <row r="1062" spans="1:6">
      <c r="A1062" s="917" t="s">
        <v>841</v>
      </c>
      <c r="B1062" s="918">
        <v>65</v>
      </c>
      <c r="C1062" s="918" t="s">
        <v>752</v>
      </c>
      <c r="D1062" s="918" t="s">
        <v>264</v>
      </c>
      <c r="E1062" s="919">
        <v>4</v>
      </c>
      <c r="F1062" s="920">
        <v>4</v>
      </c>
    </row>
    <row r="1063" spans="1:6">
      <c r="A1063" s="925" t="s">
        <v>841</v>
      </c>
      <c r="B1063" s="927">
        <v>66</v>
      </c>
      <c r="C1063" s="927" t="s">
        <v>671</v>
      </c>
      <c r="D1063" s="927" t="s">
        <v>276</v>
      </c>
      <c r="E1063" s="928">
        <v>2</v>
      </c>
      <c r="F1063" s="926">
        <v>2</v>
      </c>
    </row>
    <row r="1064" spans="1:6">
      <c r="A1064" s="917" t="s">
        <v>841</v>
      </c>
      <c r="B1064" s="918">
        <v>67</v>
      </c>
      <c r="C1064" s="918" t="s">
        <v>755</v>
      </c>
      <c r="D1064" s="918" t="s">
        <v>251</v>
      </c>
      <c r="E1064" s="919">
        <v>2</v>
      </c>
      <c r="F1064" s="920">
        <v>2</v>
      </c>
    </row>
    <row r="1065" spans="1:6">
      <c r="A1065" s="925" t="s">
        <v>841</v>
      </c>
      <c r="B1065" s="927">
        <v>68</v>
      </c>
      <c r="C1065" s="927" t="s">
        <v>774</v>
      </c>
      <c r="D1065" s="927" t="s">
        <v>730</v>
      </c>
      <c r="E1065" s="928">
        <v>1</v>
      </c>
      <c r="F1065" s="926">
        <v>1</v>
      </c>
    </row>
    <row r="1066" spans="1:6">
      <c r="A1066" s="917" t="s">
        <v>841</v>
      </c>
      <c r="B1066" s="918">
        <v>69</v>
      </c>
      <c r="C1066" s="918" t="s">
        <v>814</v>
      </c>
      <c r="D1066" s="918" t="s">
        <v>815</v>
      </c>
      <c r="E1066" s="919">
        <v>1</v>
      </c>
      <c r="F1066" s="920">
        <v>1</v>
      </c>
    </row>
    <row r="1067" spans="1:6">
      <c r="A1067" s="925" t="s">
        <v>841</v>
      </c>
      <c r="B1067" s="927">
        <v>70</v>
      </c>
      <c r="C1067" s="927" t="s">
        <v>720</v>
      </c>
      <c r="D1067" s="927" t="s">
        <v>251</v>
      </c>
      <c r="E1067" s="928">
        <v>2</v>
      </c>
      <c r="F1067" s="926">
        <v>2</v>
      </c>
    </row>
    <row r="1068" spans="1:6">
      <c r="A1068" s="917" t="s">
        <v>841</v>
      </c>
      <c r="B1068" s="918">
        <v>71</v>
      </c>
      <c r="C1068" s="918" t="s">
        <v>677</v>
      </c>
      <c r="D1068" s="918" t="s">
        <v>249</v>
      </c>
      <c r="E1068" s="919">
        <v>3</v>
      </c>
      <c r="F1068" s="920">
        <v>3</v>
      </c>
    </row>
    <row r="1069" spans="1:6">
      <c r="A1069" s="925" t="s">
        <v>841</v>
      </c>
      <c r="B1069" s="927">
        <v>72</v>
      </c>
      <c r="C1069" s="927" t="s">
        <v>765</v>
      </c>
      <c r="D1069" s="927" t="s">
        <v>256</v>
      </c>
      <c r="E1069" s="928">
        <v>1</v>
      </c>
      <c r="F1069" s="926">
        <v>1</v>
      </c>
    </row>
    <row r="1070" spans="1:6">
      <c r="A1070" s="917" t="s">
        <v>841</v>
      </c>
      <c r="B1070" s="918">
        <v>73</v>
      </c>
      <c r="C1070" s="918" t="s">
        <v>843</v>
      </c>
      <c r="D1070" s="918" t="s">
        <v>249</v>
      </c>
      <c r="E1070" s="919">
        <v>1</v>
      </c>
      <c r="F1070" s="920">
        <v>1</v>
      </c>
    </row>
    <row r="1071" spans="1:6">
      <c r="A1071" s="925" t="s">
        <v>841</v>
      </c>
      <c r="B1071" s="927">
        <v>74</v>
      </c>
      <c r="C1071" s="927" t="s">
        <v>844</v>
      </c>
      <c r="D1071" s="927" t="s">
        <v>713</v>
      </c>
      <c r="E1071" s="928">
        <v>1</v>
      </c>
      <c r="F1071" s="926">
        <v>1</v>
      </c>
    </row>
    <row r="1072" spans="1:6">
      <c r="A1072" s="917" t="s">
        <v>841</v>
      </c>
      <c r="B1072" s="918">
        <v>75</v>
      </c>
      <c r="C1072" s="918" t="s">
        <v>723</v>
      </c>
      <c r="D1072" s="918" t="s">
        <v>713</v>
      </c>
      <c r="E1072" s="919">
        <v>1</v>
      </c>
      <c r="F1072" s="920">
        <v>1</v>
      </c>
    </row>
    <row r="1073" spans="1:6">
      <c r="A1073" s="925" t="s">
        <v>841</v>
      </c>
      <c r="B1073" s="927">
        <v>76</v>
      </c>
      <c r="C1073" s="927" t="s">
        <v>690</v>
      </c>
      <c r="D1073" s="927" t="s">
        <v>275</v>
      </c>
      <c r="E1073" s="928">
        <v>1</v>
      </c>
      <c r="F1073" s="926">
        <v>1</v>
      </c>
    </row>
    <row r="1074" spans="1:6">
      <c r="A1074" s="917" t="s">
        <v>841</v>
      </c>
      <c r="B1074" s="918">
        <v>77</v>
      </c>
      <c r="C1074" s="918" t="s">
        <v>807</v>
      </c>
      <c r="D1074" s="918" t="s">
        <v>253</v>
      </c>
      <c r="E1074" s="919">
        <v>1</v>
      </c>
      <c r="F1074" s="920">
        <v>1</v>
      </c>
    </row>
    <row r="1075" spans="1:6">
      <c r="A1075" s="925" t="s">
        <v>841</v>
      </c>
      <c r="B1075" s="927">
        <v>78</v>
      </c>
      <c r="C1075" s="927" t="s">
        <v>767</v>
      </c>
      <c r="D1075" s="927" t="s">
        <v>251</v>
      </c>
      <c r="E1075" s="928">
        <v>1</v>
      </c>
      <c r="F1075" s="926">
        <v>1</v>
      </c>
    </row>
    <row r="1076" spans="1:6">
      <c r="A1076" s="917" t="s">
        <v>841</v>
      </c>
      <c r="B1076" s="918">
        <v>79</v>
      </c>
      <c r="C1076" s="918" t="s">
        <v>722</v>
      </c>
      <c r="D1076" s="918" t="s">
        <v>251</v>
      </c>
      <c r="E1076" s="919">
        <v>1</v>
      </c>
      <c r="F1076" s="920">
        <v>1</v>
      </c>
    </row>
    <row r="1077" spans="1:6">
      <c r="A1077" s="925" t="s">
        <v>841</v>
      </c>
      <c r="B1077" s="927">
        <v>80</v>
      </c>
      <c r="C1077" s="927" t="s">
        <v>740</v>
      </c>
      <c r="D1077" s="927" t="s">
        <v>264</v>
      </c>
      <c r="E1077" s="928">
        <v>1</v>
      </c>
      <c r="F1077" s="926">
        <v>1</v>
      </c>
    </row>
    <row r="1078" spans="1:6">
      <c r="A1078" s="917" t="s">
        <v>841</v>
      </c>
      <c r="B1078" s="918">
        <v>81</v>
      </c>
      <c r="C1078" s="918" t="s">
        <v>756</v>
      </c>
      <c r="D1078" s="918" t="s">
        <v>251</v>
      </c>
      <c r="E1078" s="919">
        <v>1</v>
      </c>
      <c r="F1078" s="920">
        <v>1</v>
      </c>
    </row>
    <row r="1079" spans="1:6">
      <c r="A1079" s="925" t="s">
        <v>841</v>
      </c>
      <c r="B1079" s="927">
        <v>82</v>
      </c>
      <c r="C1079" s="927" t="s">
        <v>736</v>
      </c>
      <c r="D1079" s="927" t="s">
        <v>251</v>
      </c>
      <c r="E1079" s="928">
        <v>1</v>
      </c>
      <c r="F1079" s="926">
        <v>1</v>
      </c>
    </row>
    <row r="1080" spans="1:6">
      <c r="A1080" s="917" t="s">
        <v>841</v>
      </c>
      <c r="B1080" s="918">
        <v>83</v>
      </c>
      <c r="C1080" s="918" t="s">
        <v>737</v>
      </c>
      <c r="D1080" s="918" t="s">
        <v>249</v>
      </c>
      <c r="E1080" s="919">
        <v>1</v>
      </c>
      <c r="F1080" s="920">
        <v>1</v>
      </c>
    </row>
    <row r="1081" spans="1:6">
      <c r="A1081" s="925" t="s">
        <v>841</v>
      </c>
      <c r="B1081" s="927">
        <v>84</v>
      </c>
      <c r="C1081" s="927" t="s">
        <v>845</v>
      </c>
      <c r="D1081" s="927" t="s">
        <v>264</v>
      </c>
      <c r="E1081" s="928">
        <v>1</v>
      </c>
      <c r="F1081" s="926">
        <v>1</v>
      </c>
    </row>
    <row r="1082" spans="1:6">
      <c r="A1082" s="917" t="s">
        <v>841</v>
      </c>
      <c r="B1082" s="918">
        <v>85</v>
      </c>
      <c r="C1082" s="918" t="s">
        <v>681</v>
      </c>
      <c r="D1082" s="918" t="s">
        <v>282</v>
      </c>
      <c r="E1082" s="919">
        <v>12</v>
      </c>
      <c r="F1082" s="920">
        <v>12</v>
      </c>
    </row>
    <row r="1083" spans="1:6">
      <c r="A1083" s="925" t="s">
        <v>841</v>
      </c>
      <c r="B1083" s="927">
        <v>86</v>
      </c>
      <c r="C1083" s="927" t="s">
        <v>782</v>
      </c>
      <c r="D1083" s="927" t="s">
        <v>323</v>
      </c>
      <c r="E1083" s="928">
        <v>17</v>
      </c>
      <c r="F1083" s="926">
        <v>17</v>
      </c>
    </row>
    <row r="1084" spans="1:6">
      <c r="A1084" s="917" t="s">
        <v>841</v>
      </c>
      <c r="B1084" s="918">
        <v>87</v>
      </c>
      <c r="C1084" s="918" t="s">
        <v>711</v>
      </c>
      <c r="D1084" s="918" t="s">
        <v>251</v>
      </c>
      <c r="E1084" s="919">
        <v>3</v>
      </c>
      <c r="F1084" s="920">
        <v>3</v>
      </c>
    </row>
    <row r="1085" spans="1:6">
      <c r="A1085" s="925" t="s">
        <v>841</v>
      </c>
      <c r="B1085" s="927">
        <v>88</v>
      </c>
      <c r="C1085" s="927" t="s">
        <v>716</v>
      </c>
      <c r="D1085" s="927" t="s">
        <v>251</v>
      </c>
      <c r="E1085" s="928">
        <v>15</v>
      </c>
      <c r="F1085" s="926">
        <v>15</v>
      </c>
    </row>
    <row r="1086" spans="1:6">
      <c r="A1086" s="917" t="s">
        <v>841</v>
      </c>
      <c r="B1086" s="918">
        <v>89</v>
      </c>
      <c r="C1086" s="918" t="s">
        <v>760</v>
      </c>
      <c r="D1086" s="918" t="s">
        <v>253</v>
      </c>
      <c r="E1086" s="919">
        <v>3</v>
      </c>
      <c r="F1086" s="920">
        <v>3</v>
      </c>
    </row>
    <row r="1087" spans="1:6">
      <c r="A1087" s="925" t="s">
        <v>841</v>
      </c>
      <c r="B1087" s="927">
        <v>90</v>
      </c>
      <c r="C1087" s="927" t="s">
        <v>699</v>
      </c>
      <c r="D1087" s="927" t="s">
        <v>249</v>
      </c>
      <c r="E1087" s="928">
        <v>1</v>
      </c>
      <c r="F1087" s="926">
        <v>1</v>
      </c>
    </row>
    <row r="1088" spans="1:6">
      <c r="A1088" s="921" t="s">
        <v>841</v>
      </c>
      <c r="B1088" s="922">
        <v>91</v>
      </c>
      <c r="C1088" s="922" t="s">
        <v>806</v>
      </c>
      <c r="D1088" s="922" t="s">
        <v>256</v>
      </c>
      <c r="E1088" s="923">
        <v>12</v>
      </c>
      <c r="F1088" s="924">
        <v>12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F4E79"/>
  </sheetPr>
  <dimension ref="A1:J60"/>
  <sheetViews>
    <sheetView topLeftCell="A44" zoomScale="188" workbookViewId="0">
      <selection activeCell="B40" sqref="B40"/>
    </sheetView>
  </sheetViews>
  <sheetFormatPr baseColWidth="10" defaultColWidth="11.5" defaultRowHeight="15"/>
  <cols>
    <col min="1" max="1" width="30" customWidth="1"/>
    <col min="2" max="2" width="33.33203125" customWidth="1"/>
    <col min="3" max="3" width="13.33203125" customWidth="1"/>
    <col min="4" max="4" width="16.6640625" customWidth="1"/>
    <col min="5" max="5" width="15" customWidth="1"/>
    <col min="6" max="6" width="63.33203125" customWidth="1"/>
    <col min="7" max="7" width="16.6640625" customWidth="1"/>
    <col min="8" max="9" width="18.33203125" customWidth="1"/>
  </cols>
  <sheetData>
    <row r="1" spans="1:10" ht="21" customHeight="1">
      <c r="A1" s="1083" t="s">
        <v>2624</v>
      </c>
      <c r="B1" s="1084"/>
      <c r="C1" s="1084"/>
      <c r="D1" s="1084"/>
      <c r="E1" s="1084"/>
      <c r="F1" s="1084"/>
      <c r="G1" s="1084"/>
      <c r="H1" s="1084"/>
      <c r="I1" s="1084"/>
      <c r="J1" s="1084"/>
    </row>
    <row r="2" spans="1:10">
      <c r="A2" s="1085" t="s">
        <v>2625</v>
      </c>
      <c r="B2" s="74"/>
      <c r="C2" s="74"/>
      <c r="D2" s="74"/>
      <c r="E2" s="74"/>
      <c r="F2" s="74"/>
      <c r="G2" s="74"/>
      <c r="H2" s="74"/>
      <c r="I2" s="74"/>
      <c r="J2" s="74"/>
    </row>
    <row r="4" spans="1:10">
      <c r="A4" s="818" t="s">
        <v>2626</v>
      </c>
      <c r="B4" s="1058" t="s">
        <v>2627</v>
      </c>
      <c r="C4" s="1058" t="s">
        <v>2628</v>
      </c>
      <c r="D4" s="1058" t="s">
        <v>2629</v>
      </c>
      <c r="E4" s="1058" t="s">
        <v>2630</v>
      </c>
      <c r="F4" s="1058" t="s">
        <v>2631</v>
      </c>
      <c r="G4" s="74"/>
      <c r="H4" s="74"/>
      <c r="I4" s="74"/>
      <c r="J4" s="74"/>
    </row>
    <row r="5" spans="1:10">
      <c r="A5" s="1059" t="s">
        <v>2632</v>
      </c>
      <c r="B5" s="1060">
        <v>24.5</v>
      </c>
      <c r="C5" s="931">
        <v>7</v>
      </c>
      <c r="D5" s="931">
        <v>1</v>
      </c>
      <c r="E5" s="931">
        <v>1</v>
      </c>
      <c r="F5" s="74" t="s">
        <v>2633</v>
      </c>
      <c r="G5" s="74"/>
      <c r="H5" s="74"/>
      <c r="I5" s="74"/>
      <c r="J5" s="74"/>
    </row>
    <row r="6" spans="1:10">
      <c r="A6" s="1059" t="s">
        <v>2634</v>
      </c>
      <c r="B6" s="1060">
        <v>26.5</v>
      </c>
      <c r="C6" s="931">
        <v>8</v>
      </c>
      <c r="D6" s="931">
        <v>1</v>
      </c>
      <c r="E6" s="931">
        <v>1</v>
      </c>
      <c r="F6" s="74" t="s">
        <v>2635</v>
      </c>
      <c r="G6" s="74"/>
      <c r="H6" s="74"/>
      <c r="I6" s="74"/>
      <c r="J6" s="74"/>
    </row>
    <row r="7" spans="1:10">
      <c r="A7" s="1059" t="s">
        <v>2636</v>
      </c>
      <c r="B7" s="1060">
        <v>28.5</v>
      </c>
      <c r="C7" s="931">
        <v>8</v>
      </c>
      <c r="D7" s="931">
        <v>1</v>
      </c>
      <c r="E7" s="931">
        <v>1</v>
      </c>
      <c r="F7" s="74" t="s">
        <v>2637</v>
      </c>
      <c r="G7" s="74"/>
      <c r="H7" s="74"/>
      <c r="I7" s="74"/>
      <c r="J7" s="74"/>
    </row>
    <row r="8" spans="1:10">
      <c r="A8" s="1059" t="s">
        <v>2638</v>
      </c>
      <c r="B8" s="1060">
        <v>31.5</v>
      </c>
      <c r="C8" s="931">
        <v>8</v>
      </c>
      <c r="D8" s="931">
        <v>1</v>
      </c>
      <c r="E8" s="931">
        <v>1</v>
      </c>
      <c r="F8" s="74" t="s">
        <v>2639</v>
      </c>
      <c r="G8" s="74"/>
      <c r="H8" s="74"/>
      <c r="I8" s="74"/>
      <c r="J8" s="74"/>
    </row>
    <row r="9" spans="1:10">
      <c r="A9" s="1059" t="s">
        <v>2640</v>
      </c>
      <c r="B9" s="1060">
        <v>33.5</v>
      </c>
      <c r="C9" s="931">
        <v>9</v>
      </c>
      <c r="D9" s="931">
        <v>1</v>
      </c>
      <c r="E9" s="931">
        <v>1</v>
      </c>
      <c r="F9" s="74" t="s">
        <v>2641</v>
      </c>
      <c r="G9" s="74"/>
      <c r="H9" s="74"/>
      <c r="I9" s="74"/>
      <c r="J9" s="74"/>
    </row>
    <row r="10" spans="1:10">
      <c r="A10" s="1059" t="s">
        <v>2642</v>
      </c>
      <c r="B10" s="1060">
        <v>16.5</v>
      </c>
      <c r="C10" s="931">
        <v>5</v>
      </c>
      <c r="D10" s="931">
        <v>1</v>
      </c>
      <c r="E10" s="931">
        <v>1</v>
      </c>
      <c r="F10" s="74" t="s">
        <v>2643</v>
      </c>
      <c r="G10" s="74"/>
      <c r="H10" s="74"/>
      <c r="I10" s="74"/>
      <c r="J10" s="74"/>
    </row>
    <row r="12" spans="1:10" ht="16" customHeight="1">
      <c r="A12" s="1061" t="s">
        <v>2644</v>
      </c>
      <c r="B12" s="1084"/>
      <c r="C12" s="1084"/>
      <c r="D12" s="1084"/>
      <c r="E12" s="1084"/>
      <c r="F12" s="74"/>
      <c r="G12" s="74"/>
      <c r="H12" s="74"/>
      <c r="I12" s="74"/>
      <c r="J12" s="74"/>
    </row>
    <row r="13" spans="1:10">
      <c r="A13" s="1059" t="s">
        <v>2645</v>
      </c>
      <c r="B13" s="1086">
        <v>46137</v>
      </c>
      <c r="C13" s="74"/>
      <c r="D13" s="74"/>
      <c r="E13" s="74"/>
      <c r="F13" s="74"/>
      <c r="G13" s="74"/>
      <c r="H13" s="74"/>
      <c r="I13" s="74"/>
      <c r="J13" s="74"/>
    </row>
    <row r="14" spans="1:10">
      <c r="A14" s="1059" t="s">
        <v>490</v>
      </c>
      <c r="B14" s="1087" t="s">
        <v>494</v>
      </c>
      <c r="C14" s="74"/>
      <c r="D14" s="74"/>
      <c r="E14" s="74"/>
      <c r="F14" s="74"/>
      <c r="G14" s="74"/>
      <c r="H14" s="74"/>
      <c r="I14" s="74"/>
      <c r="J14" s="74"/>
    </row>
    <row r="15" spans="1:10">
      <c r="A15" s="1059" t="s">
        <v>2646</v>
      </c>
      <c r="B15" s="1087" t="s">
        <v>565</v>
      </c>
      <c r="C15" s="74"/>
      <c r="D15" s="74"/>
      <c r="E15" s="74"/>
      <c r="F15" s="74"/>
      <c r="G15" s="74"/>
      <c r="H15" s="74"/>
      <c r="I15" s="74"/>
      <c r="J15" s="74"/>
    </row>
    <row r="16" spans="1:10">
      <c r="A16" s="1059" t="s">
        <v>2647</v>
      </c>
      <c r="B16" s="1087" t="s">
        <v>2648</v>
      </c>
      <c r="C16" s="74"/>
      <c r="D16" s="74"/>
      <c r="E16" s="74"/>
      <c r="F16" s="74"/>
      <c r="G16" s="74"/>
      <c r="H16" s="74"/>
      <c r="I16" s="74"/>
      <c r="J16" s="74"/>
    </row>
    <row r="17" spans="1:9">
      <c r="A17" s="1059" t="s">
        <v>2649</v>
      </c>
      <c r="B17" s="1087" t="s">
        <v>2650</v>
      </c>
      <c r="C17" s="74"/>
      <c r="D17" s="74"/>
      <c r="E17" s="74"/>
      <c r="F17" s="74"/>
      <c r="G17" s="74"/>
      <c r="H17" s="74"/>
      <c r="I17" s="74"/>
    </row>
    <row r="19" spans="1:9">
      <c r="A19" s="1062" t="s">
        <v>2651</v>
      </c>
      <c r="B19" s="1063" t="s">
        <v>2652</v>
      </c>
      <c r="C19" s="1063" t="s">
        <v>2653</v>
      </c>
      <c r="D19" s="1063" t="s">
        <v>2654</v>
      </c>
      <c r="E19" s="1063" t="s">
        <v>2655</v>
      </c>
      <c r="F19" s="1063" t="s">
        <v>2656</v>
      </c>
      <c r="G19" s="1063" t="s">
        <v>2657</v>
      </c>
      <c r="H19" s="1063" t="s">
        <v>2658</v>
      </c>
      <c r="I19" s="1063" t="s">
        <v>492</v>
      </c>
    </row>
    <row r="20" spans="1:9">
      <c r="A20" s="1059" t="s">
        <v>2659</v>
      </c>
      <c r="B20" s="1087">
        <v>3</v>
      </c>
      <c r="C20" s="1087">
        <v>13</v>
      </c>
      <c r="D20" s="1066">
        <f>IF(B20="","",IFERROR(VLOOKUP("Menú "&amp;B20,$A$5:$B$10,2,0),""))</f>
        <v>28.5</v>
      </c>
      <c r="E20" s="1088">
        <f>IF(B20="","",IFERROR(VLOOKUP("Menú "&amp;B20,$A$5:$C$10,3,0),""))</f>
        <v>8</v>
      </c>
      <c r="F20" s="1088">
        <f>IF(B20="","",IFERROR(VLOOKUP("Menú "&amp;B20,$A$5:$D$10,4,0),""))</f>
        <v>1</v>
      </c>
      <c r="G20" s="1088">
        <f>IF(OR(B20="",C20=""),"",IFERROR(VLOOKUP("Menú "&amp;B20,$A$5:$C$10,3,0)*C20,""))</f>
        <v>104</v>
      </c>
      <c r="H20" s="1088">
        <f>IF(OR(B20="",C20=""),"",IFERROR(VLOOKUP("Menú "&amp;B20,$A$5:$D$10,4,0)*C20,""))</f>
        <v>13</v>
      </c>
      <c r="I20" s="1066">
        <f>IF(OR(B20="",C20=""),"",D20*C20)</f>
        <v>370.5</v>
      </c>
    </row>
    <row r="22" spans="1:9">
      <c r="A22" s="1089" t="s">
        <v>2660</v>
      </c>
      <c r="B22" s="1064" t="s">
        <v>2661</v>
      </c>
      <c r="C22" s="1064" t="s">
        <v>2662</v>
      </c>
      <c r="D22" s="1064" t="s">
        <v>2654</v>
      </c>
      <c r="E22" s="1064" t="s">
        <v>2655</v>
      </c>
      <c r="F22" s="1064" t="s">
        <v>2656</v>
      </c>
      <c r="G22" s="1064" t="s">
        <v>2657</v>
      </c>
      <c r="H22" s="1064" t="s">
        <v>2658</v>
      </c>
      <c r="I22" s="1064" t="s">
        <v>492</v>
      </c>
    </row>
    <row r="23" spans="1:9">
      <c r="A23" s="549" t="s">
        <v>2663</v>
      </c>
      <c r="B23" s="1067" t="s">
        <v>2664</v>
      </c>
      <c r="C23" s="1087"/>
      <c r="D23" s="1066">
        <v>16.5</v>
      </c>
      <c r="E23" s="1088">
        <v>5</v>
      </c>
      <c r="F23" s="1088">
        <v>1</v>
      </c>
      <c r="G23" s="1088" t="str">
        <f>IF(OR(C23="",C23=0),"",E23*C23)</f>
        <v/>
      </c>
      <c r="H23" s="1088" t="str">
        <f>IF(OR(C23="",C23=0),"",F23*C23)</f>
        <v/>
      </c>
      <c r="I23" s="1066" t="str">
        <f>IF(OR(C23="",C23=0),"",D23*C23)</f>
        <v/>
      </c>
    </row>
    <row r="25" spans="1:9">
      <c r="A25" s="1090" t="s">
        <v>2665</v>
      </c>
      <c r="B25" s="1090" t="s">
        <v>2666</v>
      </c>
      <c r="C25" s="1065" t="s">
        <v>2667</v>
      </c>
      <c r="D25" s="1065" t="s">
        <v>2668</v>
      </c>
      <c r="E25" s="1065" t="s">
        <v>128</v>
      </c>
      <c r="F25" s="1065" t="s">
        <v>2525</v>
      </c>
      <c r="G25" s="74"/>
      <c r="H25" s="74"/>
      <c r="I25" s="74"/>
    </row>
    <row r="26" spans="1:9">
      <c r="A26" s="74" t="s">
        <v>2669</v>
      </c>
      <c r="B26" s="1091" t="s">
        <v>2670</v>
      </c>
      <c r="C26" s="1092">
        <v>10</v>
      </c>
      <c r="D26" s="1093">
        <v>1.75</v>
      </c>
      <c r="E26" s="1066">
        <f>IF(OR(C26="",D26=""),"",C26*D26)</f>
        <v>17.5</v>
      </c>
      <c r="F26" s="1091" t="s">
        <v>2671</v>
      </c>
      <c r="G26" s="74"/>
      <c r="H26" s="74"/>
      <c r="I26" s="74"/>
    </row>
    <row r="27" spans="1:9">
      <c r="A27" s="74" t="s">
        <v>2672</v>
      </c>
      <c r="B27" s="1091" t="s">
        <v>248</v>
      </c>
      <c r="C27" s="1092">
        <v>1</v>
      </c>
      <c r="D27" s="1093">
        <v>1.65</v>
      </c>
      <c r="E27" s="1066">
        <f>IF(OR(C27="",D27=""),"",C27*D27)</f>
        <v>1.65</v>
      </c>
      <c r="F27" s="1091" t="s">
        <v>247</v>
      </c>
      <c r="G27" s="74"/>
      <c r="H27" s="74"/>
      <c r="I27" s="74"/>
    </row>
    <row r="28" spans="1:9">
      <c r="A28" s="74" t="s">
        <v>2673</v>
      </c>
      <c r="B28" s="1091" t="s">
        <v>2674</v>
      </c>
      <c r="C28" s="1092">
        <v>4</v>
      </c>
      <c r="D28" s="1093">
        <v>2.5499999999999998</v>
      </c>
      <c r="E28" s="1066">
        <f>IF(OR(C28="",D28=""),"",C28*D28)</f>
        <v>10.199999999999999</v>
      </c>
      <c r="F28" s="1091" t="s">
        <v>2675</v>
      </c>
      <c r="G28" s="74"/>
      <c r="H28" s="74"/>
      <c r="I28" s="74"/>
    </row>
    <row r="29" spans="1:9">
      <c r="A29" s="74" t="s">
        <v>2676</v>
      </c>
      <c r="B29" s="1091" t="s">
        <v>2677</v>
      </c>
      <c r="C29" s="1092">
        <v>6</v>
      </c>
      <c r="D29" s="1093">
        <v>1.55</v>
      </c>
      <c r="E29" s="1066">
        <f>IF(OR(C29="",D29=""),"",C29*D29)</f>
        <v>9.3000000000000007</v>
      </c>
      <c r="F29" s="1091" t="s">
        <v>247</v>
      </c>
      <c r="G29" s="74"/>
      <c r="H29" s="74"/>
      <c r="I29" s="74"/>
    </row>
    <row r="30" spans="1:9">
      <c r="A30" s="74" t="s">
        <v>2678</v>
      </c>
      <c r="B30" s="1091" t="s">
        <v>2679</v>
      </c>
      <c r="C30" s="1092">
        <v>1</v>
      </c>
      <c r="D30" s="1093">
        <v>44.75</v>
      </c>
      <c r="E30" s="1066">
        <f>IF(OR(C30="",D30=""),"",C30*D30)</f>
        <v>44.75</v>
      </c>
      <c r="F30" s="1091" t="s">
        <v>2680</v>
      </c>
      <c r="G30" s="74"/>
      <c r="H30" s="74"/>
      <c r="I30" s="74"/>
    </row>
    <row r="32" spans="1:9">
      <c r="A32" s="1094" t="s">
        <v>2681</v>
      </c>
      <c r="B32" s="1094" t="s">
        <v>2682</v>
      </c>
      <c r="C32" s="1095" t="s">
        <v>2683</v>
      </c>
      <c r="D32" s="74"/>
      <c r="E32" s="74"/>
      <c r="F32" s="74"/>
      <c r="G32" s="74"/>
      <c r="H32" s="74"/>
      <c r="I32" s="74"/>
    </row>
    <row r="33" spans="1:5">
      <c r="A33" s="74" t="s">
        <v>2684</v>
      </c>
      <c r="B33" s="1096"/>
      <c r="C33" s="1097"/>
      <c r="D33" s="74"/>
      <c r="E33" s="74"/>
    </row>
    <row r="35" spans="1:5" ht="16" customHeight="1">
      <c r="A35" s="1061" t="s">
        <v>2685</v>
      </c>
      <c r="B35" s="1084"/>
      <c r="C35" s="1084"/>
      <c r="D35" s="1084"/>
      <c r="E35" s="1084"/>
    </row>
    <row r="36" spans="1:5">
      <c r="A36" s="549" t="s">
        <v>2686</v>
      </c>
      <c r="B36" s="1098">
        <f>IFERROR(IF(C20="",0,C20),0)+IFERROR(IF(OR(C23="",C23=0),0,C23),0)</f>
        <v>13</v>
      </c>
      <c r="C36" s="1067" t="s">
        <v>2687</v>
      </c>
      <c r="D36" s="74"/>
      <c r="E36" s="74"/>
    </row>
    <row r="37" spans="1:5">
      <c r="A37" s="1099" t="s">
        <v>2688</v>
      </c>
      <c r="B37" s="1088">
        <f>IFERROR(IF(C20="",0,C20),0)</f>
        <v>13</v>
      </c>
      <c r="C37" s="1067" t="s">
        <v>2687</v>
      </c>
      <c r="D37" s="74"/>
      <c r="E37" s="74"/>
    </row>
    <row r="38" spans="1:5">
      <c r="A38" s="1099" t="s">
        <v>2689</v>
      </c>
      <c r="B38" s="1088">
        <f>IFERROR(IF(OR(C23="",C23=0),0,C23),0)</f>
        <v>0</v>
      </c>
      <c r="C38" s="1067" t="s">
        <v>2687</v>
      </c>
      <c r="D38" s="74"/>
      <c r="E38" s="74"/>
    </row>
    <row r="40" spans="1:5">
      <c r="A40" s="549" t="s">
        <v>2690</v>
      </c>
      <c r="B40" s="1088">
        <f>IFERROR(IF(G20="",0,G20),0)+IFERROR(IF(G23="",0,G23),0)</f>
        <v>104</v>
      </c>
      <c r="C40" s="1067" t="s">
        <v>2691</v>
      </c>
      <c r="D40" s="74"/>
      <c r="E40" s="74"/>
    </row>
    <row r="41" spans="1:5">
      <c r="A41" s="549" t="s">
        <v>2692</v>
      </c>
      <c r="B41" s="1088">
        <f>IFERROR(IF(H20="",0,H20),0)+IFERROR(IF(H23="",0,H23),0)</f>
        <v>13</v>
      </c>
      <c r="C41" s="1067" t="s">
        <v>2693</v>
      </c>
      <c r="D41" s="74"/>
      <c r="E41" s="74"/>
    </row>
    <row r="42" spans="1:5">
      <c r="A42" s="549" t="s">
        <v>2694</v>
      </c>
      <c r="B42" s="1088">
        <f>IFERROR(IF(C26="",0,C26),0)+IFERROR(IF(C27="",0,C27),0)+IFERROR(IF(C28="",0,C28),0)+IFERROR(IF(C29="",0,C29),0)+IFERROR(IF(C30="",0,C30),0)</f>
        <v>22</v>
      </c>
      <c r="C42" s="1067" t="s">
        <v>2695</v>
      </c>
      <c r="D42" s="74"/>
      <c r="E42" s="74"/>
    </row>
    <row r="44" spans="1:5">
      <c r="A44" s="1068" t="s">
        <v>2696</v>
      </c>
      <c r="B44" s="1100">
        <f>IFERROR(IF(I20="",0,I20),0)+IFERROR(IF(I23="",0,I23),0)</f>
        <v>370.5</v>
      </c>
      <c r="C44" s="74"/>
      <c r="D44" s="74"/>
      <c r="E44" s="74"/>
    </row>
    <row r="45" spans="1:5">
      <c r="A45" s="1069" t="s">
        <v>2697</v>
      </c>
      <c r="B45" s="1101">
        <f>IFERROR(IF(E26="",0,E26),0)+IFERROR(IF(E27="",0,E27),0)+IFERROR(IF(E28="",0,E28),0)+IFERROR(IF(E29="",0,E29),0)+IFERROR(IF(E30="",0,E30),0)</f>
        <v>83.4</v>
      </c>
      <c r="C45" s="74"/>
      <c r="D45" s="74"/>
      <c r="E45" s="74"/>
    </row>
    <row r="46" spans="1:5">
      <c r="A46" s="1102" t="s">
        <v>2684</v>
      </c>
      <c r="B46" s="1103">
        <f>IFERROR(IF(C33="",0,C33),0)</f>
        <v>0</v>
      </c>
      <c r="C46" s="74"/>
      <c r="D46" s="74"/>
      <c r="E46" s="74"/>
    </row>
    <row r="48" spans="1:5" ht="19" customHeight="1">
      <c r="A48" s="1104" t="s">
        <v>2698</v>
      </c>
      <c r="B48" s="1105">
        <f>B44+B45+B46</f>
        <v>453.9</v>
      </c>
      <c r="C48" s="74"/>
      <c r="D48" s="74"/>
      <c r="E48" s="74"/>
    </row>
    <row r="49" spans="1:2">
      <c r="A49" s="549" t="s">
        <v>2699</v>
      </c>
      <c r="B49" s="1106">
        <f>IF(B36=0,"",B48/B36)</f>
        <v>34.91538461538461</v>
      </c>
    </row>
    <row r="51" spans="1:2">
      <c r="A51" s="1094" t="s">
        <v>2700</v>
      </c>
      <c r="B51" s="1107" t="s">
        <v>2701</v>
      </c>
    </row>
    <row r="52" spans="1:2">
      <c r="A52" s="549" t="s">
        <v>2702</v>
      </c>
      <c r="B52" s="1108" t="str">
        <f>IF(B16="","[ introdueix nom del grup ]","GRUP — "&amp;B16&amp;" | "&amp;B36&amp;" pax ("&amp;B37&amp;" adults + "&amp;B38&amp;" nens) | Menú "&amp;IF(B20="","-",B20)&amp;IF(C20&gt;0," x"&amp;C20,"")&amp;IF(C23&gt;0," + Infantil x"&amp;C23,"")&amp;" | TOTAL: "&amp;TEXT(B48,"#,##0.00")&amp;"€")</f>
        <v>GRUP — Privat 1 — Grup Privat | 13 pax (13 adults + 0 nens) | Menú 3 x13 | TOTAL: 453,9000€</v>
      </c>
    </row>
    <row r="54" spans="1:2">
      <c r="A54" s="1109" t="s">
        <v>2703</v>
      </c>
      <c r="B54" s="74"/>
    </row>
    <row r="55" spans="1:2">
      <c r="A55" s="74" t="s">
        <v>2704</v>
      </c>
      <c r="B55" s="74"/>
    </row>
    <row r="56" spans="1:2">
      <c r="A56" s="74" t="s">
        <v>2705</v>
      </c>
      <c r="B56" s="74"/>
    </row>
    <row r="57" spans="1:2">
      <c r="A57" s="74" t="s">
        <v>2706</v>
      </c>
      <c r="B57" s="74"/>
    </row>
    <row r="58" spans="1:2">
      <c r="A58" s="74" t="s">
        <v>2707</v>
      </c>
      <c r="B58" s="74"/>
    </row>
    <row r="59" spans="1:2">
      <c r="A59" s="74" t="s">
        <v>2708</v>
      </c>
      <c r="B59" s="74"/>
    </row>
    <row r="60" spans="1:2">
      <c r="A60" s="1110" t="s">
        <v>2709</v>
      </c>
      <c r="B60" s="74"/>
    </row>
  </sheetData>
  <dataValidations count="4">
    <dataValidation type="list" allowBlank="1" showInputMessage="1" showErrorMessage="1" sqref="B14" xr:uid="{00000000-0002-0000-1800-000000000000}">
      <formula1>"Mañana,Mediodia,Noche"</formula1>
    </dataValidation>
    <dataValidation type="list" allowBlank="1" showInputMessage="1" showErrorMessage="1" sqref="B15" xr:uid="{00000000-0002-0000-1800-000001000000}">
      <formula1>"Caja 1,Caja 2"</formula1>
    </dataValidation>
    <dataValidation type="list" allowBlank="1" showInputMessage="1" showErrorMessage="1" promptTitle="Menú adults" prompt="Selecciona el número de menú: 1, 2, 3, 4 o 5" sqref="B20" xr:uid="{00000000-0002-0000-1800-000002000000}">
      <formula1>"1,2,3,4,5"</formula1>
    </dataValidation>
    <dataValidation type="list" allowBlank="1" showInputMessage="1" showErrorMessage="1" sqref="F26:F30" xr:uid="{00000000-0002-0000-1800-000003000000}">
      <formula1>"Beguda,Plat,Altre"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1</vt:i4>
      </vt:variant>
    </vt:vector>
  </HeadingPairs>
  <TitlesOfParts>
    <vt:vector size="26" baseType="lpstr">
      <vt:lpstr>Panel Entrada</vt:lpstr>
      <vt:lpstr>Dashboard Gerencia</vt:lpstr>
      <vt:lpstr>Arqueo e incentivos</vt:lpstr>
      <vt:lpstr>Caja 1</vt:lpstr>
      <vt:lpstr>Caja 2</vt:lpstr>
      <vt:lpstr>Horarios Personal</vt:lpstr>
      <vt:lpstr>Resumen Empleado</vt:lpstr>
      <vt:lpstr>P&amp;L EBITDA</vt:lpstr>
      <vt:lpstr>Facturación 2025</vt:lpstr>
      <vt:lpstr>Detalle Turnos</vt:lpstr>
      <vt:lpstr>Facturación 2026</vt:lpstr>
      <vt:lpstr>Ventas Caja 2</vt:lpstr>
      <vt:lpstr>Ventas Caja 1</vt:lpstr>
      <vt:lpstr>Eventos y Previsión</vt:lpstr>
      <vt:lpstr>BD_Datos</vt:lpstr>
      <vt:lpstr>Product Mix</vt:lpstr>
      <vt:lpstr>Hoja1</vt:lpstr>
      <vt:lpstr>Prev. Producción</vt:lpstr>
      <vt:lpstr>Análisis Omnes</vt:lpstr>
      <vt:lpstr>Menu Engineering</vt:lpstr>
      <vt:lpstr>Revisión Match</vt:lpstr>
      <vt:lpstr>Historial Menús</vt:lpstr>
      <vt:lpstr>Anàlisi Menús</vt:lpstr>
      <vt:lpstr>Product Mix Unificado</vt:lpstr>
      <vt:lpstr>Menús Grupo</vt:lpstr>
      <vt:lpstr>Tabla11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 RODENAS</cp:lastModifiedBy>
  <dcterms:created xsi:type="dcterms:W3CDTF">2026-04-03T12:12:05Z</dcterms:created>
  <dcterms:modified xsi:type="dcterms:W3CDTF">2026-05-02T19:29:36Z</dcterms:modified>
</cp:coreProperties>
</file>